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6129A902-9271-47D1-A39F-8A8A2163EDF0}" xr6:coauthVersionLast="47" xr6:coauthVersionMax="47" xr10:uidLastSave="{00000000-0000-0000-0000-000000000000}"/>
  <bookViews>
    <workbookView showHorizontalScroll="0" showVerticalScroll="0" xWindow="28680" yWindow="-120" windowWidth="29040" windowHeight="15720" tabRatio="959" activeTab="2" xr2:uid="{00000000-000D-0000-FFFF-FFFF00000000}"/>
  </bookViews>
  <sheets>
    <sheet name="반도체 수출 판가 증가율" sheetId="417" r:id="rId1"/>
    <sheet name="총수출" sheetId="443" state="hidden" r:id="rId2"/>
    <sheet name="디램" sheetId="35" r:id="rId3"/>
    <sheet name="낸드" sheetId="202" r:id="rId4"/>
    <sheet name="HBM" sheetId="432" r:id="rId5"/>
    <sheet name="AIR 쿨러" sheetId="436" r:id="rId6"/>
    <sheet name="공작기계(와이지원관련)" sheetId="448" r:id="rId7"/>
    <sheet name="터빈" sheetId="438" r:id="rId8"/>
    <sheet name="비료" sheetId="447" r:id="rId9"/>
    <sheet name="양극재(NCM+NCA)" sheetId="414" r:id="rId10"/>
    <sheet name="양극재(NCM)" sheetId="8" r:id="rId11"/>
    <sheet name="양극재(NCA)" sheetId="203" r:id="rId12"/>
    <sheet name="리튬전지" sheetId="2" r:id="rId13"/>
    <sheet name="ess 미국" sheetId="442" r:id="rId14"/>
    <sheet name="피팅" sheetId="52" r:id="rId15"/>
    <sheet name="mlcc" sheetId="17" r:id="rId16"/>
    <sheet name="SSD+미국" sheetId="385" r:id="rId17"/>
    <sheet name="한양디지텍" sheetId="349" r:id="rId18"/>
    <sheet name="리드프레임" sheetId="16" r:id="rId19"/>
    <sheet name="반도체장비수입" sheetId="445" r:id="rId20"/>
    <sheet name="pcb" sheetId="7" r:id="rId21"/>
    <sheet name="CCL" sheetId="424" r:id="rId22"/>
    <sheet name="PROBE CARD" sheetId="187" r:id="rId23"/>
    <sheet name="광섬유" sheetId="74" r:id="rId24"/>
    <sheet name="솔더볼" sheetId="288" r:id="rId25"/>
    <sheet name="선박 엔진" sheetId="440" r:id="rId26"/>
    <sheet name="엔진 미국" sheetId="446" r:id="rId27"/>
    <sheet name="라면" sheetId="9" r:id="rId28"/>
    <sheet name="포토레지스트" sheetId="3" r:id="rId29"/>
    <sheet name="고용량변압기" sheetId="89" r:id="rId30"/>
    <sheet name="고용량변압기+미국" sheetId="389" r:id="rId31"/>
    <sheet name="변압기 + 미국" sheetId="386" r:id="rId32"/>
    <sheet name="전선(미국)" sheetId="303" r:id="rId33"/>
    <sheet name="올리고" sheetId="48" r:id="rId34"/>
    <sheet name="실리콘러버소켓, 리노핀" sheetId="5" r:id="rId35"/>
    <sheet name="플러그소켓" sheetId="207" r:id="rId36"/>
    <sheet name="모노리식집적회로" sheetId="21" r:id="rId37"/>
    <sheet name="실리콘 파츠(링+포커스)" sheetId="300" r:id="rId38"/>
    <sheet name="실리콘링" sheetId="299" r:id="rId39"/>
    <sheet name="cvd 포커스링" sheetId="190" r:id="rId40"/>
    <sheet name="알루미늄박" sheetId="85" r:id="rId41"/>
    <sheet name="동박" sheetId="32" r:id="rId42"/>
    <sheet name="담배" sheetId="318" r:id="rId43"/>
    <sheet name="블랭크마스크" sheetId="61" r:id="rId44"/>
    <sheet name="반도체증착" sheetId="206" r:id="rId45"/>
    <sheet name="반도체제조용장비부품(펠리클)" sheetId="338" r:id="rId46"/>
    <sheet name="필러" sheetId="75" r:id="rId47"/>
    <sheet name="음반" sheetId="23" r:id="rId48"/>
    <sheet name="EMC(HBM소재) 일본" sheetId="391" state="hidden" r:id="rId49"/>
    <sheet name="체성분분석기" sheetId="37" r:id="rId50"/>
    <sheet name="혈액제제" sheetId="409" r:id="rId51"/>
    <sheet name="쿼츠웨어" sheetId="4" r:id="rId52"/>
    <sheet name="정수기" sheetId="441" r:id="rId53"/>
    <sheet name="소스" sheetId="434" r:id="rId54"/>
    <sheet name="HRSG" sheetId="435" r:id="rId55"/>
    <sheet name="폴리실리콘" sheetId="192" r:id="rId56"/>
    <sheet name="보냉재" sheetId="437" r:id="rId57"/>
    <sheet name="보냉재 중국" sheetId="439" r:id="rId58"/>
    <sheet name="태양광셀+모듈" sheetId="398" r:id="rId59"/>
    <sheet name="태양광모듈" sheetId="1" r:id="rId60"/>
    <sheet name="태양광셀" sheetId="397" r:id="rId61"/>
    <sheet name="리쥬란" sheetId="296" r:id="rId62"/>
    <sheet name="화장품미백" sheetId="113" r:id="rId63"/>
    <sheet name="화장품미백(폴란드)" sheetId="431" r:id="rId64"/>
    <sheet name="화장품미백(중국)" sheetId="361" r:id="rId65"/>
    <sheet name="화장품미백(미국)" sheetId="351" r:id="rId66"/>
    <sheet name="화장품미백(일본)" sheetId="352" r:id="rId67"/>
    <sheet name="아라미드" sheetId="270" r:id="rId68"/>
    <sheet name="스판덱스" sheetId="104" r:id="rId69"/>
    <sheet name="탄소섬유" sheetId="271" r:id="rId70"/>
    <sheet name="NCF 수입 일본" sheetId="392" state="hidden" r:id="rId71"/>
    <sheet name="자동차" sheetId="371" r:id="rId72"/>
    <sheet name="지혈제" sheetId="413" r:id="rId73"/>
    <sheet name="생물현미경" sheetId="430" r:id="rId74"/>
    <sheet name="화장품메이크업용" sheetId="322" r:id="rId75"/>
    <sheet name="화장품메이크업용(미국)" sheetId="353" r:id="rId76"/>
    <sheet name="화장품메이크업용(중국)" sheetId="362" r:id="rId77"/>
    <sheet name="화장품메이크업용(일본)" sheetId="354" r:id="rId78"/>
    <sheet name="마스크팩" sheetId="233" r:id="rId79"/>
    <sheet name="건기식" sheetId="298" r:id="rId80"/>
    <sheet name="전차와 장갑차" sheetId="367" r:id="rId81"/>
    <sheet name="전기회로 + 미국" sheetId="387" r:id="rId82"/>
    <sheet name="전기제어등 + 미국" sheetId="314" r:id="rId83"/>
    <sheet name="바이오시밀러" sheetId="43" r:id="rId84"/>
    <sheet name="보톡스 (합)" sheetId="142" r:id="rId85"/>
    <sheet name="보톡스" sheetId="18" r:id="rId86"/>
    <sheet name="보톡스 (2)" sheetId="20" r:id="rId87"/>
    <sheet name="보톡스(미국)" sheetId="422" r:id="rId88"/>
    <sheet name="미용기기(미국)" sheetId="423" r:id="rId89"/>
    <sheet name="미용기기(합)" sheetId="152" r:id="rId90"/>
    <sheet name="미용기기" sheetId="13" r:id="rId91"/>
    <sheet name="미용기기(레이저기타)" sheetId="261" r:id="rId92"/>
    <sheet name="미용기기(소모품)" sheetId="153" r:id="rId93"/>
    <sheet name="미용기기 hifu 기기" sheetId="257" r:id="rId94"/>
    <sheet name="과산화수소(반도체)" sheetId="174" r:id="rId95"/>
    <sheet name="비행기+부품" sheetId="327" r:id="rId96"/>
    <sheet name="비행기" sheetId="328" r:id="rId97"/>
    <sheet name="비행기부품" sheetId="329" r:id="rId98"/>
    <sheet name="안테나+시스템" sheetId="195" r:id="rId99"/>
    <sheet name="안테나시스템" sheetId="194" r:id="rId100"/>
    <sheet name="안테나" sheetId="193" r:id="rId101"/>
    <sheet name="라이신 합산" sheetId="321" r:id="rId102"/>
    <sheet name="라이신(1)" sheetId="319" r:id="rId103"/>
    <sheet name="라이신(2)" sheetId="320" r:id="rId104"/>
    <sheet name="모노리식집적회로(중국)" sheetId="429" state="hidden" r:id="rId105"/>
    <sheet name="미국" sheetId="427" state="hidden" r:id="rId106"/>
    <sheet name="중국" sheetId="428" state="hidden" r:id="rId107"/>
    <sheet name="창상피복재" sheetId="12" r:id="rId108"/>
    <sheet name="창상피복재(미국)" sheetId="356" r:id="rId109"/>
    <sheet name="우유+메로나" sheetId="395" r:id="rId110"/>
    <sheet name="우유" sheetId="394" r:id="rId111"/>
    <sheet name="메로나" sheetId="393" r:id="rId112"/>
    <sheet name="메로나(미국)" sheetId="433" r:id="rId113"/>
    <sheet name="베이커리류(중국)" sheetId="425" r:id="rId114"/>
    <sheet name="소형변압기(합)" sheetId="149" r:id="rId115"/>
    <sheet name="소형변압기" sheetId="88" r:id="rId116"/>
    <sheet name="소형변압기 (2)" sheetId="148" r:id="rId117"/>
    <sheet name="트랙터" sheetId="97" r:id="rId118"/>
    <sheet name="트랙터(미국)" sheetId="383" r:id="rId119"/>
    <sheet name="온수기+보일러" sheetId="253" r:id="rId120"/>
    <sheet name="온수기" sheetId="28" r:id="rId121"/>
    <sheet name="보일러" sheetId="29" r:id="rId122"/>
    <sheet name="온수기(미국)" sheetId="359" r:id="rId123"/>
    <sheet name="보일러(미국)" sheetId="360" r:id="rId124"/>
    <sheet name="뷰티디바이스(미국)" sheetId="368" r:id="rId125"/>
    <sheet name="뷰티디바이스" sheetId="364" r:id="rId126"/>
    <sheet name="HVAC 미국" sheetId="420" r:id="rId127"/>
    <sheet name="전구체 수출" sheetId="415" state="hidden" r:id="rId128"/>
    <sheet name="양극재(NCM 전구체수입)" sheetId="191" r:id="rId129"/>
    <sheet name="네일관련화장품" sheetId="426" state="hidden" r:id="rId130"/>
    <sheet name="탄산리튬(수입)" sheetId="164" r:id="rId131"/>
    <sheet name="수산화리튬(수입)" sheetId="162" r:id="rId132"/>
    <sheet name="스텐트" sheetId="421" r:id="rId133"/>
    <sheet name="리플로우" sheetId="333" r:id="rId134"/>
    <sheet name="밸브" sheetId="53" r:id="rId135"/>
    <sheet name="김" sheetId="396" state="hidden" r:id="rId136"/>
    <sheet name="화장품튜브" sheetId="114" r:id="rId137"/>
    <sheet name="화장품기타" sheetId="323" state="hidden" r:id="rId138"/>
    <sheet name="카본캐니스터 미국" sheetId="400" r:id="rId139"/>
    <sheet name="자동차부품 멕시코 + 미국" sheetId="404" state="hidden" r:id="rId140"/>
    <sheet name="자동차부품 미국" sheetId="402" state="hidden" r:id="rId141"/>
    <sheet name="자동차부품 멕시코" sheetId="403" state="hidden" r:id="rId142"/>
    <sheet name="자동차부품 인도" sheetId="408" state="hidden" r:id="rId143"/>
    <sheet name="고압수소" sheetId="334" r:id="rId144"/>
    <sheet name="임플란트" sheetId="15" r:id="rId145"/>
    <sheet name="임플란트(중국)" sheetId="355" r:id="rId146"/>
    <sheet name="FPCB" sheetId="54" r:id="rId147"/>
    <sheet name="PI필름" sheetId="384" r:id="rId148"/>
    <sheet name="카메라부문품" sheetId="201" r:id="rId149"/>
    <sheet name="OIS 액츄에이터" sheetId="249" r:id="rId150"/>
    <sheet name="oled유기재료" sheetId="19" r:id="rId151"/>
    <sheet name="oled유기재료(수입)" sheetId="347" r:id="rId152"/>
    <sheet name="HMI" sheetId="317" state="hidden" r:id="rId153"/>
    <sheet name="변환기" sheetId="316" state="hidden" r:id="rId154"/>
    <sheet name="PLC" sheetId="315" state="hidden" r:id="rId155"/>
    <sheet name="선박" sheetId="369" state="hidden" r:id="rId156"/>
    <sheet name="치과장비(네덜란드)" sheetId="381" state="hidden" r:id="rId157"/>
    <sheet name="치과장비(미국)" sheetId="363" state="hidden" r:id="rId158"/>
    <sheet name="치과장비" sheetId="204" r:id="rId159"/>
    <sheet name="스마트폰" sheetId="31" r:id="rId160"/>
    <sheet name="반도체 웨이퍼 연마기" sheetId="342" r:id="rId161"/>
    <sheet name="강관합산(7304~6)(미국)" sheetId="170" r:id="rId162"/>
    <sheet name="7304" sheetId="168" r:id="rId163"/>
    <sheet name="7305" sheetId="169" r:id="rId164"/>
    <sheet name="7306" sheetId="336" r:id="rId165"/>
    <sheet name="전자동정제분류포장시스템" sheetId="33" r:id="rId166"/>
    <sheet name="쓰레오닌" sheetId="343" state="hidden" r:id="rId167"/>
    <sheet name="혈당측정기" sheetId="337" r:id="rId168"/>
    <sheet name="혈당스트립" sheetId="227" r:id="rId169"/>
    <sheet name="봉합재+충전재" sheetId="388" r:id="rId170"/>
    <sheet name="봉합재" sheetId="290" r:id="rId171"/>
    <sheet name="충전재 치과용" sheetId="289" r:id="rId172"/>
    <sheet name="의료기기" sheetId="357" state="hidden" r:id="rId173"/>
    <sheet name="핸들러" sheetId="293" r:id="rId174"/>
    <sheet name="cok" sheetId="348" r:id="rId175"/>
    <sheet name="핫도그등" sheetId="297" r:id="rId176"/>
    <sheet name="핫도그 미국" sheetId="350" r:id="rId177"/>
    <sheet name="검사장비" sheetId="105" r:id="rId178"/>
    <sheet name="레이저마커" sheetId="22" r:id="rId179"/>
    <sheet name="어닐링" sheetId="301" r:id="rId180"/>
    <sheet name="반도체검사장비" sheetId="294" r:id="rId181"/>
    <sheet name="반도체검사장비(중국)" sheetId="365" state="hidden" r:id="rId182"/>
    <sheet name="반도체검사장비(미국)" sheetId="366" state="hidden" r:id="rId183"/>
    <sheet name="반도체세정장비" sheetId="344" r:id="rId184"/>
    <sheet name="반도체세척장비" sheetId="135" r:id="rId185"/>
    <sheet name="메모리테스터" sheetId="295" r:id="rId186"/>
    <sheet name="다층세라믹기판" sheetId="283" r:id="rId187"/>
    <sheet name="건식식각장비" sheetId="340" r:id="rId188"/>
    <sheet name="산업용자동화원자현미경" sheetId="34" r:id="rId189"/>
    <sheet name="프리커서" sheetId="175" state="hidden" r:id="rId190"/>
    <sheet name="반도체오버레이" sheetId="284" r:id="rId191"/>
    <sheet name="반도체용 폴리실리콘(수입)" sheetId="292" r:id="rId192"/>
    <sheet name="타워플랜지" sheetId="339" r:id="rId193"/>
    <sheet name="면역진단" sheetId="325" r:id="rId194"/>
    <sheet name="의료디텍터" sheetId="269" r:id="rId195"/>
    <sheet name="리튬일차전지" sheetId="11" r:id="rId196"/>
    <sheet name="인공유방" sheetId="279" state="hidden" r:id="rId197"/>
    <sheet name="구강스캐너" sheetId="335" state="hidden" r:id="rId198"/>
    <sheet name="굴삭기잠정" sheetId="101" r:id="rId199"/>
    <sheet name="굴삭기미국" sheetId="382" r:id="rId200"/>
    <sheet name="그밖의 엔진(미국)" sheetId="444" r:id="rId201"/>
    <sheet name="유압실린더" sheetId="102" r:id="rId202"/>
    <sheet name="트랙롤러" sheetId="103" r:id="rId203"/>
    <sheet name="트랙롤러 미국" sheetId="411" r:id="rId204"/>
    <sheet name="3챔버수액" sheetId="265" r:id="rId205"/>
    <sheet name="금속 자성 코어" sheetId="262" r:id="rId206"/>
    <sheet name="기지국부분품" sheetId="112" r:id="rId207"/>
    <sheet name="전기통신용 측정기" sheetId="109" r:id="rId208"/>
    <sheet name="니켈도금강판" sheetId="324" r:id="rId209"/>
    <sheet name="실리콘음극재(수입)" sheetId="196" r:id="rId210"/>
    <sheet name="실리콘음극재(수출)" sheetId="197" r:id="rId211"/>
    <sheet name="cnt분말(수출)" sheetId="198" r:id="rId212"/>
    <sheet name="분리막(1)" sheetId="345" r:id="rId213"/>
    <sheet name="분리막(2)" sheetId="346" r:id="rId214"/>
    <sheet name="탈철기" sheetId="200" r:id="rId215"/>
    <sheet name="샴푸원료" sheetId="280" r:id="rId216"/>
    <sheet name="선박조명" sheetId="45" r:id="rId217"/>
    <sheet name="CCM TESTER" sheetId="254" r:id="rId218"/>
    <sheet name="산화방지조제품(합, 송원산업)" sheetId="185" r:id="rId219"/>
    <sheet name="산화방지조제품" sheetId="181" r:id="rId220"/>
    <sheet name="산화방지조제품(2)" sheetId="183" r:id="rId221"/>
    <sheet name="산화방지조제품(3)" sheetId="184" r:id="rId222"/>
    <sheet name="안과용기기(합)" sheetId="144" r:id="rId223"/>
    <sheet name="안과용기기" sheetId="27" r:id="rId224"/>
    <sheet name="안과용기기 (소모품)" sheetId="143" r:id="rId225"/>
    <sheet name="스파이럴임플란트" sheetId="268" state="hidden" r:id="rId226"/>
    <sheet name="모바일프린터" sheetId="263" r:id="rId227"/>
    <sheet name="금속 절삭" sheetId="209" r:id="rId228"/>
    <sheet name="타이어 " sheetId="140" r:id="rId229"/>
    <sheet name="타이어코드(합)" sheetId="186" r:id="rId230"/>
    <sheet name="타이어코드" sheetId="159" r:id="rId231"/>
    <sheet name="타이어코드 (2)" sheetId="160" r:id="rId232"/>
    <sheet name="에폭시수지" sheetId="107" r:id="rId233"/>
    <sheet name="NB라텍스" sheetId="176" r:id="rId234"/>
    <sheet name="cmf 시스템" sheetId="281" r:id="rId235"/>
    <sheet name="트라우마" sheetId="332" r:id="rId236"/>
    <sheet name="콘텍트렌즈" sheetId="25" r:id="rId237"/>
    <sheet name="전자담배(수입)" sheetId="24" r:id="rId238"/>
    <sheet name="조제품" sheetId="116" r:id="rId239"/>
    <sheet name="공업용다이아몬드" sheetId="285" r:id="rId240"/>
    <sheet name="베어링" sheetId="272" r:id="rId241"/>
    <sheet name="오토모티브라이트" sheetId="44" state="hidden" r:id="rId242"/>
    <sheet name="카지노모니터" sheetId="87" r:id="rId243"/>
    <sheet name="CXR" sheetId="287" r:id="rId244"/>
    <sheet name="ev relay " sheetId="276" r:id="rId245"/>
    <sheet name="결핵 진단 장비 + 키트" sheetId="231" r:id="rId246"/>
    <sheet name="결핵진단장비" sheetId="229" r:id="rId247"/>
    <sheet name="결핵진단키트" sheetId="230" r:id="rId248"/>
    <sheet name="폴리우레탄합성피역" sheetId="326" r:id="rId249"/>
    <sheet name="OLDE봉지재필름" sheetId="47" r:id="rId250"/>
    <sheet name="OLEDTV" sheetId="46" state="hidden" r:id="rId251"/>
    <sheet name="OLDE패널(스마트폰부품)" sheetId="248" state="hidden" r:id="rId252"/>
    <sheet name="OLDE패널(휴대용 10키로미만) " sheetId="239" state="hidden" r:id="rId253"/>
    <sheet name="OLDE패널(유무선)" sheetId="243" state="hidden" r:id="rId254"/>
    <sheet name="OLDE패널(TV)(합)" sheetId="247" state="hidden" r:id="rId255"/>
    <sheet name="OLDE패널(TV)" sheetId="244" state="hidden" r:id="rId256"/>
    <sheet name="OLDE패널(TV) (2)" sheetId="246" state="hidden" r:id="rId257"/>
    <sheet name="붉은대게살" sheetId="407" state="hidden" r:id="rId258"/>
    <sheet name="게맛살" sheetId="406" state="hidden" r:id="rId259"/>
    <sheet name="김치" sheetId="405" state="hidden" r:id="rId260"/>
    <sheet name="맥주" sheetId="401" state="hidden" r:id="rId261"/>
    <sheet name="오스템임플란트" sheetId="78" state="hidden" r:id="rId262"/>
    <sheet name="오스템임플란트 (2)" sheetId="119" state="hidden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9" i="174" l="1"/>
  <c r="T50" i="174"/>
  <c r="T51" i="174"/>
  <c r="T52" i="174"/>
  <c r="T53" i="174"/>
  <c r="T54" i="174"/>
  <c r="T55" i="174"/>
  <c r="T56" i="174"/>
  <c r="T57" i="174"/>
  <c r="F57" i="202" l="1"/>
  <c r="F57" i="432"/>
  <c r="F57" i="436"/>
  <c r="F57" i="448"/>
  <c r="F57" i="438"/>
  <c r="F57" i="447"/>
  <c r="F57" i="8"/>
  <c r="F57" i="203"/>
  <c r="F57" i="2"/>
  <c r="F57" i="442"/>
  <c r="F57" i="52"/>
  <c r="F57" i="17"/>
  <c r="F57" i="385"/>
  <c r="F57" i="349"/>
  <c r="F57" i="16"/>
  <c r="F57" i="445"/>
  <c r="F57" i="7"/>
  <c r="F57" i="424"/>
  <c r="F57" i="187"/>
  <c r="F57" i="74"/>
  <c r="F57" i="288"/>
  <c r="F57" i="440"/>
  <c r="F57" i="446"/>
  <c r="F57" i="9"/>
  <c r="F57" i="3"/>
  <c r="F57" i="89"/>
  <c r="F57" i="389"/>
  <c r="F57" i="386"/>
  <c r="F57" i="303"/>
  <c r="F57" i="48"/>
  <c r="F57" i="5"/>
  <c r="F57" i="207"/>
  <c r="F57" i="21"/>
  <c r="F57" i="299"/>
  <c r="F57" i="190"/>
  <c r="F57" i="85"/>
  <c r="F57" i="32"/>
  <c r="F57" i="318"/>
  <c r="F57" i="61"/>
  <c r="F57" i="206"/>
  <c r="F57" i="338"/>
  <c r="F57" i="75"/>
  <c r="F57" i="23"/>
  <c r="F57" i="37"/>
  <c r="F57" i="409"/>
  <c r="F57" i="4"/>
  <c r="F57" i="441"/>
  <c r="F57" i="434"/>
  <c r="F57" i="435"/>
  <c r="F57" i="192"/>
  <c r="F57" i="437"/>
  <c r="F57" i="439"/>
  <c r="F57" i="1"/>
  <c r="F57" i="397"/>
  <c r="F57" i="296"/>
  <c r="F57" i="113"/>
  <c r="F57" i="431"/>
  <c r="F57" i="361"/>
  <c r="F57" i="351"/>
  <c r="F57" i="352"/>
  <c r="F57" i="270"/>
  <c r="F57" i="104"/>
  <c r="F57" i="271"/>
  <c r="F57" i="371"/>
  <c r="F57" i="413"/>
  <c r="F57" i="430"/>
  <c r="F57" i="322"/>
  <c r="F57" i="353"/>
  <c r="F57" i="362"/>
  <c r="F57" i="354"/>
  <c r="F57" i="233"/>
  <c r="F57" i="298"/>
  <c r="F57" i="367"/>
  <c r="F57" i="387"/>
  <c r="F57" i="314"/>
  <c r="F57" i="43"/>
  <c r="F57" i="18"/>
  <c r="F57" i="20"/>
  <c r="F57" i="422"/>
  <c r="F57" i="423"/>
  <c r="F57" i="152"/>
  <c r="F57" i="13"/>
  <c r="F57" i="261"/>
  <c r="F57" i="153"/>
  <c r="F57" i="257"/>
  <c r="F57" i="174"/>
  <c r="F57" i="328"/>
  <c r="F57" i="329"/>
  <c r="F57" i="194"/>
  <c r="F57" i="193"/>
  <c r="F57" i="319"/>
  <c r="F57" i="320"/>
  <c r="F57" i="12"/>
  <c r="F57" i="356"/>
  <c r="F57" i="394"/>
  <c r="F57" i="393"/>
  <c r="F57" i="433"/>
  <c r="F57" i="425"/>
  <c r="F57" i="88"/>
  <c r="F57" i="148"/>
  <c r="F57" i="97"/>
  <c r="F57" i="383"/>
  <c r="F57" i="28"/>
  <c r="F57" i="29"/>
  <c r="F57" i="359"/>
  <c r="F57" i="360"/>
  <c r="F57" i="368"/>
  <c r="F57" i="364"/>
  <c r="F57" i="420"/>
  <c r="F57" i="191"/>
  <c r="F57" i="164"/>
  <c r="F57" i="162"/>
  <c r="F57" i="421"/>
  <c r="F57" i="333"/>
  <c r="F57" i="53"/>
  <c r="F57" i="114"/>
  <c r="F57" i="400"/>
  <c r="F57" i="334"/>
  <c r="F57" i="15"/>
  <c r="F57" i="355"/>
  <c r="F57" i="54"/>
  <c r="F57" i="384"/>
  <c r="F57" i="201"/>
  <c r="F57" i="249"/>
  <c r="F57" i="19"/>
  <c r="F57" i="347"/>
  <c r="F57" i="204"/>
  <c r="F57" i="31"/>
  <c r="F57" i="342"/>
  <c r="F57" i="168"/>
  <c r="F57" i="169"/>
  <c r="F57" i="336"/>
  <c r="F57" i="33"/>
  <c r="F57" i="337"/>
  <c r="F57" i="227"/>
  <c r="F57" i="290"/>
  <c r="F57" i="289"/>
  <c r="F57" i="293"/>
  <c r="F57" i="348"/>
  <c r="F57" i="297"/>
  <c r="F57" i="350"/>
  <c r="F57" i="105"/>
  <c r="F57" i="22"/>
  <c r="F57" i="301"/>
  <c r="F57" i="294"/>
  <c r="F57" i="344"/>
  <c r="F57" i="135"/>
  <c r="F57" i="295"/>
  <c r="F57" i="283"/>
  <c r="F57" i="340"/>
  <c r="F57" i="34"/>
  <c r="F57" i="284"/>
  <c r="F57" i="292"/>
  <c r="F57" i="339"/>
  <c r="F57" i="325"/>
  <c r="F57" i="269"/>
  <c r="F57" i="11"/>
  <c r="F57" i="101"/>
  <c r="F57" i="382"/>
  <c r="F57" i="444"/>
  <c r="F57" i="102"/>
  <c r="F57" i="103"/>
  <c r="F57" i="411"/>
  <c r="F57" i="265"/>
  <c r="F57" i="262"/>
  <c r="F57" i="112"/>
  <c r="F57" i="109"/>
  <c r="F57" i="324"/>
  <c r="F57" i="196"/>
  <c r="F57" i="197"/>
  <c r="F57" i="198"/>
  <c r="F57" i="345"/>
  <c r="F57" i="346"/>
  <c r="F57" i="200"/>
  <c r="F57" i="280"/>
  <c r="F57" i="45"/>
  <c r="F57" i="254"/>
  <c r="F57" i="181"/>
  <c r="F57" i="183"/>
  <c r="F57" i="184"/>
  <c r="F57" i="27"/>
  <c r="F57" i="143"/>
  <c r="F57" i="263"/>
  <c r="F57" i="209"/>
  <c r="F57" i="140"/>
  <c r="F57" i="159"/>
  <c r="F57" i="160"/>
  <c r="F57" i="107"/>
  <c r="F57" i="176"/>
  <c r="F57" i="281"/>
  <c r="F57" i="332"/>
  <c r="F57" i="25"/>
  <c r="F57" i="24"/>
  <c r="F57" i="116"/>
  <c r="F57" i="285"/>
  <c r="F57" i="272"/>
  <c r="F57" i="87"/>
  <c r="F57" i="287"/>
  <c r="F57" i="276"/>
  <c r="F57" i="229"/>
  <c r="F57" i="230"/>
  <c r="F57" i="326"/>
  <c r="F57" i="47"/>
  <c r="F57" i="35"/>
  <c r="H57" i="445" l="1"/>
  <c r="H57" i="7"/>
  <c r="H57" i="303"/>
  <c r="H57" i="299"/>
  <c r="H57" i="85"/>
  <c r="H57" i="206"/>
  <c r="H57" i="75"/>
  <c r="B58" i="23"/>
  <c r="C58" i="37"/>
  <c r="E58" i="37" s="1"/>
  <c r="C58" i="192"/>
  <c r="E58" i="192" s="1"/>
  <c r="H57" i="439"/>
  <c r="C58" i="1"/>
  <c r="H57" i="397"/>
  <c r="H57" i="271"/>
  <c r="H57" i="430"/>
  <c r="H57" i="322"/>
  <c r="C58" i="328"/>
  <c r="H57" i="329"/>
  <c r="H57" i="97"/>
  <c r="H57" i="164"/>
  <c r="G57" i="421"/>
  <c r="H57" i="54"/>
  <c r="H57" i="19"/>
  <c r="H57" i="31"/>
  <c r="H57" i="169"/>
  <c r="H57" i="337"/>
  <c r="H57" i="290"/>
  <c r="H57" i="105"/>
  <c r="H57" i="294"/>
  <c r="H57" i="344"/>
  <c r="H57" i="135"/>
  <c r="H57" i="295"/>
  <c r="C58" i="283"/>
  <c r="H57" i="292"/>
  <c r="H57" i="339"/>
  <c r="H57" i="101"/>
  <c r="H57" i="382"/>
  <c r="C58" i="102"/>
  <c r="C58" i="112"/>
  <c r="H57" i="196"/>
  <c r="G57" i="345"/>
  <c r="C58" i="346"/>
  <c r="G57" i="200"/>
  <c r="H57" i="209"/>
  <c r="H57" i="140"/>
  <c r="H57" i="160"/>
  <c r="G57" i="281"/>
  <c r="G57" i="25"/>
  <c r="H57" i="272"/>
  <c r="B58" i="349"/>
  <c r="B58" i="21"/>
  <c r="C58" i="271"/>
  <c r="E58" i="271" s="1"/>
  <c r="U57" i="202"/>
  <c r="T57" i="202"/>
  <c r="I57" i="202" s="1"/>
  <c r="J57" i="202" s="1"/>
  <c r="H57" i="202"/>
  <c r="T57" i="432"/>
  <c r="I57" i="432"/>
  <c r="J57" i="432" s="1"/>
  <c r="H57" i="432"/>
  <c r="U57" i="436"/>
  <c r="T57" i="436"/>
  <c r="I57" i="436" s="1"/>
  <c r="J57" i="436" s="1"/>
  <c r="H57" i="436"/>
  <c r="U57" i="448"/>
  <c r="T57" i="448"/>
  <c r="I57" i="448" s="1"/>
  <c r="J57" i="448" s="1"/>
  <c r="H57" i="448"/>
  <c r="U57" i="438"/>
  <c r="T57" i="438"/>
  <c r="I57" i="438"/>
  <c r="J57" i="438" s="1"/>
  <c r="U57" i="447"/>
  <c r="T57" i="447"/>
  <c r="I57" i="447" s="1"/>
  <c r="J57" i="447" s="1"/>
  <c r="S57" i="414"/>
  <c r="R57" i="414"/>
  <c r="Q57" i="414"/>
  <c r="F57" i="414" s="1"/>
  <c r="U57" i="8"/>
  <c r="T57" i="8"/>
  <c r="I57" i="8"/>
  <c r="J57" i="8" s="1"/>
  <c r="U57" i="203"/>
  <c r="T57" i="203"/>
  <c r="I57" i="203" s="1"/>
  <c r="J57" i="203" s="1"/>
  <c r="U57" i="2"/>
  <c r="T57" i="2"/>
  <c r="I57" i="2" s="1"/>
  <c r="J57" i="2" s="1"/>
  <c r="U57" i="442"/>
  <c r="T57" i="442"/>
  <c r="I57" i="442"/>
  <c r="J57" i="442" s="1"/>
  <c r="U57" i="52"/>
  <c r="T57" i="52"/>
  <c r="I57" i="52" s="1"/>
  <c r="J57" i="52" s="1"/>
  <c r="U57" i="17"/>
  <c r="T57" i="17"/>
  <c r="I57" i="17" s="1"/>
  <c r="J57" i="17" s="1"/>
  <c r="H57" i="17"/>
  <c r="U57" i="385"/>
  <c r="T57" i="385"/>
  <c r="I57" i="385" s="1"/>
  <c r="J57" i="385" s="1"/>
  <c r="H57" i="385"/>
  <c r="U57" i="349"/>
  <c r="T57" i="349"/>
  <c r="I57" i="349" s="1"/>
  <c r="J57" i="349" s="1"/>
  <c r="H57" i="349"/>
  <c r="U57" i="16"/>
  <c r="T57" i="16"/>
  <c r="I57" i="16" s="1"/>
  <c r="J57" i="16" s="1"/>
  <c r="H57" i="16"/>
  <c r="U57" i="445"/>
  <c r="T57" i="445"/>
  <c r="I57" i="445" s="1"/>
  <c r="J57" i="445" s="1"/>
  <c r="U57" i="7"/>
  <c r="T57" i="7"/>
  <c r="I57" i="7" s="1"/>
  <c r="J57" i="7" s="1"/>
  <c r="U57" i="424"/>
  <c r="T57" i="424"/>
  <c r="I57" i="424" s="1"/>
  <c r="J57" i="424" s="1"/>
  <c r="H57" i="424"/>
  <c r="U57" i="187"/>
  <c r="T57" i="187"/>
  <c r="I57" i="187" s="1"/>
  <c r="J57" i="187" s="1"/>
  <c r="U57" i="74"/>
  <c r="T57" i="74"/>
  <c r="I57" i="74" s="1"/>
  <c r="J57" i="74" s="1"/>
  <c r="U57" i="288"/>
  <c r="T57" i="288"/>
  <c r="I57" i="288" s="1"/>
  <c r="J57" i="288" s="1"/>
  <c r="H57" i="288"/>
  <c r="U57" i="440"/>
  <c r="T57" i="440"/>
  <c r="I57" i="440" s="1"/>
  <c r="J57" i="440" s="1"/>
  <c r="U57" i="446"/>
  <c r="T57" i="446"/>
  <c r="I57" i="446" s="1"/>
  <c r="J57" i="446" s="1"/>
  <c r="U57" i="9"/>
  <c r="T57" i="9"/>
  <c r="I57" i="9" s="1"/>
  <c r="J57" i="9" s="1"/>
  <c r="H57" i="9"/>
  <c r="U57" i="3"/>
  <c r="T57" i="3"/>
  <c r="I57" i="3" s="1"/>
  <c r="J57" i="3" s="1"/>
  <c r="H57" i="3"/>
  <c r="U57" i="89"/>
  <c r="T57" i="89"/>
  <c r="I57" i="89" s="1"/>
  <c r="J57" i="89" s="1"/>
  <c r="H57" i="89"/>
  <c r="U57" i="389"/>
  <c r="T57" i="389"/>
  <c r="I57" i="389" s="1"/>
  <c r="J57" i="389" s="1"/>
  <c r="H57" i="389"/>
  <c r="U57" i="386"/>
  <c r="T57" i="386"/>
  <c r="I57" i="386"/>
  <c r="J57" i="386" s="1"/>
  <c r="H57" i="386"/>
  <c r="G57" i="386"/>
  <c r="U57" i="303"/>
  <c r="T57" i="303"/>
  <c r="I57" i="303" s="1"/>
  <c r="J57" i="303" s="1"/>
  <c r="U57" i="48"/>
  <c r="T57" i="48"/>
  <c r="I57" i="48" s="1"/>
  <c r="J57" i="48" s="1"/>
  <c r="U57" i="5"/>
  <c r="T57" i="5"/>
  <c r="I57" i="5" s="1"/>
  <c r="J57" i="5" s="1"/>
  <c r="U57" i="207"/>
  <c r="T57" i="207"/>
  <c r="I57" i="207" s="1"/>
  <c r="J57" i="207" s="1"/>
  <c r="U57" i="21"/>
  <c r="T57" i="21"/>
  <c r="I57" i="21" s="1"/>
  <c r="J57" i="21" s="1"/>
  <c r="S57" i="300"/>
  <c r="R57" i="300"/>
  <c r="Q57" i="300"/>
  <c r="U57" i="299"/>
  <c r="T57" i="299"/>
  <c r="I57" i="299" s="1"/>
  <c r="J57" i="299" s="1"/>
  <c r="U57" i="190"/>
  <c r="T57" i="190"/>
  <c r="I57" i="190" s="1"/>
  <c r="J57" i="190" s="1"/>
  <c r="H57" i="190"/>
  <c r="U57" i="85"/>
  <c r="T57" i="85"/>
  <c r="J57" i="85"/>
  <c r="I57" i="85"/>
  <c r="U57" i="32"/>
  <c r="T57" i="32"/>
  <c r="I57" i="32" s="1"/>
  <c r="J57" i="32" s="1"/>
  <c r="H57" i="32"/>
  <c r="U57" i="318"/>
  <c r="T57" i="318"/>
  <c r="I57" i="318" s="1"/>
  <c r="J57" i="318" s="1"/>
  <c r="H57" i="318"/>
  <c r="U57" i="61"/>
  <c r="T57" i="61"/>
  <c r="I57" i="61" s="1"/>
  <c r="J57" i="61" s="1"/>
  <c r="U57" i="206"/>
  <c r="T57" i="206"/>
  <c r="I57" i="206" s="1"/>
  <c r="J57" i="206" s="1"/>
  <c r="U57" i="338"/>
  <c r="T57" i="338"/>
  <c r="I57" i="338"/>
  <c r="J57" i="338" s="1"/>
  <c r="H57" i="338"/>
  <c r="U57" i="75"/>
  <c r="T57" i="75"/>
  <c r="I57" i="75"/>
  <c r="J57" i="75" s="1"/>
  <c r="U57" i="23"/>
  <c r="T57" i="23"/>
  <c r="I57" i="23" s="1"/>
  <c r="J57" i="23" s="1"/>
  <c r="U57" i="37"/>
  <c r="T57" i="37"/>
  <c r="I57" i="37" s="1"/>
  <c r="J57" i="37" s="1"/>
  <c r="H57" i="37"/>
  <c r="U57" i="409"/>
  <c r="T57" i="409"/>
  <c r="I57" i="409" s="1"/>
  <c r="J57" i="409" s="1"/>
  <c r="U57" i="4"/>
  <c r="T57" i="4"/>
  <c r="I57" i="4" s="1"/>
  <c r="J57" i="4" s="1"/>
  <c r="U57" i="441"/>
  <c r="T57" i="441"/>
  <c r="I57" i="441" s="1"/>
  <c r="J57" i="441" s="1"/>
  <c r="H57" i="441"/>
  <c r="U57" i="434"/>
  <c r="T57" i="434"/>
  <c r="I57" i="434" s="1"/>
  <c r="J57" i="434" s="1"/>
  <c r="H57" i="434"/>
  <c r="U57" i="435"/>
  <c r="T57" i="435"/>
  <c r="I57" i="435" s="1"/>
  <c r="J57" i="435" s="1"/>
  <c r="H57" i="435"/>
  <c r="U57" i="192"/>
  <c r="T57" i="192"/>
  <c r="I57" i="192" s="1"/>
  <c r="J57" i="192" s="1"/>
  <c r="U57" i="437"/>
  <c r="T57" i="437"/>
  <c r="I57" i="437" s="1"/>
  <c r="J57" i="437" s="1"/>
  <c r="U57" i="439"/>
  <c r="T57" i="439"/>
  <c r="I57" i="439" s="1"/>
  <c r="J57" i="439" s="1"/>
  <c r="S57" i="398"/>
  <c r="R57" i="398"/>
  <c r="Q57" i="398"/>
  <c r="U57" i="1"/>
  <c r="T57" i="1"/>
  <c r="I57" i="1" s="1"/>
  <c r="J57" i="1" s="1"/>
  <c r="H57" i="1"/>
  <c r="U57" i="397"/>
  <c r="T57" i="397"/>
  <c r="I57" i="397" s="1"/>
  <c r="J57" i="397" s="1"/>
  <c r="U57" i="296"/>
  <c r="T57" i="296"/>
  <c r="I57" i="296" s="1"/>
  <c r="J57" i="296" s="1"/>
  <c r="U57" i="113"/>
  <c r="T57" i="113"/>
  <c r="I57" i="113" s="1"/>
  <c r="J57" i="113" s="1"/>
  <c r="U57" i="431"/>
  <c r="T57" i="431"/>
  <c r="I57" i="431" s="1"/>
  <c r="J57" i="431" s="1"/>
  <c r="U57" i="361"/>
  <c r="T57" i="361"/>
  <c r="I57" i="361" s="1"/>
  <c r="J57" i="361" s="1"/>
  <c r="H57" i="361"/>
  <c r="U57" i="351"/>
  <c r="T57" i="351"/>
  <c r="I57" i="351" s="1"/>
  <c r="J57" i="351" s="1"/>
  <c r="U57" i="352"/>
  <c r="T57" i="352"/>
  <c r="I57" i="352" s="1"/>
  <c r="J57" i="352"/>
  <c r="H57" i="352"/>
  <c r="U57" i="270"/>
  <c r="T57" i="270"/>
  <c r="I57" i="270"/>
  <c r="J57" i="270" s="1"/>
  <c r="H57" i="270"/>
  <c r="U57" i="104"/>
  <c r="T57" i="104"/>
  <c r="I57" i="104" s="1"/>
  <c r="J57" i="104" s="1"/>
  <c r="U57" i="271"/>
  <c r="T57" i="271"/>
  <c r="I57" i="271" s="1"/>
  <c r="J57" i="271"/>
  <c r="G57" i="271"/>
  <c r="U57" i="371"/>
  <c r="T57" i="371"/>
  <c r="I57" i="371" s="1"/>
  <c r="J57" i="371" s="1"/>
  <c r="H57" i="371"/>
  <c r="U57" i="413"/>
  <c r="T57" i="413"/>
  <c r="I57" i="413" s="1"/>
  <c r="J57" i="413" s="1"/>
  <c r="U57" i="430"/>
  <c r="T57" i="430"/>
  <c r="I57" i="430" s="1"/>
  <c r="J57" i="430" s="1"/>
  <c r="U57" i="322"/>
  <c r="T57" i="322"/>
  <c r="I57" i="322" s="1"/>
  <c r="J57" i="322" s="1"/>
  <c r="U57" i="353"/>
  <c r="T57" i="353"/>
  <c r="I57" i="353"/>
  <c r="J57" i="353" s="1"/>
  <c r="U57" i="362"/>
  <c r="T57" i="362"/>
  <c r="I57" i="362" s="1"/>
  <c r="J57" i="362" s="1"/>
  <c r="U57" i="354"/>
  <c r="T57" i="354"/>
  <c r="I57" i="354" s="1"/>
  <c r="J57" i="354" s="1"/>
  <c r="H57" i="354"/>
  <c r="U57" i="233"/>
  <c r="T57" i="233"/>
  <c r="I57" i="233" s="1"/>
  <c r="J57" i="233" s="1"/>
  <c r="H57" i="233"/>
  <c r="U57" i="298"/>
  <c r="T57" i="298"/>
  <c r="I57" i="298" s="1"/>
  <c r="J57" i="298" s="1"/>
  <c r="H57" i="298"/>
  <c r="U57" i="367"/>
  <c r="T57" i="367"/>
  <c r="I57" i="367" s="1"/>
  <c r="J57" i="367" s="1"/>
  <c r="H57" i="367"/>
  <c r="U57" i="387"/>
  <c r="T57" i="387"/>
  <c r="I57" i="387" s="1"/>
  <c r="J57" i="387" s="1"/>
  <c r="U57" i="314"/>
  <c r="T57" i="314"/>
  <c r="I57" i="314" s="1"/>
  <c r="J57" i="314" s="1"/>
  <c r="H57" i="314"/>
  <c r="U57" i="43"/>
  <c r="T57" i="43"/>
  <c r="I57" i="43" s="1"/>
  <c r="J57" i="43" s="1"/>
  <c r="S57" i="142"/>
  <c r="R57" i="142"/>
  <c r="Q57" i="142"/>
  <c r="F57" i="142" s="1"/>
  <c r="T57" i="18"/>
  <c r="I57" i="18" s="1"/>
  <c r="J57" i="18" s="1"/>
  <c r="U57" i="20"/>
  <c r="T57" i="20"/>
  <c r="I57" i="20" s="1"/>
  <c r="J57" i="20" s="1"/>
  <c r="U57" i="422"/>
  <c r="T57" i="422"/>
  <c r="I57" i="422" s="1"/>
  <c r="J57" i="422" s="1"/>
  <c r="U57" i="423"/>
  <c r="T57" i="423"/>
  <c r="I57" i="423" s="1"/>
  <c r="J57" i="423" s="1"/>
  <c r="U57" i="152"/>
  <c r="T57" i="152"/>
  <c r="I57" i="152" s="1"/>
  <c r="J57" i="152" s="1"/>
  <c r="H57" i="152"/>
  <c r="U57" i="13"/>
  <c r="T57" i="13"/>
  <c r="I57" i="13"/>
  <c r="J57" i="13" s="1"/>
  <c r="H57" i="13"/>
  <c r="U57" i="261"/>
  <c r="T57" i="261"/>
  <c r="I57" i="261" s="1"/>
  <c r="J57" i="261" s="1"/>
  <c r="U57" i="153"/>
  <c r="J57" i="153"/>
  <c r="I57" i="153"/>
  <c r="U57" i="257"/>
  <c r="T57" i="257"/>
  <c r="I57" i="257" s="1"/>
  <c r="J57" i="257" s="1"/>
  <c r="U57" i="174"/>
  <c r="I57" i="174"/>
  <c r="J57" i="174" s="1"/>
  <c r="H57" i="174"/>
  <c r="S57" i="327"/>
  <c r="R57" i="327"/>
  <c r="Q57" i="327"/>
  <c r="F57" i="327" s="1"/>
  <c r="U57" i="328"/>
  <c r="T57" i="328"/>
  <c r="I57" i="328" s="1"/>
  <c r="J57" i="328" s="1"/>
  <c r="G57" i="328"/>
  <c r="U57" i="329"/>
  <c r="T57" i="329"/>
  <c r="I57" i="329" s="1"/>
  <c r="J57" i="329" s="1"/>
  <c r="S57" i="195"/>
  <c r="R57" i="195"/>
  <c r="Q57" i="195"/>
  <c r="F57" i="195" s="1"/>
  <c r="U57" i="194"/>
  <c r="T57" i="194"/>
  <c r="I57" i="194" s="1"/>
  <c r="J57" i="194" s="1"/>
  <c r="U57" i="193"/>
  <c r="T57" i="193"/>
  <c r="I57" i="193" s="1"/>
  <c r="J57" i="193" s="1"/>
  <c r="S57" i="321"/>
  <c r="R57" i="321"/>
  <c r="Q57" i="321"/>
  <c r="F57" i="321" s="1"/>
  <c r="U57" i="319"/>
  <c r="T57" i="319"/>
  <c r="I57" i="319" s="1"/>
  <c r="J57" i="319" s="1"/>
  <c r="H57" i="319"/>
  <c r="U57" i="320"/>
  <c r="T57" i="320"/>
  <c r="I57" i="320" s="1"/>
  <c r="J57" i="320" s="1"/>
  <c r="H57" i="320"/>
  <c r="U57" i="12"/>
  <c r="T57" i="12"/>
  <c r="I57" i="12" s="1"/>
  <c r="J57" i="12" s="1"/>
  <c r="H57" i="12"/>
  <c r="U57" i="356"/>
  <c r="T57" i="356"/>
  <c r="I57" i="356" s="1"/>
  <c r="J57" i="356"/>
  <c r="H57" i="356"/>
  <c r="G57" i="356"/>
  <c r="S57" i="395"/>
  <c r="R57" i="395"/>
  <c r="Q57" i="395"/>
  <c r="U57" i="394"/>
  <c r="T57" i="394"/>
  <c r="I57" i="394" s="1"/>
  <c r="J57" i="394" s="1"/>
  <c r="H57" i="394"/>
  <c r="U57" i="393"/>
  <c r="T57" i="393"/>
  <c r="I57" i="393" s="1"/>
  <c r="J57" i="393" s="1"/>
  <c r="H57" i="393"/>
  <c r="U57" i="433"/>
  <c r="T57" i="433"/>
  <c r="I57" i="433"/>
  <c r="J57" i="433" s="1"/>
  <c r="U57" i="425"/>
  <c r="T57" i="425"/>
  <c r="I57" i="425" s="1"/>
  <c r="J57" i="425" s="1"/>
  <c r="S57" i="149"/>
  <c r="R57" i="149"/>
  <c r="Q57" i="149"/>
  <c r="F57" i="149" s="1"/>
  <c r="U57" i="88"/>
  <c r="T57" i="88"/>
  <c r="I57" i="88" s="1"/>
  <c r="J57" i="88" s="1"/>
  <c r="U57" i="148"/>
  <c r="T57" i="148"/>
  <c r="I57" i="148" s="1"/>
  <c r="J57" i="148" s="1"/>
  <c r="U57" i="97"/>
  <c r="T57" i="97"/>
  <c r="I57" i="97" s="1"/>
  <c r="J57" i="97"/>
  <c r="U57" i="383"/>
  <c r="T57" i="383"/>
  <c r="I57" i="383"/>
  <c r="J57" i="383" s="1"/>
  <c r="H57" i="383"/>
  <c r="S57" i="253"/>
  <c r="T57" i="253" s="1"/>
  <c r="I57" i="253" s="1"/>
  <c r="J57" i="253" s="1"/>
  <c r="R57" i="253"/>
  <c r="Q57" i="253"/>
  <c r="F57" i="253" s="1"/>
  <c r="U57" i="28"/>
  <c r="T57" i="28"/>
  <c r="I57" i="28" s="1"/>
  <c r="J57" i="28"/>
  <c r="H57" i="28"/>
  <c r="U57" i="29"/>
  <c r="T57" i="29"/>
  <c r="I57" i="29"/>
  <c r="J57" i="29" s="1"/>
  <c r="U57" i="359"/>
  <c r="T57" i="359"/>
  <c r="I57" i="359"/>
  <c r="J57" i="359" s="1"/>
  <c r="H57" i="359"/>
  <c r="G57" i="359"/>
  <c r="U57" i="360"/>
  <c r="T57" i="360"/>
  <c r="I57" i="360" s="1"/>
  <c r="J57" i="360" s="1"/>
  <c r="H57" i="360"/>
  <c r="U57" i="368"/>
  <c r="T57" i="368"/>
  <c r="I57" i="368" s="1"/>
  <c r="J57" i="368" s="1"/>
  <c r="U57" i="364"/>
  <c r="T57" i="364"/>
  <c r="I57" i="364" s="1"/>
  <c r="J57" i="364" s="1"/>
  <c r="U57" i="420"/>
  <c r="T57" i="420"/>
  <c r="I57" i="420" s="1"/>
  <c r="J57" i="420" s="1"/>
  <c r="G57" i="420"/>
  <c r="U57" i="191"/>
  <c r="T57" i="191"/>
  <c r="I57" i="191" s="1"/>
  <c r="J57" i="191" s="1"/>
  <c r="U57" i="164"/>
  <c r="T57" i="164"/>
  <c r="I57" i="164"/>
  <c r="J57" i="164" s="1"/>
  <c r="U57" i="162"/>
  <c r="T57" i="162"/>
  <c r="I57" i="162" s="1"/>
  <c r="J57" i="162" s="1"/>
  <c r="H57" i="162"/>
  <c r="U57" i="421"/>
  <c r="T57" i="421"/>
  <c r="I57" i="421" s="1"/>
  <c r="J57" i="421" s="1"/>
  <c r="H57" i="421"/>
  <c r="U57" i="333"/>
  <c r="T57" i="333"/>
  <c r="I57" i="333" s="1"/>
  <c r="J57" i="333" s="1"/>
  <c r="U57" i="53"/>
  <c r="T57" i="53"/>
  <c r="I57" i="53" s="1"/>
  <c r="J57" i="53" s="1"/>
  <c r="H57" i="53"/>
  <c r="U57" i="114"/>
  <c r="T57" i="114"/>
  <c r="I57" i="114" s="1"/>
  <c r="J57" i="114" s="1"/>
  <c r="H57" i="114"/>
  <c r="U57" i="400"/>
  <c r="T57" i="400"/>
  <c r="I57" i="400"/>
  <c r="J57" i="400" s="1"/>
  <c r="H57" i="400"/>
  <c r="U57" i="334"/>
  <c r="T57" i="334"/>
  <c r="I57" i="334" s="1"/>
  <c r="J57" i="334"/>
  <c r="U57" i="15"/>
  <c r="T57" i="15"/>
  <c r="I57" i="15" s="1"/>
  <c r="J57" i="15" s="1"/>
  <c r="U57" i="355"/>
  <c r="T57" i="355"/>
  <c r="I57" i="355" s="1"/>
  <c r="J57" i="355" s="1"/>
  <c r="U57" i="54"/>
  <c r="T57" i="54"/>
  <c r="I57" i="54" s="1"/>
  <c r="J57" i="54" s="1"/>
  <c r="U57" i="384"/>
  <c r="J57" i="384"/>
  <c r="I57" i="384"/>
  <c r="U57" i="201"/>
  <c r="T57" i="201"/>
  <c r="I57" i="201" s="1"/>
  <c r="J57" i="201" s="1"/>
  <c r="H57" i="201"/>
  <c r="U57" i="249"/>
  <c r="T57" i="249"/>
  <c r="I57" i="249" s="1"/>
  <c r="J57" i="249" s="1"/>
  <c r="H57" i="249"/>
  <c r="U57" i="19"/>
  <c r="T57" i="19"/>
  <c r="I57" i="19" s="1"/>
  <c r="J57" i="19"/>
  <c r="U57" i="347"/>
  <c r="T57" i="347"/>
  <c r="I57" i="347" s="1"/>
  <c r="J57" i="347" s="1"/>
  <c r="H57" i="347"/>
  <c r="U57" i="204"/>
  <c r="T57" i="204"/>
  <c r="I57" i="204" s="1"/>
  <c r="J57" i="204" s="1"/>
  <c r="U57" i="31"/>
  <c r="T57" i="31"/>
  <c r="I57" i="31"/>
  <c r="J57" i="31" s="1"/>
  <c r="U57" i="342"/>
  <c r="T57" i="342"/>
  <c r="I57" i="342" s="1"/>
  <c r="J57" i="342" s="1"/>
  <c r="H57" i="342"/>
  <c r="S57" i="170"/>
  <c r="R57" i="170"/>
  <c r="Q57" i="170"/>
  <c r="F57" i="170" s="1"/>
  <c r="U57" i="168"/>
  <c r="T57" i="168"/>
  <c r="I57" i="168"/>
  <c r="J57" i="168" s="1"/>
  <c r="H57" i="168"/>
  <c r="U57" i="169"/>
  <c r="T57" i="169"/>
  <c r="I57" i="169" s="1"/>
  <c r="J57" i="169" s="1"/>
  <c r="U57" i="336"/>
  <c r="T57" i="336"/>
  <c r="I57" i="336"/>
  <c r="J57" i="336" s="1"/>
  <c r="U57" i="33"/>
  <c r="T57" i="33"/>
  <c r="I57" i="33" s="1"/>
  <c r="J57" i="33" s="1"/>
  <c r="U57" i="337"/>
  <c r="T57" i="337"/>
  <c r="I57" i="337"/>
  <c r="J57" i="337" s="1"/>
  <c r="U57" i="227"/>
  <c r="T57" i="227"/>
  <c r="I57" i="227" s="1"/>
  <c r="J57" i="227" s="1"/>
  <c r="S57" i="388"/>
  <c r="R57" i="388"/>
  <c r="Q57" i="388"/>
  <c r="U57" i="290"/>
  <c r="T57" i="290"/>
  <c r="I57" i="290" s="1"/>
  <c r="J57" i="290" s="1"/>
  <c r="U57" i="289"/>
  <c r="T57" i="289"/>
  <c r="I57" i="289" s="1"/>
  <c r="J57" i="289" s="1"/>
  <c r="U57" i="293"/>
  <c r="T57" i="293"/>
  <c r="I57" i="293" s="1"/>
  <c r="J57" i="293" s="1"/>
  <c r="H57" i="293"/>
  <c r="U57" i="348"/>
  <c r="T57" i="348"/>
  <c r="I57" i="348" s="1"/>
  <c r="J57" i="348" s="1"/>
  <c r="U57" i="297"/>
  <c r="T57" i="297"/>
  <c r="I57" i="297"/>
  <c r="J57" i="297" s="1"/>
  <c r="H57" i="297"/>
  <c r="U57" i="350"/>
  <c r="T57" i="350"/>
  <c r="I57" i="350" s="1"/>
  <c r="J57" i="350" s="1"/>
  <c r="U57" i="105"/>
  <c r="T57" i="105"/>
  <c r="I57" i="105" s="1"/>
  <c r="J57" i="105" s="1"/>
  <c r="U57" i="22"/>
  <c r="T57" i="22"/>
  <c r="I57" i="22"/>
  <c r="J57" i="22" s="1"/>
  <c r="U57" i="301"/>
  <c r="T57" i="301"/>
  <c r="I57" i="301" s="1"/>
  <c r="J57" i="301" s="1"/>
  <c r="U57" i="294"/>
  <c r="T57" i="294"/>
  <c r="I57" i="294" s="1"/>
  <c r="J57" i="294" s="1"/>
  <c r="U57" i="344"/>
  <c r="T57" i="344"/>
  <c r="I57" i="344" s="1"/>
  <c r="J57" i="344" s="1"/>
  <c r="U57" i="135"/>
  <c r="T57" i="135"/>
  <c r="I57" i="135" s="1"/>
  <c r="J57" i="135"/>
  <c r="U57" i="295"/>
  <c r="T57" i="295"/>
  <c r="I57" i="295" s="1"/>
  <c r="J57" i="295" s="1"/>
  <c r="U57" i="283"/>
  <c r="T57" i="283"/>
  <c r="I57" i="283" s="1"/>
  <c r="J57" i="283" s="1"/>
  <c r="U57" i="340"/>
  <c r="T57" i="340"/>
  <c r="I57" i="340" s="1"/>
  <c r="J57" i="340" s="1"/>
  <c r="H57" i="340"/>
  <c r="G57" i="340"/>
  <c r="U57" i="34"/>
  <c r="T57" i="34"/>
  <c r="I57" i="34" s="1"/>
  <c r="J57" i="34" s="1"/>
  <c r="U57" i="284"/>
  <c r="T57" i="284"/>
  <c r="I57" i="284"/>
  <c r="J57" i="284" s="1"/>
  <c r="H57" i="284"/>
  <c r="U57" i="292"/>
  <c r="T57" i="292"/>
  <c r="I57" i="292" s="1"/>
  <c r="J57" i="292" s="1"/>
  <c r="T57" i="339"/>
  <c r="I57" i="339" s="1"/>
  <c r="J57" i="339" s="1"/>
  <c r="U57" i="325"/>
  <c r="T57" i="325"/>
  <c r="I57" i="325" s="1"/>
  <c r="J57" i="325" s="1"/>
  <c r="U57" i="269"/>
  <c r="T57" i="269"/>
  <c r="I57" i="269" s="1"/>
  <c r="J57" i="269" s="1"/>
  <c r="U57" i="11"/>
  <c r="T57" i="11"/>
  <c r="I57" i="11" s="1"/>
  <c r="J57" i="11"/>
  <c r="H57" i="11"/>
  <c r="U57" i="101"/>
  <c r="T57" i="101"/>
  <c r="I57" i="101" s="1"/>
  <c r="J57" i="101" s="1"/>
  <c r="U57" i="382"/>
  <c r="T57" i="382"/>
  <c r="I57" i="382"/>
  <c r="J57" i="382" s="1"/>
  <c r="U57" i="444"/>
  <c r="T57" i="444"/>
  <c r="I57" i="444" s="1"/>
  <c r="J57" i="444" s="1"/>
  <c r="U57" i="102"/>
  <c r="T57" i="102"/>
  <c r="I57" i="102" s="1"/>
  <c r="J57" i="102" s="1"/>
  <c r="U57" i="103"/>
  <c r="T57" i="103"/>
  <c r="I57" i="103" s="1"/>
  <c r="J57" i="103" s="1"/>
  <c r="U57" i="411"/>
  <c r="T57" i="411"/>
  <c r="I57" i="411"/>
  <c r="J57" i="411" s="1"/>
  <c r="H57" i="411"/>
  <c r="G57" i="411"/>
  <c r="U57" i="265"/>
  <c r="T57" i="265"/>
  <c r="I57" i="265" s="1"/>
  <c r="J57" i="265" s="1"/>
  <c r="H57" i="265"/>
  <c r="U57" i="262"/>
  <c r="T57" i="262"/>
  <c r="I57" i="262" s="1"/>
  <c r="J57" i="262" s="1"/>
  <c r="U57" i="112"/>
  <c r="T57" i="112"/>
  <c r="I57" i="112" s="1"/>
  <c r="J57" i="112"/>
  <c r="U57" i="109"/>
  <c r="T57" i="109"/>
  <c r="I57" i="109"/>
  <c r="J57" i="109" s="1"/>
  <c r="G57" i="109"/>
  <c r="U57" i="324"/>
  <c r="T57" i="324"/>
  <c r="I57" i="324" s="1"/>
  <c r="J57" i="324" s="1"/>
  <c r="U57" i="196"/>
  <c r="T57" i="196"/>
  <c r="I57" i="196" s="1"/>
  <c r="J57" i="196" s="1"/>
  <c r="T57" i="197"/>
  <c r="I57" i="197" s="1"/>
  <c r="J57" i="197" s="1"/>
  <c r="H57" i="197"/>
  <c r="U57" i="198"/>
  <c r="T57" i="198"/>
  <c r="I57" i="198" s="1"/>
  <c r="J57" i="198" s="1"/>
  <c r="H57" i="198"/>
  <c r="U57" i="345"/>
  <c r="T57" i="345"/>
  <c r="I57" i="345" s="1"/>
  <c r="J57" i="345" s="1"/>
  <c r="H57" i="345"/>
  <c r="U57" i="346"/>
  <c r="T57" i="346"/>
  <c r="I57" i="346" s="1"/>
  <c r="J57" i="346" s="1"/>
  <c r="U57" i="200"/>
  <c r="T57" i="200"/>
  <c r="I57" i="200" s="1"/>
  <c r="J57" i="200" s="1"/>
  <c r="U57" i="280"/>
  <c r="T57" i="280"/>
  <c r="I57" i="280" s="1"/>
  <c r="J57" i="280" s="1"/>
  <c r="U57" i="45"/>
  <c r="T57" i="45"/>
  <c r="I57" i="45" s="1"/>
  <c r="J57" i="45" s="1"/>
  <c r="U57" i="254"/>
  <c r="T57" i="254"/>
  <c r="I57" i="254" s="1"/>
  <c r="J57" i="254" s="1"/>
  <c r="H57" i="254"/>
  <c r="S57" i="185"/>
  <c r="R57" i="185"/>
  <c r="Q57" i="185"/>
  <c r="F57" i="185" s="1"/>
  <c r="U57" i="181"/>
  <c r="T57" i="181"/>
  <c r="I57" i="181" s="1"/>
  <c r="J57" i="181" s="1"/>
  <c r="U57" i="183"/>
  <c r="T57" i="183"/>
  <c r="I57" i="183" s="1"/>
  <c r="J57" i="183" s="1"/>
  <c r="U57" i="184"/>
  <c r="T57" i="184"/>
  <c r="I57" i="184"/>
  <c r="J57" i="184" s="1"/>
  <c r="H57" i="184"/>
  <c r="S57" i="144"/>
  <c r="R57" i="144"/>
  <c r="Q57" i="144"/>
  <c r="F57" i="144" s="1"/>
  <c r="U57" i="27"/>
  <c r="T57" i="27"/>
  <c r="I57" i="27" s="1"/>
  <c r="J57" i="27" s="1"/>
  <c r="U57" i="143"/>
  <c r="T57" i="143"/>
  <c r="I57" i="143"/>
  <c r="J57" i="143" s="1"/>
  <c r="H57" i="143"/>
  <c r="U57" i="263"/>
  <c r="T57" i="263"/>
  <c r="I57" i="263" s="1"/>
  <c r="J57" i="263" s="1"/>
  <c r="U57" i="209"/>
  <c r="T57" i="209"/>
  <c r="I57" i="209" s="1"/>
  <c r="J57" i="209" s="1"/>
  <c r="U57" i="140"/>
  <c r="T57" i="140"/>
  <c r="I57" i="140" s="1"/>
  <c r="J57" i="140" s="1"/>
  <c r="S57" i="186"/>
  <c r="R57" i="186"/>
  <c r="Q57" i="186"/>
  <c r="F57" i="186" s="1"/>
  <c r="U57" i="159"/>
  <c r="T57" i="159"/>
  <c r="I57" i="159" s="1"/>
  <c r="J57" i="159" s="1"/>
  <c r="U57" i="160"/>
  <c r="T57" i="160"/>
  <c r="I57" i="160" s="1"/>
  <c r="J57" i="160" s="1"/>
  <c r="U57" i="107"/>
  <c r="T57" i="107"/>
  <c r="I57" i="107" s="1"/>
  <c r="J57" i="107" s="1"/>
  <c r="H57" i="107"/>
  <c r="U57" i="176"/>
  <c r="T57" i="176"/>
  <c r="I57" i="176" s="1"/>
  <c r="J57" i="176" s="1"/>
  <c r="U57" i="281"/>
  <c r="T57" i="281"/>
  <c r="I57" i="281"/>
  <c r="J57" i="281" s="1"/>
  <c r="U57" i="332"/>
  <c r="T57" i="332"/>
  <c r="I57" i="332" s="1"/>
  <c r="J57" i="332" s="1"/>
  <c r="H57" i="332"/>
  <c r="U57" i="25"/>
  <c r="T57" i="25"/>
  <c r="I57" i="25" s="1"/>
  <c r="J57" i="25" s="1"/>
  <c r="U57" i="24"/>
  <c r="T57" i="24"/>
  <c r="I57" i="24" s="1"/>
  <c r="J57" i="24" s="1"/>
  <c r="H57" i="24"/>
  <c r="U57" i="116"/>
  <c r="T57" i="116"/>
  <c r="I57" i="116" s="1"/>
  <c r="J57" i="116" s="1"/>
  <c r="U57" i="285"/>
  <c r="T57" i="285"/>
  <c r="I57" i="285" s="1"/>
  <c r="J57" i="285" s="1"/>
  <c r="U57" i="272"/>
  <c r="T57" i="272"/>
  <c r="I57" i="272"/>
  <c r="J57" i="272" s="1"/>
  <c r="U57" i="87"/>
  <c r="T57" i="87"/>
  <c r="I57" i="87" s="1"/>
  <c r="J57" i="87" s="1"/>
  <c r="U57" i="287"/>
  <c r="T57" i="287"/>
  <c r="I57" i="287" s="1"/>
  <c r="J57" i="287" s="1"/>
  <c r="U57" i="276"/>
  <c r="T57" i="276"/>
  <c r="I57" i="276"/>
  <c r="J57" i="276" s="1"/>
  <c r="H57" i="276"/>
  <c r="S57" i="231"/>
  <c r="U57" i="231" s="1"/>
  <c r="R57" i="231"/>
  <c r="Q57" i="231"/>
  <c r="U57" i="229"/>
  <c r="T57" i="229"/>
  <c r="I57" i="229" s="1"/>
  <c r="J57" i="229" s="1"/>
  <c r="U57" i="230"/>
  <c r="I57" i="230"/>
  <c r="J57" i="230" s="1"/>
  <c r="H57" i="230"/>
  <c r="U57" i="326"/>
  <c r="T57" i="326"/>
  <c r="I57" i="326" s="1"/>
  <c r="J57" i="326" s="1"/>
  <c r="H57" i="326"/>
  <c r="U57" i="47"/>
  <c r="T57" i="47"/>
  <c r="I57" i="47" s="1"/>
  <c r="J57" i="47" s="1"/>
  <c r="H57" i="47"/>
  <c r="U57" i="35"/>
  <c r="T57" i="35"/>
  <c r="I57" i="35" s="1"/>
  <c r="U56" i="448"/>
  <c r="T56" i="448"/>
  <c r="I56" i="448" s="1"/>
  <c r="F56" i="448"/>
  <c r="C58" i="448" s="1"/>
  <c r="E58" i="448" s="1"/>
  <c r="U55" i="448"/>
  <c r="T55" i="448"/>
  <c r="I55" i="448" s="1"/>
  <c r="K55" i="448"/>
  <c r="F55" i="448"/>
  <c r="H55" i="448" s="1"/>
  <c r="U54" i="448"/>
  <c r="T54" i="448"/>
  <c r="I54" i="448" s="1"/>
  <c r="F54" i="448"/>
  <c r="U53" i="448"/>
  <c r="T53" i="448"/>
  <c r="I53" i="448" s="1"/>
  <c r="F53" i="448"/>
  <c r="U52" i="448"/>
  <c r="T52" i="448"/>
  <c r="K52" i="448"/>
  <c r="I52" i="448"/>
  <c r="F52" i="448"/>
  <c r="U51" i="448"/>
  <c r="T51" i="448"/>
  <c r="I51" i="448" s="1"/>
  <c r="F51" i="448"/>
  <c r="U50" i="448"/>
  <c r="T50" i="448"/>
  <c r="I50" i="448"/>
  <c r="F50" i="448"/>
  <c r="U49" i="448"/>
  <c r="T49" i="448"/>
  <c r="I49" i="448" s="1"/>
  <c r="K49" i="448"/>
  <c r="F49" i="448"/>
  <c r="U48" i="448"/>
  <c r="T48" i="448"/>
  <c r="I48" i="448" s="1"/>
  <c r="F48" i="448"/>
  <c r="U47" i="448"/>
  <c r="T47" i="448"/>
  <c r="I47" i="448"/>
  <c r="F47" i="448"/>
  <c r="U46" i="448"/>
  <c r="T46" i="448"/>
  <c r="K46" i="448"/>
  <c r="I46" i="448"/>
  <c r="F46" i="448"/>
  <c r="G46" i="448" s="1"/>
  <c r="T45" i="448"/>
  <c r="I45" i="448"/>
  <c r="F45" i="448"/>
  <c r="T44" i="448"/>
  <c r="F44" i="448"/>
  <c r="U43" i="448"/>
  <c r="T43" i="448"/>
  <c r="I43" i="448" s="1"/>
  <c r="K43" i="448"/>
  <c r="F43" i="448"/>
  <c r="T42" i="448"/>
  <c r="I42" i="448" s="1"/>
  <c r="F42" i="448"/>
  <c r="T41" i="448"/>
  <c r="I41" i="448" s="1"/>
  <c r="F41" i="448"/>
  <c r="U40" i="448"/>
  <c r="T40" i="448"/>
  <c r="I40" i="448" s="1"/>
  <c r="K40" i="448"/>
  <c r="F40" i="448"/>
  <c r="T39" i="448"/>
  <c r="I39" i="448" s="1"/>
  <c r="F39" i="448"/>
  <c r="T38" i="448"/>
  <c r="I38" i="448" s="1"/>
  <c r="F38" i="448"/>
  <c r="U37" i="448"/>
  <c r="T37" i="448"/>
  <c r="I37" i="448" s="1"/>
  <c r="K37" i="448"/>
  <c r="F37" i="448"/>
  <c r="T36" i="448"/>
  <c r="I36" i="448"/>
  <c r="F36" i="448"/>
  <c r="T35" i="448"/>
  <c r="I35" i="448" s="1"/>
  <c r="F35" i="448"/>
  <c r="U34" i="448"/>
  <c r="T34" i="448"/>
  <c r="I34" i="448" s="1"/>
  <c r="K34" i="448"/>
  <c r="F34" i="448"/>
  <c r="T33" i="448"/>
  <c r="I33" i="448"/>
  <c r="F33" i="448"/>
  <c r="T32" i="448"/>
  <c r="I32" i="448" s="1"/>
  <c r="F32" i="448"/>
  <c r="U31" i="448"/>
  <c r="L34" i="448" s="1"/>
  <c r="T31" i="448"/>
  <c r="K31" i="448"/>
  <c r="I31" i="448"/>
  <c r="F31" i="448"/>
  <c r="T30" i="448"/>
  <c r="I30" i="448"/>
  <c r="F30" i="448"/>
  <c r="T29" i="448"/>
  <c r="I29" i="448" s="1"/>
  <c r="F29" i="448"/>
  <c r="U28" i="448"/>
  <c r="L28" i="448" s="1"/>
  <c r="T28" i="448"/>
  <c r="I28" i="448" s="1"/>
  <c r="K28" i="448"/>
  <c r="F28" i="448"/>
  <c r="T27" i="448"/>
  <c r="I27" i="448" s="1"/>
  <c r="F27" i="448"/>
  <c r="T26" i="448"/>
  <c r="I26" i="448" s="1"/>
  <c r="F26" i="448"/>
  <c r="U25" i="448"/>
  <c r="T25" i="448"/>
  <c r="I25" i="448" s="1"/>
  <c r="L25" i="448"/>
  <c r="K25" i="448"/>
  <c r="F25" i="448"/>
  <c r="T24" i="448"/>
  <c r="I24" i="448" s="1"/>
  <c r="F24" i="448"/>
  <c r="T23" i="448"/>
  <c r="I23" i="448" s="1"/>
  <c r="F23" i="448"/>
  <c r="U22" i="448"/>
  <c r="T22" i="448"/>
  <c r="K22" i="448"/>
  <c r="I22" i="448"/>
  <c r="F22" i="448"/>
  <c r="T21" i="448"/>
  <c r="I21" i="448"/>
  <c r="F21" i="448"/>
  <c r="T20" i="448"/>
  <c r="I20" i="448"/>
  <c r="F20" i="448"/>
  <c r="U19" i="448"/>
  <c r="T19" i="448"/>
  <c r="I19" i="448" s="1"/>
  <c r="K19" i="448"/>
  <c r="F19" i="448"/>
  <c r="T18" i="448"/>
  <c r="I18" i="448"/>
  <c r="F18" i="448"/>
  <c r="T17" i="448"/>
  <c r="F17" i="448"/>
  <c r="U16" i="448"/>
  <c r="T16" i="448"/>
  <c r="I16" i="448" s="1"/>
  <c r="K16" i="448"/>
  <c r="F16" i="448"/>
  <c r="T15" i="448"/>
  <c r="I15" i="448" s="1"/>
  <c r="F15" i="448"/>
  <c r="T14" i="448"/>
  <c r="I14" i="448"/>
  <c r="F14" i="448"/>
  <c r="B16" i="448" s="1"/>
  <c r="U13" i="448"/>
  <c r="M25" i="448" s="1"/>
  <c r="T13" i="448"/>
  <c r="I13" i="448" s="1"/>
  <c r="J25" i="448" s="1"/>
  <c r="N13" i="448"/>
  <c r="K13" i="448"/>
  <c r="F13" i="448"/>
  <c r="T12" i="448"/>
  <c r="I12" i="448" s="1"/>
  <c r="F12" i="448"/>
  <c r="T11" i="448"/>
  <c r="I11" i="448"/>
  <c r="F11" i="448"/>
  <c r="U10" i="448"/>
  <c r="L10" i="448" s="1"/>
  <c r="T10" i="448"/>
  <c r="I10" i="448" s="1"/>
  <c r="K10" i="448"/>
  <c r="F10" i="448"/>
  <c r="T9" i="448"/>
  <c r="I9" i="448" s="1"/>
  <c r="F9" i="448"/>
  <c r="T8" i="448"/>
  <c r="I8" i="448" s="1"/>
  <c r="F8" i="448"/>
  <c r="U7" i="448"/>
  <c r="M19" i="448" s="1"/>
  <c r="T7" i="448"/>
  <c r="K7" i="448"/>
  <c r="I7" i="448"/>
  <c r="F7" i="448"/>
  <c r="T6" i="448"/>
  <c r="I6" i="448" s="1"/>
  <c r="F6" i="448"/>
  <c r="C7" i="448" s="1"/>
  <c r="T5" i="448"/>
  <c r="I5" i="448" s="1"/>
  <c r="F5" i="448"/>
  <c r="U55" i="339"/>
  <c r="L55" i="339" s="1"/>
  <c r="U52" i="339"/>
  <c r="U49" i="339"/>
  <c r="L52" i="339" s="1"/>
  <c r="K55" i="339"/>
  <c r="K52" i="339"/>
  <c r="Q56" i="170"/>
  <c r="F56" i="202"/>
  <c r="C58" i="202" s="1"/>
  <c r="E58" i="202" s="1"/>
  <c r="F56" i="432"/>
  <c r="G57" i="432" s="1"/>
  <c r="F56" i="436"/>
  <c r="C58" i="436" s="1"/>
  <c r="E58" i="436" s="1"/>
  <c r="F56" i="438"/>
  <c r="F56" i="447"/>
  <c r="B58" i="447" s="1"/>
  <c r="F56" i="52"/>
  <c r="F56" i="8"/>
  <c r="B58" i="8" s="1"/>
  <c r="F56" i="203"/>
  <c r="B58" i="203" s="1"/>
  <c r="F56" i="2"/>
  <c r="C58" i="2" s="1"/>
  <c r="E58" i="2" s="1"/>
  <c r="F56" i="442"/>
  <c r="G57" i="442" s="1"/>
  <c r="F56" i="17"/>
  <c r="C58" i="17" s="1"/>
  <c r="E58" i="17" s="1"/>
  <c r="F56" i="385"/>
  <c r="C58" i="385" s="1"/>
  <c r="F56" i="349"/>
  <c r="C58" i="349" s="1"/>
  <c r="E58" i="349" s="1"/>
  <c r="F56" i="16"/>
  <c r="B58" i="16" s="1"/>
  <c r="F56" i="445"/>
  <c r="G57" i="445" s="1"/>
  <c r="F56" i="7"/>
  <c r="B58" i="7" s="1"/>
  <c r="F56" i="424"/>
  <c r="C58" i="424" s="1"/>
  <c r="E58" i="424" s="1"/>
  <c r="F56" i="187"/>
  <c r="C58" i="187" s="1"/>
  <c r="F56" i="74"/>
  <c r="C58" i="74" s="1"/>
  <c r="E58" i="74" s="1"/>
  <c r="F56" i="288"/>
  <c r="G57" i="288" s="1"/>
  <c r="F56" i="440"/>
  <c r="F56" i="446"/>
  <c r="C58" i="446" s="1"/>
  <c r="E58" i="446" s="1"/>
  <c r="F56" i="9"/>
  <c r="C58" i="9" s="1"/>
  <c r="E58" i="9" s="1"/>
  <c r="F56" i="3"/>
  <c r="C58" i="3" s="1"/>
  <c r="F56" i="89"/>
  <c r="C58" i="89" s="1"/>
  <c r="E58" i="89" s="1"/>
  <c r="F56" i="389"/>
  <c r="C58" i="389" s="1"/>
  <c r="E58" i="389" s="1"/>
  <c r="F56" i="386"/>
  <c r="B58" i="386" s="1"/>
  <c r="F56" i="303"/>
  <c r="B58" i="303" s="1"/>
  <c r="F56" i="48"/>
  <c r="C58" i="48" s="1"/>
  <c r="E58" i="48" s="1"/>
  <c r="F56" i="5"/>
  <c r="C58" i="5" s="1"/>
  <c r="F56" i="207"/>
  <c r="G57" i="207" s="1"/>
  <c r="F56" i="21"/>
  <c r="F56" i="299"/>
  <c r="F56" i="190"/>
  <c r="G57" i="190" s="1"/>
  <c r="F56" i="85"/>
  <c r="C58" i="85" s="1"/>
  <c r="F56" i="32"/>
  <c r="C58" i="32" s="1"/>
  <c r="E58" i="32" s="1"/>
  <c r="F56" i="318"/>
  <c r="C58" i="318" s="1"/>
  <c r="E58" i="318" s="1"/>
  <c r="F56" i="61"/>
  <c r="F56" i="206"/>
  <c r="C58" i="206" s="1"/>
  <c r="E58" i="206" s="1"/>
  <c r="F56" i="338"/>
  <c r="C58" i="338" s="1"/>
  <c r="E58" i="338" s="1"/>
  <c r="F56" i="75"/>
  <c r="C58" i="75" s="1"/>
  <c r="F56" i="23"/>
  <c r="C58" i="23" s="1"/>
  <c r="E58" i="23" s="1"/>
  <c r="F56" i="37"/>
  <c r="F56" i="409"/>
  <c r="F56" i="4"/>
  <c r="F56" i="441"/>
  <c r="C58" i="441" s="1"/>
  <c r="E58" i="441" s="1"/>
  <c r="F56" i="434"/>
  <c r="B58" i="434" s="1"/>
  <c r="F56" i="435"/>
  <c r="G57" i="435" s="1"/>
  <c r="F56" i="192"/>
  <c r="B58" i="192" s="1"/>
  <c r="F56" i="437"/>
  <c r="B58" i="437" s="1"/>
  <c r="F56" i="439"/>
  <c r="C58" i="439" s="1"/>
  <c r="E58" i="439" s="1"/>
  <c r="F56" i="1"/>
  <c r="G57" i="1" s="1"/>
  <c r="F56" i="397"/>
  <c r="F56" i="296"/>
  <c r="C58" i="296" s="1"/>
  <c r="E58" i="296" s="1"/>
  <c r="F56" i="113"/>
  <c r="F56" i="431"/>
  <c r="F56" i="361"/>
  <c r="C58" i="361" s="1"/>
  <c r="E58" i="361" s="1"/>
  <c r="F56" i="351"/>
  <c r="C58" i="351" s="1"/>
  <c r="F56" i="352"/>
  <c r="B58" i="352" s="1"/>
  <c r="F56" i="270"/>
  <c r="C58" i="270" s="1"/>
  <c r="E58" i="270" s="1"/>
  <c r="F56" i="104"/>
  <c r="G57" i="104" s="1"/>
  <c r="F56" i="271"/>
  <c r="B58" i="271" s="1"/>
  <c r="F56" i="371"/>
  <c r="C58" i="371" s="1"/>
  <c r="E58" i="371" s="1"/>
  <c r="F56" i="413"/>
  <c r="F56" i="430"/>
  <c r="B58" i="430" s="1"/>
  <c r="F56" i="322"/>
  <c r="B58" i="322" s="1"/>
  <c r="F56" i="353"/>
  <c r="F56" i="362"/>
  <c r="F56" i="354"/>
  <c r="C58" i="354" s="1"/>
  <c r="E58" i="354" s="1"/>
  <c r="F56" i="233"/>
  <c r="C58" i="233" s="1"/>
  <c r="F56" i="298"/>
  <c r="C58" i="298" s="1"/>
  <c r="E58" i="298" s="1"/>
  <c r="F56" i="367"/>
  <c r="C58" i="367" s="1"/>
  <c r="E58" i="367" s="1"/>
  <c r="F56" i="387"/>
  <c r="F56" i="314"/>
  <c r="C58" i="314" s="1"/>
  <c r="E58" i="314" s="1"/>
  <c r="F56" i="43"/>
  <c r="C58" i="43" s="1"/>
  <c r="E58" i="43" s="1"/>
  <c r="F56" i="18"/>
  <c r="C58" i="18" s="1"/>
  <c r="E58" i="18" s="1"/>
  <c r="F56" i="20"/>
  <c r="G57" i="20" s="1"/>
  <c r="F56" i="422"/>
  <c r="G57" i="422" s="1"/>
  <c r="F56" i="423"/>
  <c r="F56" i="152"/>
  <c r="C58" i="152" s="1"/>
  <c r="E58" i="152" s="1"/>
  <c r="F56" i="13"/>
  <c r="G57" i="13" s="1"/>
  <c r="F56" i="261"/>
  <c r="B58" i="261" s="1"/>
  <c r="F56" i="153"/>
  <c r="C58" i="153" s="1"/>
  <c r="E58" i="153" s="1"/>
  <c r="F56" i="257"/>
  <c r="B58" i="257" s="1"/>
  <c r="F56" i="174"/>
  <c r="C58" i="174" s="1"/>
  <c r="E58" i="174" s="1"/>
  <c r="F56" i="328"/>
  <c r="F56" i="329"/>
  <c r="F56" i="194"/>
  <c r="C58" i="194" s="1"/>
  <c r="F56" i="193"/>
  <c r="F56" i="319"/>
  <c r="C58" i="319" s="1"/>
  <c r="F56" i="320"/>
  <c r="C58" i="320" s="1"/>
  <c r="E58" i="320" s="1"/>
  <c r="F56" i="12"/>
  <c r="G57" i="12" s="1"/>
  <c r="F56" i="356"/>
  <c r="F56" i="394"/>
  <c r="C58" i="394" s="1"/>
  <c r="E58" i="394" s="1"/>
  <c r="F56" i="393"/>
  <c r="C58" i="393" s="1"/>
  <c r="F56" i="433"/>
  <c r="C58" i="433" s="1"/>
  <c r="E58" i="433" s="1"/>
  <c r="F56" i="425"/>
  <c r="C58" i="425" s="1"/>
  <c r="F56" i="88"/>
  <c r="G57" i="88" s="1"/>
  <c r="F56" i="148"/>
  <c r="C58" i="148" s="1"/>
  <c r="F56" i="97"/>
  <c r="C58" i="97" s="1"/>
  <c r="F56" i="383"/>
  <c r="C58" i="383" s="1"/>
  <c r="E58" i="383" s="1"/>
  <c r="F56" i="28"/>
  <c r="G57" i="28" s="1"/>
  <c r="F56" i="29"/>
  <c r="B58" i="29" s="1"/>
  <c r="F56" i="359"/>
  <c r="C58" i="359" s="1"/>
  <c r="E58" i="359" s="1"/>
  <c r="F56" i="360"/>
  <c r="C58" i="360" s="1"/>
  <c r="F56" i="368"/>
  <c r="F56" i="364"/>
  <c r="C58" i="364" s="1"/>
  <c r="F56" i="420"/>
  <c r="B58" i="420" s="1"/>
  <c r="F56" i="191"/>
  <c r="B58" i="191" s="1"/>
  <c r="F56" i="164"/>
  <c r="C58" i="164" s="1"/>
  <c r="F56" i="162"/>
  <c r="B58" i="162" s="1"/>
  <c r="F56" i="421"/>
  <c r="C58" i="421" s="1"/>
  <c r="E58" i="421" s="1"/>
  <c r="F56" i="333"/>
  <c r="C58" i="333" s="1"/>
  <c r="E58" i="333" s="1"/>
  <c r="F56" i="53"/>
  <c r="F56" i="114"/>
  <c r="C58" i="114" s="1"/>
  <c r="E58" i="114" s="1"/>
  <c r="F56" i="400"/>
  <c r="C58" i="400" s="1"/>
  <c r="E58" i="400" s="1"/>
  <c r="F56" i="334"/>
  <c r="C58" i="334" s="1"/>
  <c r="F56" i="15"/>
  <c r="C58" i="15" s="1"/>
  <c r="E58" i="15" s="1"/>
  <c r="F56" i="355"/>
  <c r="C58" i="355" s="1"/>
  <c r="F56" i="54"/>
  <c r="F56" i="384"/>
  <c r="F56" i="201"/>
  <c r="C58" i="201" s="1"/>
  <c r="F56" i="249"/>
  <c r="G57" i="249" s="1"/>
  <c r="F56" i="19"/>
  <c r="C58" i="19" s="1"/>
  <c r="E58" i="19" s="1"/>
  <c r="F56" i="347"/>
  <c r="C58" i="347" s="1"/>
  <c r="F56" i="204"/>
  <c r="F56" i="31"/>
  <c r="C58" i="31" s="1"/>
  <c r="E58" i="31" s="1"/>
  <c r="F56" i="342"/>
  <c r="C58" i="342" s="1"/>
  <c r="E58" i="342" s="1"/>
  <c r="F56" i="168"/>
  <c r="G57" i="168" s="1"/>
  <c r="F56" i="169"/>
  <c r="F56" i="336"/>
  <c r="F56" i="33"/>
  <c r="F56" i="337"/>
  <c r="C58" i="337" s="1"/>
  <c r="F56" i="227"/>
  <c r="C58" i="227" s="1"/>
  <c r="F56" i="290"/>
  <c r="C58" i="290" s="1"/>
  <c r="E58" i="290" s="1"/>
  <c r="F56" i="289"/>
  <c r="F56" i="293"/>
  <c r="G57" i="293" s="1"/>
  <c r="F56" i="348"/>
  <c r="C58" i="348" s="1"/>
  <c r="E58" i="348" s="1"/>
  <c r="F56" i="297"/>
  <c r="C58" i="297" s="1"/>
  <c r="F56" i="350"/>
  <c r="F56" i="105"/>
  <c r="F56" i="22"/>
  <c r="B58" i="22" s="1"/>
  <c r="F56" i="301"/>
  <c r="F56" i="294"/>
  <c r="B58" i="294" s="1"/>
  <c r="F56" i="344"/>
  <c r="C58" i="344" s="1"/>
  <c r="F56" i="135"/>
  <c r="C58" i="135" s="1"/>
  <c r="E58" i="135" s="1"/>
  <c r="F56" i="295"/>
  <c r="C58" i="295" s="1"/>
  <c r="E58" i="295" s="1"/>
  <c r="F56" i="283"/>
  <c r="F56" i="340"/>
  <c r="C58" i="340" s="1"/>
  <c r="E58" i="340" s="1"/>
  <c r="F56" i="34"/>
  <c r="C58" i="34" s="1"/>
  <c r="E58" i="34" s="1"/>
  <c r="F56" i="284"/>
  <c r="C58" i="284" s="1"/>
  <c r="F56" i="292"/>
  <c r="F56" i="339"/>
  <c r="F56" i="325"/>
  <c r="F56" i="269"/>
  <c r="C58" i="269" s="1"/>
  <c r="E58" i="269" s="1"/>
  <c r="F56" i="11"/>
  <c r="C58" i="11" s="1"/>
  <c r="F56" i="101"/>
  <c r="F56" i="382"/>
  <c r="C58" i="382" s="1"/>
  <c r="E58" i="382" s="1"/>
  <c r="F56" i="444"/>
  <c r="C58" i="444" s="1"/>
  <c r="E58" i="444" s="1"/>
  <c r="F56" i="102"/>
  <c r="F56" i="103"/>
  <c r="C58" i="103" s="1"/>
  <c r="E58" i="103" s="1"/>
  <c r="F56" i="411"/>
  <c r="C58" i="411" s="1"/>
  <c r="E58" i="411" s="1"/>
  <c r="F56" i="265"/>
  <c r="G57" i="265" s="1"/>
  <c r="F56" i="262"/>
  <c r="G57" i="262" s="1"/>
  <c r="F56" i="112"/>
  <c r="F56" i="109"/>
  <c r="F56" i="324"/>
  <c r="F56" i="196"/>
  <c r="C58" i="196" s="1"/>
  <c r="F56" i="197"/>
  <c r="C58" i="197" s="1"/>
  <c r="F56" i="198"/>
  <c r="G57" i="198" s="1"/>
  <c r="F56" i="345"/>
  <c r="C58" i="345" s="1"/>
  <c r="F56" i="346"/>
  <c r="F56" i="200"/>
  <c r="C58" i="200" s="1"/>
  <c r="E58" i="200" s="1"/>
  <c r="F56" i="280"/>
  <c r="C58" i="280" s="1"/>
  <c r="E58" i="280" s="1"/>
  <c r="F56" i="45"/>
  <c r="C58" i="45" s="1"/>
  <c r="F56" i="254"/>
  <c r="F56" i="181"/>
  <c r="F56" i="183"/>
  <c r="F56" i="184"/>
  <c r="C58" i="184" s="1"/>
  <c r="F56" i="27"/>
  <c r="B58" i="27" s="1"/>
  <c r="F56" i="143"/>
  <c r="C58" i="143" s="1"/>
  <c r="F56" i="263"/>
  <c r="F56" i="209"/>
  <c r="C58" i="209" s="1"/>
  <c r="E58" i="209" s="1"/>
  <c r="F56" i="140"/>
  <c r="C58" i="140" s="1"/>
  <c r="E58" i="140" s="1"/>
  <c r="F56" i="159"/>
  <c r="F56" i="160"/>
  <c r="F56" i="107"/>
  <c r="G57" i="107" s="1"/>
  <c r="F56" i="176"/>
  <c r="F56" i="281"/>
  <c r="C58" i="281" s="1"/>
  <c r="F56" i="332"/>
  <c r="C58" i="332" s="1"/>
  <c r="F56" i="25"/>
  <c r="C58" i="25" s="1"/>
  <c r="E58" i="25" s="1"/>
  <c r="F56" i="24"/>
  <c r="C58" i="24" s="1"/>
  <c r="E58" i="24" s="1"/>
  <c r="F56" i="116"/>
  <c r="F56" i="285"/>
  <c r="B58" i="285" s="1"/>
  <c r="F56" i="272"/>
  <c r="C58" i="272" s="1"/>
  <c r="E58" i="272" s="1"/>
  <c r="F56" i="87"/>
  <c r="C58" i="87" s="1"/>
  <c r="F56" i="287"/>
  <c r="C58" i="287" s="1"/>
  <c r="E58" i="287" s="1"/>
  <c r="F56" i="276"/>
  <c r="F56" i="229"/>
  <c r="C58" i="229" s="1"/>
  <c r="E58" i="229" s="1"/>
  <c r="F56" i="230"/>
  <c r="C58" i="230" s="1"/>
  <c r="F56" i="326"/>
  <c r="B58" i="326" s="1"/>
  <c r="F56" i="47"/>
  <c r="C58" i="47" s="1"/>
  <c r="E58" i="47" s="1"/>
  <c r="F56" i="35"/>
  <c r="B58" i="35" s="1"/>
  <c r="U56" i="447"/>
  <c r="T56" i="447"/>
  <c r="I56" i="447" s="1"/>
  <c r="U55" i="447"/>
  <c r="T55" i="447"/>
  <c r="I55" i="447" s="1"/>
  <c r="K55" i="447"/>
  <c r="F55" i="447"/>
  <c r="U54" i="447"/>
  <c r="T54" i="447"/>
  <c r="I54" i="447" s="1"/>
  <c r="F54" i="447"/>
  <c r="U53" i="447"/>
  <c r="T53" i="447"/>
  <c r="I53" i="447" s="1"/>
  <c r="F53" i="447"/>
  <c r="U52" i="447"/>
  <c r="T52" i="447"/>
  <c r="I52" i="447" s="1"/>
  <c r="K52" i="447"/>
  <c r="F52" i="447"/>
  <c r="U51" i="447"/>
  <c r="T51" i="447"/>
  <c r="I51" i="447" s="1"/>
  <c r="F51" i="447"/>
  <c r="U50" i="447"/>
  <c r="T50" i="447"/>
  <c r="F50" i="447"/>
  <c r="U49" i="447"/>
  <c r="T49" i="447"/>
  <c r="I49" i="447" s="1"/>
  <c r="K49" i="447"/>
  <c r="F49" i="447"/>
  <c r="U48" i="447"/>
  <c r="T48" i="447"/>
  <c r="I48" i="447" s="1"/>
  <c r="F48" i="447"/>
  <c r="U47" i="447"/>
  <c r="T47" i="447"/>
  <c r="I47" i="447" s="1"/>
  <c r="F47" i="447"/>
  <c r="U46" i="447"/>
  <c r="T46" i="447"/>
  <c r="I46" i="447" s="1"/>
  <c r="K46" i="447"/>
  <c r="F46" i="447"/>
  <c r="T45" i="447"/>
  <c r="I45" i="447" s="1"/>
  <c r="F45" i="447"/>
  <c r="T44" i="447"/>
  <c r="I44" i="447" s="1"/>
  <c r="F44" i="447"/>
  <c r="U43" i="447"/>
  <c r="T43" i="447"/>
  <c r="I43" i="447" s="1"/>
  <c r="K43" i="447"/>
  <c r="F43" i="447"/>
  <c r="T42" i="447"/>
  <c r="I42" i="447" s="1"/>
  <c r="F42" i="447"/>
  <c r="T41" i="447"/>
  <c r="I41" i="447" s="1"/>
  <c r="F41" i="447"/>
  <c r="U40" i="447"/>
  <c r="T40" i="447"/>
  <c r="I40" i="447" s="1"/>
  <c r="K40" i="447"/>
  <c r="F40" i="447"/>
  <c r="T39" i="447"/>
  <c r="I39" i="447" s="1"/>
  <c r="F39" i="447"/>
  <c r="T38" i="447"/>
  <c r="I38" i="447" s="1"/>
  <c r="F38" i="447"/>
  <c r="U37" i="447"/>
  <c r="T37" i="447"/>
  <c r="I37" i="447" s="1"/>
  <c r="K37" i="447"/>
  <c r="F37" i="447"/>
  <c r="T36" i="447"/>
  <c r="I36" i="447" s="1"/>
  <c r="F36" i="447"/>
  <c r="T35" i="447"/>
  <c r="I35" i="447" s="1"/>
  <c r="F35" i="447"/>
  <c r="U34" i="447"/>
  <c r="T34" i="447"/>
  <c r="I34" i="447" s="1"/>
  <c r="K34" i="447"/>
  <c r="F34" i="447"/>
  <c r="T33" i="447"/>
  <c r="I33" i="447" s="1"/>
  <c r="F33" i="447"/>
  <c r="T32" i="447"/>
  <c r="I32" i="447" s="1"/>
  <c r="F32" i="447"/>
  <c r="U31" i="447"/>
  <c r="T31" i="447"/>
  <c r="I31" i="447" s="1"/>
  <c r="K31" i="447"/>
  <c r="F31" i="447"/>
  <c r="T30" i="447"/>
  <c r="I30" i="447" s="1"/>
  <c r="F30" i="447"/>
  <c r="T29" i="447"/>
  <c r="I29" i="447" s="1"/>
  <c r="F29" i="447"/>
  <c r="U28" i="447"/>
  <c r="T28" i="447"/>
  <c r="I28" i="447" s="1"/>
  <c r="K28" i="447"/>
  <c r="F28" i="447"/>
  <c r="T27" i="447"/>
  <c r="I27" i="447" s="1"/>
  <c r="F27" i="447"/>
  <c r="T26" i="447"/>
  <c r="F26" i="447"/>
  <c r="U25" i="447"/>
  <c r="T25" i="447"/>
  <c r="I25" i="447" s="1"/>
  <c r="K25" i="447"/>
  <c r="F25" i="447"/>
  <c r="T24" i="447"/>
  <c r="I24" i="447" s="1"/>
  <c r="F24" i="447"/>
  <c r="T23" i="447"/>
  <c r="I23" i="447" s="1"/>
  <c r="F23" i="447"/>
  <c r="U22" i="447"/>
  <c r="T22" i="447"/>
  <c r="I22" i="447" s="1"/>
  <c r="K22" i="447"/>
  <c r="F22" i="447"/>
  <c r="T21" i="447"/>
  <c r="I21" i="447" s="1"/>
  <c r="F21" i="447"/>
  <c r="T20" i="447"/>
  <c r="I20" i="447" s="1"/>
  <c r="F20" i="447"/>
  <c r="U19" i="447"/>
  <c r="T19" i="447"/>
  <c r="I19" i="447" s="1"/>
  <c r="K19" i="447"/>
  <c r="F19" i="447"/>
  <c r="T18" i="447"/>
  <c r="I18" i="447" s="1"/>
  <c r="F18" i="447"/>
  <c r="T17" i="447"/>
  <c r="I17" i="447" s="1"/>
  <c r="F17" i="447"/>
  <c r="U16" i="447"/>
  <c r="T16" i="447"/>
  <c r="I16" i="447" s="1"/>
  <c r="K16" i="447"/>
  <c r="F16" i="447"/>
  <c r="T15" i="447"/>
  <c r="I15" i="447" s="1"/>
  <c r="F15" i="447"/>
  <c r="T14" i="447"/>
  <c r="I14" i="447" s="1"/>
  <c r="F14" i="447"/>
  <c r="U13" i="447"/>
  <c r="T13" i="447"/>
  <c r="I13" i="447" s="1"/>
  <c r="K13" i="447"/>
  <c r="F13" i="447"/>
  <c r="T12" i="447"/>
  <c r="I12" i="447" s="1"/>
  <c r="F12" i="447"/>
  <c r="T11" i="447"/>
  <c r="I11" i="447" s="1"/>
  <c r="F11" i="447"/>
  <c r="U10" i="447"/>
  <c r="T10" i="447"/>
  <c r="I10" i="447" s="1"/>
  <c r="K10" i="447"/>
  <c r="F10" i="447"/>
  <c r="T9" i="447"/>
  <c r="I9" i="447" s="1"/>
  <c r="F9" i="447"/>
  <c r="T8" i="447"/>
  <c r="I8" i="447" s="1"/>
  <c r="F8" i="447"/>
  <c r="U7" i="447"/>
  <c r="T7" i="447"/>
  <c r="K7" i="447"/>
  <c r="F7" i="447"/>
  <c r="T6" i="447"/>
  <c r="I6" i="447" s="1"/>
  <c r="F6" i="447"/>
  <c r="T5" i="447"/>
  <c r="I5" i="447" s="1"/>
  <c r="F5" i="447"/>
  <c r="T5" i="446"/>
  <c r="T6" i="446"/>
  <c r="I6" i="446" s="1"/>
  <c r="T7" i="446"/>
  <c r="I7" i="446" s="1"/>
  <c r="U7" i="446"/>
  <c r="T8" i="446"/>
  <c r="I8" i="446" s="1"/>
  <c r="T9" i="446"/>
  <c r="I9" i="446" s="1"/>
  <c r="T10" i="446"/>
  <c r="I10" i="446" s="1"/>
  <c r="U10" i="446"/>
  <c r="T11" i="446"/>
  <c r="I11" i="446" s="1"/>
  <c r="T12" i="446"/>
  <c r="I12" i="446" s="1"/>
  <c r="T13" i="446"/>
  <c r="I13" i="446" s="1"/>
  <c r="U13" i="446"/>
  <c r="T14" i="446"/>
  <c r="I14" i="446" s="1"/>
  <c r="T15" i="446"/>
  <c r="I15" i="446" s="1"/>
  <c r="T16" i="446"/>
  <c r="I16" i="446" s="1"/>
  <c r="U16" i="446"/>
  <c r="U56" i="446"/>
  <c r="T56" i="446"/>
  <c r="I56" i="446" s="1"/>
  <c r="U55" i="446"/>
  <c r="T55" i="446"/>
  <c r="I55" i="446" s="1"/>
  <c r="K55" i="446"/>
  <c r="F55" i="446"/>
  <c r="U54" i="446"/>
  <c r="T54" i="446"/>
  <c r="I54" i="446" s="1"/>
  <c r="F54" i="446"/>
  <c r="U53" i="446"/>
  <c r="T53" i="446"/>
  <c r="I53" i="446" s="1"/>
  <c r="F53" i="446"/>
  <c r="U52" i="446"/>
  <c r="T52" i="446"/>
  <c r="I52" i="446" s="1"/>
  <c r="K52" i="446"/>
  <c r="F52" i="446"/>
  <c r="U51" i="446"/>
  <c r="T51" i="446"/>
  <c r="I51" i="446" s="1"/>
  <c r="F51" i="446"/>
  <c r="U50" i="446"/>
  <c r="T50" i="446"/>
  <c r="F50" i="446"/>
  <c r="U49" i="446"/>
  <c r="T49" i="446"/>
  <c r="I49" i="446" s="1"/>
  <c r="K49" i="446"/>
  <c r="F49" i="446"/>
  <c r="U48" i="446"/>
  <c r="T48" i="446"/>
  <c r="I48" i="446" s="1"/>
  <c r="F48" i="446"/>
  <c r="U47" i="446"/>
  <c r="T47" i="446"/>
  <c r="I47" i="446" s="1"/>
  <c r="F47" i="446"/>
  <c r="U46" i="446"/>
  <c r="T46" i="446"/>
  <c r="I46" i="446" s="1"/>
  <c r="K46" i="446"/>
  <c r="F46" i="446"/>
  <c r="T45" i="446"/>
  <c r="I45" i="446" s="1"/>
  <c r="F45" i="446"/>
  <c r="T44" i="446"/>
  <c r="I44" i="446" s="1"/>
  <c r="F44" i="446"/>
  <c r="U43" i="446"/>
  <c r="T43" i="446"/>
  <c r="I43" i="446" s="1"/>
  <c r="K43" i="446"/>
  <c r="F43" i="446"/>
  <c r="T42" i="446"/>
  <c r="I42" i="446" s="1"/>
  <c r="F42" i="446"/>
  <c r="T41" i="446"/>
  <c r="I41" i="446" s="1"/>
  <c r="F41" i="446"/>
  <c r="U40" i="446"/>
  <c r="T40" i="446"/>
  <c r="I40" i="446" s="1"/>
  <c r="K40" i="446"/>
  <c r="F40" i="446"/>
  <c r="T39" i="446"/>
  <c r="I39" i="446" s="1"/>
  <c r="F39" i="446"/>
  <c r="T38" i="446"/>
  <c r="F38" i="446"/>
  <c r="U37" i="446"/>
  <c r="T37" i="446"/>
  <c r="I37" i="446" s="1"/>
  <c r="K37" i="446"/>
  <c r="F37" i="446"/>
  <c r="T36" i="446"/>
  <c r="I36" i="446" s="1"/>
  <c r="F36" i="446"/>
  <c r="T35" i="446"/>
  <c r="I35" i="446" s="1"/>
  <c r="F35" i="446"/>
  <c r="U34" i="446"/>
  <c r="T34" i="446"/>
  <c r="I34" i="446" s="1"/>
  <c r="K34" i="446"/>
  <c r="F34" i="446"/>
  <c r="T33" i="446"/>
  <c r="I33" i="446" s="1"/>
  <c r="F33" i="446"/>
  <c r="T32" i="446"/>
  <c r="I32" i="446" s="1"/>
  <c r="F32" i="446"/>
  <c r="U31" i="446"/>
  <c r="T31" i="446"/>
  <c r="I31" i="446" s="1"/>
  <c r="K31" i="446"/>
  <c r="F31" i="446"/>
  <c r="T30" i="446"/>
  <c r="I30" i="446" s="1"/>
  <c r="F30" i="446"/>
  <c r="T29" i="446"/>
  <c r="F29" i="446"/>
  <c r="U28" i="446"/>
  <c r="T28" i="446"/>
  <c r="I28" i="446" s="1"/>
  <c r="K28" i="446"/>
  <c r="F28" i="446"/>
  <c r="T27" i="446"/>
  <c r="I27" i="446" s="1"/>
  <c r="F27" i="446"/>
  <c r="T26" i="446"/>
  <c r="I26" i="446" s="1"/>
  <c r="F26" i="446"/>
  <c r="U25" i="446"/>
  <c r="T25" i="446"/>
  <c r="I25" i="446" s="1"/>
  <c r="K25" i="446"/>
  <c r="F25" i="446"/>
  <c r="T24" i="446"/>
  <c r="I24" i="446" s="1"/>
  <c r="F24" i="446"/>
  <c r="T23" i="446"/>
  <c r="I23" i="446" s="1"/>
  <c r="F23" i="446"/>
  <c r="U22" i="446"/>
  <c r="T22" i="446"/>
  <c r="I22" i="446" s="1"/>
  <c r="K22" i="446"/>
  <c r="F22" i="446"/>
  <c r="T21" i="446"/>
  <c r="I21" i="446" s="1"/>
  <c r="F21" i="446"/>
  <c r="T20" i="446"/>
  <c r="F20" i="446"/>
  <c r="U19" i="446"/>
  <c r="T19" i="446"/>
  <c r="I19" i="446" s="1"/>
  <c r="K19" i="446"/>
  <c r="F19" i="446"/>
  <c r="T18" i="446"/>
  <c r="I18" i="446" s="1"/>
  <c r="F18" i="446"/>
  <c r="T17" i="446"/>
  <c r="I17" i="446" s="1"/>
  <c r="F17" i="446"/>
  <c r="K16" i="446"/>
  <c r="F16" i="446"/>
  <c r="F15" i="446"/>
  <c r="F14" i="446"/>
  <c r="K13" i="446"/>
  <c r="F13" i="446"/>
  <c r="F12" i="446"/>
  <c r="F11" i="446"/>
  <c r="K10" i="446"/>
  <c r="F10" i="446"/>
  <c r="F9" i="446"/>
  <c r="F8" i="446"/>
  <c r="K7" i="446"/>
  <c r="F7" i="446"/>
  <c r="F6" i="446"/>
  <c r="F5" i="446"/>
  <c r="C58" i="326" l="1"/>
  <c r="G57" i="230"/>
  <c r="T57" i="231"/>
  <c r="I57" i="231" s="1"/>
  <c r="J57" i="231" s="1"/>
  <c r="F57" i="231"/>
  <c r="B58" i="87"/>
  <c r="C58" i="27"/>
  <c r="E58" i="27" s="1"/>
  <c r="T57" i="185"/>
  <c r="I57" i="185" s="1"/>
  <c r="J57" i="185" s="1"/>
  <c r="B58" i="45"/>
  <c r="G57" i="197"/>
  <c r="B58" i="340"/>
  <c r="G57" i="348"/>
  <c r="B58" i="293"/>
  <c r="C58" i="293"/>
  <c r="E58" i="293" s="1"/>
  <c r="T57" i="388"/>
  <c r="I57" i="388" s="1"/>
  <c r="J57" i="388" s="1"/>
  <c r="F57" i="388"/>
  <c r="C58" i="249"/>
  <c r="G57" i="201"/>
  <c r="B58" i="334"/>
  <c r="G57" i="400"/>
  <c r="G57" i="114"/>
  <c r="G57" i="162"/>
  <c r="B58" i="360"/>
  <c r="G57" i="360"/>
  <c r="G57" i="29"/>
  <c r="C58" i="29"/>
  <c r="E58" i="29" s="1"/>
  <c r="G57" i="97"/>
  <c r="B58" i="393"/>
  <c r="T57" i="395"/>
  <c r="I57" i="395" s="1"/>
  <c r="J57" i="395" s="1"/>
  <c r="F57" i="395"/>
  <c r="G57" i="194"/>
  <c r="G57" i="152"/>
  <c r="B58" i="152"/>
  <c r="B58" i="18"/>
  <c r="G57" i="43"/>
  <c r="G57" i="314"/>
  <c r="B58" i="298"/>
  <c r="G57" i="298"/>
  <c r="G57" i="371"/>
  <c r="C58" i="104"/>
  <c r="B58" i="104"/>
  <c r="G57" i="270"/>
  <c r="B58" i="270"/>
  <c r="G57" i="352"/>
  <c r="C58" i="352"/>
  <c r="E58" i="352" s="1"/>
  <c r="T57" i="398"/>
  <c r="I57" i="398" s="1"/>
  <c r="J57" i="398" s="1"/>
  <c r="F57" i="398"/>
  <c r="C58" i="434"/>
  <c r="G57" i="434"/>
  <c r="T57" i="300"/>
  <c r="I57" i="300" s="1"/>
  <c r="J57" i="300" s="1"/>
  <c r="F57" i="300"/>
  <c r="C58" i="16"/>
  <c r="E58" i="16" s="1"/>
  <c r="G57" i="349"/>
  <c r="C58" i="203"/>
  <c r="E58" i="203" s="1"/>
  <c r="C58" i="8"/>
  <c r="H53" i="447"/>
  <c r="G57" i="447"/>
  <c r="M55" i="448"/>
  <c r="B58" i="436"/>
  <c r="B58" i="432"/>
  <c r="C58" i="432"/>
  <c r="B58" i="202"/>
  <c r="J57" i="35"/>
  <c r="C247" i="417"/>
  <c r="G57" i="35"/>
  <c r="B58" i="47"/>
  <c r="G57" i="47"/>
  <c r="E58" i="230"/>
  <c r="B58" i="230"/>
  <c r="C58" i="276"/>
  <c r="E58" i="87"/>
  <c r="G57" i="272"/>
  <c r="B58" i="272"/>
  <c r="C58" i="285"/>
  <c r="E58" i="285" s="1"/>
  <c r="G57" i="285"/>
  <c r="H57" i="285"/>
  <c r="G57" i="116"/>
  <c r="H57" i="116"/>
  <c r="B58" i="24"/>
  <c r="B58" i="25"/>
  <c r="E58" i="332"/>
  <c r="G57" i="332"/>
  <c r="B58" i="332"/>
  <c r="E58" i="281"/>
  <c r="H57" i="281"/>
  <c r="B58" i="281"/>
  <c r="B58" i="176"/>
  <c r="B58" i="107"/>
  <c r="C58" i="159"/>
  <c r="E58" i="159" s="1"/>
  <c r="B58" i="140"/>
  <c r="B58" i="209"/>
  <c r="G57" i="263"/>
  <c r="H57" i="263"/>
  <c r="E58" i="143"/>
  <c r="G57" i="143"/>
  <c r="B58" i="143"/>
  <c r="G57" i="27"/>
  <c r="E58" i="184"/>
  <c r="B58" i="184"/>
  <c r="G57" i="184"/>
  <c r="B58" i="181"/>
  <c r="G57" i="254"/>
  <c r="E58" i="45"/>
  <c r="G57" i="45"/>
  <c r="B58" i="280"/>
  <c r="B58" i="200"/>
  <c r="G57" i="346"/>
  <c r="H57" i="346"/>
  <c r="E58" i="345"/>
  <c r="B58" i="345"/>
  <c r="B58" i="198"/>
  <c r="C58" i="198"/>
  <c r="E58" i="198" s="1"/>
  <c r="E58" i="197"/>
  <c r="B58" i="197"/>
  <c r="E58" i="196"/>
  <c r="B58" i="196"/>
  <c r="G57" i="196"/>
  <c r="B58" i="324"/>
  <c r="B58" i="109"/>
  <c r="C58" i="265"/>
  <c r="B58" i="265"/>
  <c r="B58" i="411"/>
  <c r="B58" i="103"/>
  <c r="H57" i="102"/>
  <c r="G57" i="444"/>
  <c r="H57" i="444"/>
  <c r="B58" i="444"/>
  <c r="G57" i="382"/>
  <c r="B58" i="382"/>
  <c r="G57" i="101"/>
  <c r="B58" i="101"/>
  <c r="C58" i="101"/>
  <c r="E58" i="101" s="1"/>
  <c r="E58" i="11"/>
  <c r="B58" i="11"/>
  <c r="G57" i="11"/>
  <c r="B58" i="269"/>
  <c r="G57" i="325"/>
  <c r="B58" i="284"/>
  <c r="G57" i="34"/>
  <c r="B58" i="34"/>
  <c r="G57" i="295"/>
  <c r="B58" i="295"/>
  <c r="B58" i="135"/>
  <c r="E58" i="344"/>
  <c r="B58" i="344"/>
  <c r="G57" i="294"/>
  <c r="C58" i="294"/>
  <c r="G57" i="301"/>
  <c r="G57" i="350"/>
  <c r="H57" i="350"/>
  <c r="B58" i="297"/>
  <c r="B58" i="348"/>
  <c r="C58" i="289"/>
  <c r="G57" i="290"/>
  <c r="B58" i="290"/>
  <c r="E58" i="227"/>
  <c r="B58" i="227"/>
  <c r="E58" i="337"/>
  <c r="B58" i="337"/>
  <c r="G57" i="337"/>
  <c r="B58" i="33"/>
  <c r="C58" i="336"/>
  <c r="C58" i="168"/>
  <c r="E58" i="168" s="1"/>
  <c r="G57" i="342"/>
  <c r="B58" i="342"/>
  <c r="G57" i="31"/>
  <c r="B58" i="31"/>
  <c r="C58" i="204"/>
  <c r="E58" i="204" s="1"/>
  <c r="E58" i="347"/>
  <c r="B58" i="347"/>
  <c r="G57" i="19"/>
  <c r="B58" i="19"/>
  <c r="E58" i="249"/>
  <c r="B58" i="249"/>
  <c r="E58" i="201"/>
  <c r="B58" i="201"/>
  <c r="B58" i="400"/>
  <c r="B58" i="114"/>
  <c r="G57" i="53"/>
  <c r="B58" i="333"/>
  <c r="B58" i="421"/>
  <c r="C58" i="162"/>
  <c r="E58" i="164"/>
  <c r="B58" i="164"/>
  <c r="H57" i="420"/>
  <c r="C58" i="368"/>
  <c r="E58" i="368" s="1"/>
  <c r="B58" i="359"/>
  <c r="C58" i="28"/>
  <c r="E58" i="28" s="1"/>
  <c r="B58" i="383"/>
  <c r="G57" i="383"/>
  <c r="E58" i="97"/>
  <c r="B58" i="97"/>
  <c r="E58" i="148"/>
  <c r="T57" i="149"/>
  <c r="I57" i="149" s="1"/>
  <c r="J57" i="149" s="1"/>
  <c r="B58" i="148"/>
  <c r="G57" i="393"/>
  <c r="B58" i="394"/>
  <c r="C58" i="356"/>
  <c r="E58" i="356" s="1"/>
  <c r="B58" i="12"/>
  <c r="C58" i="12"/>
  <c r="G57" i="320"/>
  <c r="B58" i="320"/>
  <c r="G57" i="319"/>
  <c r="B58" i="319"/>
  <c r="B58" i="194"/>
  <c r="H57" i="328"/>
  <c r="G57" i="174"/>
  <c r="B58" i="174"/>
  <c r="C58" i="257"/>
  <c r="E58" i="257" s="1"/>
  <c r="G57" i="257"/>
  <c r="H57" i="257"/>
  <c r="B58" i="153"/>
  <c r="C58" i="261"/>
  <c r="E58" i="261" s="1"/>
  <c r="B58" i="13"/>
  <c r="C58" i="13"/>
  <c r="H57" i="422"/>
  <c r="T57" i="142"/>
  <c r="I57" i="142" s="1"/>
  <c r="J57" i="142" s="1"/>
  <c r="B58" i="43"/>
  <c r="B58" i="314"/>
  <c r="C58" i="387"/>
  <c r="E58" i="387" s="1"/>
  <c r="G57" i="367"/>
  <c r="B58" i="367"/>
  <c r="B58" i="233"/>
  <c r="G57" i="354"/>
  <c r="B58" i="354"/>
  <c r="G57" i="413"/>
  <c r="B58" i="371"/>
  <c r="B58" i="431"/>
  <c r="B58" i="351"/>
  <c r="B58" i="361"/>
  <c r="G57" i="361"/>
  <c r="H57" i="398"/>
  <c r="B58" i="439"/>
  <c r="G57" i="439"/>
  <c r="C58" i="437"/>
  <c r="H57" i="437"/>
  <c r="G57" i="192"/>
  <c r="H57" i="192"/>
  <c r="B58" i="435"/>
  <c r="C58" i="435"/>
  <c r="E58" i="435" s="1"/>
  <c r="B58" i="441"/>
  <c r="G57" i="441"/>
  <c r="B58" i="75"/>
  <c r="B58" i="338"/>
  <c r="G57" i="206"/>
  <c r="B58" i="206"/>
  <c r="G57" i="61"/>
  <c r="G57" i="318"/>
  <c r="B58" i="318"/>
  <c r="G57" i="32"/>
  <c r="B58" i="32"/>
  <c r="B58" i="85"/>
  <c r="G57" i="85"/>
  <c r="B58" i="190"/>
  <c r="C58" i="190"/>
  <c r="E58" i="190" s="1"/>
  <c r="H57" i="300"/>
  <c r="G57" i="21"/>
  <c r="H57" i="207"/>
  <c r="H57" i="48"/>
  <c r="C58" i="303"/>
  <c r="E58" i="303" s="1"/>
  <c r="G57" i="303"/>
  <c r="C58" i="386"/>
  <c r="E58" i="386" s="1"/>
  <c r="B58" i="389"/>
  <c r="G57" i="89"/>
  <c r="B58" i="89"/>
  <c r="G57" i="3"/>
  <c r="B58" i="3"/>
  <c r="G57" i="9"/>
  <c r="B58" i="9"/>
  <c r="C58" i="288"/>
  <c r="E58" i="288" s="1"/>
  <c r="B58" i="424"/>
  <c r="C58" i="7"/>
  <c r="E58" i="7" s="1"/>
  <c r="G57" i="7"/>
  <c r="B58" i="445"/>
  <c r="B58" i="385"/>
  <c r="G57" i="17"/>
  <c r="B58" i="17"/>
  <c r="G57" i="2"/>
  <c r="C58" i="447"/>
  <c r="E58" i="447" s="1"/>
  <c r="H57" i="447"/>
  <c r="C58" i="438"/>
  <c r="E58" i="438" s="1"/>
  <c r="G57" i="448"/>
  <c r="B58" i="448"/>
  <c r="H53" i="448"/>
  <c r="G53" i="448"/>
  <c r="C58" i="35"/>
  <c r="E58" i="35" s="1"/>
  <c r="H57" i="4"/>
  <c r="G57" i="4"/>
  <c r="B58" i="4"/>
  <c r="C58" i="4"/>
  <c r="E58" i="4" s="1"/>
  <c r="C58" i="353"/>
  <c r="B58" i="353"/>
  <c r="C58" i="176"/>
  <c r="E58" i="176" s="1"/>
  <c r="C58" i="33"/>
  <c r="E58" i="33" s="1"/>
  <c r="C58" i="88"/>
  <c r="E58" i="88" s="1"/>
  <c r="B58" i="446"/>
  <c r="C58" i="409"/>
  <c r="B58" i="409"/>
  <c r="C58" i="324"/>
  <c r="E58" i="324" s="1"/>
  <c r="E58" i="393"/>
  <c r="C58" i="362"/>
  <c r="E58" i="362" s="1"/>
  <c r="B58" i="362"/>
  <c r="H57" i="362"/>
  <c r="G57" i="362"/>
  <c r="C58" i="113"/>
  <c r="B58" i="113"/>
  <c r="E58" i="5"/>
  <c r="B58" i="301"/>
  <c r="H57" i="176"/>
  <c r="G57" i="176"/>
  <c r="H57" i="183"/>
  <c r="G57" i="183"/>
  <c r="H57" i="384"/>
  <c r="G57" i="384"/>
  <c r="H57" i="191"/>
  <c r="G57" i="191"/>
  <c r="C58" i="193"/>
  <c r="E58" i="193" s="1"/>
  <c r="H57" i="193"/>
  <c r="B58" i="193"/>
  <c r="G57" i="193"/>
  <c r="H57" i="423"/>
  <c r="C58" i="423"/>
  <c r="E58" i="423" s="1"/>
  <c r="B58" i="423"/>
  <c r="G57" i="52"/>
  <c r="H57" i="52"/>
  <c r="B58" i="52"/>
  <c r="C58" i="52"/>
  <c r="E58" i="52" s="1"/>
  <c r="H57" i="33"/>
  <c r="H57" i="431"/>
  <c r="E58" i="334"/>
  <c r="E58" i="336"/>
  <c r="H57" i="301"/>
  <c r="E58" i="284"/>
  <c r="B58" i="88"/>
  <c r="E58" i="385"/>
  <c r="E58" i="276"/>
  <c r="E58" i="112"/>
  <c r="E58" i="355"/>
  <c r="E58" i="364"/>
  <c r="E58" i="425"/>
  <c r="D58" i="328"/>
  <c r="E58" i="328"/>
  <c r="E58" i="1"/>
  <c r="E58" i="187"/>
  <c r="C58" i="191"/>
  <c r="E58" i="191" s="1"/>
  <c r="E58" i="434"/>
  <c r="E58" i="346"/>
  <c r="E58" i="102"/>
  <c r="E58" i="283"/>
  <c r="E58" i="289"/>
  <c r="E58" i="437"/>
  <c r="B58" i="229"/>
  <c r="E58" i="194"/>
  <c r="H57" i="88"/>
  <c r="G57" i="446"/>
  <c r="B58" i="183"/>
  <c r="E58" i="297"/>
  <c r="E58" i="360"/>
  <c r="E58" i="13"/>
  <c r="G57" i="299"/>
  <c r="C58" i="299"/>
  <c r="E58" i="299" s="1"/>
  <c r="B58" i="299"/>
  <c r="G57" i="440"/>
  <c r="C58" i="440"/>
  <c r="B58" i="440"/>
  <c r="H57" i="440"/>
  <c r="C58" i="301"/>
  <c r="E58" i="301" s="1"/>
  <c r="H57" i="446"/>
  <c r="C58" i="183"/>
  <c r="E58" i="183" s="1"/>
  <c r="B58" i="384"/>
  <c r="G57" i="431"/>
  <c r="C58" i="431"/>
  <c r="E58" i="431" s="1"/>
  <c r="C58" i="384"/>
  <c r="E58" i="384" s="1"/>
  <c r="E58" i="104"/>
  <c r="H57" i="109"/>
  <c r="H57" i="181"/>
  <c r="C58" i="109"/>
  <c r="C58" i="54"/>
  <c r="G57" i="74"/>
  <c r="C58" i="430"/>
  <c r="E58" i="430" s="1"/>
  <c r="C58" i="207"/>
  <c r="E58" i="207" s="1"/>
  <c r="G57" i="160"/>
  <c r="H57" i="45"/>
  <c r="H57" i="336"/>
  <c r="H57" i="15"/>
  <c r="G57" i="437"/>
  <c r="G57" i="23"/>
  <c r="H57" i="74"/>
  <c r="B58" i="160"/>
  <c r="B58" i="112"/>
  <c r="B58" i="339"/>
  <c r="B58" i="105"/>
  <c r="B58" i="169"/>
  <c r="B58" i="355"/>
  <c r="B58" i="364"/>
  <c r="B58" i="425"/>
  <c r="E58" i="233"/>
  <c r="B58" i="413"/>
  <c r="B58" i="296"/>
  <c r="E58" i="85"/>
  <c r="B58" i="5"/>
  <c r="B58" i="288"/>
  <c r="C58" i="445"/>
  <c r="E58" i="432"/>
  <c r="H57" i="112"/>
  <c r="G57" i="430"/>
  <c r="H57" i="296"/>
  <c r="H57" i="23"/>
  <c r="G57" i="203"/>
  <c r="B58" i="276"/>
  <c r="C58" i="160"/>
  <c r="C58" i="339"/>
  <c r="C58" i="105"/>
  <c r="C58" i="169"/>
  <c r="E58" i="319"/>
  <c r="B58" i="329"/>
  <c r="B58" i="422"/>
  <c r="C58" i="413"/>
  <c r="B58" i="442"/>
  <c r="G57" i="181"/>
  <c r="B58" i="336"/>
  <c r="C58" i="322"/>
  <c r="E58" i="322" s="1"/>
  <c r="C58" i="21"/>
  <c r="E58" i="21" s="1"/>
  <c r="H57" i="194"/>
  <c r="C58" i="181"/>
  <c r="C58" i="22"/>
  <c r="C58" i="420"/>
  <c r="E58" i="75"/>
  <c r="B58" i="207"/>
  <c r="E58" i="8"/>
  <c r="H57" i="325"/>
  <c r="H57" i="20"/>
  <c r="H57" i="231"/>
  <c r="H57" i="203"/>
  <c r="C58" i="329"/>
  <c r="E58" i="329" s="1"/>
  <c r="B58" i="74"/>
  <c r="C58" i="442"/>
  <c r="G57" i="87"/>
  <c r="G57" i="334"/>
  <c r="G57" i="433"/>
  <c r="H57" i="21"/>
  <c r="B58" i="116"/>
  <c r="B58" i="263"/>
  <c r="B58" i="346"/>
  <c r="B58" i="102"/>
  <c r="B58" i="283"/>
  <c r="B58" i="289"/>
  <c r="B58" i="204"/>
  <c r="B58" i="53"/>
  <c r="B58" i="28"/>
  <c r="B58" i="356"/>
  <c r="B58" i="328"/>
  <c r="B58" i="387"/>
  <c r="C58" i="397"/>
  <c r="E58" i="397" s="1"/>
  <c r="B58" i="61"/>
  <c r="B58" i="48"/>
  <c r="B58" i="438"/>
  <c r="B58" i="54"/>
  <c r="H57" i="2"/>
  <c r="C58" i="107"/>
  <c r="C58" i="325"/>
  <c r="C58" i="422"/>
  <c r="B58" i="397"/>
  <c r="H57" i="87"/>
  <c r="G57" i="169"/>
  <c r="G57" i="54"/>
  <c r="H57" i="334"/>
  <c r="H57" i="368"/>
  <c r="H57" i="433"/>
  <c r="G57" i="329"/>
  <c r="G57" i="397"/>
  <c r="G57" i="75"/>
  <c r="H57" i="442"/>
  <c r="E58" i="326"/>
  <c r="B58" i="287"/>
  <c r="C58" i="116"/>
  <c r="B58" i="159"/>
  <c r="C58" i="263"/>
  <c r="B58" i="254"/>
  <c r="B58" i="262"/>
  <c r="B58" i="292"/>
  <c r="B58" i="350"/>
  <c r="B58" i="168"/>
  <c r="B58" i="15"/>
  <c r="C58" i="53"/>
  <c r="B58" i="368"/>
  <c r="B58" i="433"/>
  <c r="B58" i="20"/>
  <c r="E58" i="351"/>
  <c r="B58" i="1"/>
  <c r="B58" i="37"/>
  <c r="C58" i="61"/>
  <c r="E58" i="3"/>
  <c r="B58" i="187"/>
  <c r="B58" i="2"/>
  <c r="B58" i="325"/>
  <c r="H57" i="262"/>
  <c r="G57" i="292"/>
  <c r="H57" i="413"/>
  <c r="H57" i="61"/>
  <c r="C58" i="254"/>
  <c r="E58" i="254" s="1"/>
  <c r="C58" i="262"/>
  <c r="E58" i="262" s="1"/>
  <c r="C58" i="292"/>
  <c r="E58" i="292" s="1"/>
  <c r="C58" i="350"/>
  <c r="E58" i="350" s="1"/>
  <c r="C58" i="20"/>
  <c r="E58" i="20" s="1"/>
  <c r="H57" i="409"/>
  <c r="G57" i="409"/>
  <c r="H57" i="5"/>
  <c r="G57" i="5"/>
  <c r="H57" i="229"/>
  <c r="G57" i="229"/>
  <c r="G57" i="276"/>
  <c r="G57" i="280"/>
  <c r="H57" i="280"/>
  <c r="H57" i="388"/>
  <c r="H57" i="29"/>
  <c r="H57" i="321"/>
  <c r="H57" i="25"/>
  <c r="H57" i="204"/>
  <c r="G57" i="204"/>
  <c r="H57" i="355"/>
  <c r="G57" i="355"/>
  <c r="G57" i="164"/>
  <c r="H57" i="149"/>
  <c r="G57" i="261"/>
  <c r="H57" i="261"/>
  <c r="T57" i="186"/>
  <c r="I57" i="186" s="1"/>
  <c r="J57" i="186" s="1"/>
  <c r="H57" i="103"/>
  <c r="G57" i="103"/>
  <c r="H57" i="289"/>
  <c r="G57" i="289"/>
  <c r="G57" i="387"/>
  <c r="H57" i="387"/>
  <c r="H57" i="195"/>
  <c r="H57" i="364"/>
  <c r="G57" i="364"/>
  <c r="H57" i="148"/>
  <c r="G57" i="148"/>
  <c r="H57" i="35"/>
  <c r="G57" i="326"/>
  <c r="H57" i="27"/>
  <c r="H57" i="200"/>
  <c r="H57" i="348"/>
  <c r="G57" i="423"/>
  <c r="H57" i="43"/>
  <c r="H57" i="8"/>
  <c r="G57" i="8"/>
  <c r="H57" i="438"/>
  <c r="G57" i="438"/>
  <c r="G57" i="283"/>
  <c r="H57" i="283"/>
  <c r="H57" i="227"/>
  <c r="G57" i="227"/>
  <c r="H57" i="18"/>
  <c r="G57" i="18"/>
  <c r="G57" i="140"/>
  <c r="H57" i="327"/>
  <c r="H57" i="34"/>
  <c r="G57" i="344"/>
  <c r="G57" i="336"/>
  <c r="T57" i="144"/>
  <c r="I57" i="144" s="1"/>
  <c r="J57" i="144" s="1"/>
  <c r="H57" i="287"/>
  <c r="G57" i="287"/>
  <c r="H57" i="425"/>
  <c r="G57" i="425"/>
  <c r="H57" i="159"/>
  <c r="G57" i="159"/>
  <c r="H57" i="185"/>
  <c r="H57" i="333"/>
  <c r="G57" i="333"/>
  <c r="G57" i="394"/>
  <c r="G57" i="233"/>
  <c r="H57" i="351"/>
  <c r="G57" i="351"/>
  <c r="G57" i="24"/>
  <c r="G57" i="269"/>
  <c r="H57" i="269"/>
  <c r="H57" i="22"/>
  <c r="G57" i="22"/>
  <c r="H57" i="170"/>
  <c r="H57" i="153"/>
  <c r="G57" i="153"/>
  <c r="H57" i="142"/>
  <c r="H57" i="353"/>
  <c r="G57" i="353"/>
  <c r="H57" i="113"/>
  <c r="G57" i="113"/>
  <c r="H57" i="187"/>
  <c r="G57" i="187"/>
  <c r="T57" i="414"/>
  <c r="I57" i="414" s="1"/>
  <c r="J57" i="414" s="1"/>
  <c r="G57" i="324"/>
  <c r="H57" i="324"/>
  <c r="H57" i="253"/>
  <c r="G57" i="436"/>
  <c r="G57" i="202"/>
  <c r="G57" i="209"/>
  <c r="G57" i="102"/>
  <c r="G57" i="105"/>
  <c r="T57" i="170"/>
  <c r="I57" i="170" s="1"/>
  <c r="J57" i="170" s="1"/>
  <c r="G57" i="347"/>
  <c r="G57" i="15"/>
  <c r="G57" i="368"/>
  <c r="T57" i="321"/>
  <c r="I57" i="321" s="1"/>
  <c r="J57" i="321" s="1"/>
  <c r="T57" i="195"/>
  <c r="I57" i="195" s="1"/>
  <c r="J57" i="195" s="1"/>
  <c r="T57" i="327"/>
  <c r="I57" i="327" s="1"/>
  <c r="J57" i="327" s="1"/>
  <c r="G57" i="322"/>
  <c r="H57" i="104"/>
  <c r="G57" i="296"/>
  <c r="G57" i="338"/>
  <c r="G57" i="389"/>
  <c r="G57" i="16"/>
  <c r="G57" i="112"/>
  <c r="G57" i="339"/>
  <c r="G57" i="135"/>
  <c r="G57" i="33"/>
  <c r="G57" i="284"/>
  <c r="G57" i="297"/>
  <c r="G57" i="385"/>
  <c r="G57" i="37"/>
  <c r="G57" i="48"/>
  <c r="G57" i="424"/>
  <c r="H18" i="448"/>
  <c r="H38" i="448"/>
  <c r="G7" i="448"/>
  <c r="M52" i="448"/>
  <c r="H32" i="448"/>
  <c r="M49" i="448"/>
  <c r="C25" i="448"/>
  <c r="E25" i="448" s="1"/>
  <c r="H28" i="448"/>
  <c r="L16" i="448"/>
  <c r="G55" i="448"/>
  <c r="N55" i="448"/>
  <c r="L52" i="448"/>
  <c r="H52" i="448"/>
  <c r="G52" i="448"/>
  <c r="M43" i="448"/>
  <c r="H47" i="448"/>
  <c r="B37" i="448"/>
  <c r="H44" i="448"/>
  <c r="G33" i="448"/>
  <c r="B31" i="448"/>
  <c r="M34" i="448"/>
  <c r="H40" i="448"/>
  <c r="J32" i="448"/>
  <c r="J40" i="448"/>
  <c r="J33" i="448"/>
  <c r="J30" i="448"/>
  <c r="J37" i="448"/>
  <c r="M37" i="448"/>
  <c r="J24" i="448"/>
  <c r="H22" i="448"/>
  <c r="J22" i="448"/>
  <c r="G16" i="448"/>
  <c r="J19" i="448"/>
  <c r="G13" i="448"/>
  <c r="J26" i="448"/>
  <c r="G22" i="448"/>
  <c r="L46" i="448"/>
  <c r="J49" i="448"/>
  <c r="J52" i="448"/>
  <c r="G36" i="448"/>
  <c r="G47" i="448"/>
  <c r="H36" i="448"/>
  <c r="J38" i="448"/>
  <c r="J36" i="448"/>
  <c r="B40" i="448"/>
  <c r="H45" i="448"/>
  <c r="J47" i="448"/>
  <c r="N7" i="448"/>
  <c r="J31" i="448"/>
  <c r="H20" i="448"/>
  <c r="J28" i="448"/>
  <c r="H37" i="448"/>
  <c r="J42" i="448"/>
  <c r="J55" i="448"/>
  <c r="J20" i="448"/>
  <c r="B25" i="448"/>
  <c r="N25" i="448"/>
  <c r="O25" i="448" s="1"/>
  <c r="B43" i="448"/>
  <c r="L55" i="448"/>
  <c r="J18" i="448"/>
  <c r="N22" i="448"/>
  <c r="J23" i="448"/>
  <c r="N34" i="448"/>
  <c r="C43" i="448"/>
  <c r="J51" i="448"/>
  <c r="J53" i="448"/>
  <c r="H56" i="448"/>
  <c r="G15" i="448"/>
  <c r="G21" i="448"/>
  <c r="G32" i="448"/>
  <c r="J46" i="448"/>
  <c r="N52" i="448"/>
  <c r="O55" i="448" s="1"/>
  <c r="L49" i="448"/>
  <c r="G20" i="448"/>
  <c r="J39" i="448"/>
  <c r="G42" i="448"/>
  <c r="J45" i="448"/>
  <c r="N49" i="448"/>
  <c r="G6" i="448"/>
  <c r="H31" i="448"/>
  <c r="G24" i="448"/>
  <c r="L37" i="448"/>
  <c r="H49" i="448"/>
  <c r="C10" i="448"/>
  <c r="D10" i="448" s="1"/>
  <c r="N40" i="448"/>
  <c r="G9" i="448"/>
  <c r="M28" i="448"/>
  <c r="G39" i="448"/>
  <c r="M40" i="448"/>
  <c r="L40" i="448"/>
  <c r="N10" i="448"/>
  <c r="G12" i="448"/>
  <c r="H24" i="448"/>
  <c r="H17" i="448"/>
  <c r="C19" i="448"/>
  <c r="G17" i="448"/>
  <c r="B19" i="448"/>
  <c r="N28" i="448"/>
  <c r="H39" i="448"/>
  <c r="L43" i="448"/>
  <c r="N31" i="448"/>
  <c r="O31" i="448" s="1"/>
  <c r="L13" i="448"/>
  <c r="H34" i="448"/>
  <c r="G34" i="448"/>
  <c r="B34" i="448"/>
  <c r="C13" i="448"/>
  <c r="B13" i="448"/>
  <c r="G19" i="448"/>
  <c r="G30" i="448"/>
  <c r="J34" i="448"/>
  <c r="G51" i="448"/>
  <c r="G11" i="448"/>
  <c r="H19" i="448"/>
  <c r="H26" i="448"/>
  <c r="C28" i="448"/>
  <c r="G26" i="448"/>
  <c r="B28" i="448"/>
  <c r="H30" i="448"/>
  <c r="H51" i="448"/>
  <c r="B22" i="448"/>
  <c r="H21" i="448"/>
  <c r="B10" i="448"/>
  <c r="L19" i="448"/>
  <c r="H25" i="448"/>
  <c r="G25" i="448"/>
  <c r="G27" i="448"/>
  <c r="G31" i="448"/>
  <c r="I17" i="448"/>
  <c r="J17" i="448" s="1"/>
  <c r="N19" i="448"/>
  <c r="O22" i="448" s="1"/>
  <c r="H27" i="448"/>
  <c r="N43" i="448"/>
  <c r="O43" i="448" s="1"/>
  <c r="H46" i="448"/>
  <c r="J27" i="448"/>
  <c r="H29" i="448"/>
  <c r="H33" i="448"/>
  <c r="G50" i="448"/>
  <c r="B7" i="448"/>
  <c r="G10" i="448"/>
  <c r="G18" i="448"/>
  <c r="J35" i="448"/>
  <c r="G40" i="448"/>
  <c r="H42" i="448"/>
  <c r="J43" i="448"/>
  <c r="M46" i="448"/>
  <c r="J50" i="448"/>
  <c r="H54" i="448"/>
  <c r="G54" i="448"/>
  <c r="C55" i="448"/>
  <c r="D58" i="448" s="1"/>
  <c r="B55" i="448"/>
  <c r="G49" i="448"/>
  <c r="G23" i="448"/>
  <c r="H23" i="448"/>
  <c r="N16" i="448"/>
  <c r="O16" i="448" s="1"/>
  <c r="C22" i="448"/>
  <c r="G28" i="448"/>
  <c r="N37" i="448"/>
  <c r="C49" i="448"/>
  <c r="J54" i="448"/>
  <c r="C40" i="448"/>
  <c r="C16" i="448"/>
  <c r="J21" i="448"/>
  <c r="G38" i="448"/>
  <c r="G41" i="448"/>
  <c r="I44" i="448"/>
  <c r="J44" i="448" s="1"/>
  <c r="N46" i="448"/>
  <c r="H48" i="448"/>
  <c r="G48" i="448"/>
  <c r="G56" i="448"/>
  <c r="G8" i="448"/>
  <c r="G14" i="448"/>
  <c r="C31" i="448"/>
  <c r="M31" i="448"/>
  <c r="L31" i="448"/>
  <c r="G37" i="448"/>
  <c r="H41" i="448"/>
  <c r="H43" i="448"/>
  <c r="J48" i="448"/>
  <c r="G29" i="448"/>
  <c r="C34" i="448"/>
  <c r="H35" i="448"/>
  <c r="C37" i="448"/>
  <c r="G35" i="448"/>
  <c r="J41" i="448"/>
  <c r="G45" i="448"/>
  <c r="M22" i="448"/>
  <c r="L22" i="448"/>
  <c r="B49" i="448"/>
  <c r="C52" i="448"/>
  <c r="B52" i="448"/>
  <c r="H50" i="448"/>
  <c r="B46" i="448"/>
  <c r="G43" i="448"/>
  <c r="G44" i="448"/>
  <c r="C46" i="448"/>
  <c r="C55" i="447"/>
  <c r="D58" i="447" s="1"/>
  <c r="N55" i="447"/>
  <c r="L16" i="446"/>
  <c r="G56" i="447"/>
  <c r="B55" i="446"/>
  <c r="G20" i="447"/>
  <c r="H39" i="447"/>
  <c r="G52" i="447"/>
  <c r="H48" i="447"/>
  <c r="G53" i="447"/>
  <c r="N52" i="447"/>
  <c r="H46" i="447"/>
  <c r="C49" i="447"/>
  <c r="H33" i="447"/>
  <c r="M28" i="447"/>
  <c r="J42" i="447"/>
  <c r="H50" i="447"/>
  <c r="H28" i="447"/>
  <c r="G19" i="447"/>
  <c r="G54" i="447"/>
  <c r="B55" i="447"/>
  <c r="G9" i="447"/>
  <c r="J17" i="447"/>
  <c r="H40" i="447"/>
  <c r="N28" i="447"/>
  <c r="H24" i="447"/>
  <c r="G14" i="447"/>
  <c r="C28" i="447"/>
  <c r="C37" i="447"/>
  <c r="B13" i="447"/>
  <c r="G55" i="447"/>
  <c r="L46" i="447"/>
  <c r="G44" i="447"/>
  <c r="B52" i="447"/>
  <c r="G46" i="447"/>
  <c r="N49" i="447"/>
  <c r="J44" i="447"/>
  <c r="J51" i="447"/>
  <c r="B31" i="447"/>
  <c r="H49" i="447"/>
  <c r="H30" i="447"/>
  <c r="M37" i="447"/>
  <c r="B40" i="447"/>
  <c r="H42" i="447"/>
  <c r="M49" i="447"/>
  <c r="M19" i="447"/>
  <c r="J31" i="447"/>
  <c r="M31" i="447"/>
  <c r="B19" i="447"/>
  <c r="B22" i="447"/>
  <c r="H31" i="447"/>
  <c r="J33" i="447"/>
  <c r="G8" i="447"/>
  <c r="H20" i="447"/>
  <c r="N7" i="447"/>
  <c r="J20" i="447"/>
  <c r="C7" i="447"/>
  <c r="G10" i="447"/>
  <c r="J28" i="447"/>
  <c r="H23" i="447"/>
  <c r="M40" i="447"/>
  <c r="H47" i="447"/>
  <c r="J18" i="447"/>
  <c r="N40" i="447"/>
  <c r="J49" i="447"/>
  <c r="J55" i="447"/>
  <c r="H32" i="447"/>
  <c r="G45" i="447"/>
  <c r="G24" i="447"/>
  <c r="J41" i="447"/>
  <c r="J45" i="447"/>
  <c r="G16" i="447"/>
  <c r="G21" i="447"/>
  <c r="N31" i="447"/>
  <c r="G33" i="447"/>
  <c r="J36" i="447"/>
  <c r="C13" i="447"/>
  <c r="H21" i="447"/>
  <c r="N25" i="447"/>
  <c r="G49" i="447"/>
  <c r="L49" i="447"/>
  <c r="L55" i="447"/>
  <c r="L10" i="447"/>
  <c r="L37" i="447"/>
  <c r="J40" i="447"/>
  <c r="G47" i="447"/>
  <c r="N22" i="447"/>
  <c r="J39" i="447"/>
  <c r="G43" i="447"/>
  <c r="G50" i="447"/>
  <c r="G29" i="447"/>
  <c r="G38" i="447"/>
  <c r="H29" i="447"/>
  <c r="H38" i="447"/>
  <c r="J32" i="447"/>
  <c r="N10" i="447"/>
  <c r="H25" i="447"/>
  <c r="N34" i="447"/>
  <c r="O34" i="447" s="1"/>
  <c r="G37" i="447"/>
  <c r="G39" i="447"/>
  <c r="H52" i="447"/>
  <c r="B10" i="447"/>
  <c r="B34" i="447"/>
  <c r="I7" i="447"/>
  <c r="J19" i="447" s="1"/>
  <c r="C22" i="447"/>
  <c r="L25" i="447"/>
  <c r="G34" i="447"/>
  <c r="M43" i="447"/>
  <c r="M46" i="447"/>
  <c r="M52" i="447"/>
  <c r="H54" i="447"/>
  <c r="M22" i="447"/>
  <c r="H41" i="447"/>
  <c r="N16" i="447"/>
  <c r="G13" i="447"/>
  <c r="J21" i="447"/>
  <c r="G28" i="447"/>
  <c r="G30" i="447"/>
  <c r="N43" i="447"/>
  <c r="G48" i="447"/>
  <c r="G7" i="447"/>
  <c r="H37" i="447"/>
  <c r="N13" i="447"/>
  <c r="L16" i="447"/>
  <c r="H22" i="447"/>
  <c r="M25" i="447"/>
  <c r="C31" i="447"/>
  <c r="C40" i="447"/>
  <c r="L43" i="447"/>
  <c r="B49" i="447"/>
  <c r="I50" i="447"/>
  <c r="J50" i="447" s="1"/>
  <c r="J54" i="447"/>
  <c r="J25" i="447"/>
  <c r="L34" i="447"/>
  <c r="J22" i="447"/>
  <c r="J34" i="447"/>
  <c r="J23" i="447"/>
  <c r="J35" i="447"/>
  <c r="J47" i="447"/>
  <c r="J27" i="447"/>
  <c r="J29" i="447"/>
  <c r="J53" i="447"/>
  <c r="J24" i="447"/>
  <c r="J30" i="447"/>
  <c r="J46" i="447"/>
  <c r="J48" i="447"/>
  <c r="J52" i="447"/>
  <c r="J37" i="447"/>
  <c r="J56" i="447"/>
  <c r="J43" i="447"/>
  <c r="M55" i="447"/>
  <c r="H19" i="447"/>
  <c r="M34" i="447"/>
  <c r="G18" i="447"/>
  <c r="H18" i="447"/>
  <c r="B25" i="447"/>
  <c r="B43" i="447"/>
  <c r="G11" i="447"/>
  <c r="G15" i="447"/>
  <c r="G22" i="447"/>
  <c r="C25" i="447"/>
  <c r="G31" i="447"/>
  <c r="G32" i="447"/>
  <c r="C43" i="447"/>
  <c r="H36" i="447"/>
  <c r="C10" i="447"/>
  <c r="G23" i="447"/>
  <c r="C34" i="447"/>
  <c r="G40" i="447"/>
  <c r="G41" i="447"/>
  <c r="L19" i="447"/>
  <c r="L28" i="447"/>
  <c r="L52" i="447"/>
  <c r="G27" i="447"/>
  <c r="H27" i="447"/>
  <c r="H45" i="447"/>
  <c r="L13" i="447"/>
  <c r="G36" i="447"/>
  <c r="N19" i="447"/>
  <c r="N46" i="447"/>
  <c r="H56" i="447"/>
  <c r="G17" i="447"/>
  <c r="G25" i="447"/>
  <c r="G35" i="447"/>
  <c r="C52" i="447"/>
  <c r="H17" i="447"/>
  <c r="L22" i="447"/>
  <c r="H26" i="447"/>
  <c r="L31" i="447"/>
  <c r="H34" i="447"/>
  <c r="H35" i="447"/>
  <c r="L40" i="447"/>
  <c r="H43" i="447"/>
  <c r="H44" i="447"/>
  <c r="H51" i="447"/>
  <c r="G6" i="447"/>
  <c r="B28" i="447"/>
  <c r="N37" i="447"/>
  <c r="G12" i="447"/>
  <c r="C19" i="447"/>
  <c r="G26" i="447"/>
  <c r="C46" i="447"/>
  <c r="B7" i="447"/>
  <c r="I26" i="447"/>
  <c r="J26" i="447" s="1"/>
  <c r="G42" i="447"/>
  <c r="G51" i="447"/>
  <c r="B16" i="447"/>
  <c r="B37" i="447"/>
  <c r="B46" i="447"/>
  <c r="H55" i="447"/>
  <c r="C16" i="447"/>
  <c r="G47" i="446"/>
  <c r="L19" i="446"/>
  <c r="N7" i="446"/>
  <c r="G14" i="446"/>
  <c r="G54" i="446"/>
  <c r="G53" i="446"/>
  <c r="G50" i="446"/>
  <c r="N52" i="446"/>
  <c r="G33" i="446"/>
  <c r="B31" i="446"/>
  <c r="B40" i="446"/>
  <c r="N31" i="446"/>
  <c r="G20" i="446"/>
  <c r="L13" i="446"/>
  <c r="N55" i="446"/>
  <c r="C55" i="446"/>
  <c r="D58" i="446" s="1"/>
  <c r="G55" i="446"/>
  <c r="G48" i="446"/>
  <c r="M43" i="446"/>
  <c r="G35" i="446"/>
  <c r="M37" i="446"/>
  <c r="H20" i="446"/>
  <c r="N22" i="446"/>
  <c r="H32" i="446"/>
  <c r="G7" i="446"/>
  <c r="J23" i="446"/>
  <c r="G13" i="446"/>
  <c r="G9" i="446"/>
  <c r="I5" i="446"/>
  <c r="J17" i="446" s="1"/>
  <c r="J19" i="446"/>
  <c r="J28" i="446"/>
  <c r="G10" i="446"/>
  <c r="M28" i="446"/>
  <c r="M25" i="446"/>
  <c r="N16" i="446"/>
  <c r="J18" i="446"/>
  <c r="H26" i="446"/>
  <c r="C7" i="446"/>
  <c r="H19" i="446"/>
  <c r="J26" i="446"/>
  <c r="H40" i="446"/>
  <c r="H37" i="446"/>
  <c r="C19" i="446"/>
  <c r="J33" i="446"/>
  <c r="H34" i="446"/>
  <c r="L25" i="446"/>
  <c r="H28" i="446"/>
  <c r="J25" i="446"/>
  <c r="J39" i="446"/>
  <c r="J44" i="446"/>
  <c r="G29" i="446"/>
  <c r="H41" i="446"/>
  <c r="H42" i="446"/>
  <c r="J49" i="446"/>
  <c r="G38" i="446"/>
  <c r="H43" i="446"/>
  <c r="N40" i="446"/>
  <c r="L34" i="446"/>
  <c r="J37" i="446"/>
  <c r="L43" i="446"/>
  <c r="J51" i="446"/>
  <c r="I50" i="446"/>
  <c r="C52" i="446"/>
  <c r="G51" i="446"/>
  <c r="C49" i="446"/>
  <c r="H51" i="446"/>
  <c r="L55" i="446"/>
  <c r="G49" i="446"/>
  <c r="H49" i="446"/>
  <c r="H48" i="446"/>
  <c r="L46" i="446"/>
  <c r="B49" i="446"/>
  <c r="M55" i="446"/>
  <c r="J30" i="446"/>
  <c r="B10" i="446"/>
  <c r="H44" i="446"/>
  <c r="C10" i="446"/>
  <c r="G26" i="446"/>
  <c r="G44" i="446"/>
  <c r="J24" i="446"/>
  <c r="H33" i="446"/>
  <c r="H25" i="446"/>
  <c r="C28" i="446"/>
  <c r="H29" i="446"/>
  <c r="H38" i="446"/>
  <c r="J42" i="446"/>
  <c r="C46" i="446"/>
  <c r="H47" i="446"/>
  <c r="H21" i="446"/>
  <c r="G25" i="446"/>
  <c r="J27" i="446"/>
  <c r="N49" i="446"/>
  <c r="H53" i="446"/>
  <c r="N13" i="446"/>
  <c r="J21" i="446"/>
  <c r="G30" i="446"/>
  <c r="G34" i="446"/>
  <c r="G39" i="446"/>
  <c r="G43" i="446"/>
  <c r="L10" i="446"/>
  <c r="L49" i="446"/>
  <c r="J55" i="446"/>
  <c r="B13" i="446"/>
  <c r="H22" i="446"/>
  <c r="H46" i="446"/>
  <c r="H31" i="446"/>
  <c r="N34" i="446"/>
  <c r="J48" i="446"/>
  <c r="H50" i="446"/>
  <c r="H52" i="446"/>
  <c r="H56" i="446"/>
  <c r="H17" i="446"/>
  <c r="N25" i="446"/>
  <c r="M49" i="446"/>
  <c r="N43" i="446"/>
  <c r="M46" i="446"/>
  <c r="H54" i="446"/>
  <c r="G8" i="446"/>
  <c r="H24" i="446"/>
  <c r="G17" i="446"/>
  <c r="M19" i="446"/>
  <c r="M22" i="446"/>
  <c r="J31" i="446"/>
  <c r="L37" i="446"/>
  <c r="M52" i="446"/>
  <c r="N10" i="446"/>
  <c r="G16" i="446"/>
  <c r="B22" i="446"/>
  <c r="G24" i="446"/>
  <c r="M31" i="446"/>
  <c r="H35" i="446"/>
  <c r="M40" i="446"/>
  <c r="J35" i="446"/>
  <c r="J36" i="446"/>
  <c r="J45" i="446"/>
  <c r="J47" i="446"/>
  <c r="J53" i="446"/>
  <c r="J46" i="446"/>
  <c r="J22" i="446"/>
  <c r="J34" i="446"/>
  <c r="J56" i="446"/>
  <c r="J40" i="446"/>
  <c r="J52" i="446"/>
  <c r="J43" i="446"/>
  <c r="J54" i="446"/>
  <c r="C13" i="446"/>
  <c r="G19" i="446"/>
  <c r="C22" i="446"/>
  <c r="G28" i="446"/>
  <c r="C31" i="446"/>
  <c r="G37" i="446"/>
  <c r="C40" i="446"/>
  <c r="G46" i="446"/>
  <c r="G52" i="446"/>
  <c r="G18" i="446"/>
  <c r="I20" i="446"/>
  <c r="J20" i="446" s="1"/>
  <c r="G27" i="446"/>
  <c r="I29" i="446"/>
  <c r="J29" i="446" s="1"/>
  <c r="M34" i="446"/>
  <c r="G36" i="446"/>
  <c r="I38" i="446"/>
  <c r="J38" i="446" s="1"/>
  <c r="G45" i="446"/>
  <c r="H18" i="446"/>
  <c r="B25" i="446"/>
  <c r="H27" i="446"/>
  <c r="B34" i="446"/>
  <c r="H36" i="446"/>
  <c r="B43" i="446"/>
  <c r="H45" i="446"/>
  <c r="G11" i="446"/>
  <c r="G15" i="446"/>
  <c r="G22" i="446"/>
  <c r="G23" i="446"/>
  <c r="C25" i="446"/>
  <c r="G31" i="446"/>
  <c r="G32" i="446"/>
  <c r="C34" i="446"/>
  <c r="G40" i="446"/>
  <c r="G41" i="446"/>
  <c r="C43" i="446"/>
  <c r="H23" i="446"/>
  <c r="L28" i="446"/>
  <c r="L52" i="446"/>
  <c r="G21" i="446"/>
  <c r="G56" i="446"/>
  <c r="G6" i="446"/>
  <c r="B16" i="446"/>
  <c r="B19" i="446"/>
  <c r="N19" i="446"/>
  <c r="B28" i="446"/>
  <c r="N28" i="446"/>
  <c r="H30" i="446"/>
  <c r="B37" i="446"/>
  <c r="N37" i="446"/>
  <c r="H39" i="446"/>
  <c r="B46" i="446"/>
  <c r="N46" i="446"/>
  <c r="B52" i="446"/>
  <c r="H55" i="446"/>
  <c r="G12" i="446"/>
  <c r="C16" i="446"/>
  <c r="C37" i="446"/>
  <c r="L22" i="446"/>
  <c r="L31" i="446"/>
  <c r="L40" i="446"/>
  <c r="B7" i="446"/>
  <c r="G42" i="446"/>
  <c r="E55" i="447" l="1"/>
  <c r="D55" i="447"/>
  <c r="E58" i="265"/>
  <c r="E58" i="294"/>
  <c r="E58" i="162"/>
  <c r="E58" i="12"/>
  <c r="E58" i="413"/>
  <c r="E58" i="22"/>
  <c r="E58" i="116"/>
  <c r="E58" i="113"/>
  <c r="E58" i="53"/>
  <c r="E58" i="325"/>
  <c r="E58" i="442"/>
  <c r="E58" i="107"/>
  <c r="E58" i="181"/>
  <c r="E58" i="445"/>
  <c r="E58" i="409"/>
  <c r="E58" i="169"/>
  <c r="E58" i="353"/>
  <c r="E58" i="105"/>
  <c r="E58" i="54"/>
  <c r="E58" i="440"/>
  <c r="E58" i="420"/>
  <c r="E58" i="61"/>
  <c r="E58" i="109"/>
  <c r="E58" i="160"/>
  <c r="E58" i="263"/>
  <c r="E58" i="422"/>
  <c r="E58" i="339"/>
  <c r="H57" i="414"/>
  <c r="H57" i="144"/>
  <c r="H57" i="395"/>
  <c r="H57" i="186"/>
  <c r="O37" i="448"/>
  <c r="O49" i="448"/>
  <c r="J56" i="448"/>
  <c r="D13" i="448"/>
  <c r="D16" i="448"/>
  <c r="O10" i="448"/>
  <c r="O28" i="448"/>
  <c r="O52" i="448"/>
  <c r="E37" i="448"/>
  <c r="D37" i="448"/>
  <c r="E31" i="448"/>
  <c r="D31" i="448"/>
  <c r="D34" i="448"/>
  <c r="E34" i="448"/>
  <c r="D49" i="448"/>
  <c r="E49" i="448"/>
  <c r="E52" i="448"/>
  <c r="D52" i="448"/>
  <c r="E22" i="448"/>
  <c r="D22" i="448"/>
  <c r="O46" i="448"/>
  <c r="O19" i="448"/>
  <c r="E43" i="448"/>
  <c r="O40" i="448"/>
  <c r="E40" i="448"/>
  <c r="D40" i="448"/>
  <c r="O34" i="448"/>
  <c r="O13" i="448"/>
  <c r="D25" i="448"/>
  <c r="D43" i="448"/>
  <c r="E46" i="448"/>
  <c r="D46" i="448"/>
  <c r="E55" i="448"/>
  <c r="D55" i="448"/>
  <c r="E28" i="448"/>
  <c r="D28" i="448"/>
  <c r="E19" i="448"/>
  <c r="D19" i="448"/>
  <c r="J29" i="448"/>
  <c r="D22" i="447"/>
  <c r="O16" i="446"/>
  <c r="O55" i="446"/>
  <c r="D49" i="446"/>
  <c r="O46" i="447"/>
  <c r="O34" i="446"/>
  <c r="E49" i="447"/>
  <c r="D10" i="447"/>
  <c r="O52" i="447"/>
  <c r="O55" i="447"/>
  <c r="O25" i="447"/>
  <c r="O16" i="447"/>
  <c r="O31" i="447"/>
  <c r="D16" i="447"/>
  <c r="D40" i="447"/>
  <c r="O10" i="447"/>
  <c r="O37" i="447"/>
  <c r="D31" i="447"/>
  <c r="E40" i="447"/>
  <c r="J38" i="447"/>
  <c r="E22" i="447"/>
  <c r="O13" i="447"/>
  <c r="O49" i="447"/>
  <c r="O43" i="447"/>
  <c r="O28" i="447"/>
  <c r="O19" i="447"/>
  <c r="O40" i="447"/>
  <c r="E25" i="447"/>
  <c r="D25" i="447"/>
  <c r="D13" i="447"/>
  <c r="E46" i="447"/>
  <c r="D46" i="447"/>
  <c r="E34" i="447"/>
  <c r="D34" i="447"/>
  <c r="D49" i="447"/>
  <c r="O22" i="447"/>
  <c r="E31" i="447"/>
  <c r="D37" i="447"/>
  <c r="E52" i="447"/>
  <c r="D52" i="447"/>
  <c r="D28" i="447"/>
  <c r="E37" i="447"/>
  <c r="E28" i="447"/>
  <c r="E19" i="447"/>
  <c r="D19" i="447"/>
  <c r="E43" i="447"/>
  <c r="D43" i="447"/>
  <c r="O10" i="446"/>
  <c r="O25" i="446"/>
  <c r="O40" i="446"/>
  <c r="E55" i="446"/>
  <c r="D55" i="446"/>
  <c r="O52" i="446"/>
  <c r="D52" i="446"/>
  <c r="J50" i="446"/>
  <c r="O43" i="446"/>
  <c r="E19" i="446"/>
  <c r="D10" i="446"/>
  <c r="O19" i="446"/>
  <c r="D46" i="446"/>
  <c r="O46" i="446"/>
  <c r="J41" i="446"/>
  <c r="O37" i="446"/>
  <c r="D13" i="446"/>
  <c r="J32" i="446"/>
  <c r="O28" i="446"/>
  <c r="O13" i="446"/>
  <c r="D16" i="446"/>
  <c r="E37" i="446"/>
  <c r="D37" i="446"/>
  <c r="O22" i="446"/>
  <c r="E34" i="446"/>
  <c r="D34" i="446"/>
  <c r="E25" i="446"/>
  <c r="D25" i="446"/>
  <c r="E40" i="446"/>
  <c r="D40" i="446"/>
  <c r="O49" i="446"/>
  <c r="O31" i="446"/>
  <c r="E31" i="446"/>
  <c r="D31" i="446"/>
  <c r="E46" i="446"/>
  <c r="E52" i="446"/>
  <c r="E22" i="446"/>
  <c r="D22" i="446"/>
  <c r="E49" i="446"/>
  <c r="D28" i="446"/>
  <c r="D19" i="446"/>
  <c r="E43" i="446"/>
  <c r="D43" i="446"/>
  <c r="E28" i="446"/>
  <c r="F56" i="46" l="1"/>
  <c r="F56" i="248"/>
  <c r="F56" i="239"/>
  <c r="F56" i="243"/>
  <c r="F56" i="244"/>
  <c r="F56" i="246"/>
  <c r="M43" i="191"/>
  <c r="M46" i="191"/>
  <c r="M49" i="191"/>
  <c r="M52" i="191"/>
  <c r="M55" i="191"/>
  <c r="S56" i="231"/>
  <c r="U56" i="231" s="1"/>
  <c r="R56" i="231"/>
  <c r="Q56" i="231"/>
  <c r="F56" i="231" s="1"/>
  <c r="S56" i="185"/>
  <c r="R56" i="185"/>
  <c r="Q56" i="185"/>
  <c r="F56" i="185" s="1"/>
  <c r="R56" i="149"/>
  <c r="Q56" i="149"/>
  <c r="F56" i="149" s="1"/>
  <c r="S56" i="321"/>
  <c r="R56" i="321"/>
  <c r="Q56" i="321"/>
  <c r="F56" i="321" s="1"/>
  <c r="S56" i="398"/>
  <c r="R56" i="398"/>
  <c r="Q56" i="398"/>
  <c r="F56" i="398" s="1"/>
  <c r="S56" i="300"/>
  <c r="R56" i="300"/>
  <c r="Q56" i="300"/>
  <c r="F56" i="300" s="1"/>
  <c r="U56" i="202"/>
  <c r="T56" i="202"/>
  <c r="I56" i="202" s="1"/>
  <c r="T56" i="432"/>
  <c r="I56" i="432" s="1"/>
  <c r="U56" i="17"/>
  <c r="T56" i="17"/>
  <c r="I56" i="17" s="1"/>
  <c r="U56" i="385"/>
  <c r="T56" i="385"/>
  <c r="I56" i="385" s="1"/>
  <c r="U56" i="349"/>
  <c r="T56" i="349"/>
  <c r="I56" i="349" s="1"/>
  <c r="U56" i="16"/>
  <c r="T56" i="16"/>
  <c r="I56" i="16" s="1"/>
  <c r="U56" i="445"/>
  <c r="T56" i="445"/>
  <c r="I56" i="445" s="1"/>
  <c r="U56" i="7"/>
  <c r="T56" i="7"/>
  <c r="I56" i="7" s="1"/>
  <c r="U56" i="2"/>
  <c r="T56" i="2"/>
  <c r="I56" i="2" s="1"/>
  <c r="U56" i="442"/>
  <c r="T56" i="442"/>
  <c r="I56" i="442" s="1"/>
  <c r="U56" i="424"/>
  <c r="T56" i="424"/>
  <c r="I56" i="424" s="1"/>
  <c r="U56" i="187"/>
  <c r="T56" i="187"/>
  <c r="I56" i="187" s="1"/>
  <c r="U56" i="74"/>
  <c r="T56" i="74"/>
  <c r="I56" i="74" s="1"/>
  <c r="U56" i="288"/>
  <c r="T56" i="288"/>
  <c r="I56" i="288" s="1"/>
  <c r="U56" i="9"/>
  <c r="T56" i="9"/>
  <c r="I56" i="9" s="1"/>
  <c r="U56" i="3"/>
  <c r="T56" i="3"/>
  <c r="I56" i="3" s="1"/>
  <c r="U56" i="89"/>
  <c r="T56" i="89"/>
  <c r="I56" i="89" s="1"/>
  <c r="U56" i="389"/>
  <c r="T56" i="389"/>
  <c r="I56" i="389" s="1"/>
  <c r="U56" i="386"/>
  <c r="T56" i="386"/>
  <c r="I56" i="386" s="1"/>
  <c r="U56" i="303"/>
  <c r="T56" i="303"/>
  <c r="I56" i="303" s="1"/>
  <c r="U56" i="48"/>
  <c r="T56" i="48"/>
  <c r="I56" i="48" s="1"/>
  <c r="U56" i="5"/>
  <c r="T56" i="5"/>
  <c r="I56" i="5" s="1"/>
  <c r="U56" i="207"/>
  <c r="T56" i="207"/>
  <c r="I56" i="207" s="1"/>
  <c r="U56" i="21"/>
  <c r="T56" i="21"/>
  <c r="I56" i="21" s="1"/>
  <c r="U56" i="299"/>
  <c r="T56" i="299"/>
  <c r="I56" i="299" s="1"/>
  <c r="U56" i="85"/>
  <c r="T56" i="85"/>
  <c r="I56" i="85" s="1"/>
  <c r="U56" i="32"/>
  <c r="T56" i="32"/>
  <c r="I56" i="32" s="1"/>
  <c r="U56" i="190"/>
  <c r="T56" i="190"/>
  <c r="I56" i="190" s="1"/>
  <c r="U56" i="318"/>
  <c r="T56" i="318"/>
  <c r="I56" i="318" s="1"/>
  <c r="U56" i="61"/>
  <c r="T56" i="61"/>
  <c r="I56" i="61" s="1"/>
  <c r="U56" i="206"/>
  <c r="T56" i="206"/>
  <c r="I56" i="206" s="1"/>
  <c r="U56" i="338"/>
  <c r="T56" i="338"/>
  <c r="I56" i="338" s="1"/>
  <c r="U56" i="75"/>
  <c r="T56" i="75"/>
  <c r="I56" i="75" s="1"/>
  <c r="U56" i="23"/>
  <c r="T56" i="23"/>
  <c r="I56" i="23" s="1"/>
  <c r="S56" i="414"/>
  <c r="R56" i="414"/>
  <c r="Q56" i="414"/>
  <c r="F56" i="414" s="1"/>
  <c r="U56" i="8"/>
  <c r="T56" i="8"/>
  <c r="I56" i="8" s="1"/>
  <c r="U56" i="203"/>
  <c r="T56" i="203"/>
  <c r="I56" i="203" s="1"/>
  <c r="U56" i="37"/>
  <c r="T56" i="37"/>
  <c r="I56" i="37" s="1"/>
  <c r="U56" i="409"/>
  <c r="T56" i="409"/>
  <c r="I56" i="409" s="1"/>
  <c r="U56" i="4"/>
  <c r="T56" i="4"/>
  <c r="I56" i="4" s="1"/>
  <c r="U56" i="441"/>
  <c r="T56" i="441"/>
  <c r="I56" i="441" s="1"/>
  <c r="U56" i="434"/>
  <c r="T56" i="434"/>
  <c r="I56" i="434" s="1"/>
  <c r="U56" i="435"/>
  <c r="T56" i="435"/>
  <c r="I56" i="435" s="1"/>
  <c r="U56" i="436"/>
  <c r="T56" i="436"/>
  <c r="U56" i="438"/>
  <c r="T56" i="438"/>
  <c r="I56" i="438" s="1"/>
  <c r="U56" i="440"/>
  <c r="T56" i="440"/>
  <c r="U56" i="192"/>
  <c r="T56" i="192"/>
  <c r="I56" i="192" s="1"/>
  <c r="U56" i="437"/>
  <c r="T56" i="437"/>
  <c r="I56" i="437" s="1"/>
  <c r="U56" i="439"/>
  <c r="T56" i="439"/>
  <c r="I56" i="439" s="1"/>
  <c r="U56" i="1"/>
  <c r="T56" i="1"/>
  <c r="I56" i="1" s="1"/>
  <c r="U56" i="397"/>
  <c r="T56" i="397"/>
  <c r="U56" i="296"/>
  <c r="T56" i="296"/>
  <c r="U56" i="113"/>
  <c r="T56" i="113"/>
  <c r="I56" i="113" s="1"/>
  <c r="U56" i="431"/>
  <c r="T56" i="431"/>
  <c r="U56" i="361"/>
  <c r="T56" i="361"/>
  <c r="I56" i="361" s="1"/>
  <c r="U56" i="351"/>
  <c r="T56" i="351"/>
  <c r="I56" i="351" s="1"/>
  <c r="U56" i="352"/>
  <c r="T56" i="352"/>
  <c r="I56" i="352" s="1"/>
  <c r="U56" i="270"/>
  <c r="T56" i="270"/>
  <c r="U56" i="104"/>
  <c r="T56" i="104"/>
  <c r="I56" i="104" s="1"/>
  <c r="U56" i="271"/>
  <c r="T56" i="271"/>
  <c r="U56" i="371"/>
  <c r="T56" i="371"/>
  <c r="I56" i="371" s="1"/>
  <c r="U56" i="413"/>
  <c r="T56" i="413"/>
  <c r="U56" i="430"/>
  <c r="T56" i="430"/>
  <c r="I56" i="430" s="1"/>
  <c r="U56" i="322"/>
  <c r="T56" i="322"/>
  <c r="U56" i="353"/>
  <c r="T56" i="353"/>
  <c r="I56" i="353" s="1"/>
  <c r="U56" i="362"/>
  <c r="T56" i="362"/>
  <c r="U56" i="354"/>
  <c r="T56" i="354"/>
  <c r="I56" i="354" s="1"/>
  <c r="U56" i="233"/>
  <c r="T56" i="233"/>
  <c r="I56" i="233" s="1"/>
  <c r="U56" i="298"/>
  <c r="T56" i="298"/>
  <c r="I56" i="298" s="1"/>
  <c r="U56" i="367"/>
  <c r="T56" i="367"/>
  <c r="U56" i="387"/>
  <c r="T56" i="387"/>
  <c r="I56" i="387" s="1"/>
  <c r="U56" i="314"/>
  <c r="T56" i="314"/>
  <c r="S56" i="142"/>
  <c r="R56" i="142"/>
  <c r="Q56" i="142"/>
  <c r="F56" i="142" s="1"/>
  <c r="T56" i="18"/>
  <c r="U56" i="20"/>
  <c r="T56" i="20"/>
  <c r="I56" i="20" s="1"/>
  <c r="U56" i="422"/>
  <c r="T56" i="422"/>
  <c r="I56" i="422" s="1"/>
  <c r="U56" i="43"/>
  <c r="T56" i="43"/>
  <c r="I56" i="43" s="1"/>
  <c r="U56" i="423"/>
  <c r="T56" i="423"/>
  <c r="U56" i="152"/>
  <c r="T56" i="152"/>
  <c r="I56" i="152" s="1"/>
  <c r="U56" i="13"/>
  <c r="T56" i="13"/>
  <c r="I56" i="13" s="1"/>
  <c r="U56" i="261"/>
  <c r="T56" i="261"/>
  <c r="I56" i="261" s="1"/>
  <c r="U56" i="153"/>
  <c r="I56" i="153"/>
  <c r="U56" i="257"/>
  <c r="T56" i="257"/>
  <c r="U56" i="174"/>
  <c r="I56" i="174"/>
  <c r="S56" i="327"/>
  <c r="R56" i="327"/>
  <c r="Q56" i="327"/>
  <c r="F56" i="327" s="1"/>
  <c r="U56" i="328"/>
  <c r="T56" i="328"/>
  <c r="I56" i="328" s="1"/>
  <c r="U56" i="329"/>
  <c r="T56" i="329"/>
  <c r="I56" i="329" s="1"/>
  <c r="S56" i="195"/>
  <c r="R56" i="195"/>
  <c r="Q56" i="195"/>
  <c r="F56" i="195" s="1"/>
  <c r="U56" i="194"/>
  <c r="T56" i="194"/>
  <c r="U56" i="193"/>
  <c r="T56" i="193"/>
  <c r="I56" i="193" s="1"/>
  <c r="U56" i="319"/>
  <c r="T56" i="319"/>
  <c r="I56" i="319" s="1"/>
  <c r="U56" i="320"/>
  <c r="T56" i="320"/>
  <c r="U56" i="12"/>
  <c r="T56" i="12"/>
  <c r="U56" i="356"/>
  <c r="T56" i="356"/>
  <c r="I56" i="356" s="1"/>
  <c r="S56" i="395"/>
  <c r="R56" i="395"/>
  <c r="Q56" i="395"/>
  <c r="F56" i="395" s="1"/>
  <c r="U56" i="394"/>
  <c r="T56" i="394"/>
  <c r="I56" i="394" s="1"/>
  <c r="U56" i="393"/>
  <c r="T56" i="393"/>
  <c r="U56" i="433"/>
  <c r="T56" i="433"/>
  <c r="I56" i="433" s="1"/>
  <c r="U56" i="52"/>
  <c r="T56" i="52"/>
  <c r="I56" i="52" s="1"/>
  <c r="U56" i="425"/>
  <c r="T56" i="425"/>
  <c r="S56" i="149"/>
  <c r="U56" i="88"/>
  <c r="T56" i="88"/>
  <c r="I56" i="88" s="1"/>
  <c r="U56" i="148"/>
  <c r="T56" i="148"/>
  <c r="I56" i="148" s="1"/>
  <c r="U56" i="97"/>
  <c r="T56" i="97"/>
  <c r="U56" i="383"/>
  <c r="T56" i="383"/>
  <c r="I56" i="383" s="1"/>
  <c r="S56" i="253"/>
  <c r="R56" i="253"/>
  <c r="Q56" i="253"/>
  <c r="F56" i="253" s="1"/>
  <c r="U56" i="28"/>
  <c r="T56" i="28"/>
  <c r="I56" i="28" s="1"/>
  <c r="U56" i="29"/>
  <c r="T56" i="29"/>
  <c r="I56" i="29" s="1"/>
  <c r="U56" i="359"/>
  <c r="T56" i="359"/>
  <c r="I56" i="359" s="1"/>
  <c r="U56" i="360"/>
  <c r="T56" i="360"/>
  <c r="I56" i="360" s="1"/>
  <c r="U56" i="368"/>
  <c r="T56" i="368"/>
  <c r="I56" i="368" s="1"/>
  <c r="U56" i="364"/>
  <c r="T56" i="364"/>
  <c r="I56" i="364" s="1"/>
  <c r="U56" i="420"/>
  <c r="T56" i="420"/>
  <c r="U56" i="191"/>
  <c r="T56" i="191"/>
  <c r="I56" i="191" s="1"/>
  <c r="U56" i="164"/>
  <c r="T56" i="164"/>
  <c r="I56" i="164" s="1"/>
  <c r="U56" i="162"/>
  <c r="T56" i="162"/>
  <c r="I56" i="162" s="1"/>
  <c r="U56" i="421"/>
  <c r="T56" i="421"/>
  <c r="I56" i="421" s="1"/>
  <c r="U56" i="333"/>
  <c r="T56" i="333"/>
  <c r="I56" i="333" s="1"/>
  <c r="U56" i="53"/>
  <c r="T56" i="53"/>
  <c r="I56" i="53" s="1"/>
  <c r="U56" i="114"/>
  <c r="T56" i="114"/>
  <c r="I56" i="114" s="1"/>
  <c r="U56" i="400"/>
  <c r="T56" i="400"/>
  <c r="U56" i="334"/>
  <c r="T56" i="334"/>
  <c r="I56" i="334" s="1"/>
  <c r="U56" i="15"/>
  <c r="T56" i="15"/>
  <c r="I56" i="15" s="1"/>
  <c r="U56" i="355"/>
  <c r="T56" i="355"/>
  <c r="I56" i="355" s="1"/>
  <c r="U56" i="54"/>
  <c r="T56" i="54"/>
  <c r="I56" i="54" s="1"/>
  <c r="U56" i="384"/>
  <c r="I56" i="384"/>
  <c r="U56" i="201"/>
  <c r="T56" i="201"/>
  <c r="U56" i="249"/>
  <c r="T56" i="249"/>
  <c r="I56" i="249" s="1"/>
  <c r="U56" i="19"/>
  <c r="T56" i="19"/>
  <c r="I56" i="19" s="1"/>
  <c r="U56" i="347"/>
  <c r="T56" i="347"/>
  <c r="I56" i="347" s="1"/>
  <c r="U56" i="204"/>
  <c r="T56" i="204"/>
  <c r="I56" i="204" s="1"/>
  <c r="U56" i="31"/>
  <c r="T56" i="31"/>
  <c r="I56" i="31" s="1"/>
  <c r="U56" i="342"/>
  <c r="T56" i="342"/>
  <c r="I56" i="342" s="1"/>
  <c r="S56" i="170"/>
  <c r="R56" i="170"/>
  <c r="F56" i="170"/>
  <c r="U56" i="168"/>
  <c r="T56" i="168"/>
  <c r="I56" i="168" s="1"/>
  <c r="U56" i="169"/>
  <c r="T56" i="169"/>
  <c r="I56" i="169" s="1"/>
  <c r="U56" i="336"/>
  <c r="T56" i="336"/>
  <c r="I56" i="336" s="1"/>
  <c r="U56" i="33"/>
  <c r="T56" i="33"/>
  <c r="I56" i="33" s="1"/>
  <c r="U56" i="337"/>
  <c r="T56" i="337"/>
  <c r="I56" i="337" s="1"/>
  <c r="U56" i="227"/>
  <c r="T56" i="227"/>
  <c r="I56" i="227" s="1"/>
  <c r="S56" i="388"/>
  <c r="R56" i="388"/>
  <c r="Q56" i="388"/>
  <c r="F56" i="388" s="1"/>
  <c r="U56" i="290"/>
  <c r="T56" i="290"/>
  <c r="I56" i="290" s="1"/>
  <c r="U56" i="289"/>
  <c r="T56" i="289"/>
  <c r="U56" i="293"/>
  <c r="T56" i="293"/>
  <c r="U56" i="348"/>
  <c r="T56" i="348"/>
  <c r="I56" i="348" s="1"/>
  <c r="U56" i="297"/>
  <c r="T56" i="297"/>
  <c r="U56" i="350"/>
  <c r="T56" i="350"/>
  <c r="U56" i="105"/>
  <c r="T56" i="105"/>
  <c r="I56" i="105" s="1"/>
  <c r="U56" i="294"/>
  <c r="T56" i="294"/>
  <c r="U56" i="22"/>
  <c r="T56" i="22"/>
  <c r="U56" i="301"/>
  <c r="T56" i="301"/>
  <c r="I56" i="301" s="1"/>
  <c r="U56" i="344"/>
  <c r="T56" i="344"/>
  <c r="I56" i="344" s="1"/>
  <c r="U56" i="135"/>
  <c r="T56" i="135"/>
  <c r="U56" i="295"/>
  <c r="T56" i="295"/>
  <c r="I56" i="295" s="1"/>
  <c r="U56" i="283"/>
  <c r="T56" i="283"/>
  <c r="I56" i="283" s="1"/>
  <c r="U56" i="340"/>
  <c r="T56" i="340"/>
  <c r="I56" i="340" s="1"/>
  <c r="U56" i="34"/>
  <c r="T56" i="34"/>
  <c r="I56" i="34" s="1"/>
  <c r="U56" i="284"/>
  <c r="T56" i="284"/>
  <c r="I56" i="284" s="1"/>
  <c r="U56" i="292"/>
  <c r="T56" i="292"/>
  <c r="I56" i="292" s="1"/>
  <c r="T56" i="339"/>
  <c r="I56" i="339" s="1"/>
  <c r="U56" i="325"/>
  <c r="T56" i="325"/>
  <c r="I56" i="325" s="1"/>
  <c r="U56" i="269"/>
  <c r="T56" i="269"/>
  <c r="I56" i="269" s="1"/>
  <c r="U56" i="11"/>
  <c r="T56" i="11"/>
  <c r="I56" i="11" s="1"/>
  <c r="U56" i="101"/>
  <c r="T56" i="101"/>
  <c r="I56" i="101" s="1"/>
  <c r="U56" i="382"/>
  <c r="T56" i="382"/>
  <c r="U56" i="444"/>
  <c r="T56" i="444"/>
  <c r="I56" i="444" s="1"/>
  <c r="U56" i="102"/>
  <c r="T56" i="102"/>
  <c r="I56" i="102" s="1"/>
  <c r="U56" i="103"/>
  <c r="T56" i="103"/>
  <c r="I56" i="103" s="1"/>
  <c r="U56" i="411"/>
  <c r="T56" i="411"/>
  <c r="I56" i="411" s="1"/>
  <c r="U56" i="265"/>
  <c r="T56" i="265"/>
  <c r="I56" i="265" s="1"/>
  <c r="U56" i="262"/>
  <c r="T56" i="262"/>
  <c r="I56" i="262" s="1"/>
  <c r="U56" i="112"/>
  <c r="T56" i="112"/>
  <c r="I56" i="112" s="1"/>
  <c r="U56" i="109"/>
  <c r="T56" i="109"/>
  <c r="I56" i="109" s="1"/>
  <c r="U56" i="324"/>
  <c r="T56" i="324"/>
  <c r="I56" i="324" s="1"/>
  <c r="U56" i="196"/>
  <c r="T56" i="196"/>
  <c r="I56" i="196" s="1"/>
  <c r="T56" i="197"/>
  <c r="I56" i="197" s="1"/>
  <c r="U56" i="198"/>
  <c r="T56" i="198"/>
  <c r="I56" i="198" s="1"/>
  <c r="U56" i="345"/>
  <c r="T56" i="345"/>
  <c r="I56" i="345" s="1"/>
  <c r="U56" i="346"/>
  <c r="T56" i="346"/>
  <c r="I56" i="346" s="1"/>
  <c r="U56" i="200"/>
  <c r="T56" i="200"/>
  <c r="I56" i="200" s="1"/>
  <c r="U56" i="280"/>
  <c r="T56" i="280"/>
  <c r="I56" i="280" s="1"/>
  <c r="U56" i="45"/>
  <c r="T56" i="45"/>
  <c r="U56" i="254"/>
  <c r="T56" i="254"/>
  <c r="I56" i="254" s="1"/>
  <c r="U56" i="181"/>
  <c r="T56" i="181"/>
  <c r="I56" i="181" s="1"/>
  <c r="U56" i="183"/>
  <c r="T56" i="183"/>
  <c r="I56" i="183" s="1"/>
  <c r="U56" i="184"/>
  <c r="T56" i="184"/>
  <c r="I56" i="184" s="1"/>
  <c r="S56" i="144"/>
  <c r="R56" i="144"/>
  <c r="Q56" i="144"/>
  <c r="F56" i="144" s="1"/>
  <c r="U56" i="27"/>
  <c r="T56" i="27"/>
  <c r="I56" i="27" s="1"/>
  <c r="U56" i="143"/>
  <c r="T56" i="143"/>
  <c r="I56" i="143" s="1"/>
  <c r="U56" i="263"/>
  <c r="T56" i="263"/>
  <c r="I56" i="263" s="1"/>
  <c r="U56" i="209"/>
  <c r="T56" i="209"/>
  <c r="I56" i="209" s="1"/>
  <c r="U56" i="140"/>
  <c r="T56" i="140"/>
  <c r="I56" i="140" s="1"/>
  <c r="S56" i="186"/>
  <c r="R56" i="186"/>
  <c r="Q56" i="186"/>
  <c r="F56" i="186" s="1"/>
  <c r="U56" i="159"/>
  <c r="T56" i="159"/>
  <c r="U56" i="160"/>
  <c r="T56" i="160"/>
  <c r="I56" i="160" s="1"/>
  <c r="U56" i="107"/>
  <c r="T56" i="107"/>
  <c r="I56" i="107" s="1"/>
  <c r="U56" i="176"/>
  <c r="T56" i="176"/>
  <c r="U56" i="281"/>
  <c r="T56" i="281"/>
  <c r="I56" i="281" s="1"/>
  <c r="U56" i="332"/>
  <c r="T56" i="332"/>
  <c r="I56" i="332" s="1"/>
  <c r="U56" i="25"/>
  <c r="T56" i="25"/>
  <c r="U56" i="24"/>
  <c r="T56" i="24"/>
  <c r="I56" i="24" s="1"/>
  <c r="U56" i="116"/>
  <c r="T56" i="116"/>
  <c r="I56" i="116" s="1"/>
  <c r="U56" i="285"/>
  <c r="T56" i="285"/>
  <c r="U56" i="272"/>
  <c r="T56" i="272"/>
  <c r="I56" i="272" s="1"/>
  <c r="U56" i="87"/>
  <c r="T56" i="87"/>
  <c r="I56" i="87" s="1"/>
  <c r="U56" i="287"/>
  <c r="T56" i="287"/>
  <c r="U56" i="276"/>
  <c r="T56" i="276"/>
  <c r="I56" i="276" s="1"/>
  <c r="U56" i="229"/>
  <c r="T56" i="229"/>
  <c r="I56" i="229" s="1"/>
  <c r="U56" i="230"/>
  <c r="I56" i="230"/>
  <c r="U56" i="326"/>
  <c r="T56" i="326"/>
  <c r="I56" i="326" s="1"/>
  <c r="U56" i="47"/>
  <c r="T56" i="47"/>
  <c r="I56" i="47" s="1"/>
  <c r="U56" i="46"/>
  <c r="T56" i="46"/>
  <c r="I56" i="46" s="1"/>
  <c r="U56" i="248"/>
  <c r="T56" i="248"/>
  <c r="I56" i="248" s="1"/>
  <c r="U56" i="239"/>
  <c r="T56" i="239"/>
  <c r="I56" i="239" s="1"/>
  <c r="U56" i="243"/>
  <c r="T56" i="243"/>
  <c r="I56" i="243" s="1"/>
  <c r="S56" i="247"/>
  <c r="R56" i="247"/>
  <c r="Q56" i="247"/>
  <c r="F56" i="247" s="1"/>
  <c r="U56" i="244"/>
  <c r="T56" i="244"/>
  <c r="I56" i="244" s="1"/>
  <c r="U56" i="246"/>
  <c r="T56" i="246"/>
  <c r="I56" i="246" s="1"/>
  <c r="U56" i="35"/>
  <c r="T56" i="35"/>
  <c r="I56" i="35" s="1"/>
  <c r="F55" i="202"/>
  <c r="F55" i="432"/>
  <c r="F55" i="17"/>
  <c r="F55" i="385"/>
  <c r="F55" i="349"/>
  <c r="F55" i="16"/>
  <c r="F55" i="445"/>
  <c r="F55" i="7"/>
  <c r="F55" i="2"/>
  <c r="F55" i="442"/>
  <c r="F55" i="424"/>
  <c r="F55" i="187"/>
  <c r="F55" i="74"/>
  <c r="F55" i="288"/>
  <c r="F55" i="9"/>
  <c r="F55" i="3"/>
  <c r="F55" i="89"/>
  <c r="F55" i="389"/>
  <c r="F55" i="386"/>
  <c r="F55" i="303"/>
  <c r="F55" i="48"/>
  <c r="F55" i="5"/>
  <c r="F55" i="207"/>
  <c r="F55" i="21"/>
  <c r="F55" i="299"/>
  <c r="F55" i="190"/>
  <c r="F55" i="318"/>
  <c r="F55" i="61"/>
  <c r="F55" i="206"/>
  <c r="F55" i="338"/>
  <c r="F55" i="75"/>
  <c r="F55" i="23"/>
  <c r="F55" i="8"/>
  <c r="F55" i="203"/>
  <c r="F55" i="37"/>
  <c r="F55" i="409"/>
  <c r="F55" i="4"/>
  <c r="F55" i="441"/>
  <c r="F55" i="434"/>
  <c r="F55" i="435"/>
  <c r="F55" i="436"/>
  <c r="F55" i="438"/>
  <c r="F55" i="440"/>
  <c r="F55" i="192"/>
  <c r="F55" i="437"/>
  <c r="F55" i="439"/>
  <c r="F55" i="1"/>
  <c r="F55" i="397"/>
  <c r="F55" i="296"/>
  <c r="F55" i="113"/>
  <c r="F55" i="431"/>
  <c r="F55" i="361"/>
  <c r="F55" i="351"/>
  <c r="F55" i="352"/>
  <c r="F55" i="270"/>
  <c r="F55" i="104"/>
  <c r="F55" i="271"/>
  <c r="F55" i="371"/>
  <c r="F55" i="413"/>
  <c r="F55" i="430"/>
  <c r="F55" i="322"/>
  <c r="F55" i="353"/>
  <c r="F55" i="362"/>
  <c r="F55" i="354"/>
  <c r="F55" i="233"/>
  <c r="F55" i="298"/>
  <c r="F55" i="367"/>
  <c r="F55" i="387"/>
  <c r="F55" i="314"/>
  <c r="F55" i="18"/>
  <c r="F55" i="20"/>
  <c r="F55" i="422"/>
  <c r="F55" i="43"/>
  <c r="F55" i="423"/>
  <c r="F55" i="152"/>
  <c r="F55" i="13"/>
  <c r="F55" i="261"/>
  <c r="F55" i="153"/>
  <c r="F55" i="257"/>
  <c r="F55" i="174"/>
  <c r="F55" i="328"/>
  <c r="F55" i="329"/>
  <c r="F55" i="194"/>
  <c r="F55" i="193"/>
  <c r="F55" i="319"/>
  <c r="F55" i="320"/>
  <c r="F55" i="12"/>
  <c r="F55" i="356"/>
  <c r="F55" i="394"/>
  <c r="F55" i="393"/>
  <c r="F55" i="433"/>
  <c r="F55" i="52"/>
  <c r="F55" i="425"/>
  <c r="F55" i="88"/>
  <c r="F55" i="148"/>
  <c r="F55" i="97"/>
  <c r="F55" i="383"/>
  <c r="F55" i="28"/>
  <c r="F55" i="29"/>
  <c r="F55" i="359"/>
  <c r="F55" i="360"/>
  <c r="F55" i="368"/>
  <c r="F55" i="364"/>
  <c r="F55" i="420"/>
  <c r="F55" i="191"/>
  <c r="F55" i="164"/>
  <c r="F55" i="162"/>
  <c r="F55" i="421"/>
  <c r="F55" i="333"/>
  <c r="F55" i="53"/>
  <c r="F55" i="114"/>
  <c r="F55" i="400"/>
  <c r="F55" i="334"/>
  <c r="F55" i="15"/>
  <c r="F55" i="355"/>
  <c r="F55" i="54"/>
  <c r="F55" i="384"/>
  <c r="F55" i="201"/>
  <c r="F55" i="249"/>
  <c r="F55" i="19"/>
  <c r="F55" i="347"/>
  <c r="F55" i="204"/>
  <c r="F55" i="31"/>
  <c r="F55" i="342"/>
  <c r="F55" i="168"/>
  <c r="F55" i="169"/>
  <c r="F55" i="336"/>
  <c r="F55" i="33"/>
  <c r="F55" i="337"/>
  <c r="F55" i="227"/>
  <c r="F55" i="290"/>
  <c r="F55" i="289"/>
  <c r="F55" i="293"/>
  <c r="F55" i="348"/>
  <c r="F55" i="297"/>
  <c r="F55" i="350"/>
  <c r="F55" i="105"/>
  <c r="F55" i="294"/>
  <c r="F55" i="22"/>
  <c r="F55" i="301"/>
  <c r="F55" i="344"/>
  <c r="F55" i="135"/>
  <c r="F55" i="295"/>
  <c r="F55" i="283"/>
  <c r="F55" i="340"/>
  <c r="F55" i="34"/>
  <c r="F55" i="284"/>
  <c r="F55" i="292"/>
  <c r="F55" i="339"/>
  <c r="F55" i="325"/>
  <c r="F55" i="269"/>
  <c r="F55" i="11"/>
  <c r="F55" i="101"/>
  <c r="F55" i="382"/>
  <c r="F55" i="444"/>
  <c r="F55" i="102"/>
  <c r="F55" i="103"/>
  <c r="F55" i="411"/>
  <c r="F55" i="265"/>
  <c r="F55" i="262"/>
  <c r="F55" i="112"/>
  <c r="F55" i="109"/>
  <c r="F55" i="85"/>
  <c r="F55" i="32"/>
  <c r="F55" i="324"/>
  <c r="F55" i="196"/>
  <c r="F55" i="197"/>
  <c r="F55" i="198"/>
  <c r="F55" i="345"/>
  <c r="F55" i="346"/>
  <c r="F55" i="200"/>
  <c r="F55" i="280"/>
  <c r="F55" i="45"/>
  <c r="F55" i="254"/>
  <c r="F55" i="181"/>
  <c r="F55" i="183"/>
  <c r="F55" i="184"/>
  <c r="F55" i="27"/>
  <c r="F55" i="143"/>
  <c r="F55" i="263"/>
  <c r="F55" i="209"/>
  <c r="F55" i="140"/>
  <c r="F55" i="159"/>
  <c r="F55" i="160"/>
  <c r="F55" i="107"/>
  <c r="F55" i="176"/>
  <c r="F55" i="281"/>
  <c r="F55" i="332"/>
  <c r="F55" i="25"/>
  <c r="F55" i="24"/>
  <c r="F55" i="116"/>
  <c r="F55" i="285"/>
  <c r="F55" i="272"/>
  <c r="F55" i="87"/>
  <c r="F55" i="287"/>
  <c r="F55" i="276"/>
  <c r="F55" i="229"/>
  <c r="F55" i="230"/>
  <c r="F55" i="326"/>
  <c r="F55" i="47"/>
  <c r="F55" i="46"/>
  <c r="F55" i="248"/>
  <c r="F55" i="239"/>
  <c r="F55" i="243"/>
  <c r="F55" i="244"/>
  <c r="F55" i="246"/>
  <c r="F55" i="35"/>
  <c r="S55" i="185"/>
  <c r="R55" i="185"/>
  <c r="Q55" i="185"/>
  <c r="R55" i="398"/>
  <c r="Q55" i="398"/>
  <c r="F55" i="391"/>
  <c r="F55" i="392"/>
  <c r="F55" i="323"/>
  <c r="U55" i="445"/>
  <c r="T55" i="445"/>
  <c r="I55" i="445" s="1"/>
  <c r="K55" i="445"/>
  <c r="U54" i="445"/>
  <c r="T54" i="445"/>
  <c r="I54" i="445" s="1"/>
  <c r="F54" i="445"/>
  <c r="U53" i="445"/>
  <c r="T53" i="445"/>
  <c r="I53" i="445" s="1"/>
  <c r="F53" i="445"/>
  <c r="U52" i="445"/>
  <c r="T52" i="445"/>
  <c r="I52" i="445" s="1"/>
  <c r="K52" i="445"/>
  <c r="F52" i="445"/>
  <c r="U51" i="445"/>
  <c r="T51" i="445"/>
  <c r="I51" i="445" s="1"/>
  <c r="F51" i="445"/>
  <c r="U50" i="445"/>
  <c r="T50" i="445"/>
  <c r="I50" i="445" s="1"/>
  <c r="F50" i="445"/>
  <c r="U49" i="445"/>
  <c r="T49" i="445"/>
  <c r="I49" i="445" s="1"/>
  <c r="K49" i="445"/>
  <c r="F49" i="445"/>
  <c r="U48" i="445"/>
  <c r="T48" i="445"/>
  <c r="I48" i="445" s="1"/>
  <c r="F48" i="445"/>
  <c r="U47" i="445"/>
  <c r="T47" i="445"/>
  <c r="I47" i="445" s="1"/>
  <c r="F47" i="445"/>
  <c r="U46" i="445"/>
  <c r="T46" i="445"/>
  <c r="I46" i="445" s="1"/>
  <c r="K46" i="445"/>
  <c r="F46" i="445"/>
  <c r="T45" i="445"/>
  <c r="I45" i="445" s="1"/>
  <c r="F45" i="445"/>
  <c r="T44" i="445"/>
  <c r="I44" i="445" s="1"/>
  <c r="F44" i="445"/>
  <c r="U43" i="445"/>
  <c r="T43" i="445"/>
  <c r="I43" i="445" s="1"/>
  <c r="K43" i="445"/>
  <c r="F43" i="445"/>
  <c r="T42" i="445"/>
  <c r="I42" i="445" s="1"/>
  <c r="F42" i="445"/>
  <c r="T41" i="445"/>
  <c r="F41" i="445"/>
  <c r="U40" i="445"/>
  <c r="T40" i="445"/>
  <c r="I40" i="445" s="1"/>
  <c r="K40" i="445"/>
  <c r="F40" i="445"/>
  <c r="T39" i="445"/>
  <c r="I39" i="445" s="1"/>
  <c r="F39" i="445"/>
  <c r="T38" i="445"/>
  <c r="I38" i="445" s="1"/>
  <c r="F38" i="445"/>
  <c r="U37" i="445"/>
  <c r="T37" i="445"/>
  <c r="I37" i="445" s="1"/>
  <c r="K37" i="445"/>
  <c r="F37" i="445"/>
  <c r="T36" i="445"/>
  <c r="I36" i="445" s="1"/>
  <c r="F36" i="445"/>
  <c r="T35" i="445"/>
  <c r="I35" i="445" s="1"/>
  <c r="F35" i="445"/>
  <c r="U34" i="445"/>
  <c r="T34" i="445"/>
  <c r="I34" i="445" s="1"/>
  <c r="K34" i="445"/>
  <c r="F34" i="445"/>
  <c r="T33" i="445"/>
  <c r="I33" i="445" s="1"/>
  <c r="F33" i="445"/>
  <c r="T32" i="445"/>
  <c r="I32" i="445" s="1"/>
  <c r="F32" i="445"/>
  <c r="U31" i="445"/>
  <c r="T31" i="445"/>
  <c r="I31" i="445" s="1"/>
  <c r="K31" i="445"/>
  <c r="F31" i="445"/>
  <c r="T30" i="445"/>
  <c r="I30" i="445" s="1"/>
  <c r="F30" i="445"/>
  <c r="T29" i="445"/>
  <c r="I29" i="445" s="1"/>
  <c r="F29" i="445"/>
  <c r="U28" i="445"/>
  <c r="T28" i="445"/>
  <c r="I28" i="445" s="1"/>
  <c r="K28" i="445"/>
  <c r="F28" i="445"/>
  <c r="T27" i="445"/>
  <c r="I27" i="445" s="1"/>
  <c r="F27" i="445"/>
  <c r="T26" i="445"/>
  <c r="I26" i="445" s="1"/>
  <c r="F26" i="445"/>
  <c r="U25" i="445"/>
  <c r="T25" i="445"/>
  <c r="I25" i="445" s="1"/>
  <c r="K25" i="445"/>
  <c r="F25" i="445"/>
  <c r="T24" i="445"/>
  <c r="I24" i="445" s="1"/>
  <c r="F24" i="445"/>
  <c r="T23" i="445"/>
  <c r="I23" i="445" s="1"/>
  <c r="F23" i="445"/>
  <c r="U22" i="445"/>
  <c r="T22" i="445"/>
  <c r="I22" i="445" s="1"/>
  <c r="K22" i="445"/>
  <c r="F22" i="445"/>
  <c r="T21" i="445"/>
  <c r="I21" i="445" s="1"/>
  <c r="F21" i="445"/>
  <c r="T20" i="445"/>
  <c r="I20" i="445" s="1"/>
  <c r="F20" i="445"/>
  <c r="U19" i="445"/>
  <c r="T19" i="445"/>
  <c r="I19" i="445" s="1"/>
  <c r="K19" i="445"/>
  <c r="F19" i="445"/>
  <c r="T18" i="445"/>
  <c r="I18" i="445" s="1"/>
  <c r="F18" i="445"/>
  <c r="T17" i="445"/>
  <c r="I17" i="445" s="1"/>
  <c r="F17" i="445"/>
  <c r="U16" i="445"/>
  <c r="T16" i="445"/>
  <c r="I16" i="445" s="1"/>
  <c r="K16" i="445"/>
  <c r="F16" i="445"/>
  <c r="T15" i="445"/>
  <c r="I15" i="445" s="1"/>
  <c r="F15" i="445"/>
  <c r="T14" i="445"/>
  <c r="I14" i="445" s="1"/>
  <c r="F14" i="445"/>
  <c r="U13" i="445"/>
  <c r="T13" i="445"/>
  <c r="I13" i="445" s="1"/>
  <c r="K13" i="445"/>
  <c r="F13" i="445"/>
  <c r="T12" i="445"/>
  <c r="I12" i="445" s="1"/>
  <c r="F12" i="445"/>
  <c r="T11" i="445"/>
  <c r="I11" i="445" s="1"/>
  <c r="F11" i="445"/>
  <c r="U10" i="445"/>
  <c r="T10" i="445"/>
  <c r="I10" i="445" s="1"/>
  <c r="K10" i="445"/>
  <c r="F10" i="445"/>
  <c r="T9" i="445"/>
  <c r="I9" i="445" s="1"/>
  <c r="F9" i="445"/>
  <c r="T8" i="445"/>
  <c r="I8" i="445" s="1"/>
  <c r="F8" i="445"/>
  <c r="U7" i="445"/>
  <c r="T7" i="445"/>
  <c r="I7" i="445" s="1"/>
  <c r="K7" i="445"/>
  <c r="F7" i="445"/>
  <c r="T6" i="445"/>
  <c r="I6" i="445" s="1"/>
  <c r="F6" i="445"/>
  <c r="T5" i="445"/>
  <c r="I5" i="445" s="1"/>
  <c r="F5" i="445"/>
  <c r="L7" i="229"/>
  <c r="M7" i="229"/>
  <c r="M10" i="229"/>
  <c r="I55" i="153"/>
  <c r="I55" i="384"/>
  <c r="I55" i="230"/>
  <c r="K55" i="202"/>
  <c r="K55" i="17"/>
  <c r="K55" i="5"/>
  <c r="K55" i="207"/>
  <c r="K55" i="21"/>
  <c r="K55" i="7"/>
  <c r="K55" i="424"/>
  <c r="K55" i="187"/>
  <c r="K55" i="299"/>
  <c r="K55" i="190"/>
  <c r="K55" i="318"/>
  <c r="K55" i="288"/>
  <c r="K55" i="3"/>
  <c r="K55" i="61"/>
  <c r="K55" i="432"/>
  <c r="K55" i="206"/>
  <c r="K55" i="338"/>
  <c r="K55" i="9"/>
  <c r="K55" i="75"/>
  <c r="K55" i="23"/>
  <c r="K55" i="391"/>
  <c r="K55" i="8"/>
  <c r="K55" i="203"/>
  <c r="K55" i="2"/>
  <c r="K55" i="442"/>
  <c r="K55" i="37"/>
  <c r="K55" i="409"/>
  <c r="K55" i="4"/>
  <c r="K55" i="441"/>
  <c r="K55" i="434"/>
  <c r="K55" i="435"/>
  <c r="K55" i="436"/>
  <c r="K55" i="438"/>
  <c r="K55" i="440"/>
  <c r="K55" i="192"/>
  <c r="K55" i="437"/>
  <c r="K55" i="439"/>
  <c r="K55" i="89"/>
  <c r="K55" i="389"/>
  <c r="K55" i="386"/>
  <c r="K55" i="303"/>
  <c r="K55" i="1"/>
  <c r="K55" i="397"/>
  <c r="K55" i="296"/>
  <c r="K55" i="113"/>
  <c r="K55" i="431"/>
  <c r="K55" i="361"/>
  <c r="K55" i="351"/>
  <c r="K55" i="352"/>
  <c r="K55" i="104"/>
  <c r="K55" i="270"/>
  <c r="K55" i="271"/>
  <c r="K55" i="392"/>
  <c r="K55" i="371"/>
  <c r="K55" i="413"/>
  <c r="K55" i="430"/>
  <c r="K55" i="322"/>
  <c r="K55" i="353"/>
  <c r="K55" i="362"/>
  <c r="K55" i="354"/>
  <c r="K55" i="233"/>
  <c r="K55" i="298"/>
  <c r="K55" i="367"/>
  <c r="K55" i="387"/>
  <c r="K55" i="314"/>
  <c r="L55" i="18"/>
  <c r="K55" i="18"/>
  <c r="K55" i="20"/>
  <c r="K55" i="422"/>
  <c r="K55" i="43"/>
  <c r="K55" i="423"/>
  <c r="K55" i="152"/>
  <c r="K55" i="13"/>
  <c r="K55" i="261"/>
  <c r="N55" i="153"/>
  <c r="K55" i="153"/>
  <c r="K55" i="257"/>
  <c r="K55" i="174"/>
  <c r="K55" i="328"/>
  <c r="K55" i="329"/>
  <c r="K55" i="194"/>
  <c r="K55" i="193"/>
  <c r="K55" i="48"/>
  <c r="K55" i="319"/>
  <c r="K55" i="320"/>
  <c r="K55" i="12"/>
  <c r="K55" i="356"/>
  <c r="K55" i="394"/>
  <c r="K55" i="393"/>
  <c r="K55" i="433"/>
  <c r="K55" i="52"/>
  <c r="K55" i="425"/>
  <c r="K55" i="88"/>
  <c r="K55" i="148"/>
  <c r="K55" i="97"/>
  <c r="K55" i="383"/>
  <c r="K55" i="28"/>
  <c r="K55" i="29"/>
  <c r="K55" i="359"/>
  <c r="K55" i="360"/>
  <c r="K55" i="368"/>
  <c r="K55" i="364"/>
  <c r="K55" i="420"/>
  <c r="K55" i="164"/>
  <c r="K55" i="162"/>
  <c r="K55" i="421"/>
  <c r="K55" i="333"/>
  <c r="K55" i="53"/>
  <c r="K55" i="114"/>
  <c r="K55" i="323"/>
  <c r="K55" i="400"/>
  <c r="K55" i="385"/>
  <c r="K55" i="334"/>
  <c r="K55" i="349"/>
  <c r="K55" i="15"/>
  <c r="K55" i="355"/>
  <c r="K55" i="16"/>
  <c r="K55" i="54"/>
  <c r="N55" i="384"/>
  <c r="K55" i="384"/>
  <c r="K55" i="201"/>
  <c r="K55" i="249"/>
  <c r="K55" i="19"/>
  <c r="K55" i="347"/>
  <c r="K55" i="204"/>
  <c r="K55" i="31"/>
  <c r="K55" i="342"/>
  <c r="K55" i="168"/>
  <c r="K55" i="169"/>
  <c r="K55" i="336"/>
  <c r="K55" i="33"/>
  <c r="K55" i="337"/>
  <c r="K55" i="227"/>
  <c r="K55" i="290"/>
  <c r="K55" i="289"/>
  <c r="K55" i="293"/>
  <c r="K55" i="348"/>
  <c r="K55" i="297"/>
  <c r="K55" i="350"/>
  <c r="K55" i="105"/>
  <c r="K55" i="294"/>
  <c r="K55" i="22"/>
  <c r="K55" i="301"/>
  <c r="K55" i="344"/>
  <c r="K55" i="340"/>
  <c r="K55" i="34"/>
  <c r="K55" i="135"/>
  <c r="K55" i="295"/>
  <c r="K55" i="283"/>
  <c r="K55" i="284"/>
  <c r="K55" i="292"/>
  <c r="K55" i="325"/>
  <c r="K55" i="269"/>
  <c r="K55" i="11"/>
  <c r="K55" i="101"/>
  <c r="K55" i="382"/>
  <c r="K55" i="444"/>
  <c r="K55" i="102"/>
  <c r="K55" i="103"/>
  <c r="K55" i="411"/>
  <c r="K55" i="265"/>
  <c r="K55" i="262"/>
  <c r="K55" i="112"/>
  <c r="K55" i="109"/>
  <c r="K55" i="85"/>
  <c r="K55" i="324"/>
  <c r="K55" i="32"/>
  <c r="K55" i="196"/>
  <c r="L55" i="197"/>
  <c r="K55" i="197"/>
  <c r="K55" i="198"/>
  <c r="K55" i="345"/>
  <c r="K55" i="346"/>
  <c r="K55" i="74"/>
  <c r="K55" i="200"/>
  <c r="K55" i="280"/>
  <c r="K55" i="45"/>
  <c r="K55" i="254"/>
  <c r="K55" i="181"/>
  <c r="K55" i="183"/>
  <c r="K55" i="184"/>
  <c r="K55" i="27"/>
  <c r="K55" i="143"/>
  <c r="K55" i="263"/>
  <c r="K55" i="209"/>
  <c r="K55" i="140"/>
  <c r="K55" i="159"/>
  <c r="K55" i="160"/>
  <c r="K55" i="107"/>
  <c r="K55" i="176"/>
  <c r="K55" i="281"/>
  <c r="K55" i="332"/>
  <c r="K55" i="25"/>
  <c r="K55" i="24"/>
  <c r="K55" i="116"/>
  <c r="K55" i="285"/>
  <c r="K55" i="272"/>
  <c r="K55" i="87"/>
  <c r="K55" i="287"/>
  <c r="K55" i="276"/>
  <c r="K55" i="229"/>
  <c r="N55" i="230"/>
  <c r="K55" i="230"/>
  <c r="K55" i="326"/>
  <c r="K55" i="47"/>
  <c r="K55" i="46"/>
  <c r="K55" i="248"/>
  <c r="K55" i="239"/>
  <c r="K55" i="243"/>
  <c r="K55" i="244"/>
  <c r="K55" i="246"/>
  <c r="K55" i="35"/>
  <c r="U55" i="202"/>
  <c r="T55" i="202"/>
  <c r="I55" i="202" s="1"/>
  <c r="U55" i="17"/>
  <c r="T55" i="17"/>
  <c r="I55" i="17" s="1"/>
  <c r="U55" i="5"/>
  <c r="T55" i="5"/>
  <c r="I55" i="5" s="1"/>
  <c r="U55" i="207"/>
  <c r="T55" i="207"/>
  <c r="I55" i="207" s="1"/>
  <c r="U55" i="21"/>
  <c r="T55" i="21"/>
  <c r="I55" i="21" s="1"/>
  <c r="U55" i="7"/>
  <c r="T55" i="7"/>
  <c r="I55" i="7" s="1"/>
  <c r="U55" i="424"/>
  <c r="T55" i="424"/>
  <c r="I55" i="424" s="1"/>
  <c r="U55" i="187"/>
  <c r="T55" i="187"/>
  <c r="I55" i="187" s="1"/>
  <c r="S55" i="300"/>
  <c r="R55" i="300"/>
  <c r="Q55" i="300"/>
  <c r="U55" i="299"/>
  <c r="T55" i="299"/>
  <c r="I55" i="299" s="1"/>
  <c r="U55" i="190"/>
  <c r="T55" i="190"/>
  <c r="I55" i="190" s="1"/>
  <c r="U55" i="318"/>
  <c r="T55" i="318"/>
  <c r="I55" i="318" s="1"/>
  <c r="U55" i="288"/>
  <c r="T55" i="288"/>
  <c r="I55" i="288" s="1"/>
  <c r="U55" i="3"/>
  <c r="T55" i="3"/>
  <c r="I55" i="3" s="1"/>
  <c r="U55" i="61"/>
  <c r="T55" i="61"/>
  <c r="I55" i="61" s="1"/>
  <c r="T55" i="432"/>
  <c r="I55" i="432" s="1"/>
  <c r="U55" i="206"/>
  <c r="T55" i="206"/>
  <c r="I55" i="206" s="1"/>
  <c r="U55" i="338"/>
  <c r="T55" i="338"/>
  <c r="I55" i="338" s="1"/>
  <c r="U55" i="9"/>
  <c r="T55" i="9"/>
  <c r="I55" i="9" s="1"/>
  <c r="U55" i="75"/>
  <c r="T55" i="75"/>
  <c r="I55" i="75" s="1"/>
  <c r="U55" i="23"/>
  <c r="T55" i="23"/>
  <c r="I55" i="23" s="1"/>
  <c r="U55" i="391"/>
  <c r="T55" i="391"/>
  <c r="I55" i="391" s="1"/>
  <c r="S55" i="414"/>
  <c r="R55" i="414"/>
  <c r="Q55" i="414"/>
  <c r="U55" i="8"/>
  <c r="T55" i="8"/>
  <c r="I55" i="8" s="1"/>
  <c r="U55" i="203"/>
  <c r="T55" i="203"/>
  <c r="I55" i="203" s="1"/>
  <c r="U55" i="2"/>
  <c r="T55" i="2"/>
  <c r="I55" i="2" s="1"/>
  <c r="U55" i="442"/>
  <c r="T55" i="442"/>
  <c r="I55" i="442" s="1"/>
  <c r="U55" i="37"/>
  <c r="T55" i="37"/>
  <c r="I55" i="37" s="1"/>
  <c r="U55" i="409"/>
  <c r="T55" i="409"/>
  <c r="I55" i="409" s="1"/>
  <c r="U55" i="4"/>
  <c r="T55" i="4"/>
  <c r="I55" i="4" s="1"/>
  <c r="U55" i="441"/>
  <c r="T55" i="441"/>
  <c r="I55" i="441" s="1"/>
  <c r="U55" i="434"/>
  <c r="T55" i="434"/>
  <c r="I55" i="434" s="1"/>
  <c r="U55" i="435"/>
  <c r="T55" i="435"/>
  <c r="I55" i="435" s="1"/>
  <c r="U55" i="436"/>
  <c r="T55" i="436"/>
  <c r="I55" i="436" s="1"/>
  <c r="U55" i="438"/>
  <c r="T55" i="438"/>
  <c r="I55" i="438" s="1"/>
  <c r="U55" i="440"/>
  <c r="T55" i="440"/>
  <c r="I55" i="440" s="1"/>
  <c r="U55" i="192"/>
  <c r="T55" i="192"/>
  <c r="I55" i="192" s="1"/>
  <c r="U55" i="437"/>
  <c r="T55" i="437"/>
  <c r="I55" i="437" s="1"/>
  <c r="U55" i="439"/>
  <c r="T55" i="439"/>
  <c r="I55" i="439" s="1"/>
  <c r="U55" i="89"/>
  <c r="T55" i="89"/>
  <c r="I55" i="89" s="1"/>
  <c r="U55" i="389"/>
  <c r="T55" i="389"/>
  <c r="I55" i="389" s="1"/>
  <c r="U55" i="386"/>
  <c r="T55" i="386"/>
  <c r="I55" i="386" s="1"/>
  <c r="U55" i="303"/>
  <c r="T55" i="303"/>
  <c r="I55" i="303" s="1"/>
  <c r="S55" i="398"/>
  <c r="U55" i="1"/>
  <c r="T55" i="1"/>
  <c r="I55" i="1" s="1"/>
  <c r="U55" i="397"/>
  <c r="T55" i="397"/>
  <c r="I55" i="397" s="1"/>
  <c r="U55" i="296"/>
  <c r="T55" i="296"/>
  <c r="I55" i="296" s="1"/>
  <c r="U55" i="113"/>
  <c r="T55" i="113"/>
  <c r="I55" i="113" s="1"/>
  <c r="U55" i="431"/>
  <c r="T55" i="431"/>
  <c r="I55" i="431" s="1"/>
  <c r="U55" i="361"/>
  <c r="T55" i="361"/>
  <c r="I55" i="361" s="1"/>
  <c r="U55" i="351"/>
  <c r="T55" i="351"/>
  <c r="I55" i="351" s="1"/>
  <c r="U55" i="352"/>
  <c r="T55" i="352"/>
  <c r="I55" i="352" s="1"/>
  <c r="U55" i="104"/>
  <c r="T55" i="104"/>
  <c r="I55" i="104" s="1"/>
  <c r="U55" i="270"/>
  <c r="T55" i="270"/>
  <c r="I55" i="270" s="1"/>
  <c r="U55" i="271"/>
  <c r="T55" i="271"/>
  <c r="I55" i="271" s="1"/>
  <c r="U55" i="392"/>
  <c r="T55" i="392"/>
  <c r="I55" i="392" s="1"/>
  <c r="U55" i="371"/>
  <c r="T55" i="371"/>
  <c r="I55" i="371" s="1"/>
  <c r="U55" i="413"/>
  <c r="T55" i="413"/>
  <c r="I55" i="413" s="1"/>
  <c r="U55" i="430"/>
  <c r="T55" i="430"/>
  <c r="I55" i="430" s="1"/>
  <c r="U55" i="322"/>
  <c r="T55" i="322"/>
  <c r="I55" i="322" s="1"/>
  <c r="U55" i="353"/>
  <c r="T55" i="353"/>
  <c r="I55" i="353" s="1"/>
  <c r="U55" i="362"/>
  <c r="T55" i="362"/>
  <c r="I55" i="362" s="1"/>
  <c r="U55" i="354"/>
  <c r="T55" i="354"/>
  <c r="I55" i="354" s="1"/>
  <c r="U55" i="233"/>
  <c r="T55" i="233"/>
  <c r="I55" i="233" s="1"/>
  <c r="U55" i="298"/>
  <c r="T55" i="298"/>
  <c r="I55" i="298" s="1"/>
  <c r="U55" i="367"/>
  <c r="T55" i="367"/>
  <c r="I55" i="367" s="1"/>
  <c r="U55" i="387"/>
  <c r="T55" i="387"/>
  <c r="I55" i="387" s="1"/>
  <c r="U55" i="314"/>
  <c r="T55" i="314"/>
  <c r="I55" i="314" s="1"/>
  <c r="S55" i="142"/>
  <c r="R55" i="142"/>
  <c r="Q55" i="142"/>
  <c r="T55" i="18"/>
  <c r="I55" i="18" s="1"/>
  <c r="U55" i="20"/>
  <c r="T55" i="20"/>
  <c r="I55" i="20" s="1"/>
  <c r="U55" i="422"/>
  <c r="T55" i="422"/>
  <c r="I55" i="422" s="1"/>
  <c r="U55" i="43"/>
  <c r="T55" i="43"/>
  <c r="I55" i="43" s="1"/>
  <c r="U55" i="423"/>
  <c r="T55" i="423"/>
  <c r="I55" i="423" s="1"/>
  <c r="U55" i="152"/>
  <c r="T55" i="152"/>
  <c r="I55" i="152" s="1"/>
  <c r="U55" i="13"/>
  <c r="T55" i="13"/>
  <c r="I55" i="13" s="1"/>
  <c r="U55" i="261"/>
  <c r="T55" i="261"/>
  <c r="I55" i="261" s="1"/>
  <c r="U55" i="153"/>
  <c r="U55" i="257"/>
  <c r="T55" i="257"/>
  <c r="I55" i="257" s="1"/>
  <c r="U55" i="174"/>
  <c r="I55" i="174"/>
  <c r="S55" i="327"/>
  <c r="R55" i="327"/>
  <c r="Q55" i="327"/>
  <c r="U55" i="328"/>
  <c r="T55" i="328"/>
  <c r="I55" i="328" s="1"/>
  <c r="U55" i="329"/>
  <c r="T55" i="329"/>
  <c r="I55" i="329" s="1"/>
  <c r="S55" i="195"/>
  <c r="R55" i="195"/>
  <c r="Q55" i="195"/>
  <c r="U55" i="194"/>
  <c r="T55" i="194"/>
  <c r="I55" i="194" s="1"/>
  <c r="U55" i="193"/>
  <c r="T55" i="193"/>
  <c r="I55" i="193" s="1"/>
  <c r="U55" i="48"/>
  <c r="T55" i="48"/>
  <c r="I55" i="48" s="1"/>
  <c r="S55" i="321"/>
  <c r="R55" i="321"/>
  <c r="Q55" i="321"/>
  <c r="U55" i="319"/>
  <c r="T55" i="319"/>
  <c r="I55" i="319" s="1"/>
  <c r="U55" i="320"/>
  <c r="T55" i="320"/>
  <c r="I55" i="320" s="1"/>
  <c r="U55" i="12"/>
  <c r="T55" i="12"/>
  <c r="I55" i="12" s="1"/>
  <c r="U55" i="356"/>
  <c r="T55" i="356"/>
  <c r="I55" i="356" s="1"/>
  <c r="S55" i="395"/>
  <c r="R55" i="395"/>
  <c r="Q55" i="395"/>
  <c r="U55" i="394"/>
  <c r="T55" i="394"/>
  <c r="I55" i="394" s="1"/>
  <c r="U55" i="393"/>
  <c r="T55" i="393"/>
  <c r="I55" i="393" s="1"/>
  <c r="U55" i="433"/>
  <c r="T55" i="433"/>
  <c r="I55" i="433" s="1"/>
  <c r="U55" i="52"/>
  <c r="T55" i="52"/>
  <c r="I55" i="52" s="1"/>
  <c r="U55" i="425"/>
  <c r="T55" i="425"/>
  <c r="I55" i="425" s="1"/>
  <c r="S55" i="149"/>
  <c r="R55" i="149"/>
  <c r="Q55" i="149"/>
  <c r="U55" i="88"/>
  <c r="T55" i="88"/>
  <c r="I55" i="88" s="1"/>
  <c r="U55" i="148"/>
  <c r="T55" i="148"/>
  <c r="I55" i="148" s="1"/>
  <c r="U55" i="97"/>
  <c r="T55" i="97"/>
  <c r="I55" i="97" s="1"/>
  <c r="U55" i="383"/>
  <c r="T55" i="383"/>
  <c r="I55" i="383" s="1"/>
  <c r="S55" i="253"/>
  <c r="R55" i="253"/>
  <c r="Q55" i="253"/>
  <c r="U55" i="28"/>
  <c r="T55" i="28"/>
  <c r="I55" i="28" s="1"/>
  <c r="U55" i="29"/>
  <c r="T55" i="29"/>
  <c r="I55" i="29" s="1"/>
  <c r="U55" i="359"/>
  <c r="T55" i="359"/>
  <c r="I55" i="359" s="1"/>
  <c r="U55" i="360"/>
  <c r="T55" i="360"/>
  <c r="I55" i="360" s="1"/>
  <c r="U55" i="368"/>
  <c r="T55" i="368"/>
  <c r="I55" i="368" s="1"/>
  <c r="U55" i="364"/>
  <c r="T55" i="364"/>
  <c r="I55" i="364" s="1"/>
  <c r="U55" i="420"/>
  <c r="T55" i="420"/>
  <c r="I55" i="420" s="1"/>
  <c r="U55" i="191"/>
  <c r="T55" i="191"/>
  <c r="I55" i="191" s="1"/>
  <c r="U55" i="164"/>
  <c r="T55" i="164"/>
  <c r="I55" i="164" s="1"/>
  <c r="U55" i="162"/>
  <c r="T55" i="162"/>
  <c r="I55" i="162" s="1"/>
  <c r="U55" i="421"/>
  <c r="T55" i="421"/>
  <c r="I55" i="421" s="1"/>
  <c r="U55" i="333"/>
  <c r="T55" i="333"/>
  <c r="I55" i="333" s="1"/>
  <c r="U55" i="53"/>
  <c r="T55" i="53"/>
  <c r="I55" i="53" s="1"/>
  <c r="U55" i="114"/>
  <c r="T55" i="114"/>
  <c r="I55" i="114" s="1"/>
  <c r="U55" i="323"/>
  <c r="T55" i="323"/>
  <c r="I55" i="323" s="1"/>
  <c r="U55" i="400"/>
  <c r="T55" i="400"/>
  <c r="I55" i="400" s="1"/>
  <c r="U55" i="385"/>
  <c r="T55" i="385"/>
  <c r="I55" i="385" s="1"/>
  <c r="U55" i="334"/>
  <c r="T55" i="334"/>
  <c r="I55" i="334" s="1"/>
  <c r="U55" i="349"/>
  <c r="T55" i="349"/>
  <c r="I55" i="349" s="1"/>
  <c r="U55" i="15"/>
  <c r="T55" i="15"/>
  <c r="I55" i="15" s="1"/>
  <c r="U55" i="355"/>
  <c r="T55" i="355"/>
  <c r="I55" i="355" s="1"/>
  <c r="U55" i="16"/>
  <c r="T55" i="16"/>
  <c r="I55" i="16" s="1"/>
  <c r="U55" i="54"/>
  <c r="T55" i="54"/>
  <c r="I55" i="54" s="1"/>
  <c r="U55" i="384"/>
  <c r="U55" i="201"/>
  <c r="T55" i="201"/>
  <c r="I55" i="201" s="1"/>
  <c r="U55" i="249"/>
  <c r="T55" i="249"/>
  <c r="I55" i="249" s="1"/>
  <c r="U55" i="19"/>
  <c r="T55" i="19"/>
  <c r="I55" i="19" s="1"/>
  <c r="U55" i="347"/>
  <c r="T55" i="347"/>
  <c r="I55" i="347" s="1"/>
  <c r="U55" i="204"/>
  <c r="T55" i="204"/>
  <c r="I55" i="204" s="1"/>
  <c r="U55" i="31"/>
  <c r="T55" i="31"/>
  <c r="I55" i="31" s="1"/>
  <c r="U55" i="342"/>
  <c r="T55" i="342"/>
  <c r="I55" i="342" s="1"/>
  <c r="S55" i="170"/>
  <c r="R55" i="170"/>
  <c r="Q55" i="170"/>
  <c r="U55" i="168"/>
  <c r="T55" i="168"/>
  <c r="I55" i="168" s="1"/>
  <c r="U55" i="169"/>
  <c r="T55" i="169"/>
  <c r="I55" i="169" s="1"/>
  <c r="U55" i="336"/>
  <c r="T55" i="336"/>
  <c r="I55" i="336" s="1"/>
  <c r="U55" i="33"/>
  <c r="T55" i="33"/>
  <c r="I55" i="33" s="1"/>
  <c r="U55" i="337"/>
  <c r="T55" i="337"/>
  <c r="I55" i="337" s="1"/>
  <c r="U55" i="227"/>
  <c r="T55" i="227"/>
  <c r="I55" i="227" s="1"/>
  <c r="S55" i="388"/>
  <c r="R55" i="388"/>
  <c r="Q55" i="388"/>
  <c r="U55" i="290"/>
  <c r="T55" i="290"/>
  <c r="I55" i="290" s="1"/>
  <c r="U55" i="289"/>
  <c r="T55" i="289"/>
  <c r="I55" i="289" s="1"/>
  <c r="U55" i="293"/>
  <c r="T55" i="293"/>
  <c r="I55" i="293" s="1"/>
  <c r="U55" i="348"/>
  <c r="T55" i="348"/>
  <c r="I55" i="348" s="1"/>
  <c r="U55" i="297"/>
  <c r="T55" i="297"/>
  <c r="I55" i="297" s="1"/>
  <c r="U55" i="350"/>
  <c r="T55" i="350"/>
  <c r="I55" i="350" s="1"/>
  <c r="U55" i="105"/>
  <c r="T55" i="105"/>
  <c r="I55" i="105" s="1"/>
  <c r="U55" i="294"/>
  <c r="T55" i="294"/>
  <c r="I55" i="294" s="1"/>
  <c r="U55" i="22"/>
  <c r="T55" i="22"/>
  <c r="I55" i="22" s="1"/>
  <c r="U55" i="301"/>
  <c r="T55" i="301"/>
  <c r="I55" i="301" s="1"/>
  <c r="U55" i="344"/>
  <c r="T55" i="344"/>
  <c r="I55" i="344" s="1"/>
  <c r="U55" i="340"/>
  <c r="T55" i="340"/>
  <c r="I55" i="340" s="1"/>
  <c r="U55" i="34"/>
  <c r="T55" i="34"/>
  <c r="I55" i="34" s="1"/>
  <c r="U55" i="135"/>
  <c r="T55" i="135"/>
  <c r="I55" i="135" s="1"/>
  <c r="U55" i="295"/>
  <c r="T55" i="295"/>
  <c r="I55" i="295" s="1"/>
  <c r="U55" i="283"/>
  <c r="T55" i="283"/>
  <c r="I55" i="283" s="1"/>
  <c r="U55" i="284"/>
  <c r="T55" i="284"/>
  <c r="I55" i="284" s="1"/>
  <c r="U55" i="292"/>
  <c r="T55" i="292"/>
  <c r="I55" i="292" s="1"/>
  <c r="T55" i="339"/>
  <c r="I55" i="339" s="1"/>
  <c r="U55" i="325"/>
  <c r="T55" i="325"/>
  <c r="I55" i="325" s="1"/>
  <c r="U55" i="269"/>
  <c r="T55" i="269"/>
  <c r="I55" i="269" s="1"/>
  <c r="U55" i="11"/>
  <c r="T55" i="11"/>
  <c r="I55" i="11" s="1"/>
  <c r="U55" i="101"/>
  <c r="T55" i="101"/>
  <c r="I55" i="101" s="1"/>
  <c r="U55" i="382"/>
  <c r="T55" i="382"/>
  <c r="I55" i="382" s="1"/>
  <c r="U55" i="444"/>
  <c r="T55" i="444"/>
  <c r="I55" i="444" s="1"/>
  <c r="U55" i="102"/>
  <c r="T55" i="102"/>
  <c r="I55" i="102" s="1"/>
  <c r="U55" i="103"/>
  <c r="T55" i="103"/>
  <c r="I55" i="103" s="1"/>
  <c r="U55" i="411"/>
  <c r="T55" i="411"/>
  <c r="I55" i="411" s="1"/>
  <c r="U55" i="265"/>
  <c r="T55" i="265"/>
  <c r="I55" i="265" s="1"/>
  <c r="U55" i="262"/>
  <c r="T55" i="262"/>
  <c r="I55" i="262" s="1"/>
  <c r="U55" i="112"/>
  <c r="T55" i="112"/>
  <c r="I55" i="112" s="1"/>
  <c r="U55" i="109"/>
  <c r="T55" i="109"/>
  <c r="I55" i="109" s="1"/>
  <c r="U55" i="85"/>
  <c r="T55" i="85"/>
  <c r="I55" i="85" s="1"/>
  <c r="U55" i="324"/>
  <c r="T55" i="324"/>
  <c r="I55" i="324" s="1"/>
  <c r="U55" i="32"/>
  <c r="T55" i="32"/>
  <c r="I55" i="32" s="1"/>
  <c r="U55" i="196"/>
  <c r="T55" i="196"/>
  <c r="I55" i="196" s="1"/>
  <c r="T55" i="197"/>
  <c r="I55" i="197" s="1"/>
  <c r="U55" i="198"/>
  <c r="T55" i="198"/>
  <c r="I55" i="198" s="1"/>
  <c r="U55" i="345"/>
  <c r="T55" i="345"/>
  <c r="I55" i="345" s="1"/>
  <c r="U55" i="346"/>
  <c r="T55" i="346"/>
  <c r="I55" i="346" s="1"/>
  <c r="U55" i="74"/>
  <c r="T55" i="74"/>
  <c r="I55" i="74" s="1"/>
  <c r="U55" i="200"/>
  <c r="T55" i="200"/>
  <c r="I55" i="200" s="1"/>
  <c r="U55" i="280"/>
  <c r="T55" i="280"/>
  <c r="I55" i="280" s="1"/>
  <c r="U55" i="45"/>
  <c r="T55" i="45"/>
  <c r="I55" i="45" s="1"/>
  <c r="U55" i="254"/>
  <c r="T55" i="254"/>
  <c r="I55" i="254" s="1"/>
  <c r="U55" i="181"/>
  <c r="T55" i="181"/>
  <c r="I55" i="181" s="1"/>
  <c r="U55" i="183"/>
  <c r="T55" i="183"/>
  <c r="I55" i="183" s="1"/>
  <c r="U55" i="184"/>
  <c r="T55" i="184"/>
  <c r="I55" i="184" s="1"/>
  <c r="S55" i="144"/>
  <c r="R55" i="144"/>
  <c r="Q55" i="144"/>
  <c r="U55" i="27"/>
  <c r="T55" i="27"/>
  <c r="I55" i="27" s="1"/>
  <c r="U55" i="143"/>
  <c r="T55" i="143"/>
  <c r="I55" i="143" s="1"/>
  <c r="U55" i="263"/>
  <c r="T55" i="263"/>
  <c r="I55" i="263" s="1"/>
  <c r="U55" i="209"/>
  <c r="T55" i="209"/>
  <c r="I55" i="209" s="1"/>
  <c r="U55" i="140"/>
  <c r="T55" i="140"/>
  <c r="I55" i="140" s="1"/>
  <c r="S55" i="186"/>
  <c r="R55" i="186"/>
  <c r="Q55" i="186"/>
  <c r="U55" i="159"/>
  <c r="T55" i="159"/>
  <c r="I55" i="159" s="1"/>
  <c r="U55" i="160"/>
  <c r="T55" i="160"/>
  <c r="I55" i="160" s="1"/>
  <c r="U55" i="107"/>
  <c r="T55" i="107"/>
  <c r="I55" i="107" s="1"/>
  <c r="U55" i="176"/>
  <c r="T55" i="176"/>
  <c r="I55" i="176" s="1"/>
  <c r="U55" i="281"/>
  <c r="T55" i="281"/>
  <c r="I55" i="281" s="1"/>
  <c r="U55" i="332"/>
  <c r="T55" i="332"/>
  <c r="I55" i="332" s="1"/>
  <c r="U55" i="25"/>
  <c r="T55" i="25"/>
  <c r="I55" i="25" s="1"/>
  <c r="U55" i="24"/>
  <c r="T55" i="24"/>
  <c r="I55" i="24" s="1"/>
  <c r="U55" i="116"/>
  <c r="T55" i="116"/>
  <c r="I55" i="116" s="1"/>
  <c r="U55" i="285"/>
  <c r="T55" i="285"/>
  <c r="I55" i="285" s="1"/>
  <c r="U55" i="272"/>
  <c r="T55" i="272"/>
  <c r="I55" i="272" s="1"/>
  <c r="U55" i="87"/>
  <c r="T55" i="87"/>
  <c r="I55" i="87" s="1"/>
  <c r="U55" i="287"/>
  <c r="T55" i="287"/>
  <c r="I55" i="287" s="1"/>
  <c r="U55" i="276"/>
  <c r="T55" i="276"/>
  <c r="I55" i="276" s="1"/>
  <c r="S55" i="231"/>
  <c r="U55" i="231" s="1"/>
  <c r="R55" i="231"/>
  <c r="Q55" i="231"/>
  <c r="F55" i="231" s="1"/>
  <c r="U55" i="229"/>
  <c r="T55" i="229"/>
  <c r="I55" i="229" s="1"/>
  <c r="U55" i="230"/>
  <c r="U55" i="326"/>
  <c r="T55" i="326"/>
  <c r="I55" i="326" s="1"/>
  <c r="U55" i="47"/>
  <c r="T55" i="47"/>
  <c r="I55" i="47" s="1"/>
  <c r="U55" i="46"/>
  <c r="T55" i="46"/>
  <c r="I55" i="46" s="1"/>
  <c r="U55" i="248"/>
  <c r="T55" i="248"/>
  <c r="I55" i="248" s="1"/>
  <c r="U55" i="239"/>
  <c r="T55" i="239"/>
  <c r="I55" i="239" s="1"/>
  <c r="U55" i="243"/>
  <c r="T55" i="243"/>
  <c r="I55" i="243" s="1"/>
  <c r="S55" i="247"/>
  <c r="R55" i="247"/>
  <c r="Q55" i="247"/>
  <c r="F55" i="247" s="1"/>
  <c r="U55" i="244"/>
  <c r="T55" i="244"/>
  <c r="I55" i="244" s="1"/>
  <c r="U55" i="246"/>
  <c r="T55" i="246"/>
  <c r="I55" i="246" s="1"/>
  <c r="U55" i="35"/>
  <c r="T55" i="35"/>
  <c r="I55" i="35" s="1"/>
  <c r="C245" i="417" s="1"/>
  <c r="F54" i="202"/>
  <c r="F54" i="17"/>
  <c r="F54" i="5"/>
  <c r="F54" i="207"/>
  <c r="F54" i="21"/>
  <c r="F54" i="7"/>
  <c r="F54" i="424"/>
  <c r="F54" i="187"/>
  <c r="F54" i="299"/>
  <c r="F54" i="190"/>
  <c r="F54" i="318"/>
  <c r="F54" i="288"/>
  <c r="F54" i="3"/>
  <c r="F54" i="61"/>
  <c r="F54" i="432"/>
  <c r="F54" i="206"/>
  <c r="F54" i="338"/>
  <c r="F54" i="9"/>
  <c r="F54" i="75"/>
  <c r="F54" i="23"/>
  <c r="F54" i="391"/>
  <c r="F54" i="8"/>
  <c r="F54" i="203"/>
  <c r="F54" i="2"/>
  <c r="F54" i="442"/>
  <c r="F54" i="37"/>
  <c r="F54" i="409"/>
  <c r="F54" i="4"/>
  <c r="F54" i="441"/>
  <c r="F54" i="434"/>
  <c r="F54" i="435"/>
  <c r="F54" i="436"/>
  <c r="F54" i="438"/>
  <c r="F54" i="440"/>
  <c r="F54" i="192"/>
  <c r="F54" i="437"/>
  <c r="F54" i="439"/>
  <c r="F54" i="89"/>
  <c r="F54" i="389"/>
  <c r="F54" i="386"/>
  <c r="F54" i="303"/>
  <c r="F54" i="1"/>
  <c r="F54" i="397"/>
  <c r="F54" i="296"/>
  <c r="F54" i="113"/>
  <c r="F54" i="431"/>
  <c r="F54" i="361"/>
  <c r="F54" i="351"/>
  <c r="F54" i="352"/>
  <c r="F54" i="104"/>
  <c r="F54" i="270"/>
  <c r="F54" i="271"/>
  <c r="F54" i="392"/>
  <c r="F54" i="371"/>
  <c r="F54" i="413"/>
  <c r="F54" i="430"/>
  <c r="F54" i="322"/>
  <c r="F54" i="353"/>
  <c r="F54" i="362"/>
  <c r="F54" i="354"/>
  <c r="F54" i="233"/>
  <c r="F54" i="298"/>
  <c r="F54" i="367"/>
  <c r="F54" i="387"/>
  <c r="F54" i="314"/>
  <c r="F54" i="18"/>
  <c r="F54" i="20"/>
  <c r="F54" i="422"/>
  <c r="F54" i="43"/>
  <c r="F54" i="423"/>
  <c r="F54" i="152"/>
  <c r="F54" i="13"/>
  <c r="F54" i="261"/>
  <c r="F54" i="153"/>
  <c r="F54" i="257"/>
  <c r="F54" i="174"/>
  <c r="F54" i="328"/>
  <c r="F54" i="329"/>
  <c r="F54" i="194"/>
  <c r="F54" i="193"/>
  <c r="F54" i="48"/>
  <c r="F54" i="319"/>
  <c r="F54" i="320"/>
  <c r="F54" i="12"/>
  <c r="F54" i="356"/>
  <c r="F54" i="394"/>
  <c r="F54" i="393"/>
  <c r="F54" i="433"/>
  <c r="F54" i="52"/>
  <c r="F54" i="425"/>
  <c r="F54" i="88"/>
  <c r="F54" i="148"/>
  <c r="F54" i="97"/>
  <c r="F54" i="383"/>
  <c r="F54" i="28"/>
  <c r="F54" i="29"/>
  <c r="F54" i="359"/>
  <c r="F54" i="360"/>
  <c r="F54" i="368"/>
  <c r="F54" i="364"/>
  <c r="F54" i="420"/>
  <c r="F54" i="191"/>
  <c r="F54" i="164"/>
  <c r="F54" i="162"/>
  <c r="F54" i="421"/>
  <c r="F54" i="333"/>
  <c r="F54" i="53"/>
  <c r="F54" i="114"/>
  <c r="F54" i="323"/>
  <c r="F54" i="400"/>
  <c r="F54" i="385"/>
  <c r="F54" i="334"/>
  <c r="F54" i="349"/>
  <c r="F54" i="15"/>
  <c r="F54" i="355"/>
  <c r="F54" i="16"/>
  <c r="F54" i="54"/>
  <c r="F54" i="384"/>
  <c r="F54" i="201"/>
  <c r="F54" i="249"/>
  <c r="F54" i="19"/>
  <c r="F54" i="347"/>
  <c r="F54" i="204"/>
  <c r="F54" i="31"/>
  <c r="F54" i="342"/>
  <c r="F54" i="168"/>
  <c r="F54" i="169"/>
  <c r="F54" i="336"/>
  <c r="F54" i="33"/>
  <c r="F54" i="337"/>
  <c r="F54" i="227"/>
  <c r="F54" i="290"/>
  <c r="F54" i="289"/>
  <c r="F54" i="293"/>
  <c r="F54" i="348"/>
  <c r="F54" i="297"/>
  <c r="F54" i="350"/>
  <c r="F54" i="105"/>
  <c r="F54" i="294"/>
  <c r="F54" i="22"/>
  <c r="F54" i="301"/>
  <c r="F54" i="344"/>
  <c r="F54" i="340"/>
  <c r="F54" i="34"/>
  <c r="F54" i="135"/>
  <c r="F54" i="295"/>
  <c r="F54" i="283"/>
  <c r="F54" i="284"/>
  <c r="F54" i="292"/>
  <c r="F54" i="339"/>
  <c r="F54" i="325"/>
  <c r="F54" i="269"/>
  <c r="F54" i="11"/>
  <c r="F54" i="101"/>
  <c r="F54" i="382"/>
  <c r="F54" i="444"/>
  <c r="F54" i="102"/>
  <c r="F54" i="103"/>
  <c r="F54" i="411"/>
  <c r="F54" i="265"/>
  <c r="F54" i="262"/>
  <c r="F54" i="112"/>
  <c r="F54" i="109"/>
  <c r="F54" i="85"/>
  <c r="F54" i="324"/>
  <c r="F54" i="32"/>
  <c r="F54" i="196"/>
  <c r="F54" i="197"/>
  <c r="F54" i="198"/>
  <c r="F54" i="345"/>
  <c r="F54" i="346"/>
  <c r="F54" i="74"/>
  <c r="F54" i="200"/>
  <c r="F54" i="280"/>
  <c r="F54" i="45"/>
  <c r="F54" i="254"/>
  <c r="F54" i="181"/>
  <c r="F54" i="183"/>
  <c r="F54" i="184"/>
  <c r="F54" i="27"/>
  <c r="F54" i="143"/>
  <c r="F54" i="263"/>
  <c r="F54" i="209"/>
  <c r="F54" i="140"/>
  <c r="F54" i="159"/>
  <c r="F54" i="160"/>
  <c r="F54" i="107"/>
  <c r="F54" i="176"/>
  <c r="F54" i="281"/>
  <c r="F54" i="332"/>
  <c r="F54" i="25"/>
  <c r="F54" i="24"/>
  <c r="F54" i="116"/>
  <c r="F54" i="285"/>
  <c r="F54" i="272"/>
  <c r="F54" i="87"/>
  <c r="F54" i="287"/>
  <c r="F54" i="276"/>
  <c r="F54" i="229"/>
  <c r="F54" i="230"/>
  <c r="F54" i="326"/>
  <c r="F54" i="47"/>
  <c r="F54" i="46"/>
  <c r="F54" i="248"/>
  <c r="F54" i="239"/>
  <c r="F54" i="243"/>
  <c r="F54" i="244"/>
  <c r="F54" i="246"/>
  <c r="F54" i="35"/>
  <c r="S54" i="170"/>
  <c r="R54" i="170"/>
  <c r="Q54" i="170"/>
  <c r="F54" i="170" s="1"/>
  <c r="S54" i="195"/>
  <c r="R54" i="195"/>
  <c r="Q54" i="195"/>
  <c r="F54" i="195" s="1"/>
  <c r="S54" i="327"/>
  <c r="R54" i="327"/>
  <c r="Q54" i="327"/>
  <c r="F54" i="327" s="1"/>
  <c r="S54" i="398"/>
  <c r="R54" i="398"/>
  <c r="Q54" i="398"/>
  <c r="F54" i="398" s="1"/>
  <c r="U54" i="391"/>
  <c r="S54" i="186"/>
  <c r="R54" i="186"/>
  <c r="Q54" i="186"/>
  <c r="F54" i="186" s="1"/>
  <c r="S54" i="185"/>
  <c r="R54" i="185"/>
  <c r="Q54" i="185"/>
  <c r="F54" i="185" s="1"/>
  <c r="S53" i="170"/>
  <c r="R53" i="170"/>
  <c r="Q53" i="170"/>
  <c r="Q52" i="170"/>
  <c r="R54" i="253"/>
  <c r="Q54" i="253"/>
  <c r="F54" i="253" s="1"/>
  <c r="S54" i="142"/>
  <c r="R54" i="142"/>
  <c r="Q54" i="142"/>
  <c r="F54" i="142" s="1"/>
  <c r="S54" i="414"/>
  <c r="R54" i="414"/>
  <c r="Q54" i="414"/>
  <c r="F54" i="414" s="1"/>
  <c r="U54" i="35"/>
  <c r="G57" i="231" l="1"/>
  <c r="C58" i="231"/>
  <c r="B58" i="231"/>
  <c r="F55" i="186"/>
  <c r="U57" i="186"/>
  <c r="C58" i="186"/>
  <c r="B58" i="186"/>
  <c r="G57" i="186"/>
  <c r="F55" i="144"/>
  <c r="U57" i="144"/>
  <c r="C58" i="144"/>
  <c r="B58" i="144"/>
  <c r="G57" i="144"/>
  <c r="F55" i="185"/>
  <c r="U57" i="185"/>
  <c r="C58" i="185"/>
  <c r="B58" i="185"/>
  <c r="G57" i="185"/>
  <c r="F55" i="388"/>
  <c r="G56" i="388" s="1"/>
  <c r="U57" i="388"/>
  <c r="B58" i="388"/>
  <c r="C58" i="388"/>
  <c r="G57" i="388"/>
  <c r="C58" i="170"/>
  <c r="G57" i="170"/>
  <c r="B58" i="170"/>
  <c r="F55" i="170"/>
  <c r="G55" i="170" s="1"/>
  <c r="U57" i="170"/>
  <c r="F55" i="253"/>
  <c r="U57" i="253"/>
  <c r="C58" i="253"/>
  <c r="B58" i="253"/>
  <c r="G57" i="253"/>
  <c r="C58" i="149"/>
  <c r="G57" i="149"/>
  <c r="B58" i="149"/>
  <c r="F55" i="149"/>
  <c r="U57" i="149"/>
  <c r="C58" i="395"/>
  <c r="B58" i="395"/>
  <c r="G57" i="395"/>
  <c r="F55" i="395"/>
  <c r="G56" i="395" s="1"/>
  <c r="U57" i="395"/>
  <c r="C58" i="321"/>
  <c r="B58" i="321"/>
  <c r="G57" i="321"/>
  <c r="F55" i="321"/>
  <c r="G56" i="321" s="1"/>
  <c r="U57" i="321"/>
  <c r="F55" i="195"/>
  <c r="U57" i="195"/>
  <c r="B58" i="195"/>
  <c r="G57" i="195"/>
  <c r="C58" i="195"/>
  <c r="F55" i="327"/>
  <c r="U57" i="327"/>
  <c r="B58" i="327"/>
  <c r="G57" i="327"/>
  <c r="C58" i="327"/>
  <c r="C58" i="142"/>
  <c r="B58" i="142"/>
  <c r="G57" i="142"/>
  <c r="F55" i="142"/>
  <c r="G56" i="142" s="1"/>
  <c r="U57" i="142"/>
  <c r="F55" i="398"/>
  <c r="U57" i="398"/>
  <c r="C58" i="398"/>
  <c r="B58" i="398"/>
  <c r="G57" i="398"/>
  <c r="F55" i="300"/>
  <c r="G56" i="300" s="1"/>
  <c r="U57" i="300"/>
  <c r="C58" i="300"/>
  <c r="B58" i="300"/>
  <c r="G57" i="300"/>
  <c r="C58" i="414"/>
  <c r="B58" i="414"/>
  <c r="G57" i="414"/>
  <c r="F55" i="414"/>
  <c r="U57" i="414"/>
  <c r="M55" i="445"/>
  <c r="M46" i="445"/>
  <c r="G56" i="16"/>
  <c r="G56" i="350"/>
  <c r="G56" i="359"/>
  <c r="G56" i="435"/>
  <c r="M49" i="445"/>
  <c r="T56" i="142"/>
  <c r="I56" i="142" s="1"/>
  <c r="M52" i="445"/>
  <c r="G56" i="413"/>
  <c r="G56" i="276"/>
  <c r="G56" i="160"/>
  <c r="G56" i="280"/>
  <c r="G56" i="385"/>
  <c r="M43" i="445"/>
  <c r="G56" i="35"/>
  <c r="G56" i="287"/>
  <c r="G56" i="200"/>
  <c r="G56" i="411"/>
  <c r="G56" i="34"/>
  <c r="G56" i="204"/>
  <c r="G56" i="28"/>
  <c r="G56" i="24"/>
  <c r="G56" i="324"/>
  <c r="G56" i="46"/>
  <c r="G56" i="229"/>
  <c r="G56" i="107"/>
  <c r="G56" i="349"/>
  <c r="G56" i="265"/>
  <c r="G56" i="29"/>
  <c r="G56" i="43"/>
  <c r="G56" i="348"/>
  <c r="G56" i="31"/>
  <c r="G56" i="114"/>
  <c r="G56" i="243"/>
  <c r="G56" i="285"/>
  <c r="G56" i="174"/>
  <c r="G56" i="104"/>
  <c r="G56" i="269"/>
  <c r="G56" i="22"/>
  <c r="G56" i="355"/>
  <c r="G56" i="433"/>
  <c r="G56" i="103"/>
  <c r="G56" i="333"/>
  <c r="G56" i="143"/>
  <c r="G56" i="340"/>
  <c r="G56" i="439"/>
  <c r="G56" i="191"/>
  <c r="G56" i="271"/>
  <c r="G56" i="8"/>
  <c r="G56" i="387"/>
  <c r="G56" i="293"/>
  <c r="G56" i="203"/>
  <c r="G56" i="314"/>
  <c r="G56" i="437"/>
  <c r="G56" i="33"/>
  <c r="T56" i="414"/>
  <c r="I56" i="414" s="1"/>
  <c r="G56" i="9"/>
  <c r="T56" i="300"/>
  <c r="I56" i="300" s="1"/>
  <c r="G56" i="281"/>
  <c r="G56" i="168"/>
  <c r="G56" i="183"/>
  <c r="G56" i="368"/>
  <c r="G56" i="246"/>
  <c r="G56" i="87"/>
  <c r="G56" i="140"/>
  <c r="T56" i="170"/>
  <c r="I56" i="170" s="1"/>
  <c r="G56" i="176"/>
  <c r="G56" i="292"/>
  <c r="G56" i="272"/>
  <c r="G56" i="209"/>
  <c r="G56" i="409"/>
  <c r="G56" i="21"/>
  <c r="T56" i="149"/>
  <c r="I56" i="149" s="1"/>
  <c r="G56" i="32"/>
  <c r="G56" i="116"/>
  <c r="G56" i="295"/>
  <c r="G56" i="290"/>
  <c r="G56" i="148"/>
  <c r="G56" i="193"/>
  <c r="G56" i="18"/>
  <c r="G56" i="353"/>
  <c r="G56" i="431"/>
  <c r="G56" i="113"/>
  <c r="G56" i="1"/>
  <c r="G56" i="61"/>
  <c r="G56" i="389"/>
  <c r="G56" i="201"/>
  <c r="G56" i="434"/>
  <c r="G56" i="254"/>
  <c r="G56" i="296"/>
  <c r="G56" i="325"/>
  <c r="G56" i="339"/>
  <c r="G56" i="105"/>
  <c r="G56" i="247"/>
  <c r="G56" i="231"/>
  <c r="G56" i="356"/>
  <c r="T56" i="247"/>
  <c r="I56" i="247" s="1"/>
  <c r="G56" i="149"/>
  <c r="G56" i="4"/>
  <c r="G56" i="101"/>
  <c r="G56" i="249"/>
  <c r="G56" i="440"/>
  <c r="G56" i="424"/>
  <c r="G56" i="196"/>
  <c r="G56" i="319"/>
  <c r="G56" i="75"/>
  <c r="G56" i="195"/>
  <c r="U56" i="142"/>
  <c r="G56" i="88"/>
  <c r="G56" i="436"/>
  <c r="U56" i="327"/>
  <c r="G56" i="7"/>
  <c r="G56" i="445"/>
  <c r="U56" i="414"/>
  <c r="U56" i="195"/>
  <c r="G56" i="3"/>
  <c r="U56" i="170"/>
  <c r="G56" i="432"/>
  <c r="T56" i="395"/>
  <c r="I56" i="395" s="1"/>
  <c r="G56" i="441"/>
  <c r="J56" i="445"/>
  <c r="G56" i="47"/>
  <c r="G56" i="135"/>
  <c r="G56" i="19"/>
  <c r="G56" i="421"/>
  <c r="C246" i="417"/>
  <c r="C248" i="417" s="1"/>
  <c r="C249" i="417" s="1"/>
  <c r="C250" i="417" s="1"/>
  <c r="C251" i="417" s="1"/>
  <c r="G56" i="48"/>
  <c r="G56" i="74"/>
  <c r="G56" i="442"/>
  <c r="G56" i="2"/>
  <c r="H56" i="445"/>
  <c r="G56" i="17"/>
  <c r="G56" i="332"/>
  <c r="G56" i="187"/>
  <c r="G56" i="230"/>
  <c r="G56" i="11"/>
  <c r="G56" i="301"/>
  <c r="G56" i="320"/>
  <c r="G56" i="162"/>
  <c r="G56" i="351"/>
  <c r="G56" i="27"/>
  <c r="G56" i="197"/>
  <c r="G56" i="13"/>
  <c r="G56" i="367"/>
  <c r="G56" i="233"/>
  <c r="G56" i="438"/>
  <c r="G56" i="383"/>
  <c r="G56" i="185"/>
  <c r="G56" i="198"/>
  <c r="I56" i="294"/>
  <c r="I56" i="287"/>
  <c r="I56" i="25"/>
  <c r="I56" i="159"/>
  <c r="I56" i="45"/>
  <c r="G56" i="346"/>
  <c r="G56" i="345"/>
  <c r="G56" i="109"/>
  <c r="G56" i="283"/>
  <c r="T56" i="231"/>
  <c r="G56" i="102"/>
  <c r="I56" i="382"/>
  <c r="I56" i="400"/>
  <c r="G56" i="164"/>
  <c r="G56" i="239"/>
  <c r="G56" i="159"/>
  <c r="G56" i="398"/>
  <c r="I56" i="293"/>
  <c r="U56" i="185"/>
  <c r="T56" i="185"/>
  <c r="I56" i="201"/>
  <c r="G56" i="15"/>
  <c r="I56" i="425"/>
  <c r="G56" i="262"/>
  <c r="G56" i="382"/>
  <c r="I56" i="297"/>
  <c r="G56" i="227"/>
  <c r="I56" i="285"/>
  <c r="I56" i="176"/>
  <c r="G56" i="112"/>
  <c r="G56" i="444"/>
  <c r="I56" i="18"/>
  <c r="G56" i="25"/>
  <c r="U56" i="186"/>
  <c r="T56" i="186"/>
  <c r="I56" i="350"/>
  <c r="G56" i="248"/>
  <c r="G56" i="181"/>
  <c r="G56" i="45"/>
  <c r="G56" i="169"/>
  <c r="G56" i="184"/>
  <c r="G56" i="326"/>
  <c r="G56" i="337"/>
  <c r="G56" i="347"/>
  <c r="G56" i="394"/>
  <c r="I56" i="22"/>
  <c r="I56" i="289"/>
  <c r="T56" i="195"/>
  <c r="G56" i="261"/>
  <c r="I56" i="420"/>
  <c r="I56" i="135"/>
  <c r="G56" i="297"/>
  <c r="G56" i="153"/>
  <c r="G56" i="294"/>
  <c r="G56" i="342"/>
  <c r="U56" i="253"/>
  <c r="T56" i="253"/>
  <c r="G56" i="244"/>
  <c r="G56" i="263"/>
  <c r="T56" i="144"/>
  <c r="T56" i="388"/>
  <c r="G56" i="336"/>
  <c r="G56" i="400"/>
  <c r="I56" i="320"/>
  <c r="G56" i="284"/>
  <c r="G56" i="344"/>
  <c r="G56" i="334"/>
  <c r="G56" i="53"/>
  <c r="I56" i="423"/>
  <c r="I56" i="431"/>
  <c r="G56" i="206"/>
  <c r="I56" i="322"/>
  <c r="G56" i="257"/>
  <c r="G56" i="362"/>
  <c r="G56" i="190"/>
  <c r="G56" i="89"/>
  <c r="G56" i="384"/>
  <c r="G56" i="12"/>
  <c r="G56" i="329"/>
  <c r="G56" i="328"/>
  <c r="G56" i="422"/>
  <c r="G56" i="20"/>
  <c r="G56" i="352"/>
  <c r="I56" i="397"/>
  <c r="G56" i="393"/>
  <c r="I56" i="362"/>
  <c r="I56" i="271"/>
  <c r="G56" i="289"/>
  <c r="G56" i="54"/>
  <c r="G56" i="52"/>
  <c r="I56" i="12"/>
  <c r="G56" i="194"/>
  <c r="G56" i="430"/>
  <c r="I56" i="296"/>
  <c r="G56" i="192"/>
  <c r="I56" i="194"/>
  <c r="I56" i="314"/>
  <c r="G56" i="420"/>
  <c r="G56" i="425"/>
  <c r="G56" i="423"/>
  <c r="G56" i="298"/>
  <c r="G56" i="270"/>
  <c r="I56" i="440"/>
  <c r="G56" i="364"/>
  <c r="G56" i="360"/>
  <c r="G56" i="97"/>
  <c r="T56" i="321"/>
  <c r="I56" i="257"/>
  <c r="G56" i="322"/>
  <c r="I56" i="413"/>
  <c r="I56" i="393"/>
  <c r="U56" i="398"/>
  <c r="T56" i="398"/>
  <c r="I56" i="436"/>
  <c r="G56" i="23"/>
  <c r="I56" i="367"/>
  <c r="I56" i="270"/>
  <c r="G56" i="397"/>
  <c r="I56" i="97"/>
  <c r="G56" i="354"/>
  <c r="G56" i="361"/>
  <c r="G56" i="37"/>
  <c r="G56" i="202"/>
  <c r="G56" i="152"/>
  <c r="G56" i="299"/>
  <c r="G56" i="288"/>
  <c r="G56" i="207"/>
  <c r="G56" i="303"/>
  <c r="T56" i="327"/>
  <c r="G56" i="371"/>
  <c r="G56" i="338"/>
  <c r="G56" i="318"/>
  <c r="G56" i="85"/>
  <c r="G56" i="5"/>
  <c r="G56" i="386"/>
  <c r="G55" i="47"/>
  <c r="G55" i="439"/>
  <c r="G55" i="347"/>
  <c r="G55" i="342"/>
  <c r="G55" i="45"/>
  <c r="L52" i="445"/>
  <c r="L37" i="445"/>
  <c r="G55" i="109"/>
  <c r="G55" i="325"/>
  <c r="G55" i="169"/>
  <c r="G55" i="148"/>
  <c r="G55" i="442"/>
  <c r="L49" i="445"/>
  <c r="L28" i="445"/>
  <c r="G51" i="445"/>
  <c r="M40" i="445"/>
  <c r="G55" i="333"/>
  <c r="L10" i="445"/>
  <c r="M34" i="445"/>
  <c r="B55" i="445"/>
  <c r="G55" i="174"/>
  <c r="G55" i="206"/>
  <c r="N49" i="445"/>
  <c r="G33" i="445"/>
  <c r="G13" i="445"/>
  <c r="M28" i="445"/>
  <c r="U55" i="170"/>
  <c r="G55" i="244"/>
  <c r="H17" i="445"/>
  <c r="C49" i="445"/>
  <c r="N10" i="445"/>
  <c r="N46" i="445"/>
  <c r="G55" i="356"/>
  <c r="G55" i="386"/>
  <c r="G55" i="153"/>
  <c r="H34" i="445"/>
  <c r="J33" i="445"/>
  <c r="J51" i="445"/>
  <c r="B25" i="445"/>
  <c r="N31" i="445"/>
  <c r="H24" i="445"/>
  <c r="J18" i="445"/>
  <c r="G11" i="445"/>
  <c r="H27" i="445"/>
  <c r="H22" i="445"/>
  <c r="J19" i="445"/>
  <c r="N13" i="445"/>
  <c r="G12" i="445"/>
  <c r="C7" i="445"/>
  <c r="G9" i="445"/>
  <c r="G16" i="445"/>
  <c r="L19" i="445"/>
  <c r="H20" i="445"/>
  <c r="J24" i="445"/>
  <c r="G6" i="445"/>
  <c r="J34" i="445"/>
  <c r="H38" i="445"/>
  <c r="J23" i="445"/>
  <c r="J31" i="445"/>
  <c r="J39" i="445"/>
  <c r="M25" i="445"/>
  <c r="N25" i="445"/>
  <c r="H36" i="445"/>
  <c r="G22" i="445"/>
  <c r="G19" i="445"/>
  <c r="G31" i="445"/>
  <c r="H43" i="445"/>
  <c r="J47" i="445"/>
  <c r="G40" i="445"/>
  <c r="H44" i="445"/>
  <c r="H54" i="445"/>
  <c r="J54" i="445"/>
  <c r="H51" i="445"/>
  <c r="G52" i="445"/>
  <c r="G47" i="445"/>
  <c r="C52" i="445"/>
  <c r="G48" i="445"/>
  <c r="L55" i="445"/>
  <c r="N55" i="445"/>
  <c r="C55" i="445"/>
  <c r="D58" i="445" s="1"/>
  <c r="J28" i="445"/>
  <c r="L25" i="445"/>
  <c r="J44" i="445"/>
  <c r="J49" i="445"/>
  <c r="G23" i="445"/>
  <c r="L34" i="445"/>
  <c r="N16" i="445"/>
  <c r="H21" i="445"/>
  <c r="H23" i="445"/>
  <c r="B34" i="445"/>
  <c r="H45" i="445"/>
  <c r="H18" i="445"/>
  <c r="J21" i="445"/>
  <c r="M37" i="445"/>
  <c r="H29" i="445"/>
  <c r="G32" i="445"/>
  <c r="N43" i="445"/>
  <c r="J45" i="445"/>
  <c r="J40" i="445"/>
  <c r="G14" i="445"/>
  <c r="C43" i="445"/>
  <c r="H47" i="445"/>
  <c r="J17" i="445"/>
  <c r="J25" i="445"/>
  <c r="G41" i="445"/>
  <c r="H52" i="445"/>
  <c r="B13" i="445"/>
  <c r="H26" i="445"/>
  <c r="H35" i="445"/>
  <c r="J38" i="445"/>
  <c r="H42" i="445"/>
  <c r="G46" i="445"/>
  <c r="G7" i="445"/>
  <c r="C13" i="445"/>
  <c r="G24" i="445"/>
  <c r="J26" i="445"/>
  <c r="H30" i="445"/>
  <c r="J35" i="445"/>
  <c r="J42" i="445"/>
  <c r="H46" i="445"/>
  <c r="H53" i="445"/>
  <c r="J30" i="445"/>
  <c r="H55" i="445"/>
  <c r="N7" i="445"/>
  <c r="J27" i="445"/>
  <c r="H33" i="445"/>
  <c r="J36" i="445"/>
  <c r="J48" i="445"/>
  <c r="L43" i="445"/>
  <c r="L46" i="445"/>
  <c r="B7" i="445"/>
  <c r="M19" i="445"/>
  <c r="N22" i="445"/>
  <c r="C25" i="445"/>
  <c r="G28" i="445"/>
  <c r="N34" i="445"/>
  <c r="G37" i="445"/>
  <c r="B10" i="445"/>
  <c r="L16" i="445"/>
  <c r="H25" i="445"/>
  <c r="C34" i="445"/>
  <c r="B49" i="445"/>
  <c r="J20" i="445"/>
  <c r="J32" i="445"/>
  <c r="J52" i="445"/>
  <c r="J29" i="445"/>
  <c r="J46" i="445"/>
  <c r="J50" i="445"/>
  <c r="J43" i="445"/>
  <c r="J55" i="445"/>
  <c r="J22" i="445"/>
  <c r="J37" i="445"/>
  <c r="H31" i="445"/>
  <c r="H32" i="445"/>
  <c r="H40" i="445"/>
  <c r="H41" i="445"/>
  <c r="L13" i="445"/>
  <c r="G21" i="445"/>
  <c r="G30" i="445"/>
  <c r="G39" i="445"/>
  <c r="I41" i="445"/>
  <c r="J41" i="445" s="1"/>
  <c r="G49" i="445"/>
  <c r="G50" i="445"/>
  <c r="G55" i="445"/>
  <c r="G10" i="445"/>
  <c r="B16" i="445"/>
  <c r="B19" i="445"/>
  <c r="N19" i="445"/>
  <c r="B28" i="445"/>
  <c r="N28" i="445"/>
  <c r="B37" i="445"/>
  <c r="N37" i="445"/>
  <c r="H39" i="445"/>
  <c r="B46" i="445"/>
  <c r="H49" i="445"/>
  <c r="H50" i="445"/>
  <c r="B52" i="445"/>
  <c r="N52" i="445"/>
  <c r="G54" i="445"/>
  <c r="B22" i="445"/>
  <c r="B31" i="445"/>
  <c r="B40" i="445"/>
  <c r="C10" i="445"/>
  <c r="G15" i="445"/>
  <c r="G8" i="445"/>
  <c r="C16" i="445"/>
  <c r="G17" i="445"/>
  <c r="C19" i="445"/>
  <c r="G25" i="445"/>
  <c r="G26" i="445"/>
  <c r="C28" i="445"/>
  <c r="G34" i="445"/>
  <c r="G35" i="445"/>
  <c r="C37" i="445"/>
  <c r="G43" i="445"/>
  <c r="G44" i="445"/>
  <c r="C46" i="445"/>
  <c r="H48" i="445"/>
  <c r="L22" i="445"/>
  <c r="L31" i="445"/>
  <c r="L40" i="445"/>
  <c r="M22" i="445"/>
  <c r="M31" i="445"/>
  <c r="G42" i="445"/>
  <c r="N40" i="445"/>
  <c r="C40" i="445"/>
  <c r="G53" i="445"/>
  <c r="C22" i="445"/>
  <c r="C31" i="445"/>
  <c r="G38" i="445"/>
  <c r="H19" i="445"/>
  <c r="H28" i="445"/>
  <c r="H37" i="445"/>
  <c r="G18" i="445"/>
  <c r="G27" i="445"/>
  <c r="G36" i="445"/>
  <c r="G45" i="445"/>
  <c r="G20" i="445"/>
  <c r="G29" i="445"/>
  <c r="B43" i="445"/>
  <c r="G55" i="198"/>
  <c r="G55" i="351"/>
  <c r="G55" i="254"/>
  <c r="G55" i="243"/>
  <c r="G55" i="116"/>
  <c r="G55" i="105"/>
  <c r="G55" i="322"/>
  <c r="G55" i="113"/>
  <c r="G55" i="209"/>
  <c r="G55" i="285"/>
  <c r="G55" i="371"/>
  <c r="G55" i="21"/>
  <c r="G55" i="20"/>
  <c r="G55" i="413"/>
  <c r="G55" i="159"/>
  <c r="T55" i="185"/>
  <c r="I55" i="185" s="1"/>
  <c r="G55" i="185"/>
  <c r="G55" i="345"/>
  <c r="G55" i="112"/>
  <c r="G55" i="269"/>
  <c r="G55" i="135"/>
  <c r="G55" i="350"/>
  <c r="G55" i="337"/>
  <c r="K55" i="170"/>
  <c r="G55" i="355"/>
  <c r="G55" i="334"/>
  <c r="G55" i="164"/>
  <c r="G55" i="364"/>
  <c r="G55" i="360"/>
  <c r="T55" i="395"/>
  <c r="I55" i="395" s="1"/>
  <c r="G55" i="43"/>
  <c r="G55" i="18"/>
  <c r="G55" i="434"/>
  <c r="T55" i="414"/>
  <c r="I55" i="414" s="1"/>
  <c r="T55" i="300"/>
  <c r="I55" i="300" s="1"/>
  <c r="G55" i="299"/>
  <c r="G55" i="187"/>
  <c r="G55" i="27"/>
  <c r="G55" i="400"/>
  <c r="G55" i="19"/>
  <c r="G55" i="183"/>
  <c r="G55" i="181"/>
  <c r="G55" i="301"/>
  <c r="G55" i="190"/>
  <c r="G55" i="23"/>
  <c r="G55" i="329"/>
  <c r="G55" i="397"/>
  <c r="G55" i="435"/>
  <c r="G55" i="12"/>
  <c r="G55" i="233"/>
  <c r="G55" i="296"/>
  <c r="G55" i="394"/>
  <c r="G55" i="290"/>
  <c r="G55" i="246"/>
  <c r="T55" i="247"/>
  <c r="I55" i="247" s="1"/>
  <c r="G55" i="87"/>
  <c r="G55" i="176"/>
  <c r="G55" i="34"/>
  <c r="G55" i="423"/>
  <c r="G55" i="102"/>
  <c r="G55" i="359"/>
  <c r="G55" i="261"/>
  <c r="G55" i="89"/>
  <c r="G55" i="281"/>
  <c r="G55" i="263"/>
  <c r="G55" i="433"/>
  <c r="G55" i="46"/>
  <c r="G55" i="367"/>
  <c r="G55" i="303"/>
  <c r="G55" i="249"/>
  <c r="G55" i="9"/>
  <c r="T55" i="144"/>
  <c r="I55" i="144" s="1"/>
  <c r="G55" i="280"/>
  <c r="G55" i="346"/>
  <c r="G55" i="444"/>
  <c r="G55" i="292"/>
  <c r="G55" i="191"/>
  <c r="G55" i="239"/>
  <c r="G55" i="227"/>
  <c r="T55" i="170"/>
  <c r="I55" i="170" s="1"/>
  <c r="G55" i="393"/>
  <c r="G55" i="193"/>
  <c r="G55" i="1"/>
  <c r="G55" i="287"/>
  <c r="T55" i="149"/>
  <c r="I55" i="149" s="1"/>
  <c r="G55" i="319"/>
  <c r="G55" i="271"/>
  <c r="G55" i="35"/>
  <c r="G55" i="160"/>
  <c r="G55" i="382"/>
  <c r="G55" i="297"/>
  <c r="G55" i="425"/>
  <c r="G55" i="436"/>
  <c r="G55" i="85"/>
  <c r="G55" i="192"/>
  <c r="G55" i="318"/>
  <c r="G55" i="61"/>
  <c r="G55" i="17"/>
  <c r="G55" i="25"/>
  <c r="G55" i="284"/>
  <c r="G55" i="441"/>
  <c r="G55" i="2"/>
  <c r="G55" i="338"/>
  <c r="G55" i="230"/>
  <c r="G55" i="15"/>
  <c r="G55" i="323"/>
  <c r="T55" i="321"/>
  <c r="I55" i="321" s="1"/>
  <c r="G55" i="13"/>
  <c r="G55" i="352"/>
  <c r="G55" i="431"/>
  <c r="G55" i="37"/>
  <c r="G55" i="424"/>
  <c r="G55" i="201"/>
  <c r="G55" i="420"/>
  <c r="G55" i="202"/>
  <c r="G55" i="320"/>
  <c r="G55" i="387"/>
  <c r="G55" i="430"/>
  <c r="G55" i="270"/>
  <c r="T55" i="398"/>
  <c r="I55" i="398" s="1"/>
  <c r="G55" i="4"/>
  <c r="G55" i="207"/>
  <c r="G55" i="349"/>
  <c r="G55" i="48"/>
  <c r="G55" i="353"/>
  <c r="G55" i="203"/>
  <c r="G55" i="289"/>
  <c r="G55" i="391"/>
  <c r="G55" i="257"/>
  <c r="G55" i="361"/>
  <c r="G55" i="385"/>
  <c r="G55" i="276"/>
  <c r="G55" i="24"/>
  <c r="G55" i="383"/>
  <c r="G55" i="328"/>
  <c r="G55" i="229"/>
  <c r="G55" i="140"/>
  <c r="G55" i="197"/>
  <c r="G55" i="324"/>
  <c r="G55" i="11"/>
  <c r="T55" i="388"/>
  <c r="I55" i="388" s="1"/>
  <c r="G55" i="384"/>
  <c r="G55" i="29"/>
  <c r="G55" i="194"/>
  <c r="G55" i="200"/>
  <c r="G55" i="326"/>
  <c r="G55" i="74"/>
  <c r="G55" i="262"/>
  <c r="G55" i="340"/>
  <c r="G55" i="114"/>
  <c r="G55" i="362"/>
  <c r="G55" i="272"/>
  <c r="G55" i="107"/>
  <c r="G55" i="196"/>
  <c r="G55" i="265"/>
  <c r="G55" i="33"/>
  <c r="G55" i="97"/>
  <c r="T55" i="327"/>
  <c r="I55" i="327" s="1"/>
  <c r="G55" i="332"/>
  <c r="G55" i="339"/>
  <c r="G55" i="28"/>
  <c r="T55" i="195"/>
  <c r="I55" i="195" s="1"/>
  <c r="G55" i="295"/>
  <c r="G55" i="422"/>
  <c r="G55" i="248"/>
  <c r="G55" i="344"/>
  <c r="G55" i="53"/>
  <c r="T55" i="231"/>
  <c r="I55" i="231" s="1"/>
  <c r="G55" i="293"/>
  <c r="G55" i="336"/>
  <c r="G55" i="368"/>
  <c r="T55" i="186"/>
  <c r="I55" i="186" s="1"/>
  <c r="G55" i="32"/>
  <c r="T55" i="253"/>
  <c r="I55" i="253" s="1"/>
  <c r="G55" i="142"/>
  <c r="G55" i="438"/>
  <c r="G55" i="414"/>
  <c r="G55" i="75"/>
  <c r="G55" i="288"/>
  <c r="G55" i="143"/>
  <c r="G55" i="184"/>
  <c r="G55" i="103"/>
  <c r="G55" i="294"/>
  <c r="G55" i="204"/>
  <c r="G55" i="16"/>
  <c r="G55" i="162"/>
  <c r="G55" i="5"/>
  <c r="G55" i="152"/>
  <c r="T55" i="142"/>
  <c r="I55" i="142" s="1"/>
  <c r="G55" i="298"/>
  <c r="G55" i="104"/>
  <c r="G55" i="437"/>
  <c r="G55" i="432"/>
  <c r="G55" i="7"/>
  <c r="G55" i="101"/>
  <c r="G55" i="283"/>
  <c r="G55" i="348"/>
  <c r="G55" i="354"/>
  <c r="G55" i="440"/>
  <c r="G55" i="8"/>
  <c r="G55" i="3"/>
  <c r="G55" i="411"/>
  <c r="G55" i="22"/>
  <c r="G55" i="168"/>
  <c r="G55" i="31"/>
  <c r="G55" i="54"/>
  <c r="G55" i="421"/>
  <c r="G55" i="88"/>
  <c r="G55" i="52"/>
  <c r="G55" i="314"/>
  <c r="G55" i="392"/>
  <c r="G55" i="398"/>
  <c r="G55" i="389"/>
  <c r="G55" i="409"/>
  <c r="U54" i="202"/>
  <c r="T54" i="202"/>
  <c r="U54" i="17"/>
  <c r="T54" i="17"/>
  <c r="I54" i="17" s="1"/>
  <c r="U54" i="5"/>
  <c r="T54" i="5"/>
  <c r="I54" i="5" s="1"/>
  <c r="U54" i="21"/>
  <c r="T54" i="21"/>
  <c r="I54" i="21" s="1"/>
  <c r="U54" i="207"/>
  <c r="T54" i="207"/>
  <c r="I54" i="207" s="1"/>
  <c r="U54" i="7"/>
  <c r="T54" i="7"/>
  <c r="I54" i="7" s="1"/>
  <c r="U54" i="424"/>
  <c r="T54" i="424"/>
  <c r="I54" i="424" s="1"/>
  <c r="U54" i="187"/>
  <c r="T54" i="187"/>
  <c r="I54" i="187" s="1"/>
  <c r="U54" i="61"/>
  <c r="T54" i="61"/>
  <c r="I54" i="61" s="1"/>
  <c r="S54" i="300"/>
  <c r="R54" i="300"/>
  <c r="Q54" i="300"/>
  <c r="U54" i="299"/>
  <c r="T54" i="299"/>
  <c r="I54" i="299" s="1"/>
  <c r="U54" i="190"/>
  <c r="T54" i="190"/>
  <c r="I54" i="190" s="1"/>
  <c r="T54" i="432"/>
  <c r="U54" i="206"/>
  <c r="T54" i="206"/>
  <c r="I54" i="206" s="1"/>
  <c r="T54" i="391"/>
  <c r="I54" i="391" s="1"/>
  <c r="U54" i="8"/>
  <c r="T54" i="8"/>
  <c r="I54" i="8" s="1"/>
  <c r="U54" i="203"/>
  <c r="T54" i="203"/>
  <c r="I54" i="203" s="1"/>
  <c r="U54" i="2"/>
  <c r="T54" i="2"/>
  <c r="I54" i="2" s="1"/>
  <c r="U54" i="442"/>
  <c r="T54" i="442"/>
  <c r="I54" i="442" s="1"/>
  <c r="U54" i="37"/>
  <c r="T54" i="37"/>
  <c r="I54" i="37" s="1"/>
  <c r="U54" i="409"/>
  <c r="T54" i="409"/>
  <c r="I54" i="409" s="1"/>
  <c r="U54" i="9"/>
  <c r="T54" i="9"/>
  <c r="I54" i="9" s="1"/>
  <c r="U54" i="75"/>
  <c r="T54" i="75"/>
  <c r="I54" i="75" s="1"/>
  <c r="U54" i="23"/>
  <c r="T54" i="23"/>
  <c r="I54" i="23" s="1"/>
  <c r="U54" i="4"/>
  <c r="T54" i="4"/>
  <c r="I54" i="4" s="1"/>
  <c r="U54" i="338"/>
  <c r="T54" i="338"/>
  <c r="I54" i="338" s="1"/>
  <c r="U54" i="441"/>
  <c r="T54" i="441"/>
  <c r="I54" i="441" s="1"/>
  <c r="U54" i="434"/>
  <c r="T54" i="434"/>
  <c r="I54" i="434" s="1"/>
  <c r="U54" i="435"/>
  <c r="T54" i="435"/>
  <c r="I54" i="435" s="1"/>
  <c r="U54" i="436"/>
  <c r="T54" i="436"/>
  <c r="I54" i="436" s="1"/>
  <c r="U54" i="438"/>
  <c r="T54" i="438"/>
  <c r="I54" i="438" s="1"/>
  <c r="U54" i="440"/>
  <c r="T54" i="440"/>
  <c r="I54" i="440" s="1"/>
  <c r="U54" i="437"/>
  <c r="T54" i="437"/>
  <c r="I54" i="437" s="1"/>
  <c r="U54" i="439"/>
  <c r="T54" i="439"/>
  <c r="I54" i="439" s="1"/>
  <c r="U54" i="89"/>
  <c r="T54" i="89"/>
  <c r="I54" i="89" s="1"/>
  <c r="U54" i="389"/>
  <c r="T54" i="389"/>
  <c r="I54" i="389" s="1"/>
  <c r="U54" i="386"/>
  <c r="T54" i="386"/>
  <c r="I54" i="386" s="1"/>
  <c r="U54" i="303"/>
  <c r="T54" i="303"/>
  <c r="I54" i="303" s="1"/>
  <c r="T54" i="398"/>
  <c r="I54" i="398" s="1"/>
  <c r="U54" i="1"/>
  <c r="T54" i="1"/>
  <c r="I54" i="1" s="1"/>
  <c r="U54" i="397"/>
  <c r="T54" i="397"/>
  <c r="I54" i="397" s="1"/>
  <c r="U54" i="296"/>
  <c r="T54" i="296"/>
  <c r="I54" i="296" s="1"/>
  <c r="U54" i="113"/>
  <c r="T54" i="113"/>
  <c r="I54" i="113" s="1"/>
  <c r="U54" i="431"/>
  <c r="T54" i="431"/>
  <c r="I54" i="431" s="1"/>
  <c r="U54" i="361"/>
  <c r="T54" i="361"/>
  <c r="I54" i="361" s="1"/>
  <c r="U54" i="351"/>
  <c r="T54" i="351"/>
  <c r="I54" i="351" s="1"/>
  <c r="U54" i="352"/>
  <c r="T54" i="352"/>
  <c r="I54" i="352" s="1"/>
  <c r="U54" i="392"/>
  <c r="T54" i="392"/>
  <c r="I54" i="392" s="1"/>
  <c r="U54" i="371"/>
  <c r="T54" i="371"/>
  <c r="I54" i="371" s="1"/>
  <c r="U54" i="413"/>
  <c r="T54" i="413"/>
  <c r="I54" i="413" s="1"/>
  <c r="U54" i="430"/>
  <c r="T54" i="430"/>
  <c r="I54" i="430" s="1"/>
  <c r="U54" i="322"/>
  <c r="T54" i="322"/>
  <c r="I54" i="322" s="1"/>
  <c r="U54" i="353"/>
  <c r="T54" i="353"/>
  <c r="I54" i="353" s="1"/>
  <c r="U54" i="362"/>
  <c r="T54" i="362"/>
  <c r="I54" i="362" s="1"/>
  <c r="U54" i="354"/>
  <c r="T54" i="354"/>
  <c r="I54" i="354" s="1"/>
  <c r="U54" i="233"/>
  <c r="T54" i="233"/>
  <c r="I54" i="233" s="1"/>
  <c r="U54" i="298"/>
  <c r="T54" i="298"/>
  <c r="I54" i="298" s="1"/>
  <c r="U54" i="367"/>
  <c r="T54" i="367"/>
  <c r="I54" i="367" s="1"/>
  <c r="U54" i="387"/>
  <c r="T54" i="387"/>
  <c r="I54" i="387" s="1"/>
  <c r="U54" i="314"/>
  <c r="T54" i="314"/>
  <c r="I54" i="314" s="1"/>
  <c r="T54" i="142"/>
  <c r="I54" i="142" s="1"/>
  <c r="T54" i="18"/>
  <c r="I54" i="18" s="1"/>
  <c r="U54" i="20"/>
  <c r="T54" i="20"/>
  <c r="I54" i="20" s="1"/>
  <c r="U54" i="422"/>
  <c r="T54" i="422"/>
  <c r="I54" i="422" s="1"/>
  <c r="U54" i="43"/>
  <c r="T54" i="43"/>
  <c r="I54" i="43" s="1"/>
  <c r="U54" i="423"/>
  <c r="T54" i="423"/>
  <c r="I54" i="423" s="1"/>
  <c r="U54" i="152"/>
  <c r="T54" i="152"/>
  <c r="I54" i="152" s="1"/>
  <c r="U54" i="13"/>
  <c r="T54" i="13"/>
  <c r="I54" i="13" s="1"/>
  <c r="U54" i="261"/>
  <c r="T54" i="261"/>
  <c r="I54" i="261" s="1"/>
  <c r="U54" i="153"/>
  <c r="I54" i="153"/>
  <c r="U54" i="257"/>
  <c r="T54" i="257"/>
  <c r="I54" i="257" s="1"/>
  <c r="U54" i="174"/>
  <c r="I54" i="174"/>
  <c r="U54" i="328"/>
  <c r="T54" i="328"/>
  <c r="I54" i="328" s="1"/>
  <c r="U54" i="329"/>
  <c r="T54" i="329"/>
  <c r="I54" i="329" s="1"/>
  <c r="U54" i="194"/>
  <c r="T54" i="194"/>
  <c r="I54" i="194" s="1"/>
  <c r="U54" i="193"/>
  <c r="T54" i="193"/>
  <c r="I54" i="193" s="1"/>
  <c r="U54" i="48"/>
  <c r="T54" i="48"/>
  <c r="I54" i="48" s="1"/>
  <c r="S54" i="321"/>
  <c r="R54" i="321"/>
  <c r="Q54" i="321"/>
  <c r="U54" i="319"/>
  <c r="T54" i="319"/>
  <c r="I54" i="319" s="1"/>
  <c r="U54" i="320"/>
  <c r="T54" i="320"/>
  <c r="I54" i="320" s="1"/>
  <c r="U54" i="12"/>
  <c r="T54" i="12"/>
  <c r="I54" i="12" s="1"/>
  <c r="U54" i="356"/>
  <c r="T54" i="356"/>
  <c r="I54" i="356" s="1"/>
  <c r="S54" i="395"/>
  <c r="R54" i="395"/>
  <c r="Q54" i="395"/>
  <c r="U54" i="394"/>
  <c r="T54" i="394"/>
  <c r="I54" i="394" s="1"/>
  <c r="U54" i="393"/>
  <c r="T54" i="393"/>
  <c r="I54" i="393" s="1"/>
  <c r="U54" i="433"/>
  <c r="T54" i="433"/>
  <c r="I54" i="433" s="1"/>
  <c r="U54" i="52"/>
  <c r="T54" i="52"/>
  <c r="I54" i="52" s="1"/>
  <c r="U54" i="425"/>
  <c r="T54" i="425"/>
  <c r="I54" i="425" s="1"/>
  <c r="S54" i="149"/>
  <c r="R54" i="149"/>
  <c r="Q54" i="149"/>
  <c r="U54" i="88"/>
  <c r="T54" i="88"/>
  <c r="I54" i="88" s="1"/>
  <c r="U54" i="148"/>
  <c r="T54" i="148"/>
  <c r="I54" i="148" s="1"/>
  <c r="U54" i="97"/>
  <c r="T54" i="97"/>
  <c r="I54" i="97" s="1"/>
  <c r="U54" i="383"/>
  <c r="T54" i="383"/>
  <c r="I54" i="383" s="1"/>
  <c r="S54" i="253"/>
  <c r="U54" i="28"/>
  <c r="T54" i="28"/>
  <c r="I54" i="28" s="1"/>
  <c r="U54" i="29"/>
  <c r="T54" i="29"/>
  <c r="I54" i="29" s="1"/>
  <c r="U54" i="359"/>
  <c r="T54" i="359"/>
  <c r="I54" i="359" s="1"/>
  <c r="U54" i="360"/>
  <c r="T54" i="360"/>
  <c r="I54" i="360" s="1"/>
  <c r="U54" i="368"/>
  <c r="T54" i="368"/>
  <c r="I54" i="368" s="1"/>
  <c r="U54" i="364"/>
  <c r="T54" i="364"/>
  <c r="I54" i="364" s="1"/>
  <c r="U54" i="420"/>
  <c r="T54" i="420"/>
  <c r="I54" i="420" s="1"/>
  <c r="U54" i="191"/>
  <c r="T54" i="191"/>
  <c r="I54" i="191" s="1"/>
  <c r="U54" i="164"/>
  <c r="T54" i="164"/>
  <c r="I54" i="164" s="1"/>
  <c r="U54" i="162"/>
  <c r="T54" i="162"/>
  <c r="I54" i="162" s="1"/>
  <c r="U54" i="421"/>
  <c r="T54" i="421"/>
  <c r="I54" i="421" s="1"/>
  <c r="U54" i="333"/>
  <c r="T54" i="333"/>
  <c r="I54" i="333" s="1"/>
  <c r="U54" i="53"/>
  <c r="T54" i="53"/>
  <c r="I54" i="53" s="1"/>
  <c r="U54" i="114"/>
  <c r="T54" i="114"/>
  <c r="I54" i="114" s="1"/>
  <c r="U54" i="323"/>
  <c r="T54" i="323"/>
  <c r="I54" i="323" s="1"/>
  <c r="U54" i="400"/>
  <c r="T54" i="400"/>
  <c r="I54" i="400" s="1"/>
  <c r="U54" i="385"/>
  <c r="T54" i="385"/>
  <c r="I54" i="385" s="1"/>
  <c r="U54" i="334"/>
  <c r="T54" i="334"/>
  <c r="I54" i="334" s="1"/>
  <c r="U54" i="3"/>
  <c r="T54" i="3"/>
  <c r="I54" i="3" s="1"/>
  <c r="U54" i="349"/>
  <c r="T54" i="349"/>
  <c r="I54" i="349" s="1"/>
  <c r="U54" i="15"/>
  <c r="T54" i="15"/>
  <c r="I54" i="15" s="1"/>
  <c r="U54" i="355"/>
  <c r="T54" i="355"/>
  <c r="I54" i="355" s="1"/>
  <c r="U54" i="16"/>
  <c r="T54" i="16"/>
  <c r="I54" i="16" s="1"/>
  <c r="U54" i="54"/>
  <c r="T54" i="54"/>
  <c r="I54" i="54" s="1"/>
  <c r="U54" i="384"/>
  <c r="I54" i="384"/>
  <c r="U54" i="201"/>
  <c r="T54" i="201"/>
  <c r="I54" i="201" s="1"/>
  <c r="U54" i="249"/>
  <c r="T54" i="249"/>
  <c r="I54" i="249" s="1"/>
  <c r="U54" i="19"/>
  <c r="T54" i="19"/>
  <c r="I54" i="19" s="1"/>
  <c r="U54" i="347"/>
  <c r="T54" i="347"/>
  <c r="I54" i="347" s="1"/>
  <c r="U54" i="204"/>
  <c r="T54" i="204"/>
  <c r="I54" i="204" s="1"/>
  <c r="U54" i="31"/>
  <c r="T54" i="31"/>
  <c r="I54" i="31" s="1"/>
  <c r="U54" i="342"/>
  <c r="T54" i="342"/>
  <c r="I54" i="342" s="1"/>
  <c r="U54" i="168"/>
  <c r="T54" i="168"/>
  <c r="I54" i="168" s="1"/>
  <c r="U54" i="169"/>
  <c r="T54" i="169"/>
  <c r="I54" i="169" s="1"/>
  <c r="U54" i="336"/>
  <c r="T54" i="336"/>
  <c r="I54" i="336" s="1"/>
  <c r="U54" i="33"/>
  <c r="T54" i="33"/>
  <c r="I54" i="33" s="1"/>
  <c r="U54" i="318"/>
  <c r="T54" i="318"/>
  <c r="I54" i="318" s="1"/>
  <c r="U54" i="288"/>
  <c r="T54" i="288"/>
  <c r="I54" i="288" s="1"/>
  <c r="U54" i="337"/>
  <c r="T54" i="337"/>
  <c r="I54" i="337" s="1"/>
  <c r="U54" i="227"/>
  <c r="T54" i="227"/>
  <c r="I54" i="227" s="1"/>
  <c r="S54" i="388"/>
  <c r="R54" i="388"/>
  <c r="Q54" i="388"/>
  <c r="F54" i="388" s="1"/>
  <c r="G55" i="388" s="1"/>
  <c r="U54" i="290"/>
  <c r="T54" i="290"/>
  <c r="I54" i="290" s="1"/>
  <c r="U54" i="289"/>
  <c r="T54" i="289"/>
  <c r="I54" i="289" s="1"/>
  <c r="U54" i="293"/>
  <c r="T54" i="293"/>
  <c r="I54" i="293" s="1"/>
  <c r="U54" i="348"/>
  <c r="T54" i="348"/>
  <c r="I54" i="348" s="1"/>
  <c r="U54" i="297"/>
  <c r="T54" i="297"/>
  <c r="I54" i="297" s="1"/>
  <c r="U54" i="350"/>
  <c r="T54" i="350"/>
  <c r="I54" i="350" s="1"/>
  <c r="U54" i="105"/>
  <c r="T54" i="105"/>
  <c r="I54" i="105" s="1"/>
  <c r="U54" i="294"/>
  <c r="T54" i="294"/>
  <c r="I54" i="294" s="1"/>
  <c r="U54" i="22"/>
  <c r="T54" i="22"/>
  <c r="I54" i="22" s="1"/>
  <c r="U54" i="301"/>
  <c r="T54" i="301"/>
  <c r="I54" i="301" s="1"/>
  <c r="U54" i="344"/>
  <c r="T54" i="344"/>
  <c r="I54" i="344" s="1"/>
  <c r="U54" i="340"/>
  <c r="T54" i="340"/>
  <c r="I54" i="340" s="1"/>
  <c r="U54" i="34"/>
  <c r="T54" i="34"/>
  <c r="I54" i="34" s="1"/>
  <c r="U54" i="135"/>
  <c r="T54" i="135"/>
  <c r="I54" i="135" s="1"/>
  <c r="U54" i="295"/>
  <c r="T54" i="295"/>
  <c r="I54" i="295" s="1"/>
  <c r="U54" i="283"/>
  <c r="T54" i="283"/>
  <c r="I54" i="283" s="1"/>
  <c r="U54" i="284"/>
  <c r="T54" i="284"/>
  <c r="I54" i="284" s="1"/>
  <c r="U54" i="292"/>
  <c r="T54" i="292"/>
  <c r="I54" i="292" s="1"/>
  <c r="T54" i="339"/>
  <c r="I54" i="339" s="1"/>
  <c r="U54" i="325"/>
  <c r="T54" i="325"/>
  <c r="I54" i="325" s="1"/>
  <c r="U54" i="269"/>
  <c r="T54" i="269"/>
  <c r="I54" i="269" s="1"/>
  <c r="U54" i="11"/>
  <c r="T54" i="11"/>
  <c r="I54" i="11" s="1"/>
  <c r="U54" i="101"/>
  <c r="T54" i="101"/>
  <c r="I54" i="101" s="1"/>
  <c r="U54" i="382"/>
  <c r="T54" i="382"/>
  <c r="I54" i="382" s="1"/>
  <c r="U54" i="444"/>
  <c r="T54" i="444"/>
  <c r="I54" i="444" s="1"/>
  <c r="U54" i="102"/>
  <c r="T54" i="102"/>
  <c r="I54" i="102" s="1"/>
  <c r="U54" i="103"/>
  <c r="T54" i="103"/>
  <c r="I54" i="103" s="1"/>
  <c r="U54" i="411"/>
  <c r="T54" i="411"/>
  <c r="I54" i="411" s="1"/>
  <c r="U54" i="265"/>
  <c r="T54" i="265"/>
  <c r="I54" i="265" s="1"/>
  <c r="U54" i="262"/>
  <c r="T54" i="262"/>
  <c r="I54" i="262" s="1"/>
  <c r="U54" i="112"/>
  <c r="T54" i="112"/>
  <c r="I54" i="112" s="1"/>
  <c r="U54" i="109"/>
  <c r="T54" i="109"/>
  <c r="I54" i="109" s="1"/>
  <c r="U54" i="85"/>
  <c r="T54" i="85"/>
  <c r="I54" i="85" s="1"/>
  <c r="U54" i="324"/>
  <c r="T54" i="324"/>
  <c r="I54" i="324" s="1"/>
  <c r="U54" i="32"/>
  <c r="T54" i="32"/>
  <c r="I54" i="32" s="1"/>
  <c r="U54" i="196"/>
  <c r="T54" i="196"/>
  <c r="I54" i="196" s="1"/>
  <c r="T54" i="197"/>
  <c r="I54" i="197" s="1"/>
  <c r="U54" i="198"/>
  <c r="T54" i="198"/>
  <c r="I54" i="198" s="1"/>
  <c r="U54" i="345"/>
  <c r="T54" i="345"/>
  <c r="I54" i="345" s="1"/>
  <c r="U54" i="346"/>
  <c r="T54" i="346"/>
  <c r="I54" i="346" s="1"/>
  <c r="U54" i="74"/>
  <c r="T54" i="74"/>
  <c r="I54" i="74" s="1"/>
  <c r="U54" i="200"/>
  <c r="T54" i="200"/>
  <c r="I54" i="200" s="1"/>
  <c r="U54" i="280"/>
  <c r="T54" i="280"/>
  <c r="I54" i="280" s="1"/>
  <c r="U54" i="45"/>
  <c r="T54" i="45"/>
  <c r="I54" i="45" s="1"/>
  <c r="U54" i="104"/>
  <c r="T54" i="104"/>
  <c r="I54" i="104" s="1"/>
  <c r="U54" i="254"/>
  <c r="T54" i="254"/>
  <c r="I54" i="254" s="1"/>
  <c r="U54" i="181"/>
  <c r="T54" i="181"/>
  <c r="I54" i="181" s="1"/>
  <c r="U54" i="183"/>
  <c r="T54" i="183"/>
  <c r="I54" i="183" s="1"/>
  <c r="U54" i="184"/>
  <c r="T54" i="184"/>
  <c r="I54" i="184" s="1"/>
  <c r="S54" i="144"/>
  <c r="R54" i="144"/>
  <c r="Q54" i="144"/>
  <c r="F54" i="144" s="1"/>
  <c r="U54" i="27"/>
  <c r="T54" i="27"/>
  <c r="I54" i="27" s="1"/>
  <c r="U54" i="143"/>
  <c r="T54" i="143"/>
  <c r="I54" i="143" s="1"/>
  <c r="U54" i="263"/>
  <c r="T54" i="263"/>
  <c r="I54" i="263" s="1"/>
  <c r="U54" i="209"/>
  <c r="T54" i="209"/>
  <c r="I54" i="209" s="1"/>
  <c r="U54" i="192"/>
  <c r="T54" i="192"/>
  <c r="I54" i="192" s="1"/>
  <c r="U54" i="140"/>
  <c r="T54" i="140"/>
  <c r="I54" i="140" s="1"/>
  <c r="U54" i="270"/>
  <c r="T54" i="270"/>
  <c r="I54" i="270" s="1"/>
  <c r="U54" i="271"/>
  <c r="T54" i="271"/>
  <c r="I54" i="271" s="1"/>
  <c r="U54" i="159"/>
  <c r="T54" i="159"/>
  <c r="I54" i="159" s="1"/>
  <c r="U54" i="160"/>
  <c r="T54" i="160"/>
  <c r="I54" i="160" s="1"/>
  <c r="U54" i="107"/>
  <c r="T54" i="107"/>
  <c r="I54" i="107" s="1"/>
  <c r="U54" i="176"/>
  <c r="T54" i="176"/>
  <c r="I54" i="176" s="1"/>
  <c r="U54" i="281"/>
  <c r="T54" i="281"/>
  <c r="I54" i="281" s="1"/>
  <c r="U54" i="332"/>
  <c r="T54" i="332"/>
  <c r="I54" i="332" s="1"/>
  <c r="U54" i="25"/>
  <c r="T54" i="25"/>
  <c r="I54" i="25" s="1"/>
  <c r="U54" i="24"/>
  <c r="T54" i="24"/>
  <c r="I54" i="24" s="1"/>
  <c r="U54" i="116"/>
  <c r="T54" i="116"/>
  <c r="I54" i="116" s="1"/>
  <c r="U54" i="285"/>
  <c r="T54" i="285"/>
  <c r="I54" i="285" s="1"/>
  <c r="U54" i="272"/>
  <c r="T54" i="272"/>
  <c r="I54" i="272" s="1"/>
  <c r="U54" i="87"/>
  <c r="T54" i="87"/>
  <c r="I54" i="87" s="1"/>
  <c r="U54" i="287"/>
  <c r="T54" i="287"/>
  <c r="I54" i="287" s="1"/>
  <c r="U54" i="276"/>
  <c r="T54" i="276"/>
  <c r="I54" i="276" s="1"/>
  <c r="S54" i="231"/>
  <c r="U54" i="231" s="1"/>
  <c r="R54" i="231"/>
  <c r="Q54" i="231"/>
  <c r="F54" i="231" s="1"/>
  <c r="U54" i="229"/>
  <c r="T54" i="229"/>
  <c r="I54" i="229" s="1"/>
  <c r="U54" i="230"/>
  <c r="I54" i="230"/>
  <c r="U54" i="326"/>
  <c r="T54" i="326"/>
  <c r="I54" i="326" s="1"/>
  <c r="U54" i="47"/>
  <c r="T54" i="47"/>
  <c r="I54" i="47" s="1"/>
  <c r="U54" i="46"/>
  <c r="T54" i="46"/>
  <c r="I54" i="46" s="1"/>
  <c r="U54" i="248"/>
  <c r="T54" i="248"/>
  <c r="I54" i="248" s="1"/>
  <c r="U54" i="239"/>
  <c r="T54" i="239"/>
  <c r="I54" i="239" s="1"/>
  <c r="U54" i="243"/>
  <c r="T54" i="243"/>
  <c r="I54" i="243" s="1"/>
  <c r="S54" i="247"/>
  <c r="R54" i="247"/>
  <c r="Q54" i="247"/>
  <c r="U54" i="244"/>
  <c r="T54" i="244"/>
  <c r="I54" i="244" s="1"/>
  <c r="U54" i="246"/>
  <c r="T54" i="246"/>
  <c r="I54" i="246" s="1"/>
  <c r="T54" i="35"/>
  <c r="U53" i="444"/>
  <c r="T53" i="444"/>
  <c r="F53" i="444"/>
  <c r="U52" i="444"/>
  <c r="L55" i="444" s="1"/>
  <c r="T52" i="444"/>
  <c r="I52" i="444" s="1"/>
  <c r="K52" i="444"/>
  <c r="F52" i="444"/>
  <c r="U51" i="444"/>
  <c r="T51" i="444"/>
  <c r="I51" i="444" s="1"/>
  <c r="F51" i="444"/>
  <c r="U50" i="444"/>
  <c r="T50" i="444"/>
  <c r="I50" i="444" s="1"/>
  <c r="F50" i="444"/>
  <c r="U49" i="444"/>
  <c r="T49" i="444"/>
  <c r="I49" i="444" s="1"/>
  <c r="K49" i="444"/>
  <c r="F49" i="444"/>
  <c r="U48" i="444"/>
  <c r="T48" i="444"/>
  <c r="I48" i="444" s="1"/>
  <c r="F48" i="444"/>
  <c r="U47" i="444"/>
  <c r="T47" i="444"/>
  <c r="F47" i="444"/>
  <c r="U46" i="444"/>
  <c r="T46" i="444"/>
  <c r="I46" i="444" s="1"/>
  <c r="K46" i="444"/>
  <c r="F46" i="444"/>
  <c r="T45" i="444"/>
  <c r="I45" i="444" s="1"/>
  <c r="F45" i="444"/>
  <c r="T44" i="444"/>
  <c r="I44" i="444" s="1"/>
  <c r="J56" i="444" s="1"/>
  <c r="F44" i="444"/>
  <c r="H56" i="444" s="1"/>
  <c r="U43" i="444"/>
  <c r="T43" i="444"/>
  <c r="I43" i="444" s="1"/>
  <c r="J55" i="444" s="1"/>
  <c r="K43" i="444"/>
  <c r="F43" i="444"/>
  <c r="H55" i="444" s="1"/>
  <c r="T42" i="444"/>
  <c r="I42" i="444" s="1"/>
  <c r="F42" i="444"/>
  <c r="T41" i="444"/>
  <c r="I41" i="444" s="1"/>
  <c r="F41" i="444"/>
  <c r="U40" i="444"/>
  <c r="T40" i="444"/>
  <c r="I40" i="444" s="1"/>
  <c r="K40" i="444"/>
  <c r="F40" i="444"/>
  <c r="T39" i="444"/>
  <c r="I39" i="444" s="1"/>
  <c r="F39" i="444"/>
  <c r="T38" i="444"/>
  <c r="F38" i="444"/>
  <c r="U37" i="444"/>
  <c r="T37" i="444"/>
  <c r="I37" i="444" s="1"/>
  <c r="K37" i="444"/>
  <c r="F37" i="444"/>
  <c r="T36" i="444"/>
  <c r="I36" i="444" s="1"/>
  <c r="F36" i="444"/>
  <c r="T35" i="444"/>
  <c r="I35" i="444" s="1"/>
  <c r="F35" i="444"/>
  <c r="U34" i="444"/>
  <c r="T34" i="444"/>
  <c r="I34" i="444" s="1"/>
  <c r="K34" i="444"/>
  <c r="F34" i="444"/>
  <c r="T33" i="444"/>
  <c r="I33" i="444" s="1"/>
  <c r="F33" i="444"/>
  <c r="T32" i="444"/>
  <c r="I32" i="444" s="1"/>
  <c r="F32" i="444"/>
  <c r="U31" i="444"/>
  <c r="T31" i="444"/>
  <c r="I31" i="444" s="1"/>
  <c r="K31" i="444"/>
  <c r="F31" i="444"/>
  <c r="T30" i="444"/>
  <c r="I30" i="444" s="1"/>
  <c r="F30" i="444"/>
  <c r="T29" i="444"/>
  <c r="F29" i="444"/>
  <c r="U28" i="444"/>
  <c r="T28" i="444"/>
  <c r="I28" i="444" s="1"/>
  <c r="K28" i="444"/>
  <c r="F28" i="444"/>
  <c r="T27" i="444"/>
  <c r="F27" i="444"/>
  <c r="T26" i="444"/>
  <c r="I26" i="444" s="1"/>
  <c r="F26" i="444"/>
  <c r="U25" i="444"/>
  <c r="T25" i="444"/>
  <c r="I25" i="444" s="1"/>
  <c r="K25" i="444"/>
  <c r="F25" i="444"/>
  <c r="T24" i="444"/>
  <c r="I24" i="444" s="1"/>
  <c r="F24" i="444"/>
  <c r="T23" i="444"/>
  <c r="I23" i="444" s="1"/>
  <c r="F23" i="444"/>
  <c r="U22" i="444"/>
  <c r="T22" i="444"/>
  <c r="I22" i="444" s="1"/>
  <c r="K22" i="444"/>
  <c r="F22" i="444"/>
  <c r="T21" i="444"/>
  <c r="I21" i="444" s="1"/>
  <c r="F21" i="444"/>
  <c r="T20" i="444"/>
  <c r="I20" i="444" s="1"/>
  <c r="F20" i="444"/>
  <c r="U19" i="444"/>
  <c r="T19" i="444"/>
  <c r="I19" i="444" s="1"/>
  <c r="K19" i="444"/>
  <c r="F19" i="444"/>
  <c r="T18" i="444"/>
  <c r="I18" i="444" s="1"/>
  <c r="F18" i="444"/>
  <c r="T17" i="444"/>
  <c r="I17" i="444" s="1"/>
  <c r="F17" i="444"/>
  <c r="U16" i="444"/>
  <c r="T16" i="444"/>
  <c r="I16" i="444" s="1"/>
  <c r="K16" i="444"/>
  <c r="F16" i="444"/>
  <c r="T15" i="444"/>
  <c r="I15" i="444" s="1"/>
  <c r="F15" i="444"/>
  <c r="T14" i="444"/>
  <c r="I14" i="444" s="1"/>
  <c r="F14" i="444"/>
  <c r="U13" i="444"/>
  <c r="T13" i="444"/>
  <c r="I13" i="444" s="1"/>
  <c r="K13" i="444"/>
  <c r="F13" i="444"/>
  <c r="T12" i="444"/>
  <c r="I12" i="444" s="1"/>
  <c r="F12" i="444"/>
  <c r="T11" i="444"/>
  <c r="I11" i="444" s="1"/>
  <c r="F11" i="444"/>
  <c r="U10" i="444"/>
  <c r="T10" i="444"/>
  <c r="I10" i="444" s="1"/>
  <c r="K10" i="444"/>
  <c r="F10" i="444"/>
  <c r="T9" i="444"/>
  <c r="I9" i="444" s="1"/>
  <c r="F9" i="444"/>
  <c r="T8" i="444"/>
  <c r="I8" i="444" s="1"/>
  <c r="F8" i="444"/>
  <c r="U7" i="444"/>
  <c r="T7" i="444"/>
  <c r="I7" i="444" s="1"/>
  <c r="K7" i="444"/>
  <c r="F7" i="444"/>
  <c r="T6" i="444"/>
  <c r="I6" i="444" s="1"/>
  <c r="F6" i="444"/>
  <c r="T5" i="444"/>
  <c r="F5" i="444"/>
  <c r="T53" i="339"/>
  <c r="T48" i="364"/>
  <c r="T49" i="364"/>
  <c r="T50" i="364"/>
  <c r="T51" i="364"/>
  <c r="T52" i="364"/>
  <c r="T53" i="364"/>
  <c r="S53" i="321"/>
  <c r="R53" i="321"/>
  <c r="Q53" i="321"/>
  <c r="U53" i="392"/>
  <c r="N55" i="339" l="1"/>
  <c r="E58" i="231"/>
  <c r="E58" i="186"/>
  <c r="E58" i="144"/>
  <c r="E58" i="185"/>
  <c r="E58" i="388"/>
  <c r="G56" i="170"/>
  <c r="E58" i="170"/>
  <c r="E58" i="253"/>
  <c r="E58" i="149"/>
  <c r="E58" i="395"/>
  <c r="E58" i="321"/>
  <c r="E58" i="195"/>
  <c r="E58" i="327"/>
  <c r="E58" i="142"/>
  <c r="E58" i="398"/>
  <c r="E58" i="300"/>
  <c r="E58" i="414"/>
  <c r="M49" i="444"/>
  <c r="E52" i="445"/>
  <c r="M52" i="444"/>
  <c r="M43" i="444"/>
  <c r="M55" i="444"/>
  <c r="M46" i="444"/>
  <c r="F54" i="247"/>
  <c r="G55" i="247" s="1"/>
  <c r="U56" i="247"/>
  <c r="F54" i="149"/>
  <c r="G55" i="149" s="1"/>
  <c r="U56" i="149"/>
  <c r="F54" i="321"/>
  <c r="G55" i="321" s="1"/>
  <c r="U56" i="321"/>
  <c r="F54" i="395"/>
  <c r="G55" i="395" s="1"/>
  <c r="U56" i="395"/>
  <c r="U56" i="388"/>
  <c r="U56" i="144"/>
  <c r="F54" i="300"/>
  <c r="G55" i="300" s="1"/>
  <c r="U56" i="300"/>
  <c r="I54" i="432"/>
  <c r="I54" i="202"/>
  <c r="I54" i="35"/>
  <c r="C244" i="417" s="1"/>
  <c r="I56" i="186"/>
  <c r="I56" i="144"/>
  <c r="I56" i="321"/>
  <c r="I56" i="398"/>
  <c r="I56" i="195"/>
  <c r="G56" i="186"/>
  <c r="I56" i="185"/>
  <c r="I56" i="388"/>
  <c r="G56" i="414"/>
  <c r="I56" i="253"/>
  <c r="G56" i="144"/>
  <c r="G56" i="327"/>
  <c r="I56" i="327"/>
  <c r="G56" i="253"/>
  <c r="I56" i="231"/>
  <c r="O49" i="445"/>
  <c r="O34" i="445"/>
  <c r="D52" i="445"/>
  <c r="D55" i="445"/>
  <c r="D49" i="445"/>
  <c r="E49" i="445"/>
  <c r="O46" i="445"/>
  <c r="O52" i="445"/>
  <c r="O13" i="445"/>
  <c r="D10" i="445"/>
  <c r="O25" i="445"/>
  <c r="O10" i="445"/>
  <c r="D34" i="445"/>
  <c r="D25" i="445"/>
  <c r="O16" i="445"/>
  <c r="J53" i="445"/>
  <c r="D16" i="445"/>
  <c r="O28" i="445"/>
  <c r="E34" i="445"/>
  <c r="E43" i="445"/>
  <c r="E55" i="445"/>
  <c r="O37" i="445"/>
  <c r="E25" i="445"/>
  <c r="O40" i="445"/>
  <c r="O19" i="445"/>
  <c r="E40" i="445"/>
  <c r="D40" i="445"/>
  <c r="E28" i="445"/>
  <c r="D28" i="445"/>
  <c r="O43" i="445"/>
  <c r="O22" i="445"/>
  <c r="E19" i="445"/>
  <c r="D19" i="445"/>
  <c r="O31" i="445"/>
  <c r="D43" i="445"/>
  <c r="E31" i="445"/>
  <c r="D31" i="445"/>
  <c r="E46" i="445"/>
  <c r="D46" i="445"/>
  <c r="E37" i="445"/>
  <c r="D37" i="445"/>
  <c r="D13" i="445"/>
  <c r="E22" i="445"/>
  <c r="D22" i="445"/>
  <c r="O55" i="445"/>
  <c r="N55" i="444"/>
  <c r="K55" i="321"/>
  <c r="C55" i="444"/>
  <c r="D58" i="444" s="1"/>
  <c r="B55" i="444"/>
  <c r="U55" i="321"/>
  <c r="G55" i="144"/>
  <c r="N55" i="364"/>
  <c r="G55" i="231"/>
  <c r="G55" i="253"/>
  <c r="G55" i="186"/>
  <c r="G55" i="195"/>
  <c r="G55" i="327"/>
  <c r="J31" i="444"/>
  <c r="L13" i="444"/>
  <c r="I53" i="444"/>
  <c r="J53" i="444" s="1"/>
  <c r="H30" i="444"/>
  <c r="J34" i="444"/>
  <c r="N46" i="444"/>
  <c r="J28" i="444"/>
  <c r="L52" i="444"/>
  <c r="T54" i="185"/>
  <c r="I54" i="185" s="1"/>
  <c r="G13" i="444"/>
  <c r="L40" i="444"/>
  <c r="T54" i="247"/>
  <c r="I54" i="247" s="1"/>
  <c r="T54" i="414"/>
  <c r="I54" i="414" s="1"/>
  <c r="C37" i="444"/>
  <c r="H49" i="444"/>
  <c r="J54" i="444"/>
  <c r="C25" i="444"/>
  <c r="T54" i="231"/>
  <c r="I54" i="231" s="1"/>
  <c r="H28" i="444"/>
  <c r="T54" i="170"/>
  <c r="I54" i="170" s="1"/>
  <c r="G48" i="444"/>
  <c r="B19" i="444"/>
  <c r="T54" i="388"/>
  <c r="I54" i="388" s="1"/>
  <c r="T54" i="395"/>
  <c r="I54" i="395" s="1"/>
  <c r="T54" i="300"/>
  <c r="I54" i="300" s="1"/>
  <c r="T54" i="321"/>
  <c r="I54" i="321" s="1"/>
  <c r="T54" i="186"/>
  <c r="I54" i="186" s="1"/>
  <c r="T54" i="144"/>
  <c r="I54" i="144" s="1"/>
  <c r="T54" i="149"/>
  <c r="I54" i="149" s="1"/>
  <c r="H54" i="444"/>
  <c r="G54" i="444"/>
  <c r="T54" i="195"/>
  <c r="I54" i="195" s="1"/>
  <c r="T54" i="327"/>
  <c r="I54" i="327" s="1"/>
  <c r="T54" i="253"/>
  <c r="I54" i="253" s="1"/>
  <c r="H52" i="444"/>
  <c r="L31" i="444"/>
  <c r="B22" i="444"/>
  <c r="J23" i="444"/>
  <c r="L22" i="444"/>
  <c r="L46" i="444"/>
  <c r="B46" i="444"/>
  <c r="N52" i="444"/>
  <c r="N34" i="444"/>
  <c r="G34" i="444"/>
  <c r="H34" i="444"/>
  <c r="H41" i="444"/>
  <c r="J32" i="444"/>
  <c r="H39" i="444"/>
  <c r="H32" i="444"/>
  <c r="H36" i="444"/>
  <c r="H31" i="444"/>
  <c r="J37" i="444"/>
  <c r="N16" i="444"/>
  <c r="J26" i="444"/>
  <c r="G10" i="444"/>
  <c r="J21" i="444"/>
  <c r="H26" i="444"/>
  <c r="M22" i="444"/>
  <c r="J46" i="444"/>
  <c r="J40" i="444"/>
  <c r="J52" i="444"/>
  <c r="J49" i="444"/>
  <c r="J18" i="444"/>
  <c r="N22" i="444"/>
  <c r="C28" i="444"/>
  <c r="H50" i="444"/>
  <c r="G21" i="444"/>
  <c r="H21" i="444"/>
  <c r="L10" i="444"/>
  <c r="G36" i="444"/>
  <c r="G39" i="444"/>
  <c r="J20" i="444"/>
  <c r="N10" i="444"/>
  <c r="J45" i="444"/>
  <c r="M31" i="444"/>
  <c r="B28" i="444"/>
  <c r="J44" i="444"/>
  <c r="N43" i="444"/>
  <c r="H27" i="444"/>
  <c r="J36" i="444"/>
  <c r="N37" i="444"/>
  <c r="G9" i="444"/>
  <c r="G16" i="444"/>
  <c r="B37" i="444"/>
  <c r="G40" i="444"/>
  <c r="B43" i="444"/>
  <c r="H48" i="444"/>
  <c r="N7" i="444"/>
  <c r="M19" i="444"/>
  <c r="H40" i="444"/>
  <c r="C43" i="444"/>
  <c r="H46" i="444"/>
  <c r="H51" i="444"/>
  <c r="H18" i="444"/>
  <c r="H43" i="444"/>
  <c r="J51" i="444"/>
  <c r="H17" i="444"/>
  <c r="G17" i="444"/>
  <c r="C19" i="444"/>
  <c r="N19" i="444"/>
  <c r="N25" i="444"/>
  <c r="C49" i="444"/>
  <c r="G49" i="444"/>
  <c r="I29" i="444"/>
  <c r="J29" i="444" s="1"/>
  <c r="N31" i="444"/>
  <c r="G23" i="444"/>
  <c r="G30" i="444"/>
  <c r="H44" i="444"/>
  <c r="L16" i="444"/>
  <c r="L43" i="444"/>
  <c r="N28" i="444"/>
  <c r="I27" i="444"/>
  <c r="J27" i="444" s="1"/>
  <c r="G6" i="444"/>
  <c r="H25" i="444"/>
  <c r="G25" i="444"/>
  <c r="G44" i="444"/>
  <c r="J48" i="444"/>
  <c r="G14" i="444"/>
  <c r="C16" i="444"/>
  <c r="B16" i="444"/>
  <c r="L19" i="444"/>
  <c r="H23" i="444"/>
  <c r="J30" i="444"/>
  <c r="B7" i="444"/>
  <c r="G12" i="444"/>
  <c r="J25" i="444"/>
  <c r="H22" i="444"/>
  <c r="M25" i="444"/>
  <c r="L25" i="444"/>
  <c r="G41" i="444"/>
  <c r="G45" i="444"/>
  <c r="N13" i="444"/>
  <c r="G15" i="444"/>
  <c r="G22" i="444"/>
  <c r="G31" i="444"/>
  <c r="G43" i="444"/>
  <c r="B13" i="444"/>
  <c r="G18" i="444"/>
  <c r="J19" i="444"/>
  <c r="J22" i="444"/>
  <c r="J24" i="444"/>
  <c r="G26" i="444"/>
  <c r="H33" i="444"/>
  <c r="C34" i="444"/>
  <c r="H45" i="444"/>
  <c r="B34" i="444"/>
  <c r="G33" i="444"/>
  <c r="H35" i="444"/>
  <c r="L37" i="444"/>
  <c r="C46" i="444"/>
  <c r="I47" i="444"/>
  <c r="J47" i="444" s="1"/>
  <c r="N49" i="444"/>
  <c r="C7" i="444"/>
  <c r="C10" i="444"/>
  <c r="B10" i="444"/>
  <c r="B25" i="444"/>
  <c r="M40" i="444"/>
  <c r="M28" i="444"/>
  <c r="L28" i="444"/>
  <c r="J33" i="444"/>
  <c r="M37" i="444"/>
  <c r="I5" i="444"/>
  <c r="J17" i="444" s="1"/>
  <c r="G8" i="444"/>
  <c r="H29" i="444"/>
  <c r="H20" i="444"/>
  <c r="C22" i="444"/>
  <c r="G20" i="444"/>
  <c r="M34" i="444"/>
  <c r="L34" i="444"/>
  <c r="H38" i="444"/>
  <c r="J43" i="444"/>
  <c r="C13" i="444"/>
  <c r="G27" i="444"/>
  <c r="H42" i="444"/>
  <c r="L49" i="444"/>
  <c r="G7" i="444"/>
  <c r="G11" i="444"/>
  <c r="G35" i="444"/>
  <c r="I38" i="444"/>
  <c r="J38" i="444" s="1"/>
  <c r="N40" i="444"/>
  <c r="G42" i="444"/>
  <c r="B52" i="444"/>
  <c r="H19" i="444"/>
  <c r="G19" i="444"/>
  <c r="H24" i="444"/>
  <c r="G32" i="444"/>
  <c r="H37" i="444"/>
  <c r="J42" i="444"/>
  <c r="G50" i="444"/>
  <c r="C52" i="444"/>
  <c r="H53" i="444"/>
  <c r="G24" i="444"/>
  <c r="J35" i="444"/>
  <c r="B31" i="444"/>
  <c r="B40" i="444"/>
  <c r="G28" i="444"/>
  <c r="G29" i="444"/>
  <c r="C31" i="444"/>
  <c r="G37" i="444"/>
  <c r="G38" i="444"/>
  <c r="C40" i="444"/>
  <c r="G46" i="444"/>
  <c r="G47" i="444"/>
  <c r="G52" i="444"/>
  <c r="G53" i="444"/>
  <c r="H47" i="444"/>
  <c r="B49" i="444"/>
  <c r="G51" i="444"/>
  <c r="F53" i="202"/>
  <c r="F53" i="17"/>
  <c r="F53" i="5"/>
  <c r="F53" i="207"/>
  <c r="F53" i="7"/>
  <c r="F53" i="424"/>
  <c r="F53" i="187"/>
  <c r="F53" i="61"/>
  <c r="F53" i="299"/>
  <c r="F53" i="190"/>
  <c r="F53" i="432"/>
  <c r="F53" i="206"/>
  <c r="F53" i="391"/>
  <c r="F53" i="8"/>
  <c r="F53" i="203"/>
  <c r="F53" i="2"/>
  <c r="F53" i="442"/>
  <c r="F53" i="37"/>
  <c r="F53" i="409"/>
  <c r="F53" i="9"/>
  <c r="F53" i="75"/>
  <c r="F53" i="23"/>
  <c r="F53" i="4"/>
  <c r="F53" i="338"/>
  <c r="F53" i="441"/>
  <c r="F53" i="434"/>
  <c r="F53" i="435"/>
  <c r="F53" i="436"/>
  <c r="F53" i="438"/>
  <c r="F53" i="440"/>
  <c r="F53" i="437"/>
  <c r="F53" i="439"/>
  <c r="F53" i="89"/>
  <c r="F53" i="389"/>
  <c r="F53" i="386"/>
  <c r="F53" i="303"/>
  <c r="F53" i="1"/>
  <c r="F53" i="397"/>
  <c r="F53" i="296"/>
  <c r="F53" i="113"/>
  <c r="F53" i="431"/>
  <c r="F53" i="361"/>
  <c r="F53" i="351"/>
  <c r="F53" i="352"/>
  <c r="F53" i="392"/>
  <c r="F53" i="371"/>
  <c r="F53" i="413"/>
  <c r="F53" i="430"/>
  <c r="F53" i="322"/>
  <c r="F53" i="353"/>
  <c r="F53" i="362"/>
  <c r="F53" i="354"/>
  <c r="F53" i="233"/>
  <c r="F53" i="298"/>
  <c r="F53" i="367"/>
  <c r="F53" i="387"/>
  <c r="F53" i="314"/>
  <c r="F53" i="18"/>
  <c r="F53" i="20"/>
  <c r="F53" i="422"/>
  <c r="F53" i="43"/>
  <c r="F53" i="21"/>
  <c r="F53" i="423"/>
  <c r="F53" i="152"/>
  <c r="F53" i="13"/>
  <c r="F53" i="261"/>
  <c r="F53" i="153"/>
  <c r="F53" i="257"/>
  <c r="F53" i="174"/>
  <c r="F53" i="328"/>
  <c r="F53" i="329"/>
  <c r="F53" i="194"/>
  <c r="F53" i="193"/>
  <c r="F53" i="48"/>
  <c r="F53" i="319"/>
  <c r="F53" i="320"/>
  <c r="F53" i="12"/>
  <c r="F53" i="356"/>
  <c r="F53" i="394"/>
  <c r="F53" i="393"/>
  <c r="F53" i="433"/>
  <c r="F53" i="52"/>
  <c r="F53" i="425"/>
  <c r="F53" i="88"/>
  <c r="F53" i="148"/>
  <c r="F53" i="97"/>
  <c r="F53" i="383"/>
  <c r="F53" i="28"/>
  <c r="F53" i="29"/>
  <c r="F53" i="359"/>
  <c r="F53" i="360"/>
  <c r="F53" i="368"/>
  <c r="F53" i="364"/>
  <c r="F53" i="420"/>
  <c r="F53" i="191"/>
  <c r="F53" i="164"/>
  <c r="F53" i="162"/>
  <c r="F53" i="421"/>
  <c r="F53" i="333"/>
  <c r="F53" i="53"/>
  <c r="F53" i="114"/>
  <c r="F53" i="323"/>
  <c r="F53" i="400"/>
  <c r="F53" i="385"/>
  <c r="F53" i="334"/>
  <c r="F53" i="3"/>
  <c r="F53" i="349"/>
  <c r="F53" i="15"/>
  <c r="F53" i="355"/>
  <c r="F53" i="16"/>
  <c r="F53" i="54"/>
  <c r="F53" i="384"/>
  <c r="F53" i="201"/>
  <c r="F53" i="249"/>
  <c r="F53" i="19"/>
  <c r="F53" i="347"/>
  <c r="F53" i="204"/>
  <c r="F53" i="31"/>
  <c r="F53" i="342"/>
  <c r="F53" i="168"/>
  <c r="F53" i="169"/>
  <c r="F53" i="336"/>
  <c r="F53" i="33"/>
  <c r="F53" i="318"/>
  <c r="F53" i="288"/>
  <c r="F53" i="337"/>
  <c r="F53" i="227"/>
  <c r="F53" i="290"/>
  <c r="F53" i="289"/>
  <c r="F53" i="293"/>
  <c r="F53" i="348"/>
  <c r="F53" i="297"/>
  <c r="F53" i="350"/>
  <c r="F53" i="105"/>
  <c r="F53" i="294"/>
  <c r="F53" i="22"/>
  <c r="F53" i="301"/>
  <c r="F53" i="344"/>
  <c r="F53" i="340"/>
  <c r="F53" i="34"/>
  <c r="F53" i="135"/>
  <c r="F53" i="295"/>
  <c r="F53" i="283"/>
  <c r="F53" i="284"/>
  <c r="F53" i="292"/>
  <c r="F53" i="339"/>
  <c r="F53" i="325"/>
  <c r="F53" i="269"/>
  <c r="F53" i="11"/>
  <c r="F53" i="101"/>
  <c r="F53" i="382"/>
  <c r="F53" i="102"/>
  <c r="F53" i="103"/>
  <c r="F53" i="411"/>
  <c r="F53" i="265"/>
  <c r="F53" i="262"/>
  <c r="F53" i="112"/>
  <c r="F53" i="109"/>
  <c r="F53" i="85"/>
  <c r="F53" i="324"/>
  <c r="F53" i="32"/>
  <c r="F53" i="196"/>
  <c r="F53" i="197"/>
  <c r="F53" i="198"/>
  <c r="F53" i="345"/>
  <c r="F53" i="346"/>
  <c r="F53" i="74"/>
  <c r="F53" i="200"/>
  <c r="F53" i="280"/>
  <c r="F53" i="45"/>
  <c r="F53" i="104"/>
  <c r="F53" i="254"/>
  <c r="F53" i="181"/>
  <c r="F53" i="183"/>
  <c r="F53" i="184"/>
  <c r="F53" i="27"/>
  <c r="F53" i="143"/>
  <c r="F53" i="263"/>
  <c r="F53" i="209"/>
  <c r="F53" i="192"/>
  <c r="F53" i="140"/>
  <c r="F53" i="270"/>
  <c r="F53" i="271"/>
  <c r="F53" i="159"/>
  <c r="F53" i="160"/>
  <c r="F53" i="107"/>
  <c r="F53" i="176"/>
  <c r="F53" i="281"/>
  <c r="F53" i="332"/>
  <c r="F53" i="25"/>
  <c r="F53" i="24"/>
  <c r="F53" i="116"/>
  <c r="F53" i="285"/>
  <c r="F53" i="272"/>
  <c r="F53" i="87"/>
  <c r="F53" i="287"/>
  <c r="F53" i="276"/>
  <c r="F53" i="229"/>
  <c r="F53" i="230"/>
  <c r="F53" i="326"/>
  <c r="F53" i="47"/>
  <c r="F53" i="46"/>
  <c r="F53" i="248"/>
  <c r="F53" i="239"/>
  <c r="F53" i="243"/>
  <c r="F53" i="244"/>
  <c r="F53" i="246"/>
  <c r="F53" i="35"/>
  <c r="Q53" i="398"/>
  <c r="R53" i="398"/>
  <c r="K55" i="398" s="1"/>
  <c r="S53" i="398"/>
  <c r="U53" i="391"/>
  <c r="O55" i="444" l="1"/>
  <c r="C55" i="295"/>
  <c r="D58" i="295" s="1"/>
  <c r="B55" i="295"/>
  <c r="C55" i="328"/>
  <c r="B55" i="328"/>
  <c r="C55" i="107"/>
  <c r="D58" i="107" s="1"/>
  <c r="B55" i="107"/>
  <c r="C55" i="196"/>
  <c r="D58" i="196" s="1"/>
  <c r="B55" i="196"/>
  <c r="C55" i="337"/>
  <c r="D58" i="337" s="1"/>
  <c r="B55" i="337"/>
  <c r="C55" i="359"/>
  <c r="D58" i="359" s="1"/>
  <c r="B55" i="359"/>
  <c r="B55" i="298"/>
  <c r="C55" i="298"/>
  <c r="D58" i="298" s="1"/>
  <c r="B55" i="440"/>
  <c r="C55" i="440"/>
  <c r="D58" i="440" s="1"/>
  <c r="G54" i="424"/>
  <c r="B55" i="424"/>
  <c r="C55" i="424"/>
  <c r="D58" i="424" s="1"/>
  <c r="F53" i="398"/>
  <c r="U55" i="398"/>
  <c r="C55" i="276"/>
  <c r="D58" i="276" s="1"/>
  <c r="B55" i="276"/>
  <c r="B55" i="160"/>
  <c r="C55" i="160"/>
  <c r="D58" i="160" s="1"/>
  <c r="G54" i="181"/>
  <c r="C55" i="181"/>
  <c r="D58" i="181" s="1"/>
  <c r="B55" i="181"/>
  <c r="B55" i="32"/>
  <c r="C55" i="32"/>
  <c r="D58" i="32" s="1"/>
  <c r="C55" i="11"/>
  <c r="D58" i="11" s="1"/>
  <c r="B55" i="11"/>
  <c r="C55" i="301"/>
  <c r="D58" i="301" s="1"/>
  <c r="B55" i="301"/>
  <c r="G54" i="288"/>
  <c r="C55" i="288"/>
  <c r="D58" i="288" s="1"/>
  <c r="B55" i="288"/>
  <c r="B55" i="201"/>
  <c r="C55" i="201"/>
  <c r="D58" i="201" s="1"/>
  <c r="G54" i="114"/>
  <c r="C55" i="114"/>
  <c r="D58" i="114" s="1"/>
  <c r="B55" i="114"/>
  <c r="G54" i="29"/>
  <c r="C55" i="29"/>
  <c r="D58" i="29" s="1"/>
  <c r="B55" i="29"/>
  <c r="C55" i="12"/>
  <c r="D58" i="12" s="1"/>
  <c r="B55" i="12"/>
  <c r="C55" i="13"/>
  <c r="D58" i="13" s="1"/>
  <c r="B55" i="13"/>
  <c r="B55" i="233"/>
  <c r="C55" i="233"/>
  <c r="D58" i="233" s="1"/>
  <c r="C55" i="431"/>
  <c r="D58" i="431" s="1"/>
  <c r="B55" i="431"/>
  <c r="B55" i="438"/>
  <c r="C55" i="438"/>
  <c r="D58" i="438" s="1"/>
  <c r="C55" i="442"/>
  <c r="D58" i="442" s="1"/>
  <c r="B55" i="442"/>
  <c r="C55" i="7"/>
  <c r="D58" i="7" s="1"/>
  <c r="B55" i="7"/>
  <c r="C55" i="101"/>
  <c r="D58" i="101" s="1"/>
  <c r="B55" i="101"/>
  <c r="C55" i="249"/>
  <c r="D58" i="249" s="1"/>
  <c r="B55" i="249"/>
  <c r="G54" i="323"/>
  <c r="C55" i="323"/>
  <c r="B55" i="323"/>
  <c r="C55" i="356"/>
  <c r="D58" i="356" s="1"/>
  <c r="B55" i="356"/>
  <c r="C55" i="261"/>
  <c r="D58" i="261" s="1"/>
  <c r="B55" i="261"/>
  <c r="C55" i="361"/>
  <c r="D58" i="361" s="1"/>
  <c r="B55" i="361"/>
  <c r="C55" i="37"/>
  <c r="D58" i="37" s="1"/>
  <c r="B55" i="37"/>
  <c r="C55" i="35"/>
  <c r="D58" i="35" s="1"/>
  <c r="B55" i="35"/>
  <c r="C55" i="287"/>
  <c r="D58" i="287" s="1"/>
  <c r="B55" i="287"/>
  <c r="C55" i="159"/>
  <c r="D58" i="159" s="1"/>
  <c r="B55" i="159"/>
  <c r="B55" i="254"/>
  <c r="C55" i="254"/>
  <c r="D58" i="254" s="1"/>
  <c r="C55" i="324"/>
  <c r="D58" i="324" s="1"/>
  <c r="B55" i="324"/>
  <c r="G54" i="269"/>
  <c r="C55" i="269"/>
  <c r="D58" i="269" s="1"/>
  <c r="B55" i="269"/>
  <c r="G54" i="22"/>
  <c r="C55" i="22"/>
  <c r="D58" i="22" s="1"/>
  <c r="B55" i="22"/>
  <c r="B55" i="318"/>
  <c r="C55" i="318"/>
  <c r="D58" i="318" s="1"/>
  <c r="G54" i="384"/>
  <c r="C55" i="384"/>
  <c r="D58" i="384" s="1"/>
  <c r="B55" i="384"/>
  <c r="G54" i="53"/>
  <c r="C55" i="53"/>
  <c r="D58" i="53" s="1"/>
  <c r="B55" i="53"/>
  <c r="C55" i="28"/>
  <c r="D58" i="28" s="1"/>
  <c r="B55" i="28"/>
  <c r="G54" i="320"/>
  <c r="C55" i="320"/>
  <c r="D58" i="320" s="1"/>
  <c r="B55" i="320"/>
  <c r="C55" i="152"/>
  <c r="D58" i="152" s="1"/>
  <c r="B55" i="152"/>
  <c r="G54" i="354"/>
  <c r="B55" i="354"/>
  <c r="C55" i="354"/>
  <c r="D58" i="354" s="1"/>
  <c r="G54" i="113"/>
  <c r="C55" i="113"/>
  <c r="D58" i="113" s="1"/>
  <c r="B55" i="113"/>
  <c r="G54" i="436"/>
  <c r="C55" i="436"/>
  <c r="D58" i="436" s="1"/>
  <c r="B55" i="436"/>
  <c r="C55" i="2"/>
  <c r="D58" i="2" s="1"/>
  <c r="B55" i="2"/>
  <c r="B55" i="207"/>
  <c r="C55" i="207"/>
  <c r="D58" i="207" s="1"/>
  <c r="C55" i="25"/>
  <c r="D58" i="25" s="1"/>
  <c r="B55" i="25"/>
  <c r="B55" i="31"/>
  <c r="C55" i="31"/>
  <c r="D58" i="31" s="1"/>
  <c r="C55" i="85"/>
  <c r="D58" i="85" s="1"/>
  <c r="B55" i="85"/>
  <c r="C55" i="339"/>
  <c r="D58" i="339" s="1"/>
  <c r="B55" i="339"/>
  <c r="C55" i="105"/>
  <c r="D58" i="105" s="1"/>
  <c r="B55" i="105"/>
  <c r="C55" i="336"/>
  <c r="D58" i="336" s="1"/>
  <c r="B55" i="336"/>
  <c r="B55" i="16"/>
  <c r="C55" i="16"/>
  <c r="D58" i="16" s="1"/>
  <c r="C55" i="421"/>
  <c r="D58" i="421" s="1"/>
  <c r="B55" i="421"/>
  <c r="B55" i="97"/>
  <c r="C55" i="97"/>
  <c r="D58" i="97" s="1"/>
  <c r="C55" i="48"/>
  <c r="D58" i="48" s="1"/>
  <c r="B55" i="48"/>
  <c r="C55" i="21"/>
  <c r="D58" i="21" s="1"/>
  <c r="B55" i="21"/>
  <c r="B55" i="353"/>
  <c r="C55" i="353"/>
  <c r="D58" i="353" s="1"/>
  <c r="C55" i="397"/>
  <c r="D58" i="397" s="1"/>
  <c r="B55" i="397"/>
  <c r="C55" i="434"/>
  <c r="D58" i="434" s="1"/>
  <c r="B55" i="434"/>
  <c r="C55" i="8"/>
  <c r="D58" i="8" s="1"/>
  <c r="B55" i="8"/>
  <c r="B55" i="17"/>
  <c r="C55" i="17"/>
  <c r="D58" i="17" s="1"/>
  <c r="C55" i="411"/>
  <c r="D58" i="411" s="1"/>
  <c r="B55" i="411"/>
  <c r="B55" i="389"/>
  <c r="C55" i="389"/>
  <c r="D58" i="389" s="1"/>
  <c r="C55" i="344"/>
  <c r="D58" i="344" s="1"/>
  <c r="B55" i="344"/>
  <c r="B55" i="246"/>
  <c r="C55" i="246"/>
  <c r="B55" i="87"/>
  <c r="C55" i="87"/>
  <c r="D58" i="87" s="1"/>
  <c r="C55" i="271"/>
  <c r="D58" i="271" s="1"/>
  <c r="B55" i="271"/>
  <c r="C55" i="294"/>
  <c r="D58" i="294" s="1"/>
  <c r="B55" i="294"/>
  <c r="G54" i="333"/>
  <c r="C55" i="333"/>
  <c r="D58" i="333" s="1"/>
  <c r="B55" i="333"/>
  <c r="C55" i="319"/>
  <c r="D58" i="319" s="1"/>
  <c r="B55" i="319"/>
  <c r="G54" i="296"/>
  <c r="C55" i="296"/>
  <c r="D58" i="296" s="1"/>
  <c r="B55" i="296"/>
  <c r="B55" i="435"/>
  <c r="C55" i="435"/>
  <c r="D58" i="435" s="1"/>
  <c r="G54" i="244"/>
  <c r="C55" i="244"/>
  <c r="B55" i="244"/>
  <c r="C55" i="285"/>
  <c r="D58" i="285" s="1"/>
  <c r="B55" i="285"/>
  <c r="C55" i="350"/>
  <c r="D58" i="350" s="1"/>
  <c r="B55" i="350"/>
  <c r="B55" i="169"/>
  <c r="C55" i="169"/>
  <c r="D58" i="169" s="1"/>
  <c r="B55" i="355"/>
  <c r="C55" i="355"/>
  <c r="D58" i="355" s="1"/>
  <c r="B55" i="162"/>
  <c r="C55" i="162"/>
  <c r="D58" i="162" s="1"/>
  <c r="C55" i="148"/>
  <c r="D58" i="148" s="1"/>
  <c r="B55" i="148"/>
  <c r="G54" i="193"/>
  <c r="C55" i="193"/>
  <c r="D58" i="193" s="1"/>
  <c r="B55" i="193"/>
  <c r="G54" i="43"/>
  <c r="C55" i="43"/>
  <c r="D58" i="43" s="1"/>
  <c r="B55" i="43"/>
  <c r="B55" i="322"/>
  <c r="C55" i="322"/>
  <c r="D58" i="322" s="1"/>
  <c r="C55" i="1"/>
  <c r="D58" i="1" s="1"/>
  <c r="B55" i="1"/>
  <c r="G54" i="441"/>
  <c r="C55" i="441"/>
  <c r="D58" i="441" s="1"/>
  <c r="B55" i="441"/>
  <c r="C55" i="391"/>
  <c r="B55" i="391"/>
  <c r="C55" i="202"/>
  <c r="D58" i="202" s="1"/>
  <c r="B55" i="202"/>
  <c r="C55" i="371"/>
  <c r="D58" i="371" s="1"/>
  <c r="B55" i="371"/>
  <c r="C55" i="383"/>
  <c r="D58" i="383" s="1"/>
  <c r="B55" i="383"/>
  <c r="B55" i="362"/>
  <c r="C55" i="362"/>
  <c r="D58" i="362" s="1"/>
  <c r="C55" i="203"/>
  <c r="D58" i="203" s="1"/>
  <c r="B55" i="203"/>
  <c r="B55" i="272"/>
  <c r="C55" i="272"/>
  <c r="D58" i="272" s="1"/>
  <c r="B55" i="45"/>
  <c r="C55" i="45"/>
  <c r="D58" i="45" s="1"/>
  <c r="C55" i="109"/>
  <c r="D58" i="109" s="1"/>
  <c r="B55" i="109"/>
  <c r="B55" i="140"/>
  <c r="C55" i="140"/>
  <c r="D58" i="140" s="1"/>
  <c r="B55" i="292"/>
  <c r="C55" i="292"/>
  <c r="D58" i="292" s="1"/>
  <c r="G54" i="192"/>
  <c r="B55" i="192"/>
  <c r="C55" i="192"/>
  <c r="D58" i="192" s="1"/>
  <c r="G54" i="262"/>
  <c r="C55" i="262"/>
  <c r="D58" i="262" s="1"/>
  <c r="B55" i="262"/>
  <c r="G54" i="284"/>
  <c r="C55" i="284"/>
  <c r="D58" i="284" s="1"/>
  <c r="B55" i="284"/>
  <c r="C55" i="297"/>
  <c r="D58" i="297" s="1"/>
  <c r="B55" i="297"/>
  <c r="C55" i="168"/>
  <c r="D58" i="168" s="1"/>
  <c r="B55" i="168"/>
  <c r="B55" i="164"/>
  <c r="C55" i="164"/>
  <c r="D58" i="164" s="1"/>
  <c r="B55" i="88"/>
  <c r="C55" i="88"/>
  <c r="D58" i="88" s="1"/>
  <c r="C55" i="422"/>
  <c r="D58" i="422" s="1"/>
  <c r="B55" i="422"/>
  <c r="G54" i="430"/>
  <c r="B55" i="430"/>
  <c r="C55" i="430"/>
  <c r="D58" i="430" s="1"/>
  <c r="B55" i="303"/>
  <c r="C55" i="303"/>
  <c r="D58" i="303" s="1"/>
  <c r="B55" i="206"/>
  <c r="C55" i="206"/>
  <c r="D58" i="206" s="1"/>
  <c r="C55" i="3"/>
  <c r="D58" i="3" s="1"/>
  <c r="B55" i="3"/>
  <c r="G54" i="23"/>
  <c r="C55" i="23"/>
  <c r="D58" i="23" s="1"/>
  <c r="B55" i="23"/>
  <c r="C55" i="229"/>
  <c r="D58" i="229" s="1"/>
  <c r="B55" i="229"/>
  <c r="C55" i="183"/>
  <c r="D58" i="183" s="1"/>
  <c r="B55" i="183"/>
  <c r="G54" i="104"/>
  <c r="C55" i="104"/>
  <c r="D58" i="104" s="1"/>
  <c r="B55" i="104"/>
  <c r="C55" i="325"/>
  <c r="D58" i="325" s="1"/>
  <c r="B55" i="325"/>
  <c r="G54" i="33"/>
  <c r="C55" i="33"/>
  <c r="D58" i="33" s="1"/>
  <c r="B55" i="33"/>
  <c r="G54" i="54"/>
  <c r="C55" i="54"/>
  <c r="D58" i="54" s="1"/>
  <c r="B55" i="54"/>
  <c r="C55" i="423"/>
  <c r="D58" i="423" s="1"/>
  <c r="B55" i="423"/>
  <c r="G54" i="5"/>
  <c r="B55" i="5"/>
  <c r="C55" i="5"/>
  <c r="D58" i="5" s="1"/>
  <c r="B55" i="270"/>
  <c r="C55" i="270"/>
  <c r="D58" i="270" s="1"/>
  <c r="C55" i="243"/>
  <c r="B55" i="243"/>
  <c r="C55" i="280"/>
  <c r="D58" i="280" s="1"/>
  <c r="B55" i="280"/>
  <c r="C55" i="112"/>
  <c r="D58" i="112" s="1"/>
  <c r="B55" i="112"/>
  <c r="G54" i="239"/>
  <c r="C55" i="239"/>
  <c r="B55" i="239"/>
  <c r="C55" i="116"/>
  <c r="D58" i="116" s="1"/>
  <c r="B55" i="116"/>
  <c r="B55" i="200"/>
  <c r="C55" i="200"/>
  <c r="D58" i="200" s="1"/>
  <c r="B55" i="15"/>
  <c r="C55" i="15"/>
  <c r="D58" i="15" s="1"/>
  <c r="C55" i="194"/>
  <c r="D58" i="194" s="1"/>
  <c r="B55" i="194"/>
  <c r="G54" i="338"/>
  <c r="C55" i="338"/>
  <c r="D58" i="338" s="1"/>
  <c r="B55" i="338"/>
  <c r="G54" i="248"/>
  <c r="C55" i="248"/>
  <c r="B55" i="248"/>
  <c r="C55" i="24"/>
  <c r="D58" i="24" s="1"/>
  <c r="B55" i="24"/>
  <c r="C55" i="209"/>
  <c r="D58" i="209" s="1"/>
  <c r="B55" i="209"/>
  <c r="C55" i="74"/>
  <c r="D58" i="74" s="1"/>
  <c r="B55" i="74"/>
  <c r="C55" i="265"/>
  <c r="D58" i="265" s="1"/>
  <c r="B55" i="265"/>
  <c r="C55" i="283"/>
  <c r="D58" i="283" s="1"/>
  <c r="B55" i="283"/>
  <c r="C55" i="348"/>
  <c r="D58" i="348" s="1"/>
  <c r="B55" i="348"/>
  <c r="B55" i="342"/>
  <c r="C55" i="342"/>
  <c r="D58" i="342" s="1"/>
  <c r="C55" i="349"/>
  <c r="D58" i="349" s="1"/>
  <c r="B55" i="349"/>
  <c r="B55" i="191"/>
  <c r="C55" i="191"/>
  <c r="D58" i="191" s="1"/>
  <c r="B55" i="425"/>
  <c r="C55" i="425"/>
  <c r="D58" i="425" s="1"/>
  <c r="G54" i="329"/>
  <c r="C55" i="329"/>
  <c r="D58" i="329" s="1"/>
  <c r="B55" i="329"/>
  <c r="C55" i="20"/>
  <c r="D58" i="20" s="1"/>
  <c r="B55" i="20"/>
  <c r="B55" i="413"/>
  <c r="C55" i="413"/>
  <c r="D58" i="413" s="1"/>
  <c r="B55" i="386"/>
  <c r="C55" i="386"/>
  <c r="D58" i="386" s="1"/>
  <c r="C55" i="4"/>
  <c r="D58" i="4" s="1"/>
  <c r="B55" i="4"/>
  <c r="B55" i="432"/>
  <c r="C55" i="432"/>
  <c r="D58" i="432" s="1"/>
  <c r="C55" i="346"/>
  <c r="D58" i="346" s="1"/>
  <c r="B55" i="346"/>
  <c r="G54" i="52"/>
  <c r="C55" i="52"/>
  <c r="D58" i="52" s="1"/>
  <c r="B55" i="52"/>
  <c r="G54" i="332"/>
  <c r="C55" i="332"/>
  <c r="D58" i="332" s="1"/>
  <c r="B55" i="332"/>
  <c r="G54" i="204"/>
  <c r="B55" i="204"/>
  <c r="C55" i="204"/>
  <c r="D58" i="204" s="1"/>
  <c r="C55" i="364"/>
  <c r="D58" i="364" s="1"/>
  <c r="B55" i="364"/>
  <c r="B55" i="174"/>
  <c r="C55" i="174"/>
  <c r="D58" i="174" s="1"/>
  <c r="G54" i="75"/>
  <c r="B55" i="75"/>
  <c r="C55" i="75"/>
  <c r="D58" i="75" s="1"/>
  <c r="E37" i="444"/>
  <c r="E55" i="444"/>
  <c r="D55" i="444"/>
  <c r="G54" i="326"/>
  <c r="C55" i="326"/>
  <c r="D58" i="326" s="1"/>
  <c r="B55" i="326"/>
  <c r="G54" i="281"/>
  <c r="B55" i="281"/>
  <c r="C55" i="281"/>
  <c r="D58" i="281" s="1"/>
  <c r="G54" i="27"/>
  <c r="B55" i="27"/>
  <c r="C55" i="27"/>
  <c r="D58" i="27" s="1"/>
  <c r="G54" i="198"/>
  <c r="C55" i="198"/>
  <c r="D58" i="198" s="1"/>
  <c r="B55" i="198"/>
  <c r="B55" i="102"/>
  <c r="C55" i="102"/>
  <c r="D58" i="102" s="1"/>
  <c r="B55" i="34"/>
  <c r="C55" i="34"/>
  <c r="D58" i="34" s="1"/>
  <c r="B55" i="290"/>
  <c r="C55" i="290"/>
  <c r="D58" i="290" s="1"/>
  <c r="C55" i="347"/>
  <c r="D58" i="347" s="1"/>
  <c r="B55" i="347"/>
  <c r="C55" i="385"/>
  <c r="D58" i="385" s="1"/>
  <c r="B55" i="385"/>
  <c r="G54" i="368"/>
  <c r="C55" i="368"/>
  <c r="D58" i="368" s="1"/>
  <c r="B55" i="368"/>
  <c r="G54" i="393"/>
  <c r="B55" i="393"/>
  <c r="C55" i="393"/>
  <c r="D58" i="393" s="1"/>
  <c r="C55" i="257"/>
  <c r="D58" i="257" s="1"/>
  <c r="B55" i="257"/>
  <c r="G54" i="387"/>
  <c r="B55" i="387"/>
  <c r="C55" i="387"/>
  <c r="D58" i="387" s="1"/>
  <c r="C55" i="352"/>
  <c r="D58" i="352" s="1"/>
  <c r="B55" i="352"/>
  <c r="G54" i="439"/>
  <c r="B55" i="439"/>
  <c r="C55" i="439"/>
  <c r="D58" i="439" s="1"/>
  <c r="B55" i="9"/>
  <c r="C55" i="9"/>
  <c r="D58" i="9" s="1"/>
  <c r="B55" i="61"/>
  <c r="C55" i="61"/>
  <c r="D58" i="61" s="1"/>
  <c r="C55" i="46"/>
  <c r="B55" i="46"/>
  <c r="B55" i="263"/>
  <c r="C55" i="263"/>
  <c r="D58" i="263" s="1"/>
  <c r="C55" i="293"/>
  <c r="D58" i="293" s="1"/>
  <c r="B55" i="293"/>
  <c r="C55" i="420"/>
  <c r="D58" i="420" s="1"/>
  <c r="B55" i="420"/>
  <c r="C55" i="18"/>
  <c r="D58" i="18" s="1"/>
  <c r="B55" i="18"/>
  <c r="G54" i="190"/>
  <c r="C55" i="190"/>
  <c r="D58" i="190" s="1"/>
  <c r="B55" i="190"/>
  <c r="C55" i="47"/>
  <c r="D58" i="47" s="1"/>
  <c r="B55" i="47"/>
  <c r="B55" i="143"/>
  <c r="C55" i="143"/>
  <c r="D58" i="143" s="1"/>
  <c r="G54" i="345"/>
  <c r="C55" i="345"/>
  <c r="D58" i="345" s="1"/>
  <c r="B55" i="345"/>
  <c r="C55" i="103"/>
  <c r="D58" i="103" s="1"/>
  <c r="B55" i="103"/>
  <c r="C55" i="135"/>
  <c r="D58" i="135" s="1"/>
  <c r="B55" i="135"/>
  <c r="C55" i="289"/>
  <c r="D58" i="289" s="1"/>
  <c r="B55" i="289"/>
  <c r="G54" i="334"/>
  <c r="C55" i="334"/>
  <c r="D58" i="334" s="1"/>
  <c r="B55" i="334"/>
  <c r="B55" i="433"/>
  <c r="C55" i="433"/>
  <c r="D58" i="433" s="1"/>
  <c r="B55" i="314"/>
  <c r="C55" i="314"/>
  <c r="D58" i="314" s="1"/>
  <c r="G54" i="392"/>
  <c r="C55" i="392"/>
  <c r="B55" i="392"/>
  <c r="C55" i="89"/>
  <c r="D58" i="89" s="1"/>
  <c r="B55" i="89"/>
  <c r="G54" i="299"/>
  <c r="C55" i="299"/>
  <c r="D58" i="299" s="1"/>
  <c r="B55" i="299"/>
  <c r="G54" i="230"/>
  <c r="B55" i="230"/>
  <c r="C55" i="230"/>
  <c r="D58" i="230" s="1"/>
  <c r="B55" i="176"/>
  <c r="C55" i="176"/>
  <c r="D58" i="176" s="1"/>
  <c r="G54" i="184"/>
  <c r="C55" i="184"/>
  <c r="D58" i="184" s="1"/>
  <c r="B55" i="184"/>
  <c r="C55" i="197"/>
  <c r="D58" i="197" s="1"/>
  <c r="B55" i="197"/>
  <c r="C55" i="382"/>
  <c r="D58" i="382" s="1"/>
  <c r="B55" i="382"/>
  <c r="C55" i="340"/>
  <c r="D58" i="340" s="1"/>
  <c r="B55" i="340"/>
  <c r="B55" i="227"/>
  <c r="C55" i="227"/>
  <c r="D58" i="227" s="1"/>
  <c r="C55" i="19"/>
  <c r="D58" i="19" s="1"/>
  <c r="B55" i="19"/>
  <c r="B55" i="400"/>
  <c r="C55" i="400"/>
  <c r="D58" i="400" s="1"/>
  <c r="B55" i="360"/>
  <c r="C55" i="360"/>
  <c r="D58" i="360" s="1"/>
  <c r="B55" i="394"/>
  <c r="C55" i="394"/>
  <c r="D58" i="394" s="1"/>
  <c r="C55" i="153"/>
  <c r="D58" i="153" s="1"/>
  <c r="B55" i="153"/>
  <c r="G54" i="367"/>
  <c r="C55" i="367"/>
  <c r="D58" i="367" s="1"/>
  <c r="B55" i="367"/>
  <c r="G54" i="351"/>
  <c r="C55" i="351"/>
  <c r="D58" i="351" s="1"/>
  <c r="B55" i="351"/>
  <c r="G54" i="437"/>
  <c r="B55" i="437"/>
  <c r="C55" i="437"/>
  <c r="D58" i="437" s="1"/>
  <c r="G54" i="409"/>
  <c r="C55" i="409"/>
  <c r="D58" i="409" s="1"/>
  <c r="B55" i="409"/>
  <c r="B55" i="187"/>
  <c r="C55" i="187"/>
  <c r="D58" i="187" s="1"/>
  <c r="O49" i="444"/>
  <c r="O37" i="444"/>
  <c r="O28" i="444"/>
  <c r="G54" i="270"/>
  <c r="G54" i="45"/>
  <c r="G54" i="109"/>
  <c r="G54" i="48"/>
  <c r="G54" i="21"/>
  <c r="G54" i="353"/>
  <c r="G54" i="397"/>
  <c r="G54" i="8"/>
  <c r="G54" i="17"/>
  <c r="G54" i="272"/>
  <c r="G54" i="243"/>
  <c r="G54" i="285"/>
  <c r="G54" i="280"/>
  <c r="G54" i="162"/>
  <c r="G54" i="148"/>
  <c r="G54" i="322"/>
  <c r="G54" i="1"/>
  <c r="G54" i="391"/>
  <c r="G54" i="202"/>
  <c r="G54" i="209"/>
  <c r="G54" i="283"/>
  <c r="G54" i="348"/>
  <c r="G54" i="342"/>
  <c r="G54" i="349"/>
  <c r="G54" i="191"/>
  <c r="G54" i="425"/>
  <c r="G54" i="20"/>
  <c r="G54" i="413"/>
  <c r="G54" i="386"/>
  <c r="G54" i="4"/>
  <c r="G54" i="432"/>
  <c r="G54" i="339"/>
  <c r="G54" i="105"/>
  <c r="G54" i="346"/>
  <c r="G54" i="411"/>
  <c r="G54" i="295"/>
  <c r="G54" i="293"/>
  <c r="G54" i="31"/>
  <c r="G54" i="3"/>
  <c r="G54" i="420"/>
  <c r="G54" i="18"/>
  <c r="G54" i="371"/>
  <c r="G54" i="169"/>
  <c r="G54" i="265"/>
  <c r="G54" i="303"/>
  <c r="G54" i="47"/>
  <c r="G54" i="143"/>
  <c r="G54" i="135"/>
  <c r="G54" i="350"/>
  <c r="G54" i="102"/>
  <c r="G54" i="34"/>
  <c r="G54" i="347"/>
  <c r="G54" i="9"/>
  <c r="G54" i="421"/>
  <c r="G54" i="16"/>
  <c r="G54" i="336"/>
  <c r="G54" i="297"/>
  <c r="G54" i="15"/>
  <c r="G54" i="164"/>
  <c r="G54" i="206"/>
  <c r="G54" i="289"/>
  <c r="G54" i="433"/>
  <c r="G54" i="382"/>
  <c r="G54" i="19"/>
  <c r="G54" i="400"/>
  <c r="G54" i="360"/>
  <c r="G54" i="434"/>
  <c r="G54" i="25"/>
  <c r="G54" i="88"/>
  <c r="G54" i="97"/>
  <c r="G54" i="422"/>
  <c r="G54" i="355"/>
  <c r="G54" i="227"/>
  <c r="G54" i="153"/>
  <c r="G54" i="107"/>
  <c r="G54" i="196"/>
  <c r="G54" i="337"/>
  <c r="G54" i="359"/>
  <c r="G54" i="261"/>
  <c r="G54" i="298"/>
  <c r="G54" i="361"/>
  <c r="G54" i="37"/>
  <c r="G54" i="328"/>
  <c r="G54" i="292"/>
  <c r="G54" i="385"/>
  <c r="G54" i="290"/>
  <c r="G54" i="46"/>
  <c r="G54" i="103"/>
  <c r="G54" i="314"/>
  <c r="G54" i="176"/>
  <c r="G54" i="197"/>
  <c r="G54" i="394"/>
  <c r="G54" i="257"/>
  <c r="G54" i="229"/>
  <c r="G54" i="183"/>
  <c r="G54" i="101"/>
  <c r="G54" i="344"/>
  <c r="G54" i="249"/>
  <c r="G54" i="440"/>
  <c r="G54" i="276"/>
  <c r="G54" i="32"/>
  <c r="G54" i="11"/>
  <c r="G54" i="301"/>
  <c r="G54" i="201"/>
  <c r="G54" i="12"/>
  <c r="G54" i="13"/>
  <c r="G54" i="233"/>
  <c r="G54" i="431"/>
  <c r="G54" i="438"/>
  <c r="G54" i="442"/>
  <c r="G54" i="194"/>
  <c r="G54" i="340"/>
  <c r="G54" i="74"/>
  <c r="G54" i="112"/>
  <c r="G54" i="160"/>
  <c r="G54" i="263"/>
  <c r="G54" i="200"/>
  <c r="G54" i="35"/>
  <c r="G54" i="287"/>
  <c r="G54" i="159"/>
  <c r="G54" i="254"/>
  <c r="G54" i="318"/>
  <c r="G54" i="28"/>
  <c r="G54" i="152"/>
  <c r="G54" i="2"/>
  <c r="G54" i="324"/>
  <c r="G54" i="24"/>
  <c r="G54" i="352"/>
  <c r="G54" i="168"/>
  <c r="G54" i="89"/>
  <c r="G54" i="174"/>
  <c r="G54" i="140"/>
  <c r="G54" i="271"/>
  <c r="G54" i="85"/>
  <c r="G54" i="325"/>
  <c r="G54" i="294"/>
  <c r="G54" i="423"/>
  <c r="G54" i="362"/>
  <c r="G54" i="435"/>
  <c r="G54" i="203"/>
  <c r="G54" i="389"/>
  <c r="G54" i="319"/>
  <c r="G54" i="246"/>
  <c r="G54" i="87"/>
  <c r="G54" i="383"/>
  <c r="G54" i="356"/>
  <c r="G54" i="116"/>
  <c r="G54" i="364"/>
  <c r="G54" i="61"/>
  <c r="G54" i="187"/>
  <c r="G54" i="7"/>
  <c r="G54" i="207"/>
  <c r="O25" i="444"/>
  <c r="E28" i="444"/>
  <c r="O13" i="444"/>
  <c r="O43" i="444"/>
  <c r="J50" i="444"/>
  <c r="D43" i="444"/>
  <c r="O22" i="444"/>
  <c r="J39" i="444"/>
  <c r="D28" i="444"/>
  <c r="O19" i="444"/>
  <c r="O31" i="444"/>
  <c r="O46" i="444"/>
  <c r="O10" i="444"/>
  <c r="D13" i="444"/>
  <c r="O40" i="444"/>
  <c r="E31" i="444"/>
  <c r="D31" i="444"/>
  <c r="E43" i="444"/>
  <c r="E25" i="444"/>
  <c r="O52" i="444"/>
  <c r="E40" i="444"/>
  <c r="D40" i="444"/>
  <c r="J41" i="444"/>
  <c r="E22" i="444"/>
  <c r="D22" i="444"/>
  <c r="D25" i="444"/>
  <c r="D10" i="444"/>
  <c r="D16" i="444"/>
  <c r="E19" i="444"/>
  <c r="D19" i="444"/>
  <c r="O34" i="444"/>
  <c r="E46" i="444"/>
  <c r="D46" i="444"/>
  <c r="D52" i="444"/>
  <c r="E52" i="444"/>
  <c r="D49" i="444"/>
  <c r="E49" i="444"/>
  <c r="E34" i="444"/>
  <c r="D34" i="444"/>
  <c r="D37" i="444"/>
  <c r="O16" i="444"/>
  <c r="S53" i="149"/>
  <c r="R53" i="149"/>
  <c r="K55" i="149" s="1"/>
  <c r="Q53" i="149"/>
  <c r="S53" i="195"/>
  <c r="R53" i="195"/>
  <c r="K55" i="195" s="1"/>
  <c r="Q53" i="195"/>
  <c r="S53" i="327"/>
  <c r="R53" i="327"/>
  <c r="K55" i="327" s="1"/>
  <c r="Q53" i="327"/>
  <c r="S53" i="142"/>
  <c r="R53" i="142"/>
  <c r="K55" i="142" s="1"/>
  <c r="Q53" i="142"/>
  <c r="F53" i="195" l="1"/>
  <c r="G54" i="195" s="1"/>
  <c r="U55" i="195"/>
  <c r="G54" i="398"/>
  <c r="C55" i="398"/>
  <c r="D58" i="398" s="1"/>
  <c r="B55" i="398"/>
  <c r="F53" i="149"/>
  <c r="G54" i="149" s="1"/>
  <c r="U55" i="149"/>
  <c r="F53" i="327"/>
  <c r="U55" i="327"/>
  <c r="F53" i="142"/>
  <c r="U55" i="142"/>
  <c r="U53" i="202"/>
  <c r="T53" i="202"/>
  <c r="N55" i="202" s="1"/>
  <c r="U53" i="61"/>
  <c r="T53" i="61"/>
  <c r="N55" i="61" s="1"/>
  <c r="S53" i="300"/>
  <c r="R53" i="300"/>
  <c r="K55" i="300" s="1"/>
  <c r="Q53" i="300"/>
  <c r="U55" i="300" s="1"/>
  <c r="U53" i="299"/>
  <c r="T53" i="299"/>
  <c r="N55" i="299" s="1"/>
  <c r="U53" i="190"/>
  <c r="T53" i="190"/>
  <c r="N55" i="190" s="1"/>
  <c r="T53" i="432"/>
  <c r="N55" i="432" s="1"/>
  <c r="U53" i="17"/>
  <c r="T53" i="17"/>
  <c r="N55" i="17" s="1"/>
  <c r="U53" i="206"/>
  <c r="T53" i="206"/>
  <c r="N55" i="206" s="1"/>
  <c r="T53" i="391"/>
  <c r="N55" i="391" s="1"/>
  <c r="S53" i="414"/>
  <c r="R53" i="414"/>
  <c r="K55" i="414" s="1"/>
  <c r="Q53" i="414"/>
  <c r="U53" i="8"/>
  <c r="T53" i="8"/>
  <c r="N55" i="8" s="1"/>
  <c r="U53" i="203"/>
  <c r="T53" i="203"/>
  <c r="N55" i="203" s="1"/>
  <c r="U53" i="2"/>
  <c r="T53" i="2"/>
  <c r="N55" i="2" s="1"/>
  <c r="U53" i="442"/>
  <c r="T53" i="442"/>
  <c r="N55" i="442" s="1"/>
  <c r="U53" i="37"/>
  <c r="T53" i="37"/>
  <c r="N55" i="37" s="1"/>
  <c r="U53" i="409"/>
  <c r="T53" i="409"/>
  <c r="N55" i="409" s="1"/>
  <c r="U53" i="9"/>
  <c r="T53" i="9"/>
  <c r="N55" i="9" s="1"/>
  <c r="U53" i="75"/>
  <c r="T53" i="75"/>
  <c r="N55" i="75" s="1"/>
  <c r="U53" i="5"/>
  <c r="T53" i="5"/>
  <c r="N55" i="5" s="1"/>
  <c r="U53" i="207"/>
  <c r="T53" i="207"/>
  <c r="N55" i="207" s="1"/>
  <c r="U53" i="7"/>
  <c r="T53" i="7"/>
  <c r="N55" i="7" s="1"/>
  <c r="U53" i="424"/>
  <c r="T53" i="424"/>
  <c r="N55" i="424" s="1"/>
  <c r="U53" i="187"/>
  <c r="T53" i="187"/>
  <c r="N55" i="187" s="1"/>
  <c r="U53" i="23"/>
  <c r="T53" i="23"/>
  <c r="N55" i="23" s="1"/>
  <c r="U53" i="4"/>
  <c r="T53" i="4"/>
  <c r="N55" i="4" s="1"/>
  <c r="U53" i="338"/>
  <c r="T53" i="338"/>
  <c r="N55" i="338" s="1"/>
  <c r="U53" i="441"/>
  <c r="T53" i="441"/>
  <c r="N55" i="441" s="1"/>
  <c r="U53" i="434"/>
  <c r="T53" i="434"/>
  <c r="N55" i="434" s="1"/>
  <c r="U53" i="435"/>
  <c r="T53" i="435"/>
  <c r="N55" i="435" s="1"/>
  <c r="U53" i="436"/>
  <c r="T53" i="436"/>
  <c r="N55" i="436" s="1"/>
  <c r="U53" i="438"/>
  <c r="T53" i="438"/>
  <c r="N55" i="438" s="1"/>
  <c r="U53" i="440"/>
  <c r="T53" i="440"/>
  <c r="N55" i="440" s="1"/>
  <c r="U53" i="437"/>
  <c r="T53" i="437"/>
  <c r="N55" i="437" s="1"/>
  <c r="U53" i="439"/>
  <c r="T53" i="439"/>
  <c r="N55" i="439" s="1"/>
  <c r="U53" i="89"/>
  <c r="T53" i="89"/>
  <c r="N55" i="89" s="1"/>
  <c r="U53" i="389"/>
  <c r="T53" i="389"/>
  <c r="N55" i="389" s="1"/>
  <c r="U53" i="386"/>
  <c r="T53" i="386"/>
  <c r="N55" i="386" s="1"/>
  <c r="U53" i="303"/>
  <c r="T53" i="303"/>
  <c r="N55" i="303" s="1"/>
  <c r="U53" i="1"/>
  <c r="T53" i="1"/>
  <c r="N55" i="1" s="1"/>
  <c r="U53" i="397"/>
  <c r="T53" i="397"/>
  <c r="N55" i="397" s="1"/>
  <c r="U53" i="113"/>
  <c r="T53" i="113"/>
  <c r="N55" i="113" s="1"/>
  <c r="U53" i="431"/>
  <c r="T53" i="431"/>
  <c r="N55" i="431" s="1"/>
  <c r="U53" i="361"/>
  <c r="T53" i="361"/>
  <c r="N55" i="361" s="1"/>
  <c r="U53" i="351"/>
  <c r="T53" i="351"/>
  <c r="N55" i="351" s="1"/>
  <c r="U53" i="352"/>
  <c r="T53" i="352"/>
  <c r="N55" i="352" s="1"/>
  <c r="T53" i="392"/>
  <c r="N55" i="392" s="1"/>
  <c r="U53" i="371"/>
  <c r="T53" i="371"/>
  <c r="N55" i="371" s="1"/>
  <c r="U53" i="413"/>
  <c r="T53" i="413"/>
  <c r="N55" i="413" s="1"/>
  <c r="U53" i="430"/>
  <c r="T53" i="430"/>
  <c r="N55" i="430" s="1"/>
  <c r="U53" i="296"/>
  <c r="T53" i="296"/>
  <c r="N55" i="296" s="1"/>
  <c r="U53" i="322"/>
  <c r="T53" i="322"/>
  <c r="N55" i="322" s="1"/>
  <c r="U53" i="353"/>
  <c r="T53" i="353"/>
  <c r="N55" i="353" s="1"/>
  <c r="U53" i="362"/>
  <c r="T53" i="362"/>
  <c r="N55" i="362" s="1"/>
  <c r="U53" i="354"/>
  <c r="T53" i="354"/>
  <c r="N55" i="354" s="1"/>
  <c r="U53" i="233"/>
  <c r="T53" i="233"/>
  <c r="N55" i="233" s="1"/>
  <c r="U53" i="298"/>
  <c r="T53" i="298"/>
  <c r="N55" i="298" s="1"/>
  <c r="U53" i="367"/>
  <c r="T53" i="367"/>
  <c r="N55" i="367" s="1"/>
  <c r="U53" i="387"/>
  <c r="T53" i="387"/>
  <c r="N55" i="387" s="1"/>
  <c r="U53" i="314"/>
  <c r="T53" i="314"/>
  <c r="N55" i="314" s="1"/>
  <c r="T53" i="18"/>
  <c r="N55" i="18" s="1"/>
  <c r="U53" i="20"/>
  <c r="T53" i="20"/>
  <c r="N55" i="20" s="1"/>
  <c r="U53" i="422"/>
  <c r="T53" i="422"/>
  <c r="N55" i="422" s="1"/>
  <c r="U53" i="43"/>
  <c r="T53" i="43"/>
  <c r="N55" i="43" s="1"/>
  <c r="U53" i="21"/>
  <c r="T53" i="21"/>
  <c r="N55" i="21" s="1"/>
  <c r="U53" i="423"/>
  <c r="T53" i="423"/>
  <c r="N55" i="423" s="1"/>
  <c r="U53" i="152"/>
  <c r="T53" i="152"/>
  <c r="N55" i="152" s="1"/>
  <c r="U53" i="13"/>
  <c r="T53" i="13"/>
  <c r="N55" i="13" s="1"/>
  <c r="U53" i="261"/>
  <c r="T53" i="261"/>
  <c r="N55" i="261" s="1"/>
  <c r="U53" i="153"/>
  <c r="I53" i="153"/>
  <c r="U53" i="257"/>
  <c r="T53" i="257"/>
  <c r="N55" i="257" s="1"/>
  <c r="U53" i="174"/>
  <c r="N55" i="174"/>
  <c r="U53" i="328"/>
  <c r="T53" i="328"/>
  <c r="N55" i="328" s="1"/>
  <c r="U53" i="329"/>
  <c r="T53" i="329"/>
  <c r="N55" i="329" s="1"/>
  <c r="U53" i="194"/>
  <c r="T53" i="194"/>
  <c r="N55" i="194" s="1"/>
  <c r="U53" i="193"/>
  <c r="T53" i="193"/>
  <c r="N55" i="193" s="1"/>
  <c r="U53" i="48"/>
  <c r="T53" i="48"/>
  <c r="N55" i="48" s="1"/>
  <c r="F53" i="321"/>
  <c r="U53" i="319"/>
  <c r="T53" i="319"/>
  <c r="N55" i="319" s="1"/>
  <c r="U53" i="320"/>
  <c r="T53" i="320"/>
  <c r="N55" i="320" s="1"/>
  <c r="U53" i="12"/>
  <c r="T53" i="12"/>
  <c r="N55" i="12" s="1"/>
  <c r="U53" i="356"/>
  <c r="T53" i="356"/>
  <c r="N55" i="356" s="1"/>
  <c r="S53" i="395"/>
  <c r="R53" i="395"/>
  <c r="K55" i="395" s="1"/>
  <c r="Q53" i="395"/>
  <c r="U53" i="394"/>
  <c r="T53" i="394"/>
  <c r="N55" i="394" s="1"/>
  <c r="U53" i="393"/>
  <c r="T53" i="393"/>
  <c r="N55" i="393" s="1"/>
  <c r="U53" i="433"/>
  <c r="T53" i="433"/>
  <c r="N55" i="433" s="1"/>
  <c r="U53" i="52"/>
  <c r="T53" i="52"/>
  <c r="N55" i="52" s="1"/>
  <c r="U53" i="425"/>
  <c r="T53" i="425"/>
  <c r="N55" i="425" s="1"/>
  <c r="U53" i="88"/>
  <c r="T53" i="88"/>
  <c r="N55" i="88" s="1"/>
  <c r="U53" i="148"/>
  <c r="T53" i="148"/>
  <c r="N55" i="148" s="1"/>
  <c r="U53" i="97"/>
  <c r="T53" i="97"/>
  <c r="N55" i="97" s="1"/>
  <c r="U53" i="383"/>
  <c r="T53" i="383"/>
  <c r="N55" i="383" s="1"/>
  <c r="S53" i="253"/>
  <c r="R53" i="253"/>
  <c r="K55" i="253" s="1"/>
  <c r="Q53" i="253"/>
  <c r="U53" i="28"/>
  <c r="T53" i="28"/>
  <c r="N55" i="28" s="1"/>
  <c r="U53" i="29"/>
  <c r="T53" i="29"/>
  <c r="N55" i="29" s="1"/>
  <c r="U53" i="359"/>
  <c r="T53" i="359"/>
  <c r="N55" i="359" s="1"/>
  <c r="U53" i="360"/>
  <c r="T53" i="360"/>
  <c r="N55" i="360" s="1"/>
  <c r="U53" i="368"/>
  <c r="T53" i="368"/>
  <c r="N55" i="368" s="1"/>
  <c r="U53" i="364"/>
  <c r="I53" i="364"/>
  <c r="U53" i="420"/>
  <c r="T53" i="420"/>
  <c r="N55" i="420" s="1"/>
  <c r="U53" i="191"/>
  <c r="T53" i="191"/>
  <c r="N55" i="191" s="1"/>
  <c r="U53" i="164"/>
  <c r="T53" i="164"/>
  <c r="N55" i="164" s="1"/>
  <c r="U53" i="162"/>
  <c r="T53" i="162"/>
  <c r="N55" i="162" s="1"/>
  <c r="U53" i="421"/>
  <c r="T53" i="421"/>
  <c r="N55" i="421" s="1"/>
  <c r="U53" i="333"/>
  <c r="T53" i="333"/>
  <c r="N55" i="333" s="1"/>
  <c r="U53" i="53"/>
  <c r="T53" i="53"/>
  <c r="N55" i="53" s="1"/>
  <c r="U53" i="114"/>
  <c r="T53" i="114"/>
  <c r="N55" i="114" s="1"/>
  <c r="U53" i="323"/>
  <c r="T53" i="323"/>
  <c r="N55" i="323" s="1"/>
  <c r="U53" i="400"/>
  <c r="T53" i="400"/>
  <c r="N55" i="400" s="1"/>
  <c r="U53" i="385"/>
  <c r="T53" i="385"/>
  <c r="N55" i="385" s="1"/>
  <c r="U53" i="334"/>
  <c r="T53" i="334"/>
  <c r="N55" i="334" s="1"/>
  <c r="U53" i="3"/>
  <c r="T53" i="3"/>
  <c r="N55" i="3" s="1"/>
  <c r="U53" i="349"/>
  <c r="T53" i="349"/>
  <c r="N55" i="349" s="1"/>
  <c r="U53" i="15"/>
  <c r="T53" i="15"/>
  <c r="N55" i="15" s="1"/>
  <c r="U53" i="355"/>
  <c r="T53" i="355"/>
  <c r="N55" i="355" s="1"/>
  <c r="U53" i="16"/>
  <c r="T53" i="16"/>
  <c r="N55" i="16" s="1"/>
  <c r="U53" i="54"/>
  <c r="T53" i="54"/>
  <c r="N55" i="54" s="1"/>
  <c r="U53" i="384"/>
  <c r="I53" i="384"/>
  <c r="U53" i="201"/>
  <c r="T53" i="201"/>
  <c r="N55" i="201" s="1"/>
  <c r="U53" i="249"/>
  <c r="T53" i="249"/>
  <c r="N55" i="249" s="1"/>
  <c r="U53" i="19"/>
  <c r="T53" i="19"/>
  <c r="N55" i="19" s="1"/>
  <c r="U53" i="347"/>
  <c r="T53" i="347"/>
  <c r="N55" i="347" s="1"/>
  <c r="U53" i="204"/>
  <c r="T53" i="204"/>
  <c r="N55" i="204" s="1"/>
  <c r="U53" i="31"/>
  <c r="T53" i="31"/>
  <c r="N55" i="31" s="1"/>
  <c r="U53" i="342"/>
  <c r="T53" i="342"/>
  <c r="N55" i="342" s="1"/>
  <c r="F53" i="170"/>
  <c r="U53" i="168"/>
  <c r="T53" i="168"/>
  <c r="N55" i="168" s="1"/>
  <c r="U53" i="169"/>
  <c r="T53" i="169"/>
  <c r="N55" i="169" s="1"/>
  <c r="U53" i="336"/>
  <c r="T53" i="336"/>
  <c r="N55" i="336" s="1"/>
  <c r="U53" i="33"/>
  <c r="T53" i="33"/>
  <c r="N55" i="33" s="1"/>
  <c r="U53" i="318"/>
  <c r="T53" i="318"/>
  <c r="N55" i="318" s="1"/>
  <c r="U53" i="288"/>
  <c r="T53" i="288"/>
  <c r="N55" i="288" s="1"/>
  <c r="U53" i="337"/>
  <c r="T53" i="337"/>
  <c r="N55" i="337" s="1"/>
  <c r="U53" i="227"/>
  <c r="T53" i="227"/>
  <c r="N55" i="227" s="1"/>
  <c r="S53" i="388"/>
  <c r="R53" i="388"/>
  <c r="K55" i="388" s="1"/>
  <c r="Q53" i="388"/>
  <c r="U53" i="290"/>
  <c r="T53" i="290"/>
  <c r="N55" i="290" s="1"/>
  <c r="U53" i="289"/>
  <c r="T53" i="289"/>
  <c r="N55" i="289" s="1"/>
  <c r="U53" i="293"/>
  <c r="T53" i="293"/>
  <c r="N55" i="293" s="1"/>
  <c r="U53" i="348"/>
  <c r="T53" i="348"/>
  <c r="N55" i="348" s="1"/>
  <c r="U53" i="297"/>
  <c r="T53" i="297"/>
  <c r="N55" i="297" s="1"/>
  <c r="U53" i="350"/>
  <c r="T53" i="350"/>
  <c r="N55" i="350" s="1"/>
  <c r="U53" i="105"/>
  <c r="T53" i="105"/>
  <c r="N55" i="105" s="1"/>
  <c r="U53" i="294"/>
  <c r="T53" i="294"/>
  <c r="N55" i="294" s="1"/>
  <c r="U53" i="22"/>
  <c r="T53" i="22"/>
  <c r="N55" i="22" s="1"/>
  <c r="U53" i="301"/>
  <c r="T53" i="301"/>
  <c r="N55" i="301" s="1"/>
  <c r="U53" i="344"/>
  <c r="T53" i="344"/>
  <c r="N55" i="344" s="1"/>
  <c r="U53" i="340"/>
  <c r="T53" i="340"/>
  <c r="N55" i="340" s="1"/>
  <c r="U53" i="34"/>
  <c r="T53" i="34"/>
  <c r="N55" i="34" s="1"/>
  <c r="U53" i="135"/>
  <c r="T53" i="135"/>
  <c r="N55" i="135" s="1"/>
  <c r="U53" i="295"/>
  <c r="T53" i="295"/>
  <c r="N55" i="295" s="1"/>
  <c r="U53" i="283"/>
  <c r="T53" i="283"/>
  <c r="N55" i="283" s="1"/>
  <c r="U53" i="284"/>
  <c r="T53" i="284"/>
  <c r="N55" i="284" s="1"/>
  <c r="U53" i="292"/>
  <c r="T53" i="292"/>
  <c r="N55" i="292" s="1"/>
  <c r="I53" i="339"/>
  <c r="U53" i="325"/>
  <c r="T53" i="325"/>
  <c r="N55" i="325" s="1"/>
  <c r="U53" i="269"/>
  <c r="T53" i="269"/>
  <c r="N55" i="269" s="1"/>
  <c r="U53" i="11"/>
  <c r="T53" i="11"/>
  <c r="N55" i="11" s="1"/>
  <c r="U53" i="101"/>
  <c r="T53" i="101"/>
  <c r="N55" i="101" s="1"/>
  <c r="U53" i="382"/>
  <c r="T53" i="382"/>
  <c r="N55" i="382" s="1"/>
  <c r="U53" i="102"/>
  <c r="T53" i="102"/>
  <c r="N55" i="102" s="1"/>
  <c r="U53" i="103"/>
  <c r="T53" i="103"/>
  <c r="N55" i="103" s="1"/>
  <c r="U53" i="411"/>
  <c r="T53" i="411"/>
  <c r="N55" i="411" s="1"/>
  <c r="U53" i="265"/>
  <c r="T53" i="265"/>
  <c r="N55" i="265" s="1"/>
  <c r="U53" i="262"/>
  <c r="T53" i="262"/>
  <c r="N55" i="262" s="1"/>
  <c r="U53" i="112"/>
  <c r="T53" i="112"/>
  <c r="N55" i="112" s="1"/>
  <c r="U53" i="109"/>
  <c r="T53" i="109"/>
  <c r="N55" i="109" s="1"/>
  <c r="U53" i="85"/>
  <c r="T53" i="85"/>
  <c r="N55" i="85" s="1"/>
  <c r="U53" i="324"/>
  <c r="T53" i="324"/>
  <c r="N55" i="324" s="1"/>
  <c r="U53" i="32"/>
  <c r="T53" i="32"/>
  <c r="N55" i="32" s="1"/>
  <c r="U53" i="196"/>
  <c r="T53" i="196"/>
  <c r="N55" i="196" s="1"/>
  <c r="T53" i="197"/>
  <c r="N55" i="197" s="1"/>
  <c r="U53" i="198"/>
  <c r="T53" i="198"/>
  <c r="N55" i="198" s="1"/>
  <c r="U53" i="345"/>
  <c r="T53" i="345"/>
  <c r="N55" i="345" s="1"/>
  <c r="U53" i="346"/>
  <c r="T53" i="346"/>
  <c r="N55" i="346" s="1"/>
  <c r="U53" i="74"/>
  <c r="T53" i="74"/>
  <c r="N55" i="74" s="1"/>
  <c r="U53" i="200"/>
  <c r="T53" i="200"/>
  <c r="N55" i="200" s="1"/>
  <c r="U53" i="280"/>
  <c r="T53" i="280"/>
  <c r="N55" i="280" s="1"/>
  <c r="U53" i="45"/>
  <c r="T53" i="45"/>
  <c r="N55" i="45" s="1"/>
  <c r="U53" i="104"/>
  <c r="T53" i="104"/>
  <c r="N55" i="104" s="1"/>
  <c r="U53" i="254"/>
  <c r="T53" i="254"/>
  <c r="N55" i="254" s="1"/>
  <c r="S53" i="185"/>
  <c r="R53" i="185"/>
  <c r="K55" i="185" s="1"/>
  <c r="Q53" i="185"/>
  <c r="U53" i="181"/>
  <c r="T53" i="181"/>
  <c r="N55" i="181" s="1"/>
  <c r="U53" i="183"/>
  <c r="T53" i="183"/>
  <c r="N55" i="183" s="1"/>
  <c r="U53" i="184"/>
  <c r="T53" i="184"/>
  <c r="N55" i="184" s="1"/>
  <c r="S53" i="144"/>
  <c r="R53" i="144"/>
  <c r="K55" i="144" s="1"/>
  <c r="Q53" i="144"/>
  <c r="U53" i="27"/>
  <c r="T53" i="27"/>
  <c r="N55" i="27" s="1"/>
  <c r="U53" i="143"/>
  <c r="T53" i="143"/>
  <c r="N55" i="143" s="1"/>
  <c r="U53" i="263"/>
  <c r="T53" i="263"/>
  <c r="N55" i="263" s="1"/>
  <c r="U53" i="209"/>
  <c r="T53" i="209"/>
  <c r="N55" i="209" s="1"/>
  <c r="U53" i="192"/>
  <c r="T53" i="192"/>
  <c r="N55" i="192" s="1"/>
  <c r="U53" i="140"/>
  <c r="T53" i="140"/>
  <c r="N55" i="140" s="1"/>
  <c r="U53" i="270"/>
  <c r="T53" i="270"/>
  <c r="N55" i="270" s="1"/>
  <c r="U53" i="271"/>
  <c r="T53" i="271"/>
  <c r="N55" i="271" s="1"/>
  <c r="S53" i="186"/>
  <c r="R53" i="186"/>
  <c r="K55" i="186" s="1"/>
  <c r="Q53" i="186"/>
  <c r="U53" i="159"/>
  <c r="T53" i="159"/>
  <c r="N55" i="159" s="1"/>
  <c r="U53" i="160"/>
  <c r="T53" i="160"/>
  <c r="N55" i="160" s="1"/>
  <c r="U53" i="107"/>
  <c r="T53" i="107"/>
  <c r="N55" i="107" s="1"/>
  <c r="U53" i="176"/>
  <c r="T53" i="176"/>
  <c r="N55" i="176" s="1"/>
  <c r="U53" i="281"/>
  <c r="T53" i="281"/>
  <c r="N55" i="281" s="1"/>
  <c r="U53" i="332"/>
  <c r="T53" i="332"/>
  <c r="N55" i="332" s="1"/>
  <c r="U53" i="25"/>
  <c r="T53" i="25"/>
  <c r="N55" i="25" s="1"/>
  <c r="U53" i="24"/>
  <c r="T53" i="24"/>
  <c r="N55" i="24" s="1"/>
  <c r="U53" i="116"/>
  <c r="T53" i="116"/>
  <c r="N55" i="116" s="1"/>
  <c r="U53" i="285"/>
  <c r="T53" i="285"/>
  <c r="N55" i="285" s="1"/>
  <c r="U53" i="272"/>
  <c r="T53" i="272"/>
  <c r="N55" i="272" s="1"/>
  <c r="U53" i="87"/>
  <c r="T53" i="87"/>
  <c r="N55" i="87" s="1"/>
  <c r="U53" i="287"/>
  <c r="T53" i="287"/>
  <c r="N55" i="287" s="1"/>
  <c r="U53" i="276"/>
  <c r="T53" i="276"/>
  <c r="N55" i="276" s="1"/>
  <c r="S53" i="231"/>
  <c r="R53" i="231"/>
  <c r="Q53" i="231"/>
  <c r="U53" i="229"/>
  <c r="T53" i="229"/>
  <c r="N55" i="229" s="1"/>
  <c r="U53" i="230"/>
  <c r="I53" i="230"/>
  <c r="U53" i="326"/>
  <c r="T53" i="326"/>
  <c r="N55" i="326" s="1"/>
  <c r="U53" i="47"/>
  <c r="T53" i="47"/>
  <c r="N55" i="47" s="1"/>
  <c r="U53" i="46"/>
  <c r="T53" i="46"/>
  <c r="N55" i="46" s="1"/>
  <c r="U53" i="248"/>
  <c r="T53" i="248"/>
  <c r="N55" i="248" s="1"/>
  <c r="U53" i="239"/>
  <c r="T53" i="239"/>
  <c r="N55" i="239" s="1"/>
  <c r="U53" i="243"/>
  <c r="T53" i="243"/>
  <c r="N55" i="243" s="1"/>
  <c r="S53" i="247"/>
  <c r="R53" i="247"/>
  <c r="K55" i="247" s="1"/>
  <c r="Q53" i="247"/>
  <c r="U53" i="244"/>
  <c r="T53" i="244"/>
  <c r="N55" i="244" s="1"/>
  <c r="U53" i="246"/>
  <c r="T53" i="246"/>
  <c r="N55" i="246" s="1"/>
  <c r="U53" i="35"/>
  <c r="T53" i="35"/>
  <c r="N55" i="35" s="1"/>
  <c r="U50" i="35"/>
  <c r="U49" i="35"/>
  <c r="U52" i="35"/>
  <c r="F52" i="202"/>
  <c r="G53" i="202" s="1"/>
  <c r="F52" i="61"/>
  <c r="F52" i="299"/>
  <c r="G53" i="299" s="1"/>
  <c r="F52" i="190"/>
  <c r="F52" i="432"/>
  <c r="F52" i="17"/>
  <c r="G53" i="17" s="1"/>
  <c r="F52" i="206"/>
  <c r="F52" i="391"/>
  <c r="F52" i="8"/>
  <c r="F52" i="203"/>
  <c r="F52" i="2"/>
  <c r="F52" i="442"/>
  <c r="F52" i="37"/>
  <c r="F52" i="409"/>
  <c r="G53" i="409" s="1"/>
  <c r="F52" i="9"/>
  <c r="F52" i="75"/>
  <c r="F52" i="5"/>
  <c r="F52" i="207"/>
  <c r="F52" i="7"/>
  <c r="F52" i="424"/>
  <c r="F52" i="187"/>
  <c r="F52" i="23"/>
  <c r="F52" i="4"/>
  <c r="F52" i="338"/>
  <c r="F52" i="441"/>
  <c r="F52" i="434"/>
  <c r="G53" i="434" s="1"/>
  <c r="F52" i="435"/>
  <c r="F52" i="436"/>
  <c r="F52" i="438"/>
  <c r="G53" i="438" s="1"/>
  <c r="F52" i="440"/>
  <c r="F52" i="437"/>
  <c r="F52" i="439"/>
  <c r="F52" i="89"/>
  <c r="F52" i="389"/>
  <c r="F52" i="386"/>
  <c r="G53" i="386" s="1"/>
  <c r="F52" i="303"/>
  <c r="F52" i="1"/>
  <c r="F52" i="397"/>
  <c r="F52" i="113"/>
  <c r="F52" i="431"/>
  <c r="F52" i="361"/>
  <c r="F52" i="351"/>
  <c r="F52" i="352"/>
  <c r="F52" i="392"/>
  <c r="F52" i="371"/>
  <c r="F52" i="413"/>
  <c r="F52" i="430"/>
  <c r="F52" i="296"/>
  <c r="F52" i="322"/>
  <c r="F52" i="353"/>
  <c r="F52" i="362"/>
  <c r="F52" i="354"/>
  <c r="F52" i="233"/>
  <c r="F52" i="298"/>
  <c r="F52" i="367"/>
  <c r="F52" i="387"/>
  <c r="F52" i="314"/>
  <c r="F52" i="18"/>
  <c r="G53" i="18" s="1"/>
  <c r="F52" i="20"/>
  <c r="F52" i="422"/>
  <c r="F52" i="43"/>
  <c r="G53" i="43" s="1"/>
  <c r="F52" i="21"/>
  <c r="F52" i="423"/>
  <c r="F52" i="152"/>
  <c r="F52" i="13"/>
  <c r="F52" i="261"/>
  <c r="F52" i="153"/>
  <c r="F52" i="257"/>
  <c r="F52" i="174"/>
  <c r="F52" i="328"/>
  <c r="G53" i="328" s="1"/>
  <c r="F52" i="329"/>
  <c r="G53" i="329" s="1"/>
  <c r="F52" i="194"/>
  <c r="F52" i="193"/>
  <c r="F52" i="48"/>
  <c r="F52" i="319"/>
  <c r="F52" i="320"/>
  <c r="F52" i="12"/>
  <c r="F52" i="356"/>
  <c r="F52" i="394"/>
  <c r="F52" i="393"/>
  <c r="F52" i="433"/>
  <c r="F52" i="52"/>
  <c r="F52" i="425"/>
  <c r="F52" i="88"/>
  <c r="F52" i="148"/>
  <c r="F52" i="97"/>
  <c r="F52" i="383"/>
  <c r="F52" i="28"/>
  <c r="F52" i="29"/>
  <c r="F52" i="359"/>
  <c r="F52" i="360"/>
  <c r="F52" i="368"/>
  <c r="F52" i="364"/>
  <c r="F52" i="420"/>
  <c r="F52" i="191"/>
  <c r="F52" i="164"/>
  <c r="F52" i="162"/>
  <c r="F52" i="421"/>
  <c r="F52" i="333"/>
  <c r="F52" i="53"/>
  <c r="G53" i="53" s="1"/>
  <c r="F52" i="114"/>
  <c r="G53" i="114" s="1"/>
  <c r="F52" i="323"/>
  <c r="F52" i="400"/>
  <c r="G53" i="400" s="1"/>
  <c r="F52" i="385"/>
  <c r="G53" i="385" s="1"/>
  <c r="F52" i="334"/>
  <c r="F52" i="3"/>
  <c r="F52" i="349"/>
  <c r="F52" i="15"/>
  <c r="F52" i="355"/>
  <c r="F52" i="16"/>
  <c r="F52" i="54"/>
  <c r="F52" i="384"/>
  <c r="F52" i="201"/>
  <c r="F52" i="249"/>
  <c r="F52" i="19"/>
  <c r="F52" i="347"/>
  <c r="F52" i="204"/>
  <c r="F52" i="31"/>
  <c r="F52" i="342"/>
  <c r="F52" i="168"/>
  <c r="F52" i="169"/>
  <c r="F52" i="336"/>
  <c r="G53" i="336" s="1"/>
  <c r="F52" i="33"/>
  <c r="F52" i="318"/>
  <c r="F52" i="288"/>
  <c r="F52" i="337"/>
  <c r="F52" i="227"/>
  <c r="F52" i="290"/>
  <c r="F52" i="289"/>
  <c r="G53" i="289" s="1"/>
  <c r="F52" i="293"/>
  <c r="F52" i="348"/>
  <c r="F52" i="297"/>
  <c r="G53" i="297" s="1"/>
  <c r="F52" i="350"/>
  <c r="G53" i="350" s="1"/>
  <c r="F52" i="105"/>
  <c r="F52" i="294"/>
  <c r="G53" i="294" s="1"/>
  <c r="F52" i="22"/>
  <c r="F52" i="301"/>
  <c r="F52" i="344"/>
  <c r="G53" i="344" s="1"/>
  <c r="F52" i="340"/>
  <c r="F52" i="34"/>
  <c r="F52" i="135"/>
  <c r="G53" i="135" s="1"/>
  <c r="F52" i="295"/>
  <c r="F52" i="283"/>
  <c r="F52" i="284"/>
  <c r="F52" i="292"/>
  <c r="G53" i="292" s="1"/>
  <c r="F52" i="339"/>
  <c r="F52" i="325"/>
  <c r="G53" i="325" s="1"/>
  <c r="F52" i="269"/>
  <c r="F52" i="11"/>
  <c r="F52" i="101"/>
  <c r="F52" i="382"/>
  <c r="G53" i="382" s="1"/>
  <c r="F52" i="102"/>
  <c r="F52" i="103"/>
  <c r="F52" i="411"/>
  <c r="G53" i="411" s="1"/>
  <c r="F52" i="265"/>
  <c r="F52" i="262"/>
  <c r="F52" i="112"/>
  <c r="G53" i="112" s="1"/>
  <c r="F52" i="109"/>
  <c r="F52" i="85"/>
  <c r="F52" i="324"/>
  <c r="F52" i="32"/>
  <c r="G53" i="32" s="1"/>
  <c r="F52" i="196"/>
  <c r="G53" i="196" s="1"/>
  <c r="F52" i="197"/>
  <c r="G53" i="197" s="1"/>
  <c r="F52" i="198"/>
  <c r="F52" i="345"/>
  <c r="G53" i="345" s="1"/>
  <c r="F52" i="346"/>
  <c r="G53" i="346" s="1"/>
  <c r="F52" i="74"/>
  <c r="F52" i="200"/>
  <c r="F52" i="280"/>
  <c r="G53" i="280" s="1"/>
  <c r="F52" i="45"/>
  <c r="F52" i="104"/>
  <c r="F52" i="254"/>
  <c r="G53" i="254" s="1"/>
  <c r="F52" i="181"/>
  <c r="G53" i="181" s="1"/>
  <c r="F52" i="183"/>
  <c r="F52" i="184"/>
  <c r="F52" i="27"/>
  <c r="F52" i="143"/>
  <c r="F52" i="263"/>
  <c r="G53" i="263" s="1"/>
  <c r="F52" i="209"/>
  <c r="F52" i="192"/>
  <c r="F52" i="140"/>
  <c r="F52" i="270"/>
  <c r="F52" i="271"/>
  <c r="F52" i="159"/>
  <c r="F52" i="160"/>
  <c r="F52" i="107"/>
  <c r="G53" i="107" s="1"/>
  <c r="F52" i="176"/>
  <c r="F52" i="281"/>
  <c r="F52" i="332"/>
  <c r="F52" i="25"/>
  <c r="G53" i="25" s="1"/>
  <c r="F52" i="24"/>
  <c r="F52" i="116"/>
  <c r="F52" i="285"/>
  <c r="F52" i="272"/>
  <c r="F52" i="87"/>
  <c r="F52" i="287"/>
  <c r="F52" i="276"/>
  <c r="F52" i="229"/>
  <c r="F52" i="230"/>
  <c r="F52" i="326"/>
  <c r="F52" i="47"/>
  <c r="G53" i="47" s="1"/>
  <c r="F52" i="46"/>
  <c r="F52" i="248"/>
  <c r="F52" i="239"/>
  <c r="G53" i="239" s="1"/>
  <c r="F52" i="243"/>
  <c r="F52" i="244"/>
  <c r="G53" i="244" s="1"/>
  <c r="F52" i="246"/>
  <c r="G53" i="246" s="1"/>
  <c r="F52" i="35"/>
  <c r="F53" i="247" l="1"/>
  <c r="G54" i="247" s="1"/>
  <c r="U55" i="247"/>
  <c r="F53" i="253"/>
  <c r="G54" i="253" s="1"/>
  <c r="U55" i="253"/>
  <c r="F53" i="388"/>
  <c r="G54" i="388" s="1"/>
  <c r="U55" i="388"/>
  <c r="F53" i="231"/>
  <c r="G54" i="231" s="1"/>
  <c r="K55" i="231"/>
  <c r="C55" i="142"/>
  <c r="D58" i="142" s="1"/>
  <c r="B55" i="142"/>
  <c r="F53" i="185"/>
  <c r="G54" i="185" s="1"/>
  <c r="U55" i="185"/>
  <c r="G54" i="142"/>
  <c r="C55" i="170"/>
  <c r="D58" i="170" s="1"/>
  <c r="B55" i="170"/>
  <c r="F53" i="414"/>
  <c r="G54" i="414" s="1"/>
  <c r="U55" i="414"/>
  <c r="C55" i="195"/>
  <c r="D58" i="195" s="1"/>
  <c r="B55" i="195"/>
  <c r="F53" i="144"/>
  <c r="G54" i="144" s="1"/>
  <c r="U55" i="144"/>
  <c r="C55" i="321"/>
  <c r="D58" i="321" s="1"/>
  <c r="B55" i="321"/>
  <c r="F53" i="395"/>
  <c r="G54" i="395" s="1"/>
  <c r="U55" i="395"/>
  <c r="B55" i="327"/>
  <c r="C55" i="327"/>
  <c r="D58" i="327" s="1"/>
  <c r="F53" i="186"/>
  <c r="G54" i="186" s="1"/>
  <c r="U55" i="186"/>
  <c r="B55" i="149"/>
  <c r="C55" i="149"/>
  <c r="D58" i="149" s="1"/>
  <c r="G54" i="327"/>
  <c r="I53" i="227"/>
  <c r="I53" i="383"/>
  <c r="I53" i="20"/>
  <c r="I53" i="229"/>
  <c r="I53" i="301"/>
  <c r="I53" i="19"/>
  <c r="I53" i="400"/>
  <c r="I53" i="354"/>
  <c r="I53" i="35"/>
  <c r="C243" i="417" s="1"/>
  <c r="I53" i="285"/>
  <c r="I53" i="11"/>
  <c r="I53" i="337"/>
  <c r="I53" i="74"/>
  <c r="I53" i="293"/>
  <c r="I53" i="249"/>
  <c r="I53" i="15"/>
  <c r="I53" i="359"/>
  <c r="I53" i="116"/>
  <c r="I53" i="411"/>
  <c r="I53" i="46"/>
  <c r="I53" i="346"/>
  <c r="I53" i="289"/>
  <c r="I53" i="387"/>
  <c r="I53" i="276"/>
  <c r="I53" i="85"/>
  <c r="I53" i="325"/>
  <c r="I53" i="318"/>
  <c r="I53" i="88"/>
  <c r="I53" i="257"/>
  <c r="I53" i="1"/>
  <c r="I53" i="47"/>
  <c r="I53" i="192"/>
  <c r="I53" i="104"/>
  <c r="I53" i="345"/>
  <c r="I53" i="34"/>
  <c r="I53" i="31"/>
  <c r="I53" i="53"/>
  <c r="I53" i="420"/>
  <c r="I53" i="28"/>
  <c r="I53" i="367"/>
  <c r="I53" i="322"/>
  <c r="I53" i="271"/>
  <c r="I53" i="360"/>
  <c r="I53" i="265"/>
  <c r="I53" i="168"/>
  <c r="I53" i="18"/>
  <c r="I53" i="248"/>
  <c r="I53" i="27"/>
  <c r="I53" i="295"/>
  <c r="I53" i="319"/>
  <c r="I53" i="371"/>
  <c r="I53" i="107"/>
  <c r="I53" i="269"/>
  <c r="I53" i="342"/>
  <c r="I53" i="201"/>
  <c r="I53" i="114"/>
  <c r="I53" i="191"/>
  <c r="I53" i="353"/>
  <c r="I53" i="392"/>
  <c r="I53" i="244"/>
  <c r="I53" i="24"/>
  <c r="I53" i="160"/>
  <c r="I53" i="103"/>
  <c r="I53" i="48"/>
  <c r="I53" i="352"/>
  <c r="I53" i="437"/>
  <c r="I53" i="287"/>
  <c r="I53" i="25"/>
  <c r="I53" i="159"/>
  <c r="I53" i="109"/>
  <c r="I53" i="102"/>
  <c r="I53" i="33"/>
  <c r="I53" i="425"/>
  <c r="I53" i="193"/>
  <c r="I53" i="43"/>
  <c r="I53" i="351"/>
  <c r="I53" i="281"/>
  <c r="I53" i="196"/>
  <c r="I53" i="262"/>
  <c r="I53" i="101"/>
  <c r="I53" i="433"/>
  <c r="I53" i="329"/>
  <c r="I53" i="431"/>
  <c r="I53" i="389"/>
  <c r="I53" i="436"/>
  <c r="I53" i="413"/>
  <c r="I53" i="176"/>
  <c r="I53" i="152"/>
  <c r="I53" i="113"/>
  <c r="I53" i="22"/>
  <c r="I53" i="323"/>
  <c r="I53" i="362"/>
  <c r="I53" i="324"/>
  <c r="I53" i="394"/>
  <c r="I53" i="397"/>
  <c r="I53" i="439"/>
  <c r="I53" i="434"/>
  <c r="I53" i="140"/>
  <c r="I53" i="294"/>
  <c r="I53" i="198"/>
  <c r="I53" i="356"/>
  <c r="I53" i="298"/>
  <c r="I53" i="296"/>
  <c r="I53" i="87"/>
  <c r="I53" i="332"/>
  <c r="I53" i="183"/>
  <c r="I53" i="112"/>
  <c r="I53" i="382"/>
  <c r="I53" i="336"/>
  <c r="I53" i="52"/>
  <c r="I53" i="194"/>
  <c r="I53" i="361"/>
  <c r="I53" i="386"/>
  <c r="I53" i="438"/>
  <c r="I53" i="272"/>
  <c r="I53" i="181"/>
  <c r="I53" i="13"/>
  <c r="I53" i="239"/>
  <c r="I53" i="143"/>
  <c r="I53" i="200"/>
  <c r="I53" i="283"/>
  <c r="I53" i="355"/>
  <c r="I53" i="162"/>
  <c r="I53" i="320"/>
  <c r="I53" i="32"/>
  <c r="I53" i="97"/>
  <c r="I53" i="314"/>
  <c r="I53" i="288"/>
  <c r="I53" i="254"/>
  <c r="I53" i="135"/>
  <c r="I53" i="326"/>
  <c r="I53" i="45"/>
  <c r="I53" i="292"/>
  <c r="I53" i="340"/>
  <c r="I53" i="350"/>
  <c r="I53" i="204"/>
  <c r="I53" i="54"/>
  <c r="I53" i="333"/>
  <c r="I53" i="243"/>
  <c r="I53" i="263"/>
  <c r="I53" i="280"/>
  <c r="I53" i="197"/>
  <c r="I53" i="284"/>
  <c r="I53" i="344"/>
  <c r="I53" i="297"/>
  <c r="I53" i="347"/>
  <c r="I53" i="16"/>
  <c r="I53" i="385"/>
  <c r="I53" i="421"/>
  <c r="I53" i="12"/>
  <c r="I53" i="233"/>
  <c r="I53" i="430"/>
  <c r="I53" i="441"/>
  <c r="I53" i="4"/>
  <c r="I53" i="23"/>
  <c r="I53" i="75"/>
  <c r="I53" i="409"/>
  <c r="I53" i="37"/>
  <c r="I53" i="2"/>
  <c r="I53" i="203"/>
  <c r="I53" i="391"/>
  <c r="I53" i="206"/>
  <c r="I53" i="432"/>
  <c r="I53" i="61"/>
  <c r="I53" i="3"/>
  <c r="I53" i="190"/>
  <c r="I53" i="424"/>
  <c r="I53" i="7"/>
  <c r="I53" i="21"/>
  <c r="I53" i="5"/>
  <c r="I53" i="17"/>
  <c r="G54" i="170"/>
  <c r="G54" i="321"/>
  <c r="F53" i="300"/>
  <c r="T53" i="247"/>
  <c r="N55" i="247" s="1"/>
  <c r="T53" i="170"/>
  <c r="N55" i="170" s="1"/>
  <c r="T53" i="186"/>
  <c r="N55" i="186" s="1"/>
  <c r="T53" i="395"/>
  <c r="N55" i="395" s="1"/>
  <c r="G53" i="276"/>
  <c r="G53" i="271"/>
  <c r="G53" i="140"/>
  <c r="G53" i="192"/>
  <c r="G53" i="143"/>
  <c r="G53" i="324"/>
  <c r="G53" i="269"/>
  <c r="G53" i="22"/>
  <c r="G53" i="105"/>
  <c r="G53" i="288"/>
  <c r="G53" i="249"/>
  <c r="G53" i="201"/>
  <c r="G53" i="323"/>
  <c r="G53" i="359"/>
  <c r="G53" i="3"/>
  <c r="G53" i="88"/>
  <c r="T53" i="253"/>
  <c r="N55" i="253" s="1"/>
  <c r="G53" i="440"/>
  <c r="T53" i="231"/>
  <c r="N55" i="231" s="1"/>
  <c r="T53" i="185"/>
  <c r="N55" i="185" s="1"/>
  <c r="T53" i="195"/>
  <c r="N55" i="195" s="1"/>
  <c r="G53" i="85"/>
  <c r="G53" i="303"/>
  <c r="G53" i="338"/>
  <c r="G53" i="442"/>
  <c r="G53" i="207"/>
  <c r="G53" i="160"/>
  <c r="U53" i="231"/>
  <c r="G53" i="191"/>
  <c r="G53" i="5"/>
  <c r="G53" i="24"/>
  <c r="G53" i="152"/>
  <c r="G53" i="31"/>
  <c r="G53" i="332"/>
  <c r="G53" i="284"/>
  <c r="G53" i="421"/>
  <c r="G53" i="12"/>
  <c r="G53" i="89"/>
  <c r="G53" i="187"/>
  <c r="G53" i="8"/>
  <c r="T53" i="142"/>
  <c r="N55" i="142" s="1"/>
  <c r="G53" i="281"/>
  <c r="G53" i="355"/>
  <c r="G53" i="424"/>
  <c r="G53" i="435"/>
  <c r="G53" i="4"/>
  <c r="G53" i="9"/>
  <c r="G53" i="2"/>
  <c r="G53" i="432"/>
  <c r="G53" i="153"/>
  <c r="G53" i="35"/>
  <c r="G53" i="384"/>
  <c r="G53" i="162"/>
  <c r="G53" i="439"/>
  <c r="G53" i="265"/>
  <c r="G53" i="295"/>
  <c r="G53" i="340"/>
  <c r="G53" i="293"/>
  <c r="G53" i="204"/>
  <c r="G53" i="364"/>
  <c r="G53" i="425"/>
  <c r="G53" i="383"/>
  <c r="G53" i="169"/>
  <c r="I53" i="348"/>
  <c r="I53" i="148"/>
  <c r="G53" i="287"/>
  <c r="G53" i="74"/>
  <c r="G53" i="339"/>
  <c r="G53" i="34"/>
  <c r="G53" i="19"/>
  <c r="G53" i="349"/>
  <c r="G53" i="104"/>
  <c r="G53" i="45"/>
  <c r="G53" i="116"/>
  <c r="I53" i="349"/>
  <c r="G53" i="87"/>
  <c r="T53" i="388"/>
  <c r="N55" i="388" s="1"/>
  <c r="G53" i="348"/>
  <c r="G53" i="342"/>
  <c r="I53" i="246"/>
  <c r="G53" i="159"/>
  <c r="T53" i="144"/>
  <c r="N55" i="144" s="1"/>
  <c r="G53" i="109"/>
  <c r="I53" i="290"/>
  <c r="I53" i="169"/>
  <c r="I53" i="334"/>
  <c r="G53" i="285"/>
  <c r="G53" i="200"/>
  <c r="G53" i="227"/>
  <c r="G53" i="164"/>
  <c r="G53" i="283"/>
  <c r="G53" i="16"/>
  <c r="G53" i="15"/>
  <c r="I53" i="368"/>
  <c r="G53" i="270"/>
  <c r="G53" i="184"/>
  <c r="G53" i="103"/>
  <c r="G53" i="11"/>
  <c r="I53" i="105"/>
  <c r="G53" i="347"/>
  <c r="G53" i="433"/>
  <c r="G53" i="46"/>
  <c r="G53" i="230"/>
  <c r="G53" i="209"/>
  <c r="G53" i="54"/>
  <c r="G53" i="176"/>
  <c r="G53" i="318"/>
  <c r="G53" i="248"/>
  <c r="G53" i="326"/>
  <c r="I53" i="270"/>
  <c r="G53" i="27"/>
  <c r="I53" i="184"/>
  <c r="G53" i="262"/>
  <c r="G53" i="102"/>
  <c r="G53" i="290"/>
  <c r="G53" i="243"/>
  <c r="I53" i="209"/>
  <c r="G53" i="334"/>
  <c r="I53" i="29"/>
  <c r="G53" i="198"/>
  <c r="G53" i="301"/>
  <c r="G53" i="101"/>
  <c r="G53" i="183"/>
  <c r="G53" i="272"/>
  <c r="G53" i="229"/>
  <c r="I53" i="164"/>
  <c r="G53" i="420"/>
  <c r="G53" i="148"/>
  <c r="G53" i="333"/>
  <c r="G53" i="97"/>
  <c r="G53" i="337"/>
  <c r="G53" i="33"/>
  <c r="G53" i="168"/>
  <c r="G53" i="389"/>
  <c r="G53" i="437"/>
  <c r="G53" i="436"/>
  <c r="G53" i="441"/>
  <c r="G53" i="23"/>
  <c r="G53" i="7"/>
  <c r="G53" i="75"/>
  <c r="G53" i="37"/>
  <c r="G53" i="203"/>
  <c r="I53" i="299"/>
  <c r="G53" i="368"/>
  <c r="G53" i="29"/>
  <c r="G53" i="194"/>
  <c r="G53" i="387"/>
  <c r="G53" i="233"/>
  <c r="G53" i="353"/>
  <c r="G53" i="430"/>
  <c r="G53" i="392"/>
  <c r="G53" i="361"/>
  <c r="G53" i="397"/>
  <c r="G53" i="320"/>
  <c r="T53" i="300"/>
  <c r="N55" i="300" s="1"/>
  <c r="G53" i="393"/>
  <c r="G53" i="174"/>
  <c r="G53" i="261"/>
  <c r="G53" i="423"/>
  <c r="G53" i="422"/>
  <c r="G53" i="391"/>
  <c r="I53" i="202"/>
  <c r="G53" i="360"/>
  <c r="G53" i="28"/>
  <c r="I53" i="393"/>
  <c r="G53" i="48"/>
  <c r="I53" i="174"/>
  <c r="I53" i="261"/>
  <c r="I53" i="423"/>
  <c r="I53" i="422"/>
  <c r="G53" i="367"/>
  <c r="G53" i="354"/>
  <c r="G53" i="322"/>
  <c r="G53" i="413"/>
  <c r="G53" i="352"/>
  <c r="G53" i="431"/>
  <c r="G53" i="1"/>
  <c r="G53" i="356"/>
  <c r="G53" i="319"/>
  <c r="I53" i="328"/>
  <c r="I53" i="303"/>
  <c r="I53" i="89"/>
  <c r="I53" i="440"/>
  <c r="I53" i="435"/>
  <c r="I53" i="338"/>
  <c r="I53" i="187"/>
  <c r="I53" i="207"/>
  <c r="I53" i="9"/>
  <c r="I53" i="442"/>
  <c r="I53" i="8"/>
  <c r="G53" i="190"/>
  <c r="G53" i="52"/>
  <c r="G53" i="394"/>
  <c r="G53" i="257"/>
  <c r="G53" i="13"/>
  <c r="G53" i="21"/>
  <c r="G53" i="20"/>
  <c r="G53" i="206"/>
  <c r="T53" i="149"/>
  <c r="N55" i="149" s="1"/>
  <c r="T53" i="327"/>
  <c r="N55" i="327" s="1"/>
  <c r="T53" i="414"/>
  <c r="N55" i="414" s="1"/>
  <c r="G53" i="193"/>
  <c r="G53" i="314"/>
  <c r="G53" i="298"/>
  <c r="G53" i="362"/>
  <c r="G53" i="296"/>
  <c r="G53" i="371"/>
  <c r="G53" i="351"/>
  <c r="G53" i="113"/>
  <c r="T53" i="398"/>
  <c r="N55" i="398" s="1"/>
  <c r="G53" i="61"/>
  <c r="T53" i="321"/>
  <c r="N55" i="321" s="1"/>
  <c r="U52" i="392"/>
  <c r="T5" i="187"/>
  <c r="T6" i="187"/>
  <c r="K7" i="187"/>
  <c r="T7" i="187"/>
  <c r="U7" i="187"/>
  <c r="T8" i="187"/>
  <c r="T9" i="187"/>
  <c r="K10" i="187"/>
  <c r="T10" i="187"/>
  <c r="U10" i="187"/>
  <c r="T11" i="187"/>
  <c r="T12" i="187"/>
  <c r="K13" i="187"/>
  <c r="T13" i="187"/>
  <c r="U13" i="187"/>
  <c r="T14" i="187"/>
  <c r="T15" i="187"/>
  <c r="K16" i="187"/>
  <c r="T16" i="187"/>
  <c r="U16" i="187"/>
  <c r="T17" i="187"/>
  <c r="T18" i="187"/>
  <c r="K19" i="187"/>
  <c r="T19" i="187"/>
  <c r="U19" i="187"/>
  <c r="T20" i="187"/>
  <c r="T21" i="187"/>
  <c r="K22" i="187"/>
  <c r="T22" i="187"/>
  <c r="U22" i="187"/>
  <c r="T23" i="187"/>
  <c r="T24" i="187"/>
  <c r="K25" i="187"/>
  <c r="T25" i="187"/>
  <c r="U25" i="187"/>
  <c r="T26" i="187"/>
  <c r="T27" i="187"/>
  <c r="K28" i="187"/>
  <c r="T28" i="187"/>
  <c r="U28" i="187"/>
  <c r="T29" i="187"/>
  <c r="T30" i="187"/>
  <c r="K31" i="187"/>
  <c r="T31" i="187"/>
  <c r="U31" i="187"/>
  <c r="T32" i="187"/>
  <c r="T33" i="187"/>
  <c r="K34" i="187"/>
  <c r="T34" i="187"/>
  <c r="U34" i="187"/>
  <c r="T35" i="187"/>
  <c r="T36" i="187"/>
  <c r="K37" i="187"/>
  <c r="T37" i="187"/>
  <c r="U37" i="187"/>
  <c r="T38" i="187"/>
  <c r="T39" i="187"/>
  <c r="K40" i="187"/>
  <c r="T40" i="187"/>
  <c r="U40" i="187"/>
  <c r="T41" i="187"/>
  <c r="T42" i="187"/>
  <c r="K43" i="187"/>
  <c r="T43" i="187"/>
  <c r="U43" i="187"/>
  <c r="T44" i="187"/>
  <c r="T45" i="187"/>
  <c r="K46" i="187"/>
  <c r="T46" i="187"/>
  <c r="U46" i="187"/>
  <c r="T47" i="187"/>
  <c r="U47" i="187"/>
  <c r="T48" i="187"/>
  <c r="U48" i="187"/>
  <c r="K49" i="187"/>
  <c r="T49" i="187"/>
  <c r="U49" i="187"/>
  <c r="T50" i="187"/>
  <c r="I50" i="187" s="1"/>
  <c r="U50" i="187"/>
  <c r="M49" i="187" l="1"/>
  <c r="M46" i="187"/>
  <c r="M43" i="187"/>
  <c r="M55" i="187"/>
  <c r="C55" i="300"/>
  <c r="D58" i="300" s="1"/>
  <c r="B55" i="300"/>
  <c r="C55" i="144"/>
  <c r="D58" i="144" s="1"/>
  <c r="B55" i="144"/>
  <c r="C55" i="253"/>
  <c r="D58" i="253" s="1"/>
  <c r="B55" i="253"/>
  <c r="B55" i="395"/>
  <c r="C55" i="395"/>
  <c r="D58" i="395" s="1"/>
  <c r="C55" i="414"/>
  <c r="D58" i="414" s="1"/>
  <c r="B55" i="414"/>
  <c r="C55" i="186"/>
  <c r="D58" i="186" s="1"/>
  <c r="B55" i="186"/>
  <c r="C55" i="231"/>
  <c r="D58" i="231" s="1"/>
  <c r="B55" i="231"/>
  <c r="C55" i="185"/>
  <c r="D58" i="185" s="1"/>
  <c r="B55" i="185"/>
  <c r="B55" i="388"/>
  <c r="C55" i="388"/>
  <c r="D58" i="388" s="1"/>
  <c r="C55" i="247"/>
  <c r="B55" i="247"/>
  <c r="I53" i="395"/>
  <c r="I53" i="231"/>
  <c r="I53" i="142"/>
  <c r="I53" i="253"/>
  <c r="I53" i="186"/>
  <c r="I53" i="170"/>
  <c r="I53" i="185"/>
  <c r="I53" i="195"/>
  <c r="I53" i="247"/>
  <c r="G54" i="300"/>
  <c r="L28" i="187"/>
  <c r="N34" i="187"/>
  <c r="L22" i="187"/>
  <c r="L10" i="187"/>
  <c r="N22" i="187"/>
  <c r="M34" i="187"/>
  <c r="N13" i="187"/>
  <c r="L19" i="187"/>
  <c r="L46" i="187"/>
  <c r="N25" i="187"/>
  <c r="L31" i="187"/>
  <c r="N19" i="187"/>
  <c r="N10" i="187"/>
  <c r="N31" i="187"/>
  <c r="L40" i="187"/>
  <c r="N37" i="187"/>
  <c r="I53" i="149"/>
  <c r="I53" i="414"/>
  <c r="I53" i="300"/>
  <c r="I53" i="321"/>
  <c r="I53" i="144"/>
  <c r="I53" i="398"/>
  <c r="I53" i="327"/>
  <c r="I53" i="388"/>
  <c r="N43" i="187"/>
  <c r="N28" i="187"/>
  <c r="L16" i="187"/>
  <c r="L37" i="187"/>
  <c r="L25" i="187"/>
  <c r="M28" i="187"/>
  <c r="N46" i="187"/>
  <c r="N16" i="187"/>
  <c r="N40" i="187"/>
  <c r="M31" i="187"/>
  <c r="M19" i="187"/>
  <c r="L43" i="187"/>
  <c r="N7" i="187"/>
  <c r="L49" i="187"/>
  <c r="N49" i="187"/>
  <c r="M22" i="187"/>
  <c r="L34" i="187"/>
  <c r="M37" i="187"/>
  <c r="M25" i="187"/>
  <c r="L13" i="187"/>
  <c r="M40" i="187"/>
  <c r="O34" i="187" l="1"/>
  <c r="O31" i="187"/>
  <c r="O37" i="187"/>
  <c r="O25" i="187"/>
  <c r="O22" i="187"/>
  <c r="O49" i="187"/>
  <c r="O13" i="187"/>
  <c r="O40" i="187"/>
  <c r="O10" i="187"/>
  <c r="O16" i="187"/>
  <c r="O46" i="187"/>
  <c r="O28" i="187"/>
  <c r="O43" i="187"/>
  <c r="O19" i="187"/>
  <c r="U52" i="443"/>
  <c r="T52" i="443"/>
  <c r="I52" i="443" s="1"/>
  <c r="K52" i="443"/>
  <c r="F52" i="443"/>
  <c r="U51" i="443"/>
  <c r="T51" i="443"/>
  <c r="I51" i="443" s="1"/>
  <c r="F51" i="443"/>
  <c r="U50" i="443"/>
  <c r="T50" i="443"/>
  <c r="I50" i="443" s="1"/>
  <c r="F50" i="443"/>
  <c r="U49" i="443"/>
  <c r="T49" i="443"/>
  <c r="I49" i="443" s="1"/>
  <c r="K49" i="443"/>
  <c r="F49" i="443"/>
  <c r="U48" i="443"/>
  <c r="T48" i="443"/>
  <c r="I48" i="443" s="1"/>
  <c r="F48" i="443"/>
  <c r="U47" i="443"/>
  <c r="T47" i="443"/>
  <c r="N49" i="443" s="1"/>
  <c r="F47" i="443"/>
  <c r="U46" i="443"/>
  <c r="T46" i="443"/>
  <c r="I46" i="443" s="1"/>
  <c r="K46" i="443"/>
  <c r="F46" i="443"/>
  <c r="U45" i="443"/>
  <c r="T45" i="443"/>
  <c r="I45" i="443" s="1"/>
  <c r="F45" i="443"/>
  <c r="U44" i="443"/>
  <c r="T44" i="443"/>
  <c r="I44" i="443" s="1"/>
  <c r="F44" i="443"/>
  <c r="U43" i="443"/>
  <c r="T43" i="443"/>
  <c r="I43" i="443" s="1"/>
  <c r="K43" i="443"/>
  <c r="F43" i="443"/>
  <c r="U42" i="443"/>
  <c r="T42" i="443"/>
  <c r="I42" i="443" s="1"/>
  <c r="F42" i="443"/>
  <c r="U41" i="443"/>
  <c r="T41" i="443"/>
  <c r="I41" i="443" s="1"/>
  <c r="F41" i="443"/>
  <c r="U40" i="443"/>
  <c r="T40" i="443"/>
  <c r="I40" i="443" s="1"/>
  <c r="K40" i="443"/>
  <c r="F40" i="443"/>
  <c r="U39" i="443"/>
  <c r="T39" i="443"/>
  <c r="I39" i="443" s="1"/>
  <c r="F39" i="443"/>
  <c r="U38" i="443"/>
  <c r="T38" i="443"/>
  <c r="I38" i="443" s="1"/>
  <c r="F38" i="443"/>
  <c r="U37" i="443"/>
  <c r="T37" i="443"/>
  <c r="I37" i="443" s="1"/>
  <c r="K37" i="443"/>
  <c r="F37" i="443"/>
  <c r="U36" i="443"/>
  <c r="T36" i="443"/>
  <c r="I36" i="443" s="1"/>
  <c r="F36" i="443"/>
  <c r="U35" i="443"/>
  <c r="T35" i="443"/>
  <c r="I35" i="443" s="1"/>
  <c r="F35" i="443"/>
  <c r="U34" i="443"/>
  <c r="T34" i="443"/>
  <c r="I34" i="443" s="1"/>
  <c r="K34" i="443"/>
  <c r="F34" i="443"/>
  <c r="U33" i="443"/>
  <c r="T33" i="443"/>
  <c r="I33" i="443" s="1"/>
  <c r="F33" i="443"/>
  <c r="U32" i="443"/>
  <c r="T32" i="443"/>
  <c r="I32" i="443" s="1"/>
  <c r="F32" i="443"/>
  <c r="U31" i="443"/>
  <c r="T31" i="443"/>
  <c r="I31" i="443" s="1"/>
  <c r="K31" i="443"/>
  <c r="F31" i="443"/>
  <c r="U30" i="443"/>
  <c r="T30" i="443"/>
  <c r="I30" i="443" s="1"/>
  <c r="F30" i="443"/>
  <c r="U29" i="443"/>
  <c r="T29" i="443"/>
  <c r="I29" i="443" s="1"/>
  <c r="F29" i="443"/>
  <c r="U28" i="443"/>
  <c r="T28" i="443"/>
  <c r="I28" i="443" s="1"/>
  <c r="K28" i="443"/>
  <c r="F28" i="443"/>
  <c r="U27" i="443"/>
  <c r="T27" i="443"/>
  <c r="I27" i="443" s="1"/>
  <c r="F27" i="443"/>
  <c r="U26" i="443"/>
  <c r="T26" i="443"/>
  <c r="I26" i="443" s="1"/>
  <c r="F26" i="443"/>
  <c r="U25" i="443"/>
  <c r="T25" i="443"/>
  <c r="I25" i="443" s="1"/>
  <c r="K25" i="443"/>
  <c r="F25" i="443"/>
  <c r="U24" i="443"/>
  <c r="T24" i="443"/>
  <c r="I24" i="443" s="1"/>
  <c r="F24" i="443"/>
  <c r="U23" i="443"/>
  <c r="T23" i="443"/>
  <c r="I23" i="443" s="1"/>
  <c r="F23" i="443"/>
  <c r="U22" i="443"/>
  <c r="T22" i="443"/>
  <c r="I22" i="443" s="1"/>
  <c r="K22" i="443"/>
  <c r="F22" i="443"/>
  <c r="U21" i="443"/>
  <c r="T21" i="443"/>
  <c r="I21" i="443" s="1"/>
  <c r="F21" i="443"/>
  <c r="U20" i="443"/>
  <c r="T20" i="443"/>
  <c r="I20" i="443" s="1"/>
  <c r="F20" i="443"/>
  <c r="U19" i="443"/>
  <c r="T19" i="443"/>
  <c r="I19" i="443" s="1"/>
  <c r="K19" i="443"/>
  <c r="F19" i="443"/>
  <c r="U18" i="443"/>
  <c r="T18" i="443"/>
  <c r="I18" i="443" s="1"/>
  <c r="F18" i="443"/>
  <c r="U17" i="443"/>
  <c r="T17" i="443"/>
  <c r="I17" i="443" s="1"/>
  <c r="F17" i="443"/>
  <c r="U16" i="443"/>
  <c r="T16" i="443"/>
  <c r="I16" i="443" s="1"/>
  <c r="K16" i="443"/>
  <c r="F16" i="443"/>
  <c r="U15" i="443"/>
  <c r="T15" i="443"/>
  <c r="I15" i="443" s="1"/>
  <c r="F15" i="443"/>
  <c r="U14" i="443"/>
  <c r="T14" i="443"/>
  <c r="I14" i="443" s="1"/>
  <c r="F14" i="443"/>
  <c r="U13" i="443"/>
  <c r="T13" i="443"/>
  <c r="I13" i="443" s="1"/>
  <c r="K13" i="443"/>
  <c r="F13" i="443"/>
  <c r="U12" i="443"/>
  <c r="T12" i="443"/>
  <c r="I12" i="443" s="1"/>
  <c r="F12" i="443"/>
  <c r="AC11" i="443"/>
  <c r="U11" i="443"/>
  <c r="T11" i="443"/>
  <c r="F11" i="443"/>
  <c r="U10" i="443"/>
  <c r="T10" i="443"/>
  <c r="I10" i="443" s="1"/>
  <c r="K10" i="443"/>
  <c r="F10" i="443"/>
  <c r="U9" i="443"/>
  <c r="T9" i="443"/>
  <c r="I9" i="443" s="1"/>
  <c r="F9" i="443"/>
  <c r="U8" i="443"/>
  <c r="T8" i="443"/>
  <c r="F8" i="443"/>
  <c r="U7" i="443"/>
  <c r="T7" i="443"/>
  <c r="I7" i="443" s="1"/>
  <c r="K7" i="443"/>
  <c r="F7" i="443"/>
  <c r="U6" i="443"/>
  <c r="T6" i="443"/>
  <c r="I6" i="443" s="1"/>
  <c r="F6" i="443"/>
  <c r="U5" i="443"/>
  <c r="T5" i="443"/>
  <c r="N7" i="443" s="1"/>
  <c r="F5" i="443"/>
  <c r="U52" i="391"/>
  <c r="Q52" i="300"/>
  <c r="U52" i="202"/>
  <c r="T52" i="202"/>
  <c r="I52" i="202" s="1"/>
  <c r="K52" i="202"/>
  <c r="U52" i="61"/>
  <c r="L55" i="61" s="1"/>
  <c r="T52" i="61"/>
  <c r="K52" i="61"/>
  <c r="S52" i="300"/>
  <c r="R52" i="300"/>
  <c r="U52" i="299"/>
  <c r="L55" i="299" s="1"/>
  <c r="T52" i="299"/>
  <c r="K52" i="299"/>
  <c r="U52" i="190"/>
  <c r="L55" i="190" s="1"/>
  <c r="T52" i="190"/>
  <c r="I52" i="190" s="1"/>
  <c r="K52" i="190"/>
  <c r="T52" i="432"/>
  <c r="I52" i="432" s="1"/>
  <c r="K52" i="432"/>
  <c r="U52" i="17"/>
  <c r="L55" i="17" s="1"/>
  <c r="T52" i="17"/>
  <c r="I52" i="17" s="1"/>
  <c r="K52" i="17"/>
  <c r="U52" i="206"/>
  <c r="L55" i="206" s="1"/>
  <c r="T52" i="206"/>
  <c r="I52" i="206" s="1"/>
  <c r="K52" i="206"/>
  <c r="T52" i="391"/>
  <c r="I52" i="391" s="1"/>
  <c r="K52" i="391"/>
  <c r="L55" i="391" s="1"/>
  <c r="S52" i="414"/>
  <c r="R52" i="414"/>
  <c r="Q52" i="414"/>
  <c r="U52" i="8"/>
  <c r="L55" i="8" s="1"/>
  <c r="T52" i="8"/>
  <c r="K52" i="8"/>
  <c r="U52" i="203"/>
  <c r="L55" i="203" s="1"/>
  <c r="T52" i="203"/>
  <c r="K52" i="203"/>
  <c r="U52" i="2"/>
  <c r="L55" i="2" s="1"/>
  <c r="T52" i="2"/>
  <c r="I52" i="2" s="1"/>
  <c r="K52" i="2"/>
  <c r="U52" i="442"/>
  <c r="L55" i="442" s="1"/>
  <c r="T52" i="442"/>
  <c r="K52" i="442"/>
  <c r="U52" i="9"/>
  <c r="L55" i="9" s="1"/>
  <c r="T52" i="9"/>
  <c r="I52" i="9" s="1"/>
  <c r="K52" i="9"/>
  <c r="U52" i="75"/>
  <c r="L55" i="75" s="1"/>
  <c r="T52" i="75"/>
  <c r="K52" i="75"/>
  <c r="U52" i="5"/>
  <c r="L55" i="5" s="1"/>
  <c r="T52" i="5"/>
  <c r="I52" i="5" s="1"/>
  <c r="K52" i="5"/>
  <c r="U52" i="207"/>
  <c r="L55" i="207" s="1"/>
  <c r="T52" i="207"/>
  <c r="K52" i="207"/>
  <c r="U52" i="7"/>
  <c r="L55" i="7" s="1"/>
  <c r="T52" i="7"/>
  <c r="I52" i="7" s="1"/>
  <c r="K52" i="7"/>
  <c r="U52" i="424"/>
  <c r="L55" i="424" s="1"/>
  <c r="T52" i="424"/>
  <c r="K52" i="424"/>
  <c r="U52" i="187"/>
  <c r="L55" i="187" s="1"/>
  <c r="T52" i="187"/>
  <c r="I52" i="187" s="1"/>
  <c r="K52" i="187"/>
  <c r="M52" i="187" s="1"/>
  <c r="U52" i="23"/>
  <c r="L55" i="23" s="1"/>
  <c r="T52" i="23"/>
  <c r="K52" i="23"/>
  <c r="U52" i="4"/>
  <c r="L55" i="4" s="1"/>
  <c r="T52" i="4"/>
  <c r="I52" i="4" s="1"/>
  <c r="K52" i="4"/>
  <c r="U52" i="338"/>
  <c r="L55" i="338" s="1"/>
  <c r="T52" i="338"/>
  <c r="I52" i="338" s="1"/>
  <c r="K52" i="338"/>
  <c r="U52" i="441"/>
  <c r="L55" i="441" s="1"/>
  <c r="T52" i="441"/>
  <c r="K52" i="441"/>
  <c r="U52" i="434"/>
  <c r="L55" i="434" s="1"/>
  <c r="T52" i="434"/>
  <c r="I52" i="434" s="1"/>
  <c r="K52" i="434"/>
  <c r="U52" i="435"/>
  <c r="L55" i="435" s="1"/>
  <c r="T52" i="435"/>
  <c r="I52" i="435" s="1"/>
  <c r="K52" i="435"/>
  <c r="U52" i="436"/>
  <c r="L55" i="436" s="1"/>
  <c r="T52" i="436"/>
  <c r="I52" i="436" s="1"/>
  <c r="K52" i="436"/>
  <c r="U52" i="438"/>
  <c r="L55" i="438" s="1"/>
  <c r="T52" i="438"/>
  <c r="I52" i="438" s="1"/>
  <c r="K52" i="438"/>
  <c r="U52" i="440"/>
  <c r="L55" i="440" s="1"/>
  <c r="T52" i="440"/>
  <c r="I52" i="440" s="1"/>
  <c r="K52" i="440"/>
  <c r="U52" i="437"/>
  <c r="L55" i="437" s="1"/>
  <c r="T52" i="437"/>
  <c r="K52" i="437"/>
  <c r="U52" i="439"/>
  <c r="L55" i="439" s="1"/>
  <c r="T52" i="439"/>
  <c r="K52" i="439"/>
  <c r="U52" i="89"/>
  <c r="L55" i="89" s="1"/>
  <c r="T52" i="89"/>
  <c r="I52" i="89" s="1"/>
  <c r="K52" i="89"/>
  <c r="U52" i="389"/>
  <c r="L55" i="389" s="1"/>
  <c r="T52" i="389"/>
  <c r="I52" i="389" s="1"/>
  <c r="K52" i="389"/>
  <c r="U52" i="386"/>
  <c r="L55" i="386" s="1"/>
  <c r="T52" i="386"/>
  <c r="K52" i="386"/>
  <c r="U52" i="303"/>
  <c r="L55" i="303" s="1"/>
  <c r="T52" i="303"/>
  <c r="I52" i="303" s="1"/>
  <c r="K52" i="303"/>
  <c r="S52" i="398"/>
  <c r="R52" i="398"/>
  <c r="Q52" i="398"/>
  <c r="U52" i="1"/>
  <c r="L55" i="1" s="1"/>
  <c r="T52" i="1"/>
  <c r="I52" i="1" s="1"/>
  <c r="K52" i="1"/>
  <c r="U52" i="397"/>
  <c r="L55" i="397" s="1"/>
  <c r="T52" i="397"/>
  <c r="I52" i="397" s="1"/>
  <c r="K52" i="397"/>
  <c r="U52" i="113"/>
  <c r="L55" i="113" s="1"/>
  <c r="T52" i="113"/>
  <c r="K52" i="113"/>
  <c r="U52" i="431"/>
  <c r="L55" i="431" s="1"/>
  <c r="T52" i="431"/>
  <c r="K52" i="431"/>
  <c r="U52" i="361"/>
  <c r="L55" i="361" s="1"/>
  <c r="T52" i="361"/>
  <c r="K52" i="361"/>
  <c r="U52" i="351"/>
  <c r="L55" i="351" s="1"/>
  <c r="T52" i="351"/>
  <c r="I52" i="351" s="1"/>
  <c r="K52" i="351"/>
  <c r="U52" i="352"/>
  <c r="L55" i="352" s="1"/>
  <c r="T52" i="352"/>
  <c r="I52" i="352" s="1"/>
  <c r="K52" i="352"/>
  <c r="T52" i="392"/>
  <c r="I52" i="392" s="1"/>
  <c r="K52" i="392"/>
  <c r="L55" i="392" s="1"/>
  <c r="U52" i="371"/>
  <c r="L55" i="371" s="1"/>
  <c r="T52" i="371"/>
  <c r="I52" i="371" s="1"/>
  <c r="K52" i="371"/>
  <c r="U52" i="413"/>
  <c r="L55" i="413" s="1"/>
  <c r="T52" i="413"/>
  <c r="K52" i="413"/>
  <c r="U52" i="430"/>
  <c r="L55" i="430" s="1"/>
  <c r="T52" i="430"/>
  <c r="K52" i="430"/>
  <c r="U52" i="296"/>
  <c r="L55" i="296" s="1"/>
  <c r="T52" i="296"/>
  <c r="I52" i="296" s="1"/>
  <c r="K52" i="296"/>
  <c r="U52" i="322"/>
  <c r="L55" i="322" s="1"/>
  <c r="T52" i="322"/>
  <c r="K52" i="322"/>
  <c r="U52" i="353"/>
  <c r="L55" i="353" s="1"/>
  <c r="T52" i="353"/>
  <c r="I52" i="353" s="1"/>
  <c r="K52" i="353"/>
  <c r="U52" i="362"/>
  <c r="L55" i="362" s="1"/>
  <c r="T52" i="362"/>
  <c r="K52" i="362"/>
  <c r="U52" i="354"/>
  <c r="L55" i="354" s="1"/>
  <c r="T52" i="354"/>
  <c r="K52" i="354"/>
  <c r="U52" i="233"/>
  <c r="L55" i="233" s="1"/>
  <c r="T52" i="233"/>
  <c r="K52" i="233"/>
  <c r="U52" i="298"/>
  <c r="L55" i="298" s="1"/>
  <c r="T52" i="298"/>
  <c r="I52" i="298" s="1"/>
  <c r="K52" i="298"/>
  <c r="U52" i="367"/>
  <c r="L55" i="367" s="1"/>
  <c r="T52" i="367"/>
  <c r="I52" i="367" s="1"/>
  <c r="K52" i="367"/>
  <c r="U52" i="387"/>
  <c r="L55" i="387" s="1"/>
  <c r="T52" i="387"/>
  <c r="I52" i="387" s="1"/>
  <c r="K52" i="387"/>
  <c r="U52" i="314"/>
  <c r="L55" i="314" s="1"/>
  <c r="T52" i="314"/>
  <c r="K52" i="314"/>
  <c r="S52" i="142"/>
  <c r="R52" i="142"/>
  <c r="Q52" i="142"/>
  <c r="T52" i="18"/>
  <c r="I52" i="18" s="1"/>
  <c r="L52" i="18"/>
  <c r="K52" i="18"/>
  <c r="U52" i="20"/>
  <c r="L55" i="20" s="1"/>
  <c r="T52" i="20"/>
  <c r="I52" i="20" s="1"/>
  <c r="K52" i="20"/>
  <c r="U52" i="422"/>
  <c r="L55" i="422" s="1"/>
  <c r="T52" i="422"/>
  <c r="I52" i="422" s="1"/>
  <c r="K52" i="422"/>
  <c r="U52" i="43"/>
  <c r="L55" i="43" s="1"/>
  <c r="T52" i="43"/>
  <c r="K52" i="43"/>
  <c r="U52" i="21"/>
  <c r="L55" i="21" s="1"/>
  <c r="T52" i="21"/>
  <c r="K52" i="21"/>
  <c r="U52" i="423"/>
  <c r="L55" i="423" s="1"/>
  <c r="T52" i="423"/>
  <c r="I52" i="423" s="1"/>
  <c r="K52" i="423"/>
  <c r="U52" i="152"/>
  <c r="L55" i="152" s="1"/>
  <c r="T52" i="152"/>
  <c r="I52" i="152" s="1"/>
  <c r="K52" i="152"/>
  <c r="U52" i="13"/>
  <c r="L55" i="13" s="1"/>
  <c r="T52" i="13"/>
  <c r="I52" i="13" s="1"/>
  <c r="K52" i="13"/>
  <c r="U52" i="261"/>
  <c r="L55" i="261" s="1"/>
  <c r="T52" i="261"/>
  <c r="I52" i="261" s="1"/>
  <c r="K52" i="261"/>
  <c r="U52" i="153"/>
  <c r="L55" i="153" s="1"/>
  <c r="T52" i="153"/>
  <c r="I52" i="153" s="1"/>
  <c r="K52" i="153"/>
  <c r="U52" i="257"/>
  <c r="L55" i="257" s="1"/>
  <c r="T52" i="257"/>
  <c r="I52" i="257" s="1"/>
  <c r="K52" i="257"/>
  <c r="U52" i="409"/>
  <c r="L55" i="409" s="1"/>
  <c r="T52" i="409"/>
  <c r="I52" i="409" s="1"/>
  <c r="K52" i="409"/>
  <c r="U52" i="174"/>
  <c r="L55" i="174" s="1"/>
  <c r="I52" i="174"/>
  <c r="K52" i="174"/>
  <c r="S52" i="327"/>
  <c r="R52" i="327"/>
  <c r="Q52" i="327"/>
  <c r="U52" i="328"/>
  <c r="L55" i="328" s="1"/>
  <c r="T52" i="328"/>
  <c r="I52" i="328" s="1"/>
  <c r="K52" i="328"/>
  <c r="U52" i="329"/>
  <c r="L55" i="329" s="1"/>
  <c r="T52" i="329"/>
  <c r="K52" i="329"/>
  <c r="S52" i="195"/>
  <c r="R52" i="195"/>
  <c r="Q52" i="195"/>
  <c r="U52" i="194"/>
  <c r="L55" i="194" s="1"/>
  <c r="T52" i="194"/>
  <c r="I52" i="194" s="1"/>
  <c r="K52" i="194"/>
  <c r="U52" i="193"/>
  <c r="L55" i="193" s="1"/>
  <c r="T52" i="193"/>
  <c r="K52" i="193"/>
  <c r="U52" i="48"/>
  <c r="L55" i="48" s="1"/>
  <c r="T52" i="48"/>
  <c r="K52" i="48"/>
  <c r="S52" i="321"/>
  <c r="R52" i="321"/>
  <c r="Q52" i="321"/>
  <c r="U52" i="319"/>
  <c r="L55" i="319" s="1"/>
  <c r="T52" i="319"/>
  <c r="I52" i="319" s="1"/>
  <c r="K52" i="319"/>
  <c r="U52" i="320"/>
  <c r="L55" i="320" s="1"/>
  <c r="T52" i="320"/>
  <c r="I52" i="320" s="1"/>
  <c r="K52" i="320"/>
  <c r="U52" i="12"/>
  <c r="L55" i="12" s="1"/>
  <c r="T52" i="12"/>
  <c r="I52" i="12" s="1"/>
  <c r="K52" i="12"/>
  <c r="U52" i="356"/>
  <c r="L55" i="356" s="1"/>
  <c r="T52" i="356"/>
  <c r="I52" i="356" s="1"/>
  <c r="K52" i="356"/>
  <c r="S52" i="395"/>
  <c r="R52" i="395"/>
  <c r="Q52" i="395"/>
  <c r="U52" i="394"/>
  <c r="L55" i="394" s="1"/>
  <c r="T52" i="394"/>
  <c r="K52" i="394"/>
  <c r="U52" i="393"/>
  <c r="L55" i="393" s="1"/>
  <c r="T52" i="393"/>
  <c r="I52" i="393" s="1"/>
  <c r="K52" i="393"/>
  <c r="U52" i="433"/>
  <c r="L55" i="433" s="1"/>
  <c r="T52" i="433"/>
  <c r="I52" i="433" s="1"/>
  <c r="K52" i="433"/>
  <c r="U52" i="52"/>
  <c r="L55" i="52" s="1"/>
  <c r="T52" i="52"/>
  <c r="I52" i="52" s="1"/>
  <c r="K52" i="52"/>
  <c r="U52" i="425"/>
  <c r="L55" i="425" s="1"/>
  <c r="T52" i="425"/>
  <c r="I52" i="425" s="1"/>
  <c r="K52" i="425"/>
  <c r="S52" i="149"/>
  <c r="R52" i="149"/>
  <c r="Q52" i="149"/>
  <c r="U52" i="88"/>
  <c r="L55" i="88" s="1"/>
  <c r="T52" i="88"/>
  <c r="K52" i="88"/>
  <c r="U52" i="148"/>
  <c r="L55" i="148" s="1"/>
  <c r="T52" i="148"/>
  <c r="I52" i="148" s="1"/>
  <c r="K52" i="148"/>
  <c r="U52" i="97"/>
  <c r="L55" i="97" s="1"/>
  <c r="T52" i="97"/>
  <c r="K52" i="97"/>
  <c r="U52" i="383"/>
  <c r="L55" i="383" s="1"/>
  <c r="T52" i="383"/>
  <c r="K52" i="383"/>
  <c r="S52" i="253"/>
  <c r="R52" i="253"/>
  <c r="Q52" i="253"/>
  <c r="U52" i="28"/>
  <c r="L55" i="28" s="1"/>
  <c r="T52" i="28"/>
  <c r="K52" i="28"/>
  <c r="U52" i="29"/>
  <c r="L55" i="29" s="1"/>
  <c r="T52" i="29"/>
  <c r="K52" i="29"/>
  <c r="U52" i="359"/>
  <c r="L55" i="359" s="1"/>
  <c r="T52" i="359"/>
  <c r="K52" i="359"/>
  <c r="U52" i="360"/>
  <c r="L55" i="360" s="1"/>
  <c r="T52" i="360"/>
  <c r="K52" i="360"/>
  <c r="U52" i="368"/>
  <c r="L55" i="368" s="1"/>
  <c r="T52" i="368"/>
  <c r="I52" i="368" s="1"/>
  <c r="K52" i="368"/>
  <c r="U52" i="364"/>
  <c r="L55" i="364" s="1"/>
  <c r="K52" i="364"/>
  <c r="U52" i="420"/>
  <c r="L55" i="420" s="1"/>
  <c r="T52" i="420"/>
  <c r="I52" i="420" s="1"/>
  <c r="K52" i="420"/>
  <c r="U52" i="191"/>
  <c r="L55" i="191" s="1"/>
  <c r="T52" i="191"/>
  <c r="U52" i="164"/>
  <c r="L55" i="164" s="1"/>
  <c r="T52" i="164"/>
  <c r="I52" i="164" s="1"/>
  <c r="K52" i="164"/>
  <c r="U52" i="162"/>
  <c r="L55" i="162" s="1"/>
  <c r="T52" i="162"/>
  <c r="I52" i="162" s="1"/>
  <c r="K52" i="162"/>
  <c r="U52" i="421"/>
  <c r="L55" i="421" s="1"/>
  <c r="T52" i="421"/>
  <c r="I52" i="421" s="1"/>
  <c r="K52" i="421"/>
  <c r="U52" i="333"/>
  <c r="L55" i="333" s="1"/>
  <c r="T52" i="333"/>
  <c r="K52" i="333"/>
  <c r="U52" i="53"/>
  <c r="L55" i="53" s="1"/>
  <c r="T52" i="53"/>
  <c r="I52" i="53" s="1"/>
  <c r="K52" i="53"/>
  <c r="U52" i="114"/>
  <c r="L55" i="114" s="1"/>
  <c r="T52" i="114"/>
  <c r="I52" i="114" s="1"/>
  <c r="K52" i="114"/>
  <c r="U52" i="323"/>
  <c r="L55" i="323" s="1"/>
  <c r="T52" i="323"/>
  <c r="I52" i="323" s="1"/>
  <c r="K52" i="323"/>
  <c r="U52" i="400"/>
  <c r="L55" i="400" s="1"/>
  <c r="T52" i="400"/>
  <c r="K52" i="400"/>
  <c r="U52" i="385"/>
  <c r="L55" i="385" s="1"/>
  <c r="T52" i="385"/>
  <c r="I52" i="385" s="1"/>
  <c r="K52" i="385"/>
  <c r="U52" i="334"/>
  <c r="L55" i="334" s="1"/>
  <c r="T52" i="334"/>
  <c r="I52" i="334" s="1"/>
  <c r="K52" i="334"/>
  <c r="U52" i="3"/>
  <c r="L55" i="3" s="1"/>
  <c r="T52" i="3"/>
  <c r="K52" i="3"/>
  <c r="U52" i="349"/>
  <c r="L55" i="349" s="1"/>
  <c r="T52" i="349"/>
  <c r="I52" i="349" s="1"/>
  <c r="K52" i="349"/>
  <c r="U52" i="15"/>
  <c r="L55" i="15" s="1"/>
  <c r="T52" i="15"/>
  <c r="I52" i="15" s="1"/>
  <c r="K52" i="15"/>
  <c r="U52" i="355"/>
  <c r="L55" i="355" s="1"/>
  <c r="T52" i="355"/>
  <c r="I52" i="355" s="1"/>
  <c r="K52" i="355"/>
  <c r="U52" i="16"/>
  <c r="L55" i="16" s="1"/>
  <c r="T52" i="16"/>
  <c r="I52" i="16" s="1"/>
  <c r="K52" i="16"/>
  <c r="U52" i="54"/>
  <c r="L55" i="54" s="1"/>
  <c r="T52" i="54"/>
  <c r="I52" i="54" s="1"/>
  <c r="K52" i="54"/>
  <c r="U52" i="384"/>
  <c r="L55" i="384" s="1"/>
  <c r="N52" i="384"/>
  <c r="O55" i="384" s="1"/>
  <c r="K52" i="384"/>
  <c r="I52" i="384"/>
  <c r="U52" i="201"/>
  <c r="L55" i="201" s="1"/>
  <c r="T52" i="201"/>
  <c r="I52" i="201" s="1"/>
  <c r="K52" i="201"/>
  <c r="U52" i="249"/>
  <c r="L55" i="249" s="1"/>
  <c r="T52" i="249"/>
  <c r="I52" i="249" s="1"/>
  <c r="K52" i="249"/>
  <c r="U52" i="19"/>
  <c r="L55" i="19" s="1"/>
  <c r="T52" i="19"/>
  <c r="K52" i="19"/>
  <c r="U52" i="347"/>
  <c r="L55" i="347" s="1"/>
  <c r="T52" i="347"/>
  <c r="I52" i="347" s="1"/>
  <c r="K52" i="347"/>
  <c r="U52" i="37"/>
  <c r="L55" i="37" s="1"/>
  <c r="T52" i="37"/>
  <c r="I52" i="37" s="1"/>
  <c r="K52" i="37"/>
  <c r="U52" i="204"/>
  <c r="L55" i="204" s="1"/>
  <c r="T52" i="204"/>
  <c r="K52" i="204"/>
  <c r="U52" i="31"/>
  <c r="L55" i="31" s="1"/>
  <c r="T52" i="31"/>
  <c r="I52" i="31" s="1"/>
  <c r="K52" i="31"/>
  <c r="U52" i="342"/>
  <c r="L55" i="342" s="1"/>
  <c r="T52" i="342"/>
  <c r="I52" i="342" s="1"/>
  <c r="K52" i="342"/>
  <c r="S52" i="170"/>
  <c r="R52" i="170"/>
  <c r="U52" i="168"/>
  <c r="L55" i="168" s="1"/>
  <c r="T52" i="168"/>
  <c r="I52" i="168" s="1"/>
  <c r="K52" i="168"/>
  <c r="U52" i="169"/>
  <c r="L55" i="169" s="1"/>
  <c r="T52" i="169"/>
  <c r="I52" i="169" s="1"/>
  <c r="K52" i="169"/>
  <c r="U52" i="336"/>
  <c r="L55" i="336" s="1"/>
  <c r="T52" i="336"/>
  <c r="K52" i="336"/>
  <c r="U52" i="33"/>
  <c r="L55" i="33" s="1"/>
  <c r="T52" i="33"/>
  <c r="I52" i="33" s="1"/>
  <c r="K52" i="33"/>
  <c r="U52" i="318"/>
  <c r="L55" i="318" s="1"/>
  <c r="T52" i="318"/>
  <c r="I52" i="318" s="1"/>
  <c r="K52" i="318"/>
  <c r="U52" i="288"/>
  <c r="L55" i="288" s="1"/>
  <c r="T52" i="288"/>
  <c r="I52" i="288" s="1"/>
  <c r="K52" i="288"/>
  <c r="U52" i="337"/>
  <c r="L55" i="337" s="1"/>
  <c r="T52" i="337"/>
  <c r="I52" i="337" s="1"/>
  <c r="K52" i="337"/>
  <c r="U52" i="227"/>
  <c r="L55" i="227" s="1"/>
  <c r="T52" i="227"/>
  <c r="I52" i="227" s="1"/>
  <c r="K52" i="227"/>
  <c r="S52" i="388"/>
  <c r="R52" i="388"/>
  <c r="Q52" i="388"/>
  <c r="U52" i="290"/>
  <c r="L55" i="290" s="1"/>
  <c r="T52" i="290"/>
  <c r="K52" i="290"/>
  <c r="U52" i="289"/>
  <c r="L55" i="289" s="1"/>
  <c r="T52" i="289"/>
  <c r="I52" i="289" s="1"/>
  <c r="K52" i="289"/>
  <c r="U52" i="293"/>
  <c r="L55" i="293" s="1"/>
  <c r="T52" i="293"/>
  <c r="K52" i="293"/>
  <c r="U52" i="348"/>
  <c r="L55" i="348" s="1"/>
  <c r="T52" i="348"/>
  <c r="I52" i="348" s="1"/>
  <c r="K52" i="348"/>
  <c r="U52" i="297"/>
  <c r="L55" i="297" s="1"/>
  <c r="T52" i="297"/>
  <c r="I52" i="297" s="1"/>
  <c r="K52" i="297"/>
  <c r="U52" i="350"/>
  <c r="L55" i="350" s="1"/>
  <c r="T52" i="350"/>
  <c r="K52" i="350"/>
  <c r="U52" i="105"/>
  <c r="L55" i="105" s="1"/>
  <c r="T52" i="105"/>
  <c r="I52" i="105" s="1"/>
  <c r="K52" i="105"/>
  <c r="U52" i="294"/>
  <c r="L55" i="294" s="1"/>
  <c r="T52" i="294"/>
  <c r="I52" i="294" s="1"/>
  <c r="K52" i="294"/>
  <c r="U52" i="22"/>
  <c r="L55" i="22" s="1"/>
  <c r="T52" i="22"/>
  <c r="I52" i="22" s="1"/>
  <c r="K52" i="22"/>
  <c r="U52" i="301"/>
  <c r="L55" i="301" s="1"/>
  <c r="T52" i="301"/>
  <c r="I52" i="301" s="1"/>
  <c r="K52" i="301"/>
  <c r="U52" i="344"/>
  <c r="L55" i="344" s="1"/>
  <c r="T52" i="344"/>
  <c r="I52" i="344" s="1"/>
  <c r="K52" i="344"/>
  <c r="U52" i="340"/>
  <c r="L55" i="340" s="1"/>
  <c r="T52" i="340"/>
  <c r="K52" i="340"/>
  <c r="U52" i="34"/>
  <c r="L55" i="34" s="1"/>
  <c r="T52" i="34"/>
  <c r="K52" i="34"/>
  <c r="U52" i="135"/>
  <c r="L55" i="135" s="1"/>
  <c r="T52" i="135"/>
  <c r="I52" i="135" s="1"/>
  <c r="K52" i="135"/>
  <c r="U52" i="295"/>
  <c r="L55" i="295" s="1"/>
  <c r="T52" i="295"/>
  <c r="I52" i="295" s="1"/>
  <c r="K52" i="295"/>
  <c r="U52" i="283"/>
  <c r="L55" i="283" s="1"/>
  <c r="T52" i="283"/>
  <c r="I52" i="283" s="1"/>
  <c r="K52" i="283"/>
  <c r="U52" i="284"/>
  <c r="L55" i="284" s="1"/>
  <c r="T52" i="284"/>
  <c r="I52" i="284" s="1"/>
  <c r="K52" i="284"/>
  <c r="U52" i="292"/>
  <c r="L55" i="292" s="1"/>
  <c r="T52" i="292"/>
  <c r="I52" i="292" s="1"/>
  <c r="K52" i="292"/>
  <c r="T52" i="339"/>
  <c r="U52" i="325"/>
  <c r="L55" i="325" s="1"/>
  <c r="T52" i="325"/>
  <c r="I52" i="325" s="1"/>
  <c r="K52" i="325"/>
  <c r="U52" i="269"/>
  <c r="L55" i="269" s="1"/>
  <c r="T52" i="269"/>
  <c r="K52" i="269"/>
  <c r="U52" i="11"/>
  <c r="L55" i="11" s="1"/>
  <c r="T52" i="11"/>
  <c r="K52" i="11"/>
  <c r="U52" i="101"/>
  <c r="L55" i="101" s="1"/>
  <c r="T52" i="101"/>
  <c r="I52" i="101" s="1"/>
  <c r="K52" i="101"/>
  <c r="U52" i="382"/>
  <c r="L55" i="382" s="1"/>
  <c r="T52" i="382"/>
  <c r="I52" i="382" s="1"/>
  <c r="K52" i="382"/>
  <c r="U52" i="102"/>
  <c r="L55" i="102" s="1"/>
  <c r="T52" i="102"/>
  <c r="I52" i="102" s="1"/>
  <c r="K52" i="102"/>
  <c r="U52" i="103"/>
  <c r="L55" i="103" s="1"/>
  <c r="T52" i="103"/>
  <c r="I52" i="103" s="1"/>
  <c r="K52" i="103"/>
  <c r="U52" i="411"/>
  <c r="L55" i="411" s="1"/>
  <c r="T52" i="411"/>
  <c r="I52" i="411" s="1"/>
  <c r="K52" i="411"/>
  <c r="U52" i="265"/>
  <c r="L55" i="265" s="1"/>
  <c r="T52" i="265"/>
  <c r="K52" i="265"/>
  <c r="U52" i="262"/>
  <c r="L55" i="262" s="1"/>
  <c r="T52" i="262"/>
  <c r="I52" i="262" s="1"/>
  <c r="K52" i="262"/>
  <c r="U52" i="112"/>
  <c r="L55" i="112" s="1"/>
  <c r="T52" i="112"/>
  <c r="I52" i="112" s="1"/>
  <c r="K52" i="112"/>
  <c r="U52" i="109"/>
  <c r="L55" i="109" s="1"/>
  <c r="T52" i="109"/>
  <c r="K52" i="109"/>
  <c r="U52" i="85"/>
  <c r="L55" i="85" s="1"/>
  <c r="T52" i="85"/>
  <c r="K52" i="85"/>
  <c r="U52" i="324"/>
  <c r="L55" i="324" s="1"/>
  <c r="T52" i="324"/>
  <c r="I52" i="324" s="1"/>
  <c r="K52" i="324"/>
  <c r="U52" i="32"/>
  <c r="L55" i="32" s="1"/>
  <c r="T52" i="32"/>
  <c r="K52" i="32"/>
  <c r="U52" i="196"/>
  <c r="L55" i="196" s="1"/>
  <c r="T52" i="196"/>
  <c r="I52" i="196" s="1"/>
  <c r="K52" i="196"/>
  <c r="T52" i="197"/>
  <c r="L52" i="197"/>
  <c r="K52" i="197"/>
  <c r="U52" i="198"/>
  <c r="L55" i="198" s="1"/>
  <c r="T52" i="198"/>
  <c r="K52" i="198"/>
  <c r="U52" i="345"/>
  <c r="L55" i="345" s="1"/>
  <c r="T52" i="345"/>
  <c r="I52" i="345" s="1"/>
  <c r="K52" i="345"/>
  <c r="U52" i="346"/>
  <c r="L55" i="346" s="1"/>
  <c r="T52" i="346"/>
  <c r="I52" i="346" s="1"/>
  <c r="K52" i="346"/>
  <c r="U52" i="74"/>
  <c r="L55" i="74" s="1"/>
  <c r="T52" i="74"/>
  <c r="K52" i="74"/>
  <c r="U52" i="200"/>
  <c r="L55" i="200" s="1"/>
  <c r="T52" i="200"/>
  <c r="I52" i="200" s="1"/>
  <c r="K52" i="200"/>
  <c r="U52" i="280"/>
  <c r="L55" i="280" s="1"/>
  <c r="T52" i="280"/>
  <c r="I52" i="280" s="1"/>
  <c r="K52" i="280"/>
  <c r="U52" i="45"/>
  <c r="L55" i="45" s="1"/>
  <c r="T52" i="45"/>
  <c r="K52" i="45"/>
  <c r="U52" i="104"/>
  <c r="L55" i="104" s="1"/>
  <c r="T52" i="104"/>
  <c r="I52" i="104" s="1"/>
  <c r="K52" i="104"/>
  <c r="U52" i="254"/>
  <c r="L55" i="254" s="1"/>
  <c r="T52" i="254"/>
  <c r="I52" i="254" s="1"/>
  <c r="K52" i="254"/>
  <c r="S52" i="185"/>
  <c r="R52" i="185"/>
  <c r="Q52" i="185"/>
  <c r="U52" i="181"/>
  <c r="L55" i="181" s="1"/>
  <c r="T52" i="181"/>
  <c r="I52" i="181" s="1"/>
  <c r="K52" i="181"/>
  <c r="U52" i="183"/>
  <c r="L55" i="183" s="1"/>
  <c r="T52" i="183"/>
  <c r="I52" i="183" s="1"/>
  <c r="K52" i="183"/>
  <c r="U52" i="184"/>
  <c r="L55" i="184" s="1"/>
  <c r="T52" i="184"/>
  <c r="K52" i="184"/>
  <c r="S52" i="144"/>
  <c r="R52" i="144"/>
  <c r="Q52" i="144"/>
  <c r="U52" i="27"/>
  <c r="L55" i="27" s="1"/>
  <c r="T52" i="27"/>
  <c r="I52" i="27" s="1"/>
  <c r="K52" i="27"/>
  <c r="U52" i="143"/>
  <c r="L55" i="143" s="1"/>
  <c r="T52" i="143"/>
  <c r="K52" i="143"/>
  <c r="U52" i="263"/>
  <c r="L55" i="263" s="1"/>
  <c r="T52" i="263"/>
  <c r="I52" i="263" s="1"/>
  <c r="K52" i="263"/>
  <c r="U52" i="209"/>
  <c r="L55" i="209" s="1"/>
  <c r="T52" i="209"/>
  <c r="I52" i="209" s="1"/>
  <c r="K52" i="209"/>
  <c r="U52" i="192"/>
  <c r="L55" i="192" s="1"/>
  <c r="T52" i="192"/>
  <c r="I52" i="192" s="1"/>
  <c r="K52" i="192"/>
  <c r="U52" i="140"/>
  <c r="L55" i="140" s="1"/>
  <c r="T52" i="140"/>
  <c r="I52" i="140" s="1"/>
  <c r="K52" i="140"/>
  <c r="U52" i="270"/>
  <c r="L55" i="270" s="1"/>
  <c r="T52" i="270"/>
  <c r="I52" i="270" s="1"/>
  <c r="K52" i="270"/>
  <c r="U52" i="271"/>
  <c r="L55" i="271" s="1"/>
  <c r="T52" i="271"/>
  <c r="I52" i="271" s="1"/>
  <c r="K52" i="271"/>
  <c r="S52" i="186"/>
  <c r="R52" i="186"/>
  <c r="Q52" i="186"/>
  <c r="U52" i="159"/>
  <c r="L55" i="159" s="1"/>
  <c r="T52" i="159"/>
  <c r="I52" i="159" s="1"/>
  <c r="K52" i="159"/>
  <c r="U52" i="160"/>
  <c r="L55" i="160" s="1"/>
  <c r="T52" i="160"/>
  <c r="I52" i="160" s="1"/>
  <c r="K52" i="160"/>
  <c r="U52" i="107"/>
  <c r="L55" i="107" s="1"/>
  <c r="T52" i="107"/>
  <c r="I52" i="107" s="1"/>
  <c r="K52" i="107"/>
  <c r="U52" i="176"/>
  <c r="L55" i="176" s="1"/>
  <c r="T52" i="176"/>
  <c r="I52" i="176" s="1"/>
  <c r="K52" i="176"/>
  <c r="U52" i="281"/>
  <c r="L55" i="281" s="1"/>
  <c r="T52" i="281"/>
  <c r="I52" i="281" s="1"/>
  <c r="K52" i="281"/>
  <c r="U52" i="332"/>
  <c r="L55" i="332" s="1"/>
  <c r="T52" i="332"/>
  <c r="I52" i="332" s="1"/>
  <c r="K52" i="332"/>
  <c r="U52" i="25"/>
  <c r="L55" i="25" s="1"/>
  <c r="T52" i="25"/>
  <c r="I52" i="25" s="1"/>
  <c r="K52" i="25"/>
  <c r="U52" i="24"/>
  <c r="L55" i="24" s="1"/>
  <c r="T52" i="24"/>
  <c r="I52" i="24" s="1"/>
  <c r="K52" i="24"/>
  <c r="U52" i="116"/>
  <c r="L55" i="116" s="1"/>
  <c r="T52" i="116"/>
  <c r="I52" i="116" s="1"/>
  <c r="K52" i="116"/>
  <c r="U52" i="285"/>
  <c r="L55" i="285" s="1"/>
  <c r="T52" i="285"/>
  <c r="I52" i="285" s="1"/>
  <c r="K52" i="285"/>
  <c r="U52" i="272"/>
  <c r="L55" i="272" s="1"/>
  <c r="T52" i="272"/>
  <c r="I52" i="272" s="1"/>
  <c r="K52" i="272"/>
  <c r="U52" i="87"/>
  <c r="L55" i="87" s="1"/>
  <c r="T52" i="87"/>
  <c r="I52" i="87" s="1"/>
  <c r="K52" i="87"/>
  <c r="U52" i="287"/>
  <c r="L55" i="287" s="1"/>
  <c r="T52" i="287"/>
  <c r="I52" i="287" s="1"/>
  <c r="K52" i="287"/>
  <c r="U52" i="276"/>
  <c r="L55" i="276" s="1"/>
  <c r="T52" i="276"/>
  <c r="I52" i="276" s="1"/>
  <c r="K52" i="276"/>
  <c r="S52" i="231"/>
  <c r="U52" i="231" s="1"/>
  <c r="L55" i="231" s="1"/>
  <c r="R52" i="231"/>
  <c r="Q52" i="231"/>
  <c r="F52" i="231" s="1"/>
  <c r="G53" i="231" s="1"/>
  <c r="U52" i="229"/>
  <c r="L55" i="229" s="1"/>
  <c r="T52" i="229"/>
  <c r="I52" i="229" s="1"/>
  <c r="K52" i="229"/>
  <c r="U52" i="230"/>
  <c r="L55" i="230" s="1"/>
  <c r="N52" i="230"/>
  <c r="O55" i="230" s="1"/>
  <c r="K52" i="230"/>
  <c r="I52" i="230"/>
  <c r="U52" i="326"/>
  <c r="L55" i="326" s="1"/>
  <c r="T52" i="326"/>
  <c r="I52" i="326" s="1"/>
  <c r="K52" i="326"/>
  <c r="U52" i="47"/>
  <c r="L55" i="47" s="1"/>
  <c r="T52" i="47"/>
  <c r="K52" i="47"/>
  <c r="U52" i="46"/>
  <c r="L55" i="46" s="1"/>
  <c r="T52" i="46"/>
  <c r="K52" i="46"/>
  <c r="U52" i="248"/>
  <c r="L55" i="248" s="1"/>
  <c r="T52" i="248"/>
  <c r="I52" i="248" s="1"/>
  <c r="K52" i="248"/>
  <c r="U52" i="239"/>
  <c r="L55" i="239" s="1"/>
  <c r="T52" i="239"/>
  <c r="K52" i="239"/>
  <c r="U52" i="243"/>
  <c r="L55" i="243" s="1"/>
  <c r="T52" i="243"/>
  <c r="K52" i="243"/>
  <c r="S52" i="247"/>
  <c r="R52" i="247"/>
  <c r="Q52" i="247"/>
  <c r="U52" i="244"/>
  <c r="L55" i="244" s="1"/>
  <c r="T52" i="244"/>
  <c r="I52" i="244" s="1"/>
  <c r="K52" i="244"/>
  <c r="U52" i="246"/>
  <c r="L55" i="246" s="1"/>
  <c r="T52" i="246"/>
  <c r="I52" i="246" s="1"/>
  <c r="K52" i="246"/>
  <c r="T52" i="35"/>
  <c r="I52" i="35" s="1"/>
  <c r="K52" i="35"/>
  <c r="U51" i="35"/>
  <c r="U51" i="202"/>
  <c r="L55" i="35" l="1"/>
  <c r="L55" i="202"/>
  <c r="L55" i="432"/>
  <c r="F52" i="414"/>
  <c r="G53" i="414" s="1"/>
  <c r="U54" i="414"/>
  <c r="F52" i="253"/>
  <c r="G53" i="253" s="1"/>
  <c r="U54" i="253"/>
  <c r="F52" i="321"/>
  <c r="G53" i="321" s="1"/>
  <c r="U54" i="321"/>
  <c r="F52" i="195"/>
  <c r="G53" i="195" s="1"/>
  <c r="U54" i="195"/>
  <c r="F52" i="247"/>
  <c r="G53" i="247" s="1"/>
  <c r="U54" i="247"/>
  <c r="F52" i="170"/>
  <c r="G53" i="170" s="1"/>
  <c r="U54" i="170"/>
  <c r="F52" i="398"/>
  <c r="G53" i="398" s="1"/>
  <c r="U54" i="398"/>
  <c r="H34" i="443"/>
  <c r="F52" i="186"/>
  <c r="G53" i="186" s="1"/>
  <c r="U54" i="186"/>
  <c r="F52" i="395"/>
  <c r="G53" i="395" s="1"/>
  <c r="U54" i="395"/>
  <c r="F52" i="327"/>
  <c r="G53" i="327" s="1"/>
  <c r="U54" i="327"/>
  <c r="F52" i="300"/>
  <c r="G53" i="300" s="1"/>
  <c r="U54" i="300"/>
  <c r="F52" i="144"/>
  <c r="G53" i="144" s="1"/>
  <c r="U54" i="144"/>
  <c r="F52" i="185"/>
  <c r="G53" i="185" s="1"/>
  <c r="U54" i="185"/>
  <c r="F52" i="149"/>
  <c r="G53" i="149" s="1"/>
  <c r="U54" i="149"/>
  <c r="F52" i="142"/>
  <c r="G53" i="142" s="1"/>
  <c r="U54" i="142"/>
  <c r="F52" i="388"/>
  <c r="G53" i="388" s="1"/>
  <c r="U54" i="388"/>
  <c r="G46" i="443"/>
  <c r="H42" i="443"/>
  <c r="G50" i="443"/>
  <c r="B49" i="443"/>
  <c r="I47" i="443"/>
  <c r="J47" i="443" s="1"/>
  <c r="H31" i="443"/>
  <c r="C16" i="443"/>
  <c r="G44" i="443"/>
  <c r="L49" i="443"/>
  <c r="J46" i="443"/>
  <c r="M49" i="443"/>
  <c r="C31" i="443"/>
  <c r="L37" i="443"/>
  <c r="G18" i="443"/>
  <c r="G10" i="443"/>
  <c r="G7" i="443"/>
  <c r="M19" i="443"/>
  <c r="M43" i="443"/>
  <c r="M37" i="443"/>
  <c r="N34" i="443"/>
  <c r="C43" i="443"/>
  <c r="G26" i="443"/>
  <c r="H20" i="443"/>
  <c r="G23" i="443"/>
  <c r="M34" i="443"/>
  <c r="H50" i="443"/>
  <c r="M40" i="443"/>
  <c r="H46" i="443"/>
  <c r="H49" i="443"/>
  <c r="N46" i="443"/>
  <c r="G42" i="443"/>
  <c r="L43" i="443"/>
  <c r="J24" i="443"/>
  <c r="N28" i="443"/>
  <c r="L31" i="443"/>
  <c r="C52" i="443"/>
  <c r="N40" i="443"/>
  <c r="M25" i="443"/>
  <c r="N22" i="443"/>
  <c r="H26" i="443"/>
  <c r="N43" i="443"/>
  <c r="G37" i="443"/>
  <c r="M46" i="443"/>
  <c r="M52" i="443"/>
  <c r="H47" i="443"/>
  <c r="B43" i="443"/>
  <c r="C49" i="443"/>
  <c r="J48" i="443"/>
  <c r="G43" i="443"/>
  <c r="G49" i="443"/>
  <c r="G48" i="443"/>
  <c r="L52" i="443"/>
  <c r="G41" i="443"/>
  <c r="L46" i="443"/>
  <c r="N52" i="443"/>
  <c r="O52" i="443" s="1"/>
  <c r="G47" i="443"/>
  <c r="N37" i="443"/>
  <c r="J49" i="443"/>
  <c r="H40" i="443"/>
  <c r="J51" i="443"/>
  <c r="G36" i="443"/>
  <c r="B31" i="443"/>
  <c r="L40" i="443"/>
  <c r="G29" i="443"/>
  <c r="G38" i="443"/>
  <c r="H48" i="443"/>
  <c r="H29" i="443"/>
  <c r="H52" i="443"/>
  <c r="B37" i="443"/>
  <c r="J30" i="443"/>
  <c r="C37" i="443"/>
  <c r="C40" i="443"/>
  <c r="G35" i="443"/>
  <c r="J45" i="443"/>
  <c r="J50" i="443"/>
  <c r="J52" i="443"/>
  <c r="H36" i="443"/>
  <c r="C34" i="443"/>
  <c r="J43" i="443"/>
  <c r="J32" i="443"/>
  <c r="C22" i="443"/>
  <c r="C28" i="443"/>
  <c r="H38" i="443"/>
  <c r="H32" i="443"/>
  <c r="J38" i="443"/>
  <c r="L25" i="443"/>
  <c r="H19" i="443"/>
  <c r="C7" i="443"/>
  <c r="N10" i="443"/>
  <c r="O10" i="443" s="1"/>
  <c r="N16" i="443"/>
  <c r="G11" i="443"/>
  <c r="J22" i="443"/>
  <c r="H25" i="443"/>
  <c r="N13" i="443"/>
  <c r="J28" i="443"/>
  <c r="G8" i="443"/>
  <c r="H17" i="443"/>
  <c r="J25" i="443"/>
  <c r="J29" i="443"/>
  <c r="J18" i="443"/>
  <c r="H22" i="443"/>
  <c r="G25" i="443"/>
  <c r="G31" i="443"/>
  <c r="M31" i="443"/>
  <c r="N19" i="443"/>
  <c r="G12" i="443"/>
  <c r="G24" i="443"/>
  <c r="L28" i="443"/>
  <c r="G30" i="443"/>
  <c r="N31" i="443"/>
  <c r="H35" i="443"/>
  <c r="G9" i="443"/>
  <c r="B10" i="443"/>
  <c r="G20" i="443"/>
  <c r="L22" i="443"/>
  <c r="J36" i="443"/>
  <c r="H30" i="443"/>
  <c r="J35" i="443"/>
  <c r="H37" i="443"/>
  <c r="N25" i="443"/>
  <c r="C10" i="443"/>
  <c r="B19" i="443"/>
  <c r="J42" i="443"/>
  <c r="G34" i="443"/>
  <c r="J37" i="443"/>
  <c r="H44" i="443"/>
  <c r="J33" i="443"/>
  <c r="G17" i="443"/>
  <c r="C19" i="443"/>
  <c r="J26" i="443"/>
  <c r="J39" i="443"/>
  <c r="J44" i="443"/>
  <c r="L10" i="443"/>
  <c r="B13" i="443"/>
  <c r="B25" i="443"/>
  <c r="M28" i="443"/>
  <c r="G32" i="443"/>
  <c r="J34" i="443"/>
  <c r="H41" i="443"/>
  <c r="J31" i="443"/>
  <c r="G13" i="443"/>
  <c r="M22" i="443"/>
  <c r="C25" i="443"/>
  <c r="L34" i="443"/>
  <c r="J41" i="443"/>
  <c r="H43" i="443"/>
  <c r="L16" i="443"/>
  <c r="L19" i="443"/>
  <c r="J27" i="443"/>
  <c r="I11" i="443"/>
  <c r="J23" i="443" s="1"/>
  <c r="G16" i="443"/>
  <c r="G19" i="443"/>
  <c r="J40" i="443"/>
  <c r="J19" i="443"/>
  <c r="J21" i="443"/>
  <c r="G28" i="443"/>
  <c r="G52" i="443"/>
  <c r="I5" i="443"/>
  <c r="J17" i="443" s="1"/>
  <c r="B16" i="443"/>
  <c r="G21" i="443"/>
  <c r="H23" i="443"/>
  <c r="G27" i="443"/>
  <c r="H28" i="443"/>
  <c r="G33" i="443"/>
  <c r="G39" i="443"/>
  <c r="G45" i="443"/>
  <c r="G51" i="443"/>
  <c r="C13" i="443"/>
  <c r="G14" i="443"/>
  <c r="H21" i="443"/>
  <c r="H27" i="443"/>
  <c r="H33" i="443"/>
  <c r="H39" i="443"/>
  <c r="H45" i="443"/>
  <c r="H51" i="443"/>
  <c r="G6" i="443"/>
  <c r="G22" i="443"/>
  <c r="G40" i="443"/>
  <c r="I8" i="443"/>
  <c r="J20" i="443" s="1"/>
  <c r="B7" i="443"/>
  <c r="G15" i="443"/>
  <c r="B22" i="443"/>
  <c r="B28" i="443"/>
  <c r="B34" i="443"/>
  <c r="B40" i="443"/>
  <c r="B46" i="443"/>
  <c r="B52" i="443"/>
  <c r="L13" i="443"/>
  <c r="H18" i="443"/>
  <c r="H24" i="443"/>
  <c r="C46" i="443"/>
  <c r="T52" i="195"/>
  <c r="I52" i="195" s="1"/>
  <c r="T52" i="170"/>
  <c r="I52" i="170" s="1"/>
  <c r="T52" i="144"/>
  <c r="I52" i="144" s="1"/>
  <c r="T52" i="321"/>
  <c r="I52" i="321" s="1"/>
  <c r="T52" i="231"/>
  <c r="I52" i="231" s="1"/>
  <c r="I52" i="74"/>
  <c r="I52" i="34"/>
  <c r="I52" i="400"/>
  <c r="I52" i="265"/>
  <c r="I52" i="336"/>
  <c r="T52" i="186"/>
  <c r="I52" i="204"/>
  <c r="I52" i="191"/>
  <c r="I52" i="333"/>
  <c r="C242" i="417"/>
  <c r="I52" i="293"/>
  <c r="I52" i="360"/>
  <c r="T52" i="185"/>
  <c r="I52" i="185" s="1"/>
  <c r="I52" i="198"/>
  <c r="I52" i="29"/>
  <c r="I52" i="11"/>
  <c r="I52" i="28"/>
  <c r="T52" i="142"/>
  <c r="I52" i="142" s="1"/>
  <c r="I52" i="322"/>
  <c r="T52" i="398"/>
  <c r="I52" i="398" s="1"/>
  <c r="I52" i="8"/>
  <c r="T52" i="300"/>
  <c r="I52" i="300" s="1"/>
  <c r="I52" i="299"/>
  <c r="I52" i="350"/>
  <c r="I52" i="207"/>
  <c r="I52" i="45"/>
  <c r="I52" i="394"/>
  <c r="I52" i="47"/>
  <c r="I52" i="197"/>
  <c r="I52" i="85"/>
  <c r="I52" i="243"/>
  <c r="I52" i="32"/>
  <c r="I52" i="109"/>
  <c r="I52" i="46"/>
  <c r="T52" i="388"/>
  <c r="I52" i="437"/>
  <c r="I52" i="143"/>
  <c r="I52" i="339"/>
  <c r="I52" i="441"/>
  <c r="I52" i="386"/>
  <c r="I52" i="23"/>
  <c r="I52" i="19"/>
  <c r="I52" i="362"/>
  <c r="I52" i="269"/>
  <c r="I52" i="184"/>
  <c r="I52" i="239"/>
  <c r="I52" i="359"/>
  <c r="I52" i="43"/>
  <c r="I52" i="413"/>
  <c r="I52" i="424"/>
  <c r="I52" i="340"/>
  <c r="I52" i="3"/>
  <c r="I52" i="314"/>
  <c r="I52" i="75"/>
  <c r="I52" i="21"/>
  <c r="T52" i="247"/>
  <c r="I52" i="364"/>
  <c r="T52" i="327"/>
  <c r="I52" i="88"/>
  <c r="I52" i="113"/>
  <c r="I52" i="439"/>
  <c r="I52" i="290"/>
  <c r="I52" i="97"/>
  <c r="I52" i="383"/>
  <c r="I52" i="354"/>
  <c r="I52" i="431"/>
  <c r="I52" i="48"/>
  <c r="T52" i="149"/>
  <c r="I52" i="430"/>
  <c r="I52" i="233"/>
  <c r="I52" i="361"/>
  <c r="I52" i="203"/>
  <c r="I52" i="442"/>
  <c r="I52" i="193"/>
  <c r="I52" i="329"/>
  <c r="T52" i="253"/>
  <c r="T52" i="414"/>
  <c r="I52" i="61"/>
  <c r="T52" i="395"/>
  <c r="K6" i="283"/>
  <c r="K7" i="283"/>
  <c r="K8" i="283"/>
  <c r="K9" i="283"/>
  <c r="K10" i="283"/>
  <c r="K11" i="283"/>
  <c r="K12" i="283"/>
  <c r="T5" i="296"/>
  <c r="T6" i="296"/>
  <c r="K7" i="296"/>
  <c r="T7" i="296"/>
  <c r="U7" i="296"/>
  <c r="T8" i="296"/>
  <c r="T9" i="296"/>
  <c r="K10" i="296"/>
  <c r="T10" i="296"/>
  <c r="U10" i="296"/>
  <c r="T11" i="296"/>
  <c r="T12" i="296"/>
  <c r="K13" i="296"/>
  <c r="T13" i="296"/>
  <c r="U13" i="296"/>
  <c r="T14" i="296"/>
  <c r="T15" i="296"/>
  <c r="K16" i="296"/>
  <c r="T16" i="296"/>
  <c r="U16" i="296"/>
  <c r="T17" i="296"/>
  <c r="T18" i="296"/>
  <c r="K19" i="296"/>
  <c r="T19" i="296"/>
  <c r="U19" i="296"/>
  <c r="T20" i="296"/>
  <c r="T21" i="296"/>
  <c r="K22" i="296"/>
  <c r="T22" i="296"/>
  <c r="U22" i="296"/>
  <c r="T23" i="296"/>
  <c r="T24" i="296"/>
  <c r="K25" i="296"/>
  <c r="T25" i="296"/>
  <c r="U25" i="296"/>
  <c r="T26" i="296"/>
  <c r="T27" i="296"/>
  <c r="K28" i="296"/>
  <c r="T28" i="296"/>
  <c r="U28" i="296"/>
  <c r="T29" i="296"/>
  <c r="T30" i="296"/>
  <c r="K31" i="296"/>
  <c r="T31" i="296"/>
  <c r="U31" i="296"/>
  <c r="T32" i="296"/>
  <c r="T33" i="296"/>
  <c r="K34" i="296"/>
  <c r="T34" i="296"/>
  <c r="U34" i="296"/>
  <c r="T35" i="296"/>
  <c r="T36" i="296"/>
  <c r="K37" i="296"/>
  <c r="T37" i="296"/>
  <c r="U37" i="296"/>
  <c r="T38" i="296"/>
  <c r="T39" i="296"/>
  <c r="K40" i="296"/>
  <c r="M52" i="296" s="1"/>
  <c r="T40" i="296"/>
  <c r="U40" i="296"/>
  <c r="T41" i="296"/>
  <c r="T42" i="296"/>
  <c r="K43" i="296"/>
  <c r="T43" i="296"/>
  <c r="U43" i="296"/>
  <c r="T44" i="296"/>
  <c r="T45" i="296"/>
  <c r="K46" i="296"/>
  <c r="T46" i="296"/>
  <c r="U46" i="296"/>
  <c r="T47" i="296"/>
  <c r="U47" i="296"/>
  <c r="T48" i="296"/>
  <c r="U48" i="296"/>
  <c r="K49" i="296"/>
  <c r="T49" i="296"/>
  <c r="U49" i="296"/>
  <c r="L52" i="296" s="1"/>
  <c r="T50" i="296"/>
  <c r="U50" i="296"/>
  <c r="U51" i="392"/>
  <c r="F51" i="202"/>
  <c r="G52" i="202" s="1"/>
  <c r="F51" i="432"/>
  <c r="G52" i="432" s="1"/>
  <c r="F51" i="17"/>
  <c r="G52" i="17" s="1"/>
  <c r="F51" i="206"/>
  <c r="G52" i="206" s="1"/>
  <c r="F51" i="391"/>
  <c r="G52" i="391" s="1"/>
  <c r="F51" i="8"/>
  <c r="G52" i="8" s="1"/>
  <c r="F51" i="203"/>
  <c r="G52" i="203" s="1"/>
  <c r="F51" i="2"/>
  <c r="G52" i="2" s="1"/>
  <c r="F51" i="442"/>
  <c r="G52" i="442" s="1"/>
  <c r="F51" i="9"/>
  <c r="G52" i="9" s="1"/>
  <c r="F51" i="75"/>
  <c r="G52" i="75" s="1"/>
  <c r="F51" i="61"/>
  <c r="G52" i="61" s="1"/>
  <c r="F51" i="299"/>
  <c r="G52" i="299" s="1"/>
  <c r="F51" i="190"/>
  <c r="G52" i="190" s="1"/>
  <c r="F51" i="5"/>
  <c r="G52" i="5" s="1"/>
  <c r="F51" i="207"/>
  <c r="G52" i="207" s="1"/>
  <c r="F51" i="7"/>
  <c r="G52" i="7" s="1"/>
  <c r="F51" i="424"/>
  <c r="G52" i="424" s="1"/>
  <c r="F51" i="187"/>
  <c r="G52" i="187" s="1"/>
  <c r="F51" i="23"/>
  <c r="G52" i="23" s="1"/>
  <c r="F51" i="4"/>
  <c r="G52" i="4" s="1"/>
  <c r="F51" i="338"/>
  <c r="G52" i="338" s="1"/>
  <c r="F51" i="441"/>
  <c r="G52" i="441" s="1"/>
  <c r="F51" i="434"/>
  <c r="G52" i="434" s="1"/>
  <c r="F51" i="435"/>
  <c r="G52" i="435" s="1"/>
  <c r="F51" i="436"/>
  <c r="G52" i="436" s="1"/>
  <c r="F51" i="438"/>
  <c r="G52" i="438" s="1"/>
  <c r="F51" i="440"/>
  <c r="G52" i="440" s="1"/>
  <c r="F51" i="437"/>
  <c r="G52" i="437" s="1"/>
  <c r="F51" i="439"/>
  <c r="G52" i="439" s="1"/>
  <c r="F51" i="89"/>
  <c r="G52" i="89" s="1"/>
  <c r="F51" i="389"/>
  <c r="G52" i="389" s="1"/>
  <c r="F51" i="386"/>
  <c r="G52" i="386" s="1"/>
  <c r="F51" i="303"/>
  <c r="G52" i="303" s="1"/>
  <c r="F51" i="1"/>
  <c r="G52" i="1" s="1"/>
  <c r="F51" i="397"/>
  <c r="G52" i="397" s="1"/>
  <c r="F51" i="113"/>
  <c r="G52" i="113" s="1"/>
  <c r="F51" i="431"/>
  <c r="G52" i="431" s="1"/>
  <c r="F51" i="361"/>
  <c r="G52" i="361" s="1"/>
  <c r="F51" i="351"/>
  <c r="G52" i="351" s="1"/>
  <c r="F51" i="352"/>
  <c r="G52" i="352" s="1"/>
  <c r="F51" i="392"/>
  <c r="G52" i="392" s="1"/>
  <c r="F51" i="371"/>
  <c r="G52" i="371" s="1"/>
  <c r="F51" i="413"/>
  <c r="G52" i="413" s="1"/>
  <c r="F51" i="430"/>
  <c r="G52" i="430" s="1"/>
  <c r="F51" i="296"/>
  <c r="G52" i="296" s="1"/>
  <c r="F51" i="322"/>
  <c r="G52" i="322" s="1"/>
  <c r="F51" i="353"/>
  <c r="G52" i="353" s="1"/>
  <c r="F51" i="362"/>
  <c r="G52" i="362" s="1"/>
  <c r="F51" i="354"/>
  <c r="G52" i="354" s="1"/>
  <c r="F51" i="233"/>
  <c r="G52" i="233" s="1"/>
  <c r="F51" i="298"/>
  <c r="G52" i="298" s="1"/>
  <c r="F51" i="367"/>
  <c r="G52" i="367" s="1"/>
  <c r="F51" i="387"/>
  <c r="G52" i="387" s="1"/>
  <c r="F51" i="314"/>
  <c r="G52" i="314" s="1"/>
  <c r="F51" i="18"/>
  <c r="G52" i="18" s="1"/>
  <c r="F51" i="20"/>
  <c r="G52" i="20" s="1"/>
  <c r="F51" i="422"/>
  <c r="G52" i="422" s="1"/>
  <c r="F51" i="43"/>
  <c r="G52" i="43" s="1"/>
  <c r="F51" i="21"/>
  <c r="G52" i="21" s="1"/>
  <c r="F51" i="423"/>
  <c r="G52" i="423" s="1"/>
  <c r="F51" i="152"/>
  <c r="G52" i="152" s="1"/>
  <c r="F51" i="13"/>
  <c r="G52" i="13" s="1"/>
  <c r="F51" i="261"/>
  <c r="G52" i="261" s="1"/>
  <c r="F51" i="153"/>
  <c r="G52" i="153" s="1"/>
  <c r="F51" i="257"/>
  <c r="G52" i="257" s="1"/>
  <c r="F51" i="409"/>
  <c r="G52" i="409" s="1"/>
  <c r="F51" i="174"/>
  <c r="G52" i="174" s="1"/>
  <c r="F51" i="328"/>
  <c r="G52" i="328" s="1"/>
  <c r="F51" i="329"/>
  <c r="G52" i="329" s="1"/>
  <c r="F51" i="194"/>
  <c r="G52" i="194" s="1"/>
  <c r="F51" i="193"/>
  <c r="G52" i="193" s="1"/>
  <c r="F51" i="48"/>
  <c r="G52" i="48" s="1"/>
  <c r="F51" i="319"/>
  <c r="G52" i="319" s="1"/>
  <c r="F51" i="320"/>
  <c r="G52" i="320" s="1"/>
  <c r="F51" i="12"/>
  <c r="G52" i="12" s="1"/>
  <c r="F51" i="356"/>
  <c r="G52" i="356" s="1"/>
  <c r="F51" i="394"/>
  <c r="G52" i="394" s="1"/>
  <c r="F51" i="393"/>
  <c r="G52" i="393" s="1"/>
  <c r="F51" i="433"/>
  <c r="G52" i="433" s="1"/>
  <c r="F51" i="52"/>
  <c r="G52" i="52" s="1"/>
  <c r="F51" i="425"/>
  <c r="G52" i="425" s="1"/>
  <c r="F51" i="88"/>
  <c r="G52" i="88" s="1"/>
  <c r="F51" i="148"/>
  <c r="G52" i="148" s="1"/>
  <c r="F51" i="97"/>
  <c r="G52" i="97" s="1"/>
  <c r="F51" i="383"/>
  <c r="G52" i="383" s="1"/>
  <c r="F51" i="28"/>
  <c r="G52" i="28" s="1"/>
  <c r="F51" i="29"/>
  <c r="G52" i="29" s="1"/>
  <c r="F51" i="359"/>
  <c r="G52" i="359" s="1"/>
  <c r="F51" i="360"/>
  <c r="G52" i="360" s="1"/>
  <c r="F51" i="368"/>
  <c r="G52" i="368" s="1"/>
  <c r="F51" i="364"/>
  <c r="G52" i="364" s="1"/>
  <c r="F51" i="420"/>
  <c r="G52" i="420" s="1"/>
  <c r="F51" i="191"/>
  <c r="G52" i="191" s="1"/>
  <c r="F51" i="164"/>
  <c r="G52" i="164" s="1"/>
  <c r="F51" i="162"/>
  <c r="G52" i="162" s="1"/>
  <c r="F51" i="421"/>
  <c r="G52" i="421" s="1"/>
  <c r="F51" i="333"/>
  <c r="G52" i="333" s="1"/>
  <c r="F51" i="53"/>
  <c r="G52" i="53" s="1"/>
  <c r="F51" i="114"/>
  <c r="G52" i="114" s="1"/>
  <c r="F51" i="323"/>
  <c r="G52" i="323" s="1"/>
  <c r="F51" i="400"/>
  <c r="G52" i="400" s="1"/>
  <c r="F51" i="385"/>
  <c r="G52" i="385" s="1"/>
  <c r="F51" i="334"/>
  <c r="G52" i="334" s="1"/>
  <c r="F51" i="3"/>
  <c r="G52" i="3" s="1"/>
  <c r="F51" i="349"/>
  <c r="G52" i="349" s="1"/>
  <c r="F51" i="15"/>
  <c r="G52" i="15" s="1"/>
  <c r="F51" i="355"/>
  <c r="G52" i="355" s="1"/>
  <c r="F51" i="16"/>
  <c r="G52" i="16" s="1"/>
  <c r="F51" i="54"/>
  <c r="G52" i="54" s="1"/>
  <c r="F51" i="384"/>
  <c r="G52" i="384" s="1"/>
  <c r="F51" i="201"/>
  <c r="G52" i="201" s="1"/>
  <c r="F51" i="249"/>
  <c r="G52" i="249" s="1"/>
  <c r="F51" i="19"/>
  <c r="G52" i="19" s="1"/>
  <c r="F51" i="347"/>
  <c r="G52" i="347" s="1"/>
  <c r="F51" i="37"/>
  <c r="G52" i="37" s="1"/>
  <c r="F51" i="204"/>
  <c r="G52" i="204" s="1"/>
  <c r="F51" i="31"/>
  <c r="G52" i="31" s="1"/>
  <c r="F51" i="342"/>
  <c r="G52" i="342" s="1"/>
  <c r="F51" i="168"/>
  <c r="G52" i="168" s="1"/>
  <c r="F51" i="169"/>
  <c r="G52" i="169" s="1"/>
  <c r="F51" i="336"/>
  <c r="G52" i="336" s="1"/>
  <c r="F51" i="33"/>
  <c r="G52" i="33" s="1"/>
  <c r="F51" i="318"/>
  <c r="G52" i="318" s="1"/>
  <c r="F51" i="288"/>
  <c r="G52" i="288" s="1"/>
  <c r="F51" i="337"/>
  <c r="G52" i="337" s="1"/>
  <c r="F51" i="227"/>
  <c r="G52" i="227" s="1"/>
  <c r="F51" i="290"/>
  <c r="G52" i="290" s="1"/>
  <c r="F51" i="289"/>
  <c r="G52" i="289" s="1"/>
  <c r="F51" i="293"/>
  <c r="G52" i="293" s="1"/>
  <c r="F51" i="348"/>
  <c r="G52" i="348" s="1"/>
  <c r="F51" i="297"/>
  <c r="G52" i="297" s="1"/>
  <c r="F51" i="350"/>
  <c r="G52" i="350" s="1"/>
  <c r="F51" i="105"/>
  <c r="G52" i="105" s="1"/>
  <c r="F51" i="294"/>
  <c r="G52" i="294" s="1"/>
  <c r="F51" i="22"/>
  <c r="G52" i="22" s="1"/>
  <c r="F51" i="301"/>
  <c r="G52" i="301" s="1"/>
  <c r="F51" i="344"/>
  <c r="G52" i="344" s="1"/>
  <c r="F51" i="340"/>
  <c r="G52" i="340" s="1"/>
  <c r="F51" i="34"/>
  <c r="G52" i="34" s="1"/>
  <c r="F51" i="135"/>
  <c r="G52" i="135" s="1"/>
  <c r="F51" i="295"/>
  <c r="G52" i="295" s="1"/>
  <c r="F51" i="283"/>
  <c r="G52" i="283" s="1"/>
  <c r="F51" i="284"/>
  <c r="G52" i="284" s="1"/>
  <c r="F51" i="292"/>
  <c r="G52" i="292" s="1"/>
  <c r="F51" i="339"/>
  <c r="G52" i="339" s="1"/>
  <c r="F51" i="325"/>
  <c r="G52" i="325" s="1"/>
  <c r="F51" i="269"/>
  <c r="G52" i="269" s="1"/>
  <c r="F51" i="11"/>
  <c r="G52" i="11" s="1"/>
  <c r="F51" i="101"/>
  <c r="G52" i="101" s="1"/>
  <c r="F51" i="382"/>
  <c r="G52" i="382" s="1"/>
  <c r="F51" i="102"/>
  <c r="G52" i="102" s="1"/>
  <c r="F51" i="103"/>
  <c r="G52" i="103" s="1"/>
  <c r="F51" i="411"/>
  <c r="G52" i="411" s="1"/>
  <c r="F51" i="265"/>
  <c r="G52" i="265" s="1"/>
  <c r="F51" i="262"/>
  <c r="G52" i="262" s="1"/>
  <c r="F51" i="112"/>
  <c r="G52" i="112" s="1"/>
  <c r="F51" i="109"/>
  <c r="G52" i="109" s="1"/>
  <c r="F51" i="85"/>
  <c r="G52" i="85" s="1"/>
  <c r="F51" i="324"/>
  <c r="G52" i="324" s="1"/>
  <c r="F51" i="32"/>
  <c r="G52" i="32" s="1"/>
  <c r="F51" i="196"/>
  <c r="G52" i="196" s="1"/>
  <c r="F51" i="197"/>
  <c r="G52" i="197" s="1"/>
  <c r="F51" i="198"/>
  <c r="G52" i="198" s="1"/>
  <c r="F51" i="345"/>
  <c r="G52" i="345" s="1"/>
  <c r="F51" i="346"/>
  <c r="G52" i="346" s="1"/>
  <c r="F51" i="74"/>
  <c r="G52" i="74" s="1"/>
  <c r="F51" i="200"/>
  <c r="G52" i="200" s="1"/>
  <c r="F51" i="280"/>
  <c r="G52" i="280" s="1"/>
  <c r="F51" i="45"/>
  <c r="G52" i="45" s="1"/>
  <c r="F51" i="104"/>
  <c r="G52" i="104" s="1"/>
  <c r="F51" i="254"/>
  <c r="G52" i="254" s="1"/>
  <c r="F51" i="181"/>
  <c r="G52" i="181" s="1"/>
  <c r="F51" i="183"/>
  <c r="G52" i="183" s="1"/>
  <c r="F51" i="184"/>
  <c r="G52" i="184" s="1"/>
  <c r="F51" i="27"/>
  <c r="G52" i="27" s="1"/>
  <c r="F51" i="143"/>
  <c r="G52" i="143" s="1"/>
  <c r="F51" i="263"/>
  <c r="G52" i="263" s="1"/>
  <c r="F51" i="209"/>
  <c r="G52" i="209" s="1"/>
  <c r="F51" i="192"/>
  <c r="G52" i="192" s="1"/>
  <c r="F51" i="140"/>
  <c r="G52" i="140" s="1"/>
  <c r="F51" i="270"/>
  <c r="G52" i="270" s="1"/>
  <c r="F51" i="271"/>
  <c r="G52" i="271" s="1"/>
  <c r="F51" i="159"/>
  <c r="G52" i="159" s="1"/>
  <c r="F51" i="160"/>
  <c r="G52" i="160" s="1"/>
  <c r="F51" i="107"/>
  <c r="G52" i="107" s="1"/>
  <c r="F51" i="176"/>
  <c r="G52" i="176" s="1"/>
  <c r="F51" i="281"/>
  <c r="G52" i="281" s="1"/>
  <c r="F51" i="332"/>
  <c r="G52" i="332" s="1"/>
  <c r="F51" i="25"/>
  <c r="G52" i="25" s="1"/>
  <c r="F51" i="24"/>
  <c r="G52" i="24" s="1"/>
  <c r="F51" i="116"/>
  <c r="G52" i="116" s="1"/>
  <c r="F51" i="285"/>
  <c r="G52" i="285" s="1"/>
  <c r="F51" i="272"/>
  <c r="G52" i="272" s="1"/>
  <c r="F51" i="87"/>
  <c r="G52" i="87" s="1"/>
  <c r="F51" i="287"/>
  <c r="G52" i="287" s="1"/>
  <c r="F51" i="276"/>
  <c r="G52" i="276" s="1"/>
  <c r="F51" i="229"/>
  <c r="G52" i="229" s="1"/>
  <c r="F51" i="230"/>
  <c r="G52" i="230" s="1"/>
  <c r="F51" i="326"/>
  <c r="G52" i="326" s="1"/>
  <c r="F51" i="47"/>
  <c r="G52" i="47" s="1"/>
  <c r="F51" i="46"/>
  <c r="G52" i="46" s="1"/>
  <c r="F51" i="248"/>
  <c r="G52" i="248" s="1"/>
  <c r="F51" i="239"/>
  <c r="G52" i="239" s="1"/>
  <c r="F51" i="243"/>
  <c r="G52" i="243" s="1"/>
  <c r="F51" i="244"/>
  <c r="G52" i="244" s="1"/>
  <c r="F51" i="246"/>
  <c r="G52" i="246" s="1"/>
  <c r="F51" i="35"/>
  <c r="G52" i="35" s="1"/>
  <c r="F240" i="417"/>
  <c r="S51" i="414"/>
  <c r="R51" i="414"/>
  <c r="Q51" i="414"/>
  <c r="M46" i="296" l="1"/>
  <c r="M49" i="296"/>
  <c r="M43" i="296"/>
  <c r="M55" i="296"/>
  <c r="O13" i="443"/>
  <c r="D16" i="443"/>
  <c r="E28" i="443"/>
  <c r="O37" i="443"/>
  <c r="E52" i="443"/>
  <c r="E49" i="443"/>
  <c r="E43" i="443"/>
  <c r="D40" i="443"/>
  <c r="O46" i="443"/>
  <c r="O25" i="443"/>
  <c r="D43" i="443"/>
  <c r="D52" i="443"/>
  <c r="O22" i="443"/>
  <c r="D49" i="443"/>
  <c r="O49" i="443"/>
  <c r="F51" i="414"/>
  <c r="G52" i="414" s="1"/>
  <c r="U53" i="414"/>
  <c r="E34" i="443"/>
  <c r="D31" i="443"/>
  <c r="O31" i="443"/>
  <c r="E40" i="443"/>
  <c r="D28" i="443"/>
  <c r="O16" i="443"/>
  <c r="O43" i="443"/>
  <c r="D34" i="443"/>
  <c r="O40" i="443"/>
  <c r="D10" i="443"/>
  <c r="D37" i="443"/>
  <c r="E19" i="443"/>
  <c r="O19" i="443"/>
  <c r="D19" i="443"/>
  <c r="E22" i="443"/>
  <c r="O34" i="443"/>
  <c r="E37" i="443"/>
  <c r="D25" i="443"/>
  <c r="D22" i="443"/>
  <c r="E31" i="443"/>
  <c r="D13" i="443"/>
  <c r="O28" i="443"/>
  <c r="E46" i="443"/>
  <c r="D46" i="443"/>
  <c r="E25" i="443"/>
  <c r="N10" i="296"/>
  <c r="L13" i="296"/>
  <c r="N19" i="296"/>
  <c r="L10" i="296"/>
  <c r="N31" i="296"/>
  <c r="L40" i="296"/>
  <c r="N16" i="296"/>
  <c r="N13" i="296"/>
  <c r="N7" i="296"/>
  <c r="L19" i="296"/>
  <c r="L31" i="296"/>
  <c r="I52" i="186"/>
  <c r="N46" i="296"/>
  <c r="I52" i="327"/>
  <c r="I52" i="247"/>
  <c r="I52" i="388"/>
  <c r="I52" i="253"/>
  <c r="I52" i="149"/>
  <c r="I52" i="395"/>
  <c r="I52" i="414"/>
  <c r="N40" i="296"/>
  <c r="L37" i="296"/>
  <c r="N25" i="296"/>
  <c r="M19" i="296"/>
  <c r="N28" i="296"/>
  <c r="N37" i="296"/>
  <c r="M31" i="296"/>
  <c r="M25" i="296"/>
  <c r="L43" i="296"/>
  <c r="M22" i="296"/>
  <c r="L34" i="296"/>
  <c r="N22" i="296"/>
  <c r="L16" i="296"/>
  <c r="N43" i="296"/>
  <c r="N34" i="296"/>
  <c r="L28" i="296"/>
  <c r="N49" i="296"/>
  <c r="L49" i="296"/>
  <c r="L46" i="296"/>
  <c r="L25" i="296"/>
  <c r="M34" i="296"/>
  <c r="L22" i="296"/>
  <c r="M37" i="296"/>
  <c r="M40" i="296"/>
  <c r="M28" i="296"/>
  <c r="S51" i="144"/>
  <c r="R51" i="144"/>
  <c r="Q51" i="144"/>
  <c r="S51" i="253"/>
  <c r="R51" i="253"/>
  <c r="Q51" i="253"/>
  <c r="R51" i="321"/>
  <c r="Q51" i="321"/>
  <c r="Q51" i="300"/>
  <c r="U51" i="391"/>
  <c r="T51" i="202"/>
  <c r="I51" i="202" s="1"/>
  <c r="T51" i="432"/>
  <c r="I51" i="432" s="1"/>
  <c r="U51" i="17"/>
  <c r="T51" i="17"/>
  <c r="I51" i="17" s="1"/>
  <c r="T51" i="391"/>
  <c r="I51" i="391" s="1"/>
  <c r="U51" i="9"/>
  <c r="T51" i="9"/>
  <c r="I51" i="9" s="1"/>
  <c r="U51" i="75"/>
  <c r="T51" i="75"/>
  <c r="I51" i="75" s="1"/>
  <c r="U51" i="61"/>
  <c r="T51" i="61"/>
  <c r="I51" i="61" s="1"/>
  <c r="S51" i="300"/>
  <c r="R51" i="300"/>
  <c r="U51" i="299"/>
  <c r="T51" i="299"/>
  <c r="I51" i="299" s="1"/>
  <c r="U51" i="190"/>
  <c r="T51" i="190"/>
  <c r="I51" i="190" s="1"/>
  <c r="U51" i="5"/>
  <c r="T51" i="5"/>
  <c r="I51" i="5" s="1"/>
  <c r="U51" i="207"/>
  <c r="T51" i="207"/>
  <c r="I51" i="207" s="1"/>
  <c r="U51" i="7"/>
  <c r="T51" i="7"/>
  <c r="I51" i="7" s="1"/>
  <c r="U51" i="187"/>
  <c r="T51" i="187"/>
  <c r="I51" i="187" s="1"/>
  <c r="U51" i="23"/>
  <c r="T51" i="23"/>
  <c r="I51" i="23" s="1"/>
  <c r="U51" i="4"/>
  <c r="T51" i="4"/>
  <c r="I51" i="4" s="1"/>
  <c r="U51" i="338"/>
  <c r="T51" i="338"/>
  <c r="I51" i="338" s="1"/>
  <c r="U51" i="441"/>
  <c r="T51" i="441"/>
  <c r="I51" i="441" s="1"/>
  <c r="U51" i="434"/>
  <c r="T51" i="434"/>
  <c r="I51" i="434" s="1"/>
  <c r="U51" i="435"/>
  <c r="T51" i="435"/>
  <c r="I51" i="435" s="1"/>
  <c r="U51" i="436"/>
  <c r="T51" i="436"/>
  <c r="I51" i="436" s="1"/>
  <c r="U51" i="438"/>
  <c r="T51" i="438"/>
  <c r="I51" i="438" s="1"/>
  <c r="U51" i="424"/>
  <c r="T51" i="424"/>
  <c r="I51" i="424" s="1"/>
  <c r="U51" i="440"/>
  <c r="T51" i="440"/>
  <c r="I51" i="440" s="1"/>
  <c r="U51" i="437"/>
  <c r="T51" i="437"/>
  <c r="I51" i="437" s="1"/>
  <c r="U51" i="439"/>
  <c r="T51" i="439"/>
  <c r="I51" i="439" s="1"/>
  <c r="U51" i="89"/>
  <c r="T51" i="89"/>
  <c r="I51" i="89" s="1"/>
  <c r="U51" i="389"/>
  <c r="T51" i="389"/>
  <c r="I51" i="389" s="1"/>
  <c r="U51" i="386"/>
  <c r="T51" i="386"/>
  <c r="I51" i="386" s="1"/>
  <c r="U51" i="303"/>
  <c r="T51" i="303"/>
  <c r="I51" i="303" s="1"/>
  <c r="U51" i="113"/>
  <c r="T51" i="113"/>
  <c r="I51" i="113" s="1"/>
  <c r="U51" i="431"/>
  <c r="T51" i="431"/>
  <c r="I51" i="431" s="1"/>
  <c r="U51" i="361"/>
  <c r="T51" i="361"/>
  <c r="I51" i="361" s="1"/>
  <c r="U51" i="351"/>
  <c r="T51" i="351"/>
  <c r="I51" i="351" s="1"/>
  <c r="U51" i="352"/>
  <c r="T51" i="352"/>
  <c r="I51" i="352" s="1"/>
  <c r="T51" i="392"/>
  <c r="I51" i="392" s="1"/>
  <c r="U51" i="371"/>
  <c r="T51" i="371"/>
  <c r="I51" i="371" s="1"/>
  <c r="U51" i="413"/>
  <c r="T51" i="413"/>
  <c r="I51" i="413" s="1"/>
  <c r="U51" i="430"/>
  <c r="T51" i="430"/>
  <c r="I51" i="430" s="1"/>
  <c r="U51" i="296"/>
  <c r="T51" i="296"/>
  <c r="I51" i="296" s="1"/>
  <c r="U51" i="322"/>
  <c r="T51" i="322"/>
  <c r="I51" i="322" s="1"/>
  <c r="U51" i="353"/>
  <c r="T51" i="353"/>
  <c r="I51" i="353" s="1"/>
  <c r="U51" i="362"/>
  <c r="T51" i="362"/>
  <c r="I51" i="362" s="1"/>
  <c r="U51" i="354"/>
  <c r="T51" i="354"/>
  <c r="I51" i="354" s="1"/>
  <c r="U51" i="233"/>
  <c r="T51" i="233"/>
  <c r="I51" i="233" s="1"/>
  <c r="U51" i="298"/>
  <c r="T51" i="298"/>
  <c r="I51" i="298" s="1"/>
  <c r="U51" i="367"/>
  <c r="T51" i="367"/>
  <c r="I51" i="367" s="1"/>
  <c r="U51" i="387"/>
  <c r="T51" i="387"/>
  <c r="I51" i="387" s="1"/>
  <c r="U51" i="314"/>
  <c r="T51" i="314"/>
  <c r="I51" i="314" s="1"/>
  <c r="S51" i="142"/>
  <c r="R51" i="142"/>
  <c r="Q51" i="142"/>
  <c r="T51" i="18"/>
  <c r="I51" i="18" s="1"/>
  <c r="U51" i="20"/>
  <c r="T51" i="20"/>
  <c r="I51" i="20" s="1"/>
  <c r="U51" i="422"/>
  <c r="T51" i="422"/>
  <c r="I51" i="422" s="1"/>
  <c r="U51" i="43"/>
  <c r="T51" i="43"/>
  <c r="I51" i="43" s="1"/>
  <c r="U51" i="21"/>
  <c r="T51" i="21"/>
  <c r="I51" i="21" s="1"/>
  <c r="U51" i="423"/>
  <c r="T51" i="423"/>
  <c r="I51" i="423" s="1"/>
  <c r="U51" i="152"/>
  <c r="T51" i="152"/>
  <c r="I51" i="152" s="1"/>
  <c r="U51" i="13"/>
  <c r="T51" i="13"/>
  <c r="I51" i="13" s="1"/>
  <c r="U51" i="261"/>
  <c r="T51" i="261"/>
  <c r="I51" i="261" s="1"/>
  <c r="U51" i="153"/>
  <c r="T51" i="153"/>
  <c r="I51" i="153" s="1"/>
  <c r="U51" i="257"/>
  <c r="T51" i="257"/>
  <c r="I51" i="257" s="1"/>
  <c r="U51" i="409"/>
  <c r="T51" i="409"/>
  <c r="I51" i="409" s="1"/>
  <c r="U51" i="174"/>
  <c r="I51" i="174"/>
  <c r="S51" i="327"/>
  <c r="R51" i="327"/>
  <c r="Q51" i="327"/>
  <c r="U51" i="328"/>
  <c r="T51" i="328"/>
  <c r="I51" i="328" s="1"/>
  <c r="U51" i="329"/>
  <c r="T51" i="329"/>
  <c r="I51" i="329" s="1"/>
  <c r="S51" i="195"/>
  <c r="R51" i="195"/>
  <c r="Q51" i="195"/>
  <c r="U51" i="194"/>
  <c r="T51" i="194"/>
  <c r="I51" i="194" s="1"/>
  <c r="U51" i="193"/>
  <c r="T51" i="193"/>
  <c r="I51" i="193" s="1"/>
  <c r="U51" i="48"/>
  <c r="T51" i="48"/>
  <c r="I51" i="48" s="1"/>
  <c r="S51" i="398"/>
  <c r="R51" i="398"/>
  <c r="Q51" i="398"/>
  <c r="U51" i="1"/>
  <c r="T51" i="1"/>
  <c r="I51" i="1" s="1"/>
  <c r="U51" i="397"/>
  <c r="T51" i="397"/>
  <c r="I51" i="397" s="1"/>
  <c r="S51" i="321"/>
  <c r="U51" i="319"/>
  <c r="T51" i="319"/>
  <c r="I51" i="319" s="1"/>
  <c r="U51" i="320"/>
  <c r="T51" i="320"/>
  <c r="I51" i="320" s="1"/>
  <c r="U51" i="12"/>
  <c r="T51" i="12"/>
  <c r="I51" i="12" s="1"/>
  <c r="U51" i="356"/>
  <c r="T51" i="356"/>
  <c r="I51" i="356" s="1"/>
  <c r="S51" i="395"/>
  <c r="R51" i="395"/>
  <c r="Q51" i="395"/>
  <c r="U51" i="394"/>
  <c r="T51" i="394"/>
  <c r="I51" i="394" s="1"/>
  <c r="U51" i="393"/>
  <c r="T51" i="393"/>
  <c r="I51" i="393" s="1"/>
  <c r="U51" i="433"/>
  <c r="T51" i="433"/>
  <c r="I51" i="433" s="1"/>
  <c r="U51" i="52"/>
  <c r="T51" i="52"/>
  <c r="I51" i="52" s="1"/>
  <c r="U51" i="425"/>
  <c r="T51" i="425"/>
  <c r="I51" i="425" s="1"/>
  <c r="S51" i="149"/>
  <c r="R51" i="149"/>
  <c r="Q51" i="149"/>
  <c r="U51" i="88"/>
  <c r="T51" i="88"/>
  <c r="I51" i="88" s="1"/>
  <c r="U51" i="148"/>
  <c r="T51" i="148"/>
  <c r="I51" i="148" s="1"/>
  <c r="U51" i="97"/>
  <c r="T51" i="97"/>
  <c r="I51" i="97" s="1"/>
  <c r="U51" i="383"/>
  <c r="T51" i="383"/>
  <c r="I51" i="383" s="1"/>
  <c r="U51" i="28"/>
  <c r="T51" i="28"/>
  <c r="I51" i="28" s="1"/>
  <c r="U51" i="29"/>
  <c r="T51" i="29"/>
  <c r="I51" i="29" s="1"/>
  <c r="U51" i="359"/>
  <c r="T51" i="359"/>
  <c r="I51" i="359" s="1"/>
  <c r="U51" i="360"/>
  <c r="T51" i="360"/>
  <c r="I51" i="360" s="1"/>
  <c r="U51" i="368"/>
  <c r="T51" i="368"/>
  <c r="I51" i="368" s="1"/>
  <c r="U51" i="364"/>
  <c r="I51" i="364"/>
  <c r="U51" i="420"/>
  <c r="T51" i="420"/>
  <c r="I51" i="420" s="1"/>
  <c r="U51" i="8"/>
  <c r="T51" i="8"/>
  <c r="I51" i="8" s="1"/>
  <c r="U51" i="203"/>
  <c r="T51" i="203"/>
  <c r="I51" i="203" s="1"/>
  <c r="U51" i="191"/>
  <c r="T51" i="191"/>
  <c r="I51" i="191" s="1"/>
  <c r="U51" i="2"/>
  <c r="T51" i="2"/>
  <c r="I51" i="2" s="1"/>
  <c r="U51" i="442"/>
  <c r="T51" i="442"/>
  <c r="I51" i="442" s="1"/>
  <c r="U51" i="164"/>
  <c r="T51" i="164"/>
  <c r="I51" i="164" s="1"/>
  <c r="U51" i="162"/>
  <c r="T51" i="162"/>
  <c r="I51" i="162" s="1"/>
  <c r="U51" i="421"/>
  <c r="T51" i="421"/>
  <c r="I51" i="421" s="1"/>
  <c r="U51" i="333"/>
  <c r="T51" i="333"/>
  <c r="I51" i="333" s="1"/>
  <c r="U51" i="53"/>
  <c r="T51" i="53"/>
  <c r="I51" i="53" s="1"/>
  <c r="U51" i="114"/>
  <c r="T51" i="114"/>
  <c r="I51" i="114" s="1"/>
  <c r="U51" i="323"/>
  <c r="T51" i="323"/>
  <c r="I51" i="323" s="1"/>
  <c r="U51" i="400"/>
  <c r="T51" i="400"/>
  <c r="I51" i="400" s="1"/>
  <c r="U51" i="385"/>
  <c r="T51" i="385"/>
  <c r="I51" i="385" s="1"/>
  <c r="U51" i="334"/>
  <c r="T51" i="334"/>
  <c r="I51" i="334" s="1"/>
  <c r="U51" i="3"/>
  <c r="T51" i="3"/>
  <c r="I51" i="3" s="1"/>
  <c r="U51" i="349"/>
  <c r="T51" i="349"/>
  <c r="I51" i="349" s="1"/>
  <c r="U51" i="15"/>
  <c r="T51" i="15"/>
  <c r="I51" i="15" s="1"/>
  <c r="U51" i="355"/>
  <c r="T51" i="355"/>
  <c r="I51" i="355" s="1"/>
  <c r="U51" i="16"/>
  <c r="T51" i="16"/>
  <c r="I51" i="16" s="1"/>
  <c r="U51" i="54"/>
  <c r="T51" i="54"/>
  <c r="I51" i="54" s="1"/>
  <c r="U51" i="384"/>
  <c r="I51" i="384"/>
  <c r="U51" i="201"/>
  <c r="T51" i="201"/>
  <c r="I51" i="201" s="1"/>
  <c r="U51" i="249"/>
  <c r="T51" i="249"/>
  <c r="I51" i="249" s="1"/>
  <c r="U51" i="19"/>
  <c r="T51" i="19"/>
  <c r="I51" i="19" s="1"/>
  <c r="U51" i="347"/>
  <c r="T51" i="347"/>
  <c r="I51" i="347" s="1"/>
  <c r="U51" i="37"/>
  <c r="T51" i="37"/>
  <c r="I51" i="37" s="1"/>
  <c r="U51" i="204"/>
  <c r="T51" i="204"/>
  <c r="I51" i="204" s="1"/>
  <c r="U51" i="31"/>
  <c r="T51" i="31"/>
  <c r="I51" i="31" s="1"/>
  <c r="U51" i="342"/>
  <c r="T51" i="342"/>
  <c r="I51" i="342" s="1"/>
  <c r="S51" i="170"/>
  <c r="R51" i="170"/>
  <c r="Q51" i="170"/>
  <c r="U51" i="168"/>
  <c r="T51" i="168"/>
  <c r="I51" i="168" s="1"/>
  <c r="U51" i="169"/>
  <c r="T51" i="169"/>
  <c r="I51" i="169" s="1"/>
  <c r="U51" i="336"/>
  <c r="T51" i="336"/>
  <c r="I51" i="336" s="1"/>
  <c r="U51" i="33"/>
  <c r="T51" i="33"/>
  <c r="I51" i="33" s="1"/>
  <c r="U51" i="318"/>
  <c r="T51" i="318"/>
  <c r="I51" i="318" s="1"/>
  <c r="U51" i="288"/>
  <c r="T51" i="288"/>
  <c r="I51" i="288" s="1"/>
  <c r="U51" i="337"/>
  <c r="T51" i="337"/>
  <c r="I51" i="337" s="1"/>
  <c r="U51" i="227"/>
  <c r="T51" i="227"/>
  <c r="I51" i="227" s="1"/>
  <c r="S51" i="388"/>
  <c r="R51" i="388"/>
  <c r="Q51" i="388"/>
  <c r="U51" i="290"/>
  <c r="T51" i="290"/>
  <c r="I51" i="290" s="1"/>
  <c r="U51" i="289"/>
  <c r="T51" i="289"/>
  <c r="I51" i="289" s="1"/>
  <c r="U51" i="293"/>
  <c r="T51" i="293"/>
  <c r="I51" i="293" s="1"/>
  <c r="U51" i="348"/>
  <c r="T51" i="348"/>
  <c r="I51" i="348" s="1"/>
  <c r="U51" i="297"/>
  <c r="T51" i="297"/>
  <c r="I51" i="297" s="1"/>
  <c r="U51" i="350"/>
  <c r="T51" i="350"/>
  <c r="I51" i="350" s="1"/>
  <c r="U51" i="105"/>
  <c r="T51" i="105"/>
  <c r="I51" i="105" s="1"/>
  <c r="U51" i="294"/>
  <c r="T51" i="294"/>
  <c r="I51" i="294" s="1"/>
  <c r="U51" i="206"/>
  <c r="T51" i="206"/>
  <c r="I51" i="206" s="1"/>
  <c r="U51" i="22"/>
  <c r="T51" i="22"/>
  <c r="I51" i="22" s="1"/>
  <c r="U51" i="301"/>
  <c r="T51" i="301"/>
  <c r="I51" i="301" s="1"/>
  <c r="U51" i="344"/>
  <c r="T51" i="344"/>
  <c r="I51" i="344" s="1"/>
  <c r="U51" i="340"/>
  <c r="T51" i="340"/>
  <c r="I51" i="340" s="1"/>
  <c r="U51" i="34"/>
  <c r="T51" i="34"/>
  <c r="I51" i="34" s="1"/>
  <c r="U51" i="135"/>
  <c r="T51" i="135"/>
  <c r="I51" i="135" s="1"/>
  <c r="U51" i="295"/>
  <c r="T51" i="295"/>
  <c r="I51" i="295" s="1"/>
  <c r="U51" i="283"/>
  <c r="T51" i="283"/>
  <c r="I51" i="283" s="1"/>
  <c r="U51" i="284"/>
  <c r="T51" i="284"/>
  <c r="I51" i="284" s="1"/>
  <c r="U51" i="292"/>
  <c r="T51" i="292"/>
  <c r="I51" i="292" s="1"/>
  <c r="T51" i="339"/>
  <c r="I51" i="339" s="1"/>
  <c r="U51" i="325"/>
  <c r="T51" i="325"/>
  <c r="I51" i="325" s="1"/>
  <c r="U51" i="269"/>
  <c r="T51" i="269"/>
  <c r="I51" i="269" s="1"/>
  <c r="U51" i="11"/>
  <c r="T51" i="11"/>
  <c r="I51" i="11" s="1"/>
  <c r="U51" i="101"/>
  <c r="T51" i="101"/>
  <c r="I51" i="101" s="1"/>
  <c r="U51" i="382"/>
  <c r="T51" i="382"/>
  <c r="I51" i="382" s="1"/>
  <c r="U51" i="102"/>
  <c r="T51" i="102"/>
  <c r="I51" i="102" s="1"/>
  <c r="U51" i="103"/>
  <c r="T51" i="103"/>
  <c r="I51" i="103" s="1"/>
  <c r="U51" i="411"/>
  <c r="T51" i="411"/>
  <c r="I51" i="411" s="1"/>
  <c r="U51" i="265"/>
  <c r="T51" i="265"/>
  <c r="I51" i="265" s="1"/>
  <c r="U51" i="262"/>
  <c r="T51" i="262"/>
  <c r="I51" i="262" s="1"/>
  <c r="U51" i="112"/>
  <c r="T51" i="112"/>
  <c r="I51" i="112" s="1"/>
  <c r="U51" i="109"/>
  <c r="T51" i="109"/>
  <c r="I51" i="109" s="1"/>
  <c r="U51" i="85"/>
  <c r="T51" i="85"/>
  <c r="I51" i="85" s="1"/>
  <c r="U51" i="324"/>
  <c r="T51" i="324"/>
  <c r="I51" i="324" s="1"/>
  <c r="U51" i="32"/>
  <c r="T51" i="32"/>
  <c r="I51" i="32" s="1"/>
  <c r="U51" i="196"/>
  <c r="T51" i="196"/>
  <c r="I51" i="196" s="1"/>
  <c r="T51" i="197"/>
  <c r="I51" i="197" s="1"/>
  <c r="U51" i="198"/>
  <c r="T51" i="198"/>
  <c r="I51" i="198" s="1"/>
  <c r="U51" i="345"/>
  <c r="T51" i="345"/>
  <c r="I51" i="345" s="1"/>
  <c r="U51" i="346"/>
  <c r="T51" i="346"/>
  <c r="I51" i="346" s="1"/>
  <c r="U51" i="74"/>
  <c r="T51" i="74"/>
  <c r="I51" i="74" s="1"/>
  <c r="U51" i="200"/>
  <c r="T51" i="200"/>
  <c r="I51" i="200" s="1"/>
  <c r="U51" i="280"/>
  <c r="T51" i="280"/>
  <c r="I51" i="280" s="1"/>
  <c r="U51" i="45"/>
  <c r="T51" i="45"/>
  <c r="I51" i="45" s="1"/>
  <c r="U51" i="104"/>
  <c r="T51" i="104"/>
  <c r="I51" i="104" s="1"/>
  <c r="U51" i="254"/>
  <c r="T51" i="254"/>
  <c r="I51" i="254" s="1"/>
  <c r="S51" i="185"/>
  <c r="R51" i="185"/>
  <c r="Q51" i="185"/>
  <c r="U51" i="181"/>
  <c r="T51" i="181"/>
  <c r="I51" i="181" s="1"/>
  <c r="U51" i="183"/>
  <c r="T51" i="183"/>
  <c r="I51" i="183" s="1"/>
  <c r="U51" i="184"/>
  <c r="T51" i="184"/>
  <c r="I51" i="184" s="1"/>
  <c r="U51" i="27"/>
  <c r="T51" i="27"/>
  <c r="I51" i="27" s="1"/>
  <c r="U51" i="143"/>
  <c r="T51" i="143"/>
  <c r="I51" i="143" s="1"/>
  <c r="U51" i="263"/>
  <c r="T51" i="263"/>
  <c r="I51" i="263" s="1"/>
  <c r="U51" i="209"/>
  <c r="T51" i="209"/>
  <c r="I51" i="209" s="1"/>
  <c r="U51" i="192"/>
  <c r="T51" i="192"/>
  <c r="I51" i="192" s="1"/>
  <c r="U51" i="140"/>
  <c r="T51" i="140"/>
  <c r="I51" i="140" s="1"/>
  <c r="U51" i="270"/>
  <c r="T51" i="270"/>
  <c r="I51" i="270" s="1"/>
  <c r="U51" i="271"/>
  <c r="T51" i="271"/>
  <c r="I51" i="271" s="1"/>
  <c r="S51" i="186"/>
  <c r="R51" i="186"/>
  <c r="Q51" i="186"/>
  <c r="U51" i="159"/>
  <c r="T51" i="159"/>
  <c r="I51" i="159" s="1"/>
  <c r="U51" i="160"/>
  <c r="T51" i="160"/>
  <c r="I51" i="160" s="1"/>
  <c r="U51" i="107"/>
  <c r="T51" i="107"/>
  <c r="I51" i="107" s="1"/>
  <c r="U51" i="176"/>
  <c r="T51" i="176"/>
  <c r="I51" i="176" s="1"/>
  <c r="U51" i="281"/>
  <c r="T51" i="281"/>
  <c r="I51" i="281" s="1"/>
  <c r="U51" i="332"/>
  <c r="T51" i="332"/>
  <c r="I51" i="332" s="1"/>
  <c r="U51" i="25"/>
  <c r="T51" i="25"/>
  <c r="I51" i="25" s="1"/>
  <c r="U51" i="24"/>
  <c r="T51" i="24"/>
  <c r="I51" i="24" s="1"/>
  <c r="U51" i="116"/>
  <c r="T51" i="116"/>
  <c r="I51" i="116" s="1"/>
  <c r="U51" i="285"/>
  <c r="T51" i="285"/>
  <c r="I51" i="285" s="1"/>
  <c r="U51" i="272"/>
  <c r="T51" i="272"/>
  <c r="I51" i="272" s="1"/>
  <c r="U51" i="87"/>
  <c r="T51" i="87"/>
  <c r="I51" i="87" s="1"/>
  <c r="U51" i="287"/>
  <c r="T51" i="287"/>
  <c r="I51" i="287" s="1"/>
  <c r="U51" i="276"/>
  <c r="T51" i="276"/>
  <c r="I51" i="276" s="1"/>
  <c r="S51" i="231"/>
  <c r="U51" i="231" s="1"/>
  <c r="R51" i="231"/>
  <c r="Q51" i="231"/>
  <c r="F51" i="231" s="1"/>
  <c r="G52" i="231" s="1"/>
  <c r="U51" i="229"/>
  <c r="T51" i="229"/>
  <c r="I51" i="229" s="1"/>
  <c r="U51" i="230"/>
  <c r="I51" i="230"/>
  <c r="U51" i="326"/>
  <c r="T51" i="326"/>
  <c r="I51" i="326" s="1"/>
  <c r="U51" i="47"/>
  <c r="T51" i="47"/>
  <c r="I51" i="47" s="1"/>
  <c r="U51" i="46"/>
  <c r="T51" i="46"/>
  <c r="I51" i="46" s="1"/>
  <c r="U51" i="248"/>
  <c r="T51" i="248"/>
  <c r="I51" i="248" s="1"/>
  <c r="U51" i="239"/>
  <c r="T51" i="239"/>
  <c r="I51" i="239" s="1"/>
  <c r="U51" i="243"/>
  <c r="T51" i="243"/>
  <c r="I51" i="243" s="1"/>
  <c r="S51" i="247"/>
  <c r="R51" i="247"/>
  <c r="Q51" i="247"/>
  <c r="U51" i="244"/>
  <c r="T51" i="244"/>
  <c r="I51" i="244" s="1"/>
  <c r="U51" i="246"/>
  <c r="T51" i="246"/>
  <c r="I51" i="246" s="1"/>
  <c r="T51" i="35"/>
  <c r="I51" i="35" s="1"/>
  <c r="Q50" i="142"/>
  <c r="U50" i="392"/>
  <c r="U50" i="391"/>
  <c r="O10" i="296" l="1"/>
  <c r="O31" i="296"/>
  <c r="F51" i="170"/>
  <c r="G52" i="170" s="1"/>
  <c r="U53" i="170"/>
  <c r="F51" i="327"/>
  <c r="G52" i="327" s="1"/>
  <c r="U53" i="327"/>
  <c r="F51" i="149"/>
  <c r="G52" i="149" s="1"/>
  <c r="U53" i="149"/>
  <c r="F51" i="395"/>
  <c r="G52" i="395" s="1"/>
  <c r="U53" i="395"/>
  <c r="F51" i="142"/>
  <c r="G52" i="142" s="1"/>
  <c r="U53" i="142"/>
  <c r="F51" i="195"/>
  <c r="G52" i="195" s="1"/>
  <c r="U53" i="195"/>
  <c r="O22" i="296"/>
  <c r="F51" i="185"/>
  <c r="G52" i="185" s="1"/>
  <c r="U53" i="185"/>
  <c r="F51" i="300"/>
  <c r="G52" i="300" s="1"/>
  <c r="U53" i="300"/>
  <c r="F51" i="247"/>
  <c r="G52" i="247" s="1"/>
  <c r="U53" i="247"/>
  <c r="F51" i="388"/>
  <c r="G52" i="388" s="1"/>
  <c r="U53" i="388"/>
  <c r="F51" i="321"/>
  <c r="G52" i="321" s="1"/>
  <c r="U53" i="321"/>
  <c r="O13" i="296"/>
  <c r="F51" i="144"/>
  <c r="G52" i="144" s="1"/>
  <c r="U53" i="144"/>
  <c r="F51" i="398"/>
  <c r="G52" i="398" s="1"/>
  <c r="U53" i="398"/>
  <c r="O19" i="296"/>
  <c r="F51" i="186"/>
  <c r="G52" i="186" s="1"/>
  <c r="U53" i="186"/>
  <c r="F51" i="253"/>
  <c r="G52" i="253" s="1"/>
  <c r="U53" i="253"/>
  <c r="O37" i="296"/>
  <c r="O16" i="296"/>
  <c r="O34" i="296"/>
  <c r="O25" i="296"/>
  <c r="O49" i="296"/>
  <c r="O43" i="296"/>
  <c r="U52" i="142"/>
  <c r="L55" i="142" s="1"/>
  <c r="N52" i="296"/>
  <c r="O55" i="296" s="1"/>
  <c r="O46" i="296"/>
  <c r="O28" i="296"/>
  <c r="O40" i="296"/>
  <c r="C241" i="417"/>
  <c r="D241" i="417" s="1"/>
  <c r="T51" i="398"/>
  <c r="I51" i="398" s="1"/>
  <c r="T51" i="170"/>
  <c r="I51" i="170" s="1"/>
  <c r="T51" i="414"/>
  <c r="I51" i="414" s="1"/>
  <c r="T51" i="253"/>
  <c r="I51" i="253" s="1"/>
  <c r="T51" i="195"/>
  <c r="I51" i="195" s="1"/>
  <c r="T51" i="327"/>
  <c r="I51" i="327" s="1"/>
  <c r="T51" i="142"/>
  <c r="I51" i="142" s="1"/>
  <c r="T51" i="231"/>
  <c r="I51" i="231" s="1"/>
  <c r="T51" i="186"/>
  <c r="I51" i="186" s="1"/>
  <c r="T51" i="185"/>
  <c r="I51" i="185" s="1"/>
  <c r="T51" i="388"/>
  <c r="I51" i="388" s="1"/>
  <c r="T51" i="144"/>
  <c r="I51" i="144" s="1"/>
  <c r="T51" i="321"/>
  <c r="I51" i="321" s="1"/>
  <c r="T51" i="149"/>
  <c r="I51" i="149" s="1"/>
  <c r="T51" i="247"/>
  <c r="I51" i="247" s="1"/>
  <c r="T51" i="395"/>
  <c r="I51" i="395" s="1"/>
  <c r="T51" i="300"/>
  <c r="I51" i="300" s="1"/>
  <c r="F239" i="417"/>
  <c r="F50" i="202"/>
  <c r="F50" i="432"/>
  <c r="F50" i="17"/>
  <c r="F50" i="391"/>
  <c r="F50" i="9"/>
  <c r="F50" i="75"/>
  <c r="F50" i="61"/>
  <c r="F50" i="299"/>
  <c r="F50" i="190"/>
  <c r="F50" i="5"/>
  <c r="F50" i="207"/>
  <c r="F50" i="7"/>
  <c r="F50" i="187"/>
  <c r="F50" i="23"/>
  <c r="F50" i="4"/>
  <c r="F50" i="338"/>
  <c r="F50" i="441"/>
  <c r="F50" i="434"/>
  <c r="F50" i="435"/>
  <c r="F50" i="436"/>
  <c r="F50" i="438"/>
  <c r="F50" i="424"/>
  <c r="F50" i="440"/>
  <c r="F50" i="437"/>
  <c r="F50" i="439"/>
  <c r="F50" i="89"/>
  <c r="F50" i="389"/>
  <c r="F50" i="386"/>
  <c r="F50" i="303"/>
  <c r="F50" i="113"/>
  <c r="F50" i="431"/>
  <c r="F50" i="361"/>
  <c r="F50" i="351"/>
  <c r="F50" i="352"/>
  <c r="F50" i="392"/>
  <c r="F50" i="371"/>
  <c r="F50" i="413"/>
  <c r="F50" i="430"/>
  <c r="F50" i="296"/>
  <c r="F50" i="322"/>
  <c r="F50" i="353"/>
  <c r="F50" i="362"/>
  <c r="F50" i="354"/>
  <c r="F50" i="233"/>
  <c r="F50" i="298"/>
  <c r="F50" i="367"/>
  <c r="F50" i="387"/>
  <c r="F50" i="314"/>
  <c r="F50" i="18"/>
  <c r="F50" i="20"/>
  <c r="F50" i="422"/>
  <c r="F50" i="43"/>
  <c r="F50" i="21"/>
  <c r="F50" i="423"/>
  <c r="F50" i="152"/>
  <c r="F50" i="13"/>
  <c r="F50" i="261"/>
  <c r="F50" i="153"/>
  <c r="F50" i="257"/>
  <c r="F50" i="409"/>
  <c r="F50" i="174"/>
  <c r="F50" i="328"/>
  <c r="F50" i="329"/>
  <c r="F50" i="194"/>
  <c r="F50" i="193"/>
  <c r="F50" i="48"/>
  <c r="F50" i="1"/>
  <c r="F50" i="397"/>
  <c r="F50" i="319"/>
  <c r="F50" i="320"/>
  <c r="F50" i="429"/>
  <c r="F50" i="12"/>
  <c r="F50" i="356"/>
  <c r="F50" i="394"/>
  <c r="F50" i="393"/>
  <c r="F50" i="433"/>
  <c r="F50" i="52"/>
  <c r="F50" i="425"/>
  <c r="F50" i="88"/>
  <c r="F50" i="148"/>
  <c r="F50" i="97"/>
  <c r="F50" i="383"/>
  <c r="F50" i="28"/>
  <c r="F50" i="29"/>
  <c r="F50" i="359"/>
  <c r="F50" i="360"/>
  <c r="F50" i="368"/>
  <c r="F50" i="364"/>
  <c r="F50" i="420"/>
  <c r="F50" i="8"/>
  <c r="F50" i="203"/>
  <c r="F50" i="191"/>
  <c r="F50" i="2"/>
  <c r="F50" i="442"/>
  <c r="F50" i="164"/>
  <c r="F50" i="162"/>
  <c r="F50" i="421"/>
  <c r="F50" i="333"/>
  <c r="F50" i="53"/>
  <c r="F50" i="114"/>
  <c r="F50" i="323"/>
  <c r="F50" i="400"/>
  <c r="F50" i="385"/>
  <c r="F50" i="334"/>
  <c r="F50" i="3"/>
  <c r="F50" i="349"/>
  <c r="F50" i="15"/>
  <c r="F50" i="355"/>
  <c r="F50" i="16"/>
  <c r="F50" i="54"/>
  <c r="F50" i="384"/>
  <c r="F50" i="201"/>
  <c r="F50" i="249"/>
  <c r="F50" i="19"/>
  <c r="F50" i="347"/>
  <c r="F50" i="37"/>
  <c r="F50" i="204"/>
  <c r="F50" i="31"/>
  <c r="F50" i="342"/>
  <c r="F50" i="168"/>
  <c r="F50" i="169"/>
  <c r="F50" i="336"/>
  <c r="F50" i="33"/>
  <c r="F50" i="318"/>
  <c r="F50" i="288"/>
  <c r="F50" i="337"/>
  <c r="F50" i="227"/>
  <c r="F50" i="290"/>
  <c r="F50" i="289"/>
  <c r="F50" i="293"/>
  <c r="F50" i="348"/>
  <c r="F50" i="297"/>
  <c r="F50" i="350"/>
  <c r="F50" i="105"/>
  <c r="F50" i="294"/>
  <c r="F50" i="206"/>
  <c r="F50" i="22"/>
  <c r="F50" i="301"/>
  <c r="F50" i="344"/>
  <c r="F50" i="340"/>
  <c r="F50" i="34"/>
  <c r="F50" i="135"/>
  <c r="F50" i="295"/>
  <c r="F50" i="283"/>
  <c r="F50" i="284"/>
  <c r="F50" i="292"/>
  <c r="F50" i="339"/>
  <c r="F50" i="325"/>
  <c r="F50" i="269"/>
  <c r="F50" i="11"/>
  <c r="F50" i="101"/>
  <c r="F50" i="382"/>
  <c r="F50" i="102"/>
  <c r="F50" i="103"/>
  <c r="F50" i="411"/>
  <c r="F50" i="265"/>
  <c r="F50" i="262"/>
  <c r="F50" i="112"/>
  <c r="F50" i="109"/>
  <c r="F50" i="85"/>
  <c r="F50" i="324"/>
  <c r="F50" i="32"/>
  <c r="F50" i="196"/>
  <c r="F50" i="197"/>
  <c r="F50" i="198"/>
  <c r="F50" i="345"/>
  <c r="F50" i="346"/>
  <c r="F50" i="74"/>
  <c r="F50" i="200"/>
  <c r="F50" i="280"/>
  <c r="F50" i="45"/>
  <c r="F50" i="104"/>
  <c r="F50" i="254"/>
  <c r="F50" i="181"/>
  <c r="F50" i="183"/>
  <c r="F50" i="184"/>
  <c r="F50" i="27"/>
  <c r="F50" i="143"/>
  <c r="F50" i="263"/>
  <c r="F50" i="209"/>
  <c r="F50" i="192"/>
  <c r="F50" i="140"/>
  <c r="F50" i="270"/>
  <c r="F50" i="271"/>
  <c r="F50" i="159"/>
  <c r="F50" i="160"/>
  <c r="F50" i="107"/>
  <c r="F50" i="176"/>
  <c r="F50" i="281"/>
  <c r="F50" i="332"/>
  <c r="F50" i="25"/>
  <c r="F50" i="24"/>
  <c r="F50" i="116"/>
  <c r="F50" i="285"/>
  <c r="F50" i="272"/>
  <c r="F50" i="87"/>
  <c r="F50" i="287"/>
  <c r="F50" i="276"/>
  <c r="F50" i="229"/>
  <c r="F50" i="230"/>
  <c r="F50" i="326"/>
  <c r="F50" i="47"/>
  <c r="F50" i="46"/>
  <c r="F50" i="248"/>
  <c r="F50" i="239"/>
  <c r="F50" i="243"/>
  <c r="F50" i="244"/>
  <c r="F50" i="246"/>
  <c r="F50" i="35"/>
  <c r="S50" i="414"/>
  <c r="R50" i="414"/>
  <c r="K52" i="414" s="1"/>
  <c r="Q50" i="414"/>
  <c r="S50" i="398"/>
  <c r="R50" i="398"/>
  <c r="K52" i="398" s="1"/>
  <c r="Q50" i="398"/>
  <c r="S50" i="195"/>
  <c r="R50" i="195"/>
  <c r="K52" i="195" s="1"/>
  <c r="Q50" i="195"/>
  <c r="O52" i="296" l="1"/>
  <c r="F50" i="195"/>
  <c r="G51" i="195" s="1"/>
  <c r="U52" i="195"/>
  <c r="L55" i="195" s="1"/>
  <c r="C52" i="280"/>
  <c r="D55" i="280" s="1"/>
  <c r="B52" i="280"/>
  <c r="C52" i="333"/>
  <c r="D55" i="333" s="1"/>
  <c r="B52" i="333"/>
  <c r="G51" i="284"/>
  <c r="C52" i="284"/>
  <c r="D55" i="284" s="1"/>
  <c r="B52" i="284"/>
  <c r="C52" i="109"/>
  <c r="D55" i="109" s="1"/>
  <c r="B52" i="109"/>
  <c r="C52" i="339"/>
  <c r="D55" i="339" s="1"/>
  <c r="B52" i="339"/>
  <c r="C52" i="33"/>
  <c r="D55" i="33" s="1"/>
  <c r="B52" i="33"/>
  <c r="C52" i="368"/>
  <c r="D55" i="368" s="1"/>
  <c r="B52" i="368"/>
  <c r="C52" i="285"/>
  <c r="D55" i="285" s="1"/>
  <c r="B52" i="285"/>
  <c r="C52" i="112"/>
  <c r="D55" i="112" s="1"/>
  <c r="B52" i="112"/>
  <c r="B52" i="336"/>
  <c r="C52" i="336"/>
  <c r="D55" i="336" s="1"/>
  <c r="C52" i="328"/>
  <c r="D55" i="328" s="1"/>
  <c r="B52" i="328"/>
  <c r="C52" i="192"/>
  <c r="D55" i="192" s="1"/>
  <c r="B52" i="192"/>
  <c r="C52" i="16"/>
  <c r="D55" i="16" s="1"/>
  <c r="B52" i="16"/>
  <c r="B52" i="248"/>
  <c r="C52" i="248"/>
  <c r="D55" i="248" s="1"/>
  <c r="B52" i="74"/>
  <c r="C52" i="74"/>
  <c r="D55" i="74" s="1"/>
  <c r="B52" i="168"/>
  <c r="C52" i="168"/>
  <c r="D55" i="168" s="1"/>
  <c r="B52" i="12"/>
  <c r="C52" i="12"/>
  <c r="D55" i="12" s="1"/>
  <c r="C52" i="411"/>
  <c r="D55" i="411" s="1"/>
  <c r="B52" i="411"/>
  <c r="B52" i="164"/>
  <c r="C52" i="164"/>
  <c r="D55" i="164" s="1"/>
  <c r="C52" i="349"/>
  <c r="D55" i="349" s="1"/>
  <c r="B52" i="349"/>
  <c r="C52" i="383"/>
  <c r="D55" i="383" s="1"/>
  <c r="B52" i="383"/>
  <c r="C52" i="320"/>
  <c r="D55" i="320" s="1"/>
  <c r="B52" i="320"/>
  <c r="C52" i="246"/>
  <c r="D55" i="246" s="1"/>
  <c r="B52" i="246"/>
  <c r="C52" i="271"/>
  <c r="D55" i="271" s="1"/>
  <c r="B52" i="271"/>
  <c r="C52" i="318"/>
  <c r="D55" i="318" s="1"/>
  <c r="B52" i="318"/>
  <c r="B52" i="194"/>
  <c r="C52" i="194"/>
  <c r="D55" i="194" s="1"/>
  <c r="B52" i="244"/>
  <c r="C52" i="244"/>
  <c r="D55" i="244" s="1"/>
  <c r="C52" i="270"/>
  <c r="D55" i="270" s="1"/>
  <c r="B52" i="270"/>
  <c r="C52" i="53"/>
  <c r="D55" i="53" s="1"/>
  <c r="B52" i="53"/>
  <c r="C52" i="54"/>
  <c r="D55" i="54" s="1"/>
  <c r="B52" i="54"/>
  <c r="C52" i="239"/>
  <c r="D55" i="239" s="1"/>
  <c r="B52" i="239"/>
  <c r="G51" i="200"/>
  <c r="C52" i="200"/>
  <c r="D55" i="200" s="1"/>
  <c r="B52" i="200"/>
  <c r="G51" i="169"/>
  <c r="B52" i="169"/>
  <c r="C52" i="169"/>
  <c r="D55" i="169" s="1"/>
  <c r="G51" i="356"/>
  <c r="C52" i="356"/>
  <c r="D55" i="356" s="1"/>
  <c r="B52" i="356"/>
  <c r="B52" i="265"/>
  <c r="C52" i="265"/>
  <c r="D55" i="265" s="1"/>
  <c r="C52" i="29"/>
  <c r="D55" i="29" s="1"/>
  <c r="B52" i="29"/>
  <c r="C52" i="332"/>
  <c r="D55" i="332" s="1"/>
  <c r="B52" i="332"/>
  <c r="B52" i="143"/>
  <c r="C52" i="143"/>
  <c r="D55" i="143" s="1"/>
  <c r="C52" i="103"/>
  <c r="D55" i="103" s="1"/>
  <c r="B52" i="103"/>
  <c r="B52" i="293"/>
  <c r="C52" i="293"/>
  <c r="D55" i="293" s="1"/>
  <c r="B52" i="326"/>
  <c r="C52" i="326"/>
  <c r="D55" i="326" s="1"/>
  <c r="C52" i="281"/>
  <c r="D55" i="281" s="1"/>
  <c r="B52" i="281"/>
  <c r="B52" i="27"/>
  <c r="C52" i="27"/>
  <c r="D55" i="27" s="1"/>
  <c r="C52" i="198"/>
  <c r="D55" i="198" s="1"/>
  <c r="B52" i="198"/>
  <c r="B52" i="102"/>
  <c r="C52" i="102"/>
  <c r="D55" i="102" s="1"/>
  <c r="B52" i="34"/>
  <c r="C52" i="34"/>
  <c r="D55" i="34" s="1"/>
  <c r="B52" i="289"/>
  <c r="C52" i="289"/>
  <c r="D55" i="289" s="1"/>
  <c r="B52" i="204"/>
  <c r="C52" i="204"/>
  <c r="D55" i="204" s="1"/>
  <c r="G51" i="3"/>
  <c r="B52" i="3"/>
  <c r="C52" i="3"/>
  <c r="D55" i="3" s="1"/>
  <c r="B52" i="97"/>
  <c r="C52" i="97"/>
  <c r="D55" i="97" s="1"/>
  <c r="B52" i="319"/>
  <c r="C52" i="319"/>
  <c r="D55" i="319" s="1"/>
  <c r="C52" i="87"/>
  <c r="D55" i="87" s="1"/>
  <c r="B52" i="87"/>
  <c r="C52" i="325"/>
  <c r="D55" i="325" s="1"/>
  <c r="B52" i="325"/>
  <c r="C52" i="114"/>
  <c r="D55" i="114" s="1"/>
  <c r="B52" i="114"/>
  <c r="C52" i="433"/>
  <c r="D55" i="433" s="1"/>
  <c r="B52" i="433"/>
  <c r="B52" i="272"/>
  <c r="C52" i="272"/>
  <c r="D55" i="272" s="1"/>
  <c r="C52" i="45"/>
  <c r="D55" i="45" s="1"/>
  <c r="B52" i="45"/>
  <c r="C52" i="294"/>
  <c r="D55" i="294" s="1"/>
  <c r="B52" i="294"/>
  <c r="C52" i="329"/>
  <c r="D55" i="329" s="1"/>
  <c r="B52" i="329"/>
  <c r="C52" i="140"/>
  <c r="D55" i="140" s="1"/>
  <c r="B52" i="140"/>
  <c r="C52" i="292"/>
  <c r="D55" i="292" s="1"/>
  <c r="B52" i="292"/>
  <c r="C52" i="394"/>
  <c r="D55" i="394" s="1"/>
  <c r="B52" i="394"/>
  <c r="C52" i="262"/>
  <c r="D55" i="262" s="1"/>
  <c r="B52" i="262"/>
  <c r="C52" i="421"/>
  <c r="D55" i="421" s="1"/>
  <c r="B52" i="421"/>
  <c r="B52" i="174"/>
  <c r="C52" i="174"/>
  <c r="D55" i="174" s="1"/>
  <c r="C52" i="24"/>
  <c r="D55" i="24" s="1"/>
  <c r="B52" i="24"/>
  <c r="C52" i="297"/>
  <c r="D55" i="297" s="1"/>
  <c r="B52" i="297"/>
  <c r="C52" i="162"/>
  <c r="D55" i="162" s="1"/>
  <c r="B52" i="162"/>
  <c r="B52" i="46"/>
  <c r="C52" i="46"/>
  <c r="D55" i="46" s="1"/>
  <c r="C52" i="346"/>
  <c r="D55" i="346" s="1"/>
  <c r="B52" i="346"/>
  <c r="C52" i="348"/>
  <c r="D55" i="348" s="1"/>
  <c r="B52" i="348"/>
  <c r="C52" i="342"/>
  <c r="D55" i="342" s="1"/>
  <c r="B52" i="342"/>
  <c r="C52" i="15"/>
  <c r="D55" i="15" s="1"/>
  <c r="B52" i="15"/>
  <c r="B52" i="345"/>
  <c r="C52" i="345"/>
  <c r="D55" i="345" s="1"/>
  <c r="C52" i="135"/>
  <c r="D55" i="135" s="1"/>
  <c r="B52" i="135"/>
  <c r="B52" i="31"/>
  <c r="C52" i="31"/>
  <c r="D55" i="31" s="1"/>
  <c r="B52" i="230"/>
  <c r="C52" i="230"/>
  <c r="D55" i="230" s="1"/>
  <c r="C52" i="176"/>
  <c r="D55" i="176" s="1"/>
  <c r="B52" i="176"/>
  <c r="C52" i="184"/>
  <c r="D55" i="184" s="1"/>
  <c r="B52" i="184"/>
  <c r="C52" i="197"/>
  <c r="D55" i="197" s="1"/>
  <c r="B52" i="197"/>
  <c r="C52" i="382"/>
  <c r="D55" i="382" s="1"/>
  <c r="B52" i="382"/>
  <c r="B52" i="340"/>
  <c r="C52" i="340"/>
  <c r="D55" i="340" s="1"/>
  <c r="B52" i="290"/>
  <c r="C52" i="290"/>
  <c r="D55" i="290" s="1"/>
  <c r="C52" i="37"/>
  <c r="D55" i="37" s="1"/>
  <c r="B52" i="37"/>
  <c r="C52" i="334"/>
  <c r="D55" i="334" s="1"/>
  <c r="B52" i="334"/>
  <c r="G51" i="191"/>
  <c r="B52" i="191"/>
  <c r="C52" i="191"/>
  <c r="D55" i="191" s="1"/>
  <c r="C52" i="148"/>
  <c r="D55" i="148" s="1"/>
  <c r="B52" i="148"/>
  <c r="B52" i="28"/>
  <c r="C52" i="28"/>
  <c r="D55" i="28" s="1"/>
  <c r="B52" i="347"/>
  <c r="C52" i="347"/>
  <c r="D55" i="347" s="1"/>
  <c r="C52" i="385"/>
  <c r="D55" i="385" s="1"/>
  <c r="B52" i="385"/>
  <c r="C52" i="88"/>
  <c r="D55" i="88" s="1"/>
  <c r="B52" i="88"/>
  <c r="B52" i="85"/>
  <c r="C52" i="85"/>
  <c r="D55" i="85" s="1"/>
  <c r="B52" i="201"/>
  <c r="C52" i="201"/>
  <c r="D55" i="201" s="1"/>
  <c r="C52" i="364"/>
  <c r="D55" i="364" s="1"/>
  <c r="B52" i="364"/>
  <c r="C52" i="384"/>
  <c r="D55" i="384" s="1"/>
  <c r="B52" i="384"/>
  <c r="B52" i="393"/>
  <c r="C52" i="393"/>
  <c r="D55" i="393" s="1"/>
  <c r="C52" i="243"/>
  <c r="D55" i="243" s="1"/>
  <c r="B52" i="243"/>
  <c r="C52" i="105"/>
  <c r="D55" i="105" s="1"/>
  <c r="B52" i="105"/>
  <c r="G51" i="360"/>
  <c r="B52" i="360"/>
  <c r="C52" i="360"/>
  <c r="D55" i="360" s="1"/>
  <c r="C52" i="116"/>
  <c r="D55" i="116" s="1"/>
  <c r="B52" i="116"/>
  <c r="G51" i="350"/>
  <c r="C52" i="350"/>
  <c r="D55" i="350" s="1"/>
  <c r="B52" i="350"/>
  <c r="C52" i="359"/>
  <c r="D55" i="359" s="1"/>
  <c r="B52" i="359"/>
  <c r="C52" i="283"/>
  <c r="D55" i="283" s="1"/>
  <c r="B52" i="283"/>
  <c r="C52" i="355"/>
  <c r="D55" i="355" s="1"/>
  <c r="B52" i="355"/>
  <c r="C52" i="47"/>
  <c r="D55" i="47" s="1"/>
  <c r="B52" i="47"/>
  <c r="B52" i="229"/>
  <c r="C52" i="229"/>
  <c r="D55" i="229" s="1"/>
  <c r="G51" i="107"/>
  <c r="B52" i="107"/>
  <c r="C52" i="107"/>
  <c r="D55" i="107" s="1"/>
  <c r="C52" i="183"/>
  <c r="D55" i="183" s="1"/>
  <c r="B52" i="183"/>
  <c r="G51" i="196"/>
  <c r="C52" i="196"/>
  <c r="D55" i="196" s="1"/>
  <c r="B52" i="196"/>
  <c r="C52" i="101"/>
  <c r="D55" i="101" s="1"/>
  <c r="B52" i="101"/>
  <c r="G51" i="344"/>
  <c r="B52" i="344"/>
  <c r="C52" i="344"/>
  <c r="D55" i="344" s="1"/>
  <c r="B52" i="227"/>
  <c r="C52" i="227"/>
  <c r="D55" i="227" s="1"/>
  <c r="C52" i="276"/>
  <c r="D55" i="276" s="1"/>
  <c r="B52" i="276"/>
  <c r="B52" i="160"/>
  <c r="C52" i="160"/>
  <c r="D55" i="160" s="1"/>
  <c r="C52" i="181"/>
  <c r="D55" i="181" s="1"/>
  <c r="B52" i="181"/>
  <c r="C52" i="32"/>
  <c r="D55" i="32" s="1"/>
  <c r="B52" i="32"/>
  <c r="C52" i="11"/>
  <c r="D55" i="11" s="1"/>
  <c r="B52" i="11"/>
  <c r="B52" i="301"/>
  <c r="C52" i="301"/>
  <c r="D55" i="301" s="1"/>
  <c r="B52" i="337"/>
  <c r="C52" i="337"/>
  <c r="D55" i="337" s="1"/>
  <c r="B52" i="19"/>
  <c r="C52" i="19"/>
  <c r="D55" i="19" s="1"/>
  <c r="C52" i="400"/>
  <c r="D55" i="400" s="1"/>
  <c r="B52" i="400"/>
  <c r="B52" i="425"/>
  <c r="C52" i="425"/>
  <c r="D55" i="425" s="1"/>
  <c r="B52" i="48"/>
  <c r="C52" i="48"/>
  <c r="D55" i="48" s="1"/>
  <c r="B52" i="104"/>
  <c r="C52" i="104"/>
  <c r="D55" i="104" s="1"/>
  <c r="C52" i="209"/>
  <c r="D55" i="209" s="1"/>
  <c r="B52" i="209"/>
  <c r="C52" i="25"/>
  <c r="D55" i="25" s="1"/>
  <c r="B52" i="25"/>
  <c r="G51" i="263"/>
  <c r="C52" i="263"/>
  <c r="D55" i="263" s="1"/>
  <c r="B52" i="263"/>
  <c r="C52" i="295"/>
  <c r="D55" i="295" s="1"/>
  <c r="B52" i="295"/>
  <c r="C52" i="287"/>
  <c r="D55" i="287" s="1"/>
  <c r="B52" i="287"/>
  <c r="C52" i="159"/>
  <c r="D55" i="159" s="1"/>
  <c r="B52" i="159"/>
  <c r="C52" i="254"/>
  <c r="D55" i="254" s="1"/>
  <c r="B52" i="254"/>
  <c r="C52" i="324"/>
  <c r="D55" i="324" s="1"/>
  <c r="B52" i="324"/>
  <c r="B52" i="269"/>
  <c r="C52" i="269"/>
  <c r="D55" i="269" s="1"/>
  <c r="C52" i="22"/>
  <c r="D55" i="22" s="1"/>
  <c r="B52" i="22"/>
  <c r="B52" i="288"/>
  <c r="C52" i="288"/>
  <c r="D55" i="288" s="1"/>
  <c r="C52" i="249"/>
  <c r="D55" i="249" s="1"/>
  <c r="B52" i="249"/>
  <c r="G51" i="323"/>
  <c r="C52" i="323"/>
  <c r="D55" i="323" s="1"/>
  <c r="B52" i="323"/>
  <c r="B52" i="420"/>
  <c r="C52" i="420"/>
  <c r="D55" i="420" s="1"/>
  <c r="B52" i="52"/>
  <c r="C52" i="52"/>
  <c r="D55" i="52" s="1"/>
  <c r="C52" i="193"/>
  <c r="D55" i="193" s="1"/>
  <c r="B52" i="193"/>
  <c r="B52" i="409"/>
  <c r="C52" i="409"/>
  <c r="D55" i="409" s="1"/>
  <c r="B52" i="257"/>
  <c r="C52" i="257"/>
  <c r="D55" i="257" s="1"/>
  <c r="C52" i="153"/>
  <c r="D55" i="153" s="1"/>
  <c r="B52" i="153"/>
  <c r="B52" i="261"/>
  <c r="C52" i="261"/>
  <c r="D55" i="261" s="1"/>
  <c r="B52" i="13"/>
  <c r="C52" i="13"/>
  <c r="D55" i="13" s="1"/>
  <c r="C52" i="423"/>
  <c r="D55" i="423" s="1"/>
  <c r="B52" i="423"/>
  <c r="C52" i="152"/>
  <c r="D55" i="152" s="1"/>
  <c r="B52" i="152"/>
  <c r="B52" i="21"/>
  <c r="C52" i="21"/>
  <c r="D55" i="21" s="1"/>
  <c r="C52" i="43"/>
  <c r="D55" i="43" s="1"/>
  <c r="B52" i="43"/>
  <c r="C52" i="422"/>
  <c r="D55" i="422" s="1"/>
  <c r="B52" i="422"/>
  <c r="B52" i="20"/>
  <c r="C52" i="20"/>
  <c r="D55" i="20" s="1"/>
  <c r="C52" i="18"/>
  <c r="D55" i="18" s="1"/>
  <c r="B52" i="18"/>
  <c r="B52" i="314"/>
  <c r="C52" i="314"/>
  <c r="D55" i="314" s="1"/>
  <c r="C52" i="387"/>
  <c r="D55" i="387" s="1"/>
  <c r="B52" i="387"/>
  <c r="C52" i="367"/>
  <c r="D55" i="367" s="1"/>
  <c r="B52" i="367"/>
  <c r="C52" i="298"/>
  <c r="D55" i="298" s="1"/>
  <c r="B52" i="298"/>
  <c r="C52" i="233"/>
  <c r="D55" i="233" s="1"/>
  <c r="B52" i="233"/>
  <c r="C52" i="354"/>
  <c r="D55" i="354" s="1"/>
  <c r="B52" i="354"/>
  <c r="C52" i="362"/>
  <c r="D55" i="362" s="1"/>
  <c r="B52" i="362"/>
  <c r="G51" i="353"/>
  <c r="C52" i="353"/>
  <c r="D55" i="353" s="1"/>
  <c r="B52" i="353"/>
  <c r="B52" i="322"/>
  <c r="C52" i="322"/>
  <c r="D55" i="322" s="1"/>
  <c r="C52" i="296"/>
  <c r="D55" i="296" s="1"/>
  <c r="B52" i="296"/>
  <c r="C52" i="430"/>
  <c r="D55" i="430" s="1"/>
  <c r="B52" i="430"/>
  <c r="G51" i="413"/>
  <c r="B52" i="413"/>
  <c r="C52" i="413"/>
  <c r="D55" i="413" s="1"/>
  <c r="B52" i="371"/>
  <c r="C52" i="371"/>
  <c r="D55" i="371" s="1"/>
  <c r="B52" i="392"/>
  <c r="C52" i="392"/>
  <c r="D55" i="392" s="1"/>
  <c r="B52" i="352"/>
  <c r="C52" i="352"/>
  <c r="D55" i="352" s="1"/>
  <c r="B52" i="351"/>
  <c r="C52" i="351"/>
  <c r="D55" i="351" s="1"/>
  <c r="C52" i="361"/>
  <c r="D55" i="361" s="1"/>
  <c r="B52" i="361"/>
  <c r="G51" i="431"/>
  <c r="C52" i="431"/>
  <c r="D55" i="431" s="1"/>
  <c r="B52" i="431"/>
  <c r="C52" i="113"/>
  <c r="D55" i="113" s="1"/>
  <c r="B52" i="113"/>
  <c r="C52" i="397"/>
  <c r="D55" i="397" s="1"/>
  <c r="B52" i="397"/>
  <c r="F50" i="398"/>
  <c r="G51" i="398" s="1"/>
  <c r="U52" i="398"/>
  <c r="L55" i="398" s="1"/>
  <c r="B52" i="1"/>
  <c r="C52" i="1"/>
  <c r="D55" i="1" s="1"/>
  <c r="C52" i="303"/>
  <c r="D55" i="303" s="1"/>
  <c r="B52" i="303"/>
  <c r="C52" i="386"/>
  <c r="D55" i="386" s="1"/>
  <c r="B52" i="386"/>
  <c r="C52" i="389"/>
  <c r="D55" i="389" s="1"/>
  <c r="B52" i="389"/>
  <c r="C52" i="89"/>
  <c r="D55" i="89" s="1"/>
  <c r="B52" i="89"/>
  <c r="C52" i="439"/>
  <c r="D55" i="439" s="1"/>
  <c r="B52" i="439"/>
  <c r="C52" i="437"/>
  <c r="D55" i="437" s="1"/>
  <c r="B52" i="437"/>
  <c r="G51" i="440"/>
  <c r="C52" i="440"/>
  <c r="D55" i="440" s="1"/>
  <c r="B52" i="440"/>
  <c r="C52" i="438"/>
  <c r="D55" i="438" s="1"/>
  <c r="B52" i="438"/>
  <c r="B52" i="436"/>
  <c r="C52" i="436"/>
  <c r="D55" i="436" s="1"/>
  <c r="G51" i="435"/>
  <c r="C52" i="435"/>
  <c r="D55" i="435" s="1"/>
  <c r="B52" i="435"/>
  <c r="C52" i="434"/>
  <c r="D55" i="434" s="1"/>
  <c r="B52" i="434"/>
  <c r="C52" i="441"/>
  <c r="D55" i="441" s="1"/>
  <c r="B52" i="441"/>
  <c r="B52" i="338"/>
  <c r="C52" i="338"/>
  <c r="D55" i="338" s="1"/>
  <c r="B52" i="4"/>
  <c r="C52" i="4"/>
  <c r="D55" i="4" s="1"/>
  <c r="C52" i="23"/>
  <c r="D55" i="23" s="1"/>
  <c r="B52" i="23"/>
  <c r="B52" i="187"/>
  <c r="C52" i="187"/>
  <c r="D55" i="187" s="1"/>
  <c r="B52" i="424"/>
  <c r="C52" i="424"/>
  <c r="D55" i="424" s="1"/>
  <c r="C52" i="7"/>
  <c r="D55" i="7" s="1"/>
  <c r="B52" i="7"/>
  <c r="G51" i="207"/>
  <c r="C52" i="207"/>
  <c r="D55" i="207" s="1"/>
  <c r="B52" i="207"/>
  <c r="C52" i="5"/>
  <c r="D55" i="5" s="1"/>
  <c r="B52" i="5"/>
  <c r="C52" i="75"/>
  <c r="D55" i="75" s="1"/>
  <c r="B52" i="75"/>
  <c r="G51" i="9"/>
  <c r="C52" i="9"/>
  <c r="D55" i="9" s="1"/>
  <c r="B52" i="9"/>
  <c r="C52" i="442"/>
  <c r="D55" i="442" s="1"/>
  <c r="B52" i="442"/>
  <c r="C52" i="2"/>
  <c r="D55" i="2" s="1"/>
  <c r="B52" i="2"/>
  <c r="C52" i="203"/>
  <c r="D55" i="203" s="1"/>
  <c r="B52" i="203"/>
  <c r="B52" i="8"/>
  <c r="C52" i="8"/>
  <c r="D55" i="8" s="1"/>
  <c r="F50" i="414"/>
  <c r="G51" i="414" s="1"/>
  <c r="U52" i="414"/>
  <c r="L55" i="414" s="1"/>
  <c r="C52" i="391"/>
  <c r="D55" i="391" s="1"/>
  <c r="B52" i="391"/>
  <c r="C52" i="206"/>
  <c r="D55" i="206" s="1"/>
  <c r="B52" i="206"/>
  <c r="B52" i="17"/>
  <c r="C52" i="17"/>
  <c r="D55" i="17" s="1"/>
  <c r="C52" i="432"/>
  <c r="D55" i="432" s="1"/>
  <c r="B52" i="432"/>
  <c r="B52" i="190"/>
  <c r="C52" i="190"/>
  <c r="D55" i="190" s="1"/>
  <c r="C52" i="299"/>
  <c r="D55" i="299" s="1"/>
  <c r="B52" i="299"/>
  <c r="C52" i="61"/>
  <c r="D55" i="61" s="1"/>
  <c r="B52" i="61"/>
  <c r="C52" i="202"/>
  <c r="D55" i="202" s="1"/>
  <c r="B52" i="202"/>
  <c r="C52" i="35"/>
  <c r="D55" i="35" s="1"/>
  <c r="B52" i="35"/>
  <c r="G51" i="160"/>
  <c r="G51" i="265"/>
  <c r="G51" i="400"/>
  <c r="G51" i="25"/>
  <c r="G51" i="288"/>
  <c r="G51" i="342"/>
  <c r="G51" i="15"/>
  <c r="G51" i="164"/>
  <c r="G51" i="420"/>
  <c r="G51" i="28"/>
  <c r="G51" i="52"/>
  <c r="G51" i="249"/>
  <c r="G51" i="276"/>
  <c r="G51" i="74"/>
  <c r="G51" i="297"/>
  <c r="G51" i="162"/>
  <c r="G51" i="287"/>
  <c r="G51" i="324"/>
  <c r="G51" i="269"/>
  <c r="G51" i="246"/>
  <c r="G51" i="143"/>
  <c r="G51" i="104"/>
  <c r="G51" i="345"/>
  <c r="G51" i="85"/>
  <c r="G51" i="103"/>
  <c r="G51" i="325"/>
  <c r="G51" i="135"/>
  <c r="G51" i="206"/>
  <c r="G51" i="293"/>
  <c r="G51" i="318"/>
  <c r="G51" i="31"/>
  <c r="G51" i="201"/>
  <c r="G51" i="349"/>
  <c r="G51" i="114"/>
  <c r="G51" i="442"/>
  <c r="G51" i="364"/>
  <c r="G51" i="383"/>
  <c r="G51" i="433"/>
  <c r="G51" i="320"/>
  <c r="G51" i="248"/>
  <c r="G51" i="181"/>
  <c r="G51" i="11"/>
  <c r="G51" i="168"/>
  <c r="G51" i="29"/>
  <c r="G51" i="46"/>
  <c r="G51" i="159"/>
  <c r="G51" i="346"/>
  <c r="G51" i="411"/>
  <c r="G51" i="47"/>
  <c r="G51" i="87"/>
  <c r="G51" i="332"/>
  <c r="G51" i="271"/>
  <c r="G51" i="244"/>
  <c r="G51" i="326"/>
  <c r="G51" i="272"/>
  <c r="G51" i="281"/>
  <c r="G51" i="270"/>
  <c r="G51" i="27"/>
  <c r="G51" i="45"/>
  <c r="G51" i="198"/>
  <c r="G51" i="109"/>
  <c r="G51" i="102"/>
  <c r="G51" i="339"/>
  <c r="G51" i="34"/>
  <c r="G51" i="294"/>
  <c r="G51" i="289"/>
  <c r="G51" i="33"/>
  <c r="G51" i="204"/>
  <c r="G51" i="384"/>
  <c r="G51" i="53"/>
  <c r="G51" i="2"/>
  <c r="G51" i="368"/>
  <c r="G51" i="97"/>
  <c r="G51" i="393"/>
  <c r="G51" i="319"/>
  <c r="G51" i="348"/>
  <c r="G51" i="24"/>
  <c r="G51" i="32"/>
  <c r="G51" i="301"/>
  <c r="G51" i="19"/>
  <c r="G51" i="425"/>
  <c r="G51" i="254"/>
  <c r="G51" i="243"/>
  <c r="G51" i="230"/>
  <c r="G51" i="285"/>
  <c r="G51" i="176"/>
  <c r="G51" i="140"/>
  <c r="G51" i="184"/>
  <c r="G51" i="280"/>
  <c r="G51" i="197"/>
  <c r="G51" i="112"/>
  <c r="G51" i="382"/>
  <c r="G51" i="292"/>
  <c r="G51" i="340"/>
  <c r="G51" i="105"/>
  <c r="G51" i="290"/>
  <c r="G51" i="336"/>
  <c r="G51" i="37"/>
  <c r="G51" i="54"/>
  <c r="G51" i="334"/>
  <c r="G51" i="333"/>
  <c r="G51" i="148"/>
  <c r="G51" i="394"/>
  <c r="G51" i="328"/>
  <c r="G51" i="22"/>
  <c r="G51" i="209"/>
  <c r="G51" i="283"/>
  <c r="G51" i="355"/>
  <c r="G51" i="8"/>
  <c r="G51" i="12"/>
  <c r="G51" i="239"/>
  <c r="G51" i="229"/>
  <c r="G51" i="116"/>
  <c r="G51" i="192"/>
  <c r="G51" i="183"/>
  <c r="G51" i="262"/>
  <c r="G51" i="101"/>
  <c r="G51" i="227"/>
  <c r="G51" i="347"/>
  <c r="G51" i="16"/>
  <c r="G51" i="385"/>
  <c r="G51" i="421"/>
  <c r="G51" i="203"/>
  <c r="G51" i="359"/>
  <c r="G51" i="88"/>
  <c r="G51" i="337"/>
  <c r="G51" i="295"/>
  <c r="G51" i="397"/>
  <c r="G51" i="1"/>
  <c r="G51" i="48"/>
  <c r="G51" i="194"/>
  <c r="G51" i="193"/>
  <c r="G51" i="329"/>
  <c r="G51" i="174"/>
  <c r="G51" i="409"/>
  <c r="G51" i="257"/>
  <c r="G51" i="153"/>
  <c r="G51" i="261"/>
  <c r="G51" i="13"/>
  <c r="G51" i="152"/>
  <c r="G51" i="423"/>
  <c r="G51" i="21"/>
  <c r="G51" i="43"/>
  <c r="G51" i="422"/>
  <c r="G51" i="20"/>
  <c r="G51" i="18"/>
  <c r="G51" i="314"/>
  <c r="G51" i="387"/>
  <c r="G51" i="367"/>
  <c r="G51" i="298"/>
  <c r="G51" i="233"/>
  <c r="G51" i="354"/>
  <c r="G51" i="362"/>
  <c r="G51" i="322"/>
  <c r="G51" i="296"/>
  <c r="G51" i="430"/>
  <c r="G51" i="371"/>
  <c r="G51" i="392"/>
  <c r="G51" i="352"/>
  <c r="G51" i="351"/>
  <c r="G51" i="361"/>
  <c r="G51" i="113"/>
  <c r="G51" i="303"/>
  <c r="G51" i="386"/>
  <c r="G51" i="389"/>
  <c r="G51" i="89"/>
  <c r="G51" i="439"/>
  <c r="G51" i="437"/>
  <c r="G51" i="424"/>
  <c r="G51" i="438"/>
  <c r="G51" i="436"/>
  <c r="G51" i="434"/>
  <c r="G51" i="441"/>
  <c r="G51" i="338"/>
  <c r="G51" i="4"/>
  <c r="G51" i="23"/>
  <c r="G51" i="187"/>
  <c r="G51" i="7"/>
  <c r="G51" i="5"/>
  <c r="G51" i="190"/>
  <c r="G51" i="299"/>
  <c r="G51" i="75"/>
  <c r="G51" i="61"/>
  <c r="G51" i="391"/>
  <c r="G51" i="17"/>
  <c r="G51" i="432"/>
  <c r="G51" i="202"/>
  <c r="G51" i="35"/>
  <c r="S50" i="142"/>
  <c r="R50" i="142"/>
  <c r="K52" i="142" s="1"/>
  <c r="R42" i="142"/>
  <c r="F50" i="142"/>
  <c r="C52" i="195" l="1"/>
  <c r="D55" i="195" s="1"/>
  <c r="B52" i="195"/>
  <c r="C52" i="142"/>
  <c r="D55" i="142" s="1"/>
  <c r="B52" i="142"/>
  <c r="C52" i="398"/>
  <c r="D55" i="398" s="1"/>
  <c r="B52" i="398"/>
  <c r="B52" i="414"/>
  <c r="C52" i="414"/>
  <c r="D55" i="414" s="1"/>
  <c r="G51" i="142"/>
  <c r="S50" i="300"/>
  <c r="R50" i="300"/>
  <c r="K52" i="300" s="1"/>
  <c r="Q50" i="300"/>
  <c r="F50" i="300" l="1"/>
  <c r="G51" i="300" s="1"/>
  <c r="U52" i="300"/>
  <c r="L55" i="300" s="1"/>
  <c r="F50" i="402"/>
  <c r="F50" i="403"/>
  <c r="F50" i="363"/>
  <c r="F50" i="268"/>
  <c r="C52" i="300" l="1"/>
  <c r="D55" i="300" s="1"/>
  <c r="B52" i="300"/>
  <c r="R50" i="186"/>
  <c r="K52" i="186" s="1"/>
  <c r="Q50" i="186"/>
  <c r="F50" i="186" l="1"/>
  <c r="G51" i="186" s="1"/>
  <c r="U52" i="186"/>
  <c r="L55" i="186" s="1"/>
  <c r="S50" i="170"/>
  <c r="R50" i="170"/>
  <c r="K52" i="170" s="1"/>
  <c r="Q50" i="170"/>
  <c r="S50" i="253"/>
  <c r="R50" i="253"/>
  <c r="K52" i="253" s="1"/>
  <c r="Q50" i="253"/>
  <c r="U50" i="202"/>
  <c r="T50" i="202"/>
  <c r="N52" i="202" s="1"/>
  <c r="O55" i="202" s="1"/>
  <c r="T50" i="432"/>
  <c r="N52" i="432" s="1"/>
  <c r="O55" i="432" s="1"/>
  <c r="T50" i="391"/>
  <c r="N52" i="391" s="1"/>
  <c r="O55" i="391" s="1"/>
  <c r="U50" i="9"/>
  <c r="T50" i="9"/>
  <c r="N52" i="9" s="1"/>
  <c r="O55" i="9" s="1"/>
  <c r="U50" i="75"/>
  <c r="T50" i="75"/>
  <c r="N52" i="75" s="1"/>
  <c r="O55" i="75" s="1"/>
  <c r="U50" i="61"/>
  <c r="T50" i="61"/>
  <c r="N52" i="61" s="1"/>
  <c r="O55" i="61" s="1"/>
  <c r="U50" i="299"/>
  <c r="T50" i="299"/>
  <c r="N52" i="299" s="1"/>
  <c r="O55" i="299" s="1"/>
  <c r="U50" i="190"/>
  <c r="T50" i="190"/>
  <c r="N52" i="190" s="1"/>
  <c r="O55" i="190" s="1"/>
  <c r="U50" i="17"/>
  <c r="T50" i="17"/>
  <c r="N52" i="17" s="1"/>
  <c r="O55" i="17" s="1"/>
  <c r="N52" i="187"/>
  <c r="O55" i="187" s="1"/>
  <c r="U50" i="23"/>
  <c r="T50" i="23"/>
  <c r="N52" i="23" s="1"/>
  <c r="O55" i="23" s="1"/>
  <c r="U50" i="4"/>
  <c r="T50" i="4"/>
  <c r="N52" i="4" s="1"/>
  <c r="O55" i="4" s="1"/>
  <c r="U50" i="338"/>
  <c r="T50" i="338"/>
  <c r="N52" i="338" s="1"/>
  <c r="O55" i="338" s="1"/>
  <c r="U50" i="441"/>
  <c r="T50" i="441"/>
  <c r="N52" i="441" s="1"/>
  <c r="O55" i="441" s="1"/>
  <c r="U50" i="434"/>
  <c r="T50" i="434"/>
  <c r="N52" i="434" s="1"/>
  <c r="O55" i="434" s="1"/>
  <c r="U50" i="435"/>
  <c r="T50" i="435"/>
  <c r="N52" i="435" s="1"/>
  <c r="O55" i="435" s="1"/>
  <c r="U50" i="436"/>
  <c r="T50" i="436"/>
  <c r="N52" i="436" s="1"/>
  <c r="O55" i="436" s="1"/>
  <c r="U50" i="438"/>
  <c r="T50" i="438"/>
  <c r="N52" i="438" s="1"/>
  <c r="O55" i="438" s="1"/>
  <c r="U50" i="440"/>
  <c r="T50" i="440"/>
  <c r="N52" i="440" s="1"/>
  <c r="O55" i="440" s="1"/>
  <c r="U50" i="437"/>
  <c r="T50" i="437"/>
  <c r="N52" i="437" s="1"/>
  <c r="O55" i="437" s="1"/>
  <c r="U50" i="439"/>
  <c r="T50" i="439"/>
  <c r="N52" i="439" s="1"/>
  <c r="O55" i="439" s="1"/>
  <c r="U50" i="89"/>
  <c r="T50" i="89"/>
  <c r="N52" i="89" s="1"/>
  <c r="O55" i="89" s="1"/>
  <c r="U50" i="389"/>
  <c r="T50" i="389"/>
  <c r="N52" i="389" s="1"/>
  <c r="O55" i="389" s="1"/>
  <c r="U50" i="386"/>
  <c r="T50" i="386"/>
  <c r="N52" i="386" s="1"/>
  <c r="O55" i="386" s="1"/>
  <c r="U50" i="303"/>
  <c r="T50" i="303"/>
  <c r="N52" i="303" s="1"/>
  <c r="O55" i="303" s="1"/>
  <c r="U50" i="424"/>
  <c r="T50" i="424"/>
  <c r="N52" i="424" s="1"/>
  <c r="O55" i="424" s="1"/>
  <c r="U50" i="113"/>
  <c r="T50" i="113"/>
  <c r="N52" i="113" s="1"/>
  <c r="O55" i="113" s="1"/>
  <c r="U50" i="431"/>
  <c r="T50" i="431"/>
  <c r="N52" i="431" s="1"/>
  <c r="O55" i="431" s="1"/>
  <c r="U50" i="361"/>
  <c r="T50" i="361"/>
  <c r="N52" i="361" s="1"/>
  <c r="O55" i="361" s="1"/>
  <c r="U50" i="351"/>
  <c r="T50" i="351"/>
  <c r="N52" i="351" s="1"/>
  <c r="O55" i="351" s="1"/>
  <c r="U50" i="352"/>
  <c r="T50" i="352"/>
  <c r="N52" i="352" s="1"/>
  <c r="O55" i="352" s="1"/>
  <c r="T50" i="392"/>
  <c r="N52" i="392" s="1"/>
  <c r="O55" i="392" s="1"/>
  <c r="U50" i="371"/>
  <c r="T50" i="371"/>
  <c r="N52" i="371" s="1"/>
  <c r="O55" i="371" s="1"/>
  <c r="U50" i="413"/>
  <c r="T50" i="413"/>
  <c r="N52" i="413" s="1"/>
  <c r="O55" i="413" s="1"/>
  <c r="U50" i="430"/>
  <c r="T50" i="430"/>
  <c r="N52" i="430" s="1"/>
  <c r="O55" i="430" s="1"/>
  <c r="U50" i="322"/>
  <c r="T50" i="322"/>
  <c r="N52" i="322" s="1"/>
  <c r="O55" i="322" s="1"/>
  <c r="U50" i="353"/>
  <c r="T50" i="353"/>
  <c r="N52" i="353" s="1"/>
  <c r="O55" i="353" s="1"/>
  <c r="U50" i="362"/>
  <c r="T50" i="362"/>
  <c r="N52" i="362" s="1"/>
  <c r="O55" i="362" s="1"/>
  <c r="U50" i="354"/>
  <c r="T50" i="354"/>
  <c r="N52" i="354" s="1"/>
  <c r="O55" i="354" s="1"/>
  <c r="U50" i="233"/>
  <c r="T50" i="233"/>
  <c r="N52" i="233" s="1"/>
  <c r="O55" i="233" s="1"/>
  <c r="U50" i="298"/>
  <c r="T50" i="298"/>
  <c r="N52" i="298" s="1"/>
  <c r="O55" i="298" s="1"/>
  <c r="U50" i="367"/>
  <c r="T50" i="367"/>
  <c r="N52" i="367" s="1"/>
  <c r="O55" i="367" s="1"/>
  <c r="U50" i="387"/>
  <c r="T50" i="387"/>
  <c r="N52" i="387" s="1"/>
  <c r="O55" i="387" s="1"/>
  <c r="U50" i="314"/>
  <c r="T50" i="314"/>
  <c r="N52" i="314" s="1"/>
  <c r="O55" i="314" s="1"/>
  <c r="T50" i="142"/>
  <c r="N52" i="142" s="1"/>
  <c r="O55" i="142" s="1"/>
  <c r="T50" i="18"/>
  <c r="N52" i="18" s="1"/>
  <c r="O55" i="18" s="1"/>
  <c r="U50" i="20"/>
  <c r="T50" i="20"/>
  <c r="N52" i="20" s="1"/>
  <c r="O55" i="20" s="1"/>
  <c r="U50" i="422"/>
  <c r="T50" i="422"/>
  <c r="N52" i="422" s="1"/>
  <c r="O55" i="422" s="1"/>
  <c r="U50" i="43"/>
  <c r="T50" i="43"/>
  <c r="N52" i="43" s="1"/>
  <c r="O55" i="43" s="1"/>
  <c r="U50" i="21"/>
  <c r="T50" i="21"/>
  <c r="N52" i="21" s="1"/>
  <c r="O55" i="21" s="1"/>
  <c r="U50" i="423"/>
  <c r="T50" i="423"/>
  <c r="N52" i="423" s="1"/>
  <c r="O55" i="423" s="1"/>
  <c r="U50" i="152"/>
  <c r="T50" i="152"/>
  <c r="N52" i="152" s="1"/>
  <c r="O55" i="152" s="1"/>
  <c r="U50" i="13"/>
  <c r="T50" i="13"/>
  <c r="N52" i="13" s="1"/>
  <c r="O55" i="13" s="1"/>
  <c r="U50" i="261"/>
  <c r="T50" i="261"/>
  <c r="N52" i="261" s="1"/>
  <c r="O55" i="261" s="1"/>
  <c r="U50" i="153"/>
  <c r="T50" i="153"/>
  <c r="N52" i="153" s="1"/>
  <c r="O55" i="153" s="1"/>
  <c r="U50" i="257"/>
  <c r="T50" i="257"/>
  <c r="N52" i="257" s="1"/>
  <c r="O55" i="257" s="1"/>
  <c r="U50" i="409"/>
  <c r="T50" i="409"/>
  <c r="N52" i="409" s="1"/>
  <c r="O55" i="409" s="1"/>
  <c r="U50" i="174"/>
  <c r="N52" i="174"/>
  <c r="O55" i="174" s="1"/>
  <c r="S50" i="327"/>
  <c r="R50" i="327"/>
  <c r="K52" i="327" s="1"/>
  <c r="Q50" i="327"/>
  <c r="U50" i="328"/>
  <c r="T50" i="328"/>
  <c r="N52" i="328" s="1"/>
  <c r="O55" i="328" s="1"/>
  <c r="U50" i="329"/>
  <c r="T50" i="329"/>
  <c r="N52" i="329" s="1"/>
  <c r="O55" i="329" s="1"/>
  <c r="U50" i="5"/>
  <c r="T50" i="5"/>
  <c r="N52" i="5" s="1"/>
  <c r="O55" i="5" s="1"/>
  <c r="U50" i="207"/>
  <c r="T50" i="207"/>
  <c r="N52" i="207" s="1"/>
  <c r="O55" i="207" s="1"/>
  <c r="U50" i="7"/>
  <c r="T50" i="7"/>
  <c r="N52" i="7" s="1"/>
  <c r="O55" i="7" s="1"/>
  <c r="U50" i="194"/>
  <c r="T50" i="194"/>
  <c r="N52" i="194" s="1"/>
  <c r="O55" i="194" s="1"/>
  <c r="U50" i="193"/>
  <c r="T50" i="193"/>
  <c r="N52" i="193" s="1"/>
  <c r="O55" i="193" s="1"/>
  <c r="U50" i="48"/>
  <c r="T50" i="48"/>
  <c r="N52" i="48" s="1"/>
  <c r="O55" i="48" s="1"/>
  <c r="U50" i="1"/>
  <c r="T50" i="1"/>
  <c r="N52" i="1" s="1"/>
  <c r="O55" i="1" s="1"/>
  <c r="U50" i="397"/>
  <c r="T50" i="397"/>
  <c r="N52" i="397" s="1"/>
  <c r="O55" i="397" s="1"/>
  <c r="S50" i="321"/>
  <c r="R50" i="321"/>
  <c r="K52" i="321" s="1"/>
  <c r="Q50" i="321"/>
  <c r="U50" i="319"/>
  <c r="T50" i="319"/>
  <c r="N52" i="319" s="1"/>
  <c r="O55" i="319" s="1"/>
  <c r="U50" i="320"/>
  <c r="T50" i="320"/>
  <c r="N52" i="320" s="1"/>
  <c r="O55" i="320" s="1"/>
  <c r="U50" i="429"/>
  <c r="T50" i="429"/>
  <c r="I50" i="429" s="1"/>
  <c r="U50" i="12"/>
  <c r="T50" i="12"/>
  <c r="N52" i="12" s="1"/>
  <c r="O55" i="12" s="1"/>
  <c r="U50" i="356"/>
  <c r="T50" i="356"/>
  <c r="N52" i="356" s="1"/>
  <c r="O55" i="356" s="1"/>
  <c r="S50" i="395"/>
  <c r="R50" i="395"/>
  <c r="K52" i="395" s="1"/>
  <c r="Q50" i="395"/>
  <c r="U50" i="394"/>
  <c r="T50" i="394"/>
  <c r="N52" i="394" s="1"/>
  <c r="O55" i="394" s="1"/>
  <c r="U50" i="393"/>
  <c r="T50" i="393"/>
  <c r="N52" i="393" s="1"/>
  <c r="O55" i="393" s="1"/>
  <c r="U50" i="433"/>
  <c r="T50" i="433"/>
  <c r="N52" i="433" s="1"/>
  <c r="O55" i="433" s="1"/>
  <c r="U50" i="52"/>
  <c r="T50" i="52"/>
  <c r="N52" i="52" s="1"/>
  <c r="O55" i="52" s="1"/>
  <c r="U50" i="425"/>
  <c r="T50" i="425"/>
  <c r="N52" i="425" s="1"/>
  <c r="O55" i="425" s="1"/>
  <c r="S50" i="149"/>
  <c r="R50" i="149"/>
  <c r="K52" i="149" s="1"/>
  <c r="Q50" i="149"/>
  <c r="U50" i="88"/>
  <c r="T50" i="88"/>
  <c r="N52" i="88" s="1"/>
  <c r="O55" i="88" s="1"/>
  <c r="U50" i="148"/>
  <c r="T50" i="148"/>
  <c r="N52" i="148" s="1"/>
  <c r="O55" i="148" s="1"/>
  <c r="U50" i="97"/>
  <c r="T50" i="97"/>
  <c r="N52" i="97" s="1"/>
  <c r="O55" i="97" s="1"/>
  <c r="U50" i="383"/>
  <c r="T50" i="383"/>
  <c r="N52" i="383" s="1"/>
  <c r="O55" i="383" s="1"/>
  <c r="U50" i="28"/>
  <c r="T50" i="28"/>
  <c r="N52" i="28" s="1"/>
  <c r="O55" i="28" s="1"/>
  <c r="U50" i="29"/>
  <c r="T50" i="29"/>
  <c r="N52" i="29" s="1"/>
  <c r="O55" i="29" s="1"/>
  <c r="U50" i="359"/>
  <c r="T50" i="359"/>
  <c r="N52" i="359" s="1"/>
  <c r="O55" i="359" s="1"/>
  <c r="U50" i="360"/>
  <c r="T50" i="360"/>
  <c r="N52" i="360" s="1"/>
  <c r="O55" i="360" s="1"/>
  <c r="U50" i="368"/>
  <c r="T50" i="368"/>
  <c r="N52" i="368" s="1"/>
  <c r="O55" i="368" s="1"/>
  <c r="U50" i="364"/>
  <c r="N52" i="364"/>
  <c r="O55" i="364" s="1"/>
  <c r="U50" i="420"/>
  <c r="T50" i="420"/>
  <c r="N52" i="420" s="1"/>
  <c r="O55" i="420" s="1"/>
  <c r="U50" i="8"/>
  <c r="T50" i="8"/>
  <c r="N52" i="8" s="1"/>
  <c r="O55" i="8" s="1"/>
  <c r="U50" i="203"/>
  <c r="T50" i="203"/>
  <c r="N52" i="203" s="1"/>
  <c r="O55" i="203" s="1"/>
  <c r="U50" i="191"/>
  <c r="T50" i="191"/>
  <c r="N52" i="191" s="1"/>
  <c r="O55" i="191" s="1"/>
  <c r="U50" i="2"/>
  <c r="T50" i="2"/>
  <c r="N52" i="2" s="1"/>
  <c r="O55" i="2" s="1"/>
  <c r="U50" i="442"/>
  <c r="T50" i="442"/>
  <c r="N52" i="442" s="1"/>
  <c r="O55" i="442" s="1"/>
  <c r="U50" i="164"/>
  <c r="T50" i="164"/>
  <c r="N52" i="164" s="1"/>
  <c r="O55" i="164" s="1"/>
  <c r="U50" i="162"/>
  <c r="T50" i="162"/>
  <c r="N52" i="162" s="1"/>
  <c r="O55" i="162" s="1"/>
  <c r="U50" i="421"/>
  <c r="T50" i="421"/>
  <c r="N52" i="421" s="1"/>
  <c r="O55" i="421" s="1"/>
  <c r="U50" i="333"/>
  <c r="T50" i="333"/>
  <c r="N52" i="333" s="1"/>
  <c r="O55" i="333" s="1"/>
  <c r="U50" i="53"/>
  <c r="T50" i="53"/>
  <c r="N52" i="53" s="1"/>
  <c r="O55" i="53" s="1"/>
  <c r="U50" i="114"/>
  <c r="T50" i="114"/>
  <c r="N52" i="114" s="1"/>
  <c r="O55" i="114" s="1"/>
  <c r="U50" i="323"/>
  <c r="T50" i="323"/>
  <c r="N52" i="323" s="1"/>
  <c r="O55" i="323" s="1"/>
  <c r="U50" i="400"/>
  <c r="T50" i="400"/>
  <c r="N52" i="400" s="1"/>
  <c r="O55" i="400" s="1"/>
  <c r="S50" i="404"/>
  <c r="R50" i="404"/>
  <c r="Q50" i="404"/>
  <c r="F50" i="404" s="1"/>
  <c r="U50" i="402"/>
  <c r="T50" i="402"/>
  <c r="I50" i="402" s="1"/>
  <c r="U50" i="403"/>
  <c r="T50" i="403"/>
  <c r="I50" i="403" s="1"/>
  <c r="U50" i="385"/>
  <c r="T50" i="385"/>
  <c r="N52" i="385" s="1"/>
  <c r="O55" i="385" s="1"/>
  <c r="U50" i="334"/>
  <c r="T50" i="334"/>
  <c r="N52" i="334" s="1"/>
  <c r="O55" i="334" s="1"/>
  <c r="U50" i="3"/>
  <c r="T50" i="3"/>
  <c r="N52" i="3" s="1"/>
  <c r="O55" i="3" s="1"/>
  <c r="U50" i="349"/>
  <c r="T50" i="349"/>
  <c r="N52" i="349" s="1"/>
  <c r="O55" i="349" s="1"/>
  <c r="U50" i="15"/>
  <c r="T50" i="15"/>
  <c r="N52" i="15" s="1"/>
  <c r="O55" i="15" s="1"/>
  <c r="U50" i="355"/>
  <c r="T50" i="355"/>
  <c r="N52" i="355" s="1"/>
  <c r="O55" i="355" s="1"/>
  <c r="U50" i="16"/>
  <c r="T50" i="16"/>
  <c r="N52" i="16" s="1"/>
  <c r="O55" i="16" s="1"/>
  <c r="U50" i="54"/>
  <c r="T50" i="54"/>
  <c r="N52" i="54" s="1"/>
  <c r="O55" i="54" s="1"/>
  <c r="U50" i="384"/>
  <c r="I50" i="384"/>
  <c r="U50" i="201"/>
  <c r="T50" i="201"/>
  <c r="N52" i="201" s="1"/>
  <c r="O55" i="201" s="1"/>
  <c r="U50" i="249"/>
  <c r="T50" i="249"/>
  <c r="N52" i="249" s="1"/>
  <c r="O55" i="249" s="1"/>
  <c r="U50" i="19"/>
  <c r="T50" i="19"/>
  <c r="N52" i="19" s="1"/>
  <c r="O55" i="19" s="1"/>
  <c r="U50" i="347"/>
  <c r="T50" i="347"/>
  <c r="N52" i="347" s="1"/>
  <c r="O55" i="347" s="1"/>
  <c r="U50" i="37"/>
  <c r="T50" i="37"/>
  <c r="N52" i="37" s="1"/>
  <c r="O55" i="37" s="1"/>
  <c r="U50" i="204"/>
  <c r="T50" i="204"/>
  <c r="N52" i="204" s="1"/>
  <c r="O55" i="204" s="1"/>
  <c r="U50" i="363"/>
  <c r="T50" i="363"/>
  <c r="I50" i="363" s="1"/>
  <c r="U50" i="31"/>
  <c r="T50" i="31"/>
  <c r="N52" i="31" s="1"/>
  <c r="O55" i="31" s="1"/>
  <c r="U50" i="168"/>
  <c r="T50" i="168"/>
  <c r="N52" i="168" s="1"/>
  <c r="O55" i="168" s="1"/>
  <c r="U50" i="169"/>
  <c r="T50" i="169"/>
  <c r="N52" i="169" s="1"/>
  <c r="O55" i="169" s="1"/>
  <c r="U50" i="336"/>
  <c r="T50" i="336"/>
  <c r="N52" i="336" s="1"/>
  <c r="O55" i="336" s="1"/>
  <c r="U50" i="342"/>
  <c r="T50" i="342"/>
  <c r="N52" i="342" s="1"/>
  <c r="O55" i="342" s="1"/>
  <c r="U50" i="33"/>
  <c r="T50" i="33"/>
  <c r="N52" i="33" s="1"/>
  <c r="O55" i="33" s="1"/>
  <c r="U50" i="318"/>
  <c r="T50" i="318"/>
  <c r="N52" i="318" s="1"/>
  <c r="O55" i="318" s="1"/>
  <c r="U50" i="288"/>
  <c r="T50" i="288"/>
  <c r="N52" i="288" s="1"/>
  <c r="O55" i="288" s="1"/>
  <c r="U50" i="337"/>
  <c r="T50" i="337"/>
  <c r="N52" i="337" s="1"/>
  <c r="O55" i="337" s="1"/>
  <c r="U50" i="227"/>
  <c r="T50" i="227"/>
  <c r="N52" i="227" s="1"/>
  <c r="O55" i="227" s="1"/>
  <c r="S50" i="388"/>
  <c r="R50" i="388"/>
  <c r="K52" i="388" s="1"/>
  <c r="Q50" i="388"/>
  <c r="U50" i="290"/>
  <c r="T50" i="290"/>
  <c r="N52" i="290" s="1"/>
  <c r="O55" i="290" s="1"/>
  <c r="U50" i="289"/>
  <c r="T50" i="289"/>
  <c r="N52" i="289" s="1"/>
  <c r="O55" i="289" s="1"/>
  <c r="U50" i="293"/>
  <c r="T50" i="293"/>
  <c r="N52" i="293" s="1"/>
  <c r="O55" i="293" s="1"/>
  <c r="U50" i="348"/>
  <c r="T50" i="348"/>
  <c r="N52" i="348" s="1"/>
  <c r="O55" i="348" s="1"/>
  <c r="U50" i="297"/>
  <c r="T50" i="297"/>
  <c r="N52" i="297" s="1"/>
  <c r="O55" i="297" s="1"/>
  <c r="U50" i="350"/>
  <c r="T50" i="350"/>
  <c r="N52" i="350" s="1"/>
  <c r="O55" i="350" s="1"/>
  <c r="U50" i="105"/>
  <c r="T50" i="105"/>
  <c r="N52" i="105" s="1"/>
  <c r="O55" i="105" s="1"/>
  <c r="U50" i="294"/>
  <c r="T50" i="294"/>
  <c r="N52" i="294" s="1"/>
  <c r="O55" i="294" s="1"/>
  <c r="U50" i="206"/>
  <c r="T50" i="206"/>
  <c r="N52" i="206" s="1"/>
  <c r="O55" i="206" s="1"/>
  <c r="U50" i="22"/>
  <c r="T50" i="22"/>
  <c r="N52" i="22" s="1"/>
  <c r="O55" i="22" s="1"/>
  <c r="U50" i="301"/>
  <c r="T50" i="301"/>
  <c r="N52" i="301" s="1"/>
  <c r="O55" i="301" s="1"/>
  <c r="U50" i="344"/>
  <c r="T50" i="344"/>
  <c r="N52" i="344" s="1"/>
  <c r="O55" i="344" s="1"/>
  <c r="U50" i="340"/>
  <c r="T50" i="340"/>
  <c r="N52" i="340" s="1"/>
  <c r="O55" i="340" s="1"/>
  <c r="U50" i="34"/>
  <c r="T50" i="34"/>
  <c r="N52" i="34" s="1"/>
  <c r="O55" i="34" s="1"/>
  <c r="U50" i="135"/>
  <c r="T50" i="135"/>
  <c r="N52" i="135" s="1"/>
  <c r="O55" i="135" s="1"/>
  <c r="U50" i="295"/>
  <c r="T50" i="295"/>
  <c r="N52" i="295" s="1"/>
  <c r="O55" i="295" s="1"/>
  <c r="U50" i="283"/>
  <c r="T50" i="283"/>
  <c r="N52" i="283" s="1"/>
  <c r="O55" i="283" s="1"/>
  <c r="U50" i="284"/>
  <c r="T50" i="284"/>
  <c r="N52" i="284" s="1"/>
  <c r="O55" i="284" s="1"/>
  <c r="U50" i="292"/>
  <c r="T50" i="292"/>
  <c r="N52" i="292" s="1"/>
  <c r="O55" i="292" s="1"/>
  <c r="T50" i="339"/>
  <c r="N52" i="339" s="1"/>
  <c r="U50" i="325"/>
  <c r="T50" i="325"/>
  <c r="N52" i="325" s="1"/>
  <c r="O55" i="325" s="1"/>
  <c r="U50" i="269"/>
  <c r="T50" i="269"/>
  <c r="N52" i="269" s="1"/>
  <c r="O55" i="269" s="1"/>
  <c r="U50" i="11"/>
  <c r="T50" i="11"/>
  <c r="N52" i="11" s="1"/>
  <c r="O55" i="11" s="1"/>
  <c r="U50" i="101"/>
  <c r="T50" i="101"/>
  <c r="N52" i="101" s="1"/>
  <c r="O55" i="101" s="1"/>
  <c r="U50" i="382"/>
  <c r="T50" i="382"/>
  <c r="N52" i="382" s="1"/>
  <c r="O55" i="382" s="1"/>
  <c r="U50" i="102"/>
  <c r="T50" i="102"/>
  <c r="N52" i="102" s="1"/>
  <c r="O55" i="102" s="1"/>
  <c r="U50" i="103"/>
  <c r="T50" i="103"/>
  <c r="N52" i="103" s="1"/>
  <c r="O55" i="103" s="1"/>
  <c r="U50" i="411"/>
  <c r="T50" i="411"/>
  <c r="N52" i="411" s="1"/>
  <c r="O55" i="411" s="1"/>
  <c r="U50" i="265"/>
  <c r="T50" i="265"/>
  <c r="N52" i="265" s="1"/>
  <c r="O55" i="265" s="1"/>
  <c r="U50" i="262"/>
  <c r="T50" i="262"/>
  <c r="N52" i="262" s="1"/>
  <c r="O55" i="262" s="1"/>
  <c r="U50" i="112"/>
  <c r="T50" i="112"/>
  <c r="N52" i="112" s="1"/>
  <c r="O55" i="112" s="1"/>
  <c r="U50" i="109"/>
  <c r="T50" i="109"/>
  <c r="N52" i="109" s="1"/>
  <c r="O55" i="109" s="1"/>
  <c r="U50" i="85"/>
  <c r="T50" i="85"/>
  <c r="N52" i="85" s="1"/>
  <c r="O55" i="85" s="1"/>
  <c r="U50" i="324"/>
  <c r="T50" i="324"/>
  <c r="N52" i="324" s="1"/>
  <c r="O55" i="324" s="1"/>
  <c r="U50" i="32"/>
  <c r="T50" i="32"/>
  <c r="N52" i="32" s="1"/>
  <c r="O55" i="32" s="1"/>
  <c r="U50" i="196"/>
  <c r="T50" i="196"/>
  <c r="N52" i="196" s="1"/>
  <c r="O55" i="196" s="1"/>
  <c r="T50" i="197"/>
  <c r="N52" i="197" s="1"/>
  <c r="O55" i="197" s="1"/>
  <c r="U50" i="198"/>
  <c r="T50" i="198"/>
  <c r="N52" i="198" s="1"/>
  <c r="O55" i="198" s="1"/>
  <c r="U50" i="345"/>
  <c r="T50" i="345"/>
  <c r="N52" i="345" s="1"/>
  <c r="O55" i="345" s="1"/>
  <c r="U50" i="346"/>
  <c r="T50" i="346"/>
  <c r="N52" i="346" s="1"/>
  <c r="O55" i="346" s="1"/>
  <c r="U50" i="74"/>
  <c r="T50" i="74"/>
  <c r="N52" i="74" s="1"/>
  <c r="O55" i="74" s="1"/>
  <c r="U50" i="200"/>
  <c r="T50" i="200"/>
  <c r="N52" i="200" s="1"/>
  <c r="O55" i="200" s="1"/>
  <c r="U50" i="280"/>
  <c r="T50" i="280"/>
  <c r="N52" i="280" s="1"/>
  <c r="O55" i="280" s="1"/>
  <c r="U50" i="45"/>
  <c r="T50" i="45"/>
  <c r="N52" i="45" s="1"/>
  <c r="O55" i="45" s="1"/>
  <c r="U50" i="104"/>
  <c r="T50" i="104"/>
  <c r="N52" i="104" s="1"/>
  <c r="O55" i="104" s="1"/>
  <c r="U50" i="254"/>
  <c r="T50" i="254"/>
  <c r="N52" i="254" s="1"/>
  <c r="O55" i="254" s="1"/>
  <c r="S50" i="185"/>
  <c r="R50" i="185"/>
  <c r="K52" i="185" s="1"/>
  <c r="Q50" i="185"/>
  <c r="U50" i="181"/>
  <c r="T50" i="181"/>
  <c r="N52" i="181" s="1"/>
  <c r="O55" i="181" s="1"/>
  <c r="U50" i="183"/>
  <c r="T50" i="183"/>
  <c r="N52" i="183" s="1"/>
  <c r="O55" i="183" s="1"/>
  <c r="U50" i="184"/>
  <c r="T50" i="184"/>
  <c r="N52" i="184" s="1"/>
  <c r="O55" i="184" s="1"/>
  <c r="S50" i="144"/>
  <c r="R50" i="144"/>
  <c r="K52" i="144" s="1"/>
  <c r="Q50" i="144"/>
  <c r="U50" i="27"/>
  <c r="T50" i="27"/>
  <c r="N52" i="27" s="1"/>
  <c r="O55" i="27" s="1"/>
  <c r="U50" i="143"/>
  <c r="T50" i="143"/>
  <c r="N52" i="143" s="1"/>
  <c r="O55" i="143" s="1"/>
  <c r="U50" i="268"/>
  <c r="T50" i="268"/>
  <c r="I50" i="268" s="1"/>
  <c r="U50" i="263"/>
  <c r="T50" i="263"/>
  <c r="N52" i="263" s="1"/>
  <c r="O55" i="263" s="1"/>
  <c r="U50" i="209"/>
  <c r="T50" i="209"/>
  <c r="N52" i="209" s="1"/>
  <c r="O55" i="209" s="1"/>
  <c r="U50" i="192"/>
  <c r="T50" i="192"/>
  <c r="N52" i="192" s="1"/>
  <c r="O55" i="192" s="1"/>
  <c r="U50" i="140"/>
  <c r="T50" i="140"/>
  <c r="N52" i="140" s="1"/>
  <c r="O55" i="140" s="1"/>
  <c r="U50" i="270"/>
  <c r="T50" i="270"/>
  <c r="N52" i="270" s="1"/>
  <c r="O55" i="270" s="1"/>
  <c r="U50" i="271"/>
  <c r="T50" i="271"/>
  <c r="N52" i="271" s="1"/>
  <c r="O55" i="271" s="1"/>
  <c r="S50" i="186"/>
  <c r="U50" i="159"/>
  <c r="T50" i="159"/>
  <c r="N52" i="159" s="1"/>
  <c r="O55" i="159" s="1"/>
  <c r="U50" i="160"/>
  <c r="T50" i="160"/>
  <c r="N52" i="160" s="1"/>
  <c r="O55" i="160" s="1"/>
  <c r="U50" i="107"/>
  <c r="T50" i="107"/>
  <c r="N52" i="107" s="1"/>
  <c r="O55" i="107" s="1"/>
  <c r="U50" i="176"/>
  <c r="T50" i="176"/>
  <c r="N52" i="176" s="1"/>
  <c r="O55" i="176" s="1"/>
  <c r="U50" i="281"/>
  <c r="T50" i="281"/>
  <c r="N52" i="281" s="1"/>
  <c r="O55" i="281" s="1"/>
  <c r="U50" i="332"/>
  <c r="T50" i="332"/>
  <c r="N52" i="332" s="1"/>
  <c r="O55" i="332" s="1"/>
  <c r="U50" i="25"/>
  <c r="T50" i="25"/>
  <c r="N52" i="25" s="1"/>
  <c r="O55" i="25" s="1"/>
  <c r="U50" i="24"/>
  <c r="T50" i="24"/>
  <c r="N52" i="24" s="1"/>
  <c r="O55" i="24" s="1"/>
  <c r="U50" i="116"/>
  <c r="T50" i="116"/>
  <c r="N52" i="116" s="1"/>
  <c r="O55" i="116" s="1"/>
  <c r="U50" i="285"/>
  <c r="T50" i="285"/>
  <c r="N52" i="285" s="1"/>
  <c r="O55" i="285" s="1"/>
  <c r="U50" i="272"/>
  <c r="T50" i="272"/>
  <c r="N52" i="272" s="1"/>
  <c r="O55" i="272" s="1"/>
  <c r="U50" i="87"/>
  <c r="T50" i="87"/>
  <c r="N52" i="87" s="1"/>
  <c r="O55" i="87" s="1"/>
  <c r="U50" i="287"/>
  <c r="T50" i="287"/>
  <c r="N52" i="287" s="1"/>
  <c r="O55" i="287" s="1"/>
  <c r="U50" i="276"/>
  <c r="T50" i="276"/>
  <c r="N52" i="276" s="1"/>
  <c r="O55" i="276" s="1"/>
  <c r="S50" i="231"/>
  <c r="R50" i="231"/>
  <c r="Q50" i="231"/>
  <c r="U50" i="229"/>
  <c r="T50" i="229"/>
  <c r="N52" i="229" s="1"/>
  <c r="O55" i="229" s="1"/>
  <c r="U50" i="230"/>
  <c r="I50" i="230"/>
  <c r="U50" i="326"/>
  <c r="T50" i="326"/>
  <c r="N52" i="326" s="1"/>
  <c r="O55" i="326" s="1"/>
  <c r="U50" i="47"/>
  <c r="T50" i="47"/>
  <c r="N52" i="47" s="1"/>
  <c r="O55" i="47" s="1"/>
  <c r="U50" i="46"/>
  <c r="T50" i="46"/>
  <c r="N52" i="46" s="1"/>
  <c r="O55" i="46" s="1"/>
  <c r="U50" i="248"/>
  <c r="T50" i="248"/>
  <c r="N52" i="248" s="1"/>
  <c r="O55" i="248" s="1"/>
  <c r="U50" i="239"/>
  <c r="T50" i="239"/>
  <c r="N52" i="239" s="1"/>
  <c r="O55" i="239" s="1"/>
  <c r="U50" i="243"/>
  <c r="T50" i="243"/>
  <c r="N52" i="243" s="1"/>
  <c r="O55" i="243" s="1"/>
  <c r="S50" i="247"/>
  <c r="R50" i="247"/>
  <c r="K52" i="247" s="1"/>
  <c r="Q50" i="247"/>
  <c r="U50" i="244"/>
  <c r="T50" i="244"/>
  <c r="N52" i="244" s="1"/>
  <c r="O55" i="244" s="1"/>
  <c r="U50" i="246"/>
  <c r="T50" i="246"/>
  <c r="N52" i="246" s="1"/>
  <c r="O55" i="246" s="1"/>
  <c r="T50" i="35"/>
  <c r="N52" i="35" s="1"/>
  <c r="O55" i="35" s="1"/>
  <c r="O55" i="339" l="1"/>
  <c r="F50" i="231"/>
  <c r="G51" i="231" s="1"/>
  <c r="K52" i="231"/>
  <c r="F50" i="253"/>
  <c r="G51" i="253" s="1"/>
  <c r="U52" i="253"/>
  <c r="L55" i="253" s="1"/>
  <c r="F50" i="247"/>
  <c r="G51" i="247" s="1"/>
  <c r="U52" i="247"/>
  <c r="L55" i="247" s="1"/>
  <c r="F50" i="388"/>
  <c r="G51" i="388" s="1"/>
  <c r="U52" i="388"/>
  <c r="L55" i="388" s="1"/>
  <c r="F50" i="170"/>
  <c r="G51" i="170" s="1"/>
  <c r="U52" i="170"/>
  <c r="L55" i="170" s="1"/>
  <c r="F50" i="149"/>
  <c r="G51" i="149" s="1"/>
  <c r="U52" i="149"/>
  <c r="L55" i="149" s="1"/>
  <c r="F50" i="185"/>
  <c r="G51" i="185" s="1"/>
  <c r="U52" i="185"/>
  <c r="L55" i="185" s="1"/>
  <c r="F50" i="395"/>
  <c r="G51" i="395" s="1"/>
  <c r="U52" i="395"/>
  <c r="L55" i="395" s="1"/>
  <c r="F50" i="327"/>
  <c r="G51" i="327" s="1"/>
  <c r="U52" i="327"/>
  <c r="L55" i="327" s="1"/>
  <c r="F50" i="321"/>
  <c r="G51" i="321" s="1"/>
  <c r="U52" i="321"/>
  <c r="L55" i="321" s="1"/>
  <c r="F50" i="144"/>
  <c r="G51" i="144" s="1"/>
  <c r="U52" i="144"/>
  <c r="L55" i="144" s="1"/>
  <c r="C52" i="186"/>
  <c r="D55" i="186" s="1"/>
  <c r="B52" i="186"/>
  <c r="I50" i="25"/>
  <c r="I50" i="32"/>
  <c r="I50" i="227"/>
  <c r="I50" i="318"/>
  <c r="I50" i="336"/>
  <c r="I50" i="31"/>
  <c r="I50" i="37"/>
  <c r="I50" i="249"/>
  <c r="I50" i="54"/>
  <c r="I50" i="15"/>
  <c r="I50" i="334"/>
  <c r="I50" i="433"/>
  <c r="I50" i="5"/>
  <c r="I50" i="441"/>
  <c r="I50" i="23"/>
  <c r="I50" i="190"/>
  <c r="I50" i="75"/>
  <c r="I50" i="202"/>
  <c r="I50" i="12"/>
  <c r="I50" i="35"/>
  <c r="C240" i="417" s="1"/>
  <c r="I50" i="140"/>
  <c r="I50" i="263"/>
  <c r="I50" i="27"/>
  <c r="I50" i="45"/>
  <c r="I50" i="74"/>
  <c r="I50" i="198"/>
  <c r="I50" i="295"/>
  <c r="I50" i="340"/>
  <c r="I50" i="22"/>
  <c r="I50" i="105"/>
  <c r="I50" i="348"/>
  <c r="I50" i="290"/>
  <c r="I50" i="191"/>
  <c r="I50" i="148"/>
  <c r="I50" i="239"/>
  <c r="I50" i="143"/>
  <c r="I50" i="200"/>
  <c r="I50" i="301"/>
  <c r="I50" i="368"/>
  <c r="I50" i="287"/>
  <c r="I50" i="159"/>
  <c r="I50" i="184"/>
  <c r="I50" i="324"/>
  <c r="I50" i="112"/>
  <c r="I50" i="411"/>
  <c r="I50" i="382"/>
  <c r="I50" i="269"/>
  <c r="I50" i="347"/>
  <c r="I50" i="201"/>
  <c r="I50" i="16"/>
  <c r="I50" i="349"/>
  <c r="I50" i="385"/>
  <c r="I50" i="425"/>
  <c r="I50" i="393"/>
  <c r="I50" i="7"/>
  <c r="I50" i="435"/>
  <c r="I50" i="338"/>
  <c r="I50" i="9"/>
  <c r="I50" i="229"/>
  <c r="I50" i="209"/>
  <c r="I50" i="34"/>
  <c r="I50" i="297"/>
  <c r="I50" i="8"/>
  <c r="I50" i="97"/>
  <c r="I50" i="176"/>
  <c r="I50" i="46"/>
  <c r="I50" i="271"/>
  <c r="I50" i="192"/>
  <c r="I50" i="254"/>
  <c r="I50" i="280"/>
  <c r="I50" i="346"/>
  <c r="I50" i="197"/>
  <c r="I50" i="284"/>
  <c r="I50" i="135"/>
  <c r="I50" i="344"/>
  <c r="I50" i="206"/>
  <c r="I50" i="350"/>
  <c r="I50" i="293"/>
  <c r="I50" i="114"/>
  <c r="I50" i="421"/>
  <c r="I50" i="442"/>
  <c r="I50" i="203"/>
  <c r="I50" i="364"/>
  <c r="I50" i="359"/>
  <c r="I50" i="383"/>
  <c r="I50" i="88"/>
  <c r="I50" i="320"/>
  <c r="I50" i="47"/>
  <c r="I50" i="270"/>
  <c r="I50" i="104"/>
  <c r="I50" i="283"/>
  <c r="I50" i="294"/>
  <c r="I50" i="289"/>
  <c r="I50" i="285"/>
  <c r="I50" i="246"/>
  <c r="I50" i="244"/>
  <c r="I50" i="276"/>
  <c r="I50" i="272"/>
  <c r="I50" i="24"/>
  <c r="I50" i="281"/>
  <c r="I50" i="160"/>
  <c r="I50" i="181"/>
  <c r="I50" i="196"/>
  <c r="I50" i="85"/>
  <c r="I50" i="262"/>
  <c r="I50" i="103"/>
  <c r="I50" i="101"/>
  <c r="I50" i="288"/>
  <c r="I50" i="342"/>
  <c r="I50" i="168"/>
  <c r="I50" i="204"/>
  <c r="I50" i="19"/>
  <c r="I50" i="355"/>
  <c r="I50" i="3"/>
  <c r="I50" i="52"/>
  <c r="I50" i="394"/>
  <c r="I50" i="207"/>
  <c r="I50" i="328"/>
  <c r="I50" i="61"/>
  <c r="I50" i="432"/>
  <c r="I50" i="397"/>
  <c r="I50" i="1"/>
  <c r="I50" i="48"/>
  <c r="I50" i="194"/>
  <c r="I50" i="329"/>
  <c r="I50" i="409"/>
  <c r="I50" i="257"/>
  <c r="I50" i="261"/>
  <c r="I50" i="13"/>
  <c r="I50" i="423"/>
  <c r="I50" i="21"/>
  <c r="I50" i="422"/>
  <c r="I50" i="20"/>
  <c r="I50" i="314"/>
  <c r="I50" i="387"/>
  <c r="I50" i="298"/>
  <c r="I50" i="233"/>
  <c r="I50" i="362"/>
  <c r="I50" i="353"/>
  <c r="I50" i="296"/>
  <c r="I50" i="430"/>
  <c r="I50" i="413"/>
  <c r="I50" i="371"/>
  <c r="I50" i="392"/>
  <c r="I50" i="352"/>
  <c r="I50" i="351"/>
  <c r="I50" i="361"/>
  <c r="I50" i="113"/>
  <c r="I50" i="303"/>
  <c r="I50" i="389"/>
  <c r="I50" i="89"/>
  <c r="I50" i="437"/>
  <c r="I50" i="440"/>
  <c r="I50" i="424"/>
  <c r="I50" i="436"/>
  <c r="T50" i="321"/>
  <c r="N52" i="321" s="1"/>
  <c r="O55" i="321" s="1"/>
  <c r="T50" i="247"/>
  <c r="N52" i="247" s="1"/>
  <c r="O55" i="247" s="1"/>
  <c r="T50" i="185"/>
  <c r="N52" i="185" s="1"/>
  <c r="O55" i="185" s="1"/>
  <c r="T50" i="231"/>
  <c r="N52" i="231" s="1"/>
  <c r="O55" i="231" s="1"/>
  <c r="U50" i="231"/>
  <c r="T50" i="414"/>
  <c r="N52" i="414" s="1"/>
  <c r="O55" i="414" s="1"/>
  <c r="T50" i="253"/>
  <c r="N52" i="253" s="1"/>
  <c r="O55" i="253" s="1"/>
  <c r="T50" i="327"/>
  <c r="N52" i="327" s="1"/>
  <c r="O55" i="327" s="1"/>
  <c r="I50" i="248"/>
  <c r="I50" i="326"/>
  <c r="I50" i="87"/>
  <c r="I50" i="265"/>
  <c r="I50" i="337"/>
  <c r="I50" i="169"/>
  <c r="I50" i="243"/>
  <c r="I50" i="107"/>
  <c r="I50" i="183"/>
  <c r="T50" i="186"/>
  <c r="N52" i="186" s="1"/>
  <c r="O55" i="186" s="1"/>
  <c r="I50" i="109"/>
  <c r="I50" i="345"/>
  <c r="I50" i="292"/>
  <c r="I50" i="33"/>
  <c r="I50" i="116"/>
  <c r="T50" i="170"/>
  <c r="N52" i="170" s="1"/>
  <c r="O55" i="170" s="1"/>
  <c r="I50" i="332"/>
  <c r="I50" i="102"/>
  <c r="I50" i="325"/>
  <c r="I50" i="29"/>
  <c r="I50" i="53"/>
  <c r="I50" i="162"/>
  <c r="I50" i="2"/>
  <c r="T50" i="395"/>
  <c r="N52" i="395" s="1"/>
  <c r="O55" i="395" s="1"/>
  <c r="I50" i="11"/>
  <c r="I50" i="360"/>
  <c r="T50" i="144"/>
  <c r="N52" i="144" s="1"/>
  <c r="O55" i="144" s="1"/>
  <c r="I50" i="339"/>
  <c r="I50" i="400"/>
  <c r="I50" i="323"/>
  <c r="I50" i="333"/>
  <c r="I50" i="164"/>
  <c r="I50" i="420"/>
  <c r="T50" i="195"/>
  <c r="N52" i="195" s="1"/>
  <c r="O55" i="195" s="1"/>
  <c r="I50" i="431"/>
  <c r="I50" i="28"/>
  <c r="T50" i="398"/>
  <c r="N52" i="398" s="1"/>
  <c r="O55" i="398" s="1"/>
  <c r="T50" i="388"/>
  <c r="N52" i="388" s="1"/>
  <c r="O55" i="388" s="1"/>
  <c r="T50" i="404"/>
  <c r="I50" i="356"/>
  <c r="I50" i="354"/>
  <c r="T50" i="149"/>
  <c r="N52" i="149" s="1"/>
  <c r="O55" i="149" s="1"/>
  <c r="I50" i="142"/>
  <c r="I50" i="322"/>
  <c r="I50" i="367"/>
  <c r="T50" i="300"/>
  <c r="N52" i="300" s="1"/>
  <c r="O55" i="300" s="1"/>
  <c r="I50" i="319"/>
  <c r="I50" i="193"/>
  <c r="I50" i="299"/>
  <c r="I50" i="386"/>
  <c r="I50" i="438"/>
  <c r="I50" i="391"/>
  <c r="I50" i="439"/>
  <c r="I50" i="174"/>
  <c r="I50" i="153"/>
  <c r="I50" i="152"/>
  <c r="I50" i="43"/>
  <c r="I50" i="18"/>
  <c r="I50" i="434"/>
  <c r="I50" i="4"/>
  <c r="I50" i="17"/>
  <c r="K49" i="424"/>
  <c r="C52" i="388" l="1"/>
  <c r="D55" i="388" s="1"/>
  <c r="B52" i="388"/>
  <c r="C52" i="144"/>
  <c r="D55" i="144" s="1"/>
  <c r="B52" i="144"/>
  <c r="B52" i="185"/>
  <c r="C52" i="185"/>
  <c r="D55" i="185" s="1"/>
  <c r="B52" i="170"/>
  <c r="C52" i="170"/>
  <c r="D55" i="170" s="1"/>
  <c r="B52" i="253"/>
  <c r="C52" i="253"/>
  <c r="D55" i="253" s="1"/>
  <c r="C52" i="327"/>
  <c r="D55" i="327" s="1"/>
  <c r="B52" i="327"/>
  <c r="C52" i="247"/>
  <c r="D55" i="247" s="1"/>
  <c r="B52" i="247"/>
  <c r="B52" i="231"/>
  <c r="C52" i="231"/>
  <c r="D55" i="231" s="1"/>
  <c r="B52" i="321"/>
  <c r="C52" i="321"/>
  <c r="D55" i="321" s="1"/>
  <c r="C52" i="149"/>
  <c r="D55" i="149" s="1"/>
  <c r="B52" i="149"/>
  <c r="C52" i="395"/>
  <c r="D55" i="395" s="1"/>
  <c r="B52" i="395"/>
  <c r="I50" i="247"/>
  <c r="I50" i="231"/>
  <c r="I50" i="414"/>
  <c r="I50" i="321"/>
  <c r="I50" i="185"/>
  <c r="I50" i="253"/>
  <c r="I50" i="327"/>
  <c r="D240" i="417"/>
  <c r="I50" i="149"/>
  <c r="I50" i="300"/>
  <c r="I50" i="398"/>
  <c r="I50" i="170"/>
  <c r="I50" i="186"/>
  <c r="I50" i="395"/>
  <c r="I50" i="404"/>
  <c r="I50" i="388"/>
  <c r="I50" i="144"/>
  <c r="I50" i="195"/>
  <c r="U49" i="202"/>
  <c r="K49" i="339"/>
  <c r="U49" i="392"/>
  <c r="U49" i="391" l="1"/>
  <c r="F49" i="202"/>
  <c r="G50" i="202" s="1"/>
  <c r="F49" i="391"/>
  <c r="G50" i="391" s="1"/>
  <c r="F49" i="432"/>
  <c r="G50" i="432" s="1"/>
  <c r="F49" i="9"/>
  <c r="G50" i="9" s="1"/>
  <c r="F49" i="75"/>
  <c r="G50" i="75" s="1"/>
  <c r="F49" i="61"/>
  <c r="G50" i="61" s="1"/>
  <c r="F49" i="299"/>
  <c r="G50" i="299" s="1"/>
  <c r="F49" i="190"/>
  <c r="G50" i="190" s="1"/>
  <c r="F49" i="17"/>
  <c r="G50" i="17" s="1"/>
  <c r="F49" i="187"/>
  <c r="G50" i="187" s="1"/>
  <c r="F49" i="23"/>
  <c r="G50" i="23" s="1"/>
  <c r="F49" i="338"/>
  <c r="G50" i="338" s="1"/>
  <c r="F49" i="441"/>
  <c r="G50" i="441" s="1"/>
  <c r="F49" i="434"/>
  <c r="G50" i="434" s="1"/>
  <c r="F49" i="435"/>
  <c r="G50" i="435" s="1"/>
  <c r="F49" i="436"/>
  <c r="G50" i="436" s="1"/>
  <c r="F49" i="438"/>
  <c r="G50" i="438" s="1"/>
  <c r="F49" i="440"/>
  <c r="G50" i="440" s="1"/>
  <c r="F49" i="437"/>
  <c r="G50" i="437" s="1"/>
  <c r="F49" i="439"/>
  <c r="G50" i="439" s="1"/>
  <c r="F49" i="89"/>
  <c r="G50" i="89" s="1"/>
  <c r="F49" i="389"/>
  <c r="G50" i="389" s="1"/>
  <c r="F49" i="386"/>
  <c r="G50" i="386" s="1"/>
  <c r="F49" i="303"/>
  <c r="G50" i="303" s="1"/>
  <c r="F49" i="424"/>
  <c r="G50" i="424" s="1"/>
  <c r="F49" i="113"/>
  <c r="G50" i="113" s="1"/>
  <c r="F49" i="431"/>
  <c r="G50" i="431" s="1"/>
  <c r="F49" i="361"/>
  <c r="G50" i="361" s="1"/>
  <c r="F49" i="351"/>
  <c r="G50" i="351" s="1"/>
  <c r="F49" i="352"/>
  <c r="G50" i="352" s="1"/>
  <c r="F49" i="392"/>
  <c r="G50" i="392" s="1"/>
  <c r="F49" i="371"/>
  <c r="G50" i="371" s="1"/>
  <c r="F49" i="413"/>
  <c r="G50" i="413" s="1"/>
  <c r="F49" i="430"/>
  <c r="G50" i="430" s="1"/>
  <c r="F49" i="296"/>
  <c r="G50" i="296" s="1"/>
  <c r="F49" i="322"/>
  <c r="G50" i="322" s="1"/>
  <c r="F49" i="353"/>
  <c r="G50" i="353" s="1"/>
  <c r="F49" i="362"/>
  <c r="G50" i="362" s="1"/>
  <c r="F49" i="354"/>
  <c r="G50" i="354" s="1"/>
  <c r="F49" i="233"/>
  <c r="G50" i="233" s="1"/>
  <c r="F49" i="298"/>
  <c r="G50" i="298" s="1"/>
  <c r="F49" i="367"/>
  <c r="G50" i="367" s="1"/>
  <c r="F49" i="387"/>
  <c r="G50" i="387" s="1"/>
  <c r="F49" i="314"/>
  <c r="G50" i="314" s="1"/>
  <c r="F49" i="18"/>
  <c r="G50" i="18" s="1"/>
  <c r="F49" i="20"/>
  <c r="G50" i="20" s="1"/>
  <c r="F49" i="422"/>
  <c r="G50" i="422" s="1"/>
  <c r="F49" i="43"/>
  <c r="G50" i="43" s="1"/>
  <c r="F49" i="21"/>
  <c r="G50" i="21" s="1"/>
  <c r="F49" i="423"/>
  <c r="G50" i="423" s="1"/>
  <c r="F49" i="152"/>
  <c r="G50" i="152" s="1"/>
  <c r="F49" i="13"/>
  <c r="G50" i="13" s="1"/>
  <c r="F49" i="261"/>
  <c r="G50" i="261" s="1"/>
  <c r="F49" i="153"/>
  <c r="G50" i="153" s="1"/>
  <c r="F49" i="257"/>
  <c r="G50" i="257" s="1"/>
  <c r="F49" i="409"/>
  <c r="G50" i="409" s="1"/>
  <c r="F49" i="174"/>
  <c r="G50" i="174" s="1"/>
  <c r="F49" i="328"/>
  <c r="G50" i="328" s="1"/>
  <c r="F49" i="329"/>
  <c r="G50" i="329" s="1"/>
  <c r="F49" i="5"/>
  <c r="G50" i="5" s="1"/>
  <c r="F49" i="207"/>
  <c r="G50" i="207" s="1"/>
  <c r="F49" i="194"/>
  <c r="G50" i="194" s="1"/>
  <c r="F49" i="193"/>
  <c r="G50" i="193" s="1"/>
  <c r="F49" i="48"/>
  <c r="G50" i="48" s="1"/>
  <c r="F49" i="7"/>
  <c r="G50" i="7" s="1"/>
  <c r="F49" i="1"/>
  <c r="G50" i="1" s="1"/>
  <c r="F49" i="397"/>
  <c r="G50" i="397" s="1"/>
  <c r="F49" i="319"/>
  <c r="G50" i="319" s="1"/>
  <c r="F49" i="320"/>
  <c r="G50" i="320" s="1"/>
  <c r="F49" i="429"/>
  <c r="G50" i="429" s="1"/>
  <c r="F49" i="12"/>
  <c r="G50" i="12" s="1"/>
  <c r="F49" i="356"/>
  <c r="G50" i="356" s="1"/>
  <c r="F49" i="394"/>
  <c r="G50" i="394" s="1"/>
  <c r="F49" i="393"/>
  <c r="G50" i="393" s="1"/>
  <c r="F49" i="433"/>
  <c r="G50" i="433" s="1"/>
  <c r="F49" i="52"/>
  <c r="G50" i="52" s="1"/>
  <c r="F49" i="425"/>
  <c r="G50" i="425" s="1"/>
  <c r="F49" i="88"/>
  <c r="G50" i="88" s="1"/>
  <c r="F49" i="148"/>
  <c r="G50" i="148" s="1"/>
  <c r="F49" i="97"/>
  <c r="G50" i="97" s="1"/>
  <c r="F49" i="383"/>
  <c r="G50" i="383" s="1"/>
  <c r="F49" i="28"/>
  <c r="G50" i="28" s="1"/>
  <c r="F49" i="29"/>
  <c r="G50" i="29" s="1"/>
  <c r="F49" i="359"/>
  <c r="G50" i="359" s="1"/>
  <c r="F49" i="360"/>
  <c r="G50" i="360" s="1"/>
  <c r="F49" i="368"/>
  <c r="G50" i="368" s="1"/>
  <c r="F49" i="364"/>
  <c r="G50" i="364" s="1"/>
  <c r="F49" i="420"/>
  <c r="G50" i="420" s="1"/>
  <c r="F49" i="8"/>
  <c r="G50" i="8" s="1"/>
  <c r="F49" i="203"/>
  <c r="G50" i="203" s="1"/>
  <c r="F49" i="191"/>
  <c r="G50" i="191" s="1"/>
  <c r="F49" i="2"/>
  <c r="G50" i="2" s="1"/>
  <c r="F49" i="442"/>
  <c r="G50" i="442" s="1"/>
  <c r="F49" i="164"/>
  <c r="G50" i="164" s="1"/>
  <c r="F49" i="162"/>
  <c r="G50" i="162" s="1"/>
  <c r="F49" i="421"/>
  <c r="G50" i="421" s="1"/>
  <c r="F49" i="333"/>
  <c r="G50" i="333" s="1"/>
  <c r="F49" i="53"/>
  <c r="G50" i="53" s="1"/>
  <c r="F49" i="114"/>
  <c r="G50" i="114" s="1"/>
  <c r="F49" i="323"/>
  <c r="G50" i="323" s="1"/>
  <c r="F49" i="400"/>
  <c r="G50" i="400" s="1"/>
  <c r="F49" i="402"/>
  <c r="G50" i="402" s="1"/>
  <c r="F49" i="403"/>
  <c r="G50" i="403" s="1"/>
  <c r="F49" i="385"/>
  <c r="G50" i="385" s="1"/>
  <c r="F49" i="334"/>
  <c r="G50" i="334" s="1"/>
  <c r="F49" i="3"/>
  <c r="G50" i="3" s="1"/>
  <c r="F49" i="349"/>
  <c r="G50" i="349" s="1"/>
  <c r="F49" i="4"/>
  <c r="G50" i="4" s="1"/>
  <c r="F49" i="15"/>
  <c r="G50" i="15" s="1"/>
  <c r="F49" i="355"/>
  <c r="G50" i="355" s="1"/>
  <c r="F49" i="16"/>
  <c r="G50" i="16" s="1"/>
  <c r="F49" i="54"/>
  <c r="G50" i="54" s="1"/>
  <c r="F49" i="384"/>
  <c r="G50" i="384" s="1"/>
  <c r="F49" i="201"/>
  <c r="G50" i="201" s="1"/>
  <c r="F49" i="249"/>
  <c r="G50" i="249" s="1"/>
  <c r="F49" i="19"/>
  <c r="G50" i="19" s="1"/>
  <c r="F49" i="347"/>
  <c r="G50" i="347" s="1"/>
  <c r="F49" i="37"/>
  <c r="G50" i="37" s="1"/>
  <c r="F49" i="204"/>
  <c r="G50" i="204" s="1"/>
  <c r="F49" i="363"/>
  <c r="G50" i="363" s="1"/>
  <c r="F49" i="31"/>
  <c r="G50" i="31" s="1"/>
  <c r="F49" i="168"/>
  <c r="G50" i="168" s="1"/>
  <c r="F49" i="169"/>
  <c r="G50" i="169" s="1"/>
  <c r="F49" i="336"/>
  <c r="G50" i="336" s="1"/>
  <c r="F49" i="342"/>
  <c r="G50" i="342" s="1"/>
  <c r="F49" i="33"/>
  <c r="G50" i="33" s="1"/>
  <c r="F49" i="318"/>
  <c r="G50" i="318" s="1"/>
  <c r="F49" i="288"/>
  <c r="G50" i="288" s="1"/>
  <c r="F49" i="337"/>
  <c r="G50" i="337" s="1"/>
  <c r="F49" i="227"/>
  <c r="G50" i="227" s="1"/>
  <c r="F49" i="290"/>
  <c r="G50" i="290" s="1"/>
  <c r="F49" i="289"/>
  <c r="G50" i="289" s="1"/>
  <c r="F49" i="293"/>
  <c r="G50" i="293" s="1"/>
  <c r="F49" i="348"/>
  <c r="G50" i="348" s="1"/>
  <c r="F49" i="297"/>
  <c r="G50" i="297" s="1"/>
  <c r="F49" i="350"/>
  <c r="G50" i="350" s="1"/>
  <c r="F49" i="105"/>
  <c r="G50" i="105" s="1"/>
  <c r="F49" i="294"/>
  <c r="G50" i="294" s="1"/>
  <c r="F49" i="206"/>
  <c r="G50" i="206" s="1"/>
  <c r="F49" i="22"/>
  <c r="G50" i="22" s="1"/>
  <c r="F49" i="301"/>
  <c r="G50" i="301" s="1"/>
  <c r="F49" i="344"/>
  <c r="G50" i="344" s="1"/>
  <c r="F49" i="340"/>
  <c r="G50" i="340" s="1"/>
  <c r="F49" i="34"/>
  <c r="G50" i="34" s="1"/>
  <c r="F49" i="135"/>
  <c r="G50" i="135" s="1"/>
  <c r="F49" i="295"/>
  <c r="G50" i="295" s="1"/>
  <c r="F49" i="283"/>
  <c r="G50" i="283" s="1"/>
  <c r="F49" i="284"/>
  <c r="G50" i="284" s="1"/>
  <c r="F49" i="292"/>
  <c r="G50" i="292" s="1"/>
  <c r="F49" i="339"/>
  <c r="G50" i="339" s="1"/>
  <c r="F49" i="325"/>
  <c r="G50" i="325" s="1"/>
  <c r="F49" i="269"/>
  <c r="G50" i="269" s="1"/>
  <c r="F49" i="11"/>
  <c r="G50" i="11" s="1"/>
  <c r="F49" i="101"/>
  <c r="G50" i="101" s="1"/>
  <c r="F49" i="382"/>
  <c r="G50" i="382" s="1"/>
  <c r="F49" i="102"/>
  <c r="G50" i="102" s="1"/>
  <c r="F49" i="103"/>
  <c r="G50" i="103" s="1"/>
  <c r="F49" i="411"/>
  <c r="G50" i="411" s="1"/>
  <c r="F49" i="265"/>
  <c r="G50" i="265" s="1"/>
  <c r="F49" i="262"/>
  <c r="G50" i="262" s="1"/>
  <c r="F49" i="112"/>
  <c r="G50" i="112" s="1"/>
  <c r="F49" i="109"/>
  <c r="G50" i="109" s="1"/>
  <c r="F49" i="85"/>
  <c r="G50" i="85" s="1"/>
  <c r="F49" i="324"/>
  <c r="G50" i="324" s="1"/>
  <c r="F49" i="32"/>
  <c r="G50" i="32" s="1"/>
  <c r="F49" i="196"/>
  <c r="G50" i="196" s="1"/>
  <c r="F49" i="197"/>
  <c r="G50" i="197" s="1"/>
  <c r="F49" i="198"/>
  <c r="G50" i="198" s="1"/>
  <c r="F49" i="345"/>
  <c r="G50" i="345" s="1"/>
  <c r="F49" i="346"/>
  <c r="G50" i="346" s="1"/>
  <c r="F49" i="74"/>
  <c r="G50" i="74" s="1"/>
  <c r="F49" i="200"/>
  <c r="G50" i="200" s="1"/>
  <c r="F49" i="280"/>
  <c r="G50" i="280" s="1"/>
  <c r="F49" i="45"/>
  <c r="G50" i="45" s="1"/>
  <c r="F49" i="104"/>
  <c r="G50" i="104" s="1"/>
  <c r="F49" i="254"/>
  <c r="G50" i="254" s="1"/>
  <c r="F49" i="181"/>
  <c r="G50" i="181" s="1"/>
  <c r="F49" i="183"/>
  <c r="G50" i="183" s="1"/>
  <c r="F49" i="184"/>
  <c r="G50" i="184" s="1"/>
  <c r="F49" i="27"/>
  <c r="G50" i="27" s="1"/>
  <c r="F49" i="143"/>
  <c r="G50" i="143" s="1"/>
  <c r="F49" i="268"/>
  <c r="G50" i="268" s="1"/>
  <c r="F49" i="263"/>
  <c r="G50" i="263" s="1"/>
  <c r="F49" i="209"/>
  <c r="G50" i="209" s="1"/>
  <c r="F49" i="192"/>
  <c r="G50" i="192" s="1"/>
  <c r="F49" i="140"/>
  <c r="G50" i="140" s="1"/>
  <c r="F49" i="270"/>
  <c r="G50" i="270" s="1"/>
  <c r="F49" i="271"/>
  <c r="G50" i="271" s="1"/>
  <c r="F49" i="159"/>
  <c r="G50" i="159" s="1"/>
  <c r="F49" i="160"/>
  <c r="G50" i="160" s="1"/>
  <c r="F49" i="107"/>
  <c r="G50" i="107" s="1"/>
  <c r="F49" i="176"/>
  <c r="G50" i="176" s="1"/>
  <c r="F49" i="281"/>
  <c r="G50" i="281" s="1"/>
  <c r="F49" i="332"/>
  <c r="G50" i="332" s="1"/>
  <c r="F49" i="25"/>
  <c r="G50" i="25" s="1"/>
  <c r="F49" i="24"/>
  <c r="G50" i="24" s="1"/>
  <c r="F49" i="116"/>
  <c r="G50" i="116" s="1"/>
  <c r="F49" i="285"/>
  <c r="G50" i="285" s="1"/>
  <c r="F49" i="272"/>
  <c r="G50" i="272" s="1"/>
  <c r="F49" i="87"/>
  <c r="G50" i="87" s="1"/>
  <c r="F49" i="287"/>
  <c r="G50" i="287" s="1"/>
  <c r="F49" i="276"/>
  <c r="G50" i="276" s="1"/>
  <c r="F49" i="229"/>
  <c r="G50" i="229" s="1"/>
  <c r="F49" i="230"/>
  <c r="G50" i="230" s="1"/>
  <c r="F49" i="326"/>
  <c r="G50" i="326" s="1"/>
  <c r="F49" i="47"/>
  <c r="G50" i="47" s="1"/>
  <c r="F49" i="46"/>
  <c r="G50" i="46" s="1"/>
  <c r="F49" i="248"/>
  <c r="G50" i="248" s="1"/>
  <c r="F49" i="239"/>
  <c r="G50" i="239" s="1"/>
  <c r="F49" i="243"/>
  <c r="G50" i="243" s="1"/>
  <c r="F49" i="244"/>
  <c r="G50" i="244" s="1"/>
  <c r="F49" i="246"/>
  <c r="G50" i="246" s="1"/>
  <c r="F49" i="35"/>
  <c r="G50" i="35" s="1"/>
  <c r="D242" i="417" l="1"/>
  <c r="I49" i="230"/>
  <c r="I48" i="230"/>
  <c r="I47" i="230"/>
  <c r="I46" i="230"/>
  <c r="I45" i="230"/>
  <c r="I44" i="230"/>
  <c r="J56" i="230" s="1"/>
  <c r="I43" i="230"/>
  <c r="J55" i="230" s="1"/>
  <c r="I42" i="230"/>
  <c r="J54" i="230" s="1"/>
  <c r="I41" i="230"/>
  <c r="J53" i="230" s="1"/>
  <c r="D243" i="417" l="1"/>
  <c r="F236" i="417"/>
  <c r="F237" i="417"/>
  <c r="F238" i="417"/>
  <c r="D237" i="417"/>
  <c r="D238" i="417"/>
  <c r="D239" i="417"/>
  <c r="D244" i="417" l="1"/>
  <c r="U48" i="35"/>
  <c r="Q41" i="404"/>
  <c r="R41" i="404"/>
  <c r="S41" i="404"/>
  <c r="Q42" i="404"/>
  <c r="R42" i="404"/>
  <c r="S42" i="404"/>
  <c r="Q43" i="404"/>
  <c r="R43" i="404"/>
  <c r="S43" i="404"/>
  <c r="Q44" i="404"/>
  <c r="R44" i="404"/>
  <c r="S44" i="404"/>
  <c r="Q45" i="404"/>
  <c r="R45" i="404"/>
  <c r="S45" i="404"/>
  <c r="Q46" i="404"/>
  <c r="R46" i="404"/>
  <c r="S46" i="404"/>
  <c r="Q47" i="404"/>
  <c r="R47" i="404"/>
  <c r="S47" i="404"/>
  <c r="Q48" i="404"/>
  <c r="R48" i="404"/>
  <c r="S48" i="404"/>
  <c r="Q49" i="404"/>
  <c r="F49" i="404" s="1"/>
  <c r="G50" i="404" s="1"/>
  <c r="R49" i="404"/>
  <c r="S49" i="404"/>
  <c r="Q49" i="327"/>
  <c r="F49" i="327" l="1"/>
  <c r="G50" i="327" s="1"/>
  <c r="U51" i="327"/>
  <c r="U50" i="404"/>
  <c r="D246" i="417"/>
  <c r="D245" i="417"/>
  <c r="K49" i="391"/>
  <c r="L52" i="391" s="1"/>
  <c r="K49" i="432"/>
  <c r="K49" i="9"/>
  <c r="K49" i="75"/>
  <c r="K49" i="61"/>
  <c r="K49" i="17"/>
  <c r="K49" i="23"/>
  <c r="K49" i="338"/>
  <c r="K49" i="441"/>
  <c r="K49" i="434"/>
  <c r="K49" i="435"/>
  <c r="K49" i="436"/>
  <c r="K49" i="438"/>
  <c r="K49" i="440"/>
  <c r="K49" i="437"/>
  <c r="K49" i="439"/>
  <c r="K49" i="89"/>
  <c r="K49" i="389"/>
  <c r="K49" i="386"/>
  <c r="K49" i="303"/>
  <c r="K49" i="113"/>
  <c r="K49" i="431"/>
  <c r="K49" i="361"/>
  <c r="K49" i="351"/>
  <c r="K49" i="352"/>
  <c r="K49" i="202"/>
  <c r="K49" i="392"/>
  <c r="L52" i="392" s="1"/>
  <c r="K49" i="371"/>
  <c r="K49" i="430"/>
  <c r="K49" i="322"/>
  <c r="K49" i="353"/>
  <c r="K49" i="362"/>
  <c r="K49" i="354"/>
  <c r="K49" i="233"/>
  <c r="K49" i="298"/>
  <c r="K49" i="367"/>
  <c r="K49" i="387"/>
  <c r="K49" i="314"/>
  <c r="K49" i="18"/>
  <c r="K49" i="20"/>
  <c r="K49" i="422"/>
  <c r="K49" i="43"/>
  <c r="K49" i="21"/>
  <c r="K49" i="423"/>
  <c r="K49" i="152"/>
  <c r="K49" i="13"/>
  <c r="K49" i="261"/>
  <c r="K49" i="153"/>
  <c r="K49" i="257"/>
  <c r="K49" i="409"/>
  <c r="K49" i="174"/>
  <c r="K49" i="328"/>
  <c r="K49" i="329"/>
  <c r="K49" i="5"/>
  <c r="K49" i="207"/>
  <c r="K49" i="194"/>
  <c r="K49" i="193"/>
  <c r="K49" i="413"/>
  <c r="K49" i="48"/>
  <c r="K49" i="7"/>
  <c r="K49" i="1"/>
  <c r="K49" i="397"/>
  <c r="K49" i="319"/>
  <c r="K49" i="320"/>
  <c r="K49" i="429"/>
  <c r="K49" i="12"/>
  <c r="K49" i="356"/>
  <c r="K49" i="394"/>
  <c r="K49" i="393"/>
  <c r="K49" i="433"/>
  <c r="K49" i="52"/>
  <c r="K49" i="425"/>
  <c r="K49" i="88"/>
  <c r="K49" i="148"/>
  <c r="K49" i="97"/>
  <c r="K49" i="383"/>
  <c r="K49" i="28"/>
  <c r="K49" i="29"/>
  <c r="K49" i="359"/>
  <c r="K49" i="360"/>
  <c r="K49" i="368"/>
  <c r="K49" i="364"/>
  <c r="K49" i="420"/>
  <c r="K49" i="8"/>
  <c r="K49" i="203"/>
  <c r="K49" i="2"/>
  <c r="K49" i="442"/>
  <c r="K49" i="164"/>
  <c r="K49" i="162"/>
  <c r="K49" i="421"/>
  <c r="K49" i="333"/>
  <c r="K49" i="53"/>
  <c r="K49" i="114"/>
  <c r="K49" i="323"/>
  <c r="K49" i="400"/>
  <c r="K49" i="402"/>
  <c r="K49" i="403"/>
  <c r="K49" i="385"/>
  <c r="K49" i="334"/>
  <c r="K49" i="3"/>
  <c r="K49" i="349"/>
  <c r="K49" i="4"/>
  <c r="K49" i="15"/>
  <c r="K49" i="355"/>
  <c r="K49" i="299"/>
  <c r="K49" i="190"/>
  <c r="K49" i="16"/>
  <c r="K49" i="54"/>
  <c r="K49" i="384"/>
  <c r="K49" i="201"/>
  <c r="K49" i="249"/>
  <c r="K49" i="19"/>
  <c r="K49" i="347"/>
  <c r="K49" i="37"/>
  <c r="K49" i="204"/>
  <c r="K49" i="363"/>
  <c r="K49" i="31"/>
  <c r="K49" i="168"/>
  <c r="K49" i="169"/>
  <c r="K49" i="336"/>
  <c r="K49" i="342"/>
  <c r="K49" i="33"/>
  <c r="K49" i="318"/>
  <c r="K49" i="288"/>
  <c r="K49" i="337"/>
  <c r="K49" i="227"/>
  <c r="K49" i="290"/>
  <c r="K49" i="289"/>
  <c r="K49" i="293"/>
  <c r="K49" i="348"/>
  <c r="K49" i="297"/>
  <c r="K49" i="350"/>
  <c r="K49" i="105"/>
  <c r="K49" i="294"/>
  <c r="K49" i="206"/>
  <c r="K49" i="22"/>
  <c r="K49" i="301"/>
  <c r="K49" i="344"/>
  <c r="K49" i="340"/>
  <c r="K49" i="34"/>
  <c r="K49" i="135"/>
  <c r="K49" i="295"/>
  <c r="K49" i="283"/>
  <c r="K49" i="284"/>
  <c r="K49" i="292"/>
  <c r="K49" i="325"/>
  <c r="K49" i="269"/>
  <c r="K49" i="11"/>
  <c r="K49" i="101"/>
  <c r="K49" i="382"/>
  <c r="K49" i="102"/>
  <c r="K49" i="103"/>
  <c r="K49" i="411"/>
  <c r="K49" i="265"/>
  <c r="K49" i="262"/>
  <c r="K49" i="112"/>
  <c r="K49" i="109"/>
  <c r="K49" i="85"/>
  <c r="K49" i="324"/>
  <c r="K49" i="32"/>
  <c r="K49" i="196"/>
  <c r="L49" i="197"/>
  <c r="K49" i="197"/>
  <c r="K49" i="198"/>
  <c r="K49" i="345"/>
  <c r="K49" i="346"/>
  <c r="K49" i="74"/>
  <c r="K49" i="200"/>
  <c r="K49" i="280"/>
  <c r="K49" i="45"/>
  <c r="K49" i="104"/>
  <c r="K49" i="254"/>
  <c r="K49" i="181"/>
  <c r="K49" i="183"/>
  <c r="K49" i="184"/>
  <c r="K49" i="27"/>
  <c r="K49" i="143"/>
  <c r="K49" i="268"/>
  <c r="K49" i="263"/>
  <c r="K49" i="209"/>
  <c r="K49" i="192"/>
  <c r="K49" i="140"/>
  <c r="K49" i="270"/>
  <c r="K49" i="271"/>
  <c r="K49" i="159"/>
  <c r="K49" i="160"/>
  <c r="K49" i="107"/>
  <c r="K49" i="176"/>
  <c r="K49" i="281"/>
  <c r="K49" i="332"/>
  <c r="K49" i="25"/>
  <c r="K49" i="24"/>
  <c r="K49" i="116"/>
  <c r="K49" i="285"/>
  <c r="K49" i="272"/>
  <c r="K49" i="87"/>
  <c r="K49" i="287"/>
  <c r="K49" i="276"/>
  <c r="K49" i="229"/>
  <c r="N49" i="230"/>
  <c r="O52" i="230" s="1"/>
  <c r="K49" i="230"/>
  <c r="K49" i="326"/>
  <c r="K49" i="47"/>
  <c r="K49" i="46"/>
  <c r="K49" i="248"/>
  <c r="K49" i="239"/>
  <c r="K49" i="243"/>
  <c r="K49" i="244"/>
  <c r="K49" i="246"/>
  <c r="K49" i="35"/>
  <c r="T49" i="391"/>
  <c r="I49" i="391" s="1"/>
  <c r="T49" i="432"/>
  <c r="I49" i="432" s="1"/>
  <c r="U49" i="9"/>
  <c r="L52" i="9" s="1"/>
  <c r="T49" i="9"/>
  <c r="I49" i="9" s="1"/>
  <c r="U49" i="75"/>
  <c r="L52" i="75" s="1"/>
  <c r="T49" i="75"/>
  <c r="I49" i="75" s="1"/>
  <c r="U49" i="61"/>
  <c r="L52" i="61" s="1"/>
  <c r="T49" i="61"/>
  <c r="I49" i="61" s="1"/>
  <c r="U49" i="17"/>
  <c r="L52" i="17" s="1"/>
  <c r="T49" i="17"/>
  <c r="I49" i="17" s="1"/>
  <c r="L52" i="187"/>
  <c r="I49" i="187"/>
  <c r="U49" i="23"/>
  <c r="L52" i="23" s="1"/>
  <c r="T49" i="23"/>
  <c r="I49" i="23" s="1"/>
  <c r="U49" i="338"/>
  <c r="L52" i="338" s="1"/>
  <c r="T49" i="338"/>
  <c r="I49" i="338" s="1"/>
  <c r="U49" i="441"/>
  <c r="L52" i="441" s="1"/>
  <c r="T49" i="441"/>
  <c r="I49" i="441" s="1"/>
  <c r="U49" i="434"/>
  <c r="L52" i="434" s="1"/>
  <c r="T49" i="434"/>
  <c r="I49" i="434" s="1"/>
  <c r="U49" i="435"/>
  <c r="L52" i="435" s="1"/>
  <c r="T49" i="435"/>
  <c r="I49" i="435" s="1"/>
  <c r="U49" i="436"/>
  <c r="L52" i="436" s="1"/>
  <c r="T49" i="436"/>
  <c r="I49" i="436" s="1"/>
  <c r="U49" i="438"/>
  <c r="L52" i="438" s="1"/>
  <c r="T49" i="438"/>
  <c r="I49" i="438" s="1"/>
  <c r="U49" i="440"/>
  <c r="L52" i="440" s="1"/>
  <c r="T49" i="440"/>
  <c r="I49" i="440" s="1"/>
  <c r="U49" i="437"/>
  <c r="L52" i="437" s="1"/>
  <c r="T49" i="437"/>
  <c r="I49" i="437" s="1"/>
  <c r="U49" i="439"/>
  <c r="L52" i="439" s="1"/>
  <c r="T49" i="439"/>
  <c r="I49" i="439" s="1"/>
  <c r="U49" i="89"/>
  <c r="L52" i="89" s="1"/>
  <c r="T49" i="89"/>
  <c r="I49" i="89" s="1"/>
  <c r="U49" i="389"/>
  <c r="L52" i="389" s="1"/>
  <c r="T49" i="389"/>
  <c r="I49" i="389" s="1"/>
  <c r="U49" i="386"/>
  <c r="L52" i="386" s="1"/>
  <c r="T49" i="386"/>
  <c r="I49" i="386" s="1"/>
  <c r="U49" i="303"/>
  <c r="L52" i="303" s="1"/>
  <c r="T49" i="303"/>
  <c r="I49" i="303" s="1"/>
  <c r="U49" i="424"/>
  <c r="L52" i="424" s="1"/>
  <c r="T49" i="424"/>
  <c r="I49" i="424" s="1"/>
  <c r="U49" i="113"/>
  <c r="L52" i="113" s="1"/>
  <c r="T49" i="113"/>
  <c r="I49" i="113" s="1"/>
  <c r="U49" i="431"/>
  <c r="L52" i="431" s="1"/>
  <c r="T49" i="431"/>
  <c r="I49" i="431" s="1"/>
  <c r="U49" i="361"/>
  <c r="L52" i="361" s="1"/>
  <c r="T49" i="361"/>
  <c r="I49" i="361" s="1"/>
  <c r="U49" i="351"/>
  <c r="L52" i="351" s="1"/>
  <c r="T49" i="351"/>
  <c r="I49" i="351" s="1"/>
  <c r="U49" i="352"/>
  <c r="L52" i="352" s="1"/>
  <c r="T49" i="352"/>
  <c r="I49" i="352" s="1"/>
  <c r="T49" i="202"/>
  <c r="I49" i="202" s="1"/>
  <c r="T49" i="392"/>
  <c r="I49" i="392" s="1"/>
  <c r="U49" i="371"/>
  <c r="L52" i="371" s="1"/>
  <c r="T49" i="371"/>
  <c r="I49" i="371" s="1"/>
  <c r="U49" i="430"/>
  <c r="L52" i="430" s="1"/>
  <c r="T49" i="430"/>
  <c r="I49" i="430" s="1"/>
  <c r="I49" i="296"/>
  <c r="U49" i="322"/>
  <c r="L52" i="322" s="1"/>
  <c r="T49" i="322"/>
  <c r="I49" i="322" s="1"/>
  <c r="U49" i="353"/>
  <c r="L52" i="353" s="1"/>
  <c r="T49" i="353"/>
  <c r="I49" i="353" s="1"/>
  <c r="U49" i="362"/>
  <c r="L52" i="362" s="1"/>
  <c r="T49" i="362"/>
  <c r="I49" i="362" s="1"/>
  <c r="U49" i="354"/>
  <c r="L52" i="354" s="1"/>
  <c r="T49" i="354"/>
  <c r="I49" i="354" s="1"/>
  <c r="U49" i="233"/>
  <c r="L52" i="233" s="1"/>
  <c r="T49" i="233"/>
  <c r="I49" i="233" s="1"/>
  <c r="U49" i="298"/>
  <c r="L52" i="298" s="1"/>
  <c r="T49" i="298"/>
  <c r="I49" i="298" s="1"/>
  <c r="U49" i="367"/>
  <c r="L52" i="367" s="1"/>
  <c r="T49" i="367"/>
  <c r="I49" i="367" s="1"/>
  <c r="U49" i="387"/>
  <c r="L52" i="387" s="1"/>
  <c r="T49" i="387"/>
  <c r="I49" i="387" s="1"/>
  <c r="U49" i="314"/>
  <c r="L52" i="314" s="1"/>
  <c r="T49" i="314"/>
  <c r="I49" i="314" s="1"/>
  <c r="S49" i="142"/>
  <c r="R49" i="142"/>
  <c r="Q49" i="142"/>
  <c r="T49" i="18"/>
  <c r="I49" i="18" s="1"/>
  <c r="U49" i="20"/>
  <c r="L52" i="20" s="1"/>
  <c r="T49" i="20"/>
  <c r="I49" i="20" s="1"/>
  <c r="U49" i="422"/>
  <c r="L52" i="422" s="1"/>
  <c r="T49" i="422"/>
  <c r="I49" i="422" s="1"/>
  <c r="U49" i="43"/>
  <c r="L52" i="43" s="1"/>
  <c r="T49" i="43"/>
  <c r="I49" i="43" s="1"/>
  <c r="U49" i="21"/>
  <c r="L52" i="21" s="1"/>
  <c r="T49" i="21"/>
  <c r="I49" i="21" s="1"/>
  <c r="U49" i="423"/>
  <c r="L52" i="423" s="1"/>
  <c r="T49" i="423"/>
  <c r="I49" i="423" s="1"/>
  <c r="U49" i="152"/>
  <c r="L52" i="152" s="1"/>
  <c r="T49" i="152"/>
  <c r="I49" i="152" s="1"/>
  <c r="U49" i="13"/>
  <c r="L52" i="13" s="1"/>
  <c r="T49" i="13"/>
  <c r="I49" i="13" s="1"/>
  <c r="U49" i="261"/>
  <c r="L52" i="261" s="1"/>
  <c r="T49" i="261"/>
  <c r="I49" i="261" s="1"/>
  <c r="U49" i="153"/>
  <c r="L52" i="153" s="1"/>
  <c r="T49" i="153"/>
  <c r="I49" i="153" s="1"/>
  <c r="U49" i="257"/>
  <c r="L52" i="257" s="1"/>
  <c r="T49" i="257"/>
  <c r="I49" i="257" s="1"/>
  <c r="U49" i="409"/>
  <c r="L52" i="409" s="1"/>
  <c r="T49" i="409"/>
  <c r="I49" i="409" s="1"/>
  <c r="U49" i="174"/>
  <c r="L52" i="174" s="1"/>
  <c r="I49" i="174"/>
  <c r="S49" i="327"/>
  <c r="T49" i="327" s="1"/>
  <c r="I49" i="327" s="1"/>
  <c r="R49" i="327"/>
  <c r="U49" i="328"/>
  <c r="L52" i="328" s="1"/>
  <c r="T49" i="328"/>
  <c r="I49" i="328" s="1"/>
  <c r="U49" i="329"/>
  <c r="L52" i="329" s="1"/>
  <c r="T49" i="329"/>
  <c r="I49" i="329" s="1"/>
  <c r="U49" i="5"/>
  <c r="L52" i="5" s="1"/>
  <c r="T49" i="5"/>
  <c r="I49" i="5" s="1"/>
  <c r="U49" i="207"/>
  <c r="L52" i="207" s="1"/>
  <c r="T49" i="207"/>
  <c r="I49" i="207" s="1"/>
  <c r="S49" i="195"/>
  <c r="R49" i="195"/>
  <c r="Q49" i="195"/>
  <c r="U49" i="194"/>
  <c r="L52" i="194" s="1"/>
  <c r="T49" i="194"/>
  <c r="I49" i="194" s="1"/>
  <c r="U49" i="193"/>
  <c r="L52" i="193" s="1"/>
  <c r="T49" i="193"/>
  <c r="I49" i="193" s="1"/>
  <c r="U49" i="413"/>
  <c r="L52" i="413" s="1"/>
  <c r="T49" i="413"/>
  <c r="I49" i="413" s="1"/>
  <c r="U49" i="48"/>
  <c r="L52" i="48" s="1"/>
  <c r="T49" i="48"/>
  <c r="I49" i="48" s="1"/>
  <c r="U49" i="7"/>
  <c r="L52" i="7" s="1"/>
  <c r="T49" i="7"/>
  <c r="I49" i="7" s="1"/>
  <c r="S49" i="398"/>
  <c r="R49" i="398"/>
  <c r="Q49" i="398"/>
  <c r="U49" i="1"/>
  <c r="L52" i="1" s="1"/>
  <c r="T49" i="1"/>
  <c r="I49" i="1" s="1"/>
  <c r="U49" i="397"/>
  <c r="L52" i="397" s="1"/>
  <c r="T49" i="397"/>
  <c r="I49" i="397" s="1"/>
  <c r="S49" i="321"/>
  <c r="R49" i="321"/>
  <c r="Q49" i="321"/>
  <c r="U49" i="319"/>
  <c r="L52" i="319" s="1"/>
  <c r="T49" i="319"/>
  <c r="I49" i="319" s="1"/>
  <c r="U49" i="320"/>
  <c r="L52" i="320" s="1"/>
  <c r="T49" i="320"/>
  <c r="I49" i="320" s="1"/>
  <c r="U49" i="429"/>
  <c r="T49" i="429"/>
  <c r="I49" i="429" s="1"/>
  <c r="U49" i="12"/>
  <c r="L52" i="12" s="1"/>
  <c r="T49" i="12"/>
  <c r="I49" i="12" s="1"/>
  <c r="U49" i="356"/>
  <c r="L52" i="356" s="1"/>
  <c r="T49" i="356"/>
  <c r="I49" i="356" s="1"/>
  <c r="S49" i="395"/>
  <c r="R49" i="395"/>
  <c r="Q49" i="395"/>
  <c r="U49" i="394"/>
  <c r="L52" i="394" s="1"/>
  <c r="T49" i="394"/>
  <c r="I49" i="394" s="1"/>
  <c r="U49" i="393"/>
  <c r="L52" i="393" s="1"/>
  <c r="T49" i="393"/>
  <c r="I49" i="393" s="1"/>
  <c r="U49" i="433"/>
  <c r="L52" i="433" s="1"/>
  <c r="T49" i="433"/>
  <c r="I49" i="433" s="1"/>
  <c r="U49" i="52"/>
  <c r="L52" i="52" s="1"/>
  <c r="T49" i="52"/>
  <c r="I49" i="52" s="1"/>
  <c r="U49" i="425"/>
  <c r="L52" i="425" s="1"/>
  <c r="T49" i="425"/>
  <c r="I49" i="425" s="1"/>
  <c r="S49" i="149"/>
  <c r="R49" i="149"/>
  <c r="Q49" i="149"/>
  <c r="U49" i="88"/>
  <c r="L52" i="88" s="1"/>
  <c r="T49" i="88"/>
  <c r="I49" i="88" s="1"/>
  <c r="U49" i="148"/>
  <c r="L52" i="148" s="1"/>
  <c r="T49" i="148"/>
  <c r="I49" i="148" s="1"/>
  <c r="U49" i="97"/>
  <c r="L52" i="97" s="1"/>
  <c r="T49" i="97"/>
  <c r="I49" i="97" s="1"/>
  <c r="U49" i="383"/>
  <c r="L52" i="383" s="1"/>
  <c r="T49" i="383"/>
  <c r="I49" i="383" s="1"/>
  <c r="S49" i="253"/>
  <c r="R49" i="253"/>
  <c r="Q49" i="253"/>
  <c r="U49" i="28"/>
  <c r="L52" i="28" s="1"/>
  <c r="T49" i="28"/>
  <c r="I49" i="28" s="1"/>
  <c r="U49" i="29"/>
  <c r="L52" i="29" s="1"/>
  <c r="T49" i="29"/>
  <c r="I49" i="29" s="1"/>
  <c r="U49" i="359"/>
  <c r="L52" i="359" s="1"/>
  <c r="T49" i="359"/>
  <c r="I49" i="359" s="1"/>
  <c r="U49" i="360"/>
  <c r="L52" i="360" s="1"/>
  <c r="T49" i="360"/>
  <c r="I49" i="360" s="1"/>
  <c r="U49" i="368"/>
  <c r="L52" i="368" s="1"/>
  <c r="T49" i="368"/>
  <c r="I49" i="368" s="1"/>
  <c r="U49" i="364"/>
  <c r="L52" i="364" s="1"/>
  <c r="I49" i="364"/>
  <c r="U49" i="420"/>
  <c r="L52" i="420" s="1"/>
  <c r="T49" i="420"/>
  <c r="I49" i="420" s="1"/>
  <c r="S49" i="414"/>
  <c r="R49" i="414"/>
  <c r="Q49" i="414"/>
  <c r="U49" i="8"/>
  <c r="L52" i="8" s="1"/>
  <c r="T49" i="8"/>
  <c r="I49" i="8" s="1"/>
  <c r="U49" i="203"/>
  <c r="L52" i="203" s="1"/>
  <c r="T49" i="203"/>
  <c r="I49" i="203" s="1"/>
  <c r="U49" i="191"/>
  <c r="L52" i="191" s="1"/>
  <c r="T49" i="191"/>
  <c r="I49" i="191" s="1"/>
  <c r="U49" i="2"/>
  <c r="L52" i="2" s="1"/>
  <c r="T49" i="2"/>
  <c r="I49" i="2" s="1"/>
  <c r="U49" i="442"/>
  <c r="L52" i="442" s="1"/>
  <c r="T49" i="442"/>
  <c r="I49" i="442" s="1"/>
  <c r="U49" i="164"/>
  <c r="L52" i="164" s="1"/>
  <c r="T49" i="164"/>
  <c r="I49" i="164" s="1"/>
  <c r="U49" i="162"/>
  <c r="L52" i="162" s="1"/>
  <c r="T49" i="162"/>
  <c r="I49" i="162" s="1"/>
  <c r="U49" i="421"/>
  <c r="L52" i="421" s="1"/>
  <c r="T49" i="421"/>
  <c r="I49" i="421" s="1"/>
  <c r="U49" i="333"/>
  <c r="L52" i="333" s="1"/>
  <c r="T49" i="333"/>
  <c r="I49" i="333" s="1"/>
  <c r="U49" i="53"/>
  <c r="L52" i="53" s="1"/>
  <c r="T49" i="53"/>
  <c r="I49" i="53" s="1"/>
  <c r="U49" i="114"/>
  <c r="L52" i="114" s="1"/>
  <c r="T49" i="114"/>
  <c r="I49" i="114" s="1"/>
  <c r="U49" i="323"/>
  <c r="L52" i="323" s="1"/>
  <c r="T49" i="323"/>
  <c r="I49" i="323" s="1"/>
  <c r="U49" i="400"/>
  <c r="L52" i="400" s="1"/>
  <c r="T49" i="400"/>
  <c r="I49" i="400" s="1"/>
  <c r="U49" i="402"/>
  <c r="T49" i="402"/>
  <c r="I49" i="402" s="1"/>
  <c r="U49" i="403"/>
  <c r="T49" i="403"/>
  <c r="I49" i="403" s="1"/>
  <c r="U49" i="385"/>
  <c r="L52" i="385" s="1"/>
  <c r="T49" i="385"/>
  <c r="I49" i="385" s="1"/>
  <c r="U49" i="334"/>
  <c r="L52" i="334" s="1"/>
  <c r="T49" i="334"/>
  <c r="I49" i="334" s="1"/>
  <c r="U49" i="3"/>
  <c r="L52" i="3" s="1"/>
  <c r="T49" i="3"/>
  <c r="I49" i="3" s="1"/>
  <c r="U49" i="349"/>
  <c r="L52" i="349" s="1"/>
  <c r="T49" i="349"/>
  <c r="I49" i="349" s="1"/>
  <c r="U49" i="4"/>
  <c r="L52" i="4" s="1"/>
  <c r="T49" i="4"/>
  <c r="I49" i="4" s="1"/>
  <c r="U49" i="15"/>
  <c r="L52" i="15" s="1"/>
  <c r="T49" i="15"/>
  <c r="I49" i="15" s="1"/>
  <c r="U49" i="355"/>
  <c r="L52" i="355" s="1"/>
  <c r="T49" i="355"/>
  <c r="I49" i="355" s="1"/>
  <c r="S49" i="300"/>
  <c r="R49" i="300"/>
  <c r="Q49" i="300"/>
  <c r="U49" i="299"/>
  <c r="L52" i="299" s="1"/>
  <c r="T49" i="299"/>
  <c r="I49" i="299" s="1"/>
  <c r="U49" i="190"/>
  <c r="L52" i="190" s="1"/>
  <c r="T49" i="190"/>
  <c r="I49" i="190" s="1"/>
  <c r="U49" i="16"/>
  <c r="L52" i="16" s="1"/>
  <c r="T49" i="16"/>
  <c r="I49" i="16" s="1"/>
  <c r="U49" i="54"/>
  <c r="L52" i="54" s="1"/>
  <c r="T49" i="54"/>
  <c r="I49" i="54" s="1"/>
  <c r="U49" i="384"/>
  <c r="L52" i="384" s="1"/>
  <c r="I49" i="384"/>
  <c r="U49" i="201"/>
  <c r="L52" i="201" s="1"/>
  <c r="T49" i="201"/>
  <c r="I49" i="201" s="1"/>
  <c r="U49" i="249"/>
  <c r="L52" i="249" s="1"/>
  <c r="T49" i="249"/>
  <c r="I49" i="249" s="1"/>
  <c r="U49" i="19"/>
  <c r="L52" i="19" s="1"/>
  <c r="T49" i="19"/>
  <c r="I49" i="19" s="1"/>
  <c r="U49" i="347"/>
  <c r="L52" i="347" s="1"/>
  <c r="T49" i="347"/>
  <c r="I49" i="347" s="1"/>
  <c r="U49" i="37"/>
  <c r="L52" i="37" s="1"/>
  <c r="T49" i="37"/>
  <c r="I49" i="37" s="1"/>
  <c r="U49" i="204"/>
  <c r="L52" i="204" s="1"/>
  <c r="T49" i="204"/>
  <c r="I49" i="204" s="1"/>
  <c r="U49" i="363"/>
  <c r="T49" i="363"/>
  <c r="I49" i="363" s="1"/>
  <c r="U49" i="31"/>
  <c r="L52" i="31" s="1"/>
  <c r="T49" i="31"/>
  <c r="I49" i="31" s="1"/>
  <c r="S49" i="170"/>
  <c r="R49" i="170"/>
  <c r="Q49" i="170"/>
  <c r="U49" i="168"/>
  <c r="L52" i="168" s="1"/>
  <c r="T49" i="168"/>
  <c r="I49" i="168" s="1"/>
  <c r="U49" i="169"/>
  <c r="L52" i="169" s="1"/>
  <c r="T49" i="169"/>
  <c r="I49" i="169" s="1"/>
  <c r="U49" i="336"/>
  <c r="L52" i="336" s="1"/>
  <c r="T49" i="336"/>
  <c r="I49" i="336" s="1"/>
  <c r="U49" i="342"/>
  <c r="L52" i="342" s="1"/>
  <c r="T49" i="342"/>
  <c r="I49" i="342" s="1"/>
  <c r="U49" i="33"/>
  <c r="L52" i="33" s="1"/>
  <c r="T49" i="33"/>
  <c r="I49" i="33" s="1"/>
  <c r="U49" i="318"/>
  <c r="L52" i="318" s="1"/>
  <c r="T49" i="318"/>
  <c r="I49" i="318" s="1"/>
  <c r="U49" i="288"/>
  <c r="L52" i="288" s="1"/>
  <c r="T49" i="288"/>
  <c r="I49" i="288" s="1"/>
  <c r="U49" i="337"/>
  <c r="L52" i="337" s="1"/>
  <c r="T49" i="337"/>
  <c r="I49" i="337" s="1"/>
  <c r="U49" i="227"/>
  <c r="L52" i="227" s="1"/>
  <c r="T49" i="227"/>
  <c r="I49" i="227" s="1"/>
  <c r="S49" i="388"/>
  <c r="R49" i="388"/>
  <c r="Q49" i="388"/>
  <c r="U49" i="290"/>
  <c r="L52" i="290" s="1"/>
  <c r="T49" i="290"/>
  <c r="I49" i="290" s="1"/>
  <c r="U49" i="289"/>
  <c r="L52" i="289" s="1"/>
  <c r="T49" i="289"/>
  <c r="I49" i="289" s="1"/>
  <c r="U49" i="293"/>
  <c r="L52" i="293" s="1"/>
  <c r="T49" i="293"/>
  <c r="I49" i="293" s="1"/>
  <c r="U49" i="348"/>
  <c r="L52" i="348" s="1"/>
  <c r="T49" i="348"/>
  <c r="I49" i="348" s="1"/>
  <c r="U49" i="297"/>
  <c r="L52" i="297" s="1"/>
  <c r="T49" i="297"/>
  <c r="I49" i="297" s="1"/>
  <c r="U49" i="350"/>
  <c r="L52" i="350" s="1"/>
  <c r="T49" i="350"/>
  <c r="I49" i="350" s="1"/>
  <c r="U49" i="105"/>
  <c r="L52" i="105" s="1"/>
  <c r="T49" i="105"/>
  <c r="I49" i="105" s="1"/>
  <c r="U49" i="294"/>
  <c r="L52" i="294" s="1"/>
  <c r="T49" i="294"/>
  <c r="I49" i="294" s="1"/>
  <c r="U49" i="206"/>
  <c r="L52" i="206" s="1"/>
  <c r="T49" i="206"/>
  <c r="I49" i="206" s="1"/>
  <c r="U49" i="22"/>
  <c r="L52" i="22" s="1"/>
  <c r="T49" i="22"/>
  <c r="I49" i="22" s="1"/>
  <c r="U49" i="301"/>
  <c r="L52" i="301" s="1"/>
  <c r="T49" i="301"/>
  <c r="I49" i="301" s="1"/>
  <c r="U49" i="344"/>
  <c r="L52" i="344" s="1"/>
  <c r="T49" i="344"/>
  <c r="I49" i="344" s="1"/>
  <c r="U49" i="340"/>
  <c r="L52" i="340" s="1"/>
  <c r="T49" i="340"/>
  <c r="I49" i="340" s="1"/>
  <c r="U49" i="34"/>
  <c r="L52" i="34" s="1"/>
  <c r="T49" i="34"/>
  <c r="I49" i="34" s="1"/>
  <c r="U49" i="135"/>
  <c r="L52" i="135" s="1"/>
  <c r="T49" i="135"/>
  <c r="I49" i="135" s="1"/>
  <c r="U49" i="295"/>
  <c r="L52" i="295" s="1"/>
  <c r="T49" i="295"/>
  <c r="I49" i="295" s="1"/>
  <c r="U49" i="283"/>
  <c r="L52" i="283" s="1"/>
  <c r="T49" i="283"/>
  <c r="I49" i="283" s="1"/>
  <c r="U49" i="284"/>
  <c r="L52" i="284" s="1"/>
  <c r="T49" i="284"/>
  <c r="I49" i="284" s="1"/>
  <c r="U49" i="292"/>
  <c r="L52" i="292" s="1"/>
  <c r="T49" i="292"/>
  <c r="I49" i="292" s="1"/>
  <c r="T49" i="339"/>
  <c r="I49" i="339" s="1"/>
  <c r="U49" i="325"/>
  <c r="L52" i="325" s="1"/>
  <c r="T49" i="325"/>
  <c r="I49" i="325" s="1"/>
  <c r="U49" i="269"/>
  <c r="L52" i="269" s="1"/>
  <c r="T49" i="269"/>
  <c r="I49" i="269" s="1"/>
  <c r="U49" i="11"/>
  <c r="L52" i="11" s="1"/>
  <c r="T49" i="11"/>
  <c r="I49" i="11" s="1"/>
  <c r="U49" i="101"/>
  <c r="L52" i="101" s="1"/>
  <c r="T49" i="101"/>
  <c r="I49" i="101" s="1"/>
  <c r="U49" i="382"/>
  <c r="L52" i="382" s="1"/>
  <c r="T49" i="382"/>
  <c r="I49" i="382" s="1"/>
  <c r="U49" i="102"/>
  <c r="L52" i="102" s="1"/>
  <c r="T49" i="102"/>
  <c r="I49" i="102" s="1"/>
  <c r="U49" i="103"/>
  <c r="L52" i="103" s="1"/>
  <c r="T49" i="103"/>
  <c r="I49" i="103" s="1"/>
  <c r="U49" i="411"/>
  <c r="L52" i="411" s="1"/>
  <c r="T49" i="411"/>
  <c r="I49" i="411" s="1"/>
  <c r="U49" i="265"/>
  <c r="L52" i="265" s="1"/>
  <c r="T49" i="265"/>
  <c r="I49" i="265" s="1"/>
  <c r="U49" i="262"/>
  <c r="L52" i="262" s="1"/>
  <c r="T49" i="262"/>
  <c r="I49" i="262" s="1"/>
  <c r="U49" i="112"/>
  <c r="L52" i="112" s="1"/>
  <c r="T49" i="112"/>
  <c r="I49" i="112" s="1"/>
  <c r="U49" i="109"/>
  <c r="L52" i="109" s="1"/>
  <c r="T49" i="109"/>
  <c r="I49" i="109" s="1"/>
  <c r="U49" i="85"/>
  <c r="L52" i="85" s="1"/>
  <c r="T49" i="85"/>
  <c r="I49" i="85" s="1"/>
  <c r="U49" i="324"/>
  <c r="L52" i="324" s="1"/>
  <c r="T49" i="324"/>
  <c r="I49" i="324" s="1"/>
  <c r="U49" i="32"/>
  <c r="L52" i="32" s="1"/>
  <c r="T49" i="32"/>
  <c r="I49" i="32" s="1"/>
  <c r="U49" i="196"/>
  <c r="L52" i="196" s="1"/>
  <c r="T49" i="196"/>
  <c r="I49" i="196" s="1"/>
  <c r="T49" i="197"/>
  <c r="I49" i="197" s="1"/>
  <c r="U49" i="198"/>
  <c r="L52" i="198" s="1"/>
  <c r="T49" i="198"/>
  <c r="I49" i="198" s="1"/>
  <c r="U49" i="345"/>
  <c r="L52" i="345" s="1"/>
  <c r="T49" i="345"/>
  <c r="I49" i="345" s="1"/>
  <c r="U49" i="346"/>
  <c r="L52" i="346" s="1"/>
  <c r="T49" i="346"/>
  <c r="I49" i="346" s="1"/>
  <c r="U49" i="74"/>
  <c r="L52" i="74" s="1"/>
  <c r="T49" i="74"/>
  <c r="I49" i="74" s="1"/>
  <c r="U49" i="200"/>
  <c r="L52" i="200" s="1"/>
  <c r="T49" i="200"/>
  <c r="I49" i="200" s="1"/>
  <c r="U49" i="280"/>
  <c r="L52" i="280" s="1"/>
  <c r="T49" i="280"/>
  <c r="I49" i="280" s="1"/>
  <c r="U49" i="45"/>
  <c r="L52" i="45" s="1"/>
  <c r="T49" i="45"/>
  <c r="I49" i="45" s="1"/>
  <c r="U49" i="104"/>
  <c r="L52" i="104" s="1"/>
  <c r="T49" i="104"/>
  <c r="I49" i="104" s="1"/>
  <c r="U49" i="254"/>
  <c r="L52" i="254" s="1"/>
  <c r="T49" i="254"/>
  <c r="I49" i="254" s="1"/>
  <c r="S49" i="185"/>
  <c r="R49" i="185"/>
  <c r="Q49" i="185"/>
  <c r="U49" i="181"/>
  <c r="L52" i="181" s="1"/>
  <c r="T49" i="181"/>
  <c r="I49" i="181" s="1"/>
  <c r="U49" i="183"/>
  <c r="L52" i="183" s="1"/>
  <c r="T49" i="183"/>
  <c r="I49" i="183" s="1"/>
  <c r="U49" i="184"/>
  <c r="L52" i="184" s="1"/>
  <c r="T49" i="184"/>
  <c r="I49" i="184" s="1"/>
  <c r="S49" i="144"/>
  <c r="R49" i="144"/>
  <c r="Q49" i="144"/>
  <c r="U49" i="27"/>
  <c r="L52" i="27" s="1"/>
  <c r="T49" i="27"/>
  <c r="I49" i="27" s="1"/>
  <c r="U49" i="143"/>
  <c r="L52" i="143" s="1"/>
  <c r="T49" i="143"/>
  <c r="I49" i="143" s="1"/>
  <c r="U49" i="268"/>
  <c r="T49" i="268"/>
  <c r="I49" i="268" s="1"/>
  <c r="U49" i="263"/>
  <c r="L52" i="263" s="1"/>
  <c r="T49" i="263"/>
  <c r="I49" i="263" s="1"/>
  <c r="U49" i="209"/>
  <c r="L52" i="209" s="1"/>
  <c r="T49" i="209"/>
  <c r="I49" i="209" s="1"/>
  <c r="U49" i="192"/>
  <c r="L52" i="192" s="1"/>
  <c r="T49" i="192"/>
  <c r="I49" i="192" s="1"/>
  <c r="U49" i="140"/>
  <c r="L52" i="140" s="1"/>
  <c r="T49" i="140"/>
  <c r="I49" i="140" s="1"/>
  <c r="U49" i="270"/>
  <c r="L52" i="270" s="1"/>
  <c r="T49" i="270"/>
  <c r="I49" i="270" s="1"/>
  <c r="U49" i="271"/>
  <c r="L52" i="271" s="1"/>
  <c r="T49" i="271"/>
  <c r="I49" i="271" s="1"/>
  <c r="S49" i="186"/>
  <c r="R49" i="186"/>
  <c r="Q49" i="186"/>
  <c r="U49" i="159"/>
  <c r="L52" i="159" s="1"/>
  <c r="T49" i="159"/>
  <c r="I49" i="159" s="1"/>
  <c r="U49" i="160"/>
  <c r="L52" i="160" s="1"/>
  <c r="T49" i="160"/>
  <c r="I49" i="160" s="1"/>
  <c r="U49" i="107"/>
  <c r="L52" i="107" s="1"/>
  <c r="T49" i="107"/>
  <c r="I49" i="107" s="1"/>
  <c r="U49" i="176"/>
  <c r="L52" i="176" s="1"/>
  <c r="T49" i="176"/>
  <c r="I49" i="176" s="1"/>
  <c r="U49" i="281"/>
  <c r="L52" i="281" s="1"/>
  <c r="T49" i="281"/>
  <c r="I49" i="281" s="1"/>
  <c r="U49" i="332"/>
  <c r="L52" i="332" s="1"/>
  <c r="T49" i="332"/>
  <c r="I49" i="332" s="1"/>
  <c r="U49" i="25"/>
  <c r="L52" i="25" s="1"/>
  <c r="T49" i="25"/>
  <c r="I49" i="25" s="1"/>
  <c r="U49" i="24"/>
  <c r="L52" i="24" s="1"/>
  <c r="T49" i="24"/>
  <c r="I49" i="24" s="1"/>
  <c r="U49" i="116"/>
  <c r="L52" i="116" s="1"/>
  <c r="T49" i="116"/>
  <c r="I49" i="116" s="1"/>
  <c r="U49" i="285"/>
  <c r="L52" i="285" s="1"/>
  <c r="T49" i="285"/>
  <c r="I49" i="285" s="1"/>
  <c r="U49" i="272"/>
  <c r="L52" i="272" s="1"/>
  <c r="T49" i="272"/>
  <c r="I49" i="272" s="1"/>
  <c r="U49" i="87"/>
  <c r="L52" i="87" s="1"/>
  <c r="T49" i="87"/>
  <c r="I49" i="87" s="1"/>
  <c r="U49" i="287"/>
  <c r="L52" i="287" s="1"/>
  <c r="T49" i="287"/>
  <c r="I49" i="287" s="1"/>
  <c r="U49" i="276"/>
  <c r="L52" i="276" s="1"/>
  <c r="T49" i="276"/>
  <c r="I49" i="276" s="1"/>
  <c r="S49" i="231"/>
  <c r="U49" i="231" s="1"/>
  <c r="L52" i="231" s="1"/>
  <c r="R49" i="231"/>
  <c r="Q49" i="231"/>
  <c r="F49" i="231" s="1"/>
  <c r="G50" i="231" s="1"/>
  <c r="U49" i="229"/>
  <c r="L52" i="229" s="1"/>
  <c r="T49" i="229"/>
  <c r="I49" i="229" s="1"/>
  <c r="U49" i="230"/>
  <c r="L52" i="230" s="1"/>
  <c r="U49" i="326"/>
  <c r="L52" i="326" s="1"/>
  <c r="T49" i="326"/>
  <c r="I49" i="326" s="1"/>
  <c r="U49" i="47"/>
  <c r="L52" i="47" s="1"/>
  <c r="T49" i="47"/>
  <c r="I49" i="47" s="1"/>
  <c r="U49" i="46"/>
  <c r="L52" i="46" s="1"/>
  <c r="T49" i="46"/>
  <c r="I49" i="46" s="1"/>
  <c r="U49" i="248"/>
  <c r="L52" i="248" s="1"/>
  <c r="T49" i="248"/>
  <c r="I49" i="248" s="1"/>
  <c r="U49" i="239"/>
  <c r="L52" i="239" s="1"/>
  <c r="T49" i="239"/>
  <c r="I49" i="239" s="1"/>
  <c r="U49" i="243"/>
  <c r="L52" i="243" s="1"/>
  <c r="T49" i="243"/>
  <c r="I49" i="243" s="1"/>
  <c r="S49" i="247"/>
  <c r="R49" i="247"/>
  <c r="Q49" i="247"/>
  <c r="U49" i="244"/>
  <c r="L52" i="244" s="1"/>
  <c r="T49" i="244"/>
  <c r="I49" i="244" s="1"/>
  <c r="U49" i="246"/>
  <c r="L52" i="246" s="1"/>
  <c r="T49" i="246"/>
  <c r="I49" i="246" s="1"/>
  <c r="T49" i="35"/>
  <c r="I49" i="35" s="1"/>
  <c r="L52" i="202" l="1"/>
  <c r="L52" i="432"/>
  <c r="L52" i="35"/>
  <c r="F49" i="149"/>
  <c r="G50" i="149" s="1"/>
  <c r="U51" i="149"/>
  <c r="F49" i="142"/>
  <c r="G50" i="142" s="1"/>
  <c r="U51" i="142"/>
  <c r="F49" i="388"/>
  <c r="G50" i="388" s="1"/>
  <c r="U51" i="388"/>
  <c r="F49" i="253"/>
  <c r="G50" i="253" s="1"/>
  <c r="U51" i="253"/>
  <c r="F49" i="395"/>
  <c r="G50" i="395" s="1"/>
  <c r="U51" i="395"/>
  <c r="F49" i="414"/>
  <c r="G50" i="414" s="1"/>
  <c r="U51" i="414"/>
  <c r="F49" i="321"/>
  <c r="G50" i="321" s="1"/>
  <c r="U51" i="321"/>
  <c r="F49" i="144"/>
  <c r="G50" i="144" s="1"/>
  <c r="U51" i="144"/>
  <c r="F49" i="247"/>
  <c r="G50" i="247" s="1"/>
  <c r="U51" i="247"/>
  <c r="F49" i="300"/>
  <c r="G50" i="300" s="1"/>
  <c r="U51" i="300"/>
  <c r="F49" i="398"/>
  <c r="G50" i="398" s="1"/>
  <c r="U51" i="398"/>
  <c r="F49" i="186"/>
  <c r="G50" i="186" s="1"/>
  <c r="U51" i="186"/>
  <c r="F49" i="185"/>
  <c r="G50" i="185" s="1"/>
  <c r="U51" i="185"/>
  <c r="F49" i="170"/>
  <c r="G50" i="170" s="1"/>
  <c r="U51" i="170"/>
  <c r="F49" i="195"/>
  <c r="G50" i="195" s="1"/>
  <c r="U51" i="195"/>
  <c r="T49" i="395"/>
  <c r="I49" i="395" s="1"/>
  <c r="T49" i="414"/>
  <c r="I49" i="414" s="1"/>
  <c r="T49" i="253"/>
  <c r="I49" i="253" s="1"/>
  <c r="T49" i="142"/>
  <c r="I49" i="142" s="1"/>
  <c r="T49" i="144"/>
  <c r="I49" i="144" s="1"/>
  <c r="T49" i="388"/>
  <c r="I49" i="388" s="1"/>
  <c r="T49" i="300"/>
  <c r="I49" i="300" s="1"/>
  <c r="T49" i="398"/>
  <c r="I49" i="398" s="1"/>
  <c r="T49" i="185"/>
  <c r="I49" i="185" s="1"/>
  <c r="T49" i="170"/>
  <c r="I49" i="170" s="1"/>
  <c r="T49" i="404"/>
  <c r="I49" i="404" s="1"/>
  <c r="T49" i="247"/>
  <c r="I49" i="247" s="1"/>
  <c r="T49" i="231"/>
  <c r="I49" i="231" s="1"/>
  <c r="T49" i="321"/>
  <c r="I49" i="321" s="1"/>
  <c r="T49" i="195"/>
  <c r="I49" i="195" s="1"/>
  <c r="T49" i="149"/>
  <c r="I49" i="149" s="1"/>
  <c r="T49" i="186"/>
  <c r="I49" i="186" s="1"/>
  <c r="D247" i="417" l="1"/>
  <c r="K7" i="191"/>
  <c r="S48" i="327"/>
  <c r="R48" i="327"/>
  <c r="Q48" i="327"/>
  <c r="U50" i="327" s="1"/>
  <c r="U48" i="391"/>
  <c r="F48" i="391"/>
  <c r="G49" i="391" s="1"/>
  <c r="F48" i="432"/>
  <c r="G49" i="432" s="1"/>
  <c r="F48" i="9"/>
  <c r="G49" i="9" s="1"/>
  <c r="F48" i="75"/>
  <c r="G49" i="75" s="1"/>
  <c r="F48" i="441"/>
  <c r="G49" i="441" s="1"/>
  <c r="F48" i="434"/>
  <c r="G49" i="434" s="1"/>
  <c r="F48" i="435"/>
  <c r="G49" i="435" s="1"/>
  <c r="F48" i="436"/>
  <c r="G49" i="436" s="1"/>
  <c r="F48" i="438"/>
  <c r="G49" i="438" s="1"/>
  <c r="F48" i="440"/>
  <c r="G49" i="440" s="1"/>
  <c r="F48" i="437"/>
  <c r="G49" i="437" s="1"/>
  <c r="F48" i="439"/>
  <c r="G49" i="439" s="1"/>
  <c r="F48" i="89"/>
  <c r="G49" i="89" s="1"/>
  <c r="F48" i="389"/>
  <c r="G49" i="389" s="1"/>
  <c r="F48" i="386"/>
  <c r="G49" i="386" s="1"/>
  <c r="F48" i="303"/>
  <c r="G49" i="303" s="1"/>
  <c r="F48" i="424"/>
  <c r="G49" i="424" s="1"/>
  <c r="F48" i="113"/>
  <c r="G49" i="113" s="1"/>
  <c r="F48" i="431"/>
  <c r="G49" i="431" s="1"/>
  <c r="F48" i="361"/>
  <c r="G49" i="361" s="1"/>
  <c r="F48" i="351"/>
  <c r="G49" i="351" s="1"/>
  <c r="F48" i="352"/>
  <c r="G49" i="352" s="1"/>
  <c r="F48" i="202"/>
  <c r="G49" i="202" s="1"/>
  <c r="F48" i="392"/>
  <c r="G49" i="392" s="1"/>
  <c r="F48" i="371"/>
  <c r="G49" i="371" s="1"/>
  <c r="F48" i="430"/>
  <c r="G49" i="430" s="1"/>
  <c r="F48" i="296"/>
  <c r="G49" i="296" s="1"/>
  <c r="F48" i="322"/>
  <c r="G49" i="322" s="1"/>
  <c r="F48" i="353"/>
  <c r="G49" i="353" s="1"/>
  <c r="F48" i="362"/>
  <c r="G49" i="362" s="1"/>
  <c r="F48" i="354"/>
  <c r="G49" i="354" s="1"/>
  <c r="F48" i="233"/>
  <c r="G49" i="233" s="1"/>
  <c r="F48" i="298"/>
  <c r="G49" i="298" s="1"/>
  <c r="F48" i="367"/>
  <c r="G49" i="367" s="1"/>
  <c r="F48" i="387"/>
  <c r="G49" i="387" s="1"/>
  <c r="F48" i="314"/>
  <c r="G49" i="314" s="1"/>
  <c r="F48" i="18"/>
  <c r="G49" i="18" s="1"/>
  <c r="F48" i="20"/>
  <c r="G49" i="20" s="1"/>
  <c r="F48" i="422"/>
  <c r="G49" i="422" s="1"/>
  <c r="F48" i="43"/>
  <c r="G49" i="43" s="1"/>
  <c r="F48" i="21"/>
  <c r="G49" i="21" s="1"/>
  <c r="F48" i="423"/>
  <c r="G49" i="423" s="1"/>
  <c r="F48" i="152"/>
  <c r="G49" i="152" s="1"/>
  <c r="F48" i="13"/>
  <c r="G49" i="13" s="1"/>
  <c r="F48" i="261"/>
  <c r="G49" i="261" s="1"/>
  <c r="F48" i="153"/>
  <c r="G49" i="153" s="1"/>
  <c r="F48" i="257"/>
  <c r="G49" i="257" s="1"/>
  <c r="F48" i="409"/>
  <c r="G49" i="409" s="1"/>
  <c r="F48" i="174"/>
  <c r="G49" i="174" s="1"/>
  <c r="F48" i="328"/>
  <c r="G49" i="328" s="1"/>
  <c r="F48" i="329"/>
  <c r="G49" i="329" s="1"/>
  <c r="F48" i="5"/>
  <c r="G49" i="5" s="1"/>
  <c r="F48" i="207"/>
  <c r="G49" i="207" s="1"/>
  <c r="F48" i="194"/>
  <c r="G49" i="194" s="1"/>
  <c r="F48" i="193"/>
  <c r="G49" i="193" s="1"/>
  <c r="F48" i="413"/>
  <c r="G49" i="413" s="1"/>
  <c r="F48" i="17"/>
  <c r="G49" i="17" s="1"/>
  <c r="F48" i="48"/>
  <c r="G49" i="48" s="1"/>
  <c r="F48" i="7"/>
  <c r="G49" i="7" s="1"/>
  <c r="F48" i="1"/>
  <c r="G49" i="1" s="1"/>
  <c r="F48" i="397"/>
  <c r="G49" i="397" s="1"/>
  <c r="F48" i="319"/>
  <c r="G49" i="319" s="1"/>
  <c r="F48" i="320"/>
  <c r="G49" i="320" s="1"/>
  <c r="F48" i="429"/>
  <c r="G49" i="429" s="1"/>
  <c r="F48" i="12"/>
  <c r="G49" i="12" s="1"/>
  <c r="F48" i="356"/>
  <c r="G49" i="356" s="1"/>
  <c r="F48" i="394"/>
  <c r="G49" i="394" s="1"/>
  <c r="F48" i="393"/>
  <c r="G49" i="393" s="1"/>
  <c r="F48" i="433"/>
  <c r="G49" i="433" s="1"/>
  <c r="F48" i="23"/>
  <c r="G49" i="23" s="1"/>
  <c r="F48" i="52"/>
  <c r="G49" i="52" s="1"/>
  <c r="F48" i="425"/>
  <c r="G49" i="425" s="1"/>
  <c r="F48" i="88"/>
  <c r="G49" i="88" s="1"/>
  <c r="F48" i="148"/>
  <c r="G49" i="148" s="1"/>
  <c r="F48" i="97"/>
  <c r="G49" i="97" s="1"/>
  <c r="F48" i="383"/>
  <c r="G49" i="383" s="1"/>
  <c r="F48" i="28"/>
  <c r="G49" i="28" s="1"/>
  <c r="F48" i="29"/>
  <c r="G49" i="29" s="1"/>
  <c r="F48" i="359"/>
  <c r="G49" i="359" s="1"/>
  <c r="F48" i="360"/>
  <c r="G49" i="360" s="1"/>
  <c r="F48" i="368"/>
  <c r="G49" i="368" s="1"/>
  <c r="F48" i="364"/>
  <c r="G49" i="364" s="1"/>
  <c r="F48" i="420"/>
  <c r="G49" i="420" s="1"/>
  <c r="F48" i="8"/>
  <c r="G49" i="8" s="1"/>
  <c r="F48" i="203"/>
  <c r="G49" i="203" s="1"/>
  <c r="F48" i="191"/>
  <c r="G49" i="191" s="1"/>
  <c r="F48" i="2"/>
  <c r="G49" i="2" s="1"/>
  <c r="F48" i="442"/>
  <c r="G49" i="442" s="1"/>
  <c r="F48" i="164"/>
  <c r="G49" i="164" s="1"/>
  <c r="F48" i="162"/>
  <c r="G49" i="162" s="1"/>
  <c r="F48" i="421"/>
  <c r="G49" i="421" s="1"/>
  <c r="F48" i="333"/>
  <c r="G49" i="333" s="1"/>
  <c r="F48" i="53"/>
  <c r="G49" i="53" s="1"/>
  <c r="F48" i="114"/>
  <c r="G49" i="114" s="1"/>
  <c r="F48" i="323"/>
  <c r="G49" i="323" s="1"/>
  <c r="F48" i="400"/>
  <c r="G49" i="400" s="1"/>
  <c r="F48" i="402"/>
  <c r="G49" i="402" s="1"/>
  <c r="F48" i="403"/>
  <c r="G49" i="403" s="1"/>
  <c r="F48" i="385"/>
  <c r="G49" i="385" s="1"/>
  <c r="F48" i="334"/>
  <c r="G49" i="334" s="1"/>
  <c r="F48" i="3"/>
  <c r="G49" i="3" s="1"/>
  <c r="F48" i="349"/>
  <c r="G49" i="349" s="1"/>
  <c r="F48" i="4"/>
  <c r="G49" i="4" s="1"/>
  <c r="F48" i="15"/>
  <c r="G49" i="15" s="1"/>
  <c r="F48" i="355"/>
  <c r="G49" i="355" s="1"/>
  <c r="F48" i="299"/>
  <c r="G49" i="299" s="1"/>
  <c r="F48" i="190"/>
  <c r="G49" i="190" s="1"/>
  <c r="F48" i="16"/>
  <c r="G49" i="16" s="1"/>
  <c r="F48" i="54"/>
  <c r="G49" i="54" s="1"/>
  <c r="F48" i="384"/>
  <c r="G49" i="384" s="1"/>
  <c r="F48" i="201"/>
  <c r="G49" i="201" s="1"/>
  <c r="F48" i="249"/>
  <c r="G49" i="249" s="1"/>
  <c r="F48" i="19"/>
  <c r="G49" i="19" s="1"/>
  <c r="F48" i="347"/>
  <c r="G49" i="347" s="1"/>
  <c r="F48" i="37"/>
  <c r="G49" i="37" s="1"/>
  <c r="F48" i="204"/>
  <c r="G49" i="204" s="1"/>
  <c r="F48" i="363"/>
  <c r="G49" i="363" s="1"/>
  <c r="F48" i="31"/>
  <c r="G49" i="31" s="1"/>
  <c r="F48" i="168"/>
  <c r="G49" i="168" s="1"/>
  <c r="F48" i="169"/>
  <c r="G49" i="169" s="1"/>
  <c r="F48" i="336"/>
  <c r="G49" i="336" s="1"/>
  <c r="F48" i="342"/>
  <c r="G49" i="342" s="1"/>
  <c r="F48" i="33"/>
  <c r="G49" i="33" s="1"/>
  <c r="F48" i="318"/>
  <c r="G49" i="318" s="1"/>
  <c r="F48" i="288"/>
  <c r="G49" i="288" s="1"/>
  <c r="F48" i="337"/>
  <c r="G49" i="337" s="1"/>
  <c r="F48" i="227"/>
  <c r="G49" i="227" s="1"/>
  <c r="F48" i="290"/>
  <c r="G49" i="290" s="1"/>
  <c r="F48" i="289"/>
  <c r="G49" i="289" s="1"/>
  <c r="F48" i="293"/>
  <c r="G49" i="293" s="1"/>
  <c r="F48" i="348"/>
  <c r="G49" i="348" s="1"/>
  <c r="F48" i="297"/>
  <c r="G49" i="297" s="1"/>
  <c r="F48" i="350"/>
  <c r="G49" i="350" s="1"/>
  <c r="F48" i="105"/>
  <c r="G49" i="105" s="1"/>
  <c r="F48" i="294"/>
  <c r="G49" i="294" s="1"/>
  <c r="F48" i="206"/>
  <c r="G49" i="206" s="1"/>
  <c r="F48" i="22"/>
  <c r="G49" i="22" s="1"/>
  <c r="F48" i="301"/>
  <c r="G49" i="301" s="1"/>
  <c r="F48" i="344"/>
  <c r="G49" i="344" s="1"/>
  <c r="F48" i="61"/>
  <c r="G49" i="61" s="1"/>
  <c r="F48" i="338"/>
  <c r="G49" i="338" s="1"/>
  <c r="F48" i="340"/>
  <c r="G49" i="340" s="1"/>
  <c r="F48" i="34"/>
  <c r="G49" i="34" s="1"/>
  <c r="F48" i="187"/>
  <c r="G49" i="187" s="1"/>
  <c r="F48" i="135"/>
  <c r="G49" i="135" s="1"/>
  <c r="F48" i="295"/>
  <c r="G49" i="295" s="1"/>
  <c r="F48" i="283"/>
  <c r="G49" i="283" s="1"/>
  <c r="F48" i="284"/>
  <c r="G49" i="284" s="1"/>
  <c r="F48" i="292"/>
  <c r="G49" i="292" s="1"/>
  <c r="F48" i="339"/>
  <c r="G49" i="339" s="1"/>
  <c r="F48" i="325"/>
  <c r="G49" i="325" s="1"/>
  <c r="F48" i="269"/>
  <c r="G49" i="269" s="1"/>
  <c r="F48" i="11"/>
  <c r="G49" i="11" s="1"/>
  <c r="F48" i="101"/>
  <c r="G49" i="101" s="1"/>
  <c r="F48" i="382"/>
  <c r="G49" i="382" s="1"/>
  <c r="F48" i="102"/>
  <c r="G49" i="102" s="1"/>
  <c r="F48" i="103"/>
  <c r="G49" i="103" s="1"/>
  <c r="F48" i="411"/>
  <c r="G49" i="411" s="1"/>
  <c r="F48" i="265"/>
  <c r="G49" i="265" s="1"/>
  <c r="F48" i="262"/>
  <c r="G49" i="262" s="1"/>
  <c r="F48" i="112"/>
  <c r="G49" i="112" s="1"/>
  <c r="F48" i="109"/>
  <c r="G49" i="109" s="1"/>
  <c r="F48" i="85"/>
  <c r="G49" i="85" s="1"/>
  <c r="F48" i="324"/>
  <c r="G49" i="324" s="1"/>
  <c r="F48" i="32"/>
  <c r="G49" i="32" s="1"/>
  <c r="F48" i="196"/>
  <c r="G49" i="196" s="1"/>
  <c r="F48" i="197"/>
  <c r="G49" i="197" s="1"/>
  <c r="F48" i="198"/>
  <c r="G49" i="198" s="1"/>
  <c r="F48" i="345"/>
  <c r="G49" i="345" s="1"/>
  <c r="F48" i="346"/>
  <c r="G49" i="346" s="1"/>
  <c r="F48" i="74"/>
  <c r="G49" i="74" s="1"/>
  <c r="F48" i="200"/>
  <c r="G49" i="200" s="1"/>
  <c r="F48" i="280"/>
  <c r="G49" i="280" s="1"/>
  <c r="F48" i="45"/>
  <c r="G49" i="45" s="1"/>
  <c r="F48" i="104"/>
  <c r="G49" i="104" s="1"/>
  <c r="F48" i="254"/>
  <c r="G49" i="254" s="1"/>
  <c r="F48" i="181"/>
  <c r="G49" i="181" s="1"/>
  <c r="F48" i="183"/>
  <c r="G49" i="183" s="1"/>
  <c r="F48" i="184"/>
  <c r="G49" i="184" s="1"/>
  <c r="F48" i="27"/>
  <c r="G49" i="27" s="1"/>
  <c r="F48" i="143"/>
  <c r="G49" i="143" s="1"/>
  <c r="F48" i="268"/>
  <c r="G49" i="268" s="1"/>
  <c r="F48" i="263"/>
  <c r="G49" i="263" s="1"/>
  <c r="F48" i="209"/>
  <c r="G49" i="209" s="1"/>
  <c r="F48" i="192"/>
  <c r="G49" i="192" s="1"/>
  <c r="F48" i="140"/>
  <c r="G49" i="140" s="1"/>
  <c r="F48" i="270"/>
  <c r="G49" i="270" s="1"/>
  <c r="F48" i="271"/>
  <c r="G49" i="271" s="1"/>
  <c r="F48" i="159"/>
  <c r="G49" i="159" s="1"/>
  <c r="F48" i="160"/>
  <c r="G49" i="160" s="1"/>
  <c r="F48" i="107"/>
  <c r="G49" i="107" s="1"/>
  <c r="F48" i="176"/>
  <c r="G49" i="176" s="1"/>
  <c r="F48" i="281"/>
  <c r="G49" i="281" s="1"/>
  <c r="F48" i="332"/>
  <c r="G49" i="332" s="1"/>
  <c r="F48" i="25"/>
  <c r="G49" i="25" s="1"/>
  <c r="F48" i="24"/>
  <c r="G49" i="24" s="1"/>
  <c r="F48" i="116"/>
  <c r="G49" i="116" s="1"/>
  <c r="F48" i="285"/>
  <c r="G49" i="285" s="1"/>
  <c r="F48" i="272"/>
  <c r="G49" i="272" s="1"/>
  <c r="F48" i="44"/>
  <c r="F48" i="87"/>
  <c r="G49" i="87" s="1"/>
  <c r="F48" i="287"/>
  <c r="G49" i="287" s="1"/>
  <c r="F48" i="276"/>
  <c r="G49" i="276" s="1"/>
  <c r="F48" i="229"/>
  <c r="G49" i="229" s="1"/>
  <c r="F48" i="230"/>
  <c r="G49" i="230" s="1"/>
  <c r="F48" i="326"/>
  <c r="G49" i="326" s="1"/>
  <c r="F48" i="47"/>
  <c r="G49" i="47" s="1"/>
  <c r="F48" i="248"/>
  <c r="G49" i="248" s="1"/>
  <c r="F48" i="46"/>
  <c r="G49" i="46" s="1"/>
  <c r="F48" i="239"/>
  <c r="G49" i="239" s="1"/>
  <c r="F48" i="243"/>
  <c r="G49" i="243" s="1"/>
  <c r="F48" i="244"/>
  <c r="G49" i="244" s="1"/>
  <c r="F48" i="246"/>
  <c r="G49" i="246" s="1"/>
  <c r="F48" i="35"/>
  <c r="G49" i="35" s="1"/>
  <c r="D248" i="417" l="1"/>
  <c r="S48" i="186"/>
  <c r="R48" i="186"/>
  <c r="Q48" i="186"/>
  <c r="S48" i="185"/>
  <c r="R48" i="185"/>
  <c r="Q48" i="185"/>
  <c r="D249" i="417" l="1"/>
  <c r="F48" i="185"/>
  <c r="G49" i="185" s="1"/>
  <c r="U50" i="185"/>
  <c r="F48" i="186"/>
  <c r="G49" i="186" s="1"/>
  <c r="U50" i="186"/>
  <c r="U46" i="339"/>
  <c r="L49" i="339" s="1"/>
  <c r="K46" i="339"/>
  <c r="D250" i="417" l="1"/>
  <c r="K7" i="338"/>
  <c r="K10" i="338"/>
  <c r="K13" i="338"/>
  <c r="Q48" i="300"/>
  <c r="R48" i="300"/>
  <c r="F48" i="404"/>
  <c r="G49" i="404" s="1"/>
  <c r="S48" i="414"/>
  <c r="R48" i="414"/>
  <c r="Q48" i="414"/>
  <c r="S48" i="253"/>
  <c r="R48" i="253"/>
  <c r="Q48" i="253"/>
  <c r="S48" i="321"/>
  <c r="R48" i="321"/>
  <c r="Q48" i="321"/>
  <c r="S48" i="398"/>
  <c r="R48" i="398"/>
  <c r="Q48" i="398"/>
  <c r="Q41" i="195"/>
  <c r="R41" i="195"/>
  <c r="S41" i="195"/>
  <c r="Q42" i="195"/>
  <c r="R42" i="195"/>
  <c r="S42" i="195"/>
  <c r="Q43" i="195"/>
  <c r="R43" i="195"/>
  <c r="S43" i="195"/>
  <c r="Q44" i="195"/>
  <c r="R44" i="195"/>
  <c r="S44" i="195"/>
  <c r="Q45" i="195"/>
  <c r="R45" i="195"/>
  <c r="S45" i="195"/>
  <c r="Q46" i="195"/>
  <c r="R46" i="195"/>
  <c r="S46" i="195"/>
  <c r="Q47" i="195"/>
  <c r="R47" i="195"/>
  <c r="S47" i="195"/>
  <c r="Q48" i="195"/>
  <c r="R48" i="195"/>
  <c r="S48" i="195"/>
  <c r="F48" i="327"/>
  <c r="G49" i="327" s="1"/>
  <c r="S48" i="142"/>
  <c r="R48" i="142"/>
  <c r="Q48" i="142"/>
  <c r="U46" i="18"/>
  <c r="L49" i="18" s="1"/>
  <c r="U43" i="18"/>
  <c r="T38" i="18"/>
  <c r="I38" i="18" s="1"/>
  <c r="J50" i="18" s="1"/>
  <c r="T39" i="18"/>
  <c r="I39" i="18" s="1"/>
  <c r="J51" i="18" s="1"/>
  <c r="T40" i="18"/>
  <c r="I40" i="18" s="1"/>
  <c r="J52" i="18" s="1"/>
  <c r="T41" i="18"/>
  <c r="I41" i="18" s="1"/>
  <c r="J53" i="18" s="1"/>
  <c r="T42" i="18"/>
  <c r="I42" i="18" s="1"/>
  <c r="J54" i="18" s="1"/>
  <c r="T43" i="18"/>
  <c r="I43" i="18" s="1"/>
  <c r="J55" i="18" s="1"/>
  <c r="T44" i="18"/>
  <c r="I44" i="18" s="1"/>
  <c r="J56" i="18" s="1"/>
  <c r="T45" i="18"/>
  <c r="I45" i="18" s="1"/>
  <c r="T46" i="18"/>
  <c r="I46" i="18" s="1"/>
  <c r="T47" i="18"/>
  <c r="I47" i="18" s="1"/>
  <c r="T48" i="18"/>
  <c r="I48" i="18" s="1"/>
  <c r="U48" i="392"/>
  <c r="C252" i="417" l="1"/>
  <c r="D251" i="417"/>
  <c r="F48" i="398"/>
  <c r="G49" i="398" s="1"/>
  <c r="U50" i="398"/>
  <c r="F48" i="253"/>
  <c r="G49" i="253" s="1"/>
  <c r="U50" i="253"/>
  <c r="F48" i="195"/>
  <c r="G49" i="195" s="1"/>
  <c r="U50" i="195"/>
  <c r="F48" i="321"/>
  <c r="G49" i="321" s="1"/>
  <c r="U50" i="321"/>
  <c r="F48" i="414"/>
  <c r="G49" i="414" s="1"/>
  <c r="U50" i="414"/>
  <c r="F48" i="142"/>
  <c r="G49" i="142" s="1"/>
  <c r="U50" i="142"/>
  <c r="F48" i="300"/>
  <c r="G49" i="300" s="1"/>
  <c r="U50" i="300"/>
  <c r="N49" i="18"/>
  <c r="O52" i="18" s="1"/>
  <c r="K49" i="195"/>
  <c r="U49" i="195"/>
  <c r="L52" i="195" s="1"/>
  <c r="F48" i="357"/>
  <c r="F48" i="365"/>
  <c r="F48" i="366"/>
  <c r="F48" i="279"/>
  <c r="F48" i="335"/>
  <c r="D252" i="417" l="1"/>
  <c r="C253" i="417"/>
  <c r="D253" i="417" s="1"/>
  <c r="K7" i="332"/>
  <c r="S48" i="300" l="1"/>
  <c r="U48" i="442"/>
  <c r="T48" i="442"/>
  <c r="I48" i="442" s="1"/>
  <c r="U47" i="442"/>
  <c r="T47" i="442"/>
  <c r="I47" i="442" s="1"/>
  <c r="F47" i="442"/>
  <c r="U46" i="442"/>
  <c r="L49" i="442" s="1"/>
  <c r="T46" i="442"/>
  <c r="I46" i="442" s="1"/>
  <c r="K46" i="442"/>
  <c r="M46" i="442" s="1"/>
  <c r="F46" i="442"/>
  <c r="T45" i="442"/>
  <c r="I45" i="442" s="1"/>
  <c r="F45" i="442"/>
  <c r="T44" i="442"/>
  <c r="I44" i="442" s="1"/>
  <c r="J56" i="442" s="1"/>
  <c r="F44" i="442"/>
  <c r="H56" i="442" s="1"/>
  <c r="U43" i="442"/>
  <c r="T43" i="442"/>
  <c r="I43" i="442" s="1"/>
  <c r="J55" i="442" s="1"/>
  <c r="K43" i="442"/>
  <c r="F43" i="442"/>
  <c r="H55" i="442" s="1"/>
  <c r="T42" i="442"/>
  <c r="I42" i="442" s="1"/>
  <c r="J54" i="442" s="1"/>
  <c r="F42" i="442"/>
  <c r="H54" i="442" s="1"/>
  <c r="T41" i="442"/>
  <c r="I41" i="442" s="1"/>
  <c r="J53" i="442" s="1"/>
  <c r="F41" i="442"/>
  <c r="H53" i="442" s="1"/>
  <c r="U40" i="442"/>
  <c r="T40" i="442"/>
  <c r="I40" i="442" s="1"/>
  <c r="J52" i="442" s="1"/>
  <c r="K40" i="442"/>
  <c r="M52" i="442" s="1"/>
  <c r="F40" i="442"/>
  <c r="H52" i="442" s="1"/>
  <c r="T39" i="442"/>
  <c r="I39" i="442" s="1"/>
  <c r="J51" i="442" s="1"/>
  <c r="F39" i="442"/>
  <c r="H51" i="442" s="1"/>
  <c r="T38" i="442"/>
  <c r="I38" i="442" s="1"/>
  <c r="F38" i="442"/>
  <c r="H50" i="442" s="1"/>
  <c r="U37" i="442"/>
  <c r="T37" i="442"/>
  <c r="I37" i="442" s="1"/>
  <c r="K37" i="442"/>
  <c r="M49" i="442" s="1"/>
  <c r="F37" i="442"/>
  <c r="H49" i="442" s="1"/>
  <c r="T36" i="442"/>
  <c r="I36" i="442" s="1"/>
  <c r="F36" i="442"/>
  <c r="T35" i="442"/>
  <c r="I35" i="442" s="1"/>
  <c r="F35" i="442"/>
  <c r="U34" i="442"/>
  <c r="T34" i="442"/>
  <c r="I34" i="442" s="1"/>
  <c r="K34" i="442"/>
  <c r="F34" i="442"/>
  <c r="T33" i="442"/>
  <c r="I33" i="442" s="1"/>
  <c r="F33" i="442"/>
  <c r="T32" i="442"/>
  <c r="I32" i="442" s="1"/>
  <c r="F32" i="442"/>
  <c r="U31" i="442"/>
  <c r="T31" i="442"/>
  <c r="I31" i="442" s="1"/>
  <c r="K31" i="442"/>
  <c r="F31" i="442"/>
  <c r="T30" i="442"/>
  <c r="I30" i="442" s="1"/>
  <c r="F30" i="442"/>
  <c r="T29" i="442"/>
  <c r="I29" i="442" s="1"/>
  <c r="F29" i="442"/>
  <c r="U28" i="442"/>
  <c r="T28" i="442"/>
  <c r="I28" i="442" s="1"/>
  <c r="K28" i="442"/>
  <c r="F28" i="442"/>
  <c r="T27" i="442"/>
  <c r="I27" i="442" s="1"/>
  <c r="F27" i="442"/>
  <c r="T26" i="442"/>
  <c r="I26" i="442" s="1"/>
  <c r="F26" i="442"/>
  <c r="U25" i="442"/>
  <c r="T25" i="442"/>
  <c r="I25" i="442" s="1"/>
  <c r="K25" i="442"/>
  <c r="F25" i="442"/>
  <c r="T24" i="442"/>
  <c r="I24" i="442" s="1"/>
  <c r="F24" i="442"/>
  <c r="T23" i="442"/>
  <c r="I23" i="442" s="1"/>
  <c r="F23" i="442"/>
  <c r="U22" i="442"/>
  <c r="T22" i="442"/>
  <c r="I22" i="442" s="1"/>
  <c r="K22" i="442"/>
  <c r="F22" i="442"/>
  <c r="T21" i="442"/>
  <c r="I21" i="442" s="1"/>
  <c r="F21" i="442"/>
  <c r="T20" i="442"/>
  <c r="I20" i="442" s="1"/>
  <c r="F20" i="442"/>
  <c r="U19" i="442"/>
  <c r="T19" i="442"/>
  <c r="I19" i="442" s="1"/>
  <c r="K19" i="442"/>
  <c r="F19" i="442"/>
  <c r="T18" i="442"/>
  <c r="I18" i="442" s="1"/>
  <c r="F18" i="442"/>
  <c r="T17" i="442"/>
  <c r="I17" i="442" s="1"/>
  <c r="F17" i="442"/>
  <c r="U16" i="442"/>
  <c r="T16" i="442"/>
  <c r="I16" i="442" s="1"/>
  <c r="K16" i="442"/>
  <c r="F16" i="442"/>
  <c r="T15" i="442"/>
  <c r="I15" i="442" s="1"/>
  <c r="F15" i="442"/>
  <c r="T14" i="442"/>
  <c r="I14" i="442" s="1"/>
  <c r="F14" i="442"/>
  <c r="U13" i="442"/>
  <c r="T13" i="442"/>
  <c r="I13" i="442" s="1"/>
  <c r="K13" i="442"/>
  <c r="F13" i="442"/>
  <c r="T12" i="442"/>
  <c r="I12" i="442" s="1"/>
  <c r="F12" i="442"/>
  <c r="T11" i="442"/>
  <c r="I11" i="442" s="1"/>
  <c r="F11" i="442"/>
  <c r="U10" i="442"/>
  <c r="T10" i="442"/>
  <c r="I10" i="442" s="1"/>
  <c r="K10" i="442"/>
  <c r="F10" i="442"/>
  <c r="T9" i="442"/>
  <c r="I9" i="442" s="1"/>
  <c r="F9" i="442"/>
  <c r="T8" i="442"/>
  <c r="I8" i="442" s="1"/>
  <c r="F8" i="442"/>
  <c r="U7" i="442"/>
  <c r="T7" i="442"/>
  <c r="I7" i="442" s="1"/>
  <c r="K7" i="442"/>
  <c r="F7" i="442"/>
  <c r="T6" i="442"/>
  <c r="I6" i="442" s="1"/>
  <c r="F6" i="442"/>
  <c r="T5" i="442"/>
  <c r="I5" i="442" s="1"/>
  <c r="F5" i="442"/>
  <c r="M43" i="442" l="1"/>
  <c r="M55" i="442"/>
  <c r="J27" i="442"/>
  <c r="J26" i="442"/>
  <c r="M19" i="442"/>
  <c r="J24" i="442"/>
  <c r="J29" i="442"/>
  <c r="J36" i="442"/>
  <c r="J45" i="442"/>
  <c r="J47" i="442"/>
  <c r="J38" i="442"/>
  <c r="J50" i="442"/>
  <c r="J28" i="442"/>
  <c r="H26" i="442"/>
  <c r="G29" i="442"/>
  <c r="J43" i="442"/>
  <c r="J25" i="442"/>
  <c r="J34" i="442"/>
  <c r="J22" i="442"/>
  <c r="H27" i="442"/>
  <c r="H38" i="442"/>
  <c r="H37" i="442"/>
  <c r="J31" i="442"/>
  <c r="J40" i="442"/>
  <c r="J21" i="442"/>
  <c r="J23" i="442"/>
  <c r="J30" i="442"/>
  <c r="J32" i="442"/>
  <c r="J39" i="442"/>
  <c r="J41" i="442"/>
  <c r="J48" i="442"/>
  <c r="J19" i="442"/>
  <c r="J37" i="442"/>
  <c r="J49" i="442"/>
  <c r="G41" i="442"/>
  <c r="J46" i="442"/>
  <c r="J18" i="442"/>
  <c r="J20" i="442"/>
  <c r="L13" i="442"/>
  <c r="J17" i="442"/>
  <c r="J33" i="442"/>
  <c r="J35" i="442"/>
  <c r="J42" i="442"/>
  <c r="J44" i="442"/>
  <c r="G48" i="442"/>
  <c r="C49" i="442"/>
  <c r="D52" i="442" s="1"/>
  <c r="B49" i="442"/>
  <c r="N49" i="442"/>
  <c r="O52" i="442" s="1"/>
  <c r="N40" i="442"/>
  <c r="M40" i="442"/>
  <c r="G39" i="442"/>
  <c r="L40" i="442"/>
  <c r="C37" i="442"/>
  <c r="B13" i="442"/>
  <c r="G16" i="442"/>
  <c r="H41" i="442"/>
  <c r="G46" i="442"/>
  <c r="M37" i="442"/>
  <c r="G36" i="442"/>
  <c r="G8" i="442"/>
  <c r="M25" i="442"/>
  <c r="N28" i="442"/>
  <c r="M28" i="442"/>
  <c r="G27" i="442"/>
  <c r="L43" i="442"/>
  <c r="L46" i="442"/>
  <c r="H48" i="442"/>
  <c r="M31" i="442"/>
  <c r="L34" i="442"/>
  <c r="G34" i="442"/>
  <c r="H45" i="442"/>
  <c r="N37" i="442"/>
  <c r="G37" i="442"/>
  <c r="G38" i="442"/>
  <c r="B40" i="442"/>
  <c r="H43" i="442"/>
  <c r="L22" i="442"/>
  <c r="C19" i="442"/>
  <c r="G22" i="442"/>
  <c r="N19" i="442"/>
  <c r="H33" i="442"/>
  <c r="G9" i="442"/>
  <c r="G14" i="442"/>
  <c r="H24" i="442"/>
  <c r="G15" i="442"/>
  <c r="H46" i="442"/>
  <c r="C13" i="442"/>
  <c r="G25" i="442"/>
  <c r="N7" i="442"/>
  <c r="G11" i="442"/>
  <c r="G12" i="442"/>
  <c r="G13" i="442"/>
  <c r="L16" i="442"/>
  <c r="G17" i="442"/>
  <c r="H21" i="442"/>
  <c r="B25" i="442"/>
  <c r="H25" i="442"/>
  <c r="B28" i="442"/>
  <c r="B37" i="442"/>
  <c r="H36" i="442"/>
  <c r="H39" i="442"/>
  <c r="H47" i="442"/>
  <c r="C7" i="442"/>
  <c r="N22" i="442"/>
  <c r="H22" i="442"/>
  <c r="H29" i="442"/>
  <c r="H34" i="442"/>
  <c r="B10" i="442"/>
  <c r="G10" i="442"/>
  <c r="C10" i="442"/>
  <c r="B16" i="442"/>
  <c r="C16" i="442"/>
  <c r="H17" i="442"/>
  <c r="M22" i="442"/>
  <c r="C25" i="442"/>
  <c r="G26" i="442"/>
  <c r="H18" i="442"/>
  <c r="B31" i="442"/>
  <c r="G30" i="442"/>
  <c r="C31" i="442"/>
  <c r="H30" i="442"/>
  <c r="G18" i="442"/>
  <c r="H19" i="442"/>
  <c r="G19" i="442"/>
  <c r="N25" i="442"/>
  <c r="C34" i="442"/>
  <c r="G32" i="442"/>
  <c r="B34" i="442"/>
  <c r="H32" i="442"/>
  <c r="B43" i="442"/>
  <c r="G42" i="442"/>
  <c r="C43" i="442"/>
  <c r="E55" i="442" s="1"/>
  <c r="H42" i="442"/>
  <c r="L25" i="442"/>
  <c r="G28" i="442"/>
  <c r="C28" i="442"/>
  <c r="H28" i="442"/>
  <c r="N31" i="442"/>
  <c r="N34" i="442"/>
  <c r="L37" i="442"/>
  <c r="C46" i="442"/>
  <c r="G44" i="442"/>
  <c r="B46" i="442"/>
  <c r="H44" i="442"/>
  <c r="G7" i="442"/>
  <c r="N10" i="442"/>
  <c r="N13" i="442"/>
  <c r="N16" i="442"/>
  <c r="B19" i="442"/>
  <c r="C22" i="442"/>
  <c r="G20" i="442"/>
  <c r="B22" i="442"/>
  <c r="H20" i="442"/>
  <c r="H31" i="442"/>
  <c r="M34" i="442"/>
  <c r="G40" i="442"/>
  <c r="C40" i="442"/>
  <c r="E52" i="442" s="1"/>
  <c r="H40" i="442"/>
  <c r="N43" i="442"/>
  <c r="N46" i="442"/>
  <c r="B7" i="442"/>
  <c r="L10" i="442"/>
  <c r="L19" i="442"/>
  <c r="G21" i="442"/>
  <c r="G23" i="442"/>
  <c r="G31" i="442"/>
  <c r="L31" i="442"/>
  <c r="G33" i="442"/>
  <c r="G35" i="442"/>
  <c r="G43" i="442"/>
  <c r="G45" i="442"/>
  <c r="G47" i="442"/>
  <c r="L28" i="442"/>
  <c r="G6" i="442"/>
  <c r="H23" i="442"/>
  <c r="G24" i="442"/>
  <c r="H35" i="442"/>
  <c r="F48" i="408"/>
  <c r="T48" i="391"/>
  <c r="I48" i="391" s="1"/>
  <c r="T48" i="432"/>
  <c r="I48" i="432" s="1"/>
  <c r="U48" i="75"/>
  <c r="T48" i="75"/>
  <c r="I48" i="75" s="1"/>
  <c r="U48" i="441"/>
  <c r="T48" i="441"/>
  <c r="I48" i="441" s="1"/>
  <c r="T48" i="9"/>
  <c r="I48" i="9" s="1"/>
  <c r="U48" i="434"/>
  <c r="T48" i="434"/>
  <c r="I48" i="434" s="1"/>
  <c r="U48" i="435"/>
  <c r="T48" i="435"/>
  <c r="I48" i="435" s="1"/>
  <c r="U48" i="436"/>
  <c r="T48" i="436"/>
  <c r="I48" i="436" s="1"/>
  <c r="U48" i="438"/>
  <c r="T48" i="438"/>
  <c r="I48" i="438" s="1"/>
  <c r="U48" i="440"/>
  <c r="T48" i="440"/>
  <c r="I48" i="440" s="1"/>
  <c r="U48" i="437"/>
  <c r="T48" i="437"/>
  <c r="I48" i="437" s="1"/>
  <c r="U48" i="439"/>
  <c r="T48" i="439"/>
  <c r="I48" i="439" s="1"/>
  <c r="U48" i="89"/>
  <c r="T48" i="89"/>
  <c r="I48" i="89" s="1"/>
  <c r="U48" i="389"/>
  <c r="T48" i="389"/>
  <c r="I48" i="389" s="1"/>
  <c r="U48" i="386"/>
  <c r="T48" i="386"/>
  <c r="I48" i="386" s="1"/>
  <c r="U48" i="303"/>
  <c r="T48" i="303"/>
  <c r="I48" i="303" s="1"/>
  <c r="U48" i="113"/>
  <c r="T48" i="113"/>
  <c r="I48" i="113" s="1"/>
  <c r="U48" i="431"/>
  <c r="T48" i="431"/>
  <c r="I48" i="431" s="1"/>
  <c r="U48" i="202"/>
  <c r="T48" i="202"/>
  <c r="I48" i="202" s="1"/>
  <c r="T48" i="392"/>
  <c r="I48" i="392" s="1"/>
  <c r="U48" i="371"/>
  <c r="T48" i="371"/>
  <c r="I48" i="371" s="1"/>
  <c r="U48" i="424"/>
  <c r="T48" i="424"/>
  <c r="I48" i="424" s="1"/>
  <c r="U48" i="430"/>
  <c r="T48" i="430"/>
  <c r="I48" i="430" s="1"/>
  <c r="U48" i="361"/>
  <c r="T48" i="361"/>
  <c r="I48" i="361" s="1"/>
  <c r="U48" i="351"/>
  <c r="T48" i="351"/>
  <c r="I48" i="351" s="1"/>
  <c r="U48" i="352"/>
  <c r="T48" i="352"/>
  <c r="I48" i="352" s="1"/>
  <c r="U48" i="353"/>
  <c r="T48" i="353"/>
  <c r="I48" i="353" s="1"/>
  <c r="U48" i="362"/>
  <c r="T48" i="362"/>
  <c r="I48" i="362" s="1"/>
  <c r="U48" i="354"/>
  <c r="T48" i="354"/>
  <c r="I48" i="354" s="1"/>
  <c r="U48" i="322"/>
  <c r="T48" i="322"/>
  <c r="I48" i="322" s="1"/>
  <c r="U48" i="233"/>
  <c r="T48" i="233"/>
  <c r="I48" i="233" s="1"/>
  <c r="U48" i="298"/>
  <c r="T48" i="298"/>
  <c r="I48" i="298" s="1"/>
  <c r="U48" i="367"/>
  <c r="T48" i="367"/>
  <c r="I48" i="367" s="1"/>
  <c r="I48" i="296"/>
  <c r="U48" i="387"/>
  <c r="T48" i="387"/>
  <c r="I48" i="387" s="1"/>
  <c r="U48" i="314"/>
  <c r="T48" i="314"/>
  <c r="I48" i="314" s="1"/>
  <c r="U48" i="20"/>
  <c r="T48" i="20"/>
  <c r="I48" i="20" s="1"/>
  <c r="U48" i="422"/>
  <c r="T48" i="422"/>
  <c r="I48" i="422" s="1"/>
  <c r="U48" i="43"/>
  <c r="T48" i="43"/>
  <c r="I48" i="43" s="1"/>
  <c r="U48" i="21"/>
  <c r="T48" i="21"/>
  <c r="I48" i="21" s="1"/>
  <c r="U48" i="423"/>
  <c r="T48" i="423"/>
  <c r="I48" i="423" s="1"/>
  <c r="U48" i="152"/>
  <c r="T48" i="152"/>
  <c r="I48" i="152" s="1"/>
  <c r="U48" i="13"/>
  <c r="T48" i="13"/>
  <c r="I48" i="13" s="1"/>
  <c r="U48" i="261"/>
  <c r="T48" i="261"/>
  <c r="I48" i="261" s="1"/>
  <c r="U48" i="153"/>
  <c r="T48" i="153"/>
  <c r="I48" i="153" s="1"/>
  <c r="U48" i="257"/>
  <c r="T48" i="257"/>
  <c r="I48" i="257" s="1"/>
  <c r="U48" i="409"/>
  <c r="T48" i="409"/>
  <c r="I48" i="409" s="1"/>
  <c r="U48" i="174"/>
  <c r="T48" i="174"/>
  <c r="I48" i="174" s="1"/>
  <c r="U48" i="328"/>
  <c r="T48" i="328"/>
  <c r="I48" i="328" s="1"/>
  <c r="U48" i="329"/>
  <c r="T48" i="329"/>
  <c r="I48" i="329" s="1"/>
  <c r="U48" i="5"/>
  <c r="T48" i="5"/>
  <c r="I48" i="5" s="1"/>
  <c r="U48" i="207"/>
  <c r="T48" i="207"/>
  <c r="I48" i="207" s="1"/>
  <c r="U48" i="194"/>
  <c r="T48" i="194"/>
  <c r="I48" i="194" s="1"/>
  <c r="U48" i="193"/>
  <c r="T48" i="193"/>
  <c r="I48" i="193" s="1"/>
  <c r="U48" i="413"/>
  <c r="T48" i="413"/>
  <c r="I48" i="413" s="1"/>
  <c r="U48" i="48"/>
  <c r="T48" i="48"/>
  <c r="I48" i="48" s="1"/>
  <c r="U48" i="7"/>
  <c r="T48" i="7"/>
  <c r="I48" i="7" s="1"/>
  <c r="U48" i="17"/>
  <c r="T48" i="17"/>
  <c r="I48" i="17" s="1"/>
  <c r="U48" i="1"/>
  <c r="T48" i="1"/>
  <c r="I48" i="1" s="1"/>
  <c r="U48" i="397"/>
  <c r="T48" i="397"/>
  <c r="I48" i="397" s="1"/>
  <c r="U48" i="319"/>
  <c r="T48" i="319"/>
  <c r="I48" i="319" s="1"/>
  <c r="U48" i="320"/>
  <c r="T48" i="320"/>
  <c r="I48" i="320" s="1"/>
  <c r="U48" i="429"/>
  <c r="T48" i="429"/>
  <c r="I48" i="429" s="1"/>
  <c r="U48" i="12"/>
  <c r="T48" i="12"/>
  <c r="I48" i="12" s="1"/>
  <c r="U48" i="356"/>
  <c r="T48" i="356"/>
  <c r="I48" i="356" s="1"/>
  <c r="S48" i="395"/>
  <c r="R48" i="395"/>
  <c r="Q48" i="395"/>
  <c r="U48" i="394"/>
  <c r="T48" i="394"/>
  <c r="I48" i="394" s="1"/>
  <c r="U48" i="393"/>
  <c r="T48" i="393"/>
  <c r="I48" i="393" s="1"/>
  <c r="U48" i="433"/>
  <c r="T48" i="433"/>
  <c r="I48" i="433" s="1"/>
  <c r="U48" i="23"/>
  <c r="T48" i="23"/>
  <c r="I48" i="23" s="1"/>
  <c r="U48" i="52"/>
  <c r="T48" i="52"/>
  <c r="I48" i="52" s="1"/>
  <c r="U48" i="425"/>
  <c r="T48" i="425"/>
  <c r="I48" i="425" s="1"/>
  <c r="S48" i="149"/>
  <c r="R48" i="149"/>
  <c r="Q48" i="149"/>
  <c r="U48" i="88"/>
  <c r="T48" i="88"/>
  <c r="I48" i="88" s="1"/>
  <c r="U48" i="148"/>
  <c r="T48" i="148"/>
  <c r="I48" i="148" s="1"/>
  <c r="U48" i="97"/>
  <c r="T48" i="97"/>
  <c r="I48" i="97" s="1"/>
  <c r="U48" i="383"/>
  <c r="T48" i="383"/>
  <c r="I48" i="383" s="1"/>
  <c r="U48" i="28"/>
  <c r="T48" i="28"/>
  <c r="I48" i="28" s="1"/>
  <c r="U48" i="29"/>
  <c r="T48" i="29"/>
  <c r="I48" i="29" s="1"/>
  <c r="U48" i="359"/>
  <c r="T48" i="359"/>
  <c r="I48" i="359" s="1"/>
  <c r="U48" i="360"/>
  <c r="T48" i="360"/>
  <c r="I48" i="360" s="1"/>
  <c r="U48" i="368"/>
  <c r="T48" i="368"/>
  <c r="I48" i="368" s="1"/>
  <c r="U48" i="364"/>
  <c r="I48" i="364"/>
  <c r="U48" i="420"/>
  <c r="T48" i="420"/>
  <c r="I48" i="420" s="1"/>
  <c r="U48" i="8"/>
  <c r="T48" i="8"/>
  <c r="I48" i="8" s="1"/>
  <c r="U48" i="203"/>
  <c r="T48" i="203"/>
  <c r="I48" i="203" s="1"/>
  <c r="U48" i="191"/>
  <c r="T48" i="191"/>
  <c r="I48" i="191" s="1"/>
  <c r="U48" i="2"/>
  <c r="T48" i="2"/>
  <c r="I48" i="2" s="1"/>
  <c r="U48" i="164"/>
  <c r="T48" i="164"/>
  <c r="I48" i="164" s="1"/>
  <c r="U48" i="162"/>
  <c r="T48" i="162"/>
  <c r="I48" i="162" s="1"/>
  <c r="U48" i="421"/>
  <c r="T48" i="421"/>
  <c r="I48" i="421" s="1"/>
  <c r="U48" i="333"/>
  <c r="T48" i="333"/>
  <c r="I48" i="333" s="1"/>
  <c r="U48" i="53"/>
  <c r="T48" i="53"/>
  <c r="I48" i="53" s="1"/>
  <c r="U48" i="114"/>
  <c r="T48" i="114"/>
  <c r="I48" i="114" s="1"/>
  <c r="U48" i="323"/>
  <c r="T48" i="323"/>
  <c r="I48" i="323" s="1"/>
  <c r="U48" i="400"/>
  <c r="T48" i="400"/>
  <c r="I48" i="400" s="1"/>
  <c r="U48" i="402"/>
  <c r="T48" i="402"/>
  <c r="I48" i="402" s="1"/>
  <c r="U48" i="403"/>
  <c r="T48" i="403"/>
  <c r="I48" i="403" s="1"/>
  <c r="T48" i="408"/>
  <c r="S48" i="408"/>
  <c r="I48" i="408" s="1"/>
  <c r="U48" i="385"/>
  <c r="T48" i="385"/>
  <c r="I48" i="385" s="1"/>
  <c r="U48" i="334"/>
  <c r="T48" i="334"/>
  <c r="I48" i="334" s="1"/>
  <c r="U48" i="3"/>
  <c r="T48" i="3"/>
  <c r="I48" i="3" s="1"/>
  <c r="U48" i="349"/>
  <c r="T48" i="349"/>
  <c r="I48" i="349" s="1"/>
  <c r="U48" i="4"/>
  <c r="T48" i="4"/>
  <c r="I48" i="4" s="1"/>
  <c r="U48" i="15"/>
  <c r="T48" i="15"/>
  <c r="I48" i="15" s="1"/>
  <c r="U48" i="355"/>
  <c r="T48" i="355"/>
  <c r="I48" i="355" s="1"/>
  <c r="U48" i="299"/>
  <c r="T48" i="299"/>
  <c r="I48" i="299" s="1"/>
  <c r="U48" i="190"/>
  <c r="T48" i="190"/>
  <c r="I48" i="190" s="1"/>
  <c r="U48" i="16"/>
  <c r="T48" i="16"/>
  <c r="I48" i="16" s="1"/>
  <c r="U48" i="54"/>
  <c r="T48" i="54"/>
  <c r="I48" i="54" s="1"/>
  <c r="U48" i="384"/>
  <c r="I48" i="384"/>
  <c r="U48" i="201"/>
  <c r="T48" i="201"/>
  <c r="I48" i="201" s="1"/>
  <c r="U48" i="249"/>
  <c r="T48" i="249"/>
  <c r="I48" i="249" s="1"/>
  <c r="U48" i="19"/>
  <c r="T48" i="19"/>
  <c r="I48" i="19" s="1"/>
  <c r="U48" i="347"/>
  <c r="T48" i="347"/>
  <c r="I48" i="347" s="1"/>
  <c r="U48" i="37"/>
  <c r="T48" i="37"/>
  <c r="I48" i="37" s="1"/>
  <c r="U48" i="204"/>
  <c r="T48" i="204"/>
  <c r="I48" i="204" s="1"/>
  <c r="U48" i="363"/>
  <c r="T48" i="363"/>
  <c r="I48" i="363" s="1"/>
  <c r="U48" i="31"/>
  <c r="T48" i="31"/>
  <c r="I48" i="31" s="1"/>
  <c r="S48" i="170"/>
  <c r="R48" i="170"/>
  <c r="Q48" i="170"/>
  <c r="U48" i="168"/>
  <c r="T48" i="168"/>
  <c r="I48" i="168" s="1"/>
  <c r="U48" i="169"/>
  <c r="T48" i="169"/>
  <c r="I48" i="169" s="1"/>
  <c r="U48" i="336"/>
  <c r="T48" i="336"/>
  <c r="I48" i="336" s="1"/>
  <c r="U48" i="342"/>
  <c r="T48" i="342"/>
  <c r="I48" i="342" s="1"/>
  <c r="U48" i="33"/>
  <c r="T48" i="33"/>
  <c r="I48" i="33" s="1"/>
  <c r="U48" i="318"/>
  <c r="T48" i="318"/>
  <c r="I48" i="318" s="1"/>
  <c r="U48" i="288"/>
  <c r="T48" i="288"/>
  <c r="I48" i="288" s="1"/>
  <c r="U48" i="337"/>
  <c r="T48" i="337"/>
  <c r="I48" i="337" s="1"/>
  <c r="U48" i="227"/>
  <c r="T48" i="227"/>
  <c r="I48" i="227" s="1"/>
  <c r="S48" i="388"/>
  <c r="R48" i="388"/>
  <c r="Q48" i="388"/>
  <c r="U48" i="290"/>
  <c r="T48" i="290"/>
  <c r="I48" i="290" s="1"/>
  <c r="U48" i="289"/>
  <c r="T48" i="289"/>
  <c r="I48" i="289" s="1"/>
  <c r="T48" i="357"/>
  <c r="S48" i="357"/>
  <c r="I48" i="357" s="1"/>
  <c r="U48" i="293"/>
  <c r="T48" i="293"/>
  <c r="I48" i="293" s="1"/>
  <c r="U48" i="348"/>
  <c r="T48" i="348"/>
  <c r="I48" i="348" s="1"/>
  <c r="U48" i="297"/>
  <c r="T48" i="297"/>
  <c r="I48" i="297" s="1"/>
  <c r="U48" i="350"/>
  <c r="T48" i="350"/>
  <c r="I48" i="350" s="1"/>
  <c r="U48" i="105"/>
  <c r="T48" i="105"/>
  <c r="I48" i="105" s="1"/>
  <c r="U48" i="294"/>
  <c r="T48" i="294"/>
  <c r="I48" i="294" s="1"/>
  <c r="T48" i="365"/>
  <c r="S48" i="365"/>
  <c r="I48" i="365" s="1"/>
  <c r="T48" i="366"/>
  <c r="S48" i="366"/>
  <c r="I48" i="366" s="1"/>
  <c r="U48" i="206"/>
  <c r="T48" i="206"/>
  <c r="I48" i="206" s="1"/>
  <c r="U48" i="22"/>
  <c r="T48" i="22"/>
  <c r="I48" i="22" s="1"/>
  <c r="U48" i="301"/>
  <c r="T48" i="301"/>
  <c r="I48" i="301" s="1"/>
  <c r="U48" i="344"/>
  <c r="T48" i="344"/>
  <c r="I48" i="344" s="1"/>
  <c r="U48" i="61"/>
  <c r="T48" i="61"/>
  <c r="I48" i="61" s="1"/>
  <c r="U48" i="338"/>
  <c r="T48" i="338"/>
  <c r="I48" i="338" s="1"/>
  <c r="U48" i="340"/>
  <c r="T48" i="340"/>
  <c r="I48" i="340" s="1"/>
  <c r="U48" i="34"/>
  <c r="T48" i="34"/>
  <c r="I48" i="34" s="1"/>
  <c r="I48" i="187"/>
  <c r="U48" i="135"/>
  <c r="T48" i="135"/>
  <c r="I48" i="135" s="1"/>
  <c r="U48" i="295"/>
  <c r="T48" i="295"/>
  <c r="I48" i="295" s="1"/>
  <c r="U48" i="283"/>
  <c r="T48" i="283"/>
  <c r="I48" i="283" s="1"/>
  <c r="U48" i="284"/>
  <c r="T48" i="284"/>
  <c r="I48" i="284" s="1"/>
  <c r="T48" i="292"/>
  <c r="I48" i="292" s="1"/>
  <c r="T48" i="339"/>
  <c r="I48" i="339" s="1"/>
  <c r="U48" i="325"/>
  <c r="T48" i="325"/>
  <c r="I48" i="325" s="1"/>
  <c r="U48" i="269"/>
  <c r="T48" i="269"/>
  <c r="I48" i="269" s="1"/>
  <c r="U48" i="11"/>
  <c r="T48" i="11"/>
  <c r="I48" i="11" s="1"/>
  <c r="T48" i="279"/>
  <c r="S48" i="279"/>
  <c r="I48" i="279" s="1"/>
  <c r="T48" i="335"/>
  <c r="S48" i="335"/>
  <c r="I48" i="335" s="1"/>
  <c r="U48" i="101"/>
  <c r="T48" i="101"/>
  <c r="I48" i="101" s="1"/>
  <c r="U48" i="382"/>
  <c r="T48" i="382"/>
  <c r="I48" i="382" s="1"/>
  <c r="U48" i="102"/>
  <c r="T48" i="102"/>
  <c r="I48" i="102" s="1"/>
  <c r="U48" i="103"/>
  <c r="T48" i="103"/>
  <c r="I48" i="103" s="1"/>
  <c r="U48" i="411"/>
  <c r="T48" i="411"/>
  <c r="I48" i="411" s="1"/>
  <c r="U48" i="265"/>
  <c r="T48" i="265"/>
  <c r="I48" i="265" s="1"/>
  <c r="U48" i="262"/>
  <c r="T48" i="262"/>
  <c r="I48" i="262" s="1"/>
  <c r="U48" i="112"/>
  <c r="T48" i="112"/>
  <c r="I48" i="112" s="1"/>
  <c r="U48" i="109"/>
  <c r="T48" i="109"/>
  <c r="I48" i="109" s="1"/>
  <c r="U48" i="85"/>
  <c r="T48" i="85"/>
  <c r="I48" i="85" s="1"/>
  <c r="U48" i="324"/>
  <c r="T48" i="324"/>
  <c r="I48" i="324" s="1"/>
  <c r="U48" i="32"/>
  <c r="T48" i="32"/>
  <c r="I48" i="32" s="1"/>
  <c r="U48" i="196"/>
  <c r="T48" i="196"/>
  <c r="I48" i="196" s="1"/>
  <c r="T48" i="197"/>
  <c r="I48" i="197" s="1"/>
  <c r="U48" i="198"/>
  <c r="T48" i="198"/>
  <c r="I48" i="198" s="1"/>
  <c r="U48" i="345"/>
  <c r="T48" i="345"/>
  <c r="I48" i="345" s="1"/>
  <c r="U48" i="346"/>
  <c r="T48" i="346"/>
  <c r="I48" i="346" s="1"/>
  <c r="U48" i="74"/>
  <c r="T48" i="74"/>
  <c r="I48" i="74" s="1"/>
  <c r="U48" i="200"/>
  <c r="T48" i="200"/>
  <c r="I48" i="200" s="1"/>
  <c r="U48" i="280"/>
  <c r="T48" i="280"/>
  <c r="I48" i="280" s="1"/>
  <c r="U48" i="45"/>
  <c r="T48" i="45"/>
  <c r="I48" i="45" s="1"/>
  <c r="U48" i="104"/>
  <c r="T48" i="104"/>
  <c r="I48" i="104" s="1"/>
  <c r="U48" i="254"/>
  <c r="T48" i="254"/>
  <c r="I48" i="254" s="1"/>
  <c r="U48" i="181"/>
  <c r="T48" i="181"/>
  <c r="I48" i="181" s="1"/>
  <c r="U48" i="183"/>
  <c r="T48" i="183"/>
  <c r="I48" i="183" s="1"/>
  <c r="U48" i="184"/>
  <c r="T48" i="184"/>
  <c r="I48" i="184" s="1"/>
  <c r="S48" i="144"/>
  <c r="R48" i="144"/>
  <c r="Q48" i="144"/>
  <c r="U48" i="27"/>
  <c r="T48" i="27"/>
  <c r="I48" i="27" s="1"/>
  <c r="U48" i="143"/>
  <c r="T48" i="143"/>
  <c r="I48" i="143" s="1"/>
  <c r="U48" i="268"/>
  <c r="T48" i="268"/>
  <c r="I48" i="268" s="1"/>
  <c r="U48" i="263"/>
  <c r="T48" i="263"/>
  <c r="I48" i="263" s="1"/>
  <c r="U48" i="209"/>
  <c r="T48" i="209"/>
  <c r="I48" i="209" s="1"/>
  <c r="U48" i="192"/>
  <c r="T48" i="192"/>
  <c r="I48" i="192" s="1"/>
  <c r="U48" i="140"/>
  <c r="T48" i="140"/>
  <c r="I48" i="140" s="1"/>
  <c r="U48" i="270"/>
  <c r="T48" i="270"/>
  <c r="I48" i="270" s="1"/>
  <c r="U48" i="271"/>
  <c r="T48" i="271"/>
  <c r="I48" i="271" s="1"/>
  <c r="U48" i="159"/>
  <c r="T48" i="159"/>
  <c r="I48" i="159" s="1"/>
  <c r="U48" i="160"/>
  <c r="T48" i="160"/>
  <c r="I48" i="160" s="1"/>
  <c r="U48" i="107"/>
  <c r="T48" i="107"/>
  <c r="I48" i="107" s="1"/>
  <c r="U48" i="176"/>
  <c r="T48" i="176"/>
  <c r="I48" i="176" s="1"/>
  <c r="U48" i="281"/>
  <c r="T48" i="281"/>
  <c r="I48" i="281" s="1"/>
  <c r="U48" i="332"/>
  <c r="T48" i="332"/>
  <c r="I48" i="332" s="1"/>
  <c r="U48" i="25"/>
  <c r="T48" i="25"/>
  <c r="I48" i="25" s="1"/>
  <c r="U48" i="24"/>
  <c r="T48" i="24"/>
  <c r="I48" i="24" s="1"/>
  <c r="U48" i="116"/>
  <c r="T48" i="116"/>
  <c r="I48" i="116" s="1"/>
  <c r="U48" i="285"/>
  <c r="T48" i="285"/>
  <c r="I48" i="285" s="1"/>
  <c r="U48" i="272"/>
  <c r="T48" i="272"/>
  <c r="I48" i="272" s="1"/>
  <c r="T48" i="44"/>
  <c r="S48" i="44"/>
  <c r="I48" i="44" s="1"/>
  <c r="U48" i="87"/>
  <c r="T48" i="87"/>
  <c r="I48" i="87" s="1"/>
  <c r="U48" i="287"/>
  <c r="T48" i="287"/>
  <c r="I48" i="287" s="1"/>
  <c r="U48" i="276"/>
  <c r="T48" i="276"/>
  <c r="I48" i="276" s="1"/>
  <c r="S48" i="231"/>
  <c r="U48" i="231" s="1"/>
  <c r="R48" i="231"/>
  <c r="Q48" i="231"/>
  <c r="F48" i="231" s="1"/>
  <c r="G49" i="231" s="1"/>
  <c r="U48" i="229"/>
  <c r="T48" i="229"/>
  <c r="I48" i="229" s="1"/>
  <c r="U48" i="230"/>
  <c r="U48" i="326"/>
  <c r="T48" i="326"/>
  <c r="I48" i="326" s="1"/>
  <c r="U48" i="47"/>
  <c r="T48" i="47"/>
  <c r="I48" i="47" s="1"/>
  <c r="U48" i="248"/>
  <c r="T48" i="248"/>
  <c r="I48" i="248" s="1"/>
  <c r="U48" i="46"/>
  <c r="T48" i="46"/>
  <c r="I48" i="46" s="1"/>
  <c r="U48" i="239"/>
  <c r="T48" i="239"/>
  <c r="I48" i="239" s="1"/>
  <c r="U48" i="243"/>
  <c r="T48" i="243"/>
  <c r="I48" i="243" s="1"/>
  <c r="S48" i="247"/>
  <c r="R48" i="247"/>
  <c r="Q48" i="247"/>
  <c r="U48" i="244"/>
  <c r="T48" i="244"/>
  <c r="I48" i="244" s="1"/>
  <c r="U48" i="246"/>
  <c r="T48" i="246"/>
  <c r="I48" i="246" s="1"/>
  <c r="T48" i="35"/>
  <c r="I48" i="35" s="1"/>
  <c r="O22" i="442" l="1"/>
  <c r="O40" i="442"/>
  <c r="E37" i="442"/>
  <c r="F48" i="395"/>
  <c r="G49" i="395" s="1"/>
  <c r="U50" i="395"/>
  <c r="F48" i="144"/>
  <c r="G49" i="144" s="1"/>
  <c r="U50" i="144"/>
  <c r="F48" i="388"/>
  <c r="G49" i="388" s="1"/>
  <c r="U50" i="388"/>
  <c r="F48" i="149"/>
  <c r="G49" i="149" s="1"/>
  <c r="U50" i="149"/>
  <c r="F48" i="247"/>
  <c r="G49" i="247" s="1"/>
  <c r="U50" i="247"/>
  <c r="F48" i="170"/>
  <c r="G49" i="170" s="1"/>
  <c r="U50" i="170"/>
  <c r="D16" i="442"/>
  <c r="O43" i="442"/>
  <c r="D37" i="442"/>
  <c r="D49" i="442"/>
  <c r="E49" i="442"/>
  <c r="O49" i="442"/>
  <c r="O31" i="442"/>
  <c r="D19" i="442"/>
  <c r="O16" i="442"/>
  <c r="O46" i="442"/>
  <c r="O37" i="442"/>
  <c r="E25" i="442"/>
  <c r="O10" i="442"/>
  <c r="E19" i="442"/>
  <c r="D10" i="442"/>
  <c r="O25" i="442"/>
  <c r="D13" i="442"/>
  <c r="E46" i="442"/>
  <c r="D46" i="442"/>
  <c r="D43" i="442"/>
  <c r="E43" i="442"/>
  <c r="E34" i="442"/>
  <c r="D34" i="442"/>
  <c r="D31" i="442"/>
  <c r="E31" i="442"/>
  <c r="O19" i="442"/>
  <c r="E40" i="442"/>
  <c r="D40" i="442"/>
  <c r="E22" i="442"/>
  <c r="D22" i="442"/>
  <c r="O13" i="442"/>
  <c r="O34" i="442"/>
  <c r="E28" i="442"/>
  <c r="D28" i="442"/>
  <c r="D25" i="442"/>
  <c r="O28" i="442"/>
  <c r="T48" i="388"/>
  <c r="I48" i="388" s="1"/>
  <c r="T48" i="414"/>
  <c r="I48" i="414" s="1"/>
  <c r="T48" i="149"/>
  <c r="I48" i="149" s="1"/>
  <c r="T48" i="186"/>
  <c r="I48" i="186" s="1"/>
  <c r="T48" i="185"/>
  <c r="I48" i="185" s="1"/>
  <c r="T48" i="231"/>
  <c r="I48" i="231" s="1"/>
  <c r="T48" i="170"/>
  <c r="I48" i="170" s="1"/>
  <c r="T48" i="327"/>
  <c r="I48" i="327" s="1"/>
  <c r="T48" i="144"/>
  <c r="I48" i="144" s="1"/>
  <c r="T48" i="300"/>
  <c r="I48" i="300" s="1"/>
  <c r="T48" i="253"/>
  <c r="I48" i="253" s="1"/>
  <c r="T48" i="321"/>
  <c r="I48" i="321" s="1"/>
  <c r="T48" i="247"/>
  <c r="I48" i="247" s="1"/>
  <c r="T48" i="404"/>
  <c r="I48" i="404" s="1"/>
  <c r="T48" i="395"/>
  <c r="I48" i="395" s="1"/>
  <c r="T48" i="398"/>
  <c r="I48" i="398" s="1"/>
  <c r="T48" i="195"/>
  <c r="I48" i="195" s="1"/>
  <c r="T48" i="142"/>
  <c r="I48" i="142" s="1"/>
  <c r="T44" i="25"/>
  <c r="I44" i="25" s="1"/>
  <c r="J56" i="25" s="1"/>
  <c r="T45" i="25"/>
  <c r="I45" i="25" s="1"/>
  <c r="T46" i="25"/>
  <c r="I46" i="25" s="1"/>
  <c r="T47" i="25"/>
  <c r="I47" i="25" s="1"/>
  <c r="S47" i="186"/>
  <c r="R47" i="186"/>
  <c r="K49" i="186" s="1"/>
  <c r="Q47" i="186"/>
  <c r="U49" i="186" s="1"/>
  <c r="L52" i="186" s="1"/>
  <c r="R47" i="144"/>
  <c r="K49" i="144" s="1"/>
  <c r="Q47" i="144"/>
  <c r="U49" i="144" s="1"/>
  <c r="L52" i="144" s="1"/>
  <c r="K7" i="324"/>
  <c r="K10" i="324"/>
  <c r="K13" i="324"/>
  <c r="S47" i="170"/>
  <c r="R47" i="170"/>
  <c r="K49" i="170" s="1"/>
  <c r="Q47" i="170"/>
  <c r="U49" i="170" s="1"/>
  <c r="L52" i="170" s="1"/>
  <c r="S47" i="414"/>
  <c r="R47" i="414"/>
  <c r="K49" i="414" s="1"/>
  <c r="Q47" i="414"/>
  <c r="U49" i="414" s="1"/>
  <c r="L52" i="414" s="1"/>
  <c r="S47" i="253"/>
  <c r="R47" i="253"/>
  <c r="K49" i="253" s="1"/>
  <c r="Q47" i="253"/>
  <c r="U49" i="253" s="1"/>
  <c r="L52" i="253" s="1"/>
  <c r="S47" i="149"/>
  <c r="R47" i="149"/>
  <c r="K49" i="149" s="1"/>
  <c r="Q47" i="149"/>
  <c r="U49" i="149" s="1"/>
  <c r="L52" i="149" s="1"/>
  <c r="S47" i="395"/>
  <c r="R47" i="395"/>
  <c r="K49" i="395" s="1"/>
  <c r="Q47" i="395"/>
  <c r="U49" i="395" s="1"/>
  <c r="L52" i="395" s="1"/>
  <c r="N49" i="25" l="1"/>
  <c r="O52" i="25" s="1"/>
  <c r="S47" i="398"/>
  <c r="R47" i="398"/>
  <c r="K49" i="398" s="1"/>
  <c r="Q47" i="398"/>
  <c r="U49" i="398" s="1"/>
  <c r="L52" i="398" s="1"/>
  <c r="U47" i="35"/>
  <c r="S47" i="142"/>
  <c r="R47" i="142"/>
  <c r="K49" i="142" s="1"/>
  <c r="Q47" i="142"/>
  <c r="U49" i="142" s="1"/>
  <c r="L52" i="142" s="1"/>
  <c r="U47" i="392"/>
  <c r="U47" i="391"/>
  <c r="F47" i="391" l="1"/>
  <c r="F47" i="75"/>
  <c r="F47" i="441"/>
  <c r="F47" i="9"/>
  <c r="F47" i="434"/>
  <c r="F47" i="435"/>
  <c r="F47" i="436"/>
  <c r="F47" i="438"/>
  <c r="F47" i="440"/>
  <c r="F47" i="437"/>
  <c r="F47" i="439"/>
  <c r="F47" i="89"/>
  <c r="F47" i="389"/>
  <c r="F47" i="386"/>
  <c r="F47" i="303"/>
  <c r="F47" i="432"/>
  <c r="F47" i="113"/>
  <c r="F47" i="431"/>
  <c r="F47" i="202"/>
  <c r="F47" i="392"/>
  <c r="F47" i="371"/>
  <c r="F47" i="424"/>
  <c r="F47" i="430"/>
  <c r="F47" i="361"/>
  <c r="F47" i="351"/>
  <c r="F47" i="352"/>
  <c r="F47" i="353"/>
  <c r="F47" i="362"/>
  <c r="F47" i="354"/>
  <c r="F47" i="322"/>
  <c r="F47" i="233"/>
  <c r="F47" i="298"/>
  <c r="F47" i="367"/>
  <c r="F47" i="296"/>
  <c r="F47" i="387"/>
  <c r="F47" i="314"/>
  <c r="F47" i="18"/>
  <c r="F47" i="20"/>
  <c r="F47" i="422"/>
  <c r="F47" i="43"/>
  <c r="F47" i="21"/>
  <c r="F47" i="423"/>
  <c r="F47" i="152"/>
  <c r="F47" i="13"/>
  <c r="F47" i="261"/>
  <c r="F47" i="153"/>
  <c r="F47" i="257"/>
  <c r="F47" i="409"/>
  <c r="F47" i="174"/>
  <c r="F47" i="328"/>
  <c r="F47" i="329"/>
  <c r="F47" i="5"/>
  <c r="F47" i="207"/>
  <c r="F47" i="194"/>
  <c r="F47" i="193"/>
  <c r="F47" i="413"/>
  <c r="F47" i="48"/>
  <c r="F47" i="7"/>
  <c r="F47" i="17"/>
  <c r="F47" i="1"/>
  <c r="F47" i="397"/>
  <c r="F47" i="319"/>
  <c r="F47" i="320"/>
  <c r="F47" i="429"/>
  <c r="F47" i="12"/>
  <c r="F47" i="356"/>
  <c r="F47" i="394"/>
  <c r="F47" i="393"/>
  <c r="F47" i="433"/>
  <c r="F47" i="23"/>
  <c r="F47" i="52"/>
  <c r="F47" i="425"/>
  <c r="F47" i="88"/>
  <c r="F47" i="148"/>
  <c r="F47" i="97"/>
  <c r="F47" i="383"/>
  <c r="F47" i="28"/>
  <c r="F47" i="29"/>
  <c r="F47" i="359"/>
  <c r="F47" i="360"/>
  <c r="F47" i="368"/>
  <c r="F47" i="364"/>
  <c r="F47" i="420"/>
  <c r="F47" i="8"/>
  <c r="F47" i="203"/>
  <c r="F47" i="191"/>
  <c r="F47" i="2"/>
  <c r="F47" i="164"/>
  <c r="F47" i="162"/>
  <c r="F47" i="421"/>
  <c r="F47" i="333"/>
  <c r="F47" i="53"/>
  <c r="F47" i="114"/>
  <c r="F47" i="323"/>
  <c r="F47" i="400"/>
  <c r="F47" i="402"/>
  <c r="F47" i="403"/>
  <c r="F47" i="408"/>
  <c r="F47" i="385"/>
  <c r="F47" i="334"/>
  <c r="F47" i="3"/>
  <c r="F47" i="349"/>
  <c r="F47" i="4"/>
  <c r="F47" i="15"/>
  <c r="F47" i="355"/>
  <c r="F47" i="299"/>
  <c r="F47" i="190"/>
  <c r="F47" i="16"/>
  <c r="F47" i="54"/>
  <c r="F47" i="384"/>
  <c r="F47" i="201"/>
  <c r="F47" i="249"/>
  <c r="F47" i="19"/>
  <c r="F47" i="347"/>
  <c r="F47" i="37"/>
  <c r="F47" i="204"/>
  <c r="F47" i="363"/>
  <c r="F47" i="31"/>
  <c r="F47" i="168"/>
  <c r="F47" i="169"/>
  <c r="F47" i="336"/>
  <c r="F47" i="342"/>
  <c r="F47" i="33"/>
  <c r="F47" i="318"/>
  <c r="F47" i="288"/>
  <c r="F47" i="337"/>
  <c r="F47" i="227"/>
  <c r="F47" i="290"/>
  <c r="F47" i="289"/>
  <c r="F47" i="357"/>
  <c r="F47" i="293"/>
  <c r="F47" i="348"/>
  <c r="F47" i="297"/>
  <c r="F47" i="350"/>
  <c r="F47" i="105"/>
  <c r="F47" i="294"/>
  <c r="F47" i="365"/>
  <c r="F47" i="366"/>
  <c r="F47" i="206"/>
  <c r="F47" i="22"/>
  <c r="F47" i="301"/>
  <c r="F47" i="344"/>
  <c r="F47" i="61"/>
  <c r="F47" i="338"/>
  <c r="F47" i="340"/>
  <c r="F47" i="34"/>
  <c r="F47" i="187"/>
  <c r="F47" i="135"/>
  <c r="F47" i="295"/>
  <c r="F47" i="283"/>
  <c r="F47" i="284"/>
  <c r="F47" i="292"/>
  <c r="F47" i="339"/>
  <c r="F47" i="325"/>
  <c r="F47" i="269"/>
  <c r="F47" i="11"/>
  <c r="F47" i="279"/>
  <c r="F47" i="335"/>
  <c r="F47" i="101"/>
  <c r="F47" i="382"/>
  <c r="F47" i="102"/>
  <c r="F47" i="103"/>
  <c r="F47" i="411"/>
  <c r="F47" i="265"/>
  <c r="F47" i="262"/>
  <c r="F47" i="112"/>
  <c r="F47" i="109"/>
  <c r="F47" i="85"/>
  <c r="F47" i="324"/>
  <c r="F47" i="32"/>
  <c r="F47" i="196"/>
  <c r="F47" i="197"/>
  <c r="F47" i="198"/>
  <c r="F47" i="345"/>
  <c r="F47" i="346"/>
  <c r="F47" i="74"/>
  <c r="F47" i="200"/>
  <c r="F47" i="280"/>
  <c r="F47" i="45"/>
  <c r="F47" i="104"/>
  <c r="F47" i="254"/>
  <c r="F47" i="181"/>
  <c r="F47" i="183"/>
  <c r="F47" i="184"/>
  <c r="F47" i="27"/>
  <c r="F47" i="143"/>
  <c r="F47" i="268"/>
  <c r="F47" i="263"/>
  <c r="F47" i="209"/>
  <c r="F47" i="192"/>
  <c r="F47" i="140"/>
  <c r="F47" i="270"/>
  <c r="F47" i="271"/>
  <c r="F47" i="159"/>
  <c r="F47" i="160"/>
  <c r="F47" i="107"/>
  <c r="F47" i="176"/>
  <c r="F47" i="281"/>
  <c r="F47" i="332"/>
  <c r="F47" i="25"/>
  <c r="F47" i="24"/>
  <c r="F47" i="116"/>
  <c r="F47" i="285"/>
  <c r="F47" i="272"/>
  <c r="F47" i="44"/>
  <c r="F47" i="87"/>
  <c r="F47" i="287"/>
  <c r="F47" i="276"/>
  <c r="F47" i="229"/>
  <c r="F47" i="230"/>
  <c r="F47" i="326"/>
  <c r="F47" i="47"/>
  <c r="F47" i="248"/>
  <c r="F47" i="46"/>
  <c r="F47" i="239"/>
  <c r="F47" i="243"/>
  <c r="F47" i="244"/>
  <c r="F47" i="246"/>
  <c r="F47" i="35"/>
  <c r="C49" i="239" l="1"/>
  <c r="D52" i="239" s="1"/>
  <c r="B49" i="239"/>
  <c r="C49" i="326"/>
  <c r="D52" i="326" s="1"/>
  <c r="B49" i="326"/>
  <c r="C49" i="287"/>
  <c r="D52" i="287" s="1"/>
  <c r="B49" i="287"/>
  <c r="C49" i="285"/>
  <c r="D52" i="285" s="1"/>
  <c r="B49" i="285"/>
  <c r="C49" i="332"/>
  <c r="D52" i="332" s="1"/>
  <c r="B49" i="332"/>
  <c r="B49" i="160"/>
  <c r="C49" i="160"/>
  <c r="D52" i="160" s="1"/>
  <c r="B49" i="140"/>
  <c r="C49" i="140"/>
  <c r="D52" i="140" s="1"/>
  <c r="B49" i="268"/>
  <c r="C49" i="268"/>
  <c r="B49" i="183"/>
  <c r="C49" i="183"/>
  <c r="D52" i="183" s="1"/>
  <c r="B49" i="45"/>
  <c r="C49" i="45"/>
  <c r="D52" i="45" s="1"/>
  <c r="C49" i="346"/>
  <c r="D52" i="346" s="1"/>
  <c r="B49" i="346"/>
  <c r="C49" i="196"/>
  <c r="D52" i="196" s="1"/>
  <c r="B49" i="196"/>
  <c r="B49" i="109"/>
  <c r="C49" i="109"/>
  <c r="D52" i="109" s="1"/>
  <c r="C49" i="411"/>
  <c r="D52" i="411" s="1"/>
  <c r="B49" i="411"/>
  <c r="B49" i="101"/>
  <c r="C49" i="101"/>
  <c r="D52" i="101" s="1"/>
  <c r="C49" i="269"/>
  <c r="D52" i="269" s="1"/>
  <c r="B49" i="269"/>
  <c r="C49" i="284"/>
  <c r="D52" i="284" s="1"/>
  <c r="B49" i="284"/>
  <c r="C49" i="187"/>
  <c r="D52" i="187" s="1"/>
  <c r="B49" i="187"/>
  <c r="C49" i="61"/>
  <c r="D52" i="61" s="1"/>
  <c r="B49" i="61"/>
  <c r="C49" i="206"/>
  <c r="D52" i="206" s="1"/>
  <c r="B49" i="206"/>
  <c r="C49" i="105"/>
  <c r="D52" i="105" s="1"/>
  <c r="B49" i="105"/>
  <c r="C49" i="293"/>
  <c r="D52" i="293" s="1"/>
  <c r="B49" i="293"/>
  <c r="C49" i="227"/>
  <c r="D52" i="227" s="1"/>
  <c r="B49" i="227"/>
  <c r="B49" i="33"/>
  <c r="C49" i="33"/>
  <c r="D52" i="33" s="1"/>
  <c r="B49" i="168"/>
  <c r="C49" i="168"/>
  <c r="D52" i="168" s="1"/>
  <c r="C49" i="37"/>
  <c r="D52" i="37" s="1"/>
  <c r="B49" i="37"/>
  <c r="B49" i="201"/>
  <c r="C49" i="201"/>
  <c r="D52" i="201" s="1"/>
  <c r="B49" i="190"/>
  <c r="C49" i="190"/>
  <c r="D52" i="190" s="1"/>
  <c r="B49" i="4"/>
  <c r="C49" i="4"/>
  <c r="D52" i="4" s="1"/>
  <c r="C49" i="385"/>
  <c r="D52" i="385" s="1"/>
  <c r="B49" i="385"/>
  <c r="C49" i="400"/>
  <c r="D52" i="400" s="1"/>
  <c r="B49" i="400"/>
  <c r="B49" i="333"/>
  <c r="C49" i="333"/>
  <c r="D52" i="333" s="1"/>
  <c r="B49" i="2"/>
  <c r="C49" i="2"/>
  <c r="D52" i="2" s="1"/>
  <c r="B49" i="420"/>
  <c r="C49" i="420"/>
  <c r="D52" i="420" s="1"/>
  <c r="B49" i="359"/>
  <c r="C49" i="359"/>
  <c r="D52" i="359" s="1"/>
  <c r="B49" i="97"/>
  <c r="C49" i="97"/>
  <c r="D52" i="97" s="1"/>
  <c r="B49" i="52"/>
  <c r="C49" i="52"/>
  <c r="D52" i="52" s="1"/>
  <c r="C49" i="394"/>
  <c r="D52" i="394" s="1"/>
  <c r="B49" i="394"/>
  <c r="B49" i="320"/>
  <c r="C49" i="320"/>
  <c r="D52" i="320" s="1"/>
  <c r="C49" i="17"/>
  <c r="D52" i="17" s="1"/>
  <c r="B49" i="17"/>
  <c r="C49" i="193"/>
  <c r="D52" i="193" s="1"/>
  <c r="B49" i="193"/>
  <c r="C49" i="329"/>
  <c r="D52" i="329" s="1"/>
  <c r="B49" i="329"/>
  <c r="B49" i="257"/>
  <c r="C49" i="257"/>
  <c r="D52" i="257" s="1"/>
  <c r="B49" i="152"/>
  <c r="C49" i="152"/>
  <c r="D52" i="152" s="1"/>
  <c r="B49" i="422"/>
  <c r="C49" i="422"/>
  <c r="D52" i="422" s="1"/>
  <c r="B49" i="387"/>
  <c r="C49" i="387"/>
  <c r="D52" i="387" s="1"/>
  <c r="B49" i="233"/>
  <c r="C49" i="233"/>
  <c r="D52" i="233" s="1"/>
  <c r="C49" i="353"/>
  <c r="D52" i="353" s="1"/>
  <c r="B49" i="353"/>
  <c r="C49" i="430"/>
  <c r="D52" i="430" s="1"/>
  <c r="B49" i="430"/>
  <c r="C49" i="202"/>
  <c r="D52" i="202" s="1"/>
  <c r="B49" i="202"/>
  <c r="C49" i="303"/>
  <c r="D52" i="303" s="1"/>
  <c r="B49" i="303"/>
  <c r="C49" i="439"/>
  <c r="D52" i="439" s="1"/>
  <c r="B49" i="439"/>
  <c r="C49" i="436"/>
  <c r="D52" i="436" s="1"/>
  <c r="B49" i="436"/>
  <c r="C49" i="441"/>
  <c r="D52" i="441" s="1"/>
  <c r="B49" i="441"/>
  <c r="C49" i="246"/>
  <c r="D52" i="246" s="1"/>
  <c r="B49" i="246"/>
  <c r="B49" i="46"/>
  <c r="C49" i="46"/>
  <c r="D52" i="46" s="1"/>
  <c r="C49" i="230"/>
  <c r="D52" i="230" s="1"/>
  <c r="B49" i="230"/>
  <c r="C49" i="87"/>
  <c r="D52" i="87" s="1"/>
  <c r="B49" i="87"/>
  <c r="C49" i="116"/>
  <c r="D52" i="116" s="1"/>
  <c r="B49" i="116"/>
  <c r="B49" i="281"/>
  <c r="C49" i="281"/>
  <c r="D52" i="281" s="1"/>
  <c r="C49" i="159"/>
  <c r="D52" i="159" s="1"/>
  <c r="B49" i="159"/>
  <c r="B49" i="192"/>
  <c r="C49" i="192"/>
  <c r="D52" i="192" s="1"/>
  <c r="B49" i="143"/>
  <c r="C49" i="143"/>
  <c r="D52" i="143" s="1"/>
  <c r="B49" i="181"/>
  <c r="C49" i="181"/>
  <c r="D52" i="181" s="1"/>
  <c r="B49" i="280"/>
  <c r="C49" i="280"/>
  <c r="D52" i="280" s="1"/>
  <c r="C49" i="345"/>
  <c r="D52" i="345" s="1"/>
  <c r="B49" i="345"/>
  <c r="C49" i="32"/>
  <c r="D52" i="32" s="1"/>
  <c r="B49" i="32"/>
  <c r="C49" i="112"/>
  <c r="D52" i="112" s="1"/>
  <c r="B49" i="112"/>
  <c r="B49" i="103"/>
  <c r="C49" i="103"/>
  <c r="D52" i="103" s="1"/>
  <c r="C49" i="325"/>
  <c r="D52" i="325" s="1"/>
  <c r="B49" i="325"/>
  <c r="C49" i="283"/>
  <c r="D52" i="283" s="1"/>
  <c r="B49" i="283"/>
  <c r="C49" i="34"/>
  <c r="D52" i="34" s="1"/>
  <c r="B49" i="34"/>
  <c r="C49" i="344"/>
  <c r="D52" i="344" s="1"/>
  <c r="B49" i="344"/>
  <c r="C49" i="350"/>
  <c r="D52" i="350" s="1"/>
  <c r="B49" i="350"/>
  <c r="C49" i="337"/>
  <c r="D52" i="337" s="1"/>
  <c r="B49" i="337"/>
  <c r="C49" i="342"/>
  <c r="D52" i="342" s="1"/>
  <c r="B49" i="342"/>
  <c r="B49" i="31"/>
  <c r="C49" i="31"/>
  <c r="D52" i="31" s="1"/>
  <c r="C49" i="347"/>
  <c r="D52" i="347" s="1"/>
  <c r="B49" i="347"/>
  <c r="C49" i="384"/>
  <c r="D52" i="384" s="1"/>
  <c r="B49" i="384"/>
  <c r="C49" i="299"/>
  <c r="D52" i="299" s="1"/>
  <c r="B49" i="299"/>
  <c r="B49" i="349"/>
  <c r="C49" i="349"/>
  <c r="D52" i="349" s="1"/>
  <c r="B49" i="323"/>
  <c r="C49" i="323"/>
  <c r="D52" i="323" s="1"/>
  <c r="C49" i="421"/>
  <c r="D52" i="421" s="1"/>
  <c r="B49" i="421"/>
  <c r="C49" i="191"/>
  <c r="D52" i="191" s="1"/>
  <c r="B49" i="191"/>
  <c r="C49" i="364"/>
  <c r="D52" i="364" s="1"/>
  <c r="B49" i="364"/>
  <c r="C49" i="29"/>
  <c r="D52" i="29" s="1"/>
  <c r="B49" i="29"/>
  <c r="B49" i="148"/>
  <c r="C49" i="148"/>
  <c r="D52" i="148" s="1"/>
  <c r="B49" i="23"/>
  <c r="C49" i="23"/>
  <c r="D52" i="23" s="1"/>
  <c r="C49" i="356"/>
  <c r="D52" i="356" s="1"/>
  <c r="B49" i="356"/>
  <c r="C49" i="319"/>
  <c r="D52" i="319" s="1"/>
  <c r="B49" i="319"/>
  <c r="C49" i="7"/>
  <c r="D52" i="7" s="1"/>
  <c r="B49" i="7"/>
  <c r="C49" i="194"/>
  <c r="D52" i="194" s="1"/>
  <c r="B49" i="194"/>
  <c r="B49" i="328"/>
  <c r="C49" i="328"/>
  <c r="D52" i="328" s="1"/>
  <c r="C49" i="153"/>
  <c r="D52" i="153" s="1"/>
  <c r="B49" i="153"/>
  <c r="B49" i="423"/>
  <c r="C49" i="423"/>
  <c r="D52" i="423" s="1"/>
  <c r="B49" i="20"/>
  <c r="C49" i="20"/>
  <c r="D52" i="20" s="1"/>
  <c r="C49" i="296"/>
  <c r="D52" i="296" s="1"/>
  <c r="B49" i="296"/>
  <c r="C49" i="322"/>
  <c r="D52" i="322" s="1"/>
  <c r="B49" i="322"/>
  <c r="C49" i="352"/>
  <c r="D52" i="352" s="1"/>
  <c r="B49" i="352"/>
  <c r="C49" i="424"/>
  <c r="D52" i="424" s="1"/>
  <c r="B49" i="424"/>
  <c r="B49" i="431"/>
  <c r="C49" i="431"/>
  <c r="D52" i="431" s="1"/>
  <c r="B49" i="386"/>
  <c r="C49" i="386"/>
  <c r="D52" i="386" s="1"/>
  <c r="B49" i="437"/>
  <c r="C49" i="437"/>
  <c r="D52" i="437" s="1"/>
  <c r="C49" i="435"/>
  <c r="D52" i="435" s="1"/>
  <c r="B49" i="435"/>
  <c r="B49" i="244"/>
  <c r="C49" i="244"/>
  <c r="D52" i="244" s="1"/>
  <c r="B49" i="248"/>
  <c r="C49" i="248"/>
  <c r="D52" i="248" s="1"/>
  <c r="B49" i="229"/>
  <c r="C49" i="229"/>
  <c r="D52" i="229" s="1"/>
  <c r="C49" i="24"/>
  <c r="D52" i="24" s="1"/>
  <c r="B49" i="24"/>
  <c r="C49" i="176"/>
  <c r="D52" i="176" s="1"/>
  <c r="B49" i="176"/>
  <c r="B49" i="271"/>
  <c r="C49" i="271"/>
  <c r="D52" i="271" s="1"/>
  <c r="C49" i="209"/>
  <c r="D52" i="209" s="1"/>
  <c r="B49" i="209"/>
  <c r="B49" i="27"/>
  <c r="C49" i="27"/>
  <c r="D52" i="27" s="1"/>
  <c r="B49" i="254"/>
  <c r="C49" i="254"/>
  <c r="D52" i="254" s="1"/>
  <c r="C49" i="200"/>
  <c r="D52" i="200" s="1"/>
  <c r="B49" i="200"/>
  <c r="B49" i="198"/>
  <c r="C49" i="198"/>
  <c r="D52" i="198" s="1"/>
  <c r="B49" i="324"/>
  <c r="C49" i="324"/>
  <c r="D52" i="324" s="1"/>
  <c r="C49" i="262"/>
  <c r="D52" i="262" s="1"/>
  <c r="B49" i="262"/>
  <c r="C49" i="102"/>
  <c r="D52" i="102" s="1"/>
  <c r="B49" i="102"/>
  <c r="B49" i="339"/>
  <c r="C49" i="339"/>
  <c r="D52" i="339" s="1"/>
  <c r="C49" i="295"/>
  <c r="D52" i="295" s="1"/>
  <c r="B49" i="295"/>
  <c r="C49" i="340"/>
  <c r="D52" i="340" s="1"/>
  <c r="B49" i="340"/>
  <c r="C49" i="301"/>
  <c r="D52" i="301" s="1"/>
  <c r="B49" i="301"/>
  <c r="B49" i="297"/>
  <c r="C49" i="297"/>
  <c r="D52" i="297" s="1"/>
  <c r="B49" i="289"/>
  <c r="C49" i="289"/>
  <c r="D52" i="289" s="1"/>
  <c r="C49" i="288"/>
  <c r="D52" i="288" s="1"/>
  <c r="B49" i="288"/>
  <c r="C49" i="336"/>
  <c r="D52" i="336" s="1"/>
  <c r="B49" i="336"/>
  <c r="C49" i="363"/>
  <c r="B49" i="363"/>
  <c r="C49" i="19"/>
  <c r="D52" i="19" s="1"/>
  <c r="B49" i="19"/>
  <c r="B49" i="54"/>
  <c r="C49" i="54"/>
  <c r="D52" i="54" s="1"/>
  <c r="B49" i="355"/>
  <c r="C49" i="355"/>
  <c r="D52" i="355" s="1"/>
  <c r="B49" i="3"/>
  <c r="C49" i="3"/>
  <c r="D52" i="3" s="1"/>
  <c r="C49" i="403"/>
  <c r="B49" i="403"/>
  <c r="C49" i="114"/>
  <c r="D52" i="114" s="1"/>
  <c r="B49" i="114"/>
  <c r="B49" i="162"/>
  <c r="C49" i="162"/>
  <c r="D52" i="162" s="1"/>
  <c r="C49" i="203"/>
  <c r="D52" i="203" s="1"/>
  <c r="B49" i="203"/>
  <c r="B49" i="368"/>
  <c r="C49" i="368"/>
  <c r="D52" i="368" s="1"/>
  <c r="B49" i="28"/>
  <c r="C49" i="28"/>
  <c r="D52" i="28" s="1"/>
  <c r="C49" i="88"/>
  <c r="D52" i="88" s="1"/>
  <c r="B49" i="88"/>
  <c r="B49" i="433"/>
  <c r="C49" i="433"/>
  <c r="D52" i="433" s="1"/>
  <c r="C49" i="12"/>
  <c r="D52" i="12" s="1"/>
  <c r="B49" i="12"/>
  <c r="B49" i="397"/>
  <c r="C49" i="397"/>
  <c r="D52" i="397" s="1"/>
  <c r="B49" i="48"/>
  <c r="C49" i="48"/>
  <c r="D52" i="48" s="1"/>
  <c r="C49" i="207"/>
  <c r="D52" i="207" s="1"/>
  <c r="B49" i="207"/>
  <c r="C49" i="174"/>
  <c r="D52" i="174" s="1"/>
  <c r="B49" i="174"/>
  <c r="B49" i="261"/>
  <c r="C49" i="261"/>
  <c r="D52" i="261" s="1"/>
  <c r="B49" i="21"/>
  <c r="C49" i="21"/>
  <c r="D52" i="21" s="1"/>
  <c r="C49" i="18"/>
  <c r="D52" i="18" s="1"/>
  <c r="B49" i="18"/>
  <c r="B49" i="367"/>
  <c r="C49" i="367"/>
  <c r="D52" i="367" s="1"/>
  <c r="B49" i="354"/>
  <c r="C49" i="354"/>
  <c r="D52" i="354" s="1"/>
  <c r="C49" i="351"/>
  <c r="D52" i="351" s="1"/>
  <c r="B49" i="351"/>
  <c r="C49" i="371"/>
  <c r="D52" i="371" s="1"/>
  <c r="B49" i="371"/>
  <c r="C49" i="113"/>
  <c r="D52" i="113" s="1"/>
  <c r="B49" i="113"/>
  <c r="C49" i="389"/>
  <c r="D52" i="389" s="1"/>
  <c r="B49" i="389"/>
  <c r="B49" i="440"/>
  <c r="C49" i="440"/>
  <c r="D52" i="440" s="1"/>
  <c r="C49" i="434"/>
  <c r="D52" i="434" s="1"/>
  <c r="B49" i="434"/>
  <c r="C49" i="243"/>
  <c r="D52" i="243" s="1"/>
  <c r="B49" i="243"/>
  <c r="C49" i="47"/>
  <c r="D52" i="47" s="1"/>
  <c r="B49" i="47"/>
  <c r="B49" i="276"/>
  <c r="C49" i="276"/>
  <c r="D52" i="276" s="1"/>
  <c r="C49" i="272"/>
  <c r="D52" i="272" s="1"/>
  <c r="B49" i="272"/>
  <c r="B49" i="25"/>
  <c r="C49" i="25"/>
  <c r="D52" i="25" s="1"/>
  <c r="C49" i="107"/>
  <c r="D52" i="107" s="1"/>
  <c r="B49" i="107"/>
  <c r="B49" i="270"/>
  <c r="C49" i="270"/>
  <c r="D52" i="270" s="1"/>
  <c r="C49" i="263"/>
  <c r="D52" i="263" s="1"/>
  <c r="B49" i="263"/>
  <c r="B49" i="184"/>
  <c r="C49" i="184"/>
  <c r="D52" i="184" s="1"/>
  <c r="B49" i="104"/>
  <c r="C49" i="104"/>
  <c r="D52" i="104" s="1"/>
  <c r="C49" i="74"/>
  <c r="D52" i="74" s="1"/>
  <c r="B49" i="74"/>
  <c r="B49" i="197"/>
  <c r="C49" i="197"/>
  <c r="D52" i="197" s="1"/>
  <c r="C49" i="85"/>
  <c r="D52" i="85" s="1"/>
  <c r="B49" i="85"/>
  <c r="C49" i="265"/>
  <c r="D52" i="265" s="1"/>
  <c r="B49" i="265"/>
  <c r="C49" i="382"/>
  <c r="D52" i="382" s="1"/>
  <c r="B49" i="382"/>
  <c r="C49" i="11"/>
  <c r="D52" i="11" s="1"/>
  <c r="B49" i="11"/>
  <c r="B49" i="292"/>
  <c r="C49" i="292"/>
  <c r="D52" i="292" s="1"/>
  <c r="C49" i="135"/>
  <c r="D52" i="135" s="1"/>
  <c r="B49" i="135"/>
  <c r="B49" i="338"/>
  <c r="C49" i="338"/>
  <c r="D52" i="338" s="1"/>
  <c r="B49" i="22"/>
  <c r="C49" i="22"/>
  <c r="D52" i="22" s="1"/>
  <c r="B49" i="294"/>
  <c r="C49" i="294"/>
  <c r="D52" i="294" s="1"/>
  <c r="C49" i="348"/>
  <c r="D52" i="348" s="1"/>
  <c r="B49" i="348"/>
  <c r="C49" i="290"/>
  <c r="D52" i="290" s="1"/>
  <c r="B49" i="290"/>
  <c r="B49" i="318"/>
  <c r="C49" i="318"/>
  <c r="D52" i="318" s="1"/>
  <c r="C49" i="169"/>
  <c r="D52" i="169" s="1"/>
  <c r="B49" i="169"/>
  <c r="B49" i="204"/>
  <c r="C49" i="204"/>
  <c r="D52" i="204" s="1"/>
  <c r="C49" i="249"/>
  <c r="D52" i="249" s="1"/>
  <c r="B49" i="249"/>
  <c r="B49" i="16"/>
  <c r="C49" i="16"/>
  <c r="D52" i="16" s="1"/>
  <c r="B49" i="15"/>
  <c r="C49" i="15"/>
  <c r="D52" i="15" s="1"/>
  <c r="C49" i="334"/>
  <c r="D52" i="334" s="1"/>
  <c r="B49" i="334"/>
  <c r="B49" i="402"/>
  <c r="C49" i="402"/>
  <c r="C49" i="53"/>
  <c r="D52" i="53" s="1"/>
  <c r="B49" i="53"/>
  <c r="C49" i="164"/>
  <c r="D52" i="164" s="1"/>
  <c r="B49" i="164"/>
  <c r="B49" i="8"/>
  <c r="C49" i="8"/>
  <c r="D52" i="8" s="1"/>
  <c r="B49" i="360"/>
  <c r="C49" i="360"/>
  <c r="D52" i="360" s="1"/>
  <c r="B49" i="383"/>
  <c r="C49" i="383"/>
  <c r="D52" i="383" s="1"/>
  <c r="C49" i="425"/>
  <c r="D52" i="425" s="1"/>
  <c r="B49" i="425"/>
  <c r="C49" i="393"/>
  <c r="D52" i="393" s="1"/>
  <c r="B49" i="393"/>
  <c r="C49" i="429"/>
  <c r="B49" i="429"/>
  <c r="B49" i="1"/>
  <c r="C49" i="1"/>
  <c r="D52" i="1" s="1"/>
  <c r="B49" i="413"/>
  <c r="C49" i="413"/>
  <c r="D52" i="413" s="1"/>
  <c r="C49" i="5"/>
  <c r="D52" i="5" s="1"/>
  <c r="B49" i="5"/>
  <c r="C49" i="409"/>
  <c r="D52" i="409" s="1"/>
  <c r="B49" i="409"/>
  <c r="C49" i="13"/>
  <c r="D52" i="13" s="1"/>
  <c r="B49" i="13"/>
  <c r="C49" i="43"/>
  <c r="D52" i="43" s="1"/>
  <c r="B49" i="43"/>
  <c r="C49" i="314"/>
  <c r="D52" i="314" s="1"/>
  <c r="B49" i="314"/>
  <c r="C49" i="298"/>
  <c r="D52" i="298" s="1"/>
  <c r="B49" i="298"/>
  <c r="C49" i="362"/>
  <c r="D52" i="362" s="1"/>
  <c r="B49" i="362"/>
  <c r="C49" i="361"/>
  <c r="D52" i="361" s="1"/>
  <c r="B49" i="361"/>
  <c r="B49" i="392"/>
  <c r="C49" i="392"/>
  <c r="D52" i="392" s="1"/>
  <c r="C49" i="89"/>
  <c r="D52" i="89" s="1"/>
  <c r="B49" i="89"/>
  <c r="C49" i="438"/>
  <c r="D52" i="438" s="1"/>
  <c r="B49" i="438"/>
  <c r="B49" i="75"/>
  <c r="C49" i="75"/>
  <c r="D52" i="75" s="1"/>
  <c r="C49" i="9"/>
  <c r="D52" i="9" s="1"/>
  <c r="B49" i="9"/>
  <c r="C49" i="432"/>
  <c r="D52" i="432" s="1"/>
  <c r="B49" i="432"/>
  <c r="C49" i="391"/>
  <c r="D52" i="391" s="1"/>
  <c r="B49" i="391"/>
  <c r="B49" i="35"/>
  <c r="C49" i="35"/>
  <c r="D52" i="35" s="1"/>
  <c r="G48" i="116"/>
  <c r="G48" i="159"/>
  <c r="G48" i="143"/>
  <c r="G48" i="181"/>
  <c r="G48" i="45"/>
  <c r="G48" i="346"/>
  <c r="G48" i="196"/>
  <c r="G48" i="109"/>
  <c r="G48" i="411"/>
  <c r="G48" i="101"/>
  <c r="G48" i="269"/>
  <c r="G48" i="284"/>
  <c r="G48" i="187"/>
  <c r="G48" i="61"/>
  <c r="G48" i="206"/>
  <c r="G48" i="105"/>
  <c r="G48" i="293"/>
  <c r="G48" i="227"/>
  <c r="G48" i="33"/>
  <c r="G48" i="168"/>
  <c r="G48" i="37"/>
  <c r="G48" i="201"/>
  <c r="G48" i="190"/>
  <c r="G48" i="4"/>
  <c r="G48" i="385"/>
  <c r="G48" i="400"/>
  <c r="G48" i="53"/>
  <c r="G48" i="164"/>
  <c r="G48" i="8"/>
  <c r="G48" i="360"/>
  <c r="G48" i="383"/>
  <c r="G48" i="425"/>
  <c r="G48" i="393"/>
  <c r="G48" i="429"/>
  <c r="G48" i="1"/>
  <c r="G48" i="413"/>
  <c r="G48" i="5"/>
  <c r="G48" i="409"/>
  <c r="G48" i="13"/>
  <c r="G48" i="43"/>
  <c r="G48" i="314"/>
  <c r="G48" i="298"/>
  <c r="G48" i="362"/>
  <c r="G48" i="361"/>
  <c r="G48" i="392"/>
  <c r="G48" i="46"/>
  <c r="G48" i="248"/>
  <c r="C49" i="44"/>
  <c r="G48" i="44"/>
  <c r="G48" i="176"/>
  <c r="G48" i="271"/>
  <c r="G48" i="209"/>
  <c r="G48" i="27"/>
  <c r="G48" i="280"/>
  <c r="G48" i="345"/>
  <c r="G48" i="32"/>
  <c r="G48" i="112"/>
  <c r="G48" i="103"/>
  <c r="C49" i="335"/>
  <c r="G48" i="335"/>
  <c r="G48" i="325"/>
  <c r="G48" i="283"/>
  <c r="G48" i="34"/>
  <c r="G48" i="344"/>
  <c r="C49" i="366"/>
  <c r="G48" i="366"/>
  <c r="G48" i="350"/>
  <c r="C49" i="357"/>
  <c r="G48" i="357"/>
  <c r="G48" i="337"/>
  <c r="G48" i="342"/>
  <c r="G48" i="31"/>
  <c r="G48" i="347"/>
  <c r="G48" i="384"/>
  <c r="G48" i="299"/>
  <c r="G48" i="349"/>
  <c r="C49" i="408"/>
  <c r="G48" i="408"/>
  <c r="G48" i="323"/>
  <c r="G48" i="333"/>
  <c r="G48" i="2"/>
  <c r="G48" i="420"/>
  <c r="G48" i="359"/>
  <c r="G48" i="97"/>
  <c r="G48" i="52"/>
  <c r="G48" i="394"/>
  <c r="G48" i="320"/>
  <c r="G48" i="17"/>
  <c r="G48" i="193"/>
  <c r="G48" i="329"/>
  <c r="G48" i="257"/>
  <c r="G48" i="152"/>
  <c r="G48" i="422"/>
  <c r="G48" i="387"/>
  <c r="G48" i="233"/>
  <c r="G48" i="353"/>
  <c r="G48" i="430"/>
  <c r="G48" i="202"/>
  <c r="G48" i="246"/>
  <c r="G48" i="87"/>
  <c r="G48" i="192"/>
  <c r="G48" i="272"/>
  <c r="G48" i="270"/>
  <c r="G48" i="184"/>
  <c r="G48" i="254"/>
  <c r="G48" i="200"/>
  <c r="G48" i="198"/>
  <c r="G48" i="324"/>
  <c r="G48" i="262"/>
  <c r="G48" i="102"/>
  <c r="C49" i="279"/>
  <c r="G48" i="279"/>
  <c r="G48" i="339"/>
  <c r="G48" i="295"/>
  <c r="G48" i="340"/>
  <c r="G48" i="301"/>
  <c r="C49" i="365"/>
  <c r="G48" i="365"/>
  <c r="G48" i="297"/>
  <c r="G48" i="289"/>
  <c r="G48" i="288"/>
  <c r="G48" i="336"/>
  <c r="G48" i="363"/>
  <c r="G48" i="19"/>
  <c r="G48" i="54"/>
  <c r="G48" i="355"/>
  <c r="G48" i="3"/>
  <c r="G48" i="403"/>
  <c r="G48" i="114"/>
  <c r="G48" i="421"/>
  <c r="G48" i="191"/>
  <c r="G48" i="364"/>
  <c r="G48" i="29"/>
  <c r="G48" i="148"/>
  <c r="G48" i="23"/>
  <c r="G48" i="356"/>
  <c r="G48" i="319"/>
  <c r="G48" i="7"/>
  <c r="G48" i="194"/>
  <c r="G48" i="328"/>
  <c r="G48" i="153"/>
  <c r="G48" i="423"/>
  <c r="G48" i="20"/>
  <c r="G48" i="296"/>
  <c r="G48" i="322"/>
  <c r="G48" i="352"/>
  <c r="G48" i="424"/>
  <c r="G48" i="431"/>
  <c r="G48" i="230"/>
  <c r="G48" i="281"/>
  <c r="G48" i="244"/>
  <c r="G48" i="229"/>
  <c r="G48" i="24"/>
  <c r="G48" i="243"/>
  <c r="G48" i="47"/>
  <c r="G48" i="276"/>
  <c r="G48" i="25"/>
  <c r="G48" i="107"/>
  <c r="G48" i="263"/>
  <c r="G48" i="35"/>
  <c r="G48" i="239"/>
  <c r="G48" i="326"/>
  <c r="G48" i="287"/>
  <c r="G48" i="285"/>
  <c r="G48" i="332"/>
  <c r="G48" i="160"/>
  <c r="G48" i="140"/>
  <c r="G48" i="268"/>
  <c r="G48" i="183"/>
  <c r="G48" i="104"/>
  <c r="G48" i="74"/>
  <c r="G48" i="197"/>
  <c r="G48" i="85"/>
  <c r="G48" i="265"/>
  <c r="G48" i="382"/>
  <c r="G48" i="11"/>
  <c r="G48" i="292"/>
  <c r="G48" i="135"/>
  <c r="G48" i="338"/>
  <c r="G48" i="22"/>
  <c r="G48" i="294"/>
  <c r="G48" i="348"/>
  <c r="G48" i="290"/>
  <c r="G48" i="318"/>
  <c r="G48" i="169"/>
  <c r="G48" i="204"/>
  <c r="G48" i="249"/>
  <c r="G48" i="16"/>
  <c r="G48" i="15"/>
  <c r="G48" i="334"/>
  <c r="G48" i="402"/>
  <c r="G48" i="162"/>
  <c r="G48" i="203"/>
  <c r="G48" i="368"/>
  <c r="G48" i="28"/>
  <c r="G48" i="88"/>
  <c r="G48" i="433"/>
  <c r="G48" i="12"/>
  <c r="G48" i="397"/>
  <c r="G48" i="48"/>
  <c r="G48" i="207"/>
  <c r="G48" i="174"/>
  <c r="G48" i="261"/>
  <c r="G48" i="21"/>
  <c r="G48" i="18"/>
  <c r="G48" i="367"/>
  <c r="G48" i="354"/>
  <c r="G48" i="351"/>
  <c r="G48" i="371"/>
  <c r="G48" i="113"/>
  <c r="G48" i="303"/>
  <c r="G48" i="386"/>
  <c r="G48" i="389"/>
  <c r="G48" i="89"/>
  <c r="G48" i="437"/>
  <c r="G48" i="439"/>
  <c r="G48" i="440"/>
  <c r="G48" i="438"/>
  <c r="G48" i="436"/>
  <c r="G48" i="435"/>
  <c r="G48" i="434"/>
  <c r="G48" i="9"/>
  <c r="G48" i="441"/>
  <c r="G48" i="75"/>
  <c r="G48" i="391"/>
  <c r="G48" i="432"/>
  <c r="U47" i="441"/>
  <c r="T47" i="441"/>
  <c r="I47" i="441" s="1"/>
  <c r="U46" i="441"/>
  <c r="L49" i="441" s="1"/>
  <c r="T46" i="441"/>
  <c r="I46" i="441" s="1"/>
  <c r="K46" i="441"/>
  <c r="F46" i="441"/>
  <c r="T45" i="441"/>
  <c r="I45" i="441" s="1"/>
  <c r="F45" i="441"/>
  <c r="T44" i="441"/>
  <c r="I44" i="441" s="1"/>
  <c r="J56" i="441" s="1"/>
  <c r="F44" i="441"/>
  <c r="H56" i="441" s="1"/>
  <c r="U43" i="441"/>
  <c r="T43" i="441"/>
  <c r="I43" i="441" s="1"/>
  <c r="J55" i="441" s="1"/>
  <c r="K43" i="441"/>
  <c r="F43" i="441"/>
  <c r="H55" i="441" s="1"/>
  <c r="T42" i="441"/>
  <c r="I42" i="441" s="1"/>
  <c r="J54" i="441" s="1"/>
  <c r="F42" i="441"/>
  <c r="H54" i="441" s="1"/>
  <c r="T41" i="441"/>
  <c r="I41" i="441" s="1"/>
  <c r="J53" i="441" s="1"/>
  <c r="F41" i="441"/>
  <c r="H53" i="441" s="1"/>
  <c r="U40" i="441"/>
  <c r="T40" i="441"/>
  <c r="I40" i="441" s="1"/>
  <c r="J52" i="441" s="1"/>
  <c r="K40" i="441"/>
  <c r="M52" i="441" s="1"/>
  <c r="F40" i="441"/>
  <c r="H52" i="441" s="1"/>
  <c r="T39" i="441"/>
  <c r="I39" i="441" s="1"/>
  <c r="J51" i="441" s="1"/>
  <c r="F39" i="441"/>
  <c r="H51" i="441" s="1"/>
  <c r="T38" i="441"/>
  <c r="I38" i="441" s="1"/>
  <c r="J50" i="441" s="1"/>
  <c r="F38" i="441"/>
  <c r="H50" i="441" s="1"/>
  <c r="U37" i="441"/>
  <c r="T37" i="441"/>
  <c r="I37" i="441" s="1"/>
  <c r="K37" i="441"/>
  <c r="M49" i="441" s="1"/>
  <c r="F37" i="441"/>
  <c r="H49" i="441" s="1"/>
  <c r="T36" i="441"/>
  <c r="I36" i="441" s="1"/>
  <c r="F36" i="441"/>
  <c r="T35" i="441"/>
  <c r="I35" i="441" s="1"/>
  <c r="F35" i="441"/>
  <c r="H47" i="441" s="1"/>
  <c r="U34" i="441"/>
  <c r="T34" i="441"/>
  <c r="I34" i="441" s="1"/>
  <c r="K34" i="441"/>
  <c r="F34" i="441"/>
  <c r="T33" i="441"/>
  <c r="I33" i="441" s="1"/>
  <c r="F33" i="441"/>
  <c r="T32" i="441"/>
  <c r="I32" i="441" s="1"/>
  <c r="F32" i="441"/>
  <c r="U31" i="441"/>
  <c r="T31" i="441"/>
  <c r="I31" i="441" s="1"/>
  <c r="K31" i="441"/>
  <c r="F31" i="441"/>
  <c r="T30" i="441"/>
  <c r="I30" i="441" s="1"/>
  <c r="F30" i="441"/>
  <c r="T29" i="441"/>
  <c r="I29" i="441" s="1"/>
  <c r="F29" i="441"/>
  <c r="U28" i="441"/>
  <c r="T28" i="441"/>
  <c r="I28" i="441" s="1"/>
  <c r="K28" i="441"/>
  <c r="F28" i="441"/>
  <c r="T27" i="441"/>
  <c r="I27" i="441" s="1"/>
  <c r="F27" i="441"/>
  <c r="T26" i="441"/>
  <c r="I26" i="441" s="1"/>
  <c r="F26" i="441"/>
  <c r="U25" i="441"/>
  <c r="T25" i="441"/>
  <c r="I25" i="441" s="1"/>
  <c r="K25" i="441"/>
  <c r="F25" i="441"/>
  <c r="T24" i="441"/>
  <c r="I24" i="441" s="1"/>
  <c r="F24" i="441"/>
  <c r="T23" i="441"/>
  <c r="I23" i="441" s="1"/>
  <c r="F23" i="441"/>
  <c r="U22" i="441"/>
  <c r="T22" i="441"/>
  <c r="I22" i="441" s="1"/>
  <c r="K22" i="441"/>
  <c r="F22" i="441"/>
  <c r="T21" i="441"/>
  <c r="I21" i="441" s="1"/>
  <c r="F21" i="441"/>
  <c r="T20" i="441"/>
  <c r="I20" i="441" s="1"/>
  <c r="F20" i="441"/>
  <c r="U19" i="441"/>
  <c r="T19" i="441"/>
  <c r="I19" i="441" s="1"/>
  <c r="K19" i="441"/>
  <c r="F19" i="441"/>
  <c r="T18" i="441"/>
  <c r="I18" i="441" s="1"/>
  <c r="F18" i="441"/>
  <c r="T17" i="441"/>
  <c r="I17" i="441" s="1"/>
  <c r="F17" i="441"/>
  <c r="U16" i="441"/>
  <c r="T16" i="441"/>
  <c r="I16" i="441" s="1"/>
  <c r="K16" i="441"/>
  <c r="F16" i="441"/>
  <c r="T15" i="441"/>
  <c r="I15" i="441" s="1"/>
  <c r="F15" i="441"/>
  <c r="T14" i="441"/>
  <c r="I14" i="441" s="1"/>
  <c r="F14" i="441"/>
  <c r="U13" i="441"/>
  <c r="T13" i="441"/>
  <c r="I13" i="441" s="1"/>
  <c r="K13" i="441"/>
  <c r="F13" i="441"/>
  <c r="T12" i="441"/>
  <c r="I12" i="441" s="1"/>
  <c r="F12" i="441"/>
  <c r="T11" i="441"/>
  <c r="I11" i="441" s="1"/>
  <c r="F11" i="441"/>
  <c r="U10" i="441"/>
  <c r="T10" i="441"/>
  <c r="I10" i="441" s="1"/>
  <c r="K10" i="441"/>
  <c r="F10" i="441"/>
  <c r="T9" i="441"/>
  <c r="I9" i="441" s="1"/>
  <c r="F9" i="441"/>
  <c r="T8" i="441"/>
  <c r="I8" i="441" s="1"/>
  <c r="F8" i="441"/>
  <c r="U7" i="441"/>
  <c r="T7" i="441"/>
  <c r="I7" i="441" s="1"/>
  <c r="K7" i="441"/>
  <c r="F7" i="441"/>
  <c r="T6" i="441"/>
  <c r="I6" i="441" s="1"/>
  <c r="F6" i="441"/>
  <c r="T5" i="441"/>
  <c r="I5" i="441" s="1"/>
  <c r="F5" i="441"/>
  <c r="M46" i="441" l="1"/>
  <c r="M43" i="441"/>
  <c r="M55" i="441"/>
  <c r="J26" i="441"/>
  <c r="J33" i="441"/>
  <c r="J17" i="441"/>
  <c r="J20" i="441"/>
  <c r="L13" i="441"/>
  <c r="M40" i="441"/>
  <c r="J35" i="441"/>
  <c r="J42" i="441"/>
  <c r="J44" i="441"/>
  <c r="H23" i="441"/>
  <c r="J22" i="441"/>
  <c r="J31" i="441"/>
  <c r="J40" i="441"/>
  <c r="L16" i="441"/>
  <c r="H22" i="441"/>
  <c r="J28" i="441"/>
  <c r="J18" i="441"/>
  <c r="J29" i="441"/>
  <c r="J38" i="441"/>
  <c r="J45" i="441"/>
  <c r="J25" i="441"/>
  <c r="J34" i="441"/>
  <c r="J19" i="441"/>
  <c r="H38" i="441"/>
  <c r="J37" i="441"/>
  <c r="J49" i="441"/>
  <c r="J46" i="441"/>
  <c r="J47" i="441"/>
  <c r="J27" i="441"/>
  <c r="J36" i="441"/>
  <c r="J48" i="441"/>
  <c r="J43" i="441"/>
  <c r="J24" i="441"/>
  <c r="J21" i="441"/>
  <c r="J23" i="441"/>
  <c r="M37" i="441"/>
  <c r="J30" i="441"/>
  <c r="J32" i="441"/>
  <c r="J39" i="441"/>
  <c r="J41" i="441"/>
  <c r="N49" i="441"/>
  <c r="O52" i="441" s="1"/>
  <c r="L10" i="441"/>
  <c r="C40" i="441"/>
  <c r="E52" i="441" s="1"/>
  <c r="N28" i="441"/>
  <c r="G36" i="441"/>
  <c r="H48" i="441"/>
  <c r="B7" i="441"/>
  <c r="B25" i="441"/>
  <c r="G46" i="441"/>
  <c r="N7" i="441"/>
  <c r="N13" i="441"/>
  <c r="N16" i="441"/>
  <c r="B34" i="441"/>
  <c r="H46" i="441"/>
  <c r="N10" i="441"/>
  <c r="N37" i="441"/>
  <c r="L43" i="441"/>
  <c r="N25" i="441"/>
  <c r="L40" i="441"/>
  <c r="B46" i="441"/>
  <c r="G21" i="441"/>
  <c r="G24" i="441"/>
  <c r="G8" i="441"/>
  <c r="L19" i="441"/>
  <c r="H33" i="441"/>
  <c r="C19" i="441"/>
  <c r="G19" i="441"/>
  <c r="H35" i="441"/>
  <c r="H37" i="441"/>
  <c r="N34" i="441"/>
  <c r="B37" i="441"/>
  <c r="H36" i="441"/>
  <c r="H42" i="441"/>
  <c r="G31" i="441"/>
  <c r="C46" i="441"/>
  <c r="D49" i="441" s="1"/>
  <c r="N46" i="441"/>
  <c r="C43" i="441"/>
  <c r="E55" i="441" s="1"/>
  <c r="G43" i="441"/>
  <c r="G45" i="441"/>
  <c r="G47" i="441"/>
  <c r="N19" i="441"/>
  <c r="H19" i="441"/>
  <c r="B22" i="441"/>
  <c r="C22" i="441"/>
  <c r="H28" i="441"/>
  <c r="C31" i="441"/>
  <c r="G34" i="441"/>
  <c r="G35" i="441"/>
  <c r="B16" i="441"/>
  <c r="H34" i="441"/>
  <c r="H43" i="441"/>
  <c r="G13" i="441"/>
  <c r="H18" i="441"/>
  <c r="N22" i="441"/>
  <c r="M34" i="441"/>
  <c r="M28" i="441"/>
  <c r="G22" i="441"/>
  <c r="G23" i="441"/>
  <c r="H30" i="441"/>
  <c r="H31" i="441"/>
  <c r="L31" i="441"/>
  <c r="G33" i="441"/>
  <c r="C34" i="441"/>
  <c r="H40" i="441"/>
  <c r="H45" i="441"/>
  <c r="C7" i="441"/>
  <c r="B13" i="441"/>
  <c r="H21" i="441"/>
  <c r="L22" i="441"/>
  <c r="N40" i="441"/>
  <c r="C10" i="441"/>
  <c r="G11" i="441"/>
  <c r="G12" i="441"/>
  <c r="C13" i="441"/>
  <c r="G14" i="441"/>
  <c r="G15" i="441"/>
  <c r="C16" i="441"/>
  <c r="G17" i="441"/>
  <c r="M22" i="441"/>
  <c r="H24" i="441"/>
  <c r="C25" i="441"/>
  <c r="G25" i="441"/>
  <c r="L25" i="441"/>
  <c r="H26" i="441"/>
  <c r="G27" i="441"/>
  <c r="B28" i="441"/>
  <c r="G29" i="441"/>
  <c r="N31" i="441"/>
  <c r="C37" i="441"/>
  <c r="E49" i="441" s="1"/>
  <c r="G37" i="441"/>
  <c r="L37" i="441"/>
  <c r="G39" i="441"/>
  <c r="B40" i="441"/>
  <c r="G41" i="441"/>
  <c r="N43" i="441"/>
  <c r="G6" i="441"/>
  <c r="G10" i="441"/>
  <c r="G16" i="441"/>
  <c r="M19" i="441"/>
  <c r="M31" i="441"/>
  <c r="L34" i="441"/>
  <c r="G38" i="441"/>
  <c r="L46" i="441"/>
  <c r="G9" i="441"/>
  <c r="G7" i="441"/>
  <c r="H17" i="441"/>
  <c r="G18" i="441"/>
  <c r="B19" i="441"/>
  <c r="G20" i="441"/>
  <c r="H25" i="441"/>
  <c r="M25" i="441"/>
  <c r="H27" i="441"/>
  <c r="C28" i="441"/>
  <c r="G28" i="441"/>
  <c r="L28" i="441"/>
  <c r="H29" i="441"/>
  <c r="G30" i="441"/>
  <c r="B31" i="441"/>
  <c r="G32" i="441"/>
  <c r="H39" i="441"/>
  <c r="G40" i="441"/>
  <c r="H41" i="441"/>
  <c r="G42" i="441"/>
  <c r="B43" i="441"/>
  <c r="G44" i="441"/>
  <c r="B10" i="441"/>
  <c r="G26" i="441"/>
  <c r="H20" i="441"/>
  <c r="H32" i="441"/>
  <c r="H44" i="441"/>
  <c r="K7" i="290"/>
  <c r="K10" i="290"/>
  <c r="K13" i="290"/>
  <c r="D43" i="441" l="1"/>
  <c r="O31" i="441"/>
  <c r="O49" i="441"/>
  <c r="E40" i="441"/>
  <c r="D40" i="441"/>
  <c r="O28" i="441"/>
  <c r="O10" i="441"/>
  <c r="O13" i="441"/>
  <c r="E31" i="441"/>
  <c r="O16" i="441"/>
  <c r="O25" i="441"/>
  <c r="O37" i="441"/>
  <c r="D34" i="441"/>
  <c r="O40" i="441"/>
  <c r="E19" i="441"/>
  <c r="O19" i="441"/>
  <c r="D46" i="441"/>
  <c r="E22" i="441"/>
  <c r="O43" i="441"/>
  <c r="D22" i="441"/>
  <c r="O22" i="441"/>
  <c r="E34" i="441"/>
  <c r="E46" i="441"/>
  <c r="D16" i="441"/>
  <c r="E43" i="441"/>
  <c r="O34" i="441"/>
  <c r="D19" i="441"/>
  <c r="D28" i="441"/>
  <c r="E28" i="441"/>
  <c r="E37" i="441"/>
  <c r="D37" i="441"/>
  <c r="D10" i="441"/>
  <c r="D31" i="441"/>
  <c r="E25" i="441"/>
  <c r="D25" i="441"/>
  <c r="D13" i="441"/>
  <c r="O46" i="441"/>
  <c r="K7" i="135"/>
  <c r="K7" i="109"/>
  <c r="K7" i="176"/>
  <c r="K10" i="176"/>
  <c r="K13" i="176"/>
  <c r="U47" i="440" l="1"/>
  <c r="T47" i="440"/>
  <c r="U46" i="440"/>
  <c r="L49" i="440" s="1"/>
  <c r="T46" i="440"/>
  <c r="I46" i="440" s="1"/>
  <c r="K46" i="440"/>
  <c r="F46" i="440"/>
  <c r="G47" i="440" s="1"/>
  <c r="T45" i="440"/>
  <c r="I45" i="440" s="1"/>
  <c r="F45" i="440"/>
  <c r="T44" i="440"/>
  <c r="I44" i="440" s="1"/>
  <c r="J56" i="440" s="1"/>
  <c r="F44" i="440"/>
  <c r="H56" i="440" s="1"/>
  <c r="U43" i="440"/>
  <c r="T43" i="440"/>
  <c r="I43" i="440" s="1"/>
  <c r="J55" i="440" s="1"/>
  <c r="K43" i="440"/>
  <c r="F43" i="440"/>
  <c r="H55" i="440" s="1"/>
  <c r="T42" i="440"/>
  <c r="I42" i="440" s="1"/>
  <c r="J54" i="440" s="1"/>
  <c r="F42" i="440"/>
  <c r="H54" i="440" s="1"/>
  <c r="T41" i="440"/>
  <c r="I41" i="440" s="1"/>
  <c r="J53" i="440" s="1"/>
  <c r="F41" i="440"/>
  <c r="H53" i="440" s="1"/>
  <c r="U40" i="440"/>
  <c r="T40" i="440"/>
  <c r="I40" i="440" s="1"/>
  <c r="J52" i="440" s="1"/>
  <c r="K40" i="440"/>
  <c r="M52" i="440" s="1"/>
  <c r="F40" i="440"/>
  <c r="H52" i="440" s="1"/>
  <c r="T39" i="440"/>
  <c r="I39" i="440" s="1"/>
  <c r="F39" i="440"/>
  <c r="H51" i="440" s="1"/>
  <c r="T38" i="440"/>
  <c r="I38" i="440" s="1"/>
  <c r="J50" i="440" s="1"/>
  <c r="F38" i="440"/>
  <c r="H50" i="440" s="1"/>
  <c r="U37" i="440"/>
  <c r="T37" i="440"/>
  <c r="I37" i="440" s="1"/>
  <c r="K37" i="440"/>
  <c r="M49" i="440" s="1"/>
  <c r="F37" i="440"/>
  <c r="H49" i="440" s="1"/>
  <c r="T36" i="440"/>
  <c r="I36" i="440" s="1"/>
  <c r="F36" i="440"/>
  <c r="H48" i="440" s="1"/>
  <c r="T35" i="440"/>
  <c r="I35" i="440" s="1"/>
  <c r="F35" i="440"/>
  <c r="U34" i="440"/>
  <c r="T34" i="440"/>
  <c r="I34" i="440" s="1"/>
  <c r="K34" i="440"/>
  <c r="F34" i="440"/>
  <c r="T33" i="440"/>
  <c r="I33" i="440" s="1"/>
  <c r="F33" i="440"/>
  <c r="T32" i="440"/>
  <c r="I32" i="440" s="1"/>
  <c r="F32" i="440"/>
  <c r="U31" i="440"/>
  <c r="T31" i="440"/>
  <c r="I31" i="440" s="1"/>
  <c r="K31" i="440"/>
  <c r="F31" i="440"/>
  <c r="T30" i="440"/>
  <c r="I30" i="440" s="1"/>
  <c r="F30" i="440"/>
  <c r="T29" i="440"/>
  <c r="I29" i="440" s="1"/>
  <c r="F29" i="440"/>
  <c r="U28" i="440"/>
  <c r="T28" i="440"/>
  <c r="I28" i="440" s="1"/>
  <c r="K28" i="440"/>
  <c r="F28" i="440"/>
  <c r="T27" i="440"/>
  <c r="I27" i="440" s="1"/>
  <c r="F27" i="440"/>
  <c r="T26" i="440"/>
  <c r="I26" i="440" s="1"/>
  <c r="F26" i="440"/>
  <c r="U25" i="440"/>
  <c r="T25" i="440"/>
  <c r="I25" i="440" s="1"/>
  <c r="K25" i="440"/>
  <c r="F25" i="440"/>
  <c r="T24" i="440"/>
  <c r="I24" i="440" s="1"/>
  <c r="F24" i="440"/>
  <c r="T23" i="440"/>
  <c r="I23" i="440" s="1"/>
  <c r="F23" i="440"/>
  <c r="U22" i="440"/>
  <c r="T22" i="440"/>
  <c r="I22" i="440" s="1"/>
  <c r="K22" i="440"/>
  <c r="F22" i="440"/>
  <c r="T21" i="440"/>
  <c r="I21" i="440" s="1"/>
  <c r="F21" i="440"/>
  <c r="T20" i="440"/>
  <c r="I20" i="440" s="1"/>
  <c r="F20" i="440"/>
  <c r="U19" i="440"/>
  <c r="T19" i="440"/>
  <c r="I19" i="440" s="1"/>
  <c r="K19" i="440"/>
  <c r="F19" i="440"/>
  <c r="T18" i="440"/>
  <c r="I18" i="440" s="1"/>
  <c r="F18" i="440"/>
  <c r="T17" i="440"/>
  <c r="I17" i="440" s="1"/>
  <c r="F17" i="440"/>
  <c r="U16" i="440"/>
  <c r="T16" i="440"/>
  <c r="I16" i="440" s="1"/>
  <c r="K16" i="440"/>
  <c r="F16" i="440"/>
  <c r="T15" i="440"/>
  <c r="I15" i="440" s="1"/>
  <c r="F15" i="440"/>
  <c r="T14" i="440"/>
  <c r="I14" i="440" s="1"/>
  <c r="F14" i="440"/>
  <c r="U13" i="440"/>
  <c r="T13" i="440"/>
  <c r="I13" i="440" s="1"/>
  <c r="K13" i="440"/>
  <c r="F13" i="440"/>
  <c r="T12" i="440"/>
  <c r="I12" i="440" s="1"/>
  <c r="F12" i="440"/>
  <c r="T11" i="440"/>
  <c r="I11" i="440" s="1"/>
  <c r="F11" i="440"/>
  <c r="U10" i="440"/>
  <c r="T10" i="440"/>
  <c r="I10" i="440" s="1"/>
  <c r="K10" i="440"/>
  <c r="F10" i="440"/>
  <c r="T9" i="440"/>
  <c r="I9" i="440" s="1"/>
  <c r="F9" i="440"/>
  <c r="T8" i="440"/>
  <c r="I8" i="440" s="1"/>
  <c r="F8" i="440"/>
  <c r="U7" i="440"/>
  <c r="T7" i="440"/>
  <c r="I7" i="440" s="1"/>
  <c r="K7" i="440"/>
  <c r="F7" i="440"/>
  <c r="T6" i="440"/>
  <c r="I6" i="440" s="1"/>
  <c r="F6" i="440"/>
  <c r="T5" i="440"/>
  <c r="I5" i="440" s="1"/>
  <c r="F5" i="440"/>
  <c r="U47" i="439"/>
  <c r="T47" i="439"/>
  <c r="I47" i="439" s="1"/>
  <c r="U46" i="439"/>
  <c r="L49" i="439" s="1"/>
  <c r="T46" i="439"/>
  <c r="I46" i="439" s="1"/>
  <c r="K46" i="439"/>
  <c r="M46" i="439" s="1"/>
  <c r="F46" i="439"/>
  <c r="T45" i="439"/>
  <c r="I45" i="439" s="1"/>
  <c r="F45" i="439"/>
  <c r="T44" i="439"/>
  <c r="I44" i="439" s="1"/>
  <c r="J56" i="439" s="1"/>
  <c r="F44" i="439"/>
  <c r="H56" i="439" s="1"/>
  <c r="U43" i="439"/>
  <c r="T43" i="439"/>
  <c r="I43" i="439" s="1"/>
  <c r="J55" i="439" s="1"/>
  <c r="K43" i="439"/>
  <c r="F43" i="439"/>
  <c r="H55" i="439" s="1"/>
  <c r="T42" i="439"/>
  <c r="I42" i="439" s="1"/>
  <c r="J54" i="439" s="1"/>
  <c r="F42" i="439"/>
  <c r="H54" i="439" s="1"/>
  <c r="T41" i="439"/>
  <c r="I41" i="439" s="1"/>
  <c r="J53" i="439" s="1"/>
  <c r="F41" i="439"/>
  <c r="H53" i="439" s="1"/>
  <c r="U40" i="439"/>
  <c r="T40" i="439"/>
  <c r="I40" i="439" s="1"/>
  <c r="J52" i="439" s="1"/>
  <c r="K40" i="439"/>
  <c r="M52" i="439" s="1"/>
  <c r="F40" i="439"/>
  <c r="H52" i="439" s="1"/>
  <c r="T39" i="439"/>
  <c r="I39" i="439" s="1"/>
  <c r="F39" i="439"/>
  <c r="H51" i="439" s="1"/>
  <c r="T38" i="439"/>
  <c r="I38" i="439" s="1"/>
  <c r="J50" i="439" s="1"/>
  <c r="F38" i="439"/>
  <c r="H50" i="439" s="1"/>
  <c r="U37" i="439"/>
  <c r="T37" i="439"/>
  <c r="I37" i="439" s="1"/>
  <c r="K37" i="439"/>
  <c r="M49" i="439" s="1"/>
  <c r="F37" i="439"/>
  <c r="H49" i="439" s="1"/>
  <c r="T36" i="439"/>
  <c r="I36" i="439" s="1"/>
  <c r="F36" i="439"/>
  <c r="H48" i="439" s="1"/>
  <c r="T35" i="439"/>
  <c r="I35" i="439" s="1"/>
  <c r="F35" i="439"/>
  <c r="U34" i="439"/>
  <c r="T34" i="439"/>
  <c r="I34" i="439" s="1"/>
  <c r="K34" i="439"/>
  <c r="F34" i="439"/>
  <c r="T33" i="439"/>
  <c r="I33" i="439" s="1"/>
  <c r="F33" i="439"/>
  <c r="T32" i="439"/>
  <c r="I32" i="439" s="1"/>
  <c r="F32" i="439"/>
  <c r="U31" i="439"/>
  <c r="T31" i="439"/>
  <c r="I31" i="439" s="1"/>
  <c r="K31" i="439"/>
  <c r="F31" i="439"/>
  <c r="T30" i="439"/>
  <c r="I30" i="439" s="1"/>
  <c r="F30" i="439"/>
  <c r="T29" i="439"/>
  <c r="I29" i="439" s="1"/>
  <c r="F29" i="439"/>
  <c r="U28" i="439"/>
  <c r="T28" i="439"/>
  <c r="I28" i="439" s="1"/>
  <c r="K28" i="439"/>
  <c r="F28" i="439"/>
  <c r="T27" i="439"/>
  <c r="I27" i="439" s="1"/>
  <c r="F27" i="439"/>
  <c r="T26" i="439"/>
  <c r="I26" i="439" s="1"/>
  <c r="F26" i="439"/>
  <c r="U25" i="439"/>
  <c r="T25" i="439"/>
  <c r="I25" i="439" s="1"/>
  <c r="K25" i="439"/>
  <c r="F25" i="439"/>
  <c r="T24" i="439"/>
  <c r="I24" i="439" s="1"/>
  <c r="F24" i="439"/>
  <c r="T23" i="439"/>
  <c r="I23" i="439" s="1"/>
  <c r="F23" i="439"/>
  <c r="U22" i="439"/>
  <c r="T22" i="439"/>
  <c r="I22" i="439" s="1"/>
  <c r="K22" i="439"/>
  <c r="F22" i="439"/>
  <c r="T21" i="439"/>
  <c r="I21" i="439" s="1"/>
  <c r="F21" i="439"/>
  <c r="T20" i="439"/>
  <c r="I20" i="439" s="1"/>
  <c r="F20" i="439"/>
  <c r="U19" i="439"/>
  <c r="T19" i="439"/>
  <c r="I19" i="439" s="1"/>
  <c r="K19" i="439"/>
  <c r="F19" i="439"/>
  <c r="T18" i="439"/>
  <c r="I18" i="439" s="1"/>
  <c r="F18" i="439"/>
  <c r="T17" i="439"/>
  <c r="I17" i="439" s="1"/>
  <c r="F17" i="439"/>
  <c r="U16" i="439"/>
  <c r="T16" i="439"/>
  <c r="I16" i="439" s="1"/>
  <c r="K16" i="439"/>
  <c r="F16" i="439"/>
  <c r="T15" i="439"/>
  <c r="I15" i="439" s="1"/>
  <c r="F15" i="439"/>
  <c r="T14" i="439"/>
  <c r="I14" i="439" s="1"/>
  <c r="F14" i="439"/>
  <c r="U13" i="439"/>
  <c r="T13" i="439"/>
  <c r="I13" i="439" s="1"/>
  <c r="K13" i="439"/>
  <c r="F13" i="439"/>
  <c r="T12" i="439"/>
  <c r="I12" i="439" s="1"/>
  <c r="F12" i="439"/>
  <c r="T11" i="439"/>
  <c r="I11" i="439" s="1"/>
  <c r="F11" i="439"/>
  <c r="U10" i="439"/>
  <c r="T10" i="439"/>
  <c r="I10" i="439" s="1"/>
  <c r="K10" i="439"/>
  <c r="F10" i="439"/>
  <c r="T9" i="439"/>
  <c r="I9" i="439" s="1"/>
  <c r="F9" i="439"/>
  <c r="T8" i="439"/>
  <c r="I8" i="439" s="1"/>
  <c r="F8" i="439"/>
  <c r="U7" i="439"/>
  <c r="T7" i="439"/>
  <c r="I7" i="439" s="1"/>
  <c r="K7" i="439"/>
  <c r="F7" i="439"/>
  <c r="T6" i="439"/>
  <c r="I6" i="439" s="1"/>
  <c r="F6" i="439"/>
  <c r="T5" i="439"/>
  <c r="I5" i="439" s="1"/>
  <c r="F5" i="439"/>
  <c r="M43" i="440" l="1"/>
  <c r="M55" i="440"/>
  <c r="M46" i="440"/>
  <c r="M43" i="439"/>
  <c r="M55" i="439"/>
  <c r="J17" i="439"/>
  <c r="L10" i="439"/>
  <c r="M28" i="440"/>
  <c r="J30" i="439"/>
  <c r="J32" i="439"/>
  <c r="J41" i="439"/>
  <c r="J21" i="440"/>
  <c r="J23" i="440"/>
  <c r="J30" i="440"/>
  <c r="J32" i="440"/>
  <c r="J39" i="439"/>
  <c r="J51" i="439"/>
  <c r="J39" i="440"/>
  <c r="J51" i="440"/>
  <c r="J41" i="440"/>
  <c r="J20" i="440"/>
  <c r="J21" i="439"/>
  <c r="J23" i="439"/>
  <c r="L46" i="439"/>
  <c r="J24" i="439"/>
  <c r="M22" i="439"/>
  <c r="L22" i="439"/>
  <c r="J22" i="439"/>
  <c r="J31" i="439"/>
  <c r="J19" i="439"/>
  <c r="H33" i="439"/>
  <c r="H22" i="440"/>
  <c r="J28" i="440"/>
  <c r="J40" i="439"/>
  <c r="J22" i="440"/>
  <c r="J31" i="440"/>
  <c r="J40" i="440"/>
  <c r="J26" i="439"/>
  <c r="J47" i="439"/>
  <c r="J25" i="439"/>
  <c r="J34" i="439"/>
  <c r="J43" i="439"/>
  <c r="H31" i="440"/>
  <c r="J25" i="440"/>
  <c r="J34" i="440"/>
  <c r="J43" i="440"/>
  <c r="J28" i="439"/>
  <c r="J37" i="439"/>
  <c r="J49" i="439"/>
  <c r="J46" i="439"/>
  <c r="J19" i="440"/>
  <c r="J37" i="440"/>
  <c r="J49" i="440"/>
  <c r="J46" i="440"/>
  <c r="J33" i="439"/>
  <c r="J35" i="439"/>
  <c r="J42" i="439"/>
  <c r="J44" i="439"/>
  <c r="J17" i="440"/>
  <c r="J24" i="440"/>
  <c r="J26" i="440"/>
  <c r="J33" i="440"/>
  <c r="J35" i="440"/>
  <c r="J42" i="440"/>
  <c r="J44" i="440"/>
  <c r="N49" i="440"/>
  <c r="O52" i="440" s="1"/>
  <c r="I47" i="440"/>
  <c r="J47" i="440" s="1"/>
  <c r="J18" i="439"/>
  <c r="J20" i="439"/>
  <c r="J27" i="439"/>
  <c r="J29" i="439"/>
  <c r="J36" i="439"/>
  <c r="J48" i="439"/>
  <c r="J38" i="439"/>
  <c r="J45" i="439"/>
  <c r="L16" i="440"/>
  <c r="J18" i="440"/>
  <c r="J27" i="440"/>
  <c r="J29" i="440"/>
  <c r="J36" i="440"/>
  <c r="J48" i="440"/>
  <c r="J38" i="440"/>
  <c r="J45" i="440"/>
  <c r="N19" i="440"/>
  <c r="N49" i="439"/>
  <c r="O52" i="439" s="1"/>
  <c r="C28" i="440"/>
  <c r="B25" i="440"/>
  <c r="H46" i="440"/>
  <c r="B22" i="440"/>
  <c r="N46" i="440"/>
  <c r="G36" i="440"/>
  <c r="G46" i="440"/>
  <c r="G31" i="439"/>
  <c r="G36" i="439"/>
  <c r="N7" i="439"/>
  <c r="N13" i="439"/>
  <c r="N16" i="439"/>
  <c r="N22" i="439"/>
  <c r="N31" i="439"/>
  <c r="M34" i="440"/>
  <c r="H23" i="439"/>
  <c r="H28" i="439"/>
  <c r="N43" i="439"/>
  <c r="N10" i="440"/>
  <c r="G46" i="439"/>
  <c r="N7" i="440"/>
  <c r="N37" i="440"/>
  <c r="C34" i="439"/>
  <c r="M40" i="439"/>
  <c r="N16" i="440"/>
  <c r="G22" i="440"/>
  <c r="G24" i="440"/>
  <c r="H30" i="440"/>
  <c r="M34" i="439"/>
  <c r="N13" i="440"/>
  <c r="G35" i="440"/>
  <c r="G43" i="440"/>
  <c r="C19" i="439"/>
  <c r="L34" i="439"/>
  <c r="G43" i="439"/>
  <c r="H47" i="439"/>
  <c r="L10" i="440"/>
  <c r="H28" i="440"/>
  <c r="L31" i="440"/>
  <c r="G33" i="440"/>
  <c r="B46" i="440"/>
  <c r="N10" i="439"/>
  <c r="G30" i="439"/>
  <c r="H43" i="439"/>
  <c r="B46" i="439"/>
  <c r="L13" i="440"/>
  <c r="C34" i="440"/>
  <c r="H40" i="440"/>
  <c r="H45" i="440"/>
  <c r="H31" i="439"/>
  <c r="H35" i="439"/>
  <c r="N25" i="439"/>
  <c r="M37" i="439"/>
  <c r="N28" i="439"/>
  <c r="G33" i="439"/>
  <c r="N46" i="439"/>
  <c r="B7" i="440"/>
  <c r="G10" i="440"/>
  <c r="G16" i="440"/>
  <c r="C19" i="440"/>
  <c r="G19" i="440"/>
  <c r="L19" i="440"/>
  <c r="N25" i="440"/>
  <c r="M37" i="440"/>
  <c r="N28" i="440"/>
  <c r="M40" i="440"/>
  <c r="B34" i="440"/>
  <c r="H33" i="440"/>
  <c r="C43" i="440"/>
  <c r="E55" i="440" s="1"/>
  <c r="H47" i="440"/>
  <c r="H19" i="440"/>
  <c r="C22" i="440"/>
  <c r="C31" i="440"/>
  <c r="G34" i="440"/>
  <c r="B37" i="440"/>
  <c r="L40" i="440"/>
  <c r="H39" i="440"/>
  <c r="C46" i="440"/>
  <c r="D49" i="440" s="1"/>
  <c r="H40" i="439"/>
  <c r="H18" i="440"/>
  <c r="N22" i="440"/>
  <c r="G23" i="440"/>
  <c r="G31" i="440"/>
  <c r="N34" i="440"/>
  <c r="H35" i="440"/>
  <c r="H37" i="440"/>
  <c r="C40" i="440"/>
  <c r="E52" i="440" s="1"/>
  <c r="H42" i="440"/>
  <c r="H43" i="440"/>
  <c r="L43" i="440"/>
  <c r="G45" i="440"/>
  <c r="C7" i="440"/>
  <c r="B10" i="440"/>
  <c r="G13" i="440"/>
  <c r="H21" i="440"/>
  <c r="L22" i="440"/>
  <c r="H23" i="440"/>
  <c r="L34" i="440"/>
  <c r="G38" i="440"/>
  <c r="C10" i="439"/>
  <c r="G18" i="439"/>
  <c r="G19" i="439"/>
  <c r="G21" i="439"/>
  <c r="L28" i="439"/>
  <c r="C31" i="439"/>
  <c r="G32" i="439"/>
  <c r="G34" i="439"/>
  <c r="H44" i="439"/>
  <c r="G45" i="439"/>
  <c r="C46" i="439"/>
  <c r="D49" i="439" s="1"/>
  <c r="G8" i="440"/>
  <c r="G9" i="440"/>
  <c r="C10" i="440"/>
  <c r="G11" i="440"/>
  <c r="G12" i="440"/>
  <c r="C13" i="440"/>
  <c r="G14" i="440"/>
  <c r="G15" i="440"/>
  <c r="C16" i="440"/>
  <c r="G17" i="440"/>
  <c r="M22" i="440"/>
  <c r="H24" i="440"/>
  <c r="C25" i="440"/>
  <c r="G25" i="440"/>
  <c r="L25" i="440"/>
  <c r="H26" i="440"/>
  <c r="G27" i="440"/>
  <c r="B28" i="440"/>
  <c r="G29" i="440"/>
  <c r="N31" i="440"/>
  <c r="H34" i="440"/>
  <c r="H36" i="440"/>
  <c r="C37" i="440"/>
  <c r="E49" i="440" s="1"/>
  <c r="G37" i="440"/>
  <c r="L37" i="440"/>
  <c r="H38" i="440"/>
  <c r="G39" i="440"/>
  <c r="B40" i="440"/>
  <c r="G41" i="440"/>
  <c r="N43" i="440"/>
  <c r="B13" i="440"/>
  <c r="B16" i="440"/>
  <c r="M19" i="440"/>
  <c r="G26" i="440"/>
  <c r="B13" i="439"/>
  <c r="H19" i="439"/>
  <c r="G20" i="439"/>
  <c r="H30" i="439"/>
  <c r="L31" i="439"/>
  <c r="H32" i="439"/>
  <c r="B34" i="439"/>
  <c r="L37" i="439"/>
  <c r="L40" i="439"/>
  <c r="G44" i="439"/>
  <c r="H45" i="439"/>
  <c r="G7" i="440"/>
  <c r="H17" i="440"/>
  <c r="G18" i="440"/>
  <c r="B19" i="440"/>
  <c r="G20" i="440"/>
  <c r="H25" i="440"/>
  <c r="M25" i="440"/>
  <c r="H27" i="440"/>
  <c r="G28" i="440"/>
  <c r="L28" i="440"/>
  <c r="H29" i="440"/>
  <c r="G30" i="440"/>
  <c r="B31" i="440"/>
  <c r="G32" i="440"/>
  <c r="G40" i="440"/>
  <c r="H41" i="440"/>
  <c r="G42" i="440"/>
  <c r="B43" i="440"/>
  <c r="G44" i="440"/>
  <c r="N37" i="439"/>
  <c r="G6" i="440"/>
  <c r="M31" i="440"/>
  <c r="N40" i="440"/>
  <c r="L46" i="440"/>
  <c r="G24" i="439"/>
  <c r="N40" i="439"/>
  <c r="H42" i="439"/>
  <c r="H20" i="440"/>
  <c r="G21" i="440"/>
  <c r="H32" i="440"/>
  <c r="H44" i="440"/>
  <c r="M25" i="439"/>
  <c r="L13" i="439"/>
  <c r="L16" i="439"/>
  <c r="G9" i="439"/>
  <c r="H21" i="439"/>
  <c r="H22" i="439"/>
  <c r="G23" i="439"/>
  <c r="H25" i="439"/>
  <c r="G25" i="439"/>
  <c r="G26" i="439"/>
  <c r="H37" i="439"/>
  <c r="C40" i="439"/>
  <c r="E52" i="439" s="1"/>
  <c r="B40" i="439"/>
  <c r="H38" i="439"/>
  <c r="B43" i="439"/>
  <c r="G42" i="439"/>
  <c r="H41" i="439"/>
  <c r="G41" i="439"/>
  <c r="B7" i="439"/>
  <c r="C13" i="439"/>
  <c r="C16" i="439"/>
  <c r="G14" i="439"/>
  <c r="B16" i="439"/>
  <c r="B19" i="439"/>
  <c r="H17" i="439"/>
  <c r="G17" i="439"/>
  <c r="H18" i="439"/>
  <c r="G22" i="439"/>
  <c r="M31" i="439"/>
  <c r="G37" i="439"/>
  <c r="G38" i="439"/>
  <c r="L43" i="439"/>
  <c r="G6" i="439"/>
  <c r="C7" i="439"/>
  <c r="G8" i="439"/>
  <c r="G10" i="439"/>
  <c r="G12" i="439"/>
  <c r="L19" i="439"/>
  <c r="B22" i="439"/>
  <c r="B25" i="439"/>
  <c r="H27" i="439"/>
  <c r="G27" i="439"/>
  <c r="B37" i="439"/>
  <c r="G7" i="439"/>
  <c r="B10" i="439"/>
  <c r="G11" i="439"/>
  <c r="G13" i="439"/>
  <c r="G15" i="439"/>
  <c r="G16" i="439"/>
  <c r="N19" i="439"/>
  <c r="M19" i="439"/>
  <c r="H20" i="439"/>
  <c r="C22" i="439"/>
  <c r="C25" i="439"/>
  <c r="H24" i="439"/>
  <c r="C28" i="439"/>
  <c r="B28" i="439"/>
  <c r="H26" i="439"/>
  <c r="G28" i="439"/>
  <c r="M28" i="439"/>
  <c r="B31" i="439"/>
  <c r="H29" i="439"/>
  <c r="G29" i="439"/>
  <c r="N34" i="439"/>
  <c r="H34" i="439"/>
  <c r="G35" i="439"/>
  <c r="C37" i="439"/>
  <c r="E49" i="439" s="1"/>
  <c r="H36" i="439"/>
  <c r="G40" i="439"/>
  <c r="H39" i="439"/>
  <c r="G39" i="439"/>
  <c r="C43" i="439"/>
  <c r="E55" i="439" s="1"/>
  <c r="H46" i="439"/>
  <c r="G47" i="439"/>
  <c r="L25" i="439"/>
  <c r="U47" i="438"/>
  <c r="T47" i="438"/>
  <c r="I47" i="438" s="1"/>
  <c r="U46" i="438"/>
  <c r="L49" i="438" s="1"/>
  <c r="T46" i="438"/>
  <c r="I46" i="438" s="1"/>
  <c r="K46" i="438"/>
  <c r="F46" i="438"/>
  <c r="T45" i="438"/>
  <c r="I45" i="438" s="1"/>
  <c r="F45" i="438"/>
  <c r="T44" i="438"/>
  <c r="I44" i="438" s="1"/>
  <c r="J56" i="438" s="1"/>
  <c r="F44" i="438"/>
  <c r="H56" i="438" s="1"/>
  <c r="U43" i="438"/>
  <c r="T43" i="438"/>
  <c r="I43" i="438" s="1"/>
  <c r="J55" i="438" s="1"/>
  <c r="K43" i="438"/>
  <c r="F43" i="438"/>
  <c r="H55" i="438" s="1"/>
  <c r="T42" i="438"/>
  <c r="I42" i="438" s="1"/>
  <c r="J54" i="438" s="1"/>
  <c r="F42" i="438"/>
  <c r="H54" i="438" s="1"/>
  <c r="T41" i="438"/>
  <c r="I41" i="438" s="1"/>
  <c r="J53" i="438" s="1"/>
  <c r="F41" i="438"/>
  <c r="H53" i="438" s="1"/>
  <c r="U40" i="438"/>
  <c r="T40" i="438"/>
  <c r="I40" i="438" s="1"/>
  <c r="J52" i="438" s="1"/>
  <c r="K40" i="438"/>
  <c r="M52" i="438" s="1"/>
  <c r="F40" i="438"/>
  <c r="H52" i="438" s="1"/>
  <c r="T39" i="438"/>
  <c r="I39" i="438" s="1"/>
  <c r="J51" i="438" s="1"/>
  <c r="F39" i="438"/>
  <c r="H51" i="438" s="1"/>
  <c r="T38" i="438"/>
  <c r="I38" i="438" s="1"/>
  <c r="J50" i="438" s="1"/>
  <c r="F38" i="438"/>
  <c r="H50" i="438" s="1"/>
  <c r="U37" i="438"/>
  <c r="T37" i="438"/>
  <c r="I37" i="438" s="1"/>
  <c r="K37" i="438"/>
  <c r="M49" i="438" s="1"/>
  <c r="F37" i="438"/>
  <c r="H49" i="438" s="1"/>
  <c r="T36" i="438"/>
  <c r="I36" i="438" s="1"/>
  <c r="F36" i="438"/>
  <c r="H48" i="438" s="1"/>
  <c r="T35" i="438"/>
  <c r="I35" i="438" s="1"/>
  <c r="F35" i="438"/>
  <c r="U34" i="438"/>
  <c r="T34" i="438"/>
  <c r="I34" i="438" s="1"/>
  <c r="K34" i="438"/>
  <c r="F34" i="438"/>
  <c r="T33" i="438"/>
  <c r="I33" i="438" s="1"/>
  <c r="F33" i="438"/>
  <c r="T32" i="438"/>
  <c r="I32" i="438" s="1"/>
  <c r="F32" i="438"/>
  <c r="U31" i="438"/>
  <c r="T31" i="438"/>
  <c r="I31" i="438" s="1"/>
  <c r="K31" i="438"/>
  <c r="F31" i="438"/>
  <c r="T30" i="438"/>
  <c r="I30" i="438" s="1"/>
  <c r="F30" i="438"/>
  <c r="T29" i="438"/>
  <c r="I29" i="438" s="1"/>
  <c r="F29" i="438"/>
  <c r="U28" i="438"/>
  <c r="T28" i="438"/>
  <c r="I28" i="438" s="1"/>
  <c r="K28" i="438"/>
  <c r="F28" i="438"/>
  <c r="T27" i="438"/>
  <c r="I27" i="438" s="1"/>
  <c r="F27" i="438"/>
  <c r="T26" i="438"/>
  <c r="I26" i="438" s="1"/>
  <c r="F26" i="438"/>
  <c r="U25" i="438"/>
  <c r="T25" i="438"/>
  <c r="I25" i="438" s="1"/>
  <c r="K25" i="438"/>
  <c r="F25" i="438"/>
  <c r="T24" i="438"/>
  <c r="I24" i="438" s="1"/>
  <c r="F24" i="438"/>
  <c r="T23" i="438"/>
  <c r="I23" i="438" s="1"/>
  <c r="F23" i="438"/>
  <c r="U22" i="438"/>
  <c r="T22" i="438"/>
  <c r="I22" i="438" s="1"/>
  <c r="K22" i="438"/>
  <c r="F22" i="438"/>
  <c r="T21" i="438"/>
  <c r="I21" i="438" s="1"/>
  <c r="F21" i="438"/>
  <c r="T20" i="438"/>
  <c r="I20" i="438" s="1"/>
  <c r="F20" i="438"/>
  <c r="U19" i="438"/>
  <c r="T19" i="438"/>
  <c r="I19" i="438" s="1"/>
  <c r="K19" i="438"/>
  <c r="F19" i="438"/>
  <c r="T18" i="438"/>
  <c r="I18" i="438" s="1"/>
  <c r="F18" i="438"/>
  <c r="T17" i="438"/>
  <c r="I17" i="438" s="1"/>
  <c r="F17" i="438"/>
  <c r="U16" i="438"/>
  <c r="T16" i="438"/>
  <c r="I16" i="438" s="1"/>
  <c r="K16" i="438"/>
  <c r="F16" i="438"/>
  <c r="T15" i="438"/>
  <c r="I15" i="438" s="1"/>
  <c r="F15" i="438"/>
  <c r="T14" i="438"/>
  <c r="I14" i="438" s="1"/>
  <c r="F14" i="438"/>
  <c r="U13" i="438"/>
  <c r="T13" i="438"/>
  <c r="I13" i="438" s="1"/>
  <c r="K13" i="438"/>
  <c r="F13" i="438"/>
  <c r="T12" i="438"/>
  <c r="I12" i="438" s="1"/>
  <c r="F12" i="438"/>
  <c r="T11" i="438"/>
  <c r="I11" i="438" s="1"/>
  <c r="F11" i="438"/>
  <c r="U10" i="438"/>
  <c r="T10" i="438"/>
  <c r="I10" i="438" s="1"/>
  <c r="K10" i="438"/>
  <c r="F10" i="438"/>
  <c r="T9" i="438"/>
  <c r="I9" i="438" s="1"/>
  <c r="F9" i="438"/>
  <c r="T8" i="438"/>
  <c r="I8" i="438" s="1"/>
  <c r="F8" i="438"/>
  <c r="U7" i="438"/>
  <c r="T7" i="438"/>
  <c r="I7" i="438" s="1"/>
  <c r="K7" i="438"/>
  <c r="F7" i="438"/>
  <c r="T6" i="438"/>
  <c r="I6" i="438" s="1"/>
  <c r="F6" i="438"/>
  <c r="T5" i="438"/>
  <c r="I5" i="438" s="1"/>
  <c r="F5" i="438"/>
  <c r="U47" i="437"/>
  <c r="T47" i="437"/>
  <c r="I47" i="437" s="1"/>
  <c r="U46" i="437"/>
  <c r="L49" i="437" s="1"/>
  <c r="T46" i="437"/>
  <c r="I46" i="437" s="1"/>
  <c r="K46" i="437"/>
  <c r="F46" i="437"/>
  <c r="T45" i="437"/>
  <c r="I45" i="437" s="1"/>
  <c r="F45" i="437"/>
  <c r="T44" i="437"/>
  <c r="I44" i="437" s="1"/>
  <c r="J56" i="437" s="1"/>
  <c r="F44" i="437"/>
  <c r="H56" i="437" s="1"/>
  <c r="U43" i="437"/>
  <c r="T43" i="437"/>
  <c r="I43" i="437" s="1"/>
  <c r="J55" i="437" s="1"/>
  <c r="K43" i="437"/>
  <c r="F43" i="437"/>
  <c r="H55" i="437" s="1"/>
  <c r="T42" i="437"/>
  <c r="I42" i="437" s="1"/>
  <c r="J54" i="437" s="1"/>
  <c r="F42" i="437"/>
  <c r="H54" i="437" s="1"/>
  <c r="T41" i="437"/>
  <c r="I41" i="437" s="1"/>
  <c r="J53" i="437" s="1"/>
  <c r="F41" i="437"/>
  <c r="H53" i="437" s="1"/>
  <c r="U40" i="437"/>
  <c r="T40" i="437"/>
  <c r="I40" i="437" s="1"/>
  <c r="J52" i="437" s="1"/>
  <c r="K40" i="437"/>
  <c r="M52" i="437" s="1"/>
  <c r="F40" i="437"/>
  <c r="H52" i="437" s="1"/>
  <c r="T39" i="437"/>
  <c r="I39" i="437" s="1"/>
  <c r="J51" i="437" s="1"/>
  <c r="F39" i="437"/>
  <c r="H51" i="437" s="1"/>
  <c r="T38" i="437"/>
  <c r="I38" i="437" s="1"/>
  <c r="J50" i="437" s="1"/>
  <c r="F38" i="437"/>
  <c r="H50" i="437" s="1"/>
  <c r="U37" i="437"/>
  <c r="T37" i="437"/>
  <c r="I37" i="437" s="1"/>
  <c r="K37" i="437"/>
  <c r="M49" i="437" s="1"/>
  <c r="F37" i="437"/>
  <c r="H49" i="437" s="1"/>
  <c r="T36" i="437"/>
  <c r="I36" i="437" s="1"/>
  <c r="F36" i="437"/>
  <c r="H48" i="437" s="1"/>
  <c r="T35" i="437"/>
  <c r="I35" i="437" s="1"/>
  <c r="F35" i="437"/>
  <c r="U34" i="437"/>
  <c r="T34" i="437"/>
  <c r="I34" i="437" s="1"/>
  <c r="K34" i="437"/>
  <c r="F34" i="437"/>
  <c r="T33" i="437"/>
  <c r="I33" i="437" s="1"/>
  <c r="F33" i="437"/>
  <c r="T32" i="437"/>
  <c r="I32" i="437" s="1"/>
  <c r="F32" i="437"/>
  <c r="U31" i="437"/>
  <c r="T31" i="437"/>
  <c r="I31" i="437" s="1"/>
  <c r="K31" i="437"/>
  <c r="F31" i="437"/>
  <c r="T30" i="437"/>
  <c r="I30" i="437" s="1"/>
  <c r="F30" i="437"/>
  <c r="T29" i="437"/>
  <c r="I29" i="437" s="1"/>
  <c r="F29" i="437"/>
  <c r="U28" i="437"/>
  <c r="T28" i="437"/>
  <c r="I28" i="437" s="1"/>
  <c r="K28" i="437"/>
  <c r="F28" i="437"/>
  <c r="T27" i="437"/>
  <c r="I27" i="437" s="1"/>
  <c r="F27" i="437"/>
  <c r="T26" i="437"/>
  <c r="I26" i="437" s="1"/>
  <c r="F26" i="437"/>
  <c r="U25" i="437"/>
  <c r="T25" i="437"/>
  <c r="I25" i="437" s="1"/>
  <c r="K25" i="437"/>
  <c r="F25" i="437"/>
  <c r="T24" i="437"/>
  <c r="I24" i="437" s="1"/>
  <c r="F24" i="437"/>
  <c r="T23" i="437"/>
  <c r="I23" i="437" s="1"/>
  <c r="F23" i="437"/>
  <c r="U22" i="437"/>
  <c r="T22" i="437"/>
  <c r="I22" i="437" s="1"/>
  <c r="K22" i="437"/>
  <c r="F22" i="437"/>
  <c r="T21" i="437"/>
  <c r="I21" i="437" s="1"/>
  <c r="F21" i="437"/>
  <c r="T20" i="437"/>
  <c r="I20" i="437" s="1"/>
  <c r="F20" i="437"/>
  <c r="U19" i="437"/>
  <c r="T19" i="437"/>
  <c r="I19" i="437" s="1"/>
  <c r="K19" i="437"/>
  <c r="F19" i="437"/>
  <c r="T18" i="437"/>
  <c r="I18" i="437" s="1"/>
  <c r="F18" i="437"/>
  <c r="T17" i="437"/>
  <c r="I17" i="437" s="1"/>
  <c r="F17" i="437"/>
  <c r="U16" i="437"/>
  <c r="T16" i="437"/>
  <c r="I16" i="437" s="1"/>
  <c r="K16" i="437"/>
  <c r="F16" i="437"/>
  <c r="T15" i="437"/>
  <c r="I15" i="437" s="1"/>
  <c r="F15" i="437"/>
  <c r="T14" i="437"/>
  <c r="I14" i="437" s="1"/>
  <c r="F14" i="437"/>
  <c r="U13" i="437"/>
  <c r="T13" i="437"/>
  <c r="I13" i="437" s="1"/>
  <c r="K13" i="437"/>
  <c r="F13" i="437"/>
  <c r="T12" i="437"/>
  <c r="I12" i="437" s="1"/>
  <c r="F12" i="437"/>
  <c r="T11" i="437"/>
  <c r="I11" i="437" s="1"/>
  <c r="F11" i="437"/>
  <c r="U10" i="437"/>
  <c r="T10" i="437"/>
  <c r="I10" i="437" s="1"/>
  <c r="K10" i="437"/>
  <c r="F10" i="437"/>
  <c r="T9" i="437"/>
  <c r="I9" i="437" s="1"/>
  <c r="F9" i="437"/>
  <c r="T8" i="437"/>
  <c r="I8" i="437" s="1"/>
  <c r="F8" i="437"/>
  <c r="U7" i="437"/>
  <c r="T7" i="437"/>
  <c r="I7" i="437" s="1"/>
  <c r="K7" i="437"/>
  <c r="F7" i="437"/>
  <c r="T6" i="437"/>
  <c r="I6" i="437" s="1"/>
  <c r="F6" i="437"/>
  <c r="T5" i="437"/>
  <c r="I5" i="437" s="1"/>
  <c r="F5" i="437"/>
  <c r="M46" i="437" l="1"/>
  <c r="M43" i="438"/>
  <c r="M55" i="438"/>
  <c r="M43" i="437"/>
  <c r="M55" i="437"/>
  <c r="M46" i="438"/>
  <c r="H38" i="437"/>
  <c r="L10" i="437"/>
  <c r="J39" i="437"/>
  <c r="L10" i="438"/>
  <c r="J19" i="438"/>
  <c r="J28" i="438"/>
  <c r="J46" i="438"/>
  <c r="J23" i="437"/>
  <c r="J30" i="437"/>
  <c r="J21" i="438"/>
  <c r="J39" i="438"/>
  <c r="J19" i="437"/>
  <c r="J46" i="437"/>
  <c r="H21" i="438"/>
  <c r="J30" i="438"/>
  <c r="J32" i="438"/>
  <c r="J41" i="438"/>
  <c r="J28" i="437"/>
  <c r="J21" i="437"/>
  <c r="J32" i="437"/>
  <c r="J41" i="437"/>
  <c r="J23" i="438"/>
  <c r="O40" i="439"/>
  <c r="J37" i="438"/>
  <c r="J49" i="438"/>
  <c r="J26" i="437"/>
  <c r="J24" i="438"/>
  <c r="J25" i="437"/>
  <c r="J34" i="437"/>
  <c r="J43" i="437"/>
  <c r="H22" i="438"/>
  <c r="J25" i="438"/>
  <c r="J34" i="438"/>
  <c r="J43" i="438"/>
  <c r="O49" i="440"/>
  <c r="J17" i="437"/>
  <c r="J33" i="437"/>
  <c r="J44" i="437"/>
  <c r="J26" i="438"/>
  <c r="J35" i="438"/>
  <c r="J42" i="438"/>
  <c r="J22" i="437"/>
  <c r="J31" i="437"/>
  <c r="J40" i="437"/>
  <c r="J47" i="437"/>
  <c r="J22" i="438"/>
  <c r="J31" i="438"/>
  <c r="J40" i="438"/>
  <c r="J47" i="438"/>
  <c r="J37" i="437"/>
  <c r="J49" i="437"/>
  <c r="J24" i="437"/>
  <c r="J35" i="437"/>
  <c r="J42" i="437"/>
  <c r="J17" i="438"/>
  <c r="J33" i="438"/>
  <c r="J44" i="438"/>
  <c r="L16" i="437"/>
  <c r="J18" i="437"/>
  <c r="J20" i="437"/>
  <c r="J27" i="437"/>
  <c r="J29" i="437"/>
  <c r="J36" i="437"/>
  <c r="J48" i="437"/>
  <c r="J38" i="437"/>
  <c r="J45" i="437"/>
  <c r="L16" i="438"/>
  <c r="J18" i="438"/>
  <c r="J20" i="438"/>
  <c r="M34" i="438"/>
  <c r="J27" i="438"/>
  <c r="J29" i="438"/>
  <c r="J36" i="438"/>
  <c r="J48" i="438"/>
  <c r="J38" i="438"/>
  <c r="J45" i="438"/>
  <c r="O13" i="440"/>
  <c r="O22" i="440"/>
  <c r="E40" i="440"/>
  <c r="N49" i="437"/>
  <c r="O52" i="437" s="1"/>
  <c r="O49" i="439"/>
  <c r="N49" i="438"/>
  <c r="O52" i="438" s="1"/>
  <c r="O34" i="439"/>
  <c r="O10" i="440"/>
  <c r="E34" i="439"/>
  <c r="O25" i="439"/>
  <c r="O31" i="440"/>
  <c r="O37" i="440"/>
  <c r="O40" i="440"/>
  <c r="E46" i="440"/>
  <c r="E31" i="440"/>
  <c r="O16" i="439"/>
  <c r="D19" i="440"/>
  <c r="E19" i="440"/>
  <c r="D22" i="440"/>
  <c r="O31" i="439"/>
  <c r="E46" i="439"/>
  <c r="E22" i="440"/>
  <c r="O28" i="440"/>
  <c r="O13" i="439"/>
  <c r="O46" i="439"/>
  <c r="D13" i="440"/>
  <c r="O16" i="440"/>
  <c r="G36" i="438"/>
  <c r="D46" i="440"/>
  <c r="O43" i="439"/>
  <c r="D19" i="439"/>
  <c r="O10" i="439"/>
  <c r="E43" i="440"/>
  <c r="D31" i="440"/>
  <c r="O25" i="440"/>
  <c r="C40" i="438"/>
  <c r="E52" i="438" s="1"/>
  <c r="D10" i="439"/>
  <c r="D13" i="439"/>
  <c r="D34" i="440"/>
  <c r="E31" i="439"/>
  <c r="O19" i="440"/>
  <c r="D43" i="440"/>
  <c r="E34" i="440"/>
  <c r="O28" i="439"/>
  <c r="D31" i="439"/>
  <c r="G24" i="438"/>
  <c r="E25" i="440"/>
  <c r="D25" i="440"/>
  <c r="G13" i="438"/>
  <c r="E37" i="440"/>
  <c r="D37" i="440"/>
  <c r="D16" i="440"/>
  <c r="E28" i="440"/>
  <c r="G34" i="437"/>
  <c r="G39" i="437"/>
  <c r="D34" i="439"/>
  <c r="O43" i="440"/>
  <c r="D40" i="440"/>
  <c r="O46" i="440"/>
  <c r="D28" i="440"/>
  <c r="E19" i="439"/>
  <c r="D10" i="440"/>
  <c r="O34" i="440"/>
  <c r="E43" i="439"/>
  <c r="D43" i="439"/>
  <c r="D37" i="439"/>
  <c r="E37" i="439"/>
  <c r="D25" i="439"/>
  <c r="E25" i="439"/>
  <c r="E40" i="439"/>
  <c r="D40" i="439"/>
  <c r="M37" i="438"/>
  <c r="N37" i="438"/>
  <c r="G43" i="438"/>
  <c r="B46" i="438"/>
  <c r="G46" i="438"/>
  <c r="H47" i="438"/>
  <c r="O19" i="439"/>
  <c r="O22" i="439"/>
  <c r="D46" i="439"/>
  <c r="O37" i="439"/>
  <c r="H35" i="438"/>
  <c r="B37" i="437"/>
  <c r="C40" i="437"/>
  <c r="E52" i="437" s="1"/>
  <c r="H34" i="438"/>
  <c r="E28" i="439"/>
  <c r="D28" i="439"/>
  <c r="E22" i="439"/>
  <c r="D22" i="439"/>
  <c r="D16" i="439"/>
  <c r="B25" i="438"/>
  <c r="C28" i="438"/>
  <c r="N19" i="438"/>
  <c r="N22" i="438"/>
  <c r="N25" i="438"/>
  <c r="L19" i="438"/>
  <c r="N7" i="438"/>
  <c r="N13" i="438"/>
  <c r="H33" i="438"/>
  <c r="M40" i="438"/>
  <c r="H46" i="438"/>
  <c r="G31" i="438"/>
  <c r="B34" i="438"/>
  <c r="H45" i="438"/>
  <c r="H37" i="438"/>
  <c r="N10" i="438"/>
  <c r="N16" i="438"/>
  <c r="N34" i="438"/>
  <c r="H39" i="438"/>
  <c r="N34" i="437"/>
  <c r="L13" i="438"/>
  <c r="M28" i="438"/>
  <c r="G21" i="438"/>
  <c r="G22" i="438"/>
  <c r="G23" i="438"/>
  <c r="H30" i="438"/>
  <c r="H31" i="438"/>
  <c r="L31" i="438"/>
  <c r="G33" i="438"/>
  <c r="C34" i="438"/>
  <c r="H40" i="438"/>
  <c r="H42" i="438"/>
  <c r="H43" i="438"/>
  <c r="L43" i="438"/>
  <c r="G45" i="438"/>
  <c r="C46" i="438"/>
  <c r="D49" i="438" s="1"/>
  <c r="H18" i="438"/>
  <c r="N40" i="438"/>
  <c r="N46" i="438"/>
  <c r="N46" i="437"/>
  <c r="B7" i="438"/>
  <c r="G16" i="438"/>
  <c r="C19" i="438"/>
  <c r="G19" i="438"/>
  <c r="N28" i="438"/>
  <c r="M40" i="437"/>
  <c r="G46" i="437"/>
  <c r="H19" i="438"/>
  <c r="B22" i="438"/>
  <c r="C22" i="438"/>
  <c r="H28" i="438"/>
  <c r="C31" i="438"/>
  <c r="G34" i="438"/>
  <c r="G35" i="438"/>
  <c r="B37" i="438"/>
  <c r="L40" i="438"/>
  <c r="C43" i="438"/>
  <c r="E55" i="438" s="1"/>
  <c r="G47" i="438"/>
  <c r="G6" i="438"/>
  <c r="B13" i="438"/>
  <c r="M19" i="438"/>
  <c r="L34" i="438"/>
  <c r="G38" i="438"/>
  <c r="N19" i="437"/>
  <c r="L31" i="437"/>
  <c r="G8" i="438"/>
  <c r="G9" i="438"/>
  <c r="C10" i="438"/>
  <c r="G11" i="438"/>
  <c r="G12" i="438"/>
  <c r="C13" i="438"/>
  <c r="G14" i="438"/>
  <c r="G15" i="438"/>
  <c r="C16" i="438"/>
  <c r="G17" i="438"/>
  <c r="M22" i="438"/>
  <c r="H24" i="438"/>
  <c r="C25" i="438"/>
  <c r="G25" i="438"/>
  <c r="L25" i="438"/>
  <c r="H26" i="438"/>
  <c r="G27" i="438"/>
  <c r="B28" i="438"/>
  <c r="G29" i="438"/>
  <c r="N31" i="438"/>
  <c r="H36" i="438"/>
  <c r="C37" i="438"/>
  <c r="E49" i="438" s="1"/>
  <c r="G37" i="438"/>
  <c r="L37" i="438"/>
  <c r="H38" i="438"/>
  <c r="G39" i="438"/>
  <c r="B40" i="438"/>
  <c r="G41" i="438"/>
  <c r="N43" i="438"/>
  <c r="B10" i="438"/>
  <c r="B16" i="438"/>
  <c r="H23" i="438"/>
  <c r="M31" i="438"/>
  <c r="H33" i="437"/>
  <c r="B34" i="437"/>
  <c r="C43" i="437"/>
  <c r="E55" i="437" s="1"/>
  <c r="G7" i="438"/>
  <c r="H17" i="438"/>
  <c r="G18" i="438"/>
  <c r="B19" i="438"/>
  <c r="G20" i="438"/>
  <c r="H25" i="438"/>
  <c r="M25" i="438"/>
  <c r="H27" i="438"/>
  <c r="G28" i="438"/>
  <c r="L28" i="438"/>
  <c r="H29" i="438"/>
  <c r="G30" i="438"/>
  <c r="B31" i="438"/>
  <c r="G32" i="438"/>
  <c r="G40" i="438"/>
  <c r="H41" i="438"/>
  <c r="G42" i="438"/>
  <c r="B43" i="438"/>
  <c r="G44" i="438"/>
  <c r="C7" i="438"/>
  <c r="G10" i="438"/>
  <c r="L22" i="438"/>
  <c r="G26" i="438"/>
  <c r="L46" i="438"/>
  <c r="M37" i="437"/>
  <c r="H20" i="438"/>
  <c r="H32" i="438"/>
  <c r="H44" i="438"/>
  <c r="G24" i="437"/>
  <c r="L19" i="437"/>
  <c r="H45" i="437"/>
  <c r="G43" i="437"/>
  <c r="B46" i="437"/>
  <c r="H43" i="437"/>
  <c r="G47" i="437"/>
  <c r="L46" i="437"/>
  <c r="H47" i="437"/>
  <c r="G36" i="437"/>
  <c r="C34" i="437"/>
  <c r="N37" i="437"/>
  <c r="L43" i="437"/>
  <c r="G35" i="437"/>
  <c r="G37" i="437"/>
  <c r="L40" i="437"/>
  <c r="H46" i="437"/>
  <c r="H30" i="437"/>
  <c r="G19" i="437"/>
  <c r="B22" i="437"/>
  <c r="B25" i="437"/>
  <c r="H36" i="437"/>
  <c r="H40" i="437"/>
  <c r="N10" i="437"/>
  <c r="N16" i="437"/>
  <c r="N7" i="437"/>
  <c r="N13" i="437"/>
  <c r="H22" i="437"/>
  <c r="H35" i="437"/>
  <c r="H18" i="437"/>
  <c r="N22" i="437"/>
  <c r="G23" i="437"/>
  <c r="C28" i="437"/>
  <c r="H28" i="437"/>
  <c r="C31" i="437"/>
  <c r="H19" i="437"/>
  <c r="C22" i="437"/>
  <c r="N25" i="437"/>
  <c r="N28" i="437"/>
  <c r="L13" i="437"/>
  <c r="M28" i="437"/>
  <c r="G22" i="437"/>
  <c r="L25" i="437"/>
  <c r="G31" i="437"/>
  <c r="H34" i="437"/>
  <c r="H31" i="437"/>
  <c r="B7" i="437"/>
  <c r="G8" i="437"/>
  <c r="C10" i="437"/>
  <c r="B10" i="437"/>
  <c r="C13" i="437"/>
  <c r="G11" i="437"/>
  <c r="H23" i="437"/>
  <c r="B13" i="437"/>
  <c r="H26" i="437"/>
  <c r="C16" i="437"/>
  <c r="G14" i="437"/>
  <c r="B16" i="437"/>
  <c r="C19" i="437"/>
  <c r="G17" i="437"/>
  <c r="B19" i="437"/>
  <c r="H17" i="437"/>
  <c r="C7" i="437"/>
  <c r="G9" i="437"/>
  <c r="H21" i="437"/>
  <c r="G10" i="437"/>
  <c r="H24" i="437"/>
  <c r="G12" i="437"/>
  <c r="G13" i="437"/>
  <c r="G15" i="437"/>
  <c r="G16" i="437"/>
  <c r="G6" i="437"/>
  <c r="C46" i="437"/>
  <c r="D49" i="437" s="1"/>
  <c r="M22" i="437"/>
  <c r="G27" i="437"/>
  <c r="B28" i="437"/>
  <c r="N31" i="437"/>
  <c r="M34" i="437"/>
  <c r="L37" i="437"/>
  <c r="B40" i="437"/>
  <c r="G7" i="437"/>
  <c r="G18" i="437"/>
  <c r="G20" i="437"/>
  <c r="H25" i="437"/>
  <c r="M25" i="437"/>
  <c r="H27" i="437"/>
  <c r="G28" i="437"/>
  <c r="L28" i="437"/>
  <c r="H29" i="437"/>
  <c r="G30" i="437"/>
  <c r="B31" i="437"/>
  <c r="G32" i="437"/>
  <c r="H37" i="437"/>
  <c r="H39" i="437"/>
  <c r="G40" i="437"/>
  <c r="H41" i="437"/>
  <c r="G42" i="437"/>
  <c r="B43" i="437"/>
  <c r="G44" i="437"/>
  <c r="M19" i="437"/>
  <c r="L22" i="437"/>
  <c r="G26" i="437"/>
  <c r="M31" i="437"/>
  <c r="L34" i="437"/>
  <c r="G38" i="437"/>
  <c r="N40" i="437"/>
  <c r="C25" i="437"/>
  <c r="G25" i="437"/>
  <c r="G29" i="437"/>
  <c r="C37" i="437"/>
  <c r="E49" i="437" s="1"/>
  <c r="G41" i="437"/>
  <c r="N43" i="437"/>
  <c r="H20" i="437"/>
  <c r="G21" i="437"/>
  <c r="H32" i="437"/>
  <c r="G33" i="437"/>
  <c r="H42" i="437"/>
  <c r="H44" i="437"/>
  <c r="G45" i="437"/>
  <c r="U47" i="436"/>
  <c r="T47" i="436"/>
  <c r="I47" i="436" s="1"/>
  <c r="U46" i="436"/>
  <c r="L49" i="436" s="1"/>
  <c r="T46" i="436"/>
  <c r="I46" i="436" s="1"/>
  <c r="K46" i="436"/>
  <c r="F46" i="436"/>
  <c r="T45" i="436"/>
  <c r="I45" i="436" s="1"/>
  <c r="F45" i="436"/>
  <c r="T44" i="436"/>
  <c r="I44" i="436" s="1"/>
  <c r="J56" i="436" s="1"/>
  <c r="F44" i="436"/>
  <c r="H56" i="436" s="1"/>
  <c r="U43" i="436"/>
  <c r="T43" i="436"/>
  <c r="I43" i="436" s="1"/>
  <c r="J55" i="436" s="1"/>
  <c r="K43" i="436"/>
  <c r="F43" i="436"/>
  <c r="H55" i="436" s="1"/>
  <c r="T42" i="436"/>
  <c r="I42" i="436" s="1"/>
  <c r="J54" i="436" s="1"/>
  <c r="F42" i="436"/>
  <c r="H54" i="436" s="1"/>
  <c r="T41" i="436"/>
  <c r="I41" i="436" s="1"/>
  <c r="J53" i="436" s="1"/>
  <c r="F41" i="436"/>
  <c r="H53" i="436" s="1"/>
  <c r="U40" i="436"/>
  <c r="T40" i="436"/>
  <c r="I40" i="436" s="1"/>
  <c r="J52" i="436" s="1"/>
  <c r="K40" i="436"/>
  <c r="M52" i="436" s="1"/>
  <c r="F40" i="436"/>
  <c r="H52" i="436" s="1"/>
  <c r="T39" i="436"/>
  <c r="I39" i="436" s="1"/>
  <c r="J51" i="436" s="1"/>
  <c r="F39" i="436"/>
  <c r="H51" i="436" s="1"/>
  <c r="T38" i="436"/>
  <c r="I38" i="436" s="1"/>
  <c r="J50" i="436" s="1"/>
  <c r="F38" i="436"/>
  <c r="H50" i="436" s="1"/>
  <c r="U37" i="436"/>
  <c r="T37" i="436"/>
  <c r="I37" i="436" s="1"/>
  <c r="K37" i="436"/>
  <c r="M49" i="436" s="1"/>
  <c r="F37" i="436"/>
  <c r="H49" i="436" s="1"/>
  <c r="T36" i="436"/>
  <c r="I36" i="436" s="1"/>
  <c r="F36" i="436"/>
  <c r="H48" i="436" s="1"/>
  <c r="T35" i="436"/>
  <c r="I35" i="436" s="1"/>
  <c r="F35" i="436"/>
  <c r="U34" i="436"/>
  <c r="T34" i="436"/>
  <c r="I34" i="436" s="1"/>
  <c r="K34" i="436"/>
  <c r="F34" i="436"/>
  <c r="T33" i="436"/>
  <c r="I33" i="436" s="1"/>
  <c r="F33" i="436"/>
  <c r="T32" i="436"/>
  <c r="I32" i="436" s="1"/>
  <c r="F32" i="436"/>
  <c r="U31" i="436"/>
  <c r="T31" i="436"/>
  <c r="I31" i="436" s="1"/>
  <c r="K31" i="436"/>
  <c r="F31" i="436"/>
  <c r="T30" i="436"/>
  <c r="I30" i="436" s="1"/>
  <c r="F30" i="436"/>
  <c r="T29" i="436"/>
  <c r="I29" i="436" s="1"/>
  <c r="F29" i="436"/>
  <c r="U28" i="436"/>
  <c r="T28" i="436"/>
  <c r="I28" i="436" s="1"/>
  <c r="K28" i="436"/>
  <c r="F28" i="436"/>
  <c r="T27" i="436"/>
  <c r="I27" i="436" s="1"/>
  <c r="F27" i="436"/>
  <c r="T26" i="436"/>
  <c r="I26" i="436" s="1"/>
  <c r="F26" i="436"/>
  <c r="U25" i="436"/>
  <c r="T25" i="436"/>
  <c r="I25" i="436" s="1"/>
  <c r="K25" i="436"/>
  <c r="F25" i="436"/>
  <c r="T24" i="436"/>
  <c r="I24" i="436" s="1"/>
  <c r="F24" i="436"/>
  <c r="T23" i="436"/>
  <c r="I23" i="436" s="1"/>
  <c r="F23" i="436"/>
  <c r="U22" i="436"/>
  <c r="T22" i="436"/>
  <c r="I22" i="436" s="1"/>
  <c r="K22" i="436"/>
  <c r="F22" i="436"/>
  <c r="T21" i="436"/>
  <c r="I21" i="436" s="1"/>
  <c r="F21" i="436"/>
  <c r="T20" i="436"/>
  <c r="I20" i="436" s="1"/>
  <c r="F20" i="436"/>
  <c r="U19" i="436"/>
  <c r="T19" i="436"/>
  <c r="I19" i="436" s="1"/>
  <c r="K19" i="436"/>
  <c r="F19" i="436"/>
  <c r="T18" i="436"/>
  <c r="I18" i="436" s="1"/>
  <c r="F18" i="436"/>
  <c r="T17" i="436"/>
  <c r="I17" i="436" s="1"/>
  <c r="F17" i="436"/>
  <c r="U16" i="436"/>
  <c r="T16" i="436"/>
  <c r="I16" i="436" s="1"/>
  <c r="K16" i="436"/>
  <c r="F16" i="436"/>
  <c r="T15" i="436"/>
  <c r="I15" i="436" s="1"/>
  <c r="F15" i="436"/>
  <c r="T14" i="436"/>
  <c r="I14" i="436" s="1"/>
  <c r="F14" i="436"/>
  <c r="U13" i="436"/>
  <c r="T13" i="436"/>
  <c r="I13" i="436" s="1"/>
  <c r="K13" i="436"/>
  <c r="F13" i="436"/>
  <c r="T12" i="436"/>
  <c r="I12" i="436" s="1"/>
  <c r="F12" i="436"/>
  <c r="T11" i="436"/>
  <c r="I11" i="436" s="1"/>
  <c r="F11" i="436"/>
  <c r="U10" i="436"/>
  <c r="T10" i="436"/>
  <c r="I10" i="436" s="1"/>
  <c r="K10" i="436"/>
  <c r="F10" i="436"/>
  <c r="T9" i="436"/>
  <c r="I9" i="436" s="1"/>
  <c r="F9" i="436"/>
  <c r="T8" i="436"/>
  <c r="I8" i="436" s="1"/>
  <c r="F8" i="436"/>
  <c r="U7" i="436"/>
  <c r="T7" i="436"/>
  <c r="I7" i="436" s="1"/>
  <c r="K7" i="436"/>
  <c r="F7" i="436"/>
  <c r="T6" i="436"/>
  <c r="I6" i="436" s="1"/>
  <c r="F6" i="436"/>
  <c r="T5" i="436"/>
  <c r="I5" i="436" s="1"/>
  <c r="F5" i="436"/>
  <c r="U47" i="435"/>
  <c r="T47" i="435"/>
  <c r="I47" i="435" s="1"/>
  <c r="U46" i="435"/>
  <c r="L49" i="435" s="1"/>
  <c r="T46" i="435"/>
  <c r="I46" i="435" s="1"/>
  <c r="K46" i="435"/>
  <c r="F46" i="435"/>
  <c r="G47" i="435" s="1"/>
  <c r="T45" i="435"/>
  <c r="I45" i="435" s="1"/>
  <c r="F45" i="435"/>
  <c r="T44" i="435"/>
  <c r="I44" i="435" s="1"/>
  <c r="J56" i="435" s="1"/>
  <c r="F44" i="435"/>
  <c r="H56" i="435" s="1"/>
  <c r="U43" i="435"/>
  <c r="T43" i="435"/>
  <c r="I43" i="435" s="1"/>
  <c r="J55" i="435" s="1"/>
  <c r="K43" i="435"/>
  <c r="F43" i="435"/>
  <c r="H55" i="435" s="1"/>
  <c r="T42" i="435"/>
  <c r="I42" i="435" s="1"/>
  <c r="J54" i="435" s="1"/>
  <c r="F42" i="435"/>
  <c r="H54" i="435" s="1"/>
  <c r="T41" i="435"/>
  <c r="I41" i="435" s="1"/>
  <c r="J53" i="435" s="1"/>
  <c r="F41" i="435"/>
  <c r="H53" i="435" s="1"/>
  <c r="U40" i="435"/>
  <c r="T40" i="435"/>
  <c r="I40" i="435" s="1"/>
  <c r="J52" i="435" s="1"/>
  <c r="K40" i="435"/>
  <c r="M52" i="435" s="1"/>
  <c r="F40" i="435"/>
  <c r="H52" i="435" s="1"/>
  <c r="T39" i="435"/>
  <c r="I39" i="435" s="1"/>
  <c r="J51" i="435" s="1"/>
  <c r="F39" i="435"/>
  <c r="H51" i="435" s="1"/>
  <c r="T38" i="435"/>
  <c r="I38" i="435" s="1"/>
  <c r="J50" i="435" s="1"/>
  <c r="F38" i="435"/>
  <c r="H50" i="435" s="1"/>
  <c r="U37" i="435"/>
  <c r="T37" i="435"/>
  <c r="I37" i="435" s="1"/>
  <c r="J49" i="435" s="1"/>
  <c r="K37" i="435"/>
  <c r="M49" i="435" s="1"/>
  <c r="F37" i="435"/>
  <c r="H49" i="435" s="1"/>
  <c r="T36" i="435"/>
  <c r="I36" i="435" s="1"/>
  <c r="F36" i="435"/>
  <c r="H48" i="435" s="1"/>
  <c r="T35" i="435"/>
  <c r="I35" i="435" s="1"/>
  <c r="F35" i="435"/>
  <c r="U34" i="435"/>
  <c r="T34" i="435"/>
  <c r="I34" i="435" s="1"/>
  <c r="K34" i="435"/>
  <c r="F34" i="435"/>
  <c r="T33" i="435"/>
  <c r="I33" i="435" s="1"/>
  <c r="F33" i="435"/>
  <c r="T32" i="435"/>
  <c r="I32" i="435" s="1"/>
  <c r="F32" i="435"/>
  <c r="U31" i="435"/>
  <c r="T31" i="435"/>
  <c r="I31" i="435" s="1"/>
  <c r="K31" i="435"/>
  <c r="F31" i="435"/>
  <c r="T30" i="435"/>
  <c r="I30" i="435" s="1"/>
  <c r="F30" i="435"/>
  <c r="T29" i="435"/>
  <c r="I29" i="435" s="1"/>
  <c r="F29" i="435"/>
  <c r="U28" i="435"/>
  <c r="T28" i="435"/>
  <c r="I28" i="435" s="1"/>
  <c r="K28" i="435"/>
  <c r="F28" i="435"/>
  <c r="T27" i="435"/>
  <c r="I27" i="435" s="1"/>
  <c r="F27" i="435"/>
  <c r="T26" i="435"/>
  <c r="I26" i="435" s="1"/>
  <c r="F26" i="435"/>
  <c r="U25" i="435"/>
  <c r="T25" i="435"/>
  <c r="I25" i="435" s="1"/>
  <c r="K25" i="435"/>
  <c r="F25" i="435"/>
  <c r="T24" i="435"/>
  <c r="I24" i="435" s="1"/>
  <c r="F24" i="435"/>
  <c r="T23" i="435"/>
  <c r="I23" i="435" s="1"/>
  <c r="F23" i="435"/>
  <c r="U22" i="435"/>
  <c r="T22" i="435"/>
  <c r="I22" i="435" s="1"/>
  <c r="K22" i="435"/>
  <c r="F22" i="435"/>
  <c r="T21" i="435"/>
  <c r="I21" i="435" s="1"/>
  <c r="F21" i="435"/>
  <c r="T20" i="435"/>
  <c r="I20" i="435" s="1"/>
  <c r="F20" i="435"/>
  <c r="U19" i="435"/>
  <c r="T19" i="435"/>
  <c r="I19" i="435" s="1"/>
  <c r="K19" i="435"/>
  <c r="F19" i="435"/>
  <c r="T18" i="435"/>
  <c r="I18" i="435" s="1"/>
  <c r="F18" i="435"/>
  <c r="T17" i="435"/>
  <c r="I17" i="435" s="1"/>
  <c r="F17" i="435"/>
  <c r="U16" i="435"/>
  <c r="T16" i="435"/>
  <c r="I16" i="435" s="1"/>
  <c r="K16" i="435"/>
  <c r="F16" i="435"/>
  <c r="T15" i="435"/>
  <c r="I15" i="435" s="1"/>
  <c r="F15" i="435"/>
  <c r="T14" i="435"/>
  <c r="I14" i="435" s="1"/>
  <c r="F14" i="435"/>
  <c r="U13" i="435"/>
  <c r="T13" i="435"/>
  <c r="I13" i="435" s="1"/>
  <c r="K13" i="435"/>
  <c r="F13" i="435"/>
  <c r="T12" i="435"/>
  <c r="I12" i="435" s="1"/>
  <c r="F12" i="435"/>
  <c r="T11" i="435"/>
  <c r="I11" i="435" s="1"/>
  <c r="F11" i="435"/>
  <c r="U10" i="435"/>
  <c r="T10" i="435"/>
  <c r="I10" i="435" s="1"/>
  <c r="K10" i="435"/>
  <c r="F10" i="435"/>
  <c r="T9" i="435"/>
  <c r="I9" i="435" s="1"/>
  <c r="F9" i="435"/>
  <c r="T8" i="435"/>
  <c r="I8" i="435" s="1"/>
  <c r="F8" i="435"/>
  <c r="U7" i="435"/>
  <c r="T7" i="435"/>
  <c r="I7" i="435" s="1"/>
  <c r="K7" i="435"/>
  <c r="F7" i="435"/>
  <c r="T6" i="435"/>
  <c r="I6" i="435" s="1"/>
  <c r="F6" i="435"/>
  <c r="T5" i="435"/>
  <c r="I5" i="435" s="1"/>
  <c r="F5" i="435"/>
  <c r="M46" i="435" l="1"/>
  <c r="M43" i="436"/>
  <c r="M55" i="436"/>
  <c r="M43" i="435"/>
  <c r="M55" i="435"/>
  <c r="M46" i="436"/>
  <c r="O37" i="438"/>
  <c r="E31" i="437"/>
  <c r="J21" i="435"/>
  <c r="J23" i="435"/>
  <c r="J39" i="435"/>
  <c r="J41" i="435"/>
  <c r="M34" i="436"/>
  <c r="J31" i="435"/>
  <c r="H20" i="436"/>
  <c r="J46" i="436"/>
  <c r="J20" i="435"/>
  <c r="J18" i="436"/>
  <c r="J29" i="436"/>
  <c r="J38" i="436"/>
  <c r="J19" i="435"/>
  <c r="J37" i="435"/>
  <c r="J34" i="435"/>
  <c r="J28" i="436"/>
  <c r="J25" i="436"/>
  <c r="H40" i="436"/>
  <c r="J34" i="436"/>
  <c r="J18" i="435"/>
  <c r="J38" i="435"/>
  <c r="J27" i="436"/>
  <c r="L10" i="435"/>
  <c r="J24" i="435"/>
  <c r="J33" i="435"/>
  <c r="J35" i="435"/>
  <c r="J24" i="436"/>
  <c r="M28" i="436"/>
  <c r="E43" i="437"/>
  <c r="J47" i="435"/>
  <c r="J36" i="435"/>
  <c r="J48" i="435"/>
  <c r="J30" i="435"/>
  <c r="J23" i="436"/>
  <c r="J30" i="436"/>
  <c r="J41" i="436"/>
  <c r="J28" i="435"/>
  <c r="G23" i="436"/>
  <c r="M22" i="435"/>
  <c r="J27" i="435"/>
  <c r="J25" i="435"/>
  <c r="J22" i="435"/>
  <c r="J43" i="435"/>
  <c r="J40" i="435"/>
  <c r="H28" i="436"/>
  <c r="H30" i="436"/>
  <c r="H32" i="436"/>
  <c r="J22" i="436"/>
  <c r="J43" i="436"/>
  <c r="J31" i="436"/>
  <c r="J40" i="436"/>
  <c r="J48" i="436"/>
  <c r="J36" i="436"/>
  <c r="J32" i="435"/>
  <c r="J21" i="436"/>
  <c r="J32" i="436"/>
  <c r="J39" i="436"/>
  <c r="J46" i="435"/>
  <c r="J19" i="436"/>
  <c r="J37" i="436"/>
  <c r="J49" i="436"/>
  <c r="J29" i="435"/>
  <c r="J17" i="435"/>
  <c r="J26" i="435"/>
  <c r="J45" i="435"/>
  <c r="J42" i="435"/>
  <c r="J44" i="435"/>
  <c r="J20" i="436"/>
  <c r="L13" i="436"/>
  <c r="J17" i="436"/>
  <c r="J26" i="436"/>
  <c r="J45" i="436"/>
  <c r="J33" i="436"/>
  <c r="J47" i="436"/>
  <c r="J35" i="436"/>
  <c r="J42" i="436"/>
  <c r="J44" i="436"/>
  <c r="E40" i="437"/>
  <c r="E40" i="438"/>
  <c r="L10" i="436"/>
  <c r="N49" i="436"/>
  <c r="O52" i="436" s="1"/>
  <c r="N49" i="435"/>
  <c r="O52" i="435" s="1"/>
  <c r="O49" i="437"/>
  <c r="O49" i="438"/>
  <c r="D43" i="438"/>
  <c r="D43" i="437"/>
  <c r="D40" i="438"/>
  <c r="D40" i="437"/>
  <c r="G35" i="435"/>
  <c r="O43" i="438"/>
  <c r="D31" i="438"/>
  <c r="O22" i="438"/>
  <c r="H42" i="435"/>
  <c r="H42" i="436"/>
  <c r="O40" i="438"/>
  <c r="O28" i="438"/>
  <c r="O13" i="438"/>
  <c r="B22" i="436"/>
  <c r="B25" i="436"/>
  <c r="B34" i="436"/>
  <c r="G40" i="436"/>
  <c r="H46" i="436"/>
  <c r="H47" i="435"/>
  <c r="N46" i="436"/>
  <c r="O37" i="437"/>
  <c r="O25" i="438"/>
  <c r="O10" i="438"/>
  <c r="O16" i="438"/>
  <c r="D22" i="438"/>
  <c r="E43" i="438"/>
  <c r="E22" i="438"/>
  <c r="E34" i="438"/>
  <c r="E19" i="438"/>
  <c r="D19" i="438"/>
  <c r="O19" i="438"/>
  <c r="E46" i="438"/>
  <c r="O46" i="438"/>
  <c r="M40" i="436"/>
  <c r="L40" i="436"/>
  <c r="D34" i="438"/>
  <c r="D13" i="438"/>
  <c r="O19" i="437"/>
  <c r="E31" i="438"/>
  <c r="O31" i="438"/>
  <c r="N37" i="436"/>
  <c r="O28" i="437"/>
  <c r="D46" i="438"/>
  <c r="E28" i="438"/>
  <c r="E25" i="438"/>
  <c r="D25" i="438"/>
  <c r="O22" i="437"/>
  <c r="O13" i="437"/>
  <c r="D34" i="437"/>
  <c r="D16" i="438"/>
  <c r="O34" i="438"/>
  <c r="O40" i="437"/>
  <c r="O10" i="437"/>
  <c r="E37" i="438"/>
  <c r="D37" i="438"/>
  <c r="L43" i="436"/>
  <c r="D10" i="438"/>
  <c r="D28" i="438"/>
  <c r="D13" i="437"/>
  <c r="E34" i="437"/>
  <c r="D31" i="437"/>
  <c r="D28" i="437"/>
  <c r="D22" i="437"/>
  <c r="E22" i="437"/>
  <c r="O31" i="437"/>
  <c r="O25" i="437"/>
  <c r="O16" i="437"/>
  <c r="C46" i="436"/>
  <c r="D49" i="436" s="1"/>
  <c r="O43" i="437"/>
  <c r="D46" i="437"/>
  <c r="E46" i="437"/>
  <c r="M37" i="435"/>
  <c r="C37" i="435"/>
  <c r="E49" i="435" s="1"/>
  <c r="N7" i="436"/>
  <c r="C19" i="436"/>
  <c r="G19" i="436"/>
  <c r="C28" i="436"/>
  <c r="C31" i="436"/>
  <c r="G31" i="436"/>
  <c r="H44" i="436"/>
  <c r="C34" i="436"/>
  <c r="E25" i="437"/>
  <c r="D25" i="437"/>
  <c r="O34" i="437"/>
  <c r="O46" i="437"/>
  <c r="D16" i="437"/>
  <c r="C22" i="435"/>
  <c r="H35" i="435"/>
  <c r="H40" i="435"/>
  <c r="H18" i="436"/>
  <c r="N13" i="436"/>
  <c r="N16" i="436"/>
  <c r="N25" i="436"/>
  <c r="N34" i="436"/>
  <c r="G46" i="436"/>
  <c r="G47" i="436"/>
  <c r="E37" i="437"/>
  <c r="D37" i="437"/>
  <c r="E28" i="437"/>
  <c r="E19" i="437"/>
  <c r="D19" i="437"/>
  <c r="D10" i="437"/>
  <c r="N19" i="436"/>
  <c r="G22" i="436"/>
  <c r="C25" i="436"/>
  <c r="C22" i="436"/>
  <c r="G21" i="436"/>
  <c r="G24" i="436"/>
  <c r="H34" i="436"/>
  <c r="H37" i="436"/>
  <c r="B7" i="436"/>
  <c r="G7" i="436"/>
  <c r="N10" i="436"/>
  <c r="L16" i="436"/>
  <c r="N22" i="436"/>
  <c r="N28" i="436"/>
  <c r="L31" i="436"/>
  <c r="H36" i="436"/>
  <c r="L19" i="436"/>
  <c r="H19" i="436"/>
  <c r="B37" i="436"/>
  <c r="H31" i="436"/>
  <c r="H33" i="436"/>
  <c r="G34" i="436"/>
  <c r="G35" i="436"/>
  <c r="G36" i="436"/>
  <c r="H43" i="436"/>
  <c r="H45" i="436"/>
  <c r="M37" i="436"/>
  <c r="H35" i="436"/>
  <c r="C40" i="436"/>
  <c r="E52" i="436" s="1"/>
  <c r="H47" i="436"/>
  <c r="C43" i="436"/>
  <c r="E55" i="436" s="1"/>
  <c r="G43" i="436"/>
  <c r="B46" i="436"/>
  <c r="B10" i="436"/>
  <c r="G10" i="436"/>
  <c r="B16" i="436"/>
  <c r="M19" i="436"/>
  <c r="G38" i="436"/>
  <c r="L46" i="436"/>
  <c r="N34" i="435"/>
  <c r="B37" i="435"/>
  <c r="N37" i="435"/>
  <c r="G8" i="436"/>
  <c r="G9" i="436"/>
  <c r="C10" i="436"/>
  <c r="G11" i="436"/>
  <c r="G12" i="436"/>
  <c r="C13" i="436"/>
  <c r="G14" i="436"/>
  <c r="G15" i="436"/>
  <c r="C16" i="436"/>
  <c r="G17" i="436"/>
  <c r="H22" i="436"/>
  <c r="M22" i="436"/>
  <c r="H24" i="436"/>
  <c r="G25" i="436"/>
  <c r="L25" i="436"/>
  <c r="H26" i="436"/>
  <c r="G27" i="436"/>
  <c r="B28" i="436"/>
  <c r="G29" i="436"/>
  <c r="N31" i="436"/>
  <c r="C37" i="436"/>
  <c r="E49" i="436" s="1"/>
  <c r="G37" i="436"/>
  <c r="L37" i="436"/>
  <c r="H38" i="436"/>
  <c r="G39" i="436"/>
  <c r="B40" i="436"/>
  <c r="G41" i="436"/>
  <c r="N43" i="436"/>
  <c r="G6" i="436"/>
  <c r="C7" i="436"/>
  <c r="B13" i="436"/>
  <c r="G13" i="436"/>
  <c r="G16" i="436"/>
  <c r="H21" i="436"/>
  <c r="L22" i="436"/>
  <c r="H23" i="436"/>
  <c r="G26" i="436"/>
  <c r="M31" i="436"/>
  <c r="L34" i="436"/>
  <c r="N40" i="436"/>
  <c r="M34" i="435"/>
  <c r="H17" i="436"/>
  <c r="G18" i="436"/>
  <c r="B19" i="436"/>
  <c r="G20" i="436"/>
  <c r="H25" i="436"/>
  <c r="M25" i="436"/>
  <c r="H27" i="436"/>
  <c r="G28" i="436"/>
  <c r="L28" i="436"/>
  <c r="H29" i="436"/>
  <c r="G30" i="436"/>
  <c r="B31" i="436"/>
  <c r="G32" i="436"/>
  <c r="H39" i="436"/>
  <c r="H41" i="436"/>
  <c r="G42" i="436"/>
  <c r="B43" i="436"/>
  <c r="G44" i="436"/>
  <c r="G33" i="436"/>
  <c r="G45" i="436"/>
  <c r="N13" i="435"/>
  <c r="N28" i="435"/>
  <c r="N7" i="435"/>
  <c r="G11" i="435"/>
  <c r="B13" i="435"/>
  <c r="G13" i="435"/>
  <c r="L13" i="435"/>
  <c r="G21" i="435"/>
  <c r="N25" i="435"/>
  <c r="L22" i="435"/>
  <c r="H21" i="435"/>
  <c r="N19" i="435"/>
  <c r="N22" i="435"/>
  <c r="G34" i="435"/>
  <c r="C40" i="435"/>
  <c r="E52" i="435" s="1"/>
  <c r="G38" i="435"/>
  <c r="L40" i="435"/>
  <c r="L43" i="435"/>
  <c r="G36" i="435"/>
  <c r="H45" i="435"/>
  <c r="N31" i="435"/>
  <c r="C46" i="435"/>
  <c r="D49" i="435" s="1"/>
  <c r="G43" i="435"/>
  <c r="B46" i="435"/>
  <c r="H43" i="435"/>
  <c r="G46" i="435"/>
  <c r="G31" i="435"/>
  <c r="N10" i="435"/>
  <c r="C10" i="435"/>
  <c r="H31" i="435"/>
  <c r="G32" i="435"/>
  <c r="G33" i="435"/>
  <c r="B34" i="435"/>
  <c r="B10" i="435"/>
  <c r="L31" i="435"/>
  <c r="C7" i="435"/>
  <c r="G19" i="435"/>
  <c r="G24" i="435"/>
  <c r="H33" i="435"/>
  <c r="C34" i="435"/>
  <c r="G7" i="435"/>
  <c r="M25" i="435"/>
  <c r="N16" i="435"/>
  <c r="M28" i="435"/>
  <c r="M19" i="435"/>
  <c r="C28" i="435"/>
  <c r="B28" i="435"/>
  <c r="H26" i="435"/>
  <c r="C43" i="435"/>
  <c r="E55" i="435" s="1"/>
  <c r="B43" i="435"/>
  <c r="H41" i="435"/>
  <c r="G41" i="435"/>
  <c r="L46" i="435"/>
  <c r="L16" i="435"/>
  <c r="C31" i="435"/>
  <c r="B31" i="435"/>
  <c r="H29" i="435"/>
  <c r="G29" i="435"/>
  <c r="G16" i="435"/>
  <c r="B19" i="435"/>
  <c r="H17" i="435"/>
  <c r="C19" i="435"/>
  <c r="L19" i="435"/>
  <c r="H22" i="435"/>
  <c r="G23" i="435"/>
  <c r="H25" i="435"/>
  <c r="G25" i="435"/>
  <c r="G26" i="435"/>
  <c r="H28" i="435"/>
  <c r="N40" i="435"/>
  <c r="N43" i="435"/>
  <c r="C25" i="435"/>
  <c r="H24" i="435"/>
  <c r="G14" i="435"/>
  <c r="H30" i="435"/>
  <c r="G18" i="435"/>
  <c r="B7" i="435"/>
  <c r="G9" i="435"/>
  <c r="C13" i="435"/>
  <c r="B16" i="435"/>
  <c r="G17" i="435"/>
  <c r="H18" i="435"/>
  <c r="H19" i="435"/>
  <c r="H32" i="435"/>
  <c r="G20" i="435"/>
  <c r="G22" i="435"/>
  <c r="H23" i="435"/>
  <c r="H37" i="435"/>
  <c r="G37" i="435"/>
  <c r="G40" i="435"/>
  <c r="G15" i="435"/>
  <c r="G6" i="435"/>
  <c r="G8" i="435"/>
  <c r="G10" i="435"/>
  <c r="G12" i="435"/>
  <c r="C16" i="435"/>
  <c r="H20" i="435"/>
  <c r="B22" i="435"/>
  <c r="B25" i="435"/>
  <c r="H27" i="435"/>
  <c r="G27" i="435"/>
  <c r="M40" i="435"/>
  <c r="L28" i="435"/>
  <c r="M31" i="435"/>
  <c r="L34" i="435"/>
  <c r="H39" i="435"/>
  <c r="G39" i="435"/>
  <c r="N46" i="435"/>
  <c r="L25" i="435"/>
  <c r="H34" i="435"/>
  <c r="H36" i="435"/>
  <c r="L37" i="435"/>
  <c r="H38" i="435"/>
  <c r="B40" i="435"/>
  <c r="H46" i="435"/>
  <c r="G28" i="435"/>
  <c r="G30" i="435"/>
  <c r="G42" i="435"/>
  <c r="G44" i="435"/>
  <c r="H44" i="435"/>
  <c r="G45" i="435"/>
  <c r="R47" i="231"/>
  <c r="Q47" i="231"/>
  <c r="F47" i="170"/>
  <c r="S47" i="300"/>
  <c r="R47" i="300"/>
  <c r="K49" i="300" s="1"/>
  <c r="Q47" i="300"/>
  <c r="U47" i="434"/>
  <c r="T47" i="434"/>
  <c r="I47" i="434" s="1"/>
  <c r="U46" i="434"/>
  <c r="L49" i="434" s="1"/>
  <c r="T46" i="434"/>
  <c r="I46" i="434" s="1"/>
  <c r="K46" i="434"/>
  <c r="F46" i="434"/>
  <c r="T45" i="434"/>
  <c r="I45" i="434" s="1"/>
  <c r="F45" i="434"/>
  <c r="T44" i="434"/>
  <c r="I44" i="434" s="1"/>
  <c r="J56" i="434" s="1"/>
  <c r="F44" i="434"/>
  <c r="H56" i="434" s="1"/>
  <c r="U43" i="434"/>
  <c r="T43" i="434"/>
  <c r="I43" i="434" s="1"/>
  <c r="J55" i="434" s="1"/>
  <c r="K43" i="434"/>
  <c r="F43" i="434"/>
  <c r="H55" i="434" s="1"/>
  <c r="T42" i="434"/>
  <c r="I42" i="434" s="1"/>
  <c r="J54" i="434" s="1"/>
  <c r="F42" i="434"/>
  <c r="H54" i="434" s="1"/>
  <c r="T41" i="434"/>
  <c r="I41" i="434" s="1"/>
  <c r="J53" i="434" s="1"/>
  <c r="F41" i="434"/>
  <c r="H53" i="434" s="1"/>
  <c r="U40" i="434"/>
  <c r="T40" i="434"/>
  <c r="I40" i="434" s="1"/>
  <c r="J52" i="434" s="1"/>
  <c r="K40" i="434"/>
  <c r="M52" i="434" s="1"/>
  <c r="F40" i="434"/>
  <c r="H52" i="434" s="1"/>
  <c r="T39" i="434"/>
  <c r="I39" i="434" s="1"/>
  <c r="J51" i="434" s="1"/>
  <c r="F39" i="434"/>
  <c r="H51" i="434" s="1"/>
  <c r="T38" i="434"/>
  <c r="I38" i="434" s="1"/>
  <c r="J50" i="434" s="1"/>
  <c r="F38" i="434"/>
  <c r="H50" i="434" s="1"/>
  <c r="U37" i="434"/>
  <c r="T37" i="434"/>
  <c r="I37" i="434" s="1"/>
  <c r="K37" i="434"/>
  <c r="M49" i="434" s="1"/>
  <c r="F37" i="434"/>
  <c r="H49" i="434" s="1"/>
  <c r="T36" i="434"/>
  <c r="I36" i="434" s="1"/>
  <c r="F36" i="434"/>
  <c r="H48" i="434" s="1"/>
  <c r="T35" i="434"/>
  <c r="I35" i="434" s="1"/>
  <c r="F35" i="434"/>
  <c r="U34" i="434"/>
  <c r="T34" i="434"/>
  <c r="I34" i="434" s="1"/>
  <c r="K34" i="434"/>
  <c r="F34" i="434"/>
  <c r="T33" i="434"/>
  <c r="I33" i="434" s="1"/>
  <c r="F33" i="434"/>
  <c r="T32" i="434"/>
  <c r="I32" i="434" s="1"/>
  <c r="F32" i="434"/>
  <c r="U31" i="434"/>
  <c r="T31" i="434"/>
  <c r="I31" i="434" s="1"/>
  <c r="K31" i="434"/>
  <c r="F31" i="434"/>
  <c r="T30" i="434"/>
  <c r="I30" i="434" s="1"/>
  <c r="F30" i="434"/>
  <c r="T29" i="434"/>
  <c r="I29" i="434" s="1"/>
  <c r="F29" i="434"/>
  <c r="U28" i="434"/>
  <c r="T28" i="434"/>
  <c r="I28" i="434" s="1"/>
  <c r="K28" i="434"/>
  <c r="F28" i="434"/>
  <c r="T27" i="434"/>
  <c r="I27" i="434" s="1"/>
  <c r="F27" i="434"/>
  <c r="T26" i="434"/>
  <c r="I26" i="434" s="1"/>
  <c r="F26" i="434"/>
  <c r="U25" i="434"/>
  <c r="T25" i="434"/>
  <c r="I25" i="434" s="1"/>
  <c r="K25" i="434"/>
  <c r="F25" i="434"/>
  <c r="T24" i="434"/>
  <c r="I24" i="434" s="1"/>
  <c r="F24" i="434"/>
  <c r="T23" i="434"/>
  <c r="I23" i="434" s="1"/>
  <c r="F23" i="434"/>
  <c r="U22" i="434"/>
  <c r="T22" i="434"/>
  <c r="I22" i="434" s="1"/>
  <c r="K22" i="434"/>
  <c r="F22" i="434"/>
  <c r="T21" i="434"/>
  <c r="I21" i="434" s="1"/>
  <c r="F21" i="434"/>
  <c r="T20" i="434"/>
  <c r="I20" i="434" s="1"/>
  <c r="F20" i="434"/>
  <c r="U19" i="434"/>
  <c r="T19" i="434"/>
  <c r="I19" i="434" s="1"/>
  <c r="K19" i="434"/>
  <c r="F19" i="434"/>
  <c r="T18" i="434"/>
  <c r="I18" i="434" s="1"/>
  <c r="F18" i="434"/>
  <c r="T17" i="434"/>
  <c r="I17" i="434" s="1"/>
  <c r="F17" i="434"/>
  <c r="U16" i="434"/>
  <c r="T16" i="434"/>
  <c r="I16" i="434" s="1"/>
  <c r="K16" i="434"/>
  <c r="F16" i="434"/>
  <c r="T15" i="434"/>
  <c r="I15" i="434" s="1"/>
  <c r="F15" i="434"/>
  <c r="T14" i="434"/>
  <c r="I14" i="434" s="1"/>
  <c r="F14" i="434"/>
  <c r="U13" i="434"/>
  <c r="T13" i="434"/>
  <c r="I13" i="434" s="1"/>
  <c r="K13" i="434"/>
  <c r="F13" i="434"/>
  <c r="T12" i="434"/>
  <c r="I12" i="434" s="1"/>
  <c r="F12" i="434"/>
  <c r="T11" i="434"/>
  <c r="I11" i="434" s="1"/>
  <c r="F11" i="434"/>
  <c r="U10" i="434"/>
  <c r="T10" i="434"/>
  <c r="I10" i="434" s="1"/>
  <c r="K10" i="434"/>
  <c r="F10" i="434"/>
  <c r="T9" i="434"/>
  <c r="I9" i="434" s="1"/>
  <c r="F9" i="434"/>
  <c r="T8" i="434"/>
  <c r="I8" i="434" s="1"/>
  <c r="F8" i="434"/>
  <c r="U7" i="434"/>
  <c r="T7" i="434"/>
  <c r="I7" i="434" s="1"/>
  <c r="K7" i="434"/>
  <c r="F7" i="434"/>
  <c r="T6" i="434"/>
  <c r="I6" i="434" s="1"/>
  <c r="F6" i="434"/>
  <c r="T5" i="434"/>
  <c r="I5" i="434" s="1"/>
  <c r="F5" i="434"/>
  <c r="F47" i="414"/>
  <c r="F47" i="253"/>
  <c r="F47" i="149"/>
  <c r="F47" i="395"/>
  <c r="S47" i="321"/>
  <c r="R47" i="321"/>
  <c r="K49" i="321" s="1"/>
  <c r="Q47" i="321"/>
  <c r="F47" i="398"/>
  <c r="F47" i="195"/>
  <c r="S47" i="327"/>
  <c r="R47" i="327"/>
  <c r="K49" i="327" s="1"/>
  <c r="Q47" i="327"/>
  <c r="F47" i="142"/>
  <c r="M46" i="434" l="1"/>
  <c r="M43" i="434"/>
  <c r="M55" i="434"/>
  <c r="J22" i="434"/>
  <c r="J24" i="434"/>
  <c r="J26" i="434"/>
  <c r="J28" i="434"/>
  <c r="J25" i="434"/>
  <c r="J34" i="434"/>
  <c r="J43" i="434"/>
  <c r="D22" i="436"/>
  <c r="J23" i="434"/>
  <c r="J41" i="434"/>
  <c r="J21" i="434"/>
  <c r="J39" i="434"/>
  <c r="J18" i="434"/>
  <c r="J20" i="434"/>
  <c r="L13" i="434"/>
  <c r="J35" i="434"/>
  <c r="J19" i="434"/>
  <c r="J37" i="434"/>
  <c r="J49" i="434"/>
  <c r="J46" i="434"/>
  <c r="J33" i="434"/>
  <c r="J42" i="434"/>
  <c r="J31" i="434"/>
  <c r="J40" i="434"/>
  <c r="J47" i="434"/>
  <c r="J17" i="434"/>
  <c r="J44" i="434"/>
  <c r="J30" i="434"/>
  <c r="J32" i="434"/>
  <c r="J27" i="434"/>
  <c r="J29" i="434"/>
  <c r="J36" i="434"/>
  <c r="J48" i="434"/>
  <c r="J38" i="434"/>
  <c r="J45" i="434"/>
  <c r="E40" i="436"/>
  <c r="O10" i="436"/>
  <c r="F47" i="321"/>
  <c r="G48" i="321" s="1"/>
  <c r="U49" i="321"/>
  <c r="L52" i="321" s="1"/>
  <c r="C49" i="149"/>
  <c r="D52" i="149" s="1"/>
  <c r="B49" i="149"/>
  <c r="C49" i="170"/>
  <c r="D52" i="170" s="1"/>
  <c r="B49" i="170"/>
  <c r="O49" i="435"/>
  <c r="B49" i="253"/>
  <c r="C49" i="253"/>
  <c r="D52" i="253" s="1"/>
  <c r="F47" i="300"/>
  <c r="G48" i="300" s="1"/>
  <c r="U49" i="300"/>
  <c r="L52" i="300" s="1"/>
  <c r="F47" i="231"/>
  <c r="K49" i="231"/>
  <c r="B49" i="195"/>
  <c r="C49" i="195"/>
  <c r="D52" i="195" s="1"/>
  <c r="B49" i="414"/>
  <c r="C49" i="414"/>
  <c r="D52" i="414" s="1"/>
  <c r="O49" i="436"/>
  <c r="C49" i="142"/>
  <c r="D52" i="142" s="1"/>
  <c r="B49" i="142"/>
  <c r="F47" i="327"/>
  <c r="G48" i="327" s="1"/>
  <c r="U49" i="327"/>
  <c r="L52" i="327" s="1"/>
  <c r="B49" i="398"/>
  <c r="C49" i="398"/>
  <c r="D52" i="398" s="1"/>
  <c r="B49" i="395"/>
  <c r="C49" i="395"/>
  <c r="D52" i="395" s="1"/>
  <c r="N49" i="434"/>
  <c r="O52" i="434" s="1"/>
  <c r="E37" i="435"/>
  <c r="G48" i="142"/>
  <c r="G48" i="398"/>
  <c r="G48" i="395"/>
  <c r="G48" i="195"/>
  <c r="G48" i="149"/>
  <c r="G48" i="170"/>
  <c r="G48" i="414"/>
  <c r="G48" i="253"/>
  <c r="O16" i="436"/>
  <c r="D34" i="436"/>
  <c r="E34" i="435"/>
  <c r="O28" i="436"/>
  <c r="O37" i="435"/>
  <c r="O37" i="436"/>
  <c r="E28" i="436"/>
  <c r="O13" i="436"/>
  <c r="D34" i="435"/>
  <c r="O34" i="435"/>
  <c r="O22" i="435"/>
  <c r="O31" i="436"/>
  <c r="D28" i="436"/>
  <c r="E31" i="436"/>
  <c r="T47" i="327"/>
  <c r="D37" i="435"/>
  <c r="O40" i="436"/>
  <c r="E34" i="436"/>
  <c r="H35" i="434"/>
  <c r="E46" i="435"/>
  <c r="D40" i="435"/>
  <c r="E46" i="436"/>
  <c r="D31" i="436"/>
  <c r="E43" i="436"/>
  <c r="E22" i="435"/>
  <c r="E40" i="435"/>
  <c r="O10" i="435"/>
  <c r="D46" i="436"/>
  <c r="D25" i="436"/>
  <c r="G36" i="434"/>
  <c r="D46" i="435"/>
  <c r="O16" i="435"/>
  <c r="E19" i="436"/>
  <c r="O43" i="436"/>
  <c r="D43" i="436"/>
  <c r="O25" i="436"/>
  <c r="O19" i="436"/>
  <c r="E22" i="436"/>
  <c r="O22" i="436"/>
  <c r="O34" i="436"/>
  <c r="D40" i="436"/>
  <c r="O46" i="436"/>
  <c r="D13" i="436"/>
  <c r="M19" i="434"/>
  <c r="D16" i="436"/>
  <c r="B7" i="434"/>
  <c r="O46" i="435"/>
  <c r="O40" i="435"/>
  <c r="D19" i="436"/>
  <c r="O28" i="435"/>
  <c r="E37" i="436"/>
  <c r="D37" i="436"/>
  <c r="N40" i="434"/>
  <c r="O31" i="435"/>
  <c r="O19" i="435"/>
  <c r="D10" i="436"/>
  <c r="E25" i="436"/>
  <c r="D10" i="435"/>
  <c r="O25" i="435"/>
  <c r="O43" i="435"/>
  <c r="D13" i="435"/>
  <c r="O13" i="435"/>
  <c r="H47" i="434"/>
  <c r="E19" i="435"/>
  <c r="D19" i="435"/>
  <c r="H38" i="434"/>
  <c r="G45" i="434"/>
  <c r="D16" i="435"/>
  <c r="E31" i="435"/>
  <c r="D31" i="435"/>
  <c r="E43" i="435"/>
  <c r="D43" i="435"/>
  <c r="E28" i="435"/>
  <c r="D28" i="435"/>
  <c r="H18" i="434"/>
  <c r="N25" i="434"/>
  <c r="G31" i="434"/>
  <c r="G33" i="434"/>
  <c r="D25" i="435"/>
  <c r="E25" i="435"/>
  <c r="D22" i="435"/>
  <c r="M37" i="434"/>
  <c r="N28" i="434"/>
  <c r="L37" i="434"/>
  <c r="H42" i="434"/>
  <c r="C22" i="434"/>
  <c r="H28" i="434"/>
  <c r="G43" i="434"/>
  <c r="B25" i="434"/>
  <c r="G24" i="434"/>
  <c r="N7" i="434"/>
  <c r="N13" i="434"/>
  <c r="H21" i="434"/>
  <c r="N10" i="434"/>
  <c r="N16" i="434"/>
  <c r="L43" i="434"/>
  <c r="M40" i="434"/>
  <c r="N37" i="434"/>
  <c r="L40" i="434"/>
  <c r="G35" i="434"/>
  <c r="H46" i="434"/>
  <c r="B46" i="434"/>
  <c r="G46" i="434"/>
  <c r="L46" i="434"/>
  <c r="C46" i="434"/>
  <c r="D49" i="434" s="1"/>
  <c r="G47" i="434"/>
  <c r="L31" i="434"/>
  <c r="C34" i="434"/>
  <c r="H45" i="434"/>
  <c r="M28" i="434"/>
  <c r="B34" i="434"/>
  <c r="H33" i="434"/>
  <c r="H36" i="434"/>
  <c r="C7" i="434"/>
  <c r="G19" i="434"/>
  <c r="L19" i="434"/>
  <c r="G22" i="434"/>
  <c r="L25" i="434"/>
  <c r="M31" i="434"/>
  <c r="G34" i="434"/>
  <c r="H40" i="434"/>
  <c r="H43" i="434"/>
  <c r="L10" i="434"/>
  <c r="L16" i="434"/>
  <c r="N19" i="434"/>
  <c r="B22" i="434"/>
  <c r="H22" i="434"/>
  <c r="G23" i="434"/>
  <c r="H30" i="434"/>
  <c r="H31" i="434"/>
  <c r="H34" i="434"/>
  <c r="C10" i="434"/>
  <c r="G8" i="434"/>
  <c r="B10" i="434"/>
  <c r="C13" i="434"/>
  <c r="G11" i="434"/>
  <c r="B13" i="434"/>
  <c r="H26" i="434"/>
  <c r="C16" i="434"/>
  <c r="G14" i="434"/>
  <c r="B16" i="434"/>
  <c r="C19" i="434"/>
  <c r="G17" i="434"/>
  <c r="B19" i="434"/>
  <c r="H17" i="434"/>
  <c r="H37" i="434"/>
  <c r="G37" i="434"/>
  <c r="C37" i="434"/>
  <c r="E49" i="434" s="1"/>
  <c r="N43" i="434"/>
  <c r="C25" i="434"/>
  <c r="H25" i="434"/>
  <c r="G25" i="434"/>
  <c r="B28" i="434"/>
  <c r="H27" i="434"/>
  <c r="G27" i="434"/>
  <c r="N34" i="434"/>
  <c r="G9" i="434"/>
  <c r="G10" i="434"/>
  <c r="G12" i="434"/>
  <c r="H24" i="434"/>
  <c r="G13" i="434"/>
  <c r="G15" i="434"/>
  <c r="G16" i="434"/>
  <c r="N22" i="434"/>
  <c r="C28" i="434"/>
  <c r="C31" i="434"/>
  <c r="B31" i="434"/>
  <c r="H29" i="434"/>
  <c r="G29" i="434"/>
  <c r="G38" i="434"/>
  <c r="B40" i="434"/>
  <c r="C40" i="434"/>
  <c r="E52" i="434" s="1"/>
  <c r="H39" i="434"/>
  <c r="G39" i="434"/>
  <c r="N46" i="434"/>
  <c r="G6" i="434"/>
  <c r="G7" i="434"/>
  <c r="H19" i="434"/>
  <c r="L22" i="434"/>
  <c r="H23" i="434"/>
  <c r="G26" i="434"/>
  <c r="N31" i="434"/>
  <c r="L34" i="434"/>
  <c r="B37" i="434"/>
  <c r="C43" i="434"/>
  <c r="E55" i="434" s="1"/>
  <c r="G41" i="434"/>
  <c r="B43" i="434"/>
  <c r="H41" i="434"/>
  <c r="M22" i="434"/>
  <c r="G18" i="434"/>
  <c r="G20" i="434"/>
  <c r="M25" i="434"/>
  <c r="G28" i="434"/>
  <c r="L28" i="434"/>
  <c r="G30" i="434"/>
  <c r="G32" i="434"/>
  <c r="G40" i="434"/>
  <c r="G42" i="434"/>
  <c r="G44" i="434"/>
  <c r="M34" i="434"/>
  <c r="H20" i="434"/>
  <c r="G21" i="434"/>
  <c r="H32" i="434"/>
  <c r="H44" i="434"/>
  <c r="D13" i="434" l="1"/>
  <c r="N49" i="327"/>
  <c r="O52" i="327" s="1"/>
  <c r="I47" i="327"/>
  <c r="O43" i="434"/>
  <c r="O49" i="434"/>
  <c r="C49" i="231"/>
  <c r="D52" i="231" s="1"/>
  <c r="B49" i="231"/>
  <c r="C49" i="300"/>
  <c r="D52" i="300" s="1"/>
  <c r="B49" i="300"/>
  <c r="G48" i="231"/>
  <c r="B49" i="327"/>
  <c r="C49" i="327"/>
  <c r="D52" i="327" s="1"/>
  <c r="C49" i="321"/>
  <c r="D52" i="321" s="1"/>
  <c r="B49" i="321"/>
  <c r="O34" i="434"/>
  <c r="O40" i="434"/>
  <c r="O28" i="434"/>
  <c r="O16" i="434"/>
  <c r="O31" i="434"/>
  <c r="O46" i="434"/>
  <c r="O19" i="434"/>
  <c r="O10" i="434"/>
  <c r="D10" i="434"/>
  <c r="O13" i="434"/>
  <c r="O22" i="434"/>
  <c r="E46" i="434"/>
  <c r="D34" i="434"/>
  <c r="E22" i="434"/>
  <c r="E34" i="434"/>
  <c r="E43" i="434"/>
  <c r="D43" i="434"/>
  <c r="D28" i="434"/>
  <c r="E28" i="434"/>
  <c r="E19" i="434"/>
  <c r="D19" i="434"/>
  <c r="E25" i="434"/>
  <c r="D25" i="434"/>
  <c r="E37" i="434"/>
  <c r="D37" i="434"/>
  <c r="D22" i="434"/>
  <c r="O37" i="434"/>
  <c r="D46" i="434"/>
  <c r="D40" i="434"/>
  <c r="E40" i="434"/>
  <c r="E31" i="434"/>
  <c r="D31" i="434"/>
  <c r="D16" i="434"/>
  <c r="O25" i="434"/>
  <c r="T47" i="391" l="1"/>
  <c r="I47" i="391" s="1"/>
  <c r="U47" i="75"/>
  <c r="T47" i="75"/>
  <c r="I47" i="75" s="1"/>
  <c r="T47" i="9"/>
  <c r="I47" i="9" s="1"/>
  <c r="U47" i="89"/>
  <c r="T47" i="89"/>
  <c r="U47" i="389"/>
  <c r="T47" i="389"/>
  <c r="U47" i="386"/>
  <c r="T47" i="386"/>
  <c r="I47" i="386" s="1"/>
  <c r="U47" i="303"/>
  <c r="T47" i="303"/>
  <c r="U47" i="113"/>
  <c r="T47" i="113"/>
  <c r="U47" i="431"/>
  <c r="T47" i="431"/>
  <c r="U47" i="202"/>
  <c r="T47" i="202"/>
  <c r="I47" i="202" s="1"/>
  <c r="T47" i="392"/>
  <c r="U47" i="371"/>
  <c r="T47" i="371"/>
  <c r="U47" i="424"/>
  <c r="T47" i="424"/>
  <c r="I47" i="424" s="1"/>
  <c r="U47" i="430"/>
  <c r="T47" i="430"/>
  <c r="I47" i="430" s="1"/>
  <c r="T47" i="432"/>
  <c r="U47" i="361"/>
  <c r="T47" i="361"/>
  <c r="U47" i="351"/>
  <c r="T47" i="351"/>
  <c r="I47" i="351" s="1"/>
  <c r="U47" i="352"/>
  <c r="T47" i="352"/>
  <c r="I47" i="352" s="1"/>
  <c r="U47" i="353"/>
  <c r="T47" i="353"/>
  <c r="I47" i="353" s="1"/>
  <c r="U47" i="362"/>
  <c r="T47" i="362"/>
  <c r="U47" i="354"/>
  <c r="T47" i="354"/>
  <c r="I47" i="354" s="1"/>
  <c r="U47" i="322"/>
  <c r="T47" i="322"/>
  <c r="I47" i="322" s="1"/>
  <c r="U47" i="233"/>
  <c r="T47" i="233"/>
  <c r="I47" i="233" s="1"/>
  <c r="U47" i="298"/>
  <c r="T47" i="298"/>
  <c r="U47" i="367"/>
  <c r="T47" i="367"/>
  <c r="I47" i="296"/>
  <c r="U47" i="387"/>
  <c r="T47" i="387"/>
  <c r="U47" i="314"/>
  <c r="T47" i="314"/>
  <c r="T47" i="142"/>
  <c r="U47" i="20"/>
  <c r="T47" i="20"/>
  <c r="U47" i="422"/>
  <c r="T47" i="422"/>
  <c r="U47" i="43"/>
  <c r="T47" i="43"/>
  <c r="I47" i="43" s="1"/>
  <c r="U47" i="21"/>
  <c r="T47" i="21"/>
  <c r="U47" i="423"/>
  <c r="T47" i="423"/>
  <c r="U47" i="152"/>
  <c r="T47" i="152"/>
  <c r="I47" i="152" s="1"/>
  <c r="U47" i="13"/>
  <c r="T47" i="13"/>
  <c r="I47" i="13" s="1"/>
  <c r="U47" i="261"/>
  <c r="T47" i="261"/>
  <c r="U47" i="153"/>
  <c r="T47" i="153"/>
  <c r="I47" i="153" s="1"/>
  <c r="U47" i="257"/>
  <c r="T47" i="257"/>
  <c r="I47" i="257" s="1"/>
  <c r="U47" i="409"/>
  <c r="T47" i="409"/>
  <c r="U47" i="174"/>
  <c r="T47" i="174"/>
  <c r="U47" i="328"/>
  <c r="T47" i="328"/>
  <c r="U47" i="329"/>
  <c r="T47" i="329"/>
  <c r="I47" i="329" s="1"/>
  <c r="U47" i="5"/>
  <c r="T47" i="5"/>
  <c r="I47" i="5" s="1"/>
  <c r="U47" i="207"/>
  <c r="T47" i="207"/>
  <c r="I47" i="207" s="1"/>
  <c r="T47" i="195"/>
  <c r="U47" i="194"/>
  <c r="T47" i="194"/>
  <c r="I47" i="194" s="1"/>
  <c r="U47" i="193"/>
  <c r="T47" i="193"/>
  <c r="I47" i="193" s="1"/>
  <c r="U47" i="413"/>
  <c r="T47" i="413"/>
  <c r="I47" i="413" s="1"/>
  <c r="U47" i="48"/>
  <c r="T47" i="48"/>
  <c r="I47" i="48" s="1"/>
  <c r="U47" i="7"/>
  <c r="T47" i="7"/>
  <c r="U47" i="17"/>
  <c r="T47" i="17"/>
  <c r="U47" i="1"/>
  <c r="T47" i="1"/>
  <c r="U47" i="397"/>
  <c r="T47" i="397"/>
  <c r="T47" i="321"/>
  <c r="U47" i="319"/>
  <c r="T47" i="319"/>
  <c r="U47" i="320"/>
  <c r="T47" i="320"/>
  <c r="U47" i="429"/>
  <c r="T47" i="429"/>
  <c r="I47" i="429" s="1"/>
  <c r="U47" i="12"/>
  <c r="T47" i="12"/>
  <c r="I47" i="12" s="1"/>
  <c r="U47" i="356"/>
  <c r="T47" i="356"/>
  <c r="U47" i="394"/>
  <c r="T47" i="394"/>
  <c r="I47" i="394" s="1"/>
  <c r="U47" i="393"/>
  <c r="T47" i="393"/>
  <c r="U47" i="433"/>
  <c r="T47" i="433"/>
  <c r="I47" i="433" s="1"/>
  <c r="U47" i="23"/>
  <c r="T47" i="23"/>
  <c r="I47" i="23" s="1"/>
  <c r="U47" i="52"/>
  <c r="T47" i="52"/>
  <c r="I47" i="52" s="1"/>
  <c r="U47" i="425"/>
  <c r="T47" i="425"/>
  <c r="U47" i="88"/>
  <c r="T47" i="88"/>
  <c r="I47" i="88" s="1"/>
  <c r="U47" i="148"/>
  <c r="T47" i="148"/>
  <c r="U47" i="97"/>
  <c r="T47" i="97"/>
  <c r="I47" i="97" s="1"/>
  <c r="U47" i="383"/>
  <c r="T47" i="383"/>
  <c r="I47" i="383" s="1"/>
  <c r="U47" i="28"/>
  <c r="T47" i="28"/>
  <c r="I47" i="28" s="1"/>
  <c r="U47" i="29"/>
  <c r="T47" i="29"/>
  <c r="I47" i="29" s="1"/>
  <c r="U47" i="359"/>
  <c r="T47" i="359"/>
  <c r="I47" i="359" s="1"/>
  <c r="U47" i="360"/>
  <c r="T47" i="360"/>
  <c r="U47" i="368"/>
  <c r="T47" i="368"/>
  <c r="I47" i="368" s="1"/>
  <c r="U47" i="364"/>
  <c r="T47" i="364"/>
  <c r="I47" i="364" s="1"/>
  <c r="U47" i="420"/>
  <c r="T47" i="420"/>
  <c r="I47" i="420" s="1"/>
  <c r="T47" i="414"/>
  <c r="U47" i="8"/>
  <c r="T47" i="8"/>
  <c r="I47" i="8" s="1"/>
  <c r="U47" i="203"/>
  <c r="T47" i="203"/>
  <c r="U47" i="191"/>
  <c r="T47" i="191"/>
  <c r="U47" i="2"/>
  <c r="T47" i="2"/>
  <c r="I47" i="2" s="1"/>
  <c r="U47" i="164"/>
  <c r="T47" i="164"/>
  <c r="I47" i="164" s="1"/>
  <c r="U47" i="162"/>
  <c r="T47" i="162"/>
  <c r="U47" i="421"/>
  <c r="T47" i="421"/>
  <c r="I47" i="421" s="1"/>
  <c r="U47" i="333"/>
  <c r="T47" i="333"/>
  <c r="I47" i="333" s="1"/>
  <c r="U47" i="53"/>
  <c r="T47" i="53"/>
  <c r="I47" i="53" s="1"/>
  <c r="U47" i="114"/>
  <c r="T47" i="114"/>
  <c r="I47" i="114" s="1"/>
  <c r="U47" i="323"/>
  <c r="T47" i="323"/>
  <c r="I47" i="323" s="1"/>
  <c r="U47" i="400"/>
  <c r="T47" i="400"/>
  <c r="K49" i="404"/>
  <c r="U47" i="402"/>
  <c r="T47" i="402"/>
  <c r="I47" i="402" s="1"/>
  <c r="U47" i="403"/>
  <c r="T47" i="403"/>
  <c r="T47" i="408"/>
  <c r="S47" i="408"/>
  <c r="U47" i="385"/>
  <c r="T47" i="385"/>
  <c r="I47" i="385" s="1"/>
  <c r="U47" i="334"/>
  <c r="T47" i="334"/>
  <c r="I47" i="334" s="1"/>
  <c r="U47" i="3"/>
  <c r="T47" i="3"/>
  <c r="U47" i="349"/>
  <c r="T47" i="349"/>
  <c r="U47" i="4"/>
  <c r="T47" i="4"/>
  <c r="I47" i="4" s="1"/>
  <c r="U47" i="15"/>
  <c r="T47" i="15"/>
  <c r="I47" i="15" s="1"/>
  <c r="U47" i="355"/>
  <c r="T47" i="355"/>
  <c r="U47" i="299"/>
  <c r="T47" i="299"/>
  <c r="I47" i="299" s="1"/>
  <c r="U47" i="190"/>
  <c r="T47" i="190"/>
  <c r="U47" i="16"/>
  <c r="T47" i="16"/>
  <c r="I47" i="16" s="1"/>
  <c r="U47" i="54"/>
  <c r="T47" i="54"/>
  <c r="I47" i="54" s="1"/>
  <c r="U47" i="384"/>
  <c r="I47" i="384"/>
  <c r="U47" i="201"/>
  <c r="T47" i="201"/>
  <c r="U47" i="249"/>
  <c r="T47" i="249"/>
  <c r="I47" i="249" s="1"/>
  <c r="U47" i="19"/>
  <c r="T47" i="19"/>
  <c r="I47" i="19" s="1"/>
  <c r="U47" i="347"/>
  <c r="T47" i="347"/>
  <c r="I47" i="347" s="1"/>
  <c r="U47" i="37"/>
  <c r="T47" i="37"/>
  <c r="U47" i="204"/>
  <c r="T47" i="204"/>
  <c r="I47" i="204" s="1"/>
  <c r="U47" i="363"/>
  <c r="T47" i="363"/>
  <c r="I47" i="363" s="1"/>
  <c r="U47" i="31"/>
  <c r="T47" i="31"/>
  <c r="I47" i="31" s="1"/>
  <c r="T47" i="170"/>
  <c r="U47" i="168"/>
  <c r="T47" i="168"/>
  <c r="I47" i="168" s="1"/>
  <c r="U47" i="169"/>
  <c r="T47" i="169"/>
  <c r="U47" i="336"/>
  <c r="T47" i="336"/>
  <c r="U47" i="342"/>
  <c r="T47" i="342"/>
  <c r="I47" i="342" s="1"/>
  <c r="U47" i="33"/>
  <c r="T47" i="33"/>
  <c r="I47" i="33" s="1"/>
  <c r="U47" i="318"/>
  <c r="T47" i="318"/>
  <c r="I47" i="318" s="1"/>
  <c r="U47" i="288"/>
  <c r="T47" i="288"/>
  <c r="U47" i="337"/>
  <c r="T47" i="337"/>
  <c r="I47" i="337" s="1"/>
  <c r="U47" i="227"/>
  <c r="T47" i="227"/>
  <c r="I47" i="227" s="1"/>
  <c r="S47" i="388"/>
  <c r="R47" i="388"/>
  <c r="K49" i="388" s="1"/>
  <c r="Q47" i="388"/>
  <c r="U47" i="290"/>
  <c r="T47" i="290"/>
  <c r="I47" i="290" s="1"/>
  <c r="U47" i="289"/>
  <c r="T47" i="289"/>
  <c r="I47" i="289" s="1"/>
  <c r="T47" i="357"/>
  <c r="S47" i="357"/>
  <c r="I47" i="357" s="1"/>
  <c r="U47" i="293"/>
  <c r="T47" i="293"/>
  <c r="U47" i="348"/>
  <c r="T47" i="348"/>
  <c r="U47" i="297"/>
  <c r="T47" i="297"/>
  <c r="I47" i="297" s="1"/>
  <c r="U47" i="350"/>
  <c r="T47" i="350"/>
  <c r="I47" i="350" s="1"/>
  <c r="U47" i="105"/>
  <c r="T47" i="105"/>
  <c r="U47" i="294"/>
  <c r="T47" i="294"/>
  <c r="T47" i="365"/>
  <c r="S47" i="365"/>
  <c r="I47" i="365" s="1"/>
  <c r="T47" i="366"/>
  <c r="S47" i="366"/>
  <c r="I47" i="366" s="1"/>
  <c r="U47" i="206"/>
  <c r="T47" i="206"/>
  <c r="U47" i="22"/>
  <c r="T47" i="22"/>
  <c r="U47" i="301"/>
  <c r="T47" i="301"/>
  <c r="I47" i="301" s="1"/>
  <c r="U47" i="344"/>
  <c r="T47" i="344"/>
  <c r="I47" i="344" s="1"/>
  <c r="U47" i="61"/>
  <c r="T47" i="61"/>
  <c r="U47" i="338"/>
  <c r="T47" i="338"/>
  <c r="U47" i="340"/>
  <c r="T47" i="340"/>
  <c r="I47" i="340" s="1"/>
  <c r="U47" i="34"/>
  <c r="T47" i="34"/>
  <c r="I47" i="34" s="1"/>
  <c r="U47" i="135"/>
  <c r="T47" i="135"/>
  <c r="U47" i="295"/>
  <c r="T47" i="295"/>
  <c r="I47" i="295" s="1"/>
  <c r="U47" i="283"/>
  <c r="T47" i="283"/>
  <c r="I47" i="283" s="1"/>
  <c r="U47" i="284"/>
  <c r="T47" i="284"/>
  <c r="T47" i="292"/>
  <c r="T47" i="339"/>
  <c r="U47" i="325"/>
  <c r="T47" i="325"/>
  <c r="I47" i="325" s="1"/>
  <c r="U47" i="269"/>
  <c r="T47" i="269"/>
  <c r="U47" i="11"/>
  <c r="T47" i="11"/>
  <c r="T47" i="279"/>
  <c r="S47" i="279"/>
  <c r="I47" i="279" s="1"/>
  <c r="T47" i="335"/>
  <c r="S47" i="335"/>
  <c r="I47" i="335" s="1"/>
  <c r="U47" i="101"/>
  <c r="T47" i="101"/>
  <c r="U47" i="382"/>
  <c r="T47" i="382"/>
  <c r="U47" i="102"/>
  <c r="T47" i="102"/>
  <c r="I47" i="102" s="1"/>
  <c r="U47" i="103"/>
  <c r="T47" i="103"/>
  <c r="I47" i="103" s="1"/>
  <c r="U47" i="411"/>
  <c r="T47" i="411"/>
  <c r="U47" i="265"/>
  <c r="T47" i="265"/>
  <c r="U47" i="262"/>
  <c r="T47" i="262"/>
  <c r="I47" i="262" s="1"/>
  <c r="U47" i="112"/>
  <c r="T47" i="112"/>
  <c r="I47" i="112" s="1"/>
  <c r="U47" i="109"/>
  <c r="T47" i="109"/>
  <c r="U47" i="85"/>
  <c r="T47" i="85"/>
  <c r="U47" i="324"/>
  <c r="T47" i="324"/>
  <c r="I47" i="324" s="1"/>
  <c r="U47" i="32"/>
  <c r="T47" i="32"/>
  <c r="I47" i="32" s="1"/>
  <c r="U47" i="196"/>
  <c r="T47" i="196"/>
  <c r="T47" i="197"/>
  <c r="U47" i="198"/>
  <c r="T47" i="198"/>
  <c r="I47" i="198" s="1"/>
  <c r="U47" i="345"/>
  <c r="T47" i="345"/>
  <c r="I47" i="345" s="1"/>
  <c r="U47" i="346"/>
  <c r="T47" i="346"/>
  <c r="U47" i="74"/>
  <c r="T47" i="74"/>
  <c r="U47" i="200"/>
  <c r="T47" i="200"/>
  <c r="I47" i="200" s="1"/>
  <c r="U47" i="280"/>
  <c r="T47" i="280"/>
  <c r="I47" i="280" s="1"/>
  <c r="U47" i="45"/>
  <c r="T47" i="45"/>
  <c r="U47" i="104"/>
  <c r="T47" i="104"/>
  <c r="I47" i="104" s="1"/>
  <c r="U47" i="254"/>
  <c r="T47" i="254"/>
  <c r="I47" i="254" s="1"/>
  <c r="S47" i="185"/>
  <c r="R47" i="185"/>
  <c r="K49" i="185" s="1"/>
  <c r="Q47" i="185"/>
  <c r="U47" i="181"/>
  <c r="T47" i="181"/>
  <c r="I47" i="181" s="1"/>
  <c r="U47" i="183"/>
  <c r="T47" i="183"/>
  <c r="I47" i="183" s="1"/>
  <c r="U47" i="184"/>
  <c r="T47" i="184"/>
  <c r="S47" i="144"/>
  <c r="F47" i="144"/>
  <c r="U47" i="27"/>
  <c r="T47" i="27"/>
  <c r="U47" i="143"/>
  <c r="T47" i="143"/>
  <c r="U47" i="268"/>
  <c r="T47" i="268"/>
  <c r="I47" i="268" s="1"/>
  <c r="U47" i="263"/>
  <c r="T47" i="263"/>
  <c r="I47" i="263" s="1"/>
  <c r="U47" i="209"/>
  <c r="T47" i="209"/>
  <c r="U47" i="192"/>
  <c r="T47" i="192"/>
  <c r="U47" i="140"/>
  <c r="T47" i="140"/>
  <c r="I47" i="140" s="1"/>
  <c r="U47" i="270"/>
  <c r="T47" i="270"/>
  <c r="I47" i="270" s="1"/>
  <c r="U47" i="271"/>
  <c r="T47" i="271"/>
  <c r="I47" i="271" s="1"/>
  <c r="F47" i="186"/>
  <c r="U47" i="159"/>
  <c r="T47" i="159"/>
  <c r="I47" i="159" s="1"/>
  <c r="U47" i="160"/>
  <c r="T47" i="160"/>
  <c r="U47" i="107"/>
  <c r="T47" i="107"/>
  <c r="U47" i="176"/>
  <c r="T47" i="176"/>
  <c r="I47" i="176" s="1"/>
  <c r="U47" i="281"/>
  <c r="T47" i="281"/>
  <c r="I47" i="281" s="1"/>
  <c r="U47" i="332"/>
  <c r="T47" i="332"/>
  <c r="U47" i="25"/>
  <c r="U47" i="24"/>
  <c r="T47" i="24"/>
  <c r="I47" i="24" s="1"/>
  <c r="U47" i="116"/>
  <c r="T47" i="116"/>
  <c r="U47" i="285"/>
  <c r="T47" i="285"/>
  <c r="U47" i="272"/>
  <c r="T47" i="272"/>
  <c r="I47" i="272" s="1"/>
  <c r="T47" i="44"/>
  <c r="S47" i="44"/>
  <c r="I47" i="44" s="1"/>
  <c r="U47" i="87"/>
  <c r="T47" i="87"/>
  <c r="U47" i="287"/>
  <c r="T47" i="287"/>
  <c r="U47" i="276"/>
  <c r="T47" i="276"/>
  <c r="I47" i="276" s="1"/>
  <c r="S47" i="231"/>
  <c r="U47" i="231" s="1"/>
  <c r="U47" i="229"/>
  <c r="T47" i="229"/>
  <c r="U47" i="230"/>
  <c r="U47" i="326"/>
  <c r="T47" i="326"/>
  <c r="U47" i="47"/>
  <c r="T47" i="47"/>
  <c r="U47" i="248"/>
  <c r="T47" i="248"/>
  <c r="I47" i="248" s="1"/>
  <c r="U47" i="46"/>
  <c r="T47" i="46"/>
  <c r="I47" i="46" s="1"/>
  <c r="U47" i="239"/>
  <c r="T47" i="239"/>
  <c r="U47" i="243"/>
  <c r="T47" i="243"/>
  <c r="S47" i="247"/>
  <c r="R47" i="247"/>
  <c r="K49" i="247" s="1"/>
  <c r="Q47" i="247"/>
  <c r="U47" i="244"/>
  <c r="T47" i="244"/>
  <c r="U47" i="246"/>
  <c r="T47" i="246"/>
  <c r="T47" i="35"/>
  <c r="I47" i="339" l="1"/>
  <c r="N49" i="339"/>
  <c r="O52" i="339" s="1"/>
  <c r="N49" i="209"/>
  <c r="O52" i="209" s="1"/>
  <c r="I47" i="209"/>
  <c r="N49" i="143"/>
  <c r="O52" i="143" s="1"/>
  <c r="I47" i="143"/>
  <c r="N49" i="109"/>
  <c r="O52" i="109" s="1"/>
  <c r="I47" i="109"/>
  <c r="N49" i="284"/>
  <c r="O52" i="284" s="1"/>
  <c r="I47" i="284"/>
  <c r="N49" i="206"/>
  <c r="O52" i="206" s="1"/>
  <c r="I47" i="206"/>
  <c r="N49" i="47"/>
  <c r="O52" i="47" s="1"/>
  <c r="I47" i="47"/>
  <c r="N49" i="87"/>
  <c r="O52" i="87" s="1"/>
  <c r="I47" i="87"/>
  <c r="N49" i="197"/>
  <c r="O52" i="197" s="1"/>
  <c r="I47" i="197"/>
  <c r="N49" i="170"/>
  <c r="O52" i="170" s="1"/>
  <c r="I47" i="170"/>
  <c r="N49" i="191"/>
  <c r="O52" i="191" s="1"/>
  <c r="I47" i="191"/>
  <c r="N49" i="1"/>
  <c r="O52" i="1" s="1"/>
  <c r="I47" i="1"/>
  <c r="N49" i="314"/>
  <c r="O52" i="314" s="1"/>
  <c r="I47" i="314"/>
  <c r="N49" i="367"/>
  <c r="O52" i="367" s="1"/>
  <c r="I47" i="367"/>
  <c r="N49" i="361"/>
  <c r="O52" i="361" s="1"/>
  <c r="I47" i="361"/>
  <c r="N49" i="326"/>
  <c r="O52" i="326" s="1"/>
  <c r="I47" i="326"/>
  <c r="N49" i="116"/>
  <c r="O52" i="116" s="1"/>
  <c r="I47" i="116"/>
  <c r="N49" i="192"/>
  <c r="O52" i="192" s="1"/>
  <c r="I47" i="192"/>
  <c r="N49" i="196"/>
  <c r="O52" i="196" s="1"/>
  <c r="I47" i="196"/>
  <c r="N49" i="85"/>
  <c r="O52" i="85" s="1"/>
  <c r="I47" i="85"/>
  <c r="N49" i="101"/>
  <c r="O52" i="101" s="1"/>
  <c r="I47" i="101"/>
  <c r="N49" i="11"/>
  <c r="O52" i="11" s="1"/>
  <c r="I47" i="11"/>
  <c r="N49" i="61"/>
  <c r="O52" i="61" s="1"/>
  <c r="I47" i="61"/>
  <c r="N49" i="403"/>
  <c r="I47" i="403"/>
  <c r="N49" i="360"/>
  <c r="O52" i="360" s="1"/>
  <c r="I47" i="360"/>
  <c r="N49" i="148"/>
  <c r="O52" i="148" s="1"/>
  <c r="I47" i="148"/>
  <c r="N49" i="393"/>
  <c r="O52" i="393" s="1"/>
  <c r="I47" i="393"/>
  <c r="N49" i="319"/>
  <c r="O52" i="319" s="1"/>
  <c r="I47" i="319"/>
  <c r="N49" i="409"/>
  <c r="O52" i="409" s="1"/>
  <c r="I47" i="409"/>
  <c r="N49" i="261"/>
  <c r="O52" i="261" s="1"/>
  <c r="I47" i="261"/>
  <c r="N49" i="423"/>
  <c r="O52" i="423" s="1"/>
  <c r="I47" i="423"/>
  <c r="N49" i="422"/>
  <c r="O52" i="422" s="1"/>
  <c r="I47" i="422"/>
  <c r="N49" i="431"/>
  <c r="O52" i="431" s="1"/>
  <c r="I47" i="431"/>
  <c r="N49" i="243"/>
  <c r="O52" i="243" s="1"/>
  <c r="I47" i="243"/>
  <c r="N49" i="184"/>
  <c r="O52" i="184" s="1"/>
  <c r="I47" i="184"/>
  <c r="N49" i="135"/>
  <c r="O52" i="135" s="1"/>
  <c r="I47" i="135"/>
  <c r="N49" i="294"/>
  <c r="O52" i="294" s="1"/>
  <c r="I47" i="294"/>
  <c r="N49" i="239"/>
  <c r="O52" i="239" s="1"/>
  <c r="I47" i="239"/>
  <c r="N49" i="285"/>
  <c r="O52" i="285" s="1"/>
  <c r="I47" i="285"/>
  <c r="N49" i="332"/>
  <c r="O52" i="332" s="1"/>
  <c r="I47" i="332"/>
  <c r="N49" i="107"/>
  <c r="O52" i="107" s="1"/>
  <c r="I47" i="107"/>
  <c r="N49" i="346"/>
  <c r="O52" i="346" s="1"/>
  <c r="I47" i="346"/>
  <c r="N49" i="336"/>
  <c r="O52" i="336" s="1"/>
  <c r="I47" i="336"/>
  <c r="N49" i="400"/>
  <c r="O52" i="400" s="1"/>
  <c r="I47" i="400"/>
  <c r="N49" i="162"/>
  <c r="O52" i="162" s="1"/>
  <c r="I47" i="162"/>
  <c r="N49" i="414"/>
  <c r="O52" i="414" s="1"/>
  <c r="I47" i="414"/>
  <c r="N49" i="22"/>
  <c r="O52" i="22" s="1"/>
  <c r="I47" i="22"/>
  <c r="N49" i="293"/>
  <c r="O52" i="293" s="1"/>
  <c r="I47" i="293"/>
  <c r="N49" i="37"/>
  <c r="O52" i="37" s="1"/>
  <c r="I47" i="37"/>
  <c r="N49" i="246"/>
  <c r="O52" i="246" s="1"/>
  <c r="I47" i="246"/>
  <c r="N49" i="160"/>
  <c r="O52" i="160" s="1"/>
  <c r="I47" i="160"/>
  <c r="N49" i="292"/>
  <c r="O52" i="292" s="1"/>
  <c r="I47" i="292"/>
  <c r="N49" i="169"/>
  <c r="O52" i="169" s="1"/>
  <c r="I47" i="169"/>
  <c r="N49" i="203"/>
  <c r="O52" i="203" s="1"/>
  <c r="I47" i="203"/>
  <c r="N49" i="17"/>
  <c r="O52" i="17" s="1"/>
  <c r="I47" i="17"/>
  <c r="N49" i="195"/>
  <c r="O52" i="195" s="1"/>
  <c r="I47" i="195"/>
  <c r="N49" i="387"/>
  <c r="O52" i="387" s="1"/>
  <c r="I47" i="387"/>
  <c r="N49" i="298"/>
  <c r="O52" i="298" s="1"/>
  <c r="I47" i="298"/>
  <c r="N49" i="432"/>
  <c r="O52" i="432" s="1"/>
  <c r="I47" i="432"/>
  <c r="N49" i="371"/>
  <c r="O52" i="371" s="1"/>
  <c r="I47" i="371"/>
  <c r="N49" i="321"/>
  <c r="O52" i="321" s="1"/>
  <c r="I47" i="321"/>
  <c r="N49" i="328"/>
  <c r="O52" i="328" s="1"/>
  <c r="I47" i="328"/>
  <c r="N49" i="21"/>
  <c r="O52" i="21" s="1"/>
  <c r="I47" i="21"/>
  <c r="N49" i="20"/>
  <c r="O52" i="20" s="1"/>
  <c r="I47" i="20"/>
  <c r="N49" i="113"/>
  <c r="O52" i="113" s="1"/>
  <c r="I47" i="113"/>
  <c r="N49" i="389"/>
  <c r="O52" i="389" s="1"/>
  <c r="I47" i="389"/>
  <c r="N49" i="287"/>
  <c r="O52" i="287" s="1"/>
  <c r="I47" i="287"/>
  <c r="N49" i="265"/>
  <c r="O52" i="265" s="1"/>
  <c r="I47" i="265"/>
  <c r="N49" i="269"/>
  <c r="O52" i="269" s="1"/>
  <c r="I47" i="269"/>
  <c r="N49" i="201"/>
  <c r="O52" i="201" s="1"/>
  <c r="I47" i="201"/>
  <c r="N49" i="355"/>
  <c r="O52" i="355" s="1"/>
  <c r="I47" i="355"/>
  <c r="N49" i="349"/>
  <c r="O52" i="349" s="1"/>
  <c r="I47" i="349"/>
  <c r="N49" i="244"/>
  <c r="O52" i="244" s="1"/>
  <c r="I47" i="244"/>
  <c r="N49" i="229"/>
  <c r="O52" i="229" s="1"/>
  <c r="I47" i="229"/>
  <c r="N49" i="45"/>
  <c r="O52" i="45" s="1"/>
  <c r="I47" i="45"/>
  <c r="N49" i="74"/>
  <c r="O52" i="74" s="1"/>
  <c r="I47" i="74"/>
  <c r="N49" i="288"/>
  <c r="O52" i="288" s="1"/>
  <c r="I47" i="288"/>
  <c r="N49" i="397"/>
  <c r="O52" i="397" s="1"/>
  <c r="I47" i="397"/>
  <c r="N49" i="7"/>
  <c r="O52" i="7" s="1"/>
  <c r="I47" i="7"/>
  <c r="N49" i="362"/>
  <c r="O52" i="362" s="1"/>
  <c r="I47" i="362"/>
  <c r="N49" i="392"/>
  <c r="O52" i="392" s="1"/>
  <c r="I47" i="392"/>
  <c r="N49" i="27"/>
  <c r="O52" i="27" s="1"/>
  <c r="I47" i="27"/>
  <c r="N49" i="411"/>
  <c r="O52" i="411" s="1"/>
  <c r="I47" i="411"/>
  <c r="N49" i="382"/>
  <c r="O52" i="382" s="1"/>
  <c r="I47" i="382"/>
  <c r="O52" i="187"/>
  <c r="I47" i="187"/>
  <c r="N49" i="338"/>
  <c r="O52" i="338" s="1"/>
  <c r="I47" i="338"/>
  <c r="N49" i="105"/>
  <c r="O52" i="105" s="1"/>
  <c r="I47" i="105"/>
  <c r="N49" i="348"/>
  <c r="O52" i="348" s="1"/>
  <c r="I47" i="348"/>
  <c r="N49" i="190"/>
  <c r="O52" i="190" s="1"/>
  <c r="I47" i="190"/>
  <c r="N49" i="3"/>
  <c r="O52" i="3" s="1"/>
  <c r="I47" i="3"/>
  <c r="N49" i="425"/>
  <c r="O52" i="425" s="1"/>
  <c r="I47" i="425"/>
  <c r="N49" i="356"/>
  <c r="O52" i="356" s="1"/>
  <c r="I47" i="356"/>
  <c r="N49" i="320"/>
  <c r="O52" i="320" s="1"/>
  <c r="I47" i="320"/>
  <c r="N49" i="174"/>
  <c r="O52" i="174" s="1"/>
  <c r="I47" i="174"/>
  <c r="N49" i="142"/>
  <c r="O52" i="142" s="1"/>
  <c r="I47" i="142"/>
  <c r="N49" i="303"/>
  <c r="O52" i="303" s="1"/>
  <c r="I47" i="303"/>
  <c r="N49" i="89"/>
  <c r="O52" i="89" s="1"/>
  <c r="I47" i="89"/>
  <c r="N49" i="24"/>
  <c r="O52" i="24" s="1"/>
  <c r="N49" i="271"/>
  <c r="O52" i="271" s="1"/>
  <c r="N49" i="140"/>
  <c r="O52" i="140" s="1"/>
  <c r="N49" i="268"/>
  <c r="N49" i="181"/>
  <c r="O52" i="181" s="1"/>
  <c r="N49" i="324"/>
  <c r="O52" i="324" s="1"/>
  <c r="N49" i="262"/>
  <c r="O52" i="262" s="1"/>
  <c r="N49" i="102"/>
  <c r="O52" i="102" s="1"/>
  <c r="N49" i="337"/>
  <c r="O52" i="337" s="1"/>
  <c r="N49" i="318"/>
  <c r="O52" i="318" s="1"/>
  <c r="N49" i="342"/>
  <c r="O52" i="342" s="1"/>
  <c r="N49" i="323"/>
  <c r="O52" i="323" s="1"/>
  <c r="N49" i="53"/>
  <c r="O52" i="53" s="1"/>
  <c r="N49" i="421"/>
  <c r="O52" i="421" s="1"/>
  <c r="N49" i="164"/>
  <c r="O52" i="164" s="1"/>
  <c r="N49" i="8"/>
  <c r="O52" i="8" s="1"/>
  <c r="N49" i="48"/>
  <c r="O52" i="48" s="1"/>
  <c r="N49" i="193"/>
  <c r="O52" i="193" s="1"/>
  <c r="N49" i="233"/>
  <c r="O52" i="233" s="1"/>
  <c r="N49" i="354"/>
  <c r="O52" i="354" s="1"/>
  <c r="N49" i="353"/>
  <c r="O52" i="353" s="1"/>
  <c r="N49" i="351"/>
  <c r="O52" i="351" s="1"/>
  <c r="N49" i="424"/>
  <c r="O52" i="424" s="1"/>
  <c r="N49" i="46"/>
  <c r="O52" i="46" s="1"/>
  <c r="N49" i="281"/>
  <c r="O52" i="281" s="1"/>
  <c r="N49" i="159"/>
  <c r="O52" i="159" s="1"/>
  <c r="N49" i="254"/>
  <c r="O52" i="254" s="1"/>
  <c r="N49" i="200"/>
  <c r="O52" i="200" s="1"/>
  <c r="N49" i="198"/>
  <c r="O52" i="198" s="1"/>
  <c r="N49" i="283"/>
  <c r="O52" i="283" s="1"/>
  <c r="N49" i="34"/>
  <c r="O52" i="34" s="1"/>
  <c r="N49" i="344"/>
  <c r="O52" i="344" s="1"/>
  <c r="N49" i="350"/>
  <c r="O52" i="350" s="1"/>
  <c r="N49" i="290"/>
  <c r="O52" i="290" s="1"/>
  <c r="N49" i="31"/>
  <c r="O52" i="31" s="1"/>
  <c r="N49" i="204"/>
  <c r="O52" i="204" s="1"/>
  <c r="N49" i="347"/>
  <c r="O52" i="347" s="1"/>
  <c r="N49" i="249"/>
  <c r="O52" i="249" s="1"/>
  <c r="N49" i="384"/>
  <c r="O52" i="384" s="1"/>
  <c r="N49" i="16"/>
  <c r="O52" i="16" s="1"/>
  <c r="N49" i="299"/>
  <c r="O52" i="299" s="1"/>
  <c r="N49" i="15"/>
  <c r="O52" i="15" s="1"/>
  <c r="N49" i="334"/>
  <c r="O52" i="334" s="1"/>
  <c r="N49" i="402"/>
  <c r="N49" i="364"/>
  <c r="O52" i="364" s="1"/>
  <c r="N49" i="29"/>
  <c r="O52" i="29" s="1"/>
  <c r="N49" i="383"/>
  <c r="O52" i="383" s="1"/>
  <c r="N49" i="23"/>
  <c r="O52" i="23" s="1"/>
  <c r="N49" i="429"/>
  <c r="N49" i="207"/>
  <c r="O52" i="207" s="1"/>
  <c r="N49" i="329"/>
  <c r="O52" i="329" s="1"/>
  <c r="N49" i="257"/>
  <c r="O52" i="257" s="1"/>
  <c r="N49" i="152"/>
  <c r="O52" i="152" s="1"/>
  <c r="N49" i="202"/>
  <c r="O52" i="202" s="1"/>
  <c r="N49" i="386"/>
  <c r="O52" i="386" s="1"/>
  <c r="F47" i="247"/>
  <c r="G48" i="247" s="1"/>
  <c r="U49" i="247"/>
  <c r="L52" i="247" s="1"/>
  <c r="N49" i="276"/>
  <c r="O52" i="276" s="1"/>
  <c r="N49" i="272"/>
  <c r="O52" i="272" s="1"/>
  <c r="N49" i="270"/>
  <c r="O52" i="270" s="1"/>
  <c r="N49" i="263"/>
  <c r="O52" i="263" s="1"/>
  <c r="C49" i="144"/>
  <c r="D52" i="144" s="1"/>
  <c r="B49" i="144"/>
  <c r="N49" i="183"/>
  <c r="O52" i="183" s="1"/>
  <c r="F47" i="185"/>
  <c r="G48" i="185" s="1"/>
  <c r="U49" i="185"/>
  <c r="L52" i="185" s="1"/>
  <c r="N49" i="32"/>
  <c r="O52" i="32" s="1"/>
  <c r="N49" i="112"/>
  <c r="O52" i="112" s="1"/>
  <c r="N49" i="103"/>
  <c r="O52" i="103" s="1"/>
  <c r="N49" i="325"/>
  <c r="O52" i="325" s="1"/>
  <c r="N49" i="227"/>
  <c r="O52" i="227" s="1"/>
  <c r="N49" i="33"/>
  <c r="O52" i="33" s="1"/>
  <c r="N49" i="168"/>
  <c r="O52" i="168" s="1"/>
  <c r="N49" i="114"/>
  <c r="O52" i="114" s="1"/>
  <c r="N49" i="333"/>
  <c r="O52" i="333" s="1"/>
  <c r="N49" i="2"/>
  <c r="O52" i="2" s="1"/>
  <c r="N49" i="413"/>
  <c r="O52" i="413" s="1"/>
  <c r="N49" i="194"/>
  <c r="O52" i="194" s="1"/>
  <c r="N49" i="322"/>
  <c r="O52" i="322" s="1"/>
  <c r="N49" i="352"/>
  <c r="O52" i="352" s="1"/>
  <c r="N49" i="430"/>
  <c r="O52" i="430" s="1"/>
  <c r="N49" i="248"/>
  <c r="O52" i="248" s="1"/>
  <c r="N49" i="176"/>
  <c r="O52" i="176" s="1"/>
  <c r="B49" i="186"/>
  <c r="C49" i="186"/>
  <c r="D52" i="186" s="1"/>
  <c r="N49" i="104"/>
  <c r="O52" i="104" s="1"/>
  <c r="N49" i="280"/>
  <c r="O52" i="280" s="1"/>
  <c r="N49" i="345"/>
  <c r="O52" i="345" s="1"/>
  <c r="N49" i="295"/>
  <c r="O52" i="295" s="1"/>
  <c r="N49" i="340"/>
  <c r="O52" i="340" s="1"/>
  <c r="N49" i="301"/>
  <c r="O52" i="301" s="1"/>
  <c r="N49" i="297"/>
  <c r="O52" i="297" s="1"/>
  <c r="N49" i="289"/>
  <c r="O52" i="289" s="1"/>
  <c r="F47" i="388"/>
  <c r="G48" i="388" s="1"/>
  <c r="U49" i="388"/>
  <c r="L52" i="388" s="1"/>
  <c r="N49" i="363"/>
  <c r="N49" i="19"/>
  <c r="O52" i="19" s="1"/>
  <c r="N49" i="54"/>
  <c r="O52" i="54" s="1"/>
  <c r="N49" i="4"/>
  <c r="O52" i="4" s="1"/>
  <c r="N49" i="385"/>
  <c r="O52" i="385" s="1"/>
  <c r="F47" i="404"/>
  <c r="G48" i="404" s="1"/>
  <c r="U49" i="404"/>
  <c r="N49" i="420"/>
  <c r="O52" i="420" s="1"/>
  <c r="N49" i="368"/>
  <c r="O52" i="368" s="1"/>
  <c r="N49" i="359"/>
  <c r="O52" i="359" s="1"/>
  <c r="N49" i="28"/>
  <c r="O52" i="28" s="1"/>
  <c r="N49" i="97"/>
  <c r="O52" i="97" s="1"/>
  <c r="N49" i="88"/>
  <c r="O52" i="88" s="1"/>
  <c r="N49" i="52"/>
  <c r="O52" i="52" s="1"/>
  <c r="N49" i="433"/>
  <c r="O52" i="433" s="1"/>
  <c r="N49" i="394"/>
  <c r="O52" i="394" s="1"/>
  <c r="N49" i="12"/>
  <c r="O52" i="12" s="1"/>
  <c r="N49" i="5"/>
  <c r="O52" i="5" s="1"/>
  <c r="N49" i="153"/>
  <c r="O52" i="153" s="1"/>
  <c r="N49" i="13"/>
  <c r="O52" i="13" s="1"/>
  <c r="N49" i="43"/>
  <c r="O52" i="43" s="1"/>
  <c r="N49" i="75"/>
  <c r="O52" i="75" s="1"/>
  <c r="N49" i="9"/>
  <c r="O52" i="9" s="1"/>
  <c r="N49" i="391"/>
  <c r="O52" i="391" s="1"/>
  <c r="I47" i="35"/>
  <c r="N49" i="35"/>
  <c r="O52" i="35" s="1"/>
  <c r="G48" i="186"/>
  <c r="G48" i="144"/>
  <c r="T47" i="231"/>
  <c r="I47" i="231" s="1"/>
  <c r="T47" i="186"/>
  <c r="I47" i="186" s="1"/>
  <c r="T47" i="185"/>
  <c r="I47" i="185" s="1"/>
  <c r="T47" i="404"/>
  <c r="I47" i="404" s="1"/>
  <c r="T47" i="398"/>
  <c r="I47" i="398" s="1"/>
  <c r="T47" i="247"/>
  <c r="T47" i="144"/>
  <c r="T47" i="388"/>
  <c r="T47" i="253"/>
  <c r="T47" i="300"/>
  <c r="I47" i="408"/>
  <c r="T47" i="149"/>
  <c r="T47" i="395"/>
  <c r="U46" i="433"/>
  <c r="L49" i="433" s="1"/>
  <c r="T46" i="433"/>
  <c r="I46" i="433" s="1"/>
  <c r="K46" i="433"/>
  <c r="F46" i="433"/>
  <c r="G47" i="433" s="1"/>
  <c r="T45" i="433"/>
  <c r="I45" i="433" s="1"/>
  <c r="F45" i="433"/>
  <c r="T44" i="433"/>
  <c r="I44" i="433" s="1"/>
  <c r="J56" i="433" s="1"/>
  <c r="F44" i="433"/>
  <c r="H56" i="433" s="1"/>
  <c r="U43" i="433"/>
  <c r="T43" i="433"/>
  <c r="I43" i="433" s="1"/>
  <c r="J55" i="433" s="1"/>
  <c r="K43" i="433"/>
  <c r="F43" i="433"/>
  <c r="H55" i="433" s="1"/>
  <c r="T42" i="433"/>
  <c r="I42" i="433" s="1"/>
  <c r="J54" i="433" s="1"/>
  <c r="F42" i="433"/>
  <c r="H54" i="433" s="1"/>
  <c r="T41" i="433"/>
  <c r="I41" i="433" s="1"/>
  <c r="J53" i="433" s="1"/>
  <c r="F41" i="433"/>
  <c r="H53" i="433" s="1"/>
  <c r="U40" i="433"/>
  <c r="T40" i="433"/>
  <c r="I40" i="433" s="1"/>
  <c r="J52" i="433" s="1"/>
  <c r="K40" i="433"/>
  <c r="M52" i="433" s="1"/>
  <c r="F40" i="433"/>
  <c r="H52" i="433" s="1"/>
  <c r="T39" i="433"/>
  <c r="I39" i="433" s="1"/>
  <c r="J51" i="433" s="1"/>
  <c r="F39" i="433"/>
  <c r="H51" i="433" s="1"/>
  <c r="T38" i="433"/>
  <c r="I38" i="433" s="1"/>
  <c r="J50" i="433" s="1"/>
  <c r="F38" i="433"/>
  <c r="H50" i="433" s="1"/>
  <c r="U37" i="433"/>
  <c r="T37" i="433"/>
  <c r="I37" i="433" s="1"/>
  <c r="K37" i="433"/>
  <c r="M49" i="433" s="1"/>
  <c r="F37" i="433"/>
  <c r="T36" i="433"/>
  <c r="I36" i="433" s="1"/>
  <c r="J48" i="433" s="1"/>
  <c r="F36" i="433"/>
  <c r="H48" i="433" s="1"/>
  <c r="T35" i="433"/>
  <c r="I35" i="433" s="1"/>
  <c r="F35" i="433"/>
  <c r="H47" i="433" s="1"/>
  <c r="U34" i="433"/>
  <c r="T34" i="433"/>
  <c r="I34" i="433" s="1"/>
  <c r="K34" i="433"/>
  <c r="F34" i="433"/>
  <c r="T33" i="433"/>
  <c r="I33" i="433" s="1"/>
  <c r="F33" i="433"/>
  <c r="T32" i="433"/>
  <c r="I32" i="433" s="1"/>
  <c r="F32" i="433"/>
  <c r="U31" i="433"/>
  <c r="T31" i="433"/>
  <c r="I31" i="433" s="1"/>
  <c r="K31" i="433"/>
  <c r="F31" i="433"/>
  <c r="T30" i="433"/>
  <c r="I30" i="433" s="1"/>
  <c r="F30" i="433"/>
  <c r="T29" i="433"/>
  <c r="I29" i="433" s="1"/>
  <c r="F29" i="433"/>
  <c r="U28" i="433"/>
  <c r="T28" i="433"/>
  <c r="I28" i="433" s="1"/>
  <c r="K28" i="433"/>
  <c r="F28" i="433"/>
  <c r="T27" i="433"/>
  <c r="I27" i="433" s="1"/>
  <c r="F27" i="433"/>
  <c r="T26" i="433"/>
  <c r="I26" i="433" s="1"/>
  <c r="F26" i="433"/>
  <c r="U25" i="433"/>
  <c r="T25" i="433"/>
  <c r="I25" i="433" s="1"/>
  <c r="K25" i="433"/>
  <c r="F25" i="433"/>
  <c r="T24" i="433"/>
  <c r="I24" i="433" s="1"/>
  <c r="F24" i="433"/>
  <c r="T23" i="433"/>
  <c r="I23" i="433" s="1"/>
  <c r="F23" i="433"/>
  <c r="U22" i="433"/>
  <c r="T22" i="433"/>
  <c r="I22" i="433" s="1"/>
  <c r="K22" i="433"/>
  <c r="F22" i="433"/>
  <c r="T21" i="433"/>
  <c r="I21" i="433" s="1"/>
  <c r="F21" i="433"/>
  <c r="T20" i="433"/>
  <c r="I20" i="433" s="1"/>
  <c r="F20" i="433"/>
  <c r="U19" i="433"/>
  <c r="T19" i="433"/>
  <c r="I19" i="433" s="1"/>
  <c r="K19" i="433"/>
  <c r="F19" i="433"/>
  <c r="T18" i="433"/>
  <c r="I18" i="433" s="1"/>
  <c r="F18" i="433"/>
  <c r="T17" i="433"/>
  <c r="I17" i="433" s="1"/>
  <c r="F17" i="433"/>
  <c r="U16" i="433"/>
  <c r="T16" i="433"/>
  <c r="I16" i="433" s="1"/>
  <c r="K16" i="433"/>
  <c r="F16" i="433"/>
  <c r="T15" i="433"/>
  <c r="I15" i="433" s="1"/>
  <c r="F15" i="433"/>
  <c r="T14" i="433"/>
  <c r="I14" i="433" s="1"/>
  <c r="F14" i="433"/>
  <c r="U13" i="433"/>
  <c r="T13" i="433"/>
  <c r="I13" i="433" s="1"/>
  <c r="K13" i="433"/>
  <c r="F13" i="433"/>
  <c r="T12" i="433"/>
  <c r="I12" i="433" s="1"/>
  <c r="F12" i="433"/>
  <c r="T11" i="433"/>
  <c r="I11" i="433" s="1"/>
  <c r="F11" i="433"/>
  <c r="U10" i="433"/>
  <c r="T10" i="433"/>
  <c r="I10" i="433" s="1"/>
  <c r="K10" i="433"/>
  <c r="F10" i="433"/>
  <c r="T9" i="433"/>
  <c r="I9" i="433" s="1"/>
  <c r="F9" i="433"/>
  <c r="T8" i="433"/>
  <c r="I8" i="433" s="1"/>
  <c r="F8" i="433"/>
  <c r="U7" i="433"/>
  <c r="T7" i="433"/>
  <c r="I7" i="433" s="1"/>
  <c r="K7" i="433"/>
  <c r="F7" i="433"/>
  <c r="T6" i="433"/>
  <c r="I6" i="433" s="1"/>
  <c r="F6" i="433"/>
  <c r="T5" i="433"/>
  <c r="I5" i="433" s="1"/>
  <c r="F5" i="433"/>
  <c r="M46" i="433" l="1"/>
  <c r="M43" i="433"/>
  <c r="M55" i="433"/>
  <c r="J28" i="433"/>
  <c r="J25" i="433"/>
  <c r="J46" i="433"/>
  <c r="J43" i="433"/>
  <c r="J24" i="433"/>
  <c r="J26" i="433"/>
  <c r="J42" i="433"/>
  <c r="J27" i="433"/>
  <c r="J29" i="433"/>
  <c r="J45" i="433"/>
  <c r="J44" i="433"/>
  <c r="J23" i="433"/>
  <c r="J39" i="433"/>
  <c r="J21" i="433"/>
  <c r="J41" i="433"/>
  <c r="J31" i="433"/>
  <c r="J22" i="433"/>
  <c r="H27" i="433"/>
  <c r="J19" i="433"/>
  <c r="J40" i="433"/>
  <c r="J37" i="433"/>
  <c r="J49" i="433"/>
  <c r="G41" i="433"/>
  <c r="N49" i="253"/>
  <c r="O52" i="253" s="1"/>
  <c r="I47" i="253"/>
  <c r="N49" i="300"/>
  <c r="O52" i="300" s="1"/>
  <c r="I47" i="300"/>
  <c r="J18" i="433"/>
  <c r="J20" i="433"/>
  <c r="M22" i="433"/>
  <c r="J17" i="433"/>
  <c r="M31" i="433"/>
  <c r="J36" i="433"/>
  <c r="J38" i="433"/>
  <c r="J33" i="433"/>
  <c r="J35" i="433"/>
  <c r="N49" i="388"/>
  <c r="O52" i="388" s="1"/>
  <c r="I47" i="388"/>
  <c r="J47" i="433"/>
  <c r="J34" i="433"/>
  <c r="H46" i="433"/>
  <c r="N49" i="395"/>
  <c r="O52" i="395" s="1"/>
  <c r="I47" i="395"/>
  <c r="N49" i="144"/>
  <c r="O52" i="144" s="1"/>
  <c r="I47" i="144"/>
  <c r="J30" i="433"/>
  <c r="J32" i="433"/>
  <c r="M34" i="433"/>
  <c r="N49" i="149"/>
  <c r="O52" i="149" s="1"/>
  <c r="I47" i="149"/>
  <c r="N49" i="247"/>
  <c r="O52" i="247" s="1"/>
  <c r="I47" i="247"/>
  <c r="G29" i="433"/>
  <c r="N49" i="185"/>
  <c r="O52" i="185" s="1"/>
  <c r="G38" i="433"/>
  <c r="H49" i="433"/>
  <c r="N49" i="186"/>
  <c r="O52" i="186" s="1"/>
  <c r="B49" i="388"/>
  <c r="C49" i="388"/>
  <c r="D52" i="388" s="1"/>
  <c r="B49" i="247"/>
  <c r="C49" i="247"/>
  <c r="D52" i="247" s="1"/>
  <c r="N49" i="398"/>
  <c r="O52" i="398" s="1"/>
  <c r="N49" i="231"/>
  <c r="O52" i="231" s="1"/>
  <c r="N49" i="404"/>
  <c r="B49" i="404"/>
  <c r="C49" i="404"/>
  <c r="B49" i="185"/>
  <c r="C49" i="185"/>
  <c r="D52" i="185" s="1"/>
  <c r="L10" i="433"/>
  <c r="G46" i="433"/>
  <c r="B40" i="433"/>
  <c r="G12" i="433"/>
  <c r="G39" i="433"/>
  <c r="N28" i="433"/>
  <c r="B10" i="433"/>
  <c r="G11" i="433"/>
  <c r="G16" i="433"/>
  <c r="C25" i="433"/>
  <c r="G27" i="433"/>
  <c r="N13" i="433"/>
  <c r="N19" i="433"/>
  <c r="H24" i="433"/>
  <c r="H22" i="433"/>
  <c r="G10" i="433"/>
  <c r="N7" i="433"/>
  <c r="L16" i="433"/>
  <c r="N16" i="433"/>
  <c r="M28" i="433"/>
  <c r="H36" i="433"/>
  <c r="G37" i="433"/>
  <c r="L40" i="433"/>
  <c r="L43" i="433"/>
  <c r="M37" i="433"/>
  <c r="M40" i="433"/>
  <c r="N31" i="433"/>
  <c r="N40" i="433"/>
  <c r="C43" i="433"/>
  <c r="E55" i="433" s="1"/>
  <c r="N43" i="433"/>
  <c r="L46" i="433"/>
  <c r="C10" i="433"/>
  <c r="M19" i="433"/>
  <c r="G26" i="433"/>
  <c r="M25" i="433"/>
  <c r="H26" i="433"/>
  <c r="H31" i="433"/>
  <c r="G34" i="433"/>
  <c r="H34" i="433"/>
  <c r="H38" i="433"/>
  <c r="N10" i="433"/>
  <c r="G8" i="433"/>
  <c r="G9" i="433"/>
  <c r="L13" i="433"/>
  <c r="C19" i="433"/>
  <c r="N22" i="433"/>
  <c r="L22" i="433"/>
  <c r="G25" i="433"/>
  <c r="B28" i="433"/>
  <c r="L34" i="433"/>
  <c r="C37" i="433"/>
  <c r="E49" i="433" s="1"/>
  <c r="H43" i="433"/>
  <c r="B7" i="433"/>
  <c r="C7" i="433"/>
  <c r="B13" i="433"/>
  <c r="G13" i="433"/>
  <c r="C13" i="433"/>
  <c r="G17" i="433"/>
  <c r="G22" i="433"/>
  <c r="B25" i="433"/>
  <c r="H25" i="433"/>
  <c r="C31" i="433"/>
  <c r="B37" i="433"/>
  <c r="C22" i="433"/>
  <c r="B22" i="433"/>
  <c r="H20" i="433"/>
  <c r="G20" i="433"/>
  <c r="N46" i="433"/>
  <c r="O49" i="433" s="1"/>
  <c r="B16" i="433"/>
  <c r="H19" i="433"/>
  <c r="G7" i="433"/>
  <c r="G14" i="433"/>
  <c r="G15" i="433"/>
  <c r="C16" i="433"/>
  <c r="H18" i="433"/>
  <c r="G18" i="433"/>
  <c r="N25" i="433"/>
  <c r="H28" i="433"/>
  <c r="G28" i="433"/>
  <c r="C28" i="433"/>
  <c r="H30" i="433"/>
  <c r="B31" i="433"/>
  <c r="G30" i="433"/>
  <c r="N37" i="433"/>
  <c r="H40" i="433"/>
  <c r="G40" i="433"/>
  <c r="C40" i="433"/>
  <c r="E52" i="433" s="1"/>
  <c r="H42" i="433"/>
  <c r="B43" i="433"/>
  <c r="G42" i="433"/>
  <c r="N34" i="433"/>
  <c r="G6" i="433"/>
  <c r="L25" i="433"/>
  <c r="C34" i="433"/>
  <c r="B34" i="433"/>
  <c r="H32" i="433"/>
  <c r="G32" i="433"/>
  <c r="L37" i="433"/>
  <c r="C46" i="433"/>
  <c r="D49" i="433" s="1"/>
  <c r="B46" i="433"/>
  <c r="H44" i="433"/>
  <c r="G44" i="433"/>
  <c r="H17" i="433"/>
  <c r="B19" i="433"/>
  <c r="L28" i="433"/>
  <c r="H29" i="433"/>
  <c r="H37" i="433"/>
  <c r="H39" i="433"/>
  <c r="H41" i="433"/>
  <c r="G19" i="433"/>
  <c r="L19" i="433"/>
  <c r="G21" i="433"/>
  <c r="G23" i="433"/>
  <c r="G31" i="433"/>
  <c r="L31" i="433"/>
  <c r="G33" i="433"/>
  <c r="G35" i="433"/>
  <c r="G43" i="433"/>
  <c r="G45" i="433"/>
  <c r="H21" i="433"/>
  <c r="H23" i="433"/>
  <c r="G24" i="433"/>
  <c r="H33" i="433"/>
  <c r="H35" i="433"/>
  <c r="G36" i="433"/>
  <c r="H45" i="433"/>
  <c r="T46" i="432"/>
  <c r="I46" i="432" s="1"/>
  <c r="K46" i="432"/>
  <c r="F46" i="432"/>
  <c r="G47" i="432" s="1"/>
  <c r="T45" i="432"/>
  <c r="I45" i="432" s="1"/>
  <c r="F45" i="432"/>
  <c r="T44" i="432"/>
  <c r="I44" i="432" s="1"/>
  <c r="J56" i="432" s="1"/>
  <c r="F44" i="432"/>
  <c r="H56" i="432" s="1"/>
  <c r="T43" i="432"/>
  <c r="I43" i="432" s="1"/>
  <c r="J55" i="432" s="1"/>
  <c r="K43" i="432"/>
  <c r="F43" i="432"/>
  <c r="H55" i="432" s="1"/>
  <c r="T42" i="432"/>
  <c r="I42" i="432" s="1"/>
  <c r="J54" i="432" s="1"/>
  <c r="F42" i="432"/>
  <c r="H54" i="432" s="1"/>
  <c r="T41" i="432"/>
  <c r="I41" i="432" s="1"/>
  <c r="J53" i="432" s="1"/>
  <c r="F41" i="432"/>
  <c r="H53" i="432" s="1"/>
  <c r="T40" i="432"/>
  <c r="I40" i="432" s="1"/>
  <c r="J52" i="432" s="1"/>
  <c r="K40" i="432"/>
  <c r="M52" i="432" s="1"/>
  <c r="F40" i="432"/>
  <c r="H52" i="432" s="1"/>
  <c r="T39" i="432"/>
  <c r="I39" i="432" s="1"/>
  <c r="J51" i="432" s="1"/>
  <c r="F39" i="432"/>
  <c r="H51" i="432" s="1"/>
  <c r="T38" i="432"/>
  <c r="I38" i="432" s="1"/>
  <c r="J50" i="432" s="1"/>
  <c r="F38" i="432"/>
  <c r="H50" i="432" s="1"/>
  <c r="T37" i="432"/>
  <c r="I37" i="432" s="1"/>
  <c r="K37" i="432"/>
  <c r="M49" i="432" s="1"/>
  <c r="F37" i="432"/>
  <c r="H49" i="432" s="1"/>
  <c r="T36" i="432"/>
  <c r="I36" i="432" s="1"/>
  <c r="F36" i="432"/>
  <c r="H48" i="432" s="1"/>
  <c r="T35" i="432"/>
  <c r="I35" i="432" s="1"/>
  <c r="J47" i="432" s="1"/>
  <c r="F35" i="432"/>
  <c r="H47" i="432" s="1"/>
  <c r="T34" i="432"/>
  <c r="I34" i="432" s="1"/>
  <c r="K34" i="432"/>
  <c r="F34" i="432"/>
  <c r="T33" i="432"/>
  <c r="I33" i="432" s="1"/>
  <c r="F33" i="432"/>
  <c r="T32" i="432"/>
  <c r="I32" i="432" s="1"/>
  <c r="F32" i="432"/>
  <c r="T31" i="432"/>
  <c r="I31" i="432" s="1"/>
  <c r="K31" i="432"/>
  <c r="F31" i="432"/>
  <c r="T30" i="432"/>
  <c r="I30" i="432" s="1"/>
  <c r="F30" i="432"/>
  <c r="T29" i="432"/>
  <c r="I29" i="432" s="1"/>
  <c r="F29" i="432"/>
  <c r="T28" i="432"/>
  <c r="I28" i="432" s="1"/>
  <c r="K28" i="432"/>
  <c r="F28" i="432"/>
  <c r="T27" i="432"/>
  <c r="I27" i="432" s="1"/>
  <c r="F27" i="432"/>
  <c r="T26" i="432"/>
  <c r="I26" i="432" s="1"/>
  <c r="F26" i="432"/>
  <c r="T25" i="432"/>
  <c r="I25" i="432" s="1"/>
  <c r="K25" i="432"/>
  <c r="F25" i="432"/>
  <c r="T24" i="432"/>
  <c r="I24" i="432" s="1"/>
  <c r="F24" i="432"/>
  <c r="T23" i="432"/>
  <c r="I23" i="432" s="1"/>
  <c r="F23" i="432"/>
  <c r="T22" i="432"/>
  <c r="I22" i="432" s="1"/>
  <c r="K22" i="432"/>
  <c r="F22" i="432"/>
  <c r="T21" i="432"/>
  <c r="I21" i="432" s="1"/>
  <c r="F21" i="432"/>
  <c r="T20" i="432"/>
  <c r="I20" i="432" s="1"/>
  <c r="F20" i="432"/>
  <c r="T19" i="432"/>
  <c r="I19" i="432" s="1"/>
  <c r="K19" i="432"/>
  <c r="F19" i="432"/>
  <c r="T18" i="432"/>
  <c r="I18" i="432" s="1"/>
  <c r="F18" i="432"/>
  <c r="T17" i="432"/>
  <c r="I17" i="432" s="1"/>
  <c r="F17" i="432"/>
  <c r="T16" i="432"/>
  <c r="I16" i="432" s="1"/>
  <c r="K16" i="432"/>
  <c r="F16" i="432"/>
  <c r="T15" i="432"/>
  <c r="I15" i="432" s="1"/>
  <c r="F15" i="432"/>
  <c r="T14" i="432"/>
  <c r="I14" i="432" s="1"/>
  <c r="F14" i="432"/>
  <c r="T13" i="432"/>
  <c r="I13" i="432" s="1"/>
  <c r="K13" i="432"/>
  <c r="F13" i="432"/>
  <c r="T12" i="432"/>
  <c r="I12" i="432" s="1"/>
  <c r="F12" i="432"/>
  <c r="AC11" i="432"/>
  <c r="T11" i="432"/>
  <c r="F11" i="432"/>
  <c r="T10" i="432"/>
  <c r="I10" i="432" s="1"/>
  <c r="K10" i="432"/>
  <c r="F10" i="432"/>
  <c r="T9" i="432"/>
  <c r="I9" i="432" s="1"/>
  <c r="F9" i="432"/>
  <c r="T8" i="432"/>
  <c r="I8" i="432" s="1"/>
  <c r="F8" i="432"/>
  <c r="T7" i="432"/>
  <c r="I7" i="432" s="1"/>
  <c r="K7" i="432"/>
  <c r="F7" i="432"/>
  <c r="T6" i="432"/>
  <c r="I6" i="432" s="1"/>
  <c r="F6" i="432"/>
  <c r="T5" i="432"/>
  <c r="I5" i="432" s="1"/>
  <c r="F5" i="432"/>
  <c r="L49" i="432" l="1"/>
  <c r="M46" i="432"/>
  <c r="M43" i="432"/>
  <c r="M55" i="432"/>
  <c r="B31" i="432"/>
  <c r="J22" i="432"/>
  <c r="J29" i="432"/>
  <c r="J38" i="432"/>
  <c r="D25" i="433"/>
  <c r="J19" i="432"/>
  <c r="J21" i="432"/>
  <c r="J28" i="432"/>
  <c r="J30" i="432"/>
  <c r="J39" i="432"/>
  <c r="J46" i="432"/>
  <c r="O31" i="433"/>
  <c r="J32" i="432"/>
  <c r="J41" i="432"/>
  <c r="H44" i="432"/>
  <c r="N13" i="432"/>
  <c r="I11" i="432"/>
  <c r="J23" i="432" s="1"/>
  <c r="J18" i="432"/>
  <c r="J25" i="432"/>
  <c r="J27" i="432"/>
  <c r="J34" i="432"/>
  <c r="J36" i="432"/>
  <c r="J48" i="432"/>
  <c r="J43" i="432"/>
  <c r="J45" i="432"/>
  <c r="J20" i="432"/>
  <c r="M37" i="432"/>
  <c r="J37" i="432"/>
  <c r="J49" i="432"/>
  <c r="J24" i="432"/>
  <c r="J31" i="432"/>
  <c r="J33" i="432"/>
  <c r="J40" i="432"/>
  <c r="J42" i="432"/>
  <c r="J17" i="432"/>
  <c r="J26" i="432"/>
  <c r="J35" i="432"/>
  <c r="J44" i="432"/>
  <c r="O46" i="433"/>
  <c r="E25" i="433"/>
  <c r="E37" i="433"/>
  <c r="D13" i="433"/>
  <c r="O34" i="433"/>
  <c r="O25" i="433"/>
  <c r="O13" i="433"/>
  <c r="G9" i="432"/>
  <c r="D19" i="433"/>
  <c r="O22" i="433"/>
  <c r="O16" i="433"/>
  <c r="O19" i="433"/>
  <c r="D16" i="433"/>
  <c r="O10" i="433"/>
  <c r="E19" i="433"/>
  <c r="O43" i="433"/>
  <c r="D37" i="433"/>
  <c r="E43" i="433"/>
  <c r="E31" i="433"/>
  <c r="D10" i="433"/>
  <c r="O37" i="433"/>
  <c r="E46" i="433"/>
  <c r="D46" i="433"/>
  <c r="E34" i="433"/>
  <c r="D34" i="433"/>
  <c r="O40" i="433"/>
  <c r="E28" i="433"/>
  <c r="D28" i="433"/>
  <c r="E40" i="433"/>
  <c r="D40" i="433"/>
  <c r="D43" i="433"/>
  <c r="D31" i="433"/>
  <c r="E22" i="433"/>
  <c r="D22" i="433"/>
  <c r="O28" i="433"/>
  <c r="G15" i="432"/>
  <c r="L40" i="432"/>
  <c r="G37" i="432"/>
  <c r="G46" i="432"/>
  <c r="G42" i="432"/>
  <c r="N19" i="432"/>
  <c r="C22" i="432"/>
  <c r="B46" i="432"/>
  <c r="N16" i="432"/>
  <c r="N28" i="432"/>
  <c r="H43" i="432"/>
  <c r="G22" i="432"/>
  <c r="N25" i="432"/>
  <c r="N46" i="432"/>
  <c r="O49" i="432" s="1"/>
  <c r="C43" i="432"/>
  <c r="E55" i="432" s="1"/>
  <c r="H42" i="432"/>
  <c r="C46" i="432"/>
  <c r="D49" i="432" s="1"/>
  <c r="N43" i="432"/>
  <c r="C37" i="432"/>
  <c r="E49" i="432" s="1"/>
  <c r="H45" i="432"/>
  <c r="M34" i="432"/>
  <c r="M40" i="432"/>
  <c r="G30" i="432"/>
  <c r="L37" i="432"/>
  <c r="M19" i="432"/>
  <c r="G25" i="432"/>
  <c r="H34" i="432"/>
  <c r="H38" i="432"/>
  <c r="H39" i="432"/>
  <c r="G7" i="432"/>
  <c r="H27" i="432"/>
  <c r="L13" i="432"/>
  <c r="C16" i="432"/>
  <c r="H26" i="432"/>
  <c r="C7" i="432"/>
  <c r="C10" i="432"/>
  <c r="B10" i="432"/>
  <c r="G10" i="432"/>
  <c r="L16" i="432"/>
  <c r="H18" i="432"/>
  <c r="L19" i="432"/>
  <c r="H22" i="432"/>
  <c r="H46" i="432"/>
  <c r="G6" i="432"/>
  <c r="B7" i="432"/>
  <c r="N10" i="432"/>
  <c r="C13" i="432"/>
  <c r="C25" i="432"/>
  <c r="H25" i="432"/>
  <c r="G27" i="432"/>
  <c r="H28" i="432"/>
  <c r="N34" i="432"/>
  <c r="G34" i="432"/>
  <c r="G39" i="432"/>
  <c r="N40" i="432"/>
  <c r="L43" i="432"/>
  <c r="N7" i="432"/>
  <c r="L10" i="432"/>
  <c r="G11" i="432"/>
  <c r="G14" i="432"/>
  <c r="G16" i="432"/>
  <c r="M31" i="432"/>
  <c r="H21" i="432"/>
  <c r="M22" i="432"/>
  <c r="H23" i="432"/>
  <c r="L25" i="432"/>
  <c r="L28" i="432"/>
  <c r="C31" i="432"/>
  <c r="H30" i="432"/>
  <c r="H31" i="432"/>
  <c r="B34" i="432"/>
  <c r="H40" i="432"/>
  <c r="B16" i="432"/>
  <c r="M28" i="432"/>
  <c r="G18" i="432"/>
  <c r="B22" i="432"/>
  <c r="N22" i="432"/>
  <c r="N31" i="432"/>
  <c r="L31" i="432"/>
  <c r="H32" i="432"/>
  <c r="H33" i="432"/>
  <c r="C34" i="432"/>
  <c r="H35" i="432"/>
  <c r="G36" i="432"/>
  <c r="H37" i="432"/>
  <c r="B19" i="432"/>
  <c r="G20" i="432"/>
  <c r="G32" i="432"/>
  <c r="L34" i="432"/>
  <c r="G44" i="432"/>
  <c r="L46" i="432"/>
  <c r="G17" i="432"/>
  <c r="G19" i="432"/>
  <c r="G24" i="432"/>
  <c r="G29" i="432"/>
  <c r="G31" i="432"/>
  <c r="B40" i="432"/>
  <c r="G41" i="432"/>
  <c r="G43" i="432"/>
  <c r="G8" i="432"/>
  <c r="B13" i="432"/>
  <c r="H17" i="432"/>
  <c r="H19" i="432"/>
  <c r="G21" i="432"/>
  <c r="H24" i="432"/>
  <c r="B25" i="432"/>
  <c r="G26" i="432"/>
  <c r="C28" i="432"/>
  <c r="G28" i="432"/>
  <c r="H29" i="432"/>
  <c r="G33" i="432"/>
  <c r="H36" i="432"/>
  <c r="B37" i="432"/>
  <c r="G38" i="432"/>
  <c r="C40" i="432"/>
  <c r="E52" i="432" s="1"/>
  <c r="G40" i="432"/>
  <c r="H41" i="432"/>
  <c r="G45" i="432"/>
  <c r="L22" i="432"/>
  <c r="M25" i="432"/>
  <c r="B43" i="432"/>
  <c r="C19" i="432"/>
  <c r="H20" i="432"/>
  <c r="B28" i="432"/>
  <c r="N37" i="432"/>
  <c r="G12" i="432"/>
  <c r="G13" i="432"/>
  <c r="G23" i="432"/>
  <c r="G35" i="432"/>
  <c r="U46" i="202"/>
  <c r="U46" i="35"/>
  <c r="O13" i="432" l="1"/>
  <c r="O28" i="432"/>
  <c r="O46" i="432"/>
  <c r="E37" i="432"/>
  <c r="E43" i="432"/>
  <c r="D22" i="432"/>
  <c r="D25" i="432"/>
  <c r="E34" i="432"/>
  <c r="O31" i="432"/>
  <c r="O43" i="432"/>
  <c r="O19" i="432"/>
  <c r="O25" i="432"/>
  <c r="O22" i="432"/>
  <c r="O16" i="432"/>
  <c r="D10" i="432"/>
  <c r="D16" i="432"/>
  <c r="D13" i="432"/>
  <c r="D46" i="432"/>
  <c r="O37" i="432"/>
  <c r="O10" i="432"/>
  <c r="D34" i="432"/>
  <c r="E22" i="432"/>
  <c r="E25" i="432"/>
  <c r="E31" i="432"/>
  <c r="E46" i="432"/>
  <c r="D37" i="432"/>
  <c r="O34" i="432"/>
  <c r="D28" i="432"/>
  <c r="E28" i="432"/>
  <c r="D40" i="432"/>
  <c r="E40" i="432"/>
  <c r="D43" i="432"/>
  <c r="E19" i="432"/>
  <c r="D19" i="432"/>
  <c r="D31" i="432"/>
  <c r="O40" i="432"/>
  <c r="K7" i="87"/>
  <c r="K10" i="87"/>
  <c r="U48" i="195"/>
  <c r="Q46" i="142"/>
  <c r="U46" i="391"/>
  <c r="U46" i="392"/>
  <c r="F46" i="202"/>
  <c r="G47" i="202" s="1"/>
  <c r="F46" i="392"/>
  <c r="G47" i="392" s="1"/>
  <c r="F46" i="391"/>
  <c r="G47" i="391" s="1"/>
  <c r="F46" i="424"/>
  <c r="G47" i="424" s="1"/>
  <c r="F46" i="430"/>
  <c r="G47" i="430" s="1"/>
  <c r="F46" i="75"/>
  <c r="G47" i="75" s="1"/>
  <c r="F46" i="9"/>
  <c r="G47" i="9" s="1"/>
  <c r="F46" i="89"/>
  <c r="G47" i="89" s="1"/>
  <c r="F46" i="389"/>
  <c r="G47" i="389" s="1"/>
  <c r="F46" i="386"/>
  <c r="G47" i="386" s="1"/>
  <c r="F46" i="303"/>
  <c r="G47" i="303" s="1"/>
  <c r="F46" i="113"/>
  <c r="G47" i="113" s="1"/>
  <c r="F46" i="431"/>
  <c r="G47" i="431" s="1"/>
  <c r="F46" i="361"/>
  <c r="G47" i="361" s="1"/>
  <c r="F46" i="351"/>
  <c r="G47" i="351" s="1"/>
  <c r="F46" i="352"/>
  <c r="G47" i="352" s="1"/>
  <c r="F46" i="353"/>
  <c r="G47" i="353" s="1"/>
  <c r="F46" i="362"/>
  <c r="G47" i="362" s="1"/>
  <c r="F46" i="354"/>
  <c r="G47" i="354" s="1"/>
  <c r="F46" i="322"/>
  <c r="G47" i="322" s="1"/>
  <c r="F46" i="233"/>
  <c r="G47" i="233" s="1"/>
  <c r="F46" i="298"/>
  <c r="G47" i="298" s="1"/>
  <c r="F46" i="367"/>
  <c r="G47" i="367" s="1"/>
  <c r="F46" i="296"/>
  <c r="G47" i="296" s="1"/>
  <c r="F46" i="387"/>
  <c r="G47" i="387" s="1"/>
  <c r="F46" i="314"/>
  <c r="G47" i="314" s="1"/>
  <c r="F46" i="18"/>
  <c r="G47" i="18" s="1"/>
  <c r="F46" i="20"/>
  <c r="G47" i="20" s="1"/>
  <c r="F46" i="422"/>
  <c r="G47" i="422" s="1"/>
  <c r="F46" i="43"/>
  <c r="G47" i="43" s="1"/>
  <c r="F46" i="21"/>
  <c r="G47" i="21" s="1"/>
  <c r="F46" i="423"/>
  <c r="G47" i="423" s="1"/>
  <c r="F46" i="152"/>
  <c r="G47" i="152" s="1"/>
  <c r="F46" i="13"/>
  <c r="G47" i="13" s="1"/>
  <c r="F46" i="261"/>
  <c r="G47" i="261" s="1"/>
  <c r="F46" i="153"/>
  <c r="G47" i="153" s="1"/>
  <c r="F46" i="257"/>
  <c r="G47" i="257" s="1"/>
  <c r="F46" i="409"/>
  <c r="G47" i="409" s="1"/>
  <c r="F46" i="174"/>
  <c r="G47" i="174" s="1"/>
  <c r="F46" i="328"/>
  <c r="G47" i="328" s="1"/>
  <c r="F46" i="329"/>
  <c r="G47" i="329" s="1"/>
  <c r="F46" i="5"/>
  <c r="G47" i="5" s="1"/>
  <c r="F46" i="207"/>
  <c r="G47" i="207" s="1"/>
  <c r="F46" i="194"/>
  <c r="G47" i="194" s="1"/>
  <c r="F46" i="193"/>
  <c r="G47" i="193" s="1"/>
  <c r="F46" i="413"/>
  <c r="G47" i="413" s="1"/>
  <c r="F46" i="48"/>
  <c r="G47" i="48" s="1"/>
  <c r="F46" i="7"/>
  <c r="G47" i="7" s="1"/>
  <c r="F46" i="17"/>
  <c r="G47" i="17" s="1"/>
  <c r="F46" i="1"/>
  <c r="G47" i="1" s="1"/>
  <c r="F46" i="397"/>
  <c r="G47" i="397" s="1"/>
  <c r="F46" i="319"/>
  <c r="G47" i="319" s="1"/>
  <c r="F46" i="320"/>
  <c r="G47" i="320" s="1"/>
  <c r="F46" i="429"/>
  <c r="G47" i="429" s="1"/>
  <c r="F46" i="12"/>
  <c r="G47" i="12" s="1"/>
  <c r="F46" i="356"/>
  <c r="G47" i="356" s="1"/>
  <c r="F46" i="394"/>
  <c r="G47" i="394" s="1"/>
  <c r="F46" i="23"/>
  <c r="G47" i="23" s="1"/>
  <c r="F46" i="393"/>
  <c r="G47" i="393" s="1"/>
  <c r="F46" i="52"/>
  <c r="G47" i="52" s="1"/>
  <c r="F46" i="425"/>
  <c r="G47" i="425" s="1"/>
  <c r="F46" i="88"/>
  <c r="G47" i="88" s="1"/>
  <c r="F46" i="148"/>
  <c r="G47" i="148" s="1"/>
  <c r="F46" i="97"/>
  <c r="G47" i="97" s="1"/>
  <c r="F46" i="383"/>
  <c r="G47" i="383" s="1"/>
  <c r="F46" i="28"/>
  <c r="G47" i="28" s="1"/>
  <c r="F46" i="29"/>
  <c r="G47" i="29" s="1"/>
  <c r="F46" i="359"/>
  <c r="G47" i="359" s="1"/>
  <c r="F46" i="360"/>
  <c r="G47" i="360" s="1"/>
  <c r="F46" i="368"/>
  <c r="G47" i="368" s="1"/>
  <c r="F46" i="364"/>
  <c r="G47" i="364" s="1"/>
  <c r="F46" i="420"/>
  <c r="G47" i="420" s="1"/>
  <c r="F46" i="8"/>
  <c r="G47" i="8" s="1"/>
  <c r="F46" i="203"/>
  <c r="G47" i="203" s="1"/>
  <c r="F46" i="191"/>
  <c r="G47" i="191" s="1"/>
  <c r="F46" i="2"/>
  <c r="G47" i="2" s="1"/>
  <c r="F46" i="164"/>
  <c r="G47" i="164" s="1"/>
  <c r="F46" i="162"/>
  <c r="G47" i="162" s="1"/>
  <c r="F46" i="421"/>
  <c r="G47" i="421" s="1"/>
  <c r="F46" i="333"/>
  <c r="G47" i="333" s="1"/>
  <c r="F46" i="53"/>
  <c r="G47" i="53" s="1"/>
  <c r="F46" i="114"/>
  <c r="G47" i="114" s="1"/>
  <c r="F46" i="323"/>
  <c r="G47" i="323" s="1"/>
  <c r="F46" i="400"/>
  <c r="G47" i="400" s="1"/>
  <c r="F46" i="402"/>
  <c r="G47" i="402" s="1"/>
  <c r="F46" i="403"/>
  <c r="G47" i="403" s="1"/>
  <c r="F46" i="408"/>
  <c r="G47" i="408" s="1"/>
  <c r="F46" i="385"/>
  <c r="G47" i="385" s="1"/>
  <c r="F46" i="334"/>
  <c r="G47" i="334" s="1"/>
  <c r="F46" i="3"/>
  <c r="G47" i="3" s="1"/>
  <c r="F46" i="349"/>
  <c r="G47" i="349" s="1"/>
  <c r="F46" i="4"/>
  <c r="G47" i="4" s="1"/>
  <c r="F46" i="15"/>
  <c r="G47" i="15" s="1"/>
  <c r="F46" i="355"/>
  <c r="G47" i="355" s="1"/>
  <c r="F46" i="299"/>
  <c r="G47" i="299" s="1"/>
  <c r="F46" i="190"/>
  <c r="G47" i="190" s="1"/>
  <c r="F46" i="16"/>
  <c r="G47" i="16" s="1"/>
  <c r="F46" i="54"/>
  <c r="G47" i="54" s="1"/>
  <c r="F46" i="384"/>
  <c r="G47" i="384" s="1"/>
  <c r="F46" i="201"/>
  <c r="G47" i="201" s="1"/>
  <c r="F46" i="249"/>
  <c r="G47" i="249" s="1"/>
  <c r="F46" i="371"/>
  <c r="G47" i="371" s="1"/>
  <c r="F46" i="19"/>
  <c r="G47" i="19" s="1"/>
  <c r="F46" i="347"/>
  <c r="G47" i="347" s="1"/>
  <c r="F46" i="37"/>
  <c r="G47" i="37" s="1"/>
  <c r="F46" i="204"/>
  <c r="G47" i="204" s="1"/>
  <c r="F46" i="363"/>
  <c r="G47" i="363" s="1"/>
  <c r="F46" i="31"/>
  <c r="G47" i="31" s="1"/>
  <c r="F46" i="168"/>
  <c r="G47" i="168" s="1"/>
  <c r="F46" i="169"/>
  <c r="G47" i="169" s="1"/>
  <c r="F46" i="336"/>
  <c r="G47" i="336" s="1"/>
  <c r="F46" i="342"/>
  <c r="G47" i="342" s="1"/>
  <c r="F46" i="33"/>
  <c r="G47" i="33" s="1"/>
  <c r="F46" i="318"/>
  <c r="G47" i="318" s="1"/>
  <c r="F46" i="288"/>
  <c r="G47" i="288" s="1"/>
  <c r="F46" i="337"/>
  <c r="G47" i="337" s="1"/>
  <c r="F46" i="227"/>
  <c r="G47" i="227" s="1"/>
  <c r="F46" i="290"/>
  <c r="G47" i="290" s="1"/>
  <c r="F46" i="289"/>
  <c r="G47" i="289" s="1"/>
  <c r="F46" i="357"/>
  <c r="G47" i="357" s="1"/>
  <c r="F46" i="293"/>
  <c r="G47" i="293" s="1"/>
  <c r="F46" i="348"/>
  <c r="G47" i="348" s="1"/>
  <c r="F46" i="297"/>
  <c r="G47" i="297" s="1"/>
  <c r="F46" i="350"/>
  <c r="G47" i="350" s="1"/>
  <c r="F46" i="105"/>
  <c r="G47" i="105" s="1"/>
  <c r="F46" i="294"/>
  <c r="G47" i="294" s="1"/>
  <c r="F46" i="365"/>
  <c r="G47" i="365" s="1"/>
  <c r="F46" i="366"/>
  <c r="G47" i="366" s="1"/>
  <c r="F46" i="206"/>
  <c r="G47" i="206" s="1"/>
  <c r="F46" i="22"/>
  <c r="G47" i="22" s="1"/>
  <c r="F46" i="301"/>
  <c r="G47" i="301" s="1"/>
  <c r="F46" i="344"/>
  <c r="G47" i="344" s="1"/>
  <c r="F46" i="61"/>
  <c r="G47" i="61" s="1"/>
  <c r="F46" i="338"/>
  <c r="G47" i="338" s="1"/>
  <c r="F46" i="340"/>
  <c r="G47" i="340" s="1"/>
  <c r="F46" i="34"/>
  <c r="G47" i="34" s="1"/>
  <c r="F46" i="187"/>
  <c r="G47" i="187" s="1"/>
  <c r="F46" i="135"/>
  <c r="G47" i="135" s="1"/>
  <c r="F46" i="295"/>
  <c r="G47" i="295" s="1"/>
  <c r="F46" i="283"/>
  <c r="G47" i="283" s="1"/>
  <c r="F46" i="284"/>
  <c r="G47" i="284" s="1"/>
  <c r="F46" i="292"/>
  <c r="G47" i="292" s="1"/>
  <c r="F46" i="339"/>
  <c r="G47" i="339" s="1"/>
  <c r="F46" i="325"/>
  <c r="G47" i="325" s="1"/>
  <c r="F46" i="269"/>
  <c r="G47" i="269" s="1"/>
  <c r="F46" i="11"/>
  <c r="G47" i="11" s="1"/>
  <c r="F46" i="279"/>
  <c r="G47" i="279" s="1"/>
  <c r="F46" i="335"/>
  <c r="G47" i="335" s="1"/>
  <c r="F46" i="101"/>
  <c r="G47" i="101" s="1"/>
  <c r="F46" i="382"/>
  <c r="G47" i="382" s="1"/>
  <c r="F46" i="102"/>
  <c r="G47" i="102" s="1"/>
  <c r="F46" i="103"/>
  <c r="G47" i="103" s="1"/>
  <c r="F46" i="411"/>
  <c r="G47" i="411" s="1"/>
  <c r="F46" i="265"/>
  <c r="G47" i="265" s="1"/>
  <c r="F46" i="262"/>
  <c r="G47" i="262" s="1"/>
  <c r="F46" i="112"/>
  <c r="G47" i="112" s="1"/>
  <c r="F46" i="109"/>
  <c r="G47" i="109" s="1"/>
  <c r="F46" i="85"/>
  <c r="G47" i="85" s="1"/>
  <c r="F46" i="324"/>
  <c r="G47" i="324" s="1"/>
  <c r="F46" i="32"/>
  <c r="G47" i="32" s="1"/>
  <c r="F46" i="196"/>
  <c r="G47" i="196" s="1"/>
  <c r="F46" i="197"/>
  <c r="G47" i="197" s="1"/>
  <c r="F46" i="198"/>
  <c r="G47" i="198" s="1"/>
  <c r="F46" i="345"/>
  <c r="G47" i="345" s="1"/>
  <c r="F46" i="346"/>
  <c r="G47" i="346" s="1"/>
  <c r="F46" i="74"/>
  <c r="G47" i="74" s="1"/>
  <c r="F46" i="200"/>
  <c r="G47" i="200" s="1"/>
  <c r="F46" i="280"/>
  <c r="G47" i="280" s="1"/>
  <c r="F46" i="45"/>
  <c r="G47" i="45" s="1"/>
  <c r="F46" i="104"/>
  <c r="G47" i="104" s="1"/>
  <c r="F46" i="254"/>
  <c r="G47" i="254" s="1"/>
  <c r="F46" i="181"/>
  <c r="G47" i="181" s="1"/>
  <c r="F46" i="183"/>
  <c r="G47" i="183" s="1"/>
  <c r="F46" i="184"/>
  <c r="G47" i="184" s="1"/>
  <c r="F46" i="27"/>
  <c r="G47" i="27" s="1"/>
  <c r="F46" i="143"/>
  <c r="G47" i="143" s="1"/>
  <c r="F46" i="268"/>
  <c r="G47" i="268" s="1"/>
  <c r="F46" i="263"/>
  <c r="G47" i="263" s="1"/>
  <c r="F46" i="209"/>
  <c r="G47" i="209" s="1"/>
  <c r="F46" i="192"/>
  <c r="G47" i="192" s="1"/>
  <c r="F46" i="140"/>
  <c r="G47" i="140" s="1"/>
  <c r="F46" i="270"/>
  <c r="G47" i="270" s="1"/>
  <c r="F46" i="271"/>
  <c r="G47" i="271" s="1"/>
  <c r="F46" i="159"/>
  <c r="G47" i="159" s="1"/>
  <c r="F46" i="160"/>
  <c r="G47" i="160" s="1"/>
  <c r="F46" i="107"/>
  <c r="G47" i="107" s="1"/>
  <c r="F46" i="176"/>
  <c r="G47" i="176" s="1"/>
  <c r="F46" i="281"/>
  <c r="G47" i="281" s="1"/>
  <c r="F46" i="332"/>
  <c r="G47" i="332" s="1"/>
  <c r="F46" i="25"/>
  <c r="G47" i="25" s="1"/>
  <c r="F46" i="24"/>
  <c r="G47" i="24" s="1"/>
  <c r="F46" i="116"/>
  <c r="G47" i="116" s="1"/>
  <c r="F46" i="285"/>
  <c r="G47" i="285" s="1"/>
  <c r="F46" i="272"/>
  <c r="G47" i="272" s="1"/>
  <c r="F46" i="44"/>
  <c r="G47" i="44" s="1"/>
  <c r="F46" i="87"/>
  <c r="G47" i="87" s="1"/>
  <c r="F46" i="287"/>
  <c r="G47" i="287" s="1"/>
  <c r="F46" i="276"/>
  <c r="G47" i="276" s="1"/>
  <c r="F46" i="229"/>
  <c r="G47" i="229" s="1"/>
  <c r="F46" i="230"/>
  <c r="G47" i="230" s="1"/>
  <c r="F46" i="326"/>
  <c r="G47" i="326" s="1"/>
  <c r="F46" i="47"/>
  <c r="G47" i="47" s="1"/>
  <c r="F46" i="248"/>
  <c r="G47" i="248" s="1"/>
  <c r="F46" i="46"/>
  <c r="G47" i="46" s="1"/>
  <c r="F46" i="239"/>
  <c r="G47" i="239" s="1"/>
  <c r="F46" i="243"/>
  <c r="G47" i="243" s="1"/>
  <c r="F46" i="244"/>
  <c r="G47" i="244" s="1"/>
  <c r="F46" i="246"/>
  <c r="G47" i="246" s="1"/>
  <c r="F46" i="35"/>
  <c r="G47" i="35" s="1"/>
  <c r="F46" i="142" l="1"/>
  <c r="G47" i="142" s="1"/>
  <c r="U48" i="142"/>
  <c r="K46" i="392"/>
  <c r="L49" i="392" s="1"/>
  <c r="D233" i="417" l="1"/>
  <c r="D234" i="417"/>
  <c r="D235" i="417"/>
  <c r="D236" i="417"/>
  <c r="F233" i="417"/>
  <c r="F234" i="417"/>
  <c r="F235" i="417"/>
  <c r="U43" i="339"/>
  <c r="U40" i="339"/>
  <c r="K43" i="339"/>
  <c r="M55" i="339" s="1"/>
  <c r="K40" i="339"/>
  <c r="M52" i="339" s="1"/>
  <c r="R46" i="149"/>
  <c r="Q46" i="149"/>
  <c r="R46" i="395"/>
  <c r="Q46" i="395"/>
  <c r="S46" i="327"/>
  <c r="R46" i="327"/>
  <c r="Q46" i="327"/>
  <c r="S45" i="327"/>
  <c r="R45" i="327"/>
  <c r="Q45" i="327"/>
  <c r="S44" i="327"/>
  <c r="R44" i="327"/>
  <c r="Q44" i="327"/>
  <c r="S43" i="327"/>
  <c r="R43" i="327"/>
  <c r="Q43" i="327"/>
  <c r="S42" i="327"/>
  <c r="R42" i="327"/>
  <c r="Q42" i="327"/>
  <c r="S41" i="327"/>
  <c r="R41" i="327"/>
  <c r="Q41" i="327"/>
  <c r="S40" i="327"/>
  <c r="R40" i="327"/>
  <c r="Q40" i="327"/>
  <c r="S39" i="327"/>
  <c r="R39" i="327"/>
  <c r="Q39" i="327"/>
  <c r="S38" i="327"/>
  <c r="R38" i="327"/>
  <c r="Q38" i="327"/>
  <c r="S37" i="327"/>
  <c r="R37" i="327"/>
  <c r="Q37" i="327"/>
  <c r="S36" i="327"/>
  <c r="R36" i="327"/>
  <c r="Q36" i="327"/>
  <c r="S35" i="327"/>
  <c r="R35" i="327"/>
  <c r="Q35" i="327"/>
  <c r="S34" i="327"/>
  <c r="R34" i="327"/>
  <c r="Q34" i="327"/>
  <c r="S33" i="327"/>
  <c r="R33" i="327"/>
  <c r="Q33" i="327"/>
  <c r="S32" i="327"/>
  <c r="R32" i="327"/>
  <c r="Q32" i="327"/>
  <c r="S31" i="327"/>
  <c r="R31" i="327"/>
  <c r="Q31" i="327"/>
  <c r="S30" i="327"/>
  <c r="R30" i="327"/>
  <c r="Q30" i="327"/>
  <c r="S29" i="327"/>
  <c r="R29" i="327"/>
  <c r="Q29" i="327"/>
  <c r="S28" i="327"/>
  <c r="R28" i="327"/>
  <c r="Q28" i="327"/>
  <c r="S27" i="327"/>
  <c r="R27" i="327"/>
  <c r="Q27" i="327"/>
  <c r="S26" i="327"/>
  <c r="R26" i="327"/>
  <c r="Q26" i="327"/>
  <c r="S25" i="327"/>
  <c r="R25" i="327"/>
  <c r="Q25" i="327"/>
  <c r="S24" i="327"/>
  <c r="R24" i="327"/>
  <c r="Q24" i="327"/>
  <c r="S23" i="327"/>
  <c r="R23" i="327"/>
  <c r="Q23" i="327"/>
  <c r="S22" i="327"/>
  <c r="R22" i="327"/>
  <c r="Q22" i="327"/>
  <c r="S21" i="327"/>
  <c r="R21" i="327"/>
  <c r="Q21" i="327"/>
  <c r="S20" i="327"/>
  <c r="R20" i="327"/>
  <c r="Q20" i="327"/>
  <c r="S19" i="327"/>
  <c r="R19" i="327"/>
  <c r="Q19" i="327"/>
  <c r="S18" i="327"/>
  <c r="R18" i="327"/>
  <c r="Q18" i="327"/>
  <c r="S17" i="327"/>
  <c r="R17" i="327"/>
  <c r="Q17" i="327"/>
  <c r="S16" i="327"/>
  <c r="R16" i="327"/>
  <c r="Q16" i="327"/>
  <c r="S15" i="327"/>
  <c r="R15" i="327"/>
  <c r="Q15" i="327"/>
  <c r="S14" i="327"/>
  <c r="R14" i="327"/>
  <c r="Q14" i="327"/>
  <c r="S13" i="327"/>
  <c r="R13" i="327"/>
  <c r="Q13" i="327"/>
  <c r="S12" i="327"/>
  <c r="R12" i="327"/>
  <c r="Q12" i="327"/>
  <c r="S11" i="327"/>
  <c r="R11" i="327"/>
  <c r="Q11" i="327"/>
  <c r="S10" i="327"/>
  <c r="R10" i="327"/>
  <c r="Q10" i="327"/>
  <c r="S9" i="327"/>
  <c r="R9" i="327"/>
  <c r="Q9" i="327"/>
  <c r="S8" i="327"/>
  <c r="R8" i="327"/>
  <c r="Q8" i="327"/>
  <c r="S7" i="327"/>
  <c r="R7" i="327"/>
  <c r="Q7" i="327"/>
  <c r="S6" i="327"/>
  <c r="R6" i="327"/>
  <c r="Q6" i="327"/>
  <c r="S5" i="327"/>
  <c r="R5" i="327"/>
  <c r="Q5" i="327"/>
  <c r="L46" i="339" l="1"/>
  <c r="U47" i="327"/>
  <c r="F46" i="149"/>
  <c r="G47" i="149" s="1"/>
  <c r="U48" i="149"/>
  <c r="F46" i="395"/>
  <c r="G47" i="395" s="1"/>
  <c r="U48" i="395"/>
  <c r="F46" i="327"/>
  <c r="G47" i="327" s="1"/>
  <c r="U48" i="327"/>
  <c r="L43" i="339"/>
  <c r="F46" i="426"/>
  <c r="U46" i="431" l="1"/>
  <c r="L49" i="431" s="1"/>
  <c r="T46" i="431"/>
  <c r="I46" i="431" s="1"/>
  <c r="K46" i="431"/>
  <c r="T45" i="431"/>
  <c r="I45" i="431" s="1"/>
  <c r="F45" i="431"/>
  <c r="T44" i="431"/>
  <c r="I44" i="431" s="1"/>
  <c r="J56" i="431" s="1"/>
  <c r="F44" i="431"/>
  <c r="H56" i="431" s="1"/>
  <c r="U43" i="431"/>
  <c r="T43" i="431"/>
  <c r="I43" i="431" s="1"/>
  <c r="J55" i="431" s="1"/>
  <c r="K43" i="431"/>
  <c r="F43" i="431"/>
  <c r="H55" i="431" s="1"/>
  <c r="T42" i="431"/>
  <c r="I42" i="431" s="1"/>
  <c r="J54" i="431" s="1"/>
  <c r="F42" i="431"/>
  <c r="H54" i="431" s="1"/>
  <c r="T41" i="431"/>
  <c r="I41" i="431" s="1"/>
  <c r="J53" i="431" s="1"/>
  <c r="F41" i="431"/>
  <c r="H53" i="431" s="1"/>
  <c r="U40" i="431"/>
  <c r="T40" i="431"/>
  <c r="I40" i="431" s="1"/>
  <c r="J52" i="431" s="1"/>
  <c r="K40" i="431"/>
  <c r="M52" i="431" s="1"/>
  <c r="F40" i="431"/>
  <c r="H52" i="431" s="1"/>
  <c r="T39" i="431"/>
  <c r="I39" i="431" s="1"/>
  <c r="J51" i="431" s="1"/>
  <c r="F39" i="431"/>
  <c r="H51" i="431" s="1"/>
  <c r="T38" i="431"/>
  <c r="I38" i="431" s="1"/>
  <c r="J50" i="431" s="1"/>
  <c r="F38" i="431"/>
  <c r="H50" i="431" s="1"/>
  <c r="U37" i="431"/>
  <c r="T37" i="431"/>
  <c r="I37" i="431" s="1"/>
  <c r="K37" i="431"/>
  <c r="M49" i="431" s="1"/>
  <c r="F37" i="431"/>
  <c r="H49" i="431" s="1"/>
  <c r="T36" i="431"/>
  <c r="I36" i="431" s="1"/>
  <c r="F36" i="431"/>
  <c r="H48" i="431" s="1"/>
  <c r="T35" i="431"/>
  <c r="I35" i="431" s="1"/>
  <c r="F35" i="431"/>
  <c r="H47" i="431" s="1"/>
  <c r="U34" i="431"/>
  <c r="T34" i="431"/>
  <c r="I34" i="431" s="1"/>
  <c r="K34" i="431"/>
  <c r="F34" i="431"/>
  <c r="T33" i="431"/>
  <c r="I33" i="431" s="1"/>
  <c r="F33" i="431"/>
  <c r="T32" i="431"/>
  <c r="I32" i="431" s="1"/>
  <c r="F32" i="431"/>
  <c r="U31" i="431"/>
  <c r="T31" i="431"/>
  <c r="I31" i="431" s="1"/>
  <c r="K31" i="431"/>
  <c r="F31" i="431"/>
  <c r="T30" i="431"/>
  <c r="I30" i="431" s="1"/>
  <c r="F30" i="431"/>
  <c r="T29" i="431"/>
  <c r="I29" i="431" s="1"/>
  <c r="F29" i="431"/>
  <c r="U28" i="431"/>
  <c r="T28" i="431"/>
  <c r="I28" i="431" s="1"/>
  <c r="K28" i="431"/>
  <c r="F28" i="431"/>
  <c r="T27" i="431"/>
  <c r="I27" i="431" s="1"/>
  <c r="F27" i="431"/>
  <c r="T26" i="431"/>
  <c r="I26" i="431" s="1"/>
  <c r="F26" i="431"/>
  <c r="U25" i="431"/>
  <c r="T25" i="431"/>
  <c r="I25" i="431" s="1"/>
  <c r="K25" i="431"/>
  <c r="F25" i="431"/>
  <c r="T24" i="431"/>
  <c r="I24" i="431" s="1"/>
  <c r="F24" i="431"/>
  <c r="T23" i="431"/>
  <c r="I23" i="431" s="1"/>
  <c r="F23" i="431"/>
  <c r="U22" i="431"/>
  <c r="T22" i="431"/>
  <c r="I22" i="431" s="1"/>
  <c r="K22" i="431"/>
  <c r="F22" i="431"/>
  <c r="T21" i="431"/>
  <c r="I21" i="431" s="1"/>
  <c r="F21" i="431"/>
  <c r="T20" i="431"/>
  <c r="I20" i="431" s="1"/>
  <c r="F20" i="431"/>
  <c r="U19" i="431"/>
  <c r="T19" i="431"/>
  <c r="I19" i="431" s="1"/>
  <c r="K19" i="431"/>
  <c r="F19" i="431"/>
  <c r="T18" i="431"/>
  <c r="I18" i="431" s="1"/>
  <c r="F18" i="431"/>
  <c r="T17" i="431"/>
  <c r="I17" i="431" s="1"/>
  <c r="F17" i="431"/>
  <c r="U16" i="431"/>
  <c r="T16" i="431"/>
  <c r="I16" i="431" s="1"/>
  <c r="K16" i="431"/>
  <c r="F16" i="431"/>
  <c r="T15" i="431"/>
  <c r="I15" i="431" s="1"/>
  <c r="F15" i="431"/>
  <c r="T14" i="431"/>
  <c r="I14" i="431" s="1"/>
  <c r="F14" i="431"/>
  <c r="U13" i="431"/>
  <c r="T13" i="431"/>
  <c r="I13" i="431" s="1"/>
  <c r="K13" i="431"/>
  <c r="F13" i="431"/>
  <c r="T12" i="431"/>
  <c r="I12" i="431" s="1"/>
  <c r="F12" i="431"/>
  <c r="T11" i="431"/>
  <c r="I11" i="431" s="1"/>
  <c r="F11" i="431"/>
  <c r="U10" i="431"/>
  <c r="T10" i="431"/>
  <c r="I10" i="431" s="1"/>
  <c r="K10" i="431"/>
  <c r="F10" i="431"/>
  <c r="T9" i="431"/>
  <c r="I9" i="431" s="1"/>
  <c r="F9" i="431"/>
  <c r="T8" i="431"/>
  <c r="I8" i="431" s="1"/>
  <c r="F8" i="431"/>
  <c r="U7" i="431"/>
  <c r="T7" i="431"/>
  <c r="I7" i="431" s="1"/>
  <c r="K7" i="431"/>
  <c r="F7" i="431"/>
  <c r="T6" i="431"/>
  <c r="I6" i="431" s="1"/>
  <c r="F6" i="431"/>
  <c r="T5" i="431"/>
  <c r="I5" i="431" s="1"/>
  <c r="F5" i="431"/>
  <c r="M46" i="431" l="1"/>
  <c r="M43" i="431"/>
  <c r="M55" i="431"/>
  <c r="J22" i="431"/>
  <c r="J23" i="431"/>
  <c r="J31" i="431"/>
  <c r="J40" i="431"/>
  <c r="J19" i="431"/>
  <c r="H32" i="431"/>
  <c r="J20" i="431"/>
  <c r="J29" i="431"/>
  <c r="J38" i="431"/>
  <c r="J45" i="431"/>
  <c r="J18" i="431"/>
  <c r="J36" i="431"/>
  <c r="J48" i="431"/>
  <c r="J34" i="431"/>
  <c r="J27" i="431"/>
  <c r="J17" i="431"/>
  <c r="M31" i="431"/>
  <c r="J24" i="431"/>
  <c r="J26" i="431"/>
  <c r="M40" i="431"/>
  <c r="J33" i="431"/>
  <c r="J35" i="431"/>
  <c r="J47" i="431"/>
  <c r="J42" i="431"/>
  <c r="J44" i="431"/>
  <c r="J25" i="431"/>
  <c r="J43" i="431"/>
  <c r="J21" i="431"/>
  <c r="J30" i="431"/>
  <c r="J32" i="431"/>
  <c r="J39" i="431"/>
  <c r="J41" i="431"/>
  <c r="J46" i="431"/>
  <c r="J28" i="431"/>
  <c r="J37" i="431"/>
  <c r="J49" i="431"/>
  <c r="L46" i="431"/>
  <c r="G41" i="431"/>
  <c r="L43" i="431"/>
  <c r="N43" i="431"/>
  <c r="B19" i="431"/>
  <c r="H40" i="431"/>
  <c r="H44" i="431"/>
  <c r="C40" i="431"/>
  <c r="E52" i="431" s="1"/>
  <c r="G42" i="431"/>
  <c r="G45" i="431"/>
  <c r="G27" i="431"/>
  <c r="H30" i="431"/>
  <c r="M34" i="431"/>
  <c r="H37" i="431"/>
  <c r="B40" i="431"/>
  <c r="G18" i="431"/>
  <c r="G9" i="431"/>
  <c r="H17" i="431"/>
  <c r="G7" i="431"/>
  <c r="G15" i="431"/>
  <c r="H20" i="431"/>
  <c r="H22" i="431"/>
  <c r="M19" i="431"/>
  <c r="C25" i="431"/>
  <c r="G25" i="431"/>
  <c r="H36" i="431"/>
  <c r="N40" i="431"/>
  <c r="N31" i="431"/>
  <c r="L37" i="431"/>
  <c r="G39" i="431"/>
  <c r="G40" i="431"/>
  <c r="H41" i="431"/>
  <c r="B43" i="431"/>
  <c r="G43" i="431"/>
  <c r="C46" i="431"/>
  <c r="D49" i="431" s="1"/>
  <c r="C16" i="431"/>
  <c r="N19" i="431"/>
  <c r="L25" i="431"/>
  <c r="H27" i="431"/>
  <c r="G28" i="431"/>
  <c r="G29" i="431"/>
  <c r="H34" i="431"/>
  <c r="H39" i="431"/>
  <c r="H42" i="431"/>
  <c r="M22" i="431"/>
  <c r="G12" i="431"/>
  <c r="L19" i="431"/>
  <c r="C22" i="431"/>
  <c r="N25" i="431"/>
  <c r="H25" i="431"/>
  <c r="B28" i="431"/>
  <c r="H29" i="431"/>
  <c r="G30" i="431"/>
  <c r="B31" i="431"/>
  <c r="C37" i="431"/>
  <c r="E49" i="431" s="1"/>
  <c r="C10" i="431"/>
  <c r="N10" i="431"/>
  <c r="C13" i="431"/>
  <c r="G17" i="431"/>
  <c r="G20" i="431"/>
  <c r="N22" i="431"/>
  <c r="H24" i="431"/>
  <c r="N28" i="431"/>
  <c r="C28" i="431"/>
  <c r="G31" i="431"/>
  <c r="C34" i="431"/>
  <c r="G37" i="431"/>
  <c r="H46" i="431"/>
  <c r="N7" i="431"/>
  <c r="N16" i="431"/>
  <c r="G19" i="431"/>
  <c r="C19" i="431"/>
  <c r="H19" i="431"/>
  <c r="N13" i="431"/>
  <c r="B22" i="431"/>
  <c r="H21" i="431"/>
  <c r="G21" i="431"/>
  <c r="H33" i="431"/>
  <c r="L28" i="431"/>
  <c r="G32" i="431"/>
  <c r="G44" i="431"/>
  <c r="N46" i="431"/>
  <c r="B7" i="431"/>
  <c r="L13" i="431"/>
  <c r="L16" i="431"/>
  <c r="H18" i="431"/>
  <c r="H28" i="431"/>
  <c r="M28" i="431"/>
  <c r="C31" i="431"/>
  <c r="L31" i="431"/>
  <c r="G33" i="431"/>
  <c r="B34" i="431"/>
  <c r="N37" i="431"/>
  <c r="B46" i="431"/>
  <c r="G6" i="431"/>
  <c r="C7" i="431"/>
  <c r="B10" i="431"/>
  <c r="G10" i="431"/>
  <c r="B13" i="431"/>
  <c r="G13" i="431"/>
  <c r="B16" i="431"/>
  <c r="G16" i="431"/>
  <c r="G22" i="431"/>
  <c r="L22" i="431"/>
  <c r="H23" i="431"/>
  <c r="G24" i="431"/>
  <c r="B25" i="431"/>
  <c r="G26" i="431"/>
  <c r="H31" i="431"/>
  <c r="G34" i="431"/>
  <c r="L34" i="431"/>
  <c r="H35" i="431"/>
  <c r="G36" i="431"/>
  <c r="B37" i="431"/>
  <c r="G38" i="431"/>
  <c r="H43" i="431"/>
  <c r="H45" i="431"/>
  <c r="G46" i="431"/>
  <c r="M25" i="431"/>
  <c r="N34" i="431"/>
  <c r="M37" i="431"/>
  <c r="L40" i="431"/>
  <c r="L10" i="431"/>
  <c r="G23" i="431"/>
  <c r="G35" i="431"/>
  <c r="C43" i="431"/>
  <c r="E55" i="431" s="1"/>
  <c r="G8" i="431"/>
  <c r="G11" i="431"/>
  <c r="G14" i="431"/>
  <c r="H26" i="431"/>
  <c r="H38" i="431"/>
  <c r="U46" i="430"/>
  <c r="L49" i="430" s="1"/>
  <c r="T46" i="430"/>
  <c r="I46" i="430" s="1"/>
  <c r="K46" i="430"/>
  <c r="T45" i="430"/>
  <c r="I45" i="430" s="1"/>
  <c r="F45" i="430"/>
  <c r="T44" i="430"/>
  <c r="I44" i="430" s="1"/>
  <c r="J56" i="430" s="1"/>
  <c r="F44" i="430"/>
  <c r="H56" i="430" s="1"/>
  <c r="U43" i="430"/>
  <c r="T43" i="430"/>
  <c r="I43" i="430" s="1"/>
  <c r="J55" i="430" s="1"/>
  <c r="K43" i="430"/>
  <c r="F43" i="430"/>
  <c r="H55" i="430" s="1"/>
  <c r="T42" i="430"/>
  <c r="I42" i="430" s="1"/>
  <c r="J54" i="430" s="1"/>
  <c r="F42" i="430"/>
  <c r="H54" i="430" s="1"/>
  <c r="T41" i="430"/>
  <c r="I41" i="430" s="1"/>
  <c r="J53" i="430" s="1"/>
  <c r="F41" i="430"/>
  <c r="H53" i="430" s="1"/>
  <c r="U40" i="430"/>
  <c r="T40" i="430"/>
  <c r="I40" i="430" s="1"/>
  <c r="J52" i="430" s="1"/>
  <c r="K40" i="430"/>
  <c r="M52" i="430" s="1"/>
  <c r="F40" i="430"/>
  <c r="H52" i="430" s="1"/>
  <c r="T39" i="430"/>
  <c r="I39" i="430" s="1"/>
  <c r="J51" i="430" s="1"/>
  <c r="F39" i="430"/>
  <c r="H51" i="430" s="1"/>
  <c r="T38" i="430"/>
  <c r="I38" i="430" s="1"/>
  <c r="J50" i="430" s="1"/>
  <c r="F38" i="430"/>
  <c r="H50" i="430" s="1"/>
  <c r="U37" i="430"/>
  <c r="T37" i="430"/>
  <c r="I37" i="430" s="1"/>
  <c r="K37" i="430"/>
  <c r="M49" i="430" s="1"/>
  <c r="F37" i="430"/>
  <c r="H49" i="430" s="1"/>
  <c r="T36" i="430"/>
  <c r="I36" i="430" s="1"/>
  <c r="J48" i="430" s="1"/>
  <c r="F36" i="430"/>
  <c r="H48" i="430" s="1"/>
  <c r="T35" i="430"/>
  <c r="I35" i="430" s="1"/>
  <c r="F35" i="430"/>
  <c r="H47" i="430" s="1"/>
  <c r="U34" i="430"/>
  <c r="T34" i="430"/>
  <c r="I34" i="430" s="1"/>
  <c r="K34" i="430"/>
  <c r="F34" i="430"/>
  <c r="T33" i="430"/>
  <c r="I33" i="430" s="1"/>
  <c r="F33" i="430"/>
  <c r="T32" i="430"/>
  <c r="I32" i="430" s="1"/>
  <c r="F32" i="430"/>
  <c r="U31" i="430"/>
  <c r="T31" i="430"/>
  <c r="I31" i="430" s="1"/>
  <c r="K31" i="430"/>
  <c r="F31" i="430"/>
  <c r="T30" i="430"/>
  <c r="I30" i="430" s="1"/>
  <c r="F30" i="430"/>
  <c r="T29" i="430"/>
  <c r="I29" i="430" s="1"/>
  <c r="F29" i="430"/>
  <c r="U28" i="430"/>
  <c r="T28" i="430"/>
  <c r="I28" i="430" s="1"/>
  <c r="K28" i="430"/>
  <c r="F28" i="430"/>
  <c r="T27" i="430"/>
  <c r="I27" i="430" s="1"/>
  <c r="F27" i="430"/>
  <c r="T26" i="430"/>
  <c r="I26" i="430" s="1"/>
  <c r="F26" i="430"/>
  <c r="U25" i="430"/>
  <c r="T25" i="430"/>
  <c r="I25" i="430" s="1"/>
  <c r="K25" i="430"/>
  <c r="F25" i="430"/>
  <c r="T24" i="430"/>
  <c r="I24" i="430" s="1"/>
  <c r="F24" i="430"/>
  <c r="T23" i="430"/>
  <c r="I23" i="430" s="1"/>
  <c r="F23" i="430"/>
  <c r="U22" i="430"/>
  <c r="T22" i="430"/>
  <c r="I22" i="430" s="1"/>
  <c r="K22" i="430"/>
  <c r="F22" i="430"/>
  <c r="T21" i="430"/>
  <c r="I21" i="430" s="1"/>
  <c r="F21" i="430"/>
  <c r="T20" i="430"/>
  <c r="I20" i="430" s="1"/>
  <c r="F20" i="430"/>
  <c r="U19" i="430"/>
  <c r="T19" i="430"/>
  <c r="I19" i="430" s="1"/>
  <c r="K19" i="430"/>
  <c r="F19" i="430"/>
  <c r="T18" i="430"/>
  <c r="I18" i="430" s="1"/>
  <c r="F18" i="430"/>
  <c r="T17" i="430"/>
  <c r="I17" i="430" s="1"/>
  <c r="F17" i="430"/>
  <c r="U16" i="430"/>
  <c r="T16" i="430"/>
  <c r="I16" i="430" s="1"/>
  <c r="K16" i="430"/>
  <c r="F16" i="430"/>
  <c r="T15" i="430"/>
  <c r="I15" i="430" s="1"/>
  <c r="F15" i="430"/>
  <c r="T14" i="430"/>
  <c r="I14" i="430" s="1"/>
  <c r="F14" i="430"/>
  <c r="U13" i="430"/>
  <c r="T13" i="430"/>
  <c r="I13" i="430" s="1"/>
  <c r="K13" i="430"/>
  <c r="F13" i="430"/>
  <c r="T12" i="430"/>
  <c r="I12" i="430" s="1"/>
  <c r="F12" i="430"/>
  <c r="T11" i="430"/>
  <c r="I11" i="430" s="1"/>
  <c r="F11" i="430"/>
  <c r="U10" i="430"/>
  <c r="T10" i="430"/>
  <c r="I10" i="430" s="1"/>
  <c r="K10" i="430"/>
  <c r="F10" i="430"/>
  <c r="T9" i="430"/>
  <c r="I9" i="430" s="1"/>
  <c r="F9" i="430"/>
  <c r="T8" i="430"/>
  <c r="I8" i="430" s="1"/>
  <c r="F8" i="430"/>
  <c r="U7" i="430"/>
  <c r="T7" i="430"/>
  <c r="I7" i="430" s="1"/>
  <c r="K7" i="430"/>
  <c r="F7" i="430"/>
  <c r="T6" i="430"/>
  <c r="I6" i="430" s="1"/>
  <c r="F6" i="430"/>
  <c r="T5" i="430"/>
  <c r="I5" i="430" s="1"/>
  <c r="F5" i="430"/>
  <c r="M46" i="430" l="1"/>
  <c r="M43" i="430"/>
  <c r="M55" i="430"/>
  <c r="J29" i="430"/>
  <c r="J27" i="430"/>
  <c r="J28" i="430"/>
  <c r="J46" i="430"/>
  <c r="J24" i="430"/>
  <c r="J26" i="430"/>
  <c r="M28" i="430"/>
  <c r="J42" i="430"/>
  <c r="J44" i="430"/>
  <c r="J25" i="430"/>
  <c r="J43" i="430"/>
  <c r="J22" i="430"/>
  <c r="J40" i="430"/>
  <c r="J30" i="430"/>
  <c r="J32" i="430"/>
  <c r="J45" i="430"/>
  <c r="O22" i="431"/>
  <c r="J21" i="430"/>
  <c r="J23" i="430"/>
  <c r="J39" i="430"/>
  <c r="J41" i="430"/>
  <c r="J37" i="430"/>
  <c r="J49" i="430"/>
  <c r="J19" i="430"/>
  <c r="J20" i="430"/>
  <c r="J17" i="430"/>
  <c r="M31" i="430"/>
  <c r="J36" i="430"/>
  <c r="J38" i="430"/>
  <c r="J33" i="430"/>
  <c r="J35" i="430"/>
  <c r="J47" i="430"/>
  <c r="J18" i="430"/>
  <c r="M22" i="430"/>
  <c r="J34" i="430"/>
  <c r="J31" i="430"/>
  <c r="O46" i="431"/>
  <c r="O49" i="431"/>
  <c r="G32" i="430"/>
  <c r="O28" i="431"/>
  <c r="O43" i="431"/>
  <c r="G42" i="430"/>
  <c r="C46" i="430"/>
  <c r="D49" i="430" s="1"/>
  <c r="L43" i="430"/>
  <c r="G39" i="430"/>
  <c r="D40" i="431"/>
  <c r="D37" i="431"/>
  <c r="E46" i="431"/>
  <c r="O40" i="431"/>
  <c r="O25" i="431"/>
  <c r="N19" i="430"/>
  <c r="N28" i="430"/>
  <c r="N31" i="430"/>
  <c r="C37" i="430"/>
  <c r="E49" i="430" s="1"/>
  <c r="O13" i="431"/>
  <c r="C40" i="430"/>
  <c r="E52" i="430" s="1"/>
  <c r="L46" i="430"/>
  <c r="G18" i="430"/>
  <c r="C28" i="430"/>
  <c r="D46" i="431"/>
  <c r="M40" i="430"/>
  <c r="N43" i="430"/>
  <c r="H42" i="430"/>
  <c r="O34" i="431"/>
  <c r="D28" i="431"/>
  <c r="O10" i="431"/>
  <c r="E22" i="431"/>
  <c r="D10" i="431"/>
  <c r="D13" i="431"/>
  <c r="E25" i="431"/>
  <c r="O31" i="431"/>
  <c r="D34" i="431"/>
  <c r="D25" i="431"/>
  <c r="E34" i="431"/>
  <c r="E37" i="431"/>
  <c r="D16" i="431"/>
  <c r="E28" i="431"/>
  <c r="E40" i="431"/>
  <c r="E19" i="431"/>
  <c r="D19" i="431"/>
  <c r="O16" i="431"/>
  <c r="O19" i="431"/>
  <c r="E43" i="431"/>
  <c r="D43" i="431"/>
  <c r="O37" i="431"/>
  <c r="E31" i="431"/>
  <c r="D31" i="431"/>
  <c r="D22" i="431"/>
  <c r="H37" i="430"/>
  <c r="G40" i="430"/>
  <c r="N7" i="430"/>
  <c r="H33" i="430"/>
  <c r="L25" i="430"/>
  <c r="H36" i="430"/>
  <c r="C22" i="430"/>
  <c r="C25" i="430"/>
  <c r="G28" i="430"/>
  <c r="N13" i="430"/>
  <c r="C10" i="430"/>
  <c r="G12" i="430"/>
  <c r="H22" i="430"/>
  <c r="N40" i="430"/>
  <c r="B40" i="430"/>
  <c r="G41" i="430"/>
  <c r="B43" i="430"/>
  <c r="H39" i="430"/>
  <c r="N10" i="430"/>
  <c r="C13" i="430"/>
  <c r="N16" i="430"/>
  <c r="G17" i="430"/>
  <c r="N25" i="430"/>
  <c r="H25" i="430"/>
  <c r="H27" i="430"/>
  <c r="G29" i="430"/>
  <c r="B31" i="430"/>
  <c r="G7" i="430"/>
  <c r="M19" i="430"/>
  <c r="G9" i="430"/>
  <c r="L16" i="430"/>
  <c r="G15" i="430"/>
  <c r="H17" i="430"/>
  <c r="G25" i="430"/>
  <c r="B28" i="430"/>
  <c r="H29" i="430"/>
  <c r="G30" i="430"/>
  <c r="C34" i="430"/>
  <c r="N34" i="430"/>
  <c r="G37" i="430"/>
  <c r="H41" i="430"/>
  <c r="H43" i="430"/>
  <c r="B7" i="430"/>
  <c r="C16" i="430"/>
  <c r="B19" i="430"/>
  <c r="N22" i="430"/>
  <c r="M34" i="430"/>
  <c r="M25" i="430"/>
  <c r="H34" i="430"/>
  <c r="L37" i="430"/>
  <c r="H46" i="430"/>
  <c r="G20" i="430"/>
  <c r="G44" i="430"/>
  <c r="L10" i="430"/>
  <c r="L13" i="430"/>
  <c r="H18" i="430"/>
  <c r="C19" i="430"/>
  <c r="G19" i="430"/>
  <c r="L19" i="430"/>
  <c r="H20" i="430"/>
  <c r="G21" i="430"/>
  <c r="B22" i="430"/>
  <c r="G23" i="430"/>
  <c r="H28" i="430"/>
  <c r="H30" i="430"/>
  <c r="C31" i="430"/>
  <c r="G31" i="430"/>
  <c r="L31" i="430"/>
  <c r="H32" i="430"/>
  <c r="G33" i="430"/>
  <c r="B34" i="430"/>
  <c r="G35" i="430"/>
  <c r="N37" i="430"/>
  <c r="H40" i="430"/>
  <c r="C43" i="430"/>
  <c r="E55" i="430" s="1"/>
  <c r="G43" i="430"/>
  <c r="H44" i="430"/>
  <c r="G45" i="430"/>
  <c r="B46" i="430"/>
  <c r="M37" i="430"/>
  <c r="L40" i="430"/>
  <c r="N46" i="430"/>
  <c r="O49" i="430" s="1"/>
  <c r="G6" i="430"/>
  <c r="C7" i="430"/>
  <c r="B10" i="430"/>
  <c r="G10" i="430"/>
  <c r="B13" i="430"/>
  <c r="G13" i="430"/>
  <c r="B16" i="430"/>
  <c r="G16" i="430"/>
  <c r="H19" i="430"/>
  <c r="H21" i="430"/>
  <c r="G22" i="430"/>
  <c r="L22" i="430"/>
  <c r="H23" i="430"/>
  <c r="G24" i="430"/>
  <c r="B25" i="430"/>
  <c r="G26" i="430"/>
  <c r="H31" i="430"/>
  <c r="G34" i="430"/>
  <c r="L34" i="430"/>
  <c r="H35" i="430"/>
  <c r="G36" i="430"/>
  <c r="B37" i="430"/>
  <c r="G38" i="430"/>
  <c r="H45" i="430"/>
  <c r="G46" i="430"/>
  <c r="L28" i="430"/>
  <c r="G8" i="430"/>
  <c r="G11" i="430"/>
  <c r="G14" i="430"/>
  <c r="H24" i="430"/>
  <c r="H26" i="430"/>
  <c r="G27" i="430"/>
  <c r="H38" i="430"/>
  <c r="K46" i="391"/>
  <c r="L49" i="391" s="1"/>
  <c r="K43" i="391"/>
  <c r="K40" i="391"/>
  <c r="T41" i="314"/>
  <c r="I41" i="314" s="1"/>
  <c r="J53" i="314" s="1"/>
  <c r="T42" i="314"/>
  <c r="I42" i="314" s="1"/>
  <c r="J54" i="314" s="1"/>
  <c r="T43" i="314"/>
  <c r="I43" i="314" s="1"/>
  <c r="J55" i="314" s="1"/>
  <c r="U43" i="314"/>
  <c r="T44" i="314"/>
  <c r="I44" i="314" s="1"/>
  <c r="J56" i="314" s="1"/>
  <c r="T45" i="314"/>
  <c r="I45" i="314" s="1"/>
  <c r="T46" i="314"/>
  <c r="I46" i="314" s="1"/>
  <c r="U46" i="314"/>
  <c r="L49" i="314" s="1"/>
  <c r="U46" i="75"/>
  <c r="L49" i="75" s="1"/>
  <c r="U46" i="9"/>
  <c r="L49" i="9" s="1"/>
  <c r="U46" i="89"/>
  <c r="L49" i="89" s="1"/>
  <c r="U46" i="389"/>
  <c r="L49" i="389" s="1"/>
  <c r="U46" i="113"/>
  <c r="L49" i="113" s="1"/>
  <c r="U46" i="361"/>
  <c r="L49" i="361" s="1"/>
  <c r="U46" i="351"/>
  <c r="L49" i="351" s="1"/>
  <c r="U46" i="352"/>
  <c r="L49" i="352" s="1"/>
  <c r="U46" i="353"/>
  <c r="L49" i="353" s="1"/>
  <c r="U46" i="362"/>
  <c r="L49" i="362" s="1"/>
  <c r="U46" i="354"/>
  <c r="L49" i="354" s="1"/>
  <c r="U46" i="322"/>
  <c r="L49" i="322" s="1"/>
  <c r="U46" i="298"/>
  <c r="L49" i="298" s="1"/>
  <c r="U46" i="367"/>
  <c r="L49" i="367" s="1"/>
  <c r="U46" i="387"/>
  <c r="L49" i="387" s="1"/>
  <c r="U46" i="20"/>
  <c r="L49" i="20" s="1"/>
  <c r="U46" i="422"/>
  <c r="L49" i="422" s="1"/>
  <c r="U46" i="1"/>
  <c r="L49" i="1" s="1"/>
  <c r="U46" i="397"/>
  <c r="L49" i="397" s="1"/>
  <c r="U46" i="23"/>
  <c r="L49" i="23" s="1"/>
  <c r="U46" i="21"/>
  <c r="L49" i="21" s="1"/>
  <c r="U46" i="423"/>
  <c r="L49" i="423" s="1"/>
  <c r="U46" i="152"/>
  <c r="L49" i="152" s="1"/>
  <c r="U46" i="13"/>
  <c r="L49" i="13" s="1"/>
  <c r="U46" i="261"/>
  <c r="L49" i="261" s="1"/>
  <c r="U46" i="153"/>
  <c r="L49" i="153" s="1"/>
  <c r="U46" i="257"/>
  <c r="L49" i="257" s="1"/>
  <c r="U46" i="409"/>
  <c r="L49" i="409" s="1"/>
  <c r="U46" i="174"/>
  <c r="L49" i="174" s="1"/>
  <c r="U46" i="328"/>
  <c r="L49" i="328" s="1"/>
  <c r="U46" i="329"/>
  <c r="L49" i="329" s="1"/>
  <c r="U46" i="5"/>
  <c r="L49" i="5" s="1"/>
  <c r="U46" i="207"/>
  <c r="L49" i="207" s="1"/>
  <c r="U46" i="194"/>
  <c r="L49" i="194" s="1"/>
  <c r="U46" i="193"/>
  <c r="L49" i="193" s="1"/>
  <c r="U46" i="413"/>
  <c r="L49" i="413" s="1"/>
  <c r="U46" i="48"/>
  <c r="L49" i="48" s="1"/>
  <c r="U46" i="319"/>
  <c r="L49" i="319" s="1"/>
  <c r="U46" i="320"/>
  <c r="L49" i="320" s="1"/>
  <c r="U46" i="429"/>
  <c r="L49" i="429" s="1"/>
  <c r="U46" i="17"/>
  <c r="L49" i="17" s="1"/>
  <c r="U46" i="12"/>
  <c r="L49" i="12" s="1"/>
  <c r="U46" i="356"/>
  <c r="L49" i="356" s="1"/>
  <c r="U46" i="394"/>
  <c r="L49" i="394" s="1"/>
  <c r="U46" i="393"/>
  <c r="L49" i="393" s="1"/>
  <c r="U46" i="52"/>
  <c r="L49" i="52" s="1"/>
  <c r="U46" i="425"/>
  <c r="L49" i="425" s="1"/>
  <c r="U46" i="88"/>
  <c r="L49" i="88" s="1"/>
  <c r="U46" i="148"/>
  <c r="L49" i="148" s="1"/>
  <c r="U46" i="43"/>
  <c r="L49" i="43" s="1"/>
  <c r="U46" i="97"/>
  <c r="L49" i="97" s="1"/>
  <c r="U46" i="383"/>
  <c r="L49" i="383" s="1"/>
  <c r="U46" i="28"/>
  <c r="L49" i="28" s="1"/>
  <c r="U46" i="29"/>
  <c r="L49" i="29" s="1"/>
  <c r="U46" i="359"/>
  <c r="L49" i="359" s="1"/>
  <c r="U46" i="360"/>
  <c r="L49" i="360" s="1"/>
  <c r="U46" i="368"/>
  <c r="L49" i="368" s="1"/>
  <c r="U46" i="364"/>
  <c r="L49" i="364" s="1"/>
  <c r="U46" i="420"/>
  <c r="L49" i="420" s="1"/>
  <c r="U46" i="8"/>
  <c r="L49" i="8" s="1"/>
  <c r="U46" i="203"/>
  <c r="L49" i="203" s="1"/>
  <c r="U46" i="191"/>
  <c r="L49" i="191" s="1"/>
  <c r="T46" i="426"/>
  <c r="U46" i="233"/>
  <c r="L49" i="233" s="1"/>
  <c r="U46" i="2"/>
  <c r="L49" i="2" s="1"/>
  <c r="U46" i="164"/>
  <c r="L49" i="164" s="1"/>
  <c r="U46" i="162"/>
  <c r="L49" i="162" s="1"/>
  <c r="U46" i="421"/>
  <c r="L49" i="421" s="1"/>
  <c r="U46" i="333"/>
  <c r="L49" i="333" s="1"/>
  <c r="U46" i="53"/>
  <c r="L49" i="53" s="1"/>
  <c r="U46" i="386"/>
  <c r="L49" i="386" s="1"/>
  <c r="U46" i="303"/>
  <c r="L49" i="303" s="1"/>
  <c r="U46" i="114"/>
  <c r="L49" i="114" s="1"/>
  <c r="U46" i="323"/>
  <c r="L49" i="323" s="1"/>
  <c r="U46" i="400"/>
  <c r="L49" i="400" s="1"/>
  <c r="U46" i="402"/>
  <c r="L49" i="402" s="1"/>
  <c r="U46" i="403"/>
  <c r="L49" i="403" s="1"/>
  <c r="T46" i="408"/>
  <c r="U46" i="385"/>
  <c r="L49" i="385" s="1"/>
  <c r="U46" i="334"/>
  <c r="L49" i="334" s="1"/>
  <c r="U46" i="3"/>
  <c r="L49" i="3" s="1"/>
  <c r="U46" i="349"/>
  <c r="L49" i="349" s="1"/>
  <c r="U46" i="4"/>
  <c r="L49" i="4" s="1"/>
  <c r="U46" i="15"/>
  <c r="L49" i="15" s="1"/>
  <c r="U46" i="355"/>
  <c r="L49" i="355" s="1"/>
  <c r="U46" i="299"/>
  <c r="L49" i="299" s="1"/>
  <c r="U46" i="190"/>
  <c r="L49" i="190" s="1"/>
  <c r="U46" i="16"/>
  <c r="L49" i="16" s="1"/>
  <c r="U46" i="54"/>
  <c r="L49" i="54" s="1"/>
  <c r="U46" i="384"/>
  <c r="L49" i="384" s="1"/>
  <c r="U46" i="201"/>
  <c r="L49" i="201" s="1"/>
  <c r="U46" i="249"/>
  <c r="L49" i="249" s="1"/>
  <c r="U46" i="371"/>
  <c r="L49" i="371" s="1"/>
  <c r="U46" i="7"/>
  <c r="L49" i="7" s="1"/>
  <c r="U46" i="19"/>
  <c r="L49" i="19" s="1"/>
  <c r="U46" i="347"/>
  <c r="L49" i="347" s="1"/>
  <c r="U46" i="37"/>
  <c r="L49" i="37" s="1"/>
  <c r="U46" i="204"/>
  <c r="L49" i="204" s="1"/>
  <c r="U46" i="363"/>
  <c r="L49" i="363" s="1"/>
  <c r="U46" i="31"/>
  <c r="L49" i="31" s="1"/>
  <c r="U46" i="168"/>
  <c r="L49" i="168" s="1"/>
  <c r="U46" i="169"/>
  <c r="L49" i="169" s="1"/>
  <c r="U46" i="336"/>
  <c r="L49" i="336" s="1"/>
  <c r="U46" i="342"/>
  <c r="L49" i="342" s="1"/>
  <c r="U46" i="33"/>
  <c r="L49" i="33" s="1"/>
  <c r="U46" i="318"/>
  <c r="L49" i="318" s="1"/>
  <c r="U46" i="288"/>
  <c r="L49" i="288" s="1"/>
  <c r="U46" i="337"/>
  <c r="L49" i="337" s="1"/>
  <c r="U46" i="227"/>
  <c r="L49" i="227" s="1"/>
  <c r="U46" i="290"/>
  <c r="L49" i="290" s="1"/>
  <c r="U46" i="289"/>
  <c r="L49" i="289" s="1"/>
  <c r="T46" i="357"/>
  <c r="U46" i="293"/>
  <c r="L49" i="293" s="1"/>
  <c r="U46" i="348"/>
  <c r="L49" i="348" s="1"/>
  <c r="U46" i="297"/>
  <c r="L49" i="297" s="1"/>
  <c r="U46" i="350"/>
  <c r="L49" i="350" s="1"/>
  <c r="U46" i="105"/>
  <c r="L49" i="105" s="1"/>
  <c r="U46" i="294"/>
  <c r="L49" i="294" s="1"/>
  <c r="T46" i="365"/>
  <c r="T46" i="366"/>
  <c r="U46" i="206"/>
  <c r="L49" i="206" s="1"/>
  <c r="U46" i="22"/>
  <c r="L49" i="22" s="1"/>
  <c r="U46" i="301"/>
  <c r="L49" i="301" s="1"/>
  <c r="U46" i="344"/>
  <c r="L49" i="344" s="1"/>
  <c r="U46" i="61"/>
  <c r="L49" i="61" s="1"/>
  <c r="U46" i="338"/>
  <c r="L49" i="338" s="1"/>
  <c r="U46" i="340"/>
  <c r="L49" i="340" s="1"/>
  <c r="U46" i="34"/>
  <c r="L49" i="34" s="1"/>
  <c r="U46" i="135"/>
  <c r="L49" i="135" s="1"/>
  <c r="U46" i="295"/>
  <c r="L49" i="295" s="1"/>
  <c r="U46" i="283"/>
  <c r="L49" i="283" s="1"/>
  <c r="U46" i="284"/>
  <c r="L49" i="284" s="1"/>
  <c r="U46" i="292"/>
  <c r="L49" i="292" s="1"/>
  <c r="U46" i="325"/>
  <c r="L49" i="325" s="1"/>
  <c r="U46" i="269"/>
  <c r="L49" i="269" s="1"/>
  <c r="U46" i="11"/>
  <c r="L49" i="11" s="1"/>
  <c r="T46" i="279"/>
  <c r="T46" i="335"/>
  <c r="U46" i="101"/>
  <c r="L49" i="101" s="1"/>
  <c r="U46" i="382"/>
  <c r="L49" i="382" s="1"/>
  <c r="U46" i="102"/>
  <c r="L49" i="102" s="1"/>
  <c r="U46" i="103"/>
  <c r="L49" i="103" s="1"/>
  <c r="U46" i="411"/>
  <c r="L49" i="411" s="1"/>
  <c r="U46" i="265"/>
  <c r="L49" i="265" s="1"/>
  <c r="U46" i="262"/>
  <c r="L49" i="262" s="1"/>
  <c r="U46" i="112"/>
  <c r="L49" i="112" s="1"/>
  <c r="U46" i="109"/>
  <c r="L49" i="109" s="1"/>
  <c r="U46" i="85"/>
  <c r="L49" i="85" s="1"/>
  <c r="U46" i="324"/>
  <c r="L49" i="324" s="1"/>
  <c r="U46" i="32"/>
  <c r="L49" i="32" s="1"/>
  <c r="U46" i="196"/>
  <c r="L49" i="196" s="1"/>
  <c r="U46" i="198"/>
  <c r="L49" i="198" s="1"/>
  <c r="U46" i="345"/>
  <c r="L49" i="345" s="1"/>
  <c r="U46" i="346"/>
  <c r="L49" i="346" s="1"/>
  <c r="U46" i="74"/>
  <c r="L49" i="74" s="1"/>
  <c r="U46" i="200"/>
  <c r="L49" i="200" s="1"/>
  <c r="U46" i="280"/>
  <c r="L49" i="280" s="1"/>
  <c r="U46" i="45"/>
  <c r="L49" i="45" s="1"/>
  <c r="U46" i="104"/>
  <c r="L49" i="104" s="1"/>
  <c r="U46" i="254"/>
  <c r="L49" i="254" s="1"/>
  <c r="U46" i="181"/>
  <c r="L49" i="181" s="1"/>
  <c r="U46" i="183"/>
  <c r="L49" i="183" s="1"/>
  <c r="U46" i="184"/>
  <c r="L49" i="184" s="1"/>
  <c r="U46" i="27"/>
  <c r="L49" i="27" s="1"/>
  <c r="U46" i="143"/>
  <c r="L49" i="143" s="1"/>
  <c r="U46" i="268"/>
  <c r="L49" i="268" s="1"/>
  <c r="U46" i="263"/>
  <c r="L49" i="263" s="1"/>
  <c r="U46" i="209"/>
  <c r="L49" i="209" s="1"/>
  <c r="U46" i="192"/>
  <c r="L49" i="192" s="1"/>
  <c r="U46" i="140"/>
  <c r="L49" i="140" s="1"/>
  <c r="U46" i="270"/>
  <c r="L49" i="270" s="1"/>
  <c r="U46" i="271"/>
  <c r="L49" i="271" s="1"/>
  <c r="U46" i="159"/>
  <c r="L49" i="159" s="1"/>
  <c r="U46" i="160"/>
  <c r="L49" i="160" s="1"/>
  <c r="U46" i="107"/>
  <c r="L49" i="107" s="1"/>
  <c r="U46" i="176"/>
  <c r="L49" i="176" s="1"/>
  <c r="U46" i="281"/>
  <c r="L49" i="281" s="1"/>
  <c r="U46" i="332"/>
  <c r="L49" i="332" s="1"/>
  <c r="U46" i="25"/>
  <c r="L49" i="25" s="1"/>
  <c r="U46" i="24"/>
  <c r="L49" i="24" s="1"/>
  <c r="U46" i="116"/>
  <c r="L49" i="116" s="1"/>
  <c r="U46" i="285"/>
  <c r="L49" i="285" s="1"/>
  <c r="U46" i="272"/>
  <c r="L49" i="272" s="1"/>
  <c r="T46" i="44"/>
  <c r="U46" i="87"/>
  <c r="L49" i="87" s="1"/>
  <c r="U46" i="287"/>
  <c r="L49" i="287" s="1"/>
  <c r="U46" i="276"/>
  <c r="L49" i="276" s="1"/>
  <c r="U46" i="229"/>
  <c r="L49" i="229" s="1"/>
  <c r="U46" i="230"/>
  <c r="L49" i="230" s="1"/>
  <c r="U46" i="326"/>
  <c r="L49" i="326" s="1"/>
  <c r="U46" i="47"/>
  <c r="L49" i="47" s="1"/>
  <c r="U46" i="248"/>
  <c r="L49" i="248" s="1"/>
  <c r="U46" i="46"/>
  <c r="L49" i="46" s="1"/>
  <c r="U46" i="239"/>
  <c r="L49" i="239" s="1"/>
  <c r="U46" i="243"/>
  <c r="L49" i="243" s="1"/>
  <c r="U46" i="244"/>
  <c r="L49" i="244" s="1"/>
  <c r="U46" i="246"/>
  <c r="L49" i="246" s="1"/>
  <c r="U46" i="424"/>
  <c r="L49" i="424" s="1"/>
  <c r="K46" i="75"/>
  <c r="K46" i="89"/>
  <c r="K46" i="389"/>
  <c r="K46" i="113"/>
  <c r="K46" i="361"/>
  <c r="K46" i="351"/>
  <c r="K46" i="352"/>
  <c r="K46" i="353"/>
  <c r="K46" i="362"/>
  <c r="K46" i="354"/>
  <c r="K46" i="322"/>
  <c r="K46" i="298"/>
  <c r="K46" i="367"/>
  <c r="K46" i="387"/>
  <c r="K46" i="314"/>
  <c r="K46" i="18"/>
  <c r="K46" i="20"/>
  <c r="K46" i="422"/>
  <c r="K46" i="1"/>
  <c r="K46" i="397"/>
  <c r="K46" i="23"/>
  <c r="K46" i="21"/>
  <c r="K46" i="423"/>
  <c r="K46" i="152"/>
  <c r="K46" i="13"/>
  <c r="K46" i="261"/>
  <c r="K46" i="153"/>
  <c r="K46" i="257"/>
  <c r="K46" i="409"/>
  <c r="K46" i="174"/>
  <c r="K46" i="328"/>
  <c r="K46" i="329"/>
  <c r="K46" i="5"/>
  <c r="K46" i="207"/>
  <c r="K46" i="194"/>
  <c r="K46" i="193"/>
  <c r="K46" i="413"/>
  <c r="K46" i="48"/>
  <c r="K46" i="319"/>
  <c r="K46" i="320"/>
  <c r="K46" i="429"/>
  <c r="K46" i="17"/>
  <c r="K46" i="12"/>
  <c r="K46" i="356"/>
  <c r="K46" i="394"/>
  <c r="K46" i="393"/>
  <c r="K46" i="52"/>
  <c r="K46" i="425"/>
  <c r="K46" i="88"/>
  <c r="K46" i="148"/>
  <c r="K46" i="43"/>
  <c r="K46" i="97"/>
  <c r="K46" i="383"/>
  <c r="K46" i="28"/>
  <c r="K46" i="29"/>
  <c r="K46" i="359"/>
  <c r="K46" i="360"/>
  <c r="K46" i="368"/>
  <c r="K46" i="364"/>
  <c r="K46" i="420"/>
  <c r="K46" i="8"/>
  <c r="K46" i="203"/>
  <c r="J46" i="426"/>
  <c r="K46" i="233"/>
  <c r="K46" i="2"/>
  <c r="K46" i="164"/>
  <c r="K46" i="162"/>
  <c r="K46" i="421"/>
  <c r="K46" i="333"/>
  <c r="K46" i="53"/>
  <c r="K46" i="386"/>
  <c r="K46" i="303"/>
  <c r="K46" i="114"/>
  <c r="K46" i="323"/>
  <c r="K46" i="400"/>
  <c r="K46" i="402"/>
  <c r="K46" i="403"/>
  <c r="J46" i="408"/>
  <c r="K46" i="385"/>
  <c r="K46" i="334"/>
  <c r="K46" i="3"/>
  <c r="K46" i="349"/>
  <c r="K46" i="4"/>
  <c r="K46" i="15"/>
  <c r="K46" i="355"/>
  <c r="K46" i="299"/>
  <c r="K46" i="190"/>
  <c r="K46" i="16"/>
  <c r="K46" i="54"/>
  <c r="K46" i="384"/>
  <c r="K46" i="201"/>
  <c r="K46" i="249"/>
  <c r="K46" i="371"/>
  <c r="K46" i="7"/>
  <c r="K46" i="19"/>
  <c r="K46" i="347"/>
  <c r="K46" i="37"/>
  <c r="K46" i="204"/>
  <c r="K46" i="363"/>
  <c r="K46" i="31"/>
  <c r="K46" i="168"/>
  <c r="K46" i="169"/>
  <c r="K46" i="336"/>
  <c r="K46" i="342"/>
  <c r="K46" i="33"/>
  <c r="K46" i="318"/>
  <c r="K46" i="288"/>
  <c r="K46" i="337"/>
  <c r="K46" i="227"/>
  <c r="K46" i="290"/>
  <c r="K46" i="289"/>
  <c r="J46" i="357"/>
  <c r="K46" i="293"/>
  <c r="K46" i="348"/>
  <c r="K46" i="297"/>
  <c r="K46" i="350"/>
  <c r="K46" i="105"/>
  <c r="K46" i="294"/>
  <c r="J46" i="365"/>
  <c r="J46" i="366"/>
  <c r="K46" i="206"/>
  <c r="K46" i="22"/>
  <c r="K46" i="301"/>
  <c r="K46" i="344"/>
  <c r="K46" i="61"/>
  <c r="K46" i="338"/>
  <c r="K46" i="340"/>
  <c r="K46" i="34"/>
  <c r="K46" i="135"/>
  <c r="K46" i="295"/>
  <c r="K46" i="283"/>
  <c r="K46" i="284"/>
  <c r="K46" i="292"/>
  <c r="K46" i="325"/>
  <c r="K46" i="269"/>
  <c r="K46" i="11"/>
  <c r="J46" i="279"/>
  <c r="J46" i="335"/>
  <c r="K46" i="101"/>
  <c r="K46" i="382"/>
  <c r="K46" i="102"/>
  <c r="K46" i="103"/>
  <c r="K46" i="411"/>
  <c r="K46" i="265"/>
  <c r="K46" i="262"/>
  <c r="K46" i="112"/>
  <c r="K46" i="109"/>
  <c r="K46" i="85"/>
  <c r="K46" i="324"/>
  <c r="K46" i="32"/>
  <c r="K46" i="196"/>
  <c r="L46" i="197"/>
  <c r="K46" i="197"/>
  <c r="K46" i="198"/>
  <c r="K46" i="345"/>
  <c r="K46" i="346"/>
  <c r="K46" i="74"/>
  <c r="K46" i="200"/>
  <c r="K46" i="280"/>
  <c r="K46" i="45"/>
  <c r="K46" i="104"/>
  <c r="K46" i="254"/>
  <c r="K46" i="181"/>
  <c r="K46" i="183"/>
  <c r="K46" i="184"/>
  <c r="K46" i="27"/>
  <c r="K46" i="143"/>
  <c r="K46" i="268"/>
  <c r="K46" i="263"/>
  <c r="K46" i="209"/>
  <c r="K46" i="192"/>
  <c r="K46" i="140"/>
  <c r="K46" i="270"/>
  <c r="K46" i="271"/>
  <c r="K46" i="159"/>
  <c r="K46" i="160"/>
  <c r="K46" i="107"/>
  <c r="K46" i="176"/>
  <c r="K46" i="281"/>
  <c r="K46" i="332"/>
  <c r="K46" i="25"/>
  <c r="K46" i="24"/>
  <c r="K46" i="116"/>
  <c r="K46" i="285"/>
  <c r="K46" i="272"/>
  <c r="J46" i="44"/>
  <c r="K46" i="87"/>
  <c r="K46" i="287"/>
  <c r="K46" i="276"/>
  <c r="K46" i="229"/>
  <c r="K46" i="230"/>
  <c r="K46" i="326"/>
  <c r="K46" i="47"/>
  <c r="K46" i="248"/>
  <c r="K46" i="46"/>
  <c r="K46" i="239"/>
  <c r="K46" i="243"/>
  <c r="K46" i="244"/>
  <c r="K46" i="246"/>
  <c r="K46" i="9"/>
  <c r="K46" i="424"/>
  <c r="K46" i="202"/>
  <c r="K46" i="35"/>
  <c r="L49" i="202" l="1"/>
  <c r="L49" i="35"/>
  <c r="D37" i="430"/>
  <c r="O43" i="430"/>
  <c r="O34" i="430"/>
  <c r="D46" i="430"/>
  <c r="E37" i="430"/>
  <c r="D40" i="430"/>
  <c r="D25" i="430"/>
  <c r="E40" i="430"/>
  <c r="O31" i="430"/>
  <c r="O22" i="430"/>
  <c r="O46" i="430"/>
  <c r="E28" i="430"/>
  <c r="O16" i="430"/>
  <c r="O10" i="430"/>
  <c r="D10" i="430"/>
  <c r="E34" i="430"/>
  <c r="D28" i="430"/>
  <c r="E22" i="430"/>
  <c r="D16" i="430"/>
  <c r="D13" i="430"/>
  <c r="O13" i="430"/>
  <c r="O37" i="430"/>
  <c r="O40" i="430"/>
  <c r="O25" i="430"/>
  <c r="O28" i="430"/>
  <c r="E25" i="430"/>
  <c r="E46" i="430"/>
  <c r="O19" i="430"/>
  <c r="E31" i="430"/>
  <c r="D31" i="430"/>
  <c r="E43" i="430"/>
  <c r="D43" i="430"/>
  <c r="E19" i="430"/>
  <c r="D19" i="430"/>
  <c r="D22" i="430"/>
  <c r="L46" i="391"/>
  <c r="D34" i="430"/>
  <c r="L43" i="391"/>
  <c r="N46" i="314"/>
  <c r="O49" i="314" s="1"/>
  <c r="L46" i="314"/>
  <c r="T46" i="202"/>
  <c r="I46" i="202" s="1"/>
  <c r="T46" i="392"/>
  <c r="I46" i="392" s="1"/>
  <c r="T46" i="391"/>
  <c r="I46" i="391" s="1"/>
  <c r="T46" i="298"/>
  <c r="I46" i="298" s="1"/>
  <c r="T46" i="367"/>
  <c r="I46" i="367" s="1"/>
  <c r="I46" i="296"/>
  <c r="T46" i="9"/>
  <c r="I46" i="9" s="1"/>
  <c r="T46" i="424"/>
  <c r="I46" i="424" s="1"/>
  <c r="S46" i="142"/>
  <c r="R46" i="142"/>
  <c r="T46" i="20"/>
  <c r="I46" i="20" s="1"/>
  <c r="T46" i="422"/>
  <c r="I46" i="422" s="1"/>
  <c r="T46" i="89"/>
  <c r="I46" i="89" s="1"/>
  <c r="T46" i="389"/>
  <c r="I46" i="389" s="1"/>
  <c r="T46" i="75"/>
  <c r="I46" i="75" s="1"/>
  <c r="S46" i="398"/>
  <c r="R46" i="398"/>
  <c r="Q46" i="398"/>
  <c r="T46" i="1"/>
  <c r="I46" i="1" s="1"/>
  <c r="T46" i="397"/>
  <c r="I46" i="397" s="1"/>
  <c r="T46" i="23"/>
  <c r="I46" i="23" s="1"/>
  <c r="T46" i="21"/>
  <c r="I46" i="21" s="1"/>
  <c r="T46" i="174"/>
  <c r="I46" i="174" s="1"/>
  <c r="T46" i="328"/>
  <c r="I46" i="328" s="1"/>
  <c r="T46" i="329"/>
  <c r="I46" i="329" s="1"/>
  <c r="T46" i="5"/>
  <c r="I46" i="5" s="1"/>
  <c r="T46" i="207"/>
  <c r="I46" i="207" s="1"/>
  <c r="T46" i="387"/>
  <c r="I46" i="387" s="1"/>
  <c r="F46" i="195"/>
  <c r="G47" i="195" s="1"/>
  <c r="T46" i="194"/>
  <c r="I46" i="194" s="1"/>
  <c r="T46" i="193"/>
  <c r="I46" i="193" s="1"/>
  <c r="S46" i="321"/>
  <c r="R46" i="321"/>
  <c r="Q46" i="321"/>
  <c r="T46" i="319"/>
  <c r="I46" i="319" s="1"/>
  <c r="T46" i="320"/>
  <c r="I46" i="320" s="1"/>
  <c r="T46" i="429"/>
  <c r="I46" i="429" s="1"/>
  <c r="T46" i="17"/>
  <c r="I46" i="17" s="1"/>
  <c r="T46" i="12"/>
  <c r="I46" i="12" s="1"/>
  <c r="T46" i="356"/>
  <c r="I46" i="356" s="1"/>
  <c r="S46" i="395"/>
  <c r="T46" i="394"/>
  <c r="I46" i="394" s="1"/>
  <c r="T46" i="393"/>
  <c r="I46" i="393" s="1"/>
  <c r="T46" i="413"/>
  <c r="I46" i="413" s="1"/>
  <c r="T46" i="48"/>
  <c r="I46" i="48" s="1"/>
  <c r="T46" i="52"/>
  <c r="I46" i="52" s="1"/>
  <c r="T46" i="425"/>
  <c r="I46" i="425" s="1"/>
  <c r="S46" i="149"/>
  <c r="T46" i="88"/>
  <c r="I46" i="88" s="1"/>
  <c r="T46" i="148"/>
  <c r="I46" i="148" s="1"/>
  <c r="T46" i="423"/>
  <c r="I46" i="423" s="1"/>
  <c r="T46" i="152"/>
  <c r="I46" i="152" s="1"/>
  <c r="T46" i="13"/>
  <c r="I46" i="13" s="1"/>
  <c r="T46" i="261"/>
  <c r="I46" i="261" s="1"/>
  <c r="T46" i="153"/>
  <c r="I46" i="153" s="1"/>
  <c r="T46" i="257"/>
  <c r="I46" i="257" s="1"/>
  <c r="T46" i="409"/>
  <c r="I46" i="409" s="1"/>
  <c r="T46" i="43"/>
  <c r="I46" i="43" s="1"/>
  <c r="T46" i="97"/>
  <c r="I46" i="97" s="1"/>
  <c r="T46" i="383"/>
  <c r="I46" i="383" s="1"/>
  <c r="S46" i="253"/>
  <c r="R46" i="253"/>
  <c r="Q46" i="253"/>
  <c r="T46" i="28"/>
  <c r="I46" i="28" s="1"/>
  <c r="T46" i="29"/>
  <c r="I46" i="29" s="1"/>
  <c r="T46" i="359"/>
  <c r="I46" i="359" s="1"/>
  <c r="T46" i="360"/>
  <c r="I46" i="360" s="1"/>
  <c r="T46" i="368"/>
  <c r="I46" i="368" s="1"/>
  <c r="T46" i="364"/>
  <c r="I46" i="364" s="1"/>
  <c r="T46" i="420"/>
  <c r="I46" i="420" s="1"/>
  <c r="S46" i="414"/>
  <c r="R46" i="414"/>
  <c r="Q46" i="414"/>
  <c r="T46" i="8"/>
  <c r="I46" i="8" s="1"/>
  <c r="T46" i="203"/>
  <c r="I46" i="203" s="1"/>
  <c r="T46" i="191"/>
  <c r="I46" i="191" s="1"/>
  <c r="S46" i="426"/>
  <c r="I46" i="426" s="1"/>
  <c r="T46" i="113"/>
  <c r="I46" i="113" s="1"/>
  <c r="T46" i="361"/>
  <c r="I46" i="361" s="1"/>
  <c r="T46" i="351"/>
  <c r="I46" i="351" s="1"/>
  <c r="T46" i="352"/>
  <c r="I46" i="352" s="1"/>
  <c r="T46" i="353"/>
  <c r="I46" i="353" s="1"/>
  <c r="T46" i="362"/>
  <c r="I46" i="362" s="1"/>
  <c r="T46" i="354"/>
  <c r="I46" i="354" s="1"/>
  <c r="T46" i="322"/>
  <c r="I46" i="322" s="1"/>
  <c r="T46" i="233"/>
  <c r="I46" i="233" s="1"/>
  <c r="T46" i="2"/>
  <c r="I46" i="2" s="1"/>
  <c r="T46" i="164"/>
  <c r="I46" i="164" s="1"/>
  <c r="T46" i="162"/>
  <c r="I46" i="162" s="1"/>
  <c r="T46" i="421"/>
  <c r="I46" i="421" s="1"/>
  <c r="T46" i="333"/>
  <c r="I46" i="333" s="1"/>
  <c r="T46" i="53"/>
  <c r="I46" i="53" s="1"/>
  <c r="T46" i="386"/>
  <c r="I46" i="386" s="1"/>
  <c r="T46" i="303"/>
  <c r="I46" i="303" s="1"/>
  <c r="T46" i="114"/>
  <c r="I46" i="114" s="1"/>
  <c r="T46" i="323"/>
  <c r="I46" i="323" s="1"/>
  <c r="T46" i="400"/>
  <c r="I46" i="400" s="1"/>
  <c r="T46" i="402"/>
  <c r="I46" i="402" s="1"/>
  <c r="T46" i="403"/>
  <c r="I46" i="403" s="1"/>
  <c r="S46" i="408"/>
  <c r="I46" i="408" s="1"/>
  <c r="T46" i="385"/>
  <c r="I46" i="385" s="1"/>
  <c r="T46" i="334"/>
  <c r="I46" i="334" s="1"/>
  <c r="T46" i="3"/>
  <c r="I46" i="3" s="1"/>
  <c r="T46" i="349"/>
  <c r="I46" i="349" s="1"/>
  <c r="T46" i="4"/>
  <c r="I46" i="4" s="1"/>
  <c r="T46" i="15"/>
  <c r="I46" i="15" s="1"/>
  <c r="T46" i="355"/>
  <c r="I46" i="355" s="1"/>
  <c r="S46" i="300"/>
  <c r="R46" i="300"/>
  <c r="Q46" i="300"/>
  <c r="T46" i="299"/>
  <c r="I46" i="299" s="1"/>
  <c r="T46" i="190"/>
  <c r="I46" i="190" s="1"/>
  <c r="T46" i="16"/>
  <c r="I46" i="16" s="1"/>
  <c r="T46" i="54"/>
  <c r="I46" i="54" s="1"/>
  <c r="I46" i="384"/>
  <c r="T46" i="201"/>
  <c r="I46" i="201" s="1"/>
  <c r="T46" i="249"/>
  <c r="I46" i="249" s="1"/>
  <c r="T46" i="371"/>
  <c r="I46" i="371" s="1"/>
  <c r="T46" i="7"/>
  <c r="I46" i="7" s="1"/>
  <c r="T46" i="19"/>
  <c r="I46" i="19" s="1"/>
  <c r="T46" i="347"/>
  <c r="I46" i="347" s="1"/>
  <c r="T46" i="37"/>
  <c r="I46" i="37" s="1"/>
  <c r="T46" i="204"/>
  <c r="I46" i="204" s="1"/>
  <c r="T46" i="363"/>
  <c r="I46" i="363" s="1"/>
  <c r="T46" i="31"/>
  <c r="I46" i="31" s="1"/>
  <c r="S46" i="170"/>
  <c r="R46" i="170"/>
  <c r="Q46" i="170"/>
  <c r="T46" i="168"/>
  <c r="I46" i="168" s="1"/>
  <c r="T46" i="169"/>
  <c r="I46" i="169" s="1"/>
  <c r="T46" i="336"/>
  <c r="I46" i="336" s="1"/>
  <c r="T46" i="342"/>
  <c r="I46" i="342" s="1"/>
  <c r="T46" i="33"/>
  <c r="I46" i="33" s="1"/>
  <c r="T46" i="318"/>
  <c r="I46" i="318" s="1"/>
  <c r="T46" i="288"/>
  <c r="I46" i="288" s="1"/>
  <c r="T46" i="337"/>
  <c r="I46" i="337" s="1"/>
  <c r="T46" i="227"/>
  <c r="I46" i="227" s="1"/>
  <c r="S46" i="388"/>
  <c r="R46" i="388"/>
  <c r="Q46" i="388"/>
  <c r="T46" i="290"/>
  <c r="I46" i="290" s="1"/>
  <c r="T46" i="289"/>
  <c r="I46" i="289" s="1"/>
  <c r="S46" i="357"/>
  <c r="I46" i="357" s="1"/>
  <c r="T46" i="293"/>
  <c r="I46" i="293" s="1"/>
  <c r="T46" i="348"/>
  <c r="I46" i="348" s="1"/>
  <c r="T46" i="297"/>
  <c r="I46" i="297" s="1"/>
  <c r="T46" i="350"/>
  <c r="I46" i="350" s="1"/>
  <c r="T46" i="105"/>
  <c r="I46" i="105" s="1"/>
  <c r="T46" i="294"/>
  <c r="I46" i="294" s="1"/>
  <c r="S46" i="365"/>
  <c r="I46" i="365" s="1"/>
  <c r="S46" i="366"/>
  <c r="I46" i="366" s="1"/>
  <c r="T46" i="206"/>
  <c r="I46" i="206" s="1"/>
  <c r="T46" i="22"/>
  <c r="I46" i="22" s="1"/>
  <c r="T46" i="301"/>
  <c r="I46" i="301" s="1"/>
  <c r="T46" i="344"/>
  <c r="I46" i="344" s="1"/>
  <c r="T46" i="61"/>
  <c r="I46" i="61" s="1"/>
  <c r="T46" i="338"/>
  <c r="I46" i="338" s="1"/>
  <c r="T46" i="340"/>
  <c r="I46" i="340" s="1"/>
  <c r="T46" i="34"/>
  <c r="I46" i="34" s="1"/>
  <c r="I46" i="187"/>
  <c r="T46" i="135"/>
  <c r="I46" i="135" s="1"/>
  <c r="T46" i="295"/>
  <c r="I46" i="295" s="1"/>
  <c r="T46" i="283"/>
  <c r="I46" i="283" s="1"/>
  <c r="T46" i="284"/>
  <c r="I46" i="284" s="1"/>
  <c r="T46" i="292"/>
  <c r="I46" i="292" s="1"/>
  <c r="T46" i="339"/>
  <c r="I46" i="339" s="1"/>
  <c r="T46" i="325"/>
  <c r="I46" i="325" s="1"/>
  <c r="T46" i="269"/>
  <c r="I46" i="269" s="1"/>
  <c r="T46" i="11"/>
  <c r="I46" i="11" s="1"/>
  <c r="S46" i="279"/>
  <c r="I46" i="279" s="1"/>
  <c r="S46" i="335"/>
  <c r="I46" i="335" s="1"/>
  <c r="T46" i="101"/>
  <c r="I46" i="101" s="1"/>
  <c r="T46" i="382"/>
  <c r="I46" i="382" s="1"/>
  <c r="T46" i="102"/>
  <c r="I46" i="102" s="1"/>
  <c r="T46" i="103"/>
  <c r="I46" i="103" s="1"/>
  <c r="T46" i="411"/>
  <c r="I46" i="411" s="1"/>
  <c r="T46" i="265"/>
  <c r="I46" i="265" s="1"/>
  <c r="T46" i="262"/>
  <c r="I46" i="262" s="1"/>
  <c r="T46" i="112"/>
  <c r="I46" i="112" s="1"/>
  <c r="T46" i="109"/>
  <c r="I46" i="109" s="1"/>
  <c r="T46" i="85"/>
  <c r="I46" i="85" s="1"/>
  <c r="T46" i="324"/>
  <c r="I46" i="324" s="1"/>
  <c r="T46" i="32"/>
  <c r="I46" i="32" s="1"/>
  <c r="T46" i="196"/>
  <c r="I46" i="196" s="1"/>
  <c r="T46" i="197"/>
  <c r="I46" i="197" s="1"/>
  <c r="T46" i="198"/>
  <c r="I46" i="198" s="1"/>
  <c r="T46" i="345"/>
  <c r="I46" i="345" s="1"/>
  <c r="T46" i="346"/>
  <c r="I46" i="346" s="1"/>
  <c r="T46" i="74"/>
  <c r="I46" i="74" s="1"/>
  <c r="T46" i="200"/>
  <c r="I46" i="200" s="1"/>
  <c r="T46" i="280"/>
  <c r="I46" i="280" s="1"/>
  <c r="T46" i="45"/>
  <c r="I46" i="45" s="1"/>
  <c r="T46" i="104"/>
  <c r="I46" i="104" s="1"/>
  <c r="T46" i="254"/>
  <c r="I46" i="254" s="1"/>
  <c r="S46" i="185"/>
  <c r="R46" i="185"/>
  <c r="Q46" i="185"/>
  <c r="T46" i="181"/>
  <c r="I46" i="181" s="1"/>
  <c r="T46" i="183"/>
  <c r="I46" i="183" s="1"/>
  <c r="T46" i="184"/>
  <c r="I46" i="184" s="1"/>
  <c r="S46" i="144"/>
  <c r="R46" i="144"/>
  <c r="Q46" i="144"/>
  <c r="T46" i="27"/>
  <c r="I46" i="27" s="1"/>
  <c r="T46" i="143"/>
  <c r="I46" i="143" s="1"/>
  <c r="T46" i="268"/>
  <c r="I46" i="268" s="1"/>
  <c r="T46" i="263"/>
  <c r="I46" i="263" s="1"/>
  <c r="T46" i="209"/>
  <c r="I46" i="209" s="1"/>
  <c r="T46" i="192"/>
  <c r="I46" i="192" s="1"/>
  <c r="T46" i="140"/>
  <c r="I46" i="140" s="1"/>
  <c r="T46" i="270"/>
  <c r="I46" i="270" s="1"/>
  <c r="T46" i="271"/>
  <c r="I46" i="271" s="1"/>
  <c r="S46" i="186"/>
  <c r="R46" i="186"/>
  <c r="Q46" i="186"/>
  <c r="T46" i="159"/>
  <c r="I46" i="159" s="1"/>
  <c r="T46" i="160"/>
  <c r="I46" i="160" s="1"/>
  <c r="T46" i="107"/>
  <c r="I46" i="107" s="1"/>
  <c r="T46" i="176"/>
  <c r="I46" i="176" s="1"/>
  <c r="T46" i="281"/>
  <c r="I46" i="281" s="1"/>
  <c r="T46" i="332"/>
  <c r="I46" i="332" s="1"/>
  <c r="T46" i="24"/>
  <c r="I46" i="24" s="1"/>
  <c r="T46" i="116"/>
  <c r="I46" i="116" s="1"/>
  <c r="T46" i="285"/>
  <c r="I46" i="285" s="1"/>
  <c r="T46" i="272"/>
  <c r="I46" i="272" s="1"/>
  <c r="S46" i="44"/>
  <c r="I46" i="44" s="1"/>
  <c r="T46" i="87"/>
  <c r="I46" i="87" s="1"/>
  <c r="T46" i="287"/>
  <c r="I46" i="287" s="1"/>
  <c r="T46" i="276"/>
  <c r="I46" i="276" s="1"/>
  <c r="S46" i="231"/>
  <c r="U46" i="231" s="1"/>
  <c r="L49" i="231" s="1"/>
  <c r="R46" i="231"/>
  <c r="Q46" i="231"/>
  <c r="F46" i="231" s="1"/>
  <c r="G47" i="231" s="1"/>
  <c r="T46" i="229"/>
  <c r="I46" i="229" s="1"/>
  <c r="T46" i="326"/>
  <c r="I46" i="326" s="1"/>
  <c r="T46" i="47"/>
  <c r="I46" i="47" s="1"/>
  <c r="T46" i="248"/>
  <c r="I46" i="248" s="1"/>
  <c r="T46" i="46"/>
  <c r="I46" i="46" s="1"/>
  <c r="T46" i="239"/>
  <c r="I46" i="239" s="1"/>
  <c r="T46" i="243"/>
  <c r="I46" i="243" s="1"/>
  <c r="S46" i="247"/>
  <c r="R46" i="247"/>
  <c r="Q46" i="247"/>
  <c r="T46" i="244"/>
  <c r="I46" i="244" s="1"/>
  <c r="T46" i="246"/>
  <c r="I46" i="246" s="1"/>
  <c r="T46" i="35"/>
  <c r="I46" i="35" s="1"/>
  <c r="F46" i="253" l="1"/>
  <c r="G47" i="253" s="1"/>
  <c r="U48" i="253"/>
  <c r="F46" i="185"/>
  <c r="G47" i="185" s="1"/>
  <c r="U48" i="185"/>
  <c r="F46" i="300"/>
  <c r="G47" i="300" s="1"/>
  <c r="U48" i="300"/>
  <c r="F46" i="321"/>
  <c r="G47" i="321" s="1"/>
  <c r="U48" i="321"/>
  <c r="F46" i="404"/>
  <c r="G47" i="404" s="1"/>
  <c r="U48" i="404"/>
  <c r="F46" i="414"/>
  <c r="G47" i="414" s="1"/>
  <c r="U48" i="414"/>
  <c r="F46" i="247"/>
  <c r="G47" i="247" s="1"/>
  <c r="U48" i="247"/>
  <c r="F46" i="186"/>
  <c r="G47" i="186" s="1"/>
  <c r="U48" i="186"/>
  <c r="F46" i="144"/>
  <c r="G47" i="144" s="1"/>
  <c r="U48" i="144"/>
  <c r="F46" i="388"/>
  <c r="G47" i="388" s="1"/>
  <c r="U48" i="388"/>
  <c r="F46" i="170"/>
  <c r="G47" i="170" s="1"/>
  <c r="U48" i="170"/>
  <c r="F46" i="398"/>
  <c r="G47" i="398" s="1"/>
  <c r="U48" i="398"/>
  <c r="T46" i="149"/>
  <c r="I46" i="149" s="1"/>
  <c r="T46" i="398"/>
  <c r="I46" i="398" s="1"/>
  <c r="T46" i="247"/>
  <c r="I46" i="247" s="1"/>
  <c r="T46" i="231"/>
  <c r="I46" i="231" s="1"/>
  <c r="T46" i="185"/>
  <c r="I46" i="185" s="1"/>
  <c r="T46" i="144"/>
  <c r="I46" i="144" s="1"/>
  <c r="T46" i="186"/>
  <c r="I46" i="186" s="1"/>
  <c r="T46" i="170"/>
  <c r="I46" i="170" s="1"/>
  <c r="T46" i="388"/>
  <c r="I46" i="388" s="1"/>
  <c r="T46" i="253"/>
  <c r="I46" i="253" s="1"/>
  <c r="T46" i="327"/>
  <c r="I46" i="327" s="1"/>
  <c r="T46" i="404"/>
  <c r="I46" i="404" s="1"/>
  <c r="T46" i="195"/>
  <c r="I46" i="195" s="1"/>
  <c r="T46" i="300"/>
  <c r="I46" i="300" s="1"/>
  <c r="T46" i="414"/>
  <c r="I46" i="414" s="1"/>
  <c r="T46" i="321"/>
  <c r="I46" i="321" s="1"/>
  <c r="T46" i="142"/>
  <c r="I46" i="142" s="1"/>
  <c r="T46" i="395"/>
  <c r="I46" i="395" s="1"/>
  <c r="T45" i="197"/>
  <c r="I45" i="197" s="1"/>
  <c r="T44" i="197"/>
  <c r="I44" i="197" s="1"/>
  <c r="J56" i="197" s="1"/>
  <c r="T43" i="197"/>
  <c r="I43" i="197" s="1"/>
  <c r="J55" i="197" s="1"/>
  <c r="T42" i="197"/>
  <c r="I42" i="197" s="1"/>
  <c r="J54" i="197" s="1"/>
  <c r="T41" i="197"/>
  <c r="I41" i="197" s="1"/>
  <c r="J53" i="197" s="1"/>
  <c r="T40" i="197"/>
  <c r="I40" i="197" s="1"/>
  <c r="J52" i="197" s="1"/>
  <c r="T39" i="197"/>
  <c r="I39" i="197" s="1"/>
  <c r="J51" i="197" s="1"/>
  <c r="T38" i="197"/>
  <c r="I38" i="197" s="1"/>
  <c r="J50" i="197" s="1"/>
  <c r="T37" i="197"/>
  <c r="I37" i="197" s="1"/>
  <c r="T36" i="197"/>
  <c r="I36" i="197" s="1"/>
  <c r="J48" i="197" s="1"/>
  <c r="T35" i="197"/>
  <c r="I35" i="197" s="1"/>
  <c r="T34" i="197"/>
  <c r="I34" i="197" s="1"/>
  <c r="J46" i="197" s="1"/>
  <c r="T41" i="113"/>
  <c r="I41" i="113" s="1"/>
  <c r="J53" i="113" s="1"/>
  <c r="T42" i="113"/>
  <c r="I42" i="113" s="1"/>
  <c r="J54" i="113" s="1"/>
  <c r="T43" i="113"/>
  <c r="I43" i="113" s="1"/>
  <c r="J55" i="113" s="1"/>
  <c r="U43" i="113"/>
  <c r="T44" i="113"/>
  <c r="I44" i="113" s="1"/>
  <c r="J56" i="113" s="1"/>
  <c r="T45" i="113"/>
  <c r="I45" i="113" s="1"/>
  <c r="Q45" i="149"/>
  <c r="U47" i="149" s="1"/>
  <c r="U45" i="391"/>
  <c r="U45" i="392"/>
  <c r="U45" i="35"/>
  <c r="F45" i="202"/>
  <c r="G46" i="202" s="1"/>
  <c r="F45" i="392"/>
  <c r="G46" i="392" s="1"/>
  <c r="F45" i="391"/>
  <c r="G46" i="391" s="1"/>
  <c r="F45" i="367"/>
  <c r="G46" i="367" s="1"/>
  <c r="F45" i="296"/>
  <c r="G46" i="296" s="1"/>
  <c r="F45" i="9"/>
  <c r="G46" i="9" s="1"/>
  <c r="F45" i="424"/>
  <c r="G46" i="424" s="1"/>
  <c r="F45" i="18"/>
  <c r="G46" i="18" s="1"/>
  <c r="F45" i="20"/>
  <c r="G46" i="20" s="1"/>
  <c r="F45" i="422"/>
  <c r="G46" i="422" s="1"/>
  <c r="F45" i="89"/>
  <c r="G46" i="89" s="1"/>
  <c r="F45" i="389"/>
  <c r="G46" i="389" s="1"/>
  <c r="F45" i="75"/>
  <c r="G46" i="75" s="1"/>
  <c r="F45" i="1"/>
  <c r="G46" i="1" s="1"/>
  <c r="F45" i="397"/>
  <c r="G46" i="397" s="1"/>
  <c r="F45" i="23"/>
  <c r="G46" i="23" s="1"/>
  <c r="F45" i="21"/>
  <c r="G46" i="21" s="1"/>
  <c r="F45" i="174"/>
  <c r="G46" i="174" s="1"/>
  <c r="F45" i="328"/>
  <c r="G46" i="328" s="1"/>
  <c r="F45" i="329"/>
  <c r="G46" i="329" s="1"/>
  <c r="F45" i="5"/>
  <c r="G46" i="5" s="1"/>
  <c r="F45" i="207"/>
  <c r="G46" i="207" s="1"/>
  <c r="F45" i="387"/>
  <c r="G46" i="387" s="1"/>
  <c r="F45" i="314"/>
  <c r="G46" i="314" s="1"/>
  <c r="F45" i="194"/>
  <c r="G46" i="194" s="1"/>
  <c r="F45" i="193"/>
  <c r="G46" i="193" s="1"/>
  <c r="F45" i="319"/>
  <c r="G46" i="319" s="1"/>
  <c r="F45" i="320"/>
  <c r="G46" i="320" s="1"/>
  <c r="F45" i="429"/>
  <c r="G46" i="429" s="1"/>
  <c r="F45" i="427"/>
  <c r="F45" i="428"/>
  <c r="F45" i="17"/>
  <c r="G46" i="17" s="1"/>
  <c r="F45" i="12"/>
  <c r="G46" i="12" s="1"/>
  <c r="F45" i="356"/>
  <c r="G46" i="356" s="1"/>
  <c r="F45" i="394"/>
  <c r="G46" i="394" s="1"/>
  <c r="F45" i="393"/>
  <c r="G46" i="393" s="1"/>
  <c r="F45" i="413"/>
  <c r="G46" i="413" s="1"/>
  <c r="F45" i="48"/>
  <c r="G46" i="48" s="1"/>
  <c r="F45" i="52"/>
  <c r="G46" i="52" s="1"/>
  <c r="F45" i="425"/>
  <c r="G46" i="425" s="1"/>
  <c r="F45" i="88"/>
  <c r="G46" i="88" s="1"/>
  <c r="F45" i="148"/>
  <c r="G46" i="148" s="1"/>
  <c r="F45" i="423"/>
  <c r="G46" i="423" s="1"/>
  <c r="F45" i="13"/>
  <c r="G46" i="13" s="1"/>
  <c r="F45" i="261"/>
  <c r="G46" i="261" s="1"/>
  <c r="F45" i="153"/>
  <c r="G46" i="153" s="1"/>
  <c r="F45" i="257"/>
  <c r="G46" i="257" s="1"/>
  <c r="F45" i="409"/>
  <c r="G46" i="409" s="1"/>
  <c r="F45" i="43"/>
  <c r="G46" i="43" s="1"/>
  <c r="F45" i="97"/>
  <c r="G46" i="97" s="1"/>
  <c r="F45" i="383"/>
  <c r="G46" i="383" s="1"/>
  <c r="F45" i="28"/>
  <c r="G46" i="28" s="1"/>
  <c r="F45" i="29"/>
  <c r="G46" i="29" s="1"/>
  <c r="F45" i="359"/>
  <c r="G46" i="359" s="1"/>
  <c r="F45" i="360"/>
  <c r="G46" i="360" s="1"/>
  <c r="F45" i="368"/>
  <c r="G46" i="368" s="1"/>
  <c r="F45" i="364"/>
  <c r="G46" i="364" s="1"/>
  <c r="F45" i="420"/>
  <c r="G46" i="420" s="1"/>
  <c r="F45" i="8"/>
  <c r="G46" i="8" s="1"/>
  <c r="F45" i="203"/>
  <c r="G46" i="203" s="1"/>
  <c r="F45" i="191"/>
  <c r="G46" i="191" s="1"/>
  <c r="F45" i="426"/>
  <c r="G46" i="426" s="1"/>
  <c r="F45" i="113"/>
  <c r="G46" i="113" s="1"/>
  <c r="F45" i="361"/>
  <c r="G46" i="361" s="1"/>
  <c r="F45" i="351"/>
  <c r="G46" i="351" s="1"/>
  <c r="F45" i="352"/>
  <c r="G46" i="352" s="1"/>
  <c r="F45" i="353"/>
  <c r="G46" i="353" s="1"/>
  <c r="F45" i="362"/>
  <c r="G46" i="362" s="1"/>
  <c r="F45" i="354"/>
  <c r="G46" i="354" s="1"/>
  <c r="F45" i="322"/>
  <c r="G46" i="322" s="1"/>
  <c r="F45" i="233"/>
  <c r="G46" i="233" s="1"/>
  <c r="F45" i="2"/>
  <c r="G46" i="2" s="1"/>
  <c r="F45" i="164"/>
  <c r="G46" i="164" s="1"/>
  <c r="F45" i="162"/>
  <c r="G46" i="162" s="1"/>
  <c r="F45" i="421"/>
  <c r="G46" i="421" s="1"/>
  <c r="F45" i="333"/>
  <c r="G46" i="333" s="1"/>
  <c r="F45" i="53"/>
  <c r="G46" i="53" s="1"/>
  <c r="F45" i="386"/>
  <c r="G46" i="386" s="1"/>
  <c r="F45" i="303"/>
  <c r="G46" i="303" s="1"/>
  <c r="F45" i="114"/>
  <c r="G46" i="114" s="1"/>
  <c r="F45" i="323"/>
  <c r="G46" i="323" s="1"/>
  <c r="F45" i="400"/>
  <c r="G46" i="400" s="1"/>
  <c r="F45" i="402"/>
  <c r="G46" i="402" s="1"/>
  <c r="F45" i="403"/>
  <c r="G46" i="403" s="1"/>
  <c r="F45" i="408"/>
  <c r="G46" i="408" s="1"/>
  <c r="F45" i="385"/>
  <c r="G46" i="385" s="1"/>
  <c r="F45" i="334"/>
  <c r="G46" i="334" s="1"/>
  <c r="F45" i="3"/>
  <c r="G46" i="3" s="1"/>
  <c r="F45" i="349"/>
  <c r="G46" i="349" s="1"/>
  <c r="F45" i="4"/>
  <c r="G46" i="4" s="1"/>
  <c r="F45" i="15"/>
  <c r="G46" i="15" s="1"/>
  <c r="F45" i="355"/>
  <c r="G46" i="355" s="1"/>
  <c r="F45" i="299"/>
  <c r="G46" i="299" s="1"/>
  <c r="F45" i="190"/>
  <c r="G46" i="190" s="1"/>
  <c r="F45" i="16"/>
  <c r="G46" i="16" s="1"/>
  <c r="F45" i="54"/>
  <c r="G46" i="54" s="1"/>
  <c r="F45" i="384"/>
  <c r="G46" i="384" s="1"/>
  <c r="F45" i="201"/>
  <c r="G46" i="201" s="1"/>
  <c r="F45" i="249"/>
  <c r="G46" i="249" s="1"/>
  <c r="F45" i="7"/>
  <c r="G46" i="7" s="1"/>
  <c r="F45" i="19"/>
  <c r="G46" i="19" s="1"/>
  <c r="F45" i="347"/>
  <c r="G46" i="347" s="1"/>
  <c r="F45" i="37"/>
  <c r="G46" i="37" s="1"/>
  <c r="F45" i="204"/>
  <c r="G46" i="204" s="1"/>
  <c r="F45" i="363"/>
  <c r="G46" i="363" s="1"/>
  <c r="F45" i="31"/>
  <c r="G46" i="31" s="1"/>
  <c r="F45" i="298"/>
  <c r="G46" i="298" s="1"/>
  <c r="F45" i="168"/>
  <c r="G46" i="168" s="1"/>
  <c r="F45" i="169"/>
  <c r="G46" i="169" s="1"/>
  <c r="F45" i="336"/>
  <c r="G46" i="336" s="1"/>
  <c r="F45" i="342"/>
  <c r="G46" i="342" s="1"/>
  <c r="F45" i="33"/>
  <c r="G46" i="33" s="1"/>
  <c r="F45" i="318"/>
  <c r="G46" i="318" s="1"/>
  <c r="F45" i="288"/>
  <c r="G46" i="288" s="1"/>
  <c r="F45" i="337"/>
  <c r="G46" i="337" s="1"/>
  <c r="F45" i="227"/>
  <c r="G46" i="227" s="1"/>
  <c r="F45" i="290"/>
  <c r="G46" i="290" s="1"/>
  <c r="F45" i="289"/>
  <c r="G46" i="289" s="1"/>
  <c r="F45" i="357"/>
  <c r="G46" i="357" s="1"/>
  <c r="F45" i="293"/>
  <c r="G46" i="293" s="1"/>
  <c r="F45" i="348"/>
  <c r="G46" i="348" s="1"/>
  <c r="F45" i="297"/>
  <c r="G46" i="297" s="1"/>
  <c r="F45" i="350"/>
  <c r="G46" i="350" s="1"/>
  <c r="F45" i="105"/>
  <c r="G46" i="105" s="1"/>
  <c r="F45" i="294"/>
  <c r="G46" i="294" s="1"/>
  <c r="F45" i="365"/>
  <c r="G46" i="365" s="1"/>
  <c r="F45" i="366"/>
  <c r="G46" i="366" s="1"/>
  <c r="F45" i="206"/>
  <c r="G46" i="206" s="1"/>
  <c r="F45" i="22"/>
  <c r="G46" i="22" s="1"/>
  <c r="F45" i="301"/>
  <c r="G46" i="301" s="1"/>
  <c r="F45" i="344"/>
  <c r="G46" i="344" s="1"/>
  <c r="F45" i="61"/>
  <c r="G46" i="61" s="1"/>
  <c r="F45" i="338"/>
  <c r="G46" i="338" s="1"/>
  <c r="F45" i="340"/>
  <c r="G46" i="340" s="1"/>
  <c r="F45" i="34"/>
  <c r="G46" i="34" s="1"/>
  <c r="F45" i="187"/>
  <c r="G46" i="187" s="1"/>
  <c r="F45" i="135"/>
  <c r="G46" i="135" s="1"/>
  <c r="F45" i="295"/>
  <c r="G46" i="295" s="1"/>
  <c r="F45" i="283"/>
  <c r="G46" i="283" s="1"/>
  <c r="F45" i="284"/>
  <c r="G46" i="284" s="1"/>
  <c r="F45" i="292"/>
  <c r="G46" i="292" s="1"/>
  <c r="F45" i="339"/>
  <c r="G46" i="339" s="1"/>
  <c r="F45" i="325"/>
  <c r="G46" i="325" s="1"/>
  <c r="F45" i="269"/>
  <c r="G46" i="269" s="1"/>
  <c r="F45" i="11"/>
  <c r="G46" i="11" s="1"/>
  <c r="F45" i="279"/>
  <c r="G46" i="279" s="1"/>
  <c r="F45" i="335"/>
  <c r="G46" i="335" s="1"/>
  <c r="F45" i="101"/>
  <c r="G46" i="101" s="1"/>
  <c r="F45" i="382"/>
  <c r="G46" i="382" s="1"/>
  <c r="F45" i="102"/>
  <c r="G46" i="102" s="1"/>
  <c r="F45" i="103"/>
  <c r="G46" i="103" s="1"/>
  <c r="F45" i="411"/>
  <c r="G46" i="411" s="1"/>
  <c r="F45" i="265"/>
  <c r="G46" i="265" s="1"/>
  <c r="F45" i="262"/>
  <c r="G46" i="262" s="1"/>
  <c r="F45" i="112"/>
  <c r="G46" i="112" s="1"/>
  <c r="F45" i="109"/>
  <c r="G46" i="109" s="1"/>
  <c r="F45" i="85"/>
  <c r="G46" i="85" s="1"/>
  <c r="F45" i="324"/>
  <c r="G46" i="324" s="1"/>
  <c r="F45" i="32"/>
  <c r="G46" i="32" s="1"/>
  <c r="F45" i="196"/>
  <c r="G46" i="196" s="1"/>
  <c r="F45" i="197"/>
  <c r="G46" i="197" s="1"/>
  <c r="F45" i="198"/>
  <c r="G46" i="198" s="1"/>
  <c r="F45" i="345"/>
  <c r="G46" i="345" s="1"/>
  <c r="F45" i="346"/>
  <c r="G46" i="346" s="1"/>
  <c r="F45" i="74"/>
  <c r="G46" i="74" s="1"/>
  <c r="F45" i="200"/>
  <c r="G46" i="200" s="1"/>
  <c r="F45" i="280"/>
  <c r="G46" i="280" s="1"/>
  <c r="F45" i="45"/>
  <c r="G46" i="45" s="1"/>
  <c r="F45" i="104"/>
  <c r="G46" i="104" s="1"/>
  <c r="F45" i="254"/>
  <c r="G46" i="254" s="1"/>
  <c r="F45" i="181"/>
  <c r="G46" i="181" s="1"/>
  <c r="F45" i="183"/>
  <c r="G46" i="183" s="1"/>
  <c r="F45" i="184"/>
  <c r="G46" i="184" s="1"/>
  <c r="F45" i="27"/>
  <c r="G46" i="27" s="1"/>
  <c r="F45" i="143"/>
  <c r="G46" i="143" s="1"/>
  <c r="F45" i="268"/>
  <c r="G46" i="268" s="1"/>
  <c r="F45" i="263"/>
  <c r="G46" i="263" s="1"/>
  <c r="F45" i="209"/>
  <c r="G46" i="209" s="1"/>
  <c r="F45" i="192"/>
  <c r="G46" i="192" s="1"/>
  <c r="F45" i="140"/>
  <c r="G46" i="140" s="1"/>
  <c r="F45" i="270"/>
  <c r="G46" i="270" s="1"/>
  <c r="F45" i="271"/>
  <c r="G46" i="271" s="1"/>
  <c r="F45" i="159"/>
  <c r="G46" i="159" s="1"/>
  <c r="F45" i="160"/>
  <c r="G46" i="160" s="1"/>
  <c r="F45" i="107"/>
  <c r="G46" i="107" s="1"/>
  <c r="F45" i="176"/>
  <c r="G46" i="176" s="1"/>
  <c r="F45" i="281"/>
  <c r="G46" i="281" s="1"/>
  <c r="F45" i="332"/>
  <c r="G46" i="332" s="1"/>
  <c r="F45" i="25"/>
  <c r="G46" i="25" s="1"/>
  <c r="F45" i="24"/>
  <c r="G46" i="24" s="1"/>
  <c r="F45" i="116"/>
  <c r="G46" i="116" s="1"/>
  <c r="F45" i="285"/>
  <c r="G46" i="285" s="1"/>
  <c r="F45" i="272"/>
  <c r="G46" i="272" s="1"/>
  <c r="F45" i="44"/>
  <c r="G46" i="44" s="1"/>
  <c r="F45" i="87"/>
  <c r="G46" i="87" s="1"/>
  <c r="F45" i="287"/>
  <c r="G46" i="287" s="1"/>
  <c r="F45" i="276"/>
  <c r="G46" i="276" s="1"/>
  <c r="F45" i="229"/>
  <c r="G46" i="229" s="1"/>
  <c r="F45" i="230"/>
  <c r="G46" i="230" s="1"/>
  <c r="F45" i="326"/>
  <c r="G46" i="326" s="1"/>
  <c r="F45" i="47"/>
  <c r="G46" i="47" s="1"/>
  <c r="F45" i="248"/>
  <c r="G46" i="248" s="1"/>
  <c r="F45" i="46"/>
  <c r="G46" i="46" s="1"/>
  <c r="F45" i="239"/>
  <c r="G46" i="239" s="1"/>
  <c r="F45" i="243"/>
  <c r="G46" i="243" s="1"/>
  <c r="F45" i="244"/>
  <c r="G46" i="244" s="1"/>
  <c r="F45" i="246"/>
  <c r="G46" i="246" s="1"/>
  <c r="F45" i="35"/>
  <c r="L46" i="113" l="1"/>
  <c r="J49" i="197"/>
  <c r="J47" i="197"/>
  <c r="G46" i="35"/>
  <c r="N46" i="197"/>
  <c r="O49" i="197" s="1"/>
  <c r="N46" i="113"/>
  <c r="O49" i="113" s="1"/>
  <c r="Q45" i="388"/>
  <c r="Q45" i="170"/>
  <c r="F45" i="170" l="1"/>
  <c r="G46" i="170" s="1"/>
  <c r="U47" i="170"/>
  <c r="F45" i="388"/>
  <c r="G46" i="388" s="1"/>
  <c r="U47" i="388"/>
  <c r="R45" i="300"/>
  <c r="Q45" i="300"/>
  <c r="T5" i="35"/>
  <c r="I5" i="35" s="1"/>
  <c r="U5" i="35"/>
  <c r="T6" i="35"/>
  <c r="I6" i="35" s="1"/>
  <c r="U6" i="35"/>
  <c r="T7" i="35"/>
  <c r="I7" i="35" s="1"/>
  <c r="U7" i="35"/>
  <c r="T8" i="35"/>
  <c r="I8" i="35" s="1"/>
  <c r="U8" i="35"/>
  <c r="T9" i="35"/>
  <c r="I9" i="35" s="1"/>
  <c r="U9" i="35"/>
  <c r="T10" i="35"/>
  <c r="I10" i="35" s="1"/>
  <c r="U10" i="35"/>
  <c r="T11" i="35"/>
  <c r="I11" i="35" s="1"/>
  <c r="U11" i="35"/>
  <c r="T12" i="35"/>
  <c r="I12" i="35" s="1"/>
  <c r="U12" i="35"/>
  <c r="T13" i="35"/>
  <c r="I13" i="35" s="1"/>
  <c r="U13" i="35"/>
  <c r="T14" i="35"/>
  <c r="I14" i="35" s="1"/>
  <c r="U14" i="35"/>
  <c r="T15" i="35"/>
  <c r="I15" i="35" s="1"/>
  <c r="U15" i="35"/>
  <c r="T16" i="35"/>
  <c r="I16" i="35" s="1"/>
  <c r="U16" i="35"/>
  <c r="T17" i="35"/>
  <c r="I17" i="35" s="1"/>
  <c r="U17" i="35"/>
  <c r="T18" i="35"/>
  <c r="I18" i="35" s="1"/>
  <c r="U18" i="35"/>
  <c r="T19" i="35"/>
  <c r="I19" i="35" s="1"/>
  <c r="U19" i="35"/>
  <c r="T20" i="35"/>
  <c r="I20" i="35" s="1"/>
  <c r="U20" i="35"/>
  <c r="T21" i="35"/>
  <c r="I21" i="35" s="1"/>
  <c r="U21" i="35"/>
  <c r="T22" i="35"/>
  <c r="I22" i="35" s="1"/>
  <c r="U22" i="35"/>
  <c r="T23" i="35"/>
  <c r="I23" i="35" s="1"/>
  <c r="U23" i="35"/>
  <c r="T24" i="35"/>
  <c r="I24" i="35" s="1"/>
  <c r="U24" i="35"/>
  <c r="T25" i="35"/>
  <c r="I25" i="35" s="1"/>
  <c r="U25" i="35"/>
  <c r="T26" i="35"/>
  <c r="I26" i="35" s="1"/>
  <c r="U26" i="35"/>
  <c r="T27" i="35"/>
  <c r="I27" i="35" s="1"/>
  <c r="U27" i="35"/>
  <c r="T28" i="35"/>
  <c r="I28" i="35" s="1"/>
  <c r="U28" i="35"/>
  <c r="T29" i="35"/>
  <c r="I29" i="35" s="1"/>
  <c r="U29" i="35"/>
  <c r="T30" i="35"/>
  <c r="I30" i="35" s="1"/>
  <c r="U30" i="35"/>
  <c r="T31" i="35"/>
  <c r="I31" i="35" s="1"/>
  <c r="U31" i="35"/>
  <c r="T32" i="35"/>
  <c r="I32" i="35" s="1"/>
  <c r="U32" i="35"/>
  <c r="T33" i="35"/>
  <c r="I33" i="35" s="1"/>
  <c r="U33" i="35"/>
  <c r="T34" i="35"/>
  <c r="I34" i="35" s="1"/>
  <c r="J46" i="35" s="1"/>
  <c r="U34" i="35"/>
  <c r="T35" i="35"/>
  <c r="U35" i="35"/>
  <c r="T36" i="35"/>
  <c r="I36" i="35" s="1"/>
  <c r="J48" i="35" s="1"/>
  <c r="U36" i="35"/>
  <c r="T37" i="35"/>
  <c r="I37" i="35" s="1"/>
  <c r="J49" i="35" s="1"/>
  <c r="U37" i="35"/>
  <c r="T38" i="35"/>
  <c r="I38" i="35" s="1"/>
  <c r="J50" i="35" s="1"/>
  <c r="U38" i="35"/>
  <c r="T39" i="35"/>
  <c r="I39" i="35" s="1"/>
  <c r="J51" i="35" s="1"/>
  <c r="U39" i="35"/>
  <c r="T40" i="35"/>
  <c r="I40" i="35" s="1"/>
  <c r="J52" i="35" s="1"/>
  <c r="U40" i="35"/>
  <c r="T41" i="35"/>
  <c r="U41" i="35"/>
  <c r="T42" i="35"/>
  <c r="I42" i="35" s="1"/>
  <c r="J54" i="35" s="1"/>
  <c r="U42" i="35"/>
  <c r="T43" i="35"/>
  <c r="I43" i="35" s="1"/>
  <c r="J55" i="35" s="1"/>
  <c r="U43" i="35"/>
  <c r="T44" i="35"/>
  <c r="U44" i="35"/>
  <c r="T45" i="35"/>
  <c r="I45" i="35" s="1"/>
  <c r="S45" i="398"/>
  <c r="R45" i="398"/>
  <c r="Q45" i="398"/>
  <c r="J43" i="35" l="1"/>
  <c r="J42" i="35"/>
  <c r="M28" i="35"/>
  <c r="J45" i="35"/>
  <c r="M22" i="35"/>
  <c r="J27" i="35"/>
  <c r="J39" i="35"/>
  <c r="J25" i="35"/>
  <c r="J37" i="35"/>
  <c r="J23" i="35"/>
  <c r="J21" i="35"/>
  <c r="J33" i="35"/>
  <c r="J19" i="35"/>
  <c r="J31" i="35"/>
  <c r="J17" i="35"/>
  <c r="J29" i="35"/>
  <c r="J28" i="35"/>
  <c r="J40" i="35"/>
  <c r="J26" i="35"/>
  <c r="J38" i="35"/>
  <c r="J24" i="35"/>
  <c r="J36" i="35"/>
  <c r="J22" i="35"/>
  <c r="J34" i="35"/>
  <c r="J20" i="35"/>
  <c r="J32" i="35"/>
  <c r="J18" i="35"/>
  <c r="J30" i="35"/>
  <c r="M37" i="35"/>
  <c r="F45" i="398"/>
  <c r="G46" i="398" s="1"/>
  <c r="U47" i="398"/>
  <c r="F45" i="300"/>
  <c r="G46" i="300" s="1"/>
  <c r="U47" i="300"/>
  <c r="M19" i="35"/>
  <c r="M34" i="35"/>
  <c r="I44" i="35"/>
  <c r="N46" i="35"/>
  <c r="O49" i="35" s="1"/>
  <c r="N28" i="35"/>
  <c r="N22" i="35"/>
  <c r="N25" i="35"/>
  <c r="N40" i="35"/>
  <c r="N13" i="35"/>
  <c r="N7" i="35"/>
  <c r="N43" i="35"/>
  <c r="I41" i="35"/>
  <c r="N34" i="35"/>
  <c r="N19" i="35"/>
  <c r="N16" i="35"/>
  <c r="M40" i="35"/>
  <c r="N37" i="35"/>
  <c r="I35" i="35"/>
  <c r="J47" i="35" s="1"/>
  <c r="M31" i="35"/>
  <c r="N31" i="35"/>
  <c r="M25" i="35"/>
  <c r="N10" i="35"/>
  <c r="U45" i="202"/>
  <c r="J44" i="35" l="1"/>
  <c r="J56" i="35"/>
  <c r="J41" i="35"/>
  <c r="J53" i="35"/>
  <c r="J35" i="35"/>
  <c r="O25" i="35"/>
  <c r="O46" i="35"/>
  <c r="O22" i="35"/>
  <c r="O31" i="35"/>
  <c r="O40" i="35"/>
  <c r="O34" i="35"/>
  <c r="O16" i="35"/>
  <c r="O28" i="35"/>
  <c r="O13" i="35"/>
  <c r="O43" i="35"/>
  <c r="O19" i="35"/>
  <c r="O37" i="35"/>
  <c r="O10" i="35"/>
  <c r="I45" i="296" l="1"/>
  <c r="T45" i="9"/>
  <c r="I45" i="9" s="1"/>
  <c r="T45" i="21"/>
  <c r="I45" i="21" s="1"/>
  <c r="T45" i="174"/>
  <c r="I45" i="174" s="1"/>
  <c r="T45" i="424"/>
  <c r="I45" i="424" s="1"/>
  <c r="F45" i="327"/>
  <c r="G46" i="327" s="1"/>
  <c r="T45" i="328"/>
  <c r="I45" i="328" s="1"/>
  <c r="T45" i="329"/>
  <c r="I45" i="329" s="1"/>
  <c r="T45" i="89"/>
  <c r="I45" i="89" s="1"/>
  <c r="T45" i="389"/>
  <c r="I45" i="389" s="1"/>
  <c r="T45" i="5"/>
  <c r="I45" i="5" s="1"/>
  <c r="T45" i="207"/>
  <c r="I45" i="207" s="1"/>
  <c r="T45" i="387"/>
  <c r="I45" i="387" s="1"/>
  <c r="T45" i="194"/>
  <c r="I45" i="194" s="1"/>
  <c r="T45" i="193"/>
  <c r="I45" i="193" s="1"/>
  <c r="S45" i="321"/>
  <c r="R45" i="321"/>
  <c r="Q45" i="321"/>
  <c r="T45" i="319"/>
  <c r="I45" i="319" s="1"/>
  <c r="T45" i="320"/>
  <c r="I45" i="320" s="1"/>
  <c r="T45" i="429"/>
  <c r="I45" i="429" s="1"/>
  <c r="S45" i="427"/>
  <c r="I45" i="427" s="1"/>
  <c r="S45" i="428"/>
  <c r="I45" i="428" s="1"/>
  <c r="T45" i="17"/>
  <c r="I45" i="17" s="1"/>
  <c r="T45" i="12"/>
  <c r="I45" i="12" s="1"/>
  <c r="T45" i="356"/>
  <c r="I45" i="356" s="1"/>
  <c r="S45" i="395"/>
  <c r="R45" i="395"/>
  <c r="Q45" i="395"/>
  <c r="T45" i="394"/>
  <c r="I45" i="394" s="1"/>
  <c r="T45" i="393"/>
  <c r="I45" i="393" s="1"/>
  <c r="T45" i="413"/>
  <c r="I45" i="413" s="1"/>
  <c r="T45" i="23"/>
  <c r="I45" i="23" s="1"/>
  <c r="T45" i="48"/>
  <c r="I45" i="48" s="1"/>
  <c r="T45" i="52"/>
  <c r="I45" i="52" s="1"/>
  <c r="T45" i="425"/>
  <c r="I45" i="425" s="1"/>
  <c r="S45" i="149"/>
  <c r="R45" i="149"/>
  <c r="F45" i="149"/>
  <c r="G46" i="149" s="1"/>
  <c r="T45" i="88"/>
  <c r="I45" i="88" s="1"/>
  <c r="T45" i="148"/>
  <c r="I45" i="148" s="1"/>
  <c r="T45" i="409"/>
  <c r="I45" i="409" s="1"/>
  <c r="S45" i="142"/>
  <c r="R45" i="142"/>
  <c r="Q45" i="142"/>
  <c r="T45" i="20"/>
  <c r="I45" i="20" s="1"/>
  <c r="T45" i="422"/>
  <c r="I45" i="422" s="1"/>
  <c r="T45" i="75"/>
  <c r="I45" i="75" s="1"/>
  <c r="T45" i="43"/>
  <c r="I45" i="43" s="1"/>
  <c r="T45" i="97"/>
  <c r="I45" i="97" s="1"/>
  <c r="T45" i="383"/>
  <c r="I45" i="383" s="1"/>
  <c r="S45" i="253"/>
  <c r="R45" i="253"/>
  <c r="Q45" i="253"/>
  <c r="T45" i="28"/>
  <c r="I45" i="28" s="1"/>
  <c r="T45" i="29"/>
  <c r="I45" i="29" s="1"/>
  <c r="T45" i="359"/>
  <c r="I45" i="359" s="1"/>
  <c r="T45" i="360"/>
  <c r="I45" i="360" s="1"/>
  <c r="T45" i="368"/>
  <c r="I45" i="368" s="1"/>
  <c r="T45" i="364"/>
  <c r="I45" i="364" s="1"/>
  <c r="T45" i="420"/>
  <c r="I45" i="420" s="1"/>
  <c r="S45" i="414"/>
  <c r="R45" i="414"/>
  <c r="Q45" i="414"/>
  <c r="T45" i="8"/>
  <c r="I45" i="8" s="1"/>
  <c r="T45" i="203"/>
  <c r="I45" i="203" s="1"/>
  <c r="T45" i="191"/>
  <c r="I45" i="191" s="1"/>
  <c r="S45" i="426"/>
  <c r="I45" i="426" s="1"/>
  <c r="T45" i="361"/>
  <c r="I45" i="361" s="1"/>
  <c r="T45" i="351"/>
  <c r="I45" i="351" s="1"/>
  <c r="T45" i="352"/>
  <c r="I45" i="352" s="1"/>
  <c r="T45" i="353"/>
  <c r="I45" i="353" s="1"/>
  <c r="T45" i="362"/>
  <c r="I45" i="362" s="1"/>
  <c r="T45" i="354"/>
  <c r="I45" i="354" s="1"/>
  <c r="T45" i="322"/>
  <c r="I45" i="322" s="1"/>
  <c r="T45" i="233"/>
  <c r="I45" i="233" s="1"/>
  <c r="T45" i="2"/>
  <c r="I45" i="2" s="1"/>
  <c r="T45" i="164"/>
  <c r="I45" i="164" s="1"/>
  <c r="T45" i="162"/>
  <c r="I45" i="162" s="1"/>
  <c r="T45" i="421"/>
  <c r="I45" i="421" s="1"/>
  <c r="T45" i="333"/>
  <c r="I45" i="333" s="1"/>
  <c r="T45" i="53"/>
  <c r="I45" i="53" s="1"/>
  <c r="T45" i="386"/>
  <c r="I45" i="386" s="1"/>
  <c r="T45" i="303"/>
  <c r="I45" i="303" s="1"/>
  <c r="T45" i="114"/>
  <c r="I45" i="114" s="1"/>
  <c r="T45" i="323"/>
  <c r="I45" i="323" s="1"/>
  <c r="T45" i="400"/>
  <c r="I45" i="400" s="1"/>
  <c r="T45" i="402"/>
  <c r="I45" i="402" s="1"/>
  <c r="T45" i="403"/>
  <c r="I45" i="403" s="1"/>
  <c r="S45" i="408"/>
  <c r="I45" i="408" s="1"/>
  <c r="T45" i="385"/>
  <c r="I45" i="385" s="1"/>
  <c r="T45" i="334"/>
  <c r="I45" i="334" s="1"/>
  <c r="T45" i="3"/>
  <c r="I45" i="3" s="1"/>
  <c r="T45" i="349"/>
  <c r="I45" i="349" s="1"/>
  <c r="T45" i="4"/>
  <c r="I45" i="4" s="1"/>
  <c r="T45" i="15"/>
  <c r="I45" i="15" s="1"/>
  <c r="T45" i="355"/>
  <c r="I45" i="355" s="1"/>
  <c r="S45" i="300"/>
  <c r="T45" i="299"/>
  <c r="I45" i="299" s="1"/>
  <c r="T45" i="190"/>
  <c r="I45" i="190" s="1"/>
  <c r="T45" i="16"/>
  <c r="I45" i="16" s="1"/>
  <c r="T45" i="54"/>
  <c r="I45" i="54" s="1"/>
  <c r="I45" i="384"/>
  <c r="T45" i="201"/>
  <c r="I45" i="201" s="1"/>
  <c r="T45" i="249"/>
  <c r="I45" i="249" s="1"/>
  <c r="F45" i="371"/>
  <c r="G46" i="371" s="1"/>
  <c r="T45" i="7"/>
  <c r="I45" i="7" s="1"/>
  <c r="T45" i="423"/>
  <c r="I45" i="423" s="1"/>
  <c r="F45" i="152"/>
  <c r="G46" i="152" s="1"/>
  <c r="T45" i="13"/>
  <c r="I45" i="13" s="1"/>
  <c r="T45" i="261"/>
  <c r="I45" i="261" s="1"/>
  <c r="T45" i="153"/>
  <c r="I45" i="153" s="1"/>
  <c r="T45" i="257"/>
  <c r="I45" i="257" s="1"/>
  <c r="T45" i="19"/>
  <c r="I45" i="19" s="1"/>
  <c r="T45" i="347"/>
  <c r="I45" i="347" s="1"/>
  <c r="T45" i="37"/>
  <c r="I45" i="37" s="1"/>
  <c r="T45" i="204"/>
  <c r="I45" i="204" s="1"/>
  <c r="T45" i="363"/>
  <c r="I45" i="363" s="1"/>
  <c r="T45" i="31"/>
  <c r="I45" i="31" s="1"/>
  <c r="T45" i="298"/>
  <c r="I45" i="298" s="1"/>
  <c r="S45" i="170"/>
  <c r="R45" i="170"/>
  <c r="T45" i="168"/>
  <c r="I45" i="168" s="1"/>
  <c r="T45" i="169"/>
  <c r="I45" i="169" s="1"/>
  <c r="T45" i="336"/>
  <c r="I45" i="336" s="1"/>
  <c r="T45" i="342"/>
  <c r="I45" i="342" s="1"/>
  <c r="T45" i="33"/>
  <c r="I45" i="33" s="1"/>
  <c r="T45" i="318"/>
  <c r="I45" i="318" s="1"/>
  <c r="T45" i="288"/>
  <c r="I45" i="288" s="1"/>
  <c r="T45" i="337"/>
  <c r="I45" i="337" s="1"/>
  <c r="T45" i="227"/>
  <c r="I45" i="227" s="1"/>
  <c r="S45" i="388"/>
  <c r="R45" i="388"/>
  <c r="T45" i="290"/>
  <c r="I45" i="290" s="1"/>
  <c r="T45" i="289"/>
  <c r="I45" i="289" s="1"/>
  <c r="S45" i="357"/>
  <c r="I45" i="357" s="1"/>
  <c r="T45" i="293"/>
  <c r="I45" i="293" s="1"/>
  <c r="T45" i="348"/>
  <c r="I45" i="348" s="1"/>
  <c r="T45" i="297"/>
  <c r="I45" i="297" s="1"/>
  <c r="T45" i="350"/>
  <c r="I45" i="350" s="1"/>
  <c r="T45" i="105"/>
  <c r="I45" i="105" s="1"/>
  <c r="T45" i="294"/>
  <c r="I45" i="294" s="1"/>
  <c r="S45" i="365"/>
  <c r="I45" i="365" s="1"/>
  <c r="S45" i="366"/>
  <c r="I45" i="366" s="1"/>
  <c r="T45" i="206"/>
  <c r="I45" i="206" s="1"/>
  <c r="T45" i="22"/>
  <c r="I45" i="22" s="1"/>
  <c r="T45" i="301"/>
  <c r="I45" i="301" s="1"/>
  <c r="T45" i="344"/>
  <c r="I45" i="344" s="1"/>
  <c r="T45" i="61"/>
  <c r="I45" i="61" s="1"/>
  <c r="T45" i="338"/>
  <c r="I45" i="338" s="1"/>
  <c r="T45" i="340"/>
  <c r="I45" i="340" s="1"/>
  <c r="T45" i="34"/>
  <c r="I45" i="34" s="1"/>
  <c r="I45" i="187"/>
  <c r="T45" i="135"/>
  <c r="I45" i="135" s="1"/>
  <c r="T45" i="295"/>
  <c r="I45" i="295" s="1"/>
  <c r="T45" i="283"/>
  <c r="I45" i="283" s="1"/>
  <c r="T45" i="284"/>
  <c r="I45" i="284" s="1"/>
  <c r="T45" i="292"/>
  <c r="I45" i="292" s="1"/>
  <c r="T45" i="339"/>
  <c r="I45" i="339" s="1"/>
  <c r="T45" i="325"/>
  <c r="I45" i="325" s="1"/>
  <c r="T45" i="269"/>
  <c r="I45" i="269" s="1"/>
  <c r="T45" i="11"/>
  <c r="I45" i="11" s="1"/>
  <c r="S45" i="279"/>
  <c r="I45" i="279" s="1"/>
  <c r="S45" i="335"/>
  <c r="I45" i="335" s="1"/>
  <c r="T45" i="101"/>
  <c r="I45" i="101" s="1"/>
  <c r="T45" i="382"/>
  <c r="I45" i="382" s="1"/>
  <c r="T45" i="102"/>
  <c r="I45" i="102" s="1"/>
  <c r="T45" i="103"/>
  <c r="I45" i="103" s="1"/>
  <c r="T45" i="411"/>
  <c r="I45" i="411" s="1"/>
  <c r="T45" i="265"/>
  <c r="I45" i="265" s="1"/>
  <c r="T45" i="262"/>
  <c r="I45" i="262" s="1"/>
  <c r="T45" i="112"/>
  <c r="I45" i="112" s="1"/>
  <c r="T45" i="109"/>
  <c r="I45" i="109" s="1"/>
  <c r="T45" i="85"/>
  <c r="I45" i="85" s="1"/>
  <c r="T45" i="324"/>
  <c r="I45" i="324" s="1"/>
  <c r="T45" i="32"/>
  <c r="I45" i="32" s="1"/>
  <c r="T45" i="196"/>
  <c r="I45" i="196" s="1"/>
  <c r="T45" i="198"/>
  <c r="I45" i="198" s="1"/>
  <c r="T45" i="345"/>
  <c r="I45" i="345" s="1"/>
  <c r="T45" i="346"/>
  <c r="I45" i="346" s="1"/>
  <c r="T45" i="74"/>
  <c r="I45" i="74" s="1"/>
  <c r="T45" i="200"/>
  <c r="I45" i="200" s="1"/>
  <c r="T45" i="280"/>
  <c r="I45" i="280" s="1"/>
  <c r="T45" i="45"/>
  <c r="I45" i="45" s="1"/>
  <c r="T45" i="104"/>
  <c r="I45" i="104" s="1"/>
  <c r="T45" i="254"/>
  <c r="I45" i="254" s="1"/>
  <c r="S45" i="185"/>
  <c r="R45" i="185"/>
  <c r="Q45" i="185"/>
  <c r="T45" i="181"/>
  <c r="I45" i="181" s="1"/>
  <c r="T45" i="183"/>
  <c r="I45" i="183" s="1"/>
  <c r="T45" i="184"/>
  <c r="I45" i="184" s="1"/>
  <c r="S45" i="144"/>
  <c r="R45" i="144"/>
  <c r="Q45" i="144"/>
  <c r="T45" i="27"/>
  <c r="I45" i="27" s="1"/>
  <c r="T45" i="143"/>
  <c r="I45" i="143" s="1"/>
  <c r="T45" i="268"/>
  <c r="I45" i="268" s="1"/>
  <c r="T45" i="263"/>
  <c r="I45" i="263" s="1"/>
  <c r="T45" i="209"/>
  <c r="I45" i="209" s="1"/>
  <c r="T45" i="192"/>
  <c r="I45" i="192" s="1"/>
  <c r="T45" i="140"/>
  <c r="I45" i="140" s="1"/>
  <c r="T45" i="270"/>
  <c r="I45" i="270" s="1"/>
  <c r="T45" i="271"/>
  <c r="I45" i="271" s="1"/>
  <c r="S45" i="186"/>
  <c r="R45" i="186"/>
  <c r="Q45" i="186"/>
  <c r="T45" i="159"/>
  <c r="I45" i="159" s="1"/>
  <c r="T45" i="160"/>
  <c r="I45" i="160" s="1"/>
  <c r="T45" i="107"/>
  <c r="I45" i="107" s="1"/>
  <c r="T45" i="176"/>
  <c r="I45" i="176" s="1"/>
  <c r="T45" i="281"/>
  <c r="I45" i="281" s="1"/>
  <c r="T45" i="332"/>
  <c r="I45" i="332" s="1"/>
  <c r="T45" i="24"/>
  <c r="I45" i="24" s="1"/>
  <c r="T45" i="116"/>
  <c r="I45" i="116" s="1"/>
  <c r="T45" i="285"/>
  <c r="I45" i="285" s="1"/>
  <c r="T45" i="272"/>
  <c r="I45" i="272" s="1"/>
  <c r="S45" i="44"/>
  <c r="I45" i="44" s="1"/>
  <c r="T45" i="87"/>
  <c r="I45" i="87" s="1"/>
  <c r="T45" i="287"/>
  <c r="I45" i="287" s="1"/>
  <c r="T45" i="276"/>
  <c r="I45" i="276" s="1"/>
  <c r="S45" i="231"/>
  <c r="R45" i="231"/>
  <c r="Q45" i="231"/>
  <c r="F45" i="231" s="1"/>
  <c r="G46" i="231" s="1"/>
  <c r="T45" i="229"/>
  <c r="I45" i="229" s="1"/>
  <c r="T45" i="326"/>
  <c r="I45" i="326" s="1"/>
  <c r="T45" i="47"/>
  <c r="I45" i="47" s="1"/>
  <c r="T45" i="248"/>
  <c r="I45" i="248" s="1"/>
  <c r="T45" i="46"/>
  <c r="I45" i="46" s="1"/>
  <c r="T45" i="239"/>
  <c r="I45" i="239" s="1"/>
  <c r="T45" i="243"/>
  <c r="I45" i="243" s="1"/>
  <c r="S45" i="247"/>
  <c r="R45" i="247"/>
  <c r="Q45" i="247"/>
  <c r="T45" i="244"/>
  <c r="I45" i="244" s="1"/>
  <c r="T45" i="246"/>
  <c r="I45" i="246" s="1"/>
  <c r="T45" i="1"/>
  <c r="I45" i="1" s="1"/>
  <c r="T45" i="397"/>
  <c r="I45" i="397" s="1"/>
  <c r="T45" i="367"/>
  <c r="I45" i="367" s="1"/>
  <c r="T45" i="202"/>
  <c r="I45" i="202" s="1"/>
  <c r="T45" i="392"/>
  <c r="I45" i="392" s="1"/>
  <c r="T45" i="391"/>
  <c r="I45" i="391" s="1"/>
  <c r="F45" i="247" l="1"/>
  <c r="G46" i="247" s="1"/>
  <c r="U47" i="247"/>
  <c r="F45" i="186"/>
  <c r="G46" i="186" s="1"/>
  <c r="U47" i="186"/>
  <c r="F45" i="144"/>
  <c r="G46" i="144" s="1"/>
  <c r="U47" i="144"/>
  <c r="F45" i="253"/>
  <c r="G46" i="253" s="1"/>
  <c r="U47" i="253"/>
  <c r="F45" i="321"/>
  <c r="G46" i="321" s="1"/>
  <c r="U47" i="321"/>
  <c r="F45" i="185"/>
  <c r="G46" i="185" s="1"/>
  <c r="U47" i="185"/>
  <c r="F45" i="404"/>
  <c r="G46" i="404" s="1"/>
  <c r="U47" i="404"/>
  <c r="F45" i="414"/>
  <c r="G46" i="414" s="1"/>
  <c r="U47" i="414"/>
  <c r="F45" i="142"/>
  <c r="G46" i="142" s="1"/>
  <c r="U47" i="142"/>
  <c r="F45" i="395"/>
  <c r="G46" i="395" s="1"/>
  <c r="U47" i="395"/>
  <c r="F45" i="195"/>
  <c r="G46" i="195" s="1"/>
  <c r="U47" i="195"/>
  <c r="T45" i="186"/>
  <c r="I45" i="186" s="1"/>
  <c r="T45" i="398"/>
  <c r="I45" i="398" s="1"/>
  <c r="T45" i="300"/>
  <c r="I45" i="300" s="1"/>
  <c r="T45" i="321"/>
  <c r="I45" i="321" s="1"/>
  <c r="T45" i="388"/>
  <c r="I45" i="388" s="1"/>
  <c r="T45" i="253"/>
  <c r="I45" i="253" s="1"/>
  <c r="T45" i="231"/>
  <c r="I45" i="231" s="1"/>
  <c r="T45" i="185"/>
  <c r="I45" i="185" s="1"/>
  <c r="T45" i="144"/>
  <c r="I45" i="144" s="1"/>
  <c r="T45" i="247"/>
  <c r="I45" i="247" s="1"/>
  <c r="T45" i="371"/>
  <c r="I45" i="371" s="1"/>
  <c r="T45" i="195"/>
  <c r="I45" i="195" s="1"/>
  <c r="T45" i="152"/>
  <c r="I45" i="152" s="1"/>
  <c r="T45" i="414"/>
  <c r="I45" i="414" s="1"/>
  <c r="T45" i="142"/>
  <c r="I45" i="142" s="1"/>
  <c r="T45" i="395"/>
  <c r="I45" i="395" s="1"/>
  <c r="T45" i="149"/>
  <c r="I45" i="149" s="1"/>
  <c r="T45" i="170"/>
  <c r="I45" i="170" s="1"/>
  <c r="T45" i="404"/>
  <c r="I45" i="404" s="1"/>
  <c r="T45" i="327"/>
  <c r="I45" i="327" s="1"/>
  <c r="Q44" i="321"/>
  <c r="U46" i="321" s="1"/>
  <c r="L49" i="321" s="1"/>
  <c r="S44" i="321"/>
  <c r="R44" i="321"/>
  <c r="K46" i="321" s="1"/>
  <c r="T44" i="321" l="1"/>
  <c r="R44" i="398"/>
  <c r="K46" i="398" s="1"/>
  <c r="Q44" i="398"/>
  <c r="U46" i="398" s="1"/>
  <c r="L49" i="398" s="1"/>
  <c r="T41" i="351"/>
  <c r="I41" i="351" s="1"/>
  <c r="J53" i="351" s="1"/>
  <c r="T42" i="351"/>
  <c r="I42" i="351" s="1"/>
  <c r="J54" i="351" s="1"/>
  <c r="T43" i="351"/>
  <c r="I43" i="351" s="1"/>
  <c r="J55" i="351" s="1"/>
  <c r="T44" i="351"/>
  <c r="N46" i="351" l="1"/>
  <c r="O49" i="351" s="1"/>
  <c r="I44" i="351"/>
  <c r="J56" i="351" s="1"/>
  <c r="N46" i="321"/>
  <c r="O49" i="321" s="1"/>
  <c r="I44" i="321"/>
  <c r="J56" i="321" s="1"/>
  <c r="F44" i="296"/>
  <c r="H56" i="296" s="1"/>
  <c r="F44" i="9"/>
  <c r="H56" i="9" s="1"/>
  <c r="F44" i="21"/>
  <c r="H56" i="21" s="1"/>
  <c r="F44" i="174"/>
  <c r="H56" i="174" s="1"/>
  <c r="F44" i="424"/>
  <c r="H56" i="424" s="1"/>
  <c r="F44" i="328"/>
  <c r="H56" i="328" s="1"/>
  <c r="F44" i="329"/>
  <c r="H56" i="329" s="1"/>
  <c r="F44" i="89"/>
  <c r="H56" i="89" s="1"/>
  <c r="F44" i="389"/>
  <c r="H56" i="389" s="1"/>
  <c r="F44" i="5"/>
  <c r="H56" i="5" s="1"/>
  <c r="F44" i="207"/>
  <c r="H56" i="207" s="1"/>
  <c r="F44" i="387"/>
  <c r="H56" i="387" s="1"/>
  <c r="F44" i="314"/>
  <c r="H56" i="314" s="1"/>
  <c r="F44" i="194"/>
  <c r="H56" i="194" s="1"/>
  <c r="F44" i="193"/>
  <c r="H56" i="193" s="1"/>
  <c r="F44" i="319"/>
  <c r="H56" i="319" s="1"/>
  <c r="F44" i="320"/>
  <c r="H56" i="320" s="1"/>
  <c r="F44" i="429"/>
  <c r="F44" i="427"/>
  <c r="F44" i="428"/>
  <c r="F44" i="17"/>
  <c r="H56" i="17" s="1"/>
  <c r="F44" i="12"/>
  <c r="H56" i="12" s="1"/>
  <c r="F44" i="356"/>
  <c r="H56" i="356" s="1"/>
  <c r="F44" i="394"/>
  <c r="H56" i="394" s="1"/>
  <c r="F44" i="393"/>
  <c r="H56" i="393" s="1"/>
  <c r="F44" i="413"/>
  <c r="H56" i="413" s="1"/>
  <c r="F44" i="23"/>
  <c r="H56" i="23" s="1"/>
  <c r="F44" i="48"/>
  <c r="H56" i="48" s="1"/>
  <c r="F44" i="52"/>
  <c r="H56" i="52" s="1"/>
  <c r="F44" i="425"/>
  <c r="H56" i="425" s="1"/>
  <c r="F44" i="88"/>
  <c r="H56" i="88" s="1"/>
  <c r="F44" i="148"/>
  <c r="H56" i="148" s="1"/>
  <c r="F44" i="409"/>
  <c r="H56" i="409" s="1"/>
  <c r="F44" i="18"/>
  <c r="H56" i="18" s="1"/>
  <c r="F44" i="20"/>
  <c r="H56" i="20" s="1"/>
  <c r="F44" i="422"/>
  <c r="H56" i="422" s="1"/>
  <c r="F44" i="75"/>
  <c r="H56" i="75" s="1"/>
  <c r="F44" i="43"/>
  <c r="H56" i="43" s="1"/>
  <c r="F44" i="97"/>
  <c r="H56" i="97" s="1"/>
  <c r="F44" i="383"/>
  <c r="H56" i="383" s="1"/>
  <c r="F44" i="28"/>
  <c r="H56" i="28" s="1"/>
  <c r="F44" i="29"/>
  <c r="H56" i="29" s="1"/>
  <c r="F44" i="359"/>
  <c r="H56" i="359" s="1"/>
  <c r="F44" i="360"/>
  <c r="H56" i="360" s="1"/>
  <c r="F44" i="368"/>
  <c r="H56" i="368" s="1"/>
  <c r="F44" i="364"/>
  <c r="H56" i="364" s="1"/>
  <c r="F44" i="420"/>
  <c r="H56" i="420" s="1"/>
  <c r="F44" i="8"/>
  <c r="H56" i="8" s="1"/>
  <c r="F44" i="203"/>
  <c r="H56" i="203" s="1"/>
  <c r="F44" i="191"/>
  <c r="H56" i="191" s="1"/>
  <c r="F44" i="426"/>
  <c r="F44" i="113"/>
  <c r="H56" i="113" s="1"/>
  <c r="F44" i="361"/>
  <c r="H56" i="361" s="1"/>
  <c r="F44" i="351"/>
  <c r="H56" i="351" s="1"/>
  <c r="F44" i="352"/>
  <c r="H56" i="352" s="1"/>
  <c r="F44" i="353"/>
  <c r="H56" i="353" s="1"/>
  <c r="F44" i="362"/>
  <c r="H56" i="362" s="1"/>
  <c r="F44" i="354"/>
  <c r="H56" i="354" s="1"/>
  <c r="F44" i="322"/>
  <c r="H56" i="322" s="1"/>
  <c r="F44" i="233"/>
  <c r="H56" i="233" s="1"/>
  <c r="F44" i="2"/>
  <c r="H56" i="2" s="1"/>
  <c r="F44" i="164"/>
  <c r="H56" i="164" s="1"/>
  <c r="F44" i="162"/>
  <c r="H56" i="162" s="1"/>
  <c r="F44" i="421"/>
  <c r="H56" i="421" s="1"/>
  <c r="F44" i="333"/>
  <c r="H56" i="333" s="1"/>
  <c r="F44" i="53"/>
  <c r="H56" i="53" s="1"/>
  <c r="F44" i="386"/>
  <c r="H56" i="386" s="1"/>
  <c r="F44" i="303"/>
  <c r="H56" i="303" s="1"/>
  <c r="F44" i="114"/>
  <c r="H56" i="114" s="1"/>
  <c r="F44" i="323"/>
  <c r="F44" i="400"/>
  <c r="H56" i="400" s="1"/>
  <c r="F44" i="402"/>
  <c r="F44" i="403"/>
  <c r="F44" i="408"/>
  <c r="F44" i="385"/>
  <c r="H56" i="385" s="1"/>
  <c r="F44" i="334"/>
  <c r="H56" i="334" s="1"/>
  <c r="F44" i="3"/>
  <c r="H56" i="3" s="1"/>
  <c r="F44" i="349"/>
  <c r="H56" i="349" s="1"/>
  <c r="F44" i="4"/>
  <c r="H56" i="4" s="1"/>
  <c r="F44" i="15"/>
  <c r="H56" i="15" s="1"/>
  <c r="F44" i="355"/>
  <c r="H56" i="355" s="1"/>
  <c r="F44" i="299"/>
  <c r="H56" i="299" s="1"/>
  <c r="F44" i="190"/>
  <c r="H56" i="190" s="1"/>
  <c r="F44" i="16"/>
  <c r="H56" i="16" s="1"/>
  <c r="F44" i="54"/>
  <c r="H56" i="54" s="1"/>
  <c r="F44" i="384"/>
  <c r="H56" i="384" s="1"/>
  <c r="F44" i="201"/>
  <c r="H56" i="201" s="1"/>
  <c r="F44" i="249"/>
  <c r="H56" i="249" s="1"/>
  <c r="F44" i="7"/>
  <c r="H56" i="7" s="1"/>
  <c r="F44" i="423"/>
  <c r="H56" i="423" s="1"/>
  <c r="F44" i="13"/>
  <c r="H56" i="13" s="1"/>
  <c r="F44" i="261"/>
  <c r="H56" i="261" s="1"/>
  <c r="F44" i="153"/>
  <c r="H56" i="153" s="1"/>
  <c r="F44" i="257"/>
  <c r="H56" i="257" s="1"/>
  <c r="F44" i="19"/>
  <c r="H56" i="19" s="1"/>
  <c r="F44" i="347"/>
  <c r="H56" i="347" s="1"/>
  <c r="F44" i="37"/>
  <c r="H56" i="37" s="1"/>
  <c r="F44" i="204"/>
  <c r="H56" i="204" s="1"/>
  <c r="F44" i="363"/>
  <c r="F44" i="31"/>
  <c r="H56" i="31" s="1"/>
  <c r="F44" i="298"/>
  <c r="H56" i="298" s="1"/>
  <c r="F44" i="168"/>
  <c r="H56" i="168" s="1"/>
  <c r="F44" i="169"/>
  <c r="H56" i="169" s="1"/>
  <c r="F44" i="336"/>
  <c r="H56" i="336" s="1"/>
  <c r="F44" i="342"/>
  <c r="H56" i="342" s="1"/>
  <c r="F44" i="33"/>
  <c r="H56" i="33" s="1"/>
  <c r="F44" i="318"/>
  <c r="H56" i="318" s="1"/>
  <c r="F44" i="288"/>
  <c r="H56" i="288" s="1"/>
  <c r="F44" i="337"/>
  <c r="H56" i="337" s="1"/>
  <c r="F44" i="227"/>
  <c r="H56" i="227" s="1"/>
  <c r="F44" i="290"/>
  <c r="H56" i="290" s="1"/>
  <c r="F44" i="289"/>
  <c r="H56" i="289" s="1"/>
  <c r="F44" i="357"/>
  <c r="F44" i="293"/>
  <c r="H56" i="293" s="1"/>
  <c r="F44" i="348"/>
  <c r="H56" i="348" s="1"/>
  <c r="F44" i="297"/>
  <c r="H56" i="297" s="1"/>
  <c r="F44" i="350"/>
  <c r="H56" i="350" s="1"/>
  <c r="F44" i="105"/>
  <c r="H56" i="105" s="1"/>
  <c r="F44" i="294"/>
  <c r="H56" i="294" s="1"/>
  <c r="F44" i="365"/>
  <c r="F44" i="366"/>
  <c r="F44" i="206"/>
  <c r="H56" i="206" s="1"/>
  <c r="F44" i="22"/>
  <c r="H56" i="22" s="1"/>
  <c r="F44" i="301"/>
  <c r="H56" i="301" s="1"/>
  <c r="F44" i="344"/>
  <c r="H56" i="344" s="1"/>
  <c r="F44" i="61"/>
  <c r="H56" i="61" s="1"/>
  <c r="F44" i="338"/>
  <c r="H56" i="338" s="1"/>
  <c r="F44" i="340"/>
  <c r="H56" i="340" s="1"/>
  <c r="F44" i="34"/>
  <c r="H56" i="34" s="1"/>
  <c r="F44" i="187"/>
  <c r="H56" i="187" s="1"/>
  <c r="F44" i="135"/>
  <c r="H56" i="135" s="1"/>
  <c r="F44" i="295"/>
  <c r="H56" i="295" s="1"/>
  <c r="F44" i="283"/>
  <c r="H56" i="283" s="1"/>
  <c r="F44" i="284"/>
  <c r="H56" i="284" s="1"/>
  <c r="F44" i="292"/>
  <c r="H56" i="292" s="1"/>
  <c r="F44" i="339"/>
  <c r="H56" i="339" s="1"/>
  <c r="F44" i="325"/>
  <c r="H56" i="325" s="1"/>
  <c r="F44" i="269"/>
  <c r="H56" i="269" s="1"/>
  <c r="F44" i="11"/>
  <c r="H56" i="11" s="1"/>
  <c r="F44" i="279"/>
  <c r="F44" i="335"/>
  <c r="F44" i="101"/>
  <c r="H56" i="101" s="1"/>
  <c r="F44" i="382"/>
  <c r="H56" i="382" s="1"/>
  <c r="F44" i="102"/>
  <c r="H56" i="102" s="1"/>
  <c r="F44" i="103"/>
  <c r="H56" i="103" s="1"/>
  <c r="F44" i="411"/>
  <c r="H56" i="411" s="1"/>
  <c r="F44" i="265"/>
  <c r="H56" i="265" s="1"/>
  <c r="F44" i="262"/>
  <c r="H56" i="262" s="1"/>
  <c r="F44" i="112"/>
  <c r="H56" i="112" s="1"/>
  <c r="F44" i="109"/>
  <c r="H56" i="109" s="1"/>
  <c r="F44" i="85"/>
  <c r="H56" i="85" s="1"/>
  <c r="F44" i="324"/>
  <c r="H56" i="324" s="1"/>
  <c r="F44" i="32"/>
  <c r="H56" i="32" s="1"/>
  <c r="F44" i="196"/>
  <c r="H56" i="196" s="1"/>
  <c r="F44" i="197"/>
  <c r="H56" i="197" s="1"/>
  <c r="F44" i="198"/>
  <c r="H56" i="198" s="1"/>
  <c r="F44" i="345"/>
  <c r="H56" i="345" s="1"/>
  <c r="F44" i="346"/>
  <c r="H56" i="346" s="1"/>
  <c r="F44" i="74"/>
  <c r="H56" i="74" s="1"/>
  <c r="F44" i="200"/>
  <c r="H56" i="200" s="1"/>
  <c r="F44" i="280"/>
  <c r="H56" i="280" s="1"/>
  <c r="F44" i="45"/>
  <c r="H56" i="45" s="1"/>
  <c r="F44" i="104"/>
  <c r="H56" i="104" s="1"/>
  <c r="F44" i="254"/>
  <c r="H56" i="254" s="1"/>
  <c r="F44" i="181"/>
  <c r="H56" i="181" s="1"/>
  <c r="F44" i="183"/>
  <c r="H56" i="183" s="1"/>
  <c r="F44" i="184"/>
  <c r="H56" i="184" s="1"/>
  <c r="F44" i="27"/>
  <c r="H56" i="27" s="1"/>
  <c r="F44" i="143"/>
  <c r="H56" i="143" s="1"/>
  <c r="F44" i="268"/>
  <c r="F44" i="263"/>
  <c r="H56" i="263" s="1"/>
  <c r="F44" i="209"/>
  <c r="H56" i="209" s="1"/>
  <c r="F44" i="192"/>
  <c r="H56" i="192" s="1"/>
  <c r="F44" i="140"/>
  <c r="H56" i="140" s="1"/>
  <c r="F44" i="270"/>
  <c r="H56" i="270" s="1"/>
  <c r="F44" i="271"/>
  <c r="H56" i="271" s="1"/>
  <c r="F44" i="159"/>
  <c r="H56" i="159" s="1"/>
  <c r="F44" i="160"/>
  <c r="H56" i="160" s="1"/>
  <c r="F44" i="107"/>
  <c r="H56" i="107" s="1"/>
  <c r="F44" i="176"/>
  <c r="H56" i="176" s="1"/>
  <c r="F44" i="281"/>
  <c r="H56" i="281" s="1"/>
  <c r="F44" i="332"/>
  <c r="H56" i="332" s="1"/>
  <c r="F44" i="25"/>
  <c r="H56" i="25" s="1"/>
  <c r="F44" i="24"/>
  <c r="H56" i="24" s="1"/>
  <c r="F44" i="116"/>
  <c r="H56" i="116" s="1"/>
  <c r="F44" i="285"/>
  <c r="H56" i="285" s="1"/>
  <c r="F44" i="272"/>
  <c r="H56" i="272" s="1"/>
  <c r="F44" i="44"/>
  <c r="F44" i="87"/>
  <c r="H56" i="87" s="1"/>
  <c r="F44" i="287"/>
  <c r="H56" i="287" s="1"/>
  <c r="F44" i="276"/>
  <c r="H56" i="276" s="1"/>
  <c r="F44" i="229"/>
  <c r="H56" i="229" s="1"/>
  <c r="F44" i="230"/>
  <c r="H56" i="230" s="1"/>
  <c r="F44" i="326"/>
  <c r="H56" i="326" s="1"/>
  <c r="F44" i="47"/>
  <c r="H56" i="47" s="1"/>
  <c r="F44" i="248"/>
  <c r="H56" i="248" s="1"/>
  <c r="F44" i="46"/>
  <c r="H56" i="46" s="1"/>
  <c r="F44" i="239"/>
  <c r="H56" i="239" s="1"/>
  <c r="F44" i="243"/>
  <c r="H56" i="243" s="1"/>
  <c r="F44" i="244"/>
  <c r="H56" i="244" s="1"/>
  <c r="F44" i="246"/>
  <c r="H56" i="246" s="1"/>
  <c r="F44" i="1"/>
  <c r="H56" i="1" s="1"/>
  <c r="F44" i="397"/>
  <c r="H56" i="397" s="1"/>
  <c r="F44" i="367"/>
  <c r="H56" i="367" s="1"/>
  <c r="U44" i="202"/>
  <c r="U44" i="392"/>
  <c r="U44" i="391"/>
  <c r="F44" i="202"/>
  <c r="H56" i="202" s="1"/>
  <c r="F44" i="392"/>
  <c r="F44" i="391"/>
  <c r="F44" i="35"/>
  <c r="H234" i="417" l="1"/>
  <c r="H56" i="35"/>
  <c r="C46" i="367"/>
  <c r="D49" i="367" s="1"/>
  <c r="B46" i="367"/>
  <c r="C46" i="176"/>
  <c r="D49" i="176" s="1"/>
  <c r="B46" i="176"/>
  <c r="C46" i="27"/>
  <c r="D49" i="27" s="1"/>
  <c r="B46" i="27"/>
  <c r="B46" i="280"/>
  <c r="C46" i="280"/>
  <c r="D49" i="280" s="1"/>
  <c r="B46" i="345"/>
  <c r="C46" i="345"/>
  <c r="D49" i="345" s="1"/>
  <c r="B46" i="32"/>
  <c r="C46" i="32"/>
  <c r="D49" i="32" s="1"/>
  <c r="C46" i="112"/>
  <c r="D49" i="112" s="1"/>
  <c r="B46" i="112"/>
  <c r="B46" i="103"/>
  <c r="C46" i="103"/>
  <c r="D49" i="103" s="1"/>
  <c r="C46" i="335"/>
  <c r="D49" i="335" s="1"/>
  <c r="B46" i="335"/>
  <c r="B46" i="325"/>
  <c r="C46" i="325"/>
  <c r="D49" i="325" s="1"/>
  <c r="B46" i="283"/>
  <c r="C46" i="283"/>
  <c r="D49" i="283" s="1"/>
  <c r="B46" i="34"/>
  <c r="C46" i="34"/>
  <c r="D49" i="34" s="1"/>
  <c r="B46" i="344"/>
  <c r="C46" i="344"/>
  <c r="D49" i="344" s="1"/>
  <c r="B46" i="366"/>
  <c r="C46" i="366"/>
  <c r="D49" i="366" s="1"/>
  <c r="C46" i="350"/>
  <c r="D49" i="350" s="1"/>
  <c r="B46" i="350"/>
  <c r="B46" i="357"/>
  <c r="C46" i="357"/>
  <c r="D49" i="357" s="1"/>
  <c r="C46" i="337"/>
  <c r="D49" i="337" s="1"/>
  <c r="B46" i="337"/>
  <c r="B46" i="342"/>
  <c r="C46" i="342"/>
  <c r="D49" i="342" s="1"/>
  <c r="C46" i="298"/>
  <c r="D49" i="298" s="1"/>
  <c r="B46" i="298"/>
  <c r="C46" i="37"/>
  <c r="D49" i="37" s="1"/>
  <c r="B46" i="37"/>
  <c r="B46" i="153"/>
  <c r="C46" i="153"/>
  <c r="D49" i="153" s="1"/>
  <c r="C46" i="7"/>
  <c r="D49" i="7" s="1"/>
  <c r="B46" i="7"/>
  <c r="B46" i="54"/>
  <c r="C46" i="54"/>
  <c r="D49" i="54" s="1"/>
  <c r="C46" i="355"/>
  <c r="D49" i="355" s="1"/>
  <c r="B46" i="355"/>
  <c r="B46" i="3"/>
  <c r="C46" i="3"/>
  <c r="D49" i="3" s="1"/>
  <c r="B46" i="403"/>
  <c r="C46" i="403"/>
  <c r="D49" i="403" s="1"/>
  <c r="C46" i="114"/>
  <c r="D49" i="114" s="1"/>
  <c r="B46" i="114"/>
  <c r="B46" i="53"/>
  <c r="C46" i="53"/>
  <c r="D49" i="53" s="1"/>
  <c r="C46" i="164"/>
  <c r="D49" i="164" s="1"/>
  <c r="B46" i="164"/>
  <c r="B46" i="354"/>
  <c r="C46" i="354"/>
  <c r="D49" i="354" s="1"/>
  <c r="C46" i="351"/>
  <c r="D49" i="351" s="1"/>
  <c r="B46" i="351"/>
  <c r="B46" i="191"/>
  <c r="C46" i="191"/>
  <c r="D49" i="191" s="1"/>
  <c r="C46" i="364"/>
  <c r="D49" i="364" s="1"/>
  <c r="B46" i="364"/>
  <c r="B46" i="29"/>
  <c r="C46" i="29"/>
  <c r="D49" i="29" s="1"/>
  <c r="C46" i="43"/>
  <c r="D49" i="43" s="1"/>
  <c r="B46" i="43"/>
  <c r="C46" i="18"/>
  <c r="D49" i="18" s="1"/>
  <c r="B46" i="18"/>
  <c r="C46" i="425"/>
  <c r="D49" i="425" s="1"/>
  <c r="B46" i="425"/>
  <c r="C46" i="413"/>
  <c r="D49" i="413" s="1"/>
  <c r="B46" i="413"/>
  <c r="C46" i="12"/>
  <c r="D49" i="12" s="1"/>
  <c r="B46" i="12"/>
  <c r="C46" i="429"/>
  <c r="D49" i="429" s="1"/>
  <c r="B46" i="429"/>
  <c r="B46" i="194"/>
  <c r="C46" i="194"/>
  <c r="D49" i="194" s="1"/>
  <c r="C46" i="5"/>
  <c r="D49" i="5" s="1"/>
  <c r="B46" i="5"/>
  <c r="C46" i="329"/>
  <c r="D49" i="329" s="1"/>
  <c r="B46" i="329"/>
  <c r="C46" i="174"/>
  <c r="D49" i="174" s="1"/>
  <c r="B46" i="174"/>
  <c r="C46" i="202"/>
  <c r="D49" i="202" s="1"/>
  <c r="B46" i="202"/>
  <c r="B46" i="229"/>
  <c r="C46" i="229"/>
  <c r="D49" i="229" s="1"/>
  <c r="C46" i="35"/>
  <c r="D49" i="35" s="1"/>
  <c r="B46" i="35"/>
  <c r="C46" i="272"/>
  <c r="D49" i="272" s="1"/>
  <c r="B46" i="272"/>
  <c r="B46" i="184"/>
  <c r="C46" i="184"/>
  <c r="D49" i="184" s="1"/>
  <c r="C46" i="198"/>
  <c r="D49" i="198" s="1"/>
  <c r="B46" i="198"/>
  <c r="C46" i="102"/>
  <c r="D49" i="102" s="1"/>
  <c r="B46" i="102"/>
  <c r="B46" i="339"/>
  <c r="C46" i="339"/>
  <c r="D49" i="339" s="1"/>
  <c r="B46" i="295"/>
  <c r="C46" i="295"/>
  <c r="D49" i="295" s="1"/>
  <c r="C46" i="340"/>
  <c r="D49" i="340" s="1"/>
  <c r="B46" i="340"/>
  <c r="C46" i="301"/>
  <c r="D49" i="301" s="1"/>
  <c r="B46" i="301"/>
  <c r="B46" i="365"/>
  <c r="C46" i="365"/>
  <c r="D49" i="365" s="1"/>
  <c r="B46" i="297"/>
  <c r="C46" i="297"/>
  <c r="D49" i="297" s="1"/>
  <c r="C46" i="289"/>
  <c r="D49" i="289" s="1"/>
  <c r="B46" i="289"/>
  <c r="B46" i="288"/>
  <c r="C46" i="288"/>
  <c r="D49" i="288" s="1"/>
  <c r="C46" i="336"/>
  <c r="D49" i="336" s="1"/>
  <c r="B46" i="336"/>
  <c r="C46" i="31"/>
  <c r="D49" i="31" s="1"/>
  <c r="B46" i="31"/>
  <c r="B46" i="347"/>
  <c r="C46" i="347"/>
  <c r="D49" i="347" s="1"/>
  <c r="C46" i="261"/>
  <c r="D49" i="261" s="1"/>
  <c r="B46" i="261"/>
  <c r="B46" i="249"/>
  <c r="C46" i="249"/>
  <c r="D49" i="249" s="1"/>
  <c r="C46" i="16"/>
  <c r="D49" i="16" s="1"/>
  <c r="B46" i="16"/>
  <c r="C46" i="15"/>
  <c r="D49" i="15" s="1"/>
  <c r="B46" i="15"/>
  <c r="B46" i="334"/>
  <c r="C46" i="334"/>
  <c r="D49" i="334" s="1"/>
  <c r="C46" i="402"/>
  <c r="D49" i="402" s="1"/>
  <c r="B46" i="402"/>
  <c r="B46" i="303"/>
  <c r="C46" i="303"/>
  <c r="D49" i="303" s="1"/>
  <c r="B46" i="333"/>
  <c r="C46" i="333"/>
  <c r="D49" i="333" s="1"/>
  <c r="C46" i="2"/>
  <c r="D49" i="2" s="1"/>
  <c r="B46" i="2"/>
  <c r="B46" i="362"/>
  <c r="C46" i="362"/>
  <c r="D49" i="362" s="1"/>
  <c r="C46" i="361"/>
  <c r="D49" i="361" s="1"/>
  <c r="B46" i="361"/>
  <c r="C46" i="203"/>
  <c r="D49" i="203" s="1"/>
  <c r="B46" i="203"/>
  <c r="C46" i="368"/>
  <c r="D49" i="368" s="1"/>
  <c r="B46" i="368"/>
  <c r="C46" i="28"/>
  <c r="D49" i="28" s="1"/>
  <c r="B46" i="28"/>
  <c r="B46" i="75"/>
  <c r="C46" i="75"/>
  <c r="D49" i="75" s="1"/>
  <c r="C46" i="409"/>
  <c r="D49" i="409" s="1"/>
  <c r="B46" i="409"/>
  <c r="C46" i="52"/>
  <c r="D49" i="52" s="1"/>
  <c r="B46" i="52"/>
  <c r="C46" i="393"/>
  <c r="D49" i="393" s="1"/>
  <c r="B46" i="393"/>
  <c r="C46" i="17"/>
  <c r="D49" i="17" s="1"/>
  <c r="B46" i="17"/>
  <c r="C46" i="320"/>
  <c r="D49" i="320" s="1"/>
  <c r="B46" i="320"/>
  <c r="C46" i="314"/>
  <c r="D49" i="314" s="1"/>
  <c r="B46" i="314"/>
  <c r="C46" i="389"/>
  <c r="D49" i="389" s="1"/>
  <c r="B46" i="389"/>
  <c r="C46" i="21"/>
  <c r="D49" i="21" s="1"/>
  <c r="B46" i="21"/>
  <c r="B46" i="248"/>
  <c r="C46" i="248"/>
  <c r="D49" i="248" s="1"/>
  <c r="C46" i="24"/>
  <c r="D49" i="24" s="1"/>
  <c r="B46" i="24"/>
  <c r="C46" i="209"/>
  <c r="D49" i="209" s="1"/>
  <c r="B46" i="209"/>
  <c r="C46" i="397"/>
  <c r="D49" i="397" s="1"/>
  <c r="B46" i="397"/>
  <c r="C46" i="47"/>
  <c r="D49" i="47" s="1"/>
  <c r="B46" i="47"/>
  <c r="C46" i="25"/>
  <c r="D49" i="25" s="1"/>
  <c r="B46" i="25"/>
  <c r="C46" i="270"/>
  <c r="D49" i="270" s="1"/>
  <c r="B46" i="270"/>
  <c r="C46" i="200"/>
  <c r="D49" i="200" s="1"/>
  <c r="B46" i="200"/>
  <c r="C46" i="262"/>
  <c r="D49" i="262" s="1"/>
  <c r="B46" i="262"/>
  <c r="C46" i="1"/>
  <c r="D49" i="1" s="1"/>
  <c r="B46" i="1"/>
  <c r="B46" i="285"/>
  <c r="C46" i="285"/>
  <c r="D49" i="285" s="1"/>
  <c r="B46" i="140"/>
  <c r="C46" i="140"/>
  <c r="D49" i="140" s="1"/>
  <c r="C46" i="183"/>
  <c r="D49" i="183" s="1"/>
  <c r="B46" i="183"/>
  <c r="C46" i="197"/>
  <c r="D49" i="197" s="1"/>
  <c r="B46" i="197"/>
  <c r="C46" i="85"/>
  <c r="D49" i="85" s="1"/>
  <c r="B46" i="85"/>
  <c r="C46" i="382"/>
  <c r="D49" i="382" s="1"/>
  <c r="B46" i="382"/>
  <c r="C46" i="11"/>
  <c r="D49" i="11" s="1"/>
  <c r="B46" i="11"/>
  <c r="C46" i="292"/>
  <c r="D49" i="292" s="1"/>
  <c r="B46" i="292"/>
  <c r="C46" i="135"/>
  <c r="D49" i="135" s="1"/>
  <c r="B46" i="135"/>
  <c r="B46" i="338"/>
  <c r="C46" i="338"/>
  <c r="D49" i="338" s="1"/>
  <c r="B46" i="22"/>
  <c r="C46" i="22"/>
  <c r="D49" i="22" s="1"/>
  <c r="C46" i="294"/>
  <c r="D49" i="294" s="1"/>
  <c r="B46" i="294"/>
  <c r="C46" i="348"/>
  <c r="D49" i="348" s="1"/>
  <c r="B46" i="348"/>
  <c r="B46" i="290"/>
  <c r="C46" i="290"/>
  <c r="D49" i="290" s="1"/>
  <c r="C46" i="318"/>
  <c r="D49" i="318" s="1"/>
  <c r="B46" i="318"/>
  <c r="B46" i="169"/>
  <c r="C46" i="169"/>
  <c r="D49" i="169" s="1"/>
  <c r="C46" i="363"/>
  <c r="D49" i="363" s="1"/>
  <c r="B46" i="363"/>
  <c r="B46" i="19"/>
  <c r="C46" i="19"/>
  <c r="D49" i="19" s="1"/>
  <c r="C46" i="13"/>
  <c r="D49" i="13" s="1"/>
  <c r="B46" i="13"/>
  <c r="C46" i="201"/>
  <c r="D49" i="201" s="1"/>
  <c r="B46" i="201"/>
  <c r="B46" i="190"/>
  <c r="C46" i="190"/>
  <c r="D49" i="190" s="1"/>
  <c r="B46" i="4"/>
  <c r="C46" i="4"/>
  <c r="D49" i="4" s="1"/>
  <c r="C46" i="385"/>
  <c r="D49" i="385" s="1"/>
  <c r="B46" i="385"/>
  <c r="B46" i="400"/>
  <c r="C46" i="400"/>
  <c r="D49" i="400" s="1"/>
  <c r="B46" i="386"/>
  <c r="C46" i="386"/>
  <c r="D49" i="386" s="1"/>
  <c r="C46" i="421"/>
  <c r="D49" i="421" s="1"/>
  <c r="B46" i="421"/>
  <c r="C46" i="233"/>
  <c r="D49" i="233" s="1"/>
  <c r="B46" i="233"/>
  <c r="C46" i="353"/>
  <c r="D49" i="353" s="1"/>
  <c r="B46" i="353"/>
  <c r="C46" i="113"/>
  <c r="D49" i="113" s="1"/>
  <c r="B46" i="113"/>
  <c r="C46" i="8"/>
  <c r="D49" i="8" s="1"/>
  <c r="B46" i="8"/>
  <c r="C46" i="360"/>
  <c r="D49" i="360" s="1"/>
  <c r="B46" i="360"/>
  <c r="C46" i="383"/>
  <c r="D49" i="383" s="1"/>
  <c r="B46" i="383"/>
  <c r="C46" i="422"/>
  <c r="D49" i="422" s="1"/>
  <c r="B46" i="422"/>
  <c r="C46" i="148"/>
  <c r="D49" i="148" s="1"/>
  <c r="B46" i="148"/>
  <c r="C46" i="48"/>
  <c r="D49" i="48" s="1"/>
  <c r="B46" i="48"/>
  <c r="C46" i="394"/>
  <c r="D49" i="394" s="1"/>
  <c r="B46" i="394"/>
  <c r="C46" i="319"/>
  <c r="D49" i="319" s="1"/>
  <c r="B46" i="319"/>
  <c r="C46" i="387"/>
  <c r="D49" i="387" s="1"/>
  <c r="B46" i="387"/>
  <c r="C46" i="89"/>
  <c r="D49" i="89" s="1"/>
  <c r="B46" i="89"/>
  <c r="C46" i="328"/>
  <c r="D49" i="328" s="1"/>
  <c r="B46" i="328"/>
  <c r="B46" i="9"/>
  <c r="C46" i="9"/>
  <c r="D49" i="9" s="1"/>
  <c r="B46" i="244"/>
  <c r="C46" i="244"/>
  <c r="D49" i="244" s="1"/>
  <c r="C46" i="44"/>
  <c r="D49" i="44" s="1"/>
  <c r="B46" i="44"/>
  <c r="C46" i="271"/>
  <c r="D49" i="271" s="1"/>
  <c r="B46" i="271"/>
  <c r="C46" i="243"/>
  <c r="D49" i="243" s="1"/>
  <c r="B46" i="243"/>
  <c r="C46" i="276"/>
  <c r="D49" i="276" s="1"/>
  <c r="B46" i="276"/>
  <c r="C46" i="107"/>
  <c r="D49" i="107" s="1"/>
  <c r="B46" i="107"/>
  <c r="C46" i="263"/>
  <c r="D49" i="263" s="1"/>
  <c r="B46" i="263"/>
  <c r="C46" i="254"/>
  <c r="D49" i="254" s="1"/>
  <c r="B46" i="254"/>
  <c r="C46" i="324"/>
  <c r="D49" i="324" s="1"/>
  <c r="B46" i="324"/>
  <c r="C46" i="279"/>
  <c r="D49" i="279" s="1"/>
  <c r="B46" i="279"/>
  <c r="C46" i="391"/>
  <c r="D49" i="391" s="1"/>
  <c r="B46" i="391"/>
  <c r="C46" i="239"/>
  <c r="D49" i="239" s="1"/>
  <c r="B46" i="239"/>
  <c r="C46" i="326"/>
  <c r="D49" i="326" s="1"/>
  <c r="B46" i="326"/>
  <c r="C46" i="287"/>
  <c r="D49" i="287" s="1"/>
  <c r="B46" i="287"/>
  <c r="C46" i="332"/>
  <c r="D49" i="332" s="1"/>
  <c r="B46" i="332"/>
  <c r="B46" i="160"/>
  <c r="C46" i="160"/>
  <c r="D49" i="160" s="1"/>
  <c r="C46" i="268"/>
  <c r="D49" i="268" s="1"/>
  <c r="B46" i="268"/>
  <c r="C46" i="104"/>
  <c r="D49" i="104" s="1"/>
  <c r="B46" i="104"/>
  <c r="C46" i="74"/>
  <c r="D49" i="74" s="1"/>
  <c r="B46" i="74"/>
  <c r="C46" i="265"/>
  <c r="D49" i="265" s="1"/>
  <c r="B46" i="265"/>
  <c r="C46" i="392"/>
  <c r="D49" i="392" s="1"/>
  <c r="B46" i="392"/>
  <c r="C46" i="246"/>
  <c r="D49" i="246" s="1"/>
  <c r="B46" i="246"/>
  <c r="C46" i="46"/>
  <c r="D49" i="46" s="1"/>
  <c r="B46" i="46"/>
  <c r="B46" i="230"/>
  <c r="C46" i="230"/>
  <c r="D49" i="230" s="1"/>
  <c r="B46" i="87"/>
  <c r="C46" i="87"/>
  <c r="D49" i="87" s="1"/>
  <c r="B46" i="116"/>
  <c r="C46" i="116"/>
  <c r="D49" i="116" s="1"/>
  <c r="B46" i="281"/>
  <c r="C46" i="281"/>
  <c r="D49" i="281" s="1"/>
  <c r="C46" i="159"/>
  <c r="D49" i="159" s="1"/>
  <c r="B46" i="159"/>
  <c r="C46" i="192"/>
  <c r="D49" i="192" s="1"/>
  <c r="B46" i="192"/>
  <c r="C46" i="143"/>
  <c r="D49" i="143" s="1"/>
  <c r="B46" i="143"/>
  <c r="C46" i="181"/>
  <c r="D49" i="181" s="1"/>
  <c r="B46" i="181"/>
  <c r="C46" i="45"/>
  <c r="D49" i="45" s="1"/>
  <c r="B46" i="45"/>
  <c r="B46" i="346"/>
  <c r="C46" i="346"/>
  <c r="D49" i="346" s="1"/>
  <c r="C46" i="196"/>
  <c r="D49" i="196" s="1"/>
  <c r="B46" i="196"/>
  <c r="B46" i="109"/>
  <c r="C46" i="109"/>
  <c r="D49" i="109" s="1"/>
  <c r="C46" i="411"/>
  <c r="D49" i="411" s="1"/>
  <c r="B46" i="411"/>
  <c r="B46" i="101"/>
  <c r="C46" i="101"/>
  <c r="D49" i="101" s="1"/>
  <c r="C46" i="269"/>
  <c r="D49" i="269" s="1"/>
  <c r="B46" i="269"/>
  <c r="C46" i="284"/>
  <c r="D49" i="284" s="1"/>
  <c r="B46" i="284"/>
  <c r="C46" i="187"/>
  <c r="D49" i="187" s="1"/>
  <c r="B46" i="187"/>
  <c r="B46" i="61"/>
  <c r="C46" i="61"/>
  <c r="D49" i="61" s="1"/>
  <c r="C46" i="206"/>
  <c r="D49" i="206" s="1"/>
  <c r="B46" i="206"/>
  <c r="B46" i="105"/>
  <c r="C46" i="105"/>
  <c r="D49" i="105" s="1"/>
  <c r="C46" i="293"/>
  <c r="D49" i="293" s="1"/>
  <c r="B46" i="293"/>
  <c r="C46" i="227"/>
  <c r="D49" i="227" s="1"/>
  <c r="B46" i="227"/>
  <c r="B46" i="33"/>
  <c r="C46" i="33"/>
  <c r="D49" i="33" s="1"/>
  <c r="B46" i="168"/>
  <c r="C46" i="168"/>
  <c r="D49" i="168" s="1"/>
  <c r="B46" i="204"/>
  <c r="C46" i="204"/>
  <c r="D49" i="204" s="1"/>
  <c r="C46" i="257"/>
  <c r="D49" i="257" s="1"/>
  <c r="B46" i="257"/>
  <c r="C46" i="423"/>
  <c r="D49" i="423" s="1"/>
  <c r="B46" i="423"/>
  <c r="B46" i="384"/>
  <c r="C46" i="384"/>
  <c r="D49" i="384" s="1"/>
  <c r="C46" i="299"/>
  <c r="D49" i="299" s="1"/>
  <c r="B46" i="299"/>
  <c r="C46" i="349"/>
  <c r="D49" i="349" s="1"/>
  <c r="B46" i="349"/>
  <c r="C46" i="408"/>
  <c r="D49" i="408" s="1"/>
  <c r="B46" i="408"/>
  <c r="C46" i="323"/>
  <c r="D49" i="323" s="1"/>
  <c r="B46" i="323"/>
  <c r="C46" i="162"/>
  <c r="D49" i="162" s="1"/>
  <c r="B46" i="162"/>
  <c r="C46" i="322"/>
  <c r="D49" i="322" s="1"/>
  <c r="B46" i="322"/>
  <c r="C46" i="352"/>
  <c r="D49" i="352" s="1"/>
  <c r="B46" i="352"/>
  <c r="C46" i="426"/>
  <c r="B46" i="426"/>
  <c r="B46" i="420"/>
  <c r="C46" i="420"/>
  <c r="D49" i="420" s="1"/>
  <c r="C46" i="359"/>
  <c r="D49" i="359" s="1"/>
  <c r="B46" i="359"/>
  <c r="C46" i="97"/>
  <c r="D49" i="97" s="1"/>
  <c r="B46" i="97"/>
  <c r="C46" i="20"/>
  <c r="D49" i="20" s="1"/>
  <c r="B46" i="20"/>
  <c r="C46" i="88"/>
  <c r="D49" i="88" s="1"/>
  <c r="B46" i="88"/>
  <c r="C46" i="23"/>
  <c r="D49" i="23" s="1"/>
  <c r="B46" i="23"/>
  <c r="C46" i="356"/>
  <c r="D49" i="356" s="1"/>
  <c r="B46" i="356"/>
  <c r="C46" i="193"/>
  <c r="D49" i="193" s="1"/>
  <c r="B46" i="193"/>
  <c r="C46" i="207"/>
  <c r="D49" i="207" s="1"/>
  <c r="B46" i="207"/>
  <c r="C46" i="424"/>
  <c r="D49" i="424" s="1"/>
  <c r="B46" i="424"/>
  <c r="C46" i="296"/>
  <c r="D49" i="296" s="1"/>
  <c r="B46" i="296"/>
  <c r="G45" i="1"/>
  <c r="G45" i="287"/>
  <c r="G45" i="332"/>
  <c r="G45" i="140"/>
  <c r="G45" i="104"/>
  <c r="G45" i="85"/>
  <c r="G45" i="135"/>
  <c r="G45" i="294"/>
  <c r="G45" i="169"/>
  <c r="G45" i="355"/>
  <c r="G45" i="114"/>
  <c r="G45" i="246"/>
  <c r="G45" i="46"/>
  <c r="G45" i="230"/>
  <c r="G45" i="87"/>
  <c r="G45" i="116"/>
  <c r="G45" i="281"/>
  <c r="G45" i="159"/>
  <c r="G45" i="192"/>
  <c r="G45" i="143"/>
  <c r="G45" i="181"/>
  <c r="G45" i="45"/>
  <c r="G45" i="346"/>
  <c r="G45" i="196"/>
  <c r="G45" i="109"/>
  <c r="G45" i="411"/>
  <c r="G45" i="101"/>
  <c r="G45" i="269"/>
  <c r="G45" i="284"/>
  <c r="G45" i="187"/>
  <c r="G45" i="61"/>
  <c r="G45" i="206"/>
  <c r="G45" i="105"/>
  <c r="G45" i="293"/>
  <c r="G45" i="227"/>
  <c r="G45" i="33"/>
  <c r="G45" i="168"/>
  <c r="G45" i="204"/>
  <c r="G45" i="249"/>
  <c r="G45" i="16"/>
  <c r="G45" i="15"/>
  <c r="G45" i="334"/>
  <c r="G45" i="402"/>
  <c r="G45" i="389"/>
  <c r="G45" i="239"/>
  <c r="G45" i="285"/>
  <c r="G45" i="160"/>
  <c r="G45" i="183"/>
  <c r="G45" i="74"/>
  <c r="G45" i="265"/>
  <c r="G45" i="292"/>
  <c r="G45" i="348"/>
  <c r="G45" i="363"/>
  <c r="G45" i="54"/>
  <c r="G45" i="403"/>
  <c r="G45" i="367"/>
  <c r="G45" i="244"/>
  <c r="G45" i="248"/>
  <c r="G45" i="229"/>
  <c r="G45" i="44"/>
  <c r="G45" i="24"/>
  <c r="G45" i="176"/>
  <c r="G45" i="271"/>
  <c r="G45" i="209"/>
  <c r="G45" i="27"/>
  <c r="G45" i="280"/>
  <c r="G45" i="345"/>
  <c r="G45" i="32"/>
  <c r="G45" i="112"/>
  <c r="G45" i="103"/>
  <c r="G45" i="335"/>
  <c r="G45" i="325"/>
  <c r="G45" i="283"/>
  <c r="G45" i="34"/>
  <c r="G45" i="344"/>
  <c r="G45" i="366"/>
  <c r="G45" i="350"/>
  <c r="G45" i="357"/>
  <c r="G45" i="337"/>
  <c r="G45" i="342"/>
  <c r="G45" i="298"/>
  <c r="G45" i="37"/>
  <c r="G45" i="7"/>
  <c r="G45" i="201"/>
  <c r="G45" i="190"/>
  <c r="G45" i="4"/>
  <c r="G45" i="385"/>
  <c r="G45" i="400"/>
  <c r="G45" i="89"/>
  <c r="G45" i="326"/>
  <c r="G45" i="268"/>
  <c r="G45" i="197"/>
  <c r="G45" i="382"/>
  <c r="G45" i="11"/>
  <c r="G45" i="338"/>
  <c r="G45" i="22"/>
  <c r="G45" i="290"/>
  <c r="G45" i="318"/>
  <c r="G45" i="19"/>
  <c r="G45" i="3"/>
  <c r="G45" i="397"/>
  <c r="G45" i="243"/>
  <c r="G45" i="47"/>
  <c r="G45" i="276"/>
  <c r="G45" i="272"/>
  <c r="G45" i="25"/>
  <c r="G45" i="107"/>
  <c r="G45" i="270"/>
  <c r="G45" i="263"/>
  <c r="G45" i="184"/>
  <c r="G45" i="254"/>
  <c r="G45" i="200"/>
  <c r="G45" i="198"/>
  <c r="G45" i="324"/>
  <c r="G45" i="262"/>
  <c r="G45" i="102"/>
  <c r="G45" i="279"/>
  <c r="G45" i="339"/>
  <c r="G45" i="295"/>
  <c r="G45" i="340"/>
  <c r="G45" i="301"/>
  <c r="G45" i="365"/>
  <c r="G45" i="297"/>
  <c r="G45" i="289"/>
  <c r="G45" i="288"/>
  <c r="G45" i="336"/>
  <c r="G45" i="31"/>
  <c r="G45" i="347"/>
  <c r="G45" i="384"/>
  <c r="G45" i="299"/>
  <c r="G45" i="349"/>
  <c r="G45" i="408"/>
  <c r="G45" i="323"/>
  <c r="G45" i="257"/>
  <c r="G45" i="153"/>
  <c r="G45" i="261"/>
  <c r="G45" i="13"/>
  <c r="G45" i="423"/>
  <c r="G45" i="391"/>
  <c r="G45" i="303"/>
  <c r="G45" i="386"/>
  <c r="G45" i="53"/>
  <c r="G45" i="333"/>
  <c r="G45" i="421"/>
  <c r="G45" i="162"/>
  <c r="G45" i="164"/>
  <c r="G45" i="2"/>
  <c r="G45" i="233"/>
  <c r="G45" i="322"/>
  <c r="G45" i="354"/>
  <c r="G45" i="362"/>
  <c r="G45" i="352"/>
  <c r="G45" i="351"/>
  <c r="G45" i="361"/>
  <c r="G45" i="113"/>
  <c r="G45" i="426"/>
  <c r="G45" i="191"/>
  <c r="G45" i="203"/>
  <c r="G45" i="8"/>
  <c r="G45" i="420"/>
  <c r="G45" i="368"/>
  <c r="G45" i="364"/>
  <c r="G45" i="360"/>
  <c r="G45" i="359"/>
  <c r="G45" i="29"/>
  <c r="G45" i="28"/>
  <c r="G45" i="383"/>
  <c r="G45" i="97"/>
  <c r="G45" i="43"/>
  <c r="G45" i="75"/>
  <c r="G45" i="422"/>
  <c r="G45" i="20"/>
  <c r="G45" i="18"/>
  <c r="G45" i="409"/>
  <c r="G45" i="148"/>
  <c r="G45" i="88"/>
  <c r="G45" i="425"/>
  <c r="G45" i="52"/>
  <c r="G45" i="48"/>
  <c r="G45" i="23"/>
  <c r="G45" i="413"/>
  <c r="G45" i="393"/>
  <c r="G45" i="394"/>
  <c r="G45" i="356"/>
  <c r="G45" i="12"/>
  <c r="G45" i="17"/>
  <c r="B46" i="428"/>
  <c r="G45" i="428"/>
  <c r="C46" i="428"/>
  <c r="G45" i="427"/>
  <c r="B46" i="427"/>
  <c r="C46" i="427"/>
  <c r="G45" i="429"/>
  <c r="G45" i="320"/>
  <c r="G45" i="319"/>
  <c r="G45" i="193"/>
  <c r="G45" i="194"/>
  <c r="G45" i="314"/>
  <c r="G45" i="387"/>
  <c r="G45" i="207"/>
  <c r="G45" i="5"/>
  <c r="G45" i="329"/>
  <c r="G45" i="328"/>
  <c r="G45" i="424"/>
  <c r="G45" i="174"/>
  <c r="G45" i="21"/>
  <c r="G45" i="9"/>
  <c r="G45" i="296"/>
  <c r="G45" i="392"/>
  <c r="G45" i="202"/>
  <c r="G45" i="35"/>
  <c r="K46" i="404"/>
  <c r="R44" i="414"/>
  <c r="K46" i="414" s="1"/>
  <c r="Q44" i="414"/>
  <c r="K46" i="195"/>
  <c r="F44" i="404" l="1"/>
  <c r="G45" i="404" s="1"/>
  <c r="U46" i="404"/>
  <c r="L49" i="404" s="1"/>
  <c r="F44" i="414"/>
  <c r="U46" i="414"/>
  <c r="L49" i="414" s="1"/>
  <c r="F44" i="195"/>
  <c r="U46" i="195"/>
  <c r="L49" i="195" s="1"/>
  <c r="R44" i="247"/>
  <c r="K46" i="247" s="1"/>
  <c r="Q44" i="247"/>
  <c r="S44" i="170"/>
  <c r="R44" i="170"/>
  <c r="K46" i="170" s="1"/>
  <c r="Q44" i="170"/>
  <c r="F44" i="152"/>
  <c r="H56" i="152" s="1"/>
  <c r="B46" i="195" l="1"/>
  <c r="H56" i="195"/>
  <c r="G45" i="414"/>
  <c r="H56" i="414"/>
  <c r="C46" i="404"/>
  <c r="D49" i="404" s="1"/>
  <c r="G45" i="195"/>
  <c r="B46" i="404"/>
  <c r="C46" i="195"/>
  <c r="D49" i="195" s="1"/>
  <c r="B46" i="414"/>
  <c r="C46" i="414"/>
  <c r="D49" i="414" s="1"/>
  <c r="F44" i="247"/>
  <c r="U46" i="247"/>
  <c r="L49" i="247" s="1"/>
  <c r="F44" i="170"/>
  <c r="U46" i="170"/>
  <c r="L49" i="170" s="1"/>
  <c r="C46" i="152"/>
  <c r="D49" i="152" s="1"/>
  <c r="B46" i="152"/>
  <c r="G45" i="152"/>
  <c r="S44" i="395"/>
  <c r="R44" i="395"/>
  <c r="K46" i="395" s="1"/>
  <c r="Q44" i="395"/>
  <c r="F44" i="321"/>
  <c r="H56" i="321" s="1"/>
  <c r="K46" i="327"/>
  <c r="T44" i="202"/>
  <c r="I44" i="202" s="1"/>
  <c r="J56" i="202" s="1"/>
  <c r="T44" i="392"/>
  <c r="I44" i="392" s="1"/>
  <c r="T44" i="391"/>
  <c r="I44" i="391" s="1"/>
  <c r="T44" i="9"/>
  <c r="T44" i="21"/>
  <c r="T44" i="174"/>
  <c r="T44" i="424"/>
  <c r="I44" i="424" s="1"/>
  <c r="J56" i="424" s="1"/>
  <c r="T44" i="328"/>
  <c r="T44" i="329"/>
  <c r="T44" i="89"/>
  <c r="T44" i="5"/>
  <c r="T44" i="207"/>
  <c r="T44" i="389"/>
  <c r="T44" i="387"/>
  <c r="T44" i="194"/>
  <c r="T44" i="193"/>
  <c r="T44" i="319"/>
  <c r="T44" i="320"/>
  <c r="T44" i="429"/>
  <c r="S44" i="427"/>
  <c r="I44" i="427" s="1"/>
  <c r="S44" i="428"/>
  <c r="I44" i="428" s="1"/>
  <c r="T44" i="17"/>
  <c r="T44" i="12"/>
  <c r="T44" i="356"/>
  <c r="T44" i="394"/>
  <c r="T44" i="393"/>
  <c r="T44" i="413"/>
  <c r="T44" i="23"/>
  <c r="T44" i="48"/>
  <c r="T44" i="52"/>
  <c r="T44" i="425"/>
  <c r="S44" i="149"/>
  <c r="R44" i="149"/>
  <c r="K46" i="149" s="1"/>
  <c r="Q44" i="149"/>
  <c r="T44" i="88"/>
  <c r="T44" i="148"/>
  <c r="T44" i="409"/>
  <c r="S44" i="142"/>
  <c r="R44" i="142"/>
  <c r="K46" i="142" s="1"/>
  <c r="Q44" i="142"/>
  <c r="N46" i="18"/>
  <c r="O49" i="18" s="1"/>
  <c r="T44" i="20"/>
  <c r="T44" i="422"/>
  <c r="T44" i="75"/>
  <c r="I44" i="75" s="1"/>
  <c r="J56" i="75" s="1"/>
  <c r="T44" i="43"/>
  <c r="T44" i="97"/>
  <c r="T44" i="383"/>
  <c r="S44" i="253"/>
  <c r="R44" i="253"/>
  <c r="K46" i="253" s="1"/>
  <c r="Q44" i="253"/>
  <c r="T44" i="28"/>
  <c r="T44" i="29"/>
  <c r="T44" i="359"/>
  <c r="T44" i="360"/>
  <c r="T44" i="368"/>
  <c r="T44" i="364"/>
  <c r="T44" i="420"/>
  <c r="S44" i="414"/>
  <c r="T44" i="8"/>
  <c r="T44" i="203"/>
  <c r="T44" i="191"/>
  <c r="S44" i="426"/>
  <c r="M46" i="426" s="1"/>
  <c r="T44" i="361"/>
  <c r="T44" i="352"/>
  <c r="T44" i="353"/>
  <c r="T44" i="362"/>
  <c r="T44" i="354"/>
  <c r="T44" i="322"/>
  <c r="T44" i="233"/>
  <c r="T44" i="2"/>
  <c r="T44" i="164"/>
  <c r="T44" i="162"/>
  <c r="T44" i="421"/>
  <c r="T44" i="333"/>
  <c r="T44" i="53"/>
  <c r="T44" i="386"/>
  <c r="T44" i="303"/>
  <c r="T44" i="114"/>
  <c r="T44" i="323"/>
  <c r="T44" i="400"/>
  <c r="T44" i="404"/>
  <c r="T44" i="402"/>
  <c r="T44" i="403"/>
  <c r="S44" i="408"/>
  <c r="M46" i="408" s="1"/>
  <c r="T44" i="385"/>
  <c r="T44" i="334"/>
  <c r="T44" i="3"/>
  <c r="T44" i="349"/>
  <c r="T44" i="4"/>
  <c r="T44" i="15"/>
  <c r="T44" i="355"/>
  <c r="S44" i="300"/>
  <c r="R44" i="300"/>
  <c r="K46" i="300" s="1"/>
  <c r="Q44" i="300"/>
  <c r="T44" i="299"/>
  <c r="T44" i="190"/>
  <c r="T44" i="16"/>
  <c r="T44" i="54"/>
  <c r="T44" i="201"/>
  <c r="T44" i="249"/>
  <c r="F44" i="371"/>
  <c r="H56" i="371" s="1"/>
  <c r="T44" i="7"/>
  <c r="T44" i="423"/>
  <c r="T44" i="152"/>
  <c r="T44" i="13"/>
  <c r="T44" i="261"/>
  <c r="T44" i="153"/>
  <c r="T44" i="257"/>
  <c r="T44" i="19"/>
  <c r="T44" i="347"/>
  <c r="T44" i="37"/>
  <c r="T44" i="204"/>
  <c r="T44" i="363"/>
  <c r="T44" i="31"/>
  <c r="T44" i="298"/>
  <c r="T44" i="168"/>
  <c r="T44" i="169"/>
  <c r="T44" i="336"/>
  <c r="T44" i="342"/>
  <c r="T44" i="33"/>
  <c r="T44" i="318"/>
  <c r="T44" i="288"/>
  <c r="T44" i="337"/>
  <c r="T44" i="227"/>
  <c r="S44" i="388"/>
  <c r="R44" i="388"/>
  <c r="K46" i="388" s="1"/>
  <c r="Q44" i="388"/>
  <c r="T44" i="290"/>
  <c r="T44" i="289"/>
  <c r="S44" i="357"/>
  <c r="M46" i="357" s="1"/>
  <c r="T44" i="293"/>
  <c r="T44" i="348"/>
  <c r="T44" i="297"/>
  <c r="T44" i="350"/>
  <c r="T44" i="105"/>
  <c r="T44" i="294"/>
  <c r="S44" i="365"/>
  <c r="M46" i="365" s="1"/>
  <c r="S44" i="366"/>
  <c r="M46" i="366" s="1"/>
  <c r="T44" i="206"/>
  <c r="T44" i="22"/>
  <c r="T44" i="301"/>
  <c r="T44" i="344"/>
  <c r="T44" i="61"/>
  <c r="T44" i="338"/>
  <c r="T44" i="340"/>
  <c r="T44" i="34"/>
  <c r="T44" i="135"/>
  <c r="T44" i="295"/>
  <c r="T44" i="283"/>
  <c r="T44" i="284"/>
  <c r="T44" i="292"/>
  <c r="T44" i="339"/>
  <c r="T44" i="325"/>
  <c r="T44" i="269"/>
  <c r="T44" i="11"/>
  <c r="S44" i="279"/>
  <c r="M46" i="279" s="1"/>
  <c r="S44" i="335"/>
  <c r="M46" i="335" s="1"/>
  <c r="T44" i="101"/>
  <c r="T44" i="382"/>
  <c r="T44" i="102"/>
  <c r="T44" i="103"/>
  <c r="T44" i="411"/>
  <c r="T44" i="265"/>
  <c r="T44" i="262"/>
  <c r="T44" i="112"/>
  <c r="T44" i="109"/>
  <c r="T44" i="85"/>
  <c r="T44" i="324"/>
  <c r="T44" i="32"/>
  <c r="T44" i="196"/>
  <c r="T44" i="198"/>
  <c r="T44" i="345"/>
  <c r="T44" i="346"/>
  <c r="T44" i="74"/>
  <c r="T44" i="200"/>
  <c r="T44" i="280"/>
  <c r="T44" i="45"/>
  <c r="T44" i="104"/>
  <c r="T44" i="254"/>
  <c r="S44" i="185"/>
  <c r="R44" i="185"/>
  <c r="K46" i="185" s="1"/>
  <c r="Q44" i="185"/>
  <c r="T44" i="181"/>
  <c r="T44" i="183"/>
  <c r="T44" i="184"/>
  <c r="S44" i="144"/>
  <c r="R44" i="144"/>
  <c r="K46" i="144" s="1"/>
  <c r="Q44" i="144"/>
  <c r="T44" i="27"/>
  <c r="T44" i="143"/>
  <c r="T44" i="268"/>
  <c r="T44" i="263"/>
  <c r="T44" i="209"/>
  <c r="T44" i="192"/>
  <c r="T44" i="140"/>
  <c r="T44" i="270"/>
  <c r="T44" i="271"/>
  <c r="S44" i="186"/>
  <c r="R44" i="186"/>
  <c r="K46" i="186" s="1"/>
  <c r="Q44" i="186"/>
  <c r="T44" i="159"/>
  <c r="T44" i="160"/>
  <c r="T44" i="107"/>
  <c r="T44" i="176"/>
  <c r="T44" i="281"/>
  <c r="T44" i="332"/>
  <c r="N46" i="25"/>
  <c r="O49" i="25" s="1"/>
  <c r="T44" i="24"/>
  <c r="T44" i="116"/>
  <c r="T44" i="285"/>
  <c r="T44" i="272"/>
  <c r="S44" i="44"/>
  <c r="M46" i="44" s="1"/>
  <c r="T44" i="87"/>
  <c r="T44" i="287"/>
  <c r="T44" i="276"/>
  <c r="S44" i="231"/>
  <c r="R44" i="231"/>
  <c r="Q44" i="231"/>
  <c r="K46" i="231" s="1"/>
  <c r="T44" i="229"/>
  <c r="N46" i="230"/>
  <c r="O49" i="230" s="1"/>
  <c r="T44" i="326"/>
  <c r="T44" i="47"/>
  <c r="T44" i="248"/>
  <c r="T44" i="46"/>
  <c r="T44" i="239"/>
  <c r="T44" i="243"/>
  <c r="S44" i="247"/>
  <c r="T44" i="247" s="1"/>
  <c r="T44" i="244"/>
  <c r="T44" i="246"/>
  <c r="S44" i="398"/>
  <c r="F44" i="398"/>
  <c r="H56" i="398" s="1"/>
  <c r="T44" i="1"/>
  <c r="T44" i="397"/>
  <c r="T44" i="367"/>
  <c r="G45" i="247" l="1"/>
  <c r="H56" i="247"/>
  <c r="C46" i="170"/>
  <c r="D49" i="170" s="1"/>
  <c r="H56" i="170"/>
  <c r="N46" i="332"/>
  <c r="O49" i="332" s="1"/>
  <c r="I44" i="332"/>
  <c r="J56" i="332" s="1"/>
  <c r="N46" i="280"/>
  <c r="O49" i="280" s="1"/>
  <c r="I44" i="280"/>
  <c r="J56" i="280" s="1"/>
  <c r="N46" i="262"/>
  <c r="O49" i="262" s="1"/>
  <c r="I44" i="262"/>
  <c r="J56" i="262" s="1"/>
  <c r="I44" i="187"/>
  <c r="J56" i="187" s="1"/>
  <c r="N46" i="289"/>
  <c r="O49" i="289" s="1"/>
  <c r="I44" i="289"/>
  <c r="J56" i="289" s="1"/>
  <c r="N46" i="169"/>
  <c r="O49" i="169" s="1"/>
  <c r="I44" i="169"/>
  <c r="J56" i="169" s="1"/>
  <c r="N46" i="201"/>
  <c r="O49" i="201" s="1"/>
  <c r="I44" i="201"/>
  <c r="J56" i="201" s="1"/>
  <c r="N46" i="349"/>
  <c r="O49" i="349" s="1"/>
  <c r="I44" i="349"/>
  <c r="J56" i="349" s="1"/>
  <c r="N46" i="2"/>
  <c r="O49" i="2" s="1"/>
  <c r="I44" i="2"/>
  <c r="J56" i="2" s="1"/>
  <c r="N46" i="8"/>
  <c r="O49" i="8" s="1"/>
  <c r="I44" i="8"/>
  <c r="J56" i="8" s="1"/>
  <c r="N46" i="383"/>
  <c r="O49" i="383" s="1"/>
  <c r="I44" i="383"/>
  <c r="J56" i="383" s="1"/>
  <c r="N46" i="88"/>
  <c r="O49" i="88" s="1"/>
  <c r="I44" i="88"/>
  <c r="J56" i="88" s="1"/>
  <c r="N46" i="319"/>
  <c r="O49" i="319" s="1"/>
  <c r="I44" i="319"/>
  <c r="J56" i="319" s="1"/>
  <c r="N46" i="248"/>
  <c r="O49" i="248" s="1"/>
  <c r="I44" i="248"/>
  <c r="J56" i="248" s="1"/>
  <c r="N46" i="209"/>
  <c r="O49" i="209" s="1"/>
  <c r="I44" i="209"/>
  <c r="J56" i="209" s="1"/>
  <c r="N46" i="200"/>
  <c r="O49" i="200" s="1"/>
  <c r="I44" i="200"/>
  <c r="J56" i="200" s="1"/>
  <c r="N46" i="265"/>
  <c r="O49" i="265" s="1"/>
  <c r="I44" i="265"/>
  <c r="J56" i="265" s="1"/>
  <c r="N46" i="292"/>
  <c r="O49" i="292" s="1"/>
  <c r="I44" i="292"/>
  <c r="J56" i="292" s="1"/>
  <c r="N46" i="34"/>
  <c r="O49" i="34" s="1"/>
  <c r="I44" i="34"/>
  <c r="J56" i="34" s="1"/>
  <c r="N46" i="290"/>
  <c r="O49" i="290" s="1"/>
  <c r="I44" i="290"/>
  <c r="J56" i="290" s="1"/>
  <c r="N46" i="168"/>
  <c r="O49" i="168" s="1"/>
  <c r="I44" i="168"/>
  <c r="J56" i="168" s="1"/>
  <c r="N46" i="152"/>
  <c r="O49" i="152" s="1"/>
  <c r="I44" i="152"/>
  <c r="J56" i="152" s="1"/>
  <c r="N46" i="3"/>
  <c r="O49" i="3" s="1"/>
  <c r="I44" i="3"/>
  <c r="J56" i="3" s="1"/>
  <c r="N46" i="53"/>
  <c r="O49" i="53" s="1"/>
  <c r="I44" i="53"/>
  <c r="J56" i="53" s="1"/>
  <c r="N46" i="29"/>
  <c r="O49" i="29" s="1"/>
  <c r="I44" i="29"/>
  <c r="J56" i="29" s="1"/>
  <c r="N46" i="193"/>
  <c r="O49" i="193" s="1"/>
  <c r="I44" i="193"/>
  <c r="J56" i="193" s="1"/>
  <c r="N46" i="9"/>
  <c r="O49" i="9" s="1"/>
  <c r="I44" i="9"/>
  <c r="J56" i="9" s="1"/>
  <c r="N46" i="367"/>
  <c r="O49" i="367" s="1"/>
  <c r="I44" i="367"/>
  <c r="J56" i="367" s="1"/>
  <c r="N46" i="47"/>
  <c r="O49" i="47" s="1"/>
  <c r="I44" i="47"/>
  <c r="J56" i="47" s="1"/>
  <c r="N46" i="176"/>
  <c r="O49" i="176" s="1"/>
  <c r="I44" i="176"/>
  <c r="J56" i="176" s="1"/>
  <c r="N46" i="206"/>
  <c r="O49" i="206" s="1"/>
  <c r="I44" i="206"/>
  <c r="J56" i="206" s="1"/>
  <c r="N46" i="318"/>
  <c r="O49" i="318" s="1"/>
  <c r="I44" i="318"/>
  <c r="J56" i="318" s="1"/>
  <c r="N46" i="423"/>
  <c r="O49" i="423" s="1"/>
  <c r="I44" i="423"/>
  <c r="J56" i="423" s="1"/>
  <c r="N46" i="334"/>
  <c r="O49" i="334" s="1"/>
  <c r="I44" i="334"/>
  <c r="J56" i="334" s="1"/>
  <c r="N46" i="333"/>
  <c r="O49" i="333" s="1"/>
  <c r="I44" i="333"/>
  <c r="J56" i="333" s="1"/>
  <c r="N46" i="420"/>
  <c r="O49" i="420" s="1"/>
  <c r="I44" i="420"/>
  <c r="J56" i="420" s="1"/>
  <c r="N46" i="413"/>
  <c r="O49" i="413" s="1"/>
  <c r="I44" i="413"/>
  <c r="J56" i="413" s="1"/>
  <c r="N46" i="329"/>
  <c r="O49" i="329" s="1"/>
  <c r="I44" i="329"/>
  <c r="J56" i="329" s="1"/>
  <c r="N46" i="247"/>
  <c r="O49" i="247" s="1"/>
  <c r="I44" i="247"/>
  <c r="J56" i="247" s="1"/>
  <c r="N46" i="326"/>
  <c r="O49" i="326" s="1"/>
  <c r="I44" i="326"/>
  <c r="J56" i="326" s="1"/>
  <c r="N46" i="116"/>
  <c r="O49" i="116" s="1"/>
  <c r="I44" i="116"/>
  <c r="J56" i="116" s="1"/>
  <c r="N46" i="271"/>
  <c r="O49" i="271" s="1"/>
  <c r="I44" i="271"/>
  <c r="J56" i="271" s="1"/>
  <c r="N46" i="239"/>
  <c r="O49" i="239" s="1"/>
  <c r="I44" i="239"/>
  <c r="J56" i="239" s="1"/>
  <c r="N46" i="229"/>
  <c r="O49" i="229" s="1"/>
  <c r="I44" i="229"/>
  <c r="J56" i="229" s="1"/>
  <c r="N46" i="87"/>
  <c r="O49" i="87" s="1"/>
  <c r="I44" i="87"/>
  <c r="J56" i="87" s="1"/>
  <c r="N46" i="159"/>
  <c r="O49" i="159" s="1"/>
  <c r="I44" i="159"/>
  <c r="J56" i="159" s="1"/>
  <c r="N46" i="140"/>
  <c r="O49" i="140" s="1"/>
  <c r="I44" i="140"/>
  <c r="J56" i="140" s="1"/>
  <c r="N46" i="27"/>
  <c r="O49" i="27" s="1"/>
  <c r="I44" i="27"/>
  <c r="J56" i="27" s="1"/>
  <c r="N46" i="181"/>
  <c r="O49" i="181" s="1"/>
  <c r="I44" i="181"/>
  <c r="J56" i="181" s="1"/>
  <c r="N46" i="45"/>
  <c r="O49" i="45" s="1"/>
  <c r="I44" i="45"/>
  <c r="J56" i="45" s="1"/>
  <c r="N46" i="198"/>
  <c r="O49" i="198" s="1"/>
  <c r="I44" i="198"/>
  <c r="J56" i="198" s="1"/>
  <c r="N46" i="112"/>
  <c r="O49" i="112" s="1"/>
  <c r="I44" i="112"/>
  <c r="J56" i="112" s="1"/>
  <c r="N46" i="382"/>
  <c r="O49" i="382" s="1"/>
  <c r="I44" i="382"/>
  <c r="J56" i="382" s="1"/>
  <c r="N46" i="325"/>
  <c r="O49" i="325" s="1"/>
  <c r="I44" i="325"/>
  <c r="J56" i="325" s="1"/>
  <c r="N46" i="135"/>
  <c r="O49" i="135" s="1"/>
  <c r="I44" i="135"/>
  <c r="J56" i="135" s="1"/>
  <c r="N46" i="344"/>
  <c r="O49" i="344" s="1"/>
  <c r="I44" i="344"/>
  <c r="J56" i="344" s="1"/>
  <c r="N46" i="294"/>
  <c r="O49" i="294" s="1"/>
  <c r="I44" i="294"/>
  <c r="J56" i="294" s="1"/>
  <c r="N46" i="227"/>
  <c r="O49" i="227" s="1"/>
  <c r="I44" i="227"/>
  <c r="J56" i="227" s="1"/>
  <c r="N46" i="336"/>
  <c r="O49" i="336" s="1"/>
  <c r="I44" i="336"/>
  <c r="J56" i="336" s="1"/>
  <c r="N46" i="204"/>
  <c r="O49" i="204" s="1"/>
  <c r="I44" i="204"/>
  <c r="J56" i="204" s="1"/>
  <c r="N46" i="261"/>
  <c r="O49" i="261" s="1"/>
  <c r="I44" i="261"/>
  <c r="J56" i="261" s="1"/>
  <c r="N46" i="249"/>
  <c r="O49" i="249" s="1"/>
  <c r="I44" i="249"/>
  <c r="J56" i="249" s="1"/>
  <c r="N46" i="299"/>
  <c r="O49" i="299" s="1"/>
  <c r="I44" i="299"/>
  <c r="J56" i="299" s="1"/>
  <c r="N46" i="4"/>
  <c r="O49" i="4" s="1"/>
  <c r="I44" i="4"/>
  <c r="J56" i="4" s="1"/>
  <c r="N46" i="403"/>
  <c r="O49" i="403" s="1"/>
  <c r="I44" i="403"/>
  <c r="N46" i="303"/>
  <c r="O49" i="303" s="1"/>
  <c r="I44" i="303"/>
  <c r="J56" i="303" s="1"/>
  <c r="N46" i="164"/>
  <c r="O49" i="164" s="1"/>
  <c r="I44" i="164"/>
  <c r="J56" i="164" s="1"/>
  <c r="N46" i="353"/>
  <c r="O49" i="353" s="1"/>
  <c r="I44" i="353"/>
  <c r="J56" i="353" s="1"/>
  <c r="N46" i="203"/>
  <c r="O49" i="203" s="1"/>
  <c r="I44" i="203"/>
  <c r="J56" i="203" s="1"/>
  <c r="N46" i="360"/>
  <c r="O49" i="360" s="1"/>
  <c r="I44" i="360"/>
  <c r="J56" i="360" s="1"/>
  <c r="N46" i="20"/>
  <c r="O49" i="20" s="1"/>
  <c r="I44" i="20"/>
  <c r="J56" i="20" s="1"/>
  <c r="N46" i="148"/>
  <c r="O49" i="148" s="1"/>
  <c r="I44" i="148"/>
  <c r="J56" i="148" s="1"/>
  <c r="N46" i="52"/>
  <c r="O49" i="52" s="1"/>
  <c r="I44" i="52"/>
  <c r="J56" i="52" s="1"/>
  <c r="N46" i="356"/>
  <c r="O49" i="356" s="1"/>
  <c r="I44" i="356"/>
  <c r="J56" i="356" s="1"/>
  <c r="N46" i="320"/>
  <c r="O49" i="320" s="1"/>
  <c r="I44" i="320"/>
  <c r="J56" i="320" s="1"/>
  <c r="N46" i="207"/>
  <c r="O49" i="207" s="1"/>
  <c r="I44" i="207"/>
  <c r="J56" i="207" s="1"/>
  <c r="N46" i="174"/>
  <c r="O49" i="174" s="1"/>
  <c r="I44" i="174"/>
  <c r="J56" i="174" s="1"/>
  <c r="N46" i="101"/>
  <c r="O49" i="101" s="1"/>
  <c r="I44" i="101"/>
  <c r="J56" i="101" s="1"/>
  <c r="N46" i="105"/>
  <c r="O49" i="105" s="1"/>
  <c r="I44" i="105"/>
  <c r="J56" i="105" s="1"/>
  <c r="N46" i="37"/>
  <c r="O49" i="37" s="1"/>
  <c r="I44" i="37"/>
  <c r="J56" i="37" s="1"/>
  <c r="N46" i="402"/>
  <c r="O49" i="402" s="1"/>
  <c r="I44" i="402"/>
  <c r="N46" i="12"/>
  <c r="O49" i="12" s="1"/>
  <c r="I44" i="12"/>
  <c r="J56" i="12" s="1"/>
  <c r="N46" i="5"/>
  <c r="O49" i="5" s="1"/>
  <c r="I44" i="5"/>
  <c r="J56" i="5" s="1"/>
  <c r="N46" i="21"/>
  <c r="O49" i="21" s="1"/>
  <c r="I44" i="21"/>
  <c r="J56" i="21" s="1"/>
  <c r="N46" i="272"/>
  <c r="O49" i="272" s="1"/>
  <c r="I44" i="272"/>
  <c r="J56" i="272" s="1"/>
  <c r="N46" i="32"/>
  <c r="O49" i="32" s="1"/>
  <c r="I44" i="32"/>
  <c r="J56" i="32" s="1"/>
  <c r="N46" i="350"/>
  <c r="O49" i="350" s="1"/>
  <c r="I44" i="350"/>
  <c r="J56" i="350" s="1"/>
  <c r="N46" i="361"/>
  <c r="O49" i="361" s="1"/>
  <c r="I44" i="361"/>
  <c r="J56" i="361" s="1"/>
  <c r="N46" i="23"/>
  <c r="O49" i="23" s="1"/>
  <c r="I44" i="23"/>
  <c r="J56" i="23" s="1"/>
  <c r="N46" i="89"/>
  <c r="O49" i="89" s="1"/>
  <c r="I44" i="89"/>
  <c r="J56" i="89" s="1"/>
  <c r="N46" i="285"/>
  <c r="O49" i="285" s="1"/>
  <c r="I44" i="285"/>
  <c r="J56" i="285" s="1"/>
  <c r="N46" i="324"/>
  <c r="O49" i="324" s="1"/>
  <c r="I44" i="324"/>
  <c r="J56" i="324" s="1"/>
  <c r="N46" i="284"/>
  <c r="O49" i="284" s="1"/>
  <c r="I44" i="284"/>
  <c r="J56" i="284" s="1"/>
  <c r="N46" i="297"/>
  <c r="O49" i="297" s="1"/>
  <c r="I44" i="297"/>
  <c r="J56" i="297" s="1"/>
  <c r="N46" i="298"/>
  <c r="O49" i="298" s="1"/>
  <c r="I44" i="298"/>
  <c r="J56" i="298" s="1"/>
  <c r="N46" i="54"/>
  <c r="O49" i="54" s="1"/>
  <c r="I44" i="54"/>
  <c r="J56" i="54" s="1"/>
  <c r="N46" i="400"/>
  <c r="O49" i="400" s="1"/>
  <c r="I44" i="400"/>
  <c r="J56" i="400" s="1"/>
  <c r="N46" i="322"/>
  <c r="O49" i="322" s="1"/>
  <c r="I44" i="322"/>
  <c r="J56" i="322" s="1"/>
  <c r="N46" i="28"/>
  <c r="O49" i="28" s="1"/>
  <c r="I44" i="28"/>
  <c r="J56" i="28" s="1"/>
  <c r="N46" i="43"/>
  <c r="O49" i="43" s="1"/>
  <c r="I44" i="43"/>
  <c r="J56" i="43" s="1"/>
  <c r="N46" i="194"/>
  <c r="O49" i="194" s="1"/>
  <c r="I44" i="194"/>
  <c r="J56" i="194" s="1"/>
  <c r="N46" i="268"/>
  <c r="O49" i="268" s="1"/>
  <c r="I44" i="268"/>
  <c r="N46" i="184"/>
  <c r="O49" i="184" s="1"/>
  <c r="I44" i="184"/>
  <c r="J56" i="184" s="1"/>
  <c r="N46" i="254"/>
  <c r="O49" i="254" s="1"/>
  <c r="I44" i="254"/>
  <c r="J56" i="254" s="1"/>
  <c r="N46" i="346"/>
  <c r="O49" i="346" s="1"/>
  <c r="I44" i="346"/>
  <c r="J56" i="346" s="1"/>
  <c r="N46" i="85"/>
  <c r="O49" i="85" s="1"/>
  <c r="I44" i="85"/>
  <c r="J56" i="85" s="1"/>
  <c r="N46" i="103"/>
  <c r="O49" i="103" s="1"/>
  <c r="I44" i="103"/>
  <c r="J56" i="103" s="1"/>
  <c r="N46" i="11"/>
  <c r="O49" i="11" s="1"/>
  <c r="I44" i="11"/>
  <c r="J56" i="11" s="1"/>
  <c r="N46" i="283"/>
  <c r="O49" i="283" s="1"/>
  <c r="I44" i="283"/>
  <c r="J56" i="283" s="1"/>
  <c r="N46" i="338"/>
  <c r="O49" i="338" s="1"/>
  <c r="I44" i="338"/>
  <c r="J56" i="338" s="1"/>
  <c r="N46" i="348"/>
  <c r="O49" i="348" s="1"/>
  <c r="I44" i="348"/>
  <c r="J56" i="348" s="1"/>
  <c r="N46" i="33"/>
  <c r="O49" i="33" s="1"/>
  <c r="I44" i="33"/>
  <c r="J56" i="33" s="1"/>
  <c r="N46" i="31"/>
  <c r="O49" i="31" s="1"/>
  <c r="I44" i="31"/>
  <c r="J56" i="31" s="1"/>
  <c r="N46" i="257"/>
  <c r="O49" i="257" s="1"/>
  <c r="I44" i="257"/>
  <c r="J56" i="257" s="1"/>
  <c r="N46" i="7"/>
  <c r="O49" i="7" s="1"/>
  <c r="I44" i="7"/>
  <c r="J56" i="7" s="1"/>
  <c r="N46" i="16"/>
  <c r="O49" i="16" s="1"/>
  <c r="I44" i="16"/>
  <c r="J56" i="16" s="1"/>
  <c r="N46" i="355"/>
  <c r="O49" i="355" s="1"/>
  <c r="I44" i="355"/>
  <c r="J56" i="355" s="1"/>
  <c r="N46" i="385"/>
  <c r="O49" i="385" s="1"/>
  <c r="I44" i="385"/>
  <c r="J56" i="385" s="1"/>
  <c r="N46" i="323"/>
  <c r="O49" i="323" s="1"/>
  <c r="I44" i="323"/>
  <c r="N46" i="421"/>
  <c r="O49" i="421" s="1"/>
  <c r="I44" i="421"/>
  <c r="J56" i="421" s="1"/>
  <c r="N46" i="354"/>
  <c r="O49" i="354" s="1"/>
  <c r="I44" i="354"/>
  <c r="J56" i="354" s="1"/>
  <c r="I44" i="296"/>
  <c r="J56" i="296" s="1"/>
  <c r="N46" i="364"/>
  <c r="O49" i="364" s="1"/>
  <c r="I44" i="364"/>
  <c r="J56" i="364" s="1"/>
  <c r="N46" i="393"/>
  <c r="O49" i="393" s="1"/>
  <c r="I44" i="393"/>
  <c r="J56" i="393" s="1"/>
  <c r="N46" i="387"/>
  <c r="O49" i="387" s="1"/>
  <c r="I44" i="387"/>
  <c r="J56" i="387" s="1"/>
  <c r="N46" i="328"/>
  <c r="O49" i="328" s="1"/>
  <c r="I44" i="328"/>
  <c r="J56" i="328" s="1"/>
  <c r="N46" i="46"/>
  <c r="O49" i="46" s="1"/>
  <c r="I44" i="46"/>
  <c r="J56" i="46" s="1"/>
  <c r="N46" i="192"/>
  <c r="O49" i="192" s="1"/>
  <c r="I44" i="192"/>
  <c r="J56" i="192" s="1"/>
  <c r="N46" i="196"/>
  <c r="O49" i="196" s="1"/>
  <c r="I44" i="196"/>
  <c r="J56" i="196" s="1"/>
  <c r="N46" i="339"/>
  <c r="O49" i="339" s="1"/>
  <c r="I44" i="339"/>
  <c r="J56" i="339" s="1"/>
  <c r="N46" i="301"/>
  <c r="O49" i="301" s="1"/>
  <c r="I44" i="301"/>
  <c r="J56" i="301" s="1"/>
  <c r="N46" i="337"/>
  <c r="O49" i="337" s="1"/>
  <c r="I44" i="337"/>
  <c r="J56" i="337" s="1"/>
  <c r="N46" i="13"/>
  <c r="O49" i="13" s="1"/>
  <c r="I44" i="13"/>
  <c r="J56" i="13" s="1"/>
  <c r="N46" i="386"/>
  <c r="O49" i="386" s="1"/>
  <c r="I44" i="386"/>
  <c r="J56" i="386" s="1"/>
  <c r="N46" i="352"/>
  <c r="O49" i="352" s="1"/>
  <c r="I44" i="352"/>
  <c r="J56" i="352" s="1"/>
  <c r="N46" i="359"/>
  <c r="O49" i="359" s="1"/>
  <c r="I44" i="359"/>
  <c r="J56" i="359" s="1"/>
  <c r="N46" i="48"/>
  <c r="O49" i="48" s="1"/>
  <c r="I44" i="48"/>
  <c r="J56" i="48" s="1"/>
  <c r="N46" i="246"/>
  <c r="O49" i="246" s="1"/>
  <c r="I44" i="246"/>
  <c r="J56" i="246" s="1"/>
  <c r="N46" i="281"/>
  <c r="O49" i="281" s="1"/>
  <c r="I44" i="281"/>
  <c r="J56" i="281" s="1"/>
  <c r="N46" i="22"/>
  <c r="O49" i="22" s="1"/>
  <c r="I44" i="22"/>
  <c r="J56" i="22" s="1"/>
  <c r="N46" i="288"/>
  <c r="O49" i="288" s="1"/>
  <c r="I44" i="288"/>
  <c r="J56" i="288" s="1"/>
  <c r="N46" i="347"/>
  <c r="O49" i="347" s="1"/>
  <c r="I44" i="347"/>
  <c r="J56" i="347" s="1"/>
  <c r="N46" i="384"/>
  <c r="O49" i="384" s="1"/>
  <c r="I44" i="384"/>
  <c r="J56" i="384" s="1"/>
  <c r="N46" i="404"/>
  <c r="O49" i="404" s="1"/>
  <c r="I44" i="404"/>
  <c r="N46" i="233"/>
  <c r="O49" i="233" s="1"/>
  <c r="I44" i="233"/>
  <c r="J56" i="233" s="1"/>
  <c r="N46" i="97"/>
  <c r="O49" i="97" s="1"/>
  <c r="I44" i="97"/>
  <c r="J56" i="97" s="1"/>
  <c r="N46" i="17"/>
  <c r="O49" i="17" s="1"/>
  <c r="I44" i="17"/>
  <c r="J56" i="17" s="1"/>
  <c r="N46" i="244"/>
  <c r="O49" i="244" s="1"/>
  <c r="I44" i="244"/>
  <c r="J56" i="244" s="1"/>
  <c r="N46" i="263"/>
  <c r="O49" i="263" s="1"/>
  <c r="I44" i="263"/>
  <c r="J56" i="263" s="1"/>
  <c r="N46" i="74"/>
  <c r="O49" i="74" s="1"/>
  <c r="I44" i="74"/>
  <c r="J56" i="74" s="1"/>
  <c r="N46" i="411"/>
  <c r="O49" i="411" s="1"/>
  <c r="I44" i="411"/>
  <c r="J56" i="411" s="1"/>
  <c r="N46" i="340"/>
  <c r="O49" i="340" s="1"/>
  <c r="I44" i="340"/>
  <c r="J56" i="340" s="1"/>
  <c r="N46" i="19"/>
  <c r="O49" i="19" s="1"/>
  <c r="I44" i="19"/>
  <c r="J56" i="19" s="1"/>
  <c r="N46" i="397"/>
  <c r="O49" i="397" s="1"/>
  <c r="I44" i="397"/>
  <c r="J56" i="397" s="1"/>
  <c r="N46" i="276"/>
  <c r="O49" i="276" s="1"/>
  <c r="I44" i="276"/>
  <c r="J56" i="276" s="1"/>
  <c r="N46" i="107"/>
  <c r="O49" i="107" s="1"/>
  <c r="I44" i="107"/>
  <c r="J56" i="107" s="1"/>
  <c r="N46" i="1"/>
  <c r="O49" i="1" s="1"/>
  <c r="I44" i="1"/>
  <c r="J56" i="1" s="1"/>
  <c r="N46" i="243"/>
  <c r="O49" i="243" s="1"/>
  <c r="I44" i="243"/>
  <c r="J56" i="243" s="1"/>
  <c r="N46" i="287"/>
  <c r="O49" i="287" s="1"/>
  <c r="I44" i="287"/>
  <c r="J56" i="287" s="1"/>
  <c r="N46" i="24"/>
  <c r="O49" i="24" s="1"/>
  <c r="I44" i="24"/>
  <c r="J56" i="24" s="1"/>
  <c r="N46" i="160"/>
  <c r="O49" i="160" s="1"/>
  <c r="I44" i="160"/>
  <c r="J56" i="160" s="1"/>
  <c r="N46" i="270"/>
  <c r="O49" i="270" s="1"/>
  <c r="I44" i="270"/>
  <c r="J56" i="270" s="1"/>
  <c r="N46" i="143"/>
  <c r="O49" i="143" s="1"/>
  <c r="I44" i="143"/>
  <c r="J56" i="143" s="1"/>
  <c r="N46" i="183"/>
  <c r="O49" i="183" s="1"/>
  <c r="I44" i="183"/>
  <c r="J56" i="183" s="1"/>
  <c r="N46" i="104"/>
  <c r="O49" i="104" s="1"/>
  <c r="I44" i="104"/>
  <c r="J56" i="104" s="1"/>
  <c r="N46" i="345"/>
  <c r="O49" i="345" s="1"/>
  <c r="I44" i="345"/>
  <c r="J56" i="345" s="1"/>
  <c r="N46" i="109"/>
  <c r="O49" i="109" s="1"/>
  <c r="I44" i="109"/>
  <c r="J56" i="109" s="1"/>
  <c r="N46" i="102"/>
  <c r="O49" i="102" s="1"/>
  <c r="I44" i="102"/>
  <c r="J56" i="102" s="1"/>
  <c r="N46" i="269"/>
  <c r="O49" i="269" s="1"/>
  <c r="I44" i="269"/>
  <c r="J56" i="269" s="1"/>
  <c r="N46" i="295"/>
  <c r="O49" i="295" s="1"/>
  <c r="I44" i="295"/>
  <c r="J56" i="295" s="1"/>
  <c r="N46" i="61"/>
  <c r="O49" i="61" s="1"/>
  <c r="I44" i="61"/>
  <c r="J56" i="61" s="1"/>
  <c r="N46" i="293"/>
  <c r="O49" i="293" s="1"/>
  <c r="I44" i="293"/>
  <c r="J56" i="293" s="1"/>
  <c r="N46" i="342"/>
  <c r="O49" i="342" s="1"/>
  <c r="I44" i="342"/>
  <c r="J56" i="342" s="1"/>
  <c r="N46" i="363"/>
  <c r="O49" i="363" s="1"/>
  <c r="I44" i="363"/>
  <c r="N46" i="153"/>
  <c r="O49" i="153" s="1"/>
  <c r="I44" i="153"/>
  <c r="J56" i="153" s="1"/>
  <c r="N46" i="190"/>
  <c r="O49" i="190" s="1"/>
  <c r="I44" i="190"/>
  <c r="J56" i="190" s="1"/>
  <c r="N46" i="15"/>
  <c r="O49" i="15" s="1"/>
  <c r="I44" i="15"/>
  <c r="J56" i="15" s="1"/>
  <c r="N46" i="114"/>
  <c r="O49" i="114" s="1"/>
  <c r="I44" i="114"/>
  <c r="J56" i="114" s="1"/>
  <c r="N46" i="162"/>
  <c r="O49" i="162" s="1"/>
  <c r="I44" i="162"/>
  <c r="J56" i="162" s="1"/>
  <c r="N46" i="362"/>
  <c r="O49" i="362" s="1"/>
  <c r="I44" i="362"/>
  <c r="J56" i="362" s="1"/>
  <c r="N46" i="191"/>
  <c r="O49" i="191" s="1"/>
  <c r="I44" i="191"/>
  <c r="J56" i="191" s="1"/>
  <c r="N46" i="368"/>
  <c r="O49" i="368" s="1"/>
  <c r="I44" i="368"/>
  <c r="J56" i="368" s="1"/>
  <c r="N46" i="422"/>
  <c r="O49" i="422" s="1"/>
  <c r="I44" i="422"/>
  <c r="J56" i="422" s="1"/>
  <c r="N46" i="409"/>
  <c r="O49" i="409" s="1"/>
  <c r="I44" i="409"/>
  <c r="J56" i="409" s="1"/>
  <c r="N46" i="425"/>
  <c r="O49" i="425" s="1"/>
  <c r="I44" i="425"/>
  <c r="J56" i="425" s="1"/>
  <c r="N46" i="394"/>
  <c r="O49" i="394" s="1"/>
  <c r="I44" i="394"/>
  <c r="J56" i="394" s="1"/>
  <c r="N46" i="429"/>
  <c r="O49" i="429" s="1"/>
  <c r="I44" i="429"/>
  <c r="N46" i="389"/>
  <c r="O49" i="389" s="1"/>
  <c r="I44" i="389"/>
  <c r="J56" i="389" s="1"/>
  <c r="B46" i="247"/>
  <c r="N46" i="392"/>
  <c r="O49" i="392" s="1"/>
  <c r="B46" i="170"/>
  <c r="G45" i="170"/>
  <c r="C46" i="247"/>
  <c r="D49" i="247" s="1"/>
  <c r="N46" i="424"/>
  <c r="O49" i="424" s="1"/>
  <c r="N46" i="391"/>
  <c r="O49" i="391" s="1"/>
  <c r="N46" i="202"/>
  <c r="O49" i="202" s="1"/>
  <c r="F44" i="186"/>
  <c r="U46" i="186"/>
  <c r="L49" i="186" s="1"/>
  <c r="F44" i="144"/>
  <c r="U46" i="144"/>
  <c r="L49" i="144" s="1"/>
  <c r="F44" i="185"/>
  <c r="U46" i="185"/>
  <c r="L49" i="185" s="1"/>
  <c r="F44" i="388"/>
  <c r="U46" i="388"/>
  <c r="L49" i="388" s="1"/>
  <c r="F44" i="300"/>
  <c r="U46" i="300"/>
  <c r="L49" i="300" s="1"/>
  <c r="F44" i="253"/>
  <c r="U46" i="253"/>
  <c r="L49" i="253" s="1"/>
  <c r="F44" i="149"/>
  <c r="U46" i="149"/>
  <c r="L49" i="149" s="1"/>
  <c r="F44" i="395"/>
  <c r="U46" i="395"/>
  <c r="L49" i="395" s="1"/>
  <c r="F44" i="327"/>
  <c r="U46" i="327"/>
  <c r="L49" i="327" s="1"/>
  <c r="N46" i="75"/>
  <c r="O49" i="75" s="1"/>
  <c r="F44" i="142"/>
  <c r="U46" i="142"/>
  <c r="L49" i="142" s="1"/>
  <c r="I44" i="44"/>
  <c r="I44" i="408"/>
  <c r="I44" i="426"/>
  <c r="I44" i="335"/>
  <c r="I44" i="366"/>
  <c r="I44" i="357"/>
  <c r="F44" i="231"/>
  <c r="I44" i="279"/>
  <c r="I44" i="365"/>
  <c r="B46" i="398"/>
  <c r="C46" i="398"/>
  <c r="D49" i="398" s="1"/>
  <c r="C46" i="371"/>
  <c r="D49" i="371" s="1"/>
  <c r="B46" i="371"/>
  <c r="C46" i="321"/>
  <c r="D49" i="321" s="1"/>
  <c r="B46" i="321"/>
  <c r="G45" i="371"/>
  <c r="G45" i="398"/>
  <c r="G45" i="321"/>
  <c r="T44" i="185"/>
  <c r="T44" i="186"/>
  <c r="T44" i="388"/>
  <c r="T44" i="195"/>
  <c r="T44" i="398"/>
  <c r="T44" i="231"/>
  <c r="T44" i="170"/>
  <c r="T44" i="144"/>
  <c r="T44" i="371"/>
  <c r="T44" i="253"/>
  <c r="T44" i="395"/>
  <c r="T44" i="327"/>
  <c r="T44" i="300"/>
  <c r="T44" i="142"/>
  <c r="T44" i="149"/>
  <c r="T44" i="414"/>
  <c r="B46" i="300" l="1"/>
  <c r="H56" i="300"/>
  <c r="C46" i="253"/>
  <c r="D49" i="253" s="1"/>
  <c r="H56" i="253"/>
  <c r="C46" i="142"/>
  <c r="D49" i="142" s="1"/>
  <c r="H56" i="142"/>
  <c r="G45" i="388"/>
  <c r="H56" i="388"/>
  <c r="C46" i="327"/>
  <c r="D49" i="327" s="1"/>
  <c r="H56" i="327"/>
  <c r="C46" i="185"/>
  <c r="D49" i="185" s="1"/>
  <c r="H56" i="185"/>
  <c r="C46" i="144"/>
  <c r="D49" i="144" s="1"/>
  <c r="H56" i="144"/>
  <c r="B46" i="231"/>
  <c r="H56" i="231"/>
  <c r="C46" i="395"/>
  <c r="D49" i="395" s="1"/>
  <c r="H56" i="395"/>
  <c r="B46" i="149"/>
  <c r="H56" i="149"/>
  <c r="G45" i="186"/>
  <c r="H56" i="186"/>
  <c r="N46" i="398"/>
  <c r="O49" i="398" s="1"/>
  <c r="I44" i="398"/>
  <c r="J56" i="398" s="1"/>
  <c r="N46" i="395"/>
  <c r="O49" i="395" s="1"/>
  <c r="I44" i="395"/>
  <c r="J56" i="395" s="1"/>
  <c r="N46" i="195"/>
  <c r="O49" i="195" s="1"/>
  <c r="I44" i="195"/>
  <c r="J56" i="195" s="1"/>
  <c r="N46" i="149"/>
  <c r="O49" i="149" s="1"/>
  <c r="I44" i="149"/>
  <c r="J56" i="149" s="1"/>
  <c r="N46" i="371"/>
  <c r="O49" i="371" s="1"/>
  <c r="I44" i="371"/>
  <c r="J56" i="371" s="1"/>
  <c r="N46" i="300"/>
  <c r="O49" i="300" s="1"/>
  <c r="I44" i="300"/>
  <c r="J56" i="300" s="1"/>
  <c r="N46" i="170"/>
  <c r="O49" i="170" s="1"/>
  <c r="I44" i="170"/>
  <c r="J56" i="170" s="1"/>
  <c r="N46" i="185"/>
  <c r="O49" i="185" s="1"/>
  <c r="I44" i="185"/>
  <c r="J56" i="185" s="1"/>
  <c r="N46" i="414"/>
  <c r="O49" i="414" s="1"/>
  <c r="I44" i="414"/>
  <c r="J56" i="414" s="1"/>
  <c r="N46" i="253"/>
  <c r="O49" i="253" s="1"/>
  <c r="I44" i="253"/>
  <c r="J56" i="253" s="1"/>
  <c r="N46" i="388"/>
  <c r="O49" i="388" s="1"/>
  <c r="I44" i="388"/>
  <c r="J56" i="388" s="1"/>
  <c r="N46" i="142"/>
  <c r="O49" i="142" s="1"/>
  <c r="I44" i="142"/>
  <c r="J56" i="142" s="1"/>
  <c r="N46" i="144"/>
  <c r="O49" i="144" s="1"/>
  <c r="I44" i="144"/>
  <c r="J56" i="144" s="1"/>
  <c r="N46" i="186"/>
  <c r="O49" i="186" s="1"/>
  <c r="I44" i="186"/>
  <c r="J56" i="186" s="1"/>
  <c r="N46" i="327"/>
  <c r="O49" i="327" s="1"/>
  <c r="I44" i="327"/>
  <c r="J56" i="327" s="1"/>
  <c r="N46" i="231"/>
  <c r="O49" i="231" s="1"/>
  <c r="I44" i="231"/>
  <c r="J56" i="231" s="1"/>
  <c r="G45" i="395"/>
  <c r="B46" i="388"/>
  <c r="G45" i="185"/>
  <c r="C46" i="388"/>
  <c r="D49" i="388" s="1"/>
  <c r="B46" i="395"/>
  <c r="G45" i="253"/>
  <c r="B46" i="144"/>
  <c r="B46" i="253"/>
  <c r="G45" i="144"/>
  <c r="C46" i="231"/>
  <c r="D49" i="231" s="1"/>
  <c r="B46" i="186"/>
  <c r="B46" i="327"/>
  <c r="C46" i="186"/>
  <c r="D49" i="186" s="1"/>
  <c r="G45" i="300"/>
  <c r="G45" i="327"/>
  <c r="G45" i="142"/>
  <c r="G45" i="231"/>
  <c r="B46" i="142"/>
  <c r="C46" i="300"/>
  <c r="D49" i="300" s="1"/>
  <c r="B46" i="185"/>
  <c r="C46" i="149"/>
  <c r="D49" i="149" s="1"/>
  <c r="G45" i="149"/>
  <c r="S43" i="170"/>
  <c r="R43" i="170"/>
  <c r="Q43" i="170"/>
  <c r="R43" i="388"/>
  <c r="Q43" i="388"/>
  <c r="S43" i="144"/>
  <c r="R43" i="144"/>
  <c r="Q43" i="144"/>
  <c r="R43" i="398"/>
  <c r="Q43" i="398"/>
  <c r="S43" i="142"/>
  <c r="R43" i="142"/>
  <c r="Q43" i="142"/>
  <c r="S43" i="149"/>
  <c r="R43" i="149"/>
  <c r="Q43" i="149"/>
  <c r="S43" i="395"/>
  <c r="R43" i="395"/>
  <c r="Q43" i="395"/>
  <c r="S43" i="321"/>
  <c r="R43" i="321"/>
  <c r="Q43" i="321"/>
  <c r="F43" i="174"/>
  <c r="F43" i="424"/>
  <c r="F43" i="328"/>
  <c r="F43" i="329"/>
  <c r="F43" i="5"/>
  <c r="F43" i="207"/>
  <c r="F43" i="89"/>
  <c r="F43" i="389"/>
  <c r="F43" i="387"/>
  <c r="F43" i="314"/>
  <c r="F43" i="194"/>
  <c r="F43" i="193"/>
  <c r="F43" i="319"/>
  <c r="F43" i="320"/>
  <c r="F43" i="429"/>
  <c r="G44" i="429" s="1"/>
  <c r="F43" i="427"/>
  <c r="G44" i="427" s="1"/>
  <c r="F43" i="428"/>
  <c r="G44" i="428" s="1"/>
  <c r="F43" i="17"/>
  <c r="F43" i="9"/>
  <c r="F43" i="12"/>
  <c r="F43" i="356"/>
  <c r="F43" i="394"/>
  <c r="F43" i="393"/>
  <c r="F43" i="413"/>
  <c r="F43" i="23"/>
  <c r="F43" i="48"/>
  <c r="F43" i="52"/>
  <c r="F43" i="425"/>
  <c r="F43" i="88"/>
  <c r="F43" i="148"/>
  <c r="F43" i="409"/>
  <c r="F43" i="18"/>
  <c r="F43" i="20"/>
  <c r="F43" i="422"/>
  <c r="F43" i="75"/>
  <c r="F43" i="43"/>
  <c r="F43" i="97"/>
  <c r="F43" i="383"/>
  <c r="F43" i="28"/>
  <c r="F43" i="29"/>
  <c r="F43" i="359"/>
  <c r="F43" i="360"/>
  <c r="F43" i="368"/>
  <c r="F43" i="364"/>
  <c r="F43" i="420"/>
  <c r="F43" i="8"/>
  <c r="F43" i="203"/>
  <c r="F43" i="191"/>
  <c r="F43" i="296"/>
  <c r="F43" i="426"/>
  <c r="G44" i="426" s="1"/>
  <c r="F43" i="113"/>
  <c r="F43" i="361"/>
  <c r="F43" i="351"/>
  <c r="F43" i="352"/>
  <c r="F43" i="353"/>
  <c r="H55" i="353" s="1"/>
  <c r="F43" i="362"/>
  <c r="F43" i="354"/>
  <c r="F43" i="322"/>
  <c r="F43" i="233"/>
  <c r="F43" i="2"/>
  <c r="F43" i="164"/>
  <c r="F43" i="162"/>
  <c r="F43" i="421"/>
  <c r="F43" i="333"/>
  <c r="F43" i="53"/>
  <c r="F43" i="386"/>
  <c r="F43" i="303"/>
  <c r="F43" i="114"/>
  <c r="F43" i="323"/>
  <c r="F43" i="400"/>
  <c r="F43" i="402"/>
  <c r="G44" i="402" s="1"/>
  <c r="F43" i="403"/>
  <c r="G44" i="403" s="1"/>
  <c r="F43" i="408"/>
  <c r="G44" i="408" s="1"/>
  <c r="F43" i="385"/>
  <c r="F43" i="334"/>
  <c r="F43" i="3"/>
  <c r="F43" i="349"/>
  <c r="F43" i="4"/>
  <c r="F43" i="15"/>
  <c r="F43" i="355"/>
  <c r="F43" i="299"/>
  <c r="F43" i="190"/>
  <c r="F43" i="16"/>
  <c r="F43" i="54"/>
  <c r="F43" i="384"/>
  <c r="F43" i="201"/>
  <c r="F43" i="249"/>
  <c r="F43" i="7"/>
  <c r="F43" i="423"/>
  <c r="F43" i="13"/>
  <c r="F43" i="261"/>
  <c r="F43" i="153"/>
  <c r="F43" i="257"/>
  <c r="F43" i="19"/>
  <c r="F43" i="347"/>
  <c r="F43" i="37"/>
  <c r="F43" i="367"/>
  <c r="F43" i="204"/>
  <c r="F43" i="363"/>
  <c r="G44" i="363" s="1"/>
  <c r="F43" i="31"/>
  <c r="F43" i="298"/>
  <c r="F43" i="168"/>
  <c r="F43" i="169"/>
  <c r="F43" i="336"/>
  <c r="F43" i="342"/>
  <c r="F43" i="33"/>
  <c r="F43" i="318"/>
  <c r="F43" i="288"/>
  <c r="F43" i="337"/>
  <c r="F43" i="227"/>
  <c r="F43" i="290"/>
  <c r="F43" i="289"/>
  <c r="F43" i="357"/>
  <c r="G44" i="357" s="1"/>
  <c r="F43" i="293"/>
  <c r="F43" i="348"/>
  <c r="F43" i="297"/>
  <c r="F43" i="350"/>
  <c r="F43" i="105"/>
  <c r="F43" i="294"/>
  <c r="F43" i="365"/>
  <c r="G44" i="365" s="1"/>
  <c r="F43" i="366"/>
  <c r="G44" i="366" s="1"/>
  <c r="F43" i="206"/>
  <c r="F43" i="22"/>
  <c r="F43" i="301"/>
  <c r="F43" i="344"/>
  <c r="F43" i="61"/>
  <c r="F43" i="338"/>
  <c r="F43" i="340"/>
  <c r="F43" i="34"/>
  <c r="F43" i="187"/>
  <c r="F43" i="135"/>
  <c r="F43" i="295"/>
  <c r="F43" i="283"/>
  <c r="F43" i="284"/>
  <c r="F43" i="292"/>
  <c r="F43" i="339"/>
  <c r="F43" i="325"/>
  <c r="F43" i="269"/>
  <c r="F43" i="11"/>
  <c r="F43" i="279"/>
  <c r="G44" i="279" s="1"/>
  <c r="F43" i="335"/>
  <c r="G44" i="335" s="1"/>
  <c r="F43" i="101"/>
  <c r="F43" i="382"/>
  <c r="F43" i="102"/>
  <c r="F43" i="103"/>
  <c r="F43" i="411"/>
  <c r="F43" i="265"/>
  <c r="F43" i="262"/>
  <c r="F43" i="112"/>
  <c r="F43" i="109"/>
  <c r="F43" i="85"/>
  <c r="F43" i="324"/>
  <c r="F43" i="32"/>
  <c r="F43" i="196"/>
  <c r="F43" i="197"/>
  <c r="F43" i="198"/>
  <c r="F43" i="345"/>
  <c r="F43" i="346"/>
  <c r="F43" i="74"/>
  <c r="F43" i="200"/>
  <c r="F43" i="280"/>
  <c r="F43" i="45"/>
  <c r="F43" i="104"/>
  <c r="F43" i="254"/>
  <c r="F43" i="181"/>
  <c r="F43" i="183"/>
  <c r="F43" i="184"/>
  <c r="F43" i="27"/>
  <c r="F43" i="143"/>
  <c r="F43" i="268"/>
  <c r="G44" i="268" s="1"/>
  <c r="F43" i="263"/>
  <c r="F43" i="209"/>
  <c r="F43" i="192"/>
  <c r="F43" i="140"/>
  <c r="F43" i="270"/>
  <c r="F43" i="271"/>
  <c r="F43" i="159"/>
  <c r="F43" i="160"/>
  <c r="F43" i="107"/>
  <c r="F43" i="176"/>
  <c r="F43" i="281"/>
  <c r="F43" i="332"/>
  <c r="F43" i="25"/>
  <c r="F43" i="24"/>
  <c r="F43" i="116"/>
  <c r="F43" i="285"/>
  <c r="F43" i="272"/>
  <c r="F43" i="44"/>
  <c r="G44" i="44" s="1"/>
  <c r="F43" i="87"/>
  <c r="F43" i="287"/>
  <c r="F43" i="276"/>
  <c r="F43" i="229"/>
  <c r="F43" i="230"/>
  <c r="F43" i="326"/>
  <c r="F43" i="47"/>
  <c r="F43" i="248"/>
  <c r="F43" i="46"/>
  <c r="F43" i="239"/>
  <c r="F43" i="243"/>
  <c r="F43" i="244"/>
  <c r="F43" i="246"/>
  <c r="F43" i="1"/>
  <c r="F43" i="397"/>
  <c r="F43" i="21"/>
  <c r="U43" i="202"/>
  <c r="U43" i="392"/>
  <c r="M55" i="392" s="1"/>
  <c r="U43" i="391"/>
  <c r="M55" i="391" s="1"/>
  <c r="F43" i="202"/>
  <c r="F43" i="392"/>
  <c r="F43" i="391"/>
  <c r="F43" i="35"/>
  <c r="H55" i="35" s="1"/>
  <c r="G44" i="389" l="1"/>
  <c r="H55" i="389"/>
  <c r="G44" i="271"/>
  <c r="H55" i="271"/>
  <c r="G44" i="114"/>
  <c r="H55" i="114"/>
  <c r="G44" i="153"/>
  <c r="H55" i="153"/>
  <c r="G44" i="362"/>
  <c r="H55" i="362"/>
  <c r="G44" i="168"/>
  <c r="H55" i="168"/>
  <c r="G44" i="360"/>
  <c r="H55" i="360"/>
  <c r="G44" i="148"/>
  <c r="H55" i="148"/>
  <c r="G44" i="17"/>
  <c r="H55" i="17"/>
  <c r="G44" i="207"/>
  <c r="H55" i="207"/>
  <c r="G44" i="104"/>
  <c r="H55" i="104"/>
  <c r="G44" i="303"/>
  <c r="H55" i="303"/>
  <c r="G44" i="269"/>
  <c r="H55" i="269"/>
  <c r="G44" i="4"/>
  <c r="H55" i="4"/>
  <c r="G44" i="192"/>
  <c r="H55" i="192"/>
  <c r="G44" i="423"/>
  <c r="H55" i="423"/>
  <c r="G44" i="349"/>
  <c r="H55" i="349"/>
  <c r="G44" i="53"/>
  <c r="H55" i="53"/>
  <c r="G44" i="351"/>
  <c r="H55" i="351"/>
  <c r="G44" i="359"/>
  <c r="H55" i="359"/>
  <c r="G44" i="88"/>
  <c r="H55" i="88"/>
  <c r="G44" i="5"/>
  <c r="H55" i="5"/>
  <c r="G44" i="254"/>
  <c r="H55" i="254"/>
  <c r="G44" i="336"/>
  <c r="H55" i="336"/>
  <c r="G44" i="338"/>
  <c r="H55" i="338"/>
  <c r="G44" i="261"/>
  <c r="H55" i="261"/>
  <c r="G44" i="45"/>
  <c r="H55" i="45"/>
  <c r="G44" i="293"/>
  <c r="H55" i="293"/>
  <c r="G44" i="46"/>
  <c r="H55" i="46"/>
  <c r="G44" i="344"/>
  <c r="H55" i="344"/>
  <c r="G44" i="24"/>
  <c r="H55" i="24"/>
  <c r="G44" i="262"/>
  <c r="H55" i="262"/>
  <c r="G44" i="339"/>
  <c r="H55" i="339"/>
  <c r="G44" i="301"/>
  <c r="H55" i="301"/>
  <c r="G44" i="289"/>
  <c r="H55" i="289"/>
  <c r="G44" i="31"/>
  <c r="H55" i="31"/>
  <c r="G44" i="7"/>
  <c r="H55" i="7"/>
  <c r="G44" i="3"/>
  <c r="H55" i="3"/>
  <c r="G44" i="333"/>
  <c r="H55" i="333"/>
  <c r="G44" i="361"/>
  <c r="H55" i="361"/>
  <c r="G44" i="29"/>
  <c r="H55" i="29"/>
  <c r="G44" i="425"/>
  <c r="H55" i="425"/>
  <c r="G44" i="329"/>
  <c r="H55" i="329"/>
  <c r="G44" i="12"/>
  <c r="H55" i="12"/>
  <c r="G44" i="243"/>
  <c r="H55" i="243"/>
  <c r="G44" i="11"/>
  <c r="H55" i="11"/>
  <c r="G44" i="15"/>
  <c r="H55" i="15"/>
  <c r="G44" i="409"/>
  <c r="H55" i="409"/>
  <c r="G44" i="239"/>
  <c r="H55" i="239"/>
  <c r="G44" i="140"/>
  <c r="H55" i="140"/>
  <c r="G44" i="109"/>
  <c r="H55" i="109"/>
  <c r="G44" i="352"/>
  <c r="H55" i="352"/>
  <c r="G44" i="280"/>
  <c r="H55" i="280"/>
  <c r="G44" i="298"/>
  <c r="H55" i="298"/>
  <c r="G44" i="202"/>
  <c r="H55" i="202"/>
  <c r="G44" i="74"/>
  <c r="H55" i="74"/>
  <c r="G44" i="265"/>
  <c r="H55" i="265"/>
  <c r="G44" i="292"/>
  <c r="H55" i="292"/>
  <c r="G44" i="22"/>
  <c r="H55" i="22"/>
  <c r="G44" i="290"/>
  <c r="H55" i="290"/>
  <c r="G44" i="249"/>
  <c r="H55" i="249"/>
  <c r="G44" i="334"/>
  <c r="H55" i="334"/>
  <c r="G44" i="421"/>
  <c r="H55" i="421"/>
  <c r="G44" i="113"/>
  <c r="H55" i="113"/>
  <c r="G44" i="28"/>
  <c r="H55" i="28"/>
  <c r="G44" i="52"/>
  <c r="H55" i="52"/>
  <c r="G44" i="328"/>
  <c r="H55" i="328"/>
  <c r="G44" i="297"/>
  <c r="H55" i="297"/>
  <c r="G44" i="270"/>
  <c r="H55" i="270"/>
  <c r="G44" i="85"/>
  <c r="H55" i="85"/>
  <c r="G44" i="348"/>
  <c r="H55" i="348"/>
  <c r="G44" i="9"/>
  <c r="H55" i="9"/>
  <c r="G44" i="391"/>
  <c r="H55" i="391"/>
  <c r="G44" i="285"/>
  <c r="H55" i="285"/>
  <c r="G44" i="13"/>
  <c r="H55" i="13"/>
  <c r="G44" i="386"/>
  <c r="H55" i="386"/>
  <c r="G44" i="112"/>
  <c r="H55" i="112"/>
  <c r="G44" i="248"/>
  <c r="H55" i="248"/>
  <c r="G44" i="209"/>
  <c r="H55" i="209"/>
  <c r="G44" i="200"/>
  <c r="H55" i="200"/>
  <c r="G44" i="411"/>
  <c r="H55" i="411"/>
  <c r="G44" i="284"/>
  <c r="H55" i="284"/>
  <c r="G44" i="206"/>
  <c r="H55" i="206"/>
  <c r="G44" i="227"/>
  <c r="H55" i="227"/>
  <c r="G44" i="204"/>
  <c r="H55" i="204"/>
  <c r="G44" i="201"/>
  <c r="H55" i="201"/>
  <c r="G44" i="385"/>
  <c r="H55" i="385"/>
  <c r="G44" i="162"/>
  <c r="H55" i="162"/>
  <c r="G44" i="383"/>
  <c r="H55" i="383"/>
  <c r="G44" i="48"/>
  <c r="H55" i="48"/>
  <c r="G44" i="320"/>
  <c r="H55" i="320"/>
  <c r="G44" i="424"/>
  <c r="H55" i="424"/>
  <c r="G44" i="244"/>
  <c r="H55" i="244"/>
  <c r="G44" i="324"/>
  <c r="H55" i="324"/>
  <c r="G44" i="364"/>
  <c r="H55" i="364"/>
  <c r="G44" i="272"/>
  <c r="H55" i="272"/>
  <c r="G44" i="47"/>
  <c r="H55" i="47"/>
  <c r="G44" i="25"/>
  <c r="H55" i="25"/>
  <c r="G44" i="263"/>
  <c r="H55" i="263"/>
  <c r="G44" i="326"/>
  <c r="H55" i="326"/>
  <c r="G44" i="332"/>
  <c r="H55" i="332"/>
  <c r="G44" i="346"/>
  <c r="H55" i="346"/>
  <c r="G44" i="230"/>
  <c r="H55" i="230"/>
  <c r="G44" i="281"/>
  <c r="H55" i="281"/>
  <c r="G44" i="143"/>
  <c r="H55" i="143"/>
  <c r="G44" i="345"/>
  <c r="H55" i="345"/>
  <c r="G44" i="103"/>
  <c r="H55" i="103"/>
  <c r="G44" i="283"/>
  <c r="H55" i="283"/>
  <c r="G44" i="337"/>
  <c r="H55" i="337"/>
  <c r="G44" i="367"/>
  <c r="H55" i="367"/>
  <c r="G44" i="384"/>
  <c r="H55" i="384"/>
  <c r="G44" i="164"/>
  <c r="H55" i="164"/>
  <c r="G44" i="296"/>
  <c r="H55" i="296"/>
  <c r="G44" i="97"/>
  <c r="H55" i="97"/>
  <c r="G44" i="23"/>
  <c r="H55" i="23"/>
  <c r="G44" i="319"/>
  <c r="H55" i="319"/>
  <c r="G44" i="174"/>
  <c r="H55" i="174"/>
  <c r="G44" i="368"/>
  <c r="H55" i="368"/>
  <c r="G44" i="61"/>
  <c r="H55" i="61"/>
  <c r="G44" i="116"/>
  <c r="H55" i="116"/>
  <c r="G44" i="21"/>
  <c r="H55" i="21"/>
  <c r="G44" i="176"/>
  <c r="H55" i="176"/>
  <c r="G44" i="27"/>
  <c r="H55" i="27"/>
  <c r="G44" i="102"/>
  <c r="H55" i="102"/>
  <c r="G44" i="288"/>
  <c r="H55" i="288"/>
  <c r="G44" i="37"/>
  <c r="H55" i="37"/>
  <c r="G44" i="54"/>
  <c r="H55" i="54"/>
  <c r="G44" i="2"/>
  <c r="H55" i="2"/>
  <c r="G44" i="191"/>
  <c r="H55" i="191"/>
  <c r="G44" i="43"/>
  <c r="H55" i="43"/>
  <c r="G44" i="413"/>
  <c r="H55" i="413"/>
  <c r="G44" i="193"/>
  <c r="H55" i="193"/>
  <c r="G44" i="89"/>
  <c r="H55" i="89"/>
  <c r="G44" i="392"/>
  <c r="H55" i="392"/>
  <c r="G44" i="325"/>
  <c r="H55" i="325"/>
  <c r="G44" i="229"/>
  <c r="H55" i="229"/>
  <c r="G44" i="198"/>
  <c r="H55" i="198"/>
  <c r="G44" i="295"/>
  <c r="H55" i="295"/>
  <c r="G44" i="397"/>
  <c r="H55" i="397"/>
  <c r="G44" i="276"/>
  <c r="H55" i="276"/>
  <c r="G44" i="107"/>
  <c r="H55" i="107"/>
  <c r="G44" i="184"/>
  <c r="H55" i="184"/>
  <c r="G44" i="197"/>
  <c r="H55" i="197"/>
  <c r="G44" i="382"/>
  <c r="H55" i="382"/>
  <c r="G44" i="135"/>
  <c r="H55" i="135"/>
  <c r="G44" i="294"/>
  <c r="H55" i="294"/>
  <c r="G44" i="318"/>
  <c r="H55" i="318"/>
  <c r="G44" i="347"/>
  <c r="H55" i="347"/>
  <c r="G44" i="16"/>
  <c r="H55" i="16"/>
  <c r="G44" i="233"/>
  <c r="H55" i="233"/>
  <c r="G44" i="203"/>
  <c r="H55" i="203"/>
  <c r="G44" i="75"/>
  <c r="H55" i="75"/>
  <c r="G44" i="393"/>
  <c r="H55" i="393"/>
  <c r="G44" i="194"/>
  <c r="H55" i="194"/>
  <c r="G44" i="340"/>
  <c r="H55" i="340"/>
  <c r="G44" i="355"/>
  <c r="H55" i="355"/>
  <c r="G44" i="18"/>
  <c r="H55" i="18"/>
  <c r="G44" i="169"/>
  <c r="H55" i="169"/>
  <c r="G44" i="1"/>
  <c r="H55" i="1"/>
  <c r="G44" i="287"/>
  <c r="H55" i="287"/>
  <c r="G44" i="160"/>
  <c r="H55" i="160"/>
  <c r="G44" i="183"/>
  <c r="H55" i="183"/>
  <c r="G44" i="196"/>
  <c r="H55" i="196"/>
  <c r="G44" i="101"/>
  <c r="H55" i="101"/>
  <c r="G44" i="187"/>
  <c r="H55" i="187"/>
  <c r="G44" i="105"/>
  <c r="H55" i="105"/>
  <c r="G44" i="33"/>
  <c r="H55" i="33"/>
  <c r="G44" i="19"/>
  <c r="H55" i="19"/>
  <c r="G44" i="190"/>
  <c r="H55" i="190"/>
  <c r="G44" i="400"/>
  <c r="H55" i="400"/>
  <c r="G44" i="322"/>
  <c r="H55" i="322"/>
  <c r="G44" i="8"/>
  <c r="H55" i="8"/>
  <c r="G44" i="422"/>
  <c r="H55" i="422"/>
  <c r="G44" i="394"/>
  <c r="H55" i="394"/>
  <c r="G44" i="314"/>
  <c r="H55" i="314"/>
  <c r="G44" i="246"/>
  <c r="H55" i="246"/>
  <c r="G44" i="87"/>
  <c r="H55" i="87"/>
  <c r="G44" i="159"/>
  <c r="H55" i="159"/>
  <c r="G44" i="181"/>
  <c r="H55" i="181"/>
  <c r="G44" i="32"/>
  <c r="H55" i="32"/>
  <c r="G44" i="34"/>
  <c r="H55" i="34"/>
  <c r="G44" i="350"/>
  <c r="H55" i="350"/>
  <c r="G44" i="342"/>
  <c r="H55" i="342"/>
  <c r="G44" i="257"/>
  <c r="H55" i="257"/>
  <c r="G44" i="299"/>
  <c r="H55" i="299"/>
  <c r="G44" i="323"/>
  <c r="H55" i="323"/>
  <c r="G44" i="354"/>
  <c r="H55" i="354"/>
  <c r="G44" i="420"/>
  <c r="H55" i="420"/>
  <c r="G44" i="20"/>
  <c r="H55" i="20"/>
  <c r="G44" i="356"/>
  <c r="H55" i="356"/>
  <c r="G44" i="387"/>
  <c r="H55" i="387"/>
  <c r="G44" i="35"/>
  <c r="H233" i="417"/>
  <c r="T43" i="321"/>
  <c r="I43" i="321" s="1"/>
  <c r="J55" i="321" s="1"/>
  <c r="K43" i="174"/>
  <c r="U43" i="174"/>
  <c r="K43" i="424"/>
  <c r="U43" i="424"/>
  <c r="K43" i="328"/>
  <c r="U43" i="328"/>
  <c r="K43" i="329"/>
  <c r="U43" i="329"/>
  <c r="K43" i="5"/>
  <c r="U43" i="5"/>
  <c r="K43" i="207"/>
  <c r="U43" i="207"/>
  <c r="K43" i="89"/>
  <c r="U43" i="89"/>
  <c r="K43" i="389"/>
  <c r="U43" i="389"/>
  <c r="K43" i="387"/>
  <c r="U43" i="387"/>
  <c r="K43" i="314"/>
  <c r="K43" i="194"/>
  <c r="U43" i="194"/>
  <c r="K43" i="193"/>
  <c r="U43" i="193"/>
  <c r="K43" i="319"/>
  <c r="U43" i="319"/>
  <c r="K43" i="320"/>
  <c r="U43" i="320"/>
  <c r="K43" i="429"/>
  <c r="U43" i="429"/>
  <c r="L46" i="429" s="1"/>
  <c r="J43" i="427"/>
  <c r="T43" i="427"/>
  <c r="J43" i="428"/>
  <c r="T43" i="428"/>
  <c r="K43" i="17"/>
  <c r="U43" i="17"/>
  <c r="K43" i="9"/>
  <c r="U43" i="9"/>
  <c r="K43" i="12"/>
  <c r="U43" i="12"/>
  <c r="K43" i="356"/>
  <c r="U43" i="356"/>
  <c r="K43" i="394"/>
  <c r="U43" i="394"/>
  <c r="K43" i="393"/>
  <c r="U43" i="393"/>
  <c r="K43" i="413"/>
  <c r="U43" i="413"/>
  <c r="K43" i="23"/>
  <c r="U43" i="23"/>
  <c r="K43" i="48"/>
  <c r="U43" i="48"/>
  <c r="K43" i="52"/>
  <c r="U43" i="52"/>
  <c r="K43" i="425"/>
  <c r="U43" i="425"/>
  <c r="K43" i="88"/>
  <c r="U43" i="88"/>
  <c r="K43" i="148"/>
  <c r="U43" i="148"/>
  <c r="K43" i="409"/>
  <c r="U43" i="409"/>
  <c r="K43" i="18"/>
  <c r="L46" i="18"/>
  <c r="K43" i="20"/>
  <c r="U43" i="20"/>
  <c r="K43" i="422"/>
  <c r="U43" i="422"/>
  <c r="K43" i="75"/>
  <c r="U43" i="75"/>
  <c r="K43" i="43"/>
  <c r="U43" i="43"/>
  <c r="K43" i="97"/>
  <c r="U43" i="97"/>
  <c r="K43" i="383"/>
  <c r="U43" i="383"/>
  <c r="K43" i="28"/>
  <c r="U43" i="28"/>
  <c r="K43" i="29"/>
  <c r="U43" i="29"/>
  <c r="K43" i="359"/>
  <c r="U43" i="359"/>
  <c r="K43" i="360"/>
  <c r="U43" i="360"/>
  <c r="K43" i="368"/>
  <c r="U43" i="368"/>
  <c r="K43" i="364"/>
  <c r="U43" i="364"/>
  <c r="K43" i="420"/>
  <c r="U43" i="420"/>
  <c r="K43" i="8"/>
  <c r="U43" i="8"/>
  <c r="K43" i="203"/>
  <c r="U43" i="203"/>
  <c r="U43" i="191"/>
  <c r="J43" i="426"/>
  <c r="T43" i="426"/>
  <c r="K46" i="426" s="1"/>
  <c r="K43" i="113"/>
  <c r="K43" i="361"/>
  <c r="U43" i="361"/>
  <c r="K43" i="351"/>
  <c r="U43" i="351"/>
  <c r="K43" i="352"/>
  <c r="U43" i="352"/>
  <c r="K43" i="353"/>
  <c r="U43" i="353"/>
  <c r="K43" i="362"/>
  <c r="U43" i="362"/>
  <c r="K43" i="354"/>
  <c r="U43" i="354"/>
  <c r="K43" i="322"/>
  <c r="U43" i="322"/>
  <c r="K43" i="233"/>
  <c r="U43" i="233"/>
  <c r="K43" i="2"/>
  <c r="U43" i="2"/>
  <c r="K43" i="164"/>
  <c r="U43" i="164"/>
  <c r="K43" i="162"/>
  <c r="U43" i="162"/>
  <c r="K43" i="421"/>
  <c r="U43" i="421"/>
  <c r="K43" i="333"/>
  <c r="U43" i="333"/>
  <c r="K43" i="53"/>
  <c r="U43" i="53"/>
  <c r="K43" i="386"/>
  <c r="U43" i="386"/>
  <c r="K43" i="303"/>
  <c r="U43" i="303"/>
  <c r="K43" i="114"/>
  <c r="U43" i="114"/>
  <c r="K43" i="323"/>
  <c r="U43" i="323"/>
  <c r="K43" i="400"/>
  <c r="U43" i="400"/>
  <c r="K43" i="402"/>
  <c r="U43" i="402"/>
  <c r="L46" i="402" s="1"/>
  <c r="K43" i="403"/>
  <c r="U43" i="403"/>
  <c r="L46" i="403" s="1"/>
  <c r="J43" i="408"/>
  <c r="T43" i="408"/>
  <c r="K46" i="408" s="1"/>
  <c r="K43" i="385"/>
  <c r="U43" i="385"/>
  <c r="K43" i="334"/>
  <c r="U43" i="334"/>
  <c r="K43" i="3"/>
  <c r="U43" i="3"/>
  <c r="K43" i="349"/>
  <c r="U43" i="349"/>
  <c r="K43" i="4"/>
  <c r="U43" i="4"/>
  <c r="K43" i="15"/>
  <c r="U43" i="15"/>
  <c r="K43" i="355"/>
  <c r="U43" i="355"/>
  <c r="K43" i="299"/>
  <c r="U43" i="299"/>
  <c r="K43" i="190"/>
  <c r="U43" i="190"/>
  <c r="K43" i="16"/>
  <c r="U43" i="16"/>
  <c r="K43" i="54"/>
  <c r="U43" i="54"/>
  <c r="K43" i="384"/>
  <c r="U43" i="384"/>
  <c r="K43" i="201"/>
  <c r="U43" i="201"/>
  <c r="K43" i="249"/>
  <c r="U43" i="249"/>
  <c r="K43" i="7"/>
  <c r="U43" i="7"/>
  <c r="K43" i="423"/>
  <c r="U43" i="423"/>
  <c r="K43" i="13"/>
  <c r="U43" i="13"/>
  <c r="K43" i="261"/>
  <c r="U43" i="261"/>
  <c r="K43" i="153"/>
  <c r="U43" i="153"/>
  <c r="K43" i="257"/>
  <c r="U43" i="257"/>
  <c r="K43" i="19"/>
  <c r="U43" i="19"/>
  <c r="K43" i="347"/>
  <c r="U43" i="347"/>
  <c r="K43" i="37"/>
  <c r="U43" i="37"/>
  <c r="K43" i="367"/>
  <c r="U43" i="367"/>
  <c r="K43" i="204"/>
  <c r="U43" i="204"/>
  <c r="K43" i="363"/>
  <c r="U43" i="363"/>
  <c r="L46" i="363" s="1"/>
  <c r="K43" i="31"/>
  <c r="U43" i="31"/>
  <c r="K43" i="298"/>
  <c r="U43" i="298"/>
  <c r="K43" i="168"/>
  <c r="U43" i="168"/>
  <c r="K43" i="169"/>
  <c r="U43" i="169"/>
  <c r="K43" i="336"/>
  <c r="U43" i="336"/>
  <c r="K43" i="342"/>
  <c r="U43" i="342"/>
  <c r="K43" i="33"/>
  <c r="U43" i="33"/>
  <c r="K43" i="318"/>
  <c r="U43" i="318"/>
  <c r="K43" i="288"/>
  <c r="U43" i="288"/>
  <c r="K43" i="337"/>
  <c r="U43" i="337"/>
  <c r="K43" i="227"/>
  <c r="U43" i="227"/>
  <c r="K43" i="290"/>
  <c r="U43" i="290"/>
  <c r="K43" i="289"/>
  <c r="U43" i="289"/>
  <c r="J43" i="357"/>
  <c r="T43" i="357"/>
  <c r="K46" i="357" s="1"/>
  <c r="K43" i="293"/>
  <c r="U43" i="293"/>
  <c r="K43" i="348"/>
  <c r="U43" i="348"/>
  <c r="K43" i="297"/>
  <c r="U43" i="297"/>
  <c r="K43" i="350"/>
  <c r="U43" i="350"/>
  <c r="K43" i="105"/>
  <c r="U43" i="105"/>
  <c r="K43" i="294"/>
  <c r="U43" i="294"/>
  <c r="J43" i="365"/>
  <c r="T43" i="365"/>
  <c r="K46" i="365" s="1"/>
  <c r="J43" i="366"/>
  <c r="T43" i="366"/>
  <c r="K46" i="366" s="1"/>
  <c r="K43" i="206"/>
  <c r="U43" i="206"/>
  <c r="K43" i="22"/>
  <c r="U43" i="22"/>
  <c r="K43" i="301"/>
  <c r="U43" i="301"/>
  <c r="K43" i="344"/>
  <c r="U43" i="344"/>
  <c r="K43" i="61"/>
  <c r="U43" i="61"/>
  <c r="K43" i="338"/>
  <c r="U43" i="338"/>
  <c r="K43" i="340"/>
  <c r="U43" i="340"/>
  <c r="K43" i="34"/>
  <c r="U43" i="34"/>
  <c r="K43" i="135"/>
  <c r="U43" i="135"/>
  <c r="K43" i="295"/>
  <c r="U43" i="295"/>
  <c r="K43" i="283"/>
  <c r="U43" i="283"/>
  <c r="K43" i="284"/>
  <c r="U43" i="284"/>
  <c r="K43" i="292"/>
  <c r="U43" i="292"/>
  <c r="K43" i="325"/>
  <c r="U43" i="325"/>
  <c r="K43" i="269"/>
  <c r="U43" i="269"/>
  <c r="K43" i="11"/>
  <c r="U43" i="11"/>
  <c r="J43" i="279"/>
  <c r="T43" i="279"/>
  <c r="K46" i="279" s="1"/>
  <c r="J43" i="335"/>
  <c r="T43" i="335"/>
  <c r="K46" i="335" s="1"/>
  <c r="K43" i="101"/>
  <c r="U43" i="101"/>
  <c r="K43" i="382"/>
  <c r="U43" i="382"/>
  <c r="K43" i="102"/>
  <c r="U43" i="102"/>
  <c r="K43" i="103"/>
  <c r="U43" i="103"/>
  <c r="K43" i="411"/>
  <c r="U43" i="411"/>
  <c r="K43" i="265"/>
  <c r="U43" i="265"/>
  <c r="K43" i="262"/>
  <c r="U43" i="262"/>
  <c r="K43" i="112"/>
  <c r="U43" i="112"/>
  <c r="K43" i="109"/>
  <c r="U43" i="109"/>
  <c r="K43" i="85"/>
  <c r="U43" i="85"/>
  <c r="K43" i="324"/>
  <c r="U43" i="324"/>
  <c r="K43" i="32"/>
  <c r="U43" i="32"/>
  <c r="K43" i="196"/>
  <c r="U43" i="196"/>
  <c r="K43" i="197"/>
  <c r="K43" i="198"/>
  <c r="U43" i="198"/>
  <c r="K43" i="345"/>
  <c r="U43" i="345"/>
  <c r="K43" i="346"/>
  <c r="U43" i="346"/>
  <c r="K43" i="74"/>
  <c r="U43" i="74"/>
  <c r="K43" i="200"/>
  <c r="U43" i="200"/>
  <c r="K43" i="280"/>
  <c r="U43" i="280"/>
  <c r="K43" i="45"/>
  <c r="U43" i="45"/>
  <c r="K43" i="104"/>
  <c r="U43" i="104"/>
  <c r="K43" i="254"/>
  <c r="U43" i="254"/>
  <c r="K43" i="181"/>
  <c r="U43" i="181"/>
  <c r="K43" i="183"/>
  <c r="U43" i="183"/>
  <c r="K43" i="184"/>
  <c r="U43" i="184"/>
  <c r="K43" i="27"/>
  <c r="U43" i="27"/>
  <c r="K43" i="143"/>
  <c r="U43" i="143"/>
  <c r="K43" i="268"/>
  <c r="U43" i="268"/>
  <c r="L46" i="268" s="1"/>
  <c r="K43" i="263"/>
  <c r="U43" i="263"/>
  <c r="K43" i="209"/>
  <c r="U43" i="209"/>
  <c r="K43" i="192"/>
  <c r="U43" i="192"/>
  <c r="K43" i="140"/>
  <c r="U43" i="140"/>
  <c r="K43" i="270"/>
  <c r="U43" i="270"/>
  <c r="K43" i="271"/>
  <c r="U43" i="271"/>
  <c r="K43" i="159"/>
  <c r="U43" i="159"/>
  <c r="K43" i="160"/>
  <c r="U43" i="160"/>
  <c r="K43" i="107"/>
  <c r="U43" i="107"/>
  <c r="K43" i="176"/>
  <c r="U43" i="176"/>
  <c r="K43" i="281"/>
  <c r="U43" i="281"/>
  <c r="K43" i="332"/>
  <c r="U43" i="332"/>
  <c r="K43" i="25"/>
  <c r="U43" i="25"/>
  <c r="K43" i="24"/>
  <c r="U43" i="24"/>
  <c r="K43" i="116"/>
  <c r="U43" i="116"/>
  <c r="K43" i="285"/>
  <c r="U43" i="285"/>
  <c r="K43" i="272"/>
  <c r="U43" i="272"/>
  <c r="J43" i="44"/>
  <c r="T43" i="44"/>
  <c r="K46" i="44" s="1"/>
  <c r="K43" i="87"/>
  <c r="U43" i="87"/>
  <c r="K43" i="287"/>
  <c r="U43" i="287"/>
  <c r="K43" i="276"/>
  <c r="U43" i="276"/>
  <c r="K43" i="229"/>
  <c r="U43" i="229"/>
  <c r="K43" i="230"/>
  <c r="U43" i="230"/>
  <c r="K43" i="326"/>
  <c r="U43" i="326"/>
  <c r="K43" i="47"/>
  <c r="U43" i="47"/>
  <c r="K43" i="248"/>
  <c r="U43" i="248"/>
  <c r="K43" i="46"/>
  <c r="U43" i="46"/>
  <c r="K43" i="239"/>
  <c r="U43" i="239"/>
  <c r="K43" i="243"/>
  <c r="U43" i="243"/>
  <c r="K43" i="244"/>
  <c r="U43" i="244"/>
  <c r="K43" i="246"/>
  <c r="U43" i="246"/>
  <c r="K43" i="1"/>
  <c r="U43" i="1"/>
  <c r="K43" i="397"/>
  <c r="U43" i="397"/>
  <c r="K43" i="21"/>
  <c r="U43" i="21"/>
  <c r="K43" i="202"/>
  <c r="K43" i="392"/>
  <c r="L46" i="392" s="1"/>
  <c r="K43" i="35"/>
  <c r="R43" i="300"/>
  <c r="Q43" i="300"/>
  <c r="F43" i="300" s="1"/>
  <c r="F43" i="371"/>
  <c r="F43" i="152"/>
  <c r="S43" i="388"/>
  <c r="F43" i="388"/>
  <c r="S43" i="185"/>
  <c r="R43" i="185"/>
  <c r="Q43" i="185"/>
  <c r="F43" i="185" s="1"/>
  <c r="R43" i="186"/>
  <c r="Q43" i="186"/>
  <c r="F43" i="186" s="1"/>
  <c r="F43" i="195"/>
  <c r="M55" i="184" l="1"/>
  <c r="M55" i="207"/>
  <c r="M55" i="101"/>
  <c r="M55" i="162"/>
  <c r="M55" i="192"/>
  <c r="M55" i="385"/>
  <c r="M55" i="413"/>
  <c r="M55" i="24"/>
  <c r="M55" i="200"/>
  <c r="M55" i="32"/>
  <c r="M55" i="337"/>
  <c r="M55" i="303"/>
  <c r="M55" i="203"/>
  <c r="M55" i="246"/>
  <c r="M55" i="47"/>
  <c r="M55" i="87"/>
  <c r="M55" i="25"/>
  <c r="M55" i="159"/>
  <c r="M55" i="263"/>
  <c r="M55" i="181"/>
  <c r="M55" i="74"/>
  <c r="M55" i="314"/>
  <c r="M55" i="329"/>
  <c r="M55" i="397"/>
  <c r="M55" i="107"/>
  <c r="M55" i="153"/>
  <c r="M55" i="148"/>
  <c r="M55" i="169"/>
  <c r="M55" i="15"/>
  <c r="M55" i="164"/>
  <c r="M55" i="88"/>
  <c r="M55" i="324"/>
  <c r="M55" i="411"/>
  <c r="M55" i="283"/>
  <c r="M55" i="61"/>
  <c r="M55" i="293"/>
  <c r="M55" i="288"/>
  <c r="M55" i="168"/>
  <c r="M55" i="37"/>
  <c r="M55" i="13"/>
  <c r="M55" i="54"/>
  <c r="M55" i="4"/>
  <c r="M55" i="386"/>
  <c r="M55" i="2"/>
  <c r="M55" i="352"/>
  <c r="M55" i="8"/>
  <c r="M55" i="29"/>
  <c r="M55" i="422"/>
  <c r="M55" i="425"/>
  <c r="M55" i="394"/>
  <c r="M55" i="276"/>
  <c r="M55" i="262"/>
  <c r="M55" i="336"/>
  <c r="M55" i="362"/>
  <c r="M55" i="17"/>
  <c r="M55" i="160"/>
  <c r="M55" i="384"/>
  <c r="M55" i="359"/>
  <c r="M55" i="194"/>
  <c r="M55" i="326"/>
  <c r="M55" i="332"/>
  <c r="M55" i="271"/>
  <c r="M55" i="254"/>
  <c r="M55" i="346"/>
  <c r="M55" i="387"/>
  <c r="M55" i="328"/>
  <c r="M55" i="280"/>
  <c r="M55" i="292"/>
  <c r="M55" i="340"/>
  <c r="M55" i="297"/>
  <c r="M55" i="201"/>
  <c r="M55" i="360"/>
  <c r="M55" i="344"/>
  <c r="M55" i="294"/>
  <c r="M55" i="318"/>
  <c r="M55" i="298"/>
  <c r="M55" i="347"/>
  <c r="M55" i="423"/>
  <c r="M55" i="16"/>
  <c r="M55" i="349"/>
  <c r="M55" i="53"/>
  <c r="M55" i="233"/>
  <c r="M55" i="351"/>
  <c r="M55" i="420"/>
  <c r="M55" i="28"/>
  <c r="M55" i="20"/>
  <c r="M55" i="52"/>
  <c r="M55" i="356"/>
  <c r="M55" i="46"/>
  <c r="M55" i="206"/>
  <c r="M55" i="43"/>
  <c r="M55" i="193"/>
  <c r="M55" i="393"/>
  <c r="M55" i="424"/>
  <c r="M55" i="116"/>
  <c r="M55" i="204"/>
  <c r="M55" i="114"/>
  <c r="M55" i="1"/>
  <c r="M55" i="287"/>
  <c r="M55" i="209"/>
  <c r="M55" i="284"/>
  <c r="M55" i="367"/>
  <c r="M55" i="295"/>
  <c r="L46" i="202"/>
  <c r="M55" i="202"/>
  <c r="M55" i="272"/>
  <c r="M55" i="270"/>
  <c r="M55" i="143"/>
  <c r="M55" i="104"/>
  <c r="M55" i="389"/>
  <c r="M55" i="109"/>
  <c r="M55" i="102"/>
  <c r="M55" i="269"/>
  <c r="M55" i="135"/>
  <c r="M55" i="301"/>
  <c r="M55" i="105"/>
  <c r="M55" i="289"/>
  <c r="M55" i="33"/>
  <c r="M55" i="31"/>
  <c r="M55" i="19"/>
  <c r="M55" i="7"/>
  <c r="M55" i="190"/>
  <c r="M55" i="3"/>
  <c r="M55" i="400"/>
  <c r="M55" i="333"/>
  <c r="M55" i="322"/>
  <c r="M55" i="361"/>
  <c r="M55" i="364"/>
  <c r="M55" i="383"/>
  <c r="M55" i="18"/>
  <c r="M55" i="48"/>
  <c r="M55" i="12"/>
  <c r="M55" i="320"/>
  <c r="M55" i="248"/>
  <c r="M55" i="183"/>
  <c r="M55" i="5"/>
  <c r="M55" i="265"/>
  <c r="M55" i="338"/>
  <c r="M55" i="348"/>
  <c r="M55" i="261"/>
  <c r="M55" i="353"/>
  <c r="M55" i="75"/>
  <c r="L46" i="35"/>
  <c r="M55" i="35"/>
  <c r="M55" i="244"/>
  <c r="M55" i="103"/>
  <c r="M55" i="230"/>
  <c r="M55" i="239"/>
  <c r="M55" i="229"/>
  <c r="M55" i="285"/>
  <c r="M55" i="176"/>
  <c r="M55" i="140"/>
  <c r="M55" i="27"/>
  <c r="M55" i="45"/>
  <c r="M55" i="198"/>
  <c r="M55" i="113"/>
  <c r="M55" i="89"/>
  <c r="M55" i="174"/>
  <c r="M55" i="196"/>
  <c r="M55" i="227"/>
  <c r="M55" i="355"/>
  <c r="M55" i="85"/>
  <c r="M55" i="11"/>
  <c r="M55" i="243"/>
  <c r="M55" i="281"/>
  <c r="M55" i="345"/>
  <c r="M55" i="21"/>
  <c r="M55" i="197"/>
  <c r="M55" i="112"/>
  <c r="M55" i="382"/>
  <c r="M55" i="325"/>
  <c r="M55" i="34"/>
  <c r="M55" i="22"/>
  <c r="M55" i="350"/>
  <c r="M55" i="290"/>
  <c r="M55" i="342"/>
  <c r="M55" i="257"/>
  <c r="M55" i="249"/>
  <c r="M55" i="299"/>
  <c r="M55" i="334"/>
  <c r="M55" i="421"/>
  <c r="M55" i="354"/>
  <c r="M55" i="368"/>
  <c r="M55" i="97"/>
  <c r="M55" i="409"/>
  <c r="M55" i="23"/>
  <c r="M55" i="9"/>
  <c r="M55" i="319"/>
  <c r="L46" i="206"/>
  <c r="G44" i="388"/>
  <c r="H55" i="388"/>
  <c r="L46" i="204"/>
  <c r="L46" i="191"/>
  <c r="L46" i="5"/>
  <c r="L46" i="262"/>
  <c r="L46" i="227"/>
  <c r="L46" i="32"/>
  <c r="L46" i="265"/>
  <c r="L46" i="284"/>
  <c r="L46" i="338"/>
  <c r="L46" i="348"/>
  <c r="L46" i="337"/>
  <c r="L46" i="169"/>
  <c r="L46" i="367"/>
  <c r="L46" i="261"/>
  <c r="L46" i="384"/>
  <c r="L46" i="15"/>
  <c r="L46" i="303"/>
  <c r="L46" i="164"/>
  <c r="L46" i="353"/>
  <c r="L46" i="203"/>
  <c r="L46" i="359"/>
  <c r="L46" i="75"/>
  <c r="L46" i="88"/>
  <c r="L46" i="393"/>
  <c r="L46" i="194"/>
  <c r="L46" i="340"/>
  <c r="L46" i="114"/>
  <c r="L46" i="360"/>
  <c r="L46" i="148"/>
  <c r="L46" i="24"/>
  <c r="L46" i="209"/>
  <c r="L46" i="200"/>
  <c r="L46" i="246"/>
  <c r="L46" i="25"/>
  <c r="G44" i="300"/>
  <c r="H55" i="300"/>
  <c r="L46" i="324"/>
  <c r="L46" i="411"/>
  <c r="L46" i="283"/>
  <c r="L46" i="61"/>
  <c r="L46" i="293"/>
  <c r="L46" i="288"/>
  <c r="L46" i="168"/>
  <c r="L46" i="37"/>
  <c r="L46" i="13"/>
  <c r="L46" i="54"/>
  <c r="L46" i="4"/>
  <c r="L46" i="386"/>
  <c r="L46" i="2"/>
  <c r="L46" i="352"/>
  <c r="L46" i="8"/>
  <c r="L46" i="29"/>
  <c r="L46" i="422"/>
  <c r="L46" i="425"/>
  <c r="L46" i="394"/>
  <c r="L46" i="297"/>
  <c r="L46" i="355"/>
  <c r="L46" i="43"/>
  <c r="L46" i="1"/>
  <c r="L46" i="47"/>
  <c r="L46" i="329"/>
  <c r="L46" i="244"/>
  <c r="L46" i="332"/>
  <c r="L46" i="346"/>
  <c r="L46" i="387"/>
  <c r="L46" i="328"/>
  <c r="L46" i="326"/>
  <c r="L46" i="103"/>
  <c r="L46" i="295"/>
  <c r="L46" i="16"/>
  <c r="L46" i="349"/>
  <c r="L46" i="53"/>
  <c r="L46" i="233"/>
  <c r="L46" i="351"/>
  <c r="L46" i="420"/>
  <c r="L46" i="28"/>
  <c r="L46" i="20"/>
  <c r="L46" i="52"/>
  <c r="L46" i="356"/>
  <c r="L46" i="101"/>
  <c r="L46" i="336"/>
  <c r="L46" i="201"/>
  <c r="L46" i="385"/>
  <c r="L46" i="162"/>
  <c r="L46" i="193"/>
  <c r="L46" i="287"/>
  <c r="L46" i="74"/>
  <c r="L46" i="271"/>
  <c r="L46" i="254"/>
  <c r="G44" i="195"/>
  <c r="H55" i="195"/>
  <c r="L46" i="85"/>
  <c r="L46" i="11"/>
  <c r="L46" i="344"/>
  <c r="L46" i="294"/>
  <c r="L46" i="318"/>
  <c r="L46" i="298"/>
  <c r="L46" i="347"/>
  <c r="L46" i="423"/>
  <c r="G44" i="186"/>
  <c r="H55" i="186"/>
  <c r="L46" i="243"/>
  <c r="L46" i="230"/>
  <c r="L46" i="272"/>
  <c r="L46" i="281"/>
  <c r="L46" i="270"/>
  <c r="L46" i="143"/>
  <c r="L46" i="104"/>
  <c r="L46" i="345"/>
  <c r="L46" i="389"/>
  <c r="L46" i="424"/>
  <c r="L46" i="413"/>
  <c r="G44" i="371"/>
  <c r="H55" i="371"/>
  <c r="L46" i="159"/>
  <c r="L46" i="263"/>
  <c r="L46" i="181"/>
  <c r="L46" i="109"/>
  <c r="L46" i="135"/>
  <c r="L46" i="289"/>
  <c r="L46" i="33"/>
  <c r="L46" i="31"/>
  <c r="L46" i="19"/>
  <c r="L46" i="7"/>
  <c r="L46" i="190"/>
  <c r="L46" i="3"/>
  <c r="L46" i="400"/>
  <c r="L46" i="333"/>
  <c r="L46" i="322"/>
  <c r="L46" i="361"/>
  <c r="L46" i="364"/>
  <c r="L46" i="383"/>
  <c r="L46" i="48"/>
  <c r="L46" i="12"/>
  <c r="L46" i="320"/>
  <c r="L46" i="229"/>
  <c r="L46" i="27"/>
  <c r="L46" i="45"/>
  <c r="L46" i="89"/>
  <c r="L46" i="174"/>
  <c r="L46" i="362"/>
  <c r="L46" i="183"/>
  <c r="L46" i="102"/>
  <c r="L46" i="269"/>
  <c r="L46" i="301"/>
  <c r="L46" i="105"/>
  <c r="G44" i="185"/>
  <c r="H55" i="185"/>
  <c r="L46" i="21"/>
  <c r="L46" i="239"/>
  <c r="L46" i="285"/>
  <c r="L46" i="176"/>
  <c r="L46" i="140"/>
  <c r="L46" i="198"/>
  <c r="L46" i="112"/>
  <c r="L46" i="382"/>
  <c r="L46" i="325"/>
  <c r="L46" i="34"/>
  <c r="L46" i="22"/>
  <c r="L46" i="350"/>
  <c r="L46" i="290"/>
  <c r="L46" i="342"/>
  <c r="L46" i="257"/>
  <c r="L46" i="249"/>
  <c r="L46" i="299"/>
  <c r="L46" i="334"/>
  <c r="L46" i="323"/>
  <c r="M55" i="323"/>
  <c r="L46" i="421"/>
  <c r="L46" i="354"/>
  <c r="L46" i="368"/>
  <c r="L46" i="97"/>
  <c r="L46" i="409"/>
  <c r="L46" i="23"/>
  <c r="L46" i="9"/>
  <c r="L46" i="319"/>
  <c r="L46" i="196"/>
  <c r="L46" i="292"/>
  <c r="L46" i="153"/>
  <c r="L46" i="17"/>
  <c r="L46" i="248"/>
  <c r="L46" i="160"/>
  <c r="G44" i="152"/>
  <c r="H55" i="152"/>
  <c r="L46" i="87"/>
  <c r="L46" i="397"/>
  <c r="L46" i="46"/>
  <c r="L46" i="276"/>
  <c r="L46" i="116"/>
  <c r="L46" i="107"/>
  <c r="L46" i="192"/>
  <c r="L46" i="184"/>
  <c r="L46" i="280"/>
  <c r="L46" i="207"/>
  <c r="S43" i="414"/>
  <c r="R43" i="414"/>
  <c r="Q43" i="414"/>
  <c r="F43" i="414" s="1"/>
  <c r="Q43" i="253"/>
  <c r="F43" i="253" s="1"/>
  <c r="S41" i="427"/>
  <c r="I41" i="427" s="1"/>
  <c r="S42" i="427"/>
  <c r="I42" i="427" s="1"/>
  <c r="S43" i="427"/>
  <c r="I43" i="427" s="1"/>
  <c r="G44" i="253" l="1"/>
  <c r="H55" i="253"/>
  <c r="G44" i="414"/>
  <c r="H55" i="414"/>
  <c r="M43" i="427"/>
  <c r="T43" i="414"/>
  <c r="I43" i="414" s="1"/>
  <c r="J55" i="414" s="1"/>
  <c r="E43" i="369"/>
  <c r="T43" i="319"/>
  <c r="I43" i="319" s="1"/>
  <c r="J55" i="319" s="1"/>
  <c r="T43" i="320"/>
  <c r="I43" i="320" s="1"/>
  <c r="J55" i="320" s="1"/>
  <c r="T43" i="21"/>
  <c r="I43" i="21" s="1"/>
  <c r="J55" i="21" s="1"/>
  <c r="T43" i="429"/>
  <c r="I43" i="429" s="1"/>
  <c r="S43" i="428"/>
  <c r="I43" i="428" s="1"/>
  <c r="T43" i="17"/>
  <c r="I43" i="17" s="1"/>
  <c r="J55" i="17" s="1"/>
  <c r="T43" i="9"/>
  <c r="I43" i="9" s="1"/>
  <c r="J55" i="9" s="1"/>
  <c r="T43" i="424"/>
  <c r="I43" i="424" s="1"/>
  <c r="J55" i="424" s="1"/>
  <c r="T43" i="12"/>
  <c r="I43" i="12" s="1"/>
  <c r="J55" i="12" s="1"/>
  <c r="T43" i="356"/>
  <c r="I43" i="356" s="1"/>
  <c r="J55" i="356" s="1"/>
  <c r="F43" i="395"/>
  <c r="T43" i="394"/>
  <c r="I43" i="394" s="1"/>
  <c r="J55" i="394" s="1"/>
  <c r="T43" i="393"/>
  <c r="I43" i="393" s="1"/>
  <c r="J55" i="393" s="1"/>
  <c r="T43" i="413"/>
  <c r="I43" i="413" s="1"/>
  <c r="J55" i="413" s="1"/>
  <c r="T43" i="89"/>
  <c r="I43" i="89" s="1"/>
  <c r="J55" i="89" s="1"/>
  <c r="T43" i="389"/>
  <c r="I43" i="389" s="1"/>
  <c r="J55" i="389" s="1"/>
  <c r="T43" i="23"/>
  <c r="I43" i="23" s="1"/>
  <c r="J55" i="23" s="1"/>
  <c r="T43" i="48"/>
  <c r="I43" i="48" s="1"/>
  <c r="J55" i="48" s="1"/>
  <c r="T43" i="5"/>
  <c r="I43" i="5" s="1"/>
  <c r="J55" i="5" s="1"/>
  <c r="T43" i="207"/>
  <c r="I43" i="207" s="1"/>
  <c r="J55" i="207" s="1"/>
  <c r="T43" i="52"/>
  <c r="I43" i="52" s="1"/>
  <c r="J55" i="52" s="1"/>
  <c r="T43" i="425"/>
  <c r="I43" i="425" s="1"/>
  <c r="J55" i="425" s="1"/>
  <c r="F43" i="149"/>
  <c r="T43" i="88"/>
  <c r="I43" i="88" s="1"/>
  <c r="J55" i="88" s="1"/>
  <c r="T43" i="148"/>
  <c r="I43" i="148" s="1"/>
  <c r="J55" i="148" s="1"/>
  <c r="T43" i="409"/>
  <c r="I43" i="409" s="1"/>
  <c r="J55" i="409" s="1"/>
  <c r="F43" i="142"/>
  <c r="T43" i="20"/>
  <c r="I43" i="20" s="1"/>
  <c r="J55" i="20" s="1"/>
  <c r="T43" i="422"/>
  <c r="I43" i="422" s="1"/>
  <c r="J55" i="422" s="1"/>
  <c r="T43" i="43"/>
  <c r="I43" i="43" s="1"/>
  <c r="J55" i="43" s="1"/>
  <c r="T43" i="97"/>
  <c r="I43" i="97" s="1"/>
  <c r="J55" i="97" s="1"/>
  <c r="T43" i="383"/>
  <c r="I43" i="383" s="1"/>
  <c r="J55" i="383" s="1"/>
  <c r="T43" i="75"/>
  <c r="I43" i="75" s="1"/>
  <c r="J55" i="75" s="1"/>
  <c r="S43" i="253"/>
  <c r="R43" i="253"/>
  <c r="T43" i="28"/>
  <c r="I43" i="28" s="1"/>
  <c r="J55" i="28" s="1"/>
  <c r="T43" i="29"/>
  <c r="I43" i="29" s="1"/>
  <c r="J55" i="29" s="1"/>
  <c r="T43" i="359"/>
  <c r="I43" i="359" s="1"/>
  <c r="J55" i="359" s="1"/>
  <c r="T43" i="360"/>
  <c r="I43" i="360" s="1"/>
  <c r="J55" i="360" s="1"/>
  <c r="T43" i="368"/>
  <c r="I43" i="368" s="1"/>
  <c r="J55" i="368" s="1"/>
  <c r="T43" i="364"/>
  <c r="I43" i="364" s="1"/>
  <c r="J55" i="364" s="1"/>
  <c r="T43" i="420"/>
  <c r="I43" i="420" s="1"/>
  <c r="J55" i="420" s="1"/>
  <c r="T43" i="8"/>
  <c r="I43" i="8" s="1"/>
  <c r="J55" i="8" s="1"/>
  <c r="T43" i="203"/>
  <c r="I43" i="203" s="1"/>
  <c r="J55" i="203" s="1"/>
  <c r="T43" i="191"/>
  <c r="I43" i="191" s="1"/>
  <c r="J55" i="191" s="1"/>
  <c r="I43" i="296"/>
  <c r="J55" i="296" s="1"/>
  <c r="S43" i="426"/>
  <c r="I43" i="426" s="1"/>
  <c r="T43" i="361"/>
  <c r="I43" i="361" s="1"/>
  <c r="J55" i="361" s="1"/>
  <c r="T43" i="352"/>
  <c r="I43" i="352" s="1"/>
  <c r="J55" i="352" s="1"/>
  <c r="T43" i="353"/>
  <c r="I43" i="353" s="1"/>
  <c r="J55" i="353" s="1"/>
  <c r="T43" i="362"/>
  <c r="I43" i="362" s="1"/>
  <c r="J55" i="362" s="1"/>
  <c r="T43" i="354"/>
  <c r="I43" i="354" s="1"/>
  <c r="J55" i="354" s="1"/>
  <c r="T43" i="322"/>
  <c r="I43" i="322" s="1"/>
  <c r="J55" i="322" s="1"/>
  <c r="T43" i="233"/>
  <c r="I43" i="233" s="1"/>
  <c r="J55" i="233" s="1"/>
  <c r="T43" i="2"/>
  <c r="I43" i="2" s="1"/>
  <c r="J55" i="2" s="1"/>
  <c r="T43" i="164"/>
  <c r="I43" i="164" s="1"/>
  <c r="J55" i="164" s="1"/>
  <c r="T43" i="162"/>
  <c r="I43" i="162" s="1"/>
  <c r="J55" i="162" s="1"/>
  <c r="T43" i="421"/>
  <c r="I43" i="421" s="1"/>
  <c r="J55" i="421" s="1"/>
  <c r="T43" i="333"/>
  <c r="I43" i="333" s="1"/>
  <c r="J55" i="333" s="1"/>
  <c r="T43" i="53"/>
  <c r="I43" i="53" s="1"/>
  <c r="J55" i="53" s="1"/>
  <c r="T43" i="386"/>
  <c r="I43" i="386" s="1"/>
  <c r="J55" i="386" s="1"/>
  <c r="T43" i="387"/>
  <c r="I43" i="387" s="1"/>
  <c r="J55" i="387" s="1"/>
  <c r="T43" i="303"/>
  <c r="I43" i="303" s="1"/>
  <c r="J55" i="303" s="1"/>
  <c r="T43" i="114"/>
  <c r="I43" i="114" s="1"/>
  <c r="J55" i="114" s="1"/>
  <c r="T43" i="323"/>
  <c r="I43" i="323" s="1"/>
  <c r="J55" i="323" s="1"/>
  <c r="T43" i="400"/>
  <c r="I43" i="400" s="1"/>
  <c r="J55" i="400" s="1"/>
  <c r="F43" i="404"/>
  <c r="G44" i="404" s="1"/>
  <c r="T43" i="402"/>
  <c r="I43" i="402" s="1"/>
  <c r="T43" i="403"/>
  <c r="I43" i="403" s="1"/>
  <c r="S43" i="408"/>
  <c r="I43" i="408" s="1"/>
  <c r="T43" i="385"/>
  <c r="I43" i="385" s="1"/>
  <c r="J55" i="385" s="1"/>
  <c r="T43" i="334"/>
  <c r="I43" i="334" s="1"/>
  <c r="J55" i="334" s="1"/>
  <c r="T43" i="3"/>
  <c r="I43" i="3" s="1"/>
  <c r="J55" i="3" s="1"/>
  <c r="T43" i="349"/>
  <c r="I43" i="349" s="1"/>
  <c r="J55" i="349" s="1"/>
  <c r="T43" i="4"/>
  <c r="I43" i="4" s="1"/>
  <c r="J55" i="4" s="1"/>
  <c r="T43" i="15"/>
  <c r="I43" i="15" s="1"/>
  <c r="J55" i="15" s="1"/>
  <c r="T43" i="355"/>
  <c r="I43" i="355" s="1"/>
  <c r="J55" i="355" s="1"/>
  <c r="S43" i="300"/>
  <c r="T43" i="299"/>
  <c r="I43" i="299" s="1"/>
  <c r="J55" i="299" s="1"/>
  <c r="T43" i="190"/>
  <c r="I43" i="190" s="1"/>
  <c r="J55" i="190" s="1"/>
  <c r="T43" i="16"/>
  <c r="I43" i="16" s="1"/>
  <c r="J55" i="16" s="1"/>
  <c r="T43" i="54"/>
  <c r="I43" i="54" s="1"/>
  <c r="J55" i="54" s="1"/>
  <c r="I43" i="384"/>
  <c r="J55" i="384" s="1"/>
  <c r="T43" i="201"/>
  <c r="I43" i="201" s="1"/>
  <c r="J55" i="201" s="1"/>
  <c r="T43" i="249"/>
  <c r="I43" i="249" s="1"/>
  <c r="J55" i="249" s="1"/>
  <c r="T43" i="7"/>
  <c r="I43" i="7" s="1"/>
  <c r="J55" i="7" s="1"/>
  <c r="T43" i="423"/>
  <c r="I43" i="423" s="1"/>
  <c r="J55" i="423" s="1"/>
  <c r="T43" i="13"/>
  <c r="I43" i="13" s="1"/>
  <c r="J55" i="13" s="1"/>
  <c r="T43" i="261"/>
  <c r="I43" i="261" s="1"/>
  <c r="J55" i="261" s="1"/>
  <c r="T43" i="153"/>
  <c r="I43" i="153" s="1"/>
  <c r="J55" i="153" s="1"/>
  <c r="T43" i="257"/>
  <c r="I43" i="257" s="1"/>
  <c r="J55" i="257" s="1"/>
  <c r="T43" i="19"/>
  <c r="I43" i="19" s="1"/>
  <c r="J55" i="19" s="1"/>
  <c r="T43" i="347"/>
  <c r="I43" i="347" s="1"/>
  <c r="J55" i="347" s="1"/>
  <c r="T43" i="37"/>
  <c r="I43" i="37" s="1"/>
  <c r="J55" i="37" s="1"/>
  <c r="T43" i="367"/>
  <c r="I43" i="367" s="1"/>
  <c r="J55" i="367" s="1"/>
  <c r="L43" i="369"/>
  <c r="T43" i="204"/>
  <c r="I43" i="204" s="1"/>
  <c r="J55" i="204" s="1"/>
  <c r="T43" i="363"/>
  <c r="I43" i="363" s="1"/>
  <c r="T43" i="31"/>
  <c r="I43" i="31" s="1"/>
  <c r="J55" i="31" s="1"/>
  <c r="T43" i="298"/>
  <c r="I43" i="298" s="1"/>
  <c r="J55" i="298" s="1"/>
  <c r="F43" i="170"/>
  <c r="T43" i="168"/>
  <c r="I43" i="168" s="1"/>
  <c r="J55" i="168" s="1"/>
  <c r="T43" i="169"/>
  <c r="I43" i="169" s="1"/>
  <c r="J55" i="169" s="1"/>
  <c r="T43" i="336"/>
  <c r="I43" i="336" s="1"/>
  <c r="J55" i="336" s="1"/>
  <c r="T43" i="342"/>
  <c r="I43" i="342" s="1"/>
  <c r="J55" i="342" s="1"/>
  <c r="T43" i="33"/>
  <c r="I43" i="33" s="1"/>
  <c r="J55" i="33" s="1"/>
  <c r="T43" i="318"/>
  <c r="I43" i="318" s="1"/>
  <c r="J55" i="318" s="1"/>
  <c r="T43" i="288"/>
  <c r="I43" i="288" s="1"/>
  <c r="J55" i="288" s="1"/>
  <c r="T43" i="337"/>
  <c r="I43" i="337" s="1"/>
  <c r="J55" i="337" s="1"/>
  <c r="T43" i="227"/>
  <c r="I43" i="227" s="1"/>
  <c r="J55" i="227" s="1"/>
  <c r="T43" i="290"/>
  <c r="I43" i="290" s="1"/>
  <c r="J55" i="290" s="1"/>
  <c r="T43" i="289"/>
  <c r="I43" i="289" s="1"/>
  <c r="J55" i="289" s="1"/>
  <c r="S43" i="357"/>
  <c r="I43" i="357" s="1"/>
  <c r="T43" i="293"/>
  <c r="I43" i="293" s="1"/>
  <c r="J55" i="293" s="1"/>
  <c r="T43" i="348"/>
  <c r="I43" i="348" s="1"/>
  <c r="J55" i="348" s="1"/>
  <c r="T43" i="194"/>
  <c r="I43" i="194" s="1"/>
  <c r="J55" i="194" s="1"/>
  <c r="T43" i="193"/>
  <c r="I43" i="193" s="1"/>
  <c r="J55" i="193" s="1"/>
  <c r="T43" i="297"/>
  <c r="I43" i="297" s="1"/>
  <c r="J55" i="297" s="1"/>
  <c r="T43" i="350"/>
  <c r="I43" i="350" s="1"/>
  <c r="J55" i="350" s="1"/>
  <c r="T43" i="105"/>
  <c r="I43" i="105" s="1"/>
  <c r="J55" i="105" s="1"/>
  <c r="T43" i="294"/>
  <c r="I43" i="294" s="1"/>
  <c r="J55" i="294" s="1"/>
  <c r="S43" i="365"/>
  <c r="I43" i="365" s="1"/>
  <c r="S43" i="366"/>
  <c r="I43" i="366" s="1"/>
  <c r="T43" i="206"/>
  <c r="I43" i="206" s="1"/>
  <c r="J55" i="206" s="1"/>
  <c r="T43" i="22"/>
  <c r="I43" i="22" s="1"/>
  <c r="J55" i="22" s="1"/>
  <c r="T43" i="301"/>
  <c r="I43" i="301" s="1"/>
  <c r="J55" i="301" s="1"/>
  <c r="T43" i="344"/>
  <c r="I43" i="344" s="1"/>
  <c r="J55" i="344" s="1"/>
  <c r="T43" i="61"/>
  <c r="I43" i="61" s="1"/>
  <c r="J55" i="61" s="1"/>
  <c r="T43" i="338"/>
  <c r="I43" i="338" s="1"/>
  <c r="J55" i="338" s="1"/>
  <c r="T43" i="340"/>
  <c r="I43" i="340" s="1"/>
  <c r="J55" i="340" s="1"/>
  <c r="T43" i="34"/>
  <c r="I43" i="34" s="1"/>
  <c r="J55" i="34" s="1"/>
  <c r="T43" i="174"/>
  <c r="I43" i="174" s="1"/>
  <c r="J55" i="174" s="1"/>
  <c r="I43" i="187"/>
  <c r="J55" i="187" s="1"/>
  <c r="T43" i="135"/>
  <c r="I43" i="135" s="1"/>
  <c r="J55" i="135" s="1"/>
  <c r="T43" i="295"/>
  <c r="I43" i="295" s="1"/>
  <c r="J55" i="295" s="1"/>
  <c r="T43" i="283"/>
  <c r="I43" i="283" s="1"/>
  <c r="J55" i="283" s="1"/>
  <c r="T43" i="284"/>
  <c r="I43" i="284" s="1"/>
  <c r="J55" i="284" s="1"/>
  <c r="T43" i="292"/>
  <c r="I43" i="292" s="1"/>
  <c r="J55" i="292" s="1"/>
  <c r="T43" i="339"/>
  <c r="I43" i="339" s="1"/>
  <c r="J55" i="339" s="1"/>
  <c r="T43" i="325"/>
  <c r="I43" i="325" s="1"/>
  <c r="J55" i="325" s="1"/>
  <c r="T43" i="269"/>
  <c r="I43" i="269" s="1"/>
  <c r="J55" i="269" s="1"/>
  <c r="T43" i="11"/>
  <c r="I43" i="11" s="1"/>
  <c r="J55" i="11" s="1"/>
  <c r="S43" i="279"/>
  <c r="I43" i="279" s="1"/>
  <c r="S43" i="335"/>
  <c r="I43" i="335" s="1"/>
  <c r="T43" i="101"/>
  <c r="I43" i="101" s="1"/>
  <c r="J55" i="101" s="1"/>
  <c r="T43" i="382"/>
  <c r="I43" i="382" s="1"/>
  <c r="J55" i="382" s="1"/>
  <c r="T43" i="102"/>
  <c r="I43" i="102" s="1"/>
  <c r="J55" i="102" s="1"/>
  <c r="T43" i="103"/>
  <c r="I43" i="103" s="1"/>
  <c r="J55" i="103" s="1"/>
  <c r="T43" i="411"/>
  <c r="I43" i="411" s="1"/>
  <c r="J55" i="411" s="1"/>
  <c r="T43" i="265"/>
  <c r="I43" i="265" s="1"/>
  <c r="J55" i="265" s="1"/>
  <c r="T43" i="262"/>
  <c r="I43" i="262" s="1"/>
  <c r="J55" i="262" s="1"/>
  <c r="T43" i="112"/>
  <c r="I43" i="112" s="1"/>
  <c r="J55" i="112" s="1"/>
  <c r="T43" i="109"/>
  <c r="I43" i="109" s="1"/>
  <c r="J55" i="109" s="1"/>
  <c r="T43" i="85"/>
  <c r="I43" i="85" s="1"/>
  <c r="J55" i="85" s="1"/>
  <c r="T43" i="324"/>
  <c r="I43" i="324" s="1"/>
  <c r="J55" i="324" s="1"/>
  <c r="T43" i="32"/>
  <c r="I43" i="32" s="1"/>
  <c r="J55" i="32" s="1"/>
  <c r="T43" i="196"/>
  <c r="I43" i="196" s="1"/>
  <c r="J55" i="196" s="1"/>
  <c r="T43" i="198"/>
  <c r="I43" i="198" s="1"/>
  <c r="J55" i="198" s="1"/>
  <c r="T43" i="345"/>
  <c r="I43" i="345" s="1"/>
  <c r="J55" i="345" s="1"/>
  <c r="T43" i="346"/>
  <c r="I43" i="346" s="1"/>
  <c r="J55" i="346" s="1"/>
  <c r="T43" i="74"/>
  <c r="I43" i="74" s="1"/>
  <c r="J55" i="74" s="1"/>
  <c r="T43" i="200"/>
  <c r="I43" i="200" s="1"/>
  <c r="J55" i="200" s="1"/>
  <c r="T43" i="280"/>
  <c r="I43" i="280" s="1"/>
  <c r="J55" i="280" s="1"/>
  <c r="T43" i="45"/>
  <c r="I43" i="45" s="1"/>
  <c r="J55" i="45" s="1"/>
  <c r="T43" i="104"/>
  <c r="I43" i="104" s="1"/>
  <c r="J55" i="104" s="1"/>
  <c r="T43" i="254"/>
  <c r="I43" i="254" s="1"/>
  <c r="J55" i="254" s="1"/>
  <c r="T43" i="181"/>
  <c r="I43" i="181" s="1"/>
  <c r="J55" i="181" s="1"/>
  <c r="T43" i="183"/>
  <c r="I43" i="183" s="1"/>
  <c r="J55" i="183" s="1"/>
  <c r="T43" i="184"/>
  <c r="I43" i="184" s="1"/>
  <c r="J55" i="184" s="1"/>
  <c r="F43" i="144"/>
  <c r="T43" i="27"/>
  <c r="I43" i="27" s="1"/>
  <c r="J55" i="27" s="1"/>
  <c r="T43" i="143"/>
  <c r="I43" i="143" s="1"/>
  <c r="J55" i="143" s="1"/>
  <c r="T43" i="268"/>
  <c r="I43" i="268" s="1"/>
  <c r="T43" i="263"/>
  <c r="I43" i="263" s="1"/>
  <c r="J55" i="263" s="1"/>
  <c r="T43" i="209"/>
  <c r="I43" i="209" s="1"/>
  <c r="J55" i="209" s="1"/>
  <c r="T43" i="192"/>
  <c r="I43" i="192" s="1"/>
  <c r="J55" i="192" s="1"/>
  <c r="T43" i="140"/>
  <c r="I43" i="140" s="1"/>
  <c r="J55" i="140" s="1"/>
  <c r="T43" i="270"/>
  <c r="I43" i="270" s="1"/>
  <c r="J55" i="270" s="1"/>
  <c r="T43" i="271"/>
  <c r="I43" i="271" s="1"/>
  <c r="J55" i="271" s="1"/>
  <c r="S43" i="186"/>
  <c r="T43" i="159"/>
  <c r="I43" i="159" s="1"/>
  <c r="J55" i="159" s="1"/>
  <c r="T43" i="160"/>
  <c r="I43" i="160" s="1"/>
  <c r="J55" i="160" s="1"/>
  <c r="T43" i="107"/>
  <c r="I43" i="107" s="1"/>
  <c r="J55" i="107" s="1"/>
  <c r="T43" i="176"/>
  <c r="I43" i="176" s="1"/>
  <c r="J55" i="176" s="1"/>
  <c r="T43" i="281"/>
  <c r="I43" i="281" s="1"/>
  <c r="J55" i="281" s="1"/>
  <c r="T43" i="332"/>
  <c r="I43" i="332" s="1"/>
  <c r="J55" i="332" s="1"/>
  <c r="T43" i="25"/>
  <c r="I43" i="25" s="1"/>
  <c r="J55" i="25" s="1"/>
  <c r="T43" i="24"/>
  <c r="I43" i="24" s="1"/>
  <c r="J55" i="24" s="1"/>
  <c r="T43" i="116"/>
  <c r="I43" i="116" s="1"/>
  <c r="J55" i="116" s="1"/>
  <c r="T43" i="285"/>
  <c r="I43" i="285" s="1"/>
  <c r="J55" i="285" s="1"/>
  <c r="T43" i="272"/>
  <c r="I43" i="272" s="1"/>
  <c r="J55" i="272" s="1"/>
  <c r="S43" i="44"/>
  <c r="I43" i="44" s="1"/>
  <c r="T43" i="87"/>
  <c r="I43" i="87" s="1"/>
  <c r="J55" i="87" s="1"/>
  <c r="T43" i="287"/>
  <c r="I43" i="287" s="1"/>
  <c r="J55" i="287" s="1"/>
  <c r="T43" i="276"/>
  <c r="I43" i="276" s="1"/>
  <c r="J55" i="276" s="1"/>
  <c r="S43" i="231"/>
  <c r="U43" i="231" s="1"/>
  <c r="R43" i="231"/>
  <c r="Q43" i="231"/>
  <c r="F43" i="231" s="1"/>
  <c r="T43" i="229"/>
  <c r="I43" i="229" s="1"/>
  <c r="J55" i="229" s="1"/>
  <c r="F43" i="327"/>
  <c r="T43" i="328"/>
  <c r="I43" i="328" s="1"/>
  <c r="J55" i="328" s="1"/>
  <c r="T43" i="329"/>
  <c r="I43" i="329" s="1"/>
  <c r="J55" i="329" s="1"/>
  <c r="T43" i="326"/>
  <c r="I43" i="326" s="1"/>
  <c r="J55" i="326" s="1"/>
  <c r="T43" i="47"/>
  <c r="I43" i="47" s="1"/>
  <c r="J55" i="47" s="1"/>
  <c r="T43" i="248"/>
  <c r="I43" i="248" s="1"/>
  <c r="J55" i="248" s="1"/>
  <c r="T43" i="46"/>
  <c r="I43" i="46" s="1"/>
  <c r="J55" i="46" s="1"/>
  <c r="T43" i="239"/>
  <c r="I43" i="239" s="1"/>
  <c r="J55" i="239" s="1"/>
  <c r="T43" i="243"/>
  <c r="I43" i="243" s="1"/>
  <c r="J55" i="243" s="1"/>
  <c r="S43" i="247"/>
  <c r="R43" i="247"/>
  <c r="Q43" i="247"/>
  <c r="F43" i="247" s="1"/>
  <c r="T43" i="244"/>
  <c r="I43" i="244" s="1"/>
  <c r="J55" i="244" s="1"/>
  <c r="T43" i="246"/>
  <c r="I43" i="246" s="1"/>
  <c r="J55" i="246" s="1"/>
  <c r="S43" i="398"/>
  <c r="F43" i="398"/>
  <c r="T43" i="1"/>
  <c r="I43" i="1" s="1"/>
  <c r="J55" i="1" s="1"/>
  <c r="T43" i="397"/>
  <c r="I43" i="397" s="1"/>
  <c r="J55" i="397" s="1"/>
  <c r="F43" i="321"/>
  <c r="T43" i="202"/>
  <c r="I43" i="202" s="1"/>
  <c r="J55" i="202" s="1"/>
  <c r="T43" i="392"/>
  <c r="I43" i="392" s="1"/>
  <c r="J55" i="392" s="1"/>
  <c r="T43" i="391"/>
  <c r="I43" i="391" s="1"/>
  <c r="J55" i="391" s="1"/>
  <c r="G44" i="170" l="1"/>
  <c r="H55" i="170"/>
  <c r="G44" i="142"/>
  <c r="H55" i="142"/>
  <c r="L46" i="231"/>
  <c r="G44" i="321"/>
  <c r="H55" i="321"/>
  <c r="G44" i="144"/>
  <c r="H55" i="144"/>
  <c r="G44" i="231"/>
  <c r="H55" i="231"/>
  <c r="G44" i="149"/>
  <c r="H55" i="149"/>
  <c r="G44" i="395"/>
  <c r="H55" i="395"/>
  <c r="G44" i="398"/>
  <c r="H55" i="398"/>
  <c r="G44" i="327"/>
  <c r="H55" i="327"/>
  <c r="G44" i="247"/>
  <c r="H55" i="247"/>
  <c r="T43" i="149"/>
  <c r="I43" i="149" s="1"/>
  <c r="J55" i="149" s="1"/>
  <c r="T43" i="186"/>
  <c r="I43" i="186" s="1"/>
  <c r="J55" i="186" s="1"/>
  <c r="T43" i="300"/>
  <c r="I43" i="300" s="1"/>
  <c r="J55" i="300" s="1"/>
  <c r="T43" i="327"/>
  <c r="I43" i="327" s="1"/>
  <c r="J55" i="327" s="1"/>
  <c r="T43" i="398"/>
  <c r="I43" i="398" s="1"/>
  <c r="J55" i="398" s="1"/>
  <c r="T43" i="247"/>
  <c r="I43" i="247" s="1"/>
  <c r="J55" i="247" s="1"/>
  <c r="T43" i="231"/>
  <c r="I43" i="231" s="1"/>
  <c r="J55" i="231" s="1"/>
  <c r="T43" i="144"/>
  <c r="I43" i="144" s="1"/>
  <c r="J55" i="144" s="1"/>
  <c r="T43" i="195"/>
  <c r="I43" i="195" s="1"/>
  <c r="J55" i="195" s="1"/>
  <c r="T43" i="388"/>
  <c r="I43" i="388" s="1"/>
  <c r="J55" i="388" s="1"/>
  <c r="T43" i="170"/>
  <c r="I43" i="170" s="1"/>
  <c r="J55" i="170" s="1"/>
  <c r="T43" i="371"/>
  <c r="I43" i="371" s="1"/>
  <c r="J55" i="371" s="1"/>
  <c r="T43" i="404"/>
  <c r="I43" i="404" s="1"/>
  <c r="T43" i="253"/>
  <c r="I43" i="253" s="1"/>
  <c r="J55" i="253" s="1"/>
  <c r="T43" i="142"/>
  <c r="I43" i="142" s="1"/>
  <c r="J55" i="142" s="1"/>
  <c r="T43" i="395"/>
  <c r="I43" i="395" s="1"/>
  <c r="J55" i="395" s="1"/>
  <c r="T43" i="185"/>
  <c r="I43" i="185" s="1"/>
  <c r="J55" i="185" s="1"/>
  <c r="T43" i="152"/>
  <c r="I43" i="152" s="1"/>
  <c r="J55" i="152" s="1"/>
  <c r="U42" i="391"/>
  <c r="S42" i="321"/>
  <c r="R42" i="321"/>
  <c r="S41" i="321"/>
  <c r="R41" i="321"/>
  <c r="S40" i="321"/>
  <c r="R40" i="321"/>
  <c r="S39" i="321"/>
  <c r="R39" i="321"/>
  <c r="S38" i="321"/>
  <c r="R38" i="321"/>
  <c r="S37" i="321"/>
  <c r="R37" i="321"/>
  <c r="S36" i="321"/>
  <c r="R36" i="321"/>
  <c r="S35" i="321"/>
  <c r="R35" i="321"/>
  <c r="S34" i="321"/>
  <c r="R34" i="321"/>
  <c r="S33" i="321"/>
  <c r="R33" i="321"/>
  <c r="S32" i="321"/>
  <c r="R32" i="321"/>
  <c r="S31" i="321"/>
  <c r="R31" i="321"/>
  <c r="S30" i="321"/>
  <c r="R30" i="321"/>
  <c r="S29" i="321"/>
  <c r="R29" i="321"/>
  <c r="S28" i="321"/>
  <c r="R28" i="321"/>
  <c r="S27" i="321"/>
  <c r="R27" i="321"/>
  <c r="S26" i="321"/>
  <c r="R26" i="321"/>
  <c r="S25" i="321"/>
  <c r="R25" i="321"/>
  <c r="S24" i="321"/>
  <c r="R24" i="321"/>
  <c r="S23" i="321"/>
  <c r="R23" i="321"/>
  <c r="S22" i="321"/>
  <c r="R22" i="321"/>
  <c r="S21" i="321"/>
  <c r="R21" i="321"/>
  <c r="S20" i="321"/>
  <c r="R20" i="321"/>
  <c r="S19" i="321"/>
  <c r="R19" i="321"/>
  <c r="S18" i="321"/>
  <c r="R18" i="321"/>
  <c r="S17" i="321"/>
  <c r="R17" i="321"/>
  <c r="S16" i="321"/>
  <c r="R16" i="321"/>
  <c r="S15" i="321"/>
  <c r="R15" i="321"/>
  <c r="S14" i="321"/>
  <c r="R14" i="321"/>
  <c r="S13" i="321"/>
  <c r="R13" i="321"/>
  <c r="S12" i="321"/>
  <c r="R12" i="321"/>
  <c r="S11" i="321"/>
  <c r="R11" i="321"/>
  <c r="S10" i="321"/>
  <c r="R10" i="321"/>
  <c r="S9" i="321"/>
  <c r="R9" i="321"/>
  <c r="S8" i="321"/>
  <c r="R8" i="321"/>
  <c r="S7" i="321"/>
  <c r="R7" i="321"/>
  <c r="S6" i="321"/>
  <c r="R6" i="321"/>
  <c r="S5" i="321"/>
  <c r="R5" i="321"/>
  <c r="Q42" i="321"/>
  <c r="F42" i="321" s="1"/>
  <c r="H54" i="321" s="1"/>
  <c r="Q41" i="321"/>
  <c r="Q40" i="321"/>
  <c r="Q39" i="321"/>
  <c r="Q38" i="321"/>
  <c r="Q37" i="321"/>
  <c r="Q36" i="321"/>
  <c r="Q35" i="321"/>
  <c r="Q34" i="321"/>
  <c r="Q33" i="321"/>
  <c r="Q32" i="321"/>
  <c r="Q31" i="321"/>
  <c r="Q30" i="321"/>
  <c r="Q29" i="321"/>
  <c r="Q28" i="321"/>
  <c r="Q27" i="321"/>
  <c r="Q26" i="321"/>
  <c r="Q25" i="321"/>
  <c r="Q24" i="321"/>
  <c r="Q23" i="321"/>
  <c r="Q22" i="321"/>
  <c r="Q21" i="321"/>
  <c r="Q20" i="321"/>
  <c r="Q19" i="321"/>
  <c r="Q18" i="321"/>
  <c r="Q17" i="321"/>
  <c r="Q16" i="321"/>
  <c r="Q15" i="321"/>
  <c r="Q14" i="321"/>
  <c r="Q13" i="321"/>
  <c r="Q12" i="321"/>
  <c r="Q11" i="321"/>
  <c r="Q10" i="321"/>
  <c r="Q9" i="321"/>
  <c r="Q8" i="321"/>
  <c r="Q7" i="321"/>
  <c r="Q6" i="321"/>
  <c r="Q5" i="321"/>
  <c r="K43" i="321" l="1"/>
  <c r="U43" i="321"/>
  <c r="Q42" i="170"/>
  <c r="M55" i="321" l="1"/>
  <c r="L46" i="321"/>
  <c r="F42" i="404"/>
  <c r="G43" i="404" s="1"/>
  <c r="S40" i="404"/>
  <c r="R40" i="404"/>
  <c r="Q40" i="404"/>
  <c r="R42" i="149"/>
  <c r="Q42" i="149"/>
  <c r="F42" i="429"/>
  <c r="G43" i="429" s="1"/>
  <c r="F42" i="427"/>
  <c r="G43" i="427" s="1"/>
  <c r="F42" i="428"/>
  <c r="G43" i="428" s="1"/>
  <c r="F42" i="9"/>
  <c r="F42" i="424"/>
  <c r="F42" i="12"/>
  <c r="F42" i="356"/>
  <c r="F42" i="394"/>
  <c r="F42" i="393"/>
  <c r="F42" i="413"/>
  <c r="F42" i="89"/>
  <c r="F42" i="389"/>
  <c r="F42" i="23"/>
  <c r="F42" i="48"/>
  <c r="F42" i="5"/>
  <c r="F42" i="207"/>
  <c r="F42" i="52"/>
  <c r="F42" i="425"/>
  <c r="F42" i="88"/>
  <c r="F42" i="148"/>
  <c r="F42" i="17"/>
  <c r="F42" i="409"/>
  <c r="F42" i="18"/>
  <c r="F42" i="20"/>
  <c r="F42" i="422"/>
  <c r="F42" i="43"/>
  <c r="F42" i="97"/>
  <c r="F42" i="383"/>
  <c r="F42" i="75"/>
  <c r="F42" i="28"/>
  <c r="F42" i="29"/>
  <c r="F42" i="359"/>
  <c r="F42" i="360"/>
  <c r="F42" i="391"/>
  <c r="H54" i="391" s="1"/>
  <c r="F42" i="368"/>
  <c r="F42" i="364"/>
  <c r="F42" i="420"/>
  <c r="F42" i="8"/>
  <c r="F42" i="203"/>
  <c r="E42" i="415"/>
  <c r="F42" i="191"/>
  <c r="F42" i="296"/>
  <c r="F42" i="426"/>
  <c r="G43" i="426" s="1"/>
  <c r="F42" i="113"/>
  <c r="F42" i="361"/>
  <c r="F42" i="351"/>
  <c r="F42" i="352"/>
  <c r="F42" i="353"/>
  <c r="H54" i="353" s="1"/>
  <c r="F42" i="362"/>
  <c r="F42" i="354"/>
  <c r="F42" i="322"/>
  <c r="F42" i="233"/>
  <c r="F42" i="2"/>
  <c r="F42" i="164"/>
  <c r="F42" i="162"/>
  <c r="F42" i="421"/>
  <c r="F42" i="333"/>
  <c r="F42" i="53"/>
  <c r="F42" i="386"/>
  <c r="F42" i="387"/>
  <c r="F42" i="314"/>
  <c r="F42" i="303"/>
  <c r="F42" i="114"/>
  <c r="F42" i="323"/>
  <c r="F42" i="400"/>
  <c r="F42" i="402"/>
  <c r="G43" i="402" s="1"/>
  <c r="F42" i="403"/>
  <c r="G43" i="403" s="1"/>
  <c r="F42" i="408"/>
  <c r="G43" i="408" s="1"/>
  <c r="F42" i="385"/>
  <c r="F42" i="334"/>
  <c r="F42" i="3"/>
  <c r="F42" i="349"/>
  <c r="F42" i="4"/>
  <c r="F42" i="15"/>
  <c r="F42" i="355"/>
  <c r="F42" i="299"/>
  <c r="F42" i="190"/>
  <c r="F42" i="16"/>
  <c r="F42" i="54"/>
  <c r="F42" i="384"/>
  <c r="F42" i="201"/>
  <c r="F42" i="249"/>
  <c r="F42" i="7"/>
  <c r="F42" i="423"/>
  <c r="F42" i="13"/>
  <c r="F42" i="261"/>
  <c r="F42" i="153"/>
  <c r="F42" i="257"/>
  <c r="F42" i="19"/>
  <c r="F42" i="347"/>
  <c r="F42" i="37"/>
  <c r="F42" i="367"/>
  <c r="E42" i="369"/>
  <c r="F43" i="369" s="1"/>
  <c r="F42" i="204"/>
  <c r="F42" i="363"/>
  <c r="G43" i="363" s="1"/>
  <c r="F42" i="31"/>
  <c r="F42" i="298"/>
  <c r="F42" i="168"/>
  <c r="F42" i="169"/>
  <c r="F42" i="336"/>
  <c r="F42" i="342"/>
  <c r="F42" i="33"/>
  <c r="F42" i="318"/>
  <c r="F42" i="288"/>
  <c r="F42" i="337"/>
  <c r="F42" i="227"/>
  <c r="F42" i="290"/>
  <c r="F42" i="289"/>
  <c r="F42" i="357"/>
  <c r="G43" i="357" s="1"/>
  <c r="F42" i="293"/>
  <c r="F42" i="348"/>
  <c r="F42" i="194"/>
  <c r="F42" i="193"/>
  <c r="F42" i="297"/>
  <c r="F42" i="350"/>
  <c r="F42" i="105"/>
  <c r="F42" i="294"/>
  <c r="F42" i="365"/>
  <c r="G43" i="365" s="1"/>
  <c r="F42" i="366"/>
  <c r="G43" i="366" s="1"/>
  <c r="F42" i="206"/>
  <c r="F42" i="22"/>
  <c r="F42" i="301"/>
  <c r="F42" i="344"/>
  <c r="F42" i="61"/>
  <c r="F42" i="338"/>
  <c r="F42" i="340"/>
  <c r="F42" i="34"/>
  <c r="F42" i="174"/>
  <c r="F42" i="187"/>
  <c r="F42" i="135"/>
  <c r="F42" i="295"/>
  <c r="F42" i="283"/>
  <c r="F42" i="284"/>
  <c r="F42" i="292"/>
  <c r="F42" i="339"/>
  <c r="F42" i="325"/>
  <c r="F42" i="269"/>
  <c r="F42" i="11"/>
  <c r="F42" i="279"/>
  <c r="G43" i="279" s="1"/>
  <c r="F42" i="335"/>
  <c r="G43" i="335" s="1"/>
  <c r="F42" i="101"/>
  <c r="F42" i="382"/>
  <c r="F42" i="102"/>
  <c r="F42" i="103"/>
  <c r="F42" i="411"/>
  <c r="F42" i="265"/>
  <c r="F42" i="262"/>
  <c r="F42" i="112"/>
  <c r="F42" i="109"/>
  <c r="F42" i="85"/>
  <c r="F42" i="324"/>
  <c r="F42" i="32"/>
  <c r="F42" i="196"/>
  <c r="F42" i="197"/>
  <c r="F42" i="198"/>
  <c r="F42" i="345"/>
  <c r="F42" i="346"/>
  <c r="F42" i="74"/>
  <c r="F42" i="200"/>
  <c r="F42" i="280"/>
  <c r="F42" i="45"/>
  <c r="F42" i="104"/>
  <c r="F42" i="254"/>
  <c r="F42" i="181"/>
  <c r="F42" i="183"/>
  <c r="F42" i="184"/>
  <c r="F42" i="27"/>
  <c r="F42" i="143"/>
  <c r="F42" i="268"/>
  <c r="G43" i="268" s="1"/>
  <c r="F42" i="263"/>
  <c r="F42" i="209"/>
  <c r="F42" i="192"/>
  <c r="F42" i="140"/>
  <c r="F42" i="270"/>
  <c r="F42" i="271"/>
  <c r="F42" i="159"/>
  <c r="F42" i="160"/>
  <c r="F42" i="107"/>
  <c r="F42" i="176"/>
  <c r="F42" i="281"/>
  <c r="F42" i="332"/>
  <c r="F42" i="25"/>
  <c r="F42" i="24"/>
  <c r="F42" i="116"/>
  <c r="F42" i="285"/>
  <c r="F42" i="272"/>
  <c r="F42" i="44"/>
  <c r="G43" i="44" s="1"/>
  <c r="F42" i="87"/>
  <c r="F42" i="287"/>
  <c r="F42" i="276"/>
  <c r="F42" i="229"/>
  <c r="F42" i="230"/>
  <c r="F42" i="328"/>
  <c r="F42" i="329"/>
  <c r="F42" i="326"/>
  <c r="F42" i="47"/>
  <c r="F42" i="248"/>
  <c r="F42" i="46"/>
  <c r="F42" i="239"/>
  <c r="F42" i="243"/>
  <c r="F42" i="244"/>
  <c r="F42" i="246"/>
  <c r="F42" i="1"/>
  <c r="F42" i="397"/>
  <c r="F42" i="21"/>
  <c r="U42" i="202"/>
  <c r="U42" i="392"/>
  <c r="F42" i="202"/>
  <c r="H54" i="202" s="1"/>
  <c r="F42" i="392"/>
  <c r="H54" i="392" s="1"/>
  <c r="F42" i="35"/>
  <c r="H54" i="35" s="1"/>
  <c r="G43" i="24" l="1"/>
  <c r="H54" i="24"/>
  <c r="G43" i="345"/>
  <c r="H54" i="345"/>
  <c r="G43" i="297"/>
  <c r="H54" i="297"/>
  <c r="G43" i="296"/>
  <c r="H54" i="296"/>
  <c r="G43" i="28"/>
  <c r="H54" i="28"/>
  <c r="G43" i="425"/>
  <c r="H54" i="425"/>
  <c r="G43" i="12"/>
  <c r="H54" i="12"/>
  <c r="G43" i="326"/>
  <c r="H54" i="326"/>
  <c r="G43" i="262"/>
  <c r="H54" i="262"/>
  <c r="G43" i="230"/>
  <c r="H54" i="230"/>
  <c r="G43" i="281"/>
  <c r="H54" i="281"/>
  <c r="G43" i="143"/>
  <c r="H54" i="143"/>
  <c r="G43" i="283"/>
  <c r="H54" i="283"/>
  <c r="G43" i="206"/>
  <c r="H54" i="206"/>
  <c r="G43" i="246"/>
  <c r="H54" i="246"/>
  <c r="G43" i="272"/>
  <c r="H54" i="272"/>
  <c r="G43" i="11"/>
  <c r="H54" i="11"/>
  <c r="G43" i="347"/>
  <c r="H54" i="347"/>
  <c r="G43" i="285"/>
  <c r="H54" i="285"/>
  <c r="G43" i="45"/>
  <c r="H54" i="45"/>
  <c r="G43" i="269"/>
  <c r="H54" i="269"/>
  <c r="G43" i="338"/>
  <c r="H54" i="338"/>
  <c r="G43" i="193"/>
  <c r="H54" i="193"/>
  <c r="G43" i="342"/>
  <c r="H54" i="342"/>
  <c r="G43" i="19"/>
  <c r="H54" i="19"/>
  <c r="G43" i="190"/>
  <c r="H54" i="190"/>
  <c r="G43" i="400"/>
  <c r="H54" i="400"/>
  <c r="G43" i="2"/>
  <c r="H54" i="2"/>
  <c r="G43" i="191"/>
  <c r="H54" i="191"/>
  <c r="G43" i="75"/>
  <c r="H54" i="75"/>
  <c r="G43" i="52"/>
  <c r="H54" i="52"/>
  <c r="G43" i="424"/>
  <c r="H54" i="424"/>
  <c r="G43" i="107"/>
  <c r="H54" i="107"/>
  <c r="G43" i="46"/>
  <c r="H54" i="46"/>
  <c r="G43" i="270"/>
  <c r="H54" i="270"/>
  <c r="G43" i="104"/>
  <c r="H54" i="104"/>
  <c r="G43" i="85"/>
  <c r="H54" i="85"/>
  <c r="G43" i="340"/>
  <c r="H54" i="340"/>
  <c r="G43" i="33"/>
  <c r="H54" i="33"/>
  <c r="G43" i="16"/>
  <c r="H54" i="16"/>
  <c r="G43" i="164"/>
  <c r="H54" i="164"/>
  <c r="G43" i="248"/>
  <c r="H54" i="248"/>
  <c r="G43" i="140"/>
  <c r="H54" i="140"/>
  <c r="G43" i="109"/>
  <c r="H54" i="109"/>
  <c r="G43" i="47"/>
  <c r="H54" i="47"/>
  <c r="G43" i="116"/>
  <c r="H54" i="116"/>
  <c r="G43" i="192"/>
  <c r="H54" i="192"/>
  <c r="G43" i="280"/>
  <c r="H54" i="280"/>
  <c r="G43" i="112"/>
  <c r="H54" i="112"/>
  <c r="G43" i="325"/>
  <c r="H54" i="325"/>
  <c r="G43" i="61"/>
  <c r="H54" i="61"/>
  <c r="G43" i="194"/>
  <c r="H54" i="194"/>
  <c r="G43" i="336"/>
  <c r="H54" i="336"/>
  <c r="G43" i="257"/>
  <c r="H54" i="257"/>
  <c r="G43" i="299"/>
  <c r="H54" i="299"/>
  <c r="G43" i="323"/>
  <c r="H54" i="323"/>
  <c r="G43" i="233"/>
  <c r="H54" i="233"/>
  <c r="G43" i="383"/>
  <c r="H54" i="383"/>
  <c r="G43" i="207"/>
  <c r="H54" i="207"/>
  <c r="G43" i="9"/>
  <c r="H54" i="9"/>
  <c r="G43" i="355"/>
  <c r="H54" i="355"/>
  <c r="G43" i="114"/>
  <c r="H54" i="114"/>
  <c r="G43" i="322"/>
  <c r="H54" i="322"/>
  <c r="G43" i="203"/>
  <c r="H54" i="203"/>
  <c r="G43" i="97"/>
  <c r="H54" i="97"/>
  <c r="G43" i="5"/>
  <c r="H54" i="5"/>
  <c r="G43" i="339"/>
  <c r="H54" i="339"/>
  <c r="G43" i="344"/>
  <c r="H54" i="344"/>
  <c r="G43" i="348"/>
  <c r="H54" i="348"/>
  <c r="G43" i="169"/>
  <c r="H54" i="169"/>
  <c r="G43" i="153"/>
  <c r="H54" i="153"/>
  <c r="G43" i="329"/>
  <c r="H54" i="329"/>
  <c r="G43" i="25"/>
  <c r="H54" i="25"/>
  <c r="G43" i="263"/>
  <c r="H54" i="263"/>
  <c r="G43" i="74"/>
  <c r="H54" i="74"/>
  <c r="G43" i="265"/>
  <c r="H54" i="265"/>
  <c r="G43" i="292"/>
  <c r="H54" i="292"/>
  <c r="G43" i="301"/>
  <c r="H54" i="301"/>
  <c r="G43" i="293"/>
  <c r="H54" i="293"/>
  <c r="G43" i="168"/>
  <c r="H54" i="168"/>
  <c r="G43" i="261"/>
  <c r="H54" i="261"/>
  <c r="G43" i="15"/>
  <c r="H54" i="15"/>
  <c r="G43" i="303"/>
  <c r="H54" i="303"/>
  <c r="G43" i="354"/>
  <c r="H54" i="354"/>
  <c r="G43" i="8"/>
  <c r="H54" i="8"/>
  <c r="G43" i="43"/>
  <c r="H54" i="43"/>
  <c r="G43" i="48"/>
  <c r="H54" i="48"/>
  <c r="G43" i="200"/>
  <c r="H54" i="200"/>
  <c r="G43" i="21"/>
  <c r="H54" i="21"/>
  <c r="G43" i="328"/>
  <c r="H54" i="328"/>
  <c r="G43" i="332"/>
  <c r="H54" i="332"/>
  <c r="G43" i="346"/>
  <c r="H54" i="346"/>
  <c r="G43" i="411"/>
  <c r="H54" i="411"/>
  <c r="G43" i="284"/>
  <c r="H54" i="284"/>
  <c r="G43" i="22"/>
  <c r="H54" i="22"/>
  <c r="G43" i="298"/>
  <c r="H54" i="298"/>
  <c r="G43" i="13"/>
  <c r="H54" i="13"/>
  <c r="G43" i="4"/>
  <c r="H54" i="4"/>
  <c r="G43" i="314"/>
  <c r="H54" i="314"/>
  <c r="G43" i="362"/>
  <c r="H54" i="362"/>
  <c r="G43" i="420"/>
  <c r="H54" i="420"/>
  <c r="G43" i="422"/>
  <c r="H54" i="422"/>
  <c r="G43" i="23"/>
  <c r="H54" i="23"/>
  <c r="G43" i="31"/>
  <c r="H54" i="31"/>
  <c r="G43" i="423"/>
  <c r="H54" i="423"/>
  <c r="G43" i="349"/>
  <c r="H54" i="349"/>
  <c r="G43" i="387"/>
  <c r="H54" i="387"/>
  <c r="G43" i="364"/>
  <c r="H54" i="364"/>
  <c r="G43" i="20"/>
  <c r="H54" i="20"/>
  <c r="G43" i="389"/>
  <c r="H54" i="389"/>
  <c r="G43" i="209"/>
  <c r="H54" i="209"/>
  <c r="G43" i="397"/>
  <c r="H54" i="397"/>
  <c r="G43" i="103"/>
  <c r="H54" i="103"/>
  <c r="G43" i="289"/>
  <c r="H54" i="289"/>
  <c r="G43" i="176"/>
  <c r="H54" i="176"/>
  <c r="G43" i="27"/>
  <c r="H54" i="27"/>
  <c r="G43" i="198"/>
  <c r="H54" i="198"/>
  <c r="G43" i="102"/>
  <c r="H54" i="102"/>
  <c r="G43" i="295"/>
  <c r="H54" i="295"/>
  <c r="G43" i="290"/>
  <c r="H54" i="290"/>
  <c r="G43" i="7"/>
  <c r="H54" i="7"/>
  <c r="G43" i="3"/>
  <c r="H54" i="3"/>
  <c r="G43" i="386"/>
  <c r="H54" i="386"/>
  <c r="G43" i="352"/>
  <c r="H54" i="352"/>
  <c r="G43" i="368"/>
  <c r="H54" i="368"/>
  <c r="G43" i="18"/>
  <c r="H54" i="18"/>
  <c r="G43" i="89"/>
  <c r="H54" i="89"/>
  <c r="G43" i="409"/>
  <c r="H54" i="409"/>
  <c r="G43" i="413"/>
  <c r="H54" i="413"/>
  <c r="G43" i="276"/>
  <c r="H54" i="276"/>
  <c r="G43" i="197"/>
  <c r="H54" i="197"/>
  <c r="G43" i="227"/>
  <c r="H54" i="227"/>
  <c r="G43" i="204"/>
  <c r="H54" i="204"/>
  <c r="G43" i="351"/>
  <c r="H54" i="351"/>
  <c r="G43" i="196"/>
  <c r="H54" i="196"/>
  <c r="G43" i="337"/>
  <c r="H54" i="337"/>
  <c r="G43" i="201"/>
  <c r="H54" i="201"/>
  <c r="G43" i="385"/>
  <c r="H54" i="385"/>
  <c r="G43" i="333"/>
  <c r="H54" i="333"/>
  <c r="G43" i="361"/>
  <c r="H54" i="361"/>
  <c r="G43" i="360"/>
  <c r="H54" i="360"/>
  <c r="G43" i="17"/>
  <c r="H54" i="17"/>
  <c r="G43" i="393"/>
  <c r="H54" i="393"/>
  <c r="G43" i="334"/>
  <c r="H54" i="334"/>
  <c r="G43" i="53"/>
  <c r="H54" i="53"/>
  <c r="G43" i="244"/>
  <c r="H54" i="244"/>
  <c r="G43" i="87"/>
  <c r="H54" i="87"/>
  <c r="G43" i="159"/>
  <c r="H54" i="159"/>
  <c r="G43" i="181"/>
  <c r="H54" i="181"/>
  <c r="G43" i="32"/>
  <c r="H54" i="32"/>
  <c r="G43" i="174"/>
  <c r="H54" i="174"/>
  <c r="G43" i="105"/>
  <c r="H54" i="105"/>
  <c r="G43" i="288"/>
  <c r="H54" i="288"/>
  <c r="G43" i="367"/>
  <c r="H54" i="367"/>
  <c r="G43" i="384"/>
  <c r="H54" i="384"/>
  <c r="G43" i="421"/>
  <c r="H54" i="421"/>
  <c r="G43" i="113"/>
  <c r="H54" i="113"/>
  <c r="G43" i="359"/>
  <c r="H54" i="359"/>
  <c r="G43" i="148"/>
  <c r="H54" i="148"/>
  <c r="G43" i="394"/>
  <c r="H54" i="394"/>
  <c r="G43" i="1"/>
  <c r="H54" i="1"/>
  <c r="G43" i="229"/>
  <c r="H54" i="229"/>
  <c r="G43" i="184"/>
  <c r="H54" i="184"/>
  <c r="G43" i="382"/>
  <c r="H54" i="382"/>
  <c r="G43" i="135"/>
  <c r="H54" i="135"/>
  <c r="G43" i="249"/>
  <c r="H54" i="249"/>
  <c r="G43" i="287"/>
  <c r="H54" i="287"/>
  <c r="G43" i="160"/>
  <c r="H54" i="160"/>
  <c r="G43" i="183"/>
  <c r="H54" i="183"/>
  <c r="G43" i="101"/>
  <c r="H54" i="101"/>
  <c r="G43" i="187"/>
  <c r="H54" i="187"/>
  <c r="G43" i="294"/>
  <c r="H54" i="294"/>
  <c r="G43" i="243"/>
  <c r="H54" i="243"/>
  <c r="G43" i="239"/>
  <c r="H54" i="239"/>
  <c r="G43" i="271"/>
  <c r="H54" i="271"/>
  <c r="G43" i="254"/>
  <c r="H54" i="254"/>
  <c r="G43" i="324"/>
  <c r="H54" i="324"/>
  <c r="G43" i="34"/>
  <c r="H54" i="34"/>
  <c r="G43" i="350"/>
  <c r="H54" i="350"/>
  <c r="G43" i="318"/>
  <c r="H54" i="318"/>
  <c r="G43" i="37"/>
  <c r="H54" i="37"/>
  <c r="G43" i="54"/>
  <c r="H54" i="54"/>
  <c r="G43" i="162"/>
  <c r="H54" i="162"/>
  <c r="G43" i="29"/>
  <c r="H54" i="29"/>
  <c r="G43" i="88"/>
  <c r="H54" i="88"/>
  <c r="G43" i="356"/>
  <c r="H54" i="356"/>
  <c r="G43" i="392"/>
  <c r="G43" i="391"/>
  <c r="G43" i="202"/>
  <c r="G43" i="35"/>
  <c r="U43" i="404"/>
  <c r="L46" i="404" s="1"/>
  <c r="K43" i="404"/>
  <c r="D232" i="417"/>
  <c r="F232" i="417"/>
  <c r="F231" i="417"/>
  <c r="D231" i="417"/>
  <c r="T42" i="429"/>
  <c r="I42" i="429" s="1"/>
  <c r="T41" i="429"/>
  <c r="I41" i="429" s="1"/>
  <c r="F41" i="429"/>
  <c r="K40" i="429"/>
  <c r="U40" i="429"/>
  <c r="L43" i="429" s="1"/>
  <c r="T40" i="429"/>
  <c r="I40" i="429" s="1"/>
  <c r="F40" i="429"/>
  <c r="T39" i="429"/>
  <c r="I39" i="429" s="1"/>
  <c r="F39" i="429"/>
  <c r="T38" i="429"/>
  <c r="I38" i="429" s="1"/>
  <c r="J50" i="429" s="1"/>
  <c r="F38" i="429"/>
  <c r="H50" i="429" s="1"/>
  <c r="K37" i="429"/>
  <c r="U37" i="429"/>
  <c r="M49" i="429" s="1"/>
  <c r="T37" i="429"/>
  <c r="I37" i="429" s="1"/>
  <c r="F37" i="429"/>
  <c r="H49" i="429" s="1"/>
  <c r="T36" i="429"/>
  <c r="I36" i="429" s="1"/>
  <c r="J48" i="429" s="1"/>
  <c r="F36" i="429"/>
  <c r="H48" i="429" s="1"/>
  <c r="T35" i="429"/>
  <c r="I35" i="429" s="1"/>
  <c r="F35" i="429"/>
  <c r="H47" i="429" s="1"/>
  <c r="K34" i="429"/>
  <c r="U34" i="429"/>
  <c r="M46" i="429" s="1"/>
  <c r="T34" i="429"/>
  <c r="I34" i="429" s="1"/>
  <c r="J46" i="429" s="1"/>
  <c r="F34" i="429"/>
  <c r="H46" i="429" s="1"/>
  <c r="T33" i="429"/>
  <c r="I33" i="429" s="1"/>
  <c r="F33" i="429"/>
  <c r="H45" i="429" s="1"/>
  <c r="T32" i="429"/>
  <c r="I32" i="429" s="1"/>
  <c r="J44" i="429" s="1"/>
  <c r="F32" i="429"/>
  <c r="H44" i="429" s="1"/>
  <c r="K31" i="429"/>
  <c r="U31" i="429"/>
  <c r="M43" i="429" s="1"/>
  <c r="T31" i="429"/>
  <c r="I31" i="429" s="1"/>
  <c r="F31" i="429"/>
  <c r="H43" i="429" s="1"/>
  <c r="T30" i="429"/>
  <c r="I30" i="429" s="1"/>
  <c r="F30" i="429"/>
  <c r="T29" i="429"/>
  <c r="I29" i="429" s="1"/>
  <c r="F29" i="429"/>
  <c r="K28" i="429"/>
  <c r="U28" i="429"/>
  <c r="T28" i="429"/>
  <c r="I28" i="429" s="1"/>
  <c r="F28" i="429"/>
  <c r="T27" i="429"/>
  <c r="I27" i="429" s="1"/>
  <c r="F27" i="429"/>
  <c r="T26" i="429"/>
  <c r="I26" i="429" s="1"/>
  <c r="F26" i="429"/>
  <c r="K25" i="429"/>
  <c r="U25" i="429"/>
  <c r="T25" i="429"/>
  <c r="I25" i="429" s="1"/>
  <c r="F25" i="429"/>
  <c r="T24" i="429"/>
  <c r="I24" i="429" s="1"/>
  <c r="F24" i="429"/>
  <c r="T23" i="429"/>
  <c r="I23" i="429" s="1"/>
  <c r="F23" i="429"/>
  <c r="K22" i="429"/>
  <c r="U22" i="429"/>
  <c r="T22" i="429"/>
  <c r="I22" i="429" s="1"/>
  <c r="F22" i="429"/>
  <c r="T21" i="429"/>
  <c r="I21" i="429" s="1"/>
  <c r="F21" i="429"/>
  <c r="T20" i="429"/>
  <c r="I20" i="429" s="1"/>
  <c r="F20" i="429"/>
  <c r="K19" i="429"/>
  <c r="U19" i="429"/>
  <c r="T19" i="429"/>
  <c r="I19" i="429" s="1"/>
  <c r="F19" i="429"/>
  <c r="T18" i="429"/>
  <c r="I18" i="429" s="1"/>
  <c r="F18" i="429"/>
  <c r="T17" i="429"/>
  <c r="I17" i="429" s="1"/>
  <c r="F17" i="429"/>
  <c r="K16" i="429"/>
  <c r="U16" i="429"/>
  <c r="T16" i="429"/>
  <c r="I16" i="429" s="1"/>
  <c r="F16" i="429"/>
  <c r="T15" i="429"/>
  <c r="I15" i="429" s="1"/>
  <c r="F15" i="429"/>
  <c r="T14" i="429"/>
  <c r="I14" i="429" s="1"/>
  <c r="F14" i="429"/>
  <c r="K13" i="429"/>
  <c r="U13" i="429"/>
  <c r="T13" i="429"/>
  <c r="I13" i="429" s="1"/>
  <c r="F13" i="429"/>
  <c r="T12" i="429"/>
  <c r="I12" i="429" s="1"/>
  <c r="F12" i="429"/>
  <c r="T11" i="429"/>
  <c r="I11" i="429" s="1"/>
  <c r="F11" i="429"/>
  <c r="K10" i="429"/>
  <c r="U10" i="429"/>
  <c r="T10" i="429"/>
  <c r="I10" i="429" s="1"/>
  <c r="F10" i="429"/>
  <c r="T9" i="429"/>
  <c r="I9" i="429" s="1"/>
  <c r="F9" i="429"/>
  <c r="T8" i="429"/>
  <c r="I8" i="429" s="1"/>
  <c r="F8" i="429"/>
  <c r="K7" i="429"/>
  <c r="U7" i="429"/>
  <c r="T7" i="429"/>
  <c r="I7" i="429" s="1"/>
  <c r="F7" i="429"/>
  <c r="T6" i="429"/>
  <c r="I6" i="429" s="1"/>
  <c r="F6" i="429"/>
  <c r="T5" i="429"/>
  <c r="I5" i="429" s="1"/>
  <c r="F5" i="429"/>
  <c r="J19" i="429" l="1"/>
  <c r="J20" i="429"/>
  <c r="J34" i="429"/>
  <c r="J36" i="429"/>
  <c r="J38" i="429"/>
  <c r="J18" i="429"/>
  <c r="J21" i="429"/>
  <c r="J40" i="429"/>
  <c r="J17" i="429"/>
  <c r="J30" i="429"/>
  <c r="J28" i="429"/>
  <c r="J32" i="429"/>
  <c r="J22" i="429"/>
  <c r="J24" i="429"/>
  <c r="J26" i="429"/>
  <c r="J23" i="429"/>
  <c r="J42" i="429"/>
  <c r="J37" i="429"/>
  <c r="J49" i="429"/>
  <c r="J39" i="429"/>
  <c r="J41" i="429"/>
  <c r="J31" i="429"/>
  <c r="J43" i="429"/>
  <c r="J33" i="429"/>
  <c r="J45" i="429"/>
  <c r="J35" i="429"/>
  <c r="J47" i="429"/>
  <c r="J25" i="429"/>
  <c r="J27" i="429"/>
  <c r="J29" i="429"/>
  <c r="M40" i="429"/>
  <c r="M19" i="429"/>
  <c r="H27" i="429"/>
  <c r="H34" i="429"/>
  <c r="N43" i="429"/>
  <c r="O46" i="429" s="1"/>
  <c r="B43" i="429"/>
  <c r="C43" i="429"/>
  <c r="D46" i="429" s="1"/>
  <c r="H40" i="429"/>
  <c r="G40" i="429"/>
  <c r="N40" i="429"/>
  <c r="G34" i="429"/>
  <c r="G11" i="429"/>
  <c r="G16" i="429"/>
  <c r="B22" i="429"/>
  <c r="B28" i="429"/>
  <c r="N7" i="429"/>
  <c r="N13" i="429"/>
  <c r="N16" i="429"/>
  <c r="N25" i="429"/>
  <c r="G28" i="429"/>
  <c r="B34" i="429"/>
  <c r="G6" i="429"/>
  <c r="G9" i="429"/>
  <c r="L10" i="429"/>
  <c r="H33" i="429"/>
  <c r="M34" i="429"/>
  <c r="H39" i="429"/>
  <c r="N34" i="429"/>
  <c r="B40" i="429"/>
  <c r="H41" i="429"/>
  <c r="G32" i="429"/>
  <c r="G38" i="429"/>
  <c r="G33" i="429"/>
  <c r="C34" i="429"/>
  <c r="E46" i="429" s="1"/>
  <c r="L37" i="429"/>
  <c r="C40" i="429"/>
  <c r="G39" i="429"/>
  <c r="G26" i="429"/>
  <c r="N28" i="429"/>
  <c r="C28" i="429"/>
  <c r="L31" i="429"/>
  <c r="H38" i="429"/>
  <c r="G27" i="429"/>
  <c r="H28" i="429"/>
  <c r="G12" i="429"/>
  <c r="L13" i="429"/>
  <c r="G7" i="429"/>
  <c r="G10" i="429"/>
  <c r="L25" i="429"/>
  <c r="N10" i="429"/>
  <c r="H20" i="429"/>
  <c r="H21" i="429"/>
  <c r="G22" i="429"/>
  <c r="G21" i="429"/>
  <c r="G8" i="429"/>
  <c r="B10" i="429"/>
  <c r="M22" i="429"/>
  <c r="B13" i="429"/>
  <c r="N19" i="429"/>
  <c r="N22" i="429"/>
  <c r="H22" i="429"/>
  <c r="H32" i="429"/>
  <c r="C22" i="429"/>
  <c r="H18" i="429"/>
  <c r="G18" i="429"/>
  <c r="H19" i="429"/>
  <c r="G19" i="429"/>
  <c r="H30" i="429"/>
  <c r="G30" i="429"/>
  <c r="H35" i="429"/>
  <c r="C7" i="429"/>
  <c r="B7" i="429"/>
  <c r="C10" i="429"/>
  <c r="C16" i="429"/>
  <c r="B16" i="429"/>
  <c r="G15" i="429"/>
  <c r="H17" i="429"/>
  <c r="C19" i="429"/>
  <c r="G17" i="429"/>
  <c r="B19" i="429"/>
  <c r="L19" i="429"/>
  <c r="L22" i="429"/>
  <c r="H24" i="429"/>
  <c r="G24" i="429"/>
  <c r="H25" i="429"/>
  <c r="G25" i="429"/>
  <c r="M25" i="429"/>
  <c r="H26" i="429"/>
  <c r="H29" i="429"/>
  <c r="C31" i="429"/>
  <c r="G29" i="429"/>
  <c r="B31" i="429"/>
  <c r="N37" i="429"/>
  <c r="H37" i="429"/>
  <c r="M37" i="429"/>
  <c r="H42" i="429"/>
  <c r="H23" i="429"/>
  <c r="C25" i="429"/>
  <c r="G23" i="429"/>
  <c r="B25" i="429"/>
  <c r="L28" i="429"/>
  <c r="G13" i="429"/>
  <c r="G14" i="429"/>
  <c r="M28" i="429"/>
  <c r="L16" i="429"/>
  <c r="G20" i="429"/>
  <c r="N31" i="429"/>
  <c r="H31" i="429"/>
  <c r="M31" i="429"/>
  <c r="H36" i="429"/>
  <c r="L34" i="429"/>
  <c r="B37" i="429"/>
  <c r="L40" i="429"/>
  <c r="C13" i="429"/>
  <c r="G31" i="429"/>
  <c r="G35" i="429"/>
  <c r="G36" i="429"/>
  <c r="C37" i="429"/>
  <c r="E49" i="429" s="1"/>
  <c r="G37" i="429"/>
  <c r="G41" i="429"/>
  <c r="G42" i="429"/>
  <c r="F42" i="195"/>
  <c r="S42" i="170"/>
  <c r="R42" i="170"/>
  <c r="F42" i="170"/>
  <c r="S42" i="300"/>
  <c r="R42" i="300"/>
  <c r="Q42" i="300"/>
  <c r="F42" i="300" s="1"/>
  <c r="S42" i="142"/>
  <c r="R41" i="142"/>
  <c r="Q42" i="142"/>
  <c r="F42" i="142" s="1"/>
  <c r="Q41" i="149"/>
  <c r="U43" i="149" s="1"/>
  <c r="R41" i="149"/>
  <c r="K43" i="149" s="1"/>
  <c r="S41" i="149"/>
  <c r="F42" i="149"/>
  <c r="S42" i="149"/>
  <c r="M55" i="149" l="1"/>
  <c r="L46" i="149"/>
  <c r="G43" i="170"/>
  <c r="H54" i="170"/>
  <c r="G43" i="149"/>
  <c r="H54" i="149"/>
  <c r="G43" i="195"/>
  <c r="H54" i="195"/>
  <c r="G43" i="142"/>
  <c r="H54" i="142"/>
  <c r="G43" i="300"/>
  <c r="H54" i="300"/>
  <c r="O28" i="429"/>
  <c r="K43" i="142"/>
  <c r="O43" i="429"/>
  <c r="E43" i="429"/>
  <c r="D43" i="429"/>
  <c r="D40" i="429"/>
  <c r="O37" i="429"/>
  <c r="E40" i="429"/>
  <c r="D13" i="429"/>
  <c r="O10" i="429"/>
  <c r="O16" i="429"/>
  <c r="O25" i="429"/>
  <c r="D34" i="429"/>
  <c r="O13" i="429"/>
  <c r="E34" i="429"/>
  <c r="O19" i="429"/>
  <c r="E28" i="429"/>
  <c r="D10" i="429"/>
  <c r="O22" i="429"/>
  <c r="O31" i="429"/>
  <c r="O34" i="429"/>
  <c r="D25" i="429"/>
  <c r="E25" i="429"/>
  <c r="D31" i="429"/>
  <c r="E31" i="429"/>
  <c r="D37" i="429"/>
  <c r="E37" i="429"/>
  <c r="E22" i="429"/>
  <c r="D19" i="429"/>
  <c r="D22" i="429"/>
  <c r="E19" i="429"/>
  <c r="D16" i="429"/>
  <c r="O40" i="429"/>
  <c r="D28" i="429"/>
  <c r="M55" i="142" l="1"/>
  <c r="H232" i="417"/>
  <c r="S42" i="428"/>
  <c r="I42" i="428" s="1"/>
  <c r="S41" i="428"/>
  <c r="I41" i="428" s="1"/>
  <c r="F41" i="428"/>
  <c r="J40" i="428"/>
  <c r="T40" i="428"/>
  <c r="K43" i="428" s="1"/>
  <c r="S40" i="428"/>
  <c r="I40" i="428" s="1"/>
  <c r="F40" i="428"/>
  <c r="S39" i="428"/>
  <c r="I39" i="428" s="1"/>
  <c r="F39" i="428"/>
  <c r="S38" i="428"/>
  <c r="I38" i="428" s="1"/>
  <c r="F38" i="428"/>
  <c r="J37" i="428"/>
  <c r="T37" i="428"/>
  <c r="S37" i="428"/>
  <c r="I37" i="428" s="1"/>
  <c r="F37" i="428"/>
  <c r="S36" i="428"/>
  <c r="I36" i="428" s="1"/>
  <c r="F36" i="428"/>
  <c r="S35" i="428"/>
  <c r="I35" i="428" s="1"/>
  <c r="F35" i="428"/>
  <c r="J34" i="428"/>
  <c r="T34" i="428"/>
  <c r="S34" i="428"/>
  <c r="I34" i="428" s="1"/>
  <c r="F34" i="428"/>
  <c r="S33" i="428"/>
  <c r="I33" i="428" s="1"/>
  <c r="F33" i="428"/>
  <c r="H45" i="428" s="1"/>
  <c r="S32" i="428"/>
  <c r="I32" i="428" s="1"/>
  <c r="F32" i="428"/>
  <c r="H44" i="428" s="1"/>
  <c r="J31" i="428"/>
  <c r="T31" i="428"/>
  <c r="L43" i="428" s="1"/>
  <c r="S31" i="428"/>
  <c r="I31" i="428" s="1"/>
  <c r="F31" i="428"/>
  <c r="H43" i="428" s="1"/>
  <c r="S30" i="428"/>
  <c r="I30" i="428" s="1"/>
  <c r="F30" i="428"/>
  <c r="S29" i="428"/>
  <c r="I29" i="428" s="1"/>
  <c r="F29" i="428"/>
  <c r="J28" i="428"/>
  <c r="T28" i="428"/>
  <c r="S28" i="428"/>
  <c r="F28" i="428"/>
  <c r="S27" i="428"/>
  <c r="F27" i="428"/>
  <c r="S26" i="428"/>
  <c r="M28" i="428" s="1"/>
  <c r="F26" i="428"/>
  <c r="J25" i="428"/>
  <c r="T25" i="428"/>
  <c r="S25" i="428"/>
  <c r="F25" i="428"/>
  <c r="S24" i="428"/>
  <c r="F24" i="428"/>
  <c r="S23" i="428"/>
  <c r="M25" i="428" s="1"/>
  <c r="F23" i="428"/>
  <c r="J22" i="428"/>
  <c r="T22" i="428"/>
  <c r="S22" i="428"/>
  <c r="F22" i="428"/>
  <c r="S21" i="428"/>
  <c r="F21" i="428"/>
  <c r="S20" i="428"/>
  <c r="M22" i="428" s="1"/>
  <c r="F20" i="428"/>
  <c r="J19" i="428"/>
  <c r="T19" i="428"/>
  <c r="S19" i="428"/>
  <c r="F19" i="428"/>
  <c r="S18" i="428"/>
  <c r="F18" i="428"/>
  <c r="S17" i="428"/>
  <c r="M19" i="428" s="1"/>
  <c r="F17" i="428"/>
  <c r="J16" i="428"/>
  <c r="T16" i="428"/>
  <c r="S16" i="428"/>
  <c r="F16" i="428"/>
  <c r="I16" i="428" s="1"/>
  <c r="S15" i="428"/>
  <c r="F15" i="428"/>
  <c r="I15" i="428" s="1"/>
  <c r="S14" i="428"/>
  <c r="F14" i="428"/>
  <c r="I14" i="428" s="1"/>
  <c r="J13" i="428"/>
  <c r="T13" i="428"/>
  <c r="S13" i="428"/>
  <c r="F13" i="428"/>
  <c r="I13" i="428" s="1"/>
  <c r="S12" i="428"/>
  <c r="F12" i="428"/>
  <c r="I12" i="428" s="1"/>
  <c r="S11" i="428"/>
  <c r="F11" i="428"/>
  <c r="I11" i="428" s="1"/>
  <c r="J10" i="428"/>
  <c r="T10" i="428"/>
  <c r="S10" i="428"/>
  <c r="F10" i="428"/>
  <c r="I10" i="428" s="1"/>
  <c r="S9" i="428"/>
  <c r="F9" i="428"/>
  <c r="I9" i="428" s="1"/>
  <c r="S8" i="428"/>
  <c r="F8" i="428"/>
  <c r="I8" i="428" s="1"/>
  <c r="J7" i="428"/>
  <c r="T7" i="428"/>
  <c r="S7" i="428"/>
  <c r="F7" i="428"/>
  <c r="I7" i="428" s="1"/>
  <c r="S6" i="428"/>
  <c r="F6" i="428"/>
  <c r="I6" i="428" s="1"/>
  <c r="S5" i="428"/>
  <c r="F5" i="428"/>
  <c r="I5" i="428" s="1"/>
  <c r="L40" i="428" l="1"/>
  <c r="L34" i="428"/>
  <c r="M43" i="428"/>
  <c r="C40" i="428"/>
  <c r="G38" i="428"/>
  <c r="G7" i="428"/>
  <c r="B10" i="428"/>
  <c r="B43" i="428"/>
  <c r="C43" i="428"/>
  <c r="D46" i="428" s="1"/>
  <c r="G10" i="428"/>
  <c r="K16" i="428"/>
  <c r="G21" i="428"/>
  <c r="M10" i="428"/>
  <c r="G40" i="428"/>
  <c r="M31" i="428"/>
  <c r="N31" i="428" s="1"/>
  <c r="M34" i="428"/>
  <c r="M37" i="428"/>
  <c r="G6" i="428"/>
  <c r="G13" i="428"/>
  <c r="C16" i="428"/>
  <c r="H17" i="428"/>
  <c r="I17" i="428" s="1"/>
  <c r="H19" i="428"/>
  <c r="I19" i="428" s="1"/>
  <c r="H22" i="428"/>
  <c r="I22" i="428" s="1"/>
  <c r="M40" i="428"/>
  <c r="H24" i="428"/>
  <c r="I24" i="428" s="1"/>
  <c r="L25" i="428"/>
  <c r="H27" i="428"/>
  <c r="I27" i="428" s="1"/>
  <c r="H40" i="428"/>
  <c r="K10" i="428"/>
  <c r="H30" i="428"/>
  <c r="L31" i="428"/>
  <c r="H39" i="428"/>
  <c r="G11" i="428"/>
  <c r="B13" i="428"/>
  <c r="G14" i="428"/>
  <c r="H28" i="428"/>
  <c r="I28" i="428" s="1"/>
  <c r="G28" i="428"/>
  <c r="M7" i="428"/>
  <c r="M13" i="428"/>
  <c r="M16" i="428"/>
  <c r="C7" i="428"/>
  <c r="G12" i="428"/>
  <c r="K13" i="428"/>
  <c r="G15" i="428"/>
  <c r="H18" i="428"/>
  <c r="I18" i="428" s="1"/>
  <c r="L19" i="428"/>
  <c r="H25" i="428"/>
  <c r="I25" i="428" s="1"/>
  <c r="C28" i="428"/>
  <c r="C22" i="428"/>
  <c r="H26" i="428"/>
  <c r="I26" i="428" s="1"/>
  <c r="H36" i="428"/>
  <c r="L37" i="428"/>
  <c r="L28" i="428"/>
  <c r="H20" i="428"/>
  <c r="I20" i="428" s="1"/>
  <c r="G22" i="428"/>
  <c r="N28" i="428"/>
  <c r="H29" i="428"/>
  <c r="H31" i="428"/>
  <c r="H21" i="428"/>
  <c r="I21" i="428" s="1"/>
  <c r="N22" i="428"/>
  <c r="B25" i="428"/>
  <c r="H32" i="428"/>
  <c r="H34" i="428"/>
  <c r="H35" i="428"/>
  <c r="H41" i="428"/>
  <c r="G34" i="428"/>
  <c r="C34" i="428"/>
  <c r="E46" i="428" s="1"/>
  <c r="H33" i="428"/>
  <c r="B40" i="428"/>
  <c r="G39" i="428"/>
  <c r="H42" i="428"/>
  <c r="H38" i="428"/>
  <c r="N25" i="428"/>
  <c r="C10" i="428"/>
  <c r="B19" i="428"/>
  <c r="B31" i="428"/>
  <c r="K34" i="428"/>
  <c r="B37" i="428"/>
  <c r="K40" i="428"/>
  <c r="B7" i="428"/>
  <c r="G9" i="428"/>
  <c r="C13" i="428"/>
  <c r="B16" i="428"/>
  <c r="G16" i="428"/>
  <c r="G17" i="428"/>
  <c r="G18" i="428"/>
  <c r="C19" i="428"/>
  <c r="G19" i="428"/>
  <c r="L22" i="428"/>
  <c r="G23" i="428"/>
  <c r="G24" i="428"/>
  <c r="C25" i="428"/>
  <c r="G25" i="428"/>
  <c r="G29" i="428"/>
  <c r="G30" i="428"/>
  <c r="C31" i="428"/>
  <c r="G31" i="428"/>
  <c r="G35" i="428"/>
  <c r="G36" i="428"/>
  <c r="C37" i="428"/>
  <c r="G37" i="428"/>
  <c r="G41" i="428"/>
  <c r="G42" i="428"/>
  <c r="K22" i="428"/>
  <c r="K28" i="428"/>
  <c r="G8" i="428"/>
  <c r="K19" i="428"/>
  <c r="B22" i="428"/>
  <c r="H23" i="428"/>
  <c r="I23" i="428" s="1"/>
  <c r="K25" i="428"/>
  <c r="B28" i="428"/>
  <c r="K31" i="428"/>
  <c r="B34" i="428"/>
  <c r="H37" i="428"/>
  <c r="K37" i="428"/>
  <c r="G20" i="428"/>
  <c r="G26" i="428"/>
  <c r="G27" i="428"/>
  <c r="G32" i="428"/>
  <c r="G33" i="428"/>
  <c r="S42" i="398"/>
  <c r="R42" i="398"/>
  <c r="Q42" i="398"/>
  <c r="F42" i="398" s="1"/>
  <c r="F42" i="327"/>
  <c r="S42" i="185"/>
  <c r="R42" i="185"/>
  <c r="Q42" i="185"/>
  <c r="F42" i="185" s="1"/>
  <c r="K7" i="411"/>
  <c r="K10" i="411"/>
  <c r="K13" i="411"/>
  <c r="K16" i="411"/>
  <c r="K19" i="411"/>
  <c r="S42" i="388"/>
  <c r="R42" i="388"/>
  <c r="Q42" i="388"/>
  <c r="F42" i="388" s="1"/>
  <c r="F42" i="152"/>
  <c r="U41" i="392"/>
  <c r="U40" i="392"/>
  <c r="M52" i="392" s="1"/>
  <c r="U39" i="392"/>
  <c r="U38" i="392"/>
  <c r="U37" i="392"/>
  <c r="M49" i="392" s="1"/>
  <c r="U36" i="392"/>
  <c r="U35" i="392"/>
  <c r="U34" i="392"/>
  <c r="M46" i="392" s="1"/>
  <c r="U33" i="392"/>
  <c r="U32" i="392"/>
  <c r="U31" i="392"/>
  <c r="M43" i="392" s="1"/>
  <c r="U30" i="392"/>
  <c r="U29" i="392"/>
  <c r="U28" i="392"/>
  <c r="U27" i="392"/>
  <c r="U26" i="392"/>
  <c r="U25" i="392"/>
  <c r="U24" i="392"/>
  <c r="U23" i="392"/>
  <c r="U22" i="392"/>
  <c r="U21" i="392"/>
  <c r="U20" i="392"/>
  <c r="U19" i="392"/>
  <c r="U18" i="392"/>
  <c r="U17" i="392"/>
  <c r="S42" i="253"/>
  <c r="R42" i="253"/>
  <c r="Q42" i="253"/>
  <c r="F42" i="253" s="1"/>
  <c r="G43" i="253" l="1"/>
  <c r="H54" i="253"/>
  <c r="G43" i="185"/>
  <c r="H54" i="185"/>
  <c r="G43" i="152"/>
  <c r="H54" i="152"/>
  <c r="G43" i="327"/>
  <c r="H54" i="327"/>
  <c r="G43" i="388"/>
  <c r="H54" i="388"/>
  <c r="G43" i="398"/>
  <c r="H54" i="398"/>
  <c r="D13" i="428"/>
  <c r="E40" i="428"/>
  <c r="N43" i="428"/>
  <c r="N34" i="428"/>
  <c r="N16" i="428"/>
  <c r="E43" i="428"/>
  <c r="D43" i="428"/>
  <c r="N37" i="428"/>
  <c r="E28" i="428"/>
  <c r="N10" i="428"/>
  <c r="E34" i="428"/>
  <c r="N13" i="428"/>
  <c r="N40" i="428"/>
  <c r="N19" i="428"/>
  <c r="D22" i="428"/>
  <c r="D10" i="428"/>
  <c r="D16" i="428"/>
  <c r="E22" i="428"/>
  <c r="E37" i="428"/>
  <c r="D37" i="428"/>
  <c r="D40" i="428"/>
  <c r="E31" i="428"/>
  <c r="D31" i="428"/>
  <c r="E25" i="428"/>
  <c r="D25" i="428"/>
  <c r="D28" i="428"/>
  <c r="E19" i="428"/>
  <c r="D19" i="428"/>
  <c r="D34" i="428"/>
  <c r="T42" i="170"/>
  <c r="I42" i="170" s="1"/>
  <c r="J54" i="170" s="1"/>
  <c r="F42" i="319"/>
  <c r="F42" i="320"/>
  <c r="E42" i="343"/>
  <c r="T42" i="9"/>
  <c r="I42" i="9" s="1"/>
  <c r="J54" i="9" s="1"/>
  <c r="T42" i="48"/>
  <c r="I42" i="48" s="1"/>
  <c r="J54" i="48" s="1"/>
  <c r="T42" i="23"/>
  <c r="I42" i="23" s="1"/>
  <c r="J54" i="23" s="1"/>
  <c r="T42" i="52"/>
  <c r="I42" i="52" s="1"/>
  <c r="J54" i="52" s="1"/>
  <c r="T42" i="425"/>
  <c r="I42" i="425" s="1"/>
  <c r="J54" i="425" s="1"/>
  <c r="T42" i="89"/>
  <c r="I42" i="89" s="1"/>
  <c r="J54" i="89" s="1"/>
  <c r="T42" i="389"/>
  <c r="I42" i="389" s="1"/>
  <c r="J54" i="389" s="1"/>
  <c r="T42" i="88"/>
  <c r="I42" i="88" s="1"/>
  <c r="J54" i="88" s="1"/>
  <c r="T42" i="148"/>
  <c r="I42" i="148" s="1"/>
  <c r="J54" i="148" s="1"/>
  <c r="T42" i="17"/>
  <c r="I42" i="17" s="1"/>
  <c r="J54" i="17" s="1"/>
  <c r="T42" i="409"/>
  <c r="I42" i="409" s="1"/>
  <c r="J54" i="409" s="1"/>
  <c r="T42" i="20"/>
  <c r="I42" i="20" s="1"/>
  <c r="J54" i="20" s="1"/>
  <c r="T42" i="422"/>
  <c r="I42" i="422" s="1"/>
  <c r="J54" i="422" s="1"/>
  <c r="T42" i="43"/>
  <c r="I42" i="43" s="1"/>
  <c r="J54" i="43" s="1"/>
  <c r="T42" i="97"/>
  <c r="I42" i="97" s="1"/>
  <c r="J54" i="97" s="1"/>
  <c r="T42" i="383"/>
  <c r="I42" i="383" s="1"/>
  <c r="J54" i="383" s="1"/>
  <c r="T42" i="424"/>
  <c r="I42" i="424" s="1"/>
  <c r="J54" i="424" s="1"/>
  <c r="T42" i="75"/>
  <c r="I42" i="75" s="1"/>
  <c r="J54" i="75" s="1"/>
  <c r="T42" i="28"/>
  <c r="I42" i="28" s="1"/>
  <c r="J54" i="28" s="1"/>
  <c r="T42" i="29"/>
  <c r="I42" i="29" s="1"/>
  <c r="J54" i="29" s="1"/>
  <c r="T42" i="359"/>
  <c r="I42" i="359" s="1"/>
  <c r="J54" i="359" s="1"/>
  <c r="T42" i="360"/>
  <c r="I42" i="360" s="1"/>
  <c r="J54" i="360" s="1"/>
  <c r="T42" i="391"/>
  <c r="I42" i="391" s="1"/>
  <c r="J54" i="391" s="1"/>
  <c r="T42" i="368"/>
  <c r="I42" i="368" s="1"/>
  <c r="J54" i="368" s="1"/>
  <c r="T42" i="364"/>
  <c r="I42" i="364" s="1"/>
  <c r="J54" i="364" s="1"/>
  <c r="T42" i="420"/>
  <c r="I42" i="420" s="1"/>
  <c r="J54" i="420" s="1"/>
  <c r="T42" i="392"/>
  <c r="I42" i="392" s="1"/>
  <c r="J54" i="392" s="1"/>
  <c r="S42" i="414"/>
  <c r="R42" i="414"/>
  <c r="Q42" i="414"/>
  <c r="F42" i="414" s="1"/>
  <c r="T42" i="8"/>
  <c r="I42" i="8" s="1"/>
  <c r="J54" i="8" s="1"/>
  <c r="T42" i="203"/>
  <c r="I42" i="203" s="1"/>
  <c r="J54" i="203" s="1"/>
  <c r="L42" i="415"/>
  <c r="T42" i="191"/>
  <c r="I42" i="191" s="1"/>
  <c r="J54" i="191" s="1"/>
  <c r="I42" i="296"/>
  <c r="J54" i="296" s="1"/>
  <c r="S42" i="426"/>
  <c r="I42" i="426" s="1"/>
  <c r="T42" i="361"/>
  <c r="I42" i="361" s="1"/>
  <c r="J54" i="361" s="1"/>
  <c r="T42" i="352"/>
  <c r="I42" i="352" s="1"/>
  <c r="J54" i="352" s="1"/>
  <c r="T42" i="353"/>
  <c r="I42" i="353" s="1"/>
  <c r="J54" i="353" s="1"/>
  <c r="T42" i="362"/>
  <c r="I42" i="362" s="1"/>
  <c r="J54" i="362" s="1"/>
  <c r="T42" i="354"/>
  <c r="I42" i="354" s="1"/>
  <c r="J54" i="354" s="1"/>
  <c r="T42" i="322"/>
  <c r="I42" i="322" s="1"/>
  <c r="J54" i="322" s="1"/>
  <c r="T42" i="233"/>
  <c r="I42" i="233" s="1"/>
  <c r="J54" i="233" s="1"/>
  <c r="T42" i="2"/>
  <c r="I42" i="2" s="1"/>
  <c r="J54" i="2" s="1"/>
  <c r="T42" i="12"/>
  <c r="I42" i="12" s="1"/>
  <c r="J54" i="12" s="1"/>
  <c r="T42" i="356"/>
  <c r="I42" i="356" s="1"/>
  <c r="J54" i="356" s="1"/>
  <c r="T42" i="413"/>
  <c r="I42" i="413" s="1"/>
  <c r="J54" i="413" s="1"/>
  <c r="T42" i="164"/>
  <c r="I42" i="164" s="1"/>
  <c r="J54" i="164" s="1"/>
  <c r="T42" i="162"/>
  <c r="I42" i="162" s="1"/>
  <c r="J54" i="162" s="1"/>
  <c r="T42" i="421"/>
  <c r="I42" i="421" s="1"/>
  <c r="J54" i="421" s="1"/>
  <c r="T42" i="5"/>
  <c r="I42" i="5" s="1"/>
  <c r="J54" i="5" s="1"/>
  <c r="T42" i="207"/>
  <c r="I42" i="207" s="1"/>
  <c r="J54" i="207" s="1"/>
  <c r="T42" i="333"/>
  <c r="I42" i="333" s="1"/>
  <c r="J54" i="333" s="1"/>
  <c r="T42" i="53"/>
  <c r="I42" i="53" s="1"/>
  <c r="J54" i="53" s="1"/>
  <c r="T42" i="386"/>
  <c r="I42" i="386" s="1"/>
  <c r="J54" i="386" s="1"/>
  <c r="T42" i="387"/>
  <c r="I42" i="387" s="1"/>
  <c r="J54" i="387" s="1"/>
  <c r="T42" i="303"/>
  <c r="I42" i="303" s="1"/>
  <c r="J54" i="303" s="1"/>
  <c r="S42" i="395"/>
  <c r="R42" i="395"/>
  <c r="Q42" i="395"/>
  <c r="F42" i="395" s="1"/>
  <c r="T42" i="394"/>
  <c r="I42" i="394" s="1"/>
  <c r="J54" i="394" s="1"/>
  <c r="T42" i="393"/>
  <c r="I42" i="393" s="1"/>
  <c r="J54" i="393" s="1"/>
  <c r="T42" i="114"/>
  <c r="I42" i="114" s="1"/>
  <c r="J54" i="114" s="1"/>
  <c r="T42" i="323"/>
  <c r="I42" i="323" s="1"/>
  <c r="J54" i="323" s="1"/>
  <c r="T42" i="400"/>
  <c r="I42" i="400" s="1"/>
  <c r="J54" i="400" s="1"/>
  <c r="T42" i="404"/>
  <c r="I42" i="404" s="1"/>
  <c r="T42" i="402"/>
  <c r="I42" i="402" s="1"/>
  <c r="T42" i="403"/>
  <c r="I42" i="403" s="1"/>
  <c r="S42" i="408"/>
  <c r="I42" i="408" s="1"/>
  <c r="T42" i="385"/>
  <c r="I42" i="385" s="1"/>
  <c r="J54" i="385" s="1"/>
  <c r="T42" i="334"/>
  <c r="I42" i="334" s="1"/>
  <c r="J54" i="334" s="1"/>
  <c r="T42" i="3"/>
  <c r="I42" i="3" s="1"/>
  <c r="J54" i="3" s="1"/>
  <c r="T42" i="349"/>
  <c r="I42" i="349" s="1"/>
  <c r="J54" i="349" s="1"/>
  <c r="T42" i="4"/>
  <c r="I42" i="4" s="1"/>
  <c r="J54" i="4" s="1"/>
  <c r="T42" i="15"/>
  <c r="I42" i="15" s="1"/>
  <c r="J54" i="15" s="1"/>
  <c r="T42" i="355"/>
  <c r="I42" i="355" s="1"/>
  <c r="J54" i="355" s="1"/>
  <c r="T42" i="299"/>
  <c r="I42" i="299" s="1"/>
  <c r="J54" i="299" s="1"/>
  <c r="T42" i="190"/>
  <c r="I42" i="190" s="1"/>
  <c r="J54" i="190" s="1"/>
  <c r="T42" i="16"/>
  <c r="I42" i="16" s="1"/>
  <c r="J54" i="16" s="1"/>
  <c r="T42" i="54"/>
  <c r="I42" i="54" s="1"/>
  <c r="J54" i="54" s="1"/>
  <c r="I42" i="384"/>
  <c r="J54" i="384" s="1"/>
  <c r="T42" i="201"/>
  <c r="I42" i="201" s="1"/>
  <c r="J54" i="201" s="1"/>
  <c r="T42" i="249"/>
  <c r="I42" i="249" s="1"/>
  <c r="J54" i="249" s="1"/>
  <c r="T42" i="21"/>
  <c r="I42" i="21" s="1"/>
  <c r="J54" i="21" s="1"/>
  <c r="F42" i="371"/>
  <c r="T42" i="7"/>
  <c r="I42" i="7" s="1"/>
  <c r="J54" i="7" s="1"/>
  <c r="T42" i="423"/>
  <c r="I42" i="423" s="1"/>
  <c r="J54" i="423" s="1"/>
  <c r="T42" i="13"/>
  <c r="I42" i="13" s="1"/>
  <c r="J54" i="13" s="1"/>
  <c r="T42" i="261"/>
  <c r="I42" i="261" s="1"/>
  <c r="J54" i="261" s="1"/>
  <c r="T42" i="153"/>
  <c r="I42" i="153" s="1"/>
  <c r="J54" i="153" s="1"/>
  <c r="T42" i="257"/>
  <c r="I42" i="257" s="1"/>
  <c r="J54" i="257" s="1"/>
  <c r="T42" i="19"/>
  <c r="I42" i="19" s="1"/>
  <c r="J54" i="19" s="1"/>
  <c r="T42" i="347"/>
  <c r="I42" i="347" s="1"/>
  <c r="J54" i="347" s="1"/>
  <c r="T42" i="37"/>
  <c r="I42" i="37" s="1"/>
  <c r="J54" i="37" s="1"/>
  <c r="T42" i="367"/>
  <c r="I42" i="367" s="1"/>
  <c r="J54" i="367" s="1"/>
  <c r="L42" i="369"/>
  <c r="T42" i="204"/>
  <c r="I42" i="204" s="1"/>
  <c r="J54" i="204" s="1"/>
  <c r="T42" i="363"/>
  <c r="I42" i="363" s="1"/>
  <c r="T42" i="31"/>
  <c r="I42" i="31" s="1"/>
  <c r="J54" i="31" s="1"/>
  <c r="T42" i="298"/>
  <c r="I42" i="298" s="1"/>
  <c r="J54" i="298" s="1"/>
  <c r="T42" i="168"/>
  <c r="I42" i="168" s="1"/>
  <c r="J54" i="168" s="1"/>
  <c r="T42" i="169"/>
  <c r="I42" i="169" s="1"/>
  <c r="J54" i="169" s="1"/>
  <c r="T42" i="336"/>
  <c r="I42" i="336" s="1"/>
  <c r="J54" i="336" s="1"/>
  <c r="T42" i="342"/>
  <c r="I42" i="342" s="1"/>
  <c r="J54" i="342" s="1"/>
  <c r="T42" i="33"/>
  <c r="I42" i="33" s="1"/>
  <c r="J54" i="33" s="1"/>
  <c r="G43" i="321"/>
  <c r="T42" i="319"/>
  <c r="I42" i="319" s="1"/>
  <c r="J54" i="319" s="1"/>
  <c r="T42" i="320"/>
  <c r="I42" i="320" s="1"/>
  <c r="J54" i="320" s="1"/>
  <c r="L42" i="343"/>
  <c r="T42" i="318"/>
  <c r="I42" i="318" s="1"/>
  <c r="J54" i="318" s="1"/>
  <c r="T42" i="288"/>
  <c r="I42" i="288" s="1"/>
  <c r="J54" i="288" s="1"/>
  <c r="T42" i="337"/>
  <c r="I42" i="337" s="1"/>
  <c r="J54" i="337" s="1"/>
  <c r="T42" i="227"/>
  <c r="I42" i="227" s="1"/>
  <c r="J54" i="227" s="1"/>
  <c r="T42" i="290"/>
  <c r="I42" i="290" s="1"/>
  <c r="J54" i="290" s="1"/>
  <c r="T42" i="289"/>
  <c r="I42" i="289" s="1"/>
  <c r="J54" i="289" s="1"/>
  <c r="S42" i="357"/>
  <c r="I42" i="357" s="1"/>
  <c r="T42" i="293"/>
  <c r="I42" i="293" s="1"/>
  <c r="J54" i="293" s="1"/>
  <c r="T42" i="348"/>
  <c r="I42" i="348" s="1"/>
  <c r="J54" i="348" s="1"/>
  <c r="T42" i="194"/>
  <c r="I42" i="194" s="1"/>
  <c r="J54" i="194" s="1"/>
  <c r="T42" i="193"/>
  <c r="I42" i="193" s="1"/>
  <c r="J54" i="193" s="1"/>
  <c r="T42" i="297"/>
  <c r="I42" i="297" s="1"/>
  <c r="J54" i="297" s="1"/>
  <c r="T42" i="350"/>
  <c r="I42" i="350" s="1"/>
  <c r="J54" i="350" s="1"/>
  <c r="T42" i="105"/>
  <c r="I42" i="105" s="1"/>
  <c r="J54" i="105" s="1"/>
  <c r="T42" i="294"/>
  <c r="I42" i="294" s="1"/>
  <c r="J54" i="294" s="1"/>
  <c r="S42" i="365"/>
  <c r="I42" i="365" s="1"/>
  <c r="S42" i="366"/>
  <c r="I42" i="366" s="1"/>
  <c r="T42" i="206"/>
  <c r="I42" i="206" s="1"/>
  <c r="J54" i="206" s="1"/>
  <c r="T42" i="22"/>
  <c r="I42" i="22" s="1"/>
  <c r="J54" i="22" s="1"/>
  <c r="T42" i="301"/>
  <c r="I42" i="301" s="1"/>
  <c r="J54" i="301" s="1"/>
  <c r="T42" i="344"/>
  <c r="I42" i="344" s="1"/>
  <c r="J54" i="344" s="1"/>
  <c r="T42" i="61"/>
  <c r="I42" i="61" s="1"/>
  <c r="J54" i="61" s="1"/>
  <c r="T42" i="338"/>
  <c r="I42" i="338" s="1"/>
  <c r="J54" i="338" s="1"/>
  <c r="T42" i="340"/>
  <c r="I42" i="340" s="1"/>
  <c r="J54" i="340" s="1"/>
  <c r="T42" i="34"/>
  <c r="I42" i="34" s="1"/>
  <c r="J54" i="34" s="1"/>
  <c r="T42" i="174"/>
  <c r="I42" i="174" s="1"/>
  <c r="J54" i="174" s="1"/>
  <c r="I42" i="187"/>
  <c r="J54" i="187" s="1"/>
  <c r="T42" i="135"/>
  <c r="I42" i="135" s="1"/>
  <c r="J54" i="135" s="1"/>
  <c r="T42" i="295"/>
  <c r="I42" i="295" s="1"/>
  <c r="J54" i="295" s="1"/>
  <c r="T42" i="283"/>
  <c r="I42" i="283" s="1"/>
  <c r="J54" i="283" s="1"/>
  <c r="T42" i="284"/>
  <c r="I42" i="284" s="1"/>
  <c r="J54" i="284" s="1"/>
  <c r="T42" i="292"/>
  <c r="I42" i="292" s="1"/>
  <c r="J54" i="292" s="1"/>
  <c r="T42" i="339"/>
  <c r="I42" i="339" s="1"/>
  <c r="J54" i="339" s="1"/>
  <c r="T42" i="325"/>
  <c r="I42" i="325" s="1"/>
  <c r="J54" i="325" s="1"/>
  <c r="T42" i="269"/>
  <c r="I42" i="269" s="1"/>
  <c r="J54" i="269" s="1"/>
  <c r="T42" i="11"/>
  <c r="I42" i="11" s="1"/>
  <c r="J54" i="11" s="1"/>
  <c r="S42" i="279"/>
  <c r="I42" i="279" s="1"/>
  <c r="S42" i="335"/>
  <c r="I42" i="335" s="1"/>
  <c r="T42" i="101"/>
  <c r="I42" i="101" s="1"/>
  <c r="J54" i="101" s="1"/>
  <c r="T42" i="382"/>
  <c r="I42" i="382" s="1"/>
  <c r="J54" i="382" s="1"/>
  <c r="T42" i="102"/>
  <c r="I42" i="102" s="1"/>
  <c r="J54" i="102" s="1"/>
  <c r="T42" i="103"/>
  <c r="I42" i="103" s="1"/>
  <c r="J54" i="103" s="1"/>
  <c r="T42" i="411"/>
  <c r="I42" i="411" s="1"/>
  <c r="J54" i="411" s="1"/>
  <c r="T42" i="265"/>
  <c r="I42" i="265" s="1"/>
  <c r="J54" i="265" s="1"/>
  <c r="T42" i="262"/>
  <c r="I42" i="262" s="1"/>
  <c r="J54" i="262" s="1"/>
  <c r="T42" i="112"/>
  <c r="I42" i="112" s="1"/>
  <c r="J54" i="112" s="1"/>
  <c r="T42" i="109"/>
  <c r="I42" i="109" s="1"/>
  <c r="J54" i="109" s="1"/>
  <c r="T42" i="85"/>
  <c r="I42" i="85" s="1"/>
  <c r="J54" i="85" s="1"/>
  <c r="T42" i="324"/>
  <c r="I42" i="324" s="1"/>
  <c r="J54" i="324" s="1"/>
  <c r="T42" i="32"/>
  <c r="I42" i="32" s="1"/>
  <c r="J54" i="32" s="1"/>
  <c r="T42" i="196"/>
  <c r="I42" i="196" s="1"/>
  <c r="J54" i="196" s="1"/>
  <c r="T42" i="198"/>
  <c r="I42" i="198" s="1"/>
  <c r="J54" i="198" s="1"/>
  <c r="T42" i="345"/>
  <c r="I42" i="345" s="1"/>
  <c r="J54" i="345" s="1"/>
  <c r="T42" i="346"/>
  <c r="I42" i="346" s="1"/>
  <c r="J54" i="346" s="1"/>
  <c r="T42" i="74"/>
  <c r="I42" i="74" s="1"/>
  <c r="J54" i="74" s="1"/>
  <c r="T42" i="200"/>
  <c r="I42" i="200" s="1"/>
  <c r="J54" i="200" s="1"/>
  <c r="T42" i="280"/>
  <c r="I42" i="280" s="1"/>
  <c r="J54" i="280" s="1"/>
  <c r="T42" i="45"/>
  <c r="I42" i="45" s="1"/>
  <c r="J54" i="45" s="1"/>
  <c r="T42" i="104"/>
  <c r="I42" i="104" s="1"/>
  <c r="J54" i="104" s="1"/>
  <c r="T42" i="254"/>
  <c r="I42" i="254" s="1"/>
  <c r="J54" i="254" s="1"/>
  <c r="T42" i="181"/>
  <c r="I42" i="181" s="1"/>
  <c r="J54" i="181" s="1"/>
  <c r="T42" i="183"/>
  <c r="I42" i="183" s="1"/>
  <c r="J54" i="183" s="1"/>
  <c r="T42" i="184"/>
  <c r="I42" i="184" s="1"/>
  <c r="J54" i="184" s="1"/>
  <c r="S42" i="144"/>
  <c r="R42" i="144"/>
  <c r="Q42" i="144"/>
  <c r="F42" i="144" s="1"/>
  <c r="T42" i="27"/>
  <c r="I42" i="27" s="1"/>
  <c r="J54" i="27" s="1"/>
  <c r="T42" i="143"/>
  <c r="I42" i="143" s="1"/>
  <c r="J54" i="143" s="1"/>
  <c r="T42" i="268"/>
  <c r="I42" i="268" s="1"/>
  <c r="T42" i="263"/>
  <c r="I42" i="263" s="1"/>
  <c r="J54" i="263" s="1"/>
  <c r="T42" i="209"/>
  <c r="I42" i="209" s="1"/>
  <c r="J54" i="209" s="1"/>
  <c r="T42" i="192"/>
  <c r="I42" i="192" s="1"/>
  <c r="J54" i="192" s="1"/>
  <c r="T42" i="140"/>
  <c r="I42" i="140" s="1"/>
  <c r="J54" i="140" s="1"/>
  <c r="T42" i="270"/>
  <c r="I42" i="270" s="1"/>
  <c r="J54" i="270" s="1"/>
  <c r="T42" i="271"/>
  <c r="I42" i="271" s="1"/>
  <c r="J54" i="271" s="1"/>
  <c r="S42" i="186"/>
  <c r="R42" i="186"/>
  <c r="Q42" i="186"/>
  <c r="F42" i="186" s="1"/>
  <c r="T42" i="159"/>
  <c r="I42" i="159" s="1"/>
  <c r="J54" i="159" s="1"/>
  <c r="T42" i="160"/>
  <c r="I42" i="160" s="1"/>
  <c r="J54" i="160" s="1"/>
  <c r="T42" i="107"/>
  <c r="I42" i="107" s="1"/>
  <c r="J54" i="107" s="1"/>
  <c r="T42" i="176"/>
  <c r="I42" i="176" s="1"/>
  <c r="J54" i="176" s="1"/>
  <c r="T42" i="281"/>
  <c r="I42" i="281" s="1"/>
  <c r="J54" i="281" s="1"/>
  <c r="T42" i="332"/>
  <c r="I42" i="332" s="1"/>
  <c r="J54" i="332" s="1"/>
  <c r="T42" i="25"/>
  <c r="I42" i="25" s="1"/>
  <c r="J54" i="25" s="1"/>
  <c r="T42" i="24"/>
  <c r="I42" i="24" s="1"/>
  <c r="J54" i="24" s="1"/>
  <c r="T42" i="116"/>
  <c r="I42" i="116" s="1"/>
  <c r="J54" i="116" s="1"/>
  <c r="T42" i="285"/>
  <c r="I42" i="285" s="1"/>
  <c r="J54" i="285" s="1"/>
  <c r="T42" i="272"/>
  <c r="I42" i="272" s="1"/>
  <c r="J54" i="272" s="1"/>
  <c r="S42" i="44"/>
  <c r="I42" i="44" s="1"/>
  <c r="T42" i="87"/>
  <c r="I42" i="87" s="1"/>
  <c r="J54" i="87" s="1"/>
  <c r="T42" i="287"/>
  <c r="I42" i="287" s="1"/>
  <c r="J54" i="287" s="1"/>
  <c r="T42" i="276"/>
  <c r="I42" i="276" s="1"/>
  <c r="J54" i="276" s="1"/>
  <c r="S42" i="231"/>
  <c r="R42" i="231"/>
  <c r="Q42" i="231"/>
  <c r="F42" i="231" s="1"/>
  <c r="T42" i="229"/>
  <c r="I42" i="229" s="1"/>
  <c r="J54" i="229" s="1"/>
  <c r="T42" i="328"/>
  <c r="I42" i="328" s="1"/>
  <c r="J54" i="328" s="1"/>
  <c r="T42" i="329"/>
  <c r="I42" i="329" s="1"/>
  <c r="J54" i="329" s="1"/>
  <c r="T42" i="326"/>
  <c r="I42" i="326" s="1"/>
  <c r="J54" i="326" s="1"/>
  <c r="T42" i="47"/>
  <c r="I42" i="47" s="1"/>
  <c r="J54" i="47" s="1"/>
  <c r="T42" i="248"/>
  <c r="I42" i="248" s="1"/>
  <c r="J54" i="248" s="1"/>
  <c r="T42" i="46"/>
  <c r="I42" i="46" s="1"/>
  <c r="J54" i="46" s="1"/>
  <c r="T42" i="239"/>
  <c r="I42" i="239" s="1"/>
  <c r="J54" i="239" s="1"/>
  <c r="T42" i="243"/>
  <c r="I42" i="243" s="1"/>
  <c r="J54" i="243" s="1"/>
  <c r="S42" i="247"/>
  <c r="R42" i="247"/>
  <c r="Q42" i="247"/>
  <c r="F42" i="247" s="1"/>
  <c r="T42" i="244"/>
  <c r="I42" i="244" s="1"/>
  <c r="J54" i="244" s="1"/>
  <c r="T42" i="246"/>
  <c r="I42" i="246" s="1"/>
  <c r="J54" i="246" s="1"/>
  <c r="T42" i="1"/>
  <c r="I42" i="1" s="1"/>
  <c r="J54" i="1" s="1"/>
  <c r="T42" i="397"/>
  <c r="I42" i="397" s="1"/>
  <c r="J54" i="397" s="1"/>
  <c r="T42" i="202"/>
  <c r="I42" i="202" s="1"/>
  <c r="J54" i="202" s="1"/>
  <c r="G43" i="247" l="1"/>
  <c r="H54" i="247"/>
  <c r="G43" i="231"/>
  <c r="H54" i="231"/>
  <c r="G43" i="371"/>
  <c r="H54" i="371"/>
  <c r="G43" i="395"/>
  <c r="H54" i="395"/>
  <c r="G43" i="320"/>
  <c r="H54" i="320"/>
  <c r="G43" i="319"/>
  <c r="H54" i="319"/>
  <c r="G43" i="186"/>
  <c r="H54" i="186"/>
  <c r="G43" i="144"/>
  <c r="H54" i="144"/>
  <c r="G43" i="414"/>
  <c r="H54" i="414"/>
  <c r="T42" i="247"/>
  <c r="I42" i="247" s="1"/>
  <c r="J54" i="247" s="1"/>
  <c r="T42" i="414"/>
  <c r="I42" i="414" s="1"/>
  <c r="J54" i="414" s="1"/>
  <c r="T42" i="300"/>
  <c r="I42" i="300" s="1"/>
  <c r="J54" i="300" s="1"/>
  <c r="T42" i="395"/>
  <c r="I42" i="395" s="1"/>
  <c r="J54" i="395" s="1"/>
  <c r="T42" i="142"/>
  <c r="I42" i="142" s="1"/>
  <c r="J54" i="142" s="1"/>
  <c r="T42" i="327"/>
  <c r="I42" i="327" s="1"/>
  <c r="J54" i="327" s="1"/>
  <c r="T42" i="231"/>
  <c r="I42" i="231" s="1"/>
  <c r="J54" i="231" s="1"/>
  <c r="T42" i="195"/>
  <c r="I42" i="195" s="1"/>
  <c r="J54" i="195" s="1"/>
  <c r="T42" i="152"/>
  <c r="I42" i="152" s="1"/>
  <c r="J54" i="152" s="1"/>
  <c r="T42" i="398"/>
  <c r="I42" i="398" s="1"/>
  <c r="J54" i="398" s="1"/>
  <c r="T42" i="185"/>
  <c r="I42" i="185" s="1"/>
  <c r="J54" i="185" s="1"/>
  <c r="T42" i="186"/>
  <c r="I42" i="186" s="1"/>
  <c r="J54" i="186" s="1"/>
  <c r="T42" i="144"/>
  <c r="I42" i="144" s="1"/>
  <c r="J54" i="144" s="1"/>
  <c r="T42" i="321"/>
  <c r="I42" i="321" s="1"/>
  <c r="J54" i="321" s="1"/>
  <c r="T42" i="253"/>
  <c r="I42" i="253" s="1"/>
  <c r="J54" i="253" s="1"/>
  <c r="T42" i="388"/>
  <c r="I42" i="388" s="1"/>
  <c r="J54" i="388" s="1"/>
  <c r="T42" i="371"/>
  <c r="I42" i="371" s="1"/>
  <c r="J54" i="371" s="1"/>
  <c r="T42" i="149"/>
  <c r="I42" i="149" s="1"/>
  <c r="J54" i="149" s="1"/>
  <c r="S41" i="414"/>
  <c r="R41" i="414"/>
  <c r="K43" i="414" s="1"/>
  <c r="Q41" i="414"/>
  <c r="U43" i="414" s="1"/>
  <c r="U41" i="391"/>
  <c r="S41" i="142"/>
  <c r="Q41" i="142"/>
  <c r="U43" i="142" s="1"/>
  <c r="F41" i="9"/>
  <c r="H53" i="9" s="1"/>
  <c r="F41" i="48"/>
  <c r="H53" i="48" s="1"/>
  <c r="F41" i="23"/>
  <c r="H53" i="23" s="1"/>
  <c r="F41" i="52"/>
  <c r="H53" i="52" s="1"/>
  <c r="F41" i="425"/>
  <c r="H53" i="425" s="1"/>
  <c r="F41" i="89"/>
  <c r="H53" i="89" s="1"/>
  <c r="F41" i="389"/>
  <c r="H53" i="389" s="1"/>
  <c r="F41" i="88"/>
  <c r="H53" i="88" s="1"/>
  <c r="F41" i="148"/>
  <c r="H53" i="148" s="1"/>
  <c r="F41" i="17"/>
  <c r="H53" i="17" s="1"/>
  <c r="F41" i="409"/>
  <c r="H53" i="409" s="1"/>
  <c r="F41" i="18"/>
  <c r="H53" i="18" s="1"/>
  <c r="F41" i="20"/>
  <c r="H53" i="20" s="1"/>
  <c r="F41" i="422"/>
  <c r="H53" i="422" s="1"/>
  <c r="F41" i="43"/>
  <c r="H53" i="43" s="1"/>
  <c r="F41" i="97"/>
  <c r="H53" i="97" s="1"/>
  <c r="F41" i="383"/>
  <c r="H53" i="383" s="1"/>
  <c r="F41" i="424"/>
  <c r="H53" i="424" s="1"/>
  <c r="F41" i="75"/>
  <c r="H53" i="75" s="1"/>
  <c r="F41" i="28"/>
  <c r="H53" i="28" s="1"/>
  <c r="F41" i="29"/>
  <c r="H53" i="29" s="1"/>
  <c r="F41" i="359"/>
  <c r="H53" i="359" s="1"/>
  <c r="F41" i="360"/>
  <c r="H53" i="360" s="1"/>
  <c r="F41" i="391"/>
  <c r="H53" i="391" s="1"/>
  <c r="F41" i="368"/>
  <c r="H53" i="368" s="1"/>
  <c r="F41" i="364"/>
  <c r="H53" i="364" s="1"/>
  <c r="F41" i="420"/>
  <c r="H53" i="420" s="1"/>
  <c r="F41" i="392"/>
  <c r="H53" i="392" s="1"/>
  <c r="F41" i="8"/>
  <c r="H53" i="8" s="1"/>
  <c r="F41" i="203"/>
  <c r="H53" i="203" s="1"/>
  <c r="E41" i="415"/>
  <c r="B43" i="415" s="1"/>
  <c r="F41" i="191"/>
  <c r="H53" i="191" s="1"/>
  <c r="F41" i="296"/>
  <c r="H53" i="296" s="1"/>
  <c r="F41" i="426"/>
  <c r="F41" i="113"/>
  <c r="H53" i="113" s="1"/>
  <c r="F41" i="361"/>
  <c r="H53" i="361" s="1"/>
  <c r="F41" i="351"/>
  <c r="H53" i="351" s="1"/>
  <c r="F41" i="352"/>
  <c r="H53" i="352" s="1"/>
  <c r="F41" i="353"/>
  <c r="H53" i="353" s="1"/>
  <c r="F41" i="362"/>
  <c r="H53" i="362" s="1"/>
  <c r="F41" i="354"/>
  <c r="H53" i="354" s="1"/>
  <c r="F41" i="322"/>
  <c r="H53" i="322" s="1"/>
  <c r="F41" i="233"/>
  <c r="H53" i="233" s="1"/>
  <c r="F41" i="2"/>
  <c r="H53" i="2" s="1"/>
  <c r="F41" i="12"/>
  <c r="H53" i="12" s="1"/>
  <c r="F41" i="356"/>
  <c r="H53" i="356" s="1"/>
  <c r="F41" i="413"/>
  <c r="H53" i="413" s="1"/>
  <c r="F41" i="164"/>
  <c r="H53" i="164" s="1"/>
  <c r="F41" i="162"/>
  <c r="H53" i="162" s="1"/>
  <c r="F41" i="421"/>
  <c r="H53" i="421" s="1"/>
  <c r="F41" i="5"/>
  <c r="H53" i="5" s="1"/>
  <c r="F41" i="207"/>
  <c r="H53" i="207" s="1"/>
  <c r="F41" i="333"/>
  <c r="H53" i="333" s="1"/>
  <c r="F41" i="53"/>
  <c r="H53" i="53" s="1"/>
  <c r="F41" i="386"/>
  <c r="H53" i="386" s="1"/>
  <c r="F41" i="387"/>
  <c r="H53" i="387" s="1"/>
  <c r="F41" i="314"/>
  <c r="H53" i="314" s="1"/>
  <c r="F41" i="303"/>
  <c r="H53" i="303" s="1"/>
  <c r="F41" i="394"/>
  <c r="H53" i="394" s="1"/>
  <c r="F41" i="393"/>
  <c r="H53" i="393" s="1"/>
  <c r="F41" i="114"/>
  <c r="H53" i="114" s="1"/>
  <c r="F41" i="323"/>
  <c r="H53" i="323" s="1"/>
  <c r="F41" i="400"/>
  <c r="H53" i="400" s="1"/>
  <c r="F41" i="404"/>
  <c r="F41" i="402"/>
  <c r="F41" i="403"/>
  <c r="F41" i="408"/>
  <c r="F41" i="385"/>
  <c r="H53" i="385" s="1"/>
  <c r="F41" i="334"/>
  <c r="H53" i="334" s="1"/>
  <c r="F41" i="3"/>
  <c r="H53" i="3" s="1"/>
  <c r="F41" i="349"/>
  <c r="H53" i="349" s="1"/>
  <c r="F41" i="4"/>
  <c r="H53" i="4" s="1"/>
  <c r="F41" i="15"/>
  <c r="H53" i="15" s="1"/>
  <c r="F41" i="355"/>
  <c r="H53" i="355" s="1"/>
  <c r="F41" i="299"/>
  <c r="H53" i="299" s="1"/>
  <c r="F41" i="190"/>
  <c r="H53" i="190" s="1"/>
  <c r="F41" i="16"/>
  <c r="H53" i="16" s="1"/>
  <c r="F41" i="54"/>
  <c r="H53" i="54" s="1"/>
  <c r="F41" i="384"/>
  <c r="H53" i="384" s="1"/>
  <c r="F41" i="201"/>
  <c r="H53" i="201" s="1"/>
  <c r="F41" i="249"/>
  <c r="H53" i="249" s="1"/>
  <c r="F41" i="21"/>
  <c r="H53" i="21" s="1"/>
  <c r="F41" i="7"/>
  <c r="H53" i="7" s="1"/>
  <c r="F41" i="423"/>
  <c r="H53" i="423" s="1"/>
  <c r="F41" i="13"/>
  <c r="H53" i="13" s="1"/>
  <c r="F41" i="261"/>
  <c r="H53" i="261" s="1"/>
  <c r="F41" i="153"/>
  <c r="H53" i="153" s="1"/>
  <c r="F41" i="257"/>
  <c r="H53" i="257" s="1"/>
  <c r="F41" i="19"/>
  <c r="H53" i="19" s="1"/>
  <c r="F41" i="347"/>
  <c r="H53" i="347" s="1"/>
  <c r="F41" i="37"/>
  <c r="H53" i="37" s="1"/>
  <c r="F41" i="367"/>
  <c r="H53" i="367" s="1"/>
  <c r="E41" i="369"/>
  <c r="F41" i="204"/>
  <c r="H53" i="204" s="1"/>
  <c r="F41" i="363"/>
  <c r="F41" i="31"/>
  <c r="H53" i="31" s="1"/>
  <c r="F41" i="298"/>
  <c r="H53" i="298" s="1"/>
  <c r="F41" i="168"/>
  <c r="H53" i="168" s="1"/>
  <c r="F41" i="169"/>
  <c r="H53" i="169" s="1"/>
  <c r="F41" i="336"/>
  <c r="H53" i="336" s="1"/>
  <c r="F41" i="342"/>
  <c r="H53" i="342" s="1"/>
  <c r="F41" i="33"/>
  <c r="H53" i="33" s="1"/>
  <c r="F41" i="319"/>
  <c r="H53" i="319" s="1"/>
  <c r="F41" i="320"/>
  <c r="H53" i="320" s="1"/>
  <c r="E41" i="343"/>
  <c r="F42" i="343" s="1"/>
  <c r="F41" i="318"/>
  <c r="H53" i="318" s="1"/>
  <c r="F41" i="288"/>
  <c r="H53" i="288" s="1"/>
  <c r="F41" i="337"/>
  <c r="H53" i="337" s="1"/>
  <c r="F41" i="227"/>
  <c r="H53" i="227" s="1"/>
  <c r="F41" i="290"/>
  <c r="H53" i="290" s="1"/>
  <c r="F41" i="289"/>
  <c r="H53" i="289" s="1"/>
  <c r="F41" i="357"/>
  <c r="F41" i="293"/>
  <c r="H53" i="293" s="1"/>
  <c r="F41" i="348"/>
  <c r="H53" i="348" s="1"/>
  <c r="F41" i="194"/>
  <c r="H53" i="194" s="1"/>
  <c r="F41" i="193"/>
  <c r="H53" i="193" s="1"/>
  <c r="F41" i="297"/>
  <c r="H53" i="297" s="1"/>
  <c r="F41" i="350"/>
  <c r="H53" i="350" s="1"/>
  <c r="F41" i="105"/>
  <c r="H53" i="105" s="1"/>
  <c r="F41" i="294"/>
  <c r="H53" i="294" s="1"/>
  <c r="F41" i="365"/>
  <c r="F41" i="366"/>
  <c r="F41" i="206"/>
  <c r="H53" i="206" s="1"/>
  <c r="F41" i="22"/>
  <c r="H53" i="22" s="1"/>
  <c r="F41" i="301"/>
  <c r="H53" i="301" s="1"/>
  <c r="F41" i="344"/>
  <c r="H53" i="344" s="1"/>
  <c r="F41" i="61"/>
  <c r="H53" i="61" s="1"/>
  <c r="F41" i="338"/>
  <c r="H53" i="338" s="1"/>
  <c r="F41" i="340"/>
  <c r="H53" i="340" s="1"/>
  <c r="F41" i="34"/>
  <c r="H53" i="34" s="1"/>
  <c r="F41" i="174"/>
  <c r="H53" i="174" s="1"/>
  <c r="F41" i="187"/>
  <c r="H53" i="187" s="1"/>
  <c r="F41" i="135"/>
  <c r="H53" i="135" s="1"/>
  <c r="F41" i="295"/>
  <c r="H53" i="295" s="1"/>
  <c r="F41" i="283"/>
  <c r="H53" i="283" s="1"/>
  <c r="F41" i="284"/>
  <c r="H53" i="284" s="1"/>
  <c r="F41" i="292"/>
  <c r="H53" i="292" s="1"/>
  <c r="F41" i="339"/>
  <c r="H53" i="339" s="1"/>
  <c r="F41" i="325"/>
  <c r="H53" i="325" s="1"/>
  <c r="F41" i="269"/>
  <c r="H53" i="269" s="1"/>
  <c r="F41" i="11"/>
  <c r="H53" i="11" s="1"/>
  <c r="F41" i="279"/>
  <c r="F41" i="335"/>
  <c r="F41" i="101"/>
  <c r="H53" i="101" s="1"/>
  <c r="F41" i="382"/>
  <c r="H53" i="382" s="1"/>
  <c r="F41" i="102"/>
  <c r="H53" i="102" s="1"/>
  <c r="F41" i="103"/>
  <c r="H53" i="103" s="1"/>
  <c r="F41" i="411"/>
  <c r="H53" i="411" s="1"/>
  <c r="F41" i="265"/>
  <c r="H53" i="265" s="1"/>
  <c r="F41" i="262"/>
  <c r="H53" i="262" s="1"/>
  <c r="F41" i="112"/>
  <c r="H53" i="112" s="1"/>
  <c r="F41" i="109"/>
  <c r="H53" i="109" s="1"/>
  <c r="F41" i="85"/>
  <c r="H53" i="85" s="1"/>
  <c r="F41" i="324"/>
  <c r="H53" i="324" s="1"/>
  <c r="F41" i="32"/>
  <c r="H53" i="32" s="1"/>
  <c r="F41" i="196"/>
  <c r="H53" i="196" s="1"/>
  <c r="F41" i="197"/>
  <c r="H53" i="197" s="1"/>
  <c r="F41" i="198"/>
  <c r="H53" i="198" s="1"/>
  <c r="F41" i="345"/>
  <c r="H53" i="345" s="1"/>
  <c r="F41" i="346"/>
  <c r="H53" i="346" s="1"/>
  <c r="F41" i="74"/>
  <c r="H53" i="74" s="1"/>
  <c r="F41" i="200"/>
  <c r="H53" i="200" s="1"/>
  <c r="F41" i="280"/>
  <c r="H53" i="280" s="1"/>
  <c r="F41" i="45"/>
  <c r="H53" i="45" s="1"/>
  <c r="F41" i="104"/>
  <c r="H53" i="104" s="1"/>
  <c r="F41" i="254"/>
  <c r="H53" i="254" s="1"/>
  <c r="F41" i="181"/>
  <c r="H53" i="181" s="1"/>
  <c r="F41" i="183"/>
  <c r="H53" i="183" s="1"/>
  <c r="F41" i="184"/>
  <c r="H53" i="184" s="1"/>
  <c r="F41" i="27"/>
  <c r="H53" i="27" s="1"/>
  <c r="F41" i="143"/>
  <c r="H53" i="143" s="1"/>
  <c r="F41" i="268"/>
  <c r="F41" i="263"/>
  <c r="H53" i="263" s="1"/>
  <c r="F41" i="209"/>
  <c r="H53" i="209" s="1"/>
  <c r="F41" i="192"/>
  <c r="H53" i="192" s="1"/>
  <c r="F41" i="140"/>
  <c r="H53" i="140" s="1"/>
  <c r="F41" i="270"/>
  <c r="H53" i="270" s="1"/>
  <c r="F41" i="271"/>
  <c r="H53" i="271" s="1"/>
  <c r="F41" i="159"/>
  <c r="H53" i="159" s="1"/>
  <c r="F41" i="160"/>
  <c r="H53" i="160" s="1"/>
  <c r="F41" i="107"/>
  <c r="H53" i="107" s="1"/>
  <c r="F41" i="176"/>
  <c r="H53" i="176" s="1"/>
  <c r="F41" i="281"/>
  <c r="H53" i="281" s="1"/>
  <c r="F41" i="332"/>
  <c r="H53" i="332" s="1"/>
  <c r="F41" i="25"/>
  <c r="H53" i="25" s="1"/>
  <c r="F41" i="24"/>
  <c r="H53" i="24" s="1"/>
  <c r="F41" i="116"/>
  <c r="H53" i="116" s="1"/>
  <c r="F41" i="285"/>
  <c r="H53" i="285" s="1"/>
  <c r="F41" i="272"/>
  <c r="H53" i="272" s="1"/>
  <c r="F41" i="44"/>
  <c r="F41" i="87"/>
  <c r="H53" i="87" s="1"/>
  <c r="F41" i="287"/>
  <c r="H53" i="287" s="1"/>
  <c r="F41" i="276"/>
  <c r="H53" i="276" s="1"/>
  <c r="F41" i="229"/>
  <c r="H53" i="229" s="1"/>
  <c r="F41" i="230"/>
  <c r="H53" i="230" s="1"/>
  <c r="F41" i="328"/>
  <c r="H53" i="328" s="1"/>
  <c r="F41" i="329"/>
  <c r="H53" i="329" s="1"/>
  <c r="F41" i="326"/>
  <c r="H53" i="326" s="1"/>
  <c r="F41" i="47"/>
  <c r="H53" i="47" s="1"/>
  <c r="F41" i="248"/>
  <c r="H53" i="248" s="1"/>
  <c r="F41" i="46"/>
  <c r="H53" i="46" s="1"/>
  <c r="F41" i="239"/>
  <c r="H53" i="239" s="1"/>
  <c r="F41" i="243"/>
  <c r="H53" i="243" s="1"/>
  <c r="F41" i="244"/>
  <c r="H53" i="244" s="1"/>
  <c r="F41" i="246"/>
  <c r="H53" i="246" s="1"/>
  <c r="F41" i="1"/>
  <c r="H53" i="1" s="1"/>
  <c r="F41" i="397"/>
  <c r="H53" i="397" s="1"/>
  <c r="F41" i="427"/>
  <c r="U41" i="202"/>
  <c r="F41" i="202"/>
  <c r="H53" i="202" s="1"/>
  <c r="F41" i="35"/>
  <c r="H53" i="35" s="1"/>
  <c r="M55" i="414" l="1"/>
  <c r="L46" i="142"/>
  <c r="L46" i="414"/>
  <c r="B43" i="369"/>
  <c r="A43" i="369"/>
  <c r="C43" i="116"/>
  <c r="E55" i="116" s="1"/>
  <c r="B43" i="116"/>
  <c r="C43" i="159"/>
  <c r="E55" i="159" s="1"/>
  <c r="B43" i="159"/>
  <c r="B43" i="181"/>
  <c r="C43" i="181"/>
  <c r="E55" i="181" s="1"/>
  <c r="B43" i="384"/>
  <c r="C43" i="384"/>
  <c r="E55" i="384" s="1"/>
  <c r="C43" i="329"/>
  <c r="E55" i="329" s="1"/>
  <c r="B43" i="329"/>
  <c r="C43" i="229"/>
  <c r="E55" i="229" s="1"/>
  <c r="B43" i="229"/>
  <c r="B43" i="44"/>
  <c r="C43" i="44"/>
  <c r="D46" i="44" s="1"/>
  <c r="C43" i="176"/>
  <c r="E55" i="176" s="1"/>
  <c r="B43" i="176"/>
  <c r="C43" i="271"/>
  <c r="E55" i="271" s="1"/>
  <c r="B43" i="271"/>
  <c r="C43" i="27"/>
  <c r="E55" i="27" s="1"/>
  <c r="B43" i="27"/>
  <c r="B43" i="357"/>
  <c r="C43" i="357"/>
  <c r="D46" i="357" s="1"/>
  <c r="C43" i="367"/>
  <c r="E55" i="367" s="1"/>
  <c r="B43" i="367"/>
  <c r="C43" i="87"/>
  <c r="E55" i="87" s="1"/>
  <c r="B43" i="87"/>
  <c r="C43" i="192"/>
  <c r="E55" i="192" s="1"/>
  <c r="B43" i="192"/>
  <c r="B43" i="365"/>
  <c r="C43" i="365"/>
  <c r="D46" i="365" s="1"/>
  <c r="C43" i="276"/>
  <c r="E55" i="276" s="1"/>
  <c r="B43" i="276"/>
  <c r="C43" i="272"/>
  <c r="E55" i="272" s="1"/>
  <c r="B43" i="272"/>
  <c r="C43" i="25"/>
  <c r="E55" i="25" s="1"/>
  <c r="B43" i="25"/>
  <c r="C43" i="107"/>
  <c r="E55" i="107" s="1"/>
  <c r="B43" i="107"/>
  <c r="C43" i="263"/>
  <c r="E55" i="263" s="1"/>
  <c r="B43" i="263"/>
  <c r="C43" i="184"/>
  <c r="E55" i="184" s="1"/>
  <c r="B43" i="184"/>
  <c r="B43" i="254"/>
  <c r="C43" i="254"/>
  <c r="E55" i="254" s="1"/>
  <c r="C43" i="230"/>
  <c r="E55" i="230" s="1"/>
  <c r="B43" i="230"/>
  <c r="C43" i="281"/>
  <c r="E55" i="281" s="1"/>
  <c r="B43" i="281"/>
  <c r="C43" i="143"/>
  <c r="E55" i="143" s="1"/>
  <c r="B43" i="143"/>
  <c r="C43" i="328"/>
  <c r="E55" i="328" s="1"/>
  <c r="B43" i="328"/>
  <c r="B43" i="287"/>
  <c r="C43" i="287"/>
  <c r="E55" i="287" s="1"/>
  <c r="C43" i="285"/>
  <c r="E55" i="285" s="1"/>
  <c r="B43" i="285"/>
  <c r="C43" i="160"/>
  <c r="E55" i="160" s="1"/>
  <c r="B43" i="160"/>
  <c r="C43" i="268"/>
  <c r="D46" i="268" s="1"/>
  <c r="B43" i="268"/>
  <c r="B43" i="104"/>
  <c r="C43" i="104"/>
  <c r="E55" i="104" s="1"/>
  <c r="C43" i="198"/>
  <c r="E55" i="198" s="1"/>
  <c r="B43" i="198"/>
  <c r="C43" i="279"/>
  <c r="D46" i="279" s="1"/>
  <c r="B43" i="279"/>
  <c r="B43" i="366"/>
  <c r="C43" i="366"/>
  <c r="D46" i="366" s="1"/>
  <c r="C43" i="333"/>
  <c r="E55" i="333" s="1"/>
  <c r="B43" i="333"/>
  <c r="C43" i="397"/>
  <c r="E55" i="397" s="1"/>
  <c r="B43" i="397"/>
  <c r="C43" i="1"/>
  <c r="E55" i="1" s="1"/>
  <c r="B43" i="1"/>
  <c r="C43" i="246"/>
  <c r="E55" i="246" s="1"/>
  <c r="B43" i="246"/>
  <c r="C43" i="244"/>
  <c r="E55" i="244" s="1"/>
  <c r="B43" i="244"/>
  <c r="C43" i="243"/>
  <c r="E55" i="243" s="1"/>
  <c r="B43" i="243"/>
  <c r="B43" i="239"/>
  <c r="C43" i="239"/>
  <c r="E55" i="239" s="1"/>
  <c r="C43" i="46"/>
  <c r="E55" i="46" s="1"/>
  <c r="B43" i="46"/>
  <c r="C43" i="248"/>
  <c r="E55" i="248" s="1"/>
  <c r="B43" i="248"/>
  <c r="C43" i="47"/>
  <c r="E55" i="47" s="1"/>
  <c r="B43" i="47"/>
  <c r="C43" i="326"/>
  <c r="E55" i="326" s="1"/>
  <c r="B43" i="326"/>
  <c r="B43" i="24"/>
  <c r="C43" i="24"/>
  <c r="E55" i="24" s="1"/>
  <c r="C43" i="332"/>
  <c r="E55" i="332" s="1"/>
  <c r="B43" i="332"/>
  <c r="C43" i="270"/>
  <c r="E55" i="270" s="1"/>
  <c r="B43" i="270"/>
  <c r="C43" i="140"/>
  <c r="E55" i="140" s="1"/>
  <c r="B43" i="140"/>
  <c r="C43" i="209"/>
  <c r="E55" i="209" s="1"/>
  <c r="B43" i="209"/>
  <c r="C43" i="183"/>
  <c r="E55" i="183" s="1"/>
  <c r="B43" i="183"/>
  <c r="C43" i="45"/>
  <c r="E55" i="45" s="1"/>
  <c r="B43" i="45"/>
  <c r="C43" i="280"/>
  <c r="E55" i="280" s="1"/>
  <c r="B43" i="280"/>
  <c r="C43" i="200"/>
  <c r="E55" i="200" s="1"/>
  <c r="B43" i="200"/>
  <c r="C43" i="74"/>
  <c r="E55" i="74" s="1"/>
  <c r="B43" i="74"/>
  <c r="C43" i="346"/>
  <c r="E55" i="346" s="1"/>
  <c r="B43" i="346"/>
  <c r="C43" i="345"/>
  <c r="E55" i="345" s="1"/>
  <c r="B43" i="345"/>
  <c r="C43" i="197"/>
  <c r="E55" i="197" s="1"/>
  <c r="B43" i="197"/>
  <c r="C43" i="196"/>
  <c r="E55" i="196" s="1"/>
  <c r="B43" i="196"/>
  <c r="C43" i="32"/>
  <c r="E55" i="32" s="1"/>
  <c r="B43" i="32"/>
  <c r="C43" i="324"/>
  <c r="E55" i="324" s="1"/>
  <c r="B43" i="324"/>
  <c r="C43" i="85"/>
  <c r="E55" i="85" s="1"/>
  <c r="B43" i="85"/>
  <c r="B43" i="109"/>
  <c r="C43" i="109"/>
  <c r="E55" i="109" s="1"/>
  <c r="B43" i="112"/>
  <c r="C43" i="112"/>
  <c r="E55" i="112" s="1"/>
  <c r="C43" i="262"/>
  <c r="E55" i="262" s="1"/>
  <c r="B43" i="262"/>
  <c r="C43" i="265"/>
  <c r="E55" i="265" s="1"/>
  <c r="B43" i="265"/>
  <c r="B43" i="411"/>
  <c r="C43" i="411"/>
  <c r="E55" i="411" s="1"/>
  <c r="C43" i="103"/>
  <c r="E55" i="103" s="1"/>
  <c r="B43" i="103"/>
  <c r="C43" i="102"/>
  <c r="E55" i="102" s="1"/>
  <c r="B43" i="102"/>
  <c r="C43" i="382"/>
  <c r="E55" i="382" s="1"/>
  <c r="B43" i="382"/>
  <c r="B43" i="101"/>
  <c r="C43" i="101"/>
  <c r="E55" i="101" s="1"/>
  <c r="C43" i="335"/>
  <c r="D46" i="335" s="1"/>
  <c r="B43" i="335"/>
  <c r="C43" i="11"/>
  <c r="E55" i="11" s="1"/>
  <c r="B43" i="11"/>
  <c r="B43" i="269"/>
  <c r="C43" i="269"/>
  <c r="E55" i="269" s="1"/>
  <c r="B43" i="325"/>
  <c r="C43" i="325"/>
  <c r="E55" i="325" s="1"/>
  <c r="C43" i="339"/>
  <c r="E55" i="339" s="1"/>
  <c r="B43" i="339"/>
  <c r="C43" i="292"/>
  <c r="E55" i="292" s="1"/>
  <c r="B43" i="292"/>
  <c r="C43" i="284"/>
  <c r="E55" i="284" s="1"/>
  <c r="B43" i="284"/>
  <c r="B43" i="283"/>
  <c r="C43" i="283"/>
  <c r="E55" i="283" s="1"/>
  <c r="C43" i="295"/>
  <c r="E55" i="295" s="1"/>
  <c r="B43" i="295"/>
  <c r="C43" i="135"/>
  <c r="E55" i="135" s="1"/>
  <c r="B43" i="135"/>
  <c r="B43" i="187"/>
  <c r="C43" i="187"/>
  <c r="E55" i="187" s="1"/>
  <c r="B43" i="174"/>
  <c r="C43" i="174"/>
  <c r="E55" i="174" s="1"/>
  <c r="C43" i="34"/>
  <c r="E55" i="34" s="1"/>
  <c r="B43" i="34"/>
  <c r="C43" i="340"/>
  <c r="E55" i="340" s="1"/>
  <c r="B43" i="340"/>
  <c r="B43" i="338"/>
  <c r="C43" i="338"/>
  <c r="E55" i="338" s="1"/>
  <c r="C43" i="61"/>
  <c r="E55" i="61" s="1"/>
  <c r="B43" i="61"/>
  <c r="C43" i="344"/>
  <c r="E55" i="344" s="1"/>
  <c r="B43" i="344"/>
  <c r="C43" i="301"/>
  <c r="E55" i="301" s="1"/>
  <c r="B43" i="301"/>
  <c r="C43" i="22"/>
  <c r="E55" i="22" s="1"/>
  <c r="B43" i="22"/>
  <c r="C43" i="206"/>
  <c r="E55" i="206" s="1"/>
  <c r="B43" i="206"/>
  <c r="C43" i="294"/>
  <c r="E55" i="294" s="1"/>
  <c r="B43" i="294"/>
  <c r="C43" i="105"/>
  <c r="E55" i="105" s="1"/>
  <c r="B43" i="105"/>
  <c r="C43" i="350"/>
  <c r="E55" i="350" s="1"/>
  <c r="B43" i="350"/>
  <c r="C43" i="297"/>
  <c r="E55" i="297" s="1"/>
  <c r="B43" i="297"/>
  <c r="B43" i="193"/>
  <c r="C43" i="193"/>
  <c r="E55" i="193" s="1"/>
  <c r="C43" i="194"/>
  <c r="E55" i="194" s="1"/>
  <c r="B43" i="194"/>
  <c r="C43" i="348"/>
  <c r="E55" i="348" s="1"/>
  <c r="B43" i="348"/>
  <c r="C43" i="293"/>
  <c r="E55" i="293" s="1"/>
  <c r="B43" i="293"/>
  <c r="C43" i="289"/>
  <c r="E55" i="289" s="1"/>
  <c r="B43" i="289"/>
  <c r="C43" i="290"/>
  <c r="E55" i="290" s="1"/>
  <c r="B43" i="290"/>
  <c r="C43" i="227"/>
  <c r="E55" i="227" s="1"/>
  <c r="B43" i="227"/>
  <c r="C43" i="337"/>
  <c r="E55" i="337" s="1"/>
  <c r="B43" i="337"/>
  <c r="C43" i="288"/>
  <c r="E55" i="288" s="1"/>
  <c r="B43" i="288"/>
  <c r="C43" i="318"/>
  <c r="E55" i="318" s="1"/>
  <c r="B43" i="318"/>
  <c r="C43" i="33"/>
  <c r="E55" i="33" s="1"/>
  <c r="B43" i="33"/>
  <c r="C43" i="342"/>
  <c r="E55" i="342" s="1"/>
  <c r="B43" i="342"/>
  <c r="C43" i="336"/>
  <c r="E55" i="336" s="1"/>
  <c r="B43" i="336"/>
  <c r="C43" i="169"/>
  <c r="E55" i="169" s="1"/>
  <c r="B43" i="169"/>
  <c r="C43" i="168"/>
  <c r="E55" i="168" s="1"/>
  <c r="B43" i="168"/>
  <c r="C43" i="298"/>
  <c r="E55" i="298" s="1"/>
  <c r="B43" i="298"/>
  <c r="B43" i="31"/>
  <c r="C43" i="31"/>
  <c r="E55" i="31" s="1"/>
  <c r="C43" i="363"/>
  <c r="D46" i="363" s="1"/>
  <c r="B43" i="363"/>
  <c r="C43" i="204"/>
  <c r="E55" i="204" s="1"/>
  <c r="B43" i="204"/>
  <c r="C43" i="37"/>
  <c r="E55" i="37" s="1"/>
  <c r="B43" i="37"/>
  <c r="B43" i="347"/>
  <c r="C43" i="347"/>
  <c r="E55" i="347" s="1"/>
  <c r="C43" i="19"/>
  <c r="E55" i="19" s="1"/>
  <c r="B43" i="19"/>
  <c r="B43" i="257"/>
  <c r="C43" i="257"/>
  <c r="E55" i="257" s="1"/>
  <c r="B43" i="153"/>
  <c r="C43" i="153"/>
  <c r="E55" i="153" s="1"/>
  <c r="B43" i="261"/>
  <c r="C43" i="261"/>
  <c r="E55" i="261" s="1"/>
  <c r="C43" i="13"/>
  <c r="E55" i="13" s="1"/>
  <c r="B43" i="13"/>
  <c r="B43" i="423"/>
  <c r="C43" i="423"/>
  <c r="E55" i="423" s="1"/>
  <c r="C43" i="7"/>
  <c r="E55" i="7" s="1"/>
  <c r="B43" i="7"/>
  <c r="C43" i="249"/>
  <c r="E55" i="249" s="1"/>
  <c r="B43" i="249"/>
  <c r="C43" i="201"/>
  <c r="E55" i="201" s="1"/>
  <c r="B43" i="201"/>
  <c r="B43" i="54"/>
  <c r="C43" i="54"/>
  <c r="E55" i="54" s="1"/>
  <c r="C43" i="16"/>
  <c r="E55" i="16" s="1"/>
  <c r="B43" i="16"/>
  <c r="B43" i="190"/>
  <c r="C43" i="190"/>
  <c r="E55" i="190" s="1"/>
  <c r="C43" i="299"/>
  <c r="E55" i="299" s="1"/>
  <c r="B43" i="299"/>
  <c r="B43" i="355"/>
  <c r="C43" i="355"/>
  <c r="E55" i="355" s="1"/>
  <c r="B43" i="15"/>
  <c r="C43" i="15"/>
  <c r="E55" i="15" s="1"/>
  <c r="B43" i="4"/>
  <c r="C43" i="4"/>
  <c r="E55" i="4" s="1"/>
  <c r="B43" i="349"/>
  <c r="C43" i="349"/>
  <c r="E55" i="349" s="1"/>
  <c r="B43" i="3"/>
  <c r="C43" i="3"/>
  <c r="E55" i="3" s="1"/>
  <c r="B43" i="334"/>
  <c r="C43" i="334"/>
  <c r="E55" i="334" s="1"/>
  <c r="B43" i="385"/>
  <c r="C43" i="385"/>
  <c r="E55" i="385" s="1"/>
  <c r="B43" i="408"/>
  <c r="C43" i="408"/>
  <c r="D46" i="408" s="1"/>
  <c r="C43" i="403"/>
  <c r="D46" i="403" s="1"/>
  <c r="B43" i="403"/>
  <c r="C43" i="402"/>
  <c r="D46" i="402" s="1"/>
  <c r="B43" i="402"/>
  <c r="C43" i="404"/>
  <c r="D46" i="404" s="1"/>
  <c r="B43" i="404"/>
  <c r="C43" i="400"/>
  <c r="E55" i="400" s="1"/>
  <c r="B43" i="400"/>
  <c r="C43" i="323"/>
  <c r="E55" i="323" s="1"/>
  <c r="B43" i="323"/>
  <c r="C43" i="114"/>
  <c r="E55" i="114" s="1"/>
  <c r="B43" i="114"/>
  <c r="C43" i="303"/>
  <c r="E55" i="303" s="1"/>
  <c r="B43" i="303"/>
  <c r="B43" i="314"/>
  <c r="C43" i="314"/>
  <c r="E55" i="314" s="1"/>
  <c r="C43" i="387"/>
  <c r="E55" i="387" s="1"/>
  <c r="B43" i="387"/>
  <c r="B43" i="386"/>
  <c r="C43" i="386"/>
  <c r="E55" i="386" s="1"/>
  <c r="C43" i="53"/>
  <c r="E55" i="53" s="1"/>
  <c r="B43" i="53"/>
  <c r="B43" i="421"/>
  <c r="C43" i="421"/>
  <c r="E55" i="421" s="1"/>
  <c r="C43" i="162"/>
  <c r="E55" i="162" s="1"/>
  <c r="B43" i="162"/>
  <c r="C43" i="164"/>
  <c r="E55" i="164" s="1"/>
  <c r="B43" i="164"/>
  <c r="C43" i="2"/>
  <c r="E55" i="2" s="1"/>
  <c r="B43" i="2"/>
  <c r="B43" i="233"/>
  <c r="C43" i="233"/>
  <c r="E55" i="233" s="1"/>
  <c r="C43" i="362"/>
  <c r="E55" i="362" s="1"/>
  <c r="B43" i="362"/>
  <c r="B43" i="322"/>
  <c r="C43" i="322"/>
  <c r="E55" i="322" s="1"/>
  <c r="C43" i="354"/>
  <c r="E55" i="354" s="1"/>
  <c r="B43" i="354"/>
  <c r="C43" i="352"/>
  <c r="E55" i="352" s="1"/>
  <c r="B43" i="352"/>
  <c r="C43" i="361"/>
  <c r="E55" i="361" s="1"/>
  <c r="B43" i="361"/>
  <c r="B43" i="351"/>
  <c r="C43" i="351"/>
  <c r="E55" i="351" s="1"/>
  <c r="C43" i="113"/>
  <c r="E55" i="113" s="1"/>
  <c r="B43" i="113"/>
  <c r="B43" i="426"/>
  <c r="C43" i="426"/>
  <c r="D46" i="426" s="1"/>
  <c r="C43" i="296"/>
  <c r="E55" i="296" s="1"/>
  <c r="B43" i="296"/>
  <c r="C43" i="191"/>
  <c r="E55" i="191" s="1"/>
  <c r="B43" i="191"/>
  <c r="B43" i="203"/>
  <c r="C43" i="203"/>
  <c r="E55" i="203" s="1"/>
  <c r="B43" i="8"/>
  <c r="C43" i="8"/>
  <c r="E55" i="8" s="1"/>
  <c r="B43" i="420"/>
  <c r="C43" i="420"/>
  <c r="E55" i="420" s="1"/>
  <c r="C43" i="364"/>
  <c r="E55" i="364" s="1"/>
  <c r="B43" i="364"/>
  <c r="C43" i="368"/>
  <c r="E55" i="368" s="1"/>
  <c r="B43" i="368"/>
  <c r="C43" i="360"/>
  <c r="E55" i="360" s="1"/>
  <c r="B43" i="360"/>
  <c r="C43" i="359"/>
  <c r="E55" i="359" s="1"/>
  <c r="B43" i="359"/>
  <c r="C43" i="29"/>
  <c r="E55" i="29" s="1"/>
  <c r="B43" i="29"/>
  <c r="B43" i="28"/>
  <c r="C43" i="28"/>
  <c r="E55" i="28" s="1"/>
  <c r="C43" i="75"/>
  <c r="E55" i="75" s="1"/>
  <c r="B43" i="75"/>
  <c r="C43" i="383"/>
  <c r="E55" i="383" s="1"/>
  <c r="B43" i="383"/>
  <c r="C43" i="97"/>
  <c r="E55" i="97" s="1"/>
  <c r="B43" i="97"/>
  <c r="C43" i="43"/>
  <c r="E55" i="43" s="1"/>
  <c r="B43" i="43"/>
  <c r="B43" i="422"/>
  <c r="C43" i="422"/>
  <c r="E55" i="422" s="1"/>
  <c r="B43" i="20"/>
  <c r="C43" i="20"/>
  <c r="E55" i="20" s="1"/>
  <c r="B43" i="18"/>
  <c r="C43" i="18"/>
  <c r="E55" i="18" s="1"/>
  <c r="B43" i="409"/>
  <c r="C43" i="409"/>
  <c r="E55" i="409" s="1"/>
  <c r="C43" i="148"/>
  <c r="E55" i="148" s="1"/>
  <c r="B43" i="148"/>
  <c r="C43" i="88"/>
  <c r="E55" i="88" s="1"/>
  <c r="B43" i="88"/>
  <c r="C43" i="425"/>
  <c r="E55" i="425" s="1"/>
  <c r="B43" i="425"/>
  <c r="B43" i="52"/>
  <c r="C43" i="52"/>
  <c r="E55" i="52" s="1"/>
  <c r="B43" i="207"/>
  <c r="C43" i="207"/>
  <c r="E55" i="207" s="1"/>
  <c r="C43" i="5"/>
  <c r="E55" i="5" s="1"/>
  <c r="B43" i="5"/>
  <c r="B43" i="48"/>
  <c r="C43" i="48"/>
  <c r="E55" i="48" s="1"/>
  <c r="C43" i="23"/>
  <c r="E55" i="23" s="1"/>
  <c r="B43" i="23"/>
  <c r="C43" i="389"/>
  <c r="E55" i="389" s="1"/>
  <c r="B43" i="389"/>
  <c r="C43" i="89"/>
  <c r="E55" i="89" s="1"/>
  <c r="B43" i="89"/>
  <c r="B43" i="413"/>
  <c r="C43" i="413"/>
  <c r="E55" i="413" s="1"/>
  <c r="C43" i="393"/>
  <c r="E55" i="393" s="1"/>
  <c r="B43" i="393"/>
  <c r="C43" i="394"/>
  <c r="E55" i="394" s="1"/>
  <c r="B43" i="394"/>
  <c r="B43" i="356"/>
  <c r="C43" i="356"/>
  <c r="E55" i="356" s="1"/>
  <c r="C43" i="12"/>
  <c r="E55" i="12" s="1"/>
  <c r="B43" i="12"/>
  <c r="C43" i="424"/>
  <c r="E55" i="424" s="1"/>
  <c r="B43" i="424"/>
  <c r="B43" i="9"/>
  <c r="C43" i="9"/>
  <c r="E55" i="9" s="1"/>
  <c r="B43" i="17"/>
  <c r="C43" i="17"/>
  <c r="E55" i="17" s="1"/>
  <c r="C43" i="427"/>
  <c r="D46" i="427" s="1"/>
  <c r="B43" i="427"/>
  <c r="C43" i="21"/>
  <c r="E55" i="21" s="1"/>
  <c r="B43" i="21"/>
  <c r="G42" i="320"/>
  <c r="C43" i="320"/>
  <c r="E55" i="320" s="1"/>
  <c r="B43" i="320"/>
  <c r="G42" i="319"/>
  <c r="B43" i="319"/>
  <c r="C43" i="319"/>
  <c r="E55" i="319" s="1"/>
  <c r="C43" i="391"/>
  <c r="E55" i="391" s="1"/>
  <c r="B43" i="391"/>
  <c r="B43" i="392"/>
  <c r="C43" i="392"/>
  <c r="E55" i="392" s="1"/>
  <c r="B43" i="202"/>
  <c r="C43" i="202"/>
  <c r="E55" i="202" s="1"/>
  <c r="B43" i="35"/>
  <c r="C43" i="35"/>
  <c r="E55" i="35" s="1"/>
  <c r="H231" i="417"/>
  <c r="G42" i="21"/>
  <c r="G42" i="392"/>
  <c r="G42" i="35"/>
  <c r="G42" i="202"/>
  <c r="G42" i="116"/>
  <c r="G42" i="268"/>
  <c r="G42" i="74"/>
  <c r="G42" i="262"/>
  <c r="G42" i="339"/>
  <c r="G42" i="344"/>
  <c r="G42" i="348"/>
  <c r="G42" i="318"/>
  <c r="G42" i="347"/>
  <c r="G42" i="190"/>
  <c r="G42" i="404"/>
  <c r="G42" i="333"/>
  <c r="G42" i="12"/>
  <c r="G42" i="296"/>
  <c r="G42" i="383"/>
  <c r="G42" i="9"/>
  <c r="G42" i="427"/>
  <c r="G42" i="244"/>
  <c r="G42" i="248"/>
  <c r="G42" i="329"/>
  <c r="G42" i="229"/>
  <c r="G42" i="44"/>
  <c r="G42" i="24"/>
  <c r="G42" i="281"/>
  <c r="G42" i="159"/>
  <c r="G42" i="192"/>
  <c r="G42" i="143"/>
  <c r="G42" i="181"/>
  <c r="G42" i="45"/>
  <c r="G42" i="346"/>
  <c r="G42" i="197"/>
  <c r="G42" i="85"/>
  <c r="G42" i="265"/>
  <c r="G42" i="382"/>
  <c r="G42" i="11"/>
  <c r="G42" i="292"/>
  <c r="G42" i="135"/>
  <c r="G42" i="340"/>
  <c r="G42" i="301"/>
  <c r="G42" i="365"/>
  <c r="G42" i="297"/>
  <c r="G42" i="293"/>
  <c r="G42" i="227"/>
  <c r="G42" i="342"/>
  <c r="G42" i="298"/>
  <c r="F42" i="369"/>
  <c r="G42" i="19"/>
  <c r="G42" i="13"/>
  <c r="G42" i="384"/>
  <c r="G42" i="299"/>
  <c r="G42" i="349"/>
  <c r="G42" i="408"/>
  <c r="G42" i="400"/>
  <c r="G42" i="394"/>
  <c r="G42" i="386"/>
  <c r="G42" i="207"/>
  <c r="G42" i="164"/>
  <c r="G42" i="2"/>
  <c r="G42" i="362"/>
  <c r="G42" i="361"/>
  <c r="G42" i="191"/>
  <c r="G42" i="391"/>
  <c r="G42" i="28"/>
  <c r="G42" i="97"/>
  <c r="G42" i="18"/>
  <c r="G42" i="88"/>
  <c r="G42" i="52"/>
  <c r="G42" i="46"/>
  <c r="G42" i="87"/>
  <c r="G42" i="160"/>
  <c r="G42" i="183"/>
  <c r="G42" i="324"/>
  <c r="G42" i="279"/>
  <c r="G42" i="34"/>
  <c r="G42" i="350"/>
  <c r="G42" i="33"/>
  <c r="G42" i="168"/>
  <c r="G42" i="261"/>
  <c r="G42" i="4"/>
  <c r="G42" i="387"/>
  <c r="G42" i="354"/>
  <c r="G42" i="368"/>
  <c r="G42" i="29"/>
  <c r="G42" i="148"/>
  <c r="G42" i="397"/>
  <c r="G42" i="243"/>
  <c r="G42" i="47"/>
  <c r="G42" i="276"/>
  <c r="G42" i="272"/>
  <c r="G42" i="25"/>
  <c r="G42" i="176"/>
  <c r="G42" i="271"/>
  <c r="G42" i="209"/>
  <c r="G42" i="27"/>
  <c r="G42" i="280"/>
  <c r="G42" i="345"/>
  <c r="G42" i="196"/>
  <c r="G42" i="109"/>
  <c r="G42" i="411"/>
  <c r="G42" i="101"/>
  <c r="G42" i="269"/>
  <c r="G42" i="284"/>
  <c r="G42" i="187"/>
  <c r="G42" i="338"/>
  <c r="G42" i="22"/>
  <c r="G42" i="294"/>
  <c r="G42" i="193"/>
  <c r="G42" i="357"/>
  <c r="G42" i="337"/>
  <c r="G42" i="336"/>
  <c r="G42" i="31"/>
  <c r="G42" i="367"/>
  <c r="G42" i="257"/>
  <c r="G42" i="423"/>
  <c r="G42" i="54"/>
  <c r="G42" i="355"/>
  <c r="G42" i="3"/>
  <c r="G42" i="403"/>
  <c r="G42" i="323"/>
  <c r="G42" i="303"/>
  <c r="G42" i="5"/>
  <c r="G42" i="413"/>
  <c r="G42" i="233"/>
  <c r="G42" i="353"/>
  <c r="G42" i="113"/>
  <c r="F42" i="415"/>
  <c r="G42" i="420"/>
  <c r="G42" i="360"/>
  <c r="G42" i="75"/>
  <c r="G42" i="43"/>
  <c r="G42" i="409"/>
  <c r="G42" i="389"/>
  <c r="G42" i="23"/>
  <c r="G42" i="246"/>
  <c r="G42" i="230"/>
  <c r="G42" i="332"/>
  <c r="G42" i="140"/>
  <c r="G42" i="104"/>
  <c r="G42" i="198"/>
  <c r="G42" i="102"/>
  <c r="G42" i="295"/>
  <c r="G42" i="366"/>
  <c r="G42" i="290"/>
  <c r="G42" i="204"/>
  <c r="G42" i="201"/>
  <c r="G42" i="385"/>
  <c r="G42" i="393"/>
  <c r="G42" i="162"/>
  <c r="G42" i="351"/>
  <c r="G42" i="8"/>
  <c r="G42" i="20"/>
  <c r="G42" i="425"/>
  <c r="G42" i="1"/>
  <c r="G42" i="239"/>
  <c r="G42" i="326"/>
  <c r="G42" i="328"/>
  <c r="G42" i="287"/>
  <c r="G42" i="285"/>
  <c r="G42" i="107"/>
  <c r="G42" i="270"/>
  <c r="G42" i="263"/>
  <c r="G42" i="184"/>
  <c r="G42" i="254"/>
  <c r="G42" i="200"/>
  <c r="G42" i="32"/>
  <c r="G42" i="112"/>
  <c r="G42" i="103"/>
  <c r="G42" i="335"/>
  <c r="G42" i="325"/>
  <c r="G42" i="283"/>
  <c r="G42" i="174"/>
  <c r="G42" i="61"/>
  <c r="G42" i="206"/>
  <c r="G42" i="105"/>
  <c r="G42" i="194"/>
  <c r="G42" i="289"/>
  <c r="G42" i="288"/>
  <c r="G42" i="169"/>
  <c r="G42" i="363"/>
  <c r="G42" i="37"/>
  <c r="G42" i="153"/>
  <c r="G42" i="7"/>
  <c r="G42" i="249"/>
  <c r="G42" i="16"/>
  <c r="G42" i="15"/>
  <c r="G42" i="334"/>
  <c r="G42" i="402"/>
  <c r="G42" i="114"/>
  <c r="G42" i="314"/>
  <c r="G42" i="53"/>
  <c r="G42" i="421"/>
  <c r="G42" i="356"/>
  <c r="G42" i="322"/>
  <c r="G42" i="352"/>
  <c r="G42" i="426"/>
  <c r="G42" i="203"/>
  <c r="G42" i="364"/>
  <c r="G42" i="359"/>
  <c r="G42" i="424"/>
  <c r="G42" i="422"/>
  <c r="G42" i="17"/>
  <c r="G42" i="89"/>
  <c r="G42" i="48"/>
  <c r="T41" i="414"/>
  <c r="I41" i="414" s="1"/>
  <c r="J53" i="414" s="1"/>
  <c r="K43" i="327"/>
  <c r="U43" i="327"/>
  <c r="S41" i="185"/>
  <c r="R41" i="185"/>
  <c r="K43" i="185" s="1"/>
  <c r="Q41" i="185"/>
  <c r="R41" i="388"/>
  <c r="K43" i="388" s="1"/>
  <c r="Q41" i="388"/>
  <c r="S41" i="170"/>
  <c r="R41" i="170"/>
  <c r="K43" i="170" s="1"/>
  <c r="Q41" i="170"/>
  <c r="K43" i="152"/>
  <c r="R41" i="300"/>
  <c r="K43" i="300" s="1"/>
  <c r="Q41" i="300"/>
  <c r="F41" i="142"/>
  <c r="H53" i="142" s="1"/>
  <c r="Q29" i="149"/>
  <c r="R29" i="149"/>
  <c r="S29" i="149"/>
  <c r="Q30" i="149"/>
  <c r="R30" i="149"/>
  <c r="S30" i="149"/>
  <c r="Q31" i="149"/>
  <c r="R31" i="149"/>
  <c r="S31" i="149"/>
  <c r="Q32" i="149"/>
  <c r="R32" i="149"/>
  <c r="S32" i="149"/>
  <c r="Q33" i="149"/>
  <c r="R33" i="149"/>
  <c r="S33" i="149"/>
  <c r="Q34" i="149"/>
  <c r="R34" i="149"/>
  <c r="S34" i="149"/>
  <c r="Q35" i="149"/>
  <c r="R35" i="149"/>
  <c r="S35" i="149"/>
  <c r="Q36" i="149"/>
  <c r="R36" i="149"/>
  <c r="S36" i="149"/>
  <c r="Q37" i="149"/>
  <c r="R37" i="149"/>
  <c r="S37" i="149"/>
  <c r="Q38" i="149"/>
  <c r="R38" i="149"/>
  <c r="S38" i="149"/>
  <c r="Q39" i="149"/>
  <c r="R39" i="149"/>
  <c r="S39" i="149"/>
  <c r="Q40" i="149"/>
  <c r="R40" i="149"/>
  <c r="S40" i="149"/>
  <c r="F41" i="149"/>
  <c r="H53" i="149" s="1"/>
  <c r="A43" i="343"/>
  <c r="M55" i="388" l="1"/>
  <c r="M55" i="327"/>
  <c r="M55" i="300"/>
  <c r="M55" i="152"/>
  <c r="M55" i="185"/>
  <c r="M55" i="170"/>
  <c r="L46" i="327"/>
  <c r="D46" i="2"/>
  <c r="D46" i="246"/>
  <c r="D46" i="5"/>
  <c r="D46" i="18"/>
  <c r="D46" i="322"/>
  <c r="D46" i="153"/>
  <c r="D46" i="174"/>
  <c r="D46" i="101"/>
  <c r="D46" i="239"/>
  <c r="D46" i="393"/>
  <c r="D46" i="296"/>
  <c r="D46" i="413"/>
  <c r="D46" i="421"/>
  <c r="D46" i="75"/>
  <c r="D46" i="364"/>
  <c r="D46" i="114"/>
  <c r="D46" i="201"/>
  <c r="D46" i="342"/>
  <c r="D46" i="290"/>
  <c r="D46" i="297"/>
  <c r="D46" i="301"/>
  <c r="D46" i="292"/>
  <c r="D46" i="262"/>
  <c r="D46" i="196"/>
  <c r="D46" i="280"/>
  <c r="D46" i="332"/>
  <c r="D46" i="333"/>
  <c r="D46" i="160"/>
  <c r="D46" i="230"/>
  <c r="D46" i="272"/>
  <c r="D46" i="329"/>
  <c r="D46" i="21"/>
  <c r="D46" i="263"/>
  <c r="D46" i="368"/>
  <c r="D46" i="52"/>
  <c r="D46" i="20"/>
  <c r="D46" i="28"/>
  <c r="D46" i="420"/>
  <c r="D46" i="385"/>
  <c r="D46" i="355"/>
  <c r="D46" i="257"/>
  <c r="D46" i="31"/>
  <c r="D46" i="187"/>
  <c r="D46" i="112"/>
  <c r="D46" i="24"/>
  <c r="D46" i="254"/>
  <c r="D46" i="384"/>
  <c r="D46" i="361"/>
  <c r="D46" i="198"/>
  <c r="D46" i="424"/>
  <c r="D46" i="89"/>
  <c r="D46" i="113"/>
  <c r="D46" i="362"/>
  <c r="D46" i="53"/>
  <c r="D46" i="323"/>
  <c r="D46" i="249"/>
  <c r="D46" i="33"/>
  <c r="D46" i="289"/>
  <c r="D46" i="350"/>
  <c r="D46" i="344"/>
  <c r="D46" i="339"/>
  <c r="D46" i="382"/>
  <c r="D46" i="197"/>
  <c r="D46" i="45"/>
  <c r="D46" i="243"/>
  <c r="D46" i="285"/>
  <c r="D46" i="276"/>
  <c r="D46" i="27"/>
  <c r="D46" i="23"/>
  <c r="D46" i="47"/>
  <c r="D46" i="35"/>
  <c r="D46" i="320"/>
  <c r="D46" i="422"/>
  <c r="D46" i="8"/>
  <c r="D46" i="351"/>
  <c r="D46" i="233"/>
  <c r="D46" i="386"/>
  <c r="D46" i="334"/>
  <c r="D46" i="325"/>
  <c r="D46" i="109"/>
  <c r="D46" i="287"/>
  <c r="D46" i="181"/>
  <c r="D46" i="159"/>
  <c r="D46" i="314"/>
  <c r="D46" i="383"/>
  <c r="D46" i="9"/>
  <c r="D46" i="12"/>
  <c r="D46" i="425"/>
  <c r="D46" i="29"/>
  <c r="D46" i="400"/>
  <c r="D46" i="299"/>
  <c r="D46" i="7"/>
  <c r="D46" i="19"/>
  <c r="D46" i="298"/>
  <c r="D46" i="318"/>
  <c r="D46" i="293"/>
  <c r="D46" i="105"/>
  <c r="D46" i="61"/>
  <c r="D46" i="135"/>
  <c r="D46" i="102"/>
  <c r="D46" i="345"/>
  <c r="D46" i="183"/>
  <c r="D46" i="326"/>
  <c r="D46" i="244"/>
  <c r="D46" i="184"/>
  <c r="D46" i="271"/>
  <c r="D46" i="88"/>
  <c r="D46" i="319"/>
  <c r="D46" i="207"/>
  <c r="D46" i="15"/>
  <c r="D46" i="389"/>
  <c r="D46" i="202"/>
  <c r="D46" i="356"/>
  <c r="D46" i="203"/>
  <c r="D46" i="3"/>
  <c r="D46" i="190"/>
  <c r="D46" i="423"/>
  <c r="D46" i="347"/>
  <c r="D46" i="338"/>
  <c r="D46" i="269"/>
  <c r="D46" i="43"/>
  <c r="D46" i="348"/>
  <c r="D46" i="85"/>
  <c r="D46" i="209"/>
  <c r="D46" i="192"/>
  <c r="D46" i="349"/>
  <c r="D46" i="411"/>
  <c r="D46" i="394"/>
  <c r="D46" i="37"/>
  <c r="D46" i="169"/>
  <c r="D46" i="337"/>
  <c r="D46" i="194"/>
  <c r="D46" i="206"/>
  <c r="D46" i="340"/>
  <c r="D46" i="11"/>
  <c r="D46" i="324"/>
  <c r="D46" i="74"/>
  <c r="D46" i="140"/>
  <c r="D46" i="248"/>
  <c r="D46" i="1"/>
  <c r="D46" i="143"/>
  <c r="D46" i="107"/>
  <c r="D46" i="87"/>
  <c r="D46" i="116"/>
  <c r="D46" i="359"/>
  <c r="D46" i="176"/>
  <c r="D46" i="48"/>
  <c r="D46" i="148"/>
  <c r="D46" i="97"/>
  <c r="D46" i="360"/>
  <c r="D46" i="191"/>
  <c r="D46" i="352"/>
  <c r="D46" i="164"/>
  <c r="D46" i="16"/>
  <c r="D46" i="13"/>
  <c r="D46" i="17"/>
  <c r="D46" i="409"/>
  <c r="D46" i="4"/>
  <c r="D46" i="54"/>
  <c r="D46" i="261"/>
  <c r="D46" i="193"/>
  <c r="D46" i="387"/>
  <c r="D46" i="168"/>
  <c r="D46" i="288"/>
  <c r="D46" i="294"/>
  <c r="D46" i="295"/>
  <c r="D46" i="103"/>
  <c r="D46" i="346"/>
  <c r="D46" i="328"/>
  <c r="D46" i="392"/>
  <c r="D46" i="283"/>
  <c r="D46" i="104"/>
  <c r="D46" i="391"/>
  <c r="D46" i="354"/>
  <c r="D46" i="162"/>
  <c r="D46" i="303"/>
  <c r="D46" i="204"/>
  <c r="D46" i="336"/>
  <c r="D46" i="227"/>
  <c r="D46" i="22"/>
  <c r="D46" i="34"/>
  <c r="D46" i="284"/>
  <c r="D46" i="265"/>
  <c r="D46" i="32"/>
  <c r="D46" i="200"/>
  <c r="D46" i="270"/>
  <c r="D46" i="46"/>
  <c r="D46" i="397"/>
  <c r="D46" i="281"/>
  <c r="D46" i="25"/>
  <c r="D46" i="367"/>
  <c r="D46" i="229"/>
  <c r="N43" i="414"/>
  <c r="O46" i="414" s="1"/>
  <c r="F41" i="152"/>
  <c r="U43" i="152"/>
  <c r="F41" i="300"/>
  <c r="U43" i="300"/>
  <c r="F41" i="388"/>
  <c r="U43" i="388"/>
  <c r="F41" i="170"/>
  <c r="U43" i="170"/>
  <c r="F41" i="185"/>
  <c r="U43" i="185"/>
  <c r="F41" i="327"/>
  <c r="C43" i="142"/>
  <c r="E55" i="142" s="1"/>
  <c r="B43" i="142"/>
  <c r="B43" i="149"/>
  <c r="C43" i="149"/>
  <c r="E55" i="149" s="1"/>
  <c r="G42" i="142"/>
  <c r="G42" i="149"/>
  <c r="T41" i="149"/>
  <c r="I41" i="149" s="1"/>
  <c r="J53" i="149" s="1"/>
  <c r="B43" i="343"/>
  <c r="J40" i="427"/>
  <c r="T40" i="427"/>
  <c r="K43" i="427" s="1"/>
  <c r="S40" i="427"/>
  <c r="I40" i="427" s="1"/>
  <c r="F40" i="427"/>
  <c r="S39" i="427"/>
  <c r="I39" i="427" s="1"/>
  <c r="F39" i="427"/>
  <c r="S38" i="427"/>
  <c r="I38" i="427" s="1"/>
  <c r="F38" i="427"/>
  <c r="J37" i="427"/>
  <c r="T37" i="427"/>
  <c r="S37" i="427"/>
  <c r="I37" i="427" s="1"/>
  <c r="F37" i="427"/>
  <c r="S36" i="427"/>
  <c r="I36" i="427" s="1"/>
  <c r="F36" i="427"/>
  <c r="S35" i="427"/>
  <c r="I35" i="427" s="1"/>
  <c r="F35" i="427"/>
  <c r="J34" i="427"/>
  <c r="T34" i="427"/>
  <c r="S34" i="427"/>
  <c r="I34" i="427" s="1"/>
  <c r="F34" i="427"/>
  <c r="S33" i="427"/>
  <c r="I33" i="427" s="1"/>
  <c r="F33" i="427"/>
  <c r="H45" i="427" s="1"/>
  <c r="S32" i="427"/>
  <c r="I32" i="427" s="1"/>
  <c r="F32" i="427"/>
  <c r="H44" i="427" s="1"/>
  <c r="J31" i="427"/>
  <c r="T31" i="427"/>
  <c r="L43" i="427" s="1"/>
  <c r="S31" i="427"/>
  <c r="I31" i="427" s="1"/>
  <c r="F31" i="427"/>
  <c r="S30" i="427"/>
  <c r="I30" i="427" s="1"/>
  <c r="F30" i="427"/>
  <c r="H42" i="427" s="1"/>
  <c r="S29" i="427"/>
  <c r="I29" i="427" s="1"/>
  <c r="F29" i="427"/>
  <c r="J28" i="427"/>
  <c r="T28" i="427"/>
  <c r="S28" i="427"/>
  <c r="F28" i="427"/>
  <c r="S27" i="427"/>
  <c r="F27" i="427"/>
  <c r="S26" i="427"/>
  <c r="F26" i="427"/>
  <c r="J25" i="427"/>
  <c r="T25" i="427"/>
  <c r="S25" i="427"/>
  <c r="F25" i="427"/>
  <c r="S24" i="427"/>
  <c r="F24" i="427"/>
  <c r="S23" i="427"/>
  <c r="F23" i="427"/>
  <c r="J22" i="427"/>
  <c r="T22" i="427"/>
  <c r="S22" i="427"/>
  <c r="F22" i="427"/>
  <c r="S21" i="427"/>
  <c r="F21" i="427"/>
  <c r="S20" i="427"/>
  <c r="F20" i="427"/>
  <c r="J19" i="427"/>
  <c r="T19" i="427"/>
  <c r="S19" i="427"/>
  <c r="F19" i="427"/>
  <c r="S18" i="427"/>
  <c r="F18" i="427"/>
  <c r="S17" i="427"/>
  <c r="F17" i="427"/>
  <c r="J16" i="427"/>
  <c r="T16" i="427"/>
  <c r="S16" i="427"/>
  <c r="F16" i="427"/>
  <c r="S15" i="427"/>
  <c r="F15" i="427"/>
  <c r="S14" i="427"/>
  <c r="F14" i="427"/>
  <c r="I14" i="427" s="1"/>
  <c r="J13" i="427"/>
  <c r="T13" i="427"/>
  <c r="S13" i="427"/>
  <c r="F13" i="427"/>
  <c r="I13" i="427" s="1"/>
  <c r="S12" i="427"/>
  <c r="F12" i="427"/>
  <c r="I12" i="427" s="1"/>
  <c r="S11" i="427"/>
  <c r="F11" i="427"/>
  <c r="I11" i="427" s="1"/>
  <c r="J10" i="427"/>
  <c r="T10" i="427"/>
  <c r="S10" i="427"/>
  <c r="F10" i="427"/>
  <c r="S9" i="427"/>
  <c r="F9" i="427"/>
  <c r="I9" i="427" s="1"/>
  <c r="S8" i="427"/>
  <c r="F8" i="427"/>
  <c r="I8" i="427" s="1"/>
  <c r="J7" i="427"/>
  <c r="T7" i="427"/>
  <c r="S7" i="427"/>
  <c r="F7" i="427"/>
  <c r="I7" i="427" s="1"/>
  <c r="S6" i="427"/>
  <c r="F6" i="427"/>
  <c r="I6" i="427" s="1"/>
  <c r="S5" i="427"/>
  <c r="F5" i="427"/>
  <c r="I5" i="427" s="1"/>
  <c r="L46" i="185" l="1"/>
  <c r="L46" i="388"/>
  <c r="L46" i="170"/>
  <c r="L46" i="152"/>
  <c r="L46" i="300"/>
  <c r="D46" i="149"/>
  <c r="D46" i="142"/>
  <c r="C43" i="170"/>
  <c r="E55" i="170" s="1"/>
  <c r="H53" i="170"/>
  <c r="C43" i="327"/>
  <c r="E55" i="327" s="1"/>
  <c r="H53" i="327"/>
  <c r="B43" i="185"/>
  <c r="H53" i="185"/>
  <c r="B43" i="388"/>
  <c r="H53" i="388"/>
  <c r="B43" i="300"/>
  <c r="H53" i="300"/>
  <c r="C43" i="152"/>
  <c r="E55" i="152" s="1"/>
  <c r="H53" i="152"/>
  <c r="N43" i="149"/>
  <c r="O46" i="149" s="1"/>
  <c r="H27" i="427"/>
  <c r="I27" i="427" s="1"/>
  <c r="I15" i="427"/>
  <c r="H22" i="427"/>
  <c r="I22" i="427" s="1"/>
  <c r="I10" i="427"/>
  <c r="H28" i="427"/>
  <c r="I28" i="427" s="1"/>
  <c r="I16" i="427"/>
  <c r="B43" i="152"/>
  <c r="G42" i="388"/>
  <c r="C43" i="388"/>
  <c r="E55" i="388" s="1"/>
  <c r="G42" i="185"/>
  <c r="G42" i="152"/>
  <c r="B43" i="327"/>
  <c r="G42" i="327"/>
  <c r="C43" i="300"/>
  <c r="E55" i="300" s="1"/>
  <c r="B43" i="170"/>
  <c r="C43" i="185"/>
  <c r="E55" i="185" s="1"/>
  <c r="G42" i="170"/>
  <c r="G42" i="300"/>
  <c r="G32" i="427"/>
  <c r="H43" i="427"/>
  <c r="G26" i="427"/>
  <c r="G20" i="427"/>
  <c r="G28" i="427"/>
  <c r="G22" i="427"/>
  <c r="M31" i="427"/>
  <c r="M10" i="427"/>
  <c r="M13" i="427"/>
  <c r="C34" i="427"/>
  <c r="E46" i="427" s="1"/>
  <c r="M37" i="427"/>
  <c r="M40" i="427"/>
  <c r="N43" i="427" s="1"/>
  <c r="G15" i="427"/>
  <c r="G34" i="427"/>
  <c r="H39" i="427"/>
  <c r="L40" i="427"/>
  <c r="B40" i="427"/>
  <c r="G7" i="427"/>
  <c r="B19" i="427"/>
  <c r="G27" i="427"/>
  <c r="C7" i="427"/>
  <c r="M19" i="427"/>
  <c r="M25" i="427"/>
  <c r="G13" i="427"/>
  <c r="G14" i="427"/>
  <c r="M7" i="427"/>
  <c r="K13" i="427"/>
  <c r="M16" i="427"/>
  <c r="H26" i="427"/>
  <c r="I26" i="427" s="1"/>
  <c r="G11" i="427"/>
  <c r="L22" i="427"/>
  <c r="H24" i="427"/>
  <c r="I24" i="427" s="1"/>
  <c r="M28" i="427"/>
  <c r="L37" i="427"/>
  <c r="H21" i="427"/>
  <c r="I21" i="427" s="1"/>
  <c r="C28" i="427"/>
  <c r="H34" i="427"/>
  <c r="H35" i="427"/>
  <c r="H40" i="427"/>
  <c r="H36" i="427"/>
  <c r="M22" i="427"/>
  <c r="B28" i="427"/>
  <c r="H29" i="427"/>
  <c r="K10" i="427"/>
  <c r="B22" i="427"/>
  <c r="G21" i="427"/>
  <c r="L34" i="427"/>
  <c r="B13" i="427"/>
  <c r="B10" i="427"/>
  <c r="C10" i="427"/>
  <c r="G12" i="427"/>
  <c r="K16" i="427"/>
  <c r="H18" i="427"/>
  <c r="I18" i="427" s="1"/>
  <c r="L19" i="427"/>
  <c r="H20" i="427"/>
  <c r="I20" i="427" s="1"/>
  <c r="H23" i="427"/>
  <c r="I23" i="427" s="1"/>
  <c r="L28" i="427"/>
  <c r="H30" i="427"/>
  <c r="L31" i="427"/>
  <c r="H32" i="427"/>
  <c r="L25" i="427"/>
  <c r="G6" i="427"/>
  <c r="G10" i="427"/>
  <c r="C22" i="427"/>
  <c r="B34" i="427"/>
  <c r="G33" i="427"/>
  <c r="H38" i="427"/>
  <c r="G40" i="427"/>
  <c r="H33" i="427"/>
  <c r="H41" i="427"/>
  <c r="G39" i="427"/>
  <c r="M34" i="427"/>
  <c r="G38" i="427"/>
  <c r="C40" i="427"/>
  <c r="D43" i="427" s="1"/>
  <c r="B31" i="427"/>
  <c r="B7" i="427"/>
  <c r="G9" i="427"/>
  <c r="C13" i="427"/>
  <c r="B16" i="427"/>
  <c r="G16" i="427"/>
  <c r="G17" i="427"/>
  <c r="G18" i="427"/>
  <c r="C19" i="427"/>
  <c r="G19" i="427"/>
  <c r="G23" i="427"/>
  <c r="G24" i="427"/>
  <c r="C25" i="427"/>
  <c r="G25" i="427"/>
  <c r="G29" i="427"/>
  <c r="G30" i="427"/>
  <c r="C31" i="427"/>
  <c r="E43" i="427" s="1"/>
  <c r="G31" i="427"/>
  <c r="G35" i="427"/>
  <c r="G36" i="427"/>
  <c r="C37" i="427"/>
  <c r="G37" i="427"/>
  <c r="G41" i="427"/>
  <c r="K22" i="427"/>
  <c r="B25" i="427"/>
  <c r="B37" i="427"/>
  <c r="K40" i="427"/>
  <c r="G8" i="427"/>
  <c r="C16" i="427"/>
  <c r="H17" i="427"/>
  <c r="I17" i="427" s="1"/>
  <c r="H19" i="427"/>
  <c r="I19" i="427" s="1"/>
  <c r="K19" i="427"/>
  <c r="H25" i="427"/>
  <c r="I25" i="427" s="1"/>
  <c r="K25" i="427"/>
  <c r="H31" i="427"/>
  <c r="K31" i="427"/>
  <c r="H37" i="427"/>
  <c r="K37" i="427"/>
  <c r="K28" i="427"/>
  <c r="K34" i="427"/>
  <c r="D46" i="300" l="1"/>
  <c r="D46" i="185"/>
  <c r="D46" i="170"/>
  <c r="D46" i="152"/>
  <c r="D46" i="327"/>
  <c r="D46" i="388"/>
  <c r="D16" i="427"/>
  <c r="D13" i="427"/>
  <c r="N13" i="427"/>
  <c r="N34" i="427"/>
  <c r="N31" i="427"/>
  <c r="N40" i="427"/>
  <c r="N10" i="427"/>
  <c r="N22" i="427"/>
  <c r="N37" i="427"/>
  <c r="D10" i="427"/>
  <c r="E22" i="427"/>
  <c r="N28" i="427"/>
  <c r="N25" i="427"/>
  <c r="N19" i="427"/>
  <c r="N16" i="427"/>
  <c r="E28" i="427"/>
  <c r="E40" i="427"/>
  <c r="E34" i="427"/>
  <c r="E37" i="427"/>
  <c r="D40" i="427"/>
  <c r="D37" i="427"/>
  <c r="E31" i="427"/>
  <c r="D31" i="427"/>
  <c r="D34" i="427"/>
  <c r="E25" i="427"/>
  <c r="D25" i="427"/>
  <c r="D28" i="427"/>
  <c r="E19" i="427"/>
  <c r="D22" i="427"/>
  <c r="D19" i="427"/>
  <c r="F41" i="414"/>
  <c r="H53" i="414" s="1"/>
  <c r="C43" i="414" l="1"/>
  <c r="E55" i="414" s="1"/>
  <c r="B43" i="414"/>
  <c r="G42" i="414"/>
  <c r="S41" i="186"/>
  <c r="R41" i="186"/>
  <c r="K43" i="186" s="1"/>
  <c r="Q41" i="186"/>
  <c r="F41" i="321"/>
  <c r="H53" i="321" s="1"/>
  <c r="K40" i="385"/>
  <c r="M52" i="385" s="1"/>
  <c r="U40" i="385"/>
  <c r="K37" i="385"/>
  <c r="M49" i="385" s="1"/>
  <c r="U37" i="385"/>
  <c r="K34" i="385"/>
  <c r="M46" i="385" s="1"/>
  <c r="U34" i="385"/>
  <c r="K31" i="385"/>
  <c r="M43" i="385" s="1"/>
  <c r="U31" i="385"/>
  <c r="K28" i="385"/>
  <c r="U28" i="385"/>
  <c r="K25" i="385"/>
  <c r="U25" i="385"/>
  <c r="K22" i="385"/>
  <c r="U22" i="385"/>
  <c r="K19" i="385"/>
  <c r="U19" i="385"/>
  <c r="K16" i="385"/>
  <c r="U16" i="385"/>
  <c r="K13" i="385"/>
  <c r="U13" i="385"/>
  <c r="K10" i="385"/>
  <c r="U10" i="385"/>
  <c r="K7" i="385"/>
  <c r="U7" i="385"/>
  <c r="T41" i="142"/>
  <c r="I41" i="142" s="1"/>
  <c r="J53" i="142" s="1"/>
  <c r="T41" i="425"/>
  <c r="I41" i="425" s="1"/>
  <c r="J53" i="425" s="1"/>
  <c r="T41" i="48"/>
  <c r="I41" i="48" s="1"/>
  <c r="J53" i="48" s="1"/>
  <c r="T41" i="23"/>
  <c r="I41" i="23" s="1"/>
  <c r="J53" i="23" s="1"/>
  <c r="T41" i="52"/>
  <c r="I41" i="52" s="1"/>
  <c r="J53" i="52" s="1"/>
  <c r="T41" i="89"/>
  <c r="I41" i="89" s="1"/>
  <c r="J53" i="89" s="1"/>
  <c r="T41" i="389"/>
  <c r="I41" i="389" s="1"/>
  <c r="J53" i="389" s="1"/>
  <c r="T41" i="88"/>
  <c r="I41" i="88" s="1"/>
  <c r="J53" i="88" s="1"/>
  <c r="T41" i="148"/>
  <c r="I41" i="148" s="1"/>
  <c r="J53" i="148" s="1"/>
  <c r="T41" i="409"/>
  <c r="I41" i="409" s="1"/>
  <c r="J53" i="409" s="1"/>
  <c r="T41" i="20"/>
  <c r="I41" i="20" s="1"/>
  <c r="J53" i="20" s="1"/>
  <c r="T41" i="422"/>
  <c r="I41" i="422" s="1"/>
  <c r="J53" i="422" s="1"/>
  <c r="T41" i="43"/>
  <c r="I41" i="43" s="1"/>
  <c r="J53" i="43" s="1"/>
  <c r="T41" i="424"/>
  <c r="I41" i="424" s="1"/>
  <c r="J53" i="424" s="1"/>
  <c r="T41" i="75"/>
  <c r="I41" i="75" s="1"/>
  <c r="J53" i="75" s="1"/>
  <c r="S41" i="253"/>
  <c r="R41" i="253"/>
  <c r="K43" i="253" s="1"/>
  <c r="Q41" i="253"/>
  <c r="T41" i="28"/>
  <c r="I41" i="28" s="1"/>
  <c r="J53" i="28" s="1"/>
  <c r="T41" i="29"/>
  <c r="I41" i="29" s="1"/>
  <c r="J53" i="29" s="1"/>
  <c r="T41" i="359"/>
  <c r="I41" i="359" s="1"/>
  <c r="J53" i="359" s="1"/>
  <c r="T41" i="360"/>
  <c r="I41" i="360" s="1"/>
  <c r="J53" i="360" s="1"/>
  <c r="T41" i="391"/>
  <c r="I41" i="391" s="1"/>
  <c r="J53" i="391" s="1"/>
  <c r="T41" i="368"/>
  <c r="I41" i="368" s="1"/>
  <c r="J53" i="368" s="1"/>
  <c r="T41" i="364"/>
  <c r="I41" i="364" s="1"/>
  <c r="J53" i="364" s="1"/>
  <c r="T41" i="420"/>
  <c r="I41" i="420" s="1"/>
  <c r="J53" i="420" s="1"/>
  <c r="T41" i="392"/>
  <c r="I41" i="392" s="1"/>
  <c r="J53" i="392" s="1"/>
  <c r="T41" i="8"/>
  <c r="I41" i="8" s="1"/>
  <c r="J53" i="8" s="1"/>
  <c r="T41" i="203"/>
  <c r="I41" i="203" s="1"/>
  <c r="J53" i="203" s="1"/>
  <c r="L41" i="415"/>
  <c r="T41" i="191"/>
  <c r="I41" i="191" s="1"/>
  <c r="J53" i="191" s="1"/>
  <c r="I41" i="296"/>
  <c r="J53" i="296" s="1"/>
  <c r="S41" i="426"/>
  <c r="T41" i="361"/>
  <c r="I41" i="361" s="1"/>
  <c r="J53" i="361" s="1"/>
  <c r="N43" i="351"/>
  <c r="O46" i="351" s="1"/>
  <c r="T41" i="352"/>
  <c r="I41" i="352" s="1"/>
  <c r="J53" i="352" s="1"/>
  <c r="T41" i="353"/>
  <c r="I41" i="353" s="1"/>
  <c r="J53" i="353" s="1"/>
  <c r="T41" i="362"/>
  <c r="I41" i="362" s="1"/>
  <c r="J53" i="362" s="1"/>
  <c r="T41" i="354"/>
  <c r="I41" i="354" s="1"/>
  <c r="J53" i="354" s="1"/>
  <c r="T41" i="322"/>
  <c r="I41" i="322" s="1"/>
  <c r="J53" i="322" s="1"/>
  <c r="T41" i="233"/>
  <c r="I41" i="233" s="1"/>
  <c r="J53" i="233" s="1"/>
  <c r="T41" i="2"/>
  <c r="I41" i="2" s="1"/>
  <c r="J53" i="2" s="1"/>
  <c r="T41" i="12"/>
  <c r="I41" i="12" s="1"/>
  <c r="J53" i="12" s="1"/>
  <c r="T41" i="356"/>
  <c r="I41" i="356" s="1"/>
  <c r="J53" i="356" s="1"/>
  <c r="T41" i="164"/>
  <c r="I41" i="164" s="1"/>
  <c r="J53" i="164" s="1"/>
  <c r="T41" i="162"/>
  <c r="I41" i="162" s="1"/>
  <c r="J53" i="162" s="1"/>
  <c r="T41" i="413"/>
  <c r="I41" i="413" s="1"/>
  <c r="J53" i="413" s="1"/>
  <c r="T41" i="421"/>
  <c r="I41" i="421" s="1"/>
  <c r="J53" i="421" s="1"/>
  <c r="T41" i="5"/>
  <c r="I41" i="5" s="1"/>
  <c r="J53" i="5" s="1"/>
  <c r="T41" i="207"/>
  <c r="I41" i="207" s="1"/>
  <c r="J53" i="207" s="1"/>
  <c r="T41" i="333"/>
  <c r="I41" i="333" s="1"/>
  <c r="J53" i="333" s="1"/>
  <c r="T41" i="53"/>
  <c r="I41" i="53" s="1"/>
  <c r="J53" i="53" s="1"/>
  <c r="T41" i="386"/>
  <c r="I41" i="386" s="1"/>
  <c r="J53" i="386" s="1"/>
  <c r="T41" i="387"/>
  <c r="I41" i="387" s="1"/>
  <c r="J53" i="387" s="1"/>
  <c r="T41" i="303"/>
  <c r="I41" i="303" s="1"/>
  <c r="J53" i="303" s="1"/>
  <c r="S41" i="395"/>
  <c r="R41" i="395"/>
  <c r="K43" i="395" s="1"/>
  <c r="Q41" i="395"/>
  <c r="U43" i="395" s="1"/>
  <c r="T41" i="394"/>
  <c r="I41" i="394" s="1"/>
  <c r="J53" i="394" s="1"/>
  <c r="T41" i="393"/>
  <c r="I41" i="393" s="1"/>
  <c r="J53" i="393" s="1"/>
  <c r="T41" i="114"/>
  <c r="I41" i="114" s="1"/>
  <c r="J53" i="114" s="1"/>
  <c r="T41" i="323"/>
  <c r="I41" i="323" s="1"/>
  <c r="J53" i="323" s="1"/>
  <c r="T41" i="400"/>
  <c r="I41" i="400" s="1"/>
  <c r="J53" i="400" s="1"/>
  <c r="T41" i="404"/>
  <c r="I41" i="404" s="1"/>
  <c r="T41" i="402"/>
  <c r="I41" i="402" s="1"/>
  <c r="T41" i="403"/>
  <c r="I41" i="403" s="1"/>
  <c r="S41" i="408"/>
  <c r="T41" i="385"/>
  <c r="I41" i="385" s="1"/>
  <c r="J53" i="385" s="1"/>
  <c r="T41" i="334"/>
  <c r="I41" i="334" s="1"/>
  <c r="J53" i="334" s="1"/>
  <c r="T41" i="3"/>
  <c r="I41" i="3" s="1"/>
  <c r="J53" i="3" s="1"/>
  <c r="T41" i="349"/>
  <c r="I41" i="349" s="1"/>
  <c r="J53" i="349" s="1"/>
  <c r="T41" i="4"/>
  <c r="I41" i="4" s="1"/>
  <c r="J53" i="4" s="1"/>
  <c r="T41" i="15"/>
  <c r="I41" i="15" s="1"/>
  <c r="J53" i="15" s="1"/>
  <c r="T41" i="355"/>
  <c r="I41" i="355" s="1"/>
  <c r="J53" i="355" s="1"/>
  <c r="S41" i="300"/>
  <c r="T41" i="300" s="1"/>
  <c r="I41" i="300" s="1"/>
  <c r="J53" i="300" s="1"/>
  <c r="T41" i="299"/>
  <c r="I41" i="299" s="1"/>
  <c r="J53" i="299" s="1"/>
  <c r="T41" i="190"/>
  <c r="I41" i="190" s="1"/>
  <c r="J53" i="190" s="1"/>
  <c r="T41" i="16"/>
  <c r="I41" i="16" s="1"/>
  <c r="J53" i="16" s="1"/>
  <c r="T41" i="17"/>
  <c r="I41" i="17" s="1"/>
  <c r="J53" i="17" s="1"/>
  <c r="T41" i="54"/>
  <c r="I41" i="54" s="1"/>
  <c r="J53" i="54" s="1"/>
  <c r="I41" i="384"/>
  <c r="J53" i="384" s="1"/>
  <c r="T41" i="201"/>
  <c r="I41" i="201" s="1"/>
  <c r="J53" i="201" s="1"/>
  <c r="T41" i="249"/>
  <c r="I41" i="249" s="1"/>
  <c r="J53" i="249" s="1"/>
  <c r="T41" i="21"/>
  <c r="I41" i="21" s="1"/>
  <c r="J53" i="21" s="1"/>
  <c r="K43" i="371"/>
  <c r="T41" i="7"/>
  <c r="I41" i="7" s="1"/>
  <c r="J53" i="7" s="1"/>
  <c r="T41" i="423"/>
  <c r="I41" i="423" s="1"/>
  <c r="J53" i="423" s="1"/>
  <c r="T41" i="13"/>
  <c r="I41" i="13" s="1"/>
  <c r="J53" i="13" s="1"/>
  <c r="T41" i="261"/>
  <c r="I41" i="261" s="1"/>
  <c r="J53" i="261" s="1"/>
  <c r="T41" i="153"/>
  <c r="I41" i="153" s="1"/>
  <c r="J53" i="153" s="1"/>
  <c r="T41" i="257"/>
  <c r="I41" i="257" s="1"/>
  <c r="J53" i="257" s="1"/>
  <c r="T41" i="19"/>
  <c r="I41" i="19" s="1"/>
  <c r="J53" i="19" s="1"/>
  <c r="T41" i="347"/>
  <c r="I41" i="347" s="1"/>
  <c r="J53" i="347" s="1"/>
  <c r="T41" i="37"/>
  <c r="I41" i="37" s="1"/>
  <c r="J53" i="37" s="1"/>
  <c r="T41" i="367"/>
  <c r="I41" i="367" s="1"/>
  <c r="J53" i="367" s="1"/>
  <c r="L41" i="369"/>
  <c r="T41" i="204"/>
  <c r="I41" i="204" s="1"/>
  <c r="J53" i="204" s="1"/>
  <c r="T41" i="363"/>
  <c r="I41" i="363" s="1"/>
  <c r="T41" i="31"/>
  <c r="I41" i="31" s="1"/>
  <c r="J53" i="31" s="1"/>
  <c r="T41" i="298"/>
  <c r="I41" i="298" s="1"/>
  <c r="J53" i="298" s="1"/>
  <c r="T41" i="168"/>
  <c r="I41" i="168" s="1"/>
  <c r="J53" i="168" s="1"/>
  <c r="T41" i="169"/>
  <c r="I41" i="169" s="1"/>
  <c r="J53" i="169" s="1"/>
  <c r="T41" i="336"/>
  <c r="I41" i="336" s="1"/>
  <c r="J53" i="336" s="1"/>
  <c r="T41" i="342"/>
  <c r="I41" i="342" s="1"/>
  <c r="J53" i="342" s="1"/>
  <c r="T41" i="33"/>
  <c r="I41" i="33" s="1"/>
  <c r="J53" i="33" s="1"/>
  <c r="T41" i="319"/>
  <c r="I41" i="319" s="1"/>
  <c r="J53" i="319" s="1"/>
  <c r="T41" i="320"/>
  <c r="I41" i="320" s="1"/>
  <c r="J53" i="320" s="1"/>
  <c r="L41" i="343"/>
  <c r="T41" i="318"/>
  <c r="I41" i="318" s="1"/>
  <c r="J53" i="318" s="1"/>
  <c r="T41" i="288"/>
  <c r="I41" i="288" s="1"/>
  <c r="J53" i="288" s="1"/>
  <c r="T41" i="337"/>
  <c r="I41" i="337" s="1"/>
  <c r="J53" i="337" s="1"/>
  <c r="T41" i="227"/>
  <c r="I41" i="227" s="1"/>
  <c r="J53" i="227" s="1"/>
  <c r="S41" i="388"/>
  <c r="T41" i="290"/>
  <c r="I41" i="290" s="1"/>
  <c r="J53" i="290" s="1"/>
  <c r="T41" i="289"/>
  <c r="I41" i="289" s="1"/>
  <c r="J53" i="289" s="1"/>
  <c r="S41" i="357"/>
  <c r="T41" i="293"/>
  <c r="I41" i="293" s="1"/>
  <c r="J53" i="293" s="1"/>
  <c r="T41" i="348"/>
  <c r="I41" i="348" s="1"/>
  <c r="J53" i="348" s="1"/>
  <c r="K43" i="195"/>
  <c r="T41" i="194"/>
  <c r="I41" i="194" s="1"/>
  <c r="J53" i="194" s="1"/>
  <c r="T41" i="193"/>
  <c r="I41" i="193" s="1"/>
  <c r="J53" i="193" s="1"/>
  <c r="T41" i="297"/>
  <c r="I41" i="297" s="1"/>
  <c r="J53" i="297" s="1"/>
  <c r="T41" i="350"/>
  <c r="I41" i="350" s="1"/>
  <c r="J53" i="350" s="1"/>
  <c r="T41" i="105"/>
  <c r="I41" i="105" s="1"/>
  <c r="J53" i="105" s="1"/>
  <c r="T41" i="294"/>
  <c r="I41" i="294" s="1"/>
  <c r="J53" i="294" s="1"/>
  <c r="S41" i="365"/>
  <c r="S41" i="366"/>
  <c r="T41" i="206"/>
  <c r="I41" i="206" s="1"/>
  <c r="J53" i="206" s="1"/>
  <c r="T41" i="22"/>
  <c r="I41" i="22" s="1"/>
  <c r="J53" i="22" s="1"/>
  <c r="T41" i="301"/>
  <c r="I41" i="301" s="1"/>
  <c r="J53" i="301" s="1"/>
  <c r="T41" i="344"/>
  <c r="I41" i="344" s="1"/>
  <c r="J53" i="344" s="1"/>
  <c r="T41" i="61"/>
  <c r="I41" i="61" s="1"/>
  <c r="J53" i="61" s="1"/>
  <c r="T41" i="338"/>
  <c r="I41" i="338" s="1"/>
  <c r="J53" i="338" s="1"/>
  <c r="T41" i="340"/>
  <c r="I41" i="340" s="1"/>
  <c r="J53" i="340" s="1"/>
  <c r="T41" i="34"/>
  <c r="I41" i="34" s="1"/>
  <c r="J53" i="34" s="1"/>
  <c r="T41" i="174"/>
  <c r="I41" i="174" s="1"/>
  <c r="J53" i="174" s="1"/>
  <c r="I41" i="187"/>
  <c r="J53" i="187" s="1"/>
  <c r="T41" i="135"/>
  <c r="I41" i="135" s="1"/>
  <c r="J53" i="135" s="1"/>
  <c r="T41" i="295"/>
  <c r="I41" i="295" s="1"/>
  <c r="J53" i="295" s="1"/>
  <c r="T41" i="283"/>
  <c r="I41" i="283" s="1"/>
  <c r="J53" i="283" s="1"/>
  <c r="T41" i="284"/>
  <c r="I41" i="284" s="1"/>
  <c r="J53" i="284" s="1"/>
  <c r="T41" i="292"/>
  <c r="I41" i="292" s="1"/>
  <c r="J53" i="292" s="1"/>
  <c r="T41" i="339"/>
  <c r="T41" i="325"/>
  <c r="I41" i="325" s="1"/>
  <c r="J53" i="325" s="1"/>
  <c r="T41" i="269"/>
  <c r="I41" i="269" s="1"/>
  <c r="J53" i="269" s="1"/>
  <c r="T41" i="11"/>
  <c r="I41" i="11" s="1"/>
  <c r="J53" i="11" s="1"/>
  <c r="S41" i="279"/>
  <c r="S41" i="335"/>
  <c r="T41" i="101"/>
  <c r="I41" i="101" s="1"/>
  <c r="J53" i="101" s="1"/>
  <c r="T41" i="382"/>
  <c r="I41" i="382" s="1"/>
  <c r="J53" i="382" s="1"/>
  <c r="T41" i="102"/>
  <c r="I41" i="102" s="1"/>
  <c r="J53" i="102" s="1"/>
  <c r="T41" i="103"/>
  <c r="I41" i="103" s="1"/>
  <c r="J53" i="103" s="1"/>
  <c r="T41" i="411"/>
  <c r="I41" i="411" s="1"/>
  <c r="J53" i="411" s="1"/>
  <c r="T41" i="265"/>
  <c r="I41" i="265" s="1"/>
  <c r="J53" i="265" s="1"/>
  <c r="T41" i="262"/>
  <c r="I41" i="262" s="1"/>
  <c r="J53" i="262" s="1"/>
  <c r="T41" i="112"/>
  <c r="I41" i="112" s="1"/>
  <c r="J53" i="112" s="1"/>
  <c r="T41" i="109"/>
  <c r="I41" i="109" s="1"/>
  <c r="J53" i="109" s="1"/>
  <c r="T41" i="85"/>
  <c r="I41" i="85" s="1"/>
  <c r="J53" i="85" s="1"/>
  <c r="T41" i="324"/>
  <c r="I41" i="324" s="1"/>
  <c r="J53" i="324" s="1"/>
  <c r="T41" i="32"/>
  <c r="I41" i="32" s="1"/>
  <c r="J53" i="32" s="1"/>
  <c r="T41" i="196"/>
  <c r="I41" i="196" s="1"/>
  <c r="J53" i="196" s="1"/>
  <c r="T41" i="198"/>
  <c r="I41" i="198" s="1"/>
  <c r="J53" i="198" s="1"/>
  <c r="T41" i="345"/>
  <c r="I41" i="345" s="1"/>
  <c r="J53" i="345" s="1"/>
  <c r="T41" i="346"/>
  <c r="I41" i="346" s="1"/>
  <c r="J53" i="346" s="1"/>
  <c r="T41" i="74"/>
  <c r="I41" i="74" s="1"/>
  <c r="J53" i="74" s="1"/>
  <c r="T41" i="200"/>
  <c r="I41" i="200" s="1"/>
  <c r="J53" i="200" s="1"/>
  <c r="T41" i="280"/>
  <c r="I41" i="280" s="1"/>
  <c r="J53" i="280" s="1"/>
  <c r="T41" i="97"/>
  <c r="I41" i="97" s="1"/>
  <c r="J53" i="97" s="1"/>
  <c r="T41" i="383"/>
  <c r="I41" i="383" s="1"/>
  <c r="J53" i="383" s="1"/>
  <c r="T41" i="45"/>
  <c r="I41" i="45" s="1"/>
  <c r="J53" i="45" s="1"/>
  <c r="T41" i="104"/>
  <c r="I41" i="104" s="1"/>
  <c r="J53" i="104" s="1"/>
  <c r="T41" i="254"/>
  <c r="I41" i="254" s="1"/>
  <c r="J53" i="254" s="1"/>
  <c r="T41" i="181"/>
  <c r="I41" i="181" s="1"/>
  <c r="J53" i="181" s="1"/>
  <c r="T41" i="183"/>
  <c r="I41" i="183" s="1"/>
  <c r="J53" i="183" s="1"/>
  <c r="T41" i="184"/>
  <c r="I41" i="184" s="1"/>
  <c r="J53" i="184" s="1"/>
  <c r="S41" i="144"/>
  <c r="R41" i="144"/>
  <c r="K43" i="144" s="1"/>
  <c r="Q41" i="144"/>
  <c r="T41" i="27"/>
  <c r="I41" i="27" s="1"/>
  <c r="J53" i="27" s="1"/>
  <c r="T41" i="143"/>
  <c r="I41" i="143" s="1"/>
  <c r="J53" i="143" s="1"/>
  <c r="T41" i="268"/>
  <c r="I41" i="268" s="1"/>
  <c r="T41" i="263"/>
  <c r="I41" i="263" s="1"/>
  <c r="J53" i="263" s="1"/>
  <c r="T41" i="209"/>
  <c r="I41" i="209" s="1"/>
  <c r="J53" i="209" s="1"/>
  <c r="T41" i="192"/>
  <c r="I41" i="192" s="1"/>
  <c r="J53" i="192" s="1"/>
  <c r="T41" i="140"/>
  <c r="I41" i="140" s="1"/>
  <c r="J53" i="140" s="1"/>
  <c r="T41" i="270"/>
  <c r="I41" i="270" s="1"/>
  <c r="J53" i="270" s="1"/>
  <c r="T41" i="271"/>
  <c r="I41" i="271" s="1"/>
  <c r="J53" i="271" s="1"/>
  <c r="T41" i="159"/>
  <c r="I41" i="159" s="1"/>
  <c r="J53" i="159" s="1"/>
  <c r="T41" i="160"/>
  <c r="I41" i="160" s="1"/>
  <c r="J53" i="160" s="1"/>
  <c r="T41" i="107"/>
  <c r="I41" i="107" s="1"/>
  <c r="J53" i="107" s="1"/>
  <c r="T41" i="176"/>
  <c r="I41" i="176" s="1"/>
  <c r="J53" i="176" s="1"/>
  <c r="T41" i="281"/>
  <c r="I41" i="281" s="1"/>
  <c r="J53" i="281" s="1"/>
  <c r="T41" i="332"/>
  <c r="I41" i="332" s="1"/>
  <c r="J53" i="332" s="1"/>
  <c r="T41" i="25"/>
  <c r="I41" i="25" s="1"/>
  <c r="J53" i="25" s="1"/>
  <c r="T41" i="24"/>
  <c r="I41" i="24" s="1"/>
  <c r="J53" i="24" s="1"/>
  <c r="T41" i="116"/>
  <c r="I41" i="116" s="1"/>
  <c r="J53" i="116" s="1"/>
  <c r="T41" i="285"/>
  <c r="I41" i="285" s="1"/>
  <c r="J53" i="285" s="1"/>
  <c r="T41" i="272"/>
  <c r="I41" i="272" s="1"/>
  <c r="J53" i="272" s="1"/>
  <c r="S41" i="44"/>
  <c r="T41" i="87"/>
  <c r="I41" i="87" s="1"/>
  <c r="J53" i="87" s="1"/>
  <c r="T41" i="287"/>
  <c r="I41" i="287" s="1"/>
  <c r="J53" i="287" s="1"/>
  <c r="T41" i="276"/>
  <c r="I41" i="276" s="1"/>
  <c r="J53" i="276" s="1"/>
  <c r="S41" i="231"/>
  <c r="R41" i="231"/>
  <c r="Q41" i="231"/>
  <c r="T41" i="229"/>
  <c r="I41" i="229" s="1"/>
  <c r="J53" i="229" s="1"/>
  <c r="T41" i="328"/>
  <c r="I41" i="328" s="1"/>
  <c r="J53" i="328" s="1"/>
  <c r="T41" i="329"/>
  <c r="I41" i="329" s="1"/>
  <c r="J53" i="329" s="1"/>
  <c r="T41" i="326"/>
  <c r="I41" i="326" s="1"/>
  <c r="J53" i="326" s="1"/>
  <c r="T41" i="47"/>
  <c r="I41" i="47" s="1"/>
  <c r="J53" i="47" s="1"/>
  <c r="T41" i="248"/>
  <c r="I41" i="248" s="1"/>
  <c r="J53" i="248" s="1"/>
  <c r="T41" i="46"/>
  <c r="I41" i="46" s="1"/>
  <c r="J53" i="46" s="1"/>
  <c r="T41" i="239"/>
  <c r="I41" i="239" s="1"/>
  <c r="J53" i="239" s="1"/>
  <c r="T41" i="243"/>
  <c r="I41" i="243" s="1"/>
  <c r="J53" i="243" s="1"/>
  <c r="S41" i="247"/>
  <c r="R41" i="247"/>
  <c r="K43" i="247" s="1"/>
  <c r="Q41" i="247"/>
  <c r="T41" i="244"/>
  <c r="I41" i="244" s="1"/>
  <c r="J53" i="244" s="1"/>
  <c r="T41" i="246"/>
  <c r="I41" i="246" s="1"/>
  <c r="J53" i="246" s="1"/>
  <c r="S41" i="398"/>
  <c r="R41" i="398"/>
  <c r="K43" i="398" s="1"/>
  <c r="Q41" i="398"/>
  <c r="T41" i="1"/>
  <c r="I41" i="1" s="1"/>
  <c r="J53" i="1" s="1"/>
  <c r="T41" i="397"/>
  <c r="I41" i="397" s="1"/>
  <c r="J53" i="397" s="1"/>
  <c r="T41" i="9"/>
  <c r="I41" i="9" s="1"/>
  <c r="J53" i="9" s="1"/>
  <c r="T41" i="202"/>
  <c r="I41" i="202" s="1"/>
  <c r="J53" i="202" s="1"/>
  <c r="M55" i="195" l="1"/>
  <c r="M55" i="253"/>
  <c r="M55" i="247"/>
  <c r="M55" i="186"/>
  <c r="M55" i="371"/>
  <c r="M55" i="144"/>
  <c r="M55" i="395"/>
  <c r="M55" i="398"/>
  <c r="L46" i="395"/>
  <c r="D46" i="414"/>
  <c r="L43" i="385"/>
  <c r="N43" i="339"/>
  <c r="O46" i="339" s="1"/>
  <c r="I41" i="339"/>
  <c r="J53" i="339" s="1"/>
  <c r="N43" i="391"/>
  <c r="N43" i="244"/>
  <c r="O46" i="244" s="1"/>
  <c r="N43" i="287"/>
  <c r="O46" i="287" s="1"/>
  <c r="N43" i="160"/>
  <c r="O46" i="160" s="1"/>
  <c r="N43" i="140"/>
  <c r="O46" i="140" s="1"/>
  <c r="N43" i="181"/>
  <c r="O46" i="181" s="1"/>
  <c r="N43" i="198"/>
  <c r="O46" i="198" s="1"/>
  <c r="N43" i="102"/>
  <c r="O46" i="102" s="1"/>
  <c r="N43" i="295"/>
  <c r="O46" i="295" s="1"/>
  <c r="M43" i="366"/>
  <c r="N46" i="366" s="1"/>
  <c r="I41" i="366"/>
  <c r="N43" i="350"/>
  <c r="O46" i="350" s="1"/>
  <c r="N43" i="168"/>
  <c r="O46" i="168" s="1"/>
  <c r="N43" i="347"/>
  <c r="O46" i="347" s="1"/>
  <c r="N43" i="190"/>
  <c r="O46" i="190" s="1"/>
  <c r="N43" i="114"/>
  <c r="O46" i="114" s="1"/>
  <c r="N43" i="8"/>
  <c r="O46" i="8" s="1"/>
  <c r="N43" i="148"/>
  <c r="O46" i="148" s="1"/>
  <c r="N43" i="52"/>
  <c r="O46" i="52" s="1"/>
  <c r="N43" i="142"/>
  <c r="O46" i="142" s="1"/>
  <c r="N43" i="239"/>
  <c r="O46" i="239" s="1"/>
  <c r="N43" i="326"/>
  <c r="O46" i="326" s="1"/>
  <c r="N43" i="328"/>
  <c r="O46" i="328" s="1"/>
  <c r="N43" i="87"/>
  <c r="O46" i="87" s="1"/>
  <c r="N43" i="116"/>
  <c r="O46" i="116" s="1"/>
  <c r="N43" i="281"/>
  <c r="O46" i="281" s="1"/>
  <c r="N43" i="159"/>
  <c r="O46" i="159" s="1"/>
  <c r="N43" i="192"/>
  <c r="O46" i="192" s="1"/>
  <c r="N43" i="143"/>
  <c r="O46" i="143" s="1"/>
  <c r="N43" i="383"/>
  <c r="O46" i="383" s="1"/>
  <c r="N43" i="74"/>
  <c r="O46" i="74" s="1"/>
  <c r="N43" i="197"/>
  <c r="O46" i="197" s="1"/>
  <c r="N43" i="85"/>
  <c r="O46" i="85" s="1"/>
  <c r="N43" i="265"/>
  <c r="O46" i="265" s="1"/>
  <c r="N43" i="382"/>
  <c r="O46" i="382" s="1"/>
  <c r="N43" i="11"/>
  <c r="O46" i="11" s="1"/>
  <c r="N43" i="292"/>
  <c r="O46" i="292" s="1"/>
  <c r="N43" i="135"/>
  <c r="O46" i="135" s="1"/>
  <c r="N43" i="340"/>
  <c r="O46" i="340" s="1"/>
  <c r="N43" i="301"/>
  <c r="O46" i="301" s="1"/>
  <c r="M43" i="365"/>
  <c r="N46" i="365" s="1"/>
  <c r="I41" i="365"/>
  <c r="N43" i="297"/>
  <c r="O46" i="297" s="1"/>
  <c r="M43" i="357"/>
  <c r="N46" i="357" s="1"/>
  <c r="I41" i="357"/>
  <c r="N43" i="227"/>
  <c r="O46" i="227" s="1"/>
  <c r="N43" i="342"/>
  <c r="O46" i="342" s="1"/>
  <c r="N43" i="298"/>
  <c r="O46" i="298" s="1"/>
  <c r="N43" i="19"/>
  <c r="O46" i="19" s="1"/>
  <c r="N43" i="13"/>
  <c r="O46" i="13" s="1"/>
  <c r="N43" i="21"/>
  <c r="O46" i="21" s="1"/>
  <c r="N43" i="54"/>
  <c r="O46" i="54" s="1"/>
  <c r="N43" i="299"/>
  <c r="O46" i="299" s="1"/>
  <c r="N43" i="4"/>
  <c r="O46" i="4" s="1"/>
  <c r="N43" i="385"/>
  <c r="O46" i="385" s="1"/>
  <c r="N43" i="404"/>
  <c r="O46" i="404" s="1"/>
  <c r="N43" i="393"/>
  <c r="O46" i="393" s="1"/>
  <c r="N43" i="386"/>
  <c r="O46" i="386" s="1"/>
  <c r="N43" i="207"/>
  <c r="O46" i="207" s="1"/>
  <c r="N43" i="162"/>
  <c r="O46" i="162" s="1"/>
  <c r="N43" i="2"/>
  <c r="O46" i="2" s="1"/>
  <c r="N43" i="362"/>
  <c r="O46" i="362" s="1"/>
  <c r="N43" i="361"/>
  <c r="O46" i="361" s="1"/>
  <c r="N43" i="191"/>
  <c r="O46" i="191" s="1"/>
  <c r="N43" i="392"/>
  <c r="O46" i="392" s="1"/>
  <c r="N43" i="28"/>
  <c r="O46" i="28" s="1"/>
  <c r="N43" i="75"/>
  <c r="O46" i="75" s="1"/>
  <c r="N43" i="20"/>
  <c r="O46" i="20" s="1"/>
  <c r="N43" i="88"/>
  <c r="O46" i="88" s="1"/>
  <c r="N43" i="47"/>
  <c r="O46" i="47" s="1"/>
  <c r="N43" i="285"/>
  <c r="O46" i="285" s="1"/>
  <c r="N43" i="268"/>
  <c r="O46" i="268" s="1"/>
  <c r="N43" i="200"/>
  <c r="O46" i="200" s="1"/>
  <c r="N43" i="262"/>
  <c r="O46" i="262" s="1"/>
  <c r="N43" i="344"/>
  <c r="O46" i="344" s="1"/>
  <c r="N43" i="293"/>
  <c r="O46" i="293" s="1"/>
  <c r="N43" i="33"/>
  <c r="O46" i="33" s="1"/>
  <c r="N43" i="261"/>
  <c r="O46" i="261" s="1"/>
  <c r="N43" i="15"/>
  <c r="O46" i="15" s="1"/>
  <c r="N43" i="402"/>
  <c r="O46" i="402" s="1"/>
  <c r="N43" i="413"/>
  <c r="O46" i="413" s="1"/>
  <c r="N43" i="354"/>
  <c r="O46" i="354" s="1"/>
  <c r="N43" i="29"/>
  <c r="O46" i="29" s="1"/>
  <c r="N43" i="397"/>
  <c r="O46" i="397" s="1"/>
  <c r="N43" i="46"/>
  <c r="O46" i="46" s="1"/>
  <c r="N43" i="230"/>
  <c r="O46" i="230" s="1"/>
  <c r="M43" i="44"/>
  <c r="N46" i="44" s="1"/>
  <c r="I41" i="44"/>
  <c r="N43" i="24"/>
  <c r="O46" i="24" s="1"/>
  <c r="N43" i="176"/>
  <c r="O46" i="176" s="1"/>
  <c r="N43" i="271"/>
  <c r="O46" i="271" s="1"/>
  <c r="N43" i="209"/>
  <c r="O46" i="209" s="1"/>
  <c r="N43" i="27"/>
  <c r="O46" i="27" s="1"/>
  <c r="N43" i="184"/>
  <c r="O46" i="184" s="1"/>
  <c r="N43" i="254"/>
  <c r="O46" i="254" s="1"/>
  <c r="N43" i="97"/>
  <c r="O46" i="97" s="1"/>
  <c r="N43" i="346"/>
  <c r="O46" i="346" s="1"/>
  <c r="N43" i="196"/>
  <c r="O46" i="196" s="1"/>
  <c r="N43" i="109"/>
  <c r="O46" i="109" s="1"/>
  <c r="N43" i="411"/>
  <c r="O46" i="411" s="1"/>
  <c r="N43" i="101"/>
  <c r="O46" i="101" s="1"/>
  <c r="N43" i="269"/>
  <c r="O46" i="269" s="1"/>
  <c r="N43" i="284"/>
  <c r="O46" i="284" s="1"/>
  <c r="N43" i="338"/>
  <c r="O46" i="338" s="1"/>
  <c r="N43" i="22"/>
  <c r="O46" i="22" s="1"/>
  <c r="N43" i="294"/>
  <c r="O46" i="294" s="1"/>
  <c r="N43" i="193"/>
  <c r="O46" i="193" s="1"/>
  <c r="N43" i="289"/>
  <c r="O46" i="289" s="1"/>
  <c r="N43" i="337"/>
  <c r="O46" i="337" s="1"/>
  <c r="N43" i="320"/>
  <c r="O46" i="320" s="1"/>
  <c r="N43" i="336"/>
  <c r="O46" i="336" s="1"/>
  <c r="N43" i="31"/>
  <c r="O46" i="31" s="1"/>
  <c r="N43" i="367"/>
  <c r="O46" i="367" s="1"/>
  <c r="N43" i="257"/>
  <c r="O46" i="257" s="1"/>
  <c r="N43" i="423"/>
  <c r="O46" i="423" s="1"/>
  <c r="N43" i="249"/>
  <c r="O46" i="249" s="1"/>
  <c r="N43" i="17"/>
  <c r="O46" i="17" s="1"/>
  <c r="N43" i="300"/>
  <c r="O46" i="300" s="1"/>
  <c r="N43" i="349"/>
  <c r="O46" i="349" s="1"/>
  <c r="M43" i="408"/>
  <c r="N46" i="408" s="1"/>
  <c r="I41" i="408"/>
  <c r="N43" i="400"/>
  <c r="O46" i="400" s="1"/>
  <c r="N43" i="394"/>
  <c r="O46" i="394" s="1"/>
  <c r="N43" i="303"/>
  <c r="O46" i="303" s="1"/>
  <c r="N43" i="5"/>
  <c r="O46" i="5" s="1"/>
  <c r="N43" i="164"/>
  <c r="O46" i="164" s="1"/>
  <c r="N43" i="233"/>
  <c r="O46" i="233" s="1"/>
  <c r="N43" i="113"/>
  <c r="O46" i="113" s="1"/>
  <c r="N43" i="420"/>
  <c r="O46" i="420" s="1"/>
  <c r="N43" i="360"/>
  <c r="O46" i="360" s="1"/>
  <c r="N43" i="424"/>
  <c r="O46" i="424" s="1"/>
  <c r="N43" i="18"/>
  <c r="O46" i="18" s="1"/>
  <c r="N43" i="389"/>
  <c r="O46" i="389" s="1"/>
  <c r="N43" i="48"/>
  <c r="O46" i="48" s="1"/>
  <c r="N43" i="202"/>
  <c r="O46" i="202" s="1"/>
  <c r="N43" i="243"/>
  <c r="O46" i="243" s="1"/>
  <c r="N43" i="332"/>
  <c r="O46" i="332" s="1"/>
  <c r="N43" i="45"/>
  <c r="O46" i="45" s="1"/>
  <c r="N43" i="324"/>
  <c r="O46" i="324" s="1"/>
  <c r="M43" i="279"/>
  <c r="N46" i="279" s="1"/>
  <c r="I41" i="279"/>
  <c r="N43" i="34"/>
  <c r="O46" i="34" s="1"/>
  <c r="N43" i="318"/>
  <c r="O46" i="318" s="1"/>
  <c r="N43" i="204"/>
  <c r="O46" i="204" s="1"/>
  <c r="N43" i="384"/>
  <c r="O46" i="384" s="1"/>
  <c r="N43" i="334"/>
  <c r="O46" i="334" s="1"/>
  <c r="N43" i="333"/>
  <c r="O46" i="333" s="1"/>
  <c r="N43" i="12"/>
  <c r="O46" i="12" s="1"/>
  <c r="N43" i="368"/>
  <c r="O46" i="368" s="1"/>
  <c r="N43" i="422"/>
  <c r="O46" i="422" s="1"/>
  <c r="N43" i="9"/>
  <c r="O46" i="9" s="1"/>
  <c r="N43" i="1"/>
  <c r="O46" i="1" s="1"/>
  <c r="N43" i="246"/>
  <c r="O46" i="246" s="1"/>
  <c r="N43" i="248"/>
  <c r="O46" i="248" s="1"/>
  <c r="N43" i="329"/>
  <c r="O46" i="329" s="1"/>
  <c r="N43" i="229"/>
  <c r="O46" i="229" s="1"/>
  <c r="N43" i="276"/>
  <c r="O46" i="276" s="1"/>
  <c r="N43" i="272"/>
  <c r="O46" i="272" s="1"/>
  <c r="N43" i="25"/>
  <c r="O46" i="25" s="1"/>
  <c r="N43" i="107"/>
  <c r="O46" i="107" s="1"/>
  <c r="N43" i="270"/>
  <c r="O46" i="270" s="1"/>
  <c r="N43" i="263"/>
  <c r="O46" i="263" s="1"/>
  <c r="N43" i="183"/>
  <c r="O46" i="183" s="1"/>
  <c r="N43" i="104"/>
  <c r="O46" i="104" s="1"/>
  <c r="N43" i="280"/>
  <c r="O46" i="280" s="1"/>
  <c r="N43" i="345"/>
  <c r="O46" i="345" s="1"/>
  <c r="N43" i="32"/>
  <c r="O46" i="32" s="1"/>
  <c r="N43" i="112"/>
  <c r="O46" i="112" s="1"/>
  <c r="N43" i="103"/>
  <c r="O46" i="103" s="1"/>
  <c r="M43" i="335"/>
  <c r="N46" i="335" s="1"/>
  <c r="I41" i="335"/>
  <c r="N43" i="325"/>
  <c r="O46" i="325" s="1"/>
  <c r="N43" i="283"/>
  <c r="O46" i="283" s="1"/>
  <c r="N43" i="174"/>
  <c r="O46" i="174" s="1"/>
  <c r="N43" i="61"/>
  <c r="O46" i="61" s="1"/>
  <c r="N43" i="206"/>
  <c r="O46" i="206" s="1"/>
  <c r="N43" i="105"/>
  <c r="O46" i="105" s="1"/>
  <c r="N43" i="194"/>
  <c r="O46" i="194" s="1"/>
  <c r="N43" i="348"/>
  <c r="O46" i="348" s="1"/>
  <c r="N43" i="290"/>
  <c r="O46" i="290" s="1"/>
  <c r="N43" i="288"/>
  <c r="O46" i="288" s="1"/>
  <c r="N43" i="319"/>
  <c r="O46" i="319" s="1"/>
  <c r="N43" i="169"/>
  <c r="O46" i="169" s="1"/>
  <c r="N43" i="363"/>
  <c r="O46" i="363" s="1"/>
  <c r="N43" i="37"/>
  <c r="O46" i="37" s="1"/>
  <c r="N43" i="153"/>
  <c r="O46" i="153" s="1"/>
  <c r="N43" i="7"/>
  <c r="O46" i="7" s="1"/>
  <c r="N43" i="201"/>
  <c r="O46" i="201" s="1"/>
  <c r="N43" i="16"/>
  <c r="O46" i="16" s="1"/>
  <c r="N43" i="355"/>
  <c r="O46" i="355" s="1"/>
  <c r="N43" i="3"/>
  <c r="O46" i="3" s="1"/>
  <c r="N43" i="403"/>
  <c r="O46" i="403" s="1"/>
  <c r="N43" i="323"/>
  <c r="O46" i="323" s="1"/>
  <c r="N43" i="53"/>
  <c r="O46" i="53" s="1"/>
  <c r="N43" i="421"/>
  <c r="O46" i="421" s="1"/>
  <c r="N43" i="322"/>
  <c r="O46" i="322" s="1"/>
  <c r="N43" i="352"/>
  <c r="O46" i="352" s="1"/>
  <c r="M43" i="426"/>
  <c r="N46" i="426" s="1"/>
  <c r="I41" i="426"/>
  <c r="N43" i="203"/>
  <c r="O46" i="203" s="1"/>
  <c r="N43" i="364"/>
  <c r="O46" i="364" s="1"/>
  <c r="N43" i="359"/>
  <c r="O46" i="359" s="1"/>
  <c r="N43" i="43"/>
  <c r="O46" i="43" s="1"/>
  <c r="N43" i="409"/>
  <c r="O46" i="409" s="1"/>
  <c r="N43" i="89"/>
  <c r="O46" i="89" s="1"/>
  <c r="N43" i="425"/>
  <c r="O46" i="425" s="1"/>
  <c r="N43" i="23"/>
  <c r="O46" i="23" s="1"/>
  <c r="N43" i="356"/>
  <c r="O46" i="356" s="1"/>
  <c r="N43" i="314"/>
  <c r="O46" i="314" s="1"/>
  <c r="N43" i="387"/>
  <c r="O46" i="387" s="1"/>
  <c r="F41" i="247"/>
  <c r="U43" i="247"/>
  <c r="F41" i="195"/>
  <c r="U43" i="195"/>
  <c r="F41" i="144"/>
  <c r="U43" i="144"/>
  <c r="F41" i="371"/>
  <c r="U43" i="371"/>
  <c r="F41" i="253"/>
  <c r="U43" i="253"/>
  <c r="F41" i="186"/>
  <c r="U43" i="186"/>
  <c r="F41" i="398"/>
  <c r="U43" i="398"/>
  <c r="F41" i="231"/>
  <c r="K43" i="231"/>
  <c r="F41" i="395"/>
  <c r="G42" i="321"/>
  <c r="B43" i="321"/>
  <c r="C43" i="321"/>
  <c r="E55" i="321" s="1"/>
  <c r="M28" i="385"/>
  <c r="T41" i="185"/>
  <c r="I41" i="185" s="1"/>
  <c r="J53" i="185" s="1"/>
  <c r="L13" i="385"/>
  <c r="M34" i="385"/>
  <c r="L16" i="385"/>
  <c r="M40" i="385"/>
  <c r="T41" i="231"/>
  <c r="I41" i="231" s="1"/>
  <c r="J53" i="231" s="1"/>
  <c r="T41" i="195"/>
  <c r="I41" i="195" s="1"/>
  <c r="J53" i="195" s="1"/>
  <c r="M19" i="385"/>
  <c r="M37" i="385"/>
  <c r="L10" i="385"/>
  <c r="M31" i="385"/>
  <c r="T41" i="170"/>
  <c r="I41" i="170" s="1"/>
  <c r="J53" i="170" s="1"/>
  <c r="M25" i="385"/>
  <c r="M22" i="385"/>
  <c r="L22" i="385"/>
  <c r="L28" i="385"/>
  <c r="L34" i="385"/>
  <c r="L40" i="385"/>
  <c r="L19" i="385"/>
  <c r="L25" i="385"/>
  <c r="L31" i="385"/>
  <c r="L37" i="385"/>
  <c r="T41" i="327"/>
  <c r="I41" i="327" s="1"/>
  <c r="J53" i="327" s="1"/>
  <c r="T41" i="144"/>
  <c r="I41" i="144" s="1"/>
  <c r="J53" i="144" s="1"/>
  <c r="T41" i="388"/>
  <c r="I41" i="388" s="1"/>
  <c r="J53" i="388" s="1"/>
  <c r="T41" i="398"/>
  <c r="I41" i="398" s="1"/>
  <c r="J53" i="398" s="1"/>
  <c r="T41" i="247"/>
  <c r="I41" i="247" s="1"/>
  <c r="J53" i="247" s="1"/>
  <c r="T41" i="186"/>
  <c r="I41" i="186" s="1"/>
  <c r="J53" i="186" s="1"/>
  <c r="T41" i="253"/>
  <c r="I41" i="253" s="1"/>
  <c r="J53" i="253" s="1"/>
  <c r="T41" i="371"/>
  <c r="I41" i="371" s="1"/>
  <c r="J53" i="371" s="1"/>
  <c r="T41" i="152"/>
  <c r="I41" i="152" s="1"/>
  <c r="J53" i="152" s="1"/>
  <c r="T41" i="395"/>
  <c r="I41" i="395" s="1"/>
  <c r="J53" i="395" s="1"/>
  <c r="T41" i="321"/>
  <c r="I41" i="321" s="1"/>
  <c r="J53" i="321" s="1"/>
  <c r="D228" i="417"/>
  <c r="D229" i="417"/>
  <c r="D230" i="417"/>
  <c r="F228" i="417"/>
  <c r="F229" i="417"/>
  <c r="F230" i="417"/>
  <c r="M55" i="231" l="1"/>
  <c r="L46" i="253"/>
  <c r="L46" i="195"/>
  <c r="L46" i="371"/>
  <c r="L46" i="144"/>
  <c r="L46" i="398"/>
  <c r="L46" i="247"/>
  <c r="L46" i="186"/>
  <c r="D46" i="321"/>
  <c r="C43" i="398"/>
  <c r="E55" i="398" s="1"/>
  <c r="H53" i="398"/>
  <c r="C43" i="247"/>
  <c r="E55" i="247" s="1"/>
  <c r="H53" i="247"/>
  <c r="B43" i="186"/>
  <c r="H53" i="186"/>
  <c r="C43" i="253"/>
  <c r="E55" i="253" s="1"/>
  <c r="H53" i="253"/>
  <c r="G42" i="371"/>
  <c r="H53" i="371"/>
  <c r="B43" i="395"/>
  <c r="H53" i="395"/>
  <c r="B43" i="144"/>
  <c r="H53" i="144"/>
  <c r="C43" i="231"/>
  <c r="E55" i="231" s="1"/>
  <c r="H53" i="231"/>
  <c r="C43" i="195"/>
  <c r="E55" i="195" s="1"/>
  <c r="H53" i="195"/>
  <c r="O46" i="391"/>
  <c r="G42" i="253"/>
  <c r="N43" i="395"/>
  <c r="O46" i="395" s="1"/>
  <c r="N43" i="247"/>
  <c r="O46" i="247" s="1"/>
  <c r="N43" i="195"/>
  <c r="O46" i="195" s="1"/>
  <c r="N43" i="186"/>
  <c r="O46" i="186" s="1"/>
  <c r="N43" i="170"/>
  <c r="O46" i="170" s="1"/>
  <c r="N43" i="152"/>
  <c r="O46" i="152" s="1"/>
  <c r="N43" i="327"/>
  <c r="O46" i="327" s="1"/>
  <c r="N43" i="371"/>
  <c r="O46" i="371" s="1"/>
  <c r="N43" i="398"/>
  <c r="O46" i="398" s="1"/>
  <c r="N43" i="231"/>
  <c r="O46" i="231" s="1"/>
  <c r="N43" i="144"/>
  <c r="O46" i="144" s="1"/>
  <c r="N43" i="321"/>
  <c r="O46" i="321" s="1"/>
  <c r="N43" i="253"/>
  <c r="O46" i="253" s="1"/>
  <c r="N43" i="388"/>
  <c r="O46" i="388" s="1"/>
  <c r="N43" i="185"/>
  <c r="O46" i="185" s="1"/>
  <c r="B43" i="253"/>
  <c r="B43" i="398"/>
  <c r="G42" i="398"/>
  <c r="G42" i="247"/>
  <c r="B43" i="247"/>
  <c r="C43" i="144"/>
  <c r="E55" i="144" s="1"/>
  <c r="G42" i="144"/>
  <c r="G42" i="195"/>
  <c r="B43" i="231"/>
  <c r="G42" i="231"/>
  <c r="B43" i="195"/>
  <c r="G42" i="186"/>
  <c r="B43" i="371"/>
  <c r="C43" i="186"/>
  <c r="E55" i="186" s="1"/>
  <c r="C43" i="371"/>
  <c r="E55" i="371" s="1"/>
  <c r="C43" i="395"/>
  <c r="E55" i="395" s="1"/>
  <c r="G42" i="395"/>
  <c r="R40" i="247"/>
  <c r="Q40" i="247"/>
  <c r="D46" i="253" l="1"/>
  <c r="D46" i="144"/>
  <c r="D46" i="195"/>
  <c r="D46" i="395"/>
  <c r="D46" i="247"/>
  <c r="D46" i="231"/>
  <c r="D46" i="371"/>
  <c r="D46" i="186"/>
  <c r="D46" i="398"/>
  <c r="S40" i="395"/>
  <c r="R40" i="395"/>
  <c r="Q40" i="395"/>
  <c r="R40" i="414"/>
  <c r="Q40" i="414"/>
  <c r="U40" i="391"/>
  <c r="M52" i="391" s="1"/>
  <c r="U40" i="202"/>
  <c r="S40" i="253"/>
  <c r="R40" i="253"/>
  <c r="Q40" i="253"/>
  <c r="S40" i="142"/>
  <c r="R40" i="142"/>
  <c r="Q40" i="142"/>
  <c r="F40" i="425" l="1"/>
  <c r="F40" i="48"/>
  <c r="F40" i="23"/>
  <c r="F40" i="52"/>
  <c r="F40" i="389"/>
  <c r="F40" i="89"/>
  <c r="F40" i="409"/>
  <c r="F40" i="18"/>
  <c r="F40" i="20"/>
  <c r="F40" i="422"/>
  <c r="F40" i="43"/>
  <c r="F40" i="424"/>
  <c r="F40" i="75"/>
  <c r="F40" i="88"/>
  <c r="F40" i="148"/>
  <c r="F40" i="28"/>
  <c r="F40" i="29"/>
  <c r="F40" i="359"/>
  <c r="F40" i="360"/>
  <c r="F40" i="35"/>
  <c r="H52" i="35" s="1"/>
  <c r="F40" i="202"/>
  <c r="F40" i="391"/>
  <c r="F40" i="368"/>
  <c r="F40" i="364"/>
  <c r="F40" i="420"/>
  <c r="F40" i="392"/>
  <c r="F40" i="8"/>
  <c r="F40" i="203"/>
  <c r="E40" i="415"/>
  <c r="F41" i="415" s="1"/>
  <c r="F40" i="191"/>
  <c r="F40" i="296"/>
  <c r="F40" i="426"/>
  <c r="G41" i="426" s="1"/>
  <c r="F40" i="113"/>
  <c r="F40" i="361"/>
  <c r="F40" i="351"/>
  <c r="F40" i="352"/>
  <c r="F40" i="353"/>
  <c r="H52" i="353" s="1"/>
  <c r="F40" i="362"/>
  <c r="F40" i="354"/>
  <c r="F40" i="322"/>
  <c r="F40" i="233"/>
  <c r="F40" i="2"/>
  <c r="F40" i="12"/>
  <c r="F40" i="356"/>
  <c r="F40" i="164"/>
  <c r="F40" i="162"/>
  <c r="F40" i="413"/>
  <c r="F40" i="421"/>
  <c r="F40" i="5"/>
  <c r="F40" i="207"/>
  <c r="F40" i="333"/>
  <c r="F40" i="53"/>
  <c r="F40" i="386"/>
  <c r="F40" i="387"/>
  <c r="F40" i="314"/>
  <c r="F40" i="303"/>
  <c r="F40" i="394"/>
  <c r="F40" i="393"/>
  <c r="F40" i="400"/>
  <c r="F40" i="402"/>
  <c r="G41" i="402" s="1"/>
  <c r="F40" i="403"/>
  <c r="G41" i="403" s="1"/>
  <c r="F40" i="408"/>
  <c r="G41" i="408" s="1"/>
  <c r="F40" i="114"/>
  <c r="F40" i="323"/>
  <c r="F40" i="385"/>
  <c r="F40" i="334"/>
  <c r="F40" i="3"/>
  <c r="F40" i="349"/>
  <c r="F40" i="4"/>
  <c r="F40" i="15"/>
  <c r="F40" i="355"/>
  <c r="F40" i="299"/>
  <c r="F40" i="190"/>
  <c r="F40" i="16"/>
  <c r="F40" i="17"/>
  <c r="F40" i="54"/>
  <c r="F40" i="384"/>
  <c r="F40" i="201"/>
  <c r="F40" i="249"/>
  <c r="F40" i="21"/>
  <c r="F40" i="7"/>
  <c r="F40" i="423"/>
  <c r="F40" i="13"/>
  <c r="F40" i="261"/>
  <c r="F40" i="153"/>
  <c r="F40" i="257"/>
  <c r="F40" i="19"/>
  <c r="F40" i="347"/>
  <c r="F40" i="37"/>
  <c r="F40" i="367"/>
  <c r="E40" i="369"/>
  <c r="F41" i="369" s="1"/>
  <c r="F40" i="204"/>
  <c r="F40" i="363"/>
  <c r="G41" i="363" s="1"/>
  <c r="F40" i="31"/>
  <c r="F40" i="298"/>
  <c r="F40" i="168"/>
  <c r="F40" i="169"/>
  <c r="F40" i="336"/>
  <c r="F40" i="342"/>
  <c r="F40" i="33"/>
  <c r="F40" i="319"/>
  <c r="F40" i="320"/>
  <c r="E40" i="343"/>
  <c r="F41" i="343" s="1"/>
  <c r="F40" i="318"/>
  <c r="F40" i="288"/>
  <c r="F40" i="337"/>
  <c r="F40" i="227"/>
  <c r="F40" i="290"/>
  <c r="F40" i="289"/>
  <c r="F40" i="357"/>
  <c r="G41" i="357" s="1"/>
  <c r="F40" i="293"/>
  <c r="F40" i="348"/>
  <c r="F40" i="194"/>
  <c r="F40" i="193"/>
  <c r="F40" i="297"/>
  <c r="F40" i="350"/>
  <c r="F40" i="105"/>
  <c r="F40" i="294"/>
  <c r="F40" i="365"/>
  <c r="G41" i="365" s="1"/>
  <c r="F40" i="366"/>
  <c r="G41" i="366" s="1"/>
  <c r="F40" i="206"/>
  <c r="F40" i="22"/>
  <c r="F40" i="301"/>
  <c r="F40" i="344"/>
  <c r="F40" i="61"/>
  <c r="F40" i="338"/>
  <c r="F40" i="340"/>
  <c r="F40" i="34"/>
  <c r="F40" i="174"/>
  <c r="F40" i="187"/>
  <c r="F40" i="135"/>
  <c r="F40" i="295"/>
  <c r="F40" i="283"/>
  <c r="F40" i="284"/>
  <c r="F40" i="292"/>
  <c r="F40" i="339"/>
  <c r="F40" i="325"/>
  <c r="F40" i="269"/>
  <c r="F40" i="11"/>
  <c r="F40" i="279"/>
  <c r="G41" i="279" s="1"/>
  <c r="F40" i="335"/>
  <c r="G41" i="335" s="1"/>
  <c r="F40" i="101"/>
  <c r="F40" i="382"/>
  <c r="F40" i="102"/>
  <c r="F40" i="103"/>
  <c r="F40" i="411"/>
  <c r="F40" i="265"/>
  <c r="F40" i="262"/>
  <c r="F40" i="112"/>
  <c r="F40" i="109"/>
  <c r="F40" i="85"/>
  <c r="F40" i="324"/>
  <c r="F40" i="32"/>
  <c r="F40" i="196"/>
  <c r="F40" i="197"/>
  <c r="F40" i="198"/>
  <c r="F40" i="345"/>
  <c r="F40" i="346"/>
  <c r="F40" i="74"/>
  <c r="F40" i="200"/>
  <c r="F40" i="280"/>
  <c r="F40" i="97"/>
  <c r="F40" i="383"/>
  <c r="F40" i="45"/>
  <c r="F40" i="104"/>
  <c r="F40" i="254"/>
  <c r="F40" i="181"/>
  <c r="F40" i="183"/>
  <c r="F40" i="184"/>
  <c r="F40" i="27"/>
  <c r="F40" i="143"/>
  <c r="F40" i="268"/>
  <c r="G41" i="268" s="1"/>
  <c r="F40" i="263"/>
  <c r="F40" i="209"/>
  <c r="F40" i="192"/>
  <c r="F40" i="140"/>
  <c r="F40" i="270"/>
  <c r="F40" i="271"/>
  <c r="F40" i="159"/>
  <c r="F40" i="160"/>
  <c r="F40" i="107"/>
  <c r="F40" i="176"/>
  <c r="F40" i="281"/>
  <c r="F40" i="332"/>
  <c r="F40" i="25"/>
  <c r="F40" i="24"/>
  <c r="F40" i="116"/>
  <c r="F40" i="285"/>
  <c r="F40" i="272"/>
  <c r="F40" i="44"/>
  <c r="G41" i="44" s="1"/>
  <c r="F40" i="87"/>
  <c r="F40" i="287"/>
  <c r="F40" i="276"/>
  <c r="F40" i="229"/>
  <c r="F40" i="230"/>
  <c r="F40" i="328"/>
  <c r="F40" i="329"/>
  <c r="F40" i="326"/>
  <c r="F40" i="47"/>
  <c r="F40" i="248"/>
  <c r="F40" i="46"/>
  <c r="F40" i="239"/>
  <c r="F40" i="243"/>
  <c r="F40" i="244"/>
  <c r="F40" i="246"/>
  <c r="F40" i="1"/>
  <c r="F40" i="397"/>
  <c r="F40" i="9"/>
  <c r="G41" i="196" l="1"/>
  <c r="H52" i="196"/>
  <c r="G41" i="294"/>
  <c r="H52" i="294"/>
  <c r="G41" i="393"/>
  <c r="H52" i="393"/>
  <c r="G41" i="272"/>
  <c r="H52" i="272"/>
  <c r="G41" i="202"/>
  <c r="H52" i="202"/>
  <c r="G41" i="230"/>
  <c r="H52" i="230"/>
  <c r="G41" i="74"/>
  <c r="H52" i="74"/>
  <c r="G41" i="301"/>
  <c r="H52" i="301"/>
  <c r="G41" i="244"/>
  <c r="H52" i="244"/>
  <c r="G41" i="287"/>
  <c r="H52" i="287"/>
  <c r="G41" i="160"/>
  <c r="H52" i="160"/>
  <c r="G41" i="183"/>
  <c r="H52" i="183"/>
  <c r="G41" i="198"/>
  <c r="H52" i="198"/>
  <c r="G41" i="102"/>
  <c r="H52" i="102"/>
  <c r="G41" i="295"/>
  <c r="H52" i="295"/>
  <c r="G41" i="290"/>
  <c r="H52" i="290"/>
  <c r="G41" i="168"/>
  <c r="H52" i="168"/>
  <c r="G41" i="261"/>
  <c r="H52" i="261"/>
  <c r="G41" i="299"/>
  <c r="H52" i="299"/>
  <c r="G41" i="421"/>
  <c r="H52" i="421"/>
  <c r="G41" i="352"/>
  <c r="H52" i="352"/>
  <c r="G41" i="364"/>
  <c r="H52" i="364"/>
  <c r="G41" i="424"/>
  <c r="H52" i="424"/>
  <c r="G41" i="181"/>
  <c r="H52" i="181"/>
  <c r="G41" i="197"/>
  <c r="H52" i="197"/>
  <c r="G41" i="382"/>
  <c r="H52" i="382"/>
  <c r="G41" i="135"/>
  <c r="H52" i="135"/>
  <c r="G41" i="227"/>
  <c r="H52" i="227"/>
  <c r="G41" i="298"/>
  <c r="H52" i="298"/>
  <c r="G41" i="13"/>
  <c r="H52" i="13"/>
  <c r="G41" i="355"/>
  <c r="H52" i="355"/>
  <c r="G41" i="400"/>
  <c r="H52" i="400"/>
  <c r="G41" i="413"/>
  <c r="H52" i="413"/>
  <c r="G41" i="351"/>
  <c r="H52" i="351"/>
  <c r="G41" i="368"/>
  <c r="H52" i="368"/>
  <c r="G41" i="43"/>
  <c r="H52" i="43"/>
  <c r="G41" i="422"/>
  <c r="H52" i="422"/>
  <c r="G41" i="20"/>
  <c r="H52" i="20"/>
  <c r="G41" i="18"/>
  <c r="H52" i="18"/>
  <c r="G41" i="254"/>
  <c r="H52" i="254"/>
  <c r="G41" i="361"/>
  <c r="H52" i="361"/>
  <c r="G41" i="46"/>
  <c r="H52" i="46"/>
  <c r="G41" i="104"/>
  <c r="H52" i="104"/>
  <c r="G41" i="105"/>
  <c r="H52" i="105"/>
  <c r="G41" i="394"/>
  <c r="H52" i="394"/>
  <c r="G41" i="140"/>
  <c r="H52" i="140"/>
  <c r="G41" i="34"/>
  <c r="H52" i="34"/>
  <c r="G41" i="318"/>
  <c r="H52" i="318"/>
  <c r="G41" i="21"/>
  <c r="H52" i="21"/>
  <c r="G41" i="47"/>
  <c r="H52" i="47"/>
  <c r="G41" i="116"/>
  <c r="H52" i="116"/>
  <c r="G41" i="192"/>
  <c r="H52" i="192"/>
  <c r="G41" i="383"/>
  <c r="H52" i="383"/>
  <c r="G41" i="85"/>
  <c r="H52" i="85"/>
  <c r="G41" i="11"/>
  <c r="H52" i="11"/>
  <c r="G41" i="340"/>
  <c r="H52" i="340"/>
  <c r="G41" i="297"/>
  <c r="H52" i="297"/>
  <c r="G41" i="249"/>
  <c r="H52" i="249"/>
  <c r="G41" i="3"/>
  <c r="H52" i="3"/>
  <c r="G41" i="314"/>
  <c r="H52" i="314"/>
  <c r="G41" i="12"/>
  <c r="H52" i="12"/>
  <c r="G41" i="296"/>
  <c r="H52" i="296"/>
  <c r="G41" i="360"/>
  <c r="H52" i="360"/>
  <c r="G41" i="409"/>
  <c r="H52" i="409"/>
  <c r="G41" i="2"/>
  <c r="H52" i="2"/>
  <c r="G41" i="191"/>
  <c r="H52" i="191"/>
  <c r="G41" i="359"/>
  <c r="H52" i="359"/>
  <c r="G41" i="89"/>
  <c r="H52" i="89"/>
  <c r="G41" i="87"/>
  <c r="H52" i="87"/>
  <c r="G41" i="159"/>
  <c r="H52" i="159"/>
  <c r="G41" i="271"/>
  <c r="H52" i="271"/>
  <c r="G41" i="101"/>
  <c r="H52" i="101"/>
  <c r="G41" i="31"/>
  <c r="H52" i="31"/>
  <c r="G41" i="162"/>
  <c r="H52" i="162"/>
  <c r="G41" i="7"/>
  <c r="H52" i="7"/>
  <c r="G41" i="4"/>
  <c r="H52" i="4"/>
  <c r="G41" i="350"/>
  <c r="H52" i="350"/>
  <c r="G41" i="204"/>
  <c r="H52" i="204"/>
  <c r="G41" i="303"/>
  <c r="H52" i="303"/>
  <c r="G41" i="356"/>
  <c r="H52" i="356"/>
  <c r="G41" i="326"/>
  <c r="H52" i="326"/>
  <c r="G41" i="24"/>
  <c r="H52" i="24"/>
  <c r="G41" i="209"/>
  <c r="H52" i="209"/>
  <c r="G41" i="97"/>
  <c r="H52" i="97"/>
  <c r="G41" i="109"/>
  <c r="H52" i="109"/>
  <c r="G41" i="269"/>
  <c r="H52" i="269"/>
  <c r="G41" i="338"/>
  <c r="H52" i="338"/>
  <c r="G41" i="193"/>
  <c r="H52" i="193"/>
  <c r="G41" i="320"/>
  <c r="H52" i="320"/>
  <c r="G41" i="367"/>
  <c r="H52" i="367"/>
  <c r="G41" i="201"/>
  <c r="H52" i="201"/>
  <c r="G41" i="334"/>
  <c r="H52" i="334"/>
  <c r="G41" i="329"/>
  <c r="H52" i="329"/>
  <c r="G41" i="25"/>
  <c r="H52" i="25"/>
  <c r="G41" i="263"/>
  <c r="H52" i="263"/>
  <c r="G41" i="280"/>
  <c r="H52" i="280"/>
  <c r="G41" i="112"/>
  <c r="H52" i="112"/>
  <c r="G41" i="325"/>
  <c r="H52" i="325"/>
  <c r="G41" i="61"/>
  <c r="H52" i="61"/>
  <c r="G41" i="194"/>
  <c r="H52" i="194"/>
  <c r="G41" i="319"/>
  <c r="H52" i="319"/>
  <c r="G41" i="37"/>
  <c r="H52" i="37"/>
  <c r="G41" i="384"/>
  <c r="H52" i="384"/>
  <c r="G41" i="385"/>
  <c r="H52" i="385"/>
  <c r="G41" i="386"/>
  <c r="H52" i="386"/>
  <c r="G41" i="233"/>
  <c r="H52" i="233"/>
  <c r="G41" i="29"/>
  <c r="H52" i="29"/>
  <c r="G41" i="389"/>
  <c r="H52" i="389"/>
  <c r="G41" i="288"/>
  <c r="H52" i="288"/>
  <c r="G41" i="164"/>
  <c r="H52" i="164"/>
  <c r="G41" i="285"/>
  <c r="H52" i="285"/>
  <c r="G41" i="324"/>
  <c r="H52" i="324"/>
  <c r="G41" i="349"/>
  <c r="H52" i="349"/>
  <c r="G41" i="9"/>
  <c r="H52" i="9"/>
  <c r="G41" i="328"/>
  <c r="H52" i="328"/>
  <c r="G41" i="332"/>
  <c r="H52" i="332"/>
  <c r="G41" i="200"/>
  <c r="H52" i="200"/>
  <c r="G41" i="262"/>
  <c r="H52" i="262"/>
  <c r="G41" i="339"/>
  <c r="H52" i="339"/>
  <c r="G41" i="344"/>
  <c r="H52" i="344"/>
  <c r="G41" i="348"/>
  <c r="H52" i="348"/>
  <c r="G41" i="33"/>
  <c r="H52" i="33"/>
  <c r="G41" i="347"/>
  <c r="H52" i="347"/>
  <c r="G41" i="54"/>
  <c r="H52" i="54"/>
  <c r="G41" i="323"/>
  <c r="H52" i="323"/>
  <c r="G41" i="53"/>
  <c r="H52" i="53"/>
  <c r="G41" i="322"/>
  <c r="H52" i="322"/>
  <c r="G41" i="203"/>
  <c r="H52" i="203"/>
  <c r="G41" i="28"/>
  <c r="H52" i="28"/>
  <c r="G41" i="52"/>
  <c r="H52" i="52"/>
  <c r="G41" i="23"/>
  <c r="H52" i="23"/>
  <c r="G41" i="243"/>
  <c r="H52" i="243"/>
  <c r="G41" i="239"/>
  <c r="H52" i="239"/>
  <c r="G41" i="187"/>
  <c r="H52" i="187"/>
  <c r="G41" i="337"/>
  <c r="H52" i="337"/>
  <c r="G41" i="423"/>
  <c r="H52" i="423"/>
  <c r="G41" i="15"/>
  <c r="H52" i="15"/>
  <c r="G41" i="391"/>
  <c r="H52" i="391"/>
  <c r="G41" i="270"/>
  <c r="H52" i="270"/>
  <c r="G41" i="32"/>
  <c r="H52" i="32"/>
  <c r="G41" i="174"/>
  <c r="H52" i="174"/>
  <c r="G41" i="113"/>
  <c r="H52" i="113"/>
  <c r="G41" i="248"/>
  <c r="H52" i="248"/>
  <c r="G41" i="45"/>
  <c r="H52" i="45"/>
  <c r="G41" i="397"/>
  <c r="H52" i="397"/>
  <c r="G41" i="281"/>
  <c r="H52" i="281"/>
  <c r="G41" i="143"/>
  <c r="H52" i="143"/>
  <c r="G41" i="265"/>
  <c r="H52" i="265"/>
  <c r="G41" i="292"/>
  <c r="H52" i="292"/>
  <c r="G41" i="293"/>
  <c r="H52" i="293"/>
  <c r="G41" i="342"/>
  <c r="H52" i="342"/>
  <c r="G41" i="19"/>
  <c r="H52" i="19"/>
  <c r="G41" i="17"/>
  <c r="H52" i="17"/>
  <c r="G41" i="114"/>
  <c r="H52" i="114"/>
  <c r="G41" i="333"/>
  <c r="H52" i="333"/>
  <c r="G41" i="354"/>
  <c r="H52" i="354"/>
  <c r="G41" i="8"/>
  <c r="H52" i="8"/>
  <c r="G41" i="148"/>
  <c r="H52" i="148"/>
  <c r="G41" i="1"/>
  <c r="H52" i="1"/>
  <c r="G41" i="229"/>
  <c r="H52" i="229"/>
  <c r="G41" i="176"/>
  <c r="H52" i="176"/>
  <c r="G41" i="27"/>
  <c r="H52" i="27"/>
  <c r="G41" i="346"/>
  <c r="H52" i="346"/>
  <c r="G41" i="411"/>
  <c r="H52" i="411"/>
  <c r="G41" i="284"/>
  <c r="H52" i="284"/>
  <c r="G41" i="22"/>
  <c r="H52" i="22"/>
  <c r="G41" i="336"/>
  <c r="H52" i="336"/>
  <c r="G41" i="257"/>
  <c r="H52" i="257"/>
  <c r="G41" i="207"/>
  <c r="H52" i="207"/>
  <c r="G41" i="392"/>
  <c r="H52" i="392"/>
  <c r="G41" i="88"/>
  <c r="H52" i="88"/>
  <c r="G41" i="48"/>
  <c r="H52" i="48"/>
  <c r="G41" i="16"/>
  <c r="H52" i="16"/>
  <c r="G41" i="362"/>
  <c r="H52" i="362"/>
  <c r="G41" i="246"/>
  <c r="H52" i="246"/>
  <c r="G41" i="276"/>
  <c r="H52" i="276"/>
  <c r="G41" i="107"/>
  <c r="H52" i="107"/>
  <c r="G41" i="184"/>
  <c r="H52" i="184"/>
  <c r="G41" i="345"/>
  <c r="H52" i="345"/>
  <c r="G41" i="103"/>
  <c r="H52" i="103"/>
  <c r="G41" i="283"/>
  <c r="H52" i="283"/>
  <c r="G41" i="206"/>
  <c r="H52" i="206"/>
  <c r="G41" i="289"/>
  <c r="H52" i="289"/>
  <c r="G41" i="169"/>
  <c r="H52" i="169"/>
  <c r="G41" i="153"/>
  <c r="H52" i="153"/>
  <c r="G41" i="190"/>
  <c r="H52" i="190"/>
  <c r="G41" i="5"/>
  <c r="H52" i="5"/>
  <c r="G41" i="420"/>
  <c r="H52" i="420"/>
  <c r="G41" i="75"/>
  <c r="H52" i="75"/>
  <c r="G41" i="425"/>
  <c r="H52" i="425"/>
  <c r="G41" i="387"/>
  <c r="H52" i="387"/>
  <c r="G41" i="35"/>
  <c r="H230" i="417"/>
  <c r="J40" i="426"/>
  <c r="T40" i="426"/>
  <c r="K43" i="426" s="1"/>
  <c r="S40" i="426"/>
  <c r="I40" i="426" s="1"/>
  <c r="S39" i="426"/>
  <c r="I39" i="426" s="1"/>
  <c r="F39" i="426"/>
  <c r="S38" i="426"/>
  <c r="I38" i="426" s="1"/>
  <c r="F38" i="426"/>
  <c r="J37" i="426"/>
  <c r="T37" i="426"/>
  <c r="S37" i="426"/>
  <c r="I37" i="426" s="1"/>
  <c r="F37" i="426"/>
  <c r="S36" i="426"/>
  <c r="I36" i="426" s="1"/>
  <c r="F36" i="426"/>
  <c r="S35" i="426"/>
  <c r="I35" i="426" s="1"/>
  <c r="F35" i="426"/>
  <c r="J34" i="426"/>
  <c r="T34" i="426"/>
  <c r="L46" i="426" s="1"/>
  <c r="S34" i="426"/>
  <c r="I34" i="426" s="1"/>
  <c r="F34" i="426"/>
  <c r="H46" i="426" s="1"/>
  <c r="S33" i="426"/>
  <c r="I33" i="426" s="1"/>
  <c r="F33" i="426"/>
  <c r="H45" i="426" s="1"/>
  <c r="S32" i="426"/>
  <c r="I32" i="426" s="1"/>
  <c r="F32" i="426"/>
  <c r="H44" i="426" s="1"/>
  <c r="J31" i="426"/>
  <c r="T31" i="426"/>
  <c r="L43" i="426" s="1"/>
  <c r="S31" i="426"/>
  <c r="I31" i="426" s="1"/>
  <c r="F31" i="426"/>
  <c r="H43" i="426" s="1"/>
  <c r="S30" i="426"/>
  <c r="I30" i="426" s="1"/>
  <c r="F30" i="426"/>
  <c r="H42" i="426" s="1"/>
  <c r="S29" i="426"/>
  <c r="I29" i="426" s="1"/>
  <c r="F29" i="426"/>
  <c r="H41" i="426" s="1"/>
  <c r="J28" i="426"/>
  <c r="T28" i="426"/>
  <c r="S28" i="426"/>
  <c r="F28" i="426"/>
  <c r="S27" i="426"/>
  <c r="F27" i="426"/>
  <c r="S26" i="426"/>
  <c r="F26" i="426"/>
  <c r="J25" i="426"/>
  <c r="T25" i="426"/>
  <c r="S25" i="426"/>
  <c r="F25" i="426"/>
  <c r="S24" i="426"/>
  <c r="F24" i="426"/>
  <c r="S23" i="426"/>
  <c r="F23" i="426"/>
  <c r="J22" i="426"/>
  <c r="T22" i="426"/>
  <c r="S22" i="426"/>
  <c r="F22" i="426"/>
  <c r="S21" i="426"/>
  <c r="F21" i="426"/>
  <c r="S20" i="426"/>
  <c r="F20" i="426"/>
  <c r="J19" i="426"/>
  <c r="T19" i="426"/>
  <c r="S19" i="426"/>
  <c r="F19" i="426"/>
  <c r="S18" i="426"/>
  <c r="F18" i="426"/>
  <c r="S17" i="426"/>
  <c r="F17" i="426"/>
  <c r="J16" i="426"/>
  <c r="T16" i="426"/>
  <c r="S16" i="426"/>
  <c r="F16" i="426"/>
  <c r="I16" i="426" s="1"/>
  <c r="S15" i="426"/>
  <c r="F15" i="426"/>
  <c r="I15" i="426" s="1"/>
  <c r="S14" i="426"/>
  <c r="F14" i="426"/>
  <c r="I14" i="426" s="1"/>
  <c r="J13" i="426"/>
  <c r="T13" i="426"/>
  <c r="S13" i="426"/>
  <c r="F13" i="426"/>
  <c r="I13" i="426" s="1"/>
  <c r="S12" i="426"/>
  <c r="F12" i="426"/>
  <c r="I12" i="426" s="1"/>
  <c r="S11" i="426"/>
  <c r="F11" i="426"/>
  <c r="I11" i="426" s="1"/>
  <c r="J10" i="426"/>
  <c r="T10" i="426"/>
  <c r="S10" i="426"/>
  <c r="F10" i="426"/>
  <c r="I10" i="426" s="1"/>
  <c r="S9" i="426"/>
  <c r="F9" i="426"/>
  <c r="I9" i="426" s="1"/>
  <c r="S8" i="426"/>
  <c r="F8" i="426"/>
  <c r="I8" i="426" s="1"/>
  <c r="J7" i="426"/>
  <c r="T7" i="426"/>
  <c r="S7" i="426"/>
  <c r="F7" i="426"/>
  <c r="I7" i="426" s="1"/>
  <c r="S6" i="426"/>
  <c r="F6" i="426"/>
  <c r="I6" i="426" s="1"/>
  <c r="S5" i="426"/>
  <c r="F5" i="426"/>
  <c r="I5" i="426" s="1"/>
  <c r="K16" i="426" l="1"/>
  <c r="H28" i="426"/>
  <c r="I28" i="426" s="1"/>
  <c r="B19" i="426"/>
  <c r="B31" i="426"/>
  <c r="C40" i="426"/>
  <c r="D43" i="426" s="1"/>
  <c r="G40" i="426"/>
  <c r="M28" i="426"/>
  <c r="M31" i="426"/>
  <c r="M37" i="426"/>
  <c r="G15" i="426"/>
  <c r="G21" i="426"/>
  <c r="G27" i="426"/>
  <c r="H30" i="426"/>
  <c r="L31" i="426"/>
  <c r="G33" i="426"/>
  <c r="M19" i="426"/>
  <c r="G7" i="426"/>
  <c r="G14" i="426"/>
  <c r="M25" i="426"/>
  <c r="H36" i="426"/>
  <c r="L37" i="426"/>
  <c r="H39" i="426"/>
  <c r="L40" i="426"/>
  <c r="L28" i="426"/>
  <c r="C28" i="426"/>
  <c r="G28" i="426"/>
  <c r="H35" i="426"/>
  <c r="H37" i="426"/>
  <c r="M16" i="426"/>
  <c r="H27" i="426"/>
  <c r="I27" i="426" s="1"/>
  <c r="B10" i="426"/>
  <c r="G10" i="426"/>
  <c r="G11" i="426"/>
  <c r="G13" i="426"/>
  <c r="H24" i="426"/>
  <c r="I24" i="426" s="1"/>
  <c r="H26" i="426"/>
  <c r="I26" i="426" s="1"/>
  <c r="G6" i="426"/>
  <c r="M10" i="426"/>
  <c r="M13" i="426"/>
  <c r="H19" i="426"/>
  <c r="I19" i="426" s="1"/>
  <c r="H38" i="426"/>
  <c r="C34" i="426"/>
  <c r="E46" i="426" s="1"/>
  <c r="G34" i="426"/>
  <c r="M40" i="426"/>
  <c r="N43" i="426" s="1"/>
  <c r="L34" i="426"/>
  <c r="M34" i="426"/>
  <c r="H34" i="426"/>
  <c r="G39" i="426"/>
  <c r="H40" i="426"/>
  <c r="K40" i="426"/>
  <c r="H33" i="426"/>
  <c r="C22" i="426"/>
  <c r="H32" i="426"/>
  <c r="M7" i="426"/>
  <c r="G9" i="426"/>
  <c r="K10" i="426"/>
  <c r="G12" i="426"/>
  <c r="K13" i="426"/>
  <c r="H18" i="426"/>
  <c r="I18" i="426" s="1"/>
  <c r="L19" i="426"/>
  <c r="H20" i="426"/>
  <c r="I20" i="426" s="1"/>
  <c r="G22" i="426"/>
  <c r="H29" i="426"/>
  <c r="B13" i="426"/>
  <c r="L25" i="426"/>
  <c r="C7" i="426"/>
  <c r="M22" i="426"/>
  <c r="H22" i="426"/>
  <c r="I22" i="426" s="1"/>
  <c r="H23" i="426"/>
  <c r="I23" i="426" s="1"/>
  <c r="H25" i="426"/>
  <c r="I25" i="426" s="1"/>
  <c r="H31" i="426"/>
  <c r="C10" i="426"/>
  <c r="H21" i="426"/>
  <c r="I21" i="426" s="1"/>
  <c r="K28" i="426"/>
  <c r="B37" i="426"/>
  <c r="C13" i="426"/>
  <c r="B16" i="426"/>
  <c r="G16" i="426"/>
  <c r="G17" i="426"/>
  <c r="G18" i="426"/>
  <c r="C19" i="426"/>
  <c r="G19" i="426"/>
  <c r="L22" i="426"/>
  <c r="G23" i="426"/>
  <c r="G24" i="426"/>
  <c r="C25" i="426"/>
  <c r="G25" i="426"/>
  <c r="G29" i="426"/>
  <c r="G30" i="426"/>
  <c r="C31" i="426"/>
  <c r="E43" i="426" s="1"/>
  <c r="G31" i="426"/>
  <c r="G35" i="426"/>
  <c r="G36" i="426"/>
  <c r="C37" i="426"/>
  <c r="G37" i="426"/>
  <c r="B25" i="426"/>
  <c r="K34" i="426"/>
  <c r="B7" i="426"/>
  <c r="G8" i="426"/>
  <c r="C16" i="426"/>
  <c r="D16" i="426" s="1"/>
  <c r="H17" i="426"/>
  <c r="I17" i="426" s="1"/>
  <c r="K19" i="426"/>
  <c r="B22" i="426"/>
  <c r="K25" i="426"/>
  <c r="B28" i="426"/>
  <c r="K31" i="426"/>
  <c r="B34" i="426"/>
  <c r="K37" i="426"/>
  <c r="B40" i="426"/>
  <c r="K22" i="426"/>
  <c r="G20" i="426"/>
  <c r="G26" i="426"/>
  <c r="G32" i="426"/>
  <c r="G38" i="426"/>
  <c r="S40" i="300"/>
  <c r="R40" i="300"/>
  <c r="Q40" i="300"/>
  <c r="F40" i="300" s="1"/>
  <c r="F40" i="371"/>
  <c r="F40" i="152"/>
  <c r="R40" i="170"/>
  <c r="Q40" i="170"/>
  <c r="F40" i="170" s="1"/>
  <c r="F40" i="321"/>
  <c r="K40" i="337"/>
  <c r="M52" i="337" s="1"/>
  <c r="U40" i="337"/>
  <c r="K37" i="337"/>
  <c r="M49" i="337" s="1"/>
  <c r="U37" i="337"/>
  <c r="K34" i="337"/>
  <c r="M46" i="337" s="1"/>
  <c r="U34" i="337"/>
  <c r="K31" i="337"/>
  <c r="M43" i="337" s="1"/>
  <c r="U31" i="337"/>
  <c r="K28" i="337"/>
  <c r="U28" i="337"/>
  <c r="K25" i="337"/>
  <c r="U25" i="337"/>
  <c r="K22" i="337"/>
  <c r="U22" i="337"/>
  <c r="K19" i="337"/>
  <c r="U19" i="337"/>
  <c r="J40" i="357"/>
  <c r="T40" i="357"/>
  <c r="K43" i="357" s="1"/>
  <c r="J37" i="357"/>
  <c r="T37" i="357"/>
  <c r="J34" i="357"/>
  <c r="T34" i="357"/>
  <c r="L46" i="357" s="1"/>
  <c r="J31" i="357"/>
  <c r="T31" i="357"/>
  <c r="L43" i="357" s="1"/>
  <c r="J28" i="357"/>
  <c r="T28" i="357"/>
  <c r="J25" i="357"/>
  <c r="T25" i="357"/>
  <c r="J22" i="357"/>
  <c r="T22" i="357"/>
  <c r="J19" i="357"/>
  <c r="T19" i="357"/>
  <c r="T29" i="87"/>
  <c r="I29" i="87" s="1"/>
  <c r="J41" i="87" s="1"/>
  <c r="T30" i="87"/>
  <c r="I30" i="87" s="1"/>
  <c r="T31" i="87"/>
  <c r="I31" i="87" s="1"/>
  <c r="J43" i="87" s="1"/>
  <c r="T32" i="87"/>
  <c r="I32" i="87" s="1"/>
  <c r="T33" i="87"/>
  <c r="I33" i="87" s="1"/>
  <c r="J45" i="87" s="1"/>
  <c r="T34" i="87"/>
  <c r="I34" i="87" s="1"/>
  <c r="T35" i="87"/>
  <c r="I35" i="87" s="1"/>
  <c r="J47" i="87" s="1"/>
  <c r="T36" i="87"/>
  <c r="I36" i="87" s="1"/>
  <c r="T37" i="87"/>
  <c r="I37" i="87" s="1"/>
  <c r="J49" i="87" s="1"/>
  <c r="T38" i="87"/>
  <c r="I38" i="87" s="1"/>
  <c r="J50" i="87" s="1"/>
  <c r="T39" i="87"/>
  <c r="I39" i="87" s="1"/>
  <c r="J51" i="87" s="1"/>
  <c r="T40" i="87"/>
  <c r="I40" i="87" s="1"/>
  <c r="J52" i="87" s="1"/>
  <c r="S40" i="231"/>
  <c r="R40" i="231"/>
  <c r="Q40" i="231"/>
  <c r="F40" i="231" s="1"/>
  <c r="F40" i="327"/>
  <c r="S40" i="398"/>
  <c r="R40" i="398"/>
  <c r="Q40" i="398"/>
  <c r="F40" i="398" s="1"/>
  <c r="F40" i="395"/>
  <c r="T26" i="386"/>
  <c r="I26" i="386" s="1"/>
  <c r="T27" i="386"/>
  <c r="I27" i="386" s="1"/>
  <c r="T28" i="386"/>
  <c r="I28" i="386" s="1"/>
  <c r="T29" i="386"/>
  <c r="I29" i="386" s="1"/>
  <c r="T30" i="386"/>
  <c r="I30" i="386" s="1"/>
  <c r="J42" i="386" s="1"/>
  <c r="T31" i="386"/>
  <c r="I31" i="386" s="1"/>
  <c r="T32" i="386"/>
  <c r="I32" i="386" s="1"/>
  <c r="J44" i="386" s="1"/>
  <c r="T33" i="386"/>
  <c r="I33" i="386" s="1"/>
  <c r="T34" i="386"/>
  <c r="I34" i="386" s="1"/>
  <c r="T35" i="386"/>
  <c r="I35" i="386" s="1"/>
  <c r="T36" i="386"/>
  <c r="I36" i="386" s="1"/>
  <c r="T37" i="386"/>
  <c r="I37" i="386" s="1"/>
  <c r="T38" i="386"/>
  <c r="I38" i="386" s="1"/>
  <c r="T39" i="386"/>
  <c r="I39" i="386" s="1"/>
  <c r="T40" i="386"/>
  <c r="I40" i="386" s="1"/>
  <c r="S40" i="414"/>
  <c r="F40" i="414"/>
  <c r="K40" i="202"/>
  <c r="K40" i="425"/>
  <c r="M52" i="425" s="1"/>
  <c r="U40" i="425"/>
  <c r="K40" i="48"/>
  <c r="M52" i="48" s="1"/>
  <c r="U40" i="48"/>
  <c r="K40" i="23"/>
  <c r="M52" i="23" s="1"/>
  <c r="U40" i="23"/>
  <c r="K40" i="52"/>
  <c r="M52" i="52" s="1"/>
  <c r="U40" i="52"/>
  <c r="K40" i="389"/>
  <c r="M52" i="389" s="1"/>
  <c r="U40" i="389"/>
  <c r="K40" i="89"/>
  <c r="M52" i="89" s="1"/>
  <c r="U40" i="89"/>
  <c r="K40" i="409"/>
  <c r="M52" i="409" s="1"/>
  <c r="U40" i="409"/>
  <c r="K40" i="18"/>
  <c r="M52" i="18" s="1"/>
  <c r="U40" i="18"/>
  <c r="K40" i="20"/>
  <c r="M52" i="20" s="1"/>
  <c r="U40" i="20"/>
  <c r="K40" i="422"/>
  <c r="M52" i="422" s="1"/>
  <c r="U40" i="422"/>
  <c r="K40" i="43"/>
  <c r="M52" i="43" s="1"/>
  <c r="U40" i="43"/>
  <c r="K40" i="424"/>
  <c r="M52" i="424" s="1"/>
  <c r="U40" i="424"/>
  <c r="K40" i="88"/>
  <c r="M52" i="88" s="1"/>
  <c r="U40" i="88"/>
  <c r="K40" i="148"/>
  <c r="M52" i="148" s="1"/>
  <c r="U40" i="148"/>
  <c r="K40" i="28"/>
  <c r="M52" i="28" s="1"/>
  <c r="U40" i="28"/>
  <c r="K40" i="29"/>
  <c r="M52" i="29" s="1"/>
  <c r="U40" i="29"/>
  <c r="K40" i="359"/>
  <c r="M52" i="359" s="1"/>
  <c r="U40" i="359"/>
  <c r="K40" i="360"/>
  <c r="M52" i="360" s="1"/>
  <c r="U40" i="360"/>
  <c r="K40" i="75"/>
  <c r="M52" i="75" s="1"/>
  <c r="U40" i="75"/>
  <c r="K40" i="9"/>
  <c r="M52" i="9" s="1"/>
  <c r="U40" i="9"/>
  <c r="K40" i="364"/>
  <c r="M52" i="364" s="1"/>
  <c r="U40" i="364"/>
  <c r="K40" i="420"/>
  <c r="M52" i="420" s="1"/>
  <c r="U40" i="420"/>
  <c r="K40" i="392"/>
  <c r="L43" i="392" s="1"/>
  <c r="K40" i="8"/>
  <c r="M52" i="8" s="1"/>
  <c r="U40" i="8"/>
  <c r="K40" i="203"/>
  <c r="M52" i="203" s="1"/>
  <c r="U40" i="203"/>
  <c r="M40" i="415"/>
  <c r="U40" i="191"/>
  <c r="K40" i="113"/>
  <c r="M52" i="113" s="1"/>
  <c r="U40" i="113"/>
  <c r="K40" i="361"/>
  <c r="M52" i="361" s="1"/>
  <c r="U40" i="361"/>
  <c r="K40" i="351"/>
  <c r="M52" i="351" s="1"/>
  <c r="U40" i="351"/>
  <c r="K40" i="352"/>
  <c r="M52" i="352" s="1"/>
  <c r="U40" i="352"/>
  <c r="K40" i="322"/>
  <c r="M52" i="322" s="1"/>
  <c r="U40" i="322"/>
  <c r="K40" i="353"/>
  <c r="M52" i="353" s="1"/>
  <c r="U40" i="353"/>
  <c r="K40" i="362"/>
  <c r="M52" i="362" s="1"/>
  <c r="U40" i="362"/>
  <c r="K40" i="354"/>
  <c r="M52" i="354" s="1"/>
  <c r="U40" i="354"/>
  <c r="K40" i="233"/>
  <c r="M52" i="233" s="1"/>
  <c r="U40" i="233"/>
  <c r="K40" i="2"/>
  <c r="M52" i="2" s="1"/>
  <c r="U40" i="2"/>
  <c r="K40" i="12"/>
  <c r="M52" i="12" s="1"/>
  <c r="U40" i="12"/>
  <c r="K40" i="356"/>
  <c r="M52" i="356" s="1"/>
  <c r="U40" i="356"/>
  <c r="K40" i="164"/>
  <c r="M52" i="164" s="1"/>
  <c r="U40" i="164"/>
  <c r="K40" i="162"/>
  <c r="M52" i="162" s="1"/>
  <c r="U40" i="162"/>
  <c r="K40" i="413"/>
  <c r="M52" i="413" s="1"/>
  <c r="U40" i="413"/>
  <c r="K40" i="421"/>
  <c r="M52" i="421" s="1"/>
  <c r="U40" i="421"/>
  <c r="K40" i="5"/>
  <c r="M52" i="5" s="1"/>
  <c r="U40" i="5"/>
  <c r="K40" i="207"/>
  <c r="M52" i="207" s="1"/>
  <c r="U40" i="207"/>
  <c r="K40" i="333"/>
  <c r="M52" i="333" s="1"/>
  <c r="U40" i="333"/>
  <c r="K40" i="53"/>
  <c r="M52" i="53" s="1"/>
  <c r="U40" i="53"/>
  <c r="K40" i="386"/>
  <c r="M52" i="386" s="1"/>
  <c r="U40" i="386"/>
  <c r="K40" i="387"/>
  <c r="M52" i="387" s="1"/>
  <c r="U40" i="387"/>
  <c r="K40" i="314"/>
  <c r="M52" i="314" s="1"/>
  <c r="U40" i="314"/>
  <c r="K40" i="303"/>
  <c r="M52" i="303" s="1"/>
  <c r="U40" i="303"/>
  <c r="K40" i="394"/>
  <c r="M52" i="394" s="1"/>
  <c r="U40" i="394"/>
  <c r="K40" i="393"/>
  <c r="M52" i="393" s="1"/>
  <c r="U40" i="393"/>
  <c r="K40" i="400"/>
  <c r="M52" i="400" s="1"/>
  <c r="U40" i="400"/>
  <c r="K40" i="402"/>
  <c r="U40" i="402"/>
  <c r="L43" i="402" s="1"/>
  <c r="K40" i="403"/>
  <c r="U40" i="403"/>
  <c r="L43" i="403" s="1"/>
  <c r="J40" i="408"/>
  <c r="T40" i="408"/>
  <c r="K43" i="408" s="1"/>
  <c r="K40" i="114"/>
  <c r="M52" i="114" s="1"/>
  <c r="U40" i="114"/>
  <c r="K40" i="323"/>
  <c r="U40" i="323"/>
  <c r="K40" i="334"/>
  <c r="M52" i="334" s="1"/>
  <c r="U40" i="334"/>
  <c r="K40" i="3"/>
  <c r="M52" i="3" s="1"/>
  <c r="U40" i="3"/>
  <c r="K40" i="349"/>
  <c r="M52" i="349" s="1"/>
  <c r="U40" i="349"/>
  <c r="K40" i="4"/>
  <c r="M52" i="4" s="1"/>
  <c r="U40" i="4"/>
  <c r="K40" i="15"/>
  <c r="M52" i="15" s="1"/>
  <c r="U40" i="15"/>
  <c r="K40" i="355"/>
  <c r="M52" i="355" s="1"/>
  <c r="U40" i="355"/>
  <c r="K40" i="299"/>
  <c r="M52" i="299" s="1"/>
  <c r="U40" i="299"/>
  <c r="K40" i="190"/>
  <c r="M52" i="190" s="1"/>
  <c r="U40" i="190"/>
  <c r="K40" i="16"/>
  <c r="M52" i="16" s="1"/>
  <c r="U40" i="16"/>
  <c r="K40" i="17"/>
  <c r="M52" i="17" s="1"/>
  <c r="U40" i="17"/>
  <c r="K40" i="54"/>
  <c r="M52" i="54" s="1"/>
  <c r="U40" i="54"/>
  <c r="K40" i="384"/>
  <c r="M52" i="384" s="1"/>
  <c r="U40" i="384"/>
  <c r="K40" i="201"/>
  <c r="M52" i="201" s="1"/>
  <c r="U40" i="201"/>
  <c r="K40" i="249"/>
  <c r="M52" i="249" s="1"/>
  <c r="U40" i="249"/>
  <c r="K40" i="21"/>
  <c r="M52" i="21" s="1"/>
  <c r="U40" i="21"/>
  <c r="K40" i="7"/>
  <c r="M52" i="7" s="1"/>
  <c r="U40" i="7"/>
  <c r="K40" i="423"/>
  <c r="M52" i="423" s="1"/>
  <c r="U40" i="423"/>
  <c r="K40" i="13"/>
  <c r="M52" i="13" s="1"/>
  <c r="U40" i="13"/>
  <c r="K40" i="261"/>
  <c r="M52" i="261" s="1"/>
  <c r="U40" i="261"/>
  <c r="K40" i="153"/>
  <c r="M52" i="153" s="1"/>
  <c r="U40" i="153"/>
  <c r="K40" i="257"/>
  <c r="M52" i="257" s="1"/>
  <c r="U40" i="257"/>
  <c r="K40" i="19"/>
  <c r="M52" i="19" s="1"/>
  <c r="U40" i="19"/>
  <c r="K40" i="347"/>
  <c r="M52" i="347" s="1"/>
  <c r="U40" i="347"/>
  <c r="K40" i="37"/>
  <c r="M52" i="37" s="1"/>
  <c r="U40" i="37"/>
  <c r="K40" i="367"/>
  <c r="M52" i="367" s="1"/>
  <c r="U40" i="367"/>
  <c r="N40" i="369"/>
  <c r="M40" i="369"/>
  <c r="K40" i="204"/>
  <c r="M52" i="204" s="1"/>
  <c r="U40" i="204"/>
  <c r="K40" i="363"/>
  <c r="U40" i="363"/>
  <c r="L43" i="363" s="1"/>
  <c r="K40" i="31"/>
  <c r="M52" i="31" s="1"/>
  <c r="U40" i="31"/>
  <c r="K40" i="298"/>
  <c r="M52" i="298" s="1"/>
  <c r="U40" i="298"/>
  <c r="K40" i="168"/>
  <c r="M52" i="168" s="1"/>
  <c r="U40" i="168"/>
  <c r="K40" i="169"/>
  <c r="M52" i="169" s="1"/>
  <c r="U40" i="169"/>
  <c r="K40" i="336"/>
  <c r="M52" i="336" s="1"/>
  <c r="U40" i="336"/>
  <c r="K40" i="342"/>
  <c r="M52" i="342" s="1"/>
  <c r="U40" i="342"/>
  <c r="K40" i="33"/>
  <c r="M52" i="33" s="1"/>
  <c r="U40" i="33"/>
  <c r="K40" i="319"/>
  <c r="M52" i="319" s="1"/>
  <c r="U40" i="319"/>
  <c r="K40" i="320"/>
  <c r="M52" i="320" s="1"/>
  <c r="U40" i="320"/>
  <c r="N40" i="343"/>
  <c r="M40" i="343"/>
  <c r="K40" i="318"/>
  <c r="M52" i="318" s="1"/>
  <c r="U40" i="318"/>
  <c r="K40" i="288"/>
  <c r="M52" i="288" s="1"/>
  <c r="U40" i="288"/>
  <c r="K40" i="227"/>
  <c r="M52" i="227" s="1"/>
  <c r="U40" i="227"/>
  <c r="K40" i="290"/>
  <c r="M52" i="290" s="1"/>
  <c r="U40" i="290"/>
  <c r="K40" i="289"/>
  <c r="M52" i="289" s="1"/>
  <c r="U40" i="289"/>
  <c r="K40" i="293"/>
  <c r="M52" i="293" s="1"/>
  <c r="U40" i="293"/>
  <c r="K40" i="348"/>
  <c r="M52" i="348" s="1"/>
  <c r="U40" i="348"/>
  <c r="K40" i="194"/>
  <c r="M52" i="194" s="1"/>
  <c r="U40" i="194"/>
  <c r="K40" i="193"/>
  <c r="M52" i="193" s="1"/>
  <c r="U40" i="193"/>
  <c r="K40" i="297"/>
  <c r="M52" i="297" s="1"/>
  <c r="U40" i="297"/>
  <c r="K40" i="350"/>
  <c r="M52" i="350" s="1"/>
  <c r="U40" i="350"/>
  <c r="K40" i="105"/>
  <c r="M52" i="105" s="1"/>
  <c r="U40" i="105"/>
  <c r="K40" i="294"/>
  <c r="M52" i="294" s="1"/>
  <c r="U40" i="294"/>
  <c r="J40" i="365"/>
  <c r="T40" i="365"/>
  <c r="K43" i="365" s="1"/>
  <c r="J40" i="366"/>
  <c r="T40" i="366"/>
  <c r="K43" i="366" s="1"/>
  <c r="K40" i="206"/>
  <c r="M52" i="206" s="1"/>
  <c r="U40" i="206"/>
  <c r="K40" i="22"/>
  <c r="M52" i="22" s="1"/>
  <c r="U40" i="22"/>
  <c r="K40" i="301"/>
  <c r="M52" i="301" s="1"/>
  <c r="U40" i="301"/>
  <c r="K40" i="344"/>
  <c r="M52" i="344" s="1"/>
  <c r="U40" i="344"/>
  <c r="K40" i="61"/>
  <c r="M52" i="61" s="1"/>
  <c r="U40" i="61"/>
  <c r="K40" i="338"/>
  <c r="M52" i="338" s="1"/>
  <c r="U40" i="338"/>
  <c r="K40" i="340"/>
  <c r="M52" i="340" s="1"/>
  <c r="U40" i="340"/>
  <c r="K40" i="34"/>
  <c r="M52" i="34" s="1"/>
  <c r="U40" i="34"/>
  <c r="K40" i="174"/>
  <c r="M52" i="174" s="1"/>
  <c r="U40" i="174"/>
  <c r="K40" i="135"/>
  <c r="M52" i="135" s="1"/>
  <c r="U40" i="135"/>
  <c r="K40" i="295"/>
  <c r="M52" i="295" s="1"/>
  <c r="U40" i="295"/>
  <c r="K40" i="283"/>
  <c r="M52" i="283" s="1"/>
  <c r="U40" i="283"/>
  <c r="K40" i="284"/>
  <c r="M52" i="284" s="1"/>
  <c r="U40" i="284"/>
  <c r="K40" i="292"/>
  <c r="M52" i="292" s="1"/>
  <c r="U40" i="292"/>
  <c r="K40" i="325"/>
  <c r="M52" i="325" s="1"/>
  <c r="U40" i="325"/>
  <c r="K40" i="269"/>
  <c r="M52" i="269" s="1"/>
  <c r="U40" i="269"/>
  <c r="K40" i="11"/>
  <c r="M52" i="11" s="1"/>
  <c r="U40" i="11"/>
  <c r="J40" i="279"/>
  <c r="T40" i="279"/>
  <c r="K43" i="279" s="1"/>
  <c r="J40" i="335"/>
  <c r="T40" i="335"/>
  <c r="K43" i="335" s="1"/>
  <c r="K40" i="101"/>
  <c r="M52" i="101" s="1"/>
  <c r="U40" i="101"/>
  <c r="K40" i="382"/>
  <c r="M52" i="382" s="1"/>
  <c r="U40" i="382"/>
  <c r="K40" i="102"/>
  <c r="M52" i="102" s="1"/>
  <c r="U40" i="102"/>
  <c r="K40" i="103"/>
  <c r="M52" i="103" s="1"/>
  <c r="U40" i="103"/>
  <c r="K40" i="411"/>
  <c r="M52" i="411" s="1"/>
  <c r="U40" i="411"/>
  <c r="K40" i="265"/>
  <c r="M52" i="265" s="1"/>
  <c r="U40" i="265"/>
  <c r="K40" i="262"/>
  <c r="M52" i="262" s="1"/>
  <c r="U40" i="262"/>
  <c r="K40" i="112"/>
  <c r="M52" i="112" s="1"/>
  <c r="U40" i="112"/>
  <c r="K40" i="109"/>
  <c r="M52" i="109" s="1"/>
  <c r="U40" i="109"/>
  <c r="K40" i="85"/>
  <c r="M52" i="85" s="1"/>
  <c r="U40" i="85"/>
  <c r="K40" i="324"/>
  <c r="M52" i="324" s="1"/>
  <c r="U40" i="324"/>
  <c r="K40" i="32"/>
  <c r="M52" i="32" s="1"/>
  <c r="U40" i="32"/>
  <c r="K40" i="196"/>
  <c r="M52" i="196" s="1"/>
  <c r="U40" i="196"/>
  <c r="K40" i="197"/>
  <c r="M52" i="197" s="1"/>
  <c r="U40" i="197"/>
  <c r="K40" i="198"/>
  <c r="M52" i="198" s="1"/>
  <c r="U40" i="198"/>
  <c r="K40" i="345"/>
  <c r="M52" i="345" s="1"/>
  <c r="U40" i="345"/>
  <c r="K40" i="346"/>
  <c r="M52" i="346" s="1"/>
  <c r="U40" i="346"/>
  <c r="K40" i="74"/>
  <c r="M52" i="74" s="1"/>
  <c r="U40" i="74"/>
  <c r="K40" i="200"/>
  <c r="M52" i="200" s="1"/>
  <c r="U40" i="200"/>
  <c r="K40" i="280"/>
  <c r="M52" i="280" s="1"/>
  <c r="U40" i="280"/>
  <c r="K40" i="97"/>
  <c r="M52" i="97" s="1"/>
  <c r="U40" i="97"/>
  <c r="K40" i="383"/>
  <c r="M52" i="383" s="1"/>
  <c r="U40" i="383"/>
  <c r="K40" i="45"/>
  <c r="M52" i="45" s="1"/>
  <c r="U40" i="45"/>
  <c r="K40" i="104"/>
  <c r="M52" i="104" s="1"/>
  <c r="U40" i="104"/>
  <c r="K40" i="254"/>
  <c r="M52" i="254" s="1"/>
  <c r="U40" i="254"/>
  <c r="K40" i="181"/>
  <c r="M52" i="181" s="1"/>
  <c r="U40" i="181"/>
  <c r="K40" i="183"/>
  <c r="M52" i="183" s="1"/>
  <c r="U40" i="183"/>
  <c r="K40" i="184"/>
  <c r="M52" i="184" s="1"/>
  <c r="U40" i="184"/>
  <c r="K40" i="27"/>
  <c r="M52" i="27" s="1"/>
  <c r="U40" i="27"/>
  <c r="K40" i="143"/>
  <c r="M52" i="143" s="1"/>
  <c r="U40" i="143"/>
  <c r="K40" i="268"/>
  <c r="U40" i="268"/>
  <c r="L43" i="268" s="1"/>
  <c r="K40" i="263"/>
  <c r="M52" i="263" s="1"/>
  <c r="U40" i="263"/>
  <c r="K40" i="209"/>
  <c r="M52" i="209" s="1"/>
  <c r="U40" i="209"/>
  <c r="K40" i="192"/>
  <c r="M52" i="192" s="1"/>
  <c r="U40" i="192"/>
  <c r="K40" i="140"/>
  <c r="M52" i="140" s="1"/>
  <c r="U40" i="140"/>
  <c r="K40" i="270"/>
  <c r="M52" i="270" s="1"/>
  <c r="U40" i="270"/>
  <c r="K40" i="271"/>
  <c r="M52" i="271" s="1"/>
  <c r="U40" i="271"/>
  <c r="K40" i="159"/>
  <c r="M52" i="159" s="1"/>
  <c r="U40" i="159"/>
  <c r="K40" i="160"/>
  <c r="M52" i="160" s="1"/>
  <c r="U40" i="160"/>
  <c r="K40" i="107"/>
  <c r="M52" i="107" s="1"/>
  <c r="U40" i="107"/>
  <c r="K40" i="176"/>
  <c r="M52" i="176" s="1"/>
  <c r="U40" i="176"/>
  <c r="K40" i="281"/>
  <c r="M52" i="281" s="1"/>
  <c r="U40" i="281"/>
  <c r="K40" i="332"/>
  <c r="M52" i="332" s="1"/>
  <c r="U40" i="332"/>
  <c r="K40" i="25"/>
  <c r="M52" i="25" s="1"/>
  <c r="U40" i="25"/>
  <c r="K40" i="24"/>
  <c r="M52" i="24" s="1"/>
  <c r="U40" i="24"/>
  <c r="K40" i="116"/>
  <c r="M52" i="116" s="1"/>
  <c r="U40" i="116"/>
  <c r="K40" i="285"/>
  <c r="M52" i="285" s="1"/>
  <c r="U40" i="285"/>
  <c r="K40" i="272"/>
  <c r="M52" i="272" s="1"/>
  <c r="U40" i="272"/>
  <c r="J40" i="44"/>
  <c r="T40" i="44"/>
  <c r="K43" i="44" s="1"/>
  <c r="K40" i="87"/>
  <c r="M52" i="87" s="1"/>
  <c r="U40" i="87"/>
  <c r="K40" i="287"/>
  <c r="M52" i="287" s="1"/>
  <c r="U40" i="287"/>
  <c r="K40" i="276"/>
  <c r="M52" i="276" s="1"/>
  <c r="U40" i="276"/>
  <c r="K40" i="229"/>
  <c r="M52" i="229" s="1"/>
  <c r="U40" i="229"/>
  <c r="K40" i="230"/>
  <c r="M52" i="230" s="1"/>
  <c r="U40" i="230"/>
  <c r="K40" i="328"/>
  <c r="M52" i="328" s="1"/>
  <c r="U40" i="328"/>
  <c r="K40" i="329"/>
  <c r="M52" i="329" s="1"/>
  <c r="U40" i="329"/>
  <c r="K40" i="326"/>
  <c r="M52" i="326" s="1"/>
  <c r="U40" i="326"/>
  <c r="K40" i="47"/>
  <c r="M52" i="47" s="1"/>
  <c r="U40" i="47"/>
  <c r="K40" i="248"/>
  <c r="M52" i="248" s="1"/>
  <c r="U40" i="248"/>
  <c r="K40" i="46"/>
  <c r="M52" i="46" s="1"/>
  <c r="U40" i="46"/>
  <c r="K40" i="239"/>
  <c r="M52" i="239" s="1"/>
  <c r="U40" i="239"/>
  <c r="K40" i="243"/>
  <c r="M52" i="243" s="1"/>
  <c r="U40" i="243"/>
  <c r="K40" i="244"/>
  <c r="M52" i="244" s="1"/>
  <c r="U40" i="244"/>
  <c r="K40" i="246"/>
  <c r="M52" i="246" s="1"/>
  <c r="U40" i="246"/>
  <c r="K40" i="1"/>
  <c r="M52" i="1" s="1"/>
  <c r="U40" i="1"/>
  <c r="K40" i="397"/>
  <c r="M52" i="397" s="1"/>
  <c r="U40" i="397"/>
  <c r="K40" i="368"/>
  <c r="M52" i="368" s="1"/>
  <c r="U40" i="368"/>
  <c r="K40" i="35"/>
  <c r="M52" i="35" s="1"/>
  <c r="F40" i="253"/>
  <c r="F40" i="149"/>
  <c r="L43" i="202" l="1"/>
  <c r="M52" i="202"/>
  <c r="N28" i="426"/>
  <c r="N10" i="426"/>
  <c r="L43" i="352"/>
  <c r="L43" i="8"/>
  <c r="G41" i="414"/>
  <c r="H52" i="414"/>
  <c r="G41" i="152"/>
  <c r="H52" i="152"/>
  <c r="L43" i="239"/>
  <c r="L43" i="271"/>
  <c r="L43" i="200"/>
  <c r="L43" i="3"/>
  <c r="L43" i="43"/>
  <c r="L43" i="397"/>
  <c r="L43" i="32"/>
  <c r="L43" i="413"/>
  <c r="L43" i="248"/>
  <c r="L43" i="140"/>
  <c r="L43" i="324"/>
  <c r="L43" i="340"/>
  <c r="L43" i="290"/>
  <c r="L43" i="13"/>
  <c r="L43" i="162"/>
  <c r="L43" i="364"/>
  <c r="L43" i="28"/>
  <c r="L43" i="20"/>
  <c r="L43" i="23"/>
  <c r="G41" i="395"/>
  <c r="H52" i="395"/>
  <c r="L43" i="89"/>
  <c r="L43" i="368"/>
  <c r="L43" i="292"/>
  <c r="L43" i="249"/>
  <c r="L43" i="359"/>
  <c r="L43" i="281"/>
  <c r="L43" i="104"/>
  <c r="L43" i="320"/>
  <c r="L43" i="201"/>
  <c r="L43" i="334"/>
  <c r="L43" i="233"/>
  <c r="G41" i="300"/>
  <c r="H52" i="300"/>
  <c r="L43" i="420"/>
  <c r="L43" i="229"/>
  <c r="L43" i="37"/>
  <c r="L43" i="393"/>
  <c r="L43" i="116"/>
  <c r="L43" i="192"/>
  <c r="L43" i="184"/>
  <c r="L43" i="383"/>
  <c r="L43" i="345"/>
  <c r="L43" i="11"/>
  <c r="L43" i="227"/>
  <c r="L43" i="33"/>
  <c r="L43" i="31"/>
  <c r="L43" i="423"/>
  <c r="L43" i="54"/>
  <c r="L43" i="15"/>
  <c r="L43" i="114"/>
  <c r="L43" i="394"/>
  <c r="L43" i="333"/>
  <c r="L43" i="164"/>
  <c r="L43" i="362"/>
  <c r="L43" i="113"/>
  <c r="G41" i="398"/>
  <c r="H52" i="398"/>
  <c r="L43" i="424"/>
  <c r="L43" i="332"/>
  <c r="L43" i="196"/>
  <c r="L43" i="174"/>
  <c r="L43" i="293"/>
  <c r="L43" i="153"/>
  <c r="L43" i="190"/>
  <c r="L43" i="421"/>
  <c r="L43" i="389"/>
  <c r="L43" i="230"/>
  <c r="L43" i="270"/>
  <c r="L43" i="34"/>
  <c r="L43" i="22"/>
  <c r="L43" i="289"/>
  <c r="L43" i="261"/>
  <c r="L43" i="400"/>
  <c r="J40" i="386"/>
  <c r="J52" i="386"/>
  <c r="L43" i="422"/>
  <c r="L43" i="1"/>
  <c r="L43" i="285"/>
  <c r="L43" i="346"/>
  <c r="L43" i="206"/>
  <c r="L43" i="319"/>
  <c r="L43" i="384"/>
  <c r="L43" i="53"/>
  <c r="L43" i="246"/>
  <c r="L43" i="47"/>
  <c r="L43" i="276"/>
  <c r="L43" i="107"/>
  <c r="L43" i="85"/>
  <c r="L43" i="103"/>
  <c r="L43" i="295"/>
  <c r="L43" i="338"/>
  <c r="L43" i="193"/>
  <c r="L43" i="347"/>
  <c r="L43" i="9"/>
  <c r="L43" i="148"/>
  <c r="L43" i="18"/>
  <c r="L43" i="48"/>
  <c r="L43" i="337"/>
  <c r="L43" i="262"/>
  <c r="L43" i="101"/>
  <c r="L43" i="301"/>
  <c r="L43" i="169"/>
  <c r="L43" i="2"/>
  <c r="G41" i="371"/>
  <c r="H52" i="371"/>
  <c r="L43" i="272"/>
  <c r="L43" i="74"/>
  <c r="L43" i="284"/>
  <c r="L43" i="350"/>
  <c r="L43" i="168"/>
  <c r="L43" i="299"/>
  <c r="L43" i="386"/>
  <c r="L43" i="351"/>
  <c r="L43" i="52"/>
  <c r="L43" i="27"/>
  <c r="L43" i="411"/>
  <c r="L43" i="297"/>
  <c r="L43" i="323"/>
  <c r="M52" i="323"/>
  <c r="L43" i="361"/>
  <c r="L43" i="244"/>
  <c r="L43" i="326"/>
  <c r="L43" i="24"/>
  <c r="L43" i="209"/>
  <c r="L43" i="198"/>
  <c r="L43" i="102"/>
  <c r="L43" i="135"/>
  <c r="L43" i="61"/>
  <c r="L43" i="342"/>
  <c r="L43" i="19"/>
  <c r="L43" i="7"/>
  <c r="L43" i="4"/>
  <c r="L43" i="303"/>
  <c r="L43" i="356"/>
  <c r="G41" i="149"/>
  <c r="H52" i="149"/>
  <c r="L43" i="75"/>
  <c r="L43" i="88"/>
  <c r="L43" i="409"/>
  <c r="L43" i="425"/>
  <c r="G41" i="327"/>
  <c r="H52" i="327"/>
  <c r="G41" i="321"/>
  <c r="H52" i="321"/>
  <c r="L43" i="360"/>
  <c r="L43" i="328"/>
  <c r="L43" i="254"/>
  <c r="L43" i="105"/>
  <c r="L43" i="46"/>
  <c r="L43" i="143"/>
  <c r="L43" i="265"/>
  <c r="L43" i="367"/>
  <c r="L43" i="29"/>
  <c r="L43" i="176"/>
  <c r="L43" i="45"/>
  <c r="L43" i="283"/>
  <c r="L43" i="298"/>
  <c r="L43" i="355"/>
  <c r="L43" i="354"/>
  <c r="L43" i="287"/>
  <c r="L43" i="160"/>
  <c r="L43" i="183"/>
  <c r="L43" i="97"/>
  <c r="L43" i="109"/>
  <c r="L43" i="269"/>
  <c r="L43" i="194"/>
  <c r="L43" i="288"/>
  <c r="L43" i="17"/>
  <c r="L43" i="207"/>
  <c r="L43" i="353"/>
  <c r="L43" i="191"/>
  <c r="G41" i="253"/>
  <c r="H52" i="253"/>
  <c r="L43" i="243"/>
  <c r="L43" i="329"/>
  <c r="L43" i="87"/>
  <c r="L43" i="25"/>
  <c r="L43" i="159"/>
  <c r="L43" i="263"/>
  <c r="L43" i="181"/>
  <c r="L43" i="280"/>
  <c r="L43" i="197"/>
  <c r="L43" i="112"/>
  <c r="L43" i="382"/>
  <c r="L43" i="325"/>
  <c r="L43" i="344"/>
  <c r="L43" i="294"/>
  <c r="L43" i="348"/>
  <c r="L43" i="318"/>
  <c r="L43" i="336"/>
  <c r="L43" i="204"/>
  <c r="L43" i="257"/>
  <c r="L43" i="21"/>
  <c r="L43" i="16"/>
  <c r="L43" i="349"/>
  <c r="L43" i="314"/>
  <c r="L43" i="5"/>
  <c r="L43" i="12"/>
  <c r="L43" i="322"/>
  <c r="L43" i="203"/>
  <c r="G41" i="231"/>
  <c r="H52" i="231"/>
  <c r="G41" i="170"/>
  <c r="H52" i="170"/>
  <c r="L43" i="387"/>
  <c r="J39" i="386"/>
  <c r="J51" i="386"/>
  <c r="J38" i="386"/>
  <c r="J50" i="386"/>
  <c r="M40" i="337"/>
  <c r="J49" i="386"/>
  <c r="J43" i="386"/>
  <c r="J48" i="87"/>
  <c r="J42" i="87"/>
  <c r="J48" i="386"/>
  <c r="J47" i="386"/>
  <c r="J41" i="386"/>
  <c r="J46" i="87"/>
  <c r="J46" i="386"/>
  <c r="J45" i="386"/>
  <c r="J44" i="87"/>
  <c r="N31" i="426"/>
  <c r="L43" i="35"/>
  <c r="N22" i="426"/>
  <c r="N13" i="426"/>
  <c r="N40" i="426"/>
  <c r="N37" i="426"/>
  <c r="E40" i="426"/>
  <c r="D28" i="426"/>
  <c r="N19" i="426"/>
  <c r="N34" i="426"/>
  <c r="D13" i="426"/>
  <c r="N16" i="426"/>
  <c r="D10" i="426"/>
  <c r="D22" i="426"/>
  <c r="E34" i="426"/>
  <c r="E22" i="426"/>
  <c r="N25" i="426"/>
  <c r="E31" i="426"/>
  <c r="D31" i="426"/>
  <c r="D34" i="426"/>
  <c r="E19" i="426"/>
  <c r="D19" i="426"/>
  <c r="E37" i="426"/>
  <c r="D37" i="426"/>
  <c r="E25" i="426"/>
  <c r="D25" i="426"/>
  <c r="E28" i="426"/>
  <c r="D40" i="426"/>
  <c r="M31" i="337"/>
  <c r="L34" i="357"/>
  <c r="L40" i="357"/>
  <c r="M34" i="337"/>
  <c r="L31" i="357"/>
  <c r="L37" i="357"/>
  <c r="M37" i="337"/>
  <c r="L22" i="337"/>
  <c r="L34" i="337"/>
  <c r="L40" i="337"/>
  <c r="L28" i="337"/>
  <c r="L25" i="337"/>
  <c r="L31" i="337"/>
  <c r="L37" i="337"/>
  <c r="K34" i="357"/>
  <c r="K40" i="357"/>
  <c r="K22" i="357"/>
  <c r="K25" i="357"/>
  <c r="K31" i="357"/>
  <c r="K37" i="357"/>
  <c r="K28" i="357"/>
  <c r="T40" i="425" l="1"/>
  <c r="I40" i="425" s="1"/>
  <c r="J52" i="425" s="1"/>
  <c r="T39" i="425"/>
  <c r="I39" i="425" s="1"/>
  <c r="J51" i="425" s="1"/>
  <c r="F39" i="425"/>
  <c r="H51" i="425" s="1"/>
  <c r="T38" i="425"/>
  <c r="I38" i="425" s="1"/>
  <c r="J50" i="425" s="1"/>
  <c r="F38" i="425"/>
  <c r="H50" i="425" s="1"/>
  <c r="K37" i="425"/>
  <c r="M49" i="425" s="1"/>
  <c r="U37" i="425"/>
  <c r="T37" i="425"/>
  <c r="I37" i="425" s="1"/>
  <c r="F37" i="425"/>
  <c r="H49" i="425" s="1"/>
  <c r="T36" i="425"/>
  <c r="I36" i="425" s="1"/>
  <c r="J48" i="425" s="1"/>
  <c r="F36" i="425"/>
  <c r="H48" i="425" s="1"/>
  <c r="T35" i="425"/>
  <c r="I35" i="425" s="1"/>
  <c r="F35" i="425"/>
  <c r="H47" i="425" s="1"/>
  <c r="K34" i="425"/>
  <c r="M46" i="425" s="1"/>
  <c r="U34" i="425"/>
  <c r="T34" i="425"/>
  <c r="I34" i="425" s="1"/>
  <c r="J46" i="425" s="1"/>
  <c r="F34" i="425"/>
  <c r="T33" i="425"/>
  <c r="I33" i="425" s="1"/>
  <c r="F33" i="425"/>
  <c r="H45" i="425" s="1"/>
  <c r="T32" i="425"/>
  <c r="I32" i="425" s="1"/>
  <c r="J44" i="425" s="1"/>
  <c r="F32" i="425"/>
  <c r="H44" i="425" s="1"/>
  <c r="K31" i="425"/>
  <c r="M43" i="425" s="1"/>
  <c r="U31" i="425"/>
  <c r="T31" i="425"/>
  <c r="I31" i="425" s="1"/>
  <c r="F31" i="425"/>
  <c r="H43" i="425" s="1"/>
  <c r="T30" i="425"/>
  <c r="I30" i="425" s="1"/>
  <c r="J42" i="425" s="1"/>
  <c r="F30" i="425"/>
  <c r="H42" i="425" s="1"/>
  <c r="T29" i="425"/>
  <c r="I29" i="425" s="1"/>
  <c r="F29" i="425"/>
  <c r="H41" i="425" s="1"/>
  <c r="K28" i="425"/>
  <c r="U28" i="425"/>
  <c r="M40" i="425" s="1"/>
  <c r="T28" i="425"/>
  <c r="I28" i="425" s="1"/>
  <c r="F28" i="425"/>
  <c r="T27" i="425"/>
  <c r="I27" i="425" s="1"/>
  <c r="F27" i="425"/>
  <c r="T26" i="425"/>
  <c r="I26" i="425" s="1"/>
  <c r="F26" i="425"/>
  <c r="K25" i="425"/>
  <c r="U25" i="425"/>
  <c r="T25" i="425"/>
  <c r="I25" i="425" s="1"/>
  <c r="F25" i="425"/>
  <c r="T24" i="425"/>
  <c r="I24" i="425" s="1"/>
  <c r="F24" i="425"/>
  <c r="T23" i="425"/>
  <c r="I23" i="425" s="1"/>
  <c r="F23" i="425"/>
  <c r="K22" i="425"/>
  <c r="U22" i="425"/>
  <c r="T22" i="425"/>
  <c r="I22" i="425" s="1"/>
  <c r="F22" i="425"/>
  <c r="T21" i="425"/>
  <c r="I21" i="425" s="1"/>
  <c r="F21" i="425"/>
  <c r="T20" i="425"/>
  <c r="I20" i="425" s="1"/>
  <c r="F20" i="425"/>
  <c r="K19" i="425"/>
  <c r="U19" i="425"/>
  <c r="T19" i="425"/>
  <c r="I19" i="425" s="1"/>
  <c r="F19" i="425"/>
  <c r="T18" i="425"/>
  <c r="I18" i="425" s="1"/>
  <c r="F18" i="425"/>
  <c r="T17" i="425"/>
  <c r="I17" i="425" s="1"/>
  <c r="F17" i="425"/>
  <c r="K16" i="425"/>
  <c r="U16" i="425"/>
  <c r="T16" i="425"/>
  <c r="I16" i="425" s="1"/>
  <c r="F16" i="425"/>
  <c r="T15" i="425"/>
  <c r="I15" i="425" s="1"/>
  <c r="F15" i="425"/>
  <c r="T14" i="425"/>
  <c r="I14" i="425" s="1"/>
  <c r="F14" i="425"/>
  <c r="K13" i="425"/>
  <c r="U13" i="425"/>
  <c r="T13" i="425"/>
  <c r="I13" i="425" s="1"/>
  <c r="F13" i="425"/>
  <c r="T12" i="425"/>
  <c r="I12" i="425" s="1"/>
  <c r="F12" i="425"/>
  <c r="T11" i="425"/>
  <c r="I11" i="425" s="1"/>
  <c r="F11" i="425"/>
  <c r="K10" i="425"/>
  <c r="U10" i="425"/>
  <c r="T10" i="425"/>
  <c r="I10" i="425" s="1"/>
  <c r="F10" i="425"/>
  <c r="T9" i="425"/>
  <c r="I9" i="425" s="1"/>
  <c r="F9" i="425"/>
  <c r="T8" i="425"/>
  <c r="I8" i="425" s="1"/>
  <c r="F8" i="425"/>
  <c r="K7" i="425"/>
  <c r="U7" i="425"/>
  <c r="T7" i="425"/>
  <c r="I7" i="425" s="1"/>
  <c r="F7" i="425"/>
  <c r="T6" i="425"/>
  <c r="I6" i="425" s="1"/>
  <c r="F6" i="425"/>
  <c r="T5" i="425"/>
  <c r="I5" i="425" s="1"/>
  <c r="F5" i="425"/>
  <c r="J30" i="425" l="1"/>
  <c r="J40" i="425"/>
  <c r="J32" i="425"/>
  <c r="J18" i="425"/>
  <c r="J20" i="425"/>
  <c r="J17" i="425"/>
  <c r="J34" i="425"/>
  <c r="J36" i="425"/>
  <c r="J38" i="425"/>
  <c r="J31" i="425"/>
  <c r="J43" i="425"/>
  <c r="J28" i="425"/>
  <c r="J25" i="425"/>
  <c r="J27" i="425"/>
  <c r="J29" i="425"/>
  <c r="J41" i="425"/>
  <c r="J33" i="425"/>
  <c r="J45" i="425"/>
  <c r="J35" i="425"/>
  <c r="J47" i="425"/>
  <c r="J26" i="425"/>
  <c r="J22" i="425"/>
  <c r="J24" i="425"/>
  <c r="J19" i="425"/>
  <c r="J21" i="425"/>
  <c r="J23" i="425"/>
  <c r="J37" i="425"/>
  <c r="J49" i="425"/>
  <c r="J39" i="425"/>
  <c r="L40" i="425"/>
  <c r="G35" i="425"/>
  <c r="H46" i="425"/>
  <c r="H24" i="425"/>
  <c r="H31" i="425"/>
  <c r="G29" i="425"/>
  <c r="G9" i="425"/>
  <c r="G27" i="425"/>
  <c r="G36" i="425"/>
  <c r="G18" i="425"/>
  <c r="N28" i="425"/>
  <c r="N40" i="425"/>
  <c r="O43" i="425" s="1"/>
  <c r="G15" i="425"/>
  <c r="C22" i="425"/>
  <c r="G22" i="425"/>
  <c r="C25" i="425"/>
  <c r="G25" i="425"/>
  <c r="N22" i="425"/>
  <c r="G37" i="425"/>
  <c r="H38" i="425"/>
  <c r="B31" i="425"/>
  <c r="G31" i="425"/>
  <c r="C34" i="425"/>
  <c r="E46" i="425" s="1"/>
  <c r="M37" i="425"/>
  <c r="N37" i="425"/>
  <c r="H26" i="425"/>
  <c r="M31" i="425"/>
  <c r="H36" i="425"/>
  <c r="N31" i="425"/>
  <c r="C40" i="425"/>
  <c r="E52" i="425" s="1"/>
  <c r="G30" i="425"/>
  <c r="N34" i="425"/>
  <c r="G39" i="425"/>
  <c r="H40" i="425"/>
  <c r="N25" i="425"/>
  <c r="G26" i="425"/>
  <c r="H39" i="425"/>
  <c r="G28" i="425"/>
  <c r="H33" i="425"/>
  <c r="N19" i="425"/>
  <c r="G20" i="425"/>
  <c r="C28" i="425"/>
  <c r="H37" i="425"/>
  <c r="B7" i="425"/>
  <c r="G7" i="425"/>
  <c r="G8" i="425"/>
  <c r="N7" i="425"/>
  <c r="M22" i="425"/>
  <c r="H35" i="425"/>
  <c r="G6" i="425"/>
  <c r="G10" i="425"/>
  <c r="C13" i="425"/>
  <c r="G13" i="425"/>
  <c r="B16" i="425"/>
  <c r="G16" i="425"/>
  <c r="C19" i="425"/>
  <c r="H21" i="425"/>
  <c r="H22" i="425"/>
  <c r="G24" i="425"/>
  <c r="H30" i="425"/>
  <c r="M34" i="425"/>
  <c r="C7" i="425"/>
  <c r="L13" i="425"/>
  <c r="L16" i="425"/>
  <c r="H27" i="425"/>
  <c r="C10" i="425"/>
  <c r="M19" i="425"/>
  <c r="N10" i="425"/>
  <c r="N13" i="425"/>
  <c r="N16" i="425"/>
  <c r="H17" i="425"/>
  <c r="G19" i="425"/>
  <c r="H20" i="425"/>
  <c r="G21" i="425"/>
  <c r="M28" i="425"/>
  <c r="H29" i="425"/>
  <c r="H32" i="425"/>
  <c r="C31" i="425"/>
  <c r="E43" i="425" s="1"/>
  <c r="G33" i="425"/>
  <c r="G34" i="425"/>
  <c r="C37" i="425"/>
  <c r="E49" i="425" s="1"/>
  <c r="G40" i="425"/>
  <c r="G32" i="425"/>
  <c r="B37" i="425"/>
  <c r="G38" i="425"/>
  <c r="C16" i="425"/>
  <c r="H18" i="425"/>
  <c r="H19" i="425"/>
  <c r="L19" i="425"/>
  <c r="B22" i="425"/>
  <c r="H23" i="425"/>
  <c r="H25" i="425"/>
  <c r="L25" i="425"/>
  <c r="B28" i="425"/>
  <c r="L31" i="425"/>
  <c r="B34" i="425"/>
  <c r="L37" i="425"/>
  <c r="B40" i="425"/>
  <c r="G12" i="425"/>
  <c r="B10" i="425"/>
  <c r="L10" i="425"/>
  <c r="M25" i="425"/>
  <c r="B13" i="425"/>
  <c r="G14" i="425"/>
  <c r="B19" i="425"/>
  <c r="L22" i="425"/>
  <c r="B25" i="425"/>
  <c r="H28" i="425"/>
  <c r="L28" i="425"/>
  <c r="H34" i="425"/>
  <c r="L34" i="425"/>
  <c r="G11" i="425"/>
  <c r="G17" i="425"/>
  <c r="G23" i="425"/>
  <c r="T40" i="424"/>
  <c r="I40" i="424" s="1"/>
  <c r="J52" i="424" s="1"/>
  <c r="T39" i="424"/>
  <c r="I39" i="424" s="1"/>
  <c r="J51" i="424" s="1"/>
  <c r="F39" i="424"/>
  <c r="H51" i="424" s="1"/>
  <c r="T38" i="424"/>
  <c r="I38" i="424" s="1"/>
  <c r="J50" i="424" s="1"/>
  <c r="F38" i="424"/>
  <c r="H50" i="424" s="1"/>
  <c r="K37" i="424"/>
  <c r="M49" i="424" s="1"/>
  <c r="U37" i="424"/>
  <c r="T37" i="424"/>
  <c r="I37" i="424" s="1"/>
  <c r="F37" i="424"/>
  <c r="H49" i="424" s="1"/>
  <c r="T36" i="424"/>
  <c r="I36" i="424" s="1"/>
  <c r="J48" i="424" s="1"/>
  <c r="F36" i="424"/>
  <c r="H48" i="424" s="1"/>
  <c r="T35" i="424"/>
  <c r="I35" i="424" s="1"/>
  <c r="F35" i="424"/>
  <c r="H47" i="424" s="1"/>
  <c r="K34" i="424"/>
  <c r="M46" i="424" s="1"/>
  <c r="U34" i="424"/>
  <c r="T34" i="424"/>
  <c r="I34" i="424" s="1"/>
  <c r="J46" i="424" s="1"/>
  <c r="F34" i="424"/>
  <c r="H46" i="424" s="1"/>
  <c r="T33" i="424"/>
  <c r="I33" i="424" s="1"/>
  <c r="F33" i="424"/>
  <c r="H45" i="424" s="1"/>
  <c r="T32" i="424"/>
  <c r="I32" i="424" s="1"/>
  <c r="J44" i="424" s="1"/>
  <c r="F32" i="424"/>
  <c r="H44" i="424" s="1"/>
  <c r="K31" i="424"/>
  <c r="M43" i="424" s="1"/>
  <c r="U31" i="424"/>
  <c r="T31" i="424"/>
  <c r="I31" i="424" s="1"/>
  <c r="F31" i="424"/>
  <c r="H43" i="424" s="1"/>
  <c r="T30" i="424"/>
  <c r="I30" i="424" s="1"/>
  <c r="J42" i="424" s="1"/>
  <c r="F30" i="424"/>
  <c r="H42" i="424" s="1"/>
  <c r="T29" i="424"/>
  <c r="I29" i="424" s="1"/>
  <c r="F29" i="424"/>
  <c r="H41" i="424" s="1"/>
  <c r="K28" i="424"/>
  <c r="U28" i="424"/>
  <c r="M40" i="424" s="1"/>
  <c r="T28" i="424"/>
  <c r="I28" i="424" s="1"/>
  <c r="F28" i="424"/>
  <c r="T27" i="424"/>
  <c r="I27" i="424" s="1"/>
  <c r="F27" i="424"/>
  <c r="T26" i="424"/>
  <c r="I26" i="424" s="1"/>
  <c r="F26" i="424"/>
  <c r="K25" i="424"/>
  <c r="U25" i="424"/>
  <c r="T25" i="424"/>
  <c r="I25" i="424" s="1"/>
  <c r="F25" i="424"/>
  <c r="T24" i="424"/>
  <c r="I24" i="424" s="1"/>
  <c r="F24" i="424"/>
  <c r="T23" i="424"/>
  <c r="I23" i="424" s="1"/>
  <c r="F23" i="424"/>
  <c r="K22" i="424"/>
  <c r="U22" i="424"/>
  <c r="T22" i="424"/>
  <c r="I22" i="424" s="1"/>
  <c r="F22" i="424"/>
  <c r="T21" i="424"/>
  <c r="I21" i="424" s="1"/>
  <c r="F21" i="424"/>
  <c r="T20" i="424"/>
  <c r="I20" i="424" s="1"/>
  <c r="F20" i="424"/>
  <c r="K19" i="424"/>
  <c r="U19" i="424"/>
  <c r="T19" i="424"/>
  <c r="I19" i="424" s="1"/>
  <c r="F19" i="424"/>
  <c r="T18" i="424"/>
  <c r="I18" i="424" s="1"/>
  <c r="F18" i="424"/>
  <c r="T17" i="424"/>
  <c r="I17" i="424" s="1"/>
  <c r="F17" i="424"/>
  <c r="K16" i="424"/>
  <c r="U16" i="424"/>
  <c r="T16" i="424"/>
  <c r="I16" i="424" s="1"/>
  <c r="F16" i="424"/>
  <c r="T15" i="424"/>
  <c r="I15" i="424" s="1"/>
  <c r="F15" i="424"/>
  <c r="T14" i="424"/>
  <c r="I14" i="424" s="1"/>
  <c r="F14" i="424"/>
  <c r="K13" i="424"/>
  <c r="U13" i="424"/>
  <c r="T13" i="424"/>
  <c r="I13" i="424" s="1"/>
  <c r="F13" i="424"/>
  <c r="T12" i="424"/>
  <c r="I12" i="424" s="1"/>
  <c r="F12" i="424"/>
  <c r="T11" i="424"/>
  <c r="I11" i="424" s="1"/>
  <c r="F11" i="424"/>
  <c r="K10" i="424"/>
  <c r="U10" i="424"/>
  <c r="T10" i="424"/>
  <c r="I10" i="424" s="1"/>
  <c r="F10" i="424"/>
  <c r="T9" i="424"/>
  <c r="I9" i="424" s="1"/>
  <c r="F9" i="424"/>
  <c r="T8" i="424"/>
  <c r="I8" i="424" s="1"/>
  <c r="F8" i="424"/>
  <c r="K7" i="424"/>
  <c r="U7" i="424"/>
  <c r="T7" i="424"/>
  <c r="I7" i="424" s="1"/>
  <c r="F7" i="424"/>
  <c r="T6" i="424"/>
  <c r="I6" i="424" s="1"/>
  <c r="F6" i="424"/>
  <c r="T5" i="424"/>
  <c r="I5" i="424" s="1"/>
  <c r="F5" i="424"/>
  <c r="Q29" i="404"/>
  <c r="R29" i="404"/>
  <c r="S29" i="404"/>
  <c r="Q30" i="404"/>
  <c r="R30" i="404"/>
  <c r="S30" i="404"/>
  <c r="Q31" i="404"/>
  <c r="R31" i="404"/>
  <c r="S31" i="404"/>
  <c r="Q32" i="404"/>
  <c r="R32" i="404"/>
  <c r="S32" i="404"/>
  <c r="Q33" i="404"/>
  <c r="R33" i="404"/>
  <c r="S33" i="404"/>
  <c r="Q34" i="404"/>
  <c r="R34" i="404"/>
  <c r="S34" i="404"/>
  <c r="Q35" i="404"/>
  <c r="R35" i="404"/>
  <c r="S35" i="404"/>
  <c r="Q36" i="404"/>
  <c r="R36" i="404"/>
  <c r="S36" i="404"/>
  <c r="Q37" i="404"/>
  <c r="R37" i="404"/>
  <c r="S37" i="404"/>
  <c r="Q38" i="404"/>
  <c r="R38" i="404"/>
  <c r="S38" i="404"/>
  <c r="Q39" i="404"/>
  <c r="R39" i="404"/>
  <c r="S39" i="404"/>
  <c r="F40" i="404"/>
  <c r="G41" i="404" s="1"/>
  <c r="F40" i="142"/>
  <c r="G41" i="142" l="1"/>
  <c r="H52" i="142"/>
  <c r="E40" i="425"/>
  <c r="D43" i="425"/>
  <c r="M31" i="424"/>
  <c r="J22" i="424"/>
  <c r="J24" i="424"/>
  <c r="J26" i="424"/>
  <c r="J19" i="424"/>
  <c r="J21" i="424"/>
  <c r="J23" i="424"/>
  <c r="J40" i="424"/>
  <c r="J39" i="424"/>
  <c r="J18" i="424"/>
  <c r="J20" i="424"/>
  <c r="J34" i="424"/>
  <c r="J36" i="424"/>
  <c r="J38" i="424"/>
  <c r="M37" i="424"/>
  <c r="J17" i="424"/>
  <c r="J31" i="424"/>
  <c r="J43" i="424"/>
  <c r="J33" i="424"/>
  <c r="J45" i="424"/>
  <c r="J35" i="424"/>
  <c r="J47" i="424"/>
  <c r="D10" i="425"/>
  <c r="J37" i="424"/>
  <c r="J49" i="424"/>
  <c r="J28" i="424"/>
  <c r="J30" i="424"/>
  <c r="J32" i="424"/>
  <c r="J25" i="424"/>
  <c r="J27" i="424"/>
  <c r="J29" i="424"/>
  <c r="J41" i="424"/>
  <c r="L40" i="424"/>
  <c r="O28" i="425"/>
  <c r="H24" i="424"/>
  <c r="E22" i="425"/>
  <c r="O25" i="425"/>
  <c r="O31" i="425"/>
  <c r="D25" i="425"/>
  <c r="O19" i="425"/>
  <c r="O40" i="425"/>
  <c r="N28" i="424"/>
  <c r="D28" i="425"/>
  <c r="U40" i="404"/>
  <c r="L43" i="404" s="1"/>
  <c r="K40" i="404"/>
  <c r="N40" i="424"/>
  <c r="O43" i="424" s="1"/>
  <c r="E37" i="425"/>
  <c r="D34" i="425"/>
  <c r="O34" i="425"/>
  <c r="D40" i="425"/>
  <c r="D37" i="425"/>
  <c r="D31" i="425"/>
  <c r="E34" i="425"/>
  <c r="O16" i="425"/>
  <c r="E31" i="425"/>
  <c r="O37" i="425"/>
  <c r="O22" i="425"/>
  <c r="E19" i="425"/>
  <c r="O10" i="425"/>
  <c r="D13" i="425"/>
  <c r="D22" i="425"/>
  <c r="D16" i="425"/>
  <c r="E25" i="425"/>
  <c r="O13" i="425"/>
  <c r="D19" i="425"/>
  <c r="G30" i="424"/>
  <c r="G36" i="424"/>
  <c r="E28" i="425"/>
  <c r="C19" i="424"/>
  <c r="G19" i="424"/>
  <c r="C25" i="424"/>
  <c r="G25" i="424"/>
  <c r="G37" i="424"/>
  <c r="H39" i="424"/>
  <c r="N31" i="424"/>
  <c r="N34" i="424"/>
  <c r="N37" i="424"/>
  <c r="G8" i="424"/>
  <c r="G10" i="424"/>
  <c r="C13" i="424"/>
  <c r="G13" i="424"/>
  <c r="B16" i="424"/>
  <c r="N7" i="424"/>
  <c r="H38" i="424"/>
  <c r="H40" i="424"/>
  <c r="G6" i="424"/>
  <c r="N10" i="424"/>
  <c r="N13" i="424"/>
  <c r="N22" i="424"/>
  <c r="N25" i="424"/>
  <c r="G9" i="424"/>
  <c r="H21" i="424"/>
  <c r="M22" i="424"/>
  <c r="H27" i="424"/>
  <c r="M28" i="424"/>
  <c r="H31" i="424"/>
  <c r="H32" i="424"/>
  <c r="H34" i="424"/>
  <c r="M19" i="424"/>
  <c r="N16" i="424"/>
  <c r="H17" i="424"/>
  <c r="L13" i="424"/>
  <c r="G16" i="424"/>
  <c r="L16" i="424"/>
  <c r="N19" i="424"/>
  <c r="H19" i="424"/>
  <c r="L19" i="424"/>
  <c r="G24" i="424"/>
  <c r="H25" i="424"/>
  <c r="H26" i="424"/>
  <c r="H28" i="424"/>
  <c r="B7" i="424"/>
  <c r="G7" i="424"/>
  <c r="C10" i="424"/>
  <c r="G18" i="424"/>
  <c r="H20" i="424"/>
  <c r="H22" i="424"/>
  <c r="H33" i="424"/>
  <c r="M34" i="424"/>
  <c r="C31" i="424"/>
  <c r="E43" i="424" s="1"/>
  <c r="H30" i="424"/>
  <c r="H37" i="424"/>
  <c r="H29" i="424"/>
  <c r="C37" i="424"/>
  <c r="E49" i="424" s="1"/>
  <c r="H36" i="424"/>
  <c r="G31" i="424"/>
  <c r="H35" i="424"/>
  <c r="T40" i="414"/>
  <c r="I40" i="414" s="1"/>
  <c r="J52" i="414" s="1"/>
  <c r="C7" i="424"/>
  <c r="G12" i="424"/>
  <c r="C16" i="424"/>
  <c r="H18" i="424"/>
  <c r="B22" i="424"/>
  <c r="H23" i="424"/>
  <c r="L25" i="424"/>
  <c r="B28" i="424"/>
  <c r="L31" i="424"/>
  <c r="B34" i="424"/>
  <c r="L37" i="424"/>
  <c r="B40" i="424"/>
  <c r="B10" i="424"/>
  <c r="L10" i="424"/>
  <c r="G11" i="424"/>
  <c r="G15" i="424"/>
  <c r="G20" i="424"/>
  <c r="G21" i="424"/>
  <c r="C22" i="424"/>
  <c r="G22" i="424"/>
  <c r="M25" i="424"/>
  <c r="G26" i="424"/>
  <c r="G27" i="424"/>
  <c r="C28" i="424"/>
  <c r="G28" i="424"/>
  <c r="G32" i="424"/>
  <c r="G33" i="424"/>
  <c r="C34" i="424"/>
  <c r="E46" i="424" s="1"/>
  <c r="G34" i="424"/>
  <c r="G38" i="424"/>
  <c r="G39" i="424"/>
  <c r="C40" i="424"/>
  <c r="E52" i="424" s="1"/>
  <c r="G40" i="424"/>
  <c r="B13" i="424"/>
  <c r="G14" i="424"/>
  <c r="B19" i="424"/>
  <c r="L22" i="424"/>
  <c r="B25" i="424"/>
  <c r="L28" i="424"/>
  <c r="B31" i="424"/>
  <c r="L34" i="424"/>
  <c r="B37" i="424"/>
  <c r="G17" i="424"/>
  <c r="G23" i="424"/>
  <c r="G29" i="424"/>
  <c r="G35" i="424"/>
  <c r="D43" i="424" l="1"/>
  <c r="O28" i="424"/>
  <c r="O10" i="424"/>
  <c r="O16" i="424"/>
  <c r="O31" i="424"/>
  <c r="O37" i="424"/>
  <c r="E31" i="424"/>
  <c r="O40" i="424"/>
  <c r="E37" i="424"/>
  <c r="O34" i="424"/>
  <c r="E25" i="424"/>
  <c r="D13" i="424"/>
  <c r="O13" i="424"/>
  <c r="D16" i="424"/>
  <c r="O25" i="424"/>
  <c r="D10" i="424"/>
  <c r="O19" i="424"/>
  <c r="E19" i="424"/>
  <c r="O22" i="424"/>
  <c r="E28" i="424"/>
  <c r="D28" i="424"/>
  <c r="D31" i="424"/>
  <c r="E40" i="424"/>
  <c r="D40" i="424"/>
  <c r="E34" i="424"/>
  <c r="D34" i="424"/>
  <c r="E22" i="424"/>
  <c r="D22" i="424"/>
  <c r="D37" i="424"/>
  <c r="D19" i="424"/>
  <c r="D25" i="424"/>
  <c r="T40" i="48" l="1"/>
  <c r="I40" i="48" s="1"/>
  <c r="J52" i="48" s="1"/>
  <c r="T40" i="23"/>
  <c r="I40" i="23" s="1"/>
  <c r="J52" i="23" s="1"/>
  <c r="T40" i="52"/>
  <c r="I40" i="52" s="1"/>
  <c r="J52" i="52" s="1"/>
  <c r="T40" i="389"/>
  <c r="I40" i="389" s="1"/>
  <c r="J52" i="389" s="1"/>
  <c r="T40" i="409"/>
  <c r="I40" i="409" s="1"/>
  <c r="J52" i="409" s="1"/>
  <c r="T40" i="142"/>
  <c r="I40" i="142" s="1"/>
  <c r="J52" i="142" s="1"/>
  <c r="T40" i="20"/>
  <c r="I40" i="20" s="1"/>
  <c r="J52" i="20" s="1"/>
  <c r="T40" i="422"/>
  <c r="I40" i="422" s="1"/>
  <c r="J52" i="422" s="1"/>
  <c r="T40" i="43"/>
  <c r="I40" i="43" s="1"/>
  <c r="J52" i="43" s="1"/>
  <c r="T40" i="88"/>
  <c r="I40" i="88" s="1"/>
  <c r="J52" i="88" s="1"/>
  <c r="T40" i="148"/>
  <c r="I40" i="148" s="1"/>
  <c r="J52" i="148" s="1"/>
  <c r="T40" i="89"/>
  <c r="I40" i="89" s="1"/>
  <c r="J52" i="89" s="1"/>
  <c r="T40" i="28"/>
  <c r="I40" i="28" s="1"/>
  <c r="J52" i="28" s="1"/>
  <c r="T40" i="29"/>
  <c r="I40" i="29" s="1"/>
  <c r="J52" i="29" s="1"/>
  <c r="T40" i="359"/>
  <c r="I40" i="359" s="1"/>
  <c r="J52" i="359" s="1"/>
  <c r="T40" i="360"/>
  <c r="I40" i="360" s="1"/>
  <c r="J52" i="360" s="1"/>
  <c r="T40" i="202"/>
  <c r="I40" i="202" s="1"/>
  <c r="J52" i="202" s="1"/>
  <c r="T40" i="391"/>
  <c r="I40" i="391" s="1"/>
  <c r="J52" i="391" s="1"/>
  <c r="T40" i="368"/>
  <c r="I40" i="368" s="1"/>
  <c r="J52" i="368" s="1"/>
  <c r="T40" i="364"/>
  <c r="I40" i="364" s="1"/>
  <c r="J52" i="364" s="1"/>
  <c r="T40" i="420"/>
  <c r="I40" i="420" s="1"/>
  <c r="J52" i="420" s="1"/>
  <c r="T40" i="392"/>
  <c r="I40" i="392" s="1"/>
  <c r="J52" i="392" s="1"/>
  <c r="T40" i="8"/>
  <c r="I40" i="8" s="1"/>
  <c r="J52" i="8" s="1"/>
  <c r="T40" i="203"/>
  <c r="I40" i="203" s="1"/>
  <c r="J52" i="203" s="1"/>
  <c r="L40" i="415"/>
  <c r="T40" i="191"/>
  <c r="I40" i="191" s="1"/>
  <c r="J52" i="191" s="1"/>
  <c r="T40" i="113"/>
  <c r="I40" i="113" s="1"/>
  <c r="J52" i="113" s="1"/>
  <c r="T40" i="361"/>
  <c r="I40" i="361" s="1"/>
  <c r="J52" i="361" s="1"/>
  <c r="T40" i="351"/>
  <c r="I40" i="351" s="1"/>
  <c r="J52" i="351" s="1"/>
  <c r="T40" i="352"/>
  <c r="I40" i="352" s="1"/>
  <c r="J52" i="352" s="1"/>
  <c r="T40" i="322"/>
  <c r="I40" i="322" s="1"/>
  <c r="J52" i="322" s="1"/>
  <c r="T40" i="353"/>
  <c r="I40" i="353" s="1"/>
  <c r="J52" i="353" s="1"/>
  <c r="T40" i="362"/>
  <c r="I40" i="362" s="1"/>
  <c r="J52" i="362" s="1"/>
  <c r="T40" i="354"/>
  <c r="I40" i="354" s="1"/>
  <c r="J52" i="354" s="1"/>
  <c r="T40" i="233"/>
  <c r="I40" i="233" s="1"/>
  <c r="J52" i="233" s="1"/>
  <c r="T40" i="2"/>
  <c r="I40" i="2" s="1"/>
  <c r="J52" i="2" s="1"/>
  <c r="T40" i="12"/>
  <c r="I40" i="12" s="1"/>
  <c r="J52" i="12" s="1"/>
  <c r="T40" i="356"/>
  <c r="I40" i="356" s="1"/>
  <c r="J52" i="356" s="1"/>
  <c r="T40" i="164"/>
  <c r="I40" i="164" s="1"/>
  <c r="J52" i="164" s="1"/>
  <c r="T40" i="162"/>
  <c r="I40" i="162" s="1"/>
  <c r="J52" i="162" s="1"/>
  <c r="T40" i="413"/>
  <c r="I40" i="413" s="1"/>
  <c r="J52" i="413" s="1"/>
  <c r="T40" i="421"/>
  <c r="I40" i="421" s="1"/>
  <c r="J52" i="421" s="1"/>
  <c r="T40" i="5"/>
  <c r="I40" i="5" s="1"/>
  <c r="J52" i="5" s="1"/>
  <c r="T40" i="207"/>
  <c r="I40" i="207" s="1"/>
  <c r="J52" i="207" s="1"/>
  <c r="T40" i="75"/>
  <c r="I40" i="75" s="1"/>
  <c r="J52" i="75" s="1"/>
  <c r="T40" i="333"/>
  <c r="I40" i="333" s="1"/>
  <c r="J52" i="333" s="1"/>
  <c r="I40" i="296"/>
  <c r="J52" i="296" s="1"/>
  <c r="T40" i="53"/>
  <c r="I40" i="53" s="1"/>
  <c r="J52" i="53" s="1"/>
  <c r="T40" i="387"/>
  <c r="I40" i="387" s="1"/>
  <c r="J52" i="387" s="1"/>
  <c r="T40" i="314"/>
  <c r="I40" i="314" s="1"/>
  <c r="J52" i="314" s="1"/>
  <c r="T40" i="303"/>
  <c r="I40" i="303" s="1"/>
  <c r="J52" i="303" s="1"/>
  <c r="T40" i="394"/>
  <c r="I40" i="394" s="1"/>
  <c r="J52" i="394" s="1"/>
  <c r="T40" i="393"/>
  <c r="I40" i="393" s="1"/>
  <c r="J52" i="393" s="1"/>
  <c r="T40" i="400"/>
  <c r="I40" i="400" s="1"/>
  <c r="J52" i="400" s="1"/>
  <c r="T40" i="404"/>
  <c r="I40" i="404" s="1"/>
  <c r="T40" i="402"/>
  <c r="I40" i="402" s="1"/>
  <c r="T40" i="403"/>
  <c r="I40" i="403" s="1"/>
  <c r="S40" i="408"/>
  <c r="I40" i="408" s="1"/>
  <c r="T40" i="114"/>
  <c r="I40" i="114" s="1"/>
  <c r="J52" i="114" s="1"/>
  <c r="T40" i="323"/>
  <c r="I40" i="323" s="1"/>
  <c r="J52" i="323" s="1"/>
  <c r="T40" i="385"/>
  <c r="I40" i="385" s="1"/>
  <c r="J52" i="385" s="1"/>
  <c r="T40" i="334"/>
  <c r="I40" i="334" s="1"/>
  <c r="J52" i="334" s="1"/>
  <c r="T40" i="3"/>
  <c r="I40" i="3" s="1"/>
  <c r="J52" i="3" s="1"/>
  <c r="T40" i="349"/>
  <c r="I40" i="349" s="1"/>
  <c r="J52" i="349" s="1"/>
  <c r="T40" i="4"/>
  <c r="I40" i="4" s="1"/>
  <c r="J52" i="4" s="1"/>
  <c r="T40" i="15"/>
  <c r="I40" i="15" s="1"/>
  <c r="J52" i="15" s="1"/>
  <c r="T40" i="355"/>
  <c r="I40" i="355" s="1"/>
  <c r="J52" i="355" s="1"/>
  <c r="T40" i="299"/>
  <c r="I40" i="299" s="1"/>
  <c r="J52" i="299" s="1"/>
  <c r="T40" i="190"/>
  <c r="I40" i="190" s="1"/>
  <c r="J52" i="190" s="1"/>
  <c r="T40" i="16"/>
  <c r="I40" i="16" s="1"/>
  <c r="J52" i="16" s="1"/>
  <c r="T40" i="17"/>
  <c r="I40" i="17" s="1"/>
  <c r="J52" i="17" s="1"/>
  <c r="T40" i="54"/>
  <c r="I40" i="54" s="1"/>
  <c r="J52" i="54" s="1"/>
  <c r="T40" i="384"/>
  <c r="I40" i="384" s="1"/>
  <c r="J52" i="384" s="1"/>
  <c r="T40" i="201"/>
  <c r="I40" i="201" s="1"/>
  <c r="J52" i="201" s="1"/>
  <c r="T40" i="249"/>
  <c r="I40" i="249" s="1"/>
  <c r="J52" i="249" s="1"/>
  <c r="T40" i="21"/>
  <c r="I40" i="21" s="1"/>
  <c r="J52" i="21" s="1"/>
  <c r="T40" i="7"/>
  <c r="I40" i="7" s="1"/>
  <c r="J52" i="7" s="1"/>
  <c r="T40" i="423"/>
  <c r="I40" i="423" s="1"/>
  <c r="J52" i="423" s="1"/>
  <c r="T40" i="13"/>
  <c r="I40" i="13" s="1"/>
  <c r="J52" i="13" s="1"/>
  <c r="T40" i="261"/>
  <c r="I40" i="261" s="1"/>
  <c r="J52" i="261" s="1"/>
  <c r="T40" i="153"/>
  <c r="I40" i="153" s="1"/>
  <c r="J52" i="153" s="1"/>
  <c r="T40" i="257"/>
  <c r="I40" i="257" s="1"/>
  <c r="J52" i="257" s="1"/>
  <c r="T40" i="19"/>
  <c r="I40" i="19" s="1"/>
  <c r="J52" i="19" s="1"/>
  <c r="T40" i="347"/>
  <c r="I40" i="347" s="1"/>
  <c r="J52" i="347" s="1"/>
  <c r="T40" i="37"/>
  <c r="I40" i="37" s="1"/>
  <c r="J52" i="37" s="1"/>
  <c r="T40" i="367"/>
  <c r="I40" i="367" s="1"/>
  <c r="J52" i="367" s="1"/>
  <c r="L40" i="369"/>
  <c r="T40" i="204"/>
  <c r="I40" i="204" s="1"/>
  <c r="J52" i="204" s="1"/>
  <c r="T40" i="363"/>
  <c r="I40" i="363" s="1"/>
  <c r="T40" i="31"/>
  <c r="I40" i="31" s="1"/>
  <c r="J52" i="31" s="1"/>
  <c r="T40" i="298"/>
  <c r="I40" i="298" s="1"/>
  <c r="J52" i="298" s="1"/>
  <c r="S40" i="170"/>
  <c r="T40" i="168"/>
  <c r="I40" i="168" s="1"/>
  <c r="J52" i="168" s="1"/>
  <c r="T40" i="169"/>
  <c r="I40" i="169" s="1"/>
  <c r="J52" i="169" s="1"/>
  <c r="T40" i="336"/>
  <c r="I40" i="336" s="1"/>
  <c r="J52" i="336" s="1"/>
  <c r="T40" i="342"/>
  <c r="I40" i="342" s="1"/>
  <c r="J52" i="342" s="1"/>
  <c r="T40" i="33"/>
  <c r="I40" i="33" s="1"/>
  <c r="J52" i="33" s="1"/>
  <c r="T40" i="319"/>
  <c r="I40" i="319" s="1"/>
  <c r="J52" i="319" s="1"/>
  <c r="T40" i="320"/>
  <c r="I40" i="320" s="1"/>
  <c r="J52" i="320" s="1"/>
  <c r="L40" i="343"/>
  <c r="T40" i="318"/>
  <c r="I40" i="318" s="1"/>
  <c r="J52" i="318" s="1"/>
  <c r="T40" i="288"/>
  <c r="I40" i="288" s="1"/>
  <c r="J52" i="288" s="1"/>
  <c r="T40" i="337"/>
  <c r="I40" i="337" s="1"/>
  <c r="J52" i="337" s="1"/>
  <c r="T40" i="227"/>
  <c r="I40" i="227" s="1"/>
  <c r="J52" i="227" s="1"/>
  <c r="S40" i="388"/>
  <c r="R40" i="388"/>
  <c r="Q40" i="388"/>
  <c r="F40" i="388" s="1"/>
  <c r="T40" i="290"/>
  <c r="I40" i="290" s="1"/>
  <c r="J52" i="290" s="1"/>
  <c r="T40" i="289"/>
  <c r="I40" i="289" s="1"/>
  <c r="J52" i="289" s="1"/>
  <c r="S40" i="357"/>
  <c r="I40" i="357" s="1"/>
  <c r="T40" i="293"/>
  <c r="I40" i="293" s="1"/>
  <c r="J52" i="293" s="1"/>
  <c r="T40" i="348"/>
  <c r="I40" i="348" s="1"/>
  <c r="J52" i="348" s="1"/>
  <c r="S40" i="195"/>
  <c r="R40" i="195"/>
  <c r="Q40" i="195"/>
  <c r="F40" i="195" s="1"/>
  <c r="T40" i="194"/>
  <c r="I40" i="194" s="1"/>
  <c r="J52" i="194" s="1"/>
  <c r="T40" i="193"/>
  <c r="I40" i="193" s="1"/>
  <c r="J52" i="193" s="1"/>
  <c r="T40" i="297"/>
  <c r="I40" i="297" s="1"/>
  <c r="J52" i="297" s="1"/>
  <c r="T40" i="350"/>
  <c r="I40" i="350" s="1"/>
  <c r="J52" i="350" s="1"/>
  <c r="T40" i="105"/>
  <c r="I40" i="105" s="1"/>
  <c r="J52" i="105" s="1"/>
  <c r="T40" i="294"/>
  <c r="I40" i="294" s="1"/>
  <c r="J52" i="294" s="1"/>
  <c r="S40" i="365"/>
  <c r="I40" i="365" s="1"/>
  <c r="S40" i="366"/>
  <c r="I40" i="366" s="1"/>
  <c r="T40" i="206"/>
  <c r="I40" i="206" s="1"/>
  <c r="J52" i="206" s="1"/>
  <c r="T40" i="22"/>
  <c r="I40" i="22" s="1"/>
  <c r="J52" i="22" s="1"/>
  <c r="T40" i="301"/>
  <c r="I40" i="301" s="1"/>
  <c r="J52" i="301" s="1"/>
  <c r="T40" i="344"/>
  <c r="I40" i="344" s="1"/>
  <c r="J52" i="344" s="1"/>
  <c r="T40" i="61"/>
  <c r="I40" i="61" s="1"/>
  <c r="J52" i="61" s="1"/>
  <c r="T40" i="338"/>
  <c r="I40" i="338" s="1"/>
  <c r="J52" i="338" s="1"/>
  <c r="T40" i="340"/>
  <c r="I40" i="340" s="1"/>
  <c r="J52" i="340" s="1"/>
  <c r="T40" i="34"/>
  <c r="I40" i="34" s="1"/>
  <c r="J52" i="34" s="1"/>
  <c r="T40" i="174"/>
  <c r="I40" i="174" s="1"/>
  <c r="J52" i="174" s="1"/>
  <c r="I40" i="187"/>
  <c r="J52" i="187" s="1"/>
  <c r="T40" i="135"/>
  <c r="I40" i="135" s="1"/>
  <c r="J52" i="135" s="1"/>
  <c r="T40" i="295"/>
  <c r="I40" i="295" s="1"/>
  <c r="J52" i="295" s="1"/>
  <c r="T40" i="283"/>
  <c r="I40" i="283" s="1"/>
  <c r="J52" i="283" s="1"/>
  <c r="T40" i="284"/>
  <c r="I40" i="284" s="1"/>
  <c r="J52" i="284" s="1"/>
  <c r="T40" i="292"/>
  <c r="I40" i="292" s="1"/>
  <c r="J52" i="292" s="1"/>
  <c r="T40" i="339"/>
  <c r="I40" i="339" s="1"/>
  <c r="J52" i="339" s="1"/>
  <c r="T40" i="325"/>
  <c r="I40" i="325" s="1"/>
  <c r="J52" i="325" s="1"/>
  <c r="T40" i="269"/>
  <c r="I40" i="269" s="1"/>
  <c r="J52" i="269" s="1"/>
  <c r="T40" i="11"/>
  <c r="I40" i="11" s="1"/>
  <c r="J52" i="11" s="1"/>
  <c r="S40" i="279"/>
  <c r="I40" i="279" s="1"/>
  <c r="S40" i="335"/>
  <c r="I40" i="335" s="1"/>
  <c r="T40" i="101"/>
  <c r="I40" i="101" s="1"/>
  <c r="J52" i="101" s="1"/>
  <c r="T40" i="382"/>
  <c r="I40" i="382" s="1"/>
  <c r="J52" i="382" s="1"/>
  <c r="T40" i="102"/>
  <c r="I40" i="102" s="1"/>
  <c r="J52" i="102" s="1"/>
  <c r="T40" i="103"/>
  <c r="I40" i="103" s="1"/>
  <c r="J52" i="103" s="1"/>
  <c r="T40" i="411"/>
  <c r="I40" i="411" s="1"/>
  <c r="J52" i="411" s="1"/>
  <c r="T40" i="265"/>
  <c r="I40" i="265" s="1"/>
  <c r="J52" i="265" s="1"/>
  <c r="T40" i="262"/>
  <c r="I40" i="262" s="1"/>
  <c r="J52" i="262" s="1"/>
  <c r="T40" i="112"/>
  <c r="I40" i="112" s="1"/>
  <c r="J52" i="112" s="1"/>
  <c r="T40" i="109"/>
  <c r="I40" i="109" s="1"/>
  <c r="J52" i="109" s="1"/>
  <c r="T40" i="85"/>
  <c r="I40" i="85" s="1"/>
  <c r="J52" i="85" s="1"/>
  <c r="T40" i="324"/>
  <c r="I40" i="324" s="1"/>
  <c r="J52" i="324" s="1"/>
  <c r="T40" i="32"/>
  <c r="I40" i="32" s="1"/>
  <c r="J52" i="32" s="1"/>
  <c r="T40" i="196"/>
  <c r="I40" i="196" s="1"/>
  <c r="J52" i="196" s="1"/>
  <c r="T40" i="198"/>
  <c r="I40" i="198" s="1"/>
  <c r="J52" i="198" s="1"/>
  <c r="T40" i="345"/>
  <c r="I40" i="345" s="1"/>
  <c r="J52" i="345" s="1"/>
  <c r="T40" i="346"/>
  <c r="I40" i="346" s="1"/>
  <c r="J52" i="346" s="1"/>
  <c r="T40" i="74"/>
  <c r="I40" i="74" s="1"/>
  <c r="J52" i="74" s="1"/>
  <c r="T40" i="200"/>
  <c r="I40" i="200" s="1"/>
  <c r="J52" i="200" s="1"/>
  <c r="T40" i="280"/>
  <c r="I40" i="280" s="1"/>
  <c r="J52" i="280" s="1"/>
  <c r="T40" i="97"/>
  <c r="I40" i="97" s="1"/>
  <c r="J52" i="97" s="1"/>
  <c r="T40" i="383"/>
  <c r="I40" i="383" s="1"/>
  <c r="J52" i="383" s="1"/>
  <c r="T40" i="45"/>
  <c r="I40" i="45" s="1"/>
  <c r="J52" i="45" s="1"/>
  <c r="T40" i="104"/>
  <c r="I40" i="104" s="1"/>
  <c r="J52" i="104" s="1"/>
  <c r="T40" i="254"/>
  <c r="I40" i="254" s="1"/>
  <c r="J52" i="254" s="1"/>
  <c r="S40" i="185"/>
  <c r="R40" i="185"/>
  <c r="Q40" i="185"/>
  <c r="F40" i="185" s="1"/>
  <c r="T40" i="181"/>
  <c r="I40" i="181" s="1"/>
  <c r="J52" i="181" s="1"/>
  <c r="T40" i="183"/>
  <c r="I40" i="183" s="1"/>
  <c r="J52" i="183" s="1"/>
  <c r="T40" i="184"/>
  <c r="I40" i="184" s="1"/>
  <c r="J52" i="184" s="1"/>
  <c r="S40" i="144"/>
  <c r="R40" i="144"/>
  <c r="Q40" i="144"/>
  <c r="F40" i="144" s="1"/>
  <c r="T40" i="27"/>
  <c r="I40" i="27" s="1"/>
  <c r="J52" i="27" s="1"/>
  <c r="T40" i="143"/>
  <c r="I40" i="143" s="1"/>
  <c r="J52" i="143" s="1"/>
  <c r="T40" i="268"/>
  <c r="I40" i="268" s="1"/>
  <c r="T40" i="263"/>
  <c r="I40" i="263" s="1"/>
  <c r="J52" i="263" s="1"/>
  <c r="T40" i="209"/>
  <c r="I40" i="209" s="1"/>
  <c r="J52" i="209" s="1"/>
  <c r="T40" i="192"/>
  <c r="I40" i="192" s="1"/>
  <c r="J52" i="192" s="1"/>
  <c r="T40" i="140"/>
  <c r="I40" i="140" s="1"/>
  <c r="J52" i="140" s="1"/>
  <c r="T40" i="270"/>
  <c r="I40" i="270" s="1"/>
  <c r="J52" i="270" s="1"/>
  <c r="T40" i="271"/>
  <c r="I40" i="271" s="1"/>
  <c r="J52" i="271" s="1"/>
  <c r="S40" i="186"/>
  <c r="R40" i="186"/>
  <c r="Q40" i="186"/>
  <c r="F40" i="186" s="1"/>
  <c r="T40" i="159"/>
  <c r="I40" i="159" s="1"/>
  <c r="J52" i="159" s="1"/>
  <c r="T40" i="160"/>
  <c r="I40" i="160" s="1"/>
  <c r="J52" i="160" s="1"/>
  <c r="T40" i="107"/>
  <c r="I40" i="107" s="1"/>
  <c r="J52" i="107" s="1"/>
  <c r="T40" i="176"/>
  <c r="I40" i="176" s="1"/>
  <c r="J52" i="176" s="1"/>
  <c r="T40" i="281"/>
  <c r="I40" i="281" s="1"/>
  <c r="J52" i="281" s="1"/>
  <c r="T40" i="332"/>
  <c r="I40" i="332" s="1"/>
  <c r="J52" i="332" s="1"/>
  <c r="T40" i="25"/>
  <c r="I40" i="25" s="1"/>
  <c r="J52" i="25" s="1"/>
  <c r="T40" i="24"/>
  <c r="I40" i="24" s="1"/>
  <c r="J52" i="24" s="1"/>
  <c r="T40" i="116"/>
  <c r="I40" i="116" s="1"/>
  <c r="J52" i="116" s="1"/>
  <c r="T40" i="285"/>
  <c r="I40" i="285" s="1"/>
  <c r="J52" i="285" s="1"/>
  <c r="T40" i="272"/>
  <c r="I40" i="272" s="1"/>
  <c r="J52" i="272" s="1"/>
  <c r="S40" i="44"/>
  <c r="I40" i="44" s="1"/>
  <c r="T40" i="287"/>
  <c r="I40" i="287" s="1"/>
  <c r="J52" i="287" s="1"/>
  <c r="T40" i="276"/>
  <c r="I40" i="276" s="1"/>
  <c r="J52" i="276" s="1"/>
  <c r="U40" i="231"/>
  <c r="T40" i="229"/>
  <c r="I40" i="229" s="1"/>
  <c r="J52" i="229" s="1"/>
  <c r="T40" i="230"/>
  <c r="I40" i="230" s="1"/>
  <c r="J52" i="230" s="1"/>
  <c r="T40" i="328"/>
  <c r="I40" i="328" s="1"/>
  <c r="J52" i="328" s="1"/>
  <c r="T40" i="329"/>
  <c r="I40" i="329" s="1"/>
  <c r="J52" i="329" s="1"/>
  <c r="T40" i="326"/>
  <c r="I40" i="326" s="1"/>
  <c r="J52" i="326" s="1"/>
  <c r="T40" i="47"/>
  <c r="I40" i="47" s="1"/>
  <c r="J52" i="47" s="1"/>
  <c r="T40" i="248"/>
  <c r="I40" i="248" s="1"/>
  <c r="J52" i="248" s="1"/>
  <c r="T40" i="46"/>
  <c r="I40" i="46" s="1"/>
  <c r="J52" i="46" s="1"/>
  <c r="T40" i="239"/>
  <c r="I40" i="239" s="1"/>
  <c r="J52" i="239" s="1"/>
  <c r="T40" i="243"/>
  <c r="I40" i="243" s="1"/>
  <c r="J52" i="243" s="1"/>
  <c r="S40" i="247"/>
  <c r="F40" i="247"/>
  <c r="T40" i="244"/>
  <c r="I40" i="244" s="1"/>
  <c r="J52" i="244" s="1"/>
  <c r="T40" i="246"/>
  <c r="I40" i="246" s="1"/>
  <c r="J52" i="246" s="1"/>
  <c r="T40" i="1"/>
  <c r="I40" i="1" s="1"/>
  <c r="J52" i="1" s="1"/>
  <c r="T40" i="397"/>
  <c r="I40" i="397" s="1"/>
  <c r="J52" i="397" s="1"/>
  <c r="T40" i="9"/>
  <c r="I40" i="9" s="1"/>
  <c r="J52" i="9" s="1"/>
  <c r="G41" i="247" l="1"/>
  <c r="H52" i="247"/>
  <c r="L43" i="231"/>
  <c r="G41" i="388"/>
  <c r="H52" i="388"/>
  <c r="G41" i="185"/>
  <c r="H52" i="185"/>
  <c r="G41" i="144"/>
  <c r="H52" i="144"/>
  <c r="G41" i="195"/>
  <c r="H52" i="195"/>
  <c r="G41" i="186"/>
  <c r="H52" i="186"/>
  <c r="T40" i="186"/>
  <c r="I40" i="186" s="1"/>
  <c r="J52" i="186" s="1"/>
  <c r="T40" i="247"/>
  <c r="I40" i="247" s="1"/>
  <c r="J52" i="247" s="1"/>
  <c r="T40" i="398"/>
  <c r="I40" i="398" s="1"/>
  <c r="J52" i="398" s="1"/>
  <c r="T40" i="327"/>
  <c r="I40" i="327" s="1"/>
  <c r="J52" i="327" s="1"/>
  <c r="T40" i="253"/>
  <c r="I40" i="253" s="1"/>
  <c r="J52" i="253" s="1"/>
  <c r="T40" i="185"/>
  <c r="I40" i="185" s="1"/>
  <c r="J52" i="185" s="1"/>
  <c r="T40" i="144"/>
  <c r="I40" i="144" s="1"/>
  <c r="J52" i="144" s="1"/>
  <c r="T40" i="195"/>
  <c r="I40" i="195" s="1"/>
  <c r="J52" i="195" s="1"/>
  <c r="T40" i="388"/>
  <c r="I40" i="388" s="1"/>
  <c r="J52" i="388" s="1"/>
  <c r="T40" i="321"/>
  <c r="I40" i="321" s="1"/>
  <c r="J52" i="321" s="1"/>
  <c r="T40" i="170"/>
  <c r="I40" i="170" s="1"/>
  <c r="J52" i="170" s="1"/>
  <c r="T40" i="152"/>
  <c r="I40" i="152" s="1"/>
  <c r="J52" i="152" s="1"/>
  <c r="T40" i="371"/>
  <c r="I40" i="371" s="1"/>
  <c r="J52" i="371" s="1"/>
  <c r="T40" i="300"/>
  <c r="I40" i="300" s="1"/>
  <c r="J52" i="300" s="1"/>
  <c r="T40" i="395"/>
  <c r="I40" i="395" s="1"/>
  <c r="J52" i="395" s="1"/>
  <c r="T40" i="149"/>
  <c r="I40" i="149" s="1"/>
  <c r="J52" i="149" s="1"/>
  <c r="T40" i="231"/>
  <c r="I40" i="231" s="1"/>
  <c r="J52" i="231" s="1"/>
  <c r="S39" i="398"/>
  <c r="R39" i="398"/>
  <c r="Q39" i="398"/>
  <c r="S39" i="231"/>
  <c r="R39" i="231"/>
  <c r="Q39" i="231"/>
  <c r="S39" i="144"/>
  <c r="R39" i="144"/>
  <c r="Q39" i="144"/>
  <c r="S39" i="185"/>
  <c r="R39" i="185"/>
  <c r="Q39" i="185"/>
  <c r="S39" i="195"/>
  <c r="R39" i="195"/>
  <c r="Q39" i="195"/>
  <c r="S39" i="170"/>
  <c r="R39" i="170"/>
  <c r="Q39" i="170"/>
  <c r="K7" i="355"/>
  <c r="K10" i="355"/>
  <c r="U39" i="391"/>
  <c r="Q39" i="142"/>
  <c r="F39" i="48"/>
  <c r="F39" i="23"/>
  <c r="F39" i="52"/>
  <c r="F39" i="389"/>
  <c r="F39" i="409"/>
  <c r="F39" i="18"/>
  <c r="F39" i="20"/>
  <c r="F39" i="422"/>
  <c r="F39" i="43"/>
  <c r="F39" i="88"/>
  <c r="F39" i="148"/>
  <c r="F39" i="89"/>
  <c r="F39" i="28"/>
  <c r="F39" i="29"/>
  <c r="F39" i="359"/>
  <c r="F39" i="360"/>
  <c r="F39" i="35"/>
  <c r="H51" i="35" s="1"/>
  <c r="F39" i="391"/>
  <c r="F39" i="202"/>
  <c r="F39" i="368"/>
  <c r="F39" i="364"/>
  <c r="F39" i="420"/>
  <c r="F39" i="392"/>
  <c r="F39" i="8"/>
  <c r="F39" i="203"/>
  <c r="E39" i="415"/>
  <c r="F40" i="415" s="1"/>
  <c r="F39" i="191"/>
  <c r="F39" i="113"/>
  <c r="F39" i="361"/>
  <c r="F39" i="351"/>
  <c r="F39" i="352"/>
  <c r="F39" i="322"/>
  <c r="F39" i="353"/>
  <c r="H51" i="353" s="1"/>
  <c r="F39" i="362"/>
  <c r="F39" i="354"/>
  <c r="F39" i="233"/>
  <c r="F39" i="2"/>
  <c r="F39" i="12"/>
  <c r="F39" i="356"/>
  <c r="F39" i="164"/>
  <c r="F39" i="162"/>
  <c r="F39" i="413"/>
  <c r="F39" i="421"/>
  <c r="F39" i="5"/>
  <c r="F39" i="207"/>
  <c r="F39" i="75"/>
  <c r="F39" i="333"/>
  <c r="F39" i="296"/>
  <c r="F39" i="53"/>
  <c r="F39" i="386"/>
  <c r="F39" i="387"/>
  <c r="F39" i="314"/>
  <c r="F39" i="303"/>
  <c r="F39" i="394"/>
  <c r="F39" i="393"/>
  <c r="F39" i="400"/>
  <c r="F39" i="402"/>
  <c r="G40" i="402" s="1"/>
  <c r="F39" i="403"/>
  <c r="G40" i="403" s="1"/>
  <c r="F39" i="408"/>
  <c r="G40" i="408" s="1"/>
  <c r="F39" i="114"/>
  <c r="F39" i="323"/>
  <c r="F39" i="385"/>
  <c r="F39" i="334"/>
  <c r="F39" i="3"/>
  <c r="F39" i="349"/>
  <c r="F39" i="4"/>
  <c r="F39" i="15"/>
  <c r="H51" i="15" s="1"/>
  <c r="F39" i="355"/>
  <c r="F39" i="299"/>
  <c r="F39" i="190"/>
  <c r="F39" i="16"/>
  <c r="F39" i="17"/>
  <c r="F39" i="54"/>
  <c r="F39" i="384"/>
  <c r="F39" i="201"/>
  <c r="F39" i="249"/>
  <c r="F39" i="21"/>
  <c r="F39" i="7"/>
  <c r="F39" i="423"/>
  <c r="F39" i="13"/>
  <c r="F39" i="261"/>
  <c r="F39" i="153"/>
  <c r="F39" i="257"/>
  <c r="F39" i="19"/>
  <c r="F39" i="347"/>
  <c r="F39" i="37"/>
  <c r="F39" i="367"/>
  <c r="E39" i="369"/>
  <c r="F40" i="369" s="1"/>
  <c r="F39" i="204"/>
  <c r="F39" i="363"/>
  <c r="G40" i="363" s="1"/>
  <c r="F39" i="31"/>
  <c r="F39" i="298"/>
  <c r="F39" i="168"/>
  <c r="F39" i="169"/>
  <c r="F39" i="336"/>
  <c r="F39" i="342"/>
  <c r="F39" i="33"/>
  <c r="F39" i="319"/>
  <c r="F39" i="320"/>
  <c r="E39" i="343"/>
  <c r="F40" i="343" s="1"/>
  <c r="F39" i="318"/>
  <c r="F39" i="288"/>
  <c r="F39" i="337"/>
  <c r="F39" i="227"/>
  <c r="F39" i="290"/>
  <c r="F39" i="289"/>
  <c r="F39" i="357"/>
  <c r="G40" i="357" s="1"/>
  <c r="F39" i="293"/>
  <c r="F39" i="348"/>
  <c r="F39" i="194"/>
  <c r="F39" i="193"/>
  <c r="F39" i="297"/>
  <c r="F39" i="350"/>
  <c r="F39" i="105"/>
  <c r="F39" i="294"/>
  <c r="F39" i="365"/>
  <c r="G40" i="365" s="1"/>
  <c r="F39" i="366"/>
  <c r="G40" i="366" s="1"/>
  <c r="F39" i="206"/>
  <c r="F39" i="22"/>
  <c r="F39" i="301"/>
  <c r="F39" i="344"/>
  <c r="F39" i="61"/>
  <c r="F39" i="338"/>
  <c r="F39" i="340"/>
  <c r="F39" i="34"/>
  <c r="F39" i="174"/>
  <c r="F39" i="187"/>
  <c r="F39" i="135"/>
  <c r="F39" i="295"/>
  <c r="F39" i="283"/>
  <c r="F39" i="284"/>
  <c r="F39" i="292"/>
  <c r="F39" i="339"/>
  <c r="F39" i="325"/>
  <c r="F39" i="269"/>
  <c r="F39" i="11"/>
  <c r="F39" i="279"/>
  <c r="G40" i="279" s="1"/>
  <c r="F39" i="335"/>
  <c r="G40" i="335" s="1"/>
  <c r="F39" i="101"/>
  <c r="F39" i="382"/>
  <c r="F39" i="102"/>
  <c r="F39" i="103"/>
  <c r="F39" i="411"/>
  <c r="F39" i="265"/>
  <c r="F39" i="262"/>
  <c r="F39" i="112"/>
  <c r="F39" i="109"/>
  <c r="F39" i="85"/>
  <c r="F39" i="324"/>
  <c r="F39" i="32"/>
  <c r="F39" i="196"/>
  <c r="F39" i="197"/>
  <c r="F39" i="198"/>
  <c r="F39" i="345"/>
  <c r="F39" i="346"/>
  <c r="F39" i="74"/>
  <c r="F39" i="200"/>
  <c r="F39" i="280"/>
  <c r="F39" i="97"/>
  <c r="F39" i="383"/>
  <c r="F39" i="45"/>
  <c r="F39" i="104"/>
  <c r="F39" i="254"/>
  <c r="F39" i="181"/>
  <c r="F39" i="183"/>
  <c r="F39" i="184"/>
  <c r="F39" i="27"/>
  <c r="F39" i="143"/>
  <c r="F39" i="268"/>
  <c r="G40" i="268" s="1"/>
  <c r="F39" i="263"/>
  <c r="F39" i="209"/>
  <c r="F39" i="192"/>
  <c r="F39" i="140"/>
  <c r="F39" i="270"/>
  <c r="F39" i="271"/>
  <c r="F39" i="159"/>
  <c r="F39" i="160"/>
  <c r="F39" i="107"/>
  <c r="F39" i="176"/>
  <c r="F39" i="281"/>
  <c r="F39" i="332"/>
  <c r="F39" i="25"/>
  <c r="F39" i="24"/>
  <c r="F39" i="116"/>
  <c r="F39" i="285"/>
  <c r="F39" i="272"/>
  <c r="F39" i="44"/>
  <c r="G40" i="44" s="1"/>
  <c r="F39" i="87"/>
  <c r="F39" i="287"/>
  <c r="F39" i="276"/>
  <c r="F39" i="229"/>
  <c r="F39" i="230"/>
  <c r="F39" i="328"/>
  <c r="F39" i="329"/>
  <c r="F39" i="326"/>
  <c r="F39" i="47"/>
  <c r="F39" i="248"/>
  <c r="F39" i="46"/>
  <c r="F39" i="239"/>
  <c r="F39" i="243"/>
  <c r="F39" i="244"/>
  <c r="F39" i="246"/>
  <c r="F39" i="1"/>
  <c r="F39" i="397"/>
  <c r="F39" i="9"/>
  <c r="G40" i="209" l="1"/>
  <c r="H51" i="209"/>
  <c r="G40" i="25"/>
  <c r="H51" i="25"/>
  <c r="G40" i="159"/>
  <c r="H51" i="159"/>
  <c r="G40" i="263"/>
  <c r="H51" i="263"/>
  <c r="G40" i="181"/>
  <c r="H51" i="181"/>
  <c r="G40" i="280"/>
  <c r="H51" i="280"/>
  <c r="G40" i="197"/>
  <c r="H51" i="197"/>
  <c r="G40" i="112"/>
  <c r="H51" i="112"/>
  <c r="G40" i="382"/>
  <c r="H51" i="382"/>
  <c r="G40" i="325"/>
  <c r="H51" i="325"/>
  <c r="G40" i="135"/>
  <c r="H51" i="135"/>
  <c r="G40" i="61"/>
  <c r="H51" i="61"/>
  <c r="G40" i="194"/>
  <c r="H51" i="194"/>
  <c r="G40" i="227"/>
  <c r="H51" i="227"/>
  <c r="G40" i="319"/>
  <c r="H51" i="319"/>
  <c r="G40" i="298"/>
  <c r="H51" i="298"/>
  <c r="G40" i="37"/>
  <c r="H51" i="37"/>
  <c r="G40" i="13"/>
  <c r="H51" i="13"/>
  <c r="G40" i="384"/>
  <c r="H51" i="384"/>
  <c r="G40" i="355"/>
  <c r="H51" i="355"/>
  <c r="G40" i="385"/>
  <c r="H51" i="385"/>
  <c r="G40" i="400"/>
  <c r="H51" i="400"/>
  <c r="G40" i="386"/>
  <c r="H51" i="386"/>
  <c r="G40" i="5"/>
  <c r="H51" i="5"/>
  <c r="G40" i="12"/>
  <c r="H51" i="12"/>
  <c r="G40" i="322"/>
  <c r="H51" i="322"/>
  <c r="G40" i="368"/>
  <c r="H51" i="368"/>
  <c r="G40" i="29"/>
  <c r="H51" i="29"/>
  <c r="G40" i="422"/>
  <c r="H51" i="422"/>
  <c r="G40" i="23"/>
  <c r="H51" i="23"/>
  <c r="G40" i="244"/>
  <c r="H51" i="244"/>
  <c r="G40" i="24"/>
  <c r="H51" i="24"/>
  <c r="G40" i="183"/>
  <c r="H51" i="183"/>
  <c r="G40" i="198"/>
  <c r="H51" i="198"/>
  <c r="G40" i="295"/>
  <c r="H51" i="295"/>
  <c r="G40" i="290"/>
  <c r="H51" i="290"/>
  <c r="G40" i="261"/>
  <c r="H51" i="261"/>
  <c r="G40" i="364"/>
  <c r="H51" i="364"/>
  <c r="G40" i="43"/>
  <c r="H51" i="43"/>
  <c r="G40" i="243"/>
  <c r="H51" i="243"/>
  <c r="G40" i="9"/>
  <c r="H51" i="9"/>
  <c r="G40" i="239"/>
  <c r="H51" i="239"/>
  <c r="G40" i="328"/>
  <c r="H51" i="328"/>
  <c r="G40" i="332"/>
  <c r="H51" i="332"/>
  <c r="G40" i="271"/>
  <c r="H51" i="271"/>
  <c r="G40" i="254"/>
  <c r="H51" i="254"/>
  <c r="G40" i="200"/>
  <c r="H51" i="200"/>
  <c r="G40" i="196"/>
  <c r="H51" i="196"/>
  <c r="G40" i="262"/>
  <c r="H51" i="262"/>
  <c r="G40" i="101"/>
  <c r="H51" i="101"/>
  <c r="G40" i="339"/>
  <c r="H51" i="339"/>
  <c r="G40" i="187"/>
  <c r="H51" i="187"/>
  <c r="G40" i="344"/>
  <c r="H51" i="344"/>
  <c r="G40" i="294"/>
  <c r="H51" i="294"/>
  <c r="G40" i="348"/>
  <c r="H51" i="348"/>
  <c r="G40" i="337"/>
  <c r="H51" i="337"/>
  <c r="G40" i="33"/>
  <c r="H51" i="33"/>
  <c r="G40" i="31"/>
  <c r="H51" i="31"/>
  <c r="G40" i="347"/>
  <c r="H51" i="347"/>
  <c r="G40" i="423"/>
  <c r="H51" i="423"/>
  <c r="G40" i="54"/>
  <c r="H51" i="54"/>
  <c r="G40" i="323"/>
  <c r="H51" i="323"/>
  <c r="G40" i="393"/>
  <c r="H51" i="393"/>
  <c r="G40" i="53"/>
  <c r="H51" i="53"/>
  <c r="G40" i="421"/>
  <c r="H51" i="421"/>
  <c r="G40" i="2"/>
  <c r="H51" i="2"/>
  <c r="G40" i="352"/>
  <c r="H51" i="352"/>
  <c r="G40" i="203"/>
  <c r="H51" i="203"/>
  <c r="G40" i="202"/>
  <c r="H51" i="202"/>
  <c r="G40" i="28"/>
  <c r="H51" i="28"/>
  <c r="G40" i="20"/>
  <c r="H51" i="20"/>
  <c r="G40" i="48"/>
  <c r="H51" i="48"/>
  <c r="G40" i="326"/>
  <c r="H51" i="326"/>
  <c r="G40" i="109"/>
  <c r="H51" i="109"/>
  <c r="G40" i="269"/>
  <c r="H51" i="269"/>
  <c r="G40" i="193"/>
  <c r="H51" i="193"/>
  <c r="G40" i="168"/>
  <c r="H51" i="168"/>
  <c r="G40" i="201"/>
  <c r="H51" i="201"/>
  <c r="G40" i="334"/>
  <c r="H51" i="334"/>
  <c r="G40" i="207"/>
  <c r="H51" i="207"/>
  <c r="G40" i="191"/>
  <c r="H51" i="191"/>
  <c r="G40" i="359"/>
  <c r="H51" i="359"/>
  <c r="G40" i="52"/>
  <c r="H51" i="52"/>
  <c r="G40" i="397"/>
  <c r="H51" i="397"/>
  <c r="G40" i="272"/>
  <c r="H51" i="272"/>
  <c r="G40" i="281"/>
  <c r="H51" i="281"/>
  <c r="G40" i="270"/>
  <c r="H51" i="270"/>
  <c r="G40" i="143"/>
  <c r="H51" i="143"/>
  <c r="G40" i="104"/>
  <c r="H51" i="104"/>
  <c r="G40" i="74"/>
  <c r="H51" i="74"/>
  <c r="G40" i="32"/>
  <c r="H51" i="32"/>
  <c r="G40" i="265"/>
  <c r="H51" i="265"/>
  <c r="G40" i="292"/>
  <c r="H51" i="292"/>
  <c r="G40" i="174"/>
  <c r="H51" i="174"/>
  <c r="G40" i="301"/>
  <c r="H51" i="301"/>
  <c r="G40" i="105"/>
  <c r="H51" i="105"/>
  <c r="G40" i="293"/>
  <c r="H51" i="293"/>
  <c r="G40" i="288"/>
  <c r="H51" i="288"/>
  <c r="G40" i="342"/>
  <c r="H51" i="342"/>
  <c r="G40" i="19"/>
  <c r="H51" i="19"/>
  <c r="G40" i="7"/>
  <c r="H51" i="7"/>
  <c r="G40" i="17"/>
  <c r="H51" i="17"/>
  <c r="G40" i="4"/>
  <c r="H51" i="4"/>
  <c r="G40" i="114"/>
  <c r="H51" i="114"/>
  <c r="G40" i="394"/>
  <c r="H51" i="394"/>
  <c r="G40" i="296"/>
  <c r="H51" i="296"/>
  <c r="G40" i="413"/>
  <c r="H51" i="413"/>
  <c r="G40" i="233"/>
  <c r="H51" i="233"/>
  <c r="G40" i="351"/>
  <c r="H51" i="351"/>
  <c r="G40" i="8"/>
  <c r="H51" i="8"/>
  <c r="G40" i="391"/>
  <c r="H51" i="391"/>
  <c r="G40" i="89"/>
  <c r="H51" i="89"/>
  <c r="G40" i="18"/>
  <c r="H51" i="18"/>
  <c r="G40" i="287"/>
  <c r="H51" i="287"/>
  <c r="G40" i="97"/>
  <c r="H51" i="97"/>
  <c r="G40" i="102"/>
  <c r="H51" i="102"/>
  <c r="G40" i="338"/>
  <c r="H51" i="338"/>
  <c r="G40" i="320"/>
  <c r="H51" i="320"/>
  <c r="G40" i="367"/>
  <c r="H51" i="367"/>
  <c r="G40" i="299"/>
  <c r="H51" i="299"/>
  <c r="G40" i="387"/>
  <c r="H51" i="387"/>
  <c r="G40" i="356"/>
  <c r="H51" i="356"/>
  <c r="G40" i="329"/>
  <c r="H51" i="329"/>
  <c r="G40" i="87"/>
  <c r="H51" i="87"/>
  <c r="G40" i="46"/>
  <c r="H51" i="46"/>
  <c r="G40" i="230"/>
  <c r="H51" i="230"/>
  <c r="G40" i="1"/>
  <c r="H51" i="1"/>
  <c r="G40" i="248"/>
  <c r="H51" i="248"/>
  <c r="G40" i="229"/>
  <c r="H51" i="229"/>
  <c r="G40" i="285"/>
  <c r="H51" i="285"/>
  <c r="G40" i="176"/>
  <c r="H51" i="176"/>
  <c r="G40" i="140"/>
  <c r="H51" i="140"/>
  <c r="G40" i="27"/>
  <c r="H51" i="27"/>
  <c r="G40" i="45"/>
  <c r="H51" i="45"/>
  <c r="G40" i="346"/>
  <c r="H51" i="346"/>
  <c r="G40" i="324"/>
  <c r="H51" i="324"/>
  <c r="G40" i="411"/>
  <c r="H51" i="411"/>
  <c r="G40" i="284"/>
  <c r="H51" i="284"/>
  <c r="G40" i="34"/>
  <c r="H51" i="34"/>
  <c r="G40" i="22"/>
  <c r="H51" i="22"/>
  <c r="G40" i="350"/>
  <c r="H51" i="350"/>
  <c r="G40" i="318"/>
  <c r="H51" i="318"/>
  <c r="G40" i="336"/>
  <c r="H51" i="336"/>
  <c r="G40" i="204"/>
  <c r="H51" i="204"/>
  <c r="G40" i="257"/>
  <c r="H51" i="257"/>
  <c r="G40" i="21"/>
  <c r="H51" i="21"/>
  <c r="G40" i="16"/>
  <c r="H51" i="16"/>
  <c r="G40" i="349"/>
  <c r="H51" i="349"/>
  <c r="G40" i="303"/>
  <c r="H51" i="303"/>
  <c r="G40" i="333"/>
  <c r="H51" i="333"/>
  <c r="G40" i="162"/>
  <c r="H51" i="162"/>
  <c r="G40" i="354"/>
  <c r="H51" i="354"/>
  <c r="G40" i="361"/>
  <c r="H51" i="361"/>
  <c r="G40" i="392"/>
  <c r="H51" i="392"/>
  <c r="G40" i="148"/>
  <c r="H51" i="148"/>
  <c r="G40" i="409"/>
  <c r="H51" i="409"/>
  <c r="G40" i="160"/>
  <c r="H51" i="160"/>
  <c r="G40" i="246"/>
  <c r="H51" i="246"/>
  <c r="G40" i="47"/>
  <c r="H51" i="47"/>
  <c r="G40" i="276"/>
  <c r="H51" i="276"/>
  <c r="G40" i="116"/>
  <c r="H51" i="116"/>
  <c r="G40" i="107"/>
  <c r="H51" i="107"/>
  <c r="G40" i="192"/>
  <c r="H51" i="192"/>
  <c r="G40" i="184"/>
  <c r="H51" i="184"/>
  <c r="G40" i="383"/>
  <c r="H51" i="383"/>
  <c r="G40" i="345"/>
  <c r="H51" i="345"/>
  <c r="G40" i="85"/>
  <c r="H51" i="85"/>
  <c r="G40" i="103"/>
  <c r="H51" i="103"/>
  <c r="G40" i="11"/>
  <c r="H51" i="11"/>
  <c r="G40" i="283"/>
  <c r="H51" i="283"/>
  <c r="G40" i="340"/>
  <c r="H51" i="340"/>
  <c r="G40" i="206"/>
  <c r="H51" i="206"/>
  <c r="G40" i="297"/>
  <c r="H51" i="297"/>
  <c r="G40" i="289"/>
  <c r="H51" i="289"/>
  <c r="G40" i="169"/>
  <c r="H51" i="169"/>
  <c r="G40" i="153"/>
  <c r="H51" i="153"/>
  <c r="G40" i="249"/>
  <c r="H51" i="249"/>
  <c r="G40" i="190"/>
  <c r="H51" i="190"/>
  <c r="G40" i="3"/>
  <c r="H51" i="3"/>
  <c r="G40" i="314"/>
  <c r="H51" i="314"/>
  <c r="G40" i="75"/>
  <c r="H51" i="75"/>
  <c r="G40" i="164"/>
  <c r="H51" i="164"/>
  <c r="G40" i="362"/>
  <c r="H51" i="362"/>
  <c r="G40" i="113"/>
  <c r="H51" i="113"/>
  <c r="G40" i="420"/>
  <c r="H51" i="420"/>
  <c r="G40" i="360"/>
  <c r="H51" i="360"/>
  <c r="G40" i="88"/>
  <c r="H51" i="88"/>
  <c r="G40" i="389"/>
  <c r="H51" i="389"/>
  <c r="G40" i="35"/>
  <c r="H229" i="417"/>
  <c r="G40" i="15"/>
  <c r="F39" i="231"/>
  <c r="G40" i="231" l="1"/>
  <c r="H51" i="231"/>
  <c r="F39" i="195"/>
  <c r="F39" i="321"/>
  <c r="F39" i="170"/>
  <c r="F39" i="152"/>
  <c r="S39" i="300"/>
  <c r="R39" i="300"/>
  <c r="Q39" i="300"/>
  <c r="F39" i="300" s="1"/>
  <c r="S39" i="395"/>
  <c r="R39" i="395"/>
  <c r="Q39" i="395"/>
  <c r="F39" i="395" s="1"/>
  <c r="S39" i="253"/>
  <c r="R39" i="253"/>
  <c r="Q39" i="253"/>
  <c r="F39" i="253" s="1"/>
  <c r="S39" i="414"/>
  <c r="R39" i="414"/>
  <c r="Q39" i="414"/>
  <c r="F39" i="414" s="1"/>
  <c r="U39" i="202"/>
  <c r="R39" i="142"/>
  <c r="F39" i="142"/>
  <c r="S39" i="142"/>
  <c r="G40" i="414" l="1"/>
  <c r="H51" i="414"/>
  <c r="G40" i="395"/>
  <c r="H51" i="395"/>
  <c r="G40" i="152"/>
  <c r="H51" i="152"/>
  <c r="G40" i="170"/>
  <c r="H51" i="170"/>
  <c r="G40" i="321"/>
  <c r="H51" i="321"/>
  <c r="G40" i="142"/>
  <c r="H51" i="142"/>
  <c r="G40" i="300"/>
  <c r="H51" i="300"/>
  <c r="G40" i="195"/>
  <c r="H51" i="195"/>
  <c r="G40" i="253"/>
  <c r="H51" i="253"/>
  <c r="T39" i="149"/>
  <c r="I39" i="149" s="1"/>
  <c r="J51" i="149" s="1"/>
  <c r="F39" i="149"/>
  <c r="T39" i="395"/>
  <c r="I39" i="395" s="1"/>
  <c r="J51" i="395" s="1"/>
  <c r="E39" i="396"/>
  <c r="G40" i="149" l="1"/>
  <c r="H51" i="149"/>
  <c r="F39" i="371"/>
  <c r="S39" i="247"/>
  <c r="R39" i="247"/>
  <c r="Q39" i="247"/>
  <c r="F39" i="247" s="1"/>
  <c r="F39" i="398"/>
  <c r="F39" i="327"/>
  <c r="R39" i="186"/>
  <c r="Q39" i="186"/>
  <c r="F39" i="186" s="1"/>
  <c r="F39" i="185"/>
  <c r="K40" i="149"/>
  <c r="M52" i="149" s="1"/>
  <c r="U40" i="149"/>
  <c r="S28" i="149"/>
  <c r="R28" i="149"/>
  <c r="Q28" i="149"/>
  <c r="S27" i="149"/>
  <c r="R27" i="149"/>
  <c r="Q27" i="149"/>
  <c r="S26" i="149"/>
  <c r="R26" i="149"/>
  <c r="Q26" i="149"/>
  <c r="S25" i="149"/>
  <c r="R25" i="149"/>
  <c r="Q25" i="149"/>
  <c r="S24" i="149"/>
  <c r="R24" i="149"/>
  <c r="Q24" i="149"/>
  <c r="S23" i="149"/>
  <c r="R23" i="149"/>
  <c r="Q23" i="149"/>
  <c r="L43" i="149" l="1"/>
  <c r="G40" i="186"/>
  <c r="H51" i="186"/>
  <c r="G40" i="185"/>
  <c r="H51" i="185"/>
  <c r="G40" i="371"/>
  <c r="H51" i="371"/>
  <c r="G40" i="327"/>
  <c r="H51" i="327"/>
  <c r="G40" i="247"/>
  <c r="H51" i="247"/>
  <c r="G40" i="398"/>
  <c r="H51" i="398"/>
  <c r="T39" i="327"/>
  <c r="I39" i="327" s="1"/>
  <c r="J51" i="327" s="1"/>
  <c r="E39" i="407"/>
  <c r="E39" i="406"/>
  <c r="E39" i="405"/>
  <c r="E39" i="401"/>
  <c r="T39" i="20"/>
  <c r="I39" i="20" s="1"/>
  <c r="J51" i="20" s="1"/>
  <c r="T39" i="422"/>
  <c r="I39" i="422" s="1"/>
  <c r="J51" i="422" s="1"/>
  <c r="T39" i="88"/>
  <c r="I39" i="88" s="1"/>
  <c r="J51" i="88" s="1"/>
  <c r="T39" i="148"/>
  <c r="I39" i="148" s="1"/>
  <c r="J51" i="148" s="1"/>
  <c r="T39" i="89"/>
  <c r="I39" i="89" s="1"/>
  <c r="J51" i="89" s="1"/>
  <c r="T39" i="202"/>
  <c r="I39" i="202" s="1"/>
  <c r="J51" i="202" s="1"/>
  <c r="T39" i="421"/>
  <c r="I39" i="421" s="1"/>
  <c r="J51" i="421" s="1"/>
  <c r="T39" i="420"/>
  <c r="I39" i="420" s="1"/>
  <c r="J51" i="420" s="1"/>
  <c r="T39" i="391"/>
  <c r="I39" i="391" s="1"/>
  <c r="J51" i="391" s="1"/>
  <c r="T39" i="392"/>
  <c r="I39" i="392" s="1"/>
  <c r="J51" i="392" s="1"/>
  <c r="T39" i="8"/>
  <c r="I39" i="8" s="1"/>
  <c r="J51" i="8" s="1"/>
  <c r="T39" i="203"/>
  <c r="I39" i="203" s="1"/>
  <c r="J51" i="203" s="1"/>
  <c r="L39" i="415"/>
  <c r="T39" i="191"/>
  <c r="I39" i="191" s="1"/>
  <c r="J51" i="191" s="1"/>
  <c r="T39" i="43"/>
  <c r="I39" i="43" s="1"/>
  <c r="J51" i="43" s="1"/>
  <c r="T39" i="409"/>
  <c r="I39" i="409" s="1"/>
  <c r="J51" i="409" s="1"/>
  <c r="T39" i="9"/>
  <c r="I39" i="9" s="1"/>
  <c r="J51" i="9" s="1"/>
  <c r="T39" i="113"/>
  <c r="I39" i="113" s="1"/>
  <c r="J51" i="113" s="1"/>
  <c r="T39" i="361"/>
  <c r="I39" i="361" s="1"/>
  <c r="J51" i="361" s="1"/>
  <c r="T39" i="351"/>
  <c r="I39" i="351" s="1"/>
  <c r="J51" i="351" s="1"/>
  <c r="T39" i="352"/>
  <c r="I39" i="352" s="1"/>
  <c r="J51" i="352" s="1"/>
  <c r="T39" i="322"/>
  <c r="I39" i="322" s="1"/>
  <c r="J51" i="322" s="1"/>
  <c r="T39" i="353"/>
  <c r="I39" i="353" s="1"/>
  <c r="J51" i="353" s="1"/>
  <c r="T39" i="362"/>
  <c r="I39" i="362" s="1"/>
  <c r="J51" i="362" s="1"/>
  <c r="T39" i="354"/>
  <c r="I39" i="354" s="1"/>
  <c r="J51" i="354" s="1"/>
  <c r="T39" i="233"/>
  <c r="I39" i="233" s="1"/>
  <c r="J51" i="233" s="1"/>
  <c r="T39" i="2"/>
  <c r="I39" i="2" s="1"/>
  <c r="J51" i="2" s="1"/>
  <c r="T39" i="12"/>
  <c r="I39" i="12" s="1"/>
  <c r="J51" i="12" s="1"/>
  <c r="T39" i="356"/>
  <c r="I39" i="356" s="1"/>
  <c r="J51" i="356" s="1"/>
  <c r="T39" i="368"/>
  <c r="I39" i="368" s="1"/>
  <c r="J51" i="368" s="1"/>
  <c r="T39" i="364"/>
  <c r="I39" i="364" s="1"/>
  <c r="J51" i="364" s="1"/>
  <c r="T39" i="164"/>
  <c r="I39" i="164" s="1"/>
  <c r="J51" i="164" s="1"/>
  <c r="T39" i="162"/>
  <c r="I39" i="162" s="1"/>
  <c r="J51" i="162" s="1"/>
  <c r="T39" i="413"/>
  <c r="I39" i="413" s="1"/>
  <c r="J51" i="413" s="1"/>
  <c r="T39" i="28"/>
  <c r="I39" i="28" s="1"/>
  <c r="J51" i="28" s="1"/>
  <c r="T39" i="29"/>
  <c r="I39" i="29" s="1"/>
  <c r="J51" i="29" s="1"/>
  <c r="T39" i="359"/>
  <c r="I39" i="359" s="1"/>
  <c r="J51" i="359" s="1"/>
  <c r="T39" i="360"/>
  <c r="I39" i="360" s="1"/>
  <c r="J51" i="360" s="1"/>
  <c r="T39" i="5"/>
  <c r="I39" i="5" s="1"/>
  <c r="J51" i="5" s="1"/>
  <c r="T39" i="207"/>
  <c r="I39" i="207" s="1"/>
  <c r="J51" i="207" s="1"/>
  <c r="T39" i="75"/>
  <c r="I39" i="75" s="1"/>
  <c r="J51" i="75" s="1"/>
  <c r="T39" i="333"/>
  <c r="I39" i="333" s="1"/>
  <c r="J51" i="333" s="1"/>
  <c r="I39" i="296"/>
  <c r="J51" i="296" s="1"/>
  <c r="T39" i="53"/>
  <c r="I39" i="53" s="1"/>
  <c r="J51" i="53" s="1"/>
  <c r="T39" i="52"/>
  <c r="I39" i="52" s="1"/>
  <c r="J51" i="52" s="1"/>
  <c r="T39" i="389"/>
  <c r="I39" i="389" s="1"/>
  <c r="J51" i="389" s="1"/>
  <c r="T39" i="387"/>
  <c r="I39" i="387" s="1"/>
  <c r="J51" i="387" s="1"/>
  <c r="T39" i="314"/>
  <c r="I39" i="314" s="1"/>
  <c r="J51" i="314" s="1"/>
  <c r="T39" i="303"/>
  <c r="I39" i="303" s="1"/>
  <c r="J51" i="303" s="1"/>
  <c r="L39" i="396"/>
  <c r="T39" i="394"/>
  <c r="I39" i="394" s="1"/>
  <c r="J51" i="394" s="1"/>
  <c r="T39" i="393"/>
  <c r="I39" i="393" s="1"/>
  <c r="J51" i="393" s="1"/>
  <c r="T39" i="400"/>
  <c r="I39" i="400" s="1"/>
  <c r="J51" i="400" s="1"/>
  <c r="F39" i="404"/>
  <c r="G40" i="404" s="1"/>
  <c r="T39" i="402"/>
  <c r="I39" i="402" s="1"/>
  <c r="T39" i="403"/>
  <c r="I39" i="403" s="1"/>
  <c r="S39" i="408"/>
  <c r="I39" i="408" s="1"/>
  <c r="T39" i="114"/>
  <c r="I39" i="114" s="1"/>
  <c r="J51" i="114" s="1"/>
  <c r="T39" i="323"/>
  <c r="I39" i="323" s="1"/>
  <c r="J51" i="323" s="1"/>
  <c r="T39" i="385"/>
  <c r="I39" i="385" s="1"/>
  <c r="J51" i="385" s="1"/>
  <c r="T39" i="334"/>
  <c r="I39" i="334" s="1"/>
  <c r="J51" i="334" s="1"/>
  <c r="T39" i="3"/>
  <c r="I39" i="3" s="1"/>
  <c r="J51" i="3" s="1"/>
  <c r="T39" i="349"/>
  <c r="I39" i="349" s="1"/>
  <c r="J51" i="349" s="1"/>
  <c r="T39" i="4"/>
  <c r="I39" i="4" s="1"/>
  <c r="J51" i="4" s="1"/>
  <c r="T39" i="15"/>
  <c r="I39" i="15" s="1"/>
  <c r="J51" i="15" s="1"/>
  <c r="T39" i="355"/>
  <c r="I39" i="355" s="1"/>
  <c r="J51" i="355" s="1"/>
  <c r="T39" i="299"/>
  <c r="I39" i="299" s="1"/>
  <c r="J51" i="299" s="1"/>
  <c r="T39" i="190"/>
  <c r="I39" i="190" s="1"/>
  <c r="J51" i="190" s="1"/>
  <c r="T39" i="16"/>
  <c r="I39" i="16" s="1"/>
  <c r="J51" i="16" s="1"/>
  <c r="T39" i="17"/>
  <c r="I39" i="17" s="1"/>
  <c r="J51" i="17" s="1"/>
  <c r="T39" i="54"/>
  <c r="I39" i="54" s="1"/>
  <c r="J51" i="54" s="1"/>
  <c r="T39" i="384"/>
  <c r="I39" i="384" s="1"/>
  <c r="J51" i="384" s="1"/>
  <c r="T39" i="201"/>
  <c r="I39" i="201" s="1"/>
  <c r="J51" i="201" s="1"/>
  <c r="T39" i="249"/>
  <c r="I39" i="249" s="1"/>
  <c r="J51" i="249" s="1"/>
  <c r="T39" i="21"/>
  <c r="I39" i="21" s="1"/>
  <c r="J51" i="21" s="1"/>
  <c r="T39" i="7"/>
  <c r="I39" i="7" s="1"/>
  <c r="J51" i="7" s="1"/>
  <c r="T39" i="48"/>
  <c r="I39" i="48" s="1"/>
  <c r="J51" i="48" s="1"/>
  <c r="T39" i="23"/>
  <c r="I39" i="23" s="1"/>
  <c r="J51" i="23" s="1"/>
  <c r="T39" i="423"/>
  <c r="I39" i="423" s="1"/>
  <c r="J51" i="423" s="1"/>
  <c r="T39" i="13"/>
  <c r="I39" i="13" s="1"/>
  <c r="J51" i="13" s="1"/>
  <c r="T39" i="261"/>
  <c r="I39" i="261" s="1"/>
  <c r="J51" i="261" s="1"/>
  <c r="T39" i="153"/>
  <c r="I39" i="153" s="1"/>
  <c r="J51" i="153" s="1"/>
  <c r="T39" i="257"/>
  <c r="I39" i="257" s="1"/>
  <c r="J51" i="257" s="1"/>
  <c r="T39" i="19"/>
  <c r="I39" i="19" s="1"/>
  <c r="J51" i="19" s="1"/>
  <c r="T39" i="347"/>
  <c r="I39" i="347" s="1"/>
  <c r="J51" i="347" s="1"/>
  <c r="T39" i="37"/>
  <c r="I39" i="37" s="1"/>
  <c r="J51" i="37" s="1"/>
  <c r="T39" i="367"/>
  <c r="I39" i="367" s="1"/>
  <c r="J51" i="367" s="1"/>
  <c r="L39" i="369"/>
  <c r="T39" i="204"/>
  <c r="I39" i="204" s="1"/>
  <c r="J51" i="204" s="1"/>
  <c r="T39" i="363"/>
  <c r="I39" i="363" s="1"/>
  <c r="T39" i="31"/>
  <c r="I39" i="31" s="1"/>
  <c r="J51" i="31" s="1"/>
  <c r="T39" i="168"/>
  <c r="I39" i="168" s="1"/>
  <c r="J51" i="168" s="1"/>
  <c r="T39" i="169"/>
  <c r="I39" i="169" s="1"/>
  <c r="J51" i="169" s="1"/>
  <c r="T39" i="336"/>
  <c r="I39" i="336" s="1"/>
  <c r="J51" i="336" s="1"/>
  <c r="T39" i="298"/>
  <c r="I39" i="298" s="1"/>
  <c r="J51" i="298" s="1"/>
  <c r="T39" i="342"/>
  <c r="I39" i="342" s="1"/>
  <c r="J51" i="342" s="1"/>
  <c r="T39" i="33"/>
  <c r="I39" i="33" s="1"/>
  <c r="J51" i="33" s="1"/>
  <c r="T39" i="319"/>
  <c r="I39" i="319" s="1"/>
  <c r="J51" i="319" s="1"/>
  <c r="T39" i="320"/>
  <c r="I39" i="320" s="1"/>
  <c r="J51" i="320" s="1"/>
  <c r="L39" i="343"/>
  <c r="T39" i="318"/>
  <c r="I39" i="318" s="1"/>
  <c r="J51" i="318" s="1"/>
  <c r="T39" i="288"/>
  <c r="I39" i="288" s="1"/>
  <c r="J51" i="288" s="1"/>
  <c r="T39" i="337"/>
  <c r="I39" i="337" s="1"/>
  <c r="J51" i="337" s="1"/>
  <c r="T39" i="227"/>
  <c r="I39" i="227" s="1"/>
  <c r="J51" i="227" s="1"/>
  <c r="S39" i="388"/>
  <c r="R39" i="388"/>
  <c r="Q39" i="388"/>
  <c r="F39" i="388" s="1"/>
  <c r="T39" i="290"/>
  <c r="I39" i="290" s="1"/>
  <c r="J51" i="290" s="1"/>
  <c r="T39" i="289"/>
  <c r="I39" i="289" s="1"/>
  <c r="J51" i="289" s="1"/>
  <c r="S39" i="357"/>
  <c r="I39" i="357" s="1"/>
  <c r="T39" i="293"/>
  <c r="I39" i="293" s="1"/>
  <c r="J51" i="293" s="1"/>
  <c r="T39" i="348"/>
  <c r="I39" i="348" s="1"/>
  <c r="J51" i="348" s="1"/>
  <c r="T39" i="194"/>
  <c r="I39" i="194" s="1"/>
  <c r="J51" i="194" s="1"/>
  <c r="T39" i="193"/>
  <c r="I39" i="193" s="1"/>
  <c r="J51" i="193" s="1"/>
  <c r="T39" i="297"/>
  <c r="I39" i="297" s="1"/>
  <c r="J51" i="297" s="1"/>
  <c r="T39" i="350"/>
  <c r="I39" i="350" s="1"/>
  <c r="J51" i="350" s="1"/>
  <c r="T39" i="105"/>
  <c r="I39" i="105" s="1"/>
  <c r="J51" i="105" s="1"/>
  <c r="T39" i="294"/>
  <c r="I39" i="294" s="1"/>
  <c r="J51" i="294" s="1"/>
  <c r="S39" i="365"/>
  <c r="I39" i="365" s="1"/>
  <c r="S39" i="366"/>
  <c r="I39" i="366" s="1"/>
  <c r="T39" i="206"/>
  <c r="I39" i="206" s="1"/>
  <c r="J51" i="206" s="1"/>
  <c r="T39" i="22"/>
  <c r="I39" i="22" s="1"/>
  <c r="J51" i="22" s="1"/>
  <c r="T39" i="301"/>
  <c r="I39" i="301" s="1"/>
  <c r="J51" i="301" s="1"/>
  <c r="T39" i="344"/>
  <c r="I39" i="344" s="1"/>
  <c r="J51" i="344" s="1"/>
  <c r="T39" i="61"/>
  <c r="I39" i="61" s="1"/>
  <c r="J51" i="61" s="1"/>
  <c r="T39" i="338"/>
  <c r="I39" i="338" s="1"/>
  <c r="J51" i="338" s="1"/>
  <c r="T39" i="340"/>
  <c r="I39" i="340" s="1"/>
  <c r="J51" i="340" s="1"/>
  <c r="T39" i="34"/>
  <c r="I39" i="34" s="1"/>
  <c r="J51" i="34" s="1"/>
  <c r="T39" i="174"/>
  <c r="I39" i="174" s="1"/>
  <c r="J51" i="174" s="1"/>
  <c r="I39" i="187"/>
  <c r="J51" i="187" s="1"/>
  <c r="T39" i="135"/>
  <c r="I39" i="135" s="1"/>
  <c r="J51" i="135" s="1"/>
  <c r="T39" i="295"/>
  <c r="I39" i="295" s="1"/>
  <c r="J51" i="295" s="1"/>
  <c r="T39" i="283"/>
  <c r="I39" i="283" s="1"/>
  <c r="J51" i="283" s="1"/>
  <c r="T39" i="284"/>
  <c r="I39" i="284" s="1"/>
  <c r="J51" i="284" s="1"/>
  <c r="T39" i="292"/>
  <c r="I39" i="292" s="1"/>
  <c r="J51" i="292" s="1"/>
  <c r="T39" i="339"/>
  <c r="I39" i="339" s="1"/>
  <c r="J51" i="339" s="1"/>
  <c r="T39" i="325"/>
  <c r="I39" i="325" s="1"/>
  <c r="J51" i="325" s="1"/>
  <c r="T39" i="269"/>
  <c r="I39" i="269" s="1"/>
  <c r="J51" i="269" s="1"/>
  <c r="T39" i="11"/>
  <c r="I39" i="11" s="1"/>
  <c r="J51" i="11" s="1"/>
  <c r="S39" i="279"/>
  <c r="I39" i="279" s="1"/>
  <c r="S39" i="335"/>
  <c r="I39" i="335" s="1"/>
  <c r="T39" i="101"/>
  <c r="I39" i="101" s="1"/>
  <c r="J51" i="101" s="1"/>
  <c r="T39" i="382"/>
  <c r="I39" i="382" s="1"/>
  <c r="J51" i="382" s="1"/>
  <c r="T39" i="102"/>
  <c r="I39" i="102" s="1"/>
  <c r="J51" i="102" s="1"/>
  <c r="T39" i="103"/>
  <c r="I39" i="103" s="1"/>
  <c r="J51" i="103" s="1"/>
  <c r="T39" i="411"/>
  <c r="I39" i="411" s="1"/>
  <c r="J51" i="411" s="1"/>
  <c r="T39" i="265"/>
  <c r="I39" i="265" s="1"/>
  <c r="J51" i="265" s="1"/>
  <c r="T39" i="262"/>
  <c r="I39" i="262" s="1"/>
  <c r="J51" i="262" s="1"/>
  <c r="T39" i="112"/>
  <c r="I39" i="112" s="1"/>
  <c r="J51" i="112" s="1"/>
  <c r="T39" i="109"/>
  <c r="I39" i="109" s="1"/>
  <c r="J51" i="109" s="1"/>
  <c r="T39" i="85"/>
  <c r="I39" i="85" s="1"/>
  <c r="J51" i="85" s="1"/>
  <c r="T39" i="324"/>
  <c r="I39" i="324" s="1"/>
  <c r="J51" i="324" s="1"/>
  <c r="T39" i="32"/>
  <c r="I39" i="32" s="1"/>
  <c r="J51" i="32" s="1"/>
  <c r="T39" i="196"/>
  <c r="I39" i="196" s="1"/>
  <c r="J51" i="196" s="1"/>
  <c r="T39" i="198"/>
  <c r="I39" i="198" s="1"/>
  <c r="J51" i="198" s="1"/>
  <c r="T39" i="345"/>
  <c r="I39" i="345" s="1"/>
  <c r="J51" i="345" s="1"/>
  <c r="T39" i="346"/>
  <c r="I39" i="346" s="1"/>
  <c r="J51" i="346" s="1"/>
  <c r="T39" i="74"/>
  <c r="I39" i="74" s="1"/>
  <c r="J51" i="74" s="1"/>
  <c r="T39" i="200"/>
  <c r="I39" i="200" s="1"/>
  <c r="J51" i="200" s="1"/>
  <c r="T39" i="280"/>
  <c r="I39" i="280" s="1"/>
  <c r="J51" i="280" s="1"/>
  <c r="T39" i="97"/>
  <c r="I39" i="97" s="1"/>
  <c r="J51" i="97" s="1"/>
  <c r="T39" i="383"/>
  <c r="I39" i="383" s="1"/>
  <c r="J51" i="383" s="1"/>
  <c r="T39" i="45"/>
  <c r="I39" i="45" s="1"/>
  <c r="J51" i="45" s="1"/>
  <c r="T39" i="104"/>
  <c r="I39" i="104" s="1"/>
  <c r="J51" i="104" s="1"/>
  <c r="T39" i="254"/>
  <c r="I39" i="254" s="1"/>
  <c r="J51" i="254" s="1"/>
  <c r="T39" i="181"/>
  <c r="I39" i="181" s="1"/>
  <c r="J51" i="181" s="1"/>
  <c r="T39" i="183"/>
  <c r="I39" i="183" s="1"/>
  <c r="J51" i="183" s="1"/>
  <c r="T39" i="184"/>
  <c r="I39" i="184" s="1"/>
  <c r="J51" i="184" s="1"/>
  <c r="F39" i="144"/>
  <c r="T39" i="27"/>
  <c r="I39" i="27" s="1"/>
  <c r="J51" i="27" s="1"/>
  <c r="T39" i="143"/>
  <c r="I39" i="143" s="1"/>
  <c r="J51" i="143" s="1"/>
  <c r="T39" i="268"/>
  <c r="I39" i="268" s="1"/>
  <c r="T39" i="263"/>
  <c r="I39" i="263" s="1"/>
  <c r="J51" i="263" s="1"/>
  <c r="T39" i="209"/>
  <c r="I39" i="209" s="1"/>
  <c r="J51" i="209" s="1"/>
  <c r="T39" i="192"/>
  <c r="I39" i="192" s="1"/>
  <c r="J51" i="192" s="1"/>
  <c r="T39" i="140"/>
  <c r="I39" i="140" s="1"/>
  <c r="J51" i="140" s="1"/>
  <c r="T39" i="270"/>
  <c r="I39" i="270" s="1"/>
  <c r="J51" i="270" s="1"/>
  <c r="T39" i="271"/>
  <c r="I39" i="271" s="1"/>
  <c r="J51" i="271" s="1"/>
  <c r="S39" i="186"/>
  <c r="T39" i="159"/>
  <c r="I39" i="159" s="1"/>
  <c r="J51" i="159" s="1"/>
  <c r="T39" i="160"/>
  <c r="I39" i="160" s="1"/>
  <c r="J51" i="160" s="1"/>
  <c r="T39" i="107"/>
  <c r="I39" i="107" s="1"/>
  <c r="J51" i="107" s="1"/>
  <c r="T39" i="176"/>
  <c r="I39" i="176" s="1"/>
  <c r="J51" i="176" s="1"/>
  <c r="T39" i="281"/>
  <c r="I39" i="281" s="1"/>
  <c r="J51" i="281" s="1"/>
  <c r="T39" i="332"/>
  <c r="I39" i="332" s="1"/>
  <c r="J51" i="332" s="1"/>
  <c r="T39" i="25"/>
  <c r="I39" i="25" s="1"/>
  <c r="J51" i="25" s="1"/>
  <c r="T39" i="24"/>
  <c r="I39" i="24" s="1"/>
  <c r="J51" i="24" s="1"/>
  <c r="T39" i="116"/>
  <c r="I39" i="116" s="1"/>
  <c r="J51" i="116" s="1"/>
  <c r="T39" i="285"/>
  <c r="I39" i="285" s="1"/>
  <c r="J51" i="285" s="1"/>
  <c r="T39" i="272"/>
  <c r="I39" i="272" s="1"/>
  <c r="J51" i="272" s="1"/>
  <c r="S39" i="44"/>
  <c r="I39" i="44" s="1"/>
  <c r="T39" i="287"/>
  <c r="I39" i="287" s="1"/>
  <c r="J51" i="287" s="1"/>
  <c r="T39" i="276"/>
  <c r="I39" i="276" s="1"/>
  <c r="J51" i="276" s="1"/>
  <c r="T39" i="229"/>
  <c r="I39" i="229" s="1"/>
  <c r="J51" i="229" s="1"/>
  <c r="T39" i="230"/>
  <c r="I39" i="230" s="1"/>
  <c r="J51" i="230" s="1"/>
  <c r="T39" i="328"/>
  <c r="I39" i="328" s="1"/>
  <c r="J51" i="328" s="1"/>
  <c r="T39" i="329"/>
  <c r="I39" i="329" s="1"/>
  <c r="J51" i="329" s="1"/>
  <c r="T39" i="326"/>
  <c r="I39" i="326" s="1"/>
  <c r="J51" i="326" s="1"/>
  <c r="T39" i="47"/>
  <c r="I39" i="47" s="1"/>
  <c r="J51" i="47" s="1"/>
  <c r="T39" i="248"/>
  <c r="I39" i="248" s="1"/>
  <c r="J51" i="248" s="1"/>
  <c r="T39" i="46"/>
  <c r="I39" i="46" s="1"/>
  <c r="J51" i="46" s="1"/>
  <c r="T39" i="239"/>
  <c r="I39" i="239" s="1"/>
  <c r="J51" i="239" s="1"/>
  <c r="T39" i="243"/>
  <c r="I39" i="243" s="1"/>
  <c r="J51" i="243" s="1"/>
  <c r="T39" i="244"/>
  <c r="I39" i="244" s="1"/>
  <c r="J51" i="244" s="1"/>
  <c r="T39" i="246"/>
  <c r="I39" i="246" s="1"/>
  <c r="J51" i="246" s="1"/>
  <c r="T39" i="1"/>
  <c r="I39" i="1" s="1"/>
  <c r="J51" i="1" s="1"/>
  <c r="T39" i="397"/>
  <c r="I39" i="397" s="1"/>
  <c r="J51" i="397" s="1"/>
  <c r="L39" i="407"/>
  <c r="L39" i="406"/>
  <c r="L39" i="405"/>
  <c r="L39" i="401"/>
  <c r="G40" i="388" l="1"/>
  <c r="H51" i="388"/>
  <c r="G40" i="144"/>
  <c r="H51" i="144"/>
  <c r="T39" i="142"/>
  <c r="I39" i="142" s="1"/>
  <c r="J51" i="142" s="1"/>
  <c r="T39" i="231"/>
  <c r="I39" i="231" s="1"/>
  <c r="J51" i="231" s="1"/>
  <c r="T39" i="195"/>
  <c r="I39" i="195" s="1"/>
  <c r="J51" i="195" s="1"/>
  <c r="T39" i="388"/>
  <c r="I39" i="388" s="1"/>
  <c r="J51" i="388" s="1"/>
  <c r="T39" i="321"/>
  <c r="I39" i="321" s="1"/>
  <c r="J51" i="321" s="1"/>
  <c r="T39" i="144"/>
  <c r="I39" i="144" s="1"/>
  <c r="J51" i="144" s="1"/>
  <c r="T39" i="300"/>
  <c r="I39" i="300" s="1"/>
  <c r="J51" i="300" s="1"/>
  <c r="T39" i="185"/>
  <c r="I39" i="185" s="1"/>
  <c r="J51" i="185" s="1"/>
  <c r="T39" i="170"/>
  <c r="I39" i="170" s="1"/>
  <c r="J51" i="170" s="1"/>
  <c r="T39" i="404"/>
  <c r="I39" i="404" s="1"/>
  <c r="T39" i="371"/>
  <c r="I39" i="371" s="1"/>
  <c r="J51" i="371" s="1"/>
  <c r="T39" i="398"/>
  <c r="I39" i="398" s="1"/>
  <c r="J51" i="398" s="1"/>
  <c r="T39" i="247"/>
  <c r="I39" i="247" s="1"/>
  <c r="J51" i="247" s="1"/>
  <c r="T39" i="186"/>
  <c r="I39" i="186" s="1"/>
  <c r="J51" i="186" s="1"/>
  <c r="T39" i="414"/>
  <c r="I39" i="414" s="1"/>
  <c r="J51" i="414" s="1"/>
  <c r="T39" i="152"/>
  <c r="I39" i="152" s="1"/>
  <c r="J51" i="152" s="1"/>
  <c r="T39" i="253"/>
  <c r="I39" i="253" s="1"/>
  <c r="J51" i="253" s="1"/>
  <c r="K40" i="327" l="1"/>
  <c r="M52" i="327" s="1"/>
  <c r="U40" i="327"/>
  <c r="S38" i="185"/>
  <c r="R38" i="185"/>
  <c r="K40" i="185" s="1"/>
  <c r="M52" i="185" s="1"/>
  <c r="Q38" i="185"/>
  <c r="U40" i="185" s="1"/>
  <c r="S38" i="388"/>
  <c r="R38" i="388"/>
  <c r="K40" i="388" s="1"/>
  <c r="M52" i="388" s="1"/>
  <c r="Q38" i="388"/>
  <c r="U40" i="388" s="1"/>
  <c r="K40" i="321"/>
  <c r="M52" i="321" s="1"/>
  <c r="U40" i="321"/>
  <c r="K40" i="152"/>
  <c r="M52" i="152" s="1"/>
  <c r="U40" i="152"/>
  <c r="S38" i="300"/>
  <c r="R38" i="300"/>
  <c r="K40" i="300" s="1"/>
  <c r="M52" i="300" s="1"/>
  <c r="Q38" i="300"/>
  <c r="U40" i="300" s="1"/>
  <c r="S38" i="253"/>
  <c r="R38" i="253"/>
  <c r="K40" i="253" s="1"/>
  <c r="M52" i="253" s="1"/>
  <c r="Q38" i="253"/>
  <c r="U40" i="253" s="1"/>
  <c r="U38" i="391"/>
  <c r="U38" i="202"/>
  <c r="S38" i="142"/>
  <c r="R38" i="142"/>
  <c r="K40" i="142" s="1"/>
  <c r="M52" i="142" s="1"/>
  <c r="Q38" i="142"/>
  <c r="U40" i="142" s="1"/>
  <c r="L43" i="388" l="1"/>
  <c r="L43" i="152"/>
  <c r="L43" i="142"/>
  <c r="L43" i="321"/>
  <c r="L43" i="253"/>
  <c r="L43" i="185"/>
  <c r="L43" i="300"/>
  <c r="L43" i="327"/>
  <c r="T38" i="321"/>
  <c r="I38" i="321" s="1"/>
  <c r="J50" i="321" s="1"/>
  <c r="T38" i="152"/>
  <c r="I38" i="152" s="1"/>
  <c r="J50" i="152" s="1"/>
  <c r="N40" i="152" l="1"/>
  <c r="O43" i="152" s="1"/>
  <c r="N40" i="321"/>
  <c r="O43" i="321" s="1"/>
  <c r="F38" i="18"/>
  <c r="H50" i="18" s="1"/>
  <c r="F38" i="20"/>
  <c r="H50" i="20" s="1"/>
  <c r="F38" i="422"/>
  <c r="H50" i="422" s="1"/>
  <c r="F38" i="88"/>
  <c r="H50" i="88" s="1"/>
  <c r="F38" i="148"/>
  <c r="H50" i="148" s="1"/>
  <c r="F38" i="89"/>
  <c r="H50" i="89" s="1"/>
  <c r="F38" i="35"/>
  <c r="F38" i="202"/>
  <c r="H50" i="202" s="1"/>
  <c r="F38" i="421"/>
  <c r="H50" i="421" s="1"/>
  <c r="F38" i="420"/>
  <c r="H50" i="420" s="1"/>
  <c r="F38" i="391"/>
  <c r="H50" i="391" s="1"/>
  <c r="F38" i="392"/>
  <c r="H50" i="392" s="1"/>
  <c r="F38" i="8"/>
  <c r="H50" i="8" s="1"/>
  <c r="F38" i="203"/>
  <c r="H50" i="203" s="1"/>
  <c r="E38" i="415"/>
  <c r="F38" i="191"/>
  <c r="H50" i="191" s="1"/>
  <c r="F38" i="43"/>
  <c r="H50" i="43" s="1"/>
  <c r="F38" i="409"/>
  <c r="H50" i="409" s="1"/>
  <c r="F38" i="9"/>
  <c r="H50" i="9" s="1"/>
  <c r="F38" i="113"/>
  <c r="H50" i="113" s="1"/>
  <c r="F38" i="361"/>
  <c r="H50" i="361" s="1"/>
  <c r="F38" i="351"/>
  <c r="H50" i="351" s="1"/>
  <c r="F38" i="352"/>
  <c r="H50" i="352" s="1"/>
  <c r="F38" i="322"/>
  <c r="H50" i="322" s="1"/>
  <c r="F38" i="353"/>
  <c r="H50" i="353" s="1"/>
  <c r="F38" i="362"/>
  <c r="H50" i="362" s="1"/>
  <c r="F38" i="354"/>
  <c r="H50" i="354" s="1"/>
  <c r="F38" i="2"/>
  <c r="H50" i="2" s="1"/>
  <c r="F38" i="12"/>
  <c r="H50" i="12" s="1"/>
  <c r="F38" i="356"/>
  <c r="H50" i="356" s="1"/>
  <c r="F38" i="164"/>
  <c r="H50" i="164" s="1"/>
  <c r="F38" i="162"/>
  <c r="H50" i="162" s="1"/>
  <c r="F38" i="413"/>
  <c r="H50" i="413" s="1"/>
  <c r="F38" i="5"/>
  <c r="H50" i="5" s="1"/>
  <c r="F38" i="207"/>
  <c r="H50" i="207" s="1"/>
  <c r="F38" i="75"/>
  <c r="H50" i="75" s="1"/>
  <c r="F38" i="333"/>
  <c r="H50" i="333" s="1"/>
  <c r="F38" i="296"/>
  <c r="H50" i="296" s="1"/>
  <c r="F38" i="53"/>
  <c r="H50" i="53" s="1"/>
  <c r="F38" i="52"/>
  <c r="H50" i="52" s="1"/>
  <c r="F38" i="364"/>
  <c r="H50" i="364" s="1"/>
  <c r="F38" i="368"/>
  <c r="F38" i="28"/>
  <c r="H50" i="28" s="1"/>
  <c r="F38" i="29"/>
  <c r="H50" i="29" s="1"/>
  <c r="F38" i="359"/>
  <c r="H50" i="359" s="1"/>
  <c r="F38" i="360"/>
  <c r="H50" i="360" s="1"/>
  <c r="F38" i="389"/>
  <c r="H50" i="389" s="1"/>
  <c r="F38" i="386"/>
  <c r="H50" i="386" s="1"/>
  <c r="F38" i="387"/>
  <c r="H50" i="387" s="1"/>
  <c r="F38" i="314"/>
  <c r="H50" i="314" s="1"/>
  <c r="F38" i="303"/>
  <c r="H50" i="303" s="1"/>
  <c r="E38" i="396"/>
  <c r="F38" i="394"/>
  <c r="H50" i="394" s="1"/>
  <c r="F38" i="393"/>
  <c r="H50" i="393" s="1"/>
  <c r="F38" i="400"/>
  <c r="H50" i="400" s="1"/>
  <c r="F38" i="402"/>
  <c r="H50" i="402" s="1"/>
  <c r="F38" i="403"/>
  <c r="H50" i="403" s="1"/>
  <c r="F38" i="408"/>
  <c r="F38" i="114"/>
  <c r="H50" i="114" s="1"/>
  <c r="F38" i="323"/>
  <c r="H50" i="323" s="1"/>
  <c r="F38" i="385"/>
  <c r="H50" i="385" s="1"/>
  <c r="F38" i="334"/>
  <c r="H50" i="334" s="1"/>
  <c r="F38" i="3"/>
  <c r="H50" i="3" s="1"/>
  <c r="F38" i="349"/>
  <c r="H50" i="349" s="1"/>
  <c r="F38" i="4"/>
  <c r="H50" i="4" s="1"/>
  <c r="F38" i="15"/>
  <c r="H50" i="15" s="1"/>
  <c r="F38" i="355"/>
  <c r="H50" i="355" s="1"/>
  <c r="F38" i="299"/>
  <c r="H50" i="299" s="1"/>
  <c r="F38" i="190"/>
  <c r="H50" i="190" s="1"/>
  <c r="F38" i="16"/>
  <c r="H50" i="16" s="1"/>
  <c r="F38" i="17"/>
  <c r="H50" i="17" s="1"/>
  <c r="F38" i="54"/>
  <c r="H50" i="54" s="1"/>
  <c r="F38" i="384"/>
  <c r="H50" i="384" s="1"/>
  <c r="F38" i="201"/>
  <c r="H50" i="201" s="1"/>
  <c r="F38" i="249"/>
  <c r="H50" i="249" s="1"/>
  <c r="F38" i="21"/>
  <c r="H50" i="21" s="1"/>
  <c r="F38" i="7"/>
  <c r="H50" i="7" s="1"/>
  <c r="F38" i="48"/>
  <c r="H50" i="48" s="1"/>
  <c r="F38" i="23"/>
  <c r="H50" i="23" s="1"/>
  <c r="F38" i="423"/>
  <c r="H50" i="423" s="1"/>
  <c r="F38" i="13"/>
  <c r="H50" i="13" s="1"/>
  <c r="F38" i="261"/>
  <c r="H50" i="261" s="1"/>
  <c r="F38" i="153"/>
  <c r="H50" i="153" s="1"/>
  <c r="F38" i="257"/>
  <c r="H50" i="257" s="1"/>
  <c r="F38" i="19"/>
  <c r="H50" i="19" s="1"/>
  <c r="F38" i="347"/>
  <c r="H50" i="347" s="1"/>
  <c r="F38" i="37"/>
  <c r="H50" i="37" s="1"/>
  <c r="F38" i="367"/>
  <c r="H50" i="367" s="1"/>
  <c r="E38" i="369"/>
  <c r="F38" i="204"/>
  <c r="H50" i="204" s="1"/>
  <c r="F38" i="363"/>
  <c r="H50" i="363" s="1"/>
  <c r="F38" i="31"/>
  <c r="H50" i="31" s="1"/>
  <c r="F38" i="168"/>
  <c r="H50" i="168" s="1"/>
  <c r="F38" i="169"/>
  <c r="H50" i="169" s="1"/>
  <c r="F38" i="336"/>
  <c r="H50" i="336" s="1"/>
  <c r="F38" i="298"/>
  <c r="H50" i="298" s="1"/>
  <c r="F38" i="342"/>
  <c r="H50" i="342" s="1"/>
  <c r="F38" i="33"/>
  <c r="H50" i="33" s="1"/>
  <c r="F38" i="319"/>
  <c r="H50" i="319" s="1"/>
  <c r="F38" i="320"/>
  <c r="H50" i="320" s="1"/>
  <c r="E38" i="343"/>
  <c r="F38" i="318"/>
  <c r="H50" i="318" s="1"/>
  <c r="F38" i="288"/>
  <c r="H50" i="288" s="1"/>
  <c r="F38" i="337"/>
  <c r="H50" i="337" s="1"/>
  <c r="F38" i="227"/>
  <c r="H50" i="227" s="1"/>
  <c r="F38" i="290"/>
  <c r="H50" i="290" s="1"/>
  <c r="F38" i="289"/>
  <c r="H50" i="289" s="1"/>
  <c r="F38" i="357"/>
  <c r="F38" i="293"/>
  <c r="H50" i="293" s="1"/>
  <c r="F38" i="348"/>
  <c r="H50" i="348" s="1"/>
  <c r="F38" i="194"/>
  <c r="H50" i="194" s="1"/>
  <c r="F38" i="193"/>
  <c r="H50" i="193" s="1"/>
  <c r="F38" i="297"/>
  <c r="H50" i="297" s="1"/>
  <c r="F38" i="350"/>
  <c r="H50" i="350" s="1"/>
  <c r="F38" i="233"/>
  <c r="H50" i="233" s="1"/>
  <c r="F38" i="105"/>
  <c r="H50" i="105" s="1"/>
  <c r="F38" i="294"/>
  <c r="H50" i="294" s="1"/>
  <c r="F38" i="365"/>
  <c r="F38" i="366"/>
  <c r="F38" i="206"/>
  <c r="H50" i="206" s="1"/>
  <c r="F38" i="22"/>
  <c r="H50" i="22" s="1"/>
  <c r="F38" i="301"/>
  <c r="H50" i="301" s="1"/>
  <c r="F38" i="344"/>
  <c r="H50" i="344" s="1"/>
  <c r="F38" i="61"/>
  <c r="H50" i="61" s="1"/>
  <c r="F38" i="338"/>
  <c r="H50" i="338" s="1"/>
  <c r="F38" i="340"/>
  <c r="H50" i="340" s="1"/>
  <c r="F38" i="34"/>
  <c r="H50" i="34" s="1"/>
  <c r="F38" i="174"/>
  <c r="H50" i="174" s="1"/>
  <c r="F38" i="187"/>
  <c r="H50" i="187" s="1"/>
  <c r="F38" i="135"/>
  <c r="H50" i="135" s="1"/>
  <c r="F38" i="295"/>
  <c r="H50" i="295" s="1"/>
  <c r="F38" i="283"/>
  <c r="H50" i="283" s="1"/>
  <c r="F38" i="284"/>
  <c r="H50" i="284" s="1"/>
  <c r="F38" i="292"/>
  <c r="H50" i="292" s="1"/>
  <c r="F38" i="339"/>
  <c r="H50" i="339" s="1"/>
  <c r="F38" i="325"/>
  <c r="H50" i="325" s="1"/>
  <c r="F38" i="269"/>
  <c r="H50" i="269" s="1"/>
  <c r="F38" i="11"/>
  <c r="H50" i="11" s="1"/>
  <c r="F38" i="279"/>
  <c r="F38" i="335"/>
  <c r="F38" i="101"/>
  <c r="H50" i="101" s="1"/>
  <c r="F38" i="382"/>
  <c r="H50" i="382" s="1"/>
  <c r="F38" i="102"/>
  <c r="H50" i="102" s="1"/>
  <c r="F38" i="103"/>
  <c r="H50" i="103" s="1"/>
  <c r="F38" i="411"/>
  <c r="H50" i="411" s="1"/>
  <c r="F38" i="265"/>
  <c r="H50" i="265" s="1"/>
  <c r="F38" i="262"/>
  <c r="H50" i="262" s="1"/>
  <c r="F38" i="112"/>
  <c r="H50" i="112" s="1"/>
  <c r="F38" i="109"/>
  <c r="H50" i="109" s="1"/>
  <c r="F38" i="85"/>
  <c r="H50" i="85" s="1"/>
  <c r="F38" i="324"/>
  <c r="H50" i="324" s="1"/>
  <c r="F38" i="32"/>
  <c r="H50" i="32" s="1"/>
  <c r="F38" i="196"/>
  <c r="H50" i="196" s="1"/>
  <c r="F38" i="197"/>
  <c r="H50" i="197" s="1"/>
  <c r="F38" i="198"/>
  <c r="H50" i="198" s="1"/>
  <c r="F38" i="345"/>
  <c r="H50" i="345" s="1"/>
  <c r="F38" i="346"/>
  <c r="H50" i="346" s="1"/>
  <c r="F38" i="74"/>
  <c r="H50" i="74" s="1"/>
  <c r="F38" i="200"/>
  <c r="H50" i="200" s="1"/>
  <c r="F38" i="280"/>
  <c r="H50" i="280" s="1"/>
  <c r="F38" i="97"/>
  <c r="H50" i="97" s="1"/>
  <c r="F38" i="383"/>
  <c r="H50" i="383" s="1"/>
  <c r="F38" i="45"/>
  <c r="H50" i="45" s="1"/>
  <c r="F38" i="104"/>
  <c r="H50" i="104" s="1"/>
  <c r="F38" i="254"/>
  <c r="H50" i="254" s="1"/>
  <c r="F38" i="181"/>
  <c r="H50" i="181" s="1"/>
  <c r="F38" i="183"/>
  <c r="H50" i="183" s="1"/>
  <c r="F38" i="184"/>
  <c r="H50" i="184" s="1"/>
  <c r="F38" i="27"/>
  <c r="H50" i="27" s="1"/>
  <c r="F38" i="143"/>
  <c r="H50" i="143" s="1"/>
  <c r="F38" i="268"/>
  <c r="H50" i="268" s="1"/>
  <c r="F38" i="263"/>
  <c r="H50" i="263" s="1"/>
  <c r="F38" i="209"/>
  <c r="H50" i="209" s="1"/>
  <c r="F38" i="192"/>
  <c r="H50" i="192" s="1"/>
  <c r="F38" i="140"/>
  <c r="H50" i="140" s="1"/>
  <c r="F38" i="270"/>
  <c r="H50" i="270" s="1"/>
  <c r="F38" i="271"/>
  <c r="H50" i="271" s="1"/>
  <c r="F38" i="159"/>
  <c r="H50" i="159" s="1"/>
  <c r="F38" i="160"/>
  <c r="H50" i="160" s="1"/>
  <c r="F38" i="107"/>
  <c r="H50" i="107" s="1"/>
  <c r="F38" i="176"/>
  <c r="H50" i="176" s="1"/>
  <c r="F38" i="281"/>
  <c r="H50" i="281" s="1"/>
  <c r="F38" i="332"/>
  <c r="H50" i="332" s="1"/>
  <c r="F38" i="25"/>
  <c r="H50" i="25" s="1"/>
  <c r="F38" i="24"/>
  <c r="H50" i="24" s="1"/>
  <c r="F38" i="116"/>
  <c r="H50" i="116" s="1"/>
  <c r="F38" i="285"/>
  <c r="H50" i="285" s="1"/>
  <c r="F38" i="272"/>
  <c r="H50" i="272" s="1"/>
  <c r="F38" i="44"/>
  <c r="F38" i="87"/>
  <c r="H50" i="87" s="1"/>
  <c r="F38" i="287"/>
  <c r="H50" i="287" s="1"/>
  <c r="F38" i="276"/>
  <c r="H50" i="276" s="1"/>
  <c r="F38" i="229"/>
  <c r="H50" i="229" s="1"/>
  <c r="F38" i="230"/>
  <c r="H50" i="230" s="1"/>
  <c r="F38" i="328"/>
  <c r="H50" i="328" s="1"/>
  <c r="F38" i="329"/>
  <c r="H50" i="329" s="1"/>
  <c r="F38" i="326"/>
  <c r="H50" i="326" s="1"/>
  <c r="F38" i="47"/>
  <c r="H50" i="47" s="1"/>
  <c r="F38" i="248"/>
  <c r="H50" i="248" s="1"/>
  <c r="F38" i="46"/>
  <c r="H50" i="46" s="1"/>
  <c r="F38" i="239"/>
  <c r="H50" i="239" s="1"/>
  <c r="F38" i="243"/>
  <c r="H50" i="243" s="1"/>
  <c r="F38" i="244"/>
  <c r="H50" i="244" s="1"/>
  <c r="F38" i="246"/>
  <c r="H50" i="246" s="1"/>
  <c r="F38" i="1"/>
  <c r="H50" i="1" s="1"/>
  <c r="F38" i="397"/>
  <c r="H50" i="397" s="1"/>
  <c r="E38" i="407"/>
  <c r="E38" i="406"/>
  <c r="E38" i="405"/>
  <c r="E38" i="401"/>
  <c r="H228" i="417" l="1"/>
  <c r="I240" i="417" s="1"/>
  <c r="H50" i="35"/>
  <c r="C40" i="368"/>
  <c r="E52" i="368" s="1"/>
  <c r="H50" i="368"/>
  <c r="C40" i="246"/>
  <c r="E52" i="246" s="1"/>
  <c r="B40" i="246"/>
  <c r="B40" i="46"/>
  <c r="C40" i="46"/>
  <c r="E52" i="46" s="1"/>
  <c r="B40" i="230"/>
  <c r="C40" i="230"/>
  <c r="E52" i="230" s="1"/>
  <c r="B40" i="87"/>
  <c r="C40" i="87"/>
  <c r="E52" i="87" s="1"/>
  <c r="C40" i="116"/>
  <c r="E52" i="116" s="1"/>
  <c r="B40" i="116"/>
  <c r="C40" i="332"/>
  <c r="E52" i="332" s="1"/>
  <c r="B40" i="332"/>
  <c r="C40" i="160"/>
  <c r="E52" i="160" s="1"/>
  <c r="B40" i="160"/>
  <c r="B40" i="140"/>
  <c r="C40" i="140"/>
  <c r="E52" i="140" s="1"/>
  <c r="B40" i="268"/>
  <c r="C40" i="268"/>
  <c r="D43" i="268" s="1"/>
  <c r="C40" i="183"/>
  <c r="E52" i="183" s="1"/>
  <c r="B40" i="183"/>
  <c r="C40" i="104"/>
  <c r="E52" i="104" s="1"/>
  <c r="B40" i="104"/>
  <c r="B40" i="280"/>
  <c r="C40" i="280"/>
  <c r="E52" i="280" s="1"/>
  <c r="C40" i="345"/>
  <c r="E52" i="345" s="1"/>
  <c r="B40" i="345"/>
  <c r="B40" i="196"/>
  <c r="C40" i="196"/>
  <c r="E52" i="196" s="1"/>
  <c r="C40" i="109"/>
  <c r="E52" i="109" s="1"/>
  <c r="B40" i="109"/>
  <c r="B40" i="411"/>
  <c r="C40" i="411"/>
  <c r="E52" i="411" s="1"/>
  <c r="C40" i="101"/>
  <c r="E52" i="101" s="1"/>
  <c r="B40" i="101"/>
  <c r="B40" i="269"/>
  <c r="C40" i="269"/>
  <c r="E52" i="269" s="1"/>
  <c r="C40" i="284"/>
  <c r="E52" i="284" s="1"/>
  <c r="B40" i="284"/>
  <c r="B40" i="168"/>
  <c r="C40" i="168"/>
  <c r="E52" i="168" s="1"/>
  <c r="B40" i="369"/>
  <c r="C43" i="369" s="1"/>
  <c r="A40" i="369"/>
  <c r="B40" i="244"/>
  <c r="C40" i="244"/>
  <c r="E52" i="244" s="1"/>
  <c r="C40" i="248"/>
  <c r="E52" i="248" s="1"/>
  <c r="B40" i="248"/>
  <c r="C40" i="329"/>
  <c r="E52" i="329" s="1"/>
  <c r="B40" i="329"/>
  <c r="B40" i="229"/>
  <c r="C40" i="229"/>
  <c r="E52" i="229" s="1"/>
  <c r="C40" i="44"/>
  <c r="D43" i="44" s="1"/>
  <c r="B40" i="44"/>
  <c r="C40" i="24"/>
  <c r="E52" i="24" s="1"/>
  <c r="B40" i="24"/>
  <c r="C40" i="281"/>
  <c r="E52" i="281" s="1"/>
  <c r="B40" i="281"/>
  <c r="C40" i="159"/>
  <c r="E52" i="159" s="1"/>
  <c r="B40" i="159"/>
  <c r="C40" i="192"/>
  <c r="E52" i="192" s="1"/>
  <c r="B40" i="192"/>
  <c r="B40" i="143"/>
  <c r="C40" i="143"/>
  <c r="E52" i="143" s="1"/>
  <c r="C40" i="181"/>
  <c r="E52" i="181" s="1"/>
  <c r="B40" i="181"/>
  <c r="B40" i="45"/>
  <c r="C40" i="45"/>
  <c r="E52" i="45" s="1"/>
  <c r="C40" i="200"/>
  <c r="E52" i="200" s="1"/>
  <c r="B40" i="200"/>
  <c r="C40" i="32"/>
  <c r="E52" i="32" s="1"/>
  <c r="B40" i="32"/>
  <c r="B40" i="112"/>
  <c r="C40" i="112"/>
  <c r="E52" i="112" s="1"/>
  <c r="C40" i="103"/>
  <c r="E52" i="103" s="1"/>
  <c r="B40" i="103"/>
  <c r="B40" i="335"/>
  <c r="C40" i="335"/>
  <c r="D43" i="335" s="1"/>
  <c r="C40" i="325"/>
  <c r="E52" i="325" s="1"/>
  <c r="B40" i="325"/>
  <c r="B40" i="283"/>
  <c r="C40" i="283"/>
  <c r="E52" i="283" s="1"/>
  <c r="C40" i="367"/>
  <c r="E52" i="367" s="1"/>
  <c r="B40" i="367"/>
  <c r="C40" i="423"/>
  <c r="E52" i="423" s="1"/>
  <c r="B40" i="423"/>
  <c r="B40" i="415"/>
  <c r="C43" i="415" s="1"/>
  <c r="A40" i="415"/>
  <c r="C40" i="397"/>
  <c r="E52" i="397" s="1"/>
  <c r="B40" i="397"/>
  <c r="B40" i="243"/>
  <c r="C40" i="243"/>
  <c r="E52" i="243" s="1"/>
  <c r="B40" i="47"/>
  <c r="C40" i="47"/>
  <c r="E52" i="47" s="1"/>
  <c r="B40" i="276"/>
  <c r="C40" i="276"/>
  <c r="E52" i="276" s="1"/>
  <c r="B40" i="272"/>
  <c r="C40" i="272"/>
  <c r="E52" i="272" s="1"/>
  <c r="C40" i="25"/>
  <c r="E52" i="25" s="1"/>
  <c r="B40" i="25"/>
  <c r="C40" i="176"/>
  <c r="E52" i="176" s="1"/>
  <c r="B40" i="176"/>
  <c r="B40" i="271"/>
  <c r="C40" i="271"/>
  <c r="E52" i="271" s="1"/>
  <c r="C40" i="209"/>
  <c r="E52" i="209" s="1"/>
  <c r="B40" i="209"/>
  <c r="C40" i="27"/>
  <c r="E52" i="27" s="1"/>
  <c r="B40" i="27"/>
  <c r="C40" i="383"/>
  <c r="E52" i="383" s="1"/>
  <c r="B40" i="383"/>
  <c r="B40" i="74"/>
  <c r="C40" i="74"/>
  <c r="E52" i="74" s="1"/>
  <c r="C40" i="198"/>
  <c r="E52" i="198" s="1"/>
  <c r="B40" i="198"/>
  <c r="B40" i="324"/>
  <c r="C40" i="324"/>
  <c r="E52" i="324" s="1"/>
  <c r="C40" i="262"/>
  <c r="E52" i="262" s="1"/>
  <c r="B40" i="262"/>
  <c r="B40" i="102"/>
  <c r="C40" i="102"/>
  <c r="E52" i="102" s="1"/>
  <c r="C40" i="279"/>
  <c r="D43" i="279" s="1"/>
  <c r="B40" i="279"/>
  <c r="B40" i="339"/>
  <c r="C40" i="339"/>
  <c r="E52" i="339" s="1"/>
  <c r="C40" i="295"/>
  <c r="E52" i="295" s="1"/>
  <c r="B40" i="295"/>
  <c r="C40" i="336"/>
  <c r="E52" i="336" s="1"/>
  <c r="B40" i="336"/>
  <c r="B40" i="37"/>
  <c r="C40" i="37"/>
  <c r="E52" i="37" s="1"/>
  <c r="C40" i="384"/>
  <c r="E52" i="384" s="1"/>
  <c r="B40" i="384"/>
  <c r="B40" i="1"/>
  <c r="C40" i="1"/>
  <c r="E52" i="1" s="1"/>
  <c r="C40" i="239"/>
  <c r="E52" i="239" s="1"/>
  <c r="B40" i="239"/>
  <c r="C40" i="326"/>
  <c r="E52" i="326" s="1"/>
  <c r="B40" i="326"/>
  <c r="C40" i="328"/>
  <c r="E52" i="328" s="1"/>
  <c r="B40" i="328"/>
  <c r="B40" i="287"/>
  <c r="C40" i="287"/>
  <c r="E52" i="287" s="1"/>
  <c r="C40" i="285"/>
  <c r="E52" i="285" s="1"/>
  <c r="B40" i="285"/>
  <c r="C40" i="107"/>
  <c r="E52" i="107" s="1"/>
  <c r="B40" i="107"/>
  <c r="C40" i="270"/>
  <c r="E52" i="270" s="1"/>
  <c r="B40" i="270"/>
  <c r="C40" i="263"/>
  <c r="E52" i="263" s="1"/>
  <c r="B40" i="263"/>
  <c r="B40" i="184"/>
  <c r="C40" i="184"/>
  <c r="E52" i="184" s="1"/>
  <c r="C40" i="254"/>
  <c r="E52" i="254" s="1"/>
  <c r="B40" i="254"/>
  <c r="C40" i="97"/>
  <c r="E52" i="97" s="1"/>
  <c r="B40" i="97"/>
  <c r="C40" i="346"/>
  <c r="E52" i="346" s="1"/>
  <c r="B40" i="346"/>
  <c r="C40" i="197"/>
  <c r="E52" i="197" s="1"/>
  <c r="B40" i="197"/>
  <c r="C40" i="85"/>
  <c r="E52" i="85" s="1"/>
  <c r="B40" i="85"/>
  <c r="C40" i="265"/>
  <c r="E52" i="265" s="1"/>
  <c r="B40" i="265"/>
  <c r="C40" i="382"/>
  <c r="E52" i="382" s="1"/>
  <c r="B40" i="382"/>
  <c r="C40" i="11"/>
  <c r="E52" i="11" s="1"/>
  <c r="B40" i="11"/>
  <c r="C40" i="292"/>
  <c r="E52" i="292" s="1"/>
  <c r="B40" i="292"/>
  <c r="B40" i="169"/>
  <c r="C40" i="169"/>
  <c r="E52" i="169" s="1"/>
  <c r="B40" i="135"/>
  <c r="C40" i="135"/>
  <c r="E52" i="135" s="1"/>
  <c r="C40" i="187"/>
  <c r="E52" i="187" s="1"/>
  <c r="B40" i="187"/>
  <c r="C40" i="174"/>
  <c r="E52" i="174" s="1"/>
  <c r="B40" i="174"/>
  <c r="C40" i="34"/>
  <c r="E52" i="34" s="1"/>
  <c r="B40" i="34"/>
  <c r="C40" i="340"/>
  <c r="E52" i="340" s="1"/>
  <c r="B40" i="340"/>
  <c r="B40" i="338"/>
  <c r="C40" i="338"/>
  <c r="E52" i="338" s="1"/>
  <c r="B40" i="61"/>
  <c r="C40" i="61"/>
  <c r="E52" i="61" s="1"/>
  <c r="B40" i="344"/>
  <c r="C40" i="344"/>
  <c r="E52" i="344" s="1"/>
  <c r="C40" i="301"/>
  <c r="E52" i="301" s="1"/>
  <c r="B40" i="301"/>
  <c r="C40" i="22"/>
  <c r="E52" i="22" s="1"/>
  <c r="B40" i="22"/>
  <c r="C40" i="206"/>
  <c r="E52" i="206" s="1"/>
  <c r="B40" i="206"/>
  <c r="C40" i="366"/>
  <c r="D43" i="366" s="1"/>
  <c r="B40" i="366"/>
  <c r="C40" i="365"/>
  <c r="D43" i="365" s="1"/>
  <c r="B40" i="365"/>
  <c r="C40" i="294"/>
  <c r="E52" i="294" s="1"/>
  <c r="B40" i="294"/>
  <c r="C40" i="105"/>
  <c r="E52" i="105" s="1"/>
  <c r="B40" i="105"/>
  <c r="C40" i="350"/>
  <c r="E52" i="350" s="1"/>
  <c r="B40" i="350"/>
  <c r="C40" i="297"/>
  <c r="E52" i="297" s="1"/>
  <c r="B40" i="297"/>
  <c r="C40" i="193"/>
  <c r="E52" i="193" s="1"/>
  <c r="B40" i="193"/>
  <c r="B40" i="194"/>
  <c r="C40" i="194"/>
  <c r="E52" i="194" s="1"/>
  <c r="C40" i="348"/>
  <c r="E52" i="348" s="1"/>
  <c r="B40" i="348"/>
  <c r="B40" i="293"/>
  <c r="C40" i="293"/>
  <c r="E52" i="293" s="1"/>
  <c r="C40" i="357"/>
  <c r="D43" i="357" s="1"/>
  <c r="B40" i="357"/>
  <c r="B40" i="289"/>
  <c r="C40" i="289"/>
  <c r="E52" i="289" s="1"/>
  <c r="C40" i="290"/>
  <c r="E52" i="290" s="1"/>
  <c r="B40" i="290"/>
  <c r="C40" i="227"/>
  <c r="E52" i="227" s="1"/>
  <c r="B40" i="227"/>
  <c r="B40" i="337"/>
  <c r="C40" i="337"/>
  <c r="E52" i="337" s="1"/>
  <c r="C40" i="288"/>
  <c r="E52" i="288" s="1"/>
  <c r="B40" i="288"/>
  <c r="C40" i="318"/>
  <c r="E52" i="318" s="1"/>
  <c r="B40" i="318"/>
  <c r="C40" i="319"/>
  <c r="E52" i="319" s="1"/>
  <c r="B40" i="319"/>
  <c r="C40" i="320"/>
  <c r="E52" i="320" s="1"/>
  <c r="B40" i="320"/>
  <c r="B40" i="343"/>
  <c r="C43" i="343" s="1"/>
  <c r="A40" i="343"/>
  <c r="C40" i="33"/>
  <c r="E52" i="33" s="1"/>
  <c r="B40" i="33"/>
  <c r="C40" i="342"/>
  <c r="E52" i="342" s="1"/>
  <c r="B40" i="342"/>
  <c r="C40" i="298"/>
  <c r="E52" i="298" s="1"/>
  <c r="B40" i="298"/>
  <c r="C40" i="31"/>
  <c r="E52" i="31" s="1"/>
  <c r="B40" i="31"/>
  <c r="C40" i="363"/>
  <c r="D43" i="363" s="1"/>
  <c r="B40" i="363"/>
  <c r="C40" i="204"/>
  <c r="E52" i="204" s="1"/>
  <c r="B40" i="204"/>
  <c r="C40" i="347"/>
  <c r="E52" i="347" s="1"/>
  <c r="B40" i="347"/>
  <c r="B40" i="19"/>
  <c r="C40" i="19"/>
  <c r="E52" i="19" s="1"/>
  <c r="B40" i="257"/>
  <c r="C40" i="257"/>
  <c r="E52" i="257" s="1"/>
  <c r="B40" i="153"/>
  <c r="C40" i="153"/>
  <c r="E52" i="153" s="1"/>
  <c r="B40" i="261"/>
  <c r="C40" i="261"/>
  <c r="E52" i="261" s="1"/>
  <c r="C40" i="13"/>
  <c r="E52" i="13" s="1"/>
  <c r="B40" i="13"/>
  <c r="C40" i="7"/>
  <c r="E52" i="7" s="1"/>
  <c r="B40" i="7"/>
  <c r="C40" i="21"/>
  <c r="E52" i="21" s="1"/>
  <c r="B40" i="21"/>
  <c r="B40" i="249"/>
  <c r="C40" i="249"/>
  <c r="E52" i="249" s="1"/>
  <c r="C40" i="201"/>
  <c r="E52" i="201" s="1"/>
  <c r="B40" i="201"/>
  <c r="C40" i="54"/>
  <c r="E52" i="54" s="1"/>
  <c r="B40" i="54"/>
  <c r="C40" i="17"/>
  <c r="E52" i="17" s="1"/>
  <c r="B40" i="17"/>
  <c r="C40" i="16"/>
  <c r="E52" i="16" s="1"/>
  <c r="B40" i="16"/>
  <c r="C40" i="190"/>
  <c r="E52" i="190" s="1"/>
  <c r="B40" i="190"/>
  <c r="C40" i="299"/>
  <c r="E52" i="299" s="1"/>
  <c r="B40" i="299"/>
  <c r="C40" i="355"/>
  <c r="E52" i="355" s="1"/>
  <c r="B40" i="355"/>
  <c r="C40" i="15"/>
  <c r="E52" i="15" s="1"/>
  <c r="B40" i="15"/>
  <c r="B40" i="4"/>
  <c r="C40" i="4"/>
  <c r="E52" i="4" s="1"/>
  <c r="B40" i="349"/>
  <c r="C40" i="349"/>
  <c r="E52" i="349" s="1"/>
  <c r="C40" i="3"/>
  <c r="E52" i="3" s="1"/>
  <c r="B40" i="3"/>
  <c r="C40" i="334"/>
  <c r="E52" i="334" s="1"/>
  <c r="B40" i="334"/>
  <c r="B40" i="385"/>
  <c r="C40" i="385"/>
  <c r="E52" i="385" s="1"/>
  <c r="B40" i="323"/>
  <c r="C40" i="323"/>
  <c r="E52" i="323" s="1"/>
  <c r="C40" i="114"/>
  <c r="E52" i="114" s="1"/>
  <c r="B40" i="114"/>
  <c r="C40" i="408"/>
  <c r="D43" i="408" s="1"/>
  <c r="B40" i="408"/>
  <c r="C40" i="403"/>
  <c r="D43" i="403" s="1"/>
  <c r="B40" i="403"/>
  <c r="C40" i="402"/>
  <c r="D43" i="402" s="1"/>
  <c r="B40" i="402"/>
  <c r="B40" i="400"/>
  <c r="C40" i="400"/>
  <c r="E52" i="400" s="1"/>
  <c r="B40" i="393"/>
  <c r="C40" i="393"/>
  <c r="E52" i="393" s="1"/>
  <c r="B40" i="394"/>
  <c r="C40" i="394"/>
  <c r="E52" i="394" s="1"/>
  <c r="C40" i="303"/>
  <c r="E52" i="303" s="1"/>
  <c r="B40" i="303"/>
  <c r="C40" i="314"/>
  <c r="E52" i="314" s="1"/>
  <c r="B40" i="314"/>
  <c r="B40" i="387"/>
  <c r="C40" i="387"/>
  <c r="E52" i="387" s="1"/>
  <c r="C40" i="386"/>
  <c r="E52" i="386" s="1"/>
  <c r="B40" i="386"/>
  <c r="C40" i="53"/>
  <c r="E52" i="53" s="1"/>
  <c r="B40" i="53"/>
  <c r="B40" i="296"/>
  <c r="C40" i="296"/>
  <c r="E52" i="296" s="1"/>
  <c r="C40" i="333"/>
  <c r="E52" i="333" s="1"/>
  <c r="B40" i="333"/>
  <c r="B40" i="75"/>
  <c r="C40" i="75"/>
  <c r="E52" i="75" s="1"/>
  <c r="B40" i="207"/>
  <c r="C40" i="207"/>
  <c r="E52" i="207" s="1"/>
  <c r="B40" i="5"/>
  <c r="C40" i="5"/>
  <c r="E52" i="5" s="1"/>
  <c r="B40" i="421"/>
  <c r="C40" i="421"/>
  <c r="E52" i="421" s="1"/>
  <c r="B40" i="413"/>
  <c r="C40" i="413"/>
  <c r="E52" i="413" s="1"/>
  <c r="B40" i="162"/>
  <c r="C40" i="162"/>
  <c r="E52" i="162" s="1"/>
  <c r="B40" i="164"/>
  <c r="C40" i="164"/>
  <c r="E52" i="164" s="1"/>
  <c r="C40" i="356"/>
  <c r="E52" i="356" s="1"/>
  <c r="B40" i="356"/>
  <c r="C40" i="12"/>
  <c r="E52" i="12" s="1"/>
  <c r="B40" i="12"/>
  <c r="C40" i="2"/>
  <c r="E52" i="2" s="1"/>
  <c r="B40" i="2"/>
  <c r="B40" i="233"/>
  <c r="C40" i="233"/>
  <c r="E52" i="233" s="1"/>
  <c r="B40" i="354"/>
  <c r="C40" i="354"/>
  <c r="E52" i="354" s="1"/>
  <c r="B40" i="362"/>
  <c r="C40" i="362"/>
  <c r="E52" i="362" s="1"/>
  <c r="B40" i="322"/>
  <c r="C40" i="322"/>
  <c r="E52" i="322" s="1"/>
  <c r="B40" i="352"/>
  <c r="C40" i="352"/>
  <c r="E52" i="352" s="1"/>
  <c r="C40" i="351"/>
  <c r="E52" i="351" s="1"/>
  <c r="B40" i="351"/>
  <c r="B40" i="361"/>
  <c r="C40" i="361"/>
  <c r="E52" i="361" s="1"/>
  <c r="B40" i="113"/>
  <c r="C40" i="113"/>
  <c r="E52" i="113" s="1"/>
  <c r="B40" i="191"/>
  <c r="C40" i="191"/>
  <c r="E52" i="191" s="1"/>
  <c r="C40" i="203"/>
  <c r="E52" i="203" s="1"/>
  <c r="B40" i="203"/>
  <c r="B40" i="8"/>
  <c r="C40" i="8"/>
  <c r="E52" i="8" s="1"/>
  <c r="C40" i="392"/>
  <c r="E52" i="392" s="1"/>
  <c r="B40" i="392"/>
  <c r="C40" i="420"/>
  <c r="E52" i="420" s="1"/>
  <c r="B40" i="420"/>
  <c r="C40" i="391"/>
  <c r="E52" i="391" s="1"/>
  <c r="B40" i="391"/>
  <c r="B40" i="368"/>
  <c r="B40" i="364"/>
  <c r="C40" i="364"/>
  <c r="E52" i="364" s="1"/>
  <c r="C40" i="202"/>
  <c r="E52" i="202" s="1"/>
  <c r="B40" i="202"/>
  <c r="B40" i="35"/>
  <c r="C40" i="35"/>
  <c r="E52" i="35" s="1"/>
  <c r="C40" i="360"/>
  <c r="E52" i="360" s="1"/>
  <c r="B40" i="360"/>
  <c r="B40" i="359"/>
  <c r="C40" i="359"/>
  <c r="E52" i="359" s="1"/>
  <c r="B40" i="29"/>
  <c r="C40" i="29"/>
  <c r="E52" i="29" s="1"/>
  <c r="C40" i="28"/>
  <c r="E52" i="28" s="1"/>
  <c r="B40" i="28"/>
  <c r="B40" i="89"/>
  <c r="C40" i="89"/>
  <c r="E52" i="89" s="1"/>
  <c r="C40" i="148"/>
  <c r="E52" i="148" s="1"/>
  <c r="B40" i="148"/>
  <c r="C40" i="88"/>
  <c r="E52" i="88" s="1"/>
  <c r="B40" i="88"/>
  <c r="B40" i="43"/>
  <c r="C40" i="43"/>
  <c r="E52" i="43" s="1"/>
  <c r="C40" i="422"/>
  <c r="E52" i="422" s="1"/>
  <c r="B40" i="422"/>
  <c r="B40" i="20"/>
  <c r="C40" i="20"/>
  <c r="E52" i="20" s="1"/>
  <c r="C40" i="18"/>
  <c r="E52" i="18" s="1"/>
  <c r="B40" i="18"/>
  <c r="B40" i="409"/>
  <c r="C40" i="409"/>
  <c r="E52" i="409" s="1"/>
  <c r="C40" i="389"/>
  <c r="E52" i="389" s="1"/>
  <c r="B40" i="389"/>
  <c r="B40" i="52"/>
  <c r="C40" i="52"/>
  <c r="E52" i="52" s="1"/>
  <c r="B40" i="23"/>
  <c r="C40" i="23"/>
  <c r="E52" i="23" s="1"/>
  <c r="B40" i="48"/>
  <c r="C40" i="48"/>
  <c r="E52" i="48" s="1"/>
  <c r="B40" i="9"/>
  <c r="C40" i="9"/>
  <c r="E52" i="9" s="1"/>
  <c r="G39" i="246"/>
  <c r="G39" i="87"/>
  <c r="G39" i="160"/>
  <c r="G39" i="104"/>
  <c r="G39" i="196"/>
  <c r="G39" i="269"/>
  <c r="G39" i="338"/>
  <c r="G39" i="297"/>
  <c r="G39" i="342"/>
  <c r="F39" i="369"/>
  <c r="G39" i="13"/>
  <c r="G39" i="3"/>
  <c r="F39" i="407"/>
  <c r="B40" i="407"/>
  <c r="G39" i="46"/>
  <c r="G39" i="116"/>
  <c r="G39" i="140"/>
  <c r="G39" i="280"/>
  <c r="G39" i="109"/>
  <c r="G39" i="101"/>
  <c r="G39" i="284"/>
  <c r="G39" i="22"/>
  <c r="G39" i="293"/>
  <c r="F39" i="343"/>
  <c r="G39" i="19"/>
  <c r="G39" i="17"/>
  <c r="G39" i="114"/>
  <c r="G39" i="303"/>
  <c r="G39" i="52"/>
  <c r="G39" i="162"/>
  <c r="G39" i="322"/>
  <c r="G39" i="113"/>
  <c r="G39" i="392"/>
  <c r="G39" i="202"/>
  <c r="G39" i="248"/>
  <c r="G39" i="229"/>
  <c r="G39" i="44"/>
  <c r="G39" i="159"/>
  <c r="G39" i="143"/>
  <c r="G39" i="181"/>
  <c r="G39" i="200"/>
  <c r="G39" i="32"/>
  <c r="G39" i="103"/>
  <c r="G39" i="325"/>
  <c r="G39" i="174"/>
  <c r="G39" i="206"/>
  <c r="G39" i="193"/>
  <c r="G39" i="337"/>
  <c r="G39" i="320"/>
  <c r="G39" i="31"/>
  <c r="G39" i="423"/>
  <c r="G39" i="201"/>
  <c r="G39" i="16"/>
  <c r="G39" i="408"/>
  <c r="G39" i="389"/>
  <c r="G39" i="28"/>
  <c r="G39" i="207"/>
  <c r="G39" i="354"/>
  <c r="G39" i="9"/>
  <c r="G39" i="391"/>
  <c r="G39" i="35"/>
  <c r="F39" i="401"/>
  <c r="B40" i="401"/>
  <c r="G39" i="397"/>
  <c r="G39" i="243"/>
  <c r="G39" i="47"/>
  <c r="G39" i="276"/>
  <c r="G39" i="272"/>
  <c r="G39" i="25"/>
  <c r="G39" i="176"/>
  <c r="G39" i="271"/>
  <c r="G39" i="209"/>
  <c r="G39" i="27"/>
  <c r="G39" i="383"/>
  <c r="G39" i="74"/>
  <c r="G39" i="198"/>
  <c r="G39" i="324"/>
  <c r="G39" i="262"/>
  <c r="G39" i="102"/>
  <c r="G39" i="279"/>
  <c r="G39" i="339"/>
  <c r="G39" i="295"/>
  <c r="G39" i="34"/>
  <c r="G39" i="344"/>
  <c r="G39" i="366"/>
  <c r="G39" i="233"/>
  <c r="G39" i="194"/>
  <c r="G39" i="289"/>
  <c r="G39" i="288"/>
  <c r="G39" i="319"/>
  <c r="G39" i="336"/>
  <c r="G39" i="363"/>
  <c r="G39" i="37"/>
  <c r="G39" i="153"/>
  <c r="G39" i="23"/>
  <c r="G39" i="384"/>
  <c r="G39" i="190"/>
  <c r="G39" i="4"/>
  <c r="G39" i="385"/>
  <c r="G39" i="403"/>
  <c r="G39" i="394"/>
  <c r="G39" i="387"/>
  <c r="G39" i="360"/>
  <c r="G39" i="368"/>
  <c r="G39" i="296"/>
  <c r="G39" i="5"/>
  <c r="G39" i="356"/>
  <c r="G39" i="362"/>
  <c r="G39" i="351"/>
  <c r="G39" i="409"/>
  <c r="G39" i="203"/>
  <c r="G39" i="420"/>
  <c r="G39" i="89"/>
  <c r="G39" i="20"/>
  <c r="F39" i="406"/>
  <c r="B40" i="406"/>
  <c r="G39" i="230"/>
  <c r="G39" i="332"/>
  <c r="G39" i="268"/>
  <c r="G39" i="183"/>
  <c r="G39" i="345"/>
  <c r="G39" i="411"/>
  <c r="G39" i="187"/>
  <c r="G39" i="294"/>
  <c r="G39" i="227"/>
  <c r="G39" i="168"/>
  <c r="G39" i="7"/>
  <c r="G39" i="249"/>
  <c r="G39" i="355"/>
  <c r="G39" i="400"/>
  <c r="G39" i="29"/>
  <c r="G39" i="75"/>
  <c r="G39" i="2"/>
  <c r="G39" i="191"/>
  <c r="G39" i="88"/>
  <c r="G39" i="244"/>
  <c r="G39" i="329"/>
  <c r="G39" i="24"/>
  <c r="G39" i="281"/>
  <c r="G39" i="192"/>
  <c r="G39" i="45"/>
  <c r="G39" i="112"/>
  <c r="G39" i="335"/>
  <c r="G39" i="283"/>
  <c r="G39" i="61"/>
  <c r="G39" i="105"/>
  <c r="G39" i="357"/>
  <c r="G39" i="298"/>
  <c r="G39" i="367"/>
  <c r="G39" i="257"/>
  <c r="G39" i="15"/>
  <c r="G39" i="334"/>
  <c r="G39" i="393"/>
  <c r="G39" i="314"/>
  <c r="G39" i="53"/>
  <c r="G39" i="164"/>
  <c r="G39" i="352"/>
  <c r="F39" i="415"/>
  <c r="G39" i="422"/>
  <c r="F39" i="405"/>
  <c r="B40" i="405"/>
  <c r="G39" i="1"/>
  <c r="G39" i="239"/>
  <c r="G39" i="326"/>
  <c r="G39" i="328"/>
  <c r="G39" i="287"/>
  <c r="G39" i="285"/>
  <c r="G39" i="107"/>
  <c r="G39" i="270"/>
  <c r="G39" i="263"/>
  <c r="G39" i="184"/>
  <c r="G39" i="254"/>
  <c r="G39" i="97"/>
  <c r="G39" i="346"/>
  <c r="G39" i="197"/>
  <c r="G39" i="85"/>
  <c r="G39" i="265"/>
  <c r="G39" i="382"/>
  <c r="G39" i="11"/>
  <c r="G39" i="292"/>
  <c r="G39" i="135"/>
  <c r="G39" i="340"/>
  <c r="G39" i="301"/>
  <c r="G39" i="365"/>
  <c r="G39" i="350"/>
  <c r="G39" i="348"/>
  <c r="G39" i="290"/>
  <c r="G39" i="318"/>
  <c r="G39" i="33"/>
  <c r="G39" i="169"/>
  <c r="G39" i="204"/>
  <c r="G39" i="347"/>
  <c r="G39" i="261"/>
  <c r="G39" i="48"/>
  <c r="G39" i="21"/>
  <c r="G39" i="54"/>
  <c r="G39" i="299"/>
  <c r="G39" i="349"/>
  <c r="G39" i="323"/>
  <c r="G39" i="402"/>
  <c r="F39" i="396"/>
  <c r="B40" i="396"/>
  <c r="G39" i="386"/>
  <c r="G39" i="359"/>
  <c r="G39" i="364"/>
  <c r="G39" i="333"/>
  <c r="G39" i="413"/>
  <c r="G39" i="12"/>
  <c r="G39" i="361"/>
  <c r="G39" i="43"/>
  <c r="G39" i="8"/>
  <c r="G39" i="421"/>
  <c r="G39" i="148"/>
  <c r="G39" i="18"/>
  <c r="T38" i="423"/>
  <c r="I38" i="423" s="1"/>
  <c r="J50" i="423" s="1"/>
  <c r="K37" i="423"/>
  <c r="M49" i="423" s="1"/>
  <c r="U37" i="423"/>
  <c r="T37" i="423"/>
  <c r="I37" i="423" s="1"/>
  <c r="F37" i="423"/>
  <c r="H49" i="423" s="1"/>
  <c r="T36" i="423"/>
  <c r="I36" i="423" s="1"/>
  <c r="F36" i="423"/>
  <c r="H48" i="423" s="1"/>
  <c r="T35" i="423"/>
  <c r="I35" i="423" s="1"/>
  <c r="F35" i="423"/>
  <c r="H47" i="423" s="1"/>
  <c r="K34" i="423"/>
  <c r="M46" i="423" s="1"/>
  <c r="U34" i="423"/>
  <c r="T34" i="423"/>
  <c r="I34" i="423" s="1"/>
  <c r="F34" i="423"/>
  <c r="H46" i="423" s="1"/>
  <c r="T33" i="423"/>
  <c r="I33" i="423" s="1"/>
  <c r="F33" i="423"/>
  <c r="H45" i="423" s="1"/>
  <c r="T32" i="423"/>
  <c r="I32" i="423" s="1"/>
  <c r="F32" i="423"/>
  <c r="H44" i="423" s="1"/>
  <c r="K31" i="423"/>
  <c r="M43" i="423" s="1"/>
  <c r="U31" i="423"/>
  <c r="T31" i="423"/>
  <c r="I31" i="423" s="1"/>
  <c r="F31" i="423"/>
  <c r="H43" i="423" s="1"/>
  <c r="T30" i="423"/>
  <c r="I30" i="423" s="1"/>
  <c r="F30" i="423"/>
  <c r="H42" i="423" s="1"/>
  <c r="T29" i="423"/>
  <c r="I29" i="423" s="1"/>
  <c r="F29" i="423"/>
  <c r="H41" i="423" s="1"/>
  <c r="K28" i="423"/>
  <c r="U28" i="423"/>
  <c r="M40" i="423" s="1"/>
  <c r="T28" i="423"/>
  <c r="I28" i="423" s="1"/>
  <c r="F28" i="423"/>
  <c r="T27" i="423"/>
  <c r="I27" i="423" s="1"/>
  <c r="F27" i="423"/>
  <c r="T26" i="423"/>
  <c r="I26" i="423" s="1"/>
  <c r="F26" i="423"/>
  <c r="K25" i="423"/>
  <c r="U25" i="423"/>
  <c r="T25" i="423"/>
  <c r="I25" i="423" s="1"/>
  <c r="F25" i="423"/>
  <c r="T24" i="423"/>
  <c r="I24" i="423" s="1"/>
  <c r="F24" i="423"/>
  <c r="T23" i="423"/>
  <c r="I23" i="423" s="1"/>
  <c r="F23" i="423"/>
  <c r="K22" i="423"/>
  <c r="U22" i="423"/>
  <c r="T22" i="423"/>
  <c r="I22" i="423" s="1"/>
  <c r="F22" i="423"/>
  <c r="T21" i="423"/>
  <c r="I21" i="423" s="1"/>
  <c r="F21" i="423"/>
  <c r="T20" i="423"/>
  <c r="I20" i="423" s="1"/>
  <c r="F20" i="423"/>
  <c r="K19" i="423"/>
  <c r="U19" i="423"/>
  <c r="T19" i="423"/>
  <c r="I19" i="423" s="1"/>
  <c r="F19" i="423"/>
  <c r="T18" i="423"/>
  <c r="I18" i="423" s="1"/>
  <c r="F18" i="423"/>
  <c r="T17" i="423"/>
  <c r="I17" i="423" s="1"/>
  <c r="F17" i="423"/>
  <c r="K16" i="423"/>
  <c r="U16" i="423"/>
  <c r="T16" i="423"/>
  <c r="I16" i="423" s="1"/>
  <c r="F16" i="423"/>
  <c r="T15" i="423"/>
  <c r="I15" i="423" s="1"/>
  <c r="F15" i="423"/>
  <c r="T14" i="423"/>
  <c r="I14" i="423" s="1"/>
  <c r="F14" i="423"/>
  <c r="K13" i="423"/>
  <c r="U13" i="423"/>
  <c r="T13" i="423"/>
  <c r="I13" i="423" s="1"/>
  <c r="F13" i="423"/>
  <c r="T12" i="423"/>
  <c r="I12" i="423" s="1"/>
  <c r="F12" i="423"/>
  <c r="T11" i="423"/>
  <c r="I11" i="423" s="1"/>
  <c r="F11" i="423"/>
  <c r="K10" i="423"/>
  <c r="U10" i="423"/>
  <c r="T10" i="423"/>
  <c r="I10" i="423" s="1"/>
  <c r="F10" i="423"/>
  <c r="T9" i="423"/>
  <c r="I9" i="423" s="1"/>
  <c r="F9" i="423"/>
  <c r="T8" i="423"/>
  <c r="I8" i="423" s="1"/>
  <c r="F8" i="423"/>
  <c r="K7" i="423"/>
  <c r="U7" i="423"/>
  <c r="T7" i="423"/>
  <c r="I7" i="423" s="1"/>
  <c r="F7" i="423"/>
  <c r="T6" i="423"/>
  <c r="I6" i="423" s="1"/>
  <c r="F6" i="423"/>
  <c r="T5" i="423"/>
  <c r="I5" i="423" s="1"/>
  <c r="F5" i="423"/>
  <c r="D43" i="360" l="1"/>
  <c r="D43" i="362"/>
  <c r="D43" i="164"/>
  <c r="D43" i="393"/>
  <c r="D43" i="323"/>
  <c r="D43" i="261"/>
  <c r="D43" i="19"/>
  <c r="D43" i="293"/>
  <c r="D43" i="338"/>
  <c r="D43" i="169"/>
  <c r="D43" i="287"/>
  <c r="D43" i="37"/>
  <c r="D43" i="339"/>
  <c r="D43" i="74"/>
  <c r="D43" i="47"/>
  <c r="D43" i="283"/>
  <c r="D43" i="143"/>
  <c r="D43" i="229"/>
  <c r="D43" i="244"/>
  <c r="D43" i="411"/>
  <c r="D43" i="87"/>
  <c r="D43" i="23"/>
  <c r="D43" i="409"/>
  <c r="D43" i="29"/>
  <c r="D43" i="35"/>
  <c r="D43" i="392"/>
  <c r="D43" i="351"/>
  <c r="D43" i="2"/>
  <c r="D43" i="53"/>
  <c r="D43" i="314"/>
  <c r="D43" i="3"/>
  <c r="D43" i="15"/>
  <c r="D43" i="190"/>
  <c r="D43" i="54"/>
  <c r="D43" i="21"/>
  <c r="D43" i="342"/>
  <c r="D43" i="320"/>
  <c r="D43" i="288"/>
  <c r="D43" i="290"/>
  <c r="D43" i="193"/>
  <c r="D43" i="105"/>
  <c r="D43" i="301"/>
  <c r="D43" i="174"/>
  <c r="D43" i="382"/>
  <c r="D43" i="197"/>
  <c r="D43" i="254"/>
  <c r="D43" i="270"/>
  <c r="D43" i="239"/>
  <c r="D43" i="262"/>
  <c r="D43" i="209"/>
  <c r="D43" i="25"/>
  <c r="D43" i="103"/>
  <c r="D43" i="200"/>
  <c r="D43" i="281"/>
  <c r="D43" i="284"/>
  <c r="D43" i="345"/>
  <c r="D43" i="183"/>
  <c r="D43" i="160"/>
  <c r="D43" i="246"/>
  <c r="D43" i="422"/>
  <c r="D43" i="148"/>
  <c r="D43" i="8"/>
  <c r="D43" i="113"/>
  <c r="D43" i="352"/>
  <c r="D43" i="354"/>
  <c r="D43" i="162"/>
  <c r="D43" i="5"/>
  <c r="D43" i="400"/>
  <c r="D43" i="385"/>
  <c r="D43" i="349"/>
  <c r="D43" i="153"/>
  <c r="D43" i="337"/>
  <c r="D43" i="289"/>
  <c r="D43" i="344"/>
  <c r="D43" i="184"/>
  <c r="D43" i="1"/>
  <c r="D43" i="324"/>
  <c r="D43" i="271"/>
  <c r="D43" i="272"/>
  <c r="D43" i="243"/>
  <c r="D43" i="112"/>
  <c r="D43" i="45"/>
  <c r="D43" i="269"/>
  <c r="D43" i="280"/>
  <c r="D43" i="230"/>
  <c r="D43" i="9"/>
  <c r="D43" i="52"/>
  <c r="D43" i="43"/>
  <c r="D43" i="89"/>
  <c r="D43" i="359"/>
  <c r="D43" i="391"/>
  <c r="D43" i="12"/>
  <c r="D43" i="333"/>
  <c r="D43" i="386"/>
  <c r="D43" i="303"/>
  <c r="D43" i="355"/>
  <c r="D43" i="16"/>
  <c r="D43" i="201"/>
  <c r="D43" i="7"/>
  <c r="D43" i="347"/>
  <c r="D43" i="31"/>
  <c r="D43" i="33"/>
  <c r="D43" i="319"/>
  <c r="D43" i="348"/>
  <c r="D43" i="297"/>
  <c r="D43" i="294"/>
  <c r="D43" i="206"/>
  <c r="D43" i="340"/>
  <c r="D43" i="187"/>
  <c r="D43" i="292"/>
  <c r="D43" i="265"/>
  <c r="D43" i="346"/>
  <c r="D43" i="107"/>
  <c r="D43" i="328"/>
  <c r="D43" i="336"/>
  <c r="D43" i="383"/>
  <c r="D43" i="423"/>
  <c r="D43" i="325"/>
  <c r="D43" i="192"/>
  <c r="D43" i="24"/>
  <c r="D43" i="329"/>
  <c r="D43" i="109"/>
  <c r="D43" i="332"/>
  <c r="D43" i="368"/>
  <c r="D43" i="389"/>
  <c r="D43" i="28"/>
  <c r="D43" i="191"/>
  <c r="D43" i="75"/>
  <c r="D43" i="18"/>
  <c r="D43" i="202"/>
  <c r="D43" i="361"/>
  <c r="D43" i="322"/>
  <c r="D43" i="233"/>
  <c r="D43" i="413"/>
  <c r="D43" i="207"/>
  <c r="D43" i="296"/>
  <c r="D43" i="387"/>
  <c r="D43" i="394"/>
  <c r="D43" i="4"/>
  <c r="D43" i="249"/>
  <c r="D43" i="257"/>
  <c r="D43" i="194"/>
  <c r="D43" i="61"/>
  <c r="D43" i="135"/>
  <c r="D43" i="102"/>
  <c r="D43" i="276"/>
  <c r="D43" i="168"/>
  <c r="D43" i="196"/>
  <c r="D43" i="140"/>
  <c r="D43" i="46"/>
  <c r="D43" i="88"/>
  <c r="D43" i="421"/>
  <c r="D43" i="20"/>
  <c r="D43" i="364"/>
  <c r="D43" i="420"/>
  <c r="D43" i="203"/>
  <c r="D43" i="356"/>
  <c r="D43" i="114"/>
  <c r="D43" i="334"/>
  <c r="D43" i="299"/>
  <c r="D43" i="17"/>
  <c r="D43" i="13"/>
  <c r="D43" i="204"/>
  <c r="D43" i="298"/>
  <c r="D43" i="318"/>
  <c r="D43" i="227"/>
  <c r="D43" i="350"/>
  <c r="D43" i="22"/>
  <c r="D43" i="34"/>
  <c r="D43" i="11"/>
  <c r="D43" i="85"/>
  <c r="D43" i="97"/>
  <c r="D43" i="263"/>
  <c r="D43" i="285"/>
  <c r="D43" i="326"/>
  <c r="D43" i="384"/>
  <c r="D43" i="295"/>
  <c r="D43" i="198"/>
  <c r="D43" i="27"/>
  <c r="D43" i="176"/>
  <c r="D43" i="397"/>
  <c r="D43" i="367"/>
  <c r="D43" i="32"/>
  <c r="D43" i="181"/>
  <c r="D43" i="159"/>
  <c r="D43" i="248"/>
  <c r="D43" i="101"/>
  <c r="D43" i="104"/>
  <c r="D43" i="116"/>
  <c r="D43" i="48"/>
  <c r="J17" i="423"/>
  <c r="J22" i="423"/>
  <c r="J24" i="423"/>
  <c r="J26" i="423"/>
  <c r="J19" i="423"/>
  <c r="J45" i="423"/>
  <c r="J33" i="423"/>
  <c r="J43" i="423"/>
  <c r="J31" i="423"/>
  <c r="J47" i="423"/>
  <c r="J35" i="423"/>
  <c r="J38" i="423"/>
  <c r="J18" i="423"/>
  <c r="J20" i="423"/>
  <c r="J25" i="423"/>
  <c r="J27" i="423"/>
  <c r="J39" i="423"/>
  <c r="J29" i="423"/>
  <c r="J41" i="423"/>
  <c r="J34" i="423"/>
  <c r="J46" i="423"/>
  <c r="J36" i="423"/>
  <c r="J48" i="423"/>
  <c r="J21" i="423"/>
  <c r="J23" i="423"/>
  <c r="J28" i="423"/>
  <c r="J40" i="423"/>
  <c r="J30" i="423"/>
  <c r="J42" i="423"/>
  <c r="J32" i="423"/>
  <c r="J44" i="423"/>
  <c r="J49" i="423"/>
  <c r="J37" i="423"/>
  <c r="L40" i="423"/>
  <c r="H19" i="423"/>
  <c r="N40" i="423"/>
  <c r="O43" i="423" s="1"/>
  <c r="H40" i="423"/>
  <c r="H24" i="423"/>
  <c r="H30" i="423"/>
  <c r="H39" i="423"/>
  <c r="N7" i="423"/>
  <c r="N19" i="423"/>
  <c r="N34" i="423"/>
  <c r="N22" i="423"/>
  <c r="N37" i="423"/>
  <c r="N31" i="423"/>
  <c r="C37" i="423"/>
  <c r="E49" i="423" s="1"/>
  <c r="G37" i="423"/>
  <c r="H25" i="423"/>
  <c r="C19" i="423"/>
  <c r="H31" i="423"/>
  <c r="N28" i="423"/>
  <c r="G30" i="423"/>
  <c r="H26" i="423"/>
  <c r="H37" i="423"/>
  <c r="C31" i="423"/>
  <c r="E43" i="423" s="1"/>
  <c r="G31" i="423"/>
  <c r="G36" i="423"/>
  <c r="N25" i="423"/>
  <c r="G24" i="423"/>
  <c r="L13" i="423"/>
  <c r="M19" i="423"/>
  <c r="N10" i="423"/>
  <c r="B10" i="423"/>
  <c r="G10" i="423"/>
  <c r="C13" i="423"/>
  <c r="G16" i="423"/>
  <c r="H22" i="423"/>
  <c r="G7" i="423"/>
  <c r="G8" i="423"/>
  <c r="G15" i="423"/>
  <c r="N16" i="423"/>
  <c r="H17" i="423"/>
  <c r="G19" i="423"/>
  <c r="C25" i="423"/>
  <c r="M25" i="423"/>
  <c r="H32" i="423"/>
  <c r="H34" i="423"/>
  <c r="H20" i="423"/>
  <c r="H28" i="423"/>
  <c r="N13" i="423"/>
  <c r="G13" i="423"/>
  <c r="B16" i="423"/>
  <c r="L16" i="423"/>
  <c r="L19" i="423"/>
  <c r="H21" i="423"/>
  <c r="M22" i="423"/>
  <c r="G25" i="423"/>
  <c r="H27" i="423"/>
  <c r="M28" i="423"/>
  <c r="H29" i="423"/>
  <c r="M31" i="423"/>
  <c r="H36" i="423"/>
  <c r="H38" i="423"/>
  <c r="B7" i="423"/>
  <c r="C7" i="423"/>
  <c r="G9" i="423"/>
  <c r="L10" i="423"/>
  <c r="G14" i="423"/>
  <c r="C16" i="423"/>
  <c r="G18" i="423"/>
  <c r="H33" i="423"/>
  <c r="M34" i="423"/>
  <c r="H35" i="423"/>
  <c r="M37" i="423"/>
  <c r="B22" i="423"/>
  <c r="H23" i="423"/>
  <c r="L25" i="423"/>
  <c r="B34" i="423"/>
  <c r="G6" i="423"/>
  <c r="G11" i="423"/>
  <c r="G20" i="423"/>
  <c r="G21" i="423"/>
  <c r="C22" i="423"/>
  <c r="G22" i="423"/>
  <c r="G26" i="423"/>
  <c r="G27" i="423"/>
  <c r="C28" i="423"/>
  <c r="E40" i="423" s="1"/>
  <c r="G28" i="423"/>
  <c r="G32" i="423"/>
  <c r="G33" i="423"/>
  <c r="C34" i="423"/>
  <c r="E46" i="423" s="1"/>
  <c r="G34" i="423"/>
  <c r="G38" i="423"/>
  <c r="H18" i="423"/>
  <c r="B28" i="423"/>
  <c r="C10" i="423"/>
  <c r="B13" i="423"/>
  <c r="B19" i="423"/>
  <c r="L22" i="423"/>
  <c r="B25" i="423"/>
  <c r="L28" i="423"/>
  <c r="B31" i="423"/>
  <c r="L34" i="423"/>
  <c r="B37" i="423"/>
  <c r="G12" i="423"/>
  <c r="L31" i="423"/>
  <c r="L37" i="423"/>
  <c r="G17" i="423"/>
  <c r="G23" i="423"/>
  <c r="G29" i="423"/>
  <c r="G35" i="423"/>
  <c r="K40" i="371"/>
  <c r="M52" i="371" s="1"/>
  <c r="F38" i="321"/>
  <c r="H50" i="321" s="1"/>
  <c r="F38" i="388"/>
  <c r="H50" i="388" s="1"/>
  <c r="S38" i="195"/>
  <c r="R38" i="195"/>
  <c r="K40" i="195" s="1"/>
  <c r="M52" i="195" s="1"/>
  <c r="Q38" i="195"/>
  <c r="Q31" i="185"/>
  <c r="R31" i="185"/>
  <c r="S31" i="185"/>
  <c r="Q32" i="185"/>
  <c r="R32" i="185"/>
  <c r="S32" i="185"/>
  <c r="Q33" i="185"/>
  <c r="R33" i="185"/>
  <c r="S33" i="185"/>
  <c r="Q34" i="185"/>
  <c r="R34" i="185"/>
  <c r="S34" i="185"/>
  <c r="Q35" i="185"/>
  <c r="R35" i="185"/>
  <c r="S35" i="185"/>
  <c r="Q36" i="185"/>
  <c r="R36" i="185"/>
  <c r="S36" i="185"/>
  <c r="Q37" i="185"/>
  <c r="R37" i="185"/>
  <c r="S37" i="185"/>
  <c r="F38" i="185"/>
  <c r="H50" i="185" s="1"/>
  <c r="S38" i="144"/>
  <c r="R38" i="144"/>
  <c r="K40" i="144" s="1"/>
  <c r="M52" i="144" s="1"/>
  <c r="Q38" i="144"/>
  <c r="S38" i="186"/>
  <c r="R38" i="186"/>
  <c r="K40" i="186" s="1"/>
  <c r="M52" i="186" s="1"/>
  <c r="Q38" i="186"/>
  <c r="R37" i="231"/>
  <c r="Q38" i="231"/>
  <c r="D40" i="423" l="1"/>
  <c r="O40" i="423"/>
  <c r="F38" i="144"/>
  <c r="U40" i="144"/>
  <c r="F38" i="186"/>
  <c r="U40" i="186"/>
  <c r="F38" i="195"/>
  <c r="U40" i="195"/>
  <c r="F38" i="371"/>
  <c r="U40" i="371"/>
  <c r="F38" i="231"/>
  <c r="K40" i="231"/>
  <c r="M52" i="231" s="1"/>
  <c r="O19" i="423"/>
  <c r="O22" i="423"/>
  <c r="C40" i="185"/>
  <c r="E52" i="185" s="1"/>
  <c r="B40" i="185"/>
  <c r="O10" i="423"/>
  <c r="B40" i="388"/>
  <c r="C40" i="388"/>
  <c r="E52" i="388" s="1"/>
  <c r="C40" i="321"/>
  <c r="E52" i="321" s="1"/>
  <c r="B40" i="321"/>
  <c r="D37" i="423"/>
  <c r="D31" i="423"/>
  <c r="O34" i="423"/>
  <c r="G39" i="185"/>
  <c r="G39" i="388"/>
  <c r="G39" i="321"/>
  <c r="O37" i="423"/>
  <c r="D19" i="423"/>
  <c r="E19" i="423"/>
  <c r="E31" i="423"/>
  <c r="O28" i="423"/>
  <c r="O13" i="423"/>
  <c r="O31" i="423"/>
  <c r="O25" i="423"/>
  <c r="E25" i="423"/>
  <c r="D16" i="423"/>
  <c r="E37" i="423"/>
  <c r="D10" i="423"/>
  <c r="O16" i="423"/>
  <c r="E34" i="423"/>
  <c r="D34" i="423"/>
  <c r="E28" i="423"/>
  <c r="D28" i="423"/>
  <c r="E22" i="423"/>
  <c r="D22" i="423"/>
  <c r="D25" i="423"/>
  <c r="D13" i="423"/>
  <c r="F38" i="152"/>
  <c r="H50" i="152" s="1"/>
  <c r="F38" i="253"/>
  <c r="H50" i="253" s="1"/>
  <c r="L38" i="415"/>
  <c r="Q40" i="415" s="1"/>
  <c r="S38" i="414"/>
  <c r="R38" i="414"/>
  <c r="K40" i="414" s="1"/>
  <c r="M52" i="414" s="1"/>
  <c r="Q38" i="414"/>
  <c r="F38" i="149"/>
  <c r="H50" i="149" s="1"/>
  <c r="F38" i="142"/>
  <c r="H50" i="142" s="1"/>
  <c r="L43" i="186" l="1"/>
  <c r="L43" i="371"/>
  <c r="L43" i="195"/>
  <c r="L43" i="144"/>
  <c r="D43" i="321"/>
  <c r="D43" i="185"/>
  <c r="D43" i="388"/>
  <c r="B40" i="186"/>
  <c r="H50" i="186"/>
  <c r="G39" i="231"/>
  <c r="H50" i="231"/>
  <c r="C40" i="371"/>
  <c r="E52" i="371" s="1"/>
  <c r="H50" i="371"/>
  <c r="G39" i="144"/>
  <c r="H50" i="144"/>
  <c r="G39" i="195"/>
  <c r="H50" i="195"/>
  <c r="C40" i="231"/>
  <c r="E52" i="231" s="1"/>
  <c r="C40" i="186"/>
  <c r="E52" i="186" s="1"/>
  <c r="B40" i="195"/>
  <c r="C40" i="144"/>
  <c r="E52" i="144" s="1"/>
  <c r="C40" i="195"/>
  <c r="E52" i="195" s="1"/>
  <c r="B40" i="144"/>
  <c r="B40" i="371"/>
  <c r="B40" i="231"/>
  <c r="G39" i="186"/>
  <c r="F38" i="414"/>
  <c r="U40" i="414"/>
  <c r="G39" i="371"/>
  <c r="C40" i="152"/>
  <c r="E52" i="152" s="1"/>
  <c r="B40" i="152"/>
  <c r="B40" i="253"/>
  <c r="C40" i="253"/>
  <c r="E52" i="253" s="1"/>
  <c r="C40" i="149"/>
  <c r="E52" i="149" s="1"/>
  <c r="B40" i="149"/>
  <c r="B40" i="142"/>
  <c r="C40" i="142"/>
  <c r="E52" i="142" s="1"/>
  <c r="G39" i="253"/>
  <c r="G39" i="152"/>
  <c r="G39" i="142"/>
  <c r="G39" i="149"/>
  <c r="T38" i="422"/>
  <c r="I38" i="422" s="1"/>
  <c r="J50" i="422" s="1"/>
  <c r="K37" i="422"/>
  <c r="M49" i="422" s="1"/>
  <c r="U37" i="422"/>
  <c r="T37" i="422"/>
  <c r="I37" i="422" s="1"/>
  <c r="F37" i="422"/>
  <c r="H49" i="422" s="1"/>
  <c r="T36" i="422"/>
  <c r="I36" i="422" s="1"/>
  <c r="J48" i="422" s="1"/>
  <c r="F36" i="422"/>
  <c r="H48" i="422" s="1"/>
  <c r="T35" i="422"/>
  <c r="I35" i="422" s="1"/>
  <c r="F35" i="422"/>
  <c r="H47" i="422" s="1"/>
  <c r="K34" i="422"/>
  <c r="M46" i="422" s="1"/>
  <c r="U34" i="422"/>
  <c r="T34" i="422"/>
  <c r="I34" i="422" s="1"/>
  <c r="J46" i="422" s="1"/>
  <c r="F34" i="422"/>
  <c r="H46" i="422" s="1"/>
  <c r="T33" i="422"/>
  <c r="I33" i="422" s="1"/>
  <c r="F33" i="422"/>
  <c r="H45" i="422" s="1"/>
  <c r="T32" i="422"/>
  <c r="I32" i="422" s="1"/>
  <c r="J44" i="422" s="1"/>
  <c r="F32" i="422"/>
  <c r="H44" i="422" s="1"/>
  <c r="K31" i="422"/>
  <c r="M43" i="422" s="1"/>
  <c r="U31" i="422"/>
  <c r="T31" i="422"/>
  <c r="I31" i="422" s="1"/>
  <c r="F31" i="422"/>
  <c r="H43" i="422" s="1"/>
  <c r="T30" i="422"/>
  <c r="I30" i="422" s="1"/>
  <c r="J42" i="422" s="1"/>
  <c r="F30" i="422"/>
  <c r="H42" i="422" s="1"/>
  <c r="T29" i="422"/>
  <c r="I29" i="422" s="1"/>
  <c r="F29" i="422"/>
  <c r="H41" i="422" s="1"/>
  <c r="K28" i="422"/>
  <c r="U28" i="422"/>
  <c r="M40" i="422" s="1"/>
  <c r="T28" i="422"/>
  <c r="I28" i="422" s="1"/>
  <c r="J40" i="422" s="1"/>
  <c r="F28" i="422"/>
  <c r="T27" i="422"/>
  <c r="I27" i="422" s="1"/>
  <c r="F27" i="422"/>
  <c r="T26" i="422"/>
  <c r="I26" i="422" s="1"/>
  <c r="F26" i="422"/>
  <c r="K25" i="422"/>
  <c r="U25" i="422"/>
  <c r="T25" i="422"/>
  <c r="I25" i="422" s="1"/>
  <c r="F25" i="422"/>
  <c r="T24" i="422"/>
  <c r="I24" i="422" s="1"/>
  <c r="F24" i="422"/>
  <c r="T23" i="422"/>
  <c r="I23" i="422" s="1"/>
  <c r="F23" i="422"/>
  <c r="K22" i="422"/>
  <c r="U22" i="422"/>
  <c r="T22" i="422"/>
  <c r="I22" i="422" s="1"/>
  <c r="F22" i="422"/>
  <c r="T21" i="422"/>
  <c r="I21" i="422" s="1"/>
  <c r="F21" i="422"/>
  <c r="T20" i="422"/>
  <c r="I20" i="422" s="1"/>
  <c r="F20" i="422"/>
  <c r="K19" i="422"/>
  <c r="U19" i="422"/>
  <c r="T19" i="422"/>
  <c r="I19" i="422" s="1"/>
  <c r="F19" i="422"/>
  <c r="T18" i="422"/>
  <c r="I18" i="422" s="1"/>
  <c r="F18" i="422"/>
  <c r="T17" i="422"/>
  <c r="I17" i="422" s="1"/>
  <c r="F17" i="422"/>
  <c r="K16" i="422"/>
  <c r="U16" i="422"/>
  <c r="T16" i="422"/>
  <c r="I16" i="422" s="1"/>
  <c r="F16" i="422"/>
  <c r="T15" i="422"/>
  <c r="I15" i="422" s="1"/>
  <c r="F15" i="422"/>
  <c r="T14" i="422"/>
  <c r="I14" i="422" s="1"/>
  <c r="F14" i="422"/>
  <c r="K13" i="422"/>
  <c r="U13" i="422"/>
  <c r="T13" i="422"/>
  <c r="I13" i="422" s="1"/>
  <c r="F13" i="422"/>
  <c r="T12" i="422"/>
  <c r="I12" i="422" s="1"/>
  <c r="F12" i="422"/>
  <c r="T11" i="422"/>
  <c r="I11" i="422" s="1"/>
  <c r="F11" i="422"/>
  <c r="K10" i="422"/>
  <c r="U10" i="422"/>
  <c r="T10" i="422"/>
  <c r="I10" i="422" s="1"/>
  <c r="F10" i="422"/>
  <c r="T9" i="422"/>
  <c r="I9" i="422" s="1"/>
  <c r="F9" i="422"/>
  <c r="T8" i="422"/>
  <c r="I8" i="422" s="1"/>
  <c r="F8" i="422"/>
  <c r="K7" i="422"/>
  <c r="U7" i="422"/>
  <c r="T7" i="422"/>
  <c r="I7" i="422" s="1"/>
  <c r="F7" i="422"/>
  <c r="T6" i="422"/>
  <c r="I6" i="422" s="1"/>
  <c r="F6" i="422"/>
  <c r="T5" i="422"/>
  <c r="I5" i="422" s="1"/>
  <c r="F5" i="422"/>
  <c r="L43" i="414" l="1"/>
  <c r="D43" i="195"/>
  <c r="D43" i="253"/>
  <c r="D43" i="142"/>
  <c r="D43" i="186"/>
  <c r="D43" i="152"/>
  <c r="D43" i="231"/>
  <c r="D43" i="371"/>
  <c r="D43" i="144"/>
  <c r="D43" i="149"/>
  <c r="J22" i="422"/>
  <c r="J26" i="422"/>
  <c r="J24" i="422"/>
  <c r="C40" i="414"/>
  <c r="E52" i="414" s="1"/>
  <c r="H50" i="414"/>
  <c r="J38" i="422"/>
  <c r="J19" i="422"/>
  <c r="J23" i="422"/>
  <c r="J18" i="422"/>
  <c r="J34" i="422"/>
  <c r="J36" i="422"/>
  <c r="J21" i="422"/>
  <c r="J20" i="422"/>
  <c r="J28" i="422"/>
  <c r="J30" i="422"/>
  <c r="J32" i="422"/>
  <c r="J25" i="422"/>
  <c r="J27" i="422"/>
  <c r="J39" i="422"/>
  <c r="J29" i="422"/>
  <c r="J41" i="422"/>
  <c r="J37" i="422"/>
  <c r="J49" i="422"/>
  <c r="J17" i="422"/>
  <c r="J31" i="422"/>
  <c r="J43" i="422"/>
  <c r="J33" i="422"/>
  <c r="J45" i="422"/>
  <c r="J35" i="422"/>
  <c r="J47" i="422"/>
  <c r="L40" i="422"/>
  <c r="H40" i="422"/>
  <c r="H39" i="422"/>
  <c r="N40" i="422"/>
  <c r="O43" i="422" s="1"/>
  <c r="G39" i="414"/>
  <c r="B40" i="414"/>
  <c r="M37" i="422"/>
  <c r="L19" i="422"/>
  <c r="G37" i="422"/>
  <c r="H25" i="422"/>
  <c r="C37" i="422"/>
  <c r="E49" i="422" s="1"/>
  <c r="G9" i="422"/>
  <c r="G15" i="422"/>
  <c r="G18" i="422"/>
  <c r="G24" i="422"/>
  <c r="N28" i="422"/>
  <c r="N19" i="422"/>
  <c r="C28" i="422"/>
  <c r="E40" i="422" s="1"/>
  <c r="G28" i="422"/>
  <c r="N7" i="422"/>
  <c r="N34" i="422"/>
  <c r="N37" i="422"/>
  <c r="G30" i="422"/>
  <c r="G33" i="422"/>
  <c r="H37" i="422"/>
  <c r="M31" i="422"/>
  <c r="C31" i="422"/>
  <c r="E43" i="422" s="1"/>
  <c r="G31" i="422"/>
  <c r="G36" i="422"/>
  <c r="G38" i="422"/>
  <c r="N31" i="422"/>
  <c r="H31" i="422"/>
  <c r="N22" i="422"/>
  <c r="B7" i="422"/>
  <c r="G7" i="422"/>
  <c r="G8" i="422"/>
  <c r="H19" i="422"/>
  <c r="H22" i="422"/>
  <c r="H20" i="422"/>
  <c r="H24" i="422"/>
  <c r="H30" i="422"/>
  <c r="H32" i="422"/>
  <c r="H34" i="422"/>
  <c r="G10" i="422"/>
  <c r="C13" i="422"/>
  <c r="G13" i="422"/>
  <c r="B16" i="422"/>
  <c r="G16" i="422"/>
  <c r="C19" i="422"/>
  <c r="C25" i="422"/>
  <c r="H27" i="422"/>
  <c r="M28" i="422"/>
  <c r="H29" i="422"/>
  <c r="H36" i="422"/>
  <c r="L13" i="422"/>
  <c r="L16" i="422"/>
  <c r="G6" i="422"/>
  <c r="L10" i="422"/>
  <c r="N10" i="422"/>
  <c r="N13" i="422"/>
  <c r="N16" i="422"/>
  <c r="H17" i="422"/>
  <c r="G19" i="422"/>
  <c r="G21" i="422"/>
  <c r="M22" i="422"/>
  <c r="N25" i="422"/>
  <c r="G25" i="422"/>
  <c r="M34" i="422"/>
  <c r="H35" i="422"/>
  <c r="C7" i="422"/>
  <c r="G12" i="422"/>
  <c r="C16" i="422"/>
  <c r="H18" i="422"/>
  <c r="B22" i="422"/>
  <c r="H23" i="422"/>
  <c r="L25" i="422"/>
  <c r="B28" i="422"/>
  <c r="L31" i="422"/>
  <c r="B34" i="422"/>
  <c r="L37" i="422"/>
  <c r="B10" i="422"/>
  <c r="G11" i="422"/>
  <c r="M19" i="422"/>
  <c r="G20" i="422"/>
  <c r="C22" i="422"/>
  <c r="G22" i="422"/>
  <c r="M25" i="422"/>
  <c r="G26" i="422"/>
  <c r="G27" i="422"/>
  <c r="G32" i="422"/>
  <c r="C34" i="422"/>
  <c r="E46" i="422" s="1"/>
  <c r="G34" i="422"/>
  <c r="C10" i="422"/>
  <c r="B13" i="422"/>
  <c r="G14" i="422"/>
  <c r="B19" i="422"/>
  <c r="H21" i="422"/>
  <c r="L22" i="422"/>
  <c r="B25" i="422"/>
  <c r="H26" i="422"/>
  <c r="H28" i="422"/>
  <c r="L28" i="422"/>
  <c r="B31" i="422"/>
  <c r="H33" i="422"/>
  <c r="L34" i="422"/>
  <c r="B37" i="422"/>
  <c r="H38" i="422"/>
  <c r="G17" i="422"/>
  <c r="G23" i="422"/>
  <c r="G29" i="422"/>
  <c r="G35" i="422"/>
  <c r="D43" i="414" l="1"/>
  <c r="D28" i="422"/>
  <c r="O19" i="422"/>
  <c r="D40" i="422"/>
  <c r="O40" i="422"/>
  <c r="D37" i="422"/>
  <c r="O22" i="422"/>
  <c r="O25" i="422"/>
  <c r="O37" i="422"/>
  <c r="E19" i="422"/>
  <c r="O10" i="422"/>
  <c r="E28" i="422"/>
  <c r="E37" i="422"/>
  <c r="D25" i="422"/>
  <c r="O34" i="422"/>
  <c r="E31" i="422"/>
  <c r="D31" i="422"/>
  <c r="O31" i="422"/>
  <c r="O16" i="422"/>
  <c r="O28" i="422"/>
  <c r="E25" i="422"/>
  <c r="O13" i="422"/>
  <c r="D13" i="422"/>
  <c r="D16" i="422"/>
  <c r="D19" i="422"/>
  <c r="D10" i="422"/>
  <c r="E22" i="422"/>
  <c r="D22" i="422"/>
  <c r="E34" i="422"/>
  <c r="D34" i="422"/>
  <c r="T38" i="339" l="1"/>
  <c r="T37" i="339"/>
  <c r="I37" i="339" s="1"/>
  <c r="T36" i="339"/>
  <c r="I36" i="339" s="1"/>
  <c r="T35" i="339"/>
  <c r="I35" i="339" s="1"/>
  <c r="T34" i="339"/>
  <c r="I34" i="339" s="1"/>
  <c r="T33" i="339"/>
  <c r="I33" i="339" s="1"/>
  <c r="T32" i="339"/>
  <c r="I32" i="339" s="1"/>
  <c r="T31" i="339"/>
  <c r="I31" i="339" s="1"/>
  <c r="T30" i="339"/>
  <c r="I30" i="339" s="1"/>
  <c r="T29" i="339"/>
  <c r="I29" i="339" s="1"/>
  <c r="T28" i="339"/>
  <c r="I28" i="339" s="1"/>
  <c r="J40" i="339" s="1"/>
  <c r="T27" i="339"/>
  <c r="I27" i="339" s="1"/>
  <c r="T26" i="339"/>
  <c r="I26" i="339" s="1"/>
  <c r="T25" i="339"/>
  <c r="I25" i="339" s="1"/>
  <c r="T24" i="339"/>
  <c r="I24" i="339" s="1"/>
  <c r="T23" i="339"/>
  <c r="I23" i="339" s="1"/>
  <c r="T22" i="339"/>
  <c r="I22" i="339" s="1"/>
  <c r="T21" i="339"/>
  <c r="I21" i="339" s="1"/>
  <c r="T20" i="339"/>
  <c r="I20" i="339" s="1"/>
  <c r="T19" i="339"/>
  <c r="I19" i="339" s="1"/>
  <c r="T18" i="339"/>
  <c r="I18" i="339" s="1"/>
  <c r="T17" i="339"/>
  <c r="I17" i="339" s="1"/>
  <c r="T16" i="339"/>
  <c r="I16" i="339" s="1"/>
  <c r="T15" i="339"/>
  <c r="I15" i="339" s="1"/>
  <c r="T14" i="339"/>
  <c r="I14" i="339" s="1"/>
  <c r="T13" i="339"/>
  <c r="I13" i="339" s="1"/>
  <c r="T12" i="339"/>
  <c r="I12" i="339" s="1"/>
  <c r="K37" i="339"/>
  <c r="M49" i="339" s="1"/>
  <c r="U37" i="339"/>
  <c r="J28" i="339" l="1"/>
  <c r="J24" i="339"/>
  <c r="J29" i="339"/>
  <c r="J41" i="339"/>
  <c r="J35" i="339"/>
  <c r="J47" i="339"/>
  <c r="J33" i="339"/>
  <c r="J45" i="339"/>
  <c r="J34" i="339"/>
  <c r="J46" i="339"/>
  <c r="J30" i="339"/>
  <c r="J42" i="339"/>
  <c r="J25" i="339"/>
  <c r="J31" i="339"/>
  <c r="J43" i="339"/>
  <c r="J37" i="339"/>
  <c r="J49" i="339"/>
  <c r="J27" i="339"/>
  <c r="J39" i="339"/>
  <c r="J36" i="339"/>
  <c r="J48" i="339"/>
  <c r="J26" i="339"/>
  <c r="J32" i="339"/>
  <c r="J44" i="339"/>
  <c r="N40" i="339"/>
  <c r="O43" i="339" s="1"/>
  <c r="I38" i="339"/>
  <c r="L40" i="339"/>
  <c r="N37" i="339"/>
  <c r="T38" i="202"/>
  <c r="I38" i="202" s="1"/>
  <c r="J50" i="202" s="1"/>
  <c r="T38" i="421"/>
  <c r="I38" i="421" s="1"/>
  <c r="J50" i="421" s="1"/>
  <c r="T38" i="420"/>
  <c r="I38" i="420" s="1"/>
  <c r="J50" i="420" s="1"/>
  <c r="T38" i="391"/>
  <c r="I38" i="391" s="1"/>
  <c r="J50" i="391" s="1"/>
  <c r="T38" i="392"/>
  <c r="I38" i="392" s="1"/>
  <c r="J50" i="392" s="1"/>
  <c r="T38" i="8"/>
  <c r="I38" i="8" s="1"/>
  <c r="J50" i="8" s="1"/>
  <c r="T38" i="203"/>
  <c r="I38" i="203" s="1"/>
  <c r="J50" i="203" s="1"/>
  <c r="T38" i="191"/>
  <c r="I38" i="191" s="1"/>
  <c r="J50" i="191" s="1"/>
  <c r="T38" i="88"/>
  <c r="I38" i="88" s="1"/>
  <c r="J50" i="88" s="1"/>
  <c r="T38" i="148"/>
  <c r="I38" i="148" s="1"/>
  <c r="J50" i="148" s="1"/>
  <c r="T38" i="89"/>
  <c r="I38" i="89" s="1"/>
  <c r="J50" i="89" s="1"/>
  <c r="T38" i="43"/>
  <c r="I38" i="43" s="1"/>
  <c r="J50" i="43" s="1"/>
  <c r="T38" i="409"/>
  <c r="I38" i="409" s="1"/>
  <c r="J50" i="409" s="1"/>
  <c r="T38" i="9"/>
  <c r="I38" i="9" s="1"/>
  <c r="J50" i="9" s="1"/>
  <c r="T38" i="113"/>
  <c r="I38" i="113" s="1"/>
  <c r="J50" i="113" s="1"/>
  <c r="T38" i="361"/>
  <c r="I38" i="361" s="1"/>
  <c r="J50" i="361" s="1"/>
  <c r="T38" i="351"/>
  <c r="I38" i="351" s="1"/>
  <c r="J50" i="351" s="1"/>
  <c r="T38" i="352"/>
  <c r="I38" i="352" s="1"/>
  <c r="J50" i="352" s="1"/>
  <c r="T38" i="322"/>
  <c r="I38" i="322" s="1"/>
  <c r="J50" i="322" s="1"/>
  <c r="T38" i="353"/>
  <c r="I38" i="353" s="1"/>
  <c r="J50" i="353" s="1"/>
  <c r="T38" i="362"/>
  <c r="I38" i="362" s="1"/>
  <c r="J50" i="362" s="1"/>
  <c r="T38" i="354"/>
  <c r="I38" i="354" s="1"/>
  <c r="J50" i="354" s="1"/>
  <c r="T38" i="20"/>
  <c r="I38" i="20" s="1"/>
  <c r="J50" i="20" s="1"/>
  <c r="T38" i="2"/>
  <c r="I38" i="2" s="1"/>
  <c r="J50" i="2" s="1"/>
  <c r="T38" i="164"/>
  <c r="I38" i="164" s="1"/>
  <c r="J50" i="164" s="1"/>
  <c r="T38" i="162"/>
  <c r="I38" i="162" s="1"/>
  <c r="J50" i="162" s="1"/>
  <c r="T38" i="413"/>
  <c r="I38" i="413" s="1"/>
  <c r="J50" i="413" s="1"/>
  <c r="T38" i="12"/>
  <c r="I38" i="12" s="1"/>
  <c r="J50" i="12" s="1"/>
  <c r="T38" i="356"/>
  <c r="I38" i="356" s="1"/>
  <c r="J50" i="356" s="1"/>
  <c r="T38" i="5"/>
  <c r="I38" i="5" s="1"/>
  <c r="J50" i="5" s="1"/>
  <c r="T38" i="207"/>
  <c r="I38" i="207" s="1"/>
  <c r="J50" i="207" s="1"/>
  <c r="T38" i="75"/>
  <c r="I38" i="75" s="1"/>
  <c r="J50" i="75" s="1"/>
  <c r="T38" i="333"/>
  <c r="I38" i="333" s="1"/>
  <c r="J50" i="333" s="1"/>
  <c r="I38" i="296"/>
  <c r="J50" i="296" s="1"/>
  <c r="T38" i="53"/>
  <c r="I38" i="53" s="1"/>
  <c r="J50" i="53" s="1"/>
  <c r="T38" i="52"/>
  <c r="I38" i="52" s="1"/>
  <c r="J50" i="52" s="1"/>
  <c r="T38" i="364"/>
  <c r="I38" i="364" s="1"/>
  <c r="J50" i="364" s="1"/>
  <c r="T38" i="368"/>
  <c r="I38" i="368" s="1"/>
  <c r="J50" i="368" s="1"/>
  <c r="T38" i="28"/>
  <c r="I38" i="28" s="1"/>
  <c r="J50" i="28" s="1"/>
  <c r="T38" i="29"/>
  <c r="I38" i="29" s="1"/>
  <c r="J50" i="29" s="1"/>
  <c r="T38" i="359"/>
  <c r="I38" i="359" s="1"/>
  <c r="J50" i="359" s="1"/>
  <c r="T38" i="360"/>
  <c r="I38" i="360" s="1"/>
  <c r="J50" i="360" s="1"/>
  <c r="T38" i="389"/>
  <c r="I38" i="389" s="1"/>
  <c r="J50" i="389" s="1"/>
  <c r="N40" i="386"/>
  <c r="O43" i="386" s="1"/>
  <c r="T38" i="387"/>
  <c r="I38" i="387" s="1"/>
  <c r="J50" i="387" s="1"/>
  <c r="T38" i="314"/>
  <c r="I38" i="314" s="1"/>
  <c r="J50" i="314" s="1"/>
  <c r="T38" i="303"/>
  <c r="I38" i="303" s="1"/>
  <c r="J50" i="303" s="1"/>
  <c r="L38" i="396"/>
  <c r="S38" i="395"/>
  <c r="R38" i="395"/>
  <c r="K40" i="395" s="1"/>
  <c r="M52" i="395" s="1"/>
  <c r="Q38" i="395"/>
  <c r="T38" i="394"/>
  <c r="I38" i="394" s="1"/>
  <c r="J50" i="394" s="1"/>
  <c r="T38" i="393"/>
  <c r="I38" i="393" s="1"/>
  <c r="J50" i="393" s="1"/>
  <c r="T38" i="400"/>
  <c r="I38" i="400" s="1"/>
  <c r="J50" i="400" s="1"/>
  <c r="F38" i="404"/>
  <c r="H50" i="404" s="1"/>
  <c r="T38" i="402"/>
  <c r="I38" i="402" s="1"/>
  <c r="J50" i="402" s="1"/>
  <c r="T38" i="403"/>
  <c r="I38" i="403" s="1"/>
  <c r="J50" i="403" s="1"/>
  <c r="S38" i="408"/>
  <c r="T38" i="114"/>
  <c r="I38" i="114" s="1"/>
  <c r="J50" i="114" s="1"/>
  <c r="T38" i="323"/>
  <c r="I38" i="323" s="1"/>
  <c r="J50" i="323" s="1"/>
  <c r="T38" i="385"/>
  <c r="I38" i="385" s="1"/>
  <c r="J50" i="385" s="1"/>
  <c r="T38" i="334"/>
  <c r="I38" i="334" s="1"/>
  <c r="J50" i="334" s="1"/>
  <c r="T38" i="3"/>
  <c r="I38" i="3" s="1"/>
  <c r="J50" i="3" s="1"/>
  <c r="T38" i="349"/>
  <c r="I38" i="349" s="1"/>
  <c r="J50" i="349" s="1"/>
  <c r="T38" i="4"/>
  <c r="I38" i="4" s="1"/>
  <c r="J50" i="4" s="1"/>
  <c r="F38" i="300"/>
  <c r="H50" i="300" s="1"/>
  <c r="T38" i="299"/>
  <c r="I38" i="299" s="1"/>
  <c r="J50" i="299" s="1"/>
  <c r="T38" i="190"/>
  <c r="I38" i="190" s="1"/>
  <c r="J50" i="190" s="1"/>
  <c r="T38" i="16"/>
  <c r="I38" i="16" s="1"/>
  <c r="J50" i="16" s="1"/>
  <c r="T38" i="15"/>
  <c r="I38" i="15" s="1"/>
  <c r="J50" i="15" s="1"/>
  <c r="T38" i="355"/>
  <c r="I38" i="355" s="1"/>
  <c r="J50" i="355" s="1"/>
  <c r="T38" i="17"/>
  <c r="I38" i="17" s="1"/>
  <c r="J50" i="17" s="1"/>
  <c r="T38" i="54"/>
  <c r="I38" i="54" s="1"/>
  <c r="J50" i="54" s="1"/>
  <c r="T38" i="384"/>
  <c r="I38" i="384" s="1"/>
  <c r="J50" i="384" s="1"/>
  <c r="T38" i="201"/>
  <c r="I38" i="201" s="1"/>
  <c r="J50" i="201" s="1"/>
  <c r="T38" i="249"/>
  <c r="I38" i="249" s="1"/>
  <c r="J50" i="249" s="1"/>
  <c r="T38" i="7"/>
  <c r="I38" i="7" s="1"/>
  <c r="J50" i="7" s="1"/>
  <c r="T38" i="48"/>
  <c r="I38" i="48" s="1"/>
  <c r="J50" i="48" s="1"/>
  <c r="T38" i="21"/>
  <c r="I38" i="21" s="1"/>
  <c r="J50" i="21" s="1"/>
  <c r="T38" i="13"/>
  <c r="I38" i="13" s="1"/>
  <c r="J50" i="13" s="1"/>
  <c r="T38" i="261"/>
  <c r="I38" i="261" s="1"/>
  <c r="J50" i="261" s="1"/>
  <c r="T38" i="153"/>
  <c r="I38" i="153" s="1"/>
  <c r="J50" i="153" s="1"/>
  <c r="T38" i="257"/>
  <c r="I38" i="257" s="1"/>
  <c r="J50" i="257" s="1"/>
  <c r="T38" i="19"/>
  <c r="I38" i="19" s="1"/>
  <c r="J50" i="19" s="1"/>
  <c r="T38" i="347"/>
  <c r="I38" i="347" s="1"/>
  <c r="J50" i="347" s="1"/>
  <c r="T38" i="23"/>
  <c r="I38" i="23" s="1"/>
  <c r="J50" i="23" s="1"/>
  <c r="T38" i="37"/>
  <c r="I38" i="37" s="1"/>
  <c r="J50" i="37" s="1"/>
  <c r="T38" i="367"/>
  <c r="I38" i="367" s="1"/>
  <c r="J50" i="367" s="1"/>
  <c r="L38" i="369"/>
  <c r="Q40" i="369" s="1"/>
  <c r="T38" i="204"/>
  <c r="I38" i="204" s="1"/>
  <c r="J50" i="204" s="1"/>
  <c r="T38" i="363"/>
  <c r="I38" i="363" s="1"/>
  <c r="J50" i="363" s="1"/>
  <c r="T38" i="31"/>
  <c r="I38" i="31" s="1"/>
  <c r="J50" i="31" s="1"/>
  <c r="S38" i="170"/>
  <c r="R38" i="170"/>
  <c r="K40" i="170" s="1"/>
  <c r="M52" i="170" s="1"/>
  <c r="Q38" i="170"/>
  <c r="T38" i="168"/>
  <c r="I38" i="168" s="1"/>
  <c r="J50" i="168" s="1"/>
  <c r="T38" i="169"/>
  <c r="I38" i="169" s="1"/>
  <c r="J50" i="169" s="1"/>
  <c r="T38" i="336"/>
  <c r="I38" i="336" s="1"/>
  <c r="J50" i="336" s="1"/>
  <c r="T38" i="342"/>
  <c r="I38" i="342" s="1"/>
  <c r="J50" i="342" s="1"/>
  <c r="T38" i="33"/>
  <c r="I38" i="33" s="1"/>
  <c r="J50" i="33" s="1"/>
  <c r="T38" i="319"/>
  <c r="I38" i="319" s="1"/>
  <c r="J50" i="319" s="1"/>
  <c r="T38" i="320"/>
  <c r="I38" i="320" s="1"/>
  <c r="J50" i="320" s="1"/>
  <c r="L38" i="343"/>
  <c r="Q40" i="343" s="1"/>
  <c r="T38" i="318"/>
  <c r="I38" i="318" s="1"/>
  <c r="J50" i="318" s="1"/>
  <c r="T38" i="288"/>
  <c r="I38" i="288" s="1"/>
  <c r="J50" i="288" s="1"/>
  <c r="T38" i="337"/>
  <c r="I38" i="337" s="1"/>
  <c r="J50" i="337" s="1"/>
  <c r="T38" i="227"/>
  <c r="I38" i="227" s="1"/>
  <c r="J50" i="227" s="1"/>
  <c r="T38" i="298"/>
  <c r="I38" i="298" s="1"/>
  <c r="J50" i="298" s="1"/>
  <c r="T38" i="290"/>
  <c r="I38" i="290" s="1"/>
  <c r="J50" i="290" s="1"/>
  <c r="T38" i="289"/>
  <c r="I38" i="289" s="1"/>
  <c r="J50" i="289" s="1"/>
  <c r="S38" i="357"/>
  <c r="T38" i="293"/>
  <c r="I38" i="293" s="1"/>
  <c r="J50" i="293" s="1"/>
  <c r="T38" i="348"/>
  <c r="I38" i="348" s="1"/>
  <c r="J50" i="348" s="1"/>
  <c r="T38" i="194"/>
  <c r="I38" i="194" s="1"/>
  <c r="J50" i="194" s="1"/>
  <c r="T38" i="193"/>
  <c r="I38" i="193" s="1"/>
  <c r="J50" i="193" s="1"/>
  <c r="T38" i="297"/>
  <c r="I38" i="297" s="1"/>
  <c r="J50" i="297" s="1"/>
  <c r="T38" i="350"/>
  <c r="I38" i="350" s="1"/>
  <c r="J50" i="350" s="1"/>
  <c r="T38" i="233"/>
  <c r="I38" i="233" s="1"/>
  <c r="J50" i="233" s="1"/>
  <c r="T38" i="105"/>
  <c r="I38" i="105" s="1"/>
  <c r="J50" i="105" s="1"/>
  <c r="T38" i="294"/>
  <c r="I38" i="294" s="1"/>
  <c r="J50" i="294" s="1"/>
  <c r="S38" i="365"/>
  <c r="S38" i="366"/>
  <c r="T38" i="206"/>
  <c r="I38" i="206" s="1"/>
  <c r="J50" i="206" s="1"/>
  <c r="T38" i="22"/>
  <c r="I38" i="22" s="1"/>
  <c r="J50" i="22" s="1"/>
  <c r="T38" i="301"/>
  <c r="I38" i="301" s="1"/>
  <c r="J50" i="301" s="1"/>
  <c r="T38" i="344"/>
  <c r="I38" i="344" s="1"/>
  <c r="J50" i="344" s="1"/>
  <c r="T38" i="61"/>
  <c r="I38" i="61" s="1"/>
  <c r="J50" i="61" s="1"/>
  <c r="T38" i="338"/>
  <c r="I38" i="338" s="1"/>
  <c r="J50" i="338" s="1"/>
  <c r="T38" i="340"/>
  <c r="I38" i="340" s="1"/>
  <c r="J50" i="340" s="1"/>
  <c r="T38" i="34"/>
  <c r="I38" i="34" s="1"/>
  <c r="J50" i="34" s="1"/>
  <c r="T38" i="174"/>
  <c r="I38" i="174" s="1"/>
  <c r="J50" i="174" s="1"/>
  <c r="I38" i="187"/>
  <c r="J50" i="187" s="1"/>
  <c r="T38" i="135"/>
  <c r="I38" i="135" s="1"/>
  <c r="J50" i="135" s="1"/>
  <c r="T38" i="295"/>
  <c r="I38" i="295" s="1"/>
  <c r="J50" i="295" s="1"/>
  <c r="T38" i="283"/>
  <c r="I38" i="283" s="1"/>
  <c r="J50" i="283" s="1"/>
  <c r="T38" i="284"/>
  <c r="I38" i="284" s="1"/>
  <c r="J50" i="284" s="1"/>
  <c r="T38" i="292"/>
  <c r="I38" i="292" s="1"/>
  <c r="J50" i="292" s="1"/>
  <c r="T38" i="325"/>
  <c r="I38" i="325" s="1"/>
  <c r="J50" i="325" s="1"/>
  <c r="T38" i="269"/>
  <c r="I38" i="269" s="1"/>
  <c r="J50" i="269" s="1"/>
  <c r="T38" i="11"/>
  <c r="I38" i="11" s="1"/>
  <c r="J50" i="11" s="1"/>
  <c r="S38" i="279"/>
  <c r="S38" i="335"/>
  <c r="T38" i="101"/>
  <c r="I38" i="101" s="1"/>
  <c r="J50" i="101" s="1"/>
  <c r="T38" i="382"/>
  <c r="I38" i="382" s="1"/>
  <c r="J50" i="382" s="1"/>
  <c r="T38" i="102"/>
  <c r="I38" i="102" s="1"/>
  <c r="J50" i="102" s="1"/>
  <c r="T38" i="103"/>
  <c r="I38" i="103" s="1"/>
  <c r="J50" i="103" s="1"/>
  <c r="T38" i="411"/>
  <c r="I38" i="411" s="1"/>
  <c r="J50" i="411" s="1"/>
  <c r="T38" i="265"/>
  <c r="I38" i="265" s="1"/>
  <c r="J50" i="265" s="1"/>
  <c r="T38" i="262"/>
  <c r="I38" i="262" s="1"/>
  <c r="J50" i="262" s="1"/>
  <c r="T38" i="112"/>
  <c r="I38" i="112" s="1"/>
  <c r="J50" i="112" s="1"/>
  <c r="T38" i="109"/>
  <c r="I38" i="109" s="1"/>
  <c r="J50" i="109" s="1"/>
  <c r="T38" i="85"/>
  <c r="I38" i="85" s="1"/>
  <c r="J50" i="85" s="1"/>
  <c r="T38" i="324"/>
  <c r="I38" i="324" s="1"/>
  <c r="J50" i="324" s="1"/>
  <c r="T38" i="32"/>
  <c r="I38" i="32" s="1"/>
  <c r="J50" i="32" s="1"/>
  <c r="T38" i="196"/>
  <c r="I38" i="196" s="1"/>
  <c r="J50" i="196" s="1"/>
  <c r="T38" i="198"/>
  <c r="I38" i="198" s="1"/>
  <c r="J50" i="198" s="1"/>
  <c r="T38" i="345"/>
  <c r="I38" i="345" s="1"/>
  <c r="J50" i="345" s="1"/>
  <c r="T38" i="346"/>
  <c r="I38" i="346" s="1"/>
  <c r="J50" i="346" s="1"/>
  <c r="T38" i="74"/>
  <c r="I38" i="74" s="1"/>
  <c r="J50" i="74" s="1"/>
  <c r="T38" i="200"/>
  <c r="I38" i="200" s="1"/>
  <c r="J50" i="200" s="1"/>
  <c r="T38" i="280"/>
  <c r="I38" i="280" s="1"/>
  <c r="J50" i="280" s="1"/>
  <c r="T38" i="97"/>
  <c r="I38" i="97" s="1"/>
  <c r="J50" i="97" s="1"/>
  <c r="T38" i="383"/>
  <c r="I38" i="383" s="1"/>
  <c r="J50" i="383" s="1"/>
  <c r="T38" i="45"/>
  <c r="I38" i="45" s="1"/>
  <c r="J50" i="45" s="1"/>
  <c r="T38" i="104"/>
  <c r="I38" i="104" s="1"/>
  <c r="J50" i="104" s="1"/>
  <c r="T38" i="254"/>
  <c r="I38" i="254" s="1"/>
  <c r="J50" i="254" s="1"/>
  <c r="T38" i="181"/>
  <c r="I38" i="181" s="1"/>
  <c r="J50" i="181" s="1"/>
  <c r="T38" i="183"/>
  <c r="I38" i="183" s="1"/>
  <c r="J50" i="183" s="1"/>
  <c r="T38" i="184"/>
  <c r="I38" i="184" s="1"/>
  <c r="J50" i="184" s="1"/>
  <c r="T38" i="27"/>
  <c r="I38" i="27" s="1"/>
  <c r="J50" i="27" s="1"/>
  <c r="T38" i="143"/>
  <c r="I38" i="143" s="1"/>
  <c r="J50" i="143" s="1"/>
  <c r="T38" i="268"/>
  <c r="I38" i="268" s="1"/>
  <c r="J50" i="268" s="1"/>
  <c r="T38" i="263"/>
  <c r="I38" i="263" s="1"/>
  <c r="J50" i="263" s="1"/>
  <c r="T38" i="209"/>
  <c r="I38" i="209" s="1"/>
  <c r="J50" i="209" s="1"/>
  <c r="T38" i="192"/>
  <c r="I38" i="192" s="1"/>
  <c r="J50" i="192" s="1"/>
  <c r="T38" i="140"/>
  <c r="I38" i="140" s="1"/>
  <c r="J50" i="140" s="1"/>
  <c r="T38" i="270"/>
  <c r="I38" i="270" s="1"/>
  <c r="J50" i="270" s="1"/>
  <c r="T38" i="271"/>
  <c r="I38" i="271" s="1"/>
  <c r="J50" i="271" s="1"/>
  <c r="T38" i="159"/>
  <c r="I38" i="159" s="1"/>
  <c r="J50" i="159" s="1"/>
  <c r="T38" i="160"/>
  <c r="I38" i="160" s="1"/>
  <c r="J50" i="160" s="1"/>
  <c r="T38" i="107"/>
  <c r="I38" i="107" s="1"/>
  <c r="J50" i="107" s="1"/>
  <c r="T38" i="176"/>
  <c r="I38" i="176" s="1"/>
  <c r="J50" i="176" s="1"/>
  <c r="T38" i="281"/>
  <c r="I38" i="281" s="1"/>
  <c r="J50" i="281" s="1"/>
  <c r="T38" i="332"/>
  <c r="I38" i="332" s="1"/>
  <c r="J50" i="332" s="1"/>
  <c r="T38" i="25"/>
  <c r="I38" i="25" s="1"/>
  <c r="J50" i="25" s="1"/>
  <c r="T38" i="24"/>
  <c r="I38" i="24" s="1"/>
  <c r="J50" i="24" s="1"/>
  <c r="T38" i="116"/>
  <c r="I38" i="116" s="1"/>
  <c r="J50" i="116" s="1"/>
  <c r="T38" i="285"/>
  <c r="I38" i="285" s="1"/>
  <c r="J50" i="285" s="1"/>
  <c r="T38" i="272"/>
  <c r="I38" i="272" s="1"/>
  <c r="J50" i="272" s="1"/>
  <c r="S38" i="44"/>
  <c r="N40" i="87"/>
  <c r="O43" i="87" s="1"/>
  <c r="T38" i="287"/>
  <c r="I38" i="287" s="1"/>
  <c r="J50" i="287" s="1"/>
  <c r="T38" i="276"/>
  <c r="I38" i="276" s="1"/>
  <c r="J50" i="276" s="1"/>
  <c r="S38" i="231"/>
  <c r="R38" i="231"/>
  <c r="T38" i="229"/>
  <c r="I38" i="229" s="1"/>
  <c r="J50" i="229" s="1"/>
  <c r="T38" i="230"/>
  <c r="I38" i="230" s="1"/>
  <c r="J50" i="230" s="1"/>
  <c r="F38" i="327"/>
  <c r="H50" i="327" s="1"/>
  <c r="T38" i="328"/>
  <c r="I38" i="328" s="1"/>
  <c r="J50" i="328" s="1"/>
  <c r="T38" i="329"/>
  <c r="I38" i="329" s="1"/>
  <c r="J50" i="329" s="1"/>
  <c r="T38" i="326"/>
  <c r="I38" i="326" s="1"/>
  <c r="J50" i="326" s="1"/>
  <c r="T38" i="47"/>
  <c r="I38" i="47" s="1"/>
  <c r="J50" i="47" s="1"/>
  <c r="T38" i="248"/>
  <c r="I38" i="248" s="1"/>
  <c r="J50" i="248" s="1"/>
  <c r="T38" i="46"/>
  <c r="I38" i="46" s="1"/>
  <c r="J50" i="46" s="1"/>
  <c r="T38" i="239"/>
  <c r="I38" i="239" s="1"/>
  <c r="J50" i="239" s="1"/>
  <c r="T38" i="243"/>
  <c r="I38" i="243" s="1"/>
  <c r="J50" i="243" s="1"/>
  <c r="S38" i="247"/>
  <c r="R38" i="247"/>
  <c r="K40" i="247" s="1"/>
  <c r="M52" i="247" s="1"/>
  <c r="Q38" i="247"/>
  <c r="T38" i="244"/>
  <c r="I38" i="244" s="1"/>
  <c r="J50" i="244" s="1"/>
  <c r="T38" i="246"/>
  <c r="I38" i="246" s="1"/>
  <c r="J50" i="246" s="1"/>
  <c r="S38" i="398"/>
  <c r="R38" i="398"/>
  <c r="K40" i="398" s="1"/>
  <c r="M52" i="398" s="1"/>
  <c r="Q38" i="398"/>
  <c r="T38" i="1"/>
  <c r="I38" i="1" s="1"/>
  <c r="J50" i="1" s="1"/>
  <c r="T38" i="397"/>
  <c r="I38" i="397" s="1"/>
  <c r="J50" i="397" s="1"/>
  <c r="L38" i="407"/>
  <c r="L38" i="406"/>
  <c r="L38" i="405"/>
  <c r="L38" i="401"/>
  <c r="J38" i="339" l="1"/>
  <c r="J50" i="339"/>
  <c r="O40" i="339"/>
  <c r="N40" i="391"/>
  <c r="N40" i="328"/>
  <c r="O43" i="328" s="1"/>
  <c r="N40" i="116"/>
  <c r="O43" i="116" s="1"/>
  <c r="N40" i="192"/>
  <c r="O43" i="192" s="1"/>
  <c r="N40" i="45"/>
  <c r="O43" i="45" s="1"/>
  <c r="N40" i="324"/>
  <c r="O43" i="324" s="1"/>
  <c r="N40" i="102"/>
  <c r="O43" i="102" s="1"/>
  <c r="N40" i="135"/>
  <c r="O43" i="135" s="1"/>
  <c r="M40" i="365"/>
  <c r="N43" i="365" s="1"/>
  <c r="I38" i="365"/>
  <c r="N40" i="290"/>
  <c r="O43" i="290" s="1"/>
  <c r="N40" i="169"/>
  <c r="O43" i="169" s="1"/>
  <c r="N40" i="347"/>
  <c r="O43" i="347" s="1"/>
  <c r="N40" i="299"/>
  <c r="O43" i="299" s="1"/>
  <c r="N40" i="29"/>
  <c r="O43" i="29" s="1"/>
  <c r="N40" i="12"/>
  <c r="O43" i="12" s="1"/>
  <c r="N40" i="2"/>
  <c r="O43" i="2" s="1"/>
  <c r="N40" i="362"/>
  <c r="O43" i="362" s="1"/>
  <c r="N40" i="351"/>
  <c r="O43" i="351" s="1"/>
  <c r="N40" i="409"/>
  <c r="O43" i="409" s="1"/>
  <c r="N40" i="88"/>
  <c r="O43" i="88" s="1"/>
  <c r="N40" i="397"/>
  <c r="O43" i="397" s="1"/>
  <c r="N40" i="46"/>
  <c r="O43" i="46" s="1"/>
  <c r="M40" i="44"/>
  <c r="N43" i="44" s="1"/>
  <c r="I38" i="44"/>
  <c r="N40" i="24"/>
  <c r="O43" i="24" s="1"/>
  <c r="N40" i="176"/>
  <c r="O43" i="176" s="1"/>
  <c r="N40" i="271"/>
  <c r="O43" i="271" s="1"/>
  <c r="N40" i="209"/>
  <c r="O43" i="209" s="1"/>
  <c r="N40" i="27"/>
  <c r="O43" i="27" s="1"/>
  <c r="N40" i="383"/>
  <c r="O43" i="383" s="1"/>
  <c r="N40" i="74"/>
  <c r="O43" i="74" s="1"/>
  <c r="N40" i="197"/>
  <c r="O43" i="197" s="1"/>
  <c r="N40" i="85"/>
  <c r="O43" i="85" s="1"/>
  <c r="N40" i="265"/>
  <c r="O43" i="265" s="1"/>
  <c r="N40" i="382"/>
  <c r="O43" i="382" s="1"/>
  <c r="N40" i="11"/>
  <c r="O43" i="11" s="1"/>
  <c r="N40" i="284"/>
  <c r="O43" i="284" s="1"/>
  <c r="N40" i="338"/>
  <c r="O43" i="338" s="1"/>
  <c r="N40" i="22"/>
  <c r="O43" i="22" s="1"/>
  <c r="N40" i="294"/>
  <c r="O43" i="294" s="1"/>
  <c r="N40" i="297"/>
  <c r="O43" i="297" s="1"/>
  <c r="N40" i="293"/>
  <c r="O43" i="293" s="1"/>
  <c r="N40" i="298"/>
  <c r="O43" i="298" s="1"/>
  <c r="N40" i="318"/>
  <c r="O43" i="318" s="1"/>
  <c r="N40" i="33"/>
  <c r="O43" i="33" s="1"/>
  <c r="N40" i="168"/>
  <c r="O43" i="168" s="1"/>
  <c r="N40" i="31"/>
  <c r="O43" i="31" s="1"/>
  <c r="N40" i="367"/>
  <c r="O43" i="367" s="1"/>
  <c r="N40" i="19"/>
  <c r="O43" i="19" s="1"/>
  <c r="N40" i="13"/>
  <c r="O43" i="13" s="1"/>
  <c r="N40" i="384"/>
  <c r="O43" i="384" s="1"/>
  <c r="N40" i="15"/>
  <c r="O43" i="15" s="1"/>
  <c r="N40" i="334"/>
  <c r="O43" i="334" s="1"/>
  <c r="M40" i="408"/>
  <c r="N43" i="408" s="1"/>
  <c r="I38" i="408"/>
  <c r="N40" i="400"/>
  <c r="O43" i="400" s="1"/>
  <c r="N40" i="314"/>
  <c r="O43" i="314" s="1"/>
  <c r="N40" i="389"/>
  <c r="O43" i="389" s="1"/>
  <c r="N40" i="28"/>
  <c r="O43" i="28" s="1"/>
  <c r="N40" i="53"/>
  <c r="O43" i="53" s="1"/>
  <c r="N40" i="207"/>
  <c r="O43" i="207" s="1"/>
  <c r="N40" i="413"/>
  <c r="O43" i="413" s="1"/>
  <c r="N40" i="20"/>
  <c r="O43" i="20" s="1"/>
  <c r="N40" i="361"/>
  <c r="O43" i="361" s="1"/>
  <c r="N40" i="43"/>
  <c r="O43" i="43" s="1"/>
  <c r="N40" i="191"/>
  <c r="O43" i="191" s="1"/>
  <c r="N40" i="159"/>
  <c r="O43" i="159" s="1"/>
  <c r="N40" i="181"/>
  <c r="O43" i="181" s="1"/>
  <c r="N40" i="198"/>
  <c r="O43" i="198" s="1"/>
  <c r="M40" i="279"/>
  <c r="N43" i="279" s="1"/>
  <c r="I38" i="279"/>
  <c r="N40" i="301"/>
  <c r="O43" i="301" s="1"/>
  <c r="N40" i="348"/>
  <c r="O43" i="348" s="1"/>
  <c r="N40" i="288"/>
  <c r="O43" i="288" s="1"/>
  <c r="N40" i="261"/>
  <c r="O43" i="261" s="1"/>
  <c r="N40" i="201"/>
  <c r="O43" i="201" s="1"/>
  <c r="N40" i="3"/>
  <c r="O43" i="3" s="1"/>
  <c r="N40" i="303"/>
  <c r="O43" i="303" s="1"/>
  <c r="N40" i="75"/>
  <c r="O43" i="75" s="1"/>
  <c r="N40" i="202"/>
  <c r="O43" i="202" s="1"/>
  <c r="N40" i="1"/>
  <c r="O43" i="1" s="1"/>
  <c r="N40" i="246"/>
  <c r="O43" i="246" s="1"/>
  <c r="N40" i="248"/>
  <c r="O43" i="248" s="1"/>
  <c r="N40" i="329"/>
  <c r="O43" i="329" s="1"/>
  <c r="N40" i="230"/>
  <c r="O43" i="230" s="1"/>
  <c r="N40" i="276"/>
  <c r="O43" i="276" s="1"/>
  <c r="N40" i="272"/>
  <c r="O43" i="272" s="1"/>
  <c r="N40" i="25"/>
  <c r="O43" i="25" s="1"/>
  <c r="N40" i="107"/>
  <c r="O43" i="107" s="1"/>
  <c r="N40" i="270"/>
  <c r="O43" i="270" s="1"/>
  <c r="N40" i="263"/>
  <c r="O43" i="263" s="1"/>
  <c r="N40" i="184"/>
  <c r="O43" i="184" s="1"/>
  <c r="N40" i="254"/>
  <c r="O43" i="254" s="1"/>
  <c r="N40" i="97"/>
  <c r="O43" i="97" s="1"/>
  <c r="N40" i="346"/>
  <c r="O43" i="346" s="1"/>
  <c r="N40" i="196"/>
  <c r="O43" i="196" s="1"/>
  <c r="N40" i="109"/>
  <c r="O43" i="109" s="1"/>
  <c r="N40" i="411"/>
  <c r="O43" i="411" s="1"/>
  <c r="N40" i="101"/>
  <c r="O43" i="101" s="1"/>
  <c r="N40" i="269"/>
  <c r="O43" i="269" s="1"/>
  <c r="N40" i="283"/>
  <c r="O43" i="283" s="1"/>
  <c r="N40" i="174"/>
  <c r="O43" i="174" s="1"/>
  <c r="N40" i="61"/>
  <c r="O43" i="61" s="1"/>
  <c r="N40" i="206"/>
  <c r="O43" i="206" s="1"/>
  <c r="N40" i="105"/>
  <c r="O43" i="105" s="1"/>
  <c r="N40" i="193"/>
  <c r="O43" i="193" s="1"/>
  <c r="M40" i="357"/>
  <c r="N43" i="357" s="1"/>
  <c r="I38" i="357"/>
  <c r="N40" i="227"/>
  <c r="O43" i="227" s="1"/>
  <c r="N40" i="342"/>
  <c r="O43" i="342" s="1"/>
  <c r="N40" i="363"/>
  <c r="O43" i="363" s="1"/>
  <c r="N40" i="37"/>
  <c r="O43" i="37" s="1"/>
  <c r="N40" i="257"/>
  <c r="O43" i="257" s="1"/>
  <c r="N40" i="21"/>
  <c r="O43" i="21" s="1"/>
  <c r="N40" i="54"/>
  <c r="O43" i="54" s="1"/>
  <c r="N40" i="16"/>
  <c r="O43" i="16" s="1"/>
  <c r="N40" i="4"/>
  <c r="O43" i="4" s="1"/>
  <c r="N40" i="385"/>
  <c r="O43" i="385" s="1"/>
  <c r="N40" i="403"/>
  <c r="O43" i="403" s="1"/>
  <c r="N40" i="393"/>
  <c r="O43" i="393" s="1"/>
  <c r="N40" i="387"/>
  <c r="O43" i="387" s="1"/>
  <c r="N40" i="360"/>
  <c r="O43" i="360" s="1"/>
  <c r="N40" i="368"/>
  <c r="O43" i="368" s="1"/>
  <c r="N40" i="5"/>
  <c r="O43" i="5" s="1"/>
  <c r="N40" i="162"/>
  <c r="O43" i="162" s="1"/>
  <c r="N40" i="18"/>
  <c r="O43" i="18" s="1"/>
  <c r="N40" i="322"/>
  <c r="O43" i="322" s="1"/>
  <c r="N40" i="113"/>
  <c r="O43" i="113" s="1"/>
  <c r="N40" i="89"/>
  <c r="O43" i="89" s="1"/>
  <c r="N40" i="203"/>
  <c r="O43" i="203" s="1"/>
  <c r="N40" i="420"/>
  <c r="O43" i="420" s="1"/>
  <c r="N40" i="239"/>
  <c r="O43" i="239" s="1"/>
  <c r="N40" i="326"/>
  <c r="O43" i="326" s="1"/>
  <c r="N40" i="281"/>
  <c r="O43" i="281" s="1"/>
  <c r="N40" i="143"/>
  <c r="O43" i="143" s="1"/>
  <c r="N40" i="200"/>
  <c r="O43" i="200" s="1"/>
  <c r="N40" i="262"/>
  <c r="O43" i="262" s="1"/>
  <c r="N40" i="292"/>
  <c r="O43" i="292" s="1"/>
  <c r="N40" i="340"/>
  <c r="O43" i="340" s="1"/>
  <c r="N40" i="350"/>
  <c r="O43" i="350" s="1"/>
  <c r="N40" i="319"/>
  <c r="O43" i="319" s="1"/>
  <c r="N40" i="7"/>
  <c r="O43" i="7" s="1"/>
  <c r="N40" i="355"/>
  <c r="O43" i="355" s="1"/>
  <c r="N40" i="114"/>
  <c r="O43" i="114" s="1"/>
  <c r="N40" i="52"/>
  <c r="O43" i="52" s="1"/>
  <c r="N40" i="392"/>
  <c r="O43" i="392" s="1"/>
  <c r="N40" i="244"/>
  <c r="O43" i="244" s="1"/>
  <c r="N40" i="243"/>
  <c r="O43" i="243" s="1"/>
  <c r="N40" i="47"/>
  <c r="O43" i="47" s="1"/>
  <c r="N40" i="229"/>
  <c r="O43" i="229" s="1"/>
  <c r="N40" i="287"/>
  <c r="O43" i="287" s="1"/>
  <c r="N40" i="285"/>
  <c r="O43" i="285" s="1"/>
  <c r="N40" i="332"/>
  <c r="O43" i="332" s="1"/>
  <c r="N40" i="160"/>
  <c r="O43" i="160" s="1"/>
  <c r="N40" i="140"/>
  <c r="O43" i="140" s="1"/>
  <c r="N40" i="268"/>
  <c r="O43" i="268" s="1"/>
  <c r="N40" i="183"/>
  <c r="O43" i="183" s="1"/>
  <c r="N40" i="104"/>
  <c r="O43" i="104" s="1"/>
  <c r="N40" i="280"/>
  <c r="O43" i="280" s="1"/>
  <c r="N40" i="345"/>
  <c r="O43" i="345" s="1"/>
  <c r="N40" i="32"/>
  <c r="O43" i="32" s="1"/>
  <c r="N40" i="112"/>
  <c r="O43" i="112" s="1"/>
  <c r="N40" i="103"/>
  <c r="O43" i="103" s="1"/>
  <c r="M40" i="335"/>
  <c r="N43" i="335" s="1"/>
  <c r="I38" i="335"/>
  <c r="N40" i="325"/>
  <c r="O43" i="325" s="1"/>
  <c r="N40" i="295"/>
  <c r="O43" i="295" s="1"/>
  <c r="N40" i="34"/>
  <c r="O43" i="34" s="1"/>
  <c r="N40" i="344"/>
  <c r="O43" i="344" s="1"/>
  <c r="M40" i="366"/>
  <c r="N43" i="366" s="1"/>
  <c r="I38" i="366"/>
  <c r="N40" i="233"/>
  <c r="O43" i="233" s="1"/>
  <c r="N40" i="194"/>
  <c r="O43" i="194" s="1"/>
  <c r="N40" i="289"/>
  <c r="O43" i="289" s="1"/>
  <c r="N40" i="337"/>
  <c r="O43" i="337" s="1"/>
  <c r="N40" i="320"/>
  <c r="O43" i="320" s="1"/>
  <c r="N40" i="336"/>
  <c r="O43" i="336" s="1"/>
  <c r="N40" i="204"/>
  <c r="O43" i="204" s="1"/>
  <c r="N40" i="153"/>
  <c r="O43" i="153" s="1"/>
  <c r="N40" i="48"/>
  <c r="O43" i="48" s="1"/>
  <c r="N40" i="249"/>
  <c r="O43" i="249" s="1"/>
  <c r="N40" i="17"/>
  <c r="O43" i="17" s="1"/>
  <c r="N40" i="190"/>
  <c r="O43" i="190" s="1"/>
  <c r="N40" i="349"/>
  <c r="O43" i="349" s="1"/>
  <c r="N40" i="323"/>
  <c r="O43" i="323" s="1"/>
  <c r="N40" i="402"/>
  <c r="O43" i="402" s="1"/>
  <c r="N40" i="394"/>
  <c r="O43" i="394" s="1"/>
  <c r="N40" i="359"/>
  <c r="O43" i="359" s="1"/>
  <c r="N40" i="364"/>
  <c r="O43" i="364" s="1"/>
  <c r="N40" i="333"/>
  <c r="O43" i="333" s="1"/>
  <c r="N40" i="356"/>
  <c r="O43" i="356" s="1"/>
  <c r="N40" i="164"/>
  <c r="O43" i="164" s="1"/>
  <c r="N40" i="354"/>
  <c r="O43" i="354" s="1"/>
  <c r="N40" i="352"/>
  <c r="O43" i="352" s="1"/>
  <c r="N40" i="9"/>
  <c r="O43" i="9" s="1"/>
  <c r="N40" i="148"/>
  <c r="O43" i="148" s="1"/>
  <c r="N40" i="8"/>
  <c r="O43" i="8" s="1"/>
  <c r="N40" i="421"/>
  <c r="O43" i="421" s="1"/>
  <c r="N40" i="23"/>
  <c r="O43" i="23" s="1"/>
  <c r="F38" i="395"/>
  <c r="U40" i="395"/>
  <c r="F38" i="398"/>
  <c r="U40" i="398"/>
  <c r="F38" i="247"/>
  <c r="U40" i="247"/>
  <c r="F38" i="170"/>
  <c r="U40" i="170"/>
  <c r="B40" i="327"/>
  <c r="C40" i="327"/>
  <c r="E52" i="327" s="1"/>
  <c r="B40" i="300"/>
  <c r="C40" i="300"/>
  <c r="E52" i="300" s="1"/>
  <c r="C40" i="404"/>
  <c r="D43" i="404" s="1"/>
  <c r="B40" i="404"/>
  <c r="G39" i="300"/>
  <c r="G39" i="404"/>
  <c r="G39" i="327"/>
  <c r="T38" i="231"/>
  <c r="I38" i="231" s="1"/>
  <c r="J50" i="231" s="1"/>
  <c r="T38" i="144"/>
  <c r="I38" i="144" s="1"/>
  <c r="J50" i="144" s="1"/>
  <c r="T38" i="300"/>
  <c r="I38" i="300" s="1"/>
  <c r="J50" i="300" s="1"/>
  <c r="T38" i="371"/>
  <c r="I38" i="371" s="1"/>
  <c r="J50" i="371" s="1"/>
  <c r="T38" i="195"/>
  <c r="I38" i="195" s="1"/>
  <c r="J50" i="195" s="1"/>
  <c r="T38" i="186"/>
  <c r="I38" i="186" s="1"/>
  <c r="J50" i="186" s="1"/>
  <c r="T38" i="398"/>
  <c r="I38" i="398" s="1"/>
  <c r="J50" i="398" s="1"/>
  <c r="T38" i="404"/>
  <c r="I38" i="404" s="1"/>
  <c r="J50" i="404" s="1"/>
  <c r="T38" i="142"/>
  <c r="I38" i="142" s="1"/>
  <c r="J50" i="142" s="1"/>
  <c r="T38" i="414"/>
  <c r="I38" i="414" s="1"/>
  <c r="J50" i="414" s="1"/>
  <c r="T38" i="185"/>
  <c r="I38" i="185" s="1"/>
  <c r="J50" i="185" s="1"/>
  <c r="T38" i="327"/>
  <c r="I38" i="327" s="1"/>
  <c r="J50" i="327" s="1"/>
  <c r="T38" i="247"/>
  <c r="I38" i="247" s="1"/>
  <c r="J50" i="247" s="1"/>
  <c r="T38" i="388"/>
  <c r="I38" i="388" s="1"/>
  <c r="J50" i="388" s="1"/>
  <c r="T38" i="170"/>
  <c r="I38" i="170" s="1"/>
  <c r="J50" i="170" s="1"/>
  <c r="T38" i="395"/>
  <c r="I38" i="395" s="1"/>
  <c r="J50" i="395" s="1"/>
  <c r="T38" i="253"/>
  <c r="I38" i="253" s="1"/>
  <c r="J50" i="253" s="1"/>
  <c r="T38" i="149"/>
  <c r="I38" i="149" s="1"/>
  <c r="J50" i="149" s="1"/>
  <c r="F37" i="339"/>
  <c r="H49" i="339" s="1"/>
  <c r="F36" i="339"/>
  <c r="H48" i="339" s="1"/>
  <c r="F35" i="339"/>
  <c r="H47" i="339" s="1"/>
  <c r="F34" i="339"/>
  <c r="H46" i="339" s="1"/>
  <c r="F33" i="339"/>
  <c r="H45" i="339" s="1"/>
  <c r="F32" i="339"/>
  <c r="H44" i="339" s="1"/>
  <c r="F31" i="339"/>
  <c r="H43" i="339" s="1"/>
  <c r="F30" i="339"/>
  <c r="H42" i="339" s="1"/>
  <c r="F29" i="339"/>
  <c r="H41" i="339" s="1"/>
  <c r="F29" i="292"/>
  <c r="H41" i="292" s="1"/>
  <c r="F27" i="292"/>
  <c r="L43" i="170" l="1"/>
  <c r="L43" i="247"/>
  <c r="L43" i="398"/>
  <c r="L43" i="395"/>
  <c r="D43" i="300"/>
  <c r="D43" i="327"/>
  <c r="C40" i="247"/>
  <c r="E52" i="247" s="1"/>
  <c r="H50" i="247"/>
  <c r="C40" i="398"/>
  <c r="E52" i="398" s="1"/>
  <c r="H50" i="398"/>
  <c r="C40" i="170"/>
  <c r="E52" i="170" s="1"/>
  <c r="H50" i="170"/>
  <c r="C40" i="395"/>
  <c r="E52" i="395" s="1"/>
  <c r="H50" i="395"/>
  <c r="O43" i="391"/>
  <c r="H39" i="292"/>
  <c r="N40" i="253"/>
  <c r="O43" i="253" s="1"/>
  <c r="N40" i="195"/>
  <c r="O43" i="195" s="1"/>
  <c r="N40" i="395"/>
  <c r="O43" i="395" s="1"/>
  <c r="N40" i="327"/>
  <c r="O43" i="327" s="1"/>
  <c r="N40" i="404"/>
  <c r="O43" i="404" s="1"/>
  <c r="N40" i="371"/>
  <c r="O43" i="371" s="1"/>
  <c r="N40" i="247"/>
  <c r="O43" i="247" s="1"/>
  <c r="N40" i="231"/>
  <c r="O43" i="231" s="1"/>
  <c r="N40" i="170"/>
  <c r="O43" i="170" s="1"/>
  <c r="N40" i="185"/>
  <c r="O43" i="185" s="1"/>
  <c r="N40" i="398"/>
  <c r="O43" i="398" s="1"/>
  <c r="N40" i="300"/>
  <c r="O43" i="300" s="1"/>
  <c r="N40" i="142"/>
  <c r="O43" i="142" s="1"/>
  <c r="N40" i="149"/>
  <c r="O43" i="149" s="1"/>
  <c r="N40" i="388"/>
  <c r="O43" i="388" s="1"/>
  <c r="N40" i="414"/>
  <c r="O43" i="414" s="1"/>
  <c r="N40" i="186"/>
  <c r="O43" i="186" s="1"/>
  <c r="N40" i="144"/>
  <c r="O43" i="144" s="1"/>
  <c r="B40" i="247"/>
  <c r="B40" i="395"/>
  <c r="G39" i="395"/>
  <c r="G39" i="398"/>
  <c r="B40" i="170"/>
  <c r="G39" i="170"/>
  <c r="B40" i="398"/>
  <c r="G39" i="247"/>
  <c r="T5" i="371"/>
  <c r="I5" i="371" s="1"/>
  <c r="T9" i="371"/>
  <c r="I9" i="371" s="1"/>
  <c r="T10" i="371"/>
  <c r="I10" i="371" s="1"/>
  <c r="T6" i="371"/>
  <c r="I6" i="371" s="1"/>
  <c r="T8" i="371"/>
  <c r="I8" i="371" s="1"/>
  <c r="T7" i="371"/>
  <c r="I7" i="371" s="1"/>
  <c r="G38" i="339"/>
  <c r="U37" i="391"/>
  <c r="M49" i="391" s="1"/>
  <c r="U37" i="202"/>
  <c r="F37" i="202"/>
  <c r="F37" i="421"/>
  <c r="F37" i="420"/>
  <c r="F37" i="391"/>
  <c r="F37" i="392"/>
  <c r="F37" i="8"/>
  <c r="F37" i="203"/>
  <c r="E37" i="415"/>
  <c r="F38" i="415" s="1"/>
  <c r="F37" i="191"/>
  <c r="F37" i="88"/>
  <c r="F37" i="148"/>
  <c r="F37" i="89"/>
  <c r="F37" i="43"/>
  <c r="F37" i="409"/>
  <c r="F37" i="9"/>
  <c r="F37" i="113"/>
  <c r="F37" i="361"/>
  <c r="F37" i="351"/>
  <c r="F37" i="352"/>
  <c r="F37" i="322"/>
  <c r="F37" i="353"/>
  <c r="F37" i="362"/>
  <c r="F37" i="354"/>
  <c r="F37" i="18"/>
  <c r="F37" i="20"/>
  <c r="F37" i="2"/>
  <c r="F37" i="164"/>
  <c r="F37" i="162"/>
  <c r="F37" i="413"/>
  <c r="F37" i="12"/>
  <c r="F37" i="356"/>
  <c r="F37" i="5"/>
  <c r="F37" i="207"/>
  <c r="F37" i="75"/>
  <c r="F37" i="333"/>
  <c r="F37" i="296"/>
  <c r="F37" i="53"/>
  <c r="F37" i="52"/>
  <c r="F37" i="364"/>
  <c r="F37" i="368"/>
  <c r="F37" i="28"/>
  <c r="F37" i="29"/>
  <c r="F37" i="359"/>
  <c r="F37" i="360"/>
  <c r="F37" i="389"/>
  <c r="F37" i="386"/>
  <c r="F37" i="387"/>
  <c r="F37" i="314"/>
  <c r="F37" i="303"/>
  <c r="E37" i="396"/>
  <c r="F38" i="396" s="1"/>
  <c r="F37" i="394"/>
  <c r="F37" i="393"/>
  <c r="F37" i="400"/>
  <c r="F37" i="403"/>
  <c r="F37" i="402"/>
  <c r="F37" i="408"/>
  <c r="G38" i="408" s="1"/>
  <c r="F37" i="114"/>
  <c r="F37" i="323"/>
  <c r="F37" i="385"/>
  <c r="F37" i="334"/>
  <c r="F37" i="3"/>
  <c r="F37" i="349"/>
  <c r="F37" i="4"/>
  <c r="F37" i="299"/>
  <c r="F37" i="190"/>
  <c r="F37" i="16"/>
  <c r="F37" i="15"/>
  <c r="H49" i="15" s="1"/>
  <c r="F37" i="355"/>
  <c r="F37" i="17"/>
  <c r="F37" i="54"/>
  <c r="F37" i="384"/>
  <c r="F37" i="201"/>
  <c r="F37" i="249"/>
  <c r="F37" i="7"/>
  <c r="F37" i="48"/>
  <c r="F37" i="21"/>
  <c r="F37" i="13"/>
  <c r="F37" i="261"/>
  <c r="F37" i="153"/>
  <c r="F37" i="257"/>
  <c r="F37" i="19"/>
  <c r="F37" i="347"/>
  <c r="F37" i="23"/>
  <c r="F37" i="37"/>
  <c r="F37" i="367"/>
  <c r="E37" i="369"/>
  <c r="F38" i="369" s="1"/>
  <c r="F37" i="204"/>
  <c r="F37" i="363"/>
  <c r="F37" i="31"/>
  <c r="F37" i="168"/>
  <c r="F37" i="169"/>
  <c r="F37" i="336"/>
  <c r="F37" i="342"/>
  <c r="F37" i="33"/>
  <c r="F37" i="319"/>
  <c r="F37" i="320"/>
  <c r="E37" i="343"/>
  <c r="F38" i="343" s="1"/>
  <c r="F37" i="318"/>
  <c r="F37" i="288"/>
  <c r="F37" i="337"/>
  <c r="F37" i="227"/>
  <c r="F37" i="298"/>
  <c r="F37" i="290"/>
  <c r="F37" i="289"/>
  <c r="F37" i="357"/>
  <c r="G38" i="357" s="1"/>
  <c r="F37" i="293"/>
  <c r="F37" i="348"/>
  <c r="F37" i="194"/>
  <c r="F37" i="193"/>
  <c r="F37" i="297"/>
  <c r="F37" i="350"/>
  <c r="F37" i="233"/>
  <c r="F37" i="105"/>
  <c r="F37" i="294"/>
  <c r="F37" i="365"/>
  <c r="G38" i="365" s="1"/>
  <c r="F37" i="366"/>
  <c r="G38" i="366" s="1"/>
  <c r="F37" i="206"/>
  <c r="F37" i="22"/>
  <c r="F37" i="301"/>
  <c r="F37" i="344"/>
  <c r="F37" i="61"/>
  <c r="F37" i="338"/>
  <c r="F37" i="340"/>
  <c r="F37" i="34"/>
  <c r="F37" i="174"/>
  <c r="F37" i="187"/>
  <c r="F37" i="135"/>
  <c r="F37" i="295"/>
  <c r="F37" i="283"/>
  <c r="F37" i="284"/>
  <c r="F37" i="292"/>
  <c r="F37" i="325"/>
  <c r="F37" i="269"/>
  <c r="F37" i="11"/>
  <c r="F37" i="279"/>
  <c r="G38" i="279" s="1"/>
  <c r="F37" i="335"/>
  <c r="G38" i="335" s="1"/>
  <c r="F37" i="101"/>
  <c r="F37" i="382"/>
  <c r="F37" i="102"/>
  <c r="F37" i="103"/>
  <c r="F37" i="411"/>
  <c r="F37" i="265"/>
  <c r="F37" i="262"/>
  <c r="F37" i="112"/>
  <c r="F37" i="109"/>
  <c r="F37" i="85"/>
  <c r="F37" i="324"/>
  <c r="F37" i="32"/>
  <c r="F37" i="196"/>
  <c r="F37" i="197"/>
  <c r="F37" i="198"/>
  <c r="F37" i="345"/>
  <c r="F37" i="346"/>
  <c r="F37" i="74"/>
  <c r="F37" i="200"/>
  <c r="F37" i="280"/>
  <c r="F37" i="97"/>
  <c r="F37" i="383"/>
  <c r="F37" i="45"/>
  <c r="F37" i="104"/>
  <c r="F37" i="254"/>
  <c r="F37" i="181"/>
  <c r="F37" i="183"/>
  <c r="F37" i="184"/>
  <c r="F37" i="27"/>
  <c r="F37" i="143"/>
  <c r="F37" i="268"/>
  <c r="F37" i="263"/>
  <c r="F37" i="209"/>
  <c r="F37" i="192"/>
  <c r="F37" i="140"/>
  <c r="F37" i="270"/>
  <c r="F37" i="271"/>
  <c r="F37" i="159"/>
  <c r="F37" i="160"/>
  <c r="F37" i="107"/>
  <c r="F37" i="176"/>
  <c r="F37" i="281"/>
  <c r="F37" i="332"/>
  <c r="F37" i="25"/>
  <c r="F37" i="24"/>
  <c r="F37" i="116"/>
  <c r="F37" i="285"/>
  <c r="F37" i="272"/>
  <c r="F37" i="44"/>
  <c r="G38" i="44" s="1"/>
  <c r="F37" i="87"/>
  <c r="F37" i="287"/>
  <c r="F37" i="276"/>
  <c r="F37" i="229"/>
  <c r="F37" i="230"/>
  <c r="F37" i="328"/>
  <c r="F37" i="329"/>
  <c r="F37" i="326"/>
  <c r="F37" i="47"/>
  <c r="F37" i="248"/>
  <c r="F37" i="46"/>
  <c r="F37" i="239"/>
  <c r="F37" i="243"/>
  <c r="F37" i="244"/>
  <c r="F37" i="246"/>
  <c r="F37" i="1"/>
  <c r="F37" i="397"/>
  <c r="E37" i="407"/>
  <c r="F38" i="407" s="1"/>
  <c r="E37" i="406"/>
  <c r="F38" i="406" s="1"/>
  <c r="E37" i="405"/>
  <c r="F38" i="405" s="1"/>
  <c r="E37" i="401"/>
  <c r="F38" i="401" s="1"/>
  <c r="F37" i="35"/>
  <c r="H49" i="35" s="1"/>
  <c r="D43" i="395" l="1"/>
  <c r="D43" i="247"/>
  <c r="D43" i="170"/>
  <c r="D43" i="398"/>
  <c r="G38" i="1"/>
  <c r="H49" i="1"/>
  <c r="G38" i="239"/>
  <c r="H49" i="239"/>
  <c r="G38" i="326"/>
  <c r="H49" i="326"/>
  <c r="G38" i="229"/>
  <c r="H49" i="229"/>
  <c r="G38" i="24"/>
  <c r="H49" i="24"/>
  <c r="G38" i="176"/>
  <c r="H49" i="176"/>
  <c r="G38" i="271"/>
  <c r="H49" i="271"/>
  <c r="G38" i="209"/>
  <c r="H49" i="209"/>
  <c r="G38" i="27"/>
  <c r="H49" i="27"/>
  <c r="G38" i="254"/>
  <c r="H49" i="254"/>
  <c r="G38" i="97"/>
  <c r="H49" i="97"/>
  <c r="G38" i="346"/>
  <c r="H49" i="346"/>
  <c r="G38" i="196"/>
  <c r="H49" i="196"/>
  <c r="G38" i="109"/>
  <c r="H49" i="109"/>
  <c r="G38" i="411"/>
  <c r="H49" i="411"/>
  <c r="G38" i="101"/>
  <c r="H49" i="101"/>
  <c r="G38" i="269"/>
  <c r="H49" i="269"/>
  <c r="G38" i="283"/>
  <c r="H49" i="283"/>
  <c r="G38" i="174"/>
  <c r="H49" i="174"/>
  <c r="G38" i="61"/>
  <c r="H49" i="61"/>
  <c r="G38" i="206"/>
  <c r="H49" i="206"/>
  <c r="G38" i="105"/>
  <c r="H49" i="105"/>
  <c r="G38" i="193"/>
  <c r="H49" i="193"/>
  <c r="G38" i="227"/>
  <c r="H49" i="227"/>
  <c r="G38" i="342"/>
  <c r="H49" i="342"/>
  <c r="G38" i="31"/>
  <c r="H49" i="31"/>
  <c r="G38" i="367"/>
  <c r="H49" i="367"/>
  <c r="G38" i="19"/>
  <c r="H49" i="19"/>
  <c r="G38" i="13"/>
  <c r="H49" i="13"/>
  <c r="G38" i="249"/>
  <c r="H49" i="249"/>
  <c r="G38" i="17"/>
  <c r="H49" i="17"/>
  <c r="G38" i="190"/>
  <c r="H49" i="190"/>
  <c r="G38" i="3"/>
  <c r="H49" i="3"/>
  <c r="G38" i="114"/>
  <c r="H49" i="114"/>
  <c r="G38" i="400"/>
  <c r="H49" i="400"/>
  <c r="G38" i="303"/>
  <c r="H49" i="303"/>
  <c r="G38" i="389"/>
  <c r="H49" i="389"/>
  <c r="G38" i="28"/>
  <c r="H49" i="28"/>
  <c r="G38" i="53"/>
  <c r="H49" i="53"/>
  <c r="G38" i="207"/>
  <c r="H49" i="207"/>
  <c r="G38" i="413"/>
  <c r="H49" i="413"/>
  <c r="G38" i="20"/>
  <c r="H49" i="20"/>
  <c r="G38" i="353"/>
  <c r="H49" i="353"/>
  <c r="G38" i="361"/>
  <c r="H49" i="361"/>
  <c r="G38" i="43"/>
  <c r="H49" i="43"/>
  <c r="G38" i="191"/>
  <c r="H49" i="191"/>
  <c r="G38" i="392"/>
  <c r="H49" i="392"/>
  <c r="G38" i="202"/>
  <c r="H49" i="202"/>
  <c r="G38" i="246"/>
  <c r="H49" i="246"/>
  <c r="G38" i="46"/>
  <c r="H49" i="46"/>
  <c r="G38" i="329"/>
  <c r="H49" i="329"/>
  <c r="G38" i="276"/>
  <c r="H49" i="276"/>
  <c r="G38" i="272"/>
  <c r="H49" i="272"/>
  <c r="G38" i="25"/>
  <c r="H49" i="25"/>
  <c r="G38" i="107"/>
  <c r="H49" i="107"/>
  <c r="G38" i="270"/>
  <c r="H49" i="270"/>
  <c r="G38" i="263"/>
  <c r="H49" i="263"/>
  <c r="G38" i="184"/>
  <c r="H49" i="184"/>
  <c r="G38" i="104"/>
  <c r="H49" i="104"/>
  <c r="G38" i="280"/>
  <c r="H49" i="280"/>
  <c r="G38" i="345"/>
  <c r="H49" i="345"/>
  <c r="G38" i="32"/>
  <c r="H49" i="32"/>
  <c r="G38" i="112"/>
  <c r="H49" i="112"/>
  <c r="G38" i="103"/>
  <c r="H49" i="103"/>
  <c r="G38" i="325"/>
  <c r="H49" i="325"/>
  <c r="G38" i="295"/>
  <c r="H49" i="295"/>
  <c r="G38" i="34"/>
  <c r="H49" i="34"/>
  <c r="G38" i="344"/>
  <c r="H49" i="344"/>
  <c r="G38" i="233"/>
  <c r="H49" i="233"/>
  <c r="G38" i="194"/>
  <c r="H49" i="194"/>
  <c r="G38" i="289"/>
  <c r="H49" i="289"/>
  <c r="G38" i="337"/>
  <c r="H49" i="337"/>
  <c r="G38" i="320"/>
  <c r="H49" i="320"/>
  <c r="G38" i="336"/>
  <c r="H49" i="336"/>
  <c r="G38" i="363"/>
  <c r="H49" i="363"/>
  <c r="G38" i="37"/>
  <c r="H49" i="37"/>
  <c r="G38" i="257"/>
  <c r="H49" i="257"/>
  <c r="G38" i="21"/>
  <c r="H49" i="21"/>
  <c r="G38" i="201"/>
  <c r="H49" i="201"/>
  <c r="G38" i="355"/>
  <c r="H49" i="355"/>
  <c r="G38" i="299"/>
  <c r="H49" i="299"/>
  <c r="G38" i="334"/>
  <c r="H49" i="334"/>
  <c r="G38" i="393"/>
  <c r="H49" i="393"/>
  <c r="G38" i="314"/>
  <c r="H49" i="314"/>
  <c r="G38" i="360"/>
  <c r="H49" i="360"/>
  <c r="G38" i="368"/>
  <c r="H49" i="368"/>
  <c r="G38" i="296"/>
  <c r="H49" i="296"/>
  <c r="G38" i="5"/>
  <c r="H49" i="5"/>
  <c r="G38" i="162"/>
  <c r="H49" i="162"/>
  <c r="G38" i="18"/>
  <c r="H49" i="18"/>
  <c r="G38" i="322"/>
  <c r="H49" i="322"/>
  <c r="G38" i="113"/>
  <c r="H49" i="113"/>
  <c r="G38" i="89"/>
  <c r="H49" i="89"/>
  <c r="G38" i="391"/>
  <c r="H49" i="391"/>
  <c r="G38" i="244"/>
  <c r="H49" i="244"/>
  <c r="G38" i="248"/>
  <c r="H49" i="248"/>
  <c r="G38" i="328"/>
  <c r="H49" i="328"/>
  <c r="G38" i="287"/>
  <c r="H49" i="287"/>
  <c r="G38" i="285"/>
  <c r="H49" i="285"/>
  <c r="G38" i="332"/>
  <c r="H49" i="332"/>
  <c r="G38" i="160"/>
  <c r="H49" i="160"/>
  <c r="G38" i="140"/>
  <c r="H49" i="140"/>
  <c r="G38" i="268"/>
  <c r="H49" i="268"/>
  <c r="G38" i="183"/>
  <c r="H49" i="183"/>
  <c r="G38" i="45"/>
  <c r="H49" i="45"/>
  <c r="G38" i="200"/>
  <c r="H49" i="200"/>
  <c r="G38" i="198"/>
  <c r="H49" i="198"/>
  <c r="G38" i="324"/>
  <c r="H49" i="324"/>
  <c r="G38" i="262"/>
  <c r="H49" i="262"/>
  <c r="G38" i="102"/>
  <c r="H49" i="102"/>
  <c r="G38" i="292"/>
  <c r="H49" i="292"/>
  <c r="G38" i="135"/>
  <c r="H49" i="135"/>
  <c r="G38" i="340"/>
  <c r="H49" i="340"/>
  <c r="G38" i="301"/>
  <c r="H49" i="301"/>
  <c r="G38" i="350"/>
  <c r="H49" i="350"/>
  <c r="G38" i="348"/>
  <c r="H49" i="348"/>
  <c r="G38" i="290"/>
  <c r="H49" i="290"/>
  <c r="G38" i="288"/>
  <c r="H49" i="288"/>
  <c r="G38" i="319"/>
  <c r="H49" i="319"/>
  <c r="G38" i="169"/>
  <c r="H49" i="169"/>
  <c r="G38" i="204"/>
  <c r="H49" i="204"/>
  <c r="G38" i="23"/>
  <c r="H49" i="23"/>
  <c r="G38" i="153"/>
  <c r="H49" i="153"/>
  <c r="G38" i="48"/>
  <c r="H49" i="48"/>
  <c r="G38" i="384"/>
  <c r="H49" i="384"/>
  <c r="G38" i="4"/>
  <c r="H49" i="4"/>
  <c r="G38" i="385"/>
  <c r="H49" i="385"/>
  <c r="G38" i="402"/>
  <c r="H49" i="402"/>
  <c r="G38" i="394"/>
  <c r="H49" i="394"/>
  <c r="G38" i="387"/>
  <c r="H49" i="387"/>
  <c r="G38" i="359"/>
  <c r="H49" i="359"/>
  <c r="G38" i="364"/>
  <c r="H49" i="364"/>
  <c r="G38" i="333"/>
  <c r="H49" i="333"/>
  <c r="G38" i="356"/>
  <c r="H49" i="356"/>
  <c r="G38" i="164"/>
  <c r="H49" i="164"/>
  <c r="G38" i="354"/>
  <c r="H49" i="354"/>
  <c r="G38" i="352"/>
  <c r="H49" i="352"/>
  <c r="G38" i="9"/>
  <c r="H49" i="9"/>
  <c r="G38" i="148"/>
  <c r="H49" i="148"/>
  <c r="G38" i="203"/>
  <c r="H49" i="203"/>
  <c r="G38" i="420"/>
  <c r="H49" i="420"/>
  <c r="G38" i="397"/>
  <c r="H49" i="397"/>
  <c r="G38" i="243"/>
  <c r="H49" i="243"/>
  <c r="G38" i="47"/>
  <c r="H49" i="47"/>
  <c r="G38" i="230"/>
  <c r="H49" i="230"/>
  <c r="G38" i="87"/>
  <c r="H49" i="87"/>
  <c r="G38" i="116"/>
  <c r="H49" i="116"/>
  <c r="G38" i="281"/>
  <c r="H49" i="281"/>
  <c r="G38" i="159"/>
  <c r="H49" i="159"/>
  <c r="G38" i="192"/>
  <c r="H49" i="192"/>
  <c r="G38" i="143"/>
  <c r="H49" i="143"/>
  <c r="G38" i="181"/>
  <c r="H49" i="181"/>
  <c r="G38" i="383"/>
  <c r="H49" i="383"/>
  <c r="G38" i="74"/>
  <c r="H49" i="74"/>
  <c r="G38" i="197"/>
  <c r="H49" i="197"/>
  <c r="G38" i="85"/>
  <c r="H49" i="85"/>
  <c r="G38" i="265"/>
  <c r="H49" i="265"/>
  <c r="G38" i="382"/>
  <c r="H49" i="382"/>
  <c r="G38" i="11"/>
  <c r="H49" i="11"/>
  <c r="G38" i="284"/>
  <c r="H49" i="284"/>
  <c r="G38" i="187"/>
  <c r="H49" i="187"/>
  <c r="G38" i="338"/>
  <c r="H49" i="338"/>
  <c r="G38" i="22"/>
  <c r="H49" i="22"/>
  <c r="G38" i="294"/>
  <c r="H49" i="294"/>
  <c r="G38" i="297"/>
  <c r="H49" i="297"/>
  <c r="G38" i="293"/>
  <c r="H49" i="293"/>
  <c r="G38" i="298"/>
  <c r="H49" i="298"/>
  <c r="G38" i="318"/>
  <c r="H49" i="318"/>
  <c r="G38" i="33"/>
  <c r="H49" i="33"/>
  <c r="G38" i="168"/>
  <c r="H49" i="168"/>
  <c r="G38" i="347"/>
  <c r="H49" i="347"/>
  <c r="G38" i="261"/>
  <c r="H49" i="261"/>
  <c r="G38" i="7"/>
  <c r="H49" i="7"/>
  <c r="G38" i="54"/>
  <c r="H49" i="54"/>
  <c r="G38" i="16"/>
  <c r="H49" i="16"/>
  <c r="G38" i="349"/>
  <c r="H49" i="349"/>
  <c r="G38" i="323"/>
  <c r="H49" i="323"/>
  <c r="G38" i="403"/>
  <c r="H49" i="403"/>
  <c r="G38" i="386"/>
  <c r="H49" i="386"/>
  <c r="G38" i="29"/>
  <c r="H49" i="29"/>
  <c r="G38" i="52"/>
  <c r="H49" i="52"/>
  <c r="G38" i="75"/>
  <c r="H49" i="75"/>
  <c r="G38" i="12"/>
  <c r="H49" i="12"/>
  <c r="G38" i="2"/>
  <c r="H49" i="2"/>
  <c r="G38" i="362"/>
  <c r="H49" i="362"/>
  <c r="G38" i="351"/>
  <c r="H49" i="351"/>
  <c r="G38" i="409"/>
  <c r="H49" i="409"/>
  <c r="G38" i="88"/>
  <c r="H49" i="88"/>
  <c r="G38" i="8"/>
  <c r="H49" i="8"/>
  <c r="G38" i="421"/>
  <c r="H49" i="421"/>
  <c r="G38" i="35"/>
  <c r="H227" i="417"/>
  <c r="I239" i="417" s="1"/>
  <c r="G38" i="15"/>
  <c r="K37" i="421"/>
  <c r="M49" i="421" s="1"/>
  <c r="U37" i="421"/>
  <c r="T37" i="421"/>
  <c r="I37" i="421" s="1"/>
  <c r="J49" i="421" s="1"/>
  <c r="T36" i="421"/>
  <c r="I36" i="421" s="1"/>
  <c r="F36" i="421"/>
  <c r="H48" i="421" s="1"/>
  <c r="T35" i="421"/>
  <c r="I35" i="421" s="1"/>
  <c r="J47" i="421" s="1"/>
  <c r="F35" i="421"/>
  <c r="H47" i="421" s="1"/>
  <c r="K34" i="421"/>
  <c r="M46" i="421" s="1"/>
  <c r="U34" i="421"/>
  <c r="T34" i="421"/>
  <c r="I34" i="421" s="1"/>
  <c r="F34" i="421"/>
  <c r="H46" i="421" s="1"/>
  <c r="T33" i="421"/>
  <c r="I33" i="421" s="1"/>
  <c r="F33" i="421"/>
  <c r="H45" i="421" s="1"/>
  <c r="T32" i="421"/>
  <c r="I32" i="421" s="1"/>
  <c r="F32" i="421"/>
  <c r="H44" i="421" s="1"/>
  <c r="K31" i="421"/>
  <c r="M43" i="421" s="1"/>
  <c r="U31" i="421"/>
  <c r="T31" i="421"/>
  <c r="I31" i="421" s="1"/>
  <c r="F31" i="421"/>
  <c r="H43" i="421" s="1"/>
  <c r="T30" i="421"/>
  <c r="I30" i="421" s="1"/>
  <c r="F30" i="421"/>
  <c r="H42" i="421" s="1"/>
  <c r="T29" i="421"/>
  <c r="I29" i="421" s="1"/>
  <c r="F29" i="421"/>
  <c r="H41" i="421" s="1"/>
  <c r="K28" i="421"/>
  <c r="U28" i="421"/>
  <c r="M40" i="421" s="1"/>
  <c r="T28" i="421"/>
  <c r="I28" i="421" s="1"/>
  <c r="J40" i="421" s="1"/>
  <c r="F28" i="421"/>
  <c r="T27" i="421"/>
  <c r="I27" i="421" s="1"/>
  <c r="F27" i="421"/>
  <c r="T26" i="421"/>
  <c r="I26" i="421" s="1"/>
  <c r="F26" i="421"/>
  <c r="K25" i="421"/>
  <c r="U25" i="421"/>
  <c r="T25" i="421"/>
  <c r="I25" i="421" s="1"/>
  <c r="F25" i="421"/>
  <c r="T24" i="421"/>
  <c r="I24" i="421" s="1"/>
  <c r="F24" i="421"/>
  <c r="T23" i="421"/>
  <c r="I23" i="421" s="1"/>
  <c r="F23" i="421"/>
  <c r="K22" i="421"/>
  <c r="U22" i="421"/>
  <c r="T22" i="421"/>
  <c r="I22" i="421" s="1"/>
  <c r="F22" i="421"/>
  <c r="T21" i="421"/>
  <c r="I21" i="421" s="1"/>
  <c r="F21" i="421"/>
  <c r="T20" i="421"/>
  <c r="I20" i="421" s="1"/>
  <c r="F20" i="421"/>
  <c r="K19" i="421"/>
  <c r="U19" i="421"/>
  <c r="T19" i="421"/>
  <c r="I19" i="421" s="1"/>
  <c r="F19" i="421"/>
  <c r="T18" i="421"/>
  <c r="I18" i="421" s="1"/>
  <c r="F18" i="421"/>
  <c r="T17" i="421"/>
  <c r="I17" i="421" s="1"/>
  <c r="F17" i="421"/>
  <c r="K16" i="421"/>
  <c r="U16" i="421"/>
  <c r="T16" i="421"/>
  <c r="I16" i="421" s="1"/>
  <c r="F16" i="421"/>
  <c r="T15" i="421"/>
  <c r="I15" i="421" s="1"/>
  <c r="F15" i="421"/>
  <c r="T14" i="421"/>
  <c r="I14" i="421" s="1"/>
  <c r="F14" i="421"/>
  <c r="K13" i="421"/>
  <c r="U13" i="421"/>
  <c r="T13" i="421"/>
  <c r="I13" i="421" s="1"/>
  <c r="F13" i="421"/>
  <c r="T12" i="421"/>
  <c r="I12" i="421" s="1"/>
  <c r="F12" i="421"/>
  <c r="T11" i="421"/>
  <c r="I11" i="421" s="1"/>
  <c r="F11" i="421"/>
  <c r="K10" i="421"/>
  <c r="U10" i="421"/>
  <c r="T10" i="421"/>
  <c r="I10" i="421" s="1"/>
  <c r="F10" i="421"/>
  <c r="T9" i="421"/>
  <c r="I9" i="421" s="1"/>
  <c r="F9" i="421"/>
  <c r="T8" i="421"/>
  <c r="I8" i="421" s="1"/>
  <c r="F8" i="421"/>
  <c r="K7" i="421"/>
  <c r="U7" i="421"/>
  <c r="T7" i="421"/>
  <c r="I7" i="421" s="1"/>
  <c r="F7" i="421"/>
  <c r="T6" i="421"/>
  <c r="I6" i="421" s="1"/>
  <c r="F6" i="421"/>
  <c r="T5" i="421"/>
  <c r="I5" i="421" s="1"/>
  <c r="F5" i="421"/>
  <c r="J17" i="421" l="1"/>
  <c r="J22" i="421"/>
  <c r="J20" i="421"/>
  <c r="J28" i="421"/>
  <c r="J33" i="421"/>
  <c r="J45" i="421"/>
  <c r="J18" i="421"/>
  <c r="J37" i="421"/>
  <c r="J25" i="421"/>
  <c r="J39" i="421"/>
  <c r="J27" i="421"/>
  <c r="J41" i="421"/>
  <c r="J29" i="421"/>
  <c r="J34" i="421"/>
  <c r="J46" i="421"/>
  <c r="J36" i="421"/>
  <c r="J48" i="421"/>
  <c r="J24" i="421"/>
  <c r="J19" i="421"/>
  <c r="J21" i="421"/>
  <c r="J35" i="421"/>
  <c r="J23" i="421"/>
  <c r="J30" i="421"/>
  <c r="J42" i="421"/>
  <c r="J32" i="421"/>
  <c r="J44" i="421"/>
  <c r="J26" i="421"/>
  <c r="J38" i="421"/>
  <c r="J43" i="421"/>
  <c r="J31" i="421"/>
  <c r="L40" i="421"/>
  <c r="H39" i="421"/>
  <c r="H38" i="421"/>
  <c r="H40" i="421"/>
  <c r="G7" i="421"/>
  <c r="N13" i="421"/>
  <c r="G28" i="421"/>
  <c r="C7" i="421"/>
  <c r="N25" i="421"/>
  <c r="N34" i="421"/>
  <c r="G13" i="421"/>
  <c r="C19" i="421"/>
  <c r="C28" i="421"/>
  <c r="E40" i="421" s="1"/>
  <c r="G33" i="421"/>
  <c r="N19" i="421"/>
  <c r="N37" i="421"/>
  <c r="O40" i="421" s="1"/>
  <c r="N7" i="421"/>
  <c r="G21" i="421"/>
  <c r="G14" i="421"/>
  <c r="H19" i="421"/>
  <c r="G9" i="421"/>
  <c r="H18" i="421"/>
  <c r="N10" i="421"/>
  <c r="L16" i="421"/>
  <c r="G15" i="421"/>
  <c r="M25" i="421"/>
  <c r="H27" i="421"/>
  <c r="M28" i="421"/>
  <c r="H30" i="421"/>
  <c r="M31" i="421"/>
  <c r="M34" i="421"/>
  <c r="N16" i="421"/>
  <c r="L10" i="421"/>
  <c r="C13" i="421"/>
  <c r="L13" i="421"/>
  <c r="C22" i="421"/>
  <c r="H24" i="421"/>
  <c r="H26" i="421"/>
  <c r="B10" i="421"/>
  <c r="G10" i="421"/>
  <c r="M19" i="421"/>
  <c r="H20" i="421"/>
  <c r="G22" i="421"/>
  <c r="N28" i="421"/>
  <c r="N31" i="421"/>
  <c r="G36" i="421"/>
  <c r="M37" i="421"/>
  <c r="G6" i="421"/>
  <c r="G11" i="421"/>
  <c r="B13" i="421"/>
  <c r="H28" i="421"/>
  <c r="N22" i="421"/>
  <c r="H22" i="421"/>
  <c r="C25" i="421"/>
  <c r="H25" i="421"/>
  <c r="G27" i="421"/>
  <c r="C31" i="421"/>
  <c r="E43" i="421" s="1"/>
  <c r="G31" i="421"/>
  <c r="G34" i="421"/>
  <c r="C34" i="421"/>
  <c r="E46" i="421" s="1"/>
  <c r="H33" i="421"/>
  <c r="B37" i="421"/>
  <c r="C37" i="421"/>
  <c r="E49" i="421" s="1"/>
  <c r="H34" i="421"/>
  <c r="H32" i="421"/>
  <c r="G37" i="421"/>
  <c r="C10" i="421"/>
  <c r="B19" i="421"/>
  <c r="H21" i="421"/>
  <c r="L22" i="421"/>
  <c r="L28" i="421"/>
  <c r="L34" i="421"/>
  <c r="B16" i="421"/>
  <c r="G16" i="421"/>
  <c r="G17" i="421"/>
  <c r="G18" i="421"/>
  <c r="G19" i="421"/>
  <c r="M22" i="421"/>
  <c r="G24" i="421"/>
  <c r="G25" i="421"/>
  <c r="G30" i="421"/>
  <c r="G35" i="421"/>
  <c r="G8" i="421"/>
  <c r="G12" i="421"/>
  <c r="C16" i="421"/>
  <c r="H17" i="421"/>
  <c r="L19" i="421"/>
  <c r="B22" i="421"/>
  <c r="H23" i="421"/>
  <c r="L25" i="421"/>
  <c r="B28" i="421"/>
  <c r="H29" i="421"/>
  <c r="H31" i="421"/>
  <c r="L31" i="421"/>
  <c r="B34" i="421"/>
  <c r="H35" i="421"/>
  <c r="H36" i="421"/>
  <c r="H37" i="421"/>
  <c r="L37" i="421"/>
  <c r="B25" i="421"/>
  <c r="B31" i="421"/>
  <c r="B7" i="421"/>
  <c r="G23" i="421"/>
  <c r="G29" i="421"/>
  <c r="G20" i="421"/>
  <c r="G26" i="421"/>
  <c r="G32" i="421"/>
  <c r="F20" i="8"/>
  <c r="T24" i="8"/>
  <c r="I24" i="8" s="1"/>
  <c r="T23" i="8"/>
  <c r="I23" i="8" s="1"/>
  <c r="T22" i="8"/>
  <c r="I22" i="8" s="1"/>
  <c r="T21" i="8"/>
  <c r="I21" i="8" s="1"/>
  <c r="T20" i="8"/>
  <c r="I20" i="8" s="1"/>
  <c r="T18" i="8"/>
  <c r="I18" i="8" s="1"/>
  <c r="T17" i="8"/>
  <c r="I17" i="8" s="1"/>
  <c r="T16" i="8"/>
  <c r="I16" i="8" s="1"/>
  <c r="T20" i="420"/>
  <c r="I20" i="420" s="1"/>
  <c r="F20" i="420"/>
  <c r="K37" i="420"/>
  <c r="M49" i="420" s="1"/>
  <c r="U37" i="420"/>
  <c r="T37" i="420"/>
  <c r="I37" i="420" s="1"/>
  <c r="J49" i="420" s="1"/>
  <c r="T36" i="420"/>
  <c r="I36" i="420" s="1"/>
  <c r="F36" i="420"/>
  <c r="H48" i="420" s="1"/>
  <c r="T35" i="420"/>
  <c r="I35" i="420" s="1"/>
  <c r="J47" i="420" s="1"/>
  <c r="F35" i="420"/>
  <c r="H47" i="420" s="1"/>
  <c r="K34" i="420"/>
  <c r="M46" i="420" s="1"/>
  <c r="U34" i="420"/>
  <c r="T34" i="420"/>
  <c r="I34" i="420" s="1"/>
  <c r="F34" i="420"/>
  <c r="H46" i="420" s="1"/>
  <c r="T33" i="420"/>
  <c r="I33" i="420" s="1"/>
  <c r="J45" i="420" s="1"/>
  <c r="F33" i="420"/>
  <c r="H45" i="420" s="1"/>
  <c r="T32" i="420"/>
  <c r="I32" i="420" s="1"/>
  <c r="F32" i="420"/>
  <c r="H44" i="420" s="1"/>
  <c r="K31" i="420"/>
  <c r="M43" i="420" s="1"/>
  <c r="U31" i="420"/>
  <c r="T31" i="420"/>
  <c r="I31" i="420" s="1"/>
  <c r="J43" i="420" s="1"/>
  <c r="F31" i="420"/>
  <c r="H43" i="420" s="1"/>
  <c r="T30" i="420"/>
  <c r="I30" i="420" s="1"/>
  <c r="F30" i="420"/>
  <c r="H42" i="420" s="1"/>
  <c r="T29" i="420"/>
  <c r="I29" i="420" s="1"/>
  <c r="J41" i="420" s="1"/>
  <c r="F29" i="420"/>
  <c r="H41" i="420" s="1"/>
  <c r="K28" i="420"/>
  <c r="U28" i="420"/>
  <c r="M40" i="420" s="1"/>
  <c r="T28" i="420"/>
  <c r="I28" i="420" s="1"/>
  <c r="J40" i="420" s="1"/>
  <c r="F28" i="420"/>
  <c r="T27" i="420"/>
  <c r="I27" i="420" s="1"/>
  <c r="J39" i="420" s="1"/>
  <c r="F27" i="420"/>
  <c r="T26" i="420"/>
  <c r="I26" i="420" s="1"/>
  <c r="F26" i="420"/>
  <c r="K25" i="420"/>
  <c r="U25" i="420"/>
  <c r="T25" i="420"/>
  <c r="I25" i="420" s="1"/>
  <c r="F25" i="420"/>
  <c r="T24" i="420"/>
  <c r="I24" i="420" s="1"/>
  <c r="F24" i="420"/>
  <c r="T23" i="420"/>
  <c r="I23" i="420" s="1"/>
  <c r="F23" i="420"/>
  <c r="K22" i="420"/>
  <c r="U22" i="420"/>
  <c r="T22" i="420"/>
  <c r="I22" i="420" s="1"/>
  <c r="F22" i="420"/>
  <c r="T21" i="420"/>
  <c r="I21" i="420" s="1"/>
  <c r="F21" i="420"/>
  <c r="K19" i="420"/>
  <c r="U19" i="420"/>
  <c r="T19" i="420"/>
  <c r="I19" i="420" s="1"/>
  <c r="F19" i="420"/>
  <c r="T18" i="420"/>
  <c r="I18" i="420" s="1"/>
  <c r="F18" i="420"/>
  <c r="T17" i="420"/>
  <c r="I17" i="420" s="1"/>
  <c r="F17" i="420"/>
  <c r="K16" i="420"/>
  <c r="U16" i="420"/>
  <c r="T16" i="420"/>
  <c r="I16" i="420" s="1"/>
  <c r="F16" i="420"/>
  <c r="T15" i="420"/>
  <c r="I15" i="420" s="1"/>
  <c r="F15" i="420"/>
  <c r="T14" i="420"/>
  <c r="I14" i="420" s="1"/>
  <c r="F14" i="420"/>
  <c r="K13" i="420"/>
  <c r="U13" i="420"/>
  <c r="T13" i="420"/>
  <c r="I13" i="420" s="1"/>
  <c r="F13" i="420"/>
  <c r="T12" i="420"/>
  <c r="I12" i="420" s="1"/>
  <c r="F12" i="420"/>
  <c r="T11" i="420"/>
  <c r="I11" i="420" s="1"/>
  <c r="F11" i="420"/>
  <c r="K10" i="420"/>
  <c r="U10" i="420"/>
  <c r="T10" i="420"/>
  <c r="I10" i="420" s="1"/>
  <c r="F10" i="420"/>
  <c r="T9" i="420"/>
  <c r="I9" i="420" s="1"/>
  <c r="F9" i="420"/>
  <c r="T8" i="420"/>
  <c r="I8" i="420" s="1"/>
  <c r="F8" i="420"/>
  <c r="K7" i="420"/>
  <c r="U7" i="420"/>
  <c r="T7" i="420"/>
  <c r="I7" i="420" s="1"/>
  <c r="F7" i="420"/>
  <c r="T6" i="420"/>
  <c r="I6" i="420" s="1"/>
  <c r="F6" i="420"/>
  <c r="T5" i="420"/>
  <c r="I5" i="420" s="1"/>
  <c r="F5" i="420"/>
  <c r="J24" i="420" l="1"/>
  <c r="J21" i="420"/>
  <c r="J29" i="420"/>
  <c r="J25" i="420"/>
  <c r="J27" i="420"/>
  <c r="J28" i="420"/>
  <c r="J19" i="420"/>
  <c r="J33" i="420"/>
  <c r="J31" i="420"/>
  <c r="J20" i="420"/>
  <c r="J37" i="420"/>
  <c r="J32" i="420"/>
  <c r="J44" i="420"/>
  <c r="J36" i="420"/>
  <c r="J48" i="420"/>
  <c r="J34" i="420"/>
  <c r="J46" i="420"/>
  <c r="J18" i="420"/>
  <c r="J35" i="420"/>
  <c r="J23" i="420"/>
  <c r="J30" i="420"/>
  <c r="J42" i="420"/>
  <c r="J17" i="420"/>
  <c r="J22" i="420"/>
  <c r="J26" i="420"/>
  <c r="J38" i="420"/>
  <c r="L40" i="420"/>
  <c r="D40" i="421"/>
  <c r="H39" i="420"/>
  <c r="H38" i="420"/>
  <c r="H40" i="420"/>
  <c r="H22" i="420"/>
  <c r="O10" i="421"/>
  <c r="D22" i="421"/>
  <c r="O37" i="421"/>
  <c r="D10" i="421"/>
  <c r="E25" i="421"/>
  <c r="E31" i="421"/>
  <c r="O16" i="421"/>
  <c r="D34" i="421"/>
  <c r="L13" i="420"/>
  <c r="E19" i="421"/>
  <c r="E34" i="421"/>
  <c r="D37" i="421"/>
  <c r="D31" i="421"/>
  <c r="O28" i="421"/>
  <c r="G15" i="420"/>
  <c r="N19" i="420"/>
  <c r="O22" i="421"/>
  <c r="M28" i="420"/>
  <c r="O19" i="421"/>
  <c r="G14" i="420"/>
  <c r="L28" i="420"/>
  <c r="N22" i="420"/>
  <c r="O13" i="421"/>
  <c r="D25" i="421"/>
  <c r="O31" i="421"/>
  <c r="E22" i="421"/>
  <c r="D13" i="421"/>
  <c r="D16" i="421"/>
  <c r="O25" i="421"/>
  <c r="D28" i="421"/>
  <c r="O34" i="421"/>
  <c r="E37" i="421"/>
  <c r="H21" i="420"/>
  <c r="L22" i="420"/>
  <c r="D19" i="421"/>
  <c r="E28" i="421"/>
  <c r="N31" i="420"/>
  <c r="N37" i="420"/>
  <c r="O40" i="420" s="1"/>
  <c r="G21" i="420"/>
  <c r="C7" i="420"/>
  <c r="B16" i="420"/>
  <c r="C28" i="420"/>
  <c r="E40" i="420" s="1"/>
  <c r="G28" i="420"/>
  <c r="G33" i="420"/>
  <c r="L34" i="420"/>
  <c r="N25" i="420"/>
  <c r="N28" i="420"/>
  <c r="M34" i="420"/>
  <c r="C34" i="420"/>
  <c r="E46" i="420" s="1"/>
  <c r="H32" i="420"/>
  <c r="G34" i="420"/>
  <c r="H34" i="420"/>
  <c r="N34" i="420"/>
  <c r="G27" i="420"/>
  <c r="C22" i="420"/>
  <c r="G22" i="420"/>
  <c r="H33" i="420"/>
  <c r="G7" i="420"/>
  <c r="H17" i="420"/>
  <c r="N10" i="420"/>
  <c r="N13" i="420"/>
  <c r="G6" i="420"/>
  <c r="L16" i="420"/>
  <c r="G12" i="420"/>
  <c r="H26" i="420"/>
  <c r="N7" i="420"/>
  <c r="H18" i="420"/>
  <c r="H27" i="420"/>
  <c r="G11" i="420"/>
  <c r="C13" i="420"/>
  <c r="G16" i="420"/>
  <c r="H28" i="420"/>
  <c r="G18" i="420"/>
  <c r="H19" i="420"/>
  <c r="G19" i="420"/>
  <c r="H24" i="420"/>
  <c r="G24" i="420"/>
  <c r="H30" i="420"/>
  <c r="G30" i="420"/>
  <c r="H36" i="420"/>
  <c r="G36" i="420"/>
  <c r="G9" i="420"/>
  <c r="G10" i="420"/>
  <c r="G17" i="420"/>
  <c r="M25" i="420"/>
  <c r="L25" i="420"/>
  <c r="H23" i="420"/>
  <c r="C25" i="420"/>
  <c r="G23" i="420"/>
  <c r="M31" i="420"/>
  <c r="L31" i="420"/>
  <c r="M37" i="420"/>
  <c r="L37" i="420"/>
  <c r="B10" i="420"/>
  <c r="G8" i="420"/>
  <c r="G13" i="420"/>
  <c r="N16" i="420"/>
  <c r="B19" i="420"/>
  <c r="M19" i="420"/>
  <c r="L19" i="420"/>
  <c r="H20" i="420"/>
  <c r="B25" i="420"/>
  <c r="H29" i="420"/>
  <c r="C31" i="420"/>
  <c r="E43" i="420" s="1"/>
  <c r="G29" i="420"/>
  <c r="B31" i="420"/>
  <c r="H35" i="420"/>
  <c r="C37" i="420"/>
  <c r="E49" i="420" s="1"/>
  <c r="G35" i="420"/>
  <c r="B37" i="420"/>
  <c r="B7" i="420"/>
  <c r="C10" i="420"/>
  <c r="L10" i="420"/>
  <c r="M22" i="420"/>
  <c r="B13" i="420"/>
  <c r="C19" i="420"/>
  <c r="H25" i="420"/>
  <c r="G25" i="420"/>
  <c r="H31" i="420"/>
  <c r="G31" i="420"/>
  <c r="H37" i="420"/>
  <c r="G37" i="420"/>
  <c r="C16" i="420"/>
  <c r="B22" i="420"/>
  <c r="B28" i="420"/>
  <c r="B34" i="420"/>
  <c r="G20" i="420"/>
  <c r="G26" i="420"/>
  <c r="G32" i="420"/>
  <c r="K37" i="8"/>
  <c r="M49" i="8" s="1"/>
  <c r="U37" i="8"/>
  <c r="K37" i="203"/>
  <c r="M49" i="203" s="1"/>
  <c r="U37" i="203"/>
  <c r="M37" i="415"/>
  <c r="O40" i="415" s="1"/>
  <c r="U37" i="191"/>
  <c r="K37" i="88"/>
  <c r="M49" i="88" s="1"/>
  <c r="U37" i="88"/>
  <c r="K37" i="148"/>
  <c r="M49" i="148" s="1"/>
  <c r="U37" i="148"/>
  <c r="K37" i="89"/>
  <c r="M49" i="89" s="1"/>
  <c r="U37" i="89"/>
  <c r="K37" i="43"/>
  <c r="M49" i="43" s="1"/>
  <c r="U37" i="43"/>
  <c r="K37" i="409"/>
  <c r="M49" i="409" s="1"/>
  <c r="U37" i="409"/>
  <c r="K37" i="9"/>
  <c r="M49" i="9" s="1"/>
  <c r="U37" i="9"/>
  <c r="K37" i="113"/>
  <c r="M49" i="113" s="1"/>
  <c r="U37" i="113"/>
  <c r="K37" i="361"/>
  <c r="M49" i="361" s="1"/>
  <c r="U37" i="361"/>
  <c r="K37" i="351"/>
  <c r="M49" i="351" s="1"/>
  <c r="U37" i="351"/>
  <c r="K37" i="352"/>
  <c r="M49" i="352" s="1"/>
  <c r="U37" i="352"/>
  <c r="K37" i="322"/>
  <c r="M49" i="322" s="1"/>
  <c r="U37" i="322"/>
  <c r="K37" i="353"/>
  <c r="M49" i="353" s="1"/>
  <c r="U37" i="353"/>
  <c r="K37" i="362"/>
  <c r="M49" i="362" s="1"/>
  <c r="U37" i="362"/>
  <c r="K37" i="354"/>
  <c r="M49" i="354" s="1"/>
  <c r="U37" i="354"/>
  <c r="K37" i="18"/>
  <c r="M49" i="18" s="1"/>
  <c r="U37" i="18"/>
  <c r="K37" i="20"/>
  <c r="M49" i="20" s="1"/>
  <c r="U37" i="20"/>
  <c r="K37" i="2"/>
  <c r="M49" i="2" s="1"/>
  <c r="U37" i="2"/>
  <c r="K37" i="164"/>
  <c r="M49" i="164" s="1"/>
  <c r="U37" i="164"/>
  <c r="K37" i="162"/>
  <c r="M49" i="162" s="1"/>
  <c r="U37" i="162"/>
  <c r="K37" i="413"/>
  <c r="M49" i="413" s="1"/>
  <c r="U37" i="413"/>
  <c r="K37" i="12"/>
  <c r="M49" i="12" s="1"/>
  <c r="U37" i="12"/>
  <c r="K37" i="356"/>
  <c r="M49" i="356" s="1"/>
  <c r="U37" i="356"/>
  <c r="K37" i="5"/>
  <c r="M49" i="5" s="1"/>
  <c r="U37" i="5"/>
  <c r="K37" i="207"/>
  <c r="M49" i="207" s="1"/>
  <c r="U37" i="207"/>
  <c r="K37" i="75"/>
  <c r="M49" i="75" s="1"/>
  <c r="U37" i="75"/>
  <c r="K37" i="333"/>
  <c r="M49" i="333" s="1"/>
  <c r="U37" i="333"/>
  <c r="K37" i="53"/>
  <c r="M49" i="53" s="1"/>
  <c r="U37" i="53"/>
  <c r="K37" i="52"/>
  <c r="M49" i="52" s="1"/>
  <c r="U37" i="52"/>
  <c r="K37" i="364"/>
  <c r="M49" i="364" s="1"/>
  <c r="U37" i="364"/>
  <c r="K37" i="368"/>
  <c r="M49" i="368" s="1"/>
  <c r="U37" i="368"/>
  <c r="K37" i="28"/>
  <c r="M49" i="28" s="1"/>
  <c r="U37" i="28"/>
  <c r="K37" i="29"/>
  <c r="M49" i="29" s="1"/>
  <c r="U37" i="29"/>
  <c r="K37" i="359"/>
  <c r="M49" i="359" s="1"/>
  <c r="U37" i="359"/>
  <c r="K37" i="360"/>
  <c r="M49" i="360" s="1"/>
  <c r="U37" i="360"/>
  <c r="K37" i="389"/>
  <c r="M49" i="389" s="1"/>
  <c r="U37" i="389"/>
  <c r="K37" i="386"/>
  <c r="M49" i="386" s="1"/>
  <c r="U37" i="386"/>
  <c r="K37" i="387"/>
  <c r="M49" i="387" s="1"/>
  <c r="U37" i="387"/>
  <c r="K37" i="314"/>
  <c r="M49" i="314" s="1"/>
  <c r="U37" i="314"/>
  <c r="K37" i="303"/>
  <c r="M49" i="303" s="1"/>
  <c r="U37" i="303"/>
  <c r="N37" i="396"/>
  <c r="M37" i="396"/>
  <c r="K37" i="394"/>
  <c r="M49" i="394" s="1"/>
  <c r="U37" i="394"/>
  <c r="K37" i="393"/>
  <c r="M49" i="393" s="1"/>
  <c r="U37" i="393"/>
  <c r="K37" i="400"/>
  <c r="M49" i="400" s="1"/>
  <c r="U37" i="400"/>
  <c r="K37" i="403"/>
  <c r="U37" i="403"/>
  <c r="K37" i="402"/>
  <c r="U37" i="402"/>
  <c r="J37" i="408"/>
  <c r="T37" i="408"/>
  <c r="K40" i="408" s="1"/>
  <c r="K37" i="114"/>
  <c r="M49" i="114" s="1"/>
  <c r="U37" i="114"/>
  <c r="K37" i="323"/>
  <c r="U37" i="323"/>
  <c r="K37" i="334"/>
  <c r="M49" i="334" s="1"/>
  <c r="U37" i="334"/>
  <c r="K37" i="3"/>
  <c r="M49" i="3" s="1"/>
  <c r="U37" i="3"/>
  <c r="K37" i="349"/>
  <c r="M49" i="349" s="1"/>
  <c r="U37" i="349"/>
  <c r="K37" i="4"/>
  <c r="M49" i="4" s="1"/>
  <c r="U37" i="4"/>
  <c r="K37" i="299"/>
  <c r="M49" i="299" s="1"/>
  <c r="U37" i="299"/>
  <c r="K37" i="190"/>
  <c r="M49" i="190" s="1"/>
  <c r="U37" i="190"/>
  <c r="K37" i="16"/>
  <c r="M49" i="16" s="1"/>
  <c r="U37" i="16"/>
  <c r="K37" i="15"/>
  <c r="M49" i="15" s="1"/>
  <c r="U37" i="15"/>
  <c r="K37" i="355"/>
  <c r="M49" i="355" s="1"/>
  <c r="U37" i="355"/>
  <c r="K37" i="17"/>
  <c r="M49" i="17" s="1"/>
  <c r="U37" i="17"/>
  <c r="K37" i="54"/>
  <c r="M49" i="54" s="1"/>
  <c r="U37" i="54"/>
  <c r="K37" i="384"/>
  <c r="M49" i="384" s="1"/>
  <c r="U37" i="384"/>
  <c r="K37" i="201"/>
  <c r="M49" i="201" s="1"/>
  <c r="U37" i="201"/>
  <c r="K37" i="249"/>
  <c r="M49" i="249" s="1"/>
  <c r="U37" i="249"/>
  <c r="K37" i="7"/>
  <c r="M49" i="7" s="1"/>
  <c r="U37" i="7"/>
  <c r="K37" i="48"/>
  <c r="M49" i="48" s="1"/>
  <c r="U37" i="48"/>
  <c r="K37" i="21"/>
  <c r="M49" i="21" s="1"/>
  <c r="U37" i="21"/>
  <c r="K37" i="13"/>
  <c r="M49" i="13" s="1"/>
  <c r="U37" i="13"/>
  <c r="K37" i="261"/>
  <c r="M49" i="261" s="1"/>
  <c r="U37" i="261"/>
  <c r="K37" i="153"/>
  <c r="M49" i="153" s="1"/>
  <c r="U37" i="153"/>
  <c r="K37" i="257"/>
  <c r="M49" i="257" s="1"/>
  <c r="U37" i="257"/>
  <c r="K37" i="19"/>
  <c r="M49" i="19" s="1"/>
  <c r="U37" i="19"/>
  <c r="K37" i="347"/>
  <c r="M49" i="347" s="1"/>
  <c r="U37" i="347"/>
  <c r="K37" i="23"/>
  <c r="M49" i="23" s="1"/>
  <c r="U37" i="23"/>
  <c r="K37" i="37"/>
  <c r="M49" i="37" s="1"/>
  <c r="U37" i="37"/>
  <c r="K37" i="367"/>
  <c r="M49" i="367" s="1"/>
  <c r="U37" i="367"/>
  <c r="N37" i="369"/>
  <c r="M37" i="369"/>
  <c r="O40" i="369" s="1"/>
  <c r="K37" i="204"/>
  <c r="M49" i="204" s="1"/>
  <c r="U37" i="204"/>
  <c r="K37" i="363"/>
  <c r="U37" i="363"/>
  <c r="K37" i="31"/>
  <c r="M49" i="31" s="1"/>
  <c r="U37" i="31"/>
  <c r="K37" i="168"/>
  <c r="M49" i="168" s="1"/>
  <c r="U37" i="168"/>
  <c r="K37" i="169"/>
  <c r="M49" i="169" s="1"/>
  <c r="U37" i="169"/>
  <c r="K37" i="336"/>
  <c r="M49" i="336" s="1"/>
  <c r="U37" i="336"/>
  <c r="K37" i="342"/>
  <c r="M49" i="342" s="1"/>
  <c r="U37" i="342"/>
  <c r="K37" i="33"/>
  <c r="M49" i="33" s="1"/>
  <c r="U37" i="33"/>
  <c r="K37" i="319"/>
  <c r="M49" i="319" s="1"/>
  <c r="U37" i="319"/>
  <c r="K37" i="320"/>
  <c r="M49" i="320" s="1"/>
  <c r="U37" i="320"/>
  <c r="N37" i="343"/>
  <c r="M37" i="343"/>
  <c r="O40" i="343" s="1"/>
  <c r="K37" i="318"/>
  <c r="M49" i="318" s="1"/>
  <c r="U37" i="318"/>
  <c r="K37" i="288"/>
  <c r="M49" i="288" s="1"/>
  <c r="U37" i="288"/>
  <c r="K37" i="227"/>
  <c r="M49" i="227" s="1"/>
  <c r="U37" i="227"/>
  <c r="K37" i="298"/>
  <c r="M49" i="298" s="1"/>
  <c r="U37" i="298"/>
  <c r="K37" i="290"/>
  <c r="M49" i="290" s="1"/>
  <c r="U37" i="290"/>
  <c r="K37" i="289"/>
  <c r="M49" i="289" s="1"/>
  <c r="U37" i="289"/>
  <c r="K37" i="293"/>
  <c r="M49" i="293" s="1"/>
  <c r="U37" i="293"/>
  <c r="K37" i="348"/>
  <c r="M49" i="348" s="1"/>
  <c r="U37" i="348"/>
  <c r="K37" i="194"/>
  <c r="M49" i="194" s="1"/>
  <c r="U37" i="194"/>
  <c r="K37" i="193"/>
  <c r="M49" i="193" s="1"/>
  <c r="U37" i="193"/>
  <c r="K37" i="297"/>
  <c r="M49" i="297" s="1"/>
  <c r="U37" i="297"/>
  <c r="K37" i="350"/>
  <c r="M49" i="350" s="1"/>
  <c r="U37" i="350"/>
  <c r="K37" i="233"/>
  <c r="M49" i="233" s="1"/>
  <c r="U37" i="233"/>
  <c r="K37" i="105"/>
  <c r="M49" i="105" s="1"/>
  <c r="U37" i="105"/>
  <c r="K37" i="294"/>
  <c r="M49" i="294" s="1"/>
  <c r="U37" i="294"/>
  <c r="J37" i="365"/>
  <c r="T37" i="365"/>
  <c r="K40" i="365" s="1"/>
  <c r="J37" i="366"/>
  <c r="T37" i="366"/>
  <c r="K40" i="366" s="1"/>
  <c r="K37" i="206"/>
  <c r="M49" i="206" s="1"/>
  <c r="U37" i="206"/>
  <c r="K37" i="22"/>
  <c r="M49" i="22" s="1"/>
  <c r="U37" i="22"/>
  <c r="K37" i="301"/>
  <c r="M49" i="301" s="1"/>
  <c r="U37" i="301"/>
  <c r="K37" i="344"/>
  <c r="M49" i="344" s="1"/>
  <c r="U37" i="344"/>
  <c r="K37" i="61"/>
  <c r="M49" i="61" s="1"/>
  <c r="U37" i="61"/>
  <c r="K37" i="338"/>
  <c r="M49" i="338" s="1"/>
  <c r="U37" i="338"/>
  <c r="K37" i="340"/>
  <c r="M49" i="340" s="1"/>
  <c r="U37" i="340"/>
  <c r="K37" i="34"/>
  <c r="M49" i="34" s="1"/>
  <c r="U37" i="34"/>
  <c r="K37" i="174"/>
  <c r="M49" i="174" s="1"/>
  <c r="U37" i="174"/>
  <c r="K37" i="135"/>
  <c r="M49" i="135" s="1"/>
  <c r="U37" i="135"/>
  <c r="K37" i="295"/>
  <c r="M49" i="295" s="1"/>
  <c r="U37" i="295"/>
  <c r="K37" i="283"/>
  <c r="M49" i="283" s="1"/>
  <c r="U37" i="283"/>
  <c r="K37" i="284"/>
  <c r="M49" i="284" s="1"/>
  <c r="U37" i="284"/>
  <c r="K37" i="292"/>
  <c r="M49" i="292" s="1"/>
  <c r="U37" i="292"/>
  <c r="K37" i="325"/>
  <c r="M49" i="325" s="1"/>
  <c r="U37" i="325"/>
  <c r="K37" i="269"/>
  <c r="M49" i="269" s="1"/>
  <c r="U37" i="269"/>
  <c r="K37" i="11"/>
  <c r="M49" i="11" s="1"/>
  <c r="U37" i="11"/>
  <c r="J37" i="279"/>
  <c r="T37" i="279"/>
  <c r="K40" i="279" s="1"/>
  <c r="J37" i="335"/>
  <c r="T37" i="335"/>
  <c r="K40" i="335" s="1"/>
  <c r="K37" i="101"/>
  <c r="M49" i="101" s="1"/>
  <c r="U37" i="101"/>
  <c r="K37" i="382"/>
  <c r="M49" i="382" s="1"/>
  <c r="U37" i="382"/>
  <c r="K37" i="102"/>
  <c r="M49" i="102" s="1"/>
  <c r="U37" i="102"/>
  <c r="K37" i="103"/>
  <c r="M49" i="103" s="1"/>
  <c r="U37" i="103"/>
  <c r="K37" i="411"/>
  <c r="M49" i="411" s="1"/>
  <c r="U37" i="411"/>
  <c r="K37" i="265"/>
  <c r="M49" i="265" s="1"/>
  <c r="U37" i="265"/>
  <c r="K37" i="262"/>
  <c r="M49" i="262" s="1"/>
  <c r="U37" i="262"/>
  <c r="K37" i="112"/>
  <c r="M49" i="112" s="1"/>
  <c r="U37" i="112"/>
  <c r="K37" i="109"/>
  <c r="M49" i="109" s="1"/>
  <c r="U37" i="109"/>
  <c r="K37" i="85"/>
  <c r="M49" i="85" s="1"/>
  <c r="U37" i="85"/>
  <c r="K37" i="324"/>
  <c r="M49" i="324" s="1"/>
  <c r="U37" i="324"/>
  <c r="K37" i="32"/>
  <c r="M49" i="32" s="1"/>
  <c r="U37" i="32"/>
  <c r="K37" i="196"/>
  <c r="M49" i="196" s="1"/>
  <c r="U37" i="196"/>
  <c r="K37" i="197"/>
  <c r="M49" i="197" s="1"/>
  <c r="U37" i="197"/>
  <c r="K37" i="198"/>
  <c r="M49" i="198" s="1"/>
  <c r="U37" i="198"/>
  <c r="K37" i="345"/>
  <c r="M49" i="345" s="1"/>
  <c r="U37" i="345"/>
  <c r="K37" i="346"/>
  <c r="M49" i="346" s="1"/>
  <c r="U37" i="346"/>
  <c r="K37" i="74"/>
  <c r="M49" i="74" s="1"/>
  <c r="U37" i="74"/>
  <c r="K37" i="200"/>
  <c r="M49" i="200" s="1"/>
  <c r="U37" i="200"/>
  <c r="K37" i="280"/>
  <c r="M49" i="280" s="1"/>
  <c r="U37" i="280"/>
  <c r="K37" i="97"/>
  <c r="M49" i="97" s="1"/>
  <c r="U37" i="97"/>
  <c r="K37" i="383"/>
  <c r="M49" i="383" s="1"/>
  <c r="U37" i="383"/>
  <c r="K37" i="45"/>
  <c r="M49" i="45" s="1"/>
  <c r="U37" i="45"/>
  <c r="K37" i="104"/>
  <c r="M49" i="104" s="1"/>
  <c r="U37" i="104"/>
  <c r="K37" i="254"/>
  <c r="M49" i="254" s="1"/>
  <c r="U37" i="254"/>
  <c r="K37" i="181"/>
  <c r="M49" i="181" s="1"/>
  <c r="U37" i="181"/>
  <c r="K37" i="183"/>
  <c r="M49" i="183" s="1"/>
  <c r="U37" i="183"/>
  <c r="K37" i="184"/>
  <c r="M49" i="184" s="1"/>
  <c r="U37" i="184"/>
  <c r="K37" i="27"/>
  <c r="M49" i="27" s="1"/>
  <c r="U37" i="27"/>
  <c r="K37" i="143"/>
  <c r="M49" i="143" s="1"/>
  <c r="U37" i="143"/>
  <c r="K37" i="268"/>
  <c r="U37" i="268"/>
  <c r="K37" i="263"/>
  <c r="M49" i="263" s="1"/>
  <c r="U37" i="263"/>
  <c r="K37" i="209"/>
  <c r="M49" i="209" s="1"/>
  <c r="U37" i="209"/>
  <c r="K37" i="192"/>
  <c r="M49" i="192" s="1"/>
  <c r="U37" i="192"/>
  <c r="K37" i="140"/>
  <c r="M49" i="140" s="1"/>
  <c r="U37" i="140"/>
  <c r="K37" i="270"/>
  <c r="M49" i="270" s="1"/>
  <c r="U37" i="270"/>
  <c r="K37" i="271"/>
  <c r="M49" i="271" s="1"/>
  <c r="U37" i="271"/>
  <c r="K37" i="159"/>
  <c r="M49" i="159" s="1"/>
  <c r="U37" i="159"/>
  <c r="K37" i="160"/>
  <c r="M49" i="160" s="1"/>
  <c r="U37" i="160"/>
  <c r="K37" i="107"/>
  <c r="M49" i="107" s="1"/>
  <c r="U37" i="107"/>
  <c r="K37" i="176"/>
  <c r="M49" i="176" s="1"/>
  <c r="U37" i="176"/>
  <c r="K37" i="281"/>
  <c r="M49" i="281" s="1"/>
  <c r="U37" i="281"/>
  <c r="K37" i="332"/>
  <c r="M49" i="332" s="1"/>
  <c r="U37" i="332"/>
  <c r="K37" i="25"/>
  <c r="M49" i="25" s="1"/>
  <c r="U37" i="25"/>
  <c r="K37" i="24"/>
  <c r="M49" i="24" s="1"/>
  <c r="U37" i="24"/>
  <c r="K37" i="116"/>
  <c r="M49" i="116" s="1"/>
  <c r="U37" i="116"/>
  <c r="K37" i="285"/>
  <c r="M49" i="285" s="1"/>
  <c r="U37" i="285"/>
  <c r="K37" i="272"/>
  <c r="M49" i="272" s="1"/>
  <c r="U37" i="272"/>
  <c r="J37" i="44"/>
  <c r="T37" i="44"/>
  <c r="K40" i="44" s="1"/>
  <c r="K37" i="87"/>
  <c r="M49" i="87" s="1"/>
  <c r="U37" i="87"/>
  <c r="K37" i="287"/>
  <c r="M49" i="287" s="1"/>
  <c r="U37" i="287"/>
  <c r="K37" i="276"/>
  <c r="M49" i="276" s="1"/>
  <c r="U37" i="276"/>
  <c r="K37" i="229"/>
  <c r="M49" i="229" s="1"/>
  <c r="U37" i="229"/>
  <c r="K37" i="230"/>
  <c r="M49" i="230" s="1"/>
  <c r="U37" i="230"/>
  <c r="K37" i="328"/>
  <c r="M49" i="328" s="1"/>
  <c r="U37" i="328"/>
  <c r="K37" i="329"/>
  <c r="M49" i="329" s="1"/>
  <c r="U37" i="329"/>
  <c r="K37" i="326"/>
  <c r="M49" i="326" s="1"/>
  <c r="U37" i="326"/>
  <c r="K37" i="47"/>
  <c r="M49" i="47" s="1"/>
  <c r="U37" i="47"/>
  <c r="K37" i="248"/>
  <c r="M49" i="248" s="1"/>
  <c r="U37" i="248"/>
  <c r="K37" i="46"/>
  <c r="M49" i="46" s="1"/>
  <c r="U37" i="46"/>
  <c r="K37" i="239"/>
  <c r="M49" i="239" s="1"/>
  <c r="U37" i="239"/>
  <c r="K37" i="243"/>
  <c r="M49" i="243" s="1"/>
  <c r="U37" i="243"/>
  <c r="K37" i="244"/>
  <c r="M49" i="244" s="1"/>
  <c r="U37" i="244"/>
  <c r="K37" i="246"/>
  <c r="M49" i="246" s="1"/>
  <c r="U37" i="246"/>
  <c r="K37" i="1"/>
  <c r="M49" i="1" s="1"/>
  <c r="U37" i="1"/>
  <c r="K37" i="397"/>
  <c r="M49" i="397" s="1"/>
  <c r="U37" i="397"/>
  <c r="N37" i="407"/>
  <c r="M37" i="407"/>
  <c r="N37" i="406"/>
  <c r="M37" i="406"/>
  <c r="N37" i="405"/>
  <c r="M37" i="405"/>
  <c r="N37" i="401"/>
  <c r="M37" i="401"/>
  <c r="U34" i="351"/>
  <c r="L40" i="1" l="1"/>
  <c r="L40" i="244"/>
  <c r="L40" i="239"/>
  <c r="L40" i="248"/>
  <c r="L40" i="326"/>
  <c r="L40" i="328"/>
  <c r="L40" i="229"/>
  <c r="L40" i="287"/>
  <c r="L40" i="285"/>
  <c r="L40" i="24"/>
  <c r="L40" i="332"/>
  <c r="L40" i="176"/>
  <c r="L40" i="160"/>
  <c r="L40" i="271"/>
  <c r="L40" i="140"/>
  <c r="L40" i="209"/>
  <c r="L40" i="268"/>
  <c r="M49" i="268"/>
  <c r="L40" i="27"/>
  <c r="L40" i="183"/>
  <c r="L40" i="254"/>
  <c r="L40" i="45"/>
  <c r="L40" i="97"/>
  <c r="L40" i="200"/>
  <c r="L40" i="346"/>
  <c r="L40" i="198"/>
  <c r="L40" i="196"/>
  <c r="L40" i="324"/>
  <c r="L40" i="109"/>
  <c r="L40" i="262"/>
  <c r="L40" i="411"/>
  <c r="L40" i="102"/>
  <c r="L40" i="101"/>
  <c r="L40" i="269"/>
  <c r="L40" i="292"/>
  <c r="L40" i="283"/>
  <c r="L40" i="135"/>
  <c r="L40" i="174"/>
  <c r="L40" i="340"/>
  <c r="L40" i="61"/>
  <c r="L40" i="301"/>
  <c r="L40" i="206"/>
  <c r="L40" i="105"/>
  <c r="L40" i="350"/>
  <c r="L40" i="193"/>
  <c r="L40" i="348"/>
  <c r="L40" i="289"/>
  <c r="L40" i="298"/>
  <c r="L40" i="288"/>
  <c r="L40" i="319"/>
  <c r="L40" i="342"/>
  <c r="L40" i="169"/>
  <c r="L40" i="31"/>
  <c r="L40" i="204"/>
  <c r="L40" i="367"/>
  <c r="L40" i="23"/>
  <c r="L40" i="19"/>
  <c r="L40" i="153"/>
  <c r="L40" i="13"/>
  <c r="L40" i="48"/>
  <c r="L40" i="249"/>
  <c r="L40" i="384"/>
  <c r="L40" i="17"/>
  <c r="L40" i="15"/>
  <c r="L40" i="190"/>
  <c r="L40" i="4"/>
  <c r="L40" i="3"/>
  <c r="L40" i="323"/>
  <c r="M49" i="323"/>
  <c r="L40" i="403"/>
  <c r="M49" i="403"/>
  <c r="L40" i="393"/>
  <c r="L40" i="314"/>
  <c r="L40" i="386"/>
  <c r="L40" i="360"/>
  <c r="L40" i="29"/>
  <c r="L40" i="368"/>
  <c r="L40" i="52"/>
  <c r="L40" i="75"/>
  <c r="L40" i="5"/>
  <c r="L40" i="12"/>
  <c r="L40" i="162"/>
  <c r="L40" i="2"/>
  <c r="L40" i="18"/>
  <c r="L40" i="362"/>
  <c r="L40" i="322"/>
  <c r="L40" i="351"/>
  <c r="L40" i="113"/>
  <c r="L40" i="409"/>
  <c r="L40" i="89"/>
  <c r="L40" i="88"/>
  <c r="L40" i="203"/>
  <c r="L40" i="397"/>
  <c r="L40" i="246"/>
  <c r="L40" i="243"/>
  <c r="L40" i="46"/>
  <c r="L40" i="47"/>
  <c r="L40" i="329"/>
  <c r="L40" i="230"/>
  <c r="L40" i="276"/>
  <c r="L40" i="87"/>
  <c r="L40" i="272"/>
  <c r="L40" i="116"/>
  <c r="L40" i="25"/>
  <c r="L40" i="281"/>
  <c r="L40" i="107"/>
  <c r="L40" i="159"/>
  <c r="L40" i="270"/>
  <c r="L40" i="192"/>
  <c r="L40" i="263"/>
  <c r="L40" i="143"/>
  <c r="L40" i="184"/>
  <c r="L40" i="181"/>
  <c r="L40" i="104"/>
  <c r="L40" i="383"/>
  <c r="L40" i="280"/>
  <c r="L40" i="74"/>
  <c r="L40" i="345"/>
  <c r="L40" i="197"/>
  <c r="L40" i="32"/>
  <c r="L40" i="85"/>
  <c r="L40" i="112"/>
  <c r="L40" i="265"/>
  <c r="L40" i="103"/>
  <c r="L40" i="382"/>
  <c r="L40" i="11"/>
  <c r="L40" i="325"/>
  <c r="L40" i="284"/>
  <c r="L40" i="295"/>
  <c r="L40" i="34"/>
  <c r="L40" i="338"/>
  <c r="L40" i="344"/>
  <c r="L40" i="22"/>
  <c r="L40" i="294"/>
  <c r="L40" i="233"/>
  <c r="L40" i="297"/>
  <c r="L40" i="194"/>
  <c r="L40" i="293"/>
  <c r="L40" i="290"/>
  <c r="L40" i="227"/>
  <c r="L40" i="318"/>
  <c r="L40" i="320"/>
  <c r="L40" i="33"/>
  <c r="L40" i="336"/>
  <c r="L40" i="168"/>
  <c r="L40" i="363"/>
  <c r="M49" i="363"/>
  <c r="L40" i="37"/>
  <c r="L40" i="347"/>
  <c r="L40" i="257"/>
  <c r="L40" i="261"/>
  <c r="L40" i="21"/>
  <c r="L40" i="7"/>
  <c r="L40" i="201"/>
  <c r="L40" i="54"/>
  <c r="L40" i="355"/>
  <c r="L40" i="16"/>
  <c r="L40" i="299"/>
  <c r="L40" i="349"/>
  <c r="L40" i="334"/>
  <c r="L40" i="114"/>
  <c r="L40" i="402"/>
  <c r="M49" i="402"/>
  <c r="L40" i="400"/>
  <c r="L40" i="394"/>
  <c r="L40" i="303"/>
  <c r="L40" i="387"/>
  <c r="L40" i="389"/>
  <c r="L40" i="359"/>
  <c r="L40" i="28"/>
  <c r="L40" i="364"/>
  <c r="L40" i="53"/>
  <c r="L40" i="333"/>
  <c r="L40" i="207"/>
  <c r="L40" i="356"/>
  <c r="L40" i="413"/>
  <c r="L40" i="164"/>
  <c r="L40" i="20"/>
  <c r="L40" i="354"/>
  <c r="L40" i="353"/>
  <c r="L40" i="352"/>
  <c r="L40" i="361"/>
  <c r="L40" i="9"/>
  <c r="L40" i="43"/>
  <c r="L40" i="148"/>
  <c r="L40" i="191"/>
  <c r="L40" i="8"/>
  <c r="D40" i="420"/>
  <c r="O25" i="420"/>
  <c r="O22" i="420"/>
  <c r="E34" i="420"/>
  <c r="O34" i="420"/>
  <c r="O28" i="420"/>
  <c r="O37" i="420"/>
  <c r="O31" i="420"/>
  <c r="D28" i="420"/>
  <c r="O13" i="420"/>
  <c r="O10" i="420"/>
  <c r="D10" i="420"/>
  <c r="D13" i="420"/>
  <c r="E31" i="420"/>
  <c r="D31" i="420"/>
  <c r="D34" i="420"/>
  <c r="O16" i="420"/>
  <c r="O19" i="420"/>
  <c r="E22" i="420"/>
  <c r="E19" i="420"/>
  <c r="D19" i="420"/>
  <c r="D22" i="420"/>
  <c r="E37" i="420"/>
  <c r="D37" i="420"/>
  <c r="D16" i="420"/>
  <c r="E28" i="420"/>
  <c r="L37" i="351"/>
  <c r="E25" i="420"/>
  <c r="D25" i="420"/>
  <c r="T37" i="21"/>
  <c r="I37" i="21" s="1"/>
  <c r="J49" i="21" l="1"/>
  <c r="F37" i="371"/>
  <c r="G38" i="371" l="1"/>
  <c r="H49" i="371"/>
  <c r="U37" i="371"/>
  <c r="K37" i="371"/>
  <c r="M49" i="371" s="1"/>
  <c r="H206" i="417"/>
  <c r="H205" i="417"/>
  <c r="H204" i="417"/>
  <c r="H203" i="417"/>
  <c r="H202" i="417"/>
  <c r="H201" i="417"/>
  <c r="H200" i="417"/>
  <c r="H199" i="417"/>
  <c r="H198" i="417"/>
  <c r="H197" i="417"/>
  <c r="H196" i="417"/>
  <c r="H195" i="417"/>
  <c r="H194" i="417"/>
  <c r="H193" i="417"/>
  <c r="H192" i="417"/>
  <c r="H191" i="417"/>
  <c r="H190" i="417"/>
  <c r="H189" i="417"/>
  <c r="H188" i="417"/>
  <c r="H187" i="417"/>
  <c r="H186" i="417"/>
  <c r="H185" i="417"/>
  <c r="H184" i="417"/>
  <c r="H183" i="417"/>
  <c r="H182" i="417"/>
  <c r="H181" i="417"/>
  <c r="H180" i="417"/>
  <c r="H179" i="417"/>
  <c r="H178" i="417"/>
  <c r="H177" i="417"/>
  <c r="H176" i="417"/>
  <c r="H175" i="417"/>
  <c r="H174" i="417"/>
  <c r="H173" i="417"/>
  <c r="H172" i="417"/>
  <c r="H171" i="417"/>
  <c r="H170" i="417"/>
  <c r="H169" i="417"/>
  <c r="H168" i="417"/>
  <c r="H167" i="417"/>
  <c r="H166" i="417"/>
  <c r="H165" i="417"/>
  <c r="H164" i="417"/>
  <c r="H163" i="417"/>
  <c r="H162" i="417"/>
  <c r="H161" i="417"/>
  <c r="H160" i="417"/>
  <c r="H159" i="417"/>
  <c r="H158" i="417"/>
  <c r="H157" i="417"/>
  <c r="H156" i="417"/>
  <c r="H155" i="417"/>
  <c r="H154" i="417"/>
  <c r="H153" i="417"/>
  <c r="H152" i="417"/>
  <c r="H151" i="417"/>
  <c r="H150" i="417"/>
  <c r="H149" i="417"/>
  <c r="H148" i="417"/>
  <c r="H147" i="417"/>
  <c r="H146" i="417"/>
  <c r="H145" i="417"/>
  <c r="H144" i="417"/>
  <c r="H143" i="417"/>
  <c r="H142" i="417"/>
  <c r="H141" i="417"/>
  <c r="H140" i="417"/>
  <c r="H139" i="417"/>
  <c r="H138" i="417"/>
  <c r="H137" i="417"/>
  <c r="H136" i="417"/>
  <c r="H135" i="417"/>
  <c r="H134" i="417"/>
  <c r="H133" i="417"/>
  <c r="H132" i="417"/>
  <c r="H131" i="417"/>
  <c r="H130" i="417"/>
  <c r="H129" i="417"/>
  <c r="H128" i="417"/>
  <c r="H127" i="417"/>
  <c r="H126" i="417"/>
  <c r="H125" i="417"/>
  <c r="H124" i="417"/>
  <c r="H123" i="417"/>
  <c r="H122" i="417"/>
  <c r="H121" i="417"/>
  <c r="H120" i="417"/>
  <c r="H119" i="417"/>
  <c r="H118" i="417"/>
  <c r="H117" i="417"/>
  <c r="H116" i="417"/>
  <c r="H115" i="417"/>
  <c r="H114" i="417"/>
  <c r="H113" i="417"/>
  <c r="H112" i="417"/>
  <c r="H111" i="417"/>
  <c r="H110" i="417"/>
  <c r="H109" i="417"/>
  <c r="H108" i="417"/>
  <c r="H107" i="417"/>
  <c r="H106" i="417"/>
  <c r="H105" i="417"/>
  <c r="H104" i="417"/>
  <c r="H103" i="417"/>
  <c r="H102" i="417"/>
  <c r="H101" i="417"/>
  <c r="H100" i="417"/>
  <c r="H99" i="417"/>
  <c r="H98" i="417"/>
  <c r="H97" i="417"/>
  <c r="H96" i="417"/>
  <c r="H95" i="417"/>
  <c r="H94" i="417"/>
  <c r="H93" i="417"/>
  <c r="H92" i="417"/>
  <c r="H91" i="417"/>
  <c r="H90" i="417"/>
  <c r="H89" i="417"/>
  <c r="H88" i="417"/>
  <c r="H87" i="417"/>
  <c r="H86" i="417"/>
  <c r="H85" i="417"/>
  <c r="H84" i="417"/>
  <c r="H83" i="417"/>
  <c r="H82" i="417"/>
  <c r="H81" i="417"/>
  <c r="H80" i="417"/>
  <c r="H79" i="417"/>
  <c r="H78" i="417"/>
  <c r="H77" i="417"/>
  <c r="H76" i="417"/>
  <c r="H75" i="417"/>
  <c r="H74" i="417"/>
  <c r="H73" i="417"/>
  <c r="H72" i="417"/>
  <c r="H71" i="417"/>
  <c r="H70" i="417"/>
  <c r="H69" i="417"/>
  <c r="H68" i="417"/>
  <c r="H67" i="417"/>
  <c r="H66" i="417"/>
  <c r="H65" i="417"/>
  <c r="H64" i="417"/>
  <c r="H63" i="417"/>
  <c r="H62" i="417"/>
  <c r="H61" i="417"/>
  <c r="H60" i="417"/>
  <c r="H59" i="417"/>
  <c r="H58" i="417"/>
  <c r="H57" i="417"/>
  <c r="H56" i="417"/>
  <c r="H55" i="417"/>
  <c r="H54" i="417"/>
  <c r="H53" i="417"/>
  <c r="H52" i="417"/>
  <c r="H51" i="417"/>
  <c r="H50" i="417"/>
  <c r="H49" i="417"/>
  <c r="H48" i="417"/>
  <c r="H47" i="417"/>
  <c r="H46" i="417"/>
  <c r="H45" i="417"/>
  <c r="H44" i="417"/>
  <c r="H43" i="417"/>
  <c r="H42" i="417"/>
  <c r="H41" i="417"/>
  <c r="H40" i="417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L40" i="371" l="1"/>
  <c r="I49" i="417"/>
  <c r="I77" i="417"/>
  <c r="I117" i="417"/>
  <c r="I133" i="417"/>
  <c r="I149" i="417"/>
  <c r="I165" i="417"/>
  <c r="I181" i="417"/>
  <c r="I197" i="417"/>
  <c r="I29" i="417"/>
  <c r="I33" i="417"/>
  <c r="I45" i="417"/>
  <c r="I61" i="417"/>
  <c r="I65" i="417"/>
  <c r="I81" i="417"/>
  <c r="I93" i="417"/>
  <c r="I97" i="417"/>
  <c r="I109" i="417"/>
  <c r="I125" i="417"/>
  <c r="I141" i="417"/>
  <c r="I157" i="417"/>
  <c r="I173" i="417"/>
  <c r="I189" i="417"/>
  <c r="I205" i="417"/>
  <c r="I30" i="417"/>
  <c r="I34" i="417"/>
  <c r="I38" i="417"/>
  <c r="I46" i="417"/>
  <c r="I50" i="417"/>
  <c r="I54" i="417"/>
  <c r="I62" i="417"/>
  <c r="I66" i="417"/>
  <c r="I70" i="417"/>
  <c r="I78" i="417"/>
  <c r="I82" i="417"/>
  <c r="I86" i="417"/>
  <c r="I94" i="417"/>
  <c r="I98" i="417"/>
  <c r="I102" i="417"/>
  <c r="I110" i="417"/>
  <c r="I114" i="417"/>
  <c r="I118" i="417"/>
  <c r="I126" i="417"/>
  <c r="I134" i="417"/>
  <c r="I138" i="417"/>
  <c r="I142" i="417"/>
  <c r="I150" i="417"/>
  <c r="I158" i="417"/>
  <c r="I166" i="417"/>
  <c r="I174" i="417"/>
  <c r="I178" i="417"/>
  <c r="I182" i="417"/>
  <c r="I190" i="417"/>
  <c r="I198" i="417"/>
  <c r="I206" i="417"/>
  <c r="I42" i="417"/>
  <c r="I154" i="417"/>
  <c r="I194" i="417"/>
  <c r="I90" i="417"/>
  <c r="I122" i="417"/>
  <c r="I162" i="417"/>
  <c r="I32" i="417"/>
  <c r="I40" i="417"/>
  <c r="I44" i="417"/>
  <c r="I48" i="417"/>
  <c r="I52" i="417"/>
  <c r="I56" i="417"/>
  <c r="I60" i="417"/>
  <c r="I64" i="417"/>
  <c r="I68" i="417"/>
  <c r="I72" i="417"/>
  <c r="I76" i="417"/>
  <c r="I80" i="417"/>
  <c r="I84" i="417"/>
  <c r="I88" i="417"/>
  <c r="I92" i="417"/>
  <c r="I96" i="417"/>
  <c r="I100" i="417"/>
  <c r="I104" i="417"/>
  <c r="I108" i="417"/>
  <c r="I112" i="417"/>
  <c r="I116" i="417"/>
  <c r="I120" i="417"/>
  <c r="I124" i="417"/>
  <c r="I128" i="417"/>
  <c r="I132" i="417"/>
  <c r="I136" i="417"/>
  <c r="I140" i="417"/>
  <c r="I144" i="417"/>
  <c r="I148" i="417"/>
  <c r="I152" i="417"/>
  <c r="I156" i="417"/>
  <c r="I160" i="417"/>
  <c r="I164" i="417"/>
  <c r="I168" i="417"/>
  <c r="I172" i="417"/>
  <c r="I176" i="417"/>
  <c r="I180" i="417"/>
  <c r="I184" i="417"/>
  <c r="I188" i="417"/>
  <c r="I192" i="417"/>
  <c r="I196" i="417"/>
  <c r="I200" i="417"/>
  <c r="I204" i="417"/>
  <c r="I58" i="417"/>
  <c r="I74" i="417"/>
  <c r="I106" i="417"/>
  <c r="I130" i="417"/>
  <c r="I146" i="417"/>
  <c r="I170" i="417"/>
  <c r="I186" i="417"/>
  <c r="I202" i="417"/>
  <c r="I28" i="417"/>
  <c r="I36" i="417"/>
  <c r="I37" i="417"/>
  <c r="I41" i="417"/>
  <c r="I53" i="417"/>
  <c r="I57" i="417"/>
  <c r="I69" i="417"/>
  <c r="I73" i="417"/>
  <c r="I85" i="417"/>
  <c r="I89" i="417"/>
  <c r="I101" i="417"/>
  <c r="I105" i="417"/>
  <c r="I113" i="417"/>
  <c r="I121" i="417"/>
  <c r="I129" i="417"/>
  <c r="I137" i="417"/>
  <c r="I145" i="417"/>
  <c r="I153" i="417"/>
  <c r="I161" i="417"/>
  <c r="I169" i="417"/>
  <c r="I177" i="417"/>
  <c r="I185" i="417"/>
  <c r="I193" i="417"/>
  <c r="I201" i="417"/>
  <c r="I27" i="417"/>
  <c r="I31" i="417"/>
  <c r="I35" i="417"/>
  <c r="I39" i="417"/>
  <c r="I43" i="417"/>
  <c r="I47" i="417"/>
  <c r="I51" i="417"/>
  <c r="I55" i="417"/>
  <c r="I59" i="417"/>
  <c r="I63" i="417"/>
  <c r="I67" i="417"/>
  <c r="I71" i="417"/>
  <c r="I75" i="417"/>
  <c r="I79" i="417"/>
  <c r="I83" i="417"/>
  <c r="I87" i="417"/>
  <c r="I91" i="417"/>
  <c r="I95" i="417"/>
  <c r="I99" i="417"/>
  <c r="I103" i="417"/>
  <c r="I107" i="417"/>
  <c r="I111" i="417"/>
  <c r="I115" i="417"/>
  <c r="I119" i="417"/>
  <c r="I123" i="417"/>
  <c r="I127" i="417"/>
  <c r="I131" i="417"/>
  <c r="I135" i="417"/>
  <c r="I139" i="417"/>
  <c r="I143" i="417"/>
  <c r="I147" i="417"/>
  <c r="I151" i="417"/>
  <c r="I155" i="417"/>
  <c r="I159" i="417"/>
  <c r="I163" i="417"/>
  <c r="I167" i="417"/>
  <c r="I171" i="417"/>
  <c r="I175" i="417"/>
  <c r="I179" i="417"/>
  <c r="I183" i="417"/>
  <c r="I187" i="417"/>
  <c r="I191" i="417"/>
  <c r="I195" i="417"/>
  <c r="I199" i="417"/>
  <c r="I203" i="417"/>
  <c r="F227" i="417"/>
  <c r="F27" i="417"/>
  <c r="D27" i="417"/>
  <c r="F226" i="417" l="1"/>
  <c r="F225" i="417"/>
  <c r="F224" i="417"/>
  <c r="F223" i="417"/>
  <c r="F222" i="417"/>
  <c r="F221" i="417"/>
  <c r="F220" i="417"/>
  <c r="F219" i="417"/>
  <c r="F218" i="417"/>
  <c r="F217" i="417"/>
  <c r="F216" i="417"/>
  <c r="F215" i="417"/>
  <c r="F214" i="417"/>
  <c r="F213" i="417"/>
  <c r="F212" i="417"/>
  <c r="F211" i="417"/>
  <c r="F210" i="417"/>
  <c r="F209" i="417"/>
  <c r="F208" i="417"/>
  <c r="F207" i="417"/>
  <c r="F206" i="417"/>
  <c r="F205" i="417"/>
  <c r="F204" i="417"/>
  <c r="F203" i="417"/>
  <c r="F202" i="417"/>
  <c r="F201" i="417"/>
  <c r="F200" i="417"/>
  <c r="F199" i="417"/>
  <c r="F198" i="417"/>
  <c r="F197" i="417"/>
  <c r="F196" i="417"/>
  <c r="F195" i="417"/>
  <c r="F194" i="417"/>
  <c r="F193" i="417"/>
  <c r="F192" i="417"/>
  <c r="F191" i="417"/>
  <c r="F190" i="417"/>
  <c r="F189" i="417"/>
  <c r="F188" i="417"/>
  <c r="F187" i="417"/>
  <c r="F186" i="417"/>
  <c r="F185" i="417"/>
  <c r="F184" i="417"/>
  <c r="F183" i="417"/>
  <c r="F182" i="417"/>
  <c r="F181" i="417"/>
  <c r="F180" i="417"/>
  <c r="F179" i="417"/>
  <c r="F178" i="417"/>
  <c r="F177" i="417"/>
  <c r="F176" i="417"/>
  <c r="F175" i="417"/>
  <c r="F174" i="417"/>
  <c r="F173" i="417"/>
  <c r="F172" i="417"/>
  <c r="F171" i="417"/>
  <c r="F170" i="417"/>
  <c r="F169" i="417"/>
  <c r="F168" i="417"/>
  <c r="F167" i="417"/>
  <c r="F166" i="417"/>
  <c r="F165" i="417"/>
  <c r="F164" i="417"/>
  <c r="F163" i="417"/>
  <c r="F162" i="417"/>
  <c r="F161" i="417"/>
  <c r="F160" i="417"/>
  <c r="F159" i="417"/>
  <c r="F158" i="417"/>
  <c r="F157" i="417"/>
  <c r="F156" i="417"/>
  <c r="F155" i="417"/>
  <c r="F154" i="417"/>
  <c r="F153" i="417"/>
  <c r="F152" i="417"/>
  <c r="F151" i="417"/>
  <c r="F150" i="417"/>
  <c r="F149" i="417"/>
  <c r="F148" i="417"/>
  <c r="F147" i="417"/>
  <c r="F146" i="417"/>
  <c r="F145" i="417"/>
  <c r="F144" i="417"/>
  <c r="F143" i="417"/>
  <c r="F142" i="417"/>
  <c r="F141" i="417"/>
  <c r="F140" i="417"/>
  <c r="F139" i="417"/>
  <c r="F138" i="417"/>
  <c r="F137" i="417"/>
  <c r="F136" i="417"/>
  <c r="F135" i="417"/>
  <c r="F134" i="417"/>
  <c r="F133" i="417"/>
  <c r="F132" i="417"/>
  <c r="F131" i="417"/>
  <c r="F130" i="417"/>
  <c r="F129" i="417"/>
  <c r="F128" i="417"/>
  <c r="F127" i="417"/>
  <c r="F126" i="417"/>
  <c r="F125" i="417"/>
  <c r="F124" i="417"/>
  <c r="F123" i="417"/>
  <c r="F122" i="417"/>
  <c r="F121" i="417"/>
  <c r="F120" i="417"/>
  <c r="F119" i="417"/>
  <c r="F118" i="417"/>
  <c r="F117" i="417"/>
  <c r="F116" i="417"/>
  <c r="F115" i="417"/>
  <c r="F114" i="417"/>
  <c r="F113" i="417"/>
  <c r="F112" i="417"/>
  <c r="F111" i="417"/>
  <c r="F110" i="417"/>
  <c r="F109" i="417"/>
  <c r="F108" i="417"/>
  <c r="F107" i="417"/>
  <c r="F106" i="417"/>
  <c r="F105" i="417"/>
  <c r="F104" i="417"/>
  <c r="F103" i="417"/>
  <c r="F102" i="417"/>
  <c r="F101" i="417"/>
  <c r="F100" i="417"/>
  <c r="F99" i="417"/>
  <c r="F98" i="417"/>
  <c r="F97" i="417"/>
  <c r="F96" i="417"/>
  <c r="F95" i="417"/>
  <c r="F94" i="417"/>
  <c r="F93" i="417"/>
  <c r="F92" i="417"/>
  <c r="F91" i="417"/>
  <c r="F90" i="417"/>
  <c r="F89" i="417"/>
  <c r="F88" i="417"/>
  <c r="F87" i="417"/>
  <c r="F86" i="417"/>
  <c r="F85" i="417"/>
  <c r="F84" i="417"/>
  <c r="F83" i="417"/>
  <c r="F82" i="417"/>
  <c r="F81" i="417"/>
  <c r="F80" i="417"/>
  <c r="F79" i="417"/>
  <c r="F78" i="417"/>
  <c r="F77" i="417"/>
  <c r="F76" i="417"/>
  <c r="F7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F59" i="417"/>
  <c r="F58" i="417"/>
  <c r="F57" i="417"/>
  <c r="F56" i="417"/>
  <c r="F55" i="417"/>
  <c r="F54" i="417"/>
  <c r="F53" i="417"/>
  <c r="F52" i="417"/>
  <c r="F51" i="417"/>
  <c r="F50" i="417"/>
  <c r="F49" i="417"/>
  <c r="F48" i="417"/>
  <c r="F47" i="417"/>
  <c r="F46" i="417"/>
  <c r="F45" i="417"/>
  <c r="F44" i="417"/>
  <c r="F43" i="417"/>
  <c r="F42" i="417"/>
  <c r="F41" i="417"/>
  <c r="F40" i="417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D227" i="417"/>
  <c r="D28" i="417"/>
  <c r="D29" i="417"/>
  <c r="D30" i="417"/>
  <c r="D31" i="417"/>
  <c r="D32" i="417"/>
  <c r="D33" i="417"/>
  <c r="D34" i="417"/>
  <c r="D35" i="417"/>
  <c r="D36" i="417"/>
  <c r="D37" i="417"/>
  <c r="D38" i="417"/>
  <c r="D39" i="417"/>
  <c r="D40" i="417"/>
  <c r="D41" i="417"/>
  <c r="D42" i="417"/>
  <c r="D43" i="417"/>
  <c r="D44" i="417"/>
  <c r="D45" i="417"/>
  <c r="D46" i="417"/>
  <c r="D47" i="417"/>
  <c r="D48" i="417"/>
  <c r="D49" i="417"/>
  <c r="D50" i="417"/>
  <c r="D51" i="417"/>
  <c r="D52" i="417"/>
  <c r="D53" i="417"/>
  <c r="D54" i="417"/>
  <c r="D55" i="417"/>
  <c r="D56" i="417"/>
  <c r="D57" i="417"/>
  <c r="D58" i="417"/>
  <c r="D59" i="417"/>
  <c r="D60" i="417"/>
  <c r="D61" i="417"/>
  <c r="D62" i="417"/>
  <c r="D63" i="417"/>
  <c r="D64" i="417"/>
  <c r="D65" i="417"/>
  <c r="D66" i="417"/>
  <c r="D67" i="417"/>
  <c r="D68" i="417"/>
  <c r="D69" i="417"/>
  <c r="D70" i="417"/>
  <c r="D71" i="417"/>
  <c r="D72" i="417"/>
  <c r="D73" i="417"/>
  <c r="D74" i="417"/>
  <c r="D75" i="417"/>
  <c r="D76" i="417"/>
  <c r="D77" i="417"/>
  <c r="D78" i="417"/>
  <c r="D79" i="417"/>
  <c r="D80" i="417"/>
  <c r="D81" i="417"/>
  <c r="D82" i="417"/>
  <c r="D83" i="417"/>
  <c r="D84" i="417"/>
  <c r="D85" i="417"/>
  <c r="D86" i="417"/>
  <c r="D87" i="417"/>
  <c r="D88" i="417"/>
  <c r="D89" i="417"/>
  <c r="D90" i="417"/>
  <c r="D91" i="417"/>
  <c r="D92" i="417"/>
  <c r="D93" i="417"/>
  <c r="D94" i="417"/>
  <c r="D95" i="417"/>
  <c r="D96" i="417"/>
  <c r="D97" i="417"/>
  <c r="D98" i="417"/>
  <c r="D99" i="417"/>
  <c r="D100" i="417"/>
  <c r="D101" i="417"/>
  <c r="D102" i="417"/>
  <c r="D103" i="417"/>
  <c r="D104" i="417"/>
  <c r="D105" i="417"/>
  <c r="D106" i="417"/>
  <c r="D107" i="417"/>
  <c r="D108" i="417"/>
  <c r="D109" i="417"/>
  <c r="D110" i="417"/>
  <c r="D111" i="417"/>
  <c r="D112" i="417"/>
  <c r="D113" i="417"/>
  <c r="D114" i="417"/>
  <c r="D115" i="417"/>
  <c r="D116" i="417"/>
  <c r="D117" i="417"/>
  <c r="D118" i="417"/>
  <c r="D119" i="417"/>
  <c r="D120" i="417"/>
  <c r="D121" i="417"/>
  <c r="D122" i="417"/>
  <c r="D123" i="417"/>
  <c r="D124" i="417"/>
  <c r="D125" i="417"/>
  <c r="D126" i="417"/>
  <c r="D127" i="417"/>
  <c r="D128" i="417"/>
  <c r="D129" i="417"/>
  <c r="D130" i="417"/>
  <c r="D131" i="417"/>
  <c r="D132" i="417"/>
  <c r="D133" i="417"/>
  <c r="D134" i="417"/>
  <c r="D135" i="417"/>
  <c r="D136" i="417"/>
  <c r="D137" i="417"/>
  <c r="D138" i="417"/>
  <c r="D139" i="417"/>
  <c r="D140" i="417"/>
  <c r="D141" i="417"/>
  <c r="D142" i="417"/>
  <c r="D143" i="417"/>
  <c r="D144" i="417"/>
  <c r="D145" i="417"/>
  <c r="D146" i="417"/>
  <c r="D147" i="417"/>
  <c r="D148" i="417"/>
  <c r="D149" i="417"/>
  <c r="D150" i="417"/>
  <c r="D151" i="417"/>
  <c r="D152" i="417"/>
  <c r="D153" i="417"/>
  <c r="D154" i="417"/>
  <c r="D155" i="417"/>
  <c r="D156" i="417"/>
  <c r="D157" i="417"/>
  <c r="D158" i="417"/>
  <c r="D159" i="417"/>
  <c r="D160" i="417"/>
  <c r="D161" i="417"/>
  <c r="D162" i="417"/>
  <c r="D163" i="417"/>
  <c r="D164" i="417"/>
  <c r="D165" i="417"/>
  <c r="D166" i="417"/>
  <c r="D167" i="417"/>
  <c r="D168" i="417"/>
  <c r="D169" i="417"/>
  <c r="D170" i="417"/>
  <c r="D171" i="417"/>
  <c r="D172" i="417"/>
  <c r="D173" i="417"/>
  <c r="D174" i="417"/>
  <c r="D175" i="417"/>
  <c r="D176" i="417"/>
  <c r="D177" i="417"/>
  <c r="D178" i="417"/>
  <c r="D179" i="417"/>
  <c r="D180" i="417"/>
  <c r="D181" i="417"/>
  <c r="D182" i="417"/>
  <c r="D183" i="417"/>
  <c r="D184" i="417"/>
  <c r="D185" i="417"/>
  <c r="D186" i="417"/>
  <c r="D187" i="417"/>
  <c r="D188" i="417"/>
  <c r="D189" i="417"/>
  <c r="D190" i="417"/>
  <c r="D191" i="417"/>
  <c r="D192" i="417"/>
  <c r="D193" i="417"/>
  <c r="D194" i="417"/>
  <c r="D195" i="417"/>
  <c r="D196" i="417"/>
  <c r="D197" i="417"/>
  <c r="D198" i="417"/>
  <c r="D199" i="417"/>
  <c r="D200" i="417"/>
  <c r="D201" i="417"/>
  <c r="D202" i="417"/>
  <c r="D203" i="417"/>
  <c r="D204" i="417"/>
  <c r="D205" i="417"/>
  <c r="D206" i="417"/>
  <c r="D207" i="417"/>
  <c r="D208" i="417"/>
  <c r="D209" i="417"/>
  <c r="D210" i="417"/>
  <c r="D211" i="417"/>
  <c r="D212" i="417"/>
  <c r="D213" i="417"/>
  <c r="D214" i="417"/>
  <c r="D215" i="417"/>
  <c r="D216" i="417"/>
  <c r="D217" i="417"/>
  <c r="D218" i="417"/>
  <c r="D219" i="417"/>
  <c r="D220" i="417"/>
  <c r="D221" i="417"/>
  <c r="D222" i="417"/>
  <c r="D223" i="417"/>
  <c r="D224" i="417"/>
  <c r="D225" i="417"/>
  <c r="D226" i="417"/>
  <c r="L37" i="415" l="1"/>
  <c r="L36" i="415"/>
  <c r="E36" i="415"/>
  <c r="L35" i="415"/>
  <c r="E35" i="415"/>
  <c r="M34" i="415"/>
  <c r="O37" i="415" s="1"/>
  <c r="L34" i="415"/>
  <c r="E34" i="415"/>
  <c r="L33" i="415"/>
  <c r="E33" i="415"/>
  <c r="L32" i="415"/>
  <c r="E32" i="415"/>
  <c r="M31" i="415"/>
  <c r="L31" i="415"/>
  <c r="E31" i="415"/>
  <c r="L30" i="415"/>
  <c r="E30" i="415"/>
  <c r="G42" i="415" s="1"/>
  <c r="L29" i="415"/>
  <c r="E29" i="415"/>
  <c r="G41" i="415" s="1"/>
  <c r="M28" i="415"/>
  <c r="P40" i="415" s="1"/>
  <c r="L28" i="415"/>
  <c r="E28" i="415"/>
  <c r="G40" i="415" s="1"/>
  <c r="L27" i="415"/>
  <c r="E27" i="415"/>
  <c r="G39" i="415" s="1"/>
  <c r="L26" i="415"/>
  <c r="E26" i="415"/>
  <c r="G38" i="415" s="1"/>
  <c r="M25" i="415"/>
  <c r="P37" i="415" s="1"/>
  <c r="L25" i="415"/>
  <c r="E25" i="415"/>
  <c r="L24" i="415"/>
  <c r="E24" i="415"/>
  <c r="L23" i="415"/>
  <c r="E23" i="415"/>
  <c r="M22" i="415"/>
  <c r="L22" i="415"/>
  <c r="E22" i="415"/>
  <c r="L21" i="415"/>
  <c r="E21" i="415"/>
  <c r="L20" i="415"/>
  <c r="E20" i="415"/>
  <c r="M19" i="415"/>
  <c r="L19" i="415"/>
  <c r="E19" i="415"/>
  <c r="L18" i="415"/>
  <c r="E18" i="415"/>
  <c r="L17" i="415"/>
  <c r="E17" i="415"/>
  <c r="N16" i="415"/>
  <c r="M16" i="415"/>
  <c r="L16" i="415"/>
  <c r="E16" i="415"/>
  <c r="L15" i="415"/>
  <c r="E15" i="415"/>
  <c r="L14" i="415"/>
  <c r="E14" i="415"/>
  <c r="N13" i="415"/>
  <c r="M13" i="415"/>
  <c r="L13" i="415"/>
  <c r="E13" i="415"/>
  <c r="L12" i="415"/>
  <c r="E12" i="415"/>
  <c r="L11" i="415"/>
  <c r="E11" i="415"/>
  <c r="N10" i="415"/>
  <c r="M10" i="415"/>
  <c r="L10" i="415"/>
  <c r="E10" i="415"/>
  <c r="L9" i="415"/>
  <c r="E9" i="415"/>
  <c r="L8" i="415"/>
  <c r="E8" i="415"/>
  <c r="N7" i="415"/>
  <c r="M7" i="415"/>
  <c r="L7" i="415"/>
  <c r="E7" i="415"/>
  <c r="L6" i="415"/>
  <c r="E6" i="415"/>
  <c r="L5" i="415"/>
  <c r="E5" i="415"/>
  <c r="Q37" i="415" l="1"/>
  <c r="R40" i="415" s="1"/>
  <c r="B7" i="415"/>
  <c r="F10" i="415"/>
  <c r="F13" i="415"/>
  <c r="B16" i="415"/>
  <c r="F16" i="415"/>
  <c r="Q22" i="415"/>
  <c r="F24" i="415"/>
  <c r="F7" i="415"/>
  <c r="B37" i="415"/>
  <c r="C40" i="415" s="1"/>
  <c r="P28" i="415"/>
  <c r="G21" i="415"/>
  <c r="P22" i="415"/>
  <c r="G37" i="415"/>
  <c r="Q28" i="415"/>
  <c r="G30" i="415"/>
  <c r="P31" i="415"/>
  <c r="Q7" i="415"/>
  <c r="B22" i="415"/>
  <c r="F22" i="415"/>
  <c r="F27" i="415"/>
  <c r="O22" i="415"/>
  <c r="G24" i="415"/>
  <c r="G35" i="415"/>
  <c r="B25" i="415"/>
  <c r="F33" i="415"/>
  <c r="F37" i="415"/>
  <c r="Q31" i="415"/>
  <c r="G33" i="415"/>
  <c r="B34" i="415"/>
  <c r="A37" i="415"/>
  <c r="F36" i="415"/>
  <c r="O34" i="415"/>
  <c r="Q34" i="415"/>
  <c r="F34" i="415"/>
  <c r="F35" i="415"/>
  <c r="F23" i="415"/>
  <c r="Q19" i="415"/>
  <c r="F21" i="415"/>
  <c r="O25" i="415"/>
  <c r="G29" i="415"/>
  <c r="G31" i="415"/>
  <c r="G32" i="415"/>
  <c r="G36" i="415"/>
  <c r="G34" i="415"/>
  <c r="Q25" i="415"/>
  <c r="P25" i="415"/>
  <c r="A25" i="415"/>
  <c r="F25" i="415"/>
  <c r="A28" i="415"/>
  <c r="F28" i="415"/>
  <c r="P34" i="415"/>
  <c r="F8" i="415"/>
  <c r="F11" i="415"/>
  <c r="Q16" i="415"/>
  <c r="G22" i="415"/>
  <c r="F6" i="415"/>
  <c r="O16" i="415"/>
  <c r="G18" i="415"/>
  <c r="P19" i="415"/>
  <c r="O13" i="415"/>
  <c r="Q13" i="415"/>
  <c r="G17" i="415"/>
  <c r="G20" i="415"/>
  <c r="G23" i="415"/>
  <c r="A10" i="415"/>
  <c r="Q10" i="415"/>
  <c r="G19" i="415"/>
  <c r="F9" i="415"/>
  <c r="O10" i="415"/>
  <c r="F12" i="415"/>
  <c r="B10" i="415"/>
  <c r="A13" i="415"/>
  <c r="G25" i="415"/>
  <c r="F26" i="415"/>
  <c r="B28" i="415"/>
  <c r="D40" i="415" s="1"/>
  <c r="O28" i="415"/>
  <c r="A7" i="415"/>
  <c r="B13" i="415"/>
  <c r="A16" i="415"/>
  <c r="F17" i="415"/>
  <c r="F18" i="415"/>
  <c r="B19" i="415"/>
  <c r="F19" i="415"/>
  <c r="O19" i="415"/>
  <c r="A22" i="415"/>
  <c r="G26" i="415"/>
  <c r="G27" i="415"/>
  <c r="G28" i="415"/>
  <c r="F29" i="415"/>
  <c r="F30" i="415"/>
  <c r="B31" i="415"/>
  <c r="D43" i="415" s="1"/>
  <c r="F31" i="415"/>
  <c r="O31" i="415"/>
  <c r="A34" i="415"/>
  <c r="F15" i="415"/>
  <c r="F14" i="415"/>
  <c r="A19" i="415"/>
  <c r="A31" i="415"/>
  <c r="F20" i="415"/>
  <c r="F32" i="415"/>
  <c r="K37" i="391"/>
  <c r="L40" i="391" s="1"/>
  <c r="K37" i="392"/>
  <c r="L40" i="392" s="1"/>
  <c r="K37" i="35"/>
  <c r="M49" i="35" s="1"/>
  <c r="K37" i="202"/>
  <c r="L40" i="202" l="1"/>
  <c r="M49" i="202"/>
  <c r="L40" i="35"/>
  <c r="C10" i="415"/>
  <c r="R37" i="415"/>
  <c r="R10" i="415"/>
  <c r="D37" i="415"/>
  <c r="C34" i="415"/>
  <c r="R34" i="415"/>
  <c r="D34" i="415"/>
  <c r="C25" i="415"/>
  <c r="C37" i="415"/>
  <c r="R28" i="415"/>
  <c r="R31" i="415"/>
  <c r="R16" i="415"/>
  <c r="D25" i="415"/>
  <c r="C13" i="415"/>
  <c r="R19" i="415"/>
  <c r="R25" i="415"/>
  <c r="R22" i="415"/>
  <c r="R13" i="415"/>
  <c r="C19" i="415"/>
  <c r="D19" i="415"/>
  <c r="D28" i="415"/>
  <c r="C28" i="415"/>
  <c r="C16" i="415"/>
  <c r="C22" i="415"/>
  <c r="C31" i="415"/>
  <c r="D31" i="415"/>
  <c r="D22" i="415"/>
  <c r="S37" i="247"/>
  <c r="R37" i="247"/>
  <c r="Q37" i="247"/>
  <c r="F37" i="247" s="1"/>
  <c r="F37" i="321"/>
  <c r="F37" i="152"/>
  <c r="S37" i="414"/>
  <c r="R37" i="414"/>
  <c r="Q37" i="414"/>
  <c r="F37" i="414" s="1"/>
  <c r="S37" i="142"/>
  <c r="R37" i="142"/>
  <c r="Q37" i="142"/>
  <c r="F37" i="142" s="1"/>
  <c r="G38" i="321" l="1"/>
  <c r="H49" i="321"/>
  <c r="G38" i="247"/>
  <c r="H49" i="247"/>
  <c r="G38" i="414"/>
  <c r="H49" i="414"/>
  <c r="G38" i="142"/>
  <c r="H49" i="142"/>
  <c r="G38" i="152"/>
  <c r="H49" i="152"/>
  <c r="T37" i="142"/>
  <c r="I37" i="142" s="1"/>
  <c r="T37" i="371"/>
  <c r="I37" i="371" s="1"/>
  <c r="J49" i="142" l="1"/>
  <c r="J49" i="371"/>
  <c r="T37" i="88"/>
  <c r="I37" i="88" s="1"/>
  <c r="T37" i="148"/>
  <c r="I37" i="148" s="1"/>
  <c r="J49" i="148" s="1"/>
  <c r="T37" i="89"/>
  <c r="I37" i="89" s="1"/>
  <c r="T37" i="113"/>
  <c r="I37" i="113" s="1"/>
  <c r="J49" i="113" s="1"/>
  <c r="T37" i="361"/>
  <c r="I37" i="361" s="1"/>
  <c r="T37" i="351"/>
  <c r="I37" i="351" s="1"/>
  <c r="T37" i="352"/>
  <c r="I37" i="352" s="1"/>
  <c r="T37" i="322"/>
  <c r="I37" i="322" s="1"/>
  <c r="T37" i="353"/>
  <c r="I37" i="353" s="1"/>
  <c r="J49" i="353" s="1"/>
  <c r="T37" i="362"/>
  <c r="I37" i="362" s="1"/>
  <c r="T37" i="354"/>
  <c r="I37" i="354" s="1"/>
  <c r="J49" i="354" s="1"/>
  <c r="T37" i="409"/>
  <c r="I37" i="409" s="1"/>
  <c r="T37" i="9"/>
  <c r="I37" i="9" s="1"/>
  <c r="T37" i="43"/>
  <c r="I37" i="43" s="1"/>
  <c r="J49" i="43" s="1"/>
  <c r="T37" i="18"/>
  <c r="I37" i="18" s="1"/>
  <c r="T37" i="20"/>
  <c r="I37" i="20" s="1"/>
  <c r="J49" i="20" s="1"/>
  <c r="T37" i="2"/>
  <c r="I37" i="2" s="1"/>
  <c r="T37" i="8"/>
  <c r="I37" i="8" s="1"/>
  <c r="J49" i="8" s="1"/>
  <c r="T37" i="203"/>
  <c r="I37" i="203" s="1"/>
  <c r="T37" i="164"/>
  <c r="I37" i="164" s="1"/>
  <c r="T37" i="162"/>
  <c r="I37" i="162" s="1"/>
  <c r="T37" i="413"/>
  <c r="I37" i="413" s="1"/>
  <c r="J49" i="413" s="1"/>
  <c r="T37" i="5"/>
  <c r="I37" i="5" s="1"/>
  <c r="J49" i="5" s="1"/>
  <c r="T37" i="207"/>
  <c r="I37" i="207" s="1"/>
  <c r="T37" i="12"/>
  <c r="I37" i="12" s="1"/>
  <c r="J49" i="12" s="1"/>
  <c r="T37" i="356"/>
  <c r="I37" i="356" s="1"/>
  <c r="T37" i="391"/>
  <c r="I37" i="391" s="1"/>
  <c r="T37" i="392"/>
  <c r="I37" i="392" s="1"/>
  <c r="J49" i="392" s="1"/>
  <c r="T37" i="202"/>
  <c r="I37" i="202" s="1"/>
  <c r="T37" i="333"/>
  <c r="I37" i="333" s="1"/>
  <c r="I37" i="296"/>
  <c r="J49" i="296" s="1"/>
  <c r="T37" i="75"/>
  <c r="I37" i="75" s="1"/>
  <c r="T37" i="53"/>
  <c r="I37" i="53" s="1"/>
  <c r="J49" i="53" s="1"/>
  <c r="T37" i="52"/>
  <c r="I37" i="52" s="1"/>
  <c r="J49" i="52" s="1"/>
  <c r="T37" i="364"/>
  <c r="I37" i="364" s="1"/>
  <c r="T37" i="368"/>
  <c r="I37" i="368" s="1"/>
  <c r="J49" i="368" s="1"/>
  <c r="S37" i="253"/>
  <c r="R37" i="253"/>
  <c r="Q37" i="253"/>
  <c r="F37" i="253" s="1"/>
  <c r="T37" i="28"/>
  <c r="I37" i="28" s="1"/>
  <c r="J49" i="28" s="1"/>
  <c r="T37" i="29"/>
  <c r="I37" i="29" s="1"/>
  <c r="T37" i="359"/>
  <c r="I37" i="359" s="1"/>
  <c r="J49" i="359" s="1"/>
  <c r="T37" i="360"/>
  <c r="I37" i="360" s="1"/>
  <c r="T37" i="389"/>
  <c r="I37" i="389" s="1"/>
  <c r="T37" i="387"/>
  <c r="I37" i="387" s="1"/>
  <c r="T37" i="303"/>
  <c r="I37" i="303" s="1"/>
  <c r="J49" i="303" s="1"/>
  <c r="T37" i="314"/>
  <c r="I37" i="314" s="1"/>
  <c r="L37" i="396"/>
  <c r="S37" i="395"/>
  <c r="R37" i="395"/>
  <c r="Q37" i="395"/>
  <c r="F37" i="395" s="1"/>
  <c r="T37" i="394"/>
  <c r="I37" i="394" s="1"/>
  <c r="T37" i="393"/>
  <c r="I37" i="393" s="1"/>
  <c r="J49" i="393" s="1"/>
  <c r="F37" i="404"/>
  <c r="T37" i="403"/>
  <c r="I37" i="403" s="1"/>
  <c r="T37" i="402"/>
  <c r="I37" i="402" s="1"/>
  <c r="S37" i="408"/>
  <c r="I37" i="408" s="1"/>
  <c r="T37" i="400"/>
  <c r="I37" i="400" s="1"/>
  <c r="T37" i="114"/>
  <c r="I37" i="114" s="1"/>
  <c r="T37" i="323"/>
  <c r="I37" i="323" s="1"/>
  <c r="J49" i="323" s="1"/>
  <c r="T37" i="385"/>
  <c r="I37" i="385" s="1"/>
  <c r="T37" i="349"/>
  <c r="I37" i="349" s="1"/>
  <c r="T37" i="4"/>
  <c r="I37" i="4" s="1"/>
  <c r="S37" i="300"/>
  <c r="R37" i="300"/>
  <c r="Q37" i="300"/>
  <c r="F37" i="300" s="1"/>
  <c r="T37" i="299"/>
  <c r="I37" i="299" s="1"/>
  <c r="T37" i="190"/>
  <c r="I37" i="190" s="1"/>
  <c r="T37" i="16"/>
  <c r="I37" i="16" s="1"/>
  <c r="T37" i="15"/>
  <c r="I37" i="15" s="1"/>
  <c r="T37" i="355"/>
  <c r="I37" i="355" s="1"/>
  <c r="T37" i="17"/>
  <c r="I37" i="17" s="1"/>
  <c r="J49" i="17" s="1"/>
  <c r="T37" i="3"/>
  <c r="I37" i="3" s="1"/>
  <c r="T37" i="54"/>
  <c r="I37" i="54" s="1"/>
  <c r="T37" i="384"/>
  <c r="I37" i="384" s="1"/>
  <c r="T37" i="201"/>
  <c r="I37" i="201" s="1"/>
  <c r="T37" i="249"/>
  <c r="I37" i="249" s="1"/>
  <c r="T37" i="7"/>
  <c r="I37" i="7" s="1"/>
  <c r="J49" i="7" s="1"/>
  <c r="T37" i="48"/>
  <c r="I37" i="48" s="1"/>
  <c r="T37" i="152"/>
  <c r="I37" i="152" s="1"/>
  <c r="J49" i="152" s="1"/>
  <c r="T37" i="13"/>
  <c r="I37" i="13" s="1"/>
  <c r="T37" i="261"/>
  <c r="I37" i="261" s="1"/>
  <c r="J49" i="261" s="1"/>
  <c r="T37" i="153"/>
  <c r="I37" i="153" s="1"/>
  <c r="T37" i="257"/>
  <c r="I37" i="257" s="1"/>
  <c r="J49" i="257" s="1"/>
  <c r="T37" i="19"/>
  <c r="I37" i="19" s="1"/>
  <c r="T37" i="347"/>
  <c r="I37" i="347" s="1"/>
  <c r="T37" i="23"/>
  <c r="I37" i="23" s="1"/>
  <c r="T37" i="37"/>
  <c r="I37" i="37" s="1"/>
  <c r="T37" i="367"/>
  <c r="I37" i="367" s="1"/>
  <c r="L37" i="369"/>
  <c r="T37" i="204"/>
  <c r="I37" i="204" s="1"/>
  <c r="T37" i="363"/>
  <c r="I37" i="363" s="1"/>
  <c r="T37" i="31"/>
  <c r="I37" i="31" s="1"/>
  <c r="S37" i="170"/>
  <c r="R37" i="170"/>
  <c r="Q37" i="170"/>
  <c r="F37" i="170" s="1"/>
  <c r="T37" i="168"/>
  <c r="I37" i="168" s="1"/>
  <c r="T37" i="169"/>
  <c r="I37" i="169" s="1"/>
  <c r="T37" i="336"/>
  <c r="I37" i="336" s="1"/>
  <c r="T37" i="342"/>
  <c r="I37" i="342" s="1"/>
  <c r="T37" i="334"/>
  <c r="I37" i="334" s="1"/>
  <c r="T37" i="33"/>
  <c r="I37" i="33" s="1"/>
  <c r="T37" i="319"/>
  <c r="I37" i="319" s="1"/>
  <c r="T37" i="320"/>
  <c r="I37" i="320" s="1"/>
  <c r="L37" i="343"/>
  <c r="T37" i="318"/>
  <c r="I37" i="318" s="1"/>
  <c r="T37" i="288"/>
  <c r="I37" i="288" s="1"/>
  <c r="T37" i="337"/>
  <c r="I37" i="337" s="1"/>
  <c r="T37" i="227"/>
  <c r="I37" i="227" s="1"/>
  <c r="T37" i="298"/>
  <c r="I37" i="298" s="1"/>
  <c r="J49" i="298" s="1"/>
  <c r="S37" i="388"/>
  <c r="R37" i="388"/>
  <c r="Q37" i="388"/>
  <c r="F37" i="388" s="1"/>
  <c r="T37" i="290"/>
  <c r="I37" i="290" s="1"/>
  <c r="T37" i="289"/>
  <c r="I37" i="289" s="1"/>
  <c r="S37" i="357"/>
  <c r="I37" i="357" s="1"/>
  <c r="T37" i="293"/>
  <c r="I37" i="293" s="1"/>
  <c r="T37" i="348"/>
  <c r="I37" i="348" s="1"/>
  <c r="S37" i="195"/>
  <c r="R37" i="195"/>
  <c r="Q37" i="195"/>
  <c r="F37" i="195" s="1"/>
  <c r="T37" i="194"/>
  <c r="I37" i="194" s="1"/>
  <c r="T37" i="193"/>
  <c r="I37" i="193" s="1"/>
  <c r="J49" i="193" s="1"/>
  <c r="T37" i="297"/>
  <c r="I37" i="297" s="1"/>
  <c r="T37" i="350"/>
  <c r="I37" i="350" s="1"/>
  <c r="T37" i="233"/>
  <c r="I37" i="233" s="1"/>
  <c r="T37" i="191"/>
  <c r="I37" i="191" s="1"/>
  <c r="T37" i="105"/>
  <c r="I37" i="105" s="1"/>
  <c r="T37" i="294"/>
  <c r="I37" i="294" s="1"/>
  <c r="S37" i="365"/>
  <c r="I37" i="365" s="1"/>
  <c r="S37" i="366"/>
  <c r="I37" i="366" s="1"/>
  <c r="T37" i="206"/>
  <c r="I37" i="206" s="1"/>
  <c r="T37" i="22"/>
  <c r="I37" i="22" s="1"/>
  <c r="J49" i="22" s="1"/>
  <c r="T37" i="301"/>
  <c r="I37" i="301" s="1"/>
  <c r="T37" i="344"/>
  <c r="I37" i="344" s="1"/>
  <c r="J49" i="344" s="1"/>
  <c r="T37" i="61"/>
  <c r="I37" i="61" s="1"/>
  <c r="J49" i="61" s="1"/>
  <c r="T37" i="338"/>
  <c r="I37" i="338" s="1"/>
  <c r="T37" i="340"/>
  <c r="I37" i="340" s="1"/>
  <c r="T37" i="34"/>
  <c r="I37" i="34" s="1"/>
  <c r="J49" i="34" s="1"/>
  <c r="T37" i="174"/>
  <c r="I37" i="174" s="1"/>
  <c r="J49" i="174" s="1"/>
  <c r="I37" i="187"/>
  <c r="T37" i="135"/>
  <c r="I37" i="135" s="1"/>
  <c r="T37" i="295"/>
  <c r="I37" i="295" s="1"/>
  <c r="J49" i="295" s="1"/>
  <c r="T37" i="283"/>
  <c r="I37" i="283" s="1"/>
  <c r="T37" i="284"/>
  <c r="I37" i="284" s="1"/>
  <c r="T37" i="292"/>
  <c r="I37" i="292" s="1"/>
  <c r="T37" i="325"/>
  <c r="I37" i="325" s="1"/>
  <c r="T37" i="269"/>
  <c r="I37" i="269" s="1"/>
  <c r="J49" i="269" s="1"/>
  <c r="T37" i="11"/>
  <c r="I37" i="11" s="1"/>
  <c r="S37" i="279"/>
  <c r="I37" i="279" s="1"/>
  <c r="S37" i="335"/>
  <c r="I37" i="335" s="1"/>
  <c r="T37" i="101"/>
  <c r="I37" i="101" s="1"/>
  <c r="J49" i="101" s="1"/>
  <c r="T37" i="382"/>
  <c r="I37" i="382" s="1"/>
  <c r="T37" i="102"/>
  <c r="I37" i="102" s="1"/>
  <c r="J49" i="102" s="1"/>
  <c r="T37" i="103"/>
  <c r="I37" i="103" s="1"/>
  <c r="T37" i="411"/>
  <c r="I37" i="411" s="1"/>
  <c r="J49" i="411" s="1"/>
  <c r="T37" i="265"/>
  <c r="I37" i="265" s="1"/>
  <c r="T37" i="262"/>
  <c r="I37" i="262" s="1"/>
  <c r="J49" i="262" s="1"/>
  <c r="T37" i="112"/>
  <c r="I37" i="112" s="1"/>
  <c r="T37" i="109"/>
  <c r="I37" i="109" s="1"/>
  <c r="T37" i="85"/>
  <c r="I37" i="85" s="1"/>
  <c r="T37" i="324"/>
  <c r="I37" i="324" s="1"/>
  <c r="T37" i="32"/>
  <c r="I37" i="32" s="1"/>
  <c r="T37" i="196"/>
  <c r="I37" i="196" s="1"/>
  <c r="T37" i="198"/>
  <c r="I37" i="198" s="1"/>
  <c r="J49" i="198" s="1"/>
  <c r="T37" i="345"/>
  <c r="I37" i="345" s="1"/>
  <c r="T37" i="346"/>
  <c r="I37" i="346" s="1"/>
  <c r="T37" i="74"/>
  <c r="I37" i="74" s="1"/>
  <c r="T37" i="200"/>
  <c r="I37" i="200" s="1"/>
  <c r="T37" i="280"/>
  <c r="I37" i="280" s="1"/>
  <c r="T37" i="97"/>
  <c r="I37" i="97" s="1"/>
  <c r="T37" i="383"/>
  <c r="I37" i="383" s="1"/>
  <c r="J49" i="383" s="1"/>
  <c r="T37" i="45"/>
  <c r="I37" i="45" s="1"/>
  <c r="T37" i="104"/>
  <c r="I37" i="104" s="1"/>
  <c r="T37" i="254"/>
  <c r="I37" i="254" s="1"/>
  <c r="F37" i="185"/>
  <c r="T37" i="181"/>
  <c r="I37" i="181" s="1"/>
  <c r="T37" i="183"/>
  <c r="I37" i="183" s="1"/>
  <c r="T37" i="184"/>
  <c r="I37" i="184" s="1"/>
  <c r="S37" i="144"/>
  <c r="R37" i="144"/>
  <c r="Q37" i="144"/>
  <c r="F37" i="144" s="1"/>
  <c r="T37" i="27"/>
  <c r="I37" i="27" s="1"/>
  <c r="T37" i="143"/>
  <c r="I37" i="143" s="1"/>
  <c r="T37" i="268"/>
  <c r="I37" i="268" s="1"/>
  <c r="T37" i="263"/>
  <c r="I37" i="263" s="1"/>
  <c r="T37" i="209"/>
  <c r="I37" i="209" s="1"/>
  <c r="T37" i="192"/>
  <c r="I37" i="192" s="1"/>
  <c r="T37" i="140"/>
  <c r="I37" i="140" s="1"/>
  <c r="T37" i="270"/>
  <c r="I37" i="270" s="1"/>
  <c r="T37" i="271"/>
  <c r="I37" i="271" s="1"/>
  <c r="S37" i="186"/>
  <c r="R37" i="186"/>
  <c r="Q37" i="186"/>
  <c r="F37" i="186" s="1"/>
  <c r="T37" i="159"/>
  <c r="I37" i="159" s="1"/>
  <c r="T37" i="160"/>
  <c r="I37" i="160" s="1"/>
  <c r="T37" i="107"/>
  <c r="I37" i="107" s="1"/>
  <c r="J49" i="107" s="1"/>
  <c r="T37" i="176"/>
  <c r="I37" i="176" s="1"/>
  <c r="T37" i="281"/>
  <c r="I37" i="281" s="1"/>
  <c r="T37" i="332"/>
  <c r="I37" i="332" s="1"/>
  <c r="T37" i="25"/>
  <c r="I37" i="25" s="1"/>
  <c r="T37" i="24"/>
  <c r="I37" i="24" s="1"/>
  <c r="J49" i="24" s="1"/>
  <c r="T37" i="116"/>
  <c r="I37" i="116" s="1"/>
  <c r="T37" i="285"/>
  <c r="I37" i="285" s="1"/>
  <c r="J49" i="285" s="1"/>
  <c r="T37" i="272"/>
  <c r="I37" i="272" s="1"/>
  <c r="S37" i="44"/>
  <c r="I37" i="44" s="1"/>
  <c r="T37" i="287"/>
  <c r="I37" i="287" s="1"/>
  <c r="T37" i="276"/>
  <c r="I37" i="276" s="1"/>
  <c r="J49" i="276" s="1"/>
  <c r="S37" i="231"/>
  <c r="U37" i="231" s="1"/>
  <c r="Q37" i="231"/>
  <c r="F37" i="231" s="1"/>
  <c r="T37" i="229"/>
  <c r="I37" i="229" s="1"/>
  <c r="T37" i="230"/>
  <c r="I37" i="230" s="1"/>
  <c r="F37" i="327"/>
  <c r="T37" i="328"/>
  <c r="I37" i="328" s="1"/>
  <c r="T37" i="329"/>
  <c r="I37" i="329" s="1"/>
  <c r="T37" i="326"/>
  <c r="I37" i="326" s="1"/>
  <c r="T37" i="47"/>
  <c r="I37" i="47" s="1"/>
  <c r="T37" i="248"/>
  <c r="I37" i="248" s="1"/>
  <c r="T37" i="46"/>
  <c r="I37" i="46" s="1"/>
  <c r="T37" i="239"/>
  <c r="I37" i="239" s="1"/>
  <c r="T37" i="243"/>
  <c r="I37" i="243" s="1"/>
  <c r="T37" i="244"/>
  <c r="I37" i="244" s="1"/>
  <c r="T37" i="246"/>
  <c r="I37" i="246" s="1"/>
  <c r="J49" i="246" s="1"/>
  <c r="S37" i="398"/>
  <c r="R37" i="398"/>
  <c r="Q37" i="398"/>
  <c r="F37" i="398" s="1"/>
  <c r="T37" i="1"/>
  <c r="I37" i="1" s="1"/>
  <c r="J49" i="1" s="1"/>
  <c r="T37" i="397"/>
  <c r="I37" i="397" s="1"/>
  <c r="L37" i="407"/>
  <c r="L37" i="406"/>
  <c r="L37" i="405"/>
  <c r="L37" i="401"/>
  <c r="F37" i="149"/>
  <c r="J49" i="301" l="1"/>
  <c r="J49" i="363"/>
  <c r="J49" i="402"/>
  <c r="J49" i="164"/>
  <c r="J49" i="209"/>
  <c r="J49" i="48"/>
  <c r="J49" i="360"/>
  <c r="J49" i="104"/>
  <c r="J49" i="337"/>
  <c r="J49" i="333"/>
  <c r="J49" i="409"/>
  <c r="J49" i="351"/>
  <c r="J49" i="105"/>
  <c r="J49" i="320"/>
  <c r="J49" i="347"/>
  <c r="J49" i="349"/>
  <c r="J49" i="356"/>
  <c r="J49" i="229"/>
  <c r="J49" i="200"/>
  <c r="J49" i="289"/>
  <c r="J49" i="204"/>
  <c r="J49" i="299"/>
  <c r="J49" i="203"/>
  <c r="J49" i="88"/>
  <c r="J49" i="326"/>
  <c r="J49" i="340"/>
  <c r="J49" i="290"/>
  <c r="J49" i="268"/>
  <c r="J49" i="103"/>
  <c r="J49" i="338"/>
  <c r="J49" i="350"/>
  <c r="J49" i="288"/>
  <c r="J49" i="334"/>
  <c r="J49" i="367"/>
  <c r="J49" i="153"/>
  <c r="J49" i="249"/>
  <c r="J49" i="355"/>
  <c r="J49" i="114"/>
  <c r="J49" i="314"/>
  <c r="J49" i="29"/>
  <c r="J49" i="364"/>
  <c r="J49" i="202"/>
  <c r="J49" i="2"/>
  <c r="J49" i="361"/>
  <c r="J49" i="230"/>
  <c r="J49" i="332"/>
  <c r="J49" i="280"/>
  <c r="J49" i="190"/>
  <c r="J49" i="75"/>
  <c r="J49" i="322"/>
  <c r="J49" i="47"/>
  <c r="J49" i="281"/>
  <c r="J49" i="32"/>
  <c r="J49" i="227"/>
  <c r="J49" i="168"/>
  <c r="J49" i="3"/>
  <c r="J49" i="403"/>
  <c r="J49" i="352"/>
  <c r="J49" i="244"/>
  <c r="J49" i="176"/>
  <c r="J49" i="324"/>
  <c r="J49" i="283"/>
  <c r="J49" i="233"/>
  <c r="J49" i="207"/>
  <c r="J49" i="243"/>
  <c r="J49" i="329"/>
  <c r="J49" i="184"/>
  <c r="J49" i="346"/>
  <c r="J49" i="11"/>
  <c r="J49" i="270"/>
  <c r="J49" i="109"/>
  <c r="J49" i="135"/>
  <c r="J49" i="297"/>
  <c r="J49" i="348"/>
  <c r="J49" i="318"/>
  <c r="J49" i="342"/>
  <c r="J49" i="37"/>
  <c r="J49" i="201"/>
  <c r="J49" i="15"/>
  <c r="J49" i="400"/>
  <c r="J49" i="394"/>
  <c r="J49" i="362"/>
  <c r="J49" i="248"/>
  <c r="J49" i="192"/>
  <c r="J49" i="196"/>
  <c r="J49" i="292"/>
  <c r="J49" i="194"/>
  <c r="J49" i="169"/>
  <c r="J49" i="54"/>
  <c r="J49" i="389"/>
  <c r="J49" i="272"/>
  <c r="J49" i="254"/>
  <c r="J49" i="265"/>
  <c r="J49" i="284"/>
  <c r="J49" i="191"/>
  <c r="J49" i="319"/>
  <c r="J49" i="19"/>
  <c r="J49" i="385"/>
  <c r="J49" i="9"/>
  <c r="J49" i="397"/>
  <c r="J49" i="263"/>
  <c r="J49" i="74"/>
  <c r="J49" i="206"/>
  <c r="J49" i="33"/>
  <c r="J49" i="116"/>
  <c r="J49" i="271"/>
  <c r="J49" i="45"/>
  <c r="J49" i="85"/>
  <c r="J49" i="239"/>
  <c r="J49" i="328"/>
  <c r="J49" i="160"/>
  <c r="J49" i="143"/>
  <c r="J49" i="183"/>
  <c r="J49" i="345"/>
  <c r="J49" i="46"/>
  <c r="J49" i="287"/>
  <c r="J49" i="25"/>
  <c r="J49" i="159"/>
  <c r="J49" i="140"/>
  <c r="J49" i="27"/>
  <c r="J49" i="181"/>
  <c r="J49" i="97"/>
  <c r="J49" i="112"/>
  <c r="J49" i="382"/>
  <c r="J49" i="325"/>
  <c r="J49" i="187"/>
  <c r="J49" i="294"/>
  <c r="J49" i="293"/>
  <c r="J49" i="336"/>
  <c r="J49" i="31"/>
  <c r="J49" i="23"/>
  <c r="J49" i="13"/>
  <c r="J49" i="384"/>
  <c r="J49" i="16"/>
  <c r="J49" i="4"/>
  <c r="J49" i="387"/>
  <c r="J49" i="391"/>
  <c r="J49" i="162"/>
  <c r="J49" i="18"/>
  <c r="J49" i="89"/>
  <c r="G38" i="170"/>
  <c r="H49" i="170"/>
  <c r="G38" i="398"/>
  <c r="H49" i="398"/>
  <c r="G38" i="231"/>
  <c r="H49" i="231"/>
  <c r="G38" i="186"/>
  <c r="H49" i="186"/>
  <c r="G38" i="144"/>
  <c r="H49" i="144"/>
  <c r="G38" i="395"/>
  <c r="H49" i="395"/>
  <c r="G38" i="253"/>
  <c r="H49" i="253"/>
  <c r="G38" i="149"/>
  <c r="H49" i="149"/>
  <c r="G38" i="327"/>
  <c r="H49" i="327"/>
  <c r="L40" i="231"/>
  <c r="G38" i="300"/>
  <c r="H49" i="300"/>
  <c r="G38" i="404"/>
  <c r="H49" i="404"/>
  <c r="G38" i="185"/>
  <c r="H49" i="185"/>
  <c r="G38" i="195"/>
  <c r="H49" i="195"/>
  <c r="G38" i="388"/>
  <c r="H49" i="388"/>
  <c r="T37" i="144"/>
  <c r="I37" i="144" s="1"/>
  <c r="T37" i="300"/>
  <c r="I37" i="300" s="1"/>
  <c r="T37" i="395"/>
  <c r="I37" i="395" s="1"/>
  <c r="J49" i="395" s="1"/>
  <c r="T37" i="253"/>
  <c r="I37" i="253" s="1"/>
  <c r="T37" i="247"/>
  <c r="I37" i="247" s="1"/>
  <c r="T37" i="185"/>
  <c r="I37" i="185" s="1"/>
  <c r="T37" i="231"/>
  <c r="I37" i="231" s="1"/>
  <c r="T37" i="388"/>
  <c r="I37" i="388" s="1"/>
  <c r="T37" i="321"/>
  <c r="I37" i="321" s="1"/>
  <c r="J49" i="321" s="1"/>
  <c r="T37" i="149"/>
  <c r="I37" i="149" s="1"/>
  <c r="J49" i="149" s="1"/>
  <c r="T37" i="398"/>
  <c r="I37" i="398" s="1"/>
  <c r="T37" i="327"/>
  <c r="I37" i="327" s="1"/>
  <c r="T37" i="186"/>
  <c r="I37" i="186" s="1"/>
  <c r="T37" i="195"/>
  <c r="I37" i="195" s="1"/>
  <c r="J49" i="195" s="1"/>
  <c r="T37" i="170"/>
  <c r="I37" i="170" s="1"/>
  <c r="T37" i="404"/>
  <c r="I37" i="404" s="1"/>
  <c r="T37" i="414"/>
  <c r="I37" i="414" s="1"/>
  <c r="S36" i="414"/>
  <c r="R36" i="414"/>
  <c r="Q36" i="414"/>
  <c r="S35" i="414"/>
  <c r="R35" i="414"/>
  <c r="Q35" i="414"/>
  <c r="S34" i="414"/>
  <c r="R34" i="414"/>
  <c r="Q34" i="414"/>
  <c r="F34" i="414" s="1"/>
  <c r="H46" i="414" s="1"/>
  <c r="S33" i="414"/>
  <c r="R33" i="414"/>
  <c r="Q33" i="414"/>
  <c r="S32" i="414"/>
  <c r="R32" i="414"/>
  <c r="Q32" i="414"/>
  <c r="S31" i="414"/>
  <c r="R31" i="414"/>
  <c r="Q31" i="414"/>
  <c r="F31" i="414" s="1"/>
  <c r="H43" i="414" s="1"/>
  <c r="S30" i="414"/>
  <c r="R30" i="414"/>
  <c r="Q30" i="414"/>
  <c r="F30" i="414" s="1"/>
  <c r="H42" i="414" s="1"/>
  <c r="S29" i="414"/>
  <c r="R29" i="414"/>
  <c r="Q29" i="414"/>
  <c r="F29" i="414" s="1"/>
  <c r="H41" i="414" s="1"/>
  <c r="S28" i="414"/>
  <c r="R28" i="414"/>
  <c r="Q28" i="414"/>
  <c r="S27" i="414"/>
  <c r="R27" i="414"/>
  <c r="Q27" i="414"/>
  <c r="S26" i="414"/>
  <c r="R26" i="414"/>
  <c r="Q26" i="414"/>
  <c r="F26" i="414" s="1"/>
  <c r="S25" i="414"/>
  <c r="R25" i="414"/>
  <c r="Q25" i="414"/>
  <c r="S24" i="414"/>
  <c r="R24" i="414"/>
  <c r="Q24" i="414"/>
  <c r="S23" i="414"/>
  <c r="R23" i="414"/>
  <c r="Q23" i="414"/>
  <c r="F23" i="414" s="1"/>
  <c r="S22" i="414"/>
  <c r="R22" i="414"/>
  <c r="Q22" i="414"/>
  <c r="F22" i="414" s="1"/>
  <c r="S21" i="414"/>
  <c r="R21" i="414"/>
  <c r="Q21" i="414"/>
  <c r="S20" i="414"/>
  <c r="T20" i="414" s="1"/>
  <c r="I20" i="414" s="1"/>
  <c r="R20" i="414"/>
  <c r="Q20" i="414"/>
  <c r="S19" i="414"/>
  <c r="R19" i="414"/>
  <c r="Q19" i="414"/>
  <c r="F19" i="414" s="1"/>
  <c r="S18" i="414"/>
  <c r="R18" i="414"/>
  <c r="Q18" i="414"/>
  <c r="F18" i="414" s="1"/>
  <c r="S17" i="414"/>
  <c r="R17" i="414"/>
  <c r="Q17" i="414"/>
  <c r="S16" i="414"/>
  <c r="R16" i="414"/>
  <c r="Q16" i="414"/>
  <c r="S15" i="414"/>
  <c r="R15" i="414"/>
  <c r="Q15" i="414"/>
  <c r="F15" i="414" s="1"/>
  <c r="S14" i="414"/>
  <c r="R14" i="414"/>
  <c r="Q14" i="414"/>
  <c r="F14" i="414" s="1"/>
  <c r="S13" i="414"/>
  <c r="R13" i="414"/>
  <c r="Q13" i="414"/>
  <c r="S12" i="414"/>
  <c r="R12" i="414"/>
  <c r="Q12" i="414"/>
  <c r="F12" i="414" s="1"/>
  <c r="S11" i="414"/>
  <c r="R11" i="414"/>
  <c r="Q11" i="414"/>
  <c r="F11" i="414" s="1"/>
  <c r="F20" i="414"/>
  <c r="K10" i="414"/>
  <c r="U10" i="414"/>
  <c r="T10" i="414"/>
  <c r="I10" i="414" s="1"/>
  <c r="F10" i="414"/>
  <c r="T9" i="414"/>
  <c r="I9" i="414" s="1"/>
  <c r="F9" i="414"/>
  <c r="T8" i="414"/>
  <c r="I8" i="414" s="1"/>
  <c r="F8" i="414"/>
  <c r="K7" i="414"/>
  <c r="U7" i="414"/>
  <c r="T7" i="414"/>
  <c r="I7" i="414" s="1"/>
  <c r="F7" i="414"/>
  <c r="T6" i="414"/>
  <c r="I6" i="414" s="1"/>
  <c r="F6" i="414"/>
  <c r="T5" i="414"/>
  <c r="I5" i="414" s="1"/>
  <c r="F5" i="414"/>
  <c r="J20" i="414" l="1"/>
  <c r="J49" i="231"/>
  <c r="J49" i="327"/>
  <c r="J49" i="170"/>
  <c r="J49" i="388"/>
  <c r="J49" i="300"/>
  <c r="J49" i="186"/>
  <c r="J49" i="185"/>
  <c r="J49" i="414"/>
  <c r="J49" i="398"/>
  <c r="J49" i="247"/>
  <c r="J49" i="404"/>
  <c r="J49" i="253"/>
  <c r="J49" i="144"/>
  <c r="H38" i="414"/>
  <c r="L10" i="414"/>
  <c r="U37" i="414"/>
  <c r="K37" i="414"/>
  <c r="M49" i="414" s="1"/>
  <c r="F35" i="414"/>
  <c r="T11" i="414"/>
  <c r="I11" i="414" s="1"/>
  <c r="T13" i="414"/>
  <c r="I13" i="414" s="1"/>
  <c r="T15" i="414"/>
  <c r="I15" i="414" s="1"/>
  <c r="T17" i="414"/>
  <c r="I17" i="414" s="1"/>
  <c r="J17" i="414" s="1"/>
  <c r="T19" i="414"/>
  <c r="I19" i="414" s="1"/>
  <c r="J19" i="414" s="1"/>
  <c r="T21" i="414"/>
  <c r="I21" i="414" s="1"/>
  <c r="J21" i="414" s="1"/>
  <c r="K22" i="414"/>
  <c r="T23" i="414"/>
  <c r="I23" i="414" s="1"/>
  <c r="T25" i="414"/>
  <c r="I25" i="414" s="1"/>
  <c r="J37" i="414" s="1"/>
  <c r="T27" i="414"/>
  <c r="I27" i="414" s="1"/>
  <c r="T31" i="414"/>
  <c r="I31" i="414" s="1"/>
  <c r="T35" i="414"/>
  <c r="I35" i="414" s="1"/>
  <c r="K19" i="414"/>
  <c r="K28" i="414"/>
  <c r="K31" i="414"/>
  <c r="M43" i="414" s="1"/>
  <c r="U34" i="414"/>
  <c r="K16" i="414"/>
  <c r="K13" i="414"/>
  <c r="T14" i="414"/>
  <c r="I14" i="414" s="1"/>
  <c r="T16" i="414"/>
  <c r="I16" i="414" s="1"/>
  <c r="T18" i="414"/>
  <c r="I18" i="414" s="1"/>
  <c r="T22" i="414"/>
  <c r="I22" i="414" s="1"/>
  <c r="T24" i="414"/>
  <c r="I24" i="414" s="1"/>
  <c r="K25" i="414"/>
  <c r="T26" i="414"/>
  <c r="I26" i="414" s="1"/>
  <c r="J38" i="414" s="1"/>
  <c r="T28" i="414"/>
  <c r="I28" i="414" s="1"/>
  <c r="J40" i="414" s="1"/>
  <c r="T30" i="414"/>
  <c r="I30" i="414" s="1"/>
  <c r="J42" i="414" s="1"/>
  <c r="T32" i="414"/>
  <c r="I32" i="414" s="1"/>
  <c r="J44" i="414" s="1"/>
  <c r="T34" i="414"/>
  <c r="I34" i="414" s="1"/>
  <c r="J46" i="414" s="1"/>
  <c r="T36" i="414"/>
  <c r="I36" i="414" s="1"/>
  <c r="J48" i="414" s="1"/>
  <c r="F36" i="414"/>
  <c r="H48" i="414" s="1"/>
  <c r="G10" i="414"/>
  <c r="U16" i="414"/>
  <c r="N10" i="414"/>
  <c r="T12" i="414"/>
  <c r="I12" i="414" s="1"/>
  <c r="F32" i="414"/>
  <c r="F24" i="414"/>
  <c r="F28" i="414"/>
  <c r="H34" i="414"/>
  <c r="K34" i="414"/>
  <c r="M46" i="414" s="1"/>
  <c r="F21" i="414"/>
  <c r="T29" i="414"/>
  <c r="I29" i="414" s="1"/>
  <c r="H19" i="414"/>
  <c r="U25" i="414"/>
  <c r="U28" i="414"/>
  <c r="M40" i="414" s="1"/>
  <c r="H20" i="414"/>
  <c r="G6" i="414"/>
  <c r="H18" i="414"/>
  <c r="N7" i="414"/>
  <c r="F16" i="414"/>
  <c r="U13" i="414"/>
  <c r="H22" i="414"/>
  <c r="C7" i="414"/>
  <c r="G7" i="414"/>
  <c r="G8" i="414"/>
  <c r="B10" i="414"/>
  <c r="U22" i="414"/>
  <c r="M22" i="414" s="1"/>
  <c r="F27" i="414"/>
  <c r="U19" i="414"/>
  <c r="G20" i="414"/>
  <c r="H30" i="414"/>
  <c r="U31" i="414"/>
  <c r="T33" i="414"/>
  <c r="I33" i="414" s="1"/>
  <c r="F13" i="414"/>
  <c r="F17" i="414"/>
  <c r="F25" i="414"/>
  <c r="F33" i="414"/>
  <c r="H45" i="414" s="1"/>
  <c r="G11" i="414"/>
  <c r="H23" i="414"/>
  <c r="G12" i="414"/>
  <c r="H26" i="414"/>
  <c r="B31" i="414"/>
  <c r="B7" i="414"/>
  <c r="G9" i="414"/>
  <c r="G19" i="414"/>
  <c r="G23" i="414"/>
  <c r="G30" i="414"/>
  <c r="C31" i="414"/>
  <c r="E43" i="414" s="1"/>
  <c r="G31" i="414"/>
  <c r="G15" i="414"/>
  <c r="C10" i="414"/>
  <c r="H31" i="414"/>
  <c r="U36" i="202"/>
  <c r="T36" i="413"/>
  <c r="I36" i="413" s="1"/>
  <c r="F36" i="413"/>
  <c r="T35" i="413"/>
  <c r="I35" i="413" s="1"/>
  <c r="J47" i="413" s="1"/>
  <c r="F35" i="413"/>
  <c r="H47" i="413" s="1"/>
  <c r="K34" i="413"/>
  <c r="M46" i="413" s="1"/>
  <c r="U34" i="413"/>
  <c r="T34" i="413"/>
  <c r="I34" i="413" s="1"/>
  <c r="F34" i="413"/>
  <c r="H46" i="413" s="1"/>
  <c r="T33" i="413"/>
  <c r="I33" i="413" s="1"/>
  <c r="J45" i="413" s="1"/>
  <c r="F33" i="413"/>
  <c r="H45" i="413" s="1"/>
  <c r="T32" i="413"/>
  <c r="I32" i="413" s="1"/>
  <c r="F32" i="413"/>
  <c r="H44" i="413" s="1"/>
  <c r="K31" i="413"/>
  <c r="M43" i="413" s="1"/>
  <c r="U31" i="413"/>
  <c r="T31" i="413"/>
  <c r="I31" i="413" s="1"/>
  <c r="J43" i="413" s="1"/>
  <c r="F31" i="413"/>
  <c r="H43" i="413" s="1"/>
  <c r="T30" i="413"/>
  <c r="I30" i="413" s="1"/>
  <c r="F30" i="413"/>
  <c r="H42" i="413" s="1"/>
  <c r="T29" i="413"/>
  <c r="I29" i="413" s="1"/>
  <c r="J41" i="413" s="1"/>
  <c r="F29" i="413"/>
  <c r="H41" i="413" s="1"/>
  <c r="K28" i="413"/>
  <c r="U28" i="413"/>
  <c r="M40" i="413" s="1"/>
  <c r="T28" i="413"/>
  <c r="I28" i="413" s="1"/>
  <c r="J40" i="413" s="1"/>
  <c r="F28" i="413"/>
  <c r="T27" i="413"/>
  <c r="I27" i="413" s="1"/>
  <c r="J39" i="413" s="1"/>
  <c r="F27" i="413"/>
  <c r="T26" i="413"/>
  <c r="I26" i="413" s="1"/>
  <c r="F26" i="413"/>
  <c r="K25" i="413"/>
  <c r="U25" i="413"/>
  <c r="M37" i="413" s="1"/>
  <c r="T25" i="413"/>
  <c r="I25" i="413" s="1"/>
  <c r="J37" i="413" s="1"/>
  <c r="F25" i="413"/>
  <c r="T24" i="413"/>
  <c r="I24" i="413" s="1"/>
  <c r="F24" i="413"/>
  <c r="T23" i="413"/>
  <c r="I23" i="413" s="1"/>
  <c r="F23" i="413"/>
  <c r="K22" i="413"/>
  <c r="U22" i="413"/>
  <c r="T22" i="413"/>
  <c r="I22" i="413" s="1"/>
  <c r="F22" i="413"/>
  <c r="T21" i="413"/>
  <c r="I21" i="413" s="1"/>
  <c r="F21" i="413"/>
  <c r="T20" i="413"/>
  <c r="I20" i="413" s="1"/>
  <c r="F20" i="413"/>
  <c r="K19" i="413"/>
  <c r="U19" i="413"/>
  <c r="T19" i="413"/>
  <c r="I19" i="413" s="1"/>
  <c r="F19" i="413"/>
  <c r="T18" i="413"/>
  <c r="I18" i="413" s="1"/>
  <c r="F18" i="413"/>
  <c r="T17" i="413"/>
  <c r="I17" i="413" s="1"/>
  <c r="F17" i="413"/>
  <c r="K16" i="413"/>
  <c r="U16" i="413"/>
  <c r="T16" i="413"/>
  <c r="I16" i="413" s="1"/>
  <c r="F16" i="413"/>
  <c r="T15" i="413"/>
  <c r="I15" i="413" s="1"/>
  <c r="F15" i="413"/>
  <c r="T14" i="413"/>
  <c r="I14" i="413" s="1"/>
  <c r="F14" i="413"/>
  <c r="K13" i="413"/>
  <c r="U13" i="413"/>
  <c r="T13" i="413"/>
  <c r="I13" i="413" s="1"/>
  <c r="F13" i="413"/>
  <c r="T12" i="413"/>
  <c r="I12" i="413" s="1"/>
  <c r="F12" i="413"/>
  <c r="T11" i="413"/>
  <c r="I11" i="413" s="1"/>
  <c r="F11" i="413"/>
  <c r="K10" i="413"/>
  <c r="U10" i="413"/>
  <c r="T10" i="413"/>
  <c r="I10" i="413" s="1"/>
  <c r="F10" i="413"/>
  <c r="T9" i="413"/>
  <c r="I9" i="413" s="1"/>
  <c r="F9" i="413"/>
  <c r="T8" i="413"/>
  <c r="I8" i="413" s="1"/>
  <c r="F8" i="413"/>
  <c r="K7" i="413"/>
  <c r="U7" i="413"/>
  <c r="T7" i="413"/>
  <c r="I7" i="413" s="1"/>
  <c r="F7" i="413"/>
  <c r="T6" i="413"/>
  <c r="I6" i="413" s="1"/>
  <c r="F6" i="413"/>
  <c r="T5" i="413"/>
  <c r="I5" i="413" s="1"/>
  <c r="F5" i="413"/>
  <c r="J24" i="414" l="1"/>
  <c r="J18" i="413"/>
  <c r="J21" i="413"/>
  <c r="J28" i="413"/>
  <c r="J22" i="413"/>
  <c r="J19" i="413"/>
  <c r="J23" i="413"/>
  <c r="J32" i="414"/>
  <c r="J26" i="414"/>
  <c r="J20" i="413"/>
  <c r="J25" i="413"/>
  <c r="J27" i="413"/>
  <c r="J29" i="413"/>
  <c r="J17" i="413"/>
  <c r="J26" i="413"/>
  <c r="J38" i="413"/>
  <c r="J28" i="414"/>
  <c r="J23" i="414"/>
  <c r="J36" i="413"/>
  <c r="J48" i="413"/>
  <c r="J29" i="414"/>
  <c r="J41" i="414"/>
  <c r="J35" i="414"/>
  <c r="J47" i="414"/>
  <c r="J36" i="414"/>
  <c r="J24" i="413"/>
  <c r="J31" i="413"/>
  <c r="J33" i="413"/>
  <c r="J35" i="413"/>
  <c r="J30" i="413"/>
  <c r="J42" i="413"/>
  <c r="J32" i="413"/>
  <c r="J44" i="413"/>
  <c r="J34" i="414"/>
  <c r="J27" i="414"/>
  <c r="J39" i="414"/>
  <c r="J34" i="413"/>
  <c r="J46" i="413"/>
  <c r="J31" i="414"/>
  <c r="J43" i="414"/>
  <c r="J33" i="414"/>
  <c r="J45" i="414"/>
  <c r="J30" i="414"/>
  <c r="J25" i="414"/>
  <c r="J22" i="414"/>
  <c r="J18" i="414"/>
  <c r="L40" i="414"/>
  <c r="G37" i="413"/>
  <c r="H48" i="413"/>
  <c r="H35" i="414"/>
  <c r="H47" i="414"/>
  <c r="L37" i="413"/>
  <c r="H37" i="414"/>
  <c r="H28" i="413"/>
  <c r="H37" i="413"/>
  <c r="H40" i="413"/>
  <c r="H39" i="413"/>
  <c r="C22" i="414"/>
  <c r="E22" i="414" s="1"/>
  <c r="H38" i="413"/>
  <c r="G13" i="414"/>
  <c r="H32" i="414"/>
  <c r="H44" i="414"/>
  <c r="L37" i="414"/>
  <c r="G29" i="414"/>
  <c r="H40" i="414"/>
  <c r="H27" i="414"/>
  <c r="H39" i="414"/>
  <c r="M37" i="414"/>
  <c r="N37" i="414"/>
  <c r="O40" i="414" s="1"/>
  <c r="M28" i="413"/>
  <c r="N37" i="413"/>
  <c r="O40" i="413" s="1"/>
  <c r="G35" i="414"/>
  <c r="N22" i="414"/>
  <c r="N28" i="414"/>
  <c r="B37" i="414"/>
  <c r="N19" i="414"/>
  <c r="N16" i="414"/>
  <c r="N13" i="414"/>
  <c r="O13" i="414" s="1"/>
  <c r="N25" i="414"/>
  <c r="G36" i="414"/>
  <c r="N34" i="414"/>
  <c r="C37" i="414"/>
  <c r="E49" i="414" s="1"/>
  <c r="L34" i="414"/>
  <c r="N31" i="414"/>
  <c r="G37" i="414"/>
  <c r="B37" i="413"/>
  <c r="C37" i="413"/>
  <c r="E49" i="413" s="1"/>
  <c r="H36" i="414"/>
  <c r="H28" i="414"/>
  <c r="H24" i="414"/>
  <c r="B34" i="414"/>
  <c r="G32" i="414"/>
  <c r="O10" i="414"/>
  <c r="G16" i="414"/>
  <c r="M25" i="414"/>
  <c r="G14" i="414"/>
  <c r="G24" i="414"/>
  <c r="L31" i="414"/>
  <c r="G17" i="414"/>
  <c r="B16" i="414"/>
  <c r="C16" i="414"/>
  <c r="L22" i="414"/>
  <c r="D10" i="414"/>
  <c r="L16" i="414"/>
  <c r="G22" i="414"/>
  <c r="L13" i="414"/>
  <c r="L28" i="414"/>
  <c r="M28" i="414"/>
  <c r="C19" i="414"/>
  <c r="H21" i="414"/>
  <c r="C28" i="414"/>
  <c r="E40" i="414" s="1"/>
  <c r="G27" i="414"/>
  <c r="G21" i="414"/>
  <c r="B22" i="414"/>
  <c r="M34" i="414"/>
  <c r="B13" i="414"/>
  <c r="H25" i="414"/>
  <c r="C13" i="414"/>
  <c r="D13" i="414" s="1"/>
  <c r="G28" i="414"/>
  <c r="B28" i="414"/>
  <c r="L25" i="414"/>
  <c r="M31" i="414"/>
  <c r="G25" i="414"/>
  <c r="B25" i="414"/>
  <c r="H17" i="414"/>
  <c r="B19" i="414"/>
  <c r="C25" i="414"/>
  <c r="G26" i="414"/>
  <c r="G33" i="414"/>
  <c r="H33" i="414"/>
  <c r="G34" i="414"/>
  <c r="C34" i="414"/>
  <c r="E46" i="414" s="1"/>
  <c r="G18" i="414"/>
  <c r="L19" i="414"/>
  <c r="M19" i="414"/>
  <c r="H29" i="414"/>
  <c r="C22" i="413"/>
  <c r="G31" i="413"/>
  <c r="C34" i="413"/>
  <c r="E46" i="413" s="1"/>
  <c r="G34" i="413"/>
  <c r="N10" i="413"/>
  <c r="N13" i="413"/>
  <c r="N16" i="413"/>
  <c r="N19" i="413"/>
  <c r="N22" i="413"/>
  <c r="N25" i="413"/>
  <c r="N28" i="413"/>
  <c r="H35" i="413"/>
  <c r="G15" i="413"/>
  <c r="N34" i="413"/>
  <c r="G6" i="413"/>
  <c r="G22" i="413"/>
  <c r="C28" i="413"/>
  <c r="E40" i="413" s="1"/>
  <c r="G28" i="413"/>
  <c r="L13" i="413"/>
  <c r="C7" i="413"/>
  <c r="B7" i="413"/>
  <c r="H18" i="413"/>
  <c r="M19" i="413"/>
  <c r="H24" i="413"/>
  <c r="L10" i="413"/>
  <c r="N7" i="413"/>
  <c r="G7" i="413"/>
  <c r="B10" i="413"/>
  <c r="G10" i="413"/>
  <c r="G11" i="413"/>
  <c r="G13" i="413"/>
  <c r="L16" i="413"/>
  <c r="H17" i="413"/>
  <c r="H19" i="413"/>
  <c r="H25" i="413"/>
  <c r="G18" i="413"/>
  <c r="G19" i="413"/>
  <c r="H23" i="413"/>
  <c r="G24" i="413"/>
  <c r="G25" i="413"/>
  <c r="M31" i="413"/>
  <c r="G16" i="413"/>
  <c r="H30" i="413"/>
  <c r="G12" i="413"/>
  <c r="C16" i="413"/>
  <c r="B16" i="413"/>
  <c r="G17" i="413"/>
  <c r="G23" i="413"/>
  <c r="H29" i="413"/>
  <c r="H36" i="413"/>
  <c r="C13" i="413"/>
  <c r="C19" i="413"/>
  <c r="G21" i="413"/>
  <c r="L22" i="413"/>
  <c r="C25" i="413"/>
  <c r="M25" i="413"/>
  <c r="M34" i="413"/>
  <c r="G30" i="413"/>
  <c r="G29" i="413"/>
  <c r="G36" i="413"/>
  <c r="N31" i="413"/>
  <c r="C31" i="413"/>
  <c r="E43" i="413" s="1"/>
  <c r="G33" i="413"/>
  <c r="G35" i="413"/>
  <c r="G32" i="413"/>
  <c r="C10" i="413"/>
  <c r="B13" i="413"/>
  <c r="G14" i="413"/>
  <c r="B19" i="413"/>
  <c r="H20" i="413"/>
  <c r="H21" i="413"/>
  <c r="H22" i="413"/>
  <c r="B25" i="413"/>
  <c r="H26" i="413"/>
  <c r="H27" i="413"/>
  <c r="L28" i="413"/>
  <c r="B31" i="413"/>
  <c r="H32" i="413"/>
  <c r="H33" i="413"/>
  <c r="H34" i="413"/>
  <c r="L34" i="413"/>
  <c r="M22" i="413"/>
  <c r="G8" i="413"/>
  <c r="L19" i="413"/>
  <c r="B22" i="413"/>
  <c r="L25" i="413"/>
  <c r="B28" i="413"/>
  <c r="H31" i="413"/>
  <c r="L31" i="413"/>
  <c r="B34" i="413"/>
  <c r="G9" i="413"/>
  <c r="G20" i="413"/>
  <c r="G26" i="413"/>
  <c r="G27" i="413"/>
  <c r="D40" i="413" l="1"/>
  <c r="D40" i="414"/>
  <c r="D22" i="414"/>
  <c r="E34" i="414"/>
  <c r="D31" i="414"/>
  <c r="O37" i="414"/>
  <c r="E25" i="413"/>
  <c r="O22" i="414"/>
  <c r="O25" i="414"/>
  <c r="O37" i="413"/>
  <c r="O19" i="414"/>
  <c r="O31" i="414"/>
  <c r="O16" i="414"/>
  <c r="O28" i="414"/>
  <c r="E37" i="414"/>
  <c r="O34" i="414"/>
  <c r="D37" i="414"/>
  <c r="D37" i="413"/>
  <c r="E37" i="413"/>
  <c r="E19" i="414"/>
  <c r="E28" i="414"/>
  <c r="O22" i="413"/>
  <c r="O13" i="413"/>
  <c r="D19" i="414"/>
  <c r="E31" i="414"/>
  <c r="D16" i="414"/>
  <c r="E25" i="414"/>
  <c r="O28" i="413"/>
  <c r="O16" i="413"/>
  <c r="E28" i="413"/>
  <c r="D28" i="414"/>
  <c r="D25" i="414"/>
  <c r="D19" i="413"/>
  <c r="O19" i="413"/>
  <c r="D34" i="414"/>
  <c r="O25" i="413"/>
  <c r="E34" i="413"/>
  <c r="O10" i="413"/>
  <c r="O31" i="413"/>
  <c r="D34" i="413"/>
  <c r="O34" i="413"/>
  <c r="D31" i="413"/>
  <c r="D10" i="413"/>
  <c r="D25" i="413"/>
  <c r="D28" i="413"/>
  <c r="E22" i="413"/>
  <c r="D13" i="413"/>
  <c r="E19" i="413"/>
  <c r="E31" i="413"/>
  <c r="D16" i="413"/>
  <c r="D22" i="413"/>
  <c r="S36" i="195" l="1"/>
  <c r="R36" i="195"/>
  <c r="Q36" i="195"/>
  <c r="U36" i="391"/>
  <c r="F36" i="9"/>
  <c r="F36" i="5"/>
  <c r="F36" i="207"/>
  <c r="F36" i="43"/>
  <c r="F36" i="12"/>
  <c r="F36" i="356"/>
  <c r="F36" i="333"/>
  <c r="F36" i="113"/>
  <c r="F36" i="361"/>
  <c r="F36" i="351"/>
  <c r="F36" i="352"/>
  <c r="F36" i="322"/>
  <c r="F36" i="353"/>
  <c r="H48" i="353" s="1"/>
  <c r="F36" i="362"/>
  <c r="F36" i="354"/>
  <c r="F36" i="18"/>
  <c r="F36" i="20"/>
  <c r="F36" i="75"/>
  <c r="F36" i="53"/>
  <c r="F36" i="52"/>
  <c r="F36" i="88"/>
  <c r="F36" i="148"/>
  <c r="F36" i="28"/>
  <c r="F36" i="29"/>
  <c r="F36" i="359"/>
  <c r="F36" i="360"/>
  <c r="F36" i="89"/>
  <c r="F36" i="389"/>
  <c r="F36" i="386"/>
  <c r="F36" i="387"/>
  <c r="F36" i="303"/>
  <c r="F36" i="314"/>
  <c r="F36" i="364"/>
  <c r="F36" i="368"/>
  <c r="E36" i="396"/>
  <c r="F37" i="396" s="1"/>
  <c r="F36" i="394"/>
  <c r="F36" i="393"/>
  <c r="F36" i="403"/>
  <c r="F36" i="402"/>
  <c r="F36" i="408"/>
  <c r="F36" i="400"/>
  <c r="F36" i="114"/>
  <c r="F36" i="323"/>
  <c r="F36" i="391"/>
  <c r="F36" i="392"/>
  <c r="F36" i="35"/>
  <c r="H48" i="35" s="1"/>
  <c r="F36" i="202"/>
  <c r="F36" i="385"/>
  <c r="F36" i="349"/>
  <c r="F36" i="4"/>
  <c r="F36" i="299"/>
  <c r="F36" i="190"/>
  <c r="F36" i="16"/>
  <c r="F36" i="15"/>
  <c r="H48" i="15" s="1"/>
  <c r="F36" i="355"/>
  <c r="F36" i="17"/>
  <c r="F36" i="8"/>
  <c r="F36" i="3"/>
  <c r="F36" i="54"/>
  <c r="F36" i="384"/>
  <c r="F36" i="249"/>
  <c r="F36" i="7"/>
  <c r="F36" i="201"/>
  <c r="F36" i="48"/>
  <c r="F36" i="21"/>
  <c r="F36" i="13"/>
  <c r="F36" i="261"/>
  <c r="F36" i="153"/>
  <c r="F36" i="257"/>
  <c r="F36" i="19"/>
  <c r="F36" i="347"/>
  <c r="F36" i="23"/>
  <c r="F36" i="37"/>
  <c r="E36" i="369"/>
  <c r="F37" i="369" s="1"/>
  <c r="F36" i="367"/>
  <c r="F36" i="204"/>
  <c r="F36" i="363"/>
  <c r="F36" i="31"/>
  <c r="F36" i="168"/>
  <c r="F36" i="169"/>
  <c r="F36" i="336"/>
  <c r="F36" i="342"/>
  <c r="F36" i="334"/>
  <c r="F36" i="33"/>
  <c r="F36" i="319"/>
  <c r="F36" i="320"/>
  <c r="E36" i="343"/>
  <c r="F37" i="343" s="1"/>
  <c r="F36" i="318"/>
  <c r="F36" i="288"/>
  <c r="F36" i="337"/>
  <c r="F36" i="227"/>
  <c r="F36" i="298"/>
  <c r="F36" i="290"/>
  <c r="F36" i="289"/>
  <c r="F36" i="357"/>
  <c r="F36" i="293"/>
  <c r="F36" i="348"/>
  <c r="F36" i="194"/>
  <c r="F36" i="193"/>
  <c r="F36" i="297"/>
  <c r="F36" i="350"/>
  <c r="F36" i="233"/>
  <c r="F36" i="191"/>
  <c r="F36" i="105"/>
  <c r="F36" i="294"/>
  <c r="F36" i="365"/>
  <c r="F36" i="366"/>
  <c r="F36" i="206"/>
  <c r="F36" i="22"/>
  <c r="F36" i="301"/>
  <c r="F36" i="344"/>
  <c r="F36" i="61"/>
  <c r="F36" i="338"/>
  <c r="F36" i="340"/>
  <c r="F36" i="34"/>
  <c r="F36" i="174"/>
  <c r="F36" i="187"/>
  <c r="F36" i="135"/>
  <c r="F36" i="295"/>
  <c r="F36" i="283"/>
  <c r="F36" i="284"/>
  <c r="F36" i="292"/>
  <c r="G37" i="339"/>
  <c r="F36" i="325"/>
  <c r="F36" i="269"/>
  <c r="F36" i="11"/>
  <c r="F36" i="279"/>
  <c r="F36" i="335"/>
  <c r="F36" i="101"/>
  <c r="F36" i="382"/>
  <c r="F36" i="102"/>
  <c r="F36" i="103"/>
  <c r="F36" i="411"/>
  <c r="F36" i="265"/>
  <c r="F36" i="296"/>
  <c r="F36" i="262"/>
  <c r="F36" i="112"/>
  <c r="F36" i="109"/>
  <c r="F36" i="2"/>
  <c r="F36" i="85"/>
  <c r="F36" i="324"/>
  <c r="F36" i="32"/>
  <c r="F36" i="203"/>
  <c r="F36" i="164"/>
  <c r="F36" i="162"/>
  <c r="F36" i="196"/>
  <c r="F36" i="197"/>
  <c r="F36" i="198"/>
  <c r="F36" i="345"/>
  <c r="F36" i="346"/>
  <c r="F36" i="74"/>
  <c r="F36" i="200"/>
  <c r="F36" i="280"/>
  <c r="F36" i="97"/>
  <c r="F36" i="383"/>
  <c r="F36" i="45"/>
  <c r="F36" i="104"/>
  <c r="F36" i="254"/>
  <c r="F36" i="181"/>
  <c r="F36" i="183"/>
  <c r="F36" i="184"/>
  <c r="F36" i="27"/>
  <c r="F36" i="143"/>
  <c r="F36" i="268"/>
  <c r="F36" i="263"/>
  <c r="F36" i="209"/>
  <c r="F36" i="192"/>
  <c r="F36" i="140"/>
  <c r="F36" i="270"/>
  <c r="F36" i="271"/>
  <c r="F36" i="159"/>
  <c r="F36" i="160"/>
  <c r="F36" i="107"/>
  <c r="F36" i="176"/>
  <c r="F36" i="281"/>
  <c r="F36" i="332"/>
  <c r="F36" i="25"/>
  <c r="F36" i="24"/>
  <c r="F36" i="116"/>
  <c r="F36" i="285"/>
  <c r="F36" i="272"/>
  <c r="F36" i="44"/>
  <c r="F36" i="87"/>
  <c r="F36" i="287"/>
  <c r="F36" i="276"/>
  <c r="F36" i="229"/>
  <c r="F36" i="230"/>
  <c r="F36" i="328"/>
  <c r="F36" i="329"/>
  <c r="F36" i="326"/>
  <c r="F36" i="47"/>
  <c r="F36" i="248"/>
  <c r="F36" i="46"/>
  <c r="F36" i="239"/>
  <c r="F36" i="243"/>
  <c r="F36" i="244"/>
  <c r="F36" i="246"/>
  <c r="F36" i="1"/>
  <c r="F36" i="397"/>
  <c r="E36" i="407"/>
  <c r="F37" i="407" s="1"/>
  <c r="E36" i="406"/>
  <c r="F37" i="406" s="1"/>
  <c r="E36" i="405"/>
  <c r="F37" i="405" s="1"/>
  <c r="E36" i="401"/>
  <c r="F37" i="401" s="1"/>
  <c r="F36" i="409"/>
  <c r="G37" i="239" l="1"/>
  <c r="H48" i="239"/>
  <c r="G37" i="24"/>
  <c r="H48" i="24"/>
  <c r="G37" i="209"/>
  <c r="H48" i="209"/>
  <c r="G37" i="74"/>
  <c r="H48" i="74"/>
  <c r="G37" i="2"/>
  <c r="H48" i="2"/>
  <c r="G37" i="344"/>
  <c r="H48" i="344"/>
  <c r="G37" i="193"/>
  <c r="H48" i="193"/>
  <c r="G37" i="227"/>
  <c r="H48" i="227"/>
  <c r="G37" i="367"/>
  <c r="H48" i="367"/>
  <c r="G37" i="201"/>
  <c r="H48" i="201"/>
  <c r="G37" i="299"/>
  <c r="H48" i="299"/>
  <c r="G37" i="402"/>
  <c r="H48" i="402"/>
  <c r="G37" i="389"/>
  <c r="H48" i="389"/>
  <c r="G37" i="18"/>
  <c r="H48" i="18"/>
  <c r="G37" i="322"/>
  <c r="H48" i="322"/>
  <c r="G37" i="246"/>
  <c r="H48" i="246"/>
  <c r="G37" i="46"/>
  <c r="H48" i="46"/>
  <c r="G37" i="329"/>
  <c r="H48" i="329"/>
  <c r="G37" i="276"/>
  <c r="H48" i="276"/>
  <c r="G37" i="272"/>
  <c r="H48" i="272"/>
  <c r="G37" i="25"/>
  <c r="H48" i="25"/>
  <c r="G37" i="107"/>
  <c r="H48" i="107"/>
  <c r="G37" i="270"/>
  <c r="H48" i="270"/>
  <c r="G37" i="263"/>
  <c r="H48" i="263"/>
  <c r="G37" i="184"/>
  <c r="H48" i="184"/>
  <c r="G37" i="254"/>
  <c r="H48" i="254"/>
  <c r="G37" i="97"/>
  <c r="H48" i="97"/>
  <c r="G37" i="346"/>
  <c r="H48" i="346"/>
  <c r="G37" i="196"/>
  <c r="H48" i="196"/>
  <c r="G37" i="32"/>
  <c r="H48" i="32"/>
  <c r="G37" i="109"/>
  <c r="H48" i="109"/>
  <c r="G37" i="265"/>
  <c r="H48" i="265"/>
  <c r="G37" i="382"/>
  <c r="H48" i="382"/>
  <c r="G37" i="11"/>
  <c r="H48" i="11"/>
  <c r="G37" i="292"/>
  <c r="H48" i="292"/>
  <c r="G37" i="135"/>
  <c r="H48" i="135"/>
  <c r="G37" i="340"/>
  <c r="H48" i="340"/>
  <c r="G37" i="301"/>
  <c r="H48" i="301"/>
  <c r="G37" i="365"/>
  <c r="H48" i="365"/>
  <c r="G37" i="233"/>
  <c r="H48" i="233"/>
  <c r="G37" i="194"/>
  <c r="H48" i="194"/>
  <c r="G37" i="289"/>
  <c r="H48" i="289"/>
  <c r="G37" i="337"/>
  <c r="H48" i="337"/>
  <c r="G37" i="320"/>
  <c r="H48" i="320"/>
  <c r="G37" i="342"/>
  <c r="H48" i="342"/>
  <c r="G37" i="31"/>
  <c r="H48" i="31"/>
  <c r="G37" i="19"/>
  <c r="H48" i="19"/>
  <c r="G37" i="13"/>
  <c r="H48" i="13"/>
  <c r="G37" i="7"/>
  <c r="H48" i="7"/>
  <c r="G37" i="3"/>
  <c r="H48" i="3"/>
  <c r="G37" i="4"/>
  <c r="H48" i="4"/>
  <c r="G37" i="114"/>
  <c r="H48" i="114"/>
  <c r="G37" i="403"/>
  <c r="H48" i="403"/>
  <c r="G37" i="368"/>
  <c r="H48" i="368"/>
  <c r="G37" i="387"/>
  <c r="H48" i="387"/>
  <c r="G37" i="89"/>
  <c r="H48" i="89"/>
  <c r="G37" i="28"/>
  <c r="H48" i="28"/>
  <c r="G37" i="53"/>
  <c r="H48" i="53"/>
  <c r="G37" i="354"/>
  <c r="H48" i="354"/>
  <c r="G37" i="352"/>
  <c r="H48" i="352"/>
  <c r="G37" i="333"/>
  <c r="H48" i="333"/>
  <c r="G37" i="207"/>
  <c r="H48" i="207"/>
  <c r="G37" i="1"/>
  <c r="H48" i="1"/>
  <c r="G37" i="229"/>
  <c r="H48" i="229"/>
  <c r="G37" i="176"/>
  <c r="H48" i="176"/>
  <c r="G37" i="27"/>
  <c r="H48" i="27"/>
  <c r="G37" i="383"/>
  <c r="H48" i="383"/>
  <c r="G37" i="203"/>
  <c r="H48" i="203"/>
  <c r="G37" i="102"/>
  <c r="H48" i="102"/>
  <c r="G37" i="295"/>
  <c r="H48" i="295"/>
  <c r="G37" i="366"/>
  <c r="H48" i="366"/>
  <c r="G37" i="168"/>
  <c r="H48" i="168"/>
  <c r="G37" i="261"/>
  <c r="H48" i="261"/>
  <c r="G37" i="355"/>
  <c r="H48" i="355"/>
  <c r="G37" i="29"/>
  <c r="H48" i="29"/>
  <c r="G37" i="43"/>
  <c r="H48" i="43"/>
  <c r="G37" i="409"/>
  <c r="H48" i="409"/>
  <c r="G37" i="244"/>
  <c r="H48" i="244"/>
  <c r="G37" i="248"/>
  <c r="H48" i="248"/>
  <c r="G37" i="328"/>
  <c r="H48" i="328"/>
  <c r="G37" i="287"/>
  <c r="H48" i="287"/>
  <c r="G37" i="285"/>
  <c r="H48" i="285"/>
  <c r="G37" i="332"/>
  <c r="H48" i="332"/>
  <c r="G37" i="160"/>
  <c r="H48" i="160"/>
  <c r="G37" i="140"/>
  <c r="H48" i="140"/>
  <c r="G37" i="268"/>
  <c r="H48" i="268"/>
  <c r="G37" i="183"/>
  <c r="H48" i="183"/>
  <c r="G37" i="104"/>
  <c r="H48" i="104"/>
  <c r="G37" i="280"/>
  <c r="H48" i="280"/>
  <c r="G37" i="345"/>
  <c r="H48" i="345"/>
  <c r="G37" i="162"/>
  <c r="H48" i="162"/>
  <c r="G37" i="324"/>
  <c r="H48" i="324"/>
  <c r="G37" i="112"/>
  <c r="H48" i="112"/>
  <c r="G37" i="411"/>
  <c r="H48" i="411"/>
  <c r="G37" i="101"/>
  <c r="H48" i="101"/>
  <c r="G37" i="269"/>
  <c r="H48" i="269"/>
  <c r="G37" i="284"/>
  <c r="H48" i="284"/>
  <c r="G37" i="187"/>
  <c r="H48" i="187"/>
  <c r="G37" i="338"/>
  <c r="H48" i="338"/>
  <c r="G37" i="22"/>
  <c r="H48" i="22"/>
  <c r="G37" i="294"/>
  <c r="H48" i="294"/>
  <c r="G37" i="350"/>
  <c r="H48" i="350"/>
  <c r="G37" i="348"/>
  <c r="H48" i="348"/>
  <c r="G37" i="290"/>
  <c r="H48" i="290"/>
  <c r="G37" i="288"/>
  <c r="H48" i="288"/>
  <c r="G37" i="319"/>
  <c r="H48" i="319"/>
  <c r="G37" i="336"/>
  <c r="H48" i="336"/>
  <c r="G37" i="363"/>
  <c r="H48" i="363"/>
  <c r="G37" i="37"/>
  <c r="H48" i="37"/>
  <c r="G37" i="257"/>
  <c r="H48" i="257"/>
  <c r="G37" i="21"/>
  <c r="H48" i="21"/>
  <c r="G37" i="249"/>
  <c r="H48" i="249"/>
  <c r="G37" i="8"/>
  <c r="H48" i="8"/>
  <c r="G37" i="16"/>
  <c r="H48" i="16"/>
  <c r="G37" i="349"/>
  <c r="H48" i="349"/>
  <c r="G37" i="392"/>
  <c r="H48" i="392"/>
  <c r="G37" i="400"/>
  <c r="H48" i="400"/>
  <c r="G37" i="393"/>
  <c r="H48" i="393"/>
  <c r="G37" i="364"/>
  <c r="H48" i="364"/>
  <c r="G37" i="386"/>
  <c r="H48" i="386"/>
  <c r="G37" i="360"/>
  <c r="H48" i="360"/>
  <c r="G37" i="148"/>
  <c r="H48" i="148"/>
  <c r="G37" i="75"/>
  <c r="H48" i="75"/>
  <c r="G37" i="362"/>
  <c r="H48" i="362"/>
  <c r="G37" i="351"/>
  <c r="H48" i="351"/>
  <c r="G37" i="356"/>
  <c r="H48" i="356"/>
  <c r="G37" i="5"/>
  <c r="H48" i="5"/>
  <c r="G37" i="326"/>
  <c r="H48" i="326"/>
  <c r="G37" i="44"/>
  <c r="H48" i="44"/>
  <c r="G37" i="271"/>
  <c r="H48" i="271"/>
  <c r="G37" i="197"/>
  <c r="H48" i="197"/>
  <c r="G37" i="296"/>
  <c r="H48" i="296"/>
  <c r="G37" i="279"/>
  <c r="H48" i="279"/>
  <c r="G37" i="34"/>
  <c r="H48" i="34"/>
  <c r="G37" i="191"/>
  <c r="H48" i="191"/>
  <c r="G37" i="357"/>
  <c r="H48" i="357"/>
  <c r="G37" i="334"/>
  <c r="H48" i="334"/>
  <c r="G37" i="347"/>
  <c r="H48" i="347"/>
  <c r="G37" i="54"/>
  <c r="H48" i="54"/>
  <c r="G37" i="202"/>
  <c r="H48" i="202"/>
  <c r="G37" i="323"/>
  <c r="H48" i="323"/>
  <c r="G37" i="303"/>
  <c r="H48" i="303"/>
  <c r="G37" i="52"/>
  <c r="H48" i="52"/>
  <c r="G37" i="113"/>
  <c r="H48" i="113"/>
  <c r="G37" i="397"/>
  <c r="H48" i="397"/>
  <c r="G37" i="243"/>
  <c r="H48" i="243"/>
  <c r="G37" i="47"/>
  <c r="H48" i="47"/>
  <c r="G37" i="230"/>
  <c r="H48" i="230"/>
  <c r="G37" i="87"/>
  <c r="H48" i="87"/>
  <c r="G37" i="116"/>
  <c r="H48" i="116"/>
  <c r="G37" i="281"/>
  <c r="H48" i="281"/>
  <c r="G37" i="159"/>
  <c r="H48" i="159"/>
  <c r="G37" i="192"/>
  <c r="H48" i="192"/>
  <c r="G37" i="143"/>
  <c r="H48" i="143"/>
  <c r="G37" i="181"/>
  <c r="H48" i="181"/>
  <c r="G37" i="45"/>
  <c r="H48" i="45"/>
  <c r="G37" i="200"/>
  <c r="H48" i="200"/>
  <c r="G37" i="198"/>
  <c r="H48" i="198"/>
  <c r="G37" i="164"/>
  <c r="H48" i="164"/>
  <c r="G37" i="85"/>
  <c r="H48" i="85"/>
  <c r="G37" i="262"/>
  <c r="H48" i="262"/>
  <c r="G37" i="103"/>
  <c r="H48" i="103"/>
  <c r="G37" i="335"/>
  <c r="H48" i="335"/>
  <c r="G37" i="325"/>
  <c r="H48" i="325"/>
  <c r="G37" i="283"/>
  <c r="H48" i="283"/>
  <c r="G37" i="174"/>
  <c r="H48" i="174"/>
  <c r="G37" i="61"/>
  <c r="H48" i="61"/>
  <c r="G37" i="206"/>
  <c r="H48" i="206"/>
  <c r="G37" i="105"/>
  <c r="H48" i="105"/>
  <c r="G37" i="297"/>
  <c r="H48" i="297"/>
  <c r="G37" i="293"/>
  <c r="H48" i="293"/>
  <c r="G37" i="298"/>
  <c r="H48" i="298"/>
  <c r="G37" i="318"/>
  <c r="H48" i="318"/>
  <c r="G37" i="33"/>
  <c r="H48" i="33"/>
  <c r="G37" i="169"/>
  <c r="H48" i="169"/>
  <c r="G37" i="204"/>
  <c r="H48" i="204"/>
  <c r="G37" i="23"/>
  <c r="H48" i="23"/>
  <c r="G37" i="153"/>
  <c r="H48" i="153"/>
  <c r="G37" i="48"/>
  <c r="H48" i="48"/>
  <c r="G37" i="384"/>
  <c r="H48" i="384"/>
  <c r="G37" i="17"/>
  <c r="H48" i="17"/>
  <c r="G37" i="190"/>
  <c r="H48" i="190"/>
  <c r="G37" i="385"/>
  <c r="H48" i="385"/>
  <c r="G37" i="391"/>
  <c r="H48" i="391"/>
  <c r="G37" i="408"/>
  <c r="H48" i="408"/>
  <c r="G37" i="394"/>
  <c r="H48" i="394"/>
  <c r="G37" i="314"/>
  <c r="H48" i="314"/>
  <c r="G37" i="359"/>
  <c r="H48" i="359"/>
  <c r="G37" i="88"/>
  <c r="H48" i="88"/>
  <c r="G37" i="20"/>
  <c r="H48" i="20"/>
  <c r="G37" i="361"/>
  <c r="H48" i="361"/>
  <c r="G37" i="12"/>
  <c r="H48" i="12"/>
  <c r="G37" i="9"/>
  <c r="H48" i="9"/>
  <c r="G37" i="353"/>
  <c r="G41" i="353"/>
  <c r="G37" i="35"/>
  <c r="H226" i="417"/>
  <c r="I238" i="417" s="1"/>
  <c r="G37" i="15"/>
  <c r="F36" i="152"/>
  <c r="S36" i="170"/>
  <c r="R36" i="170"/>
  <c r="Q36" i="170"/>
  <c r="F36" i="170" s="1"/>
  <c r="T36" i="321"/>
  <c r="I36" i="321" s="1"/>
  <c r="F36" i="321"/>
  <c r="K34" i="318"/>
  <c r="M46" i="318" s="1"/>
  <c r="U34" i="318"/>
  <c r="K31" i="318"/>
  <c r="M43" i="318" s="1"/>
  <c r="U31" i="318"/>
  <c r="K28" i="318"/>
  <c r="U28" i="318"/>
  <c r="M40" i="318" s="1"/>
  <c r="K25" i="318"/>
  <c r="U25" i="318"/>
  <c r="M37" i="318" s="1"/>
  <c r="K22" i="318"/>
  <c r="U22" i="318"/>
  <c r="K19" i="318"/>
  <c r="U19" i="318"/>
  <c r="K16" i="318"/>
  <c r="U16" i="318"/>
  <c r="K13" i="318"/>
  <c r="U13" i="318"/>
  <c r="K10" i="318"/>
  <c r="U10" i="318"/>
  <c r="K7" i="318"/>
  <c r="U7" i="318"/>
  <c r="S36" i="388"/>
  <c r="R36" i="388"/>
  <c r="Q36" i="388"/>
  <c r="F36" i="388" s="1"/>
  <c r="F36" i="195"/>
  <c r="F29" i="335"/>
  <c r="H41" i="335" s="1"/>
  <c r="F36" i="185"/>
  <c r="S36" i="144"/>
  <c r="R36" i="144"/>
  <c r="Q36" i="144"/>
  <c r="F36" i="144" s="1"/>
  <c r="S36" i="186"/>
  <c r="R36" i="186"/>
  <c r="Q36" i="186"/>
  <c r="F36" i="186" s="1"/>
  <c r="S36" i="231"/>
  <c r="R36" i="231"/>
  <c r="Q36" i="231"/>
  <c r="F36" i="231" s="1"/>
  <c r="S36" i="247"/>
  <c r="R36" i="247"/>
  <c r="Q36" i="247"/>
  <c r="F36" i="247" s="1"/>
  <c r="S36" i="398"/>
  <c r="R36" i="398"/>
  <c r="Q36" i="398"/>
  <c r="F36" i="398" s="1"/>
  <c r="K34" i="21"/>
  <c r="M46" i="21" s="1"/>
  <c r="U34" i="21"/>
  <c r="K31" i="21"/>
  <c r="M43" i="21" s="1"/>
  <c r="U31" i="21"/>
  <c r="K28" i="21"/>
  <c r="U28" i="21"/>
  <c r="M40" i="21" s="1"/>
  <c r="K25" i="21"/>
  <c r="U25" i="21"/>
  <c r="M37" i="21" s="1"/>
  <c r="K22" i="21"/>
  <c r="U22" i="21"/>
  <c r="K19" i="21"/>
  <c r="U19" i="21"/>
  <c r="K16" i="21"/>
  <c r="U16" i="21"/>
  <c r="K13" i="21"/>
  <c r="U13" i="21"/>
  <c r="K10" i="21"/>
  <c r="U10" i="21"/>
  <c r="K7" i="21"/>
  <c r="U7" i="21"/>
  <c r="F36" i="404"/>
  <c r="S36" i="253"/>
  <c r="R36" i="253"/>
  <c r="Q36" i="253"/>
  <c r="F36" i="253" s="1"/>
  <c r="F36" i="149"/>
  <c r="S36" i="142"/>
  <c r="R36" i="142"/>
  <c r="Q36" i="142"/>
  <c r="F36" i="142" s="1"/>
  <c r="J48" i="321" l="1"/>
  <c r="G37" i="388"/>
  <c r="H48" i="388"/>
  <c r="G37" i="152"/>
  <c r="H48" i="152"/>
  <c r="G37" i="149"/>
  <c r="H48" i="149"/>
  <c r="G37" i="404"/>
  <c r="H48" i="404"/>
  <c r="G37" i="247"/>
  <c r="H48" i="247"/>
  <c r="G37" i="185"/>
  <c r="H48" i="185"/>
  <c r="G37" i="170"/>
  <c r="H48" i="170"/>
  <c r="G37" i="231"/>
  <c r="H48" i="231"/>
  <c r="G37" i="142"/>
  <c r="H48" i="142"/>
  <c r="G37" i="253"/>
  <c r="H48" i="253"/>
  <c r="G37" i="398"/>
  <c r="H48" i="398"/>
  <c r="G37" i="144"/>
  <c r="H48" i="144"/>
  <c r="G37" i="186"/>
  <c r="H48" i="186"/>
  <c r="G37" i="195"/>
  <c r="H48" i="195"/>
  <c r="G37" i="321"/>
  <c r="H48" i="321"/>
  <c r="L13" i="318"/>
  <c r="L10" i="318"/>
  <c r="L37" i="21"/>
  <c r="L37" i="318"/>
  <c r="M28" i="318"/>
  <c r="L16" i="21"/>
  <c r="M19" i="318"/>
  <c r="L16" i="318"/>
  <c r="M34" i="318"/>
  <c r="M19" i="21"/>
  <c r="M31" i="21"/>
  <c r="M28" i="21"/>
  <c r="L13" i="21"/>
  <c r="M25" i="21"/>
  <c r="M31" i="318"/>
  <c r="L10" i="21"/>
  <c r="M22" i="21"/>
  <c r="M34" i="21"/>
  <c r="M25" i="318"/>
  <c r="L22" i="318"/>
  <c r="L28" i="318"/>
  <c r="L34" i="318"/>
  <c r="M22" i="318"/>
  <c r="L19" i="318"/>
  <c r="L25" i="318"/>
  <c r="L31" i="318"/>
  <c r="L22" i="21"/>
  <c r="L28" i="21"/>
  <c r="L34" i="21"/>
  <c r="L19" i="21"/>
  <c r="L25" i="21"/>
  <c r="L31" i="21"/>
  <c r="Q29" i="195" l="1"/>
  <c r="R29" i="195"/>
  <c r="S29" i="195"/>
  <c r="Q30" i="195"/>
  <c r="R30" i="195"/>
  <c r="S30" i="195"/>
  <c r="Q31" i="195"/>
  <c r="R31" i="195"/>
  <c r="S31" i="195"/>
  <c r="Q32" i="195"/>
  <c r="R32" i="195"/>
  <c r="S32" i="195"/>
  <c r="Q33" i="195"/>
  <c r="R33" i="195"/>
  <c r="S33" i="195"/>
  <c r="Q34" i="195"/>
  <c r="R34" i="195"/>
  <c r="S34" i="195"/>
  <c r="Q35" i="195"/>
  <c r="U37" i="195" s="1"/>
  <c r="R35" i="195"/>
  <c r="K37" i="195" s="1"/>
  <c r="M49" i="195" s="1"/>
  <c r="S35" i="195"/>
  <c r="L40" i="195" l="1"/>
  <c r="T36" i="18"/>
  <c r="I36" i="18" s="1"/>
  <c r="T36" i="20"/>
  <c r="I36" i="20" s="1"/>
  <c r="T36" i="75"/>
  <c r="I36" i="75" s="1"/>
  <c r="J48" i="75" s="1"/>
  <c r="T36" i="53"/>
  <c r="I36" i="53" s="1"/>
  <c r="T36" i="52"/>
  <c r="I36" i="52" s="1"/>
  <c r="T36" i="409"/>
  <c r="I36" i="409" s="1"/>
  <c r="J48" i="409" s="1"/>
  <c r="T36" i="43"/>
  <c r="I36" i="43" s="1"/>
  <c r="T36" i="88"/>
  <c r="I36" i="88" s="1"/>
  <c r="J48" i="88" s="1"/>
  <c r="T36" i="148"/>
  <c r="I36" i="148" s="1"/>
  <c r="T36" i="28"/>
  <c r="I36" i="28" s="1"/>
  <c r="T36" i="29"/>
  <c r="I36" i="29" s="1"/>
  <c r="J48" i="29" s="1"/>
  <c r="T36" i="359"/>
  <c r="I36" i="359" s="1"/>
  <c r="T36" i="360"/>
  <c r="I36" i="360" s="1"/>
  <c r="J48" i="360" s="1"/>
  <c r="T36" i="89"/>
  <c r="I36" i="89" s="1"/>
  <c r="T36" i="389"/>
  <c r="I36" i="389" s="1"/>
  <c r="T36" i="387"/>
  <c r="I36" i="387" s="1"/>
  <c r="T36" i="303"/>
  <c r="I36" i="303" s="1"/>
  <c r="T36" i="314"/>
  <c r="I36" i="314" s="1"/>
  <c r="L36" i="396"/>
  <c r="S36" i="395"/>
  <c r="R36" i="395"/>
  <c r="Q36" i="395"/>
  <c r="F36" i="395" s="1"/>
  <c r="T36" i="394"/>
  <c r="I36" i="394" s="1"/>
  <c r="J48" i="394" s="1"/>
  <c r="T36" i="393"/>
  <c r="I36" i="393" s="1"/>
  <c r="T36" i="9"/>
  <c r="I36" i="9" s="1"/>
  <c r="T36" i="364"/>
  <c r="I36" i="364" s="1"/>
  <c r="T36" i="368"/>
  <c r="I36" i="368" s="1"/>
  <c r="T36" i="403"/>
  <c r="I36" i="403" s="1"/>
  <c r="T36" i="402"/>
  <c r="I36" i="402" s="1"/>
  <c r="S36" i="408"/>
  <c r="I36" i="408" s="1"/>
  <c r="T36" i="400"/>
  <c r="I36" i="400" s="1"/>
  <c r="J48" i="400" s="1"/>
  <c r="T36" i="113"/>
  <c r="I36" i="113" s="1"/>
  <c r="T36" i="361"/>
  <c r="I36" i="361" s="1"/>
  <c r="T36" i="351"/>
  <c r="I36" i="351" s="1"/>
  <c r="T36" i="352"/>
  <c r="I36" i="352" s="1"/>
  <c r="T36" i="322"/>
  <c r="I36" i="322" s="1"/>
  <c r="J48" i="322" s="1"/>
  <c r="T36" i="353"/>
  <c r="I36" i="353" s="1"/>
  <c r="T36" i="362"/>
  <c r="I36" i="362" s="1"/>
  <c r="T36" i="354"/>
  <c r="I36" i="354" s="1"/>
  <c r="T36" i="114"/>
  <c r="I36" i="114" s="1"/>
  <c r="J48" i="114" s="1"/>
  <c r="T36" i="323"/>
  <c r="I36" i="323" s="1"/>
  <c r="T36" i="391"/>
  <c r="I36" i="391" s="1"/>
  <c r="T36" i="392"/>
  <c r="I36" i="392" s="1"/>
  <c r="T36" i="202"/>
  <c r="I36" i="202" s="1"/>
  <c r="T36" i="385"/>
  <c r="I36" i="385" s="1"/>
  <c r="T36" i="349"/>
  <c r="I36" i="349" s="1"/>
  <c r="T36" i="4"/>
  <c r="I36" i="4" s="1"/>
  <c r="T36" i="5"/>
  <c r="I36" i="5" s="1"/>
  <c r="T36" i="207"/>
  <c r="I36" i="207" s="1"/>
  <c r="J48" i="207" s="1"/>
  <c r="S36" i="300"/>
  <c r="R36" i="300"/>
  <c r="Q36" i="300"/>
  <c r="F36" i="300" s="1"/>
  <c r="T36" i="299"/>
  <c r="I36" i="299" s="1"/>
  <c r="T36" i="190"/>
  <c r="I36" i="190" s="1"/>
  <c r="T36" i="16"/>
  <c r="I36" i="16" s="1"/>
  <c r="T36" i="12"/>
  <c r="I36" i="12" s="1"/>
  <c r="T36" i="356"/>
  <c r="I36" i="356" s="1"/>
  <c r="J48" i="356" s="1"/>
  <c r="T36" i="15"/>
  <c r="I36" i="15" s="1"/>
  <c r="T36" i="355"/>
  <c r="I36" i="355" s="1"/>
  <c r="T36" i="17"/>
  <c r="I36" i="17" s="1"/>
  <c r="F36" i="371"/>
  <c r="T36" i="8"/>
  <c r="I36" i="8" s="1"/>
  <c r="T36" i="3"/>
  <c r="I36" i="3" s="1"/>
  <c r="T36" i="54"/>
  <c r="I36" i="54" s="1"/>
  <c r="T36" i="384"/>
  <c r="I36" i="384" s="1"/>
  <c r="T36" i="249"/>
  <c r="I36" i="249" s="1"/>
  <c r="T36" i="7"/>
  <c r="I36" i="7" s="1"/>
  <c r="T36" i="201"/>
  <c r="I36" i="201" s="1"/>
  <c r="T36" i="48"/>
  <c r="I36" i="48" s="1"/>
  <c r="J48" i="48" s="1"/>
  <c r="T36" i="21"/>
  <c r="I36" i="21" s="1"/>
  <c r="J48" i="21" s="1"/>
  <c r="T36" i="13"/>
  <c r="I36" i="13" s="1"/>
  <c r="J48" i="13" s="1"/>
  <c r="T36" i="261"/>
  <c r="I36" i="261" s="1"/>
  <c r="T36" i="153"/>
  <c r="I36" i="153" s="1"/>
  <c r="J48" i="153" s="1"/>
  <c r="T36" i="257"/>
  <c r="I36" i="257" s="1"/>
  <c r="T36" i="19"/>
  <c r="I36" i="19" s="1"/>
  <c r="T36" i="347"/>
  <c r="I36" i="347" s="1"/>
  <c r="T36" i="23"/>
  <c r="I36" i="23" s="1"/>
  <c r="T36" i="37"/>
  <c r="I36" i="37" s="1"/>
  <c r="L36" i="369"/>
  <c r="T36" i="367"/>
  <c r="I36" i="367" s="1"/>
  <c r="J48" i="367" s="1"/>
  <c r="T36" i="204"/>
  <c r="I36" i="204" s="1"/>
  <c r="T36" i="363"/>
  <c r="I36" i="363" s="1"/>
  <c r="T36" i="31"/>
  <c r="I36" i="31" s="1"/>
  <c r="T36" i="168"/>
  <c r="I36" i="168" s="1"/>
  <c r="T36" i="169"/>
  <c r="I36" i="169" s="1"/>
  <c r="T36" i="336"/>
  <c r="I36" i="336" s="1"/>
  <c r="T36" i="342"/>
  <c r="I36" i="342" s="1"/>
  <c r="T36" i="334"/>
  <c r="I36" i="334" s="1"/>
  <c r="T36" i="33"/>
  <c r="I36" i="33" s="1"/>
  <c r="T36" i="319"/>
  <c r="I36" i="319" s="1"/>
  <c r="J48" i="319" s="1"/>
  <c r="T36" i="320"/>
  <c r="I36" i="320" s="1"/>
  <c r="L36" i="343"/>
  <c r="T36" i="318"/>
  <c r="I36" i="318" s="1"/>
  <c r="T36" i="288"/>
  <c r="I36" i="288" s="1"/>
  <c r="T36" i="337"/>
  <c r="I36" i="337" s="1"/>
  <c r="T36" i="227"/>
  <c r="I36" i="227" s="1"/>
  <c r="T36" i="298"/>
  <c r="I36" i="298" s="1"/>
  <c r="T36" i="290"/>
  <c r="I36" i="290" s="1"/>
  <c r="T36" i="289"/>
  <c r="I36" i="289" s="1"/>
  <c r="S36" i="357"/>
  <c r="I36" i="357" s="1"/>
  <c r="T36" i="293"/>
  <c r="I36" i="293" s="1"/>
  <c r="T36" i="348"/>
  <c r="I36" i="348" s="1"/>
  <c r="T36" i="194"/>
  <c r="I36" i="194" s="1"/>
  <c r="J48" i="194" s="1"/>
  <c r="T36" i="193"/>
  <c r="I36" i="193" s="1"/>
  <c r="T36" i="297"/>
  <c r="I36" i="297" s="1"/>
  <c r="T36" i="350"/>
  <c r="I36" i="350" s="1"/>
  <c r="T36" i="233"/>
  <c r="I36" i="233" s="1"/>
  <c r="J48" i="233" s="1"/>
  <c r="T36" i="191"/>
  <c r="I36" i="191" s="1"/>
  <c r="T36" i="105"/>
  <c r="I36" i="105" s="1"/>
  <c r="T36" i="294"/>
  <c r="I36" i="294" s="1"/>
  <c r="S36" i="365"/>
  <c r="I36" i="365" s="1"/>
  <c r="S36" i="366"/>
  <c r="I36" i="366" s="1"/>
  <c r="T36" i="206"/>
  <c r="I36" i="206" s="1"/>
  <c r="J48" i="206" s="1"/>
  <c r="T36" i="22"/>
  <c r="I36" i="22" s="1"/>
  <c r="T36" i="301"/>
  <c r="I36" i="301" s="1"/>
  <c r="J48" i="301" s="1"/>
  <c r="T36" i="344"/>
  <c r="I36" i="344" s="1"/>
  <c r="T36" i="61"/>
  <c r="I36" i="61" s="1"/>
  <c r="T36" i="338"/>
  <c r="I36" i="338" s="1"/>
  <c r="T36" i="340"/>
  <c r="I36" i="340" s="1"/>
  <c r="J48" i="340" s="1"/>
  <c r="T36" i="34"/>
  <c r="I36" i="34" s="1"/>
  <c r="T36" i="174"/>
  <c r="I36" i="174" s="1"/>
  <c r="I36" i="187"/>
  <c r="T36" i="135"/>
  <c r="I36" i="135" s="1"/>
  <c r="J48" i="135" s="1"/>
  <c r="T36" i="333"/>
  <c r="I36" i="333" s="1"/>
  <c r="T36" i="295"/>
  <c r="I36" i="295" s="1"/>
  <c r="T36" i="283"/>
  <c r="I36" i="283" s="1"/>
  <c r="T36" i="284"/>
  <c r="I36" i="284" s="1"/>
  <c r="T36" i="292"/>
  <c r="I36" i="292" s="1"/>
  <c r="T36" i="325"/>
  <c r="I36" i="325" s="1"/>
  <c r="T36" i="269"/>
  <c r="I36" i="269" s="1"/>
  <c r="T36" i="11"/>
  <c r="I36" i="11" s="1"/>
  <c r="J48" i="11" s="1"/>
  <c r="S36" i="279"/>
  <c r="I36" i="279" s="1"/>
  <c r="S36" i="335"/>
  <c r="I36" i="335" s="1"/>
  <c r="T36" i="101"/>
  <c r="I36" i="101" s="1"/>
  <c r="T36" i="382"/>
  <c r="I36" i="382" s="1"/>
  <c r="J48" i="382" s="1"/>
  <c r="T36" i="102"/>
  <c r="I36" i="102" s="1"/>
  <c r="T36" i="103"/>
  <c r="I36" i="103" s="1"/>
  <c r="J48" i="103" s="1"/>
  <c r="T36" i="411"/>
  <c r="I36" i="411" s="1"/>
  <c r="T36" i="265"/>
  <c r="I36" i="265" s="1"/>
  <c r="J48" i="265" s="1"/>
  <c r="I36" i="296"/>
  <c r="T36" i="262"/>
  <c r="I36" i="262" s="1"/>
  <c r="T36" i="112"/>
  <c r="I36" i="112" s="1"/>
  <c r="J48" i="112" s="1"/>
  <c r="T36" i="109"/>
  <c r="I36" i="109" s="1"/>
  <c r="T36" i="2"/>
  <c r="I36" i="2" s="1"/>
  <c r="T36" i="85"/>
  <c r="I36" i="85" s="1"/>
  <c r="T36" i="324"/>
  <c r="I36" i="324" s="1"/>
  <c r="T36" i="32"/>
  <c r="I36" i="32" s="1"/>
  <c r="T36" i="203"/>
  <c r="I36" i="203" s="1"/>
  <c r="T36" i="164"/>
  <c r="I36" i="164" s="1"/>
  <c r="T36" i="162"/>
  <c r="I36" i="162" s="1"/>
  <c r="T36" i="196"/>
  <c r="I36" i="196" s="1"/>
  <c r="T36" i="198"/>
  <c r="I36" i="198" s="1"/>
  <c r="T36" i="345"/>
  <c r="I36" i="345" s="1"/>
  <c r="T36" i="346"/>
  <c r="I36" i="346" s="1"/>
  <c r="T36" i="74"/>
  <c r="I36" i="74" s="1"/>
  <c r="J48" i="74" s="1"/>
  <c r="T36" i="200"/>
  <c r="I36" i="200" s="1"/>
  <c r="T36" i="280"/>
  <c r="I36" i="280" s="1"/>
  <c r="T36" i="97"/>
  <c r="I36" i="97" s="1"/>
  <c r="J48" i="97" s="1"/>
  <c r="T36" i="383"/>
  <c r="I36" i="383" s="1"/>
  <c r="T36" i="45"/>
  <c r="I36" i="45" s="1"/>
  <c r="J48" i="45" s="1"/>
  <c r="T36" i="104"/>
  <c r="I36" i="104" s="1"/>
  <c r="T36" i="254"/>
  <c r="I36" i="254" s="1"/>
  <c r="T36" i="181"/>
  <c r="I36" i="181" s="1"/>
  <c r="T36" i="183"/>
  <c r="I36" i="183" s="1"/>
  <c r="T36" i="184"/>
  <c r="I36" i="184" s="1"/>
  <c r="T36" i="27"/>
  <c r="I36" i="27" s="1"/>
  <c r="T36" i="143"/>
  <c r="I36" i="143" s="1"/>
  <c r="J48" i="143" s="1"/>
  <c r="T36" i="268"/>
  <c r="I36" i="268" s="1"/>
  <c r="T36" i="263"/>
  <c r="I36" i="263" s="1"/>
  <c r="J48" i="263" s="1"/>
  <c r="T36" i="209"/>
  <c r="I36" i="209" s="1"/>
  <c r="T36" i="192"/>
  <c r="I36" i="192" s="1"/>
  <c r="T36" i="140"/>
  <c r="I36" i="140" s="1"/>
  <c r="T36" i="270"/>
  <c r="I36" i="270" s="1"/>
  <c r="T36" i="271"/>
  <c r="I36" i="271" s="1"/>
  <c r="T36" i="159"/>
  <c r="I36" i="159" s="1"/>
  <c r="T36" i="160"/>
  <c r="I36" i="160" s="1"/>
  <c r="T36" i="107"/>
  <c r="I36" i="107" s="1"/>
  <c r="T36" i="176"/>
  <c r="I36" i="176" s="1"/>
  <c r="J48" i="176" s="1"/>
  <c r="T36" i="281"/>
  <c r="I36" i="281" s="1"/>
  <c r="T36" i="332"/>
  <c r="I36" i="332" s="1"/>
  <c r="T36" i="25"/>
  <c r="I36" i="25" s="1"/>
  <c r="J48" i="25" s="1"/>
  <c r="T36" i="24"/>
  <c r="I36" i="24" s="1"/>
  <c r="T36" i="116"/>
  <c r="I36" i="116" s="1"/>
  <c r="J48" i="116" s="1"/>
  <c r="T36" i="285"/>
  <c r="I36" i="285" s="1"/>
  <c r="T36" i="272"/>
  <c r="I36" i="272" s="1"/>
  <c r="J48" i="272" s="1"/>
  <c r="S36" i="44"/>
  <c r="I36" i="44" s="1"/>
  <c r="T36" i="287"/>
  <c r="I36" i="287" s="1"/>
  <c r="J48" i="287" s="1"/>
  <c r="T36" i="276"/>
  <c r="I36" i="276" s="1"/>
  <c r="T36" i="229"/>
  <c r="I36" i="229" s="1"/>
  <c r="T36" i="230"/>
  <c r="I36" i="230" s="1"/>
  <c r="F36" i="327"/>
  <c r="T36" i="328"/>
  <c r="I36" i="328" s="1"/>
  <c r="T36" i="329"/>
  <c r="I36" i="329" s="1"/>
  <c r="T36" i="326"/>
  <c r="I36" i="326" s="1"/>
  <c r="T36" i="47"/>
  <c r="I36" i="47" s="1"/>
  <c r="J48" i="47" s="1"/>
  <c r="T36" i="248"/>
  <c r="I36" i="248" s="1"/>
  <c r="T36" i="46"/>
  <c r="I36" i="46" s="1"/>
  <c r="T36" i="239"/>
  <c r="I36" i="239" s="1"/>
  <c r="T36" i="243"/>
  <c r="I36" i="243" s="1"/>
  <c r="T36" i="244"/>
  <c r="I36" i="244" s="1"/>
  <c r="T36" i="246"/>
  <c r="I36" i="246" s="1"/>
  <c r="T36" i="1"/>
  <c r="I36" i="1" s="1"/>
  <c r="T36" i="397"/>
  <c r="I36" i="397" s="1"/>
  <c r="J48" i="397" s="1"/>
  <c r="L36" i="407"/>
  <c r="L36" i="406"/>
  <c r="L36" i="405"/>
  <c r="L36" i="401"/>
  <c r="J48" i="248" l="1"/>
  <c r="J48" i="230"/>
  <c r="J48" i="285"/>
  <c r="J48" i="140"/>
  <c r="J48" i="27"/>
  <c r="J48" i="346"/>
  <c r="J48" i="203"/>
  <c r="J48" i="102"/>
  <c r="J48" i="269"/>
  <c r="J48" i="333"/>
  <c r="J48" i="338"/>
  <c r="J48" i="350"/>
  <c r="J48" i="288"/>
  <c r="J48" i="334"/>
  <c r="J48" i="363"/>
  <c r="J48" i="347"/>
  <c r="J48" i="54"/>
  <c r="J48" i="15"/>
  <c r="J48" i="349"/>
  <c r="J48" i="351"/>
  <c r="J48" i="403"/>
  <c r="J48" i="387"/>
  <c r="J48" i="28"/>
  <c r="J48" i="53"/>
  <c r="J48" i="383"/>
  <c r="J48" i="198"/>
  <c r="J48" i="101"/>
  <c r="J48" i="292"/>
  <c r="J48" i="187"/>
  <c r="J48" i="344"/>
  <c r="J48" i="294"/>
  <c r="J48" i="193"/>
  <c r="J48" i="290"/>
  <c r="J48" i="336"/>
  <c r="J48" i="257"/>
  <c r="J48" i="201"/>
  <c r="J36" i="8"/>
  <c r="J48" i="8"/>
  <c r="J48" i="12"/>
  <c r="J48" i="202"/>
  <c r="J48" i="362"/>
  <c r="J48" i="113"/>
  <c r="J48" i="364"/>
  <c r="J48" i="89"/>
  <c r="J48" i="20"/>
  <c r="J48" i="389"/>
  <c r="J48" i="276"/>
  <c r="J48" i="280"/>
  <c r="J48" i="196"/>
  <c r="J48" i="85"/>
  <c r="J48" i="284"/>
  <c r="J48" i="174"/>
  <c r="J48" i="105"/>
  <c r="J48" i="298"/>
  <c r="J48" i="320"/>
  <c r="J48" i="169"/>
  <c r="J48" i="7"/>
  <c r="J48" i="16"/>
  <c r="J48" i="392"/>
  <c r="J48" i="353"/>
  <c r="J48" i="9"/>
  <c r="J48" i="43"/>
  <c r="J48" i="18"/>
  <c r="J48" i="1"/>
  <c r="J48" i="229"/>
  <c r="J48" i="107"/>
  <c r="J48" i="184"/>
  <c r="J48" i="32"/>
  <c r="J48" i="262"/>
  <c r="J48" i="325"/>
  <c r="J48" i="61"/>
  <c r="J48" i="297"/>
  <c r="J48" i="318"/>
  <c r="J48" i="204"/>
  <c r="J48" i="354"/>
  <c r="J48" i="326"/>
  <c r="J48" i="160"/>
  <c r="J48" i="324"/>
  <c r="J48" i="329"/>
  <c r="J48" i="328"/>
  <c r="J48" i="268"/>
  <c r="J48" i="162"/>
  <c r="J48" i="34"/>
  <c r="J48" i="191"/>
  <c r="J48" i="348"/>
  <c r="J48" i="227"/>
  <c r="J48" i="168"/>
  <c r="J48" i="37"/>
  <c r="J48" i="261"/>
  <c r="J48" i="249"/>
  <c r="J48" i="17"/>
  <c r="J48" i="190"/>
  <c r="J48" i="5"/>
  <c r="J48" i="391"/>
  <c r="J48" i="393"/>
  <c r="J48" i="314"/>
  <c r="J48" i="359"/>
  <c r="J48" i="246"/>
  <c r="J48" i="192"/>
  <c r="J48" i="345"/>
  <c r="J48" i="289"/>
  <c r="J48" i="342"/>
  <c r="J48" i="19"/>
  <c r="J48" i="3"/>
  <c r="J48" i="385"/>
  <c r="J48" i="361"/>
  <c r="J48" i="368"/>
  <c r="J48" i="148"/>
  <c r="J48" i="244"/>
  <c r="J48" i="24"/>
  <c r="J48" i="209"/>
  <c r="J48" i="183"/>
  <c r="J48" i="296"/>
  <c r="J48" i="243"/>
  <c r="J48" i="159"/>
  <c r="J48" i="181"/>
  <c r="J48" i="239"/>
  <c r="J48" i="332"/>
  <c r="J48" i="271"/>
  <c r="J48" i="254"/>
  <c r="J48" i="200"/>
  <c r="J48" i="2"/>
  <c r="J48" i="411"/>
  <c r="J48" i="283"/>
  <c r="J48" i="22"/>
  <c r="J48" i="46"/>
  <c r="J48" i="281"/>
  <c r="J48" i="270"/>
  <c r="J48" i="104"/>
  <c r="J48" i="164"/>
  <c r="J48" i="109"/>
  <c r="J48" i="295"/>
  <c r="J48" i="293"/>
  <c r="J48" i="337"/>
  <c r="J48" i="33"/>
  <c r="J48" i="31"/>
  <c r="J48" i="23"/>
  <c r="J48" i="384"/>
  <c r="J48" i="355"/>
  <c r="J48" i="299"/>
  <c r="J48" i="4"/>
  <c r="J48" i="323"/>
  <c r="J48" i="352"/>
  <c r="J48" i="402"/>
  <c r="J48" i="303"/>
  <c r="J48" i="52"/>
  <c r="G37" i="395"/>
  <c r="H48" i="395"/>
  <c r="G37" i="327"/>
  <c r="H48" i="327"/>
  <c r="G37" i="371"/>
  <c r="H48" i="371"/>
  <c r="G37" i="300"/>
  <c r="H48" i="300"/>
  <c r="T36" i="186"/>
  <c r="I36" i="186" s="1"/>
  <c r="T36" i="327"/>
  <c r="I36" i="327" s="1"/>
  <c r="J48" i="327" s="1"/>
  <c r="T36" i="144"/>
  <c r="I36" i="144" s="1"/>
  <c r="T36" i="398"/>
  <c r="I36" i="398" s="1"/>
  <c r="J48" i="398" s="1"/>
  <c r="T36" i="247"/>
  <c r="I36" i="247" s="1"/>
  <c r="T36" i="185"/>
  <c r="I36" i="185" s="1"/>
  <c r="T36" i="231"/>
  <c r="I36" i="231" s="1"/>
  <c r="T36" i="195"/>
  <c r="I36" i="195" s="1"/>
  <c r="T36" i="152"/>
  <c r="I36" i="152" s="1"/>
  <c r="T36" i="404"/>
  <c r="I36" i="404" s="1"/>
  <c r="T36" i="300"/>
  <c r="I36" i="300" s="1"/>
  <c r="T36" i="253"/>
  <c r="I36" i="253" s="1"/>
  <c r="J48" i="253" s="1"/>
  <c r="T36" i="142"/>
  <c r="I36" i="142" s="1"/>
  <c r="T36" i="371"/>
  <c r="I36" i="371" s="1"/>
  <c r="J48" i="371" s="1"/>
  <c r="T36" i="170"/>
  <c r="I36" i="170" s="1"/>
  <c r="T36" i="395"/>
  <c r="I36" i="395" s="1"/>
  <c r="T36" i="388"/>
  <c r="I36" i="388" s="1"/>
  <c r="T36" i="149"/>
  <c r="I36" i="149" s="1"/>
  <c r="T35" i="411"/>
  <c r="I35" i="411" s="1"/>
  <c r="J47" i="411" s="1"/>
  <c r="F35" i="411"/>
  <c r="H47" i="411" s="1"/>
  <c r="K34" i="411"/>
  <c r="M46" i="411" s="1"/>
  <c r="U34" i="411"/>
  <c r="T34" i="411"/>
  <c r="I34" i="411" s="1"/>
  <c r="F34" i="411"/>
  <c r="H46" i="411" s="1"/>
  <c r="T33" i="411"/>
  <c r="I33" i="411" s="1"/>
  <c r="J45" i="411" s="1"/>
  <c r="F33" i="411"/>
  <c r="H45" i="411" s="1"/>
  <c r="T32" i="411"/>
  <c r="I32" i="411" s="1"/>
  <c r="F32" i="411"/>
  <c r="H44" i="411" s="1"/>
  <c r="K31" i="411"/>
  <c r="M43" i="411" s="1"/>
  <c r="U31" i="411"/>
  <c r="T31" i="411"/>
  <c r="I31" i="411" s="1"/>
  <c r="J43" i="411" s="1"/>
  <c r="F31" i="411"/>
  <c r="H43" i="411" s="1"/>
  <c r="T30" i="411"/>
  <c r="I30" i="411" s="1"/>
  <c r="F30" i="411"/>
  <c r="H42" i="411" s="1"/>
  <c r="T29" i="411"/>
  <c r="I29" i="411" s="1"/>
  <c r="J41" i="411" s="1"/>
  <c r="F29" i="411"/>
  <c r="H41" i="411" s="1"/>
  <c r="K28" i="411"/>
  <c r="U28" i="411"/>
  <c r="M40" i="411" s="1"/>
  <c r="T28" i="411"/>
  <c r="I28" i="411" s="1"/>
  <c r="J40" i="411" s="1"/>
  <c r="F28" i="411"/>
  <c r="T27" i="411"/>
  <c r="I27" i="411" s="1"/>
  <c r="J39" i="411" s="1"/>
  <c r="F27" i="411"/>
  <c r="T26" i="411"/>
  <c r="I26" i="411" s="1"/>
  <c r="F26" i="411"/>
  <c r="K25" i="411"/>
  <c r="U25" i="411"/>
  <c r="M37" i="411" s="1"/>
  <c r="T25" i="411"/>
  <c r="I25" i="411" s="1"/>
  <c r="J37" i="411" s="1"/>
  <c r="F25" i="411"/>
  <c r="T24" i="411"/>
  <c r="I24" i="411" s="1"/>
  <c r="F24" i="411"/>
  <c r="T23" i="411"/>
  <c r="I23" i="411" s="1"/>
  <c r="F23" i="411"/>
  <c r="K22" i="411"/>
  <c r="U22" i="411"/>
  <c r="T22" i="411"/>
  <c r="I22" i="411" s="1"/>
  <c r="F22" i="411"/>
  <c r="T21" i="411"/>
  <c r="I21" i="411" s="1"/>
  <c r="F21" i="411"/>
  <c r="T20" i="411"/>
  <c r="I20" i="411" s="1"/>
  <c r="F20" i="411"/>
  <c r="U19" i="411"/>
  <c r="T19" i="411"/>
  <c r="I19" i="411" s="1"/>
  <c r="F19" i="411"/>
  <c r="T18" i="411"/>
  <c r="I18" i="411" s="1"/>
  <c r="F18" i="411"/>
  <c r="T17" i="411"/>
  <c r="I17" i="411" s="1"/>
  <c r="F17" i="411"/>
  <c r="U16" i="411"/>
  <c r="T16" i="411"/>
  <c r="I16" i="411" s="1"/>
  <c r="F16" i="411"/>
  <c r="T15" i="411"/>
  <c r="I15" i="411" s="1"/>
  <c r="F15" i="411"/>
  <c r="T14" i="411"/>
  <c r="I14" i="411" s="1"/>
  <c r="F14" i="411"/>
  <c r="U13" i="411"/>
  <c r="T13" i="411"/>
  <c r="I13" i="411" s="1"/>
  <c r="F13" i="411"/>
  <c r="T12" i="411"/>
  <c r="I12" i="411" s="1"/>
  <c r="F12" i="411"/>
  <c r="T11" i="411"/>
  <c r="I11" i="411" s="1"/>
  <c r="F11" i="411"/>
  <c r="U10" i="411"/>
  <c r="T10" i="411"/>
  <c r="I10" i="411" s="1"/>
  <c r="F10" i="411"/>
  <c r="T9" i="411"/>
  <c r="I9" i="411" s="1"/>
  <c r="F9" i="411"/>
  <c r="T8" i="411"/>
  <c r="I8" i="411" s="1"/>
  <c r="F8" i="411"/>
  <c r="U7" i="411"/>
  <c r="T7" i="411"/>
  <c r="I7" i="411" s="1"/>
  <c r="F7" i="411"/>
  <c r="T6" i="411"/>
  <c r="I6" i="411" s="1"/>
  <c r="F6" i="411"/>
  <c r="T5" i="411"/>
  <c r="I5" i="411" s="1"/>
  <c r="F5" i="411"/>
  <c r="S35" i="388"/>
  <c r="R35" i="388"/>
  <c r="K37" i="388" s="1"/>
  <c r="M49" i="388" s="1"/>
  <c r="Q35" i="388"/>
  <c r="U37" i="388" s="1"/>
  <c r="K37" i="321"/>
  <c r="M49" i="321" s="1"/>
  <c r="U37" i="321"/>
  <c r="J28" i="411" l="1"/>
  <c r="J21" i="411"/>
  <c r="J23" i="411"/>
  <c r="J19" i="411"/>
  <c r="J27" i="411"/>
  <c r="J22" i="411"/>
  <c r="J24" i="411"/>
  <c r="J25" i="411"/>
  <c r="J48" i="231"/>
  <c r="J29" i="411"/>
  <c r="J17" i="411"/>
  <c r="J31" i="411"/>
  <c r="J48" i="195"/>
  <c r="J26" i="411"/>
  <c r="J38" i="411"/>
  <c r="J48" i="142"/>
  <c r="J34" i="411"/>
  <c r="J46" i="411"/>
  <c r="J48" i="388"/>
  <c r="J48" i="300"/>
  <c r="J48" i="247"/>
  <c r="J36" i="411"/>
  <c r="J48" i="186"/>
  <c r="J48" i="149"/>
  <c r="J48" i="185"/>
  <c r="J18" i="411"/>
  <c r="J48" i="395"/>
  <c r="J48" i="404"/>
  <c r="J20" i="411"/>
  <c r="J33" i="411"/>
  <c r="J35" i="411"/>
  <c r="J30" i="411"/>
  <c r="J42" i="411"/>
  <c r="J32" i="411"/>
  <c r="J44" i="411"/>
  <c r="J48" i="170"/>
  <c r="J48" i="152"/>
  <c r="J48" i="144"/>
  <c r="L40" i="388"/>
  <c r="L40" i="321"/>
  <c r="L37" i="411"/>
  <c r="H38" i="411"/>
  <c r="N37" i="411"/>
  <c r="O40" i="411" s="1"/>
  <c r="H37" i="411"/>
  <c r="H21" i="411"/>
  <c r="H36" i="411"/>
  <c r="H39" i="411"/>
  <c r="H40" i="411"/>
  <c r="N13" i="411"/>
  <c r="L16" i="411"/>
  <c r="N16" i="411"/>
  <c r="N10" i="411"/>
  <c r="L13" i="411"/>
  <c r="N7" i="411"/>
  <c r="L10" i="411"/>
  <c r="N19" i="411"/>
  <c r="L19" i="411"/>
  <c r="M19" i="411"/>
  <c r="M28" i="411"/>
  <c r="L22" i="411"/>
  <c r="B37" i="411"/>
  <c r="C37" i="411"/>
  <c r="E49" i="411" s="1"/>
  <c r="M34" i="411"/>
  <c r="G36" i="411"/>
  <c r="N25" i="411"/>
  <c r="N28" i="411"/>
  <c r="N31" i="411"/>
  <c r="N34" i="411"/>
  <c r="L34" i="411"/>
  <c r="C34" i="411"/>
  <c r="E46" i="411" s="1"/>
  <c r="G34" i="411"/>
  <c r="G21" i="411"/>
  <c r="G27" i="411"/>
  <c r="L28" i="411"/>
  <c r="G14" i="411"/>
  <c r="H28" i="411"/>
  <c r="C7" i="411"/>
  <c r="G7" i="411"/>
  <c r="G10" i="411"/>
  <c r="H34" i="411"/>
  <c r="G33" i="411"/>
  <c r="H33" i="411"/>
  <c r="C22" i="411"/>
  <c r="G22" i="411"/>
  <c r="H32" i="411"/>
  <c r="N22" i="411"/>
  <c r="C28" i="411"/>
  <c r="E40" i="411" s="1"/>
  <c r="G28" i="411"/>
  <c r="G13" i="411"/>
  <c r="H26" i="411"/>
  <c r="G11" i="411"/>
  <c r="B13" i="411"/>
  <c r="H22" i="411"/>
  <c r="G12" i="411"/>
  <c r="G15" i="411"/>
  <c r="H27" i="411"/>
  <c r="B10" i="411"/>
  <c r="G8" i="411"/>
  <c r="C10" i="411"/>
  <c r="H19" i="411"/>
  <c r="G19" i="411"/>
  <c r="H24" i="411"/>
  <c r="G24" i="411"/>
  <c r="H30" i="411"/>
  <c r="G30" i="411"/>
  <c r="B7" i="411"/>
  <c r="H18" i="411"/>
  <c r="G18" i="411"/>
  <c r="M25" i="411"/>
  <c r="L25" i="411"/>
  <c r="M31" i="411"/>
  <c r="L31" i="411"/>
  <c r="G9" i="411"/>
  <c r="G16" i="411"/>
  <c r="B16" i="411"/>
  <c r="H20" i="411"/>
  <c r="H23" i="411"/>
  <c r="C25" i="411"/>
  <c r="G23" i="411"/>
  <c r="B25" i="411"/>
  <c r="H29" i="411"/>
  <c r="C31" i="411"/>
  <c r="E43" i="411" s="1"/>
  <c r="G29" i="411"/>
  <c r="B31" i="411"/>
  <c r="H35" i="411"/>
  <c r="G35" i="411"/>
  <c r="G6" i="411"/>
  <c r="H17" i="411"/>
  <c r="C19" i="411"/>
  <c r="G17" i="411"/>
  <c r="B19" i="411"/>
  <c r="H25" i="411"/>
  <c r="G25" i="411"/>
  <c r="H31" i="411"/>
  <c r="G31" i="411"/>
  <c r="C13" i="411"/>
  <c r="M22" i="411"/>
  <c r="C16" i="411"/>
  <c r="B22" i="411"/>
  <c r="B28" i="411"/>
  <c r="B34" i="411"/>
  <c r="G20" i="411"/>
  <c r="G26" i="411"/>
  <c r="G32" i="411"/>
  <c r="D40" i="411" l="1"/>
  <c r="O37" i="411"/>
  <c r="D37" i="411"/>
  <c r="E37" i="411"/>
  <c r="O31" i="411"/>
  <c r="O28" i="411"/>
  <c r="O25" i="411"/>
  <c r="O34" i="411"/>
  <c r="O19" i="411"/>
  <c r="D34" i="411"/>
  <c r="E34" i="411"/>
  <c r="O13" i="411"/>
  <c r="O10" i="411"/>
  <c r="D22" i="411"/>
  <c r="D16" i="411"/>
  <c r="D10" i="411"/>
  <c r="E22" i="411"/>
  <c r="O22" i="411"/>
  <c r="O16" i="411"/>
  <c r="E25" i="411"/>
  <c r="D25" i="411"/>
  <c r="E19" i="411"/>
  <c r="D19" i="411"/>
  <c r="D28" i="411"/>
  <c r="D13" i="411"/>
  <c r="E31" i="411"/>
  <c r="D31" i="411"/>
  <c r="E28" i="411"/>
  <c r="K37" i="152" l="1"/>
  <c r="M49" i="152" s="1"/>
  <c r="U37" i="152"/>
  <c r="S35" i="300"/>
  <c r="R35" i="300"/>
  <c r="K37" i="300" s="1"/>
  <c r="M49" i="300" s="1"/>
  <c r="Q35" i="300"/>
  <c r="U37" i="300" s="1"/>
  <c r="U35" i="202"/>
  <c r="U35" i="391"/>
  <c r="S35" i="395"/>
  <c r="R35" i="395"/>
  <c r="K37" i="395" s="1"/>
  <c r="M49" i="395" s="1"/>
  <c r="Q35" i="395"/>
  <c r="U37" i="395" s="1"/>
  <c r="S35" i="253"/>
  <c r="R35" i="253"/>
  <c r="K37" i="253" s="1"/>
  <c r="M49" i="253" s="1"/>
  <c r="Q35" i="253"/>
  <c r="U37" i="253" s="1"/>
  <c r="K37" i="149"/>
  <c r="M49" i="149" s="1"/>
  <c r="U37" i="149"/>
  <c r="L40" i="395" l="1"/>
  <c r="L40" i="152"/>
  <c r="L40" i="149"/>
  <c r="L40" i="253"/>
  <c r="L40" i="300"/>
  <c r="T35" i="300"/>
  <c r="I35" i="300" s="1"/>
  <c r="F35" i="28"/>
  <c r="H47" i="28" s="1"/>
  <c r="F35" i="29"/>
  <c r="H47" i="29" s="1"/>
  <c r="F35" i="359"/>
  <c r="H47" i="359" s="1"/>
  <c r="F35" i="360"/>
  <c r="H47" i="360" s="1"/>
  <c r="F35" i="43"/>
  <c r="H47" i="43" s="1"/>
  <c r="F35" i="409"/>
  <c r="H47" i="409" s="1"/>
  <c r="F35" i="89"/>
  <c r="H47" i="89" s="1"/>
  <c r="F35" i="389"/>
  <c r="H47" i="389" s="1"/>
  <c r="F35" i="88"/>
  <c r="H47" i="88" s="1"/>
  <c r="F35" i="148"/>
  <c r="H47" i="148" s="1"/>
  <c r="F35" i="386"/>
  <c r="H47" i="386" s="1"/>
  <c r="F35" i="387"/>
  <c r="H47" i="387" s="1"/>
  <c r="F35" i="303"/>
  <c r="H47" i="303" s="1"/>
  <c r="F35" i="314"/>
  <c r="H47" i="314" s="1"/>
  <c r="E35" i="396"/>
  <c r="F35" i="394"/>
  <c r="H47" i="394" s="1"/>
  <c r="F35" i="393"/>
  <c r="H47" i="393" s="1"/>
  <c r="F35" i="9"/>
  <c r="H47" i="9" s="1"/>
  <c r="F35" i="364"/>
  <c r="H47" i="364" s="1"/>
  <c r="F35" i="368"/>
  <c r="H47" i="368" s="1"/>
  <c r="F35" i="403"/>
  <c r="H47" i="403" s="1"/>
  <c r="F35" i="402"/>
  <c r="H47" i="402" s="1"/>
  <c r="F35" i="408"/>
  <c r="H47" i="408" s="1"/>
  <c r="F35" i="400"/>
  <c r="H47" i="400" s="1"/>
  <c r="F35" i="113"/>
  <c r="H47" i="113" s="1"/>
  <c r="F35" i="361"/>
  <c r="H47" i="361" s="1"/>
  <c r="F35" i="351"/>
  <c r="H47" i="351" s="1"/>
  <c r="F35" i="352"/>
  <c r="H47" i="352" s="1"/>
  <c r="F35" i="322"/>
  <c r="H47" i="322" s="1"/>
  <c r="F35" i="353"/>
  <c r="H47" i="353" s="1"/>
  <c r="F35" i="362"/>
  <c r="H47" i="362" s="1"/>
  <c r="F35" i="354"/>
  <c r="H47" i="354" s="1"/>
  <c r="F35" i="114"/>
  <c r="H47" i="114" s="1"/>
  <c r="F35" i="323"/>
  <c r="H47" i="323" s="1"/>
  <c r="F35" i="391"/>
  <c r="H47" i="391" s="1"/>
  <c r="F35" i="392"/>
  <c r="H47" i="392" s="1"/>
  <c r="F35" i="35"/>
  <c r="F35" i="202"/>
  <c r="H47" i="202" s="1"/>
  <c r="F35" i="385"/>
  <c r="H47" i="385" s="1"/>
  <c r="F35" i="349"/>
  <c r="H47" i="349" s="1"/>
  <c r="F35" i="4"/>
  <c r="H47" i="4" s="1"/>
  <c r="F35" i="5"/>
  <c r="H47" i="5" s="1"/>
  <c r="F35" i="207"/>
  <c r="H47" i="207" s="1"/>
  <c r="F35" i="299"/>
  <c r="H47" i="299" s="1"/>
  <c r="F35" i="190"/>
  <c r="H47" i="190" s="1"/>
  <c r="F35" i="16"/>
  <c r="H47" i="16" s="1"/>
  <c r="F35" i="12"/>
  <c r="H47" i="12" s="1"/>
  <c r="F35" i="356"/>
  <c r="H47" i="356" s="1"/>
  <c r="F35" i="15"/>
  <c r="H47" i="15" s="1"/>
  <c r="F35" i="355"/>
  <c r="H47" i="355" s="1"/>
  <c r="F35" i="17"/>
  <c r="H47" i="17" s="1"/>
  <c r="F35" i="8"/>
  <c r="H47" i="8" s="1"/>
  <c r="F35" i="3"/>
  <c r="H47" i="3" s="1"/>
  <c r="F35" i="54"/>
  <c r="H47" i="54" s="1"/>
  <c r="F35" i="384"/>
  <c r="H47" i="384" s="1"/>
  <c r="F35" i="249"/>
  <c r="H47" i="249" s="1"/>
  <c r="F35" i="7"/>
  <c r="H47" i="7" s="1"/>
  <c r="F35" i="201"/>
  <c r="H47" i="201" s="1"/>
  <c r="F35" i="48"/>
  <c r="H47" i="48" s="1"/>
  <c r="F35" i="21"/>
  <c r="H47" i="21" s="1"/>
  <c r="F35" i="13"/>
  <c r="H47" i="13" s="1"/>
  <c r="F35" i="261"/>
  <c r="H47" i="261" s="1"/>
  <c r="F35" i="153"/>
  <c r="H47" i="153" s="1"/>
  <c r="F35" i="257"/>
  <c r="H47" i="257" s="1"/>
  <c r="F35" i="19"/>
  <c r="H47" i="19" s="1"/>
  <c r="F35" i="347"/>
  <c r="H47" i="347" s="1"/>
  <c r="F35" i="23"/>
  <c r="H47" i="23" s="1"/>
  <c r="F35" i="37"/>
  <c r="H47" i="37" s="1"/>
  <c r="E35" i="369"/>
  <c r="F35" i="367"/>
  <c r="H47" i="367" s="1"/>
  <c r="F35" i="204"/>
  <c r="H47" i="204" s="1"/>
  <c r="F35" i="363"/>
  <c r="H47" i="363" s="1"/>
  <c r="F35" i="31"/>
  <c r="H47" i="31" s="1"/>
  <c r="F35" i="168"/>
  <c r="H47" i="168" s="1"/>
  <c r="F35" i="169"/>
  <c r="H47" i="169" s="1"/>
  <c r="F35" i="336"/>
  <c r="H47" i="336" s="1"/>
  <c r="F35" i="342"/>
  <c r="H47" i="342" s="1"/>
  <c r="F35" i="334"/>
  <c r="H47" i="334" s="1"/>
  <c r="F35" i="33"/>
  <c r="H47" i="33" s="1"/>
  <c r="F35" i="319"/>
  <c r="H47" i="319" s="1"/>
  <c r="F35" i="320"/>
  <c r="H47" i="320" s="1"/>
  <c r="E35" i="343"/>
  <c r="F35" i="318"/>
  <c r="H47" i="318" s="1"/>
  <c r="F35" i="288"/>
  <c r="H47" i="288" s="1"/>
  <c r="F35" i="337"/>
  <c r="H47" i="337" s="1"/>
  <c r="F35" i="227"/>
  <c r="H47" i="227" s="1"/>
  <c r="F35" i="298"/>
  <c r="H47" i="298" s="1"/>
  <c r="F35" i="290"/>
  <c r="H47" i="290" s="1"/>
  <c r="F35" i="289"/>
  <c r="H47" i="289" s="1"/>
  <c r="F35" i="357"/>
  <c r="H47" i="357" s="1"/>
  <c r="F35" i="293"/>
  <c r="H47" i="293" s="1"/>
  <c r="F35" i="348"/>
  <c r="H47" i="348" s="1"/>
  <c r="F35" i="194"/>
  <c r="H47" i="194" s="1"/>
  <c r="F35" i="193"/>
  <c r="H47" i="193" s="1"/>
  <c r="F35" i="297"/>
  <c r="H47" i="297" s="1"/>
  <c r="F35" i="350"/>
  <c r="H47" i="350" s="1"/>
  <c r="F35" i="18"/>
  <c r="H47" i="18" s="1"/>
  <c r="F35" i="20"/>
  <c r="H47" i="20" s="1"/>
  <c r="F35" i="233"/>
  <c r="H47" i="233" s="1"/>
  <c r="F35" i="191"/>
  <c r="H47" i="191" s="1"/>
  <c r="F35" i="105"/>
  <c r="H47" i="105" s="1"/>
  <c r="F35" i="294"/>
  <c r="H47" i="294" s="1"/>
  <c r="F35" i="365"/>
  <c r="H47" i="365" s="1"/>
  <c r="F35" i="366"/>
  <c r="H47" i="366" s="1"/>
  <c r="F35" i="206"/>
  <c r="H47" i="206" s="1"/>
  <c r="F35" i="22"/>
  <c r="H47" i="22" s="1"/>
  <c r="F35" i="301"/>
  <c r="H47" i="301" s="1"/>
  <c r="F35" i="344"/>
  <c r="H47" i="344" s="1"/>
  <c r="F35" i="61"/>
  <c r="H47" i="61" s="1"/>
  <c r="F35" i="338"/>
  <c r="H47" i="338" s="1"/>
  <c r="F35" i="340"/>
  <c r="H47" i="340" s="1"/>
  <c r="F35" i="34"/>
  <c r="H47" i="34" s="1"/>
  <c r="F35" i="174"/>
  <c r="H47" i="174" s="1"/>
  <c r="F35" i="187"/>
  <c r="H47" i="187" s="1"/>
  <c r="F35" i="135"/>
  <c r="H47" i="135" s="1"/>
  <c r="F35" i="333"/>
  <c r="H47" i="333" s="1"/>
  <c r="F35" i="295"/>
  <c r="H47" i="295" s="1"/>
  <c r="F35" i="283"/>
  <c r="H47" i="283" s="1"/>
  <c r="F35" i="284"/>
  <c r="H47" i="284" s="1"/>
  <c r="F35" i="292"/>
  <c r="H47" i="292" s="1"/>
  <c r="B37" i="339"/>
  <c r="F35" i="325"/>
  <c r="H47" i="325" s="1"/>
  <c r="F35" i="269"/>
  <c r="H47" i="269" s="1"/>
  <c r="F35" i="11"/>
  <c r="H47" i="11" s="1"/>
  <c r="F35" i="279"/>
  <c r="H47" i="279" s="1"/>
  <c r="F35" i="335"/>
  <c r="H47" i="335" s="1"/>
  <c r="F35" i="101"/>
  <c r="H47" i="101" s="1"/>
  <c r="F35" i="382"/>
  <c r="H47" i="382" s="1"/>
  <c r="F35" i="102"/>
  <c r="H47" i="102" s="1"/>
  <c r="F35" i="103"/>
  <c r="H47" i="103" s="1"/>
  <c r="F35" i="265"/>
  <c r="H47" i="265" s="1"/>
  <c r="F35" i="296"/>
  <c r="H47" i="296" s="1"/>
  <c r="F35" i="75"/>
  <c r="H47" i="75" s="1"/>
  <c r="F35" i="262"/>
  <c r="H47" i="262" s="1"/>
  <c r="F35" i="112"/>
  <c r="H47" i="112" s="1"/>
  <c r="F35" i="109"/>
  <c r="H47" i="109" s="1"/>
  <c r="F35" i="2"/>
  <c r="H47" i="2" s="1"/>
  <c r="F35" i="85"/>
  <c r="H47" i="85" s="1"/>
  <c r="F35" i="324"/>
  <c r="H47" i="324" s="1"/>
  <c r="F35" i="32"/>
  <c r="H47" i="32" s="1"/>
  <c r="F35" i="203"/>
  <c r="H47" i="203" s="1"/>
  <c r="F35" i="164"/>
  <c r="H47" i="164" s="1"/>
  <c r="F35" i="162"/>
  <c r="H47" i="162" s="1"/>
  <c r="F35" i="196"/>
  <c r="H47" i="196" s="1"/>
  <c r="F35" i="197"/>
  <c r="H47" i="197" s="1"/>
  <c r="F35" i="198"/>
  <c r="H47" i="198" s="1"/>
  <c r="F35" i="345"/>
  <c r="H47" i="345" s="1"/>
  <c r="F35" i="346"/>
  <c r="H47" i="346" s="1"/>
  <c r="F35" i="74"/>
  <c r="H47" i="74" s="1"/>
  <c r="F35" i="200"/>
  <c r="H47" i="200" s="1"/>
  <c r="F35" i="280"/>
  <c r="H47" i="280" s="1"/>
  <c r="F35" i="97"/>
  <c r="H47" i="97" s="1"/>
  <c r="F35" i="383"/>
  <c r="H47" i="383" s="1"/>
  <c r="F35" i="45"/>
  <c r="H47" i="45" s="1"/>
  <c r="F35" i="104"/>
  <c r="H47" i="104" s="1"/>
  <c r="F35" i="254"/>
  <c r="H47" i="254" s="1"/>
  <c r="F35" i="181"/>
  <c r="H47" i="181" s="1"/>
  <c r="F35" i="183"/>
  <c r="H47" i="183" s="1"/>
  <c r="F35" i="184"/>
  <c r="H47" i="184" s="1"/>
  <c r="F35" i="27"/>
  <c r="H47" i="27" s="1"/>
  <c r="F35" i="143"/>
  <c r="H47" i="143" s="1"/>
  <c r="F35" i="268"/>
  <c r="H47" i="268" s="1"/>
  <c r="F35" i="263"/>
  <c r="H47" i="263" s="1"/>
  <c r="F35" i="209"/>
  <c r="H47" i="209" s="1"/>
  <c r="F35" i="192"/>
  <c r="H47" i="192" s="1"/>
  <c r="F35" i="140"/>
  <c r="H47" i="140" s="1"/>
  <c r="F35" i="270"/>
  <c r="H47" i="270" s="1"/>
  <c r="F35" i="271"/>
  <c r="H47" i="271" s="1"/>
  <c r="F35" i="159"/>
  <c r="H47" i="159" s="1"/>
  <c r="F35" i="160"/>
  <c r="H47" i="160" s="1"/>
  <c r="F35" i="107"/>
  <c r="H47" i="107" s="1"/>
  <c r="F35" i="176"/>
  <c r="H47" i="176" s="1"/>
  <c r="F35" i="53"/>
  <c r="H47" i="53" s="1"/>
  <c r="F35" i="52"/>
  <c r="H47" i="52" s="1"/>
  <c r="F35" i="281"/>
  <c r="H47" i="281" s="1"/>
  <c r="F35" i="332"/>
  <c r="H47" i="332" s="1"/>
  <c r="F35" i="25"/>
  <c r="H47" i="25" s="1"/>
  <c r="F35" i="24"/>
  <c r="H47" i="24" s="1"/>
  <c r="F35" i="116"/>
  <c r="H47" i="116" s="1"/>
  <c r="F35" i="285"/>
  <c r="H47" i="285" s="1"/>
  <c r="F35" i="272"/>
  <c r="H47" i="272" s="1"/>
  <c r="F35" i="44"/>
  <c r="H47" i="44" s="1"/>
  <c r="F35" i="87"/>
  <c r="H47" i="87" s="1"/>
  <c r="F35" i="287"/>
  <c r="H47" i="287" s="1"/>
  <c r="F35" i="276"/>
  <c r="H47" i="276" s="1"/>
  <c r="F35" i="229"/>
  <c r="H47" i="229" s="1"/>
  <c r="F35" i="230"/>
  <c r="H47" i="230" s="1"/>
  <c r="F35" i="328"/>
  <c r="H47" i="328" s="1"/>
  <c r="F35" i="329"/>
  <c r="H47" i="329" s="1"/>
  <c r="F35" i="326"/>
  <c r="H47" i="326" s="1"/>
  <c r="F35" i="47"/>
  <c r="H47" i="47" s="1"/>
  <c r="F35" i="248"/>
  <c r="H47" i="248" s="1"/>
  <c r="F35" i="46"/>
  <c r="H47" i="46" s="1"/>
  <c r="F35" i="239"/>
  <c r="H47" i="239" s="1"/>
  <c r="F35" i="243"/>
  <c r="H47" i="243" s="1"/>
  <c r="F35" i="244"/>
  <c r="H47" i="244" s="1"/>
  <c r="F35" i="246"/>
  <c r="H47" i="246" s="1"/>
  <c r="F35" i="1"/>
  <c r="H47" i="1" s="1"/>
  <c r="F35" i="397"/>
  <c r="H47" i="397" s="1"/>
  <c r="E35" i="407"/>
  <c r="E35" i="406"/>
  <c r="E35" i="405"/>
  <c r="E35" i="401"/>
  <c r="J47" i="300" l="1"/>
  <c r="H225" i="417"/>
  <c r="I237" i="417" s="1"/>
  <c r="H47" i="35"/>
  <c r="G40" i="353"/>
  <c r="C40" i="353"/>
  <c r="E52" i="353" s="1"/>
  <c r="B40" i="353"/>
  <c r="N37" i="300"/>
  <c r="O40" i="300" s="1"/>
  <c r="C37" i="329"/>
  <c r="E49" i="329" s="1"/>
  <c r="B37" i="329"/>
  <c r="B37" i="24"/>
  <c r="C37" i="24"/>
  <c r="E49" i="24" s="1"/>
  <c r="C37" i="107"/>
  <c r="E49" i="107" s="1"/>
  <c r="B37" i="107"/>
  <c r="B37" i="254"/>
  <c r="C37" i="254"/>
  <c r="E49" i="254" s="1"/>
  <c r="C37" i="197"/>
  <c r="E49" i="197" s="1"/>
  <c r="B37" i="197"/>
  <c r="C37" i="2"/>
  <c r="E49" i="2" s="1"/>
  <c r="B37" i="2"/>
  <c r="C37" i="339"/>
  <c r="E49" i="339" s="1"/>
  <c r="B37" i="61"/>
  <c r="C37" i="61"/>
  <c r="E49" i="61" s="1"/>
  <c r="C37" i="18"/>
  <c r="E49" i="18" s="1"/>
  <c r="B37" i="18"/>
  <c r="B37" i="289"/>
  <c r="C37" i="289"/>
  <c r="E49" i="289" s="1"/>
  <c r="B37" i="342"/>
  <c r="C37" i="342"/>
  <c r="E49" i="342" s="1"/>
  <c r="B37" i="19"/>
  <c r="C37" i="19"/>
  <c r="E49" i="19" s="1"/>
  <c r="C37" i="13"/>
  <c r="E49" i="13" s="1"/>
  <c r="B37" i="13"/>
  <c r="B37" i="16"/>
  <c r="C37" i="16"/>
  <c r="E49" i="16" s="1"/>
  <c r="C37" i="353"/>
  <c r="E49" i="353" s="1"/>
  <c r="B37" i="353"/>
  <c r="B37" i="9"/>
  <c r="C37" i="9"/>
  <c r="E49" i="9" s="1"/>
  <c r="C37" i="314"/>
  <c r="E49" i="314" s="1"/>
  <c r="B37" i="314"/>
  <c r="B37" i="401"/>
  <c r="C40" i="401" s="1"/>
  <c r="A37" i="401"/>
  <c r="B37" i="397"/>
  <c r="C37" i="397"/>
  <c r="E49" i="397" s="1"/>
  <c r="C37" i="243"/>
  <c r="E49" i="243" s="1"/>
  <c r="B37" i="243"/>
  <c r="C37" i="47"/>
  <c r="E49" i="47" s="1"/>
  <c r="B37" i="47"/>
  <c r="B37" i="276"/>
  <c r="C37" i="276"/>
  <c r="E49" i="276" s="1"/>
  <c r="C37" i="272"/>
  <c r="E49" i="272" s="1"/>
  <c r="B37" i="272"/>
  <c r="C37" i="25"/>
  <c r="E49" i="25" s="1"/>
  <c r="B37" i="25"/>
  <c r="C37" i="52"/>
  <c r="E49" i="52" s="1"/>
  <c r="B37" i="52"/>
  <c r="C37" i="160"/>
  <c r="E49" i="160" s="1"/>
  <c r="B37" i="160"/>
  <c r="B37" i="140"/>
  <c r="C37" i="140"/>
  <c r="E49" i="140" s="1"/>
  <c r="B37" i="268"/>
  <c r="C37" i="268"/>
  <c r="E49" i="268" s="1"/>
  <c r="C37" i="183"/>
  <c r="E49" i="183" s="1"/>
  <c r="B37" i="183"/>
  <c r="C37" i="104"/>
  <c r="E49" i="104" s="1"/>
  <c r="B37" i="104"/>
  <c r="B37" i="280"/>
  <c r="C37" i="280"/>
  <c r="E49" i="280" s="1"/>
  <c r="C37" i="345"/>
  <c r="E49" i="345" s="1"/>
  <c r="B37" i="345"/>
  <c r="B37" i="196"/>
  <c r="C37" i="196"/>
  <c r="E49" i="196" s="1"/>
  <c r="B37" i="32"/>
  <c r="C37" i="32"/>
  <c r="E49" i="32" s="1"/>
  <c r="C37" i="109"/>
  <c r="E49" i="109" s="1"/>
  <c r="B37" i="109"/>
  <c r="C37" i="296"/>
  <c r="E49" i="296" s="1"/>
  <c r="B37" i="296"/>
  <c r="B37" i="382"/>
  <c r="C37" i="382"/>
  <c r="E49" i="382" s="1"/>
  <c r="C37" i="11"/>
  <c r="E49" i="11" s="1"/>
  <c r="B37" i="11"/>
  <c r="B37" i="292"/>
  <c r="C37" i="292"/>
  <c r="E49" i="292" s="1"/>
  <c r="C37" i="333"/>
  <c r="E49" i="333" s="1"/>
  <c r="B37" i="333"/>
  <c r="C37" i="34"/>
  <c r="E49" i="34" s="1"/>
  <c r="B37" i="34"/>
  <c r="B37" i="344"/>
  <c r="C37" i="344"/>
  <c r="E49" i="344" s="1"/>
  <c r="C37" i="366"/>
  <c r="B37" i="366"/>
  <c r="C37" i="191"/>
  <c r="E49" i="191" s="1"/>
  <c r="B37" i="191"/>
  <c r="B37" i="350"/>
  <c r="C37" i="350"/>
  <c r="E49" i="350" s="1"/>
  <c r="B37" i="348"/>
  <c r="C37" i="348"/>
  <c r="E49" i="348" s="1"/>
  <c r="C37" i="290"/>
  <c r="E49" i="290" s="1"/>
  <c r="B37" i="290"/>
  <c r="C37" i="288"/>
  <c r="E49" i="288" s="1"/>
  <c r="B37" i="288"/>
  <c r="C37" i="319"/>
  <c r="E49" i="319" s="1"/>
  <c r="B37" i="319"/>
  <c r="B37" i="336"/>
  <c r="C37" i="336"/>
  <c r="E49" i="336" s="1"/>
  <c r="C37" i="363"/>
  <c r="E49" i="363" s="1"/>
  <c r="B37" i="363"/>
  <c r="B37" i="37"/>
  <c r="C37" i="37"/>
  <c r="E49" i="37" s="1"/>
  <c r="B37" i="257"/>
  <c r="C37" i="257"/>
  <c r="E49" i="257" s="1"/>
  <c r="B37" i="21"/>
  <c r="C37" i="21"/>
  <c r="E49" i="21" s="1"/>
  <c r="B37" i="249"/>
  <c r="C37" i="249"/>
  <c r="E49" i="249" s="1"/>
  <c r="C37" i="8"/>
  <c r="E49" i="8" s="1"/>
  <c r="B37" i="8"/>
  <c r="B37" i="15"/>
  <c r="C37" i="15"/>
  <c r="E49" i="15" s="1"/>
  <c r="C37" i="190"/>
  <c r="E49" i="190" s="1"/>
  <c r="B37" i="190"/>
  <c r="C37" i="4"/>
  <c r="E49" i="4" s="1"/>
  <c r="B37" i="4"/>
  <c r="C37" i="35"/>
  <c r="E49" i="35" s="1"/>
  <c r="B37" i="35"/>
  <c r="B37" i="114"/>
  <c r="C37" i="114"/>
  <c r="E49" i="114" s="1"/>
  <c r="B37" i="322"/>
  <c r="C37" i="322"/>
  <c r="E49" i="322" s="1"/>
  <c r="B37" i="113"/>
  <c r="C37" i="113"/>
  <c r="E49" i="113" s="1"/>
  <c r="B37" i="403"/>
  <c r="C37" i="403"/>
  <c r="E49" i="403" s="1"/>
  <c r="C37" i="393"/>
  <c r="E49" i="393" s="1"/>
  <c r="B37" i="393"/>
  <c r="B37" i="303"/>
  <c r="C37" i="303"/>
  <c r="E49" i="303" s="1"/>
  <c r="C37" i="409"/>
  <c r="E49" i="409" s="1"/>
  <c r="B37" i="409"/>
  <c r="B37" i="29"/>
  <c r="C37" i="29"/>
  <c r="E49" i="29" s="1"/>
  <c r="C37" i="244"/>
  <c r="E49" i="244" s="1"/>
  <c r="B37" i="244"/>
  <c r="C37" i="229"/>
  <c r="E49" i="229" s="1"/>
  <c r="B37" i="229"/>
  <c r="B37" i="281"/>
  <c r="C37" i="281"/>
  <c r="E49" i="281" s="1"/>
  <c r="C37" i="263"/>
  <c r="E49" i="263" s="1"/>
  <c r="B37" i="263"/>
  <c r="B37" i="97"/>
  <c r="C37" i="97"/>
  <c r="E49" i="97" s="1"/>
  <c r="C37" i="203"/>
  <c r="E49" i="203" s="1"/>
  <c r="B37" i="203"/>
  <c r="B37" i="102"/>
  <c r="C37" i="102"/>
  <c r="E49" i="102" s="1"/>
  <c r="C37" i="174"/>
  <c r="E49" i="174" s="1"/>
  <c r="B37" i="174"/>
  <c r="B37" i="105"/>
  <c r="C37" i="105"/>
  <c r="E49" i="105" s="1"/>
  <c r="B37" i="337"/>
  <c r="C37" i="337"/>
  <c r="E49" i="337" s="1"/>
  <c r="B37" i="31"/>
  <c r="C37" i="31"/>
  <c r="E49" i="31" s="1"/>
  <c r="B37" i="3"/>
  <c r="C37" i="3"/>
  <c r="E49" i="3" s="1"/>
  <c r="C37" i="5"/>
  <c r="E49" i="5" s="1"/>
  <c r="B37" i="5"/>
  <c r="C37" i="202"/>
  <c r="E49" i="202" s="1"/>
  <c r="B37" i="202"/>
  <c r="C37" i="402"/>
  <c r="E49" i="402" s="1"/>
  <c r="B37" i="402"/>
  <c r="B37" i="405"/>
  <c r="C40" i="405" s="1"/>
  <c r="A37" i="405"/>
  <c r="C37" i="1"/>
  <c r="E49" i="1" s="1"/>
  <c r="B37" i="1"/>
  <c r="C37" i="239"/>
  <c r="E49" i="239" s="1"/>
  <c r="B37" i="239"/>
  <c r="B37" i="326"/>
  <c r="C37" i="326"/>
  <c r="E49" i="326" s="1"/>
  <c r="C37" i="328"/>
  <c r="E49" i="328" s="1"/>
  <c r="B37" i="328"/>
  <c r="C37" i="287"/>
  <c r="E49" i="287" s="1"/>
  <c r="B37" i="287"/>
  <c r="C37" i="285"/>
  <c r="E49" i="285" s="1"/>
  <c r="B37" i="285"/>
  <c r="C37" i="53"/>
  <c r="E49" i="53" s="1"/>
  <c r="B37" i="53"/>
  <c r="C37" i="159"/>
  <c r="E49" i="159" s="1"/>
  <c r="B37" i="159"/>
  <c r="C37" i="192"/>
  <c r="E49" i="192" s="1"/>
  <c r="B37" i="192"/>
  <c r="B37" i="143"/>
  <c r="C37" i="143"/>
  <c r="E49" i="143" s="1"/>
  <c r="B37" i="181"/>
  <c r="C37" i="181"/>
  <c r="E49" i="181" s="1"/>
  <c r="B37" i="45"/>
  <c r="C37" i="45"/>
  <c r="E49" i="45" s="1"/>
  <c r="C37" i="200"/>
  <c r="E49" i="200" s="1"/>
  <c r="B37" i="200"/>
  <c r="C37" i="162"/>
  <c r="E49" i="162" s="1"/>
  <c r="B37" i="162"/>
  <c r="C37" i="324"/>
  <c r="E49" i="324" s="1"/>
  <c r="B37" i="324"/>
  <c r="B37" i="112"/>
  <c r="C37" i="112"/>
  <c r="E49" i="112" s="1"/>
  <c r="C37" i="265"/>
  <c r="E49" i="265" s="1"/>
  <c r="B37" i="265"/>
  <c r="B37" i="101"/>
  <c r="C37" i="101"/>
  <c r="E49" i="101" s="1"/>
  <c r="B37" i="269"/>
  <c r="C37" i="269"/>
  <c r="E49" i="269" s="1"/>
  <c r="C37" i="284"/>
  <c r="E49" i="284" s="1"/>
  <c r="B37" i="284"/>
  <c r="B37" i="135"/>
  <c r="C37" i="135"/>
  <c r="E49" i="135" s="1"/>
  <c r="B37" i="340"/>
  <c r="C37" i="340"/>
  <c r="E49" i="340" s="1"/>
  <c r="C37" i="301"/>
  <c r="E49" i="301" s="1"/>
  <c r="B37" i="301"/>
  <c r="B37" i="365"/>
  <c r="C37" i="365"/>
  <c r="C37" i="233"/>
  <c r="E49" i="233" s="1"/>
  <c r="B37" i="233"/>
  <c r="C37" i="297"/>
  <c r="E49" i="297" s="1"/>
  <c r="B37" i="297"/>
  <c r="B37" i="293"/>
  <c r="C37" i="293"/>
  <c r="E49" i="293" s="1"/>
  <c r="B37" i="298"/>
  <c r="C37" i="298"/>
  <c r="E49" i="298" s="1"/>
  <c r="B37" i="318"/>
  <c r="C37" i="318"/>
  <c r="E49" i="318" s="1"/>
  <c r="B37" i="33"/>
  <c r="C37" i="33"/>
  <c r="E49" i="33" s="1"/>
  <c r="C37" i="169"/>
  <c r="E49" i="169" s="1"/>
  <c r="B37" i="169"/>
  <c r="B37" i="204"/>
  <c r="C37" i="204"/>
  <c r="E49" i="204" s="1"/>
  <c r="C37" i="23"/>
  <c r="E49" i="23" s="1"/>
  <c r="B37" i="23"/>
  <c r="C37" i="153"/>
  <c r="E49" i="153" s="1"/>
  <c r="B37" i="153"/>
  <c r="B37" i="48"/>
  <c r="C37" i="48"/>
  <c r="E49" i="48" s="1"/>
  <c r="C37" i="384"/>
  <c r="E49" i="384" s="1"/>
  <c r="B37" i="384"/>
  <c r="C37" i="356"/>
  <c r="E49" i="356" s="1"/>
  <c r="B37" i="356"/>
  <c r="C37" i="299"/>
  <c r="E49" i="299" s="1"/>
  <c r="B37" i="299"/>
  <c r="C37" i="349"/>
  <c r="E49" i="349" s="1"/>
  <c r="B37" i="349"/>
  <c r="C37" i="392"/>
  <c r="E49" i="392" s="1"/>
  <c r="B37" i="392"/>
  <c r="C37" i="354"/>
  <c r="E49" i="354" s="1"/>
  <c r="B37" i="354"/>
  <c r="B37" i="352"/>
  <c r="C37" i="352"/>
  <c r="E49" i="352" s="1"/>
  <c r="B37" i="400"/>
  <c r="C37" i="400"/>
  <c r="E49" i="400" s="1"/>
  <c r="B37" i="368"/>
  <c r="C37" i="368"/>
  <c r="E49" i="368" s="1"/>
  <c r="C37" i="394"/>
  <c r="E49" i="394" s="1"/>
  <c r="B37" i="394"/>
  <c r="B37" i="387"/>
  <c r="C37" i="387"/>
  <c r="E49" i="387" s="1"/>
  <c r="B37" i="43"/>
  <c r="C37" i="43"/>
  <c r="E49" i="43" s="1"/>
  <c r="C37" i="28"/>
  <c r="E49" i="28" s="1"/>
  <c r="B37" i="28"/>
  <c r="B37" i="407"/>
  <c r="C40" i="407" s="1"/>
  <c r="A37" i="407"/>
  <c r="C37" i="248"/>
  <c r="E49" i="248" s="1"/>
  <c r="B37" i="248"/>
  <c r="C37" i="44"/>
  <c r="B37" i="44"/>
  <c r="B37" i="270"/>
  <c r="C37" i="270"/>
  <c r="E49" i="270" s="1"/>
  <c r="C37" i="184"/>
  <c r="E49" i="184" s="1"/>
  <c r="B37" i="184"/>
  <c r="B37" i="346"/>
  <c r="C37" i="346"/>
  <c r="E49" i="346" s="1"/>
  <c r="C37" i="75"/>
  <c r="E49" i="75" s="1"/>
  <c r="B37" i="75"/>
  <c r="C37" i="279"/>
  <c r="B37" i="279"/>
  <c r="B37" i="295"/>
  <c r="C37" i="295"/>
  <c r="E49" i="295" s="1"/>
  <c r="B37" i="206"/>
  <c r="C37" i="206"/>
  <c r="E49" i="206" s="1"/>
  <c r="B37" i="194"/>
  <c r="C37" i="194"/>
  <c r="E49" i="194" s="1"/>
  <c r="C37" i="320"/>
  <c r="E49" i="320" s="1"/>
  <c r="B37" i="320"/>
  <c r="A37" i="369"/>
  <c r="B37" i="369"/>
  <c r="C40" i="369" s="1"/>
  <c r="B37" i="7"/>
  <c r="C37" i="7"/>
  <c r="E49" i="7" s="1"/>
  <c r="C37" i="355"/>
  <c r="E49" i="355" s="1"/>
  <c r="B37" i="355"/>
  <c r="C37" i="323"/>
  <c r="E49" i="323" s="1"/>
  <c r="B37" i="323"/>
  <c r="B37" i="361"/>
  <c r="C37" i="361"/>
  <c r="E49" i="361" s="1"/>
  <c r="C37" i="359"/>
  <c r="E49" i="359" s="1"/>
  <c r="B37" i="359"/>
  <c r="B37" i="406"/>
  <c r="C40" i="406" s="1"/>
  <c r="A37" i="406"/>
  <c r="C37" i="246"/>
  <c r="E49" i="246" s="1"/>
  <c r="B37" i="246"/>
  <c r="C37" i="46"/>
  <c r="E49" i="46" s="1"/>
  <c r="B37" i="46"/>
  <c r="C37" i="230"/>
  <c r="E49" i="230" s="1"/>
  <c r="B37" i="230"/>
  <c r="C37" i="87"/>
  <c r="E49" i="87" s="1"/>
  <c r="B37" i="87"/>
  <c r="C37" i="116"/>
  <c r="E49" i="116" s="1"/>
  <c r="B37" i="116"/>
  <c r="B37" i="332"/>
  <c r="C37" i="332"/>
  <c r="E49" i="332" s="1"/>
  <c r="C37" i="176"/>
  <c r="E49" i="176" s="1"/>
  <c r="B37" i="176"/>
  <c r="C37" i="271"/>
  <c r="E49" i="271" s="1"/>
  <c r="B37" i="271"/>
  <c r="B37" i="209"/>
  <c r="C37" i="209"/>
  <c r="E49" i="209" s="1"/>
  <c r="B37" i="27"/>
  <c r="C37" i="27"/>
  <c r="E49" i="27" s="1"/>
  <c r="C37" i="383"/>
  <c r="E49" i="383" s="1"/>
  <c r="B37" i="383"/>
  <c r="B37" i="74"/>
  <c r="C37" i="74"/>
  <c r="E49" i="74" s="1"/>
  <c r="C37" i="198"/>
  <c r="E49" i="198" s="1"/>
  <c r="B37" i="198"/>
  <c r="B37" i="164"/>
  <c r="C37" i="164"/>
  <c r="E49" i="164" s="1"/>
  <c r="B37" i="85"/>
  <c r="C37" i="85"/>
  <c r="E49" i="85" s="1"/>
  <c r="B37" i="262"/>
  <c r="C37" i="262"/>
  <c r="E49" i="262" s="1"/>
  <c r="C37" i="103"/>
  <c r="E49" i="103" s="1"/>
  <c r="B37" i="103"/>
  <c r="B37" i="335"/>
  <c r="C37" i="335"/>
  <c r="C37" i="325"/>
  <c r="E49" i="325" s="1"/>
  <c r="B37" i="325"/>
  <c r="B37" i="283"/>
  <c r="C37" i="283"/>
  <c r="E49" i="283" s="1"/>
  <c r="B37" i="187"/>
  <c r="C37" i="187"/>
  <c r="E49" i="187" s="1"/>
  <c r="C37" i="338"/>
  <c r="E49" i="338" s="1"/>
  <c r="B37" i="338"/>
  <c r="B37" i="22"/>
  <c r="C37" i="22"/>
  <c r="E49" i="22" s="1"/>
  <c r="C37" i="294"/>
  <c r="E49" i="294" s="1"/>
  <c r="B37" i="294"/>
  <c r="B37" i="20"/>
  <c r="C37" i="20"/>
  <c r="E49" i="20" s="1"/>
  <c r="C37" i="193"/>
  <c r="E49" i="193" s="1"/>
  <c r="B37" i="193"/>
  <c r="C37" i="357"/>
  <c r="B37" i="357"/>
  <c r="C37" i="227"/>
  <c r="E49" i="227" s="1"/>
  <c r="B37" i="227"/>
  <c r="A37" i="343"/>
  <c r="B37" i="343"/>
  <c r="C40" i="343" s="1"/>
  <c r="C37" i="334"/>
  <c r="E49" i="334" s="1"/>
  <c r="B37" i="334"/>
  <c r="C37" i="168"/>
  <c r="E49" i="168" s="1"/>
  <c r="B37" i="168"/>
  <c r="C37" i="367"/>
  <c r="E49" i="367" s="1"/>
  <c r="B37" i="367"/>
  <c r="B37" i="347"/>
  <c r="C37" i="347"/>
  <c r="E49" i="347" s="1"/>
  <c r="B37" i="261"/>
  <c r="C37" i="261"/>
  <c r="E49" i="261" s="1"/>
  <c r="C37" i="201"/>
  <c r="E49" i="201" s="1"/>
  <c r="B37" i="201"/>
  <c r="C37" i="54"/>
  <c r="E49" i="54" s="1"/>
  <c r="B37" i="54"/>
  <c r="B37" i="17"/>
  <c r="C37" i="17"/>
  <c r="E49" i="17" s="1"/>
  <c r="C37" i="12"/>
  <c r="E49" i="12" s="1"/>
  <c r="B37" i="12"/>
  <c r="C37" i="207"/>
  <c r="E49" i="207" s="1"/>
  <c r="B37" i="207"/>
  <c r="C37" i="385"/>
  <c r="E49" i="385" s="1"/>
  <c r="B37" i="385"/>
  <c r="B37" i="391"/>
  <c r="C37" i="391"/>
  <c r="E49" i="391" s="1"/>
  <c r="B37" i="362"/>
  <c r="C37" i="362"/>
  <c r="E49" i="362" s="1"/>
  <c r="C37" i="351"/>
  <c r="E49" i="351" s="1"/>
  <c r="B37" i="351"/>
  <c r="C37" i="408"/>
  <c r="B37" i="408"/>
  <c r="C37" i="364"/>
  <c r="E49" i="364" s="1"/>
  <c r="B37" i="364"/>
  <c r="A37" i="396"/>
  <c r="B37" i="396"/>
  <c r="C40" i="396" s="1"/>
  <c r="C37" i="386"/>
  <c r="E49" i="386" s="1"/>
  <c r="B37" i="386"/>
  <c r="C37" i="389"/>
  <c r="E49" i="389" s="1"/>
  <c r="B37" i="389"/>
  <c r="B37" i="360"/>
  <c r="C37" i="360"/>
  <c r="E49" i="360" s="1"/>
  <c r="C37" i="89"/>
  <c r="E49" i="89" s="1"/>
  <c r="B37" i="89"/>
  <c r="C37" i="148"/>
  <c r="E49" i="148" s="1"/>
  <c r="B37" i="148"/>
  <c r="C37" i="88"/>
  <c r="E49" i="88" s="1"/>
  <c r="B37" i="88"/>
  <c r="F36" i="407"/>
  <c r="G36" i="244"/>
  <c r="G36" i="248"/>
  <c r="G36" i="329"/>
  <c r="G36" i="229"/>
  <c r="G36" i="44"/>
  <c r="G36" i="24"/>
  <c r="G36" i="281"/>
  <c r="G36" i="107"/>
  <c r="G36" i="270"/>
  <c r="G36" i="263"/>
  <c r="G36" i="184"/>
  <c r="G36" i="254"/>
  <c r="G36" i="97"/>
  <c r="G36" i="346"/>
  <c r="G36" i="197"/>
  <c r="G36" i="203"/>
  <c r="G36" i="2"/>
  <c r="G36" i="102"/>
  <c r="G36" i="279"/>
  <c r="G36" i="339"/>
  <c r="G36" i="295"/>
  <c r="G36" i="174"/>
  <c r="G36" i="61"/>
  <c r="G36" i="206"/>
  <c r="G36" i="105"/>
  <c r="G36" i="194"/>
  <c r="G36" i="289"/>
  <c r="G36" i="337"/>
  <c r="G36" i="320"/>
  <c r="G36" i="342"/>
  <c r="G36" i="31"/>
  <c r="F36" i="369"/>
  <c r="G36" i="19"/>
  <c r="G36" i="13"/>
  <c r="G36" i="7"/>
  <c r="G36" i="3"/>
  <c r="G36" i="355"/>
  <c r="G36" i="16"/>
  <c r="G36" i="5"/>
  <c r="G36" i="202"/>
  <c r="G36" i="323"/>
  <c r="G36" i="361"/>
  <c r="G36" i="402"/>
  <c r="G36" i="9"/>
  <c r="G36" i="314"/>
  <c r="G36" i="89"/>
  <c r="G36" i="397"/>
  <c r="G36" i="47"/>
  <c r="G36" i="276"/>
  <c r="G36" i="272"/>
  <c r="G36" i="25"/>
  <c r="G36" i="160"/>
  <c r="G36" i="140"/>
  <c r="G36" i="268"/>
  <c r="G36" i="183"/>
  <c r="G36" i="104"/>
  <c r="G36" i="280"/>
  <c r="G36" i="345"/>
  <c r="G36" i="196"/>
  <c r="G36" i="32"/>
  <c r="G36" i="109"/>
  <c r="G36" i="296"/>
  <c r="G36" i="382"/>
  <c r="G36" i="11"/>
  <c r="G36" i="292"/>
  <c r="G36" i="333"/>
  <c r="G36" i="34"/>
  <c r="G36" i="344"/>
  <c r="G36" i="366"/>
  <c r="G36" i="191"/>
  <c r="G36" i="350"/>
  <c r="G36" i="348"/>
  <c r="G36" i="290"/>
  <c r="G36" i="288"/>
  <c r="G36" i="319"/>
  <c r="G36" i="336"/>
  <c r="G36" i="363"/>
  <c r="G36" i="37"/>
  <c r="G36" i="257"/>
  <c r="G36" i="21"/>
  <c r="G36" i="249"/>
  <c r="G36" i="8"/>
  <c r="G36" i="15"/>
  <c r="G36" i="190"/>
  <c r="G36" i="4"/>
  <c r="G36" i="35"/>
  <c r="G36" i="114"/>
  <c r="G36" i="322"/>
  <c r="G36" i="113"/>
  <c r="G36" i="403"/>
  <c r="G36" i="393"/>
  <c r="G36" i="303"/>
  <c r="G36" i="239"/>
  <c r="G36" i="328"/>
  <c r="G36" i="287"/>
  <c r="G36" i="285"/>
  <c r="G36" i="159"/>
  <c r="G36" i="192"/>
  <c r="G36" i="143"/>
  <c r="G36" i="181"/>
  <c r="G36" i="45"/>
  <c r="G36" i="200"/>
  <c r="G36" i="162"/>
  <c r="G36" i="324"/>
  <c r="G36" i="112"/>
  <c r="G36" i="265"/>
  <c r="G36" i="101"/>
  <c r="G36" i="269"/>
  <c r="G36" i="284"/>
  <c r="G36" i="135"/>
  <c r="G36" i="340"/>
  <c r="G36" i="301"/>
  <c r="G36" i="365"/>
  <c r="G36" i="233"/>
  <c r="G36" i="297"/>
  <c r="G36" i="293"/>
  <c r="G36" i="298"/>
  <c r="G36" i="318"/>
  <c r="G36" i="33"/>
  <c r="G36" i="169"/>
  <c r="G36" i="204"/>
  <c r="G36" i="23"/>
  <c r="G36" i="153"/>
  <c r="G36" i="48"/>
  <c r="G36" i="384"/>
  <c r="G36" i="356"/>
  <c r="G36" i="299"/>
  <c r="G36" i="349"/>
  <c r="G36" i="392"/>
  <c r="G36" i="354"/>
  <c r="G36" i="352"/>
  <c r="G36" i="400"/>
  <c r="G36" i="368"/>
  <c r="G36" i="394"/>
  <c r="G36" i="387"/>
  <c r="F36" i="401"/>
  <c r="G36" i="243"/>
  <c r="F36" i="405"/>
  <c r="G36" i="1"/>
  <c r="G36" i="326"/>
  <c r="F36" i="406"/>
  <c r="G36" i="246"/>
  <c r="G36" i="46"/>
  <c r="G36" i="230"/>
  <c r="G36" i="87"/>
  <c r="G36" i="116"/>
  <c r="G36" i="332"/>
  <c r="G36" i="176"/>
  <c r="G36" i="271"/>
  <c r="G36" i="209"/>
  <c r="G36" i="27"/>
  <c r="G36" i="383"/>
  <c r="G36" i="74"/>
  <c r="G36" i="198"/>
  <c r="G36" i="164"/>
  <c r="G36" i="85"/>
  <c r="G36" i="262"/>
  <c r="G36" i="103"/>
  <c r="G36" i="335"/>
  <c r="G36" i="325"/>
  <c r="G36" i="283"/>
  <c r="G36" i="187"/>
  <c r="G36" i="338"/>
  <c r="G36" i="22"/>
  <c r="G36" i="294"/>
  <c r="G36" i="193"/>
  <c r="G36" i="357"/>
  <c r="G36" i="227"/>
  <c r="F36" i="343"/>
  <c r="G36" i="334"/>
  <c r="G36" i="168"/>
  <c r="G36" i="367"/>
  <c r="G36" i="347"/>
  <c r="G36" i="261"/>
  <c r="G36" i="201"/>
  <c r="G36" i="54"/>
  <c r="G36" i="17"/>
  <c r="G36" i="12"/>
  <c r="G36" i="207"/>
  <c r="G36" i="385"/>
  <c r="G36" i="391"/>
  <c r="G36" i="362"/>
  <c r="G36" i="351"/>
  <c r="G36" i="408"/>
  <c r="G36" i="364"/>
  <c r="F36" i="396"/>
  <c r="G36" i="386"/>
  <c r="G36" i="389"/>
  <c r="G36" i="360"/>
  <c r="G36" i="359"/>
  <c r="G36" i="29"/>
  <c r="G36" i="28"/>
  <c r="G36" i="148"/>
  <c r="G36" i="88"/>
  <c r="G36" i="43"/>
  <c r="G36" i="409"/>
  <c r="G36" i="52"/>
  <c r="G36" i="53"/>
  <c r="G36" i="75"/>
  <c r="G36" i="20"/>
  <c r="G36" i="18"/>
  <c r="D40" i="362" l="1"/>
  <c r="D40" i="261"/>
  <c r="D40" i="283"/>
  <c r="D40" i="335"/>
  <c r="E49" i="335"/>
  <c r="D40" i="262"/>
  <c r="D40" i="164"/>
  <c r="D40" i="74"/>
  <c r="D40" i="209"/>
  <c r="D40" i="7"/>
  <c r="D40" i="206"/>
  <c r="D40" i="346"/>
  <c r="D40" i="270"/>
  <c r="D40" i="387"/>
  <c r="D40" i="368"/>
  <c r="D40" i="352"/>
  <c r="D40" i="204"/>
  <c r="D40" i="33"/>
  <c r="D40" i="298"/>
  <c r="D40" i="365"/>
  <c r="E49" i="365"/>
  <c r="D40" i="340"/>
  <c r="D40" i="101"/>
  <c r="D40" i="112"/>
  <c r="D40" i="45"/>
  <c r="D40" i="143"/>
  <c r="D40" i="3"/>
  <c r="D40" i="337"/>
  <c r="D40" i="29"/>
  <c r="D40" i="303"/>
  <c r="D40" i="403"/>
  <c r="D40" i="322"/>
  <c r="D40" i="21"/>
  <c r="D40" i="37"/>
  <c r="D40" i="336"/>
  <c r="D40" i="348"/>
  <c r="D40" i="344"/>
  <c r="D40" i="32"/>
  <c r="D40" i="268"/>
  <c r="D40" i="276"/>
  <c r="D40" i="342"/>
  <c r="D40" i="339"/>
  <c r="D40" i="197"/>
  <c r="D40" i="107"/>
  <c r="D40" i="329"/>
  <c r="D40" i="88"/>
  <c r="D40" i="89"/>
  <c r="D40" i="389"/>
  <c r="D40" i="408"/>
  <c r="E49" i="408"/>
  <c r="D40" i="385"/>
  <c r="D40" i="12"/>
  <c r="D40" i="54"/>
  <c r="D40" i="367"/>
  <c r="D40" i="334"/>
  <c r="D40" i="227"/>
  <c r="D40" i="193"/>
  <c r="D40" i="294"/>
  <c r="D40" i="338"/>
  <c r="D40" i="176"/>
  <c r="D40" i="116"/>
  <c r="D40" i="230"/>
  <c r="D40" i="246"/>
  <c r="D40" i="359"/>
  <c r="D40" i="323"/>
  <c r="D40" i="320"/>
  <c r="D40" i="279"/>
  <c r="E49" i="279"/>
  <c r="D40" i="248"/>
  <c r="D40" i="28"/>
  <c r="D40" i="392"/>
  <c r="D40" i="299"/>
  <c r="D40" i="384"/>
  <c r="D40" i="153"/>
  <c r="D40" i="297"/>
  <c r="D40" i="284"/>
  <c r="D40" i="162"/>
  <c r="D40" i="159"/>
  <c r="D40" i="285"/>
  <c r="D40" i="328"/>
  <c r="D40" i="239"/>
  <c r="D40" i="202"/>
  <c r="D40" i="174"/>
  <c r="D40" i="203"/>
  <c r="D40" i="263"/>
  <c r="D40" i="229"/>
  <c r="D40" i="35"/>
  <c r="D40" i="190"/>
  <c r="D40" i="8"/>
  <c r="D40" i="288"/>
  <c r="D40" i="191"/>
  <c r="D40" i="333"/>
  <c r="D40" i="11"/>
  <c r="D40" i="296"/>
  <c r="D40" i="345"/>
  <c r="D40" i="104"/>
  <c r="D40" i="160"/>
  <c r="D40" i="25"/>
  <c r="D40" i="243"/>
  <c r="D40" i="314"/>
  <c r="D40" i="13"/>
  <c r="D40" i="18"/>
  <c r="D40" i="254"/>
  <c r="D40" i="24"/>
  <c r="D40" i="360"/>
  <c r="D40" i="391"/>
  <c r="D40" i="17"/>
  <c r="D40" i="347"/>
  <c r="D40" i="20"/>
  <c r="D40" i="22"/>
  <c r="D40" i="187"/>
  <c r="D40" i="85"/>
  <c r="D40" i="27"/>
  <c r="D40" i="332"/>
  <c r="D40" i="361"/>
  <c r="D40" i="194"/>
  <c r="D40" i="295"/>
  <c r="D40" i="43"/>
  <c r="D40" i="400"/>
  <c r="D40" i="48"/>
  <c r="D40" i="318"/>
  <c r="D40" i="293"/>
  <c r="D40" i="135"/>
  <c r="D40" i="269"/>
  <c r="D40" i="181"/>
  <c r="D40" i="326"/>
  <c r="D40" i="31"/>
  <c r="D40" i="105"/>
  <c r="D40" i="102"/>
  <c r="D40" i="97"/>
  <c r="D40" i="281"/>
  <c r="D40" i="113"/>
  <c r="D40" i="114"/>
  <c r="D40" i="15"/>
  <c r="D40" i="249"/>
  <c r="D40" i="257"/>
  <c r="D40" i="350"/>
  <c r="D40" i="292"/>
  <c r="D40" i="382"/>
  <c r="D40" i="196"/>
  <c r="D40" i="280"/>
  <c r="D40" i="140"/>
  <c r="D40" i="397"/>
  <c r="D40" i="9"/>
  <c r="D40" i="16"/>
  <c r="D40" i="19"/>
  <c r="D40" i="289"/>
  <c r="D40" i="61"/>
  <c r="D40" i="2"/>
  <c r="D40" i="148"/>
  <c r="D40" i="386"/>
  <c r="D40" i="364"/>
  <c r="D40" i="351"/>
  <c r="D40" i="207"/>
  <c r="D40" i="201"/>
  <c r="D40" i="168"/>
  <c r="D40" i="357"/>
  <c r="E49" i="357"/>
  <c r="D40" i="325"/>
  <c r="D40" i="103"/>
  <c r="D40" i="198"/>
  <c r="D40" i="383"/>
  <c r="D40" i="271"/>
  <c r="D40" i="87"/>
  <c r="D40" i="46"/>
  <c r="D40" i="355"/>
  <c r="D40" i="75"/>
  <c r="D40" i="184"/>
  <c r="D40" i="44"/>
  <c r="E49" i="44"/>
  <c r="D40" i="394"/>
  <c r="D40" i="354"/>
  <c r="D40" i="349"/>
  <c r="D40" i="356"/>
  <c r="D40" i="23"/>
  <c r="D40" i="169"/>
  <c r="D40" i="233"/>
  <c r="D40" i="301"/>
  <c r="D40" i="265"/>
  <c r="D40" i="324"/>
  <c r="D40" i="200"/>
  <c r="D40" i="192"/>
  <c r="D40" i="53"/>
  <c r="D40" i="287"/>
  <c r="D40" i="1"/>
  <c r="D40" i="402"/>
  <c r="D40" i="5"/>
  <c r="D40" i="244"/>
  <c r="D40" i="409"/>
  <c r="D40" i="393"/>
  <c r="D40" i="4"/>
  <c r="D40" i="363"/>
  <c r="D40" i="319"/>
  <c r="D40" i="290"/>
  <c r="D40" i="366"/>
  <c r="E49" i="366"/>
  <c r="D40" i="34"/>
  <c r="D40" i="109"/>
  <c r="D40" i="183"/>
  <c r="D40" i="52"/>
  <c r="D40" i="272"/>
  <c r="D40" i="47"/>
  <c r="D40" i="353"/>
  <c r="T35" i="409"/>
  <c r="I35" i="409" s="1"/>
  <c r="K34" i="409"/>
  <c r="M46" i="409" s="1"/>
  <c r="U34" i="409"/>
  <c r="T34" i="409"/>
  <c r="I34" i="409" s="1"/>
  <c r="J46" i="409" s="1"/>
  <c r="F34" i="409"/>
  <c r="H46" i="409" s="1"/>
  <c r="T33" i="409"/>
  <c r="I33" i="409" s="1"/>
  <c r="F33" i="409"/>
  <c r="H45" i="409" s="1"/>
  <c r="T32" i="409"/>
  <c r="I32" i="409" s="1"/>
  <c r="J44" i="409" s="1"/>
  <c r="F32" i="409"/>
  <c r="H44" i="409" s="1"/>
  <c r="K31" i="409"/>
  <c r="M43" i="409" s="1"/>
  <c r="U31" i="409"/>
  <c r="T31" i="409"/>
  <c r="I31" i="409" s="1"/>
  <c r="F31" i="409"/>
  <c r="H43" i="409" s="1"/>
  <c r="T30" i="409"/>
  <c r="I30" i="409" s="1"/>
  <c r="J42" i="409" s="1"/>
  <c r="F30" i="409"/>
  <c r="H42" i="409" s="1"/>
  <c r="T29" i="409"/>
  <c r="I29" i="409" s="1"/>
  <c r="F29" i="409"/>
  <c r="H41" i="409" s="1"/>
  <c r="K28" i="409"/>
  <c r="U28" i="409"/>
  <c r="M40" i="409" s="1"/>
  <c r="T28" i="409"/>
  <c r="I28" i="409" s="1"/>
  <c r="J40" i="409" s="1"/>
  <c r="F28" i="409"/>
  <c r="T27" i="409"/>
  <c r="I27" i="409" s="1"/>
  <c r="F27" i="409"/>
  <c r="T26" i="409"/>
  <c r="I26" i="409" s="1"/>
  <c r="J38" i="409" s="1"/>
  <c r="F26" i="409"/>
  <c r="K25" i="409"/>
  <c r="U25" i="409"/>
  <c r="M37" i="409" s="1"/>
  <c r="T25" i="409"/>
  <c r="I25" i="409" s="1"/>
  <c r="F25" i="409"/>
  <c r="T24" i="409"/>
  <c r="I24" i="409" s="1"/>
  <c r="J36" i="409" s="1"/>
  <c r="F24" i="409"/>
  <c r="T23" i="409"/>
  <c r="I23" i="409" s="1"/>
  <c r="F23" i="409"/>
  <c r="K22" i="409"/>
  <c r="U22" i="409"/>
  <c r="T22" i="409"/>
  <c r="I22" i="409" s="1"/>
  <c r="F22" i="409"/>
  <c r="T21" i="409"/>
  <c r="I21" i="409" s="1"/>
  <c r="F21" i="409"/>
  <c r="T20" i="409"/>
  <c r="I20" i="409" s="1"/>
  <c r="F20" i="409"/>
  <c r="K19" i="409"/>
  <c r="U19" i="409"/>
  <c r="T19" i="409"/>
  <c r="I19" i="409" s="1"/>
  <c r="F19" i="409"/>
  <c r="T18" i="409"/>
  <c r="I18" i="409" s="1"/>
  <c r="F18" i="409"/>
  <c r="T17" i="409"/>
  <c r="I17" i="409" s="1"/>
  <c r="F17" i="409"/>
  <c r="K16" i="409"/>
  <c r="U16" i="409"/>
  <c r="T16" i="409"/>
  <c r="I16" i="409" s="1"/>
  <c r="F16" i="409"/>
  <c r="T15" i="409"/>
  <c r="I15" i="409" s="1"/>
  <c r="F15" i="409"/>
  <c r="T14" i="409"/>
  <c r="I14" i="409" s="1"/>
  <c r="F14" i="409"/>
  <c r="K13" i="409"/>
  <c r="U13" i="409"/>
  <c r="T13" i="409"/>
  <c r="I13" i="409" s="1"/>
  <c r="F13" i="409"/>
  <c r="T12" i="409"/>
  <c r="I12" i="409" s="1"/>
  <c r="F12" i="409"/>
  <c r="T11" i="409"/>
  <c r="I11" i="409" s="1"/>
  <c r="F11" i="409"/>
  <c r="K10" i="409"/>
  <c r="U10" i="409"/>
  <c r="T10" i="409"/>
  <c r="I10" i="409" s="1"/>
  <c r="F10" i="409"/>
  <c r="T9" i="409"/>
  <c r="I9" i="409" s="1"/>
  <c r="F9" i="409"/>
  <c r="T8" i="409"/>
  <c r="I8" i="409" s="1"/>
  <c r="F8" i="409"/>
  <c r="K7" i="409"/>
  <c r="U7" i="409"/>
  <c r="T7" i="409"/>
  <c r="I7" i="409" s="1"/>
  <c r="F7" i="409"/>
  <c r="T6" i="409"/>
  <c r="I6" i="409" s="1"/>
  <c r="F6" i="409"/>
  <c r="T5" i="409"/>
  <c r="I5" i="409" s="1"/>
  <c r="F5" i="409"/>
  <c r="J28" i="409" l="1"/>
  <c r="J32" i="409"/>
  <c r="J30" i="409"/>
  <c r="J18" i="409"/>
  <c r="J20" i="409"/>
  <c r="J17" i="409"/>
  <c r="J34" i="409"/>
  <c r="J35" i="409"/>
  <c r="J47" i="409"/>
  <c r="J33" i="409"/>
  <c r="J45" i="409"/>
  <c r="J25" i="409"/>
  <c r="J37" i="409"/>
  <c r="J31" i="409"/>
  <c r="J43" i="409"/>
  <c r="J27" i="409"/>
  <c r="J39" i="409"/>
  <c r="J29" i="409"/>
  <c r="J41" i="409"/>
  <c r="J22" i="409"/>
  <c r="J24" i="409"/>
  <c r="J26" i="409"/>
  <c r="J19" i="409"/>
  <c r="J21" i="409"/>
  <c r="J23" i="409"/>
  <c r="L37" i="409"/>
  <c r="H36" i="409"/>
  <c r="H39" i="409"/>
  <c r="H37" i="409"/>
  <c r="H38" i="409"/>
  <c r="H40" i="409"/>
  <c r="N37" i="409"/>
  <c r="O40" i="409" s="1"/>
  <c r="H28" i="409"/>
  <c r="L13" i="409"/>
  <c r="N25" i="409"/>
  <c r="G15" i="409"/>
  <c r="G27" i="409"/>
  <c r="G10" i="409"/>
  <c r="L34" i="409"/>
  <c r="N10" i="409"/>
  <c r="G6" i="409"/>
  <c r="G9" i="409"/>
  <c r="G11" i="409"/>
  <c r="L10" i="409"/>
  <c r="N7" i="409"/>
  <c r="G7" i="409"/>
  <c r="B10" i="409"/>
  <c r="C10" i="409"/>
  <c r="G14" i="409"/>
  <c r="G12" i="409"/>
  <c r="L28" i="409"/>
  <c r="G22" i="409"/>
  <c r="C22" i="409"/>
  <c r="C34" i="409"/>
  <c r="E46" i="409" s="1"/>
  <c r="G34" i="409"/>
  <c r="N31" i="409"/>
  <c r="N19" i="409"/>
  <c r="C28" i="409"/>
  <c r="E40" i="409" s="1"/>
  <c r="N34" i="409"/>
  <c r="M28" i="409"/>
  <c r="M34" i="409"/>
  <c r="H26" i="409"/>
  <c r="G28" i="409"/>
  <c r="G33" i="409"/>
  <c r="H34" i="409"/>
  <c r="N28" i="409"/>
  <c r="H33" i="409"/>
  <c r="H20" i="409"/>
  <c r="B13" i="409"/>
  <c r="L16" i="409"/>
  <c r="N22" i="409"/>
  <c r="H22" i="409"/>
  <c r="H32" i="409"/>
  <c r="G13" i="409"/>
  <c r="L22" i="409"/>
  <c r="N13" i="409"/>
  <c r="G21" i="409"/>
  <c r="H27" i="409"/>
  <c r="H24" i="409"/>
  <c r="G24" i="409"/>
  <c r="H18" i="409"/>
  <c r="G18" i="409"/>
  <c r="H21" i="409"/>
  <c r="M25" i="409"/>
  <c r="L25" i="409"/>
  <c r="M31" i="409"/>
  <c r="L31" i="409"/>
  <c r="H30" i="409"/>
  <c r="G30" i="409"/>
  <c r="C7" i="409"/>
  <c r="B7" i="409"/>
  <c r="G16" i="409"/>
  <c r="B16" i="409"/>
  <c r="M19" i="409"/>
  <c r="L19" i="409"/>
  <c r="H23" i="409"/>
  <c r="C25" i="409"/>
  <c r="E37" i="409" s="1"/>
  <c r="G23" i="409"/>
  <c r="B25" i="409"/>
  <c r="H29" i="409"/>
  <c r="C31" i="409"/>
  <c r="E43" i="409" s="1"/>
  <c r="G29" i="409"/>
  <c r="B31" i="409"/>
  <c r="G35" i="409"/>
  <c r="H35" i="409"/>
  <c r="H19" i="409"/>
  <c r="G19" i="409"/>
  <c r="N16" i="409"/>
  <c r="H17" i="409"/>
  <c r="C19" i="409"/>
  <c r="G17" i="409"/>
  <c r="B19" i="409"/>
  <c r="H25" i="409"/>
  <c r="G25" i="409"/>
  <c r="H31" i="409"/>
  <c r="G31" i="409"/>
  <c r="C13" i="409"/>
  <c r="M22" i="409"/>
  <c r="G8" i="409"/>
  <c r="C16" i="409"/>
  <c r="B22" i="409"/>
  <c r="B28" i="409"/>
  <c r="B34" i="409"/>
  <c r="G20" i="409"/>
  <c r="G26" i="409"/>
  <c r="G32" i="409"/>
  <c r="O25" i="409" l="1"/>
  <c r="O37" i="409"/>
  <c r="D37" i="409"/>
  <c r="O13" i="409"/>
  <c r="O28" i="409"/>
  <c r="O10" i="409"/>
  <c r="D22" i="409"/>
  <c r="D34" i="409"/>
  <c r="E34" i="409"/>
  <c r="O19" i="409"/>
  <c r="D13" i="409"/>
  <c r="D10" i="409"/>
  <c r="O16" i="409"/>
  <c r="E22" i="409"/>
  <c r="O34" i="409"/>
  <c r="O31" i="409"/>
  <c r="O22" i="409"/>
  <c r="E25" i="409"/>
  <c r="D25" i="409"/>
  <c r="E19" i="409"/>
  <c r="D19" i="409"/>
  <c r="D16" i="409"/>
  <c r="D28" i="409"/>
  <c r="E31" i="409"/>
  <c r="D31" i="409"/>
  <c r="E28" i="409"/>
  <c r="S35" i="144" l="1"/>
  <c r="R35" i="144"/>
  <c r="K37" i="144" s="1"/>
  <c r="M49" i="144" s="1"/>
  <c r="Q35" i="144"/>
  <c r="U37" i="144" s="1"/>
  <c r="S35" i="186"/>
  <c r="R35" i="186"/>
  <c r="K37" i="186" s="1"/>
  <c r="M49" i="186" s="1"/>
  <c r="Q35" i="186"/>
  <c r="U37" i="186" s="1"/>
  <c r="S35" i="231"/>
  <c r="R35" i="231"/>
  <c r="Q35" i="231"/>
  <c r="K37" i="231" s="1"/>
  <c r="M49" i="231" s="1"/>
  <c r="S35" i="398"/>
  <c r="R35" i="398"/>
  <c r="K37" i="398" s="1"/>
  <c r="M49" i="398" s="1"/>
  <c r="Q35" i="398"/>
  <c r="U37" i="398" s="1"/>
  <c r="K37" i="185"/>
  <c r="M49" i="185" s="1"/>
  <c r="U37" i="185"/>
  <c r="T29" i="22"/>
  <c r="I29" i="22" s="1"/>
  <c r="J41" i="22" s="1"/>
  <c r="T30" i="22"/>
  <c r="I30" i="22" s="1"/>
  <c r="T31" i="22"/>
  <c r="I31" i="22" s="1"/>
  <c r="J43" i="22" s="1"/>
  <c r="T32" i="22"/>
  <c r="I32" i="22" s="1"/>
  <c r="T33" i="22"/>
  <c r="I33" i="22" s="1"/>
  <c r="J45" i="22" s="1"/>
  <c r="T34" i="22"/>
  <c r="I34" i="22" s="1"/>
  <c r="T35" i="22"/>
  <c r="I35" i="22" s="1"/>
  <c r="J47" i="22" s="1"/>
  <c r="S35" i="142"/>
  <c r="R35" i="142"/>
  <c r="K37" i="142" s="1"/>
  <c r="M49" i="142" s="1"/>
  <c r="Q35" i="142"/>
  <c r="U37" i="142" s="1"/>
  <c r="F35" i="195"/>
  <c r="H47" i="195" s="1"/>
  <c r="F35" i="388"/>
  <c r="H47" i="388" s="1"/>
  <c r="F35" i="321"/>
  <c r="H47" i="321" s="1"/>
  <c r="F35" i="253"/>
  <c r="H47" i="253" s="1"/>
  <c r="F35" i="152"/>
  <c r="H47" i="152" s="1"/>
  <c r="F35" i="371"/>
  <c r="H47" i="371" s="1"/>
  <c r="T29" i="361"/>
  <c r="I29" i="361" s="1"/>
  <c r="T30" i="361"/>
  <c r="I30" i="361" s="1"/>
  <c r="T31" i="361"/>
  <c r="I31" i="361" s="1"/>
  <c r="T32" i="361"/>
  <c r="I32" i="361" s="1"/>
  <c r="T33" i="361"/>
  <c r="I33" i="361" s="1"/>
  <c r="T34" i="361"/>
  <c r="I34" i="361" s="1"/>
  <c r="T35" i="361"/>
  <c r="I35" i="361" s="1"/>
  <c r="J44" i="22" l="1"/>
  <c r="J45" i="361"/>
  <c r="J42" i="22"/>
  <c r="J43" i="361"/>
  <c r="J46" i="22"/>
  <c r="J46" i="361"/>
  <c r="J44" i="361"/>
  <c r="J42" i="361"/>
  <c r="J47" i="361"/>
  <c r="J41" i="361"/>
  <c r="L40" i="142"/>
  <c r="L40" i="398"/>
  <c r="L40" i="144"/>
  <c r="L40" i="185"/>
  <c r="L40" i="186"/>
  <c r="N37" i="361"/>
  <c r="O40" i="361" s="1"/>
  <c r="N37" i="22"/>
  <c r="O40" i="22" s="1"/>
  <c r="F35" i="398"/>
  <c r="F35" i="144"/>
  <c r="F35" i="186"/>
  <c r="F35" i="185"/>
  <c r="F35" i="142"/>
  <c r="H47" i="142" s="1"/>
  <c r="F35" i="231"/>
  <c r="C37" i="321"/>
  <c r="E49" i="321" s="1"/>
  <c r="B37" i="321"/>
  <c r="B37" i="388"/>
  <c r="C37" i="388"/>
  <c r="E49" i="388" s="1"/>
  <c r="B37" i="371"/>
  <c r="C37" i="371"/>
  <c r="E49" i="371" s="1"/>
  <c r="C37" i="152"/>
  <c r="E49" i="152" s="1"/>
  <c r="B37" i="152"/>
  <c r="B37" i="195"/>
  <c r="C37" i="195"/>
  <c r="E49" i="195" s="1"/>
  <c r="B37" i="253"/>
  <c r="C37" i="253"/>
  <c r="E49" i="253" s="1"/>
  <c r="G36" i="152"/>
  <c r="G36" i="195"/>
  <c r="G36" i="321"/>
  <c r="G36" i="371"/>
  <c r="G36" i="388"/>
  <c r="G36" i="253"/>
  <c r="T35" i="389"/>
  <c r="I35" i="389" s="1"/>
  <c r="F35" i="149"/>
  <c r="T35" i="88"/>
  <c r="I35" i="88" s="1"/>
  <c r="T35" i="148"/>
  <c r="I35" i="148" s="1"/>
  <c r="J47" i="148" s="1"/>
  <c r="N37" i="386"/>
  <c r="O40" i="386" s="1"/>
  <c r="T35" i="387"/>
  <c r="I35" i="387" s="1"/>
  <c r="T35" i="303"/>
  <c r="I35" i="303" s="1"/>
  <c r="J47" i="303" s="1"/>
  <c r="T35" i="314"/>
  <c r="I35" i="314" s="1"/>
  <c r="L35" i="396"/>
  <c r="Q37" i="396" s="1"/>
  <c r="F35" i="395"/>
  <c r="H47" i="395" s="1"/>
  <c r="T35" i="394"/>
  <c r="I35" i="394" s="1"/>
  <c r="T35" i="393"/>
  <c r="I35" i="393" s="1"/>
  <c r="J47" i="393" s="1"/>
  <c r="T35" i="9"/>
  <c r="I35" i="9" s="1"/>
  <c r="T35" i="364"/>
  <c r="I35" i="364" s="1"/>
  <c r="T35" i="368"/>
  <c r="I35" i="368" s="1"/>
  <c r="J47" i="368" s="1"/>
  <c r="K37" i="404"/>
  <c r="U37" i="404"/>
  <c r="T35" i="403"/>
  <c r="I35" i="403" s="1"/>
  <c r="T35" i="402"/>
  <c r="I35" i="402" s="1"/>
  <c r="S35" i="408"/>
  <c r="T35" i="400"/>
  <c r="I35" i="400" s="1"/>
  <c r="J47" i="400" s="1"/>
  <c r="T35" i="113"/>
  <c r="I35" i="113" s="1"/>
  <c r="T35" i="351"/>
  <c r="I35" i="351" s="1"/>
  <c r="T35" i="352"/>
  <c r="I35" i="352" s="1"/>
  <c r="T35" i="322"/>
  <c r="I35" i="322" s="1"/>
  <c r="T35" i="353"/>
  <c r="T35" i="362"/>
  <c r="I35" i="362" s="1"/>
  <c r="T35" i="354"/>
  <c r="I35" i="354" s="1"/>
  <c r="J47" i="354" s="1"/>
  <c r="T35" i="114"/>
  <c r="I35" i="114" s="1"/>
  <c r="T35" i="323"/>
  <c r="I35" i="323" s="1"/>
  <c r="J47" i="323" s="1"/>
  <c r="T35" i="391"/>
  <c r="I35" i="391" s="1"/>
  <c r="T35" i="392"/>
  <c r="I35" i="392" s="1"/>
  <c r="J47" i="392" s="1"/>
  <c r="T35" i="202"/>
  <c r="I35" i="202" s="1"/>
  <c r="T35" i="385"/>
  <c r="I35" i="385" s="1"/>
  <c r="T35" i="349"/>
  <c r="I35" i="349" s="1"/>
  <c r="T35" i="4"/>
  <c r="I35" i="4" s="1"/>
  <c r="T35" i="5"/>
  <c r="I35" i="5" s="1"/>
  <c r="J47" i="5" s="1"/>
  <c r="T35" i="207"/>
  <c r="I35" i="207" s="1"/>
  <c r="F35" i="300"/>
  <c r="H47" i="300" s="1"/>
  <c r="T35" i="299"/>
  <c r="I35" i="299" s="1"/>
  <c r="T35" i="190"/>
  <c r="I35" i="190" s="1"/>
  <c r="T35" i="16"/>
  <c r="I35" i="16" s="1"/>
  <c r="T35" i="12"/>
  <c r="I35" i="12" s="1"/>
  <c r="J47" i="12" s="1"/>
  <c r="T35" i="356"/>
  <c r="I35" i="356" s="1"/>
  <c r="T35" i="15"/>
  <c r="I35" i="15" s="1"/>
  <c r="T35" i="355"/>
  <c r="I35" i="355" s="1"/>
  <c r="T35" i="371"/>
  <c r="I35" i="371" s="1"/>
  <c r="T35" i="17"/>
  <c r="I35" i="17" s="1"/>
  <c r="J47" i="17" s="1"/>
  <c r="T35" i="8"/>
  <c r="I35" i="8" s="1"/>
  <c r="T35" i="3"/>
  <c r="I35" i="3" s="1"/>
  <c r="T35" i="384"/>
  <c r="I35" i="384" s="1"/>
  <c r="T35" i="54"/>
  <c r="I35" i="54" s="1"/>
  <c r="T35" i="249"/>
  <c r="I35" i="249" s="1"/>
  <c r="T35" i="201"/>
  <c r="I35" i="201" s="1"/>
  <c r="T35" i="7"/>
  <c r="I35" i="7" s="1"/>
  <c r="J47" i="7" s="1"/>
  <c r="T35" i="48"/>
  <c r="I35" i="48" s="1"/>
  <c r="T35" i="21"/>
  <c r="I35" i="21" s="1"/>
  <c r="T35" i="13"/>
  <c r="I35" i="13" s="1"/>
  <c r="T35" i="261"/>
  <c r="I35" i="261" s="1"/>
  <c r="J47" i="261" s="1"/>
  <c r="T35" i="153"/>
  <c r="I35" i="153" s="1"/>
  <c r="T35" i="257"/>
  <c r="I35" i="257" s="1"/>
  <c r="J47" i="257" s="1"/>
  <c r="T35" i="19"/>
  <c r="I35" i="19" s="1"/>
  <c r="T35" i="347"/>
  <c r="I35" i="347" s="1"/>
  <c r="T35" i="23"/>
  <c r="I35" i="23" s="1"/>
  <c r="T35" i="37"/>
  <c r="I35" i="37" s="1"/>
  <c r="L35" i="369"/>
  <c r="Q37" i="369" s="1"/>
  <c r="R40" i="369" s="1"/>
  <c r="T35" i="367"/>
  <c r="I35" i="367" s="1"/>
  <c r="T35" i="204"/>
  <c r="I35" i="204" s="1"/>
  <c r="T35" i="363"/>
  <c r="I35" i="363" s="1"/>
  <c r="T35" i="31"/>
  <c r="I35" i="31" s="1"/>
  <c r="S35" i="170"/>
  <c r="R35" i="170"/>
  <c r="K37" i="170" s="1"/>
  <c r="M49" i="170" s="1"/>
  <c r="Q35" i="170"/>
  <c r="U37" i="170" s="1"/>
  <c r="T35" i="168"/>
  <c r="I35" i="168" s="1"/>
  <c r="T35" i="169"/>
  <c r="I35" i="169" s="1"/>
  <c r="T35" i="336"/>
  <c r="I35" i="336" s="1"/>
  <c r="T35" i="28"/>
  <c r="I35" i="28" s="1"/>
  <c r="J47" i="28" s="1"/>
  <c r="T35" i="29"/>
  <c r="I35" i="29" s="1"/>
  <c r="T35" i="359"/>
  <c r="I35" i="359" s="1"/>
  <c r="J47" i="359" s="1"/>
  <c r="T35" i="360"/>
  <c r="I35" i="360" s="1"/>
  <c r="T35" i="342"/>
  <c r="I35" i="342" s="1"/>
  <c r="T35" i="334"/>
  <c r="I35" i="334" s="1"/>
  <c r="T35" i="33"/>
  <c r="I35" i="33" s="1"/>
  <c r="T35" i="319"/>
  <c r="I35" i="319" s="1"/>
  <c r="T35" i="320"/>
  <c r="I35" i="320" s="1"/>
  <c r="L35" i="343"/>
  <c r="Q37" i="343" s="1"/>
  <c r="R40" i="343" s="1"/>
  <c r="T35" i="318"/>
  <c r="I35" i="318" s="1"/>
  <c r="T35" i="288"/>
  <c r="I35" i="288" s="1"/>
  <c r="T35" i="337"/>
  <c r="I35" i="337" s="1"/>
  <c r="T35" i="227"/>
  <c r="I35" i="227" s="1"/>
  <c r="T35" i="43"/>
  <c r="I35" i="43" s="1"/>
  <c r="J47" i="43" s="1"/>
  <c r="T35" i="298"/>
  <c r="I35" i="298" s="1"/>
  <c r="J47" i="298" s="1"/>
  <c r="T35" i="290"/>
  <c r="I35" i="290" s="1"/>
  <c r="T35" i="289"/>
  <c r="I35" i="289" s="1"/>
  <c r="S35" i="357"/>
  <c r="T35" i="293"/>
  <c r="I35" i="293" s="1"/>
  <c r="T35" i="348"/>
  <c r="I35" i="348" s="1"/>
  <c r="T35" i="194"/>
  <c r="I35" i="194" s="1"/>
  <c r="T35" i="193"/>
  <c r="I35" i="193" s="1"/>
  <c r="J47" i="193" s="1"/>
  <c r="T35" i="297"/>
  <c r="I35" i="297" s="1"/>
  <c r="T35" i="350"/>
  <c r="I35" i="350" s="1"/>
  <c r="T35" i="18"/>
  <c r="I35" i="18" s="1"/>
  <c r="T35" i="20"/>
  <c r="I35" i="20" s="1"/>
  <c r="J47" i="20" s="1"/>
  <c r="T35" i="233"/>
  <c r="I35" i="233" s="1"/>
  <c r="T35" i="191"/>
  <c r="I35" i="191" s="1"/>
  <c r="T35" i="105"/>
  <c r="I35" i="105" s="1"/>
  <c r="T35" i="294"/>
  <c r="I35" i="294" s="1"/>
  <c r="S35" i="365"/>
  <c r="S35" i="366"/>
  <c r="T35" i="206"/>
  <c r="I35" i="206" s="1"/>
  <c r="T35" i="301"/>
  <c r="I35" i="301" s="1"/>
  <c r="T35" i="344"/>
  <c r="I35" i="344" s="1"/>
  <c r="J47" i="344" s="1"/>
  <c r="T35" i="61"/>
  <c r="I35" i="61" s="1"/>
  <c r="J47" i="61" s="1"/>
  <c r="T35" i="338"/>
  <c r="I35" i="338" s="1"/>
  <c r="T35" i="340"/>
  <c r="I35" i="340" s="1"/>
  <c r="T35" i="34"/>
  <c r="I35" i="34" s="1"/>
  <c r="J47" i="34" s="1"/>
  <c r="T35" i="174"/>
  <c r="I35" i="174" s="1"/>
  <c r="J47" i="174" s="1"/>
  <c r="I35" i="187"/>
  <c r="T35" i="135"/>
  <c r="I35" i="135" s="1"/>
  <c r="T35" i="333"/>
  <c r="I35" i="333" s="1"/>
  <c r="T35" i="295"/>
  <c r="I35" i="295" s="1"/>
  <c r="J47" i="295" s="1"/>
  <c r="T35" i="283"/>
  <c r="I35" i="283" s="1"/>
  <c r="T35" i="284"/>
  <c r="I35" i="284" s="1"/>
  <c r="T35" i="292"/>
  <c r="I35" i="292" s="1"/>
  <c r="T35" i="325"/>
  <c r="I35" i="325" s="1"/>
  <c r="T35" i="269"/>
  <c r="I35" i="269" s="1"/>
  <c r="J47" i="269" s="1"/>
  <c r="T35" i="11"/>
  <c r="I35" i="11" s="1"/>
  <c r="S35" i="279"/>
  <c r="S35" i="335"/>
  <c r="T35" i="101"/>
  <c r="I35" i="101" s="1"/>
  <c r="J47" i="101" s="1"/>
  <c r="T35" i="382"/>
  <c r="I35" i="382" s="1"/>
  <c r="T35" i="102"/>
  <c r="I35" i="102" s="1"/>
  <c r="J47" i="102" s="1"/>
  <c r="T35" i="103"/>
  <c r="I35" i="103" s="1"/>
  <c r="T35" i="265"/>
  <c r="I35" i="265" s="1"/>
  <c r="I35" i="296"/>
  <c r="J47" i="296" s="1"/>
  <c r="T35" i="75"/>
  <c r="I35" i="75" s="1"/>
  <c r="T35" i="262"/>
  <c r="I35" i="262" s="1"/>
  <c r="J47" i="262" s="1"/>
  <c r="T35" i="112"/>
  <c r="I35" i="112" s="1"/>
  <c r="T35" i="109"/>
  <c r="I35" i="109" s="1"/>
  <c r="T35" i="2"/>
  <c r="I35" i="2" s="1"/>
  <c r="T35" i="85"/>
  <c r="I35" i="85" s="1"/>
  <c r="T35" i="324"/>
  <c r="I35" i="324" s="1"/>
  <c r="T35" i="32"/>
  <c r="I35" i="32" s="1"/>
  <c r="T35" i="203"/>
  <c r="I35" i="203" s="1"/>
  <c r="T35" i="164"/>
  <c r="I35" i="164" s="1"/>
  <c r="T35" i="162"/>
  <c r="I35" i="162" s="1"/>
  <c r="T35" i="196"/>
  <c r="I35" i="196" s="1"/>
  <c r="T35" i="198"/>
  <c r="I35" i="198" s="1"/>
  <c r="J47" i="198" s="1"/>
  <c r="T35" i="345"/>
  <c r="I35" i="345" s="1"/>
  <c r="T35" i="346"/>
  <c r="I35" i="346" s="1"/>
  <c r="T35" i="74"/>
  <c r="I35" i="74" s="1"/>
  <c r="T35" i="200"/>
  <c r="I35" i="200" s="1"/>
  <c r="T35" i="280"/>
  <c r="I35" i="280" s="1"/>
  <c r="T35" i="97"/>
  <c r="I35" i="97" s="1"/>
  <c r="T35" i="383"/>
  <c r="I35" i="383" s="1"/>
  <c r="J47" i="383" s="1"/>
  <c r="T35" i="45"/>
  <c r="I35" i="45" s="1"/>
  <c r="T35" i="104"/>
  <c r="I35" i="104" s="1"/>
  <c r="J47" i="104" s="1"/>
  <c r="T35" i="254"/>
  <c r="I35" i="254" s="1"/>
  <c r="T35" i="181"/>
  <c r="I35" i="181" s="1"/>
  <c r="T35" i="183"/>
  <c r="I35" i="183" s="1"/>
  <c r="T35" i="184"/>
  <c r="I35" i="184" s="1"/>
  <c r="T35" i="27"/>
  <c r="I35" i="27" s="1"/>
  <c r="T35" i="143"/>
  <c r="I35" i="143" s="1"/>
  <c r="T35" i="268"/>
  <c r="I35" i="268" s="1"/>
  <c r="T35" i="263"/>
  <c r="I35" i="263" s="1"/>
  <c r="T35" i="209"/>
  <c r="I35" i="209" s="1"/>
  <c r="T35" i="192"/>
  <c r="I35" i="192" s="1"/>
  <c r="T35" i="140"/>
  <c r="I35" i="140" s="1"/>
  <c r="T35" i="270"/>
  <c r="I35" i="270" s="1"/>
  <c r="T35" i="271"/>
  <c r="I35" i="271" s="1"/>
  <c r="T35" i="159"/>
  <c r="I35" i="159" s="1"/>
  <c r="T35" i="160"/>
  <c r="I35" i="160" s="1"/>
  <c r="T35" i="107"/>
  <c r="I35" i="107" s="1"/>
  <c r="J47" i="107" s="1"/>
  <c r="T35" i="176"/>
  <c r="I35" i="176" s="1"/>
  <c r="T35" i="53"/>
  <c r="I35" i="53" s="1"/>
  <c r="J47" i="53" s="1"/>
  <c r="T35" i="52"/>
  <c r="I35" i="52" s="1"/>
  <c r="J47" i="52" s="1"/>
  <c r="T35" i="281"/>
  <c r="I35" i="281" s="1"/>
  <c r="T35" i="332"/>
  <c r="I35" i="332" s="1"/>
  <c r="T35" i="25"/>
  <c r="I35" i="25" s="1"/>
  <c r="T35" i="24"/>
  <c r="I35" i="24" s="1"/>
  <c r="J47" i="24" s="1"/>
  <c r="T35" i="116"/>
  <c r="I35" i="116" s="1"/>
  <c r="T35" i="285"/>
  <c r="I35" i="285" s="1"/>
  <c r="J47" i="285" s="1"/>
  <c r="T35" i="272"/>
  <c r="I35" i="272" s="1"/>
  <c r="S35" i="44"/>
  <c r="N37" i="87"/>
  <c r="O40" i="87" s="1"/>
  <c r="T35" i="287"/>
  <c r="I35" i="287" s="1"/>
  <c r="T35" i="276"/>
  <c r="I35" i="276" s="1"/>
  <c r="J47" i="276" s="1"/>
  <c r="T35" i="229"/>
  <c r="I35" i="229" s="1"/>
  <c r="T35" i="230"/>
  <c r="I35" i="230" s="1"/>
  <c r="K37" i="327"/>
  <c r="M49" i="327" s="1"/>
  <c r="U37" i="327"/>
  <c r="T35" i="328"/>
  <c r="I35" i="328" s="1"/>
  <c r="T35" i="329"/>
  <c r="I35" i="329" s="1"/>
  <c r="T35" i="326"/>
  <c r="I35" i="326" s="1"/>
  <c r="T35" i="47"/>
  <c r="I35" i="47" s="1"/>
  <c r="T35" i="248"/>
  <c r="I35" i="248" s="1"/>
  <c r="T35" i="46"/>
  <c r="I35" i="46" s="1"/>
  <c r="T35" i="239"/>
  <c r="I35" i="239" s="1"/>
  <c r="T35" i="243"/>
  <c r="I35" i="243" s="1"/>
  <c r="S35" i="247"/>
  <c r="R35" i="247"/>
  <c r="K37" i="247" s="1"/>
  <c r="M49" i="247" s="1"/>
  <c r="Q35" i="247"/>
  <c r="U37" i="247" s="1"/>
  <c r="T35" i="244"/>
  <c r="I35" i="244" s="1"/>
  <c r="T35" i="246"/>
  <c r="I35" i="246" s="1"/>
  <c r="J47" i="246" s="1"/>
  <c r="T35" i="1"/>
  <c r="I35" i="1" s="1"/>
  <c r="J47" i="1" s="1"/>
  <c r="T35" i="397"/>
  <c r="I35" i="397" s="1"/>
  <c r="L35" i="407"/>
  <c r="Q37" i="407" s="1"/>
  <c r="L35" i="406"/>
  <c r="Q37" i="406" s="1"/>
  <c r="L35" i="405"/>
  <c r="Q37" i="405" s="1"/>
  <c r="L35" i="401"/>
  <c r="Q37" i="401" s="1"/>
  <c r="T35" i="89"/>
  <c r="I35" i="89" s="1"/>
  <c r="J47" i="281" l="1"/>
  <c r="J47" i="181"/>
  <c r="J47" i="85"/>
  <c r="J47" i="284"/>
  <c r="J47" i="342"/>
  <c r="J47" i="347"/>
  <c r="J47" i="15"/>
  <c r="J47" i="397"/>
  <c r="J47" i="254"/>
  <c r="J47" i="243"/>
  <c r="J47" i="143"/>
  <c r="J47" i="164"/>
  <c r="J47" i="348"/>
  <c r="J47" i="8"/>
  <c r="J35" i="8"/>
  <c r="J47" i="391"/>
  <c r="J47" i="389"/>
  <c r="J47" i="248"/>
  <c r="J47" i="332"/>
  <c r="J47" i="160"/>
  <c r="J47" i="209"/>
  <c r="J47" i="183"/>
  <c r="J47" i="97"/>
  <c r="J47" i="324"/>
  <c r="J47" i="75"/>
  <c r="J47" i="292"/>
  <c r="J47" i="187"/>
  <c r="J47" i="105"/>
  <c r="J47" i="297"/>
  <c r="J47" i="289"/>
  <c r="J47" i="288"/>
  <c r="J47" i="334"/>
  <c r="J47" i="336"/>
  <c r="J47" i="31"/>
  <c r="J47" i="23"/>
  <c r="J47" i="13"/>
  <c r="J47" i="54"/>
  <c r="J47" i="355"/>
  <c r="J47" i="299"/>
  <c r="J47" i="385"/>
  <c r="J47" i="113"/>
  <c r="J47" i="47"/>
  <c r="J47" i="280"/>
  <c r="J47" i="326"/>
  <c r="J47" i="268"/>
  <c r="J47" i="200"/>
  <c r="J47" i="162"/>
  <c r="J47" i="2"/>
  <c r="J47" i="265"/>
  <c r="J47" i="283"/>
  <c r="J47" i="206"/>
  <c r="J47" i="233"/>
  <c r="J47" i="194"/>
  <c r="J47" i="360"/>
  <c r="J47" i="168"/>
  <c r="J47" i="204"/>
  <c r="J47" i="19"/>
  <c r="J47" i="48"/>
  <c r="J47" i="3"/>
  <c r="J47" i="356"/>
  <c r="J47" i="207"/>
  <c r="N40" i="353"/>
  <c r="I35" i="353"/>
  <c r="J47" i="353" s="1"/>
  <c r="J47" i="364"/>
  <c r="J47" i="314"/>
  <c r="J47" i="272"/>
  <c r="J47" i="263"/>
  <c r="J47" i="196"/>
  <c r="J47" i="191"/>
  <c r="J47" i="318"/>
  <c r="J47" i="363"/>
  <c r="J47" i="384"/>
  <c r="J47" i="202"/>
  <c r="J47" i="270"/>
  <c r="J47" i="74"/>
  <c r="J47" i="103"/>
  <c r="J47" i="340"/>
  <c r="J47" i="320"/>
  <c r="J47" i="402"/>
  <c r="J47" i="239"/>
  <c r="J47" i="328"/>
  <c r="J47" i="287"/>
  <c r="J47" i="176"/>
  <c r="J47" i="140"/>
  <c r="J47" i="27"/>
  <c r="J47" i="45"/>
  <c r="J47" i="346"/>
  <c r="J47" i="203"/>
  <c r="J47" i="112"/>
  <c r="J47" i="333"/>
  <c r="J47" i="338"/>
  <c r="J47" i="18"/>
  <c r="J47" i="293"/>
  <c r="J47" i="227"/>
  <c r="J47" i="319"/>
  <c r="J47" i="29"/>
  <c r="J47" i="153"/>
  <c r="J47" i="201"/>
  <c r="J47" i="16"/>
  <c r="J47" i="4"/>
  <c r="J47" i="352"/>
  <c r="J47" i="403"/>
  <c r="J47" i="387"/>
  <c r="J47" i="230"/>
  <c r="J47" i="159"/>
  <c r="J47" i="301"/>
  <c r="J47" i="290"/>
  <c r="J47" i="169"/>
  <c r="J47" i="21"/>
  <c r="J47" i="362"/>
  <c r="J47" i="88"/>
  <c r="J47" i="229"/>
  <c r="J47" i="271"/>
  <c r="J47" i="89"/>
  <c r="J47" i="329"/>
  <c r="J47" i="116"/>
  <c r="J47" i="109"/>
  <c r="J47" i="11"/>
  <c r="J47" i="367"/>
  <c r="J47" i="322"/>
  <c r="J47" i="9"/>
  <c r="J47" i="244"/>
  <c r="J47" i="46"/>
  <c r="J47" i="25"/>
  <c r="J47" i="192"/>
  <c r="J47" i="184"/>
  <c r="J47" i="345"/>
  <c r="J47" i="32"/>
  <c r="J47" i="382"/>
  <c r="J47" i="325"/>
  <c r="J47" i="135"/>
  <c r="J47" i="294"/>
  <c r="J47" i="350"/>
  <c r="J47" i="337"/>
  <c r="J47" i="33"/>
  <c r="J47" i="37"/>
  <c r="J47" i="249"/>
  <c r="J47" i="371"/>
  <c r="J47" i="190"/>
  <c r="J47" i="349"/>
  <c r="J47" i="114"/>
  <c r="J47" i="351"/>
  <c r="J47" i="394"/>
  <c r="L40" i="247"/>
  <c r="L40" i="170"/>
  <c r="L40" i="404"/>
  <c r="M49" i="404"/>
  <c r="L40" i="327"/>
  <c r="D40" i="195"/>
  <c r="D40" i="371"/>
  <c r="D40" i="321"/>
  <c r="D40" i="253"/>
  <c r="D40" i="388"/>
  <c r="D40" i="152"/>
  <c r="C37" i="149"/>
  <c r="E49" i="149" s="1"/>
  <c r="H47" i="149"/>
  <c r="C37" i="231"/>
  <c r="E49" i="231" s="1"/>
  <c r="H47" i="231"/>
  <c r="C37" i="144"/>
  <c r="E49" i="144" s="1"/>
  <c r="H47" i="144"/>
  <c r="G36" i="185"/>
  <c r="H47" i="185"/>
  <c r="B37" i="186"/>
  <c r="H47" i="186"/>
  <c r="G36" i="398"/>
  <c r="H47" i="398"/>
  <c r="N37" i="1"/>
  <c r="O40" i="1" s="1"/>
  <c r="N37" i="46"/>
  <c r="O40" i="46" s="1"/>
  <c r="M37" i="44"/>
  <c r="N40" i="44" s="1"/>
  <c r="I35" i="44"/>
  <c r="N37" i="52"/>
  <c r="O40" i="52" s="1"/>
  <c r="N37" i="104"/>
  <c r="O40" i="104" s="1"/>
  <c r="N37" i="162"/>
  <c r="O40" i="162" s="1"/>
  <c r="N37" i="324"/>
  <c r="O40" i="324" s="1"/>
  <c r="N37" i="101"/>
  <c r="O40" i="101" s="1"/>
  <c r="N37" i="105"/>
  <c r="O40" i="105" s="1"/>
  <c r="N37" i="194"/>
  <c r="O40" i="194" s="1"/>
  <c r="N37" i="227"/>
  <c r="O40" i="227" s="1"/>
  <c r="N37" i="334"/>
  <c r="O40" i="334" s="1"/>
  <c r="N37" i="31"/>
  <c r="O40" i="31" s="1"/>
  <c r="N37" i="19"/>
  <c r="O40" i="19" s="1"/>
  <c r="N37" i="3"/>
  <c r="O40" i="3" s="1"/>
  <c r="N37" i="371"/>
  <c r="O40" i="371" s="1"/>
  <c r="N37" i="391"/>
  <c r="O40" i="391" s="1"/>
  <c r="N37" i="402"/>
  <c r="O40" i="402" s="1"/>
  <c r="N37" i="303"/>
  <c r="O40" i="303" s="1"/>
  <c r="N37" i="246"/>
  <c r="O40" i="246" s="1"/>
  <c r="N37" i="248"/>
  <c r="O40" i="248" s="1"/>
  <c r="N37" i="329"/>
  <c r="O40" i="329" s="1"/>
  <c r="N37" i="276"/>
  <c r="O40" i="276" s="1"/>
  <c r="N37" i="272"/>
  <c r="O40" i="272" s="1"/>
  <c r="N37" i="25"/>
  <c r="O40" i="25" s="1"/>
  <c r="N37" i="53"/>
  <c r="O40" i="53" s="1"/>
  <c r="N37" i="159"/>
  <c r="O40" i="159" s="1"/>
  <c r="N37" i="192"/>
  <c r="O40" i="192" s="1"/>
  <c r="N37" i="143"/>
  <c r="O40" i="143" s="1"/>
  <c r="N37" i="181"/>
  <c r="O40" i="181" s="1"/>
  <c r="N37" i="45"/>
  <c r="O40" i="45" s="1"/>
  <c r="N37" i="200"/>
  <c r="O40" i="200" s="1"/>
  <c r="N37" i="198"/>
  <c r="O40" i="198" s="1"/>
  <c r="N37" i="164"/>
  <c r="O40" i="164" s="1"/>
  <c r="N37" i="85"/>
  <c r="O40" i="85" s="1"/>
  <c r="N37" i="262"/>
  <c r="O40" i="262" s="1"/>
  <c r="N37" i="103"/>
  <c r="O40" i="103" s="1"/>
  <c r="M37" i="335"/>
  <c r="N40" i="335" s="1"/>
  <c r="I35" i="335"/>
  <c r="N37" i="325"/>
  <c r="O40" i="325" s="1"/>
  <c r="N37" i="295"/>
  <c r="O40" i="295" s="1"/>
  <c r="N37" i="174"/>
  <c r="O40" i="174" s="1"/>
  <c r="N37" i="61"/>
  <c r="O40" i="61" s="1"/>
  <c r="M37" i="366"/>
  <c r="N40" i="366" s="1"/>
  <c r="I35" i="366"/>
  <c r="N37" i="191"/>
  <c r="O40" i="191" s="1"/>
  <c r="N37" i="350"/>
  <c r="O40" i="350" s="1"/>
  <c r="N37" i="348"/>
  <c r="O40" i="348" s="1"/>
  <c r="N37" i="290"/>
  <c r="O40" i="290" s="1"/>
  <c r="N37" i="337"/>
  <c r="O40" i="337" s="1"/>
  <c r="N37" i="320"/>
  <c r="O40" i="320" s="1"/>
  <c r="N37" i="342"/>
  <c r="O40" i="342" s="1"/>
  <c r="N37" i="28"/>
  <c r="O40" i="28" s="1"/>
  <c r="N37" i="363"/>
  <c r="O40" i="363" s="1"/>
  <c r="N37" i="37"/>
  <c r="O40" i="37" s="1"/>
  <c r="N37" i="257"/>
  <c r="O40" i="257" s="1"/>
  <c r="N37" i="21"/>
  <c r="O40" i="21" s="1"/>
  <c r="N37" i="249"/>
  <c r="O40" i="249" s="1"/>
  <c r="N37" i="8"/>
  <c r="O40" i="8" s="1"/>
  <c r="N37" i="355"/>
  <c r="O40" i="355" s="1"/>
  <c r="N37" i="16"/>
  <c r="O40" i="16" s="1"/>
  <c r="N37" i="207"/>
  <c r="O40" i="207" s="1"/>
  <c r="N37" i="385"/>
  <c r="O40" i="385" s="1"/>
  <c r="N37" i="323"/>
  <c r="O40" i="323" s="1"/>
  <c r="N37" i="353"/>
  <c r="N37" i="113"/>
  <c r="O40" i="113" s="1"/>
  <c r="N37" i="403"/>
  <c r="O40" i="403" s="1"/>
  <c r="N37" i="364"/>
  <c r="O40" i="364" s="1"/>
  <c r="N37" i="387"/>
  <c r="O40" i="387" s="1"/>
  <c r="N37" i="88"/>
  <c r="O40" i="88" s="1"/>
  <c r="N37" i="229"/>
  <c r="O40" i="229" s="1"/>
  <c r="N37" i="160"/>
  <c r="O40" i="160" s="1"/>
  <c r="N37" i="183"/>
  <c r="O40" i="183" s="1"/>
  <c r="N37" i="280"/>
  <c r="O40" i="280" s="1"/>
  <c r="N37" i="112"/>
  <c r="O40" i="112" s="1"/>
  <c r="N37" i="269"/>
  <c r="O40" i="269" s="1"/>
  <c r="N37" i="206"/>
  <c r="O40" i="206" s="1"/>
  <c r="N37" i="201"/>
  <c r="O40" i="201" s="1"/>
  <c r="N37" i="362"/>
  <c r="O40" i="362" s="1"/>
  <c r="N37" i="368"/>
  <c r="O40" i="368" s="1"/>
  <c r="N37" i="148"/>
  <c r="O40" i="148" s="1"/>
  <c r="N37" i="89"/>
  <c r="O40" i="89" s="1"/>
  <c r="N37" i="244"/>
  <c r="O40" i="244" s="1"/>
  <c r="N37" i="243"/>
  <c r="O40" i="243" s="1"/>
  <c r="N37" i="47"/>
  <c r="O40" i="47" s="1"/>
  <c r="N37" i="287"/>
  <c r="O40" i="287" s="1"/>
  <c r="N37" i="285"/>
  <c r="O40" i="285" s="1"/>
  <c r="N37" i="332"/>
  <c r="O40" i="332" s="1"/>
  <c r="N37" i="176"/>
  <c r="O40" i="176" s="1"/>
  <c r="N37" i="271"/>
  <c r="O40" i="271" s="1"/>
  <c r="N37" i="209"/>
  <c r="O40" i="209" s="1"/>
  <c r="N37" i="27"/>
  <c r="O40" i="27" s="1"/>
  <c r="N37" i="383"/>
  <c r="O40" i="383" s="1"/>
  <c r="N37" i="74"/>
  <c r="O40" i="74" s="1"/>
  <c r="N37" i="197"/>
  <c r="O40" i="197" s="1"/>
  <c r="N37" i="203"/>
  <c r="O40" i="203" s="1"/>
  <c r="N37" i="2"/>
  <c r="O40" i="2" s="1"/>
  <c r="N37" i="75"/>
  <c r="O40" i="75" s="1"/>
  <c r="N37" i="102"/>
  <c r="O40" i="102" s="1"/>
  <c r="M37" i="279"/>
  <c r="N40" i="279" s="1"/>
  <c r="I35" i="279"/>
  <c r="N37" i="292"/>
  <c r="O40" i="292" s="1"/>
  <c r="N37" i="333"/>
  <c r="O40" i="333" s="1"/>
  <c r="N37" i="34"/>
  <c r="O40" i="34" s="1"/>
  <c r="N37" i="344"/>
  <c r="O40" i="344" s="1"/>
  <c r="M37" i="365"/>
  <c r="N40" i="365" s="1"/>
  <c r="I35" i="365"/>
  <c r="N37" i="233"/>
  <c r="O40" i="233" s="1"/>
  <c r="N37" i="297"/>
  <c r="O40" i="297" s="1"/>
  <c r="N37" i="293"/>
  <c r="O40" i="293" s="1"/>
  <c r="N37" i="298"/>
  <c r="O40" i="298" s="1"/>
  <c r="N37" i="288"/>
  <c r="O40" i="288" s="1"/>
  <c r="N37" i="319"/>
  <c r="O40" i="319" s="1"/>
  <c r="N37" i="360"/>
  <c r="O40" i="360" s="1"/>
  <c r="N37" i="336"/>
  <c r="O40" i="336" s="1"/>
  <c r="N37" i="204"/>
  <c r="O40" i="204" s="1"/>
  <c r="N37" i="153"/>
  <c r="O40" i="153" s="1"/>
  <c r="N37" i="48"/>
  <c r="O40" i="48" s="1"/>
  <c r="N37" i="54"/>
  <c r="O40" i="54" s="1"/>
  <c r="N37" i="17"/>
  <c r="O40" i="17" s="1"/>
  <c r="N37" i="15"/>
  <c r="O40" i="15" s="1"/>
  <c r="N37" i="190"/>
  <c r="O40" i="190" s="1"/>
  <c r="N37" i="5"/>
  <c r="O40" i="5" s="1"/>
  <c r="N37" i="202"/>
  <c r="O40" i="202" s="1"/>
  <c r="N37" i="114"/>
  <c r="O40" i="114" s="1"/>
  <c r="N37" i="322"/>
  <c r="O40" i="322" s="1"/>
  <c r="N37" i="400"/>
  <c r="O40" i="400" s="1"/>
  <c r="N37" i="9"/>
  <c r="O40" i="9" s="1"/>
  <c r="N37" i="24"/>
  <c r="O40" i="24" s="1"/>
  <c r="N37" i="140"/>
  <c r="O40" i="140" s="1"/>
  <c r="N37" i="268"/>
  <c r="O40" i="268" s="1"/>
  <c r="N37" i="345"/>
  <c r="O40" i="345" s="1"/>
  <c r="N37" i="265"/>
  <c r="O40" i="265" s="1"/>
  <c r="N37" i="283"/>
  <c r="O40" i="283" s="1"/>
  <c r="N37" i="338"/>
  <c r="O40" i="338" s="1"/>
  <c r="N37" i="18"/>
  <c r="O40" i="18" s="1"/>
  <c r="N37" i="289"/>
  <c r="O40" i="289" s="1"/>
  <c r="N37" i="29"/>
  <c r="O40" i="29" s="1"/>
  <c r="N37" i="168"/>
  <c r="O40" i="168" s="1"/>
  <c r="N37" i="13"/>
  <c r="O40" i="13" s="1"/>
  <c r="N37" i="12"/>
  <c r="O40" i="12" s="1"/>
  <c r="N37" i="349"/>
  <c r="O40" i="349" s="1"/>
  <c r="N37" i="351"/>
  <c r="O40" i="351" s="1"/>
  <c r="N37" i="394"/>
  <c r="O40" i="394" s="1"/>
  <c r="N37" i="397"/>
  <c r="O40" i="397" s="1"/>
  <c r="N37" i="239"/>
  <c r="O40" i="239" s="1"/>
  <c r="N37" i="326"/>
  <c r="O40" i="326" s="1"/>
  <c r="N37" i="328"/>
  <c r="O40" i="328" s="1"/>
  <c r="N37" i="230"/>
  <c r="O40" i="230" s="1"/>
  <c r="N37" i="116"/>
  <c r="O40" i="116" s="1"/>
  <c r="N37" i="281"/>
  <c r="O40" i="281" s="1"/>
  <c r="N37" i="107"/>
  <c r="O40" i="107" s="1"/>
  <c r="N37" i="270"/>
  <c r="O40" i="270" s="1"/>
  <c r="N37" i="263"/>
  <c r="O40" i="263" s="1"/>
  <c r="N37" i="184"/>
  <c r="O40" i="184" s="1"/>
  <c r="N37" i="254"/>
  <c r="O40" i="254" s="1"/>
  <c r="N37" i="97"/>
  <c r="O40" i="97" s="1"/>
  <c r="N37" i="346"/>
  <c r="O40" i="346" s="1"/>
  <c r="N37" i="196"/>
  <c r="O40" i="196" s="1"/>
  <c r="N37" i="32"/>
  <c r="O40" i="32" s="1"/>
  <c r="N37" i="109"/>
  <c r="O40" i="109" s="1"/>
  <c r="N37" i="382"/>
  <c r="O40" i="382" s="1"/>
  <c r="N37" i="11"/>
  <c r="O40" i="11" s="1"/>
  <c r="N37" i="284"/>
  <c r="O40" i="284" s="1"/>
  <c r="N37" i="135"/>
  <c r="O40" i="135" s="1"/>
  <c r="N37" i="340"/>
  <c r="O40" i="340" s="1"/>
  <c r="N37" i="301"/>
  <c r="O40" i="301" s="1"/>
  <c r="N37" i="294"/>
  <c r="O40" i="294" s="1"/>
  <c r="N37" i="20"/>
  <c r="O40" i="20" s="1"/>
  <c r="N37" i="193"/>
  <c r="O40" i="193" s="1"/>
  <c r="M37" i="357"/>
  <c r="N40" i="357" s="1"/>
  <c r="I35" i="357"/>
  <c r="N37" i="43"/>
  <c r="O40" i="43" s="1"/>
  <c r="N37" i="318"/>
  <c r="O40" i="318" s="1"/>
  <c r="N37" i="33"/>
  <c r="O40" i="33" s="1"/>
  <c r="N37" i="359"/>
  <c r="O40" i="359" s="1"/>
  <c r="N37" i="169"/>
  <c r="O40" i="169" s="1"/>
  <c r="N37" i="367"/>
  <c r="O40" i="367" s="1"/>
  <c r="N37" i="347"/>
  <c r="O40" i="347" s="1"/>
  <c r="N37" i="261"/>
  <c r="O40" i="261" s="1"/>
  <c r="N37" i="7"/>
  <c r="O40" i="7" s="1"/>
  <c r="N37" i="384"/>
  <c r="O40" i="384" s="1"/>
  <c r="N37" i="356"/>
  <c r="O40" i="356" s="1"/>
  <c r="N37" i="299"/>
  <c r="O40" i="299" s="1"/>
  <c r="N37" i="4"/>
  <c r="O40" i="4" s="1"/>
  <c r="N37" i="392"/>
  <c r="O40" i="392" s="1"/>
  <c r="N37" i="354"/>
  <c r="O40" i="354" s="1"/>
  <c r="N37" i="352"/>
  <c r="O40" i="352" s="1"/>
  <c r="M37" i="408"/>
  <c r="N40" i="408" s="1"/>
  <c r="I35" i="408"/>
  <c r="N37" i="393"/>
  <c r="O40" i="393" s="1"/>
  <c r="N37" i="314"/>
  <c r="O40" i="314" s="1"/>
  <c r="N37" i="389"/>
  <c r="O40" i="389" s="1"/>
  <c r="N37" i="23"/>
  <c r="O40" i="23" s="1"/>
  <c r="G36" i="142"/>
  <c r="C37" i="142"/>
  <c r="E49" i="142" s="1"/>
  <c r="G36" i="186"/>
  <c r="C37" i="186"/>
  <c r="E49" i="186" s="1"/>
  <c r="C37" i="398"/>
  <c r="E49" i="398" s="1"/>
  <c r="B37" i="142"/>
  <c r="B37" i="398"/>
  <c r="G36" i="231"/>
  <c r="B37" i="231"/>
  <c r="B37" i="185"/>
  <c r="F35" i="170"/>
  <c r="C37" i="185"/>
  <c r="E49" i="185" s="1"/>
  <c r="G36" i="144"/>
  <c r="B37" i="144"/>
  <c r="F35" i="247"/>
  <c r="F35" i="327"/>
  <c r="F35" i="404"/>
  <c r="B37" i="395"/>
  <c r="C37" i="395"/>
  <c r="E49" i="395" s="1"/>
  <c r="C37" i="300"/>
  <c r="E49" i="300" s="1"/>
  <c r="B37" i="300"/>
  <c r="B37" i="149"/>
  <c r="G36" i="395"/>
  <c r="G36" i="300"/>
  <c r="G36" i="149"/>
  <c r="T35" i="253"/>
  <c r="I35" i="253" s="1"/>
  <c r="T35" i="398"/>
  <c r="I35" i="398" s="1"/>
  <c r="T35" i="388"/>
  <c r="I35" i="388" s="1"/>
  <c r="T35" i="170"/>
  <c r="I35" i="170" s="1"/>
  <c r="T35" i="149"/>
  <c r="I35" i="149" s="1"/>
  <c r="J47" i="149" s="1"/>
  <c r="T35" i="247"/>
  <c r="I35" i="247" s="1"/>
  <c r="T35" i="142"/>
  <c r="I35" i="142" s="1"/>
  <c r="T35" i="327"/>
  <c r="I35" i="327" s="1"/>
  <c r="T35" i="195"/>
  <c r="I35" i="195" s="1"/>
  <c r="J47" i="195" s="1"/>
  <c r="T35" i="404"/>
  <c r="I35" i="404" s="1"/>
  <c r="T35" i="395"/>
  <c r="I35" i="395" s="1"/>
  <c r="J47" i="395" s="1"/>
  <c r="T35" i="186"/>
  <c r="I35" i="186" s="1"/>
  <c r="T35" i="144"/>
  <c r="I35" i="144" s="1"/>
  <c r="T35" i="152"/>
  <c r="I35" i="152" s="1"/>
  <c r="J47" i="152" s="1"/>
  <c r="T35" i="231"/>
  <c r="I35" i="231" s="1"/>
  <c r="T35" i="321"/>
  <c r="I35" i="321" s="1"/>
  <c r="J47" i="321" s="1"/>
  <c r="T35" i="185"/>
  <c r="I35" i="185" s="1"/>
  <c r="O40" i="353" l="1"/>
  <c r="J47" i="144"/>
  <c r="J47" i="231"/>
  <c r="J47" i="388"/>
  <c r="J47" i="398"/>
  <c r="J47" i="142"/>
  <c r="J47" i="253"/>
  <c r="J47" i="186"/>
  <c r="J47" i="327"/>
  <c r="J47" i="247"/>
  <c r="J47" i="185"/>
  <c r="J47" i="404"/>
  <c r="J47" i="170"/>
  <c r="D40" i="185"/>
  <c r="D40" i="186"/>
  <c r="D40" i="395"/>
  <c r="D40" i="231"/>
  <c r="D40" i="398"/>
  <c r="D40" i="142"/>
  <c r="D40" i="300"/>
  <c r="D40" i="144"/>
  <c r="D40" i="149"/>
  <c r="G36" i="247"/>
  <c r="H47" i="247"/>
  <c r="B37" i="404"/>
  <c r="H47" i="404"/>
  <c r="B37" i="170"/>
  <c r="H47" i="170"/>
  <c r="B37" i="327"/>
  <c r="H47" i="327"/>
  <c r="N37" i="398"/>
  <c r="O40" i="398" s="1"/>
  <c r="N37" i="195"/>
  <c r="O40" i="195" s="1"/>
  <c r="N37" i="149"/>
  <c r="O40" i="149" s="1"/>
  <c r="N37" i="404"/>
  <c r="O40" i="404" s="1"/>
  <c r="N37" i="185"/>
  <c r="O40" i="185" s="1"/>
  <c r="N37" i="144"/>
  <c r="O40" i="144" s="1"/>
  <c r="N37" i="253"/>
  <c r="O40" i="253" s="1"/>
  <c r="N37" i="321"/>
  <c r="O40" i="321" s="1"/>
  <c r="N37" i="186"/>
  <c r="O40" i="186" s="1"/>
  <c r="N37" i="327"/>
  <c r="O40" i="327" s="1"/>
  <c r="N37" i="170"/>
  <c r="O40" i="170" s="1"/>
  <c r="N37" i="152"/>
  <c r="O40" i="152" s="1"/>
  <c r="N37" i="247"/>
  <c r="O40" i="247" s="1"/>
  <c r="N37" i="231"/>
  <c r="O40" i="231" s="1"/>
  <c r="N37" i="395"/>
  <c r="O40" i="395" s="1"/>
  <c r="N37" i="142"/>
  <c r="O40" i="142" s="1"/>
  <c r="N37" i="388"/>
  <c r="O40" i="388" s="1"/>
  <c r="G36" i="327"/>
  <c r="C37" i="327"/>
  <c r="E49" i="327" s="1"/>
  <c r="G36" i="170"/>
  <c r="G36" i="404"/>
  <c r="C37" i="404"/>
  <c r="E49" i="404" s="1"/>
  <c r="B37" i="247"/>
  <c r="C37" i="170"/>
  <c r="E49" i="170" s="1"/>
  <c r="C37" i="247"/>
  <c r="E49" i="247" s="1"/>
  <c r="U34" i="202"/>
  <c r="U34" i="391"/>
  <c r="M46" i="391" s="1"/>
  <c r="J34" i="408"/>
  <c r="T34" i="408"/>
  <c r="L46" i="408" s="1"/>
  <c r="S34" i="408"/>
  <c r="I34" i="408" s="1"/>
  <c r="F34" i="408"/>
  <c r="S33" i="408"/>
  <c r="I33" i="408" s="1"/>
  <c r="F33" i="408"/>
  <c r="H45" i="408" s="1"/>
  <c r="S32" i="408"/>
  <c r="I32" i="408" s="1"/>
  <c r="F32" i="408"/>
  <c r="H44" i="408" s="1"/>
  <c r="J31" i="408"/>
  <c r="T31" i="408"/>
  <c r="L43" i="408" s="1"/>
  <c r="S31" i="408"/>
  <c r="I31" i="408" s="1"/>
  <c r="F31" i="408"/>
  <c r="H43" i="408" s="1"/>
  <c r="S30" i="408"/>
  <c r="I30" i="408" s="1"/>
  <c r="F30" i="408"/>
  <c r="H42" i="408" s="1"/>
  <c r="S29" i="408"/>
  <c r="I29" i="408" s="1"/>
  <c r="F29" i="408"/>
  <c r="H41" i="408" s="1"/>
  <c r="J28" i="408"/>
  <c r="T28" i="408"/>
  <c r="L40" i="408" s="1"/>
  <c r="S28" i="408"/>
  <c r="F28" i="408"/>
  <c r="S27" i="408"/>
  <c r="F27" i="408"/>
  <c r="S26" i="408"/>
  <c r="F26" i="408"/>
  <c r="J25" i="408"/>
  <c r="T25" i="408"/>
  <c r="L37" i="408" s="1"/>
  <c r="S25" i="408"/>
  <c r="F25" i="408"/>
  <c r="S24" i="408"/>
  <c r="F24" i="408"/>
  <c r="S23" i="408"/>
  <c r="F23" i="408"/>
  <c r="J22" i="408"/>
  <c r="T22" i="408"/>
  <c r="S22" i="408"/>
  <c r="F22" i="408"/>
  <c r="S21" i="408"/>
  <c r="F21" i="408"/>
  <c r="S20" i="408"/>
  <c r="F20" i="408"/>
  <c r="J19" i="408"/>
  <c r="T19" i="408"/>
  <c r="S19" i="408"/>
  <c r="F19" i="408"/>
  <c r="S18" i="408"/>
  <c r="F18" i="408"/>
  <c r="S17" i="408"/>
  <c r="F17" i="408"/>
  <c r="J16" i="408"/>
  <c r="T16" i="408"/>
  <c r="S16" i="408"/>
  <c r="F16" i="408"/>
  <c r="I16" i="408" s="1"/>
  <c r="S15" i="408"/>
  <c r="F15" i="408"/>
  <c r="I15" i="408" s="1"/>
  <c r="S14" i="408"/>
  <c r="F14" i="408"/>
  <c r="I14" i="408" s="1"/>
  <c r="J13" i="408"/>
  <c r="T13" i="408"/>
  <c r="S13" i="408"/>
  <c r="F13" i="408"/>
  <c r="I13" i="408" s="1"/>
  <c r="S12" i="408"/>
  <c r="F12" i="408"/>
  <c r="I12" i="408" s="1"/>
  <c r="S11" i="408"/>
  <c r="F11" i="408"/>
  <c r="I11" i="408" s="1"/>
  <c r="J10" i="408"/>
  <c r="T10" i="408"/>
  <c r="S10" i="408"/>
  <c r="F10" i="408"/>
  <c r="I10" i="408" s="1"/>
  <c r="S9" i="408"/>
  <c r="F9" i="408"/>
  <c r="I9" i="408" s="1"/>
  <c r="S8" i="408"/>
  <c r="F8" i="408"/>
  <c r="I8" i="408" s="1"/>
  <c r="J7" i="408"/>
  <c r="T7" i="408"/>
  <c r="S7" i="408"/>
  <c r="F7" i="408"/>
  <c r="I7" i="408" s="1"/>
  <c r="S6" i="408"/>
  <c r="F6" i="408"/>
  <c r="I6" i="408" s="1"/>
  <c r="S5" i="408"/>
  <c r="F5" i="408"/>
  <c r="I5" i="408" s="1"/>
  <c r="D40" i="247" l="1"/>
  <c r="D40" i="170"/>
  <c r="D40" i="327"/>
  <c r="D40" i="404"/>
  <c r="K37" i="408"/>
  <c r="G35" i="408"/>
  <c r="H46" i="408"/>
  <c r="H40" i="408"/>
  <c r="H36" i="408"/>
  <c r="H39" i="408"/>
  <c r="H35" i="408"/>
  <c r="H38" i="408"/>
  <c r="H22" i="408"/>
  <c r="I22" i="408" s="1"/>
  <c r="L28" i="408"/>
  <c r="H33" i="408"/>
  <c r="G20" i="408"/>
  <c r="H34" i="408"/>
  <c r="G26" i="408"/>
  <c r="H37" i="408"/>
  <c r="G27" i="408"/>
  <c r="M31" i="408"/>
  <c r="G33" i="408"/>
  <c r="L19" i="408"/>
  <c r="M19" i="408"/>
  <c r="K13" i="408"/>
  <c r="H18" i="408"/>
  <c r="I18" i="408" s="1"/>
  <c r="B13" i="408"/>
  <c r="G7" i="408"/>
  <c r="M25" i="408"/>
  <c r="L34" i="408"/>
  <c r="G6" i="408"/>
  <c r="B10" i="408"/>
  <c r="G28" i="408"/>
  <c r="B34" i="408"/>
  <c r="G34" i="408"/>
  <c r="G12" i="408"/>
  <c r="M34" i="408"/>
  <c r="N37" i="408" s="1"/>
  <c r="C34" i="408"/>
  <c r="E46" i="408" s="1"/>
  <c r="G32" i="408"/>
  <c r="G21" i="408"/>
  <c r="G22" i="408"/>
  <c r="H29" i="408"/>
  <c r="B22" i="408"/>
  <c r="B28" i="408"/>
  <c r="H27" i="408"/>
  <c r="I27" i="408" s="1"/>
  <c r="M22" i="408"/>
  <c r="C22" i="408"/>
  <c r="M28" i="408"/>
  <c r="C28" i="408"/>
  <c r="E40" i="408" s="1"/>
  <c r="H30" i="408"/>
  <c r="L31" i="408"/>
  <c r="H32" i="408"/>
  <c r="G15" i="408"/>
  <c r="M10" i="408"/>
  <c r="G11" i="408"/>
  <c r="G14" i="408"/>
  <c r="G16" i="408"/>
  <c r="K16" i="408"/>
  <c r="G13" i="408"/>
  <c r="H20" i="408"/>
  <c r="I20" i="408" s="1"/>
  <c r="H23" i="408"/>
  <c r="I23" i="408" s="1"/>
  <c r="M7" i="408"/>
  <c r="G10" i="408"/>
  <c r="K10" i="408"/>
  <c r="M13" i="408"/>
  <c r="M16" i="408"/>
  <c r="H17" i="408"/>
  <c r="I17" i="408" s="1"/>
  <c r="H24" i="408"/>
  <c r="I24" i="408" s="1"/>
  <c r="L25" i="408"/>
  <c r="H26" i="408"/>
  <c r="I26" i="408" s="1"/>
  <c r="C10" i="408"/>
  <c r="B19" i="408"/>
  <c r="H21" i="408"/>
  <c r="I21" i="408" s="1"/>
  <c r="K22" i="408"/>
  <c r="B25" i="408"/>
  <c r="H28" i="408"/>
  <c r="I28" i="408" s="1"/>
  <c r="K28" i="408"/>
  <c r="B31" i="408"/>
  <c r="K34" i="408"/>
  <c r="G9" i="408"/>
  <c r="C13" i="408"/>
  <c r="B16" i="408"/>
  <c r="G17" i="408"/>
  <c r="G18" i="408"/>
  <c r="C19" i="408"/>
  <c r="G19" i="408"/>
  <c r="L22" i="408"/>
  <c r="G23" i="408"/>
  <c r="G24" i="408"/>
  <c r="C25" i="408"/>
  <c r="E37" i="408" s="1"/>
  <c r="G25" i="408"/>
  <c r="G29" i="408"/>
  <c r="G30" i="408"/>
  <c r="C31" i="408"/>
  <c r="E43" i="408" s="1"/>
  <c r="G31" i="408"/>
  <c r="C7" i="408"/>
  <c r="G8" i="408"/>
  <c r="C16" i="408"/>
  <c r="H19" i="408"/>
  <c r="I19" i="408" s="1"/>
  <c r="K19" i="408"/>
  <c r="H25" i="408"/>
  <c r="I25" i="408" s="1"/>
  <c r="K25" i="408"/>
  <c r="H31" i="408"/>
  <c r="K31" i="408"/>
  <c r="B7" i="408"/>
  <c r="F34" i="389"/>
  <c r="F34" i="88"/>
  <c r="F34" i="148"/>
  <c r="F34" i="386"/>
  <c r="F34" i="387"/>
  <c r="F34" i="303"/>
  <c r="F34" i="314"/>
  <c r="E34" i="396"/>
  <c r="F35" i="396" s="1"/>
  <c r="F34" i="394"/>
  <c r="F34" i="393"/>
  <c r="F34" i="9"/>
  <c r="E34" i="401"/>
  <c r="F35" i="401" s="1"/>
  <c r="F34" i="364"/>
  <c r="F34" i="368"/>
  <c r="F34" i="403"/>
  <c r="F34" i="402"/>
  <c r="F34" i="400"/>
  <c r="F34" i="113"/>
  <c r="F34" i="361"/>
  <c r="F34" i="351"/>
  <c r="F34" i="352"/>
  <c r="F34" i="322"/>
  <c r="F34" i="353"/>
  <c r="H46" i="353" s="1"/>
  <c r="F34" i="362"/>
  <c r="F34" i="354"/>
  <c r="F34" i="114"/>
  <c r="F34" i="323"/>
  <c r="F34" i="391"/>
  <c r="F34" i="392"/>
  <c r="F34" i="35"/>
  <c r="H46" i="35" s="1"/>
  <c r="F34" i="202"/>
  <c r="F34" i="385"/>
  <c r="F34" i="349"/>
  <c r="F34" i="4"/>
  <c r="F34" i="5"/>
  <c r="F34" i="207"/>
  <c r="F34" i="299"/>
  <c r="F34" i="190"/>
  <c r="F34" i="16"/>
  <c r="F34" i="12"/>
  <c r="F34" i="356"/>
  <c r="F34" i="15"/>
  <c r="H46" i="15" s="1"/>
  <c r="F34" i="355"/>
  <c r="F34" i="17"/>
  <c r="F34" i="8"/>
  <c r="F34" i="3"/>
  <c r="F34" i="384"/>
  <c r="F34" i="54"/>
  <c r="F34" i="249"/>
  <c r="F34" i="201"/>
  <c r="F34" i="7"/>
  <c r="F34" i="48"/>
  <c r="F34" i="21"/>
  <c r="F34" i="13"/>
  <c r="F34" i="261"/>
  <c r="F34" i="153"/>
  <c r="F34" i="257"/>
  <c r="F34" i="19"/>
  <c r="F34" i="347"/>
  <c r="F34" i="23"/>
  <c r="F34" i="37"/>
  <c r="E34" i="369"/>
  <c r="F35" i="369" s="1"/>
  <c r="F34" i="367"/>
  <c r="F34" i="204"/>
  <c r="F34" i="363"/>
  <c r="F34" i="31"/>
  <c r="F34" i="168"/>
  <c r="F34" i="169"/>
  <c r="F34" i="336"/>
  <c r="F34" i="28"/>
  <c r="F34" i="29"/>
  <c r="F34" i="359"/>
  <c r="F34" i="360"/>
  <c r="F34" i="342"/>
  <c r="F34" i="334"/>
  <c r="F34" i="33"/>
  <c r="F34" i="319"/>
  <c r="F34" i="320"/>
  <c r="E34" i="343"/>
  <c r="F35" i="343" s="1"/>
  <c r="F34" i="318"/>
  <c r="F34" i="288"/>
  <c r="F34" i="337"/>
  <c r="F34" i="227"/>
  <c r="F34" i="43"/>
  <c r="F34" i="298"/>
  <c r="F34" i="290"/>
  <c r="F34" i="289"/>
  <c r="F34" i="357"/>
  <c r="F34" i="293"/>
  <c r="F34" i="348"/>
  <c r="F34" i="194"/>
  <c r="F34" i="193"/>
  <c r="F34" i="297"/>
  <c r="F34" i="350"/>
  <c r="F34" i="18"/>
  <c r="F34" i="20"/>
  <c r="F34" i="233"/>
  <c r="F34" i="191"/>
  <c r="F34" i="105"/>
  <c r="F34" i="294"/>
  <c r="F34" i="365"/>
  <c r="F34" i="366"/>
  <c r="F34" i="206"/>
  <c r="F34" i="22"/>
  <c r="F34" i="301"/>
  <c r="F34" i="344"/>
  <c r="F34" i="61"/>
  <c r="F34" i="338"/>
  <c r="F34" i="340"/>
  <c r="F34" i="34"/>
  <c r="F34" i="174"/>
  <c r="F34" i="187"/>
  <c r="F34" i="135"/>
  <c r="F34" i="333"/>
  <c r="F34" i="295"/>
  <c r="F34" i="283"/>
  <c r="F34" i="284"/>
  <c r="F34" i="292"/>
  <c r="G35" i="339"/>
  <c r="F34" i="325"/>
  <c r="F34" i="269"/>
  <c r="F34" i="11"/>
  <c r="F34" i="279"/>
  <c r="F34" i="335"/>
  <c r="F34" i="101"/>
  <c r="F34" i="382"/>
  <c r="F34" i="102"/>
  <c r="F34" i="103"/>
  <c r="F34" i="265"/>
  <c r="F34" i="296"/>
  <c r="F34" i="75"/>
  <c r="F34" i="262"/>
  <c r="F34" i="112"/>
  <c r="F34" i="109"/>
  <c r="F34" i="2"/>
  <c r="F34" i="85"/>
  <c r="F34" i="324"/>
  <c r="F34" i="32"/>
  <c r="F34" i="203"/>
  <c r="F34" i="164"/>
  <c r="F34" i="162"/>
  <c r="F34" i="196"/>
  <c r="F34" i="197"/>
  <c r="F34" i="198"/>
  <c r="F34" i="345"/>
  <c r="F34" i="346"/>
  <c r="F34" i="74"/>
  <c r="F34" i="200"/>
  <c r="F34" i="280"/>
  <c r="F34" i="97"/>
  <c r="F34" i="383"/>
  <c r="F34" i="45"/>
  <c r="F34" i="104"/>
  <c r="F34" i="254"/>
  <c r="F34" i="181"/>
  <c r="F34" i="183"/>
  <c r="F34" i="184"/>
  <c r="F34" i="27"/>
  <c r="F34" i="143"/>
  <c r="F34" i="268"/>
  <c r="F34" i="263"/>
  <c r="F34" i="209"/>
  <c r="F34" i="192"/>
  <c r="F34" i="140"/>
  <c r="F34" i="270"/>
  <c r="F34" i="271"/>
  <c r="F34" i="159"/>
  <c r="F34" i="160"/>
  <c r="F34" i="107"/>
  <c r="F34" i="176"/>
  <c r="F34" i="53"/>
  <c r="F34" i="52"/>
  <c r="F34" i="281"/>
  <c r="F34" i="332"/>
  <c r="F34" i="25"/>
  <c r="F34" i="24"/>
  <c r="F34" i="116"/>
  <c r="F34" i="285"/>
  <c r="F34" i="272"/>
  <c r="F34" i="44"/>
  <c r="F34" i="87"/>
  <c r="F34" i="287"/>
  <c r="F34" i="276"/>
  <c r="F34" i="229"/>
  <c r="F34" i="230"/>
  <c r="F34" i="328"/>
  <c r="F34" i="329"/>
  <c r="F34" i="326"/>
  <c r="F34" i="47"/>
  <c r="F34" i="248"/>
  <c r="F34" i="46"/>
  <c r="F34" i="239"/>
  <c r="F34" i="243"/>
  <c r="F34" i="244"/>
  <c r="F34" i="246"/>
  <c r="F34" i="1"/>
  <c r="F34" i="397"/>
  <c r="E34" i="407"/>
  <c r="F35" i="407" s="1"/>
  <c r="E34" i="406"/>
  <c r="F35" i="406" s="1"/>
  <c r="E34" i="405"/>
  <c r="F35" i="405" s="1"/>
  <c r="F34" i="89"/>
  <c r="G35" i="1" l="1"/>
  <c r="H46" i="1"/>
  <c r="G35" i="239"/>
  <c r="H46" i="239"/>
  <c r="G35" i="326"/>
  <c r="H46" i="326"/>
  <c r="G35" i="328"/>
  <c r="H46" i="328"/>
  <c r="G35" i="287"/>
  <c r="H46" i="287"/>
  <c r="G35" i="285"/>
  <c r="H46" i="285"/>
  <c r="G35" i="332"/>
  <c r="H46" i="332"/>
  <c r="G35" i="176"/>
  <c r="H46" i="176"/>
  <c r="G35" i="271"/>
  <c r="H46" i="271"/>
  <c r="G35" i="209"/>
  <c r="H46" i="209"/>
  <c r="G35" i="27"/>
  <c r="H46" i="27"/>
  <c r="G35" i="383"/>
  <c r="H46" i="383"/>
  <c r="G35" i="74"/>
  <c r="H46" i="74"/>
  <c r="G35" i="197"/>
  <c r="H46" i="197"/>
  <c r="G35" i="203"/>
  <c r="H46" i="203"/>
  <c r="G35" i="2"/>
  <c r="H46" i="2"/>
  <c r="G35" i="75"/>
  <c r="H46" i="75"/>
  <c r="G35" i="102"/>
  <c r="H46" i="102"/>
  <c r="G35" i="279"/>
  <c r="H46" i="279"/>
  <c r="G35" i="295"/>
  <c r="H46" i="295"/>
  <c r="G35" i="174"/>
  <c r="H46" i="174"/>
  <c r="G35" i="61"/>
  <c r="H46" i="61"/>
  <c r="G35" i="206"/>
  <c r="H46" i="206"/>
  <c r="G35" i="105"/>
  <c r="H46" i="105"/>
  <c r="G35" i="18"/>
  <c r="H46" i="18"/>
  <c r="G35" i="194"/>
  <c r="H46" i="194"/>
  <c r="G35" i="289"/>
  <c r="H46" i="289"/>
  <c r="G35" i="227"/>
  <c r="H46" i="227"/>
  <c r="G35" i="334"/>
  <c r="H46" i="334"/>
  <c r="G35" i="29"/>
  <c r="H46" i="29"/>
  <c r="G35" i="168"/>
  <c r="H46" i="168"/>
  <c r="G35" i="367"/>
  <c r="H46" i="367"/>
  <c r="G35" i="347"/>
  <c r="H46" i="347"/>
  <c r="G35" i="261"/>
  <c r="H46" i="261"/>
  <c r="G35" i="7"/>
  <c r="H46" i="7"/>
  <c r="G35" i="384"/>
  <c r="H46" i="384"/>
  <c r="G35" i="355"/>
  <c r="H46" i="355"/>
  <c r="G35" i="16"/>
  <c r="H46" i="16"/>
  <c r="G35" i="5"/>
  <c r="H46" i="5"/>
  <c r="G35" i="202"/>
  <c r="H46" i="202"/>
  <c r="G35" i="323"/>
  <c r="H46" i="323"/>
  <c r="G35" i="361"/>
  <c r="H46" i="361"/>
  <c r="G35" i="403"/>
  <c r="H46" i="403"/>
  <c r="G35" i="9"/>
  <c r="H46" i="9"/>
  <c r="G35" i="314"/>
  <c r="H46" i="314"/>
  <c r="G35" i="246"/>
  <c r="H46" i="246"/>
  <c r="G35" i="46"/>
  <c r="H46" i="46"/>
  <c r="G35" i="230"/>
  <c r="H46" i="230"/>
  <c r="G35" i="87"/>
  <c r="H46" i="87"/>
  <c r="G35" i="116"/>
  <c r="H46" i="116"/>
  <c r="G35" i="281"/>
  <c r="H46" i="281"/>
  <c r="G35" i="107"/>
  <c r="H46" i="107"/>
  <c r="G35" i="270"/>
  <c r="H46" i="270"/>
  <c r="G35" i="263"/>
  <c r="H46" i="263"/>
  <c r="G35" i="184"/>
  <c r="H46" i="184"/>
  <c r="G35" i="254"/>
  <c r="H46" i="254"/>
  <c r="G35" i="97"/>
  <c r="H46" i="97"/>
  <c r="G35" i="346"/>
  <c r="H46" i="346"/>
  <c r="G35" i="196"/>
  <c r="H46" i="196"/>
  <c r="G35" i="32"/>
  <c r="H46" i="32"/>
  <c r="G35" i="109"/>
  <c r="H46" i="109"/>
  <c r="G35" i="296"/>
  <c r="H46" i="296"/>
  <c r="G35" i="382"/>
  <c r="H46" i="382"/>
  <c r="G35" i="11"/>
  <c r="H46" i="11"/>
  <c r="G35" i="292"/>
  <c r="H46" i="292"/>
  <c r="G35" i="333"/>
  <c r="H46" i="333"/>
  <c r="G35" i="34"/>
  <c r="H46" i="34"/>
  <c r="G35" i="344"/>
  <c r="H46" i="344"/>
  <c r="G35" i="366"/>
  <c r="H46" i="366"/>
  <c r="G35" i="191"/>
  <c r="H46" i="191"/>
  <c r="G35" i="350"/>
  <c r="H46" i="350"/>
  <c r="G35" i="348"/>
  <c r="H46" i="348"/>
  <c r="G35" i="290"/>
  <c r="H46" i="290"/>
  <c r="G35" i="337"/>
  <c r="H46" i="337"/>
  <c r="G35" i="320"/>
  <c r="H46" i="320"/>
  <c r="G35" i="342"/>
  <c r="H46" i="342"/>
  <c r="G35" i="28"/>
  <c r="H46" i="28"/>
  <c r="G35" i="31"/>
  <c r="H46" i="31"/>
  <c r="G35" i="19"/>
  <c r="H46" i="19"/>
  <c r="G35" i="13"/>
  <c r="H46" i="13"/>
  <c r="G35" i="201"/>
  <c r="H46" i="201"/>
  <c r="G35" i="3"/>
  <c r="H46" i="3"/>
  <c r="G35" i="190"/>
  <c r="H46" i="190"/>
  <c r="G35" i="4"/>
  <c r="H46" i="4"/>
  <c r="G35" i="114"/>
  <c r="H46" i="114"/>
  <c r="G35" i="322"/>
  <c r="H46" i="322"/>
  <c r="G35" i="113"/>
  <c r="H46" i="113"/>
  <c r="G35" i="368"/>
  <c r="H46" i="368"/>
  <c r="G35" i="393"/>
  <c r="H46" i="393"/>
  <c r="G35" i="303"/>
  <c r="H46" i="303"/>
  <c r="G35" i="148"/>
  <c r="H46" i="148"/>
  <c r="G35" i="244"/>
  <c r="H46" i="244"/>
  <c r="G35" i="248"/>
  <c r="H46" i="248"/>
  <c r="G35" i="329"/>
  <c r="H46" i="329"/>
  <c r="G35" i="229"/>
  <c r="H46" i="229"/>
  <c r="G35" i="44"/>
  <c r="H46" i="44"/>
  <c r="G35" i="24"/>
  <c r="H46" i="24"/>
  <c r="G35" i="52"/>
  <c r="H46" i="52"/>
  <c r="G35" i="160"/>
  <c r="H46" i="160"/>
  <c r="G35" i="140"/>
  <c r="H46" i="140"/>
  <c r="G35" i="268"/>
  <c r="H46" i="268"/>
  <c r="G35" i="183"/>
  <c r="H46" i="183"/>
  <c r="G35" i="104"/>
  <c r="H46" i="104"/>
  <c r="G35" i="280"/>
  <c r="H46" i="280"/>
  <c r="G35" i="345"/>
  <c r="H46" i="345"/>
  <c r="G35" i="162"/>
  <c r="H46" i="162"/>
  <c r="G35" i="324"/>
  <c r="H46" i="324"/>
  <c r="G35" i="112"/>
  <c r="H46" i="112"/>
  <c r="G35" i="265"/>
  <c r="H46" i="265"/>
  <c r="G35" i="101"/>
  <c r="H46" i="101"/>
  <c r="G35" i="269"/>
  <c r="H46" i="269"/>
  <c r="G35" i="284"/>
  <c r="H46" i="284"/>
  <c r="G35" i="135"/>
  <c r="H46" i="135"/>
  <c r="G35" i="340"/>
  <c r="H46" i="340"/>
  <c r="G35" i="301"/>
  <c r="H46" i="301"/>
  <c r="G35" i="365"/>
  <c r="H46" i="365"/>
  <c r="G35" i="233"/>
  <c r="H46" i="233"/>
  <c r="G35" i="297"/>
  <c r="H46" i="297"/>
  <c r="G35" i="293"/>
  <c r="H46" i="293"/>
  <c r="G35" i="298"/>
  <c r="H46" i="298"/>
  <c r="G35" i="288"/>
  <c r="H46" i="288"/>
  <c r="G35" i="319"/>
  <c r="H46" i="319"/>
  <c r="G35" i="360"/>
  <c r="H46" i="360"/>
  <c r="G35" i="336"/>
  <c r="H46" i="336"/>
  <c r="G35" i="363"/>
  <c r="H46" i="363"/>
  <c r="G35" i="37"/>
  <c r="H46" i="37"/>
  <c r="G35" i="257"/>
  <c r="H46" i="257"/>
  <c r="G35" i="21"/>
  <c r="H46" i="21"/>
  <c r="G35" i="249"/>
  <c r="H46" i="249"/>
  <c r="G35" i="8"/>
  <c r="H46" i="8"/>
  <c r="G35" i="356"/>
  <c r="H46" i="356"/>
  <c r="G35" i="299"/>
  <c r="H46" i="299"/>
  <c r="G35" i="349"/>
  <c r="H46" i="349"/>
  <c r="G35" i="392"/>
  <c r="H46" i="392"/>
  <c r="G35" i="354"/>
  <c r="H46" i="354"/>
  <c r="G35" i="352"/>
  <c r="H46" i="352"/>
  <c r="G35" i="400"/>
  <c r="H46" i="400"/>
  <c r="G35" i="364"/>
  <c r="H46" i="364"/>
  <c r="G35" i="394"/>
  <c r="H46" i="394"/>
  <c r="G35" i="387"/>
  <c r="H46" i="387"/>
  <c r="G35" i="88"/>
  <c r="H46" i="88"/>
  <c r="G35" i="89"/>
  <c r="H46" i="89"/>
  <c r="G35" i="397"/>
  <c r="H46" i="397"/>
  <c r="G35" i="243"/>
  <c r="H46" i="243"/>
  <c r="G35" i="47"/>
  <c r="H46" i="47"/>
  <c r="G35" i="276"/>
  <c r="H46" i="276"/>
  <c r="G35" i="272"/>
  <c r="H46" i="272"/>
  <c r="G35" i="25"/>
  <c r="H46" i="25"/>
  <c r="G35" i="53"/>
  <c r="H46" i="53"/>
  <c r="G35" i="159"/>
  <c r="H46" i="159"/>
  <c r="G35" i="192"/>
  <c r="H46" i="192"/>
  <c r="G35" i="143"/>
  <c r="H46" i="143"/>
  <c r="G35" i="181"/>
  <c r="H46" i="181"/>
  <c r="G35" i="45"/>
  <c r="H46" i="45"/>
  <c r="G35" i="200"/>
  <c r="H46" i="200"/>
  <c r="G35" i="198"/>
  <c r="H46" i="198"/>
  <c r="G35" i="164"/>
  <c r="H46" i="164"/>
  <c r="G35" i="85"/>
  <c r="H46" i="85"/>
  <c r="G35" i="262"/>
  <c r="H46" i="262"/>
  <c r="G35" i="103"/>
  <c r="H46" i="103"/>
  <c r="G35" i="335"/>
  <c r="H46" i="335"/>
  <c r="G35" i="325"/>
  <c r="H46" i="325"/>
  <c r="G35" i="283"/>
  <c r="H46" i="283"/>
  <c r="G35" i="187"/>
  <c r="H46" i="187"/>
  <c r="G35" i="338"/>
  <c r="H46" i="338"/>
  <c r="G35" i="22"/>
  <c r="H46" i="22"/>
  <c r="G35" i="294"/>
  <c r="H46" i="294"/>
  <c r="G35" i="20"/>
  <c r="H46" i="20"/>
  <c r="G35" i="193"/>
  <c r="H46" i="193"/>
  <c r="G35" i="357"/>
  <c r="H46" i="357"/>
  <c r="G35" i="43"/>
  <c r="H46" i="43"/>
  <c r="G35" i="318"/>
  <c r="H46" i="318"/>
  <c r="G35" i="33"/>
  <c r="H46" i="33"/>
  <c r="G35" i="359"/>
  <c r="H46" i="359"/>
  <c r="G35" i="169"/>
  <c r="H46" i="169"/>
  <c r="G35" i="204"/>
  <c r="H46" i="204"/>
  <c r="G35" i="23"/>
  <c r="H46" i="23"/>
  <c r="G35" i="153"/>
  <c r="H46" i="153"/>
  <c r="G35" i="48"/>
  <c r="H46" i="48"/>
  <c r="G35" i="54"/>
  <c r="H46" i="54"/>
  <c r="G35" i="17"/>
  <c r="H46" i="17"/>
  <c r="G35" i="12"/>
  <c r="H46" i="12"/>
  <c r="G35" i="207"/>
  <c r="H46" i="207"/>
  <c r="G35" i="385"/>
  <c r="H46" i="385"/>
  <c r="G35" i="391"/>
  <c r="H46" i="391"/>
  <c r="G35" i="362"/>
  <c r="H46" i="362"/>
  <c r="G35" i="351"/>
  <c r="H46" i="351"/>
  <c r="G35" i="402"/>
  <c r="H46" i="402"/>
  <c r="G35" i="386"/>
  <c r="H46" i="386"/>
  <c r="G35" i="389"/>
  <c r="H46" i="389"/>
  <c r="G35" i="353"/>
  <c r="G39" i="353"/>
  <c r="D37" i="408"/>
  <c r="G35" i="35"/>
  <c r="H224" i="417"/>
  <c r="I236" i="417" s="1"/>
  <c r="G35" i="15"/>
  <c r="N34" i="408"/>
  <c r="N19" i="408"/>
  <c r="N22" i="408"/>
  <c r="N28" i="408"/>
  <c r="N16" i="408"/>
  <c r="N13" i="408"/>
  <c r="E34" i="408"/>
  <c r="N31" i="408"/>
  <c r="N25" i="408"/>
  <c r="N10" i="408"/>
  <c r="D13" i="408"/>
  <c r="D16" i="408"/>
  <c r="E28" i="408"/>
  <c r="E31" i="408"/>
  <c r="D31" i="408"/>
  <c r="D34" i="408"/>
  <c r="E25" i="408"/>
  <c r="D25" i="408"/>
  <c r="D28" i="408"/>
  <c r="E19" i="408"/>
  <c r="D19" i="408"/>
  <c r="D22" i="408"/>
  <c r="E22" i="408"/>
  <c r="D10" i="408"/>
  <c r="Q34" i="398"/>
  <c r="F34" i="398" s="1"/>
  <c r="S34" i="398"/>
  <c r="R34" i="398"/>
  <c r="S34" i="142"/>
  <c r="R34" i="142"/>
  <c r="Q34" i="142"/>
  <c r="F34" i="142" s="1"/>
  <c r="F34" i="195"/>
  <c r="S34" i="388"/>
  <c r="R34" i="388"/>
  <c r="Q34" i="388"/>
  <c r="F34" i="388" s="1"/>
  <c r="S34" i="253"/>
  <c r="R34" i="253"/>
  <c r="Q34" i="253"/>
  <c r="F34" i="253" s="1"/>
  <c r="Q34" i="170"/>
  <c r="F34" i="170" s="1"/>
  <c r="F34" i="371"/>
  <c r="F34" i="404"/>
  <c r="S34" i="395"/>
  <c r="R34" i="395"/>
  <c r="Q34" i="395"/>
  <c r="F34" i="395" s="1"/>
  <c r="F34" i="149"/>
  <c r="G35" i="170" l="1"/>
  <c r="H46" i="170"/>
  <c r="G35" i="388"/>
  <c r="H46" i="388"/>
  <c r="G35" i="142"/>
  <c r="H46" i="142"/>
  <c r="G35" i="395"/>
  <c r="H46" i="395"/>
  <c r="G35" i="195"/>
  <c r="H46" i="195"/>
  <c r="G35" i="253"/>
  <c r="H46" i="253"/>
  <c r="G35" i="398"/>
  <c r="H46" i="398"/>
  <c r="G35" i="371"/>
  <c r="H46" i="371"/>
  <c r="G35" i="149"/>
  <c r="H46" i="149"/>
  <c r="G35" i="404"/>
  <c r="H46" i="404"/>
  <c r="T34" i="152"/>
  <c r="I34" i="152" s="1"/>
  <c r="F34" i="152"/>
  <c r="T34" i="404"/>
  <c r="I34" i="404" s="1"/>
  <c r="N34" i="407"/>
  <c r="M34" i="407"/>
  <c r="O37" i="407" s="1"/>
  <c r="L34" i="407"/>
  <c r="L33" i="407"/>
  <c r="E33" i="407"/>
  <c r="L32" i="407"/>
  <c r="E32" i="407"/>
  <c r="N31" i="407"/>
  <c r="M31" i="407"/>
  <c r="L31" i="407"/>
  <c r="E31" i="407"/>
  <c r="L30" i="407"/>
  <c r="E30" i="407"/>
  <c r="L29" i="407"/>
  <c r="E29" i="407"/>
  <c r="N28" i="407"/>
  <c r="M28" i="407"/>
  <c r="L28" i="407"/>
  <c r="E28" i="407"/>
  <c r="L27" i="407"/>
  <c r="E27" i="407"/>
  <c r="G39" i="407" s="1"/>
  <c r="L26" i="407"/>
  <c r="E26" i="407"/>
  <c r="G38" i="407" s="1"/>
  <c r="N25" i="407"/>
  <c r="M25" i="407"/>
  <c r="P37" i="407" s="1"/>
  <c r="L25" i="407"/>
  <c r="E25" i="407"/>
  <c r="G37" i="407" s="1"/>
  <c r="L24" i="407"/>
  <c r="E24" i="407"/>
  <c r="G36" i="407" s="1"/>
  <c r="L23" i="407"/>
  <c r="E23" i="407"/>
  <c r="G35" i="407" s="1"/>
  <c r="N22" i="407"/>
  <c r="M22" i="407"/>
  <c r="L22" i="407"/>
  <c r="E22" i="407"/>
  <c r="L21" i="407"/>
  <c r="E21" i="407"/>
  <c r="L20" i="407"/>
  <c r="E20" i="407"/>
  <c r="N19" i="407"/>
  <c r="M19" i="407"/>
  <c r="L19" i="407"/>
  <c r="E19" i="407"/>
  <c r="L18" i="407"/>
  <c r="E18" i="407"/>
  <c r="L17" i="407"/>
  <c r="E17" i="407"/>
  <c r="N16" i="407"/>
  <c r="M16" i="407"/>
  <c r="L16" i="407"/>
  <c r="E16" i="407"/>
  <c r="L15" i="407"/>
  <c r="E15" i="407"/>
  <c r="L14" i="407"/>
  <c r="E14" i="407"/>
  <c r="N13" i="407"/>
  <c r="M13" i="407"/>
  <c r="L13" i="407"/>
  <c r="E13" i="407"/>
  <c r="L12" i="407"/>
  <c r="E12" i="407"/>
  <c r="L11" i="407"/>
  <c r="E11" i="407"/>
  <c r="N10" i="407"/>
  <c r="M10" i="407"/>
  <c r="L10" i="407"/>
  <c r="E10" i="407"/>
  <c r="L9" i="407"/>
  <c r="E9" i="407"/>
  <c r="L8" i="407"/>
  <c r="E8" i="407"/>
  <c r="N7" i="407"/>
  <c r="M7" i="407"/>
  <c r="L7" i="407"/>
  <c r="E7" i="407"/>
  <c r="L6" i="407"/>
  <c r="E6" i="407"/>
  <c r="L5" i="407"/>
  <c r="E5" i="407"/>
  <c r="N34" i="406"/>
  <c r="M34" i="406"/>
  <c r="O37" i="406" s="1"/>
  <c r="L34" i="406"/>
  <c r="L33" i="406"/>
  <c r="E33" i="406"/>
  <c r="F34" i="406" s="1"/>
  <c r="L32" i="406"/>
  <c r="E32" i="406"/>
  <c r="N31" i="406"/>
  <c r="M31" i="406"/>
  <c r="L31" i="406"/>
  <c r="E31" i="406"/>
  <c r="L30" i="406"/>
  <c r="E30" i="406"/>
  <c r="L29" i="406"/>
  <c r="E29" i="406"/>
  <c r="N28" i="406"/>
  <c r="M28" i="406"/>
  <c r="L28" i="406"/>
  <c r="E28" i="406"/>
  <c r="L27" i="406"/>
  <c r="E27" i="406"/>
  <c r="G39" i="406" s="1"/>
  <c r="L26" i="406"/>
  <c r="E26" i="406"/>
  <c r="G38" i="406" s="1"/>
  <c r="N25" i="406"/>
  <c r="M25" i="406"/>
  <c r="P37" i="406" s="1"/>
  <c r="L25" i="406"/>
  <c r="E25" i="406"/>
  <c r="G37" i="406" s="1"/>
  <c r="L24" i="406"/>
  <c r="E24" i="406"/>
  <c r="G36" i="406" s="1"/>
  <c r="L23" i="406"/>
  <c r="E23" i="406"/>
  <c r="G35" i="406" s="1"/>
  <c r="N22" i="406"/>
  <c r="M22" i="406"/>
  <c r="L22" i="406"/>
  <c r="E22" i="406"/>
  <c r="L21" i="406"/>
  <c r="E21" i="406"/>
  <c r="L20" i="406"/>
  <c r="E20" i="406"/>
  <c r="N19" i="406"/>
  <c r="M19" i="406"/>
  <c r="L19" i="406"/>
  <c r="E19" i="406"/>
  <c r="L18" i="406"/>
  <c r="E18" i="406"/>
  <c r="L17" i="406"/>
  <c r="E17" i="406"/>
  <c r="N16" i="406"/>
  <c r="M16" i="406"/>
  <c r="L16" i="406"/>
  <c r="E16" i="406"/>
  <c r="L15" i="406"/>
  <c r="E15" i="406"/>
  <c r="L14" i="406"/>
  <c r="E14" i="406"/>
  <c r="N13" i="406"/>
  <c r="M13" i="406"/>
  <c r="L13" i="406"/>
  <c r="E13" i="406"/>
  <c r="L12" i="406"/>
  <c r="E12" i="406"/>
  <c r="L11" i="406"/>
  <c r="E11" i="406"/>
  <c r="N10" i="406"/>
  <c r="M10" i="406"/>
  <c r="L10" i="406"/>
  <c r="E10" i="406"/>
  <c r="L9" i="406"/>
  <c r="E9" i="406"/>
  <c r="L8" i="406"/>
  <c r="E8" i="406"/>
  <c r="N7" i="406"/>
  <c r="M7" i="406"/>
  <c r="L7" i="406"/>
  <c r="E7" i="406"/>
  <c r="L6" i="406"/>
  <c r="E6" i="406"/>
  <c r="L5" i="406"/>
  <c r="E5" i="406"/>
  <c r="J46" i="404" l="1"/>
  <c r="G26" i="407"/>
  <c r="P28" i="407"/>
  <c r="J46" i="152"/>
  <c r="G35" i="152"/>
  <c r="H46" i="152"/>
  <c r="G21" i="407"/>
  <c r="B34" i="406"/>
  <c r="C37" i="406" s="1"/>
  <c r="F13" i="407"/>
  <c r="B22" i="407"/>
  <c r="F22" i="407"/>
  <c r="B28" i="407"/>
  <c r="D40" i="407" s="1"/>
  <c r="F28" i="407"/>
  <c r="G26" i="406"/>
  <c r="Q13" i="406"/>
  <c r="Q19" i="406"/>
  <c r="Q25" i="406"/>
  <c r="P34" i="407"/>
  <c r="F9" i="406"/>
  <c r="F12" i="406"/>
  <c r="F15" i="406"/>
  <c r="F21" i="406"/>
  <c r="F24" i="406"/>
  <c r="Q28" i="406"/>
  <c r="Q31" i="406"/>
  <c r="Q34" i="407"/>
  <c r="R37" i="407" s="1"/>
  <c r="F27" i="406"/>
  <c r="Q7" i="406"/>
  <c r="O13" i="407"/>
  <c r="Q10" i="406"/>
  <c r="Q16" i="406"/>
  <c r="B10" i="406"/>
  <c r="B7" i="407"/>
  <c r="F7" i="407"/>
  <c r="G22" i="407"/>
  <c r="F15" i="407"/>
  <c r="O28" i="407"/>
  <c r="F33" i="407"/>
  <c r="O34" i="407"/>
  <c r="Q25" i="407"/>
  <c r="Q31" i="407"/>
  <c r="B34" i="407"/>
  <c r="C37" i="407" s="1"/>
  <c r="F34" i="407"/>
  <c r="Q19" i="407"/>
  <c r="Q22" i="407"/>
  <c r="G32" i="407"/>
  <c r="F21" i="407"/>
  <c r="Q28" i="407"/>
  <c r="G34" i="407"/>
  <c r="F27" i="407"/>
  <c r="G33" i="407"/>
  <c r="Q7" i="407"/>
  <c r="F11" i="407"/>
  <c r="A13" i="407"/>
  <c r="Q10" i="407"/>
  <c r="B13" i="407"/>
  <c r="F14" i="407"/>
  <c r="F16" i="407"/>
  <c r="O16" i="407"/>
  <c r="G27" i="407"/>
  <c r="Q13" i="407"/>
  <c r="F12" i="407"/>
  <c r="Q16" i="407"/>
  <c r="A10" i="407"/>
  <c r="F8" i="407"/>
  <c r="P19" i="407"/>
  <c r="O19" i="407"/>
  <c r="G20" i="407"/>
  <c r="G23" i="407"/>
  <c r="B25" i="407"/>
  <c r="D37" i="407" s="1"/>
  <c r="F23" i="407"/>
  <c r="A25" i="407"/>
  <c r="G29" i="407"/>
  <c r="B31" i="407"/>
  <c r="F29" i="407"/>
  <c r="A31" i="407"/>
  <c r="A7" i="407"/>
  <c r="B10" i="407"/>
  <c r="O10" i="407"/>
  <c r="P22" i="407"/>
  <c r="G17" i="407"/>
  <c r="B19" i="407"/>
  <c r="F17" i="407"/>
  <c r="A19" i="407"/>
  <c r="G25" i="407"/>
  <c r="F25" i="407"/>
  <c r="G31" i="407"/>
  <c r="F31" i="407"/>
  <c r="O16" i="406"/>
  <c r="P25" i="406"/>
  <c r="G19" i="407"/>
  <c r="F19" i="407"/>
  <c r="G24" i="407"/>
  <c r="F24" i="407"/>
  <c r="G28" i="407"/>
  <c r="G30" i="407"/>
  <c r="F30" i="407"/>
  <c r="F6" i="407"/>
  <c r="F9" i="407"/>
  <c r="F10" i="407"/>
  <c r="A16" i="407"/>
  <c r="G18" i="407"/>
  <c r="F18" i="407"/>
  <c r="O22" i="407"/>
  <c r="P25" i="407"/>
  <c r="O25" i="407"/>
  <c r="P31" i="407"/>
  <c r="O31" i="407"/>
  <c r="A7" i="406"/>
  <c r="F7" i="406"/>
  <c r="B16" i="407"/>
  <c r="A22" i="407"/>
  <c r="A28" i="407"/>
  <c r="A34" i="407"/>
  <c r="F13" i="406"/>
  <c r="F14" i="406"/>
  <c r="G19" i="406"/>
  <c r="B22" i="406"/>
  <c r="B28" i="406"/>
  <c r="D40" i="406" s="1"/>
  <c r="F20" i="407"/>
  <c r="F26" i="407"/>
  <c r="F32" i="407"/>
  <c r="F22" i="406"/>
  <c r="A25" i="406"/>
  <c r="Q22" i="406"/>
  <c r="G27" i="406"/>
  <c r="G30" i="406"/>
  <c r="P31" i="406"/>
  <c r="G33" i="406"/>
  <c r="P34" i="406"/>
  <c r="B19" i="406"/>
  <c r="F28" i="406"/>
  <c r="O10" i="406"/>
  <c r="O13" i="406"/>
  <c r="A10" i="406"/>
  <c r="G18" i="406"/>
  <c r="P19" i="406"/>
  <c r="G20" i="406"/>
  <c r="P28" i="406"/>
  <c r="F6" i="406"/>
  <c r="F10" i="406"/>
  <c r="F11" i="406"/>
  <c r="A13" i="406"/>
  <c r="F16" i="406"/>
  <c r="G22" i="406"/>
  <c r="G25" i="406"/>
  <c r="Q34" i="406"/>
  <c r="R37" i="406" s="1"/>
  <c r="G32" i="406"/>
  <c r="B31" i="406"/>
  <c r="F31" i="406"/>
  <c r="F33" i="406"/>
  <c r="G34" i="406"/>
  <c r="G21" i="406"/>
  <c r="G28" i="406"/>
  <c r="B13" i="406"/>
  <c r="A16" i="406"/>
  <c r="F17" i="406"/>
  <c r="F18" i="406"/>
  <c r="F19" i="406"/>
  <c r="F23" i="406"/>
  <c r="B25" i="406"/>
  <c r="D37" i="406" s="1"/>
  <c r="F25" i="406"/>
  <c r="F30" i="406"/>
  <c r="B7" i="406"/>
  <c r="F8" i="406"/>
  <c r="B16" i="406"/>
  <c r="G17" i="406"/>
  <c r="O19" i="406"/>
  <c r="A22" i="406"/>
  <c r="G23" i="406"/>
  <c r="G24" i="406"/>
  <c r="O25" i="406"/>
  <c r="A28" i="406"/>
  <c r="G29" i="406"/>
  <c r="G31" i="406"/>
  <c r="O31" i="406"/>
  <c r="A34" i="406"/>
  <c r="A19" i="406"/>
  <c r="O22" i="406"/>
  <c r="O28" i="406"/>
  <c r="A31" i="406"/>
  <c r="O34" i="406"/>
  <c r="P22" i="406"/>
  <c r="F29" i="406"/>
  <c r="F20" i="406"/>
  <c r="F26" i="406"/>
  <c r="F32" i="406"/>
  <c r="F26" i="403"/>
  <c r="F26" i="402"/>
  <c r="F26" i="89"/>
  <c r="F26" i="389"/>
  <c r="F26" i="88"/>
  <c r="F26" i="148"/>
  <c r="F26" i="386"/>
  <c r="F26" i="303"/>
  <c r="F26" i="387"/>
  <c r="F26" i="314"/>
  <c r="E26" i="396"/>
  <c r="G38" i="396" s="1"/>
  <c r="F26" i="394"/>
  <c r="F26" i="393"/>
  <c r="F26" i="9"/>
  <c r="E26" i="401"/>
  <c r="G38" i="401" s="1"/>
  <c r="F26" i="400"/>
  <c r="F26" i="364"/>
  <c r="F26" i="368"/>
  <c r="F26" i="113"/>
  <c r="F26" i="361"/>
  <c r="F26" i="351"/>
  <c r="F26" i="352"/>
  <c r="F26" i="322"/>
  <c r="F26" i="353"/>
  <c r="F26" i="362"/>
  <c r="F26" i="354"/>
  <c r="F26" i="114"/>
  <c r="F26" i="323"/>
  <c r="F26" i="391"/>
  <c r="F26" i="392"/>
  <c r="F26" i="35"/>
  <c r="F26" i="202"/>
  <c r="F26" i="385"/>
  <c r="F26" i="349"/>
  <c r="F26" i="4"/>
  <c r="F26" i="5"/>
  <c r="F26" i="207"/>
  <c r="F26" i="299"/>
  <c r="F26" i="190"/>
  <c r="F26" i="16"/>
  <c r="F26" i="12"/>
  <c r="F26" i="356"/>
  <c r="F26" i="355"/>
  <c r="F26" i="15"/>
  <c r="F26" i="17"/>
  <c r="F26" i="8"/>
  <c r="F26" i="3"/>
  <c r="F26" i="384"/>
  <c r="F26" i="54"/>
  <c r="F26" i="249"/>
  <c r="F26" i="201"/>
  <c r="F26" i="7"/>
  <c r="F26" i="48"/>
  <c r="F26" i="21"/>
  <c r="F26" i="13"/>
  <c r="F26" i="261"/>
  <c r="F26" i="153"/>
  <c r="F26" i="257"/>
  <c r="F26" i="19"/>
  <c r="F26" i="347"/>
  <c r="F26" i="23"/>
  <c r="F26" i="37"/>
  <c r="E26" i="369"/>
  <c r="G38" i="369" s="1"/>
  <c r="F26" i="367"/>
  <c r="F26" i="204"/>
  <c r="F26" i="363"/>
  <c r="F26" i="31"/>
  <c r="F26" i="168"/>
  <c r="F26" i="169"/>
  <c r="F26" i="336"/>
  <c r="F26" i="28"/>
  <c r="F26" i="29"/>
  <c r="F26" i="359"/>
  <c r="F26" i="360"/>
  <c r="F26" i="342"/>
  <c r="F26" i="334"/>
  <c r="F26" i="33"/>
  <c r="F26" i="319"/>
  <c r="F26" i="320"/>
  <c r="E26" i="343"/>
  <c r="G38" i="343" s="1"/>
  <c r="F26" i="318"/>
  <c r="F26" i="288"/>
  <c r="F26" i="337"/>
  <c r="F26" i="227"/>
  <c r="F26" i="43"/>
  <c r="F26" i="298"/>
  <c r="F26" i="290"/>
  <c r="F26" i="289"/>
  <c r="F26" i="357"/>
  <c r="F26" i="293"/>
  <c r="F26" i="348"/>
  <c r="F26" i="194"/>
  <c r="F26" i="193"/>
  <c r="F26" i="297"/>
  <c r="F26" i="350"/>
  <c r="F26" i="18"/>
  <c r="F26" i="20"/>
  <c r="F26" i="233"/>
  <c r="F26" i="191"/>
  <c r="F26" i="105"/>
  <c r="F26" i="294"/>
  <c r="F26" i="365"/>
  <c r="F26" i="366"/>
  <c r="F26" i="206"/>
  <c r="F26" i="22"/>
  <c r="F26" i="301"/>
  <c r="F26" i="344"/>
  <c r="F26" i="61"/>
  <c r="F26" i="338"/>
  <c r="F26" i="340"/>
  <c r="F26" i="34"/>
  <c r="F26" i="174"/>
  <c r="F26" i="187"/>
  <c r="F26" i="135"/>
  <c r="F26" i="333"/>
  <c r="F26" i="295"/>
  <c r="F26" i="283"/>
  <c r="F26" i="284"/>
  <c r="F26" i="292"/>
  <c r="F26" i="339"/>
  <c r="F26" i="269"/>
  <c r="F26" i="325"/>
  <c r="F26" i="11"/>
  <c r="F26" i="279"/>
  <c r="F26" i="335"/>
  <c r="F26" i="101"/>
  <c r="F26" i="382"/>
  <c r="F26" i="102"/>
  <c r="F26" i="103"/>
  <c r="F26" i="265"/>
  <c r="F26" i="296"/>
  <c r="F26" i="75"/>
  <c r="F26" i="262"/>
  <c r="F26" i="112"/>
  <c r="F26" i="109"/>
  <c r="F26" i="2"/>
  <c r="F26" i="85"/>
  <c r="F26" i="324"/>
  <c r="F26" i="32"/>
  <c r="F26" i="203"/>
  <c r="F26" i="164"/>
  <c r="F26" i="162"/>
  <c r="F26" i="196"/>
  <c r="F26" i="197"/>
  <c r="F26" i="198"/>
  <c r="F26" i="345"/>
  <c r="F26" i="346"/>
  <c r="F26" i="74"/>
  <c r="F26" i="200"/>
  <c r="F26" i="280"/>
  <c r="F26" i="97"/>
  <c r="F26" i="383"/>
  <c r="F26" i="45"/>
  <c r="F26" i="104"/>
  <c r="F26" i="254"/>
  <c r="F26" i="181"/>
  <c r="F26" i="183"/>
  <c r="F26" i="184"/>
  <c r="F26" i="27"/>
  <c r="F26" i="143"/>
  <c r="F26" i="268"/>
  <c r="F26" i="263"/>
  <c r="F26" i="209"/>
  <c r="F26" i="192"/>
  <c r="F26" i="140"/>
  <c r="F26" i="270"/>
  <c r="F26" i="271"/>
  <c r="F26" i="159"/>
  <c r="F26" i="160"/>
  <c r="F26" i="107"/>
  <c r="F26" i="176"/>
  <c r="F26" i="53"/>
  <c r="F26" i="52"/>
  <c r="F26" i="281"/>
  <c r="F26" i="332"/>
  <c r="F26" i="25"/>
  <c r="F26" i="24"/>
  <c r="F26" i="116"/>
  <c r="F26" i="285"/>
  <c r="F26" i="272"/>
  <c r="F26" i="44"/>
  <c r="F26" i="87"/>
  <c r="F26" i="287"/>
  <c r="F26" i="276"/>
  <c r="F26" i="229"/>
  <c r="F26" i="230"/>
  <c r="F26" i="328"/>
  <c r="F26" i="329"/>
  <c r="F26" i="326"/>
  <c r="F26" i="47"/>
  <c r="F26" i="248"/>
  <c r="F26" i="46"/>
  <c r="F26" i="239"/>
  <c r="F26" i="243"/>
  <c r="F26" i="244"/>
  <c r="F26" i="246"/>
  <c r="F26" i="1"/>
  <c r="F26" i="397"/>
  <c r="E26" i="405"/>
  <c r="G38" i="405" s="1"/>
  <c r="N34" i="405"/>
  <c r="M34" i="405"/>
  <c r="O37" i="405" s="1"/>
  <c r="L34" i="405"/>
  <c r="L33" i="405"/>
  <c r="E33" i="405"/>
  <c r="L32" i="405"/>
  <c r="E32" i="405"/>
  <c r="N31" i="405"/>
  <c r="M31" i="405"/>
  <c r="L31" i="405"/>
  <c r="E31" i="405"/>
  <c r="L30" i="405"/>
  <c r="E30" i="405"/>
  <c r="L29" i="405"/>
  <c r="E29" i="405"/>
  <c r="N28" i="405"/>
  <c r="M28" i="405"/>
  <c r="L28" i="405"/>
  <c r="E28" i="405"/>
  <c r="L27" i="405"/>
  <c r="E27" i="405"/>
  <c r="G39" i="405" s="1"/>
  <c r="L26" i="405"/>
  <c r="N25" i="405"/>
  <c r="M25" i="405"/>
  <c r="P37" i="405" s="1"/>
  <c r="L25" i="405"/>
  <c r="E25" i="405"/>
  <c r="G37" i="405" s="1"/>
  <c r="L24" i="405"/>
  <c r="E24" i="405"/>
  <c r="G36" i="405" s="1"/>
  <c r="L23" i="405"/>
  <c r="E23" i="405"/>
  <c r="G35" i="405" s="1"/>
  <c r="N22" i="405"/>
  <c r="M22" i="405"/>
  <c r="L22" i="405"/>
  <c r="E22" i="405"/>
  <c r="L21" i="405"/>
  <c r="E21" i="405"/>
  <c r="L20" i="405"/>
  <c r="E20" i="405"/>
  <c r="N19" i="405"/>
  <c r="M19" i="405"/>
  <c r="L19" i="405"/>
  <c r="E19" i="405"/>
  <c r="L18" i="405"/>
  <c r="E18" i="405"/>
  <c r="L17" i="405"/>
  <c r="E17" i="405"/>
  <c r="N16" i="405"/>
  <c r="M16" i="405"/>
  <c r="L16" i="405"/>
  <c r="E16" i="405"/>
  <c r="L15" i="405"/>
  <c r="E15" i="405"/>
  <c r="L14" i="405"/>
  <c r="E14" i="405"/>
  <c r="N13" i="405"/>
  <c r="M13" i="405"/>
  <c r="L13" i="405"/>
  <c r="E13" i="405"/>
  <c r="L12" i="405"/>
  <c r="E12" i="405"/>
  <c r="L11" i="405"/>
  <c r="E11" i="405"/>
  <c r="N10" i="405"/>
  <c r="M10" i="405"/>
  <c r="L10" i="405"/>
  <c r="E10" i="405"/>
  <c r="L9" i="405"/>
  <c r="E9" i="405"/>
  <c r="L8" i="405"/>
  <c r="E8" i="405"/>
  <c r="N7" i="405"/>
  <c r="M7" i="405"/>
  <c r="L7" i="405"/>
  <c r="E7" i="405"/>
  <c r="L6" i="405"/>
  <c r="E6" i="405"/>
  <c r="L5" i="405"/>
  <c r="E5" i="405"/>
  <c r="H38" i="243" l="1"/>
  <c r="H38" i="25"/>
  <c r="H38" i="192"/>
  <c r="H38" i="45"/>
  <c r="H38" i="164"/>
  <c r="H38" i="103"/>
  <c r="H38" i="283"/>
  <c r="H38" i="338"/>
  <c r="H38" i="20"/>
  <c r="H38" i="43"/>
  <c r="H38" i="359"/>
  <c r="H38" i="54"/>
  <c r="H38" i="349"/>
  <c r="H38" i="9"/>
  <c r="H38" i="89"/>
  <c r="H38" i="1"/>
  <c r="H38" i="239"/>
  <c r="H38" i="326"/>
  <c r="H38" i="328"/>
  <c r="H38" i="287"/>
  <c r="H38" i="285"/>
  <c r="H38" i="332"/>
  <c r="H38" i="176"/>
  <c r="H38" i="271"/>
  <c r="H38" i="209"/>
  <c r="H38" i="27"/>
  <c r="H38" i="383"/>
  <c r="H38" i="74"/>
  <c r="H38" i="197"/>
  <c r="H38" i="203"/>
  <c r="H38" i="2"/>
  <c r="H38" i="75"/>
  <c r="H38" i="102"/>
  <c r="H38" i="279"/>
  <c r="H38" i="339"/>
  <c r="H38" i="295"/>
  <c r="H38" i="174"/>
  <c r="H38" i="61"/>
  <c r="H38" i="206"/>
  <c r="H38" i="105"/>
  <c r="H38" i="18"/>
  <c r="H38" i="194"/>
  <c r="H38" i="289"/>
  <c r="H38" i="227"/>
  <c r="H38" i="334"/>
  <c r="H38" i="29"/>
  <c r="H38" i="168"/>
  <c r="H38" i="367"/>
  <c r="H38" i="347"/>
  <c r="H38" i="261"/>
  <c r="H38" i="7"/>
  <c r="H38" i="384"/>
  <c r="H38" i="12"/>
  <c r="H38" i="207"/>
  <c r="H38" i="385"/>
  <c r="H38" i="391"/>
  <c r="H38" i="362"/>
  <c r="H38" i="351"/>
  <c r="H38" i="364"/>
  <c r="H38" i="393"/>
  <c r="H38" i="387"/>
  <c r="H38" i="148"/>
  <c r="H38" i="402"/>
  <c r="H38" i="47"/>
  <c r="H38" i="276"/>
  <c r="H38" i="159"/>
  <c r="H38" i="181"/>
  <c r="H38" i="198"/>
  <c r="H38" i="262"/>
  <c r="H38" i="269"/>
  <c r="H38" i="22"/>
  <c r="H38" i="193"/>
  <c r="H38" i="318"/>
  <c r="H38" i="204"/>
  <c r="H38" i="48"/>
  <c r="H38" i="299"/>
  <c r="H38" i="354"/>
  <c r="H38" i="368"/>
  <c r="H38" i="314"/>
  <c r="H38" i="246"/>
  <c r="H38" i="46"/>
  <c r="H38" i="230"/>
  <c r="H38" i="87"/>
  <c r="H38" i="116"/>
  <c r="H38" i="281"/>
  <c r="H38" i="107"/>
  <c r="H38" i="270"/>
  <c r="H38" i="263"/>
  <c r="H38" i="184"/>
  <c r="H38" i="254"/>
  <c r="H38" i="97"/>
  <c r="H38" i="346"/>
  <c r="H38" i="196"/>
  <c r="H38" i="32"/>
  <c r="H38" i="109"/>
  <c r="H38" i="296"/>
  <c r="H38" i="382"/>
  <c r="H38" i="11"/>
  <c r="H38" i="292"/>
  <c r="H38" i="333"/>
  <c r="H38" i="34"/>
  <c r="H38" i="344"/>
  <c r="H38" i="366"/>
  <c r="H38" i="191"/>
  <c r="H38" i="350"/>
  <c r="H38" i="348"/>
  <c r="H38" i="290"/>
  <c r="H38" i="337"/>
  <c r="H38" i="320"/>
  <c r="H38" i="342"/>
  <c r="H38" i="28"/>
  <c r="H38" i="31"/>
  <c r="H38" i="19"/>
  <c r="H38" i="13"/>
  <c r="H38" i="201"/>
  <c r="H38" i="3"/>
  <c r="H38" i="15"/>
  <c r="H38" i="16"/>
  <c r="H38" i="5"/>
  <c r="H38" i="202"/>
  <c r="H38" i="323"/>
  <c r="H38" i="361"/>
  <c r="H38" i="400"/>
  <c r="H38" i="394"/>
  <c r="H38" i="303"/>
  <c r="H38" i="88"/>
  <c r="H38" i="403"/>
  <c r="H38" i="397"/>
  <c r="H38" i="272"/>
  <c r="H38" i="53"/>
  <c r="H38" i="143"/>
  <c r="H38" i="200"/>
  <c r="H38" i="85"/>
  <c r="H38" i="335"/>
  <c r="H38" i="187"/>
  <c r="H38" i="294"/>
  <c r="H38" i="357"/>
  <c r="H38" i="33"/>
  <c r="H38" i="169"/>
  <c r="H38" i="153"/>
  <c r="H38" i="17"/>
  <c r="H38" i="356"/>
  <c r="H38" i="392"/>
  <c r="H38" i="352"/>
  <c r="H38" i="244"/>
  <c r="H38" i="248"/>
  <c r="H38" i="329"/>
  <c r="H38" i="229"/>
  <c r="H38" i="44"/>
  <c r="H38" i="24"/>
  <c r="H38" i="52"/>
  <c r="H38" i="160"/>
  <c r="H38" i="140"/>
  <c r="H38" i="268"/>
  <c r="H38" i="183"/>
  <c r="H38" i="104"/>
  <c r="H38" i="280"/>
  <c r="H38" i="345"/>
  <c r="H38" i="162"/>
  <c r="H38" i="324"/>
  <c r="H38" i="112"/>
  <c r="H38" i="265"/>
  <c r="H38" i="101"/>
  <c r="H38" i="325"/>
  <c r="H38" i="284"/>
  <c r="H38" i="135"/>
  <c r="H38" i="340"/>
  <c r="H38" i="301"/>
  <c r="H38" i="365"/>
  <c r="H38" i="233"/>
  <c r="H38" i="297"/>
  <c r="H38" i="293"/>
  <c r="H38" i="298"/>
  <c r="H38" i="288"/>
  <c r="H38" i="319"/>
  <c r="H38" i="360"/>
  <c r="H38" i="336"/>
  <c r="H38" i="363"/>
  <c r="H38" i="37"/>
  <c r="H38" i="257"/>
  <c r="H38" i="21"/>
  <c r="H38" i="249"/>
  <c r="H38" i="8"/>
  <c r="H38" i="355"/>
  <c r="H38" i="190"/>
  <c r="H38" i="4"/>
  <c r="H38" i="114"/>
  <c r="H38" i="322"/>
  <c r="H38" i="113"/>
  <c r="H38" i="386"/>
  <c r="H38" i="389"/>
  <c r="H38" i="23"/>
  <c r="H38" i="35"/>
  <c r="H216" i="417"/>
  <c r="C34" i="406"/>
  <c r="D34" i="407"/>
  <c r="C22" i="406"/>
  <c r="D34" i="406"/>
  <c r="R16" i="406"/>
  <c r="R31" i="406"/>
  <c r="R28" i="406"/>
  <c r="C13" i="407"/>
  <c r="R34" i="407"/>
  <c r="B28" i="405"/>
  <c r="D40" i="405" s="1"/>
  <c r="Q13" i="405"/>
  <c r="Q19" i="405"/>
  <c r="R34" i="406"/>
  <c r="C10" i="406"/>
  <c r="R19" i="406"/>
  <c r="C13" i="406"/>
  <c r="R22" i="406"/>
  <c r="R22" i="407"/>
  <c r="R13" i="406"/>
  <c r="R10" i="406"/>
  <c r="R19" i="407"/>
  <c r="R10" i="407"/>
  <c r="O28" i="405"/>
  <c r="C10" i="407"/>
  <c r="R25" i="407"/>
  <c r="R28" i="407"/>
  <c r="R31" i="407"/>
  <c r="R16" i="407"/>
  <c r="C16" i="407"/>
  <c r="D22" i="407"/>
  <c r="R13" i="407"/>
  <c r="F11" i="405"/>
  <c r="F6" i="405"/>
  <c r="D31" i="406"/>
  <c r="C19" i="406"/>
  <c r="D22" i="406"/>
  <c r="D28" i="407"/>
  <c r="C28" i="406"/>
  <c r="D19" i="407"/>
  <c r="C19" i="407"/>
  <c r="C22" i="407"/>
  <c r="D31" i="407"/>
  <c r="C31" i="407"/>
  <c r="C34" i="407"/>
  <c r="D25" i="407"/>
  <c r="C25" i="407"/>
  <c r="C28" i="407"/>
  <c r="R25" i="406"/>
  <c r="C31" i="406"/>
  <c r="D19" i="406"/>
  <c r="C16" i="406"/>
  <c r="D28" i="406"/>
  <c r="D25" i="406"/>
  <c r="C25" i="406"/>
  <c r="Q10" i="405"/>
  <c r="F13" i="405"/>
  <c r="B16" i="405"/>
  <c r="F26" i="405"/>
  <c r="Q31" i="405"/>
  <c r="F12" i="405"/>
  <c r="P19" i="405"/>
  <c r="G33" i="405"/>
  <c r="F31" i="405"/>
  <c r="B34" i="405"/>
  <c r="C37" i="405" s="1"/>
  <c r="F34" i="405"/>
  <c r="G22" i="405"/>
  <c r="G23" i="405"/>
  <c r="P31" i="405"/>
  <c r="F7" i="405"/>
  <c r="F10" i="405"/>
  <c r="F16" i="405"/>
  <c r="G17" i="405"/>
  <c r="O25" i="405"/>
  <c r="F21" i="405"/>
  <c r="G27" i="405"/>
  <c r="P25" i="405"/>
  <c r="F28" i="405"/>
  <c r="P34" i="405"/>
  <c r="P22" i="405"/>
  <c r="A22" i="405"/>
  <c r="F22" i="405"/>
  <c r="P28" i="405"/>
  <c r="F20" i="405"/>
  <c r="Q22" i="405"/>
  <c r="B22" i="405"/>
  <c r="Q25" i="405"/>
  <c r="Q28" i="405"/>
  <c r="F29" i="405"/>
  <c r="F8" i="405"/>
  <c r="A10" i="405"/>
  <c r="O13" i="405"/>
  <c r="G20" i="405"/>
  <c r="G19" i="405"/>
  <c r="F9" i="405"/>
  <c r="O10" i="405"/>
  <c r="Q16" i="405"/>
  <c r="G24" i="405"/>
  <c r="G28" i="405"/>
  <c r="B7" i="405"/>
  <c r="Q7" i="405"/>
  <c r="G18" i="405"/>
  <c r="O19" i="405"/>
  <c r="F30" i="405"/>
  <c r="G32" i="405"/>
  <c r="Q34" i="405"/>
  <c r="R37" i="405" s="1"/>
  <c r="F33" i="405"/>
  <c r="G34" i="405"/>
  <c r="F15" i="405"/>
  <c r="G26" i="405"/>
  <c r="A31" i="405"/>
  <c r="B10" i="405"/>
  <c r="A13" i="405"/>
  <c r="F14" i="405"/>
  <c r="A19" i="405"/>
  <c r="G21" i="405"/>
  <c r="O22" i="405"/>
  <c r="A25" i="405"/>
  <c r="B31" i="405"/>
  <c r="A7" i="405"/>
  <c r="B13" i="405"/>
  <c r="A16" i="405"/>
  <c r="O16" i="405"/>
  <c r="F17" i="405"/>
  <c r="F18" i="405"/>
  <c r="B19" i="405"/>
  <c r="F19" i="405"/>
  <c r="F23" i="405"/>
  <c r="F24" i="405"/>
  <c r="B25" i="405"/>
  <c r="D37" i="405" s="1"/>
  <c r="F25" i="405"/>
  <c r="A28" i="405"/>
  <c r="G29" i="405"/>
  <c r="G30" i="405"/>
  <c r="G31" i="405"/>
  <c r="O31" i="405"/>
  <c r="A34" i="405"/>
  <c r="O34" i="405"/>
  <c r="G25" i="405"/>
  <c r="F27" i="405"/>
  <c r="F32" i="405"/>
  <c r="F33" i="404"/>
  <c r="H45" i="404" s="1"/>
  <c r="F32" i="404"/>
  <c r="H44" i="404" s="1"/>
  <c r="F31" i="404"/>
  <c r="H43" i="404" s="1"/>
  <c r="F29" i="404"/>
  <c r="H41" i="404" s="1"/>
  <c r="S28" i="404"/>
  <c r="R28" i="404"/>
  <c r="Q28" i="404"/>
  <c r="F28" i="404" s="1"/>
  <c r="S27" i="404"/>
  <c r="R27" i="404"/>
  <c r="Q27" i="404"/>
  <c r="F27" i="404" s="1"/>
  <c r="S26" i="404"/>
  <c r="R26" i="404"/>
  <c r="Q26" i="404"/>
  <c r="S25" i="404"/>
  <c r="R25" i="404"/>
  <c r="Q25" i="404"/>
  <c r="F25" i="404" s="1"/>
  <c r="S24" i="404"/>
  <c r="R24" i="404"/>
  <c r="Q24" i="404"/>
  <c r="F24" i="404" s="1"/>
  <c r="S23" i="404"/>
  <c r="R23" i="404"/>
  <c r="Q23" i="404"/>
  <c r="S22" i="404"/>
  <c r="R22" i="404"/>
  <c r="Q22" i="404"/>
  <c r="S21" i="404"/>
  <c r="R21" i="404"/>
  <c r="Q21" i="404"/>
  <c r="F21" i="404" s="1"/>
  <c r="S20" i="404"/>
  <c r="R20" i="404"/>
  <c r="Q20" i="404"/>
  <c r="F20" i="404" s="1"/>
  <c r="S19" i="404"/>
  <c r="R19" i="404"/>
  <c r="Q19" i="404"/>
  <c r="F19" i="404" s="1"/>
  <c r="S18" i="404"/>
  <c r="R18" i="404"/>
  <c r="Q18" i="404"/>
  <c r="S17" i="404"/>
  <c r="R17" i="404"/>
  <c r="Q17" i="404"/>
  <c r="F17" i="404" s="1"/>
  <c r="S16" i="404"/>
  <c r="R16" i="404"/>
  <c r="Q16" i="404"/>
  <c r="F16" i="404" s="1"/>
  <c r="S15" i="404"/>
  <c r="R15" i="404"/>
  <c r="Q15" i="404"/>
  <c r="S14" i="404"/>
  <c r="R14" i="404"/>
  <c r="Q14" i="404"/>
  <c r="S13" i="404"/>
  <c r="R13" i="404"/>
  <c r="Q13" i="404"/>
  <c r="S12" i="404"/>
  <c r="R12" i="404"/>
  <c r="Q12" i="404"/>
  <c r="F12" i="404" s="1"/>
  <c r="S11" i="404"/>
  <c r="R11" i="404"/>
  <c r="Q11" i="404"/>
  <c r="F11" i="404" s="1"/>
  <c r="S10" i="404"/>
  <c r="R10" i="404"/>
  <c r="Q10" i="404"/>
  <c r="S9" i="404"/>
  <c r="R9" i="404"/>
  <c r="Q9" i="404"/>
  <c r="F9" i="404" s="1"/>
  <c r="S8" i="404"/>
  <c r="R8" i="404"/>
  <c r="Q8" i="404"/>
  <c r="F8" i="404" s="1"/>
  <c r="S7" i="404"/>
  <c r="R7" i="404"/>
  <c r="Q7" i="404"/>
  <c r="F7" i="404" s="1"/>
  <c r="S6" i="404"/>
  <c r="R6" i="404"/>
  <c r="Q6" i="404"/>
  <c r="S5" i="404"/>
  <c r="R5" i="404"/>
  <c r="Q5" i="404"/>
  <c r="F5" i="404" s="1"/>
  <c r="K34" i="403"/>
  <c r="U34" i="403"/>
  <c r="M46" i="403" s="1"/>
  <c r="T34" i="403"/>
  <c r="I34" i="403" s="1"/>
  <c r="T33" i="403"/>
  <c r="I33" i="403" s="1"/>
  <c r="F33" i="403"/>
  <c r="H45" i="403" s="1"/>
  <c r="T32" i="403"/>
  <c r="I32" i="403" s="1"/>
  <c r="F32" i="403"/>
  <c r="H44" i="403" s="1"/>
  <c r="K31" i="403"/>
  <c r="U31" i="403"/>
  <c r="M43" i="403" s="1"/>
  <c r="T31" i="403"/>
  <c r="I31" i="403" s="1"/>
  <c r="F31" i="403"/>
  <c r="H43" i="403" s="1"/>
  <c r="T30" i="403"/>
  <c r="I30" i="403" s="1"/>
  <c r="F30" i="403"/>
  <c r="H42" i="403" s="1"/>
  <c r="T29" i="403"/>
  <c r="I29" i="403" s="1"/>
  <c r="F29" i="403"/>
  <c r="H41" i="403" s="1"/>
  <c r="K28" i="403"/>
  <c r="U28" i="403"/>
  <c r="M40" i="403" s="1"/>
  <c r="T28" i="403"/>
  <c r="I28" i="403" s="1"/>
  <c r="F28" i="403"/>
  <c r="T27" i="403"/>
  <c r="I27" i="403" s="1"/>
  <c r="F27" i="403"/>
  <c r="T26" i="403"/>
  <c r="I26" i="403" s="1"/>
  <c r="K25" i="403"/>
  <c r="U25" i="403"/>
  <c r="M37" i="403" s="1"/>
  <c r="T25" i="403"/>
  <c r="I25" i="403" s="1"/>
  <c r="F25" i="403"/>
  <c r="T24" i="403"/>
  <c r="I24" i="403" s="1"/>
  <c r="F24" i="403"/>
  <c r="T23" i="403"/>
  <c r="I23" i="403" s="1"/>
  <c r="F23" i="403"/>
  <c r="K22" i="403"/>
  <c r="U22" i="403"/>
  <c r="T22" i="403"/>
  <c r="I22" i="403" s="1"/>
  <c r="F22" i="403"/>
  <c r="T21" i="403"/>
  <c r="I21" i="403" s="1"/>
  <c r="F21" i="403"/>
  <c r="T20" i="403"/>
  <c r="I20" i="403" s="1"/>
  <c r="F20" i="403"/>
  <c r="K19" i="403"/>
  <c r="U19" i="403"/>
  <c r="T19" i="403"/>
  <c r="I19" i="403" s="1"/>
  <c r="F19" i="403"/>
  <c r="T18" i="403"/>
  <c r="I18" i="403" s="1"/>
  <c r="F18" i="403"/>
  <c r="T17" i="403"/>
  <c r="I17" i="403" s="1"/>
  <c r="F17" i="403"/>
  <c r="K16" i="403"/>
  <c r="U16" i="403"/>
  <c r="T16" i="403"/>
  <c r="I16" i="403" s="1"/>
  <c r="F16" i="403"/>
  <c r="T15" i="403"/>
  <c r="I15" i="403" s="1"/>
  <c r="F15" i="403"/>
  <c r="T14" i="403"/>
  <c r="I14" i="403" s="1"/>
  <c r="F14" i="403"/>
  <c r="K13" i="403"/>
  <c r="U13" i="403"/>
  <c r="T13" i="403"/>
  <c r="I13" i="403" s="1"/>
  <c r="F13" i="403"/>
  <c r="T12" i="403"/>
  <c r="I12" i="403" s="1"/>
  <c r="F12" i="403"/>
  <c r="T11" i="403"/>
  <c r="I11" i="403" s="1"/>
  <c r="F11" i="403"/>
  <c r="K10" i="403"/>
  <c r="U10" i="403"/>
  <c r="T10" i="403"/>
  <c r="I10" i="403" s="1"/>
  <c r="F10" i="403"/>
  <c r="T9" i="403"/>
  <c r="I9" i="403" s="1"/>
  <c r="F9" i="403"/>
  <c r="T8" i="403"/>
  <c r="I8" i="403" s="1"/>
  <c r="F8" i="403"/>
  <c r="K7" i="403"/>
  <c r="U7" i="403"/>
  <c r="T7" i="403"/>
  <c r="I7" i="403" s="1"/>
  <c r="F7" i="403"/>
  <c r="T6" i="403"/>
  <c r="I6" i="403" s="1"/>
  <c r="F6" i="403"/>
  <c r="T5" i="403"/>
  <c r="I5" i="403" s="1"/>
  <c r="F5" i="403"/>
  <c r="K34" i="402"/>
  <c r="U34" i="402"/>
  <c r="M46" i="402" s="1"/>
  <c r="T34" i="402"/>
  <c r="I34" i="402" s="1"/>
  <c r="T33" i="402"/>
  <c r="I33" i="402" s="1"/>
  <c r="F33" i="402"/>
  <c r="H45" i="402" s="1"/>
  <c r="T32" i="402"/>
  <c r="I32" i="402" s="1"/>
  <c r="F32" i="402"/>
  <c r="H44" i="402" s="1"/>
  <c r="K31" i="402"/>
  <c r="U31" i="402"/>
  <c r="M43" i="402" s="1"/>
  <c r="T31" i="402"/>
  <c r="I31" i="402" s="1"/>
  <c r="F31" i="402"/>
  <c r="H43" i="402" s="1"/>
  <c r="T30" i="402"/>
  <c r="I30" i="402" s="1"/>
  <c r="F30" i="402"/>
  <c r="H42" i="402" s="1"/>
  <c r="T29" i="402"/>
  <c r="I29" i="402" s="1"/>
  <c r="F29" i="402"/>
  <c r="H41" i="402" s="1"/>
  <c r="K28" i="402"/>
  <c r="U28" i="402"/>
  <c r="M40" i="402" s="1"/>
  <c r="T28" i="402"/>
  <c r="I28" i="402" s="1"/>
  <c r="F28" i="402"/>
  <c r="T27" i="402"/>
  <c r="I27" i="402" s="1"/>
  <c r="F27" i="402"/>
  <c r="T26" i="402"/>
  <c r="I26" i="402" s="1"/>
  <c r="K25" i="402"/>
  <c r="U25" i="402"/>
  <c r="M37" i="402" s="1"/>
  <c r="T25" i="402"/>
  <c r="I25" i="402" s="1"/>
  <c r="F25" i="402"/>
  <c r="T24" i="402"/>
  <c r="I24" i="402" s="1"/>
  <c r="J36" i="402" s="1"/>
  <c r="F24" i="402"/>
  <c r="T23" i="402"/>
  <c r="I23" i="402" s="1"/>
  <c r="F23" i="402"/>
  <c r="K22" i="402"/>
  <c r="U22" i="402"/>
  <c r="T22" i="402"/>
  <c r="I22" i="402" s="1"/>
  <c r="F22" i="402"/>
  <c r="T21" i="402"/>
  <c r="I21" i="402" s="1"/>
  <c r="F21" i="402"/>
  <c r="T20" i="402"/>
  <c r="I20" i="402" s="1"/>
  <c r="F20" i="402"/>
  <c r="K19" i="402"/>
  <c r="U19" i="402"/>
  <c r="T19" i="402"/>
  <c r="I19" i="402" s="1"/>
  <c r="F19" i="402"/>
  <c r="T18" i="402"/>
  <c r="I18" i="402" s="1"/>
  <c r="F18" i="402"/>
  <c r="T17" i="402"/>
  <c r="I17" i="402" s="1"/>
  <c r="F17" i="402"/>
  <c r="K16" i="402"/>
  <c r="U16" i="402"/>
  <c r="T16" i="402"/>
  <c r="I16" i="402" s="1"/>
  <c r="F16" i="402"/>
  <c r="T15" i="402"/>
  <c r="I15" i="402" s="1"/>
  <c r="F15" i="402"/>
  <c r="T14" i="402"/>
  <c r="I14" i="402" s="1"/>
  <c r="F14" i="402"/>
  <c r="K13" i="402"/>
  <c r="U13" i="402"/>
  <c r="T13" i="402"/>
  <c r="I13" i="402" s="1"/>
  <c r="F13" i="402"/>
  <c r="T12" i="402"/>
  <c r="I12" i="402" s="1"/>
  <c r="F12" i="402"/>
  <c r="T11" i="402"/>
  <c r="I11" i="402" s="1"/>
  <c r="F11" i="402"/>
  <c r="K10" i="402"/>
  <c r="U10" i="402"/>
  <c r="T10" i="402"/>
  <c r="I10" i="402" s="1"/>
  <c r="F10" i="402"/>
  <c r="T9" i="402"/>
  <c r="I9" i="402" s="1"/>
  <c r="F9" i="402"/>
  <c r="T8" i="402"/>
  <c r="I8" i="402" s="1"/>
  <c r="F8" i="402"/>
  <c r="K7" i="402"/>
  <c r="U7" i="402"/>
  <c r="T7" i="402"/>
  <c r="I7" i="402" s="1"/>
  <c r="F7" i="402"/>
  <c r="T6" i="402"/>
  <c r="I6" i="402" s="1"/>
  <c r="F6" i="402"/>
  <c r="T5" i="402"/>
  <c r="I5" i="402" s="1"/>
  <c r="F5" i="402"/>
  <c r="J17" i="402" l="1"/>
  <c r="J22" i="402"/>
  <c r="J17" i="403"/>
  <c r="J22" i="403"/>
  <c r="J31" i="403"/>
  <c r="J43" i="403"/>
  <c r="J34" i="402"/>
  <c r="J46" i="402"/>
  <c r="J31" i="402"/>
  <c r="J43" i="402"/>
  <c r="J34" i="403"/>
  <c r="J46" i="403"/>
  <c r="J29" i="402"/>
  <c r="J41" i="402"/>
  <c r="J26" i="402"/>
  <c r="J38" i="402"/>
  <c r="J33" i="402"/>
  <c r="J45" i="402"/>
  <c r="J26" i="403"/>
  <c r="J38" i="403"/>
  <c r="J33" i="403"/>
  <c r="J45" i="403"/>
  <c r="J24" i="403"/>
  <c r="J36" i="403"/>
  <c r="J27" i="402"/>
  <c r="J39" i="402"/>
  <c r="J27" i="403"/>
  <c r="J39" i="403"/>
  <c r="J29" i="403"/>
  <c r="J41" i="403"/>
  <c r="J18" i="402"/>
  <c r="J20" i="402"/>
  <c r="J25" i="402"/>
  <c r="J37" i="402"/>
  <c r="J20" i="403"/>
  <c r="J25" i="403"/>
  <c r="J37" i="403"/>
  <c r="J28" i="402"/>
  <c r="J40" i="402"/>
  <c r="J30" i="402"/>
  <c r="J42" i="402"/>
  <c r="J32" i="402"/>
  <c r="J44" i="402"/>
  <c r="J28" i="403"/>
  <c r="J40" i="403"/>
  <c r="J30" i="403"/>
  <c r="J42" i="403"/>
  <c r="J32" i="403"/>
  <c r="J44" i="403"/>
  <c r="J18" i="403"/>
  <c r="J24" i="402"/>
  <c r="J19" i="402"/>
  <c r="J21" i="402"/>
  <c r="J23" i="402"/>
  <c r="J35" i="402"/>
  <c r="J19" i="403"/>
  <c r="J21" i="403"/>
  <c r="J23" i="403"/>
  <c r="J35" i="403"/>
  <c r="L37" i="403"/>
  <c r="L37" i="402"/>
  <c r="H36" i="402"/>
  <c r="H40" i="402"/>
  <c r="H39" i="403"/>
  <c r="H35" i="403"/>
  <c r="H35" i="402"/>
  <c r="H36" i="403"/>
  <c r="H37" i="404"/>
  <c r="H39" i="404"/>
  <c r="H39" i="402"/>
  <c r="H40" i="403"/>
  <c r="H36" i="404"/>
  <c r="H40" i="404"/>
  <c r="I228" i="417"/>
  <c r="I216" i="417"/>
  <c r="R31" i="405"/>
  <c r="G26" i="402"/>
  <c r="H37" i="402"/>
  <c r="G26" i="403"/>
  <c r="H37" i="403"/>
  <c r="R16" i="405"/>
  <c r="R13" i="405"/>
  <c r="R22" i="405"/>
  <c r="D28" i="405"/>
  <c r="D34" i="405"/>
  <c r="G12" i="403"/>
  <c r="R25" i="405"/>
  <c r="T6" i="404"/>
  <c r="I6" i="404" s="1"/>
  <c r="T8" i="404"/>
  <c r="I8" i="404" s="1"/>
  <c r="T10" i="404"/>
  <c r="I10" i="404" s="1"/>
  <c r="T12" i="404"/>
  <c r="I12" i="404" s="1"/>
  <c r="T14" i="404"/>
  <c r="I14" i="404" s="1"/>
  <c r="T16" i="404"/>
  <c r="I16" i="404" s="1"/>
  <c r="T18" i="404"/>
  <c r="I18" i="404" s="1"/>
  <c r="T20" i="404"/>
  <c r="I20" i="404" s="1"/>
  <c r="T22" i="404"/>
  <c r="I22" i="404" s="1"/>
  <c r="T24" i="404"/>
  <c r="I24" i="404" s="1"/>
  <c r="T28" i="404"/>
  <c r="I28" i="404" s="1"/>
  <c r="T30" i="404"/>
  <c r="I30" i="404" s="1"/>
  <c r="T32" i="404"/>
  <c r="I32" i="404" s="1"/>
  <c r="C10" i="405"/>
  <c r="R34" i="405"/>
  <c r="R10" i="405"/>
  <c r="F6" i="404"/>
  <c r="F22" i="404"/>
  <c r="U25" i="404"/>
  <c r="M37" i="404" s="1"/>
  <c r="G29" i="404"/>
  <c r="F10" i="404"/>
  <c r="R28" i="405"/>
  <c r="H33" i="402"/>
  <c r="K13" i="404"/>
  <c r="T26" i="404"/>
  <c r="I26" i="404" s="1"/>
  <c r="F26" i="404"/>
  <c r="C34" i="402"/>
  <c r="E46" i="402" s="1"/>
  <c r="T7" i="404"/>
  <c r="I7" i="404" s="1"/>
  <c r="U22" i="404"/>
  <c r="T11" i="404"/>
  <c r="I11" i="404" s="1"/>
  <c r="T13" i="404"/>
  <c r="I13" i="404" s="1"/>
  <c r="G21" i="404"/>
  <c r="K31" i="404"/>
  <c r="G33" i="404"/>
  <c r="K34" i="404"/>
  <c r="M34" i="402"/>
  <c r="U16" i="404"/>
  <c r="F14" i="404"/>
  <c r="R19" i="405"/>
  <c r="H17" i="404"/>
  <c r="D31" i="405"/>
  <c r="C31" i="405"/>
  <c r="H33" i="403"/>
  <c r="M34" i="403"/>
  <c r="F13" i="404"/>
  <c r="H24" i="404"/>
  <c r="C25" i="405"/>
  <c r="D25" i="405"/>
  <c r="C19" i="405"/>
  <c r="D19" i="405"/>
  <c r="C34" i="405"/>
  <c r="G12" i="402"/>
  <c r="C34" i="403"/>
  <c r="E46" i="403" s="1"/>
  <c r="G34" i="403"/>
  <c r="U10" i="404"/>
  <c r="G34" i="404"/>
  <c r="K10" i="404"/>
  <c r="T9" i="404"/>
  <c r="I9" i="404" s="1"/>
  <c r="T15" i="404"/>
  <c r="I15" i="404" s="1"/>
  <c r="T17" i="404"/>
  <c r="I17" i="404" s="1"/>
  <c r="T19" i="404"/>
  <c r="I19" i="404" s="1"/>
  <c r="K22" i="404"/>
  <c r="T21" i="404"/>
  <c r="I21" i="404" s="1"/>
  <c r="T23" i="404"/>
  <c r="I23" i="404" s="1"/>
  <c r="K25" i="404"/>
  <c r="T25" i="404"/>
  <c r="I25" i="404" s="1"/>
  <c r="T27" i="404"/>
  <c r="I27" i="404" s="1"/>
  <c r="T29" i="404"/>
  <c r="I29" i="404" s="1"/>
  <c r="T33" i="404"/>
  <c r="I33" i="404" s="1"/>
  <c r="C13" i="405"/>
  <c r="C28" i="405"/>
  <c r="C16" i="405"/>
  <c r="G34" i="402"/>
  <c r="G7" i="403"/>
  <c r="B10" i="403"/>
  <c r="G10" i="403"/>
  <c r="G11" i="403"/>
  <c r="K7" i="404"/>
  <c r="K16" i="404"/>
  <c r="K19" i="404"/>
  <c r="K28" i="404"/>
  <c r="U31" i="404"/>
  <c r="M43" i="404" s="1"/>
  <c r="U34" i="404"/>
  <c r="M46" i="404" s="1"/>
  <c r="C22" i="405"/>
  <c r="D22" i="405"/>
  <c r="U7" i="404"/>
  <c r="G12" i="404"/>
  <c r="U13" i="404"/>
  <c r="F15" i="404"/>
  <c r="F18" i="404"/>
  <c r="U19" i="404"/>
  <c r="H20" i="404"/>
  <c r="F23" i="404"/>
  <c r="U28" i="404"/>
  <c r="M40" i="404" s="1"/>
  <c r="T31" i="404"/>
  <c r="I31" i="404" s="1"/>
  <c r="C34" i="404"/>
  <c r="E46" i="404" s="1"/>
  <c r="H33" i="404"/>
  <c r="T5" i="404"/>
  <c r="I5" i="404" s="1"/>
  <c r="H19" i="404"/>
  <c r="H28" i="404"/>
  <c r="H21" i="404"/>
  <c r="G20" i="404"/>
  <c r="G8" i="404"/>
  <c r="G28" i="404"/>
  <c r="F30" i="404"/>
  <c r="H32" i="404"/>
  <c r="C10" i="402"/>
  <c r="G10" i="402"/>
  <c r="G11" i="402"/>
  <c r="N10" i="403"/>
  <c r="G13" i="403"/>
  <c r="C16" i="403"/>
  <c r="G16" i="403"/>
  <c r="H34" i="403"/>
  <c r="H23" i="403"/>
  <c r="N31" i="403"/>
  <c r="N34" i="403"/>
  <c r="O37" i="403" s="1"/>
  <c r="G9" i="404"/>
  <c r="G17" i="404"/>
  <c r="G25" i="404"/>
  <c r="H29" i="404"/>
  <c r="H31" i="404"/>
  <c r="B34" i="404"/>
  <c r="N10" i="402"/>
  <c r="G6" i="403"/>
  <c r="M19" i="403"/>
  <c r="N13" i="403"/>
  <c r="N22" i="403"/>
  <c r="C28" i="403"/>
  <c r="E40" i="403" s="1"/>
  <c r="L28" i="403"/>
  <c r="G32" i="404"/>
  <c r="G33" i="403"/>
  <c r="C31" i="403"/>
  <c r="E43" i="403" s="1"/>
  <c r="L25" i="403"/>
  <c r="B22" i="403"/>
  <c r="G21" i="403"/>
  <c r="G22" i="403"/>
  <c r="H30" i="403"/>
  <c r="M31" i="403"/>
  <c r="H32" i="403"/>
  <c r="M22" i="403"/>
  <c r="N19" i="403"/>
  <c r="G20" i="403"/>
  <c r="H22" i="403"/>
  <c r="M25" i="403"/>
  <c r="G28" i="403"/>
  <c r="H27" i="403"/>
  <c r="C22" i="403"/>
  <c r="N25" i="403"/>
  <c r="N28" i="403"/>
  <c r="H31" i="403"/>
  <c r="L13" i="403"/>
  <c r="H17" i="403"/>
  <c r="H19" i="403"/>
  <c r="G9" i="403"/>
  <c r="L10" i="403"/>
  <c r="N16" i="403"/>
  <c r="H24" i="403"/>
  <c r="H28" i="403"/>
  <c r="G8" i="403"/>
  <c r="H20" i="403"/>
  <c r="C7" i="403"/>
  <c r="N7" i="403"/>
  <c r="L16" i="403"/>
  <c r="H18" i="403"/>
  <c r="L19" i="403"/>
  <c r="G15" i="403"/>
  <c r="H26" i="403"/>
  <c r="L34" i="403"/>
  <c r="C10" i="403"/>
  <c r="G14" i="403"/>
  <c r="B19" i="403"/>
  <c r="H21" i="403"/>
  <c r="L22" i="403"/>
  <c r="M28" i="403"/>
  <c r="G30" i="403"/>
  <c r="G31" i="403"/>
  <c r="M19" i="402"/>
  <c r="G13" i="402"/>
  <c r="C16" i="402"/>
  <c r="G16" i="402"/>
  <c r="H17" i="402"/>
  <c r="H19" i="402"/>
  <c r="B22" i="402"/>
  <c r="H34" i="402"/>
  <c r="H23" i="402"/>
  <c r="N31" i="402"/>
  <c r="N34" i="402"/>
  <c r="O37" i="402" s="1"/>
  <c r="B7" i="403"/>
  <c r="C13" i="403"/>
  <c r="B16" i="403"/>
  <c r="G17" i="403"/>
  <c r="G18" i="403"/>
  <c r="C19" i="403"/>
  <c r="G19" i="403"/>
  <c r="G23" i="403"/>
  <c r="G24" i="403"/>
  <c r="C25" i="403"/>
  <c r="E37" i="403" s="1"/>
  <c r="G25" i="403"/>
  <c r="B28" i="403"/>
  <c r="H29" i="403"/>
  <c r="L31" i="403"/>
  <c r="B34" i="403"/>
  <c r="M25" i="402"/>
  <c r="B31" i="403"/>
  <c r="B13" i="403"/>
  <c r="B25" i="403"/>
  <c r="G29" i="403"/>
  <c r="G6" i="402"/>
  <c r="H21" i="402"/>
  <c r="N13" i="402"/>
  <c r="N19" i="402"/>
  <c r="N22" i="402"/>
  <c r="C28" i="402"/>
  <c r="E40" i="402" s="1"/>
  <c r="L28" i="402"/>
  <c r="G30" i="402"/>
  <c r="H25" i="403"/>
  <c r="G27" i="403"/>
  <c r="G32" i="403"/>
  <c r="G33" i="402"/>
  <c r="B31" i="402"/>
  <c r="G31" i="402"/>
  <c r="G20" i="402"/>
  <c r="G21" i="402"/>
  <c r="G22" i="402"/>
  <c r="M31" i="402"/>
  <c r="H32" i="402"/>
  <c r="M22" i="402"/>
  <c r="H27" i="402"/>
  <c r="M28" i="402"/>
  <c r="H20" i="402"/>
  <c r="H22" i="402"/>
  <c r="G28" i="402"/>
  <c r="L25" i="402"/>
  <c r="C22" i="402"/>
  <c r="N25" i="402"/>
  <c r="N28" i="402"/>
  <c r="L13" i="402"/>
  <c r="C7" i="402"/>
  <c r="N7" i="402"/>
  <c r="L10" i="402"/>
  <c r="N16" i="402"/>
  <c r="H24" i="402"/>
  <c r="H28" i="402"/>
  <c r="G7" i="402"/>
  <c r="G8" i="402"/>
  <c r="B10" i="402"/>
  <c r="H18" i="402"/>
  <c r="L19" i="402"/>
  <c r="G15" i="402"/>
  <c r="H26" i="402"/>
  <c r="B13" i="402"/>
  <c r="G14" i="402"/>
  <c r="L22" i="402"/>
  <c r="B25" i="402"/>
  <c r="G29" i="402"/>
  <c r="C31" i="402"/>
  <c r="E43" i="402" s="1"/>
  <c r="B7" i="402"/>
  <c r="G9" i="402"/>
  <c r="C13" i="402"/>
  <c r="B16" i="402"/>
  <c r="L16" i="402"/>
  <c r="G17" i="402"/>
  <c r="G18" i="402"/>
  <c r="C19" i="402"/>
  <c r="G19" i="402"/>
  <c r="G23" i="402"/>
  <c r="G24" i="402"/>
  <c r="C25" i="402"/>
  <c r="E37" i="402" s="1"/>
  <c r="G25" i="402"/>
  <c r="B28" i="402"/>
  <c r="H29" i="402"/>
  <c r="H30" i="402"/>
  <c r="H31" i="402"/>
  <c r="L31" i="402"/>
  <c r="B34" i="402"/>
  <c r="L34" i="402"/>
  <c r="B19" i="402"/>
  <c r="H25" i="402"/>
  <c r="G27" i="402"/>
  <c r="G32" i="402"/>
  <c r="N34" i="401"/>
  <c r="M34" i="401"/>
  <c r="O37" i="401" s="1"/>
  <c r="L34" i="401"/>
  <c r="L33" i="401"/>
  <c r="E33" i="401"/>
  <c r="L32" i="401"/>
  <c r="E32" i="401"/>
  <c r="N31" i="401"/>
  <c r="M31" i="401"/>
  <c r="L31" i="401"/>
  <c r="E31" i="401"/>
  <c r="L30" i="401"/>
  <c r="E30" i="401"/>
  <c r="L29" i="401"/>
  <c r="E29" i="401"/>
  <c r="N28" i="401"/>
  <c r="M28" i="401"/>
  <c r="L28" i="401"/>
  <c r="E28" i="401"/>
  <c r="L27" i="401"/>
  <c r="E27" i="401"/>
  <c r="G39" i="401" s="1"/>
  <c r="L26" i="401"/>
  <c r="N25" i="401"/>
  <c r="M25" i="401"/>
  <c r="P37" i="401" s="1"/>
  <c r="L25" i="401"/>
  <c r="E25" i="401"/>
  <c r="G37" i="401" s="1"/>
  <c r="L24" i="401"/>
  <c r="E24" i="401"/>
  <c r="G36" i="401" s="1"/>
  <c r="L23" i="401"/>
  <c r="E23" i="401"/>
  <c r="G35" i="401" s="1"/>
  <c r="N22" i="401"/>
  <c r="M22" i="401"/>
  <c r="L22" i="401"/>
  <c r="E22" i="401"/>
  <c r="L21" i="401"/>
  <c r="E21" i="401"/>
  <c r="L20" i="401"/>
  <c r="E20" i="401"/>
  <c r="N19" i="401"/>
  <c r="M19" i="401"/>
  <c r="L19" i="401"/>
  <c r="E19" i="401"/>
  <c r="L18" i="401"/>
  <c r="E18" i="401"/>
  <c r="L17" i="401"/>
  <c r="E17" i="401"/>
  <c r="N16" i="401"/>
  <c r="M16" i="401"/>
  <c r="L16" i="401"/>
  <c r="E16" i="401"/>
  <c r="L15" i="401"/>
  <c r="E15" i="401"/>
  <c r="L14" i="401"/>
  <c r="E14" i="401"/>
  <c r="N13" i="401"/>
  <c r="M13" i="401"/>
  <c r="L13" i="401"/>
  <c r="E13" i="401"/>
  <c r="L12" i="401"/>
  <c r="E12" i="401"/>
  <c r="L11" i="401"/>
  <c r="E11" i="401"/>
  <c r="N10" i="401"/>
  <c r="M10" i="401"/>
  <c r="L10" i="401"/>
  <c r="E10" i="401"/>
  <c r="L9" i="401"/>
  <c r="E9" i="401"/>
  <c r="L8" i="401"/>
  <c r="E8" i="401"/>
  <c r="N7" i="401"/>
  <c r="M7" i="401"/>
  <c r="L7" i="401"/>
  <c r="E7" i="401"/>
  <c r="L6" i="401"/>
  <c r="E6" i="401"/>
  <c r="L5" i="401"/>
  <c r="E5" i="401"/>
  <c r="J20" i="404" l="1"/>
  <c r="J18" i="404"/>
  <c r="J19" i="404"/>
  <c r="J17" i="404"/>
  <c r="J21" i="404"/>
  <c r="J27" i="404"/>
  <c r="J39" i="404"/>
  <c r="J26" i="404"/>
  <c r="J38" i="404"/>
  <c r="J32" i="404"/>
  <c r="J44" i="404"/>
  <c r="J31" i="404"/>
  <c r="J43" i="404"/>
  <c r="J28" i="404"/>
  <c r="J40" i="404"/>
  <c r="J23" i="404"/>
  <c r="J35" i="404"/>
  <c r="J24" i="404"/>
  <c r="J36" i="404"/>
  <c r="J25" i="404"/>
  <c r="J37" i="404"/>
  <c r="J30" i="404"/>
  <c r="J42" i="404"/>
  <c r="J33" i="404"/>
  <c r="J45" i="404"/>
  <c r="J22" i="404"/>
  <c r="J34" i="404"/>
  <c r="J29" i="404"/>
  <c r="J41" i="404"/>
  <c r="L37" i="404"/>
  <c r="B19" i="404"/>
  <c r="H34" i="404"/>
  <c r="G16" i="404"/>
  <c r="G13" i="404"/>
  <c r="C10" i="404"/>
  <c r="B7" i="404"/>
  <c r="D37" i="403"/>
  <c r="D37" i="404"/>
  <c r="D37" i="402"/>
  <c r="G30" i="404"/>
  <c r="H42" i="404"/>
  <c r="B28" i="404"/>
  <c r="H38" i="404"/>
  <c r="D13" i="403"/>
  <c r="B22" i="404"/>
  <c r="H23" i="404"/>
  <c r="H35" i="404"/>
  <c r="C7" i="404"/>
  <c r="M22" i="404"/>
  <c r="N28" i="404"/>
  <c r="H18" i="404"/>
  <c r="B10" i="404"/>
  <c r="N16" i="404"/>
  <c r="G7" i="404"/>
  <c r="N13" i="404"/>
  <c r="G6" i="404"/>
  <c r="G11" i="404"/>
  <c r="L25" i="404"/>
  <c r="C16" i="404"/>
  <c r="H25" i="404"/>
  <c r="L19" i="404"/>
  <c r="N10" i="404"/>
  <c r="L10" i="404"/>
  <c r="F15" i="401"/>
  <c r="O28" i="402"/>
  <c r="O22" i="402"/>
  <c r="E34" i="402"/>
  <c r="B13" i="404"/>
  <c r="C22" i="404"/>
  <c r="G22" i="404"/>
  <c r="N7" i="404"/>
  <c r="N22" i="404"/>
  <c r="M19" i="404"/>
  <c r="L28" i="404"/>
  <c r="C13" i="404"/>
  <c r="O16" i="403"/>
  <c r="O25" i="403"/>
  <c r="D34" i="403"/>
  <c r="G14" i="404"/>
  <c r="O10" i="402"/>
  <c r="G15" i="404"/>
  <c r="H22" i="404"/>
  <c r="G26" i="404"/>
  <c r="D22" i="402"/>
  <c r="D31" i="403"/>
  <c r="E34" i="403"/>
  <c r="E28" i="403"/>
  <c r="C25" i="404"/>
  <c r="E37" i="404" s="1"/>
  <c r="O31" i="403"/>
  <c r="L22" i="404"/>
  <c r="O34" i="403"/>
  <c r="H26" i="404"/>
  <c r="L13" i="404"/>
  <c r="M34" i="404"/>
  <c r="C28" i="404"/>
  <c r="E40" i="404" s="1"/>
  <c r="G10" i="404"/>
  <c r="G28" i="401"/>
  <c r="H30" i="404"/>
  <c r="G27" i="404"/>
  <c r="G19" i="404"/>
  <c r="E22" i="402"/>
  <c r="L34" i="404"/>
  <c r="L31" i="404"/>
  <c r="G18" i="404"/>
  <c r="O13" i="403"/>
  <c r="C31" i="404"/>
  <c r="E43" i="404" s="1"/>
  <c r="B31" i="404"/>
  <c r="N31" i="404"/>
  <c r="M28" i="404"/>
  <c r="D10" i="402"/>
  <c r="G24" i="404"/>
  <c r="M25" i="404"/>
  <c r="G23" i="404"/>
  <c r="B16" i="404"/>
  <c r="H27" i="404"/>
  <c r="N25" i="404"/>
  <c r="N19" i="404"/>
  <c r="D13" i="402"/>
  <c r="E28" i="402"/>
  <c r="E31" i="403"/>
  <c r="B25" i="404"/>
  <c r="N34" i="404"/>
  <c r="O37" i="404" s="1"/>
  <c r="L16" i="404"/>
  <c r="M31" i="404"/>
  <c r="C19" i="404"/>
  <c r="G31" i="404"/>
  <c r="O25" i="402"/>
  <c r="O10" i="403"/>
  <c r="O19" i="403"/>
  <c r="Q19" i="401"/>
  <c r="F8" i="401"/>
  <c r="O19" i="402"/>
  <c r="O13" i="402"/>
  <c r="O34" i="402"/>
  <c r="O28" i="403"/>
  <c r="O22" i="403"/>
  <c r="D10" i="403"/>
  <c r="D16" i="403"/>
  <c r="F10" i="401"/>
  <c r="A13" i="401"/>
  <c r="F13" i="401"/>
  <c r="F14" i="401"/>
  <c r="G34" i="401"/>
  <c r="O31" i="402"/>
  <c r="D25" i="403"/>
  <c r="E25" i="403"/>
  <c r="D19" i="403"/>
  <c r="E19" i="403"/>
  <c r="D28" i="403"/>
  <c r="F6" i="401"/>
  <c r="Q13" i="401"/>
  <c r="Q31" i="401"/>
  <c r="D22" i="403"/>
  <c r="F21" i="401"/>
  <c r="P22" i="401"/>
  <c r="G24" i="401"/>
  <c r="G27" i="401"/>
  <c r="O16" i="402"/>
  <c r="E22" i="403"/>
  <c r="D16" i="402"/>
  <c r="P28" i="401"/>
  <c r="G30" i="401"/>
  <c r="D25" i="402"/>
  <c r="E25" i="402"/>
  <c r="E31" i="402"/>
  <c r="D31" i="402"/>
  <c r="F9" i="401"/>
  <c r="G17" i="401"/>
  <c r="G19" i="401"/>
  <c r="B28" i="401"/>
  <c r="D40" i="401" s="1"/>
  <c r="F33" i="401"/>
  <c r="D34" i="402"/>
  <c r="P31" i="401"/>
  <c r="D19" i="402"/>
  <c r="E19" i="402"/>
  <c r="F7" i="401"/>
  <c r="O16" i="401"/>
  <c r="F28" i="401"/>
  <c r="D28" i="402"/>
  <c r="Q22" i="401"/>
  <c r="Q25" i="401"/>
  <c r="B22" i="401"/>
  <c r="Q28" i="401"/>
  <c r="G29" i="401"/>
  <c r="G31" i="401"/>
  <c r="P34" i="401"/>
  <c r="G26" i="401"/>
  <c r="G20" i="401"/>
  <c r="F22" i="401"/>
  <c r="F27" i="401"/>
  <c r="G32" i="401"/>
  <c r="Q16" i="401"/>
  <c r="F11" i="401"/>
  <c r="Q7" i="401"/>
  <c r="Q10" i="401"/>
  <c r="P25" i="401"/>
  <c r="B7" i="401"/>
  <c r="O10" i="401"/>
  <c r="O13" i="401"/>
  <c r="G18" i="401"/>
  <c r="P19" i="401"/>
  <c r="A10" i="401"/>
  <c r="G22" i="401"/>
  <c r="G23" i="401"/>
  <c r="G25" i="401"/>
  <c r="G33" i="401"/>
  <c r="B34" i="401"/>
  <c r="C37" i="401" s="1"/>
  <c r="Q34" i="401"/>
  <c r="R37" i="401" s="1"/>
  <c r="F34" i="401"/>
  <c r="B10" i="401"/>
  <c r="A19" i="401"/>
  <c r="G21" i="401"/>
  <c r="O22" i="401"/>
  <c r="A25" i="401"/>
  <c r="A31" i="401"/>
  <c r="O34" i="401"/>
  <c r="A7" i="401"/>
  <c r="B13" i="401"/>
  <c r="A16" i="401"/>
  <c r="F16" i="401"/>
  <c r="F17" i="401"/>
  <c r="F18" i="401"/>
  <c r="B19" i="401"/>
  <c r="F19" i="401"/>
  <c r="F23" i="401"/>
  <c r="F24" i="401"/>
  <c r="B25" i="401"/>
  <c r="D37" i="401" s="1"/>
  <c r="F25" i="401"/>
  <c r="F29" i="401"/>
  <c r="F30" i="401"/>
  <c r="B31" i="401"/>
  <c r="F31" i="401"/>
  <c r="O28" i="401"/>
  <c r="F12" i="401"/>
  <c r="B16" i="401"/>
  <c r="O19" i="401"/>
  <c r="A22" i="401"/>
  <c r="O25" i="401"/>
  <c r="A28" i="401"/>
  <c r="O31" i="401"/>
  <c r="A34" i="401"/>
  <c r="F20" i="401"/>
  <c r="F26" i="401"/>
  <c r="F32" i="401"/>
  <c r="F34" i="321"/>
  <c r="D13" i="404" l="1"/>
  <c r="G35" i="321"/>
  <c r="H46" i="321"/>
  <c r="E22" i="404"/>
  <c r="D10" i="404"/>
  <c r="E28" i="404"/>
  <c r="R13" i="401"/>
  <c r="R34" i="401"/>
  <c r="O16" i="404"/>
  <c r="O31" i="404"/>
  <c r="D19" i="404"/>
  <c r="O13" i="404"/>
  <c r="O19" i="404"/>
  <c r="O25" i="404"/>
  <c r="O34" i="404"/>
  <c r="O10" i="404"/>
  <c r="E34" i="404"/>
  <c r="D16" i="404"/>
  <c r="E25" i="404"/>
  <c r="R19" i="401"/>
  <c r="D28" i="404"/>
  <c r="D25" i="404"/>
  <c r="D31" i="404"/>
  <c r="D34" i="404"/>
  <c r="O28" i="404"/>
  <c r="O22" i="404"/>
  <c r="D22" i="404"/>
  <c r="E31" i="404"/>
  <c r="E19" i="404"/>
  <c r="C10" i="401"/>
  <c r="C28" i="401"/>
  <c r="R28" i="401"/>
  <c r="R16" i="401"/>
  <c r="C34" i="401"/>
  <c r="D34" i="401"/>
  <c r="R25" i="401"/>
  <c r="R22" i="401"/>
  <c r="R31" i="401"/>
  <c r="C22" i="401"/>
  <c r="R10" i="401"/>
  <c r="C13" i="401"/>
  <c r="D22" i="401"/>
  <c r="C16" i="401"/>
  <c r="D31" i="401"/>
  <c r="C31" i="401"/>
  <c r="D25" i="401"/>
  <c r="C25" i="401"/>
  <c r="D19" i="401"/>
  <c r="C19" i="401"/>
  <c r="D28" i="401"/>
  <c r="F34" i="185"/>
  <c r="S34" i="144"/>
  <c r="R34" i="144"/>
  <c r="Q34" i="144"/>
  <c r="F34" i="144" s="1"/>
  <c r="S34" i="186"/>
  <c r="R34" i="186"/>
  <c r="Q34" i="186"/>
  <c r="F34" i="186" s="1"/>
  <c r="R34" i="231"/>
  <c r="S34" i="231"/>
  <c r="Q34" i="231"/>
  <c r="F34" i="231" s="1"/>
  <c r="F34" i="327"/>
  <c r="S34" i="247"/>
  <c r="R34" i="247"/>
  <c r="Q34" i="247"/>
  <c r="F34" i="247" s="1"/>
  <c r="K7" i="54"/>
  <c r="K10" i="54"/>
  <c r="G35" i="186" l="1"/>
  <c r="H46" i="186"/>
  <c r="G35" i="231"/>
  <c r="H46" i="231"/>
  <c r="G35" i="327"/>
  <c r="H46" i="327"/>
  <c r="G35" i="185"/>
  <c r="H46" i="185"/>
  <c r="G35" i="247"/>
  <c r="H46" i="247"/>
  <c r="G35" i="144"/>
  <c r="H46" i="144"/>
  <c r="K34" i="389"/>
  <c r="M46" i="389" s="1"/>
  <c r="U34" i="389"/>
  <c r="K34" i="88"/>
  <c r="M46" i="88" s="1"/>
  <c r="U34" i="88"/>
  <c r="K34" i="148"/>
  <c r="M46" i="148" s="1"/>
  <c r="U34" i="148"/>
  <c r="K34" i="386"/>
  <c r="M46" i="386" s="1"/>
  <c r="U34" i="386"/>
  <c r="K34" i="303"/>
  <c r="M46" i="303" s="1"/>
  <c r="U34" i="303"/>
  <c r="K34" i="387"/>
  <c r="M46" i="387" s="1"/>
  <c r="U34" i="387"/>
  <c r="K34" i="314"/>
  <c r="M46" i="314" s="1"/>
  <c r="U34" i="314"/>
  <c r="N34" i="396"/>
  <c r="M34" i="396"/>
  <c r="O37" i="396" s="1"/>
  <c r="K34" i="394"/>
  <c r="M46" i="394" s="1"/>
  <c r="U34" i="394"/>
  <c r="K34" i="393"/>
  <c r="M46" i="393" s="1"/>
  <c r="U34" i="393"/>
  <c r="K34" i="9"/>
  <c r="M46" i="9" s="1"/>
  <c r="U34" i="9"/>
  <c r="K34" i="400"/>
  <c r="M46" i="400" s="1"/>
  <c r="U34" i="400"/>
  <c r="K34" i="364"/>
  <c r="M46" i="364" s="1"/>
  <c r="U34" i="364"/>
  <c r="K34" i="368"/>
  <c r="M46" i="368" s="1"/>
  <c r="U34" i="368"/>
  <c r="K34" i="113"/>
  <c r="M46" i="113" s="1"/>
  <c r="U34" i="113"/>
  <c r="K34" i="361"/>
  <c r="M46" i="361" s="1"/>
  <c r="U34" i="361"/>
  <c r="K34" i="351"/>
  <c r="M46" i="351" s="1"/>
  <c r="K34" i="352"/>
  <c r="M46" i="352" s="1"/>
  <c r="U34" i="352"/>
  <c r="K34" i="322"/>
  <c r="M46" i="322" s="1"/>
  <c r="U34" i="322"/>
  <c r="K34" i="353"/>
  <c r="M46" i="353" s="1"/>
  <c r="U34" i="353"/>
  <c r="K34" i="362"/>
  <c r="M46" i="362" s="1"/>
  <c r="U34" i="362"/>
  <c r="K34" i="354"/>
  <c r="M46" i="354" s="1"/>
  <c r="U34" i="354"/>
  <c r="K34" i="114"/>
  <c r="M46" i="114" s="1"/>
  <c r="U34" i="114"/>
  <c r="K34" i="323"/>
  <c r="U34" i="323"/>
  <c r="M46" i="323" s="1"/>
  <c r="K34" i="391"/>
  <c r="L37" i="391" s="1"/>
  <c r="K34" i="392"/>
  <c r="L37" i="392" s="1"/>
  <c r="K34" i="35"/>
  <c r="M46" i="35" s="1"/>
  <c r="K34" i="202"/>
  <c r="K34" i="349"/>
  <c r="M46" i="349" s="1"/>
  <c r="U34" i="349"/>
  <c r="K34" i="4"/>
  <c r="M46" i="4" s="1"/>
  <c r="U34" i="4"/>
  <c r="K34" i="5"/>
  <c r="M46" i="5" s="1"/>
  <c r="U34" i="5"/>
  <c r="K34" i="207"/>
  <c r="M46" i="207" s="1"/>
  <c r="U34" i="207"/>
  <c r="K34" i="299"/>
  <c r="M46" i="299" s="1"/>
  <c r="U34" i="299"/>
  <c r="K34" i="190"/>
  <c r="M46" i="190" s="1"/>
  <c r="U34" i="190"/>
  <c r="K34" i="16"/>
  <c r="M46" i="16" s="1"/>
  <c r="U34" i="16"/>
  <c r="K34" i="12"/>
  <c r="M46" i="12" s="1"/>
  <c r="U34" i="12"/>
  <c r="K34" i="356"/>
  <c r="M46" i="356" s="1"/>
  <c r="U34" i="356"/>
  <c r="K34" i="15"/>
  <c r="M46" i="15" s="1"/>
  <c r="U34" i="15"/>
  <c r="K34" i="355"/>
  <c r="M46" i="355" s="1"/>
  <c r="U34" i="355"/>
  <c r="K34" i="17"/>
  <c r="M46" i="17" s="1"/>
  <c r="U34" i="17"/>
  <c r="K34" i="8"/>
  <c r="M46" i="8" s="1"/>
  <c r="U34" i="8"/>
  <c r="K34" i="3"/>
  <c r="M46" i="3" s="1"/>
  <c r="U34" i="3"/>
  <c r="K34" i="384"/>
  <c r="M46" i="384" s="1"/>
  <c r="U34" i="384"/>
  <c r="K34" i="54"/>
  <c r="M46" i="54" s="1"/>
  <c r="U34" i="54"/>
  <c r="K34" i="249"/>
  <c r="M46" i="249" s="1"/>
  <c r="U34" i="249"/>
  <c r="K34" i="201"/>
  <c r="M46" i="201" s="1"/>
  <c r="U34" i="201"/>
  <c r="K34" i="7"/>
  <c r="M46" i="7" s="1"/>
  <c r="U34" i="7"/>
  <c r="K34" i="48"/>
  <c r="M46" i="48" s="1"/>
  <c r="U34" i="48"/>
  <c r="K34" i="13"/>
  <c r="M46" i="13" s="1"/>
  <c r="U34" i="13"/>
  <c r="K34" i="261"/>
  <c r="M46" i="261" s="1"/>
  <c r="U34" i="261"/>
  <c r="K34" i="153"/>
  <c r="M46" i="153" s="1"/>
  <c r="U34" i="153"/>
  <c r="K34" i="257"/>
  <c r="M46" i="257" s="1"/>
  <c r="U34" i="257"/>
  <c r="K34" i="19"/>
  <c r="M46" i="19" s="1"/>
  <c r="U34" i="19"/>
  <c r="K34" i="347"/>
  <c r="M46" i="347" s="1"/>
  <c r="U34" i="347"/>
  <c r="K34" i="23"/>
  <c r="M46" i="23" s="1"/>
  <c r="U34" i="23"/>
  <c r="K34" i="37"/>
  <c r="M46" i="37" s="1"/>
  <c r="U34" i="37"/>
  <c r="N34" i="369"/>
  <c r="M34" i="369"/>
  <c r="O37" i="369" s="1"/>
  <c r="K34" i="367"/>
  <c r="M46" i="367" s="1"/>
  <c r="U34" i="367"/>
  <c r="K34" i="31"/>
  <c r="M46" i="31" s="1"/>
  <c r="U34" i="31"/>
  <c r="K34" i="204"/>
  <c r="M46" i="204" s="1"/>
  <c r="U34" i="204"/>
  <c r="K34" i="363"/>
  <c r="U34" i="363"/>
  <c r="M46" i="363" s="1"/>
  <c r="K34" i="168"/>
  <c r="M46" i="168" s="1"/>
  <c r="U34" i="168"/>
  <c r="K34" i="169"/>
  <c r="M46" i="169" s="1"/>
  <c r="U34" i="169"/>
  <c r="K34" i="336"/>
  <c r="M46" i="336" s="1"/>
  <c r="U34" i="336"/>
  <c r="K34" i="28"/>
  <c r="M46" i="28" s="1"/>
  <c r="U34" i="28"/>
  <c r="K34" i="29"/>
  <c r="M46" i="29" s="1"/>
  <c r="U34" i="29"/>
  <c r="K34" i="359"/>
  <c r="M46" i="359" s="1"/>
  <c r="U34" i="359"/>
  <c r="K34" i="360"/>
  <c r="M46" i="360" s="1"/>
  <c r="U34" i="360"/>
  <c r="K34" i="342"/>
  <c r="M46" i="342" s="1"/>
  <c r="U34" i="342"/>
  <c r="K34" i="334"/>
  <c r="M46" i="334" s="1"/>
  <c r="U34" i="334"/>
  <c r="K34" i="33"/>
  <c r="M46" i="33" s="1"/>
  <c r="U34" i="33"/>
  <c r="K34" i="319"/>
  <c r="M46" i="319" s="1"/>
  <c r="U34" i="319"/>
  <c r="K34" i="320"/>
  <c r="M46" i="320" s="1"/>
  <c r="U34" i="320"/>
  <c r="N34" i="343"/>
  <c r="M34" i="343"/>
  <c r="O37" i="343" s="1"/>
  <c r="K34" i="288"/>
  <c r="M46" i="288" s="1"/>
  <c r="U34" i="288"/>
  <c r="K34" i="227"/>
  <c r="M46" i="227" s="1"/>
  <c r="U34" i="227"/>
  <c r="K34" i="43"/>
  <c r="M46" i="43" s="1"/>
  <c r="U34" i="43"/>
  <c r="K34" i="298"/>
  <c r="M46" i="298" s="1"/>
  <c r="U34" i="298"/>
  <c r="K34" i="290"/>
  <c r="M46" i="290" s="1"/>
  <c r="U34" i="290"/>
  <c r="K34" i="289"/>
  <c r="M46" i="289" s="1"/>
  <c r="U34" i="289"/>
  <c r="K34" i="293"/>
  <c r="M46" i="293" s="1"/>
  <c r="U34" i="293"/>
  <c r="K34" i="348"/>
  <c r="M46" i="348" s="1"/>
  <c r="U34" i="348"/>
  <c r="K34" i="194"/>
  <c r="M46" i="194" s="1"/>
  <c r="U34" i="194"/>
  <c r="K34" i="193"/>
  <c r="M46" i="193" s="1"/>
  <c r="U34" i="193"/>
  <c r="K34" i="297"/>
  <c r="M46" i="297" s="1"/>
  <c r="U34" i="297"/>
  <c r="K34" i="350"/>
  <c r="M46" i="350" s="1"/>
  <c r="U34" i="350"/>
  <c r="K34" i="18"/>
  <c r="M46" i="18" s="1"/>
  <c r="U34" i="18"/>
  <c r="K34" i="20"/>
  <c r="M46" i="20" s="1"/>
  <c r="U34" i="20"/>
  <c r="K34" i="233"/>
  <c r="M46" i="233" s="1"/>
  <c r="U34" i="233"/>
  <c r="U34" i="191"/>
  <c r="K34" i="105"/>
  <c r="M46" i="105" s="1"/>
  <c r="U34" i="105"/>
  <c r="K34" i="294"/>
  <c r="M46" i="294" s="1"/>
  <c r="U34" i="294"/>
  <c r="J34" i="365"/>
  <c r="T34" i="365"/>
  <c r="L46" i="365" s="1"/>
  <c r="J34" i="366"/>
  <c r="T34" i="366"/>
  <c r="L46" i="366" s="1"/>
  <c r="K34" i="206"/>
  <c r="M46" i="206" s="1"/>
  <c r="U34" i="206"/>
  <c r="K34" i="22"/>
  <c r="M46" i="22" s="1"/>
  <c r="U34" i="22"/>
  <c r="K34" i="301"/>
  <c r="M46" i="301" s="1"/>
  <c r="U34" i="301"/>
  <c r="K34" i="344"/>
  <c r="M46" i="344" s="1"/>
  <c r="U34" i="344"/>
  <c r="K34" i="61"/>
  <c r="M46" i="61" s="1"/>
  <c r="U34" i="61"/>
  <c r="K34" i="338"/>
  <c r="M46" i="338" s="1"/>
  <c r="U34" i="338"/>
  <c r="K34" i="340"/>
  <c r="M46" i="340" s="1"/>
  <c r="U34" i="340"/>
  <c r="K34" i="34"/>
  <c r="M46" i="34" s="1"/>
  <c r="U34" i="34"/>
  <c r="K34" i="174"/>
  <c r="M46" i="174" s="1"/>
  <c r="U34" i="174"/>
  <c r="K34" i="135"/>
  <c r="M46" i="135" s="1"/>
  <c r="U34" i="135"/>
  <c r="K34" i="333"/>
  <c r="M46" i="333" s="1"/>
  <c r="U34" i="333"/>
  <c r="K34" i="295"/>
  <c r="M46" i="295" s="1"/>
  <c r="U34" i="295"/>
  <c r="K34" i="283"/>
  <c r="M46" i="283" s="1"/>
  <c r="U34" i="283"/>
  <c r="K34" i="284"/>
  <c r="M46" i="284" s="1"/>
  <c r="U34" i="284"/>
  <c r="K34" i="292"/>
  <c r="M46" i="292" s="1"/>
  <c r="U34" i="292"/>
  <c r="K34" i="339"/>
  <c r="M46" i="339" s="1"/>
  <c r="U34" i="339"/>
  <c r="K34" i="269"/>
  <c r="M46" i="269" s="1"/>
  <c r="U34" i="269"/>
  <c r="K34" i="325"/>
  <c r="M46" i="325" s="1"/>
  <c r="U34" i="325"/>
  <c r="K34" i="11"/>
  <c r="M46" i="11" s="1"/>
  <c r="U34" i="11"/>
  <c r="J34" i="279"/>
  <c r="T34" i="279"/>
  <c r="L46" i="279" s="1"/>
  <c r="J34" i="335"/>
  <c r="T34" i="335"/>
  <c r="L46" i="335" s="1"/>
  <c r="K34" i="101"/>
  <c r="M46" i="101" s="1"/>
  <c r="U34" i="101"/>
  <c r="K34" i="382"/>
  <c r="M46" i="382" s="1"/>
  <c r="U34" i="382"/>
  <c r="K34" i="102"/>
  <c r="M46" i="102" s="1"/>
  <c r="U34" i="102"/>
  <c r="K34" i="103"/>
  <c r="M46" i="103" s="1"/>
  <c r="U34" i="103"/>
  <c r="K34" i="265"/>
  <c r="M46" i="265" s="1"/>
  <c r="U34" i="265"/>
  <c r="K34" i="75"/>
  <c r="M46" i="75" s="1"/>
  <c r="U34" i="75"/>
  <c r="K34" i="262"/>
  <c r="M46" i="262" s="1"/>
  <c r="U34" i="262"/>
  <c r="K34" i="112"/>
  <c r="M46" i="112" s="1"/>
  <c r="U34" i="112"/>
  <c r="K34" i="109"/>
  <c r="M46" i="109" s="1"/>
  <c r="U34" i="109"/>
  <c r="K34" i="2"/>
  <c r="M46" i="2" s="1"/>
  <c r="U34" i="2"/>
  <c r="K34" i="85"/>
  <c r="M46" i="85" s="1"/>
  <c r="U34" i="85"/>
  <c r="K34" i="324"/>
  <c r="M46" i="324" s="1"/>
  <c r="U34" i="324"/>
  <c r="K34" i="32"/>
  <c r="M46" i="32" s="1"/>
  <c r="U34" i="32"/>
  <c r="K34" i="203"/>
  <c r="M46" i="203" s="1"/>
  <c r="U34" i="203"/>
  <c r="K34" i="164"/>
  <c r="M46" i="164" s="1"/>
  <c r="U34" i="164"/>
  <c r="K34" i="162"/>
  <c r="M46" i="162" s="1"/>
  <c r="U34" i="162"/>
  <c r="K34" i="196"/>
  <c r="M46" i="196" s="1"/>
  <c r="U34" i="196"/>
  <c r="K34" i="197"/>
  <c r="M46" i="197" s="1"/>
  <c r="U34" i="197"/>
  <c r="K34" i="198"/>
  <c r="M46" i="198" s="1"/>
  <c r="U34" i="198"/>
  <c r="K34" i="345"/>
  <c r="M46" i="345" s="1"/>
  <c r="U34" i="345"/>
  <c r="K34" i="346"/>
  <c r="M46" i="346" s="1"/>
  <c r="U34" i="346"/>
  <c r="K34" i="74"/>
  <c r="M46" i="74" s="1"/>
  <c r="U34" i="74"/>
  <c r="K34" i="200"/>
  <c r="M46" i="200" s="1"/>
  <c r="U34" i="200"/>
  <c r="K34" i="280"/>
  <c r="M46" i="280" s="1"/>
  <c r="U34" i="280"/>
  <c r="K34" i="97"/>
  <c r="M46" i="97" s="1"/>
  <c r="U34" i="97"/>
  <c r="K34" i="383"/>
  <c r="M46" i="383" s="1"/>
  <c r="U34" i="383"/>
  <c r="K34" i="45"/>
  <c r="M46" i="45" s="1"/>
  <c r="U34" i="45"/>
  <c r="K34" i="104"/>
  <c r="M46" i="104" s="1"/>
  <c r="U34" i="104"/>
  <c r="K34" i="254"/>
  <c r="M46" i="254" s="1"/>
  <c r="U34" i="254"/>
  <c r="K34" i="181"/>
  <c r="M46" i="181" s="1"/>
  <c r="U34" i="181"/>
  <c r="K34" i="183"/>
  <c r="M46" i="183" s="1"/>
  <c r="U34" i="183"/>
  <c r="K34" i="184"/>
  <c r="M46" i="184" s="1"/>
  <c r="U34" i="184"/>
  <c r="K34" i="27"/>
  <c r="M46" i="27" s="1"/>
  <c r="U34" i="27"/>
  <c r="K34" i="143"/>
  <c r="M46" i="143" s="1"/>
  <c r="U34" i="143"/>
  <c r="K34" i="268"/>
  <c r="U34" i="268"/>
  <c r="M46" i="268" s="1"/>
  <c r="K34" i="263"/>
  <c r="M46" i="263" s="1"/>
  <c r="U34" i="263"/>
  <c r="K34" i="209"/>
  <c r="M46" i="209" s="1"/>
  <c r="U34" i="209"/>
  <c r="K34" i="192"/>
  <c r="M46" i="192" s="1"/>
  <c r="U34" i="192"/>
  <c r="K34" i="140"/>
  <c r="M46" i="140" s="1"/>
  <c r="U34" i="140"/>
  <c r="K34" i="270"/>
  <c r="M46" i="270" s="1"/>
  <c r="U34" i="270"/>
  <c r="K34" i="271"/>
  <c r="M46" i="271" s="1"/>
  <c r="U34" i="271"/>
  <c r="K34" i="159"/>
  <c r="M46" i="159" s="1"/>
  <c r="U34" i="159"/>
  <c r="K34" i="160"/>
  <c r="M46" i="160" s="1"/>
  <c r="U34" i="160"/>
  <c r="K34" i="107"/>
  <c r="M46" i="107" s="1"/>
  <c r="U34" i="107"/>
  <c r="K34" i="176"/>
  <c r="M46" i="176" s="1"/>
  <c r="U34" i="176"/>
  <c r="K34" i="53"/>
  <c r="M46" i="53" s="1"/>
  <c r="U34" i="53"/>
  <c r="K34" i="52"/>
  <c r="M46" i="52" s="1"/>
  <c r="U34" i="52"/>
  <c r="K34" i="281"/>
  <c r="M46" i="281" s="1"/>
  <c r="U34" i="281"/>
  <c r="K34" i="332"/>
  <c r="M46" i="332" s="1"/>
  <c r="U34" i="332"/>
  <c r="K34" i="25"/>
  <c r="M46" i="25" s="1"/>
  <c r="U34" i="25"/>
  <c r="K34" i="24"/>
  <c r="M46" i="24" s="1"/>
  <c r="U34" i="24"/>
  <c r="K34" i="116"/>
  <c r="M46" i="116" s="1"/>
  <c r="U34" i="116"/>
  <c r="K34" i="272"/>
  <c r="M46" i="272" s="1"/>
  <c r="U34" i="272"/>
  <c r="K34" i="285"/>
  <c r="M46" i="285" s="1"/>
  <c r="U34" i="285"/>
  <c r="J34" i="44"/>
  <c r="T34" i="44"/>
  <c r="L46" i="44" s="1"/>
  <c r="K34" i="87"/>
  <c r="M46" i="87" s="1"/>
  <c r="U34" i="87"/>
  <c r="K34" i="287"/>
  <c r="M46" i="287" s="1"/>
  <c r="U34" i="287"/>
  <c r="K34" i="276"/>
  <c r="M46" i="276" s="1"/>
  <c r="U34" i="276"/>
  <c r="K34" i="229"/>
  <c r="M46" i="229" s="1"/>
  <c r="U34" i="229"/>
  <c r="K34" i="230"/>
  <c r="M46" i="230" s="1"/>
  <c r="U34" i="230"/>
  <c r="K34" i="328"/>
  <c r="M46" i="328" s="1"/>
  <c r="U34" i="328"/>
  <c r="K34" i="329"/>
  <c r="M46" i="329" s="1"/>
  <c r="U34" i="329"/>
  <c r="K34" i="326"/>
  <c r="M46" i="326" s="1"/>
  <c r="U34" i="326"/>
  <c r="K34" i="47"/>
  <c r="M46" i="47" s="1"/>
  <c r="U34" i="47"/>
  <c r="K34" i="248"/>
  <c r="M46" i="248" s="1"/>
  <c r="U34" i="248"/>
  <c r="K34" i="46"/>
  <c r="M46" i="46" s="1"/>
  <c r="U34" i="46"/>
  <c r="K34" i="239"/>
  <c r="M46" i="239" s="1"/>
  <c r="U34" i="239"/>
  <c r="K34" i="243"/>
  <c r="M46" i="243" s="1"/>
  <c r="U34" i="243"/>
  <c r="K34" i="244"/>
  <c r="M46" i="244" s="1"/>
  <c r="U34" i="244"/>
  <c r="K34" i="246"/>
  <c r="M46" i="246" s="1"/>
  <c r="U34" i="246"/>
  <c r="K34" i="1"/>
  <c r="M46" i="1" s="1"/>
  <c r="U34" i="1"/>
  <c r="K34" i="397"/>
  <c r="M46" i="397" s="1"/>
  <c r="U34" i="397"/>
  <c r="K34" i="89"/>
  <c r="M46" i="89" s="1"/>
  <c r="U34" i="89"/>
  <c r="T34" i="89"/>
  <c r="I34" i="89" s="1"/>
  <c r="T34" i="389"/>
  <c r="I34" i="389" s="1"/>
  <c r="T34" i="88"/>
  <c r="I34" i="88" s="1"/>
  <c r="J46" i="88" s="1"/>
  <c r="T34" i="148"/>
  <c r="I34" i="148" s="1"/>
  <c r="T34" i="303"/>
  <c r="I34" i="303" s="1"/>
  <c r="T34" i="387"/>
  <c r="I34" i="387" s="1"/>
  <c r="T34" i="314"/>
  <c r="I34" i="314" s="1"/>
  <c r="L34" i="396"/>
  <c r="T34" i="394"/>
  <c r="I34" i="394" s="1"/>
  <c r="J46" i="394" s="1"/>
  <c r="T34" i="393"/>
  <c r="I34" i="393" s="1"/>
  <c r="T34" i="9"/>
  <c r="I34" i="9" s="1"/>
  <c r="T34" i="364"/>
  <c r="I34" i="364" s="1"/>
  <c r="T34" i="368"/>
  <c r="I34" i="368" s="1"/>
  <c r="T34" i="113"/>
  <c r="I34" i="113" s="1"/>
  <c r="T34" i="351"/>
  <c r="I34" i="351" s="1"/>
  <c r="T34" i="352"/>
  <c r="I34" i="352" s="1"/>
  <c r="T34" i="322"/>
  <c r="I34" i="322" s="1"/>
  <c r="J46" i="322" s="1"/>
  <c r="T34" i="353"/>
  <c r="I34" i="353" s="1"/>
  <c r="T34" i="362"/>
  <c r="I34" i="362" s="1"/>
  <c r="T34" i="354"/>
  <c r="I34" i="354" s="1"/>
  <c r="T34" i="114"/>
  <c r="I34" i="114" s="1"/>
  <c r="J46" i="114" s="1"/>
  <c r="T34" i="323"/>
  <c r="I34" i="323" s="1"/>
  <c r="T34" i="391"/>
  <c r="I34" i="391" s="1"/>
  <c r="T34" i="392"/>
  <c r="I34" i="392" s="1"/>
  <c r="T34" i="202"/>
  <c r="I34" i="202" s="1"/>
  <c r="T34" i="385"/>
  <c r="I34" i="385" s="1"/>
  <c r="T34" i="349"/>
  <c r="I34" i="349" s="1"/>
  <c r="T34" i="4"/>
  <c r="I34" i="4" s="1"/>
  <c r="T34" i="5"/>
  <c r="I34" i="5" s="1"/>
  <c r="T34" i="207"/>
  <c r="I34" i="207" s="1"/>
  <c r="J46" i="207" s="1"/>
  <c r="S34" i="300"/>
  <c r="R34" i="300"/>
  <c r="Q34" i="300"/>
  <c r="F34" i="300" s="1"/>
  <c r="T34" i="299"/>
  <c r="I34" i="299" s="1"/>
  <c r="T34" i="190"/>
  <c r="I34" i="190" s="1"/>
  <c r="J46" i="190" s="1"/>
  <c r="T34" i="16"/>
  <c r="I34" i="16" s="1"/>
  <c r="T34" i="371"/>
  <c r="I34" i="371" s="1"/>
  <c r="J46" i="371" s="1"/>
  <c r="T34" i="12"/>
  <c r="I34" i="12" s="1"/>
  <c r="T34" i="356"/>
  <c r="I34" i="356" s="1"/>
  <c r="J46" i="356" s="1"/>
  <c r="T34" i="15"/>
  <c r="I34" i="15" s="1"/>
  <c r="T34" i="355"/>
  <c r="I34" i="355" s="1"/>
  <c r="T34" i="17"/>
  <c r="I34" i="17" s="1"/>
  <c r="T34" i="8"/>
  <c r="I34" i="8" s="1"/>
  <c r="T34" i="3"/>
  <c r="I34" i="3" s="1"/>
  <c r="T34" i="384"/>
  <c r="I34" i="384" s="1"/>
  <c r="T34" i="54"/>
  <c r="I34" i="54" s="1"/>
  <c r="T34" i="249"/>
  <c r="I34" i="249" s="1"/>
  <c r="T34" i="201"/>
  <c r="I34" i="201" s="1"/>
  <c r="T34" i="7"/>
  <c r="I34" i="7" s="1"/>
  <c r="T34" i="48"/>
  <c r="I34" i="48" s="1"/>
  <c r="J46" i="48" s="1"/>
  <c r="T34" i="21"/>
  <c r="I34" i="21" s="1"/>
  <c r="J46" i="21" s="1"/>
  <c r="T34" i="13"/>
  <c r="I34" i="13" s="1"/>
  <c r="J46" i="13" s="1"/>
  <c r="T34" i="261"/>
  <c r="I34" i="261" s="1"/>
  <c r="T34" i="153"/>
  <c r="I34" i="153" s="1"/>
  <c r="J46" i="153" s="1"/>
  <c r="T34" i="257"/>
  <c r="I34" i="257" s="1"/>
  <c r="T34" i="19"/>
  <c r="I34" i="19" s="1"/>
  <c r="T34" i="347"/>
  <c r="I34" i="347" s="1"/>
  <c r="T34" i="23"/>
  <c r="I34" i="23" s="1"/>
  <c r="T34" i="37"/>
  <c r="I34" i="37" s="1"/>
  <c r="L34" i="369"/>
  <c r="T34" i="367"/>
  <c r="I34" i="367" s="1"/>
  <c r="J46" i="367" s="1"/>
  <c r="T34" i="31"/>
  <c r="I34" i="31" s="1"/>
  <c r="T34" i="204"/>
  <c r="I34" i="204" s="1"/>
  <c r="T34" i="363"/>
  <c r="I34" i="363" s="1"/>
  <c r="S34" i="170"/>
  <c r="R34" i="170"/>
  <c r="T34" i="168"/>
  <c r="I34" i="168" s="1"/>
  <c r="T34" i="169"/>
  <c r="I34" i="169" s="1"/>
  <c r="T34" i="336"/>
  <c r="I34" i="336" s="1"/>
  <c r="T34" i="28"/>
  <c r="I34" i="28" s="1"/>
  <c r="T34" i="29"/>
  <c r="I34" i="29" s="1"/>
  <c r="T34" i="359"/>
  <c r="I34" i="359" s="1"/>
  <c r="T34" i="360"/>
  <c r="I34" i="360" s="1"/>
  <c r="J46" i="360" s="1"/>
  <c r="T34" i="342"/>
  <c r="I34" i="342" s="1"/>
  <c r="T34" i="334"/>
  <c r="I34" i="334" s="1"/>
  <c r="T34" i="33"/>
  <c r="I34" i="33" s="1"/>
  <c r="T34" i="319"/>
  <c r="I34" i="319" s="1"/>
  <c r="J46" i="319" s="1"/>
  <c r="T34" i="320"/>
  <c r="I34" i="320" s="1"/>
  <c r="L34" i="343"/>
  <c r="T34" i="318"/>
  <c r="I34" i="318" s="1"/>
  <c r="T34" i="288"/>
  <c r="I34" i="288" s="1"/>
  <c r="T34" i="337"/>
  <c r="I34" i="337" s="1"/>
  <c r="T34" i="227"/>
  <c r="I34" i="227" s="1"/>
  <c r="T34" i="43"/>
  <c r="I34" i="43" s="1"/>
  <c r="T34" i="298"/>
  <c r="I34" i="298" s="1"/>
  <c r="T34" i="290"/>
  <c r="I34" i="290" s="1"/>
  <c r="T34" i="289"/>
  <c r="I34" i="289" s="1"/>
  <c r="S34" i="357"/>
  <c r="I34" i="357" s="1"/>
  <c r="T34" i="293"/>
  <c r="I34" i="293" s="1"/>
  <c r="T34" i="348"/>
  <c r="I34" i="348" s="1"/>
  <c r="T34" i="194"/>
  <c r="I34" i="194" s="1"/>
  <c r="J46" i="194" s="1"/>
  <c r="T34" i="193"/>
  <c r="I34" i="193" s="1"/>
  <c r="T34" i="297"/>
  <c r="I34" i="297" s="1"/>
  <c r="T34" i="350"/>
  <c r="I34" i="350" s="1"/>
  <c r="T34" i="18"/>
  <c r="I34" i="18" s="1"/>
  <c r="T34" i="20"/>
  <c r="I34" i="20" s="1"/>
  <c r="T34" i="233"/>
  <c r="I34" i="233" s="1"/>
  <c r="J46" i="233" s="1"/>
  <c r="T34" i="191"/>
  <c r="I34" i="191" s="1"/>
  <c r="T34" i="105"/>
  <c r="I34" i="105" s="1"/>
  <c r="T34" i="294"/>
  <c r="I34" i="294" s="1"/>
  <c r="S34" i="365"/>
  <c r="I34" i="365" s="1"/>
  <c r="S34" i="366"/>
  <c r="I34" i="366" s="1"/>
  <c r="T34" i="206"/>
  <c r="I34" i="206" s="1"/>
  <c r="J46" i="206" s="1"/>
  <c r="T34" i="301"/>
  <c r="I34" i="301" s="1"/>
  <c r="J46" i="301" s="1"/>
  <c r="T34" i="344"/>
  <c r="I34" i="344" s="1"/>
  <c r="T34" i="61"/>
  <c r="I34" i="61" s="1"/>
  <c r="T34" i="338"/>
  <c r="I34" i="338" s="1"/>
  <c r="T34" i="340"/>
  <c r="I34" i="340" s="1"/>
  <c r="J46" i="340" s="1"/>
  <c r="T34" i="34"/>
  <c r="I34" i="34" s="1"/>
  <c r="T34" i="174"/>
  <c r="I34" i="174" s="1"/>
  <c r="I34" i="187"/>
  <c r="T34" i="135"/>
  <c r="I34" i="135" s="1"/>
  <c r="J46" i="135" s="1"/>
  <c r="T34" i="333"/>
  <c r="I34" i="333" s="1"/>
  <c r="T34" i="295"/>
  <c r="I34" i="295" s="1"/>
  <c r="T34" i="283"/>
  <c r="I34" i="283" s="1"/>
  <c r="T34" i="284"/>
  <c r="I34" i="284" s="1"/>
  <c r="T34" i="292"/>
  <c r="I34" i="292" s="1"/>
  <c r="T34" i="269"/>
  <c r="I34" i="269" s="1"/>
  <c r="T34" i="325"/>
  <c r="I34" i="325" s="1"/>
  <c r="T34" i="11"/>
  <c r="I34" i="11" s="1"/>
  <c r="J46" i="11" s="1"/>
  <c r="S34" i="279"/>
  <c r="I34" i="279" s="1"/>
  <c r="S34" i="335"/>
  <c r="I34" i="335" s="1"/>
  <c r="T34" i="101"/>
  <c r="I34" i="101" s="1"/>
  <c r="T34" i="382"/>
  <c r="I34" i="382" s="1"/>
  <c r="J46" i="382" s="1"/>
  <c r="T34" i="102"/>
  <c r="I34" i="102" s="1"/>
  <c r="T34" i="103"/>
  <c r="I34" i="103" s="1"/>
  <c r="J46" i="103" s="1"/>
  <c r="T34" i="265"/>
  <c r="I34" i="265" s="1"/>
  <c r="J46" i="265" s="1"/>
  <c r="I34" i="296"/>
  <c r="T34" i="75"/>
  <c r="I34" i="75" s="1"/>
  <c r="J46" i="75" s="1"/>
  <c r="T34" i="262"/>
  <c r="I34" i="262" s="1"/>
  <c r="T34" i="112"/>
  <c r="I34" i="112" s="1"/>
  <c r="J46" i="112" s="1"/>
  <c r="T34" i="109"/>
  <c r="I34" i="109" s="1"/>
  <c r="T34" i="2"/>
  <c r="I34" i="2" s="1"/>
  <c r="T34" i="85"/>
  <c r="I34" i="85" s="1"/>
  <c r="T34" i="324"/>
  <c r="I34" i="324" s="1"/>
  <c r="T34" i="32"/>
  <c r="I34" i="32" s="1"/>
  <c r="T34" i="203"/>
  <c r="I34" i="203" s="1"/>
  <c r="T34" i="164"/>
  <c r="I34" i="164" s="1"/>
  <c r="T34" i="162"/>
  <c r="I34" i="162" s="1"/>
  <c r="T34" i="196"/>
  <c r="I34" i="196" s="1"/>
  <c r="T34" i="198"/>
  <c r="I34" i="198" s="1"/>
  <c r="T34" i="345"/>
  <c r="I34" i="345" s="1"/>
  <c r="T34" i="346"/>
  <c r="I34" i="346" s="1"/>
  <c r="T34" i="74"/>
  <c r="I34" i="74" s="1"/>
  <c r="J46" i="74" s="1"/>
  <c r="T34" i="200"/>
  <c r="I34" i="200" s="1"/>
  <c r="T34" i="280"/>
  <c r="I34" i="280" s="1"/>
  <c r="T34" i="97"/>
  <c r="I34" i="97" s="1"/>
  <c r="J46" i="97" s="1"/>
  <c r="T34" i="383"/>
  <c r="I34" i="383" s="1"/>
  <c r="T34" i="45"/>
  <c r="I34" i="45" s="1"/>
  <c r="J46" i="45" s="1"/>
  <c r="T34" i="104"/>
  <c r="I34" i="104" s="1"/>
  <c r="T34" i="254"/>
  <c r="I34" i="254" s="1"/>
  <c r="T34" i="181"/>
  <c r="I34" i="181" s="1"/>
  <c r="T34" i="183"/>
  <c r="I34" i="183" s="1"/>
  <c r="T34" i="184"/>
  <c r="I34" i="184" s="1"/>
  <c r="T34" i="144"/>
  <c r="I34" i="144" s="1"/>
  <c r="T34" i="27"/>
  <c r="I34" i="27" s="1"/>
  <c r="T34" i="143"/>
  <c r="I34" i="143" s="1"/>
  <c r="J46" i="143" s="1"/>
  <c r="T34" i="268"/>
  <c r="I34" i="268" s="1"/>
  <c r="T34" i="263"/>
  <c r="I34" i="263" s="1"/>
  <c r="T34" i="209"/>
  <c r="I34" i="209" s="1"/>
  <c r="T34" i="192"/>
  <c r="I34" i="192" s="1"/>
  <c r="T34" i="140"/>
  <c r="I34" i="140" s="1"/>
  <c r="T34" i="270"/>
  <c r="I34" i="270" s="1"/>
  <c r="T34" i="271"/>
  <c r="I34" i="271" s="1"/>
  <c r="T34" i="159"/>
  <c r="I34" i="159" s="1"/>
  <c r="T34" i="160"/>
  <c r="I34" i="160" s="1"/>
  <c r="T34" i="107"/>
  <c r="I34" i="107" s="1"/>
  <c r="T34" i="176"/>
  <c r="I34" i="176" s="1"/>
  <c r="J46" i="176" s="1"/>
  <c r="T34" i="53"/>
  <c r="I34" i="53" s="1"/>
  <c r="T34" i="52"/>
  <c r="I34" i="52" s="1"/>
  <c r="T34" i="281"/>
  <c r="I34" i="281" s="1"/>
  <c r="T34" i="332"/>
  <c r="I34" i="332" s="1"/>
  <c r="T34" i="25"/>
  <c r="I34" i="25" s="1"/>
  <c r="J46" i="25" s="1"/>
  <c r="T34" i="24"/>
  <c r="I34" i="24" s="1"/>
  <c r="T34" i="116"/>
  <c r="I34" i="116" s="1"/>
  <c r="J46" i="116" s="1"/>
  <c r="T34" i="272"/>
  <c r="I34" i="272" s="1"/>
  <c r="J46" i="272" s="1"/>
  <c r="T34" i="285"/>
  <c r="I34" i="285" s="1"/>
  <c r="S34" i="44"/>
  <c r="I34" i="44" s="1"/>
  <c r="T34" i="287"/>
  <c r="I34" i="287" s="1"/>
  <c r="J46" i="287" s="1"/>
  <c r="T34" i="276"/>
  <c r="I34" i="276" s="1"/>
  <c r="U34" i="231"/>
  <c r="T34" i="229"/>
  <c r="I34" i="229" s="1"/>
  <c r="T34" i="230"/>
  <c r="I34" i="230" s="1"/>
  <c r="T34" i="328"/>
  <c r="I34" i="328" s="1"/>
  <c r="T34" i="329"/>
  <c r="I34" i="329" s="1"/>
  <c r="T34" i="326"/>
  <c r="I34" i="326" s="1"/>
  <c r="T34" i="47"/>
  <c r="I34" i="47" s="1"/>
  <c r="J46" i="47" s="1"/>
  <c r="T34" i="248"/>
  <c r="I34" i="248" s="1"/>
  <c r="T34" i="46"/>
  <c r="I34" i="46" s="1"/>
  <c r="T34" i="239"/>
  <c r="I34" i="239" s="1"/>
  <c r="T34" i="243"/>
  <c r="I34" i="243" s="1"/>
  <c r="T34" i="244"/>
  <c r="I34" i="244" s="1"/>
  <c r="T34" i="246"/>
  <c r="I34" i="246" s="1"/>
  <c r="T34" i="1"/>
  <c r="I34" i="1" s="1"/>
  <c r="T34" i="397"/>
  <c r="I34" i="397" s="1"/>
  <c r="J46" i="397" s="1"/>
  <c r="T34" i="400"/>
  <c r="I34" i="400" s="1"/>
  <c r="L37" i="202" l="1"/>
  <c r="M46" i="202"/>
  <c r="J46" i="328"/>
  <c r="J46" i="160"/>
  <c r="J46" i="184"/>
  <c r="J46" i="32"/>
  <c r="J46" i="350"/>
  <c r="J46" i="337"/>
  <c r="J46" i="363"/>
  <c r="J46" i="54"/>
  <c r="J46" i="4"/>
  <c r="J46" i="393"/>
  <c r="J46" i="285"/>
  <c r="J46" i="263"/>
  <c r="J46" i="187"/>
  <c r="J46" i="297"/>
  <c r="J46" i="334"/>
  <c r="J46" i="193"/>
  <c r="J46" i="290"/>
  <c r="J46" i="318"/>
  <c r="J46" i="342"/>
  <c r="J46" i="169"/>
  <c r="J46" i="31"/>
  <c r="J46" i="19"/>
  <c r="J46" i="3"/>
  <c r="J46" i="12"/>
  <c r="J46" i="385"/>
  <c r="J46" i="354"/>
  <c r="J46" i="113"/>
  <c r="J46" i="389"/>
  <c r="J46" i="246"/>
  <c r="J46" i="53"/>
  <c r="J46" i="270"/>
  <c r="J46" i="254"/>
  <c r="J46" i="200"/>
  <c r="J46" i="162"/>
  <c r="J46" i="2"/>
  <c r="J46" i="283"/>
  <c r="J46" i="34"/>
  <c r="J46" i="298"/>
  <c r="J46" i="168"/>
  <c r="J46" i="257"/>
  <c r="J46" i="7"/>
  <c r="J34" i="8"/>
  <c r="J46" i="8"/>
  <c r="J46" i="202"/>
  <c r="J46" i="362"/>
  <c r="J46" i="368"/>
  <c r="J46" i="314"/>
  <c r="J46" i="89"/>
  <c r="J46" i="239"/>
  <c r="J46" i="332"/>
  <c r="J46" i="345"/>
  <c r="J46" i="262"/>
  <c r="J46" i="269"/>
  <c r="J46" i="294"/>
  <c r="J46" i="33"/>
  <c r="J46" i="23"/>
  <c r="J46" i="15"/>
  <c r="J46" i="323"/>
  <c r="J46" i="230"/>
  <c r="J46" i="159"/>
  <c r="J46" i="183"/>
  <c r="J46" i="198"/>
  <c r="J46" i="292"/>
  <c r="J46" i="105"/>
  <c r="J46" i="288"/>
  <c r="J46" i="204"/>
  <c r="J46" i="347"/>
  <c r="J46" i="384"/>
  <c r="J46" i="349"/>
  <c r="J46" i="1"/>
  <c r="J46" i="229"/>
  <c r="J46" i="52"/>
  <c r="J46" i="268"/>
  <c r="J46" i="280"/>
  <c r="J46" i="85"/>
  <c r="J46" i="276"/>
  <c r="J46" i="27"/>
  <c r="J46" i="17"/>
  <c r="J46" i="353"/>
  <c r="J46" i="400"/>
  <c r="J46" i="209"/>
  <c r="J46" i="383"/>
  <c r="J46" i="61"/>
  <c r="J46" i="28"/>
  <c r="J46" i="299"/>
  <c r="J46" i="352"/>
  <c r="J46" i="148"/>
  <c r="J46" i="46"/>
  <c r="J46" i="281"/>
  <c r="J46" i="324"/>
  <c r="J46" i="101"/>
  <c r="J46" i="344"/>
  <c r="J46" i="289"/>
  <c r="J46" i="336"/>
  <c r="J46" i="351"/>
  <c r="J46" i="248"/>
  <c r="J46" i="271"/>
  <c r="J46" i="181"/>
  <c r="J46" i="196"/>
  <c r="J46" i="296"/>
  <c r="J46" i="284"/>
  <c r="J46" i="174"/>
  <c r="J46" i="191"/>
  <c r="J46" i="244"/>
  <c r="J46" i="326"/>
  <c r="J46" i="24"/>
  <c r="J46" i="140"/>
  <c r="J46" i="104"/>
  <c r="J46" i="164"/>
  <c r="J46" i="109"/>
  <c r="J46" i="295"/>
  <c r="J46" i="20"/>
  <c r="J46" i="348"/>
  <c r="J46" i="43"/>
  <c r="J46" i="320"/>
  <c r="J46" i="359"/>
  <c r="J46" i="201"/>
  <c r="J46" i="16"/>
  <c r="J46" i="392"/>
  <c r="J46" i="364"/>
  <c r="J46" i="387"/>
  <c r="J46" i="243"/>
  <c r="J46" i="329"/>
  <c r="J46" i="107"/>
  <c r="J46" i="192"/>
  <c r="J46" i="144"/>
  <c r="J46" i="346"/>
  <c r="J46" i="203"/>
  <c r="J46" i="102"/>
  <c r="J46" i="325"/>
  <c r="J46" i="333"/>
  <c r="J46" i="338"/>
  <c r="J46" i="18"/>
  <c r="J46" i="293"/>
  <c r="J46" i="227"/>
  <c r="J46" i="29"/>
  <c r="J46" i="37"/>
  <c r="J46" i="261"/>
  <c r="J46" i="249"/>
  <c r="J46" i="355"/>
  <c r="J46" i="5"/>
  <c r="J46" i="391"/>
  <c r="J46" i="9"/>
  <c r="J46" i="303"/>
  <c r="L37" i="75"/>
  <c r="L37" i="233"/>
  <c r="L37" i="18"/>
  <c r="L37" i="297"/>
  <c r="L37" i="194"/>
  <c r="L37" i="293"/>
  <c r="L37" i="290"/>
  <c r="L37" i="43"/>
  <c r="L37" i="288"/>
  <c r="L37" i="320"/>
  <c r="L37" i="33"/>
  <c r="L37" i="342"/>
  <c r="L37" i="359"/>
  <c r="L37" i="28"/>
  <c r="L37" i="169"/>
  <c r="L37" i="363"/>
  <c r="L37" i="31"/>
  <c r="L37" i="23"/>
  <c r="L37" i="19"/>
  <c r="L37" i="153"/>
  <c r="L37" i="13"/>
  <c r="L37" i="7"/>
  <c r="L37" i="249"/>
  <c r="L37" i="384"/>
  <c r="L37" i="8"/>
  <c r="L37" i="355"/>
  <c r="L37" i="356"/>
  <c r="L37" i="16"/>
  <c r="L37" i="299"/>
  <c r="L37" i="5"/>
  <c r="L37" i="349"/>
  <c r="L37" i="114"/>
  <c r="L37" i="362"/>
  <c r="L37" i="322"/>
  <c r="L37" i="397"/>
  <c r="L37" i="243"/>
  <c r="L37" i="47"/>
  <c r="L37" i="276"/>
  <c r="L37" i="116"/>
  <c r="L37" i="281"/>
  <c r="L37" i="107"/>
  <c r="L37" i="270"/>
  <c r="L37" i="263"/>
  <c r="L37" i="184"/>
  <c r="L37" i="254"/>
  <c r="L37" i="97"/>
  <c r="L37" i="346"/>
  <c r="L37" i="164"/>
  <c r="L37" i="85"/>
  <c r="L37" i="262"/>
  <c r="L37" i="103"/>
  <c r="K37" i="335"/>
  <c r="L37" i="269"/>
  <c r="L37" i="292"/>
  <c r="L37" i="338"/>
  <c r="L37" i="22"/>
  <c r="L37" i="191"/>
  <c r="L37" i="113"/>
  <c r="L37" i="9"/>
  <c r="L37" i="314"/>
  <c r="L37" i="88"/>
  <c r="L37" i="231"/>
  <c r="L37" i="89"/>
  <c r="L37" i="1"/>
  <c r="L37" i="244"/>
  <c r="L37" i="239"/>
  <c r="L37" i="248"/>
  <c r="L37" i="326"/>
  <c r="L37" i="329"/>
  <c r="L37" i="328"/>
  <c r="L37" i="229"/>
  <c r="L37" i="287"/>
  <c r="K37" i="44"/>
  <c r="L37" i="272"/>
  <c r="L37" i="24"/>
  <c r="L37" i="332"/>
  <c r="L37" i="52"/>
  <c r="L37" i="176"/>
  <c r="L37" i="160"/>
  <c r="L37" i="271"/>
  <c r="L37" i="140"/>
  <c r="L37" i="209"/>
  <c r="L37" i="268"/>
  <c r="L37" i="27"/>
  <c r="L37" i="183"/>
  <c r="L37" i="104"/>
  <c r="L37" i="383"/>
  <c r="L37" i="280"/>
  <c r="L37" i="74"/>
  <c r="L37" i="345"/>
  <c r="L37" i="197"/>
  <c r="L37" i="162"/>
  <c r="L37" i="203"/>
  <c r="L37" i="324"/>
  <c r="L37" i="2"/>
  <c r="L37" i="112"/>
  <c r="L37" i="265"/>
  <c r="L37" i="102"/>
  <c r="L37" i="101"/>
  <c r="K37" i="279"/>
  <c r="L37" i="325"/>
  <c r="L37" i="339"/>
  <c r="L37" i="284"/>
  <c r="L37" i="295"/>
  <c r="L37" i="135"/>
  <c r="L37" i="174"/>
  <c r="L37" i="340"/>
  <c r="L37" i="61"/>
  <c r="L37" i="301"/>
  <c r="L37" i="206"/>
  <c r="K37" i="365"/>
  <c r="L37" i="105"/>
  <c r="L37" i="361"/>
  <c r="L37" i="368"/>
  <c r="L37" i="400"/>
  <c r="L37" i="393"/>
  <c r="L37" i="387"/>
  <c r="L37" i="386"/>
  <c r="L37" i="148"/>
  <c r="L37" i="389"/>
  <c r="L37" i="246"/>
  <c r="L37" i="46"/>
  <c r="L37" i="230"/>
  <c r="L37" i="87"/>
  <c r="L37" i="285"/>
  <c r="L37" i="25"/>
  <c r="L37" i="53"/>
  <c r="L37" i="159"/>
  <c r="L37" i="192"/>
  <c r="L37" i="143"/>
  <c r="L37" i="181"/>
  <c r="L37" i="45"/>
  <c r="L37" i="200"/>
  <c r="L37" i="198"/>
  <c r="L37" i="196"/>
  <c r="L37" i="32"/>
  <c r="L37" i="109"/>
  <c r="L37" i="382"/>
  <c r="L37" i="11"/>
  <c r="L37" i="283"/>
  <c r="L37" i="333"/>
  <c r="L37" i="34"/>
  <c r="L37" i="344"/>
  <c r="K37" i="366"/>
  <c r="L37" i="294"/>
  <c r="L37" i="364"/>
  <c r="L37" i="394"/>
  <c r="L37" i="303"/>
  <c r="L37" i="20"/>
  <c r="L37" i="350"/>
  <c r="L37" i="193"/>
  <c r="L37" i="348"/>
  <c r="L37" i="289"/>
  <c r="L37" i="298"/>
  <c r="L37" i="227"/>
  <c r="L37" i="319"/>
  <c r="L37" i="334"/>
  <c r="L37" i="360"/>
  <c r="L37" i="29"/>
  <c r="L37" i="336"/>
  <c r="L37" i="168"/>
  <c r="L37" i="204"/>
  <c r="L37" i="367"/>
  <c r="L37" i="37"/>
  <c r="L37" i="347"/>
  <c r="L37" i="257"/>
  <c r="L37" i="261"/>
  <c r="L37" i="48"/>
  <c r="L37" i="201"/>
  <c r="L37" i="54"/>
  <c r="L37" i="3"/>
  <c r="L37" i="17"/>
  <c r="L37" i="15"/>
  <c r="L37" i="12"/>
  <c r="L37" i="190"/>
  <c r="L37" i="207"/>
  <c r="L37" i="4"/>
  <c r="L37" i="323"/>
  <c r="L37" i="354"/>
  <c r="L37" i="352"/>
  <c r="G35" i="300"/>
  <c r="H46" i="300"/>
  <c r="L37" i="35"/>
  <c r="T34" i="247"/>
  <c r="I34" i="247" s="1"/>
  <c r="T34" i="231"/>
  <c r="I34" i="231" s="1"/>
  <c r="T34" i="142"/>
  <c r="I34" i="142" s="1"/>
  <c r="T34" i="388"/>
  <c r="I34" i="388" s="1"/>
  <c r="T34" i="321"/>
  <c r="I34" i="321" s="1"/>
  <c r="T34" i="300"/>
  <c r="I34" i="300" s="1"/>
  <c r="T34" i="395"/>
  <c r="I34" i="395" s="1"/>
  <c r="T34" i="149"/>
  <c r="I34" i="149" s="1"/>
  <c r="T34" i="170"/>
  <c r="I34" i="170" s="1"/>
  <c r="T34" i="398"/>
  <c r="I34" i="398" s="1"/>
  <c r="J46" i="398" s="1"/>
  <c r="T34" i="327"/>
  <c r="I34" i="327" s="1"/>
  <c r="J46" i="327" s="1"/>
  <c r="T34" i="185"/>
  <c r="I34" i="185" s="1"/>
  <c r="T34" i="186"/>
  <c r="I34" i="186" s="1"/>
  <c r="T34" i="195"/>
  <c r="I34" i="195" s="1"/>
  <c r="T34" i="253"/>
  <c r="I34" i="253" s="1"/>
  <c r="J46" i="253" s="1"/>
  <c r="U33" i="202"/>
  <c r="J46" i="186" l="1"/>
  <c r="J46" i="388"/>
  <c r="J46" i="142"/>
  <c r="J46" i="149"/>
  <c r="J46" i="247"/>
  <c r="J46" i="185"/>
  <c r="J46" i="300"/>
  <c r="J46" i="170"/>
  <c r="J46" i="195"/>
  <c r="J46" i="231"/>
  <c r="J46" i="395"/>
  <c r="J46" i="321"/>
  <c r="F33" i="89"/>
  <c r="F33" i="389"/>
  <c r="F33" i="88"/>
  <c r="F33" i="148"/>
  <c r="F33" i="386"/>
  <c r="F33" i="303"/>
  <c r="F33" i="387"/>
  <c r="F33" i="314"/>
  <c r="E33" i="396"/>
  <c r="F34" i="396" s="1"/>
  <c r="F33" i="394"/>
  <c r="F33" i="393"/>
  <c r="F33" i="9"/>
  <c r="F33" i="364"/>
  <c r="F33" i="368"/>
  <c r="F33" i="113"/>
  <c r="F33" i="361"/>
  <c r="F33" i="351"/>
  <c r="F33" i="352"/>
  <c r="F33" i="322"/>
  <c r="F33" i="353"/>
  <c r="G44" i="353" s="1"/>
  <c r="F33" i="362"/>
  <c r="F33" i="354"/>
  <c r="F33" i="114"/>
  <c r="F33" i="323"/>
  <c r="F33" i="391"/>
  <c r="F33" i="392"/>
  <c r="F33" i="35"/>
  <c r="H45" i="35" s="1"/>
  <c r="F33" i="202"/>
  <c r="F33" i="385"/>
  <c r="F33" i="349"/>
  <c r="F33" i="4"/>
  <c r="F33" i="5"/>
  <c r="F33" i="207"/>
  <c r="F33" i="299"/>
  <c r="F33" i="190"/>
  <c r="F33" i="16"/>
  <c r="F33" i="12"/>
  <c r="F33" i="356"/>
  <c r="F33" i="15"/>
  <c r="H45" i="15" s="1"/>
  <c r="F33" i="355"/>
  <c r="F33" i="17"/>
  <c r="F33" i="8"/>
  <c r="F33" i="3"/>
  <c r="F33" i="384"/>
  <c r="F33" i="54"/>
  <c r="F33" i="7"/>
  <c r="F33" i="48"/>
  <c r="F33" i="21"/>
  <c r="F33" i="13"/>
  <c r="F33" i="261"/>
  <c r="F33" i="153"/>
  <c r="F33" i="257"/>
  <c r="F33" i="19"/>
  <c r="F33" i="347"/>
  <c r="F33" i="23"/>
  <c r="F33" i="37"/>
  <c r="E33" i="369"/>
  <c r="F34" i="369" s="1"/>
  <c r="F33" i="367"/>
  <c r="F33" i="31"/>
  <c r="F33" i="204"/>
  <c r="F33" i="363"/>
  <c r="F33" i="168"/>
  <c r="F33" i="169"/>
  <c r="F33" i="336"/>
  <c r="F33" i="28"/>
  <c r="F33" i="29"/>
  <c r="F33" i="359"/>
  <c r="F33" i="360"/>
  <c r="F33" i="342"/>
  <c r="F33" i="334"/>
  <c r="F33" i="33"/>
  <c r="F33" i="319"/>
  <c r="F33" i="320"/>
  <c r="E33" i="343"/>
  <c r="F34" i="343" s="1"/>
  <c r="F33" i="318"/>
  <c r="F33" i="288"/>
  <c r="F33" i="337"/>
  <c r="F33" i="227"/>
  <c r="F33" i="43"/>
  <c r="F33" i="298"/>
  <c r="F33" i="290"/>
  <c r="F33" i="289"/>
  <c r="F33" i="357"/>
  <c r="F33" i="293"/>
  <c r="F33" i="348"/>
  <c r="F33" i="194"/>
  <c r="F33" i="193"/>
  <c r="F33" i="297"/>
  <c r="F33" i="350"/>
  <c r="F33" i="18"/>
  <c r="F33" i="20"/>
  <c r="F33" i="233"/>
  <c r="F33" i="191"/>
  <c r="F33" i="105"/>
  <c r="F33" i="294"/>
  <c r="F33" i="365"/>
  <c r="F33" i="366"/>
  <c r="F33" i="206"/>
  <c r="F33" i="22"/>
  <c r="F33" i="301"/>
  <c r="F33" i="344"/>
  <c r="F33" i="61"/>
  <c r="F33" i="338"/>
  <c r="F33" i="340"/>
  <c r="F33" i="34"/>
  <c r="F33" i="174"/>
  <c r="F33" i="187"/>
  <c r="F33" i="135"/>
  <c r="F33" i="333"/>
  <c r="F33" i="295"/>
  <c r="F33" i="283"/>
  <c r="F33" i="284"/>
  <c r="F33" i="292"/>
  <c r="G34" i="339"/>
  <c r="F33" i="269"/>
  <c r="F33" i="325"/>
  <c r="F33" i="11"/>
  <c r="F33" i="279"/>
  <c r="F33" i="335"/>
  <c r="F33" i="101"/>
  <c r="F33" i="382"/>
  <c r="F33" i="102"/>
  <c r="F33" i="103"/>
  <c r="F33" i="265"/>
  <c r="F33" i="296"/>
  <c r="F33" i="75"/>
  <c r="F33" i="262"/>
  <c r="F33" i="249"/>
  <c r="F33" i="201"/>
  <c r="F33" i="112"/>
  <c r="F33" i="109"/>
  <c r="F33" i="2"/>
  <c r="F33" i="85"/>
  <c r="F33" i="324"/>
  <c r="F33" i="32"/>
  <c r="F33" i="203"/>
  <c r="F33" i="164"/>
  <c r="F33" i="162"/>
  <c r="F33" i="196"/>
  <c r="F33" i="197"/>
  <c r="F33" i="198"/>
  <c r="F33" i="345"/>
  <c r="F33" i="346"/>
  <c r="F33" i="74"/>
  <c r="F33" i="200"/>
  <c r="F33" i="280"/>
  <c r="F33" i="97"/>
  <c r="F33" i="383"/>
  <c r="F33" i="45"/>
  <c r="F33" i="104"/>
  <c r="F33" i="254"/>
  <c r="F33" i="181"/>
  <c r="F33" i="183"/>
  <c r="F33" i="184"/>
  <c r="F33" i="27"/>
  <c r="F33" i="143"/>
  <c r="F33" i="268"/>
  <c r="F33" i="263"/>
  <c r="F33" i="209"/>
  <c r="F33" i="192"/>
  <c r="F33" i="140"/>
  <c r="F33" i="270"/>
  <c r="F33" i="271"/>
  <c r="F33" i="159"/>
  <c r="F33" i="160"/>
  <c r="F33" i="107"/>
  <c r="F33" i="176"/>
  <c r="F33" i="53"/>
  <c r="F33" i="52"/>
  <c r="F33" i="281"/>
  <c r="F33" i="332"/>
  <c r="F33" i="25"/>
  <c r="F33" i="24"/>
  <c r="F33" i="116"/>
  <c r="F33" i="272"/>
  <c r="F33" i="285"/>
  <c r="F33" i="44"/>
  <c r="F33" i="87"/>
  <c r="F33" i="287"/>
  <c r="F33" i="276"/>
  <c r="F33" i="229"/>
  <c r="F33" i="230"/>
  <c r="F33" i="328"/>
  <c r="F33" i="329"/>
  <c r="F33" i="326"/>
  <c r="F33" i="47"/>
  <c r="F33" i="248"/>
  <c r="F33" i="46"/>
  <c r="F33" i="239"/>
  <c r="F33" i="243"/>
  <c r="F33" i="244"/>
  <c r="F33" i="246"/>
  <c r="F33" i="1"/>
  <c r="F33" i="397"/>
  <c r="F33" i="400"/>
  <c r="G34" i="400" l="1"/>
  <c r="H45" i="400"/>
  <c r="G34" i="244"/>
  <c r="H45" i="244"/>
  <c r="G34" i="248"/>
  <c r="H45" i="248"/>
  <c r="G34" i="329"/>
  <c r="H45" i="329"/>
  <c r="G34" i="229"/>
  <c r="H45" i="229"/>
  <c r="G34" i="44"/>
  <c r="H45" i="44"/>
  <c r="G34" i="24"/>
  <c r="H45" i="24"/>
  <c r="G34" i="52"/>
  <c r="H45" i="52"/>
  <c r="G34" i="160"/>
  <c r="H45" i="160"/>
  <c r="G34" i="140"/>
  <c r="H45" i="140"/>
  <c r="G34" i="268"/>
  <c r="H45" i="268"/>
  <c r="G34" i="183"/>
  <c r="H45" i="183"/>
  <c r="G34" i="104"/>
  <c r="H45" i="104"/>
  <c r="G34" i="280"/>
  <c r="H45" i="280"/>
  <c r="G34" i="345"/>
  <c r="H45" i="345"/>
  <c r="G34" i="162"/>
  <c r="H45" i="162"/>
  <c r="G34" i="324"/>
  <c r="H45" i="324"/>
  <c r="G34" i="112"/>
  <c r="H45" i="112"/>
  <c r="G34" i="75"/>
  <c r="H45" i="75"/>
  <c r="G34" i="102"/>
  <c r="H45" i="102"/>
  <c r="G34" i="279"/>
  <c r="H45" i="279"/>
  <c r="G34" i="295"/>
  <c r="H45" i="295"/>
  <c r="G34" i="174"/>
  <c r="H45" i="174"/>
  <c r="G34" i="61"/>
  <c r="H45" i="61"/>
  <c r="G34" i="206"/>
  <c r="H45" i="206"/>
  <c r="G34" i="105"/>
  <c r="H45" i="105"/>
  <c r="G34" i="18"/>
  <c r="H45" i="18"/>
  <c r="G34" i="194"/>
  <c r="H45" i="194"/>
  <c r="G34" i="289"/>
  <c r="H45" i="289"/>
  <c r="G34" i="227"/>
  <c r="H45" i="227"/>
  <c r="G34" i="334"/>
  <c r="H45" i="334"/>
  <c r="G34" i="29"/>
  <c r="H45" i="29"/>
  <c r="G34" i="168"/>
  <c r="H45" i="168"/>
  <c r="G34" i="367"/>
  <c r="H45" i="367"/>
  <c r="G34" i="347"/>
  <c r="H45" i="347"/>
  <c r="G34" i="261"/>
  <c r="H45" i="261"/>
  <c r="G34" i="7"/>
  <c r="H45" i="7"/>
  <c r="G34" i="8"/>
  <c r="H45" i="8"/>
  <c r="G34" i="356"/>
  <c r="H45" i="356"/>
  <c r="G34" i="190"/>
  <c r="H45" i="190"/>
  <c r="G34" i="4"/>
  <c r="H45" i="4"/>
  <c r="G34" i="114"/>
  <c r="H45" i="114"/>
  <c r="G34" i="322"/>
  <c r="H45" i="322"/>
  <c r="G34" i="113"/>
  <c r="H45" i="113"/>
  <c r="G34" i="393"/>
  <c r="H45" i="393"/>
  <c r="G34" i="387"/>
  <c r="H45" i="387"/>
  <c r="G34" i="148"/>
  <c r="H45" i="148"/>
  <c r="G34" i="397"/>
  <c r="H45" i="397"/>
  <c r="G34" i="243"/>
  <c r="H45" i="243"/>
  <c r="G34" i="47"/>
  <c r="H45" i="47"/>
  <c r="G34" i="276"/>
  <c r="H45" i="276"/>
  <c r="G34" i="285"/>
  <c r="H45" i="285"/>
  <c r="G34" i="25"/>
  <c r="H45" i="25"/>
  <c r="G34" i="53"/>
  <c r="H45" i="53"/>
  <c r="G34" i="159"/>
  <c r="H45" i="159"/>
  <c r="G34" i="192"/>
  <c r="H45" i="192"/>
  <c r="G34" i="143"/>
  <c r="H45" i="143"/>
  <c r="G34" i="181"/>
  <c r="H45" i="181"/>
  <c r="G34" i="45"/>
  <c r="H45" i="45"/>
  <c r="G34" i="200"/>
  <c r="H45" i="200"/>
  <c r="G34" i="198"/>
  <c r="H45" i="198"/>
  <c r="G34" i="164"/>
  <c r="H45" i="164"/>
  <c r="G34" i="85"/>
  <c r="H45" i="85"/>
  <c r="G34" i="201"/>
  <c r="H45" i="201"/>
  <c r="G34" i="296"/>
  <c r="H45" i="296"/>
  <c r="G34" i="382"/>
  <c r="H45" i="382"/>
  <c r="G34" i="11"/>
  <c r="H45" i="11"/>
  <c r="G34" i="292"/>
  <c r="H45" i="292"/>
  <c r="G34" i="333"/>
  <c r="H45" i="333"/>
  <c r="G34" i="34"/>
  <c r="H45" i="34"/>
  <c r="G34" i="344"/>
  <c r="H45" i="344"/>
  <c r="G34" i="366"/>
  <c r="H45" i="366"/>
  <c r="G34" i="191"/>
  <c r="H45" i="191"/>
  <c r="G34" i="350"/>
  <c r="H45" i="350"/>
  <c r="G34" i="348"/>
  <c r="H45" i="348"/>
  <c r="G34" i="290"/>
  <c r="H45" i="290"/>
  <c r="G34" i="337"/>
  <c r="H45" i="337"/>
  <c r="G34" i="320"/>
  <c r="H45" i="320"/>
  <c r="G34" i="342"/>
  <c r="H45" i="342"/>
  <c r="G34" i="28"/>
  <c r="H45" i="28"/>
  <c r="G34" i="363"/>
  <c r="H45" i="363"/>
  <c r="G34" i="19"/>
  <c r="H45" i="19"/>
  <c r="G34" i="13"/>
  <c r="H45" i="13"/>
  <c r="G34" i="54"/>
  <c r="H45" i="54"/>
  <c r="G34" i="17"/>
  <c r="H45" i="17"/>
  <c r="G34" i="12"/>
  <c r="H45" i="12"/>
  <c r="G34" i="299"/>
  <c r="H45" i="299"/>
  <c r="G34" i="349"/>
  <c r="H45" i="349"/>
  <c r="G34" i="392"/>
  <c r="H45" i="392"/>
  <c r="G34" i="354"/>
  <c r="H45" i="354"/>
  <c r="G34" i="352"/>
  <c r="H45" i="352"/>
  <c r="G34" i="368"/>
  <c r="H45" i="368"/>
  <c r="G34" i="394"/>
  <c r="H45" i="394"/>
  <c r="G34" i="303"/>
  <c r="H45" i="303"/>
  <c r="G34" i="88"/>
  <c r="H45" i="88"/>
  <c r="G34" i="1"/>
  <c r="H45" i="1"/>
  <c r="G34" i="239"/>
  <c r="H45" i="239"/>
  <c r="G34" i="326"/>
  <c r="H45" i="326"/>
  <c r="G34" i="328"/>
  <c r="H45" i="328"/>
  <c r="G34" i="287"/>
  <c r="H45" i="287"/>
  <c r="G34" i="272"/>
  <c r="H45" i="272"/>
  <c r="G34" i="332"/>
  <c r="H45" i="332"/>
  <c r="G34" i="176"/>
  <c r="H45" i="176"/>
  <c r="G34" i="271"/>
  <c r="H45" i="271"/>
  <c r="G34" i="209"/>
  <c r="H45" i="209"/>
  <c r="G34" i="27"/>
  <c r="H45" i="27"/>
  <c r="G34" i="383"/>
  <c r="H45" i="383"/>
  <c r="G34" i="74"/>
  <c r="H45" i="74"/>
  <c r="G34" i="197"/>
  <c r="H45" i="197"/>
  <c r="G34" i="203"/>
  <c r="H45" i="203"/>
  <c r="G34" i="2"/>
  <c r="H45" i="2"/>
  <c r="G34" i="249"/>
  <c r="H45" i="249"/>
  <c r="G34" i="265"/>
  <c r="H45" i="265"/>
  <c r="G34" i="101"/>
  <c r="H45" i="101"/>
  <c r="G34" i="325"/>
  <c r="H45" i="325"/>
  <c r="G34" i="284"/>
  <c r="H45" i="284"/>
  <c r="G34" i="135"/>
  <c r="H45" i="135"/>
  <c r="G34" i="340"/>
  <c r="H45" i="340"/>
  <c r="G34" i="301"/>
  <c r="H45" i="301"/>
  <c r="G34" i="365"/>
  <c r="H45" i="365"/>
  <c r="G34" i="233"/>
  <c r="H45" i="233"/>
  <c r="G34" i="297"/>
  <c r="H45" i="297"/>
  <c r="G34" i="293"/>
  <c r="H45" i="293"/>
  <c r="G34" i="298"/>
  <c r="H45" i="298"/>
  <c r="G34" i="288"/>
  <c r="H45" i="288"/>
  <c r="G34" i="319"/>
  <c r="H45" i="319"/>
  <c r="G34" i="360"/>
  <c r="H45" i="360"/>
  <c r="G34" i="336"/>
  <c r="H45" i="336"/>
  <c r="G34" i="204"/>
  <c r="H45" i="204"/>
  <c r="G34" i="37"/>
  <c r="H45" i="37"/>
  <c r="G34" i="257"/>
  <c r="H45" i="257"/>
  <c r="G34" i="21"/>
  <c r="H45" i="21"/>
  <c r="G34" i="384"/>
  <c r="H45" i="384"/>
  <c r="G34" i="355"/>
  <c r="H45" i="355"/>
  <c r="G34" i="207"/>
  <c r="H45" i="207"/>
  <c r="G34" i="385"/>
  <c r="H45" i="385"/>
  <c r="G34" i="391"/>
  <c r="H45" i="391"/>
  <c r="G34" i="362"/>
  <c r="H45" i="362"/>
  <c r="G34" i="351"/>
  <c r="H45" i="351"/>
  <c r="G34" i="364"/>
  <c r="H45" i="364"/>
  <c r="G34" i="386"/>
  <c r="H45" i="386"/>
  <c r="G34" i="389"/>
  <c r="H45" i="389"/>
  <c r="G34" i="246"/>
  <c r="H45" i="246"/>
  <c r="G34" i="46"/>
  <c r="H45" i="46"/>
  <c r="G34" i="230"/>
  <c r="H45" i="230"/>
  <c r="G34" i="87"/>
  <c r="H45" i="87"/>
  <c r="G34" i="116"/>
  <c r="H45" i="116"/>
  <c r="G34" i="281"/>
  <c r="H45" i="281"/>
  <c r="G34" i="107"/>
  <c r="H45" i="107"/>
  <c r="G34" i="270"/>
  <c r="H45" i="270"/>
  <c r="G34" i="263"/>
  <c r="H45" i="263"/>
  <c r="G34" i="184"/>
  <c r="H45" i="184"/>
  <c r="G34" i="254"/>
  <c r="H45" i="254"/>
  <c r="G34" i="97"/>
  <c r="H45" i="97"/>
  <c r="G34" i="346"/>
  <c r="H45" i="346"/>
  <c r="G34" i="196"/>
  <c r="H45" i="196"/>
  <c r="G34" i="32"/>
  <c r="H45" i="32"/>
  <c r="G34" i="109"/>
  <c r="H45" i="109"/>
  <c r="G34" i="262"/>
  <c r="H45" i="262"/>
  <c r="G34" i="103"/>
  <c r="H45" i="103"/>
  <c r="G34" i="335"/>
  <c r="H45" i="335"/>
  <c r="G34" i="269"/>
  <c r="H45" i="269"/>
  <c r="G34" i="283"/>
  <c r="H45" i="283"/>
  <c r="G34" i="187"/>
  <c r="H45" i="187"/>
  <c r="G34" i="338"/>
  <c r="H45" i="338"/>
  <c r="G34" i="22"/>
  <c r="H45" i="22"/>
  <c r="G34" i="294"/>
  <c r="H45" i="294"/>
  <c r="G34" i="20"/>
  <c r="H45" i="20"/>
  <c r="G34" i="193"/>
  <c r="H45" i="193"/>
  <c r="G34" i="357"/>
  <c r="H45" i="357"/>
  <c r="G34" i="43"/>
  <c r="H45" i="43"/>
  <c r="G34" i="318"/>
  <c r="H45" i="318"/>
  <c r="G34" i="33"/>
  <c r="H45" i="33"/>
  <c r="G34" i="359"/>
  <c r="H45" i="359"/>
  <c r="G34" i="169"/>
  <c r="H45" i="169"/>
  <c r="G34" i="31"/>
  <c r="H45" i="31"/>
  <c r="G34" i="23"/>
  <c r="H45" i="23"/>
  <c r="G34" i="153"/>
  <c r="H45" i="153"/>
  <c r="G34" i="48"/>
  <c r="H45" i="48"/>
  <c r="G34" i="3"/>
  <c r="H45" i="3"/>
  <c r="G34" i="16"/>
  <c r="H45" i="16"/>
  <c r="G34" i="5"/>
  <c r="H45" i="5"/>
  <c r="G34" i="202"/>
  <c r="H45" i="202"/>
  <c r="G34" i="323"/>
  <c r="H45" i="323"/>
  <c r="G34" i="353"/>
  <c r="H45" i="353"/>
  <c r="G34" i="361"/>
  <c r="H45" i="361"/>
  <c r="G34" i="9"/>
  <c r="H45" i="9"/>
  <c r="G34" i="314"/>
  <c r="H45" i="314"/>
  <c r="G34" i="89"/>
  <c r="H45" i="89"/>
  <c r="G34" i="35"/>
  <c r="H223" i="417"/>
  <c r="I235" i="417" s="1"/>
  <c r="G34" i="15"/>
  <c r="T33" i="400"/>
  <c r="I33" i="400" s="1"/>
  <c r="J45" i="400" s="1"/>
  <c r="T32" i="400"/>
  <c r="I32" i="400" s="1"/>
  <c r="F32" i="400"/>
  <c r="H44" i="400" s="1"/>
  <c r="K31" i="400"/>
  <c r="M43" i="400" s="1"/>
  <c r="U31" i="400"/>
  <c r="T31" i="400"/>
  <c r="I31" i="400" s="1"/>
  <c r="J43" i="400" s="1"/>
  <c r="F31" i="400"/>
  <c r="H43" i="400" s="1"/>
  <c r="T30" i="400"/>
  <c r="I30" i="400" s="1"/>
  <c r="F30" i="400"/>
  <c r="H42" i="400" s="1"/>
  <c r="T29" i="400"/>
  <c r="I29" i="400" s="1"/>
  <c r="J41" i="400" s="1"/>
  <c r="F29" i="400"/>
  <c r="H41" i="400" s="1"/>
  <c r="K28" i="400"/>
  <c r="U28" i="400"/>
  <c r="M40" i="400" s="1"/>
  <c r="T28" i="400"/>
  <c r="I28" i="400" s="1"/>
  <c r="F28" i="400"/>
  <c r="T27" i="400"/>
  <c r="I27" i="400" s="1"/>
  <c r="J39" i="400" s="1"/>
  <c r="F27" i="400"/>
  <c r="T26" i="400"/>
  <c r="I26" i="400" s="1"/>
  <c r="K25" i="400"/>
  <c r="U25" i="400"/>
  <c r="M37" i="400" s="1"/>
  <c r="T25" i="400"/>
  <c r="I25" i="400" s="1"/>
  <c r="J37" i="400" s="1"/>
  <c r="F25" i="400"/>
  <c r="T24" i="400"/>
  <c r="I24" i="400" s="1"/>
  <c r="J36" i="400" s="1"/>
  <c r="F24" i="400"/>
  <c r="T23" i="400"/>
  <c r="I23" i="400" s="1"/>
  <c r="F23" i="400"/>
  <c r="K22" i="400"/>
  <c r="U22" i="400"/>
  <c r="M34" i="400" s="1"/>
  <c r="T22" i="400"/>
  <c r="I22" i="400" s="1"/>
  <c r="F22" i="400"/>
  <c r="T21" i="400"/>
  <c r="I21" i="400" s="1"/>
  <c r="F21" i="400"/>
  <c r="T20" i="400"/>
  <c r="I20" i="400" s="1"/>
  <c r="F20" i="400"/>
  <c r="K19" i="400"/>
  <c r="U19" i="400"/>
  <c r="T19" i="400"/>
  <c r="I19" i="400" s="1"/>
  <c r="F19" i="400"/>
  <c r="T18" i="400"/>
  <c r="I18" i="400" s="1"/>
  <c r="F18" i="400"/>
  <c r="T17" i="400"/>
  <c r="I17" i="400" s="1"/>
  <c r="F17" i="400"/>
  <c r="K16" i="400"/>
  <c r="U16" i="400"/>
  <c r="T16" i="400"/>
  <c r="I16" i="400" s="1"/>
  <c r="F16" i="400"/>
  <c r="T15" i="400"/>
  <c r="I15" i="400" s="1"/>
  <c r="F15" i="400"/>
  <c r="T14" i="400"/>
  <c r="I14" i="400" s="1"/>
  <c r="F14" i="400"/>
  <c r="K13" i="400"/>
  <c r="U13" i="400"/>
  <c r="T13" i="400"/>
  <c r="I13" i="400" s="1"/>
  <c r="F13" i="400"/>
  <c r="T12" i="400"/>
  <c r="I12" i="400" s="1"/>
  <c r="F12" i="400"/>
  <c r="T11" i="400"/>
  <c r="I11" i="400" s="1"/>
  <c r="F11" i="400"/>
  <c r="K10" i="400"/>
  <c r="U10" i="400"/>
  <c r="T10" i="400"/>
  <c r="I10" i="400" s="1"/>
  <c r="F10" i="400"/>
  <c r="T9" i="400"/>
  <c r="I9" i="400" s="1"/>
  <c r="F9" i="400"/>
  <c r="T8" i="400"/>
  <c r="I8" i="400" s="1"/>
  <c r="F8" i="400"/>
  <c r="K7" i="400"/>
  <c r="U7" i="400"/>
  <c r="T7" i="400"/>
  <c r="I7" i="400" s="1"/>
  <c r="F7" i="400"/>
  <c r="T6" i="400"/>
  <c r="I6" i="400" s="1"/>
  <c r="F6" i="400"/>
  <c r="T5" i="400"/>
  <c r="I5" i="400" s="1"/>
  <c r="F5" i="400"/>
  <c r="J24" i="400" l="1"/>
  <c r="J25" i="400"/>
  <c r="J40" i="400"/>
  <c r="J28" i="400"/>
  <c r="J42" i="400"/>
  <c r="J30" i="400"/>
  <c r="J31" i="400"/>
  <c r="J19" i="400"/>
  <c r="J35" i="400"/>
  <c r="J23" i="400"/>
  <c r="J18" i="400"/>
  <c r="J20" i="400"/>
  <c r="J44" i="400"/>
  <c r="J32" i="400"/>
  <c r="J33" i="400"/>
  <c r="J21" i="400"/>
  <c r="J38" i="400"/>
  <c r="J26" i="400"/>
  <c r="J27" i="400"/>
  <c r="J29" i="400"/>
  <c r="J17" i="400"/>
  <c r="J22" i="400"/>
  <c r="J34" i="400"/>
  <c r="H39" i="400"/>
  <c r="H36" i="400"/>
  <c r="H40" i="400"/>
  <c r="H34" i="400"/>
  <c r="H35" i="400"/>
  <c r="H37" i="400"/>
  <c r="L34" i="400"/>
  <c r="H20" i="400"/>
  <c r="L16" i="400"/>
  <c r="N34" i="400"/>
  <c r="O37" i="400" s="1"/>
  <c r="M28" i="400"/>
  <c r="B31" i="400"/>
  <c r="C34" i="400"/>
  <c r="E46" i="400" s="1"/>
  <c r="B34" i="400"/>
  <c r="G7" i="400"/>
  <c r="G13" i="400"/>
  <c r="G14" i="400"/>
  <c r="B19" i="400"/>
  <c r="G22" i="400"/>
  <c r="G28" i="400"/>
  <c r="N7" i="400"/>
  <c r="N13" i="400"/>
  <c r="H31" i="400"/>
  <c r="G32" i="400"/>
  <c r="N16" i="400"/>
  <c r="N19" i="400"/>
  <c r="N22" i="400"/>
  <c r="N28" i="400"/>
  <c r="N31" i="400"/>
  <c r="G15" i="400"/>
  <c r="G21" i="400"/>
  <c r="G27" i="400"/>
  <c r="N25" i="400"/>
  <c r="G33" i="400"/>
  <c r="G11" i="400"/>
  <c r="L10" i="400"/>
  <c r="G12" i="400"/>
  <c r="L13" i="400"/>
  <c r="B13" i="400"/>
  <c r="N10" i="400"/>
  <c r="G9" i="400"/>
  <c r="C28" i="400"/>
  <c r="E40" i="400" s="1"/>
  <c r="H27" i="400"/>
  <c r="H33" i="400"/>
  <c r="H22" i="400"/>
  <c r="C22" i="400"/>
  <c r="H26" i="400"/>
  <c r="H32" i="400"/>
  <c r="C7" i="400"/>
  <c r="B7" i="400"/>
  <c r="G16" i="400"/>
  <c r="B16" i="400"/>
  <c r="H28" i="400"/>
  <c r="H23" i="400"/>
  <c r="C25" i="400"/>
  <c r="E37" i="400" s="1"/>
  <c r="G23" i="400"/>
  <c r="B25" i="400"/>
  <c r="B10" i="400"/>
  <c r="C10" i="400"/>
  <c r="H19" i="400"/>
  <c r="G19" i="400"/>
  <c r="H24" i="400"/>
  <c r="G24" i="400"/>
  <c r="M19" i="400"/>
  <c r="L19" i="400"/>
  <c r="H17" i="400"/>
  <c r="C19" i="400"/>
  <c r="G17" i="400"/>
  <c r="H25" i="400"/>
  <c r="G25" i="400"/>
  <c r="H29" i="400"/>
  <c r="G6" i="400"/>
  <c r="G10" i="400"/>
  <c r="H18" i="400"/>
  <c r="G18" i="400"/>
  <c r="H21" i="400"/>
  <c r="L22" i="400"/>
  <c r="M25" i="400"/>
  <c r="L25" i="400"/>
  <c r="L28" i="400"/>
  <c r="H30" i="400"/>
  <c r="M31" i="400"/>
  <c r="C13" i="400"/>
  <c r="M22" i="400"/>
  <c r="G29" i="400"/>
  <c r="G30" i="400"/>
  <c r="C31" i="400"/>
  <c r="E43" i="400" s="1"/>
  <c r="G31" i="400"/>
  <c r="G8" i="400"/>
  <c r="C16" i="400"/>
  <c r="B22" i="400"/>
  <c r="B28" i="400"/>
  <c r="L31" i="400"/>
  <c r="G20" i="400"/>
  <c r="G26" i="400"/>
  <c r="D13" i="400" l="1"/>
  <c r="D37" i="400"/>
  <c r="O34" i="400"/>
  <c r="O28" i="400"/>
  <c r="O22" i="400"/>
  <c r="O25" i="400"/>
  <c r="O31" i="400"/>
  <c r="D34" i="400"/>
  <c r="E34" i="400"/>
  <c r="O10" i="400"/>
  <c r="D10" i="400"/>
  <c r="O16" i="400"/>
  <c r="O19" i="400"/>
  <c r="E22" i="400"/>
  <c r="D28" i="400"/>
  <c r="O13" i="400"/>
  <c r="E31" i="400"/>
  <c r="D31" i="400"/>
  <c r="D16" i="400"/>
  <c r="E25" i="400"/>
  <c r="D25" i="400"/>
  <c r="E28" i="400"/>
  <c r="E19" i="400"/>
  <c r="D19" i="400"/>
  <c r="D22" i="400"/>
  <c r="R33" i="398" l="1"/>
  <c r="R32" i="398"/>
  <c r="R31" i="398"/>
  <c r="R30" i="398"/>
  <c r="R29" i="398"/>
  <c r="S33" i="398"/>
  <c r="S32" i="398"/>
  <c r="S31" i="398"/>
  <c r="S30" i="398"/>
  <c r="S29" i="398"/>
  <c r="S28" i="398"/>
  <c r="S27" i="398"/>
  <c r="S26" i="398"/>
  <c r="S25" i="398"/>
  <c r="S24" i="398"/>
  <c r="S23" i="398"/>
  <c r="S22" i="398"/>
  <c r="S21" i="398"/>
  <c r="S20" i="398"/>
  <c r="S19" i="398"/>
  <c r="S18" i="398"/>
  <c r="S17" i="398"/>
  <c r="S16" i="398"/>
  <c r="S15" i="398"/>
  <c r="S14" i="398"/>
  <c r="S13" i="398"/>
  <c r="S12" i="398"/>
  <c r="S11" i="398"/>
  <c r="S10" i="398"/>
  <c r="S9" i="398"/>
  <c r="S8" i="398"/>
  <c r="S7" i="398"/>
  <c r="S6" i="398"/>
  <c r="S5" i="398"/>
  <c r="Q33" i="398"/>
  <c r="F33" i="398" s="1"/>
  <c r="Q32" i="398"/>
  <c r="Q31" i="398"/>
  <c r="F31" i="398" s="1"/>
  <c r="H43" i="398" s="1"/>
  <c r="Q30" i="398"/>
  <c r="F30" i="398" s="1"/>
  <c r="H42" i="398" s="1"/>
  <c r="Q29" i="398"/>
  <c r="Q28" i="398"/>
  <c r="F28" i="398" s="1"/>
  <c r="Q27" i="398"/>
  <c r="F27" i="398" s="1"/>
  <c r="Q26" i="398"/>
  <c r="F26" i="398" s="1"/>
  <c r="Q25" i="398"/>
  <c r="F25" i="398" s="1"/>
  <c r="Q24" i="398"/>
  <c r="F24" i="398" s="1"/>
  <c r="Q23" i="398"/>
  <c r="F23" i="398" s="1"/>
  <c r="Q22" i="398"/>
  <c r="F22" i="398" s="1"/>
  <c r="Q21" i="398"/>
  <c r="Q20" i="398"/>
  <c r="F20" i="398" s="1"/>
  <c r="Q19" i="398"/>
  <c r="F19" i="398" s="1"/>
  <c r="Q18" i="398"/>
  <c r="Q17" i="398"/>
  <c r="Q16" i="398"/>
  <c r="F16" i="398" s="1"/>
  <c r="Q15" i="398"/>
  <c r="F15" i="398" s="1"/>
  <c r="Q14" i="398"/>
  <c r="F14" i="398" s="1"/>
  <c r="Q13" i="398"/>
  <c r="Q12" i="398"/>
  <c r="Q11" i="398"/>
  <c r="F11" i="398" s="1"/>
  <c r="Q10" i="398"/>
  <c r="F10" i="398" s="1"/>
  <c r="Q9" i="398"/>
  <c r="Q8" i="398"/>
  <c r="Q7" i="398"/>
  <c r="F7" i="398" s="1"/>
  <c r="Q6" i="398"/>
  <c r="F6" i="398" s="1"/>
  <c r="Q5" i="398"/>
  <c r="K28" i="398"/>
  <c r="K25" i="398"/>
  <c r="K22" i="398"/>
  <c r="K19" i="398"/>
  <c r="K16" i="398"/>
  <c r="K13" i="398"/>
  <c r="K10" i="398"/>
  <c r="K7" i="398"/>
  <c r="T33" i="397"/>
  <c r="I33" i="397" s="1"/>
  <c r="T32" i="397"/>
  <c r="I32" i="397" s="1"/>
  <c r="J44" i="397" s="1"/>
  <c r="F32" i="397"/>
  <c r="H44" i="397" s="1"/>
  <c r="K31" i="397"/>
  <c r="M43" i="397" s="1"/>
  <c r="U31" i="397"/>
  <c r="T31" i="397"/>
  <c r="I31" i="397" s="1"/>
  <c r="F31" i="397"/>
  <c r="H43" i="397" s="1"/>
  <c r="T30" i="397"/>
  <c r="I30" i="397" s="1"/>
  <c r="J42" i="397" s="1"/>
  <c r="F30" i="397"/>
  <c r="H42" i="397" s="1"/>
  <c r="T29" i="397"/>
  <c r="I29" i="397" s="1"/>
  <c r="F29" i="397"/>
  <c r="H41" i="397" s="1"/>
  <c r="K28" i="397"/>
  <c r="U28" i="397"/>
  <c r="M40" i="397" s="1"/>
  <c r="T28" i="397"/>
  <c r="I28" i="397" s="1"/>
  <c r="J40" i="397" s="1"/>
  <c r="F28" i="397"/>
  <c r="T27" i="397"/>
  <c r="I27" i="397" s="1"/>
  <c r="F27" i="397"/>
  <c r="T26" i="397"/>
  <c r="I26" i="397" s="1"/>
  <c r="J38" i="397" s="1"/>
  <c r="K25" i="397"/>
  <c r="U25" i="397"/>
  <c r="M37" i="397" s="1"/>
  <c r="T25" i="397"/>
  <c r="I25" i="397" s="1"/>
  <c r="F25" i="397"/>
  <c r="T24" i="397"/>
  <c r="I24" i="397" s="1"/>
  <c r="J36" i="397" s="1"/>
  <c r="F24" i="397"/>
  <c r="T23" i="397"/>
  <c r="I23" i="397" s="1"/>
  <c r="F23" i="397"/>
  <c r="K22" i="397"/>
  <c r="U22" i="397"/>
  <c r="M34" i="397" s="1"/>
  <c r="T22" i="397"/>
  <c r="I22" i="397" s="1"/>
  <c r="J34" i="397" s="1"/>
  <c r="F22" i="397"/>
  <c r="T21" i="397"/>
  <c r="I21" i="397" s="1"/>
  <c r="F21" i="397"/>
  <c r="T20" i="397"/>
  <c r="I20" i="397" s="1"/>
  <c r="F20" i="397"/>
  <c r="K19" i="397"/>
  <c r="U19" i="397"/>
  <c r="T19" i="397"/>
  <c r="I19" i="397" s="1"/>
  <c r="F19" i="397"/>
  <c r="T18" i="397"/>
  <c r="I18" i="397" s="1"/>
  <c r="F18" i="397"/>
  <c r="T17" i="397"/>
  <c r="I17" i="397" s="1"/>
  <c r="F17" i="397"/>
  <c r="K16" i="397"/>
  <c r="U16" i="397"/>
  <c r="T16" i="397"/>
  <c r="I16" i="397" s="1"/>
  <c r="F16" i="397"/>
  <c r="T15" i="397"/>
  <c r="I15" i="397" s="1"/>
  <c r="F15" i="397"/>
  <c r="T14" i="397"/>
  <c r="I14" i="397" s="1"/>
  <c r="F14" i="397"/>
  <c r="K13" i="397"/>
  <c r="U13" i="397"/>
  <c r="T13" i="397"/>
  <c r="I13" i="397" s="1"/>
  <c r="F13" i="397"/>
  <c r="T12" i="397"/>
  <c r="I12" i="397" s="1"/>
  <c r="F12" i="397"/>
  <c r="T11" i="397"/>
  <c r="I11" i="397" s="1"/>
  <c r="F11" i="397"/>
  <c r="K10" i="397"/>
  <c r="U10" i="397"/>
  <c r="T10" i="397"/>
  <c r="I10" i="397" s="1"/>
  <c r="F10" i="397"/>
  <c r="T9" i="397"/>
  <c r="I9" i="397" s="1"/>
  <c r="F9" i="397"/>
  <c r="T8" i="397"/>
  <c r="I8" i="397" s="1"/>
  <c r="F8" i="397"/>
  <c r="K7" i="397"/>
  <c r="U7" i="397"/>
  <c r="T7" i="397"/>
  <c r="I7" i="397" s="1"/>
  <c r="F7" i="397"/>
  <c r="T6" i="397"/>
  <c r="I6" i="397" s="1"/>
  <c r="F6" i="397"/>
  <c r="T5" i="397"/>
  <c r="I5" i="397" s="1"/>
  <c r="F5" i="397"/>
  <c r="J18" i="397" l="1"/>
  <c r="J20" i="397"/>
  <c r="J30" i="397"/>
  <c r="J32" i="397"/>
  <c r="J28" i="397"/>
  <c r="J22" i="397"/>
  <c r="J24" i="397"/>
  <c r="J26" i="397"/>
  <c r="J19" i="397"/>
  <c r="J21" i="397"/>
  <c r="J31" i="397"/>
  <c r="J43" i="397"/>
  <c r="J27" i="397"/>
  <c r="J39" i="397"/>
  <c r="J29" i="397"/>
  <c r="J41" i="397"/>
  <c r="J23" i="397"/>
  <c r="J35" i="397"/>
  <c r="J33" i="397"/>
  <c r="J45" i="397"/>
  <c r="J17" i="397"/>
  <c r="J25" i="397"/>
  <c r="J37" i="397"/>
  <c r="H40" i="398"/>
  <c r="H36" i="397"/>
  <c r="H37" i="398"/>
  <c r="H36" i="398"/>
  <c r="H40" i="397"/>
  <c r="H34" i="398"/>
  <c r="H38" i="398"/>
  <c r="H39" i="397"/>
  <c r="H34" i="397"/>
  <c r="H35" i="397"/>
  <c r="H37" i="397"/>
  <c r="H35" i="398"/>
  <c r="H39" i="398"/>
  <c r="G34" i="398"/>
  <c r="H45" i="398"/>
  <c r="L34" i="397"/>
  <c r="K34" i="398"/>
  <c r="M46" i="398" s="1"/>
  <c r="G17" i="397"/>
  <c r="T5" i="398"/>
  <c r="I5" i="398" s="1"/>
  <c r="T9" i="398"/>
  <c r="I9" i="398" s="1"/>
  <c r="T13" i="398"/>
  <c r="I13" i="398" s="1"/>
  <c r="T17" i="398"/>
  <c r="I17" i="398" s="1"/>
  <c r="T21" i="398"/>
  <c r="I21" i="398" s="1"/>
  <c r="T29" i="398"/>
  <c r="I29" i="398" s="1"/>
  <c r="N34" i="397"/>
  <c r="O37" i="397" s="1"/>
  <c r="T33" i="398"/>
  <c r="I33" i="398" s="1"/>
  <c r="T8" i="398"/>
  <c r="I8" i="398" s="1"/>
  <c r="T32" i="398"/>
  <c r="I32" i="398" s="1"/>
  <c r="J44" i="398" s="1"/>
  <c r="U34" i="398"/>
  <c r="C34" i="397"/>
  <c r="E46" i="397" s="1"/>
  <c r="B34" i="397"/>
  <c r="F9" i="398"/>
  <c r="T7" i="398"/>
  <c r="I7" i="398" s="1"/>
  <c r="T19" i="398"/>
  <c r="I19" i="398" s="1"/>
  <c r="T23" i="398"/>
  <c r="I23" i="398" s="1"/>
  <c r="K31" i="398"/>
  <c r="M43" i="398" s="1"/>
  <c r="U13" i="398"/>
  <c r="T11" i="398"/>
  <c r="I11" i="398" s="1"/>
  <c r="T15" i="398"/>
  <c r="I15" i="398" s="1"/>
  <c r="T27" i="398"/>
  <c r="I27" i="398" s="1"/>
  <c r="T31" i="398"/>
  <c r="I31" i="398" s="1"/>
  <c r="U10" i="398"/>
  <c r="F13" i="398"/>
  <c r="T16" i="398"/>
  <c r="I16" i="398" s="1"/>
  <c r="T20" i="398"/>
  <c r="I20" i="398" s="1"/>
  <c r="T25" i="398"/>
  <c r="I25" i="398" s="1"/>
  <c r="G7" i="398"/>
  <c r="G28" i="398"/>
  <c r="F12" i="398"/>
  <c r="T28" i="398"/>
  <c r="I28" i="398" s="1"/>
  <c r="J40" i="398" s="1"/>
  <c r="F8" i="398"/>
  <c r="F21" i="398"/>
  <c r="U25" i="398"/>
  <c r="M37" i="398" s="1"/>
  <c r="N10" i="397"/>
  <c r="G19" i="397"/>
  <c r="C25" i="397"/>
  <c r="E37" i="397" s="1"/>
  <c r="F5" i="398"/>
  <c r="U7" i="398"/>
  <c r="F17" i="398"/>
  <c r="U19" i="398"/>
  <c r="F29" i="398"/>
  <c r="U31" i="398"/>
  <c r="U16" i="398"/>
  <c r="H24" i="397"/>
  <c r="N28" i="397"/>
  <c r="U22" i="398"/>
  <c r="T14" i="398"/>
  <c r="I14" i="398" s="1"/>
  <c r="T6" i="398"/>
  <c r="I6" i="398" s="1"/>
  <c r="T10" i="398"/>
  <c r="I10" i="398" s="1"/>
  <c r="T18" i="398"/>
  <c r="I18" i="398" s="1"/>
  <c r="T26" i="398"/>
  <c r="I26" i="398" s="1"/>
  <c r="J38" i="398" s="1"/>
  <c r="H22" i="398"/>
  <c r="G31" i="398"/>
  <c r="G25" i="398"/>
  <c r="G24" i="398"/>
  <c r="G11" i="398"/>
  <c r="H28" i="398"/>
  <c r="B25" i="398"/>
  <c r="G15" i="398"/>
  <c r="G16" i="398"/>
  <c r="F18" i="398"/>
  <c r="H19" i="398"/>
  <c r="T22" i="398"/>
  <c r="I22" i="398" s="1"/>
  <c r="J34" i="398" s="1"/>
  <c r="G23" i="398"/>
  <c r="T24" i="398"/>
  <c r="I24" i="398" s="1"/>
  <c r="J36" i="398" s="1"/>
  <c r="G27" i="398"/>
  <c r="H27" i="398"/>
  <c r="U28" i="398"/>
  <c r="M40" i="398" s="1"/>
  <c r="T30" i="398"/>
  <c r="I30" i="398" s="1"/>
  <c r="J42" i="398" s="1"/>
  <c r="F32" i="398"/>
  <c r="H44" i="398" s="1"/>
  <c r="C16" i="398"/>
  <c r="C25" i="398"/>
  <c r="E37" i="398" s="1"/>
  <c r="T12" i="398"/>
  <c r="I12" i="398" s="1"/>
  <c r="B16" i="398"/>
  <c r="H31" i="398"/>
  <c r="G18" i="397"/>
  <c r="G24" i="397"/>
  <c r="G30" i="397"/>
  <c r="H23" i="398"/>
  <c r="B7" i="397"/>
  <c r="G13" i="397"/>
  <c r="B16" i="397"/>
  <c r="G20" i="398"/>
  <c r="N25" i="397"/>
  <c r="H29" i="397"/>
  <c r="H31" i="397"/>
  <c r="H32" i="397"/>
  <c r="C19" i="397"/>
  <c r="L22" i="397"/>
  <c r="H19" i="397"/>
  <c r="B19" i="397"/>
  <c r="N16" i="397"/>
  <c r="H25" i="397"/>
  <c r="G16" i="397"/>
  <c r="H21" i="397"/>
  <c r="G6" i="397"/>
  <c r="H27" i="397"/>
  <c r="L16" i="397"/>
  <c r="H17" i="397"/>
  <c r="G14" i="397"/>
  <c r="L10" i="397"/>
  <c r="L19" i="397"/>
  <c r="L28" i="397"/>
  <c r="G29" i="397"/>
  <c r="L13" i="397"/>
  <c r="G15" i="397"/>
  <c r="N19" i="397"/>
  <c r="H20" i="397"/>
  <c r="H22" i="397"/>
  <c r="B25" i="397"/>
  <c r="G25" i="397"/>
  <c r="H30" i="397"/>
  <c r="M31" i="397"/>
  <c r="H33" i="397"/>
  <c r="N13" i="397"/>
  <c r="N7" i="397"/>
  <c r="G7" i="397"/>
  <c r="C10" i="397"/>
  <c r="G10" i="397"/>
  <c r="B13" i="397"/>
  <c r="C13" i="397"/>
  <c r="M19" i="397"/>
  <c r="N22" i="397"/>
  <c r="G23" i="397"/>
  <c r="H26" i="397"/>
  <c r="H28" i="397"/>
  <c r="M28" i="397"/>
  <c r="N31" i="397"/>
  <c r="G31" i="397"/>
  <c r="B31" i="397"/>
  <c r="C31" i="397"/>
  <c r="E43" i="397" s="1"/>
  <c r="G9" i="397"/>
  <c r="M22" i="397"/>
  <c r="C7" i="397"/>
  <c r="G8" i="397"/>
  <c r="C16" i="397"/>
  <c r="H18" i="397"/>
  <c r="H23" i="397"/>
  <c r="B28" i="397"/>
  <c r="L31" i="397"/>
  <c r="B10" i="397"/>
  <c r="G11" i="397"/>
  <c r="G20" i="397"/>
  <c r="G21" i="397"/>
  <c r="C22" i="397"/>
  <c r="G22" i="397"/>
  <c r="M25" i="397"/>
  <c r="G26" i="397"/>
  <c r="G27" i="397"/>
  <c r="C28" i="397"/>
  <c r="E40" i="397" s="1"/>
  <c r="G28" i="397"/>
  <c r="G32" i="397"/>
  <c r="G33" i="397"/>
  <c r="G12" i="397"/>
  <c r="B22" i="397"/>
  <c r="L25" i="397"/>
  <c r="M22" i="398" l="1"/>
  <c r="J17" i="398"/>
  <c r="J19" i="398"/>
  <c r="J21" i="398"/>
  <c r="J26" i="398"/>
  <c r="J30" i="398"/>
  <c r="J24" i="398"/>
  <c r="J22" i="398"/>
  <c r="J18" i="398"/>
  <c r="J28" i="398"/>
  <c r="J33" i="398"/>
  <c r="J45" i="398"/>
  <c r="J27" i="398"/>
  <c r="J39" i="398"/>
  <c r="J32" i="398"/>
  <c r="J29" i="398"/>
  <c r="J41" i="398"/>
  <c r="J25" i="398"/>
  <c r="J37" i="398"/>
  <c r="J20" i="398"/>
  <c r="J31" i="398"/>
  <c r="J43" i="398"/>
  <c r="J23" i="398"/>
  <c r="J35" i="398"/>
  <c r="L37" i="398"/>
  <c r="G17" i="398"/>
  <c r="H20" i="398"/>
  <c r="H30" i="398"/>
  <c r="B7" i="398"/>
  <c r="H24" i="398"/>
  <c r="G14" i="398"/>
  <c r="G22" i="398"/>
  <c r="G10" i="398"/>
  <c r="D37" i="397"/>
  <c r="C31" i="398"/>
  <c r="E43" i="398" s="1"/>
  <c r="H41" i="398"/>
  <c r="L10" i="398"/>
  <c r="H25" i="398"/>
  <c r="M25" i="398"/>
  <c r="L13" i="398"/>
  <c r="O34" i="397"/>
  <c r="N19" i="398"/>
  <c r="O10" i="397"/>
  <c r="D16" i="397"/>
  <c r="N25" i="398"/>
  <c r="N10" i="398"/>
  <c r="O13" i="397"/>
  <c r="N7" i="398"/>
  <c r="N34" i="398"/>
  <c r="O37" i="398" s="1"/>
  <c r="L31" i="398"/>
  <c r="L34" i="398"/>
  <c r="M34" i="398"/>
  <c r="L22" i="398"/>
  <c r="N13" i="398"/>
  <c r="G21" i="398"/>
  <c r="N28" i="398"/>
  <c r="N16" i="398"/>
  <c r="C34" i="398"/>
  <c r="E46" i="398" s="1"/>
  <c r="B34" i="398"/>
  <c r="N31" i="398"/>
  <c r="L16" i="398"/>
  <c r="D34" i="397"/>
  <c r="E34" i="397"/>
  <c r="B22" i="398"/>
  <c r="E19" i="397"/>
  <c r="B10" i="398"/>
  <c r="O31" i="397"/>
  <c r="O28" i="397"/>
  <c r="G12" i="398"/>
  <c r="G26" i="398"/>
  <c r="H29" i="398"/>
  <c r="G29" i="398"/>
  <c r="B31" i="398"/>
  <c r="G30" i="398"/>
  <c r="B13" i="398"/>
  <c r="G6" i="398"/>
  <c r="C13" i="398"/>
  <c r="E25" i="398" s="1"/>
  <c r="C7" i="398"/>
  <c r="M31" i="398"/>
  <c r="G8" i="398"/>
  <c r="B19" i="398"/>
  <c r="H33" i="398"/>
  <c r="M28" i="398"/>
  <c r="E25" i="397"/>
  <c r="H21" i="398"/>
  <c r="C10" i="398"/>
  <c r="G9" i="398"/>
  <c r="N22" i="398"/>
  <c r="C22" i="398"/>
  <c r="D25" i="398" s="1"/>
  <c r="L25" i="398"/>
  <c r="G13" i="398"/>
  <c r="M19" i="398"/>
  <c r="L19" i="398"/>
  <c r="L28" i="398"/>
  <c r="H17" i="398"/>
  <c r="G32" i="398"/>
  <c r="H32" i="398"/>
  <c r="C28" i="398"/>
  <c r="E40" i="398" s="1"/>
  <c r="H26" i="398"/>
  <c r="B28" i="398"/>
  <c r="G33" i="398"/>
  <c r="H18" i="398"/>
  <c r="G19" i="398"/>
  <c r="G18" i="398"/>
  <c r="C19" i="398"/>
  <c r="E31" i="397"/>
  <c r="O19" i="397"/>
  <c r="D10" i="397"/>
  <c r="O22" i="397"/>
  <c r="O25" i="397"/>
  <c r="D13" i="397"/>
  <c r="O16" i="397"/>
  <c r="D31" i="397"/>
  <c r="D22" i="397"/>
  <c r="E22" i="397"/>
  <c r="D25" i="397"/>
  <c r="D28" i="397"/>
  <c r="E28" i="397"/>
  <c r="D19" i="397"/>
  <c r="E31" i="398" l="1"/>
  <c r="D37" i="398"/>
  <c r="O13" i="398"/>
  <c r="O19" i="398"/>
  <c r="O22" i="398"/>
  <c r="O16" i="398"/>
  <c r="O10" i="398"/>
  <c r="O28" i="398"/>
  <c r="O31" i="398"/>
  <c r="O34" i="398"/>
  <c r="D16" i="398"/>
  <c r="D34" i="398"/>
  <c r="E34" i="398"/>
  <c r="D10" i="398"/>
  <c r="E22" i="398"/>
  <c r="D13" i="398"/>
  <c r="O25" i="398"/>
  <c r="D28" i="398"/>
  <c r="E28" i="398"/>
  <c r="D31" i="398"/>
  <c r="E19" i="398"/>
  <c r="D22" i="398"/>
  <c r="D19" i="398"/>
  <c r="L33" i="396"/>
  <c r="L32" i="396"/>
  <c r="E32" i="396"/>
  <c r="N31" i="396"/>
  <c r="M31" i="396"/>
  <c r="O34" i="396" s="1"/>
  <c r="L31" i="396"/>
  <c r="E31" i="396"/>
  <c r="L30" i="396"/>
  <c r="E30" i="396"/>
  <c r="L29" i="396"/>
  <c r="E29" i="396"/>
  <c r="N28" i="396"/>
  <c r="M28" i="396"/>
  <c r="L28" i="396"/>
  <c r="E28" i="396"/>
  <c r="L27" i="396"/>
  <c r="E27" i="396"/>
  <c r="G39" i="396" s="1"/>
  <c r="L26" i="396"/>
  <c r="N25" i="396"/>
  <c r="M25" i="396"/>
  <c r="P37" i="396" s="1"/>
  <c r="L25" i="396"/>
  <c r="E25" i="396"/>
  <c r="G37" i="396" s="1"/>
  <c r="L24" i="396"/>
  <c r="E24" i="396"/>
  <c r="G36" i="396" s="1"/>
  <c r="L23" i="396"/>
  <c r="E23" i="396"/>
  <c r="G35" i="396" s="1"/>
  <c r="N22" i="396"/>
  <c r="M22" i="396"/>
  <c r="P34" i="396" s="1"/>
  <c r="L22" i="396"/>
  <c r="E22" i="396"/>
  <c r="G34" i="396" s="1"/>
  <c r="L21" i="396"/>
  <c r="E21" i="396"/>
  <c r="L20" i="396"/>
  <c r="E20" i="396"/>
  <c r="N19" i="396"/>
  <c r="M19" i="396"/>
  <c r="L19" i="396"/>
  <c r="E19" i="396"/>
  <c r="L18" i="396"/>
  <c r="E18" i="396"/>
  <c r="L17" i="396"/>
  <c r="E17" i="396"/>
  <c r="N16" i="396"/>
  <c r="M16" i="396"/>
  <c r="L16" i="396"/>
  <c r="E16" i="396"/>
  <c r="L15" i="396"/>
  <c r="E15" i="396"/>
  <c r="L14" i="396"/>
  <c r="E14" i="396"/>
  <c r="N13" i="396"/>
  <c r="M13" i="396"/>
  <c r="L13" i="396"/>
  <c r="E13" i="396"/>
  <c r="L12" i="396"/>
  <c r="E12" i="396"/>
  <c r="L11" i="396"/>
  <c r="E11" i="396"/>
  <c r="N10" i="396"/>
  <c r="M10" i="396"/>
  <c r="L10" i="396"/>
  <c r="E10" i="396"/>
  <c r="L9" i="396"/>
  <c r="E9" i="396"/>
  <c r="L8" i="396"/>
  <c r="E8" i="396"/>
  <c r="N7" i="396"/>
  <c r="M7" i="396"/>
  <c r="L7" i="396"/>
  <c r="E7" i="396"/>
  <c r="L6" i="396"/>
  <c r="E6" i="396"/>
  <c r="L5" i="396"/>
  <c r="E5" i="396"/>
  <c r="G18" i="396" l="1"/>
  <c r="G24" i="396"/>
  <c r="Q34" i="396"/>
  <c r="R37" i="396" s="1"/>
  <c r="P28" i="396"/>
  <c r="B34" i="396"/>
  <c r="C37" i="396" s="1"/>
  <c r="A34" i="396"/>
  <c r="F25" i="396"/>
  <c r="F23" i="396"/>
  <c r="A31" i="396"/>
  <c r="G32" i="396"/>
  <c r="F18" i="396"/>
  <c r="Q25" i="396"/>
  <c r="G28" i="396"/>
  <c r="F24" i="396"/>
  <c r="B25" i="396"/>
  <c r="D37" i="396" s="1"/>
  <c r="Q19" i="396"/>
  <c r="Q22" i="396"/>
  <c r="Q28" i="396"/>
  <c r="A19" i="396"/>
  <c r="A25" i="396"/>
  <c r="P19" i="396"/>
  <c r="A7" i="396"/>
  <c r="F7" i="396"/>
  <c r="B10" i="396"/>
  <c r="F10" i="396"/>
  <c r="A13" i="396"/>
  <c r="F13" i="396"/>
  <c r="F14" i="396"/>
  <c r="G19" i="396"/>
  <c r="G21" i="396"/>
  <c r="Q7" i="396"/>
  <c r="Q10" i="396"/>
  <c r="F17" i="396"/>
  <c r="F19" i="396"/>
  <c r="O22" i="396"/>
  <c r="O10" i="396"/>
  <c r="Q13" i="396"/>
  <c r="Q16" i="396"/>
  <c r="G17" i="396"/>
  <c r="O19" i="396"/>
  <c r="P25" i="396"/>
  <c r="G27" i="396"/>
  <c r="O28" i="396"/>
  <c r="A16" i="396"/>
  <c r="G31" i="396"/>
  <c r="O13" i="396"/>
  <c r="B16" i="396"/>
  <c r="F16" i="396"/>
  <c r="O16" i="396"/>
  <c r="B19" i="396"/>
  <c r="G20" i="396"/>
  <c r="G22" i="396"/>
  <c r="F30" i="396"/>
  <c r="P31" i="396"/>
  <c r="G33" i="396"/>
  <c r="B13" i="396"/>
  <c r="G25" i="396"/>
  <c r="G26" i="396"/>
  <c r="F29" i="396"/>
  <c r="G29" i="396"/>
  <c r="G30" i="396"/>
  <c r="F31" i="396"/>
  <c r="B31" i="396"/>
  <c r="Q31" i="396"/>
  <c r="P22" i="396"/>
  <c r="F6" i="396"/>
  <c r="A10" i="396"/>
  <c r="F11" i="396"/>
  <c r="F15" i="396"/>
  <c r="F20" i="396"/>
  <c r="F21" i="396"/>
  <c r="B22" i="396"/>
  <c r="F22" i="396"/>
  <c r="F26" i="396"/>
  <c r="F27" i="396"/>
  <c r="B28" i="396"/>
  <c r="D40" i="396" s="1"/>
  <c r="F28" i="396"/>
  <c r="F32" i="396"/>
  <c r="F33" i="396"/>
  <c r="F9" i="396"/>
  <c r="B7" i="396"/>
  <c r="F8" i="396"/>
  <c r="F12" i="396"/>
  <c r="A22" i="396"/>
  <c r="G23" i="396"/>
  <c r="O25" i="396"/>
  <c r="A28" i="396"/>
  <c r="O31" i="396"/>
  <c r="S33" i="395"/>
  <c r="R33" i="395"/>
  <c r="S32" i="395"/>
  <c r="R32" i="395"/>
  <c r="S31" i="395"/>
  <c r="R31" i="395"/>
  <c r="S30" i="395"/>
  <c r="R30" i="395"/>
  <c r="S29" i="395"/>
  <c r="R29" i="395"/>
  <c r="S28" i="395"/>
  <c r="R28" i="395"/>
  <c r="S27" i="395"/>
  <c r="R27" i="395"/>
  <c r="S26" i="395"/>
  <c r="R26" i="395"/>
  <c r="S25" i="395"/>
  <c r="R25" i="395"/>
  <c r="S24" i="395"/>
  <c r="R24" i="395"/>
  <c r="S23" i="395"/>
  <c r="R23" i="395"/>
  <c r="S22" i="395"/>
  <c r="R22" i="395"/>
  <c r="S21" i="395"/>
  <c r="R21" i="395"/>
  <c r="S20" i="395"/>
  <c r="R20" i="395"/>
  <c r="S19" i="395"/>
  <c r="R19" i="395"/>
  <c r="S18" i="395"/>
  <c r="R18" i="395"/>
  <c r="S17" i="395"/>
  <c r="R17" i="395"/>
  <c r="S16" i="395"/>
  <c r="R16" i="395"/>
  <c r="S15" i="395"/>
  <c r="R15" i="395"/>
  <c r="S14" i="395"/>
  <c r="R14" i="395"/>
  <c r="S13" i="395"/>
  <c r="R13" i="395"/>
  <c r="S12" i="395"/>
  <c r="R12" i="395"/>
  <c r="S11" i="395"/>
  <c r="R11" i="395"/>
  <c r="S10" i="395"/>
  <c r="R10" i="395"/>
  <c r="S9" i="395"/>
  <c r="R9" i="395"/>
  <c r="S8" i="395"/>
  <c r="R8" i="395"/>
  <c r="S7" i="395"/>
  <c r="R7" i="395"/>
  <c r="S6" i="395"/>
  <c r="R6" i="395"/>
  <c r="S5" i="395"/>
  <c r="R5" i="395"/>
  <c r="Q33" i="395"/>
  <c r="F33" i="395" s="1"/>
  <c r="Q32" i="395"/>
  <c r="Q31" i="395"/>
  <c r="Q30" i="395"/>
  <c r="Q29" i="395"/>
  <c r="F29" i="395" s="1"/>
  <c r="H41" i="395" s="1"/>
  <c r="Q28" i="395"/>
  <c r="Q27" i="395"/>
  <c r="F27" i="395" s="1"/>
  <c r="Q26" i="395"/>
  <c r="F26" i="395" s="1"/>
  <c r="Q25" i="395"/>
  <c r="Q24" i="395"/>
  <c r="F24" i="395" s="1"/>
  <c r="Q23" i="395"/>
  <c r="Q22" i="395"/>
  <c r="F22" i="395" s="1"/>
  <c r="Q21" i="395"/>
  <c r="F21" i="395" s="1"/>
  <c r="Q20" i="395"/>
  <c r="Q19" i="395"/>
  <c r="Q18" i="395"/>
  <c r="F18" i="395" s="1"/>
  <c r="Q17" i="395"/>
  <c r="Q16" i="395"/>
  <c r="F16" i="395" s="1"/>
  <c r="Q15" i="395"/>
  <c r="Q14" i="395"/>
  <c r="Q13" i="395"/>
  <c r="Q12" i="395"/>
  <c r="Q11" i="395"/>
  <c r="Q10" i="395"/>
  <c r="Q9" i="395"/>
  <c r="Q8" i="395"/>
  <c r="Q7" i="395"/>
  <c r="F7" i="395" s="1"/>
  <c r="Q6" i="395"/>
  <c r="F6" i="395" s="1"/>
  <c r="Q5" i="395"/>
  <c r="T33" i="394"/>
  <c r="I33" i="394" s="1"/>
  <c r="T32" i="394"/>
  <c r="I32" i="394" s="1"/>
  <c r="J44" i="394" s="1"/>
  <c r="F32" i="394"/>
  <c r="H44" i="394" s="1"/>
  <c r="K31" i="394"/>
  <c r="M43" i="394" s="1"/>
  <c r="U31" i="394"/>
  <c r="T31" i="394"/>
  <c r="I31" i="394" s="1"/>
  <c r="F31" i="394"/>
  <c r="H43" i="394" s="1"/>
  <c r="T30" i="394"/>
  <c r="I30" i="394" s="1"/>
  <c r="J42" i="394" s="1"/>
  <c r="F30" i="394"/>
  <c r="H42" i="394" s="1"/>
  <c r="T29" i="394"/>
  <c r="I29" i="394" s="1"/>
  <c r="F29" i="394"/>
  <c r="H41" i="394" s="1"/>
  <c r="K28" i="394"/>
  <c r="U28" i="394"/>
  <c r="M40" i="394" s="1"/>
  <c r="T28" i="394"/>
  <c r="I28" i="394" s="1"/>
  <c r="J40" i="394" s="1"/>
  <c r="F28" i="394"/>
  <c r="T27" i="394"/>
  <c r="I27" i="394" s="1"/>
  <c r="F27" i="394"/>
  <c r="T26" i="394"/>
  <c r="I26" i="394" s="1"/>
  <c r="J38" i="394" s="1"/>
  <c r="K25" i="394"/>
  <c r="U25" i="394"/>
  <c r="M37" i="394" s="1"/>
  <c r="T25" i="394"/>
  <c r="I25" i="394" s="1"/>
  <c r="F25" i="394"/>
  <c r="T24" i="394"/>
  <c r="I24" i="394" s="1"/>
  <c r="J36" i="394" s="1"/>
  <c r="F24" i="394"/>
  <c r="T23" i="394"/>
  <c r="I23" i="394" s="1"/>
  <c r="F23" i="394"/>
  <c r="K22" i="394"/>
  <c r="U22" i="394"/>
  <c r="M34" i="394" s="1"/>
  <c r="T22" i="394"/>
  <c r="I22" i="394" s="1"/>
  <c r="J34" i="394" s="1"/>
  <c r="F22" i="394"/>
  <c r="T21" i="394"/>
  <c r="I21" i="394" s="1"/>
  <c r="F21" i="394"/>
  <c r="T20" i="394"/>
  <c r="I20" i="394" s="1"/>
  <c r="F20" i="394"/>
  <c r="K19" i="394"/>
  <c r="U19" i="394"/>
  <c r="T19" i="394"/>
  <c r="I19" i="394" s="1"/>
  <c r="F19" i="394"/>
  <c r="T18" i="394"/>
  <c r="I18" i="394" s="1"/>
  <c r="F18" i="394"/>
  <c r="T17" i="394"/>
  <c r="I17" i="394" s="1"/>
  <c r="F17" i="394"/>
  <c r="K16" i="394"/>
  <c r="U16" i="394"/>
  <c r="T16" i="394"/>
  <c r="I16" i="394" s="1"/>
  <c r="F16" i="394"/>
  <c r="T15" i="394"/>
  <c r="I15" i="394" s="1"/>
  <c r="F15" i="394"/>
  <c r="T14" i="394"/>
  <c r="I14" i="394" s="1"/>
  <c r="F14" i="394"/>
  <c r="K13" i="394"/>
  <c r="U13" i="394"/>
  <c r="T13" i="394"/>
  <c r="I13" i="394" s="1"/>
  <c r="F13" i="394"/>
  <c r="T12" i="394"/>
  <c r="I12" i="394" s="1"/>
  <c r="F12" i="394"/>
  <c r="T11" i="394"/>
  <c r="I11" i="394" s="1"/>
  <c r="F11" i="394"/>
  <c r="K10" i="394"/>
  <c r="U10" i="394"/>
  <c r="T10" i="394"/>
  <c r="I10" i="394" s="1"/>
  <c r="F10" i="394"/>
  <c r="T9" i="394"/>
  <c r="I9" i="394" s="1"/>
  <c r="F9" i="394"/>
  <c r="T8" i="394"/>
  <c r="I8" i="394" s="1"/>
  <c r="F8" i="394"/>
  <c r="K7" i="394"/>
  <c r="U7" i="394"/>
  <c r="T7" i="394"/>
  <c r="I7" i="394" s="1"/>
  <c r="F7" i="394"/>
  <c r="T6" i="394"/>
  <c r="I6" i="394" s="1"/>
  <c r="F6" i="394"/>
  <c r="T5" i="394"/>
  <c r="I5" i="394" s="1"/>
  <c r="F5" i="394"/>
  <c r="T33" i="393"/>
  <c r="I33" i="393" s="1"/>
  <c r="J45" i="393" s="1"/>
  <c r="T32" i="393"/>
  <c r="I32" i="393" s="1"/>
  <c r="F32" i="393"/>
  <c r="H44" i="393" s="1"/>
  <c r="K31" i="393"/>
  <c r="M43" i="393" s="1"/>
  <c r="U31" i="393"/>
  <c r="T31" i="393"/>
  <c r="I31" i="393" s="1"/>
  <c r="J43" i="393" s="1"/>
  <c r="F31" i="393"/>
  <c r="H43" i="393" s="1"/>
  <c r="T30" i="393"/>
  <c r="I30" i="393" s="1"/>
  <c r="F30" i="393"/>
  <c r="H42" i="393" s="1"/>
  <c r="T29" i="393"/>
  <c r="I29" i="393" s="1"/>
  <c r="J41" i="393" s="1"/>
  <c r="F29" i="393"/>
  <c r="H41" i="393" s="1"/>
  <c r="K28" i="393"/>
  <c r="U28" i="393"/>
  <c r="M40" i="393" s="1"/>
  <c r="T28" i="393"/>
  <c r="I28" i="393" s="1"/>
  <c r="J40" i="393" s="1"/>
  <c r="F28" i="393"/>
  <c r="T27" i="393"/>
  <c r="I27" i="393" s="1"/>
  <c r="J39" i="393" s="1"/>
  <c r="F27" i="393"/>
  <c r="T26" i="393"/>
  <c r="I26" i="393" s="1"/>
  <c r="K25" i="393"/>
  <c r="U25" i="393"/>
  <c r="M37" i="393" s="1"/>
  <c r="T25" i="393"/>
  <c r="I25" i="393" s="1"/>
  <c r="J37" i="393" s="1"/>
  <c r="F25" i="393"/>
  <c r="T24" i="393"/>
  <c r="I24" i="393" s="1"/>
  <c r="J36" i="393" s="1"/>
  <c r="F24" i="393"/>
  <c r="T23" i="393"/>
  <c r="I23" i="393" s="1"/>
  <c r="J35" i="393" s="1"/>
  <c r="F23" i="393"/>
  <c r="K22" i="393"/>
  <c r="U22" i="393"/>
  <c r="M34" i="393" s="1"/>
  <c r="T22" i="393"/>
  <c r="I22" i="393" s="1"/>
  <c r="F22" i="393"/>
  <c r="T21" i="393"/>
  <c r="I21" i="393" s="1"/>
  <c r="F21" i="393"/>
  <c r="T20" i="393"/>
  <c r="I20" i="393" s="1"/>
  <c r="F20" i="393"/>
  <c r="K19" i="393"/>
  <c r="U19" i="393"/>
  <c r="T19" i="393"/>
  <c r="I19" i="393" s="1"/>
  <c r="F19" i="393"/>
  <c r="T18" i="393"/>
  <c r="I18" i="393" s="1"/>
  <c r="F18" i="393"/>
  <c r="T17" i="393"/>
  <c r="I17" i="393" s="1"/>
  <c r="F17" i="393"/>
  <c r="K16" i="393"/>
  <c r="U16" i="393"/>
  <c r="T16" i="393"/>
  <c r="I16" i="393" s="1"/>
  <c r="F16" i="393"/>
  <c r="T15" i="393"/>
  <c r="I15" i="393" s="1"/>
  <c r="F15" i="393"/>
  <c r="T14" i="393"/>
  <c r="I14" i="393" s="1"/>
  <c r="F14" i="393"/>
  <c r="K13" i="393"/>
  <c r="U13" i="393"/>
  <c r="T13" i="393"/>
  <c r="I13" i="393" s="1"/>
  <c r="F13" i="393"/>
  <c r="T12" i="393"/>
  <c r="I12" i="393" s="1"/>
  <c r="F12" i="393"/>
  <c r="T11" i="393"/>
  <c r="I11" i="393" s="1"/>
  <c r="F11" i="393"/>
  <c r="K10" i="393"/>
  <c r="U10" i="393"/>
  <c r="T10" i="393"/>
  <c r="I10" i="393" s="1"/>
  <c r="F10" i="393"/>
  <c r="T9" i="393"/>
  <c r="I9" i="393" s="1"/>
  <c r="F9" i="393"/>
  <c r="T8" i="393"/>
  <c r="I8" i="393" s="1"/>
  <c r="F8" i="393"/>
  <c r="K7" i="393"/>
  <c r="U7" i="393"/>
  <c r="T7" i="393"/>
  <c r="I7" i="393" s="1"/>
  <c r="F7" i="393"/>
  <c r="T6" i="393"/>
  <c r="I6" i="393" s="1"/>
  <c r="F6" i="393"/>
  <c r="T5" i="393"/>
  <c r="I5" i="393" s="1"/>
  <c r="F5" i="393"/>
  <c r="T11" i="395" l="1"/>
  <c r="I11" i="395" s="1"/>
  <c r="J33" i="393"/>
  <c r="J28" i="393"/>
  <c r="J32" i="394"/>
  <c r="J31" i="393"/>
  <c r="J28" i="394"/>
  <c r="J30" i="394"/>
  <c r="J18" i="393"/>
  <c r="J17" i="394"/>
  <c r="T19" i="395"/>
  <c r="I19" i="395" s="1"/>
  <c r="T31" i="395"/>
  <c r="I31" i="395" s="1"/>
  <c r="J43" i="395" s="1"/>
  <c r="J27" i="393"/>
  <c r="J24" i="393"/>
  <c r="J19" i="393"/>
  <c r="J23" i="393"/>
  <c r="J18" i="394"/>
  <c r="J20" i="394"/>
  <c r="J21" i="393"/>
  <c r="J26" i="394"/>
  <c r="J31" i="394"/>
  <c r="J43" i="394"/>
  <c r="J29" i="394"/>
  <c r="J41" i="394"/>
  <c r="J25" i="394"/>
  <c r="J37" i="394"/>
  <c r="J30" i="393"/>
  <c r="J42" i="393"/>
  <c r="J27" i="394"/>
  <c r="J39" i="394"/>
  <c r="J26" i="393"/>
  <c r="J38" i="393"/>
  <c r="J32" i="393"/>
  <c r="J44" i="393"/>
  <c r="J20" i="393"/>
  <c r="J25" i="393"/>
  <c r="J29" i="393"/>
  <c r="J17" i="393"/>
  <c r="J22" i="393"/>
  <c r="J34" i="393"/>
  <c r="J22" i="394"/>
  <c r="J24" i="394"/>
  <c r="J19" i="394"/>
  <c r="J21" i="394"/>
  <c r="J23" i="394"/>
  <c r="J35" i="394"/>
  <c r="J33" i="394"/>
  <c r="J45" i="394"/>
  <c r="H33" i="393"/>
  <c r="H36" i="393"/>
  <c r="H35" i="394"/>
  <c r="H39" i="395"/>
  <c r="H40" i="393"/>
  <c r="H39" i="394"/>
  <c r="H36" i="395"/>
  <c r="H21" i="393"/>
  <c r="H34" i="393"/>
  <c r="H35" i="393"/>
  <c r="H36" i="394"/>
  <c r="H34" i="394"/>
  <c r="H37" i="394"/>
  <c r="H39" i="393"/>
  <c r="H40" i="394"/>
  <c r="H34" i="395"/>
  <c r="H38" i="395"/>
  <c r="G34" i="395"/>
  <c r="H45" i="395"/>
  <c r="L34" i="394"/>
  <c r="L34" i="393"/>
  <c r="M22" i="394"/>
  <c r="T15" i="395"/>
  <c r="I15" i="395" s="1"/>
  <c r="L13" i="393"/>
  <c r="H24" i="394"/>
  <c r="L19" i="394"/>
  <c r="R34" i="396"/>
  <c r="T23" i="395"/>
  <c r="I23" i="395" s="1"/>
  <c r="J35" i="395" s="1"/>
  <c r="G29" i="394"/>
  <c r="G26" i="393"/>
  <c r="H37" i="393"/>
  <c r="L22" i="393"/>
  <c r="M28" i="393"/>
  <c r="N34" i="393"/>
  <c r="O37" i="393" s="1"/>
  <c r="K34" i="395"/>
  <c r="M46" i="395" s="1"/>
  <c r="F32" i="395"/>
  <c r="U34" i="395"/>
  <c r="N34" i="394"/>
  <c r="O37" i="394" s="1"/>
  <c r="C34" i="394"/>
  <c r="E46" i="394" s="1"/>
  <c r="B34" i="394"/>
  <c r="B34" i="393"/>
  <c r="C34" i="393"/>
  <c r="E46" i="393" s="1"/>
  <c r="D19" i="396"/>
  <c r="D34" i="396"/>
  <c r="C34" i="396"/>
  <c r="T27" i="395"/>
  <c r="I27" i="395" s="1"/>
  <c r="J39" i="395" s="1"/>
  <c r="T32" i="395"/>
  <c r="I32" i="395" s="1"/>
  <c r="T12" i="395"/>
  <c r="I12" i="395" s="1"/>
  <c r="T20" i="395"/>
  <c r="I20" i="395" s="1"/>
  <c r="R25" i="396"/>
  <c r="T6" i="395"/>
  <c r="I6" i="395" s="1"/>
  <c r="B19" i="394"/>
  <c r="D25" i="396"/>
  <c r="R16" i="396"/>
  <c r="D31" i="396"/>
  <c r="R19" i="396"/>
  <c r="U10" i="395"/>
  <c r="K7" i="395"/>
  <c r="K10" i="395"/>
  <c r="K13" i="395"/>
  <c r="K16" i="395"/>
  <c r="K19" i="395"/>
  <c r="K22" i="395"/>
  <c r="K25" i="395"/>
  <c r="K31" i="395"/>
  <c r="M43" i="395" s="1"/>
  <c r="B25" i="394"/>
  <c r="C25" i="396"/>
  <c r="R28" i="396"/>
  <c r="C31" i="396"/>
  <c r="R22" i="396"/>
  <c r="C13" i="396"/>
  <c r="C19" i="396"/>
  <c r="R13" i="396"/>
  <c r="R31" i="396"/>
  <c r="R10" i="396"/>
  <c r="C10" i="396"/>
  <c r="C16" i="396"/>
  <c r="G13" i="393"/>
  <c r="G15" i="393"/>
  <c r="T7" i="395"/>
  <c r="I7" i="395" s="1"/>
  <c r="F15" i="395"/>
  <c r="C28" i="396"/>
  <c r="D28" i="396"/>
  <c r="C22" i="396"/>
  <c r="D22" i="396"/>
  <c r="G25" i="394"/>
  <c r="T18" i="395"/>
  <c r="I18" i="395" s="1"/>
  <c r="N19" i="393"/>
  <c r="N28" i="393"/>
  <c r="F19" i="395"/>
  <c r="U28" i="395"/>
  <c r="M40" i="395" s="1"/>
  <c r="F23" i="395"/>
  <c r="T22" i="395"/>
  <c r="I22" i="395" s="1"/>
  <c r="F8" i="395"/>
  <c r="T26" i="395"/>
  <c r="I26" i="395" s="1"/>
  <c r="T30" i="395"/>
  <c r="I30" i="395" s="1"/>
  <c r="G17" i="393"/>
  <c r="K28" i="395"/>
  <c r="F11" i="395"/>
  <c r="T16" i="395"/>
  <c r="I16" i="395" s="1"/>
  <c r="T24" i="395"/>
  <c r="I24" i="395" s="1"/>
  <c r="J36" i="395" s="1"/>
  <c r="F31" i="395"/>
  <c r="H43" i="395" s="1"/>
  <c r="T5" i="395"/>
  <c r="I5" i="395" s="1"/>
  <c r="T9" i="395"/>
  <c r="I9" i="395" s="1"/>
  <c r="T13" i="395"/>
  <c r="I13" i="395" s="1"/>
  <c r="T17" i="395"/>
  <c r="I17" i="395" s="1"/>
  <c r="T25" i="395"/>
  <c r="I25" i="395" s="1"/>
  <c r="J37" i="395" s="1"/>
  <c r="U31" i="395"/>
  <c r="T33" i="395"/>
  <c r="I33" i="395" s="1"/>
  <c r="J45" i="395" s="1"/>
  <c r="G22" i="395"/>
  <c r="U13" i="395"/>
  <c r="U25" i="395"/>
  <c r="M37" i="395" s="1"/>
  <c r="F28" i="395"/>
  <c r="F20" i="395"/>
  <c r="T28" i="395"/>
  <c r="I28" i="395" s="1"/>
  <c r="J40" i="395" s="1"/>
  <c r="T8" i="395"/>
  <c r="I8" i="395" s="1"/>
  <c r="U16" i="395"/>
  <c r="B7" i="394"/>
  <c r="G7" i="394"/>
  <c r="C10" i="394"/>
  <c r="G10" i="394"/>
  <c r="B13" i="394"/>
  <c r="G13" i="394"/>
  <c r="G16" i="394"/>
  <c r="U7" i="395"/>
  <c r="F9" i="395"/>
  <c r="F12" i="395"/>
  <c r="T10" i="395"/>
  <c r="I10" i="395" s="1"/>
  <c r="T14" i="395"/>
  <c r="I14" i="395" s="1"/>
  <c r="H18" i="395"/>
  <c r="U19" i="395"/>
  <c r="F25" i="395"/>
  <c r="T29" i="395"/>
  <c r="I29" i="395" s="1"/>
  <c r="J41" i="395" s="1"/>
  <c r="F10" i="395"/>
  <c r="F13" i="395"/>
  <c r="F14" i="395"/>
  <c r="F17" i="395"/>
  <c r="T21" i="395"/>
  <c r="I21" i="395" s="1"/>
  <c r="U22" i="395"/>
  <c r="F30" i="395"/>
  <c r="H33" i="395"/>
  <c r="F5" i="395"/>
  <c r="G7" i="395"/>
  <c r="G30" i="394"/>
  <c r="G31" i="394"/>
  <c r="N7" i="394"/>
  <c r="N25" i="394"/>
  <c r="B31" i="394"/>
  <c r="H30" i="394"/>
  <c r="N31" i="394"/>
  <c r="C31" i="394"/>
  <c r="E43" i="394" s="1"/>
  <c r="L22" i="394"/>
  <c r="M31" i="394"/>
  <c r="G19" i="394"/>
  <c r="G24" i="394"/>
  <c r="M28" i="394"/>
  <c r="H31" i="394"/>
  <c r="H32" i="394"/>
  <c r="N19" i="394"/>
  <c r="C19" i="394"/>
  <c r="N22" i="394"/>
  <c r="G23" i="394"/>
  <c r="N28" i="394"/>
  <c r="C25" i="394"/>
  <c r="E37" i="394" s="1"/>
  <c r="L28" i="394"/>
  <c r="H33" i="394"/>
  <c r="G18" i="394"/>
  <c r="H29" i="394"/>
  <c r="G14" i="394"/>
  <c r="B16" i="394"/>
  <c r="M19" i="394"/>
  <c r="H25" i="394"/>
  <c r="H26" i="394"/>
  <c r="H28" i="394"/>
  <c r="G6" i="394"/>
  <c r="N10" i="394"/>
  <c r="N13" i="394"/>
  <c r="N16" i="394"/>
  <c r="C16" i="394"/>
  <c r="G17" i="394"/>
  <c r="H21" i="394"/>
  <c r="L13" i="394"/>
  <c r="G15" i="394"/>
  <c r="H17" i="394"/>
  <c r="H19" i="394"/>
  <c r="M25" i="394"/>
  <c r="H27" i="394"/>
  <c r="L16" i="394"/>
  <c r="H20" i="394"/>
  <c r="H22" i="394"/>
  <c r="C7" i="394"/>
  <c r="G8" i="394"/>
  <c r="G12" i="394"/>
  <c r="H18" i="394"/>
  <c r="H23" i="394"/>
  <c r="L25" i="394"/>
  <c r="B10" i="394"/>
  <c r="L10" i="394"/>
  <c r="G11" i="394"/>
  <c r="G20" i="394"/>
  <c r="G21" i="394"/>
  <c r="C22" i="394"/>
  <c r="G22" i="394"/>
  <c r="G26" i="394"/>
  <c r="G27" i="394"/>
  <c r="C28" i="394"/>
  <c r="E40" i="394" s="1"/>
  <c r="G28" i="394"/>
  <c r="G32" i="394"/>
  <c r="G33" i="394"/>
  <c r="G9" i="394"/>
  <c r="C13" i="394"/>
  <c r="B22" i="394"/>
  <c r="B28" i="394"/>
  <c r="L31" i="394"/>
  <c r="C22" i="393"/>
  <c r="G22" i="393"/>
  <c r="C25" i="393"/>
  <c r="E37" i="393" s="1"/>
  <c r="G28" i="393"/>
  <c r="B16" i="393"/>
  <c r="N31" i="393"/>
  <c r="H30" i="393"/>
  <c r="M31" i="393"/>
  <c r="N25" i="393"/>
  <c r="G7" i="393"/>
  <c r="N10" i="393"/>
  <c r="N13" i="393"/>
  <c r="G14" i="393"/>
  <c r="H18" i="393"/>
  <c r="H24" i="393"/>
  <c r="N16" i="393"/>
  <c r="N7" i="393"/>
  <c r="G16" i="393"/>
  <c r="L16" i="393"/>
  <c r="H19" i="393"/>
  <c r="G21" i="393"/>
  <c r="G23" i="393"/>
  <c r="C28" i="393"/>
  <c r="E40" i="393" s="1"/>
  <c r="H27" i="393"/>
  <c r="G29" i="393"/>
  <c r="H31" i="393"/>
  <c r="G6" i="393"/>
  <c r="H20" i="393"/>
  <c r="G10" i="393"/>
  <c r="G11" i="393"/>
  <c r="C16" i="393"/>
  <c r="B19" i="393"/>
  <c r="G18" i="393"/>
  <c r="G19" i="393"/>
  <c r="L28" i="393"/>
  <c r="H26" i="393"/>
  <c r="C7" i="393"/>
  <c r="B7" i="393"/>
  <c r="H28" i="393"/>
  <c r="C19" i="393"/>
  <c r="N22" i="393"/>
  <c r="H22" i="393"/>
  <c r="B25" i="393"/>
  <c r="G24" i="393"/>
  <c r="G25" i="393"/>
  <c r="B31" i="393"/>
  <c r="G30" i="393"/>
  <c r="G31" i="393"/>
  <c r="G33" i="393"/>
  <c r="G32" i="393"/>
  <c r="C31" i="393"/>
  <c r="E43" i="393" s="1"/>
  <c r="H32" i="393"/>
  <c r="C13" i="393"/>
  <c r="M22" i="393"/>
  <c r="G8" i="393"/>
  <c r="G12" i="393"/>
  <c r="H17" i="393"/>
  <c r="L19" i="393"/>
  <c r="B22" i="393"/>
  <c r="H23" i="393"/>
  <c r="H25" i="393"/>
  <c r="L25" i="393"/>
  <c r="B28" i="393"/>
  <c r="H29" i="393"/>
  <c r="L31" i="393"/>
  <c r="B10" i="393"/>
  <c r="L10" i="393"/>
  <c r="M19" i="393"/>
  <c r="G20" i="393"/>
  <c r="M25" i="393"/>
  <c r="G27" i="393"/>
  <c r="G9" i="393"/>
  <c r="C10" i="393"/>
  <c r="B13" i="393"/>
  <c r="F5" i="15"/>
  <c r="T5" i="15"/>
  <c r="I5" i="15" s="1"/>
  <c r="F6" i="15"/>
  <c r="T6" i="15"/>
  <c r="I6" i="15" s="1"/>
  <c r="F7" i="15"/>
  <c r="T7" i="15"/>
  <c r="I7" i="15" s="1"/>
  <c r="F8" i="15"/>
  <c r="T8" i="15"/>
  <c r="I8" i="15" s="1"/>
  <c r="F9" i="15"/>
  <c r="T9" i="15"/>
  <c r="I9" i="15" s="1"/>
  <c r="F10" i="15"/>
  <c r="T10" i="15"/>
  <c r="I10" i="15" s="1"/>
  <c r="F11" i="15"/>
  <c r="T11" i="15"/>
  <c r="I11" i="15" s="1"/>
  <c r="F12" i="15"/>
  <c r="T12" i="15"/>
  <c r="I12" i="15" s="1"/>
  <c r="F13" i="15"/>
  <c r="T13" i="15"/>
  <c r="I13" i="15" s="1"/>
  <c r="F14" i="15"/>
  <c r="H26" i="15" s="1"/>
  <c r="T14" i="15"/>
  <c r="I14" i="15" s="1"/>
  <c r="F15" i="15"/>
  <c r="T15" i="15"/>
  <c r="I15" i="15" s="1"/>
  <c r="F16" i="15"/>
  <c r="T16" i="15"/>
  <c r="I16" i="15" s="1"/>
  <c r="F17" i="15"/>
  <c r="T17" i="15"/>
  <c r="I17" i="15" s="1"/>
  <c r="F18" i="15"/>
  <c r="T18" i="15"/>
  <c r="I18" i="15" s="1"/>
  <c r="F19" i="15"/>
  <c r="T19" i="15"/>
  <c r="I19" i="15" s="1"/>
  <c r="F20" i="15"/>
  <c r="T20" i="15"/>
  <c r="I20" i="15" s="1"/>
  <c r="F21" i="15"/>
  <c r="T21" i="15"/>
  <c r="I21" i="15" s="1"/>
  <c r="F22" i="15"/>
  <c r="T22" i="15"/>
  <c r="I22" i="15" s="1"/>
  <c r="F23" i="15"/>
  <c r="T23" i="15"/>
  <c r="I23" i="15" s="1"/>
  <c r="F24" i="15"/>
  <c r="T24" i="15"/>
  <c r="I24" i="15" s="1"/>
  <c r="F25" i="15"/>
  <c r="T25" i="15"/>
  <c r="I25" i="15" s="1"/>
  <c r="T26" i="15"/>
  <c r="I26" i="15" s="1"/>
  <c r="F27" i="15"/>
  <c r="T27" i="15"/>
  <c r="I27" i="15" s="1"/>
  <c r="F28" i="15"/>
  <c r="T28" i="15"/>
  <c r="I28" i="15" s="1"/>
  <c r="F29" i="15"/>
  <c r="H41" i="15" s="1"/>
  <c r="T29" i="15"/>
  <c r="I29" i="15" s="1"/>
  <c r="F30" i="15"/>
  <c r="H42" i="15" s="1"/>
  <c r="T30" i="15"/>
  <c r="I30" i="15" s="1"/>
  <c r="F31" i="15"/>
  <c r="H43" i="15" s="1"/>
  <c r="T31" i="15"/>
  <c r="I31" i="15" s="1"/>
  <c r="F32" i="15"/>
  <c r="T32" i="15"/>
  <c r="I32" i="15" s="1"/>
  <c r="T33" i="15"/>
  <c r="I33" i="15" s="1"/>
  <c r="J19" i="15" l="1"/>
  <c r="J21" i="15"/>
  <c r="J18" i="15"/>
  <c r="J17" i="15"/>
  <c r="J18" i="395"/>
  <c r="J20" i="15"/>
  <c r="J20" i="395"/>
  <c r="J19" i="395"/>
  <c r="J28" i="395"/>
  <c r="J31" i="395"/>
  <c r="J33" i="395"/>
  <c r="J25" i="395"/>
  <c r="J21" i="395"/>
  <c r="J24" i="15"/>
  <c r="J36" i="15"/>
  <c r="J29" i="395"/>
  <c r="J17" i="395"/>
  <c r="J32" i="15"/>
  <c r="J44" i="15"/>
  <c r="J23" i="15"/>
  <c r="J35" i="15"/>
  <c r="J26" i="395"/>
  <c r="J38" i="395"/>
  <c r="J32" i="395"/>
  <c r="J44" i="395"/>
  <c r="J27" i="395"/>
  <c r="J23" i="395"/>
  <c r="J27" i="15"/>
  <c r="J39" i="15"/>
  <c r="J33" i="15"/>
  <c r="J45" i="15"/>
  <c r="J22" i="395"/>
  <c r="J34" i="395"/>
  <c r="J26" i="15"/>
  <c r="J38" i="15"/>
  <c r="J30" i="15"/>
  <c r="J42" i="15"/>
  <c r="J29" i="15"/>
  <c r="J41" i="15"/>
  <c r="J31" i="15"/>
  <c r="J43" i="15"/>
  <c r="J28" i="15"/>
  <c r="J40" i="15"/>
  <c r="J25" i="15"/>
  <c r="J37" i="15"/>
  <c r="J22" i="15"/>
  <c r="J34" i="15"/>
  <c r="J30" i="395"/>
  <c r="J42" i="395"/>
  <c r="J24" i="395"/>
  <c r="L37" i="395"/>
  <c r="H35" i="15"/>
  <c r="G16" i="395"/>
  <c r="H37" i="15"/>
  <c r="H40" i="15"/>
  <c r="H36" i="15"/>
  <c r="H34" i="15"/>
  <c r="H20" i="15"/>
  <c r="H39" i="15"/>
  <c r="H33" i="15"/>
  <c r="C7" i="395"/>
  <c r="H22" i="395"/>
  <c r="H21" i="395"/>
  <c r="C22" i="395"/>
  <c r="G8" i="395"/>
  <c r="H19" i="395"/>
  <c r="D37" i="394"/>
  <c r="D37" i="393"/>
  <c r="C34" i="395"/>
  <c r="E46" i="395" s="1"/>
  <c r="H44" i="395"/>
  <c r="H32" i="15"/>
  <c r="H44" i="15"/>
  <c r="H30" i="395"/>
  <c r="H42" i="395"/>
  <c r="G29" i="395"/>
  <c r="H40" i="395"/>
  <c r="H28" i="15"/>
  <c r="D28" i="393"/>
  <c r="G12" i="395"/>
  <c r="O28" i="394"/>
  <c r="G25" i="395"/>
  <c r="H37" i="395"/>
  <c r="H18" i="15"/>
  <c r="H24" i="15"/>
  <c r="H30" i="15"/>
  <c r="G24" i="395"/>
  <c r="H35" i="395"/>
  <c r="G19" i="395"/>
  <c r="O16" i="393"/>
  <c r="H23" i="395"/>
  <c r="N34" i="395"/>
  <c r="O37" i="395" s="1"/>
  <c r="G32" i="395"/>
  <c r="N34" i="15"/>
  <c r="O37" i="15" s="1"/>
  <c r="B34" i="395"/>
  <c r="O34" i="393"/>
  <c r="M34" i="395"/>
  <c r="L34" i="395"/>
  <c r="O34" i="394"/>
  <c r="E34" i="394"/>
  <c r="D34" i="394"/>
  <c r="E34" i="393"/>
  <c r="D34" i="393"/>
  <c r="C34" i="15"/>
  <c r="E46" i="15" s="1"/>
  <c r="B34" i="15"/>
  <c r="H22" i="15"/>
  <c r="N13" i="395"/>
  <c r="N7" i="395"/>
  <c r="L10" i="395"/>
  <c r="M22" i="395"/>
  <c r="L13" i="395"/>
  <c r="O22" i="393"/>
  <c r="L28" i="395"/>
  <c r="G11" i="15"/>
  <c r="O31" i="393"/>
  <c r="D13" i="394"/>
  <c r="D10" i="394"/>
  <c r="G6" i="395"/>
  <c r="B19" i="395"/>
  <c r="N31" i="395"/>
  <c r="G8" i="15"/>
  <c r="G6" i="15"/>
  <c r="O19" i="393"/>
  <c r="B16" i="395"/>
  <c r="L16" i="395"/>
  <c r="H27" i="395"/>
  <c r="M28" i="395"/>
  <c r="N19" i="395"/>
  <c r="O28" i="393"/>
  <c r="G33" i="395"/>
  <c r="H23" i="15"/>
  <c r="H21" i="15"/>
  <c r="H19" i="15"/>
  <c r="G15" i="15"/>
  <c r="G14" i="15"/>
  <c r="G23" i="395"/>
  <c r="O16" i="394"/>
  <c r="N16" i="395"/>
  <c r="H31" i="395"/>
  <c r="H20" i="395"/>
  <c r="N22" i="395"/>
  <c r="E31" i="393"/>
  <c r="L31" i="395"/>
  <c r="D22" i="393"/>
  <c r="D25" i="393"/>
  <c r="H32" i="395"/>
  <c r="B28" i="395"/>
  <c r="N28" i="395"/>
  <c r="D10" i="393"/>
  <c r="M25" i="395"/>
  <c r="G15" i="395"/>
  <c r="H24" i="395"/>
  <c r="N25" i="395"/>
  <c r="N10" i="395"/>
  <c r="C31" i="395"/>
  <c r="E43" i="395" s="1"/>
  <c r="M31" i="395"/>
  <c r="G31" i="395"/>
  <c r="D31" i="394"/>
  <c r="G26" i="395"/>
  <c r="C25" i="395"/>
  <c r="E37" i="395" s="1"/>
  <c r="C16" i="395"/>
  <c r="G28" i="395"/>
  <c r="H28" i="395"/>
  <c r="B22" i="395"/>
  <c r="G21" i="395"/>
  <c r="H26" i="395"/>
  <c r="G20" i="395"/>
  <c r="G27" i="395"/>
  <c r="C28" i="395"/>
  <c r="E40" i="395" s="1"/>
  <c r="B25" i="395"/>
  <c r="G9" i="395"/>
  <c r="C13" i="395"/>
  <c r="M19" i="395"/>
  <c r="G14" i="395"/>
  <c r="L25" i="395"/>
  <c r="L19" i="395"/>
  <c r="H25" i="395"/>
  <c r="G13" i="395"/>
  <c r="B13" i="395"/>
  <c r="G10" i="395"/>
  <c r="B10" i="395"/>
  <c r="H29" i="395"/>
  <c r="G30" i="395"/>
  <c r="C19" i="395"/>
  <c r="G17" i="395"/>
  <c r="C10" i="395"/>
  <c r="G11" i="395"/>
  <c r="H17" i="395"/>
  <c r="B31" i="395"/>
  <c r="G18" i="395"/>
  <c r="L22" i="395"/>
  <c r="B7" i="395"/>
  <c r="G17" i="15"/>
  <c r="O10" i="394"/>
  <c r="H31" i="15"/>
  <c r="H29" i="15"/>
  <c r="H27" i="15"/>
  <c r="H25" i="15"/>
  <c r="G23" i="15"/>
  <c r="E31" i="394"/>
  <c r="O13" i="394"/>
  <c r="O25" i="394"/>
  <c r="O31" i="394"/>
  <c r="O19" i="394"/>
  <c r="O22" i="394"/>
  <c r="D19" i="394"/>
  <c r="E19" i="394"/>
  <c r="E25" i="394"/>
  <c r="D16" i="394"/>
  <c r="D28" i="394"/>
  <c r="E28" i="394"/>
  <c r="D22" i="394"/>
  <c r="E22" i="394"/>
  <c r="D25" i="394"/>
  <c r="G29" i="15"/>
  <c r="G12" i="15"/>
  <c r="O10" i="393"/>
  <c r="G26" i="15"/>
  <c r="G9" i="15"/>
  <c r="G32" i="15"/>
  <c r="G20" i="15"/>
  <c r="O13" i="393"/>
  <c r="E19" i="393"/>
  <c r="D19" i="393"/>
  <c r="O25" i="393"/>
  <c r="E28" i="393"/>
  <c r="E22" i="393"/>
  <c r="D31" i="393"/>
  <c r="G31" i="15"/>
  <c r="G30" i="15"/>
  <c r="C28" i="15"/>
  <c r="E40" i="15" s="1"/>
  <c r="G25" i="15"/>
  <c r="G24" i="15"/>
  <c r="C22" i="15"/>
  <c r="G19" i="15"/>
  <c r="G18" i="15"/>
  <c r="H17" i="15"/>
  <c r="B16" i="15"/>
  <c r="B13" i="15"/>
  <c r="B10" i="15"/>
  <c r="D13" i="393"/>
  <c r="B7" i="15"/>
  <c r="G33" i="15"/>
  <c r="C31" i="15"/>
  <c r="E43" i="15" s="1"/>
  <c r="G28" i="15"/>
  <c r="G27" i="15"/>
  <c r="C25" i="15"/>
  <c r="E37" i="15" s="1"/>
  <c r="G22" i="15"/>
  <c r="G21" i="15"/>
  <c r="C19" i="15"/>
  <c r="G16" i="15"/>
  <c r="G13" i="15"/>
  <c r="G10" i="15"/>
  <c r="G7" i="15"/>
  <c r="E25" i="393"/>
  <c r="D16" i="393"/>
  <c r="B31" i="15"/>
  <c r="B28" i="15"/>
  <c r="B25" i="15"/>
  <c r="B22" i="15"/>
  <c r="B19" i="15"/>
  <c r="C7" i="15"/>
  <c r="C16" i="15"/>
  <c r="C13" i="15"/>
  <c r="C10" i="15"/>
  <c r="U6" i="283"/>
  <c r="U7" i="283"/>
  <c r="U8" i="283"/>
  <c r="U9" i="283"/>
  <c r="U10" i="283"/>
  <c r="U11" i="283"/>
  <c r="U12" i="283"/>
  <c r="U13" i="283"/>
  <c r="K13" i="283"/>
  <c r="U14" i="283"/>
  <c r="K14" i="283"/>
  <c r="U15" i="283"/>
  <c r="K15" i="283"/>
  <c r="U16" i="283"/>
  <c r="K16" i="283"/>
  <c r="U22" i="283"/>
  <c r="M34" i="283" s="1"/>
  <c r="K22" i="283"/>
  <c r="U25" i="283"/>
  <c r="M37" i="283" s="1"/>
  <c r="K25" i="283"/>
  <c r="U28" i="283"/>
  <c r="M40" i="283" s="1"/>
  <c r="K28" i="283"/>
  <c r="U31" i="283"/>
  <c r="K31" i="283"/>
  <c r="M43" i="283" s="1"/>
  <c r="K31" i="319"/>
  <c r="M43" i="319" s="1"/>
  <c r="K31" i="320"/>
  <c r="M43" i="320" s="1"/>
  <c r="N31" i="343"/>
  <c r="K28" i="319"/>
  <c r="K28" i="320"/>
  <c r="N28" i="343"/>
  <c r="K25" i="319"/>
  <c r="K25" i="320"/>
  <c r="N25" i="343"/>
  <c r="K22" i="319"/>
  <c r="K22" i="320"/>
  <c r="N22" i="343"/>
  <c r="K19" i="319"/>
  <c r="K19" i="320"/>
  <c r="N19" i="343"/>
  <c r="K16" i="319"/>
  <c r="K16" i="320"/>
  <c r="N16" i="343"/>
  <c r="K13" i="319"/>
  <c r="K13" i="320"/>
  <c r="N13" i="343"/>
  <c r="K10" i="319"/>
  <c r="K10" i="320"/>
  <c r="N10" i="343"/>
  <c r="T33" i="389"/>
  <c r="I33" i="389" s="1"/>
  <c r="F33" i="149"/>
  <c r="T33" i="88"/>
  <c r="I33" i="88" s="1"/>
  <c r="T33" i="148"/>
  <c r="I33" i="148" s="1"/>
  <c r="J45" i="148" s="1"/>
  <c r="T33" i="303"/>
  <c r="I33" i="303" s="1"/>
  <c r="J45" i="303" s="1"/>
  <c r="T33" i="387"/>
  <c r="I33" i="387" s="1"/>
  <c r="T33" i="314"/>
  <c r="I33" i="314" s="1"/>
  <c r="T33" i="364"/>
  <c r="I33" i="364" s="1"/>
  <c r="T33" i="368"/>
  <c r="I33" i="368" s="1"/>
  <c r="T33" i="113"/>
  <c r="I33" i="113" s="1"/>
  <c r="T33" i="351"/>
  <c r="I33" i="351" s="1"/>
  <c r="T33" i="352"/>
  <c r="I33" i="352" s="1"/>
  <c r="T33" i="322"/>
  <c r="I33" i="322" s="1"/>
  <c r="T33" i="353"/>
  <c r="I33" i="353" s="1"/>
  <c r="J45" i="353" s="1"/>
  <c r="T33" i="362"/>
  <c r="I33" i="362" s="1"/>
  <c r="T33" i="354"/>
  <c r="I33" i="354" s="1"/>
  <c r="J45" i="354" s="1"/>
  <c r="U33" i="391"/>
  <c r="T33" i="391"/>
  <c r="I33" i="391" s="1"/>
  <c r="T33" i="392"/>
  <c r="I33" i="392" s="1"/>
  <c r="J45" i="392" s="1"/>
  <c r="T33" i="202"/>
  <c r="I33" i="202" s="1"/>
  <c r="T33" i="385"/>
  <c r="I33" i="385" s="1"/>
  <c r="T33" i="349"/>
  <c r="I33" i="349" s="1"/>
  <c r="T33" i="4"/>
  <c r="I33" i="4" s="1"/>
  <c r="S33" i="300"/>
  <c r="R33" i="300"/>
  <c r="Q33" i="300"/>
  <c r="F33" i="300" s="1"/>
  <c r="T33" i="299"/>
  <c r="I33" i="299" s="1"/>
  <c r="T33" i="190"/>
  <c r="I33" i="190" s="1"/>
  <c r="T33" i="5"/>
  <c r="I33" i="5" s="1"/>
  <c r="J45" i="5" s="1"/>
  <c r="T33" i="207"/>
  <c r="I33" i="207" s="1"/>
  <c r="T33" i="9"/>
  <c r="I33" i="9" s="1"/>
  <c r="F33" i="371"/>
  <c r="T33" i="16"/>
  <c r="I33" i="16" s="1"/>
  <c r="T33" i="12"/>
  <c r="I33" i="12" s="1"/>
  <c r="J45" i="12" s="1"/>
  <c r="T33" i="356"/>
  <c r="I33" i="356" s="1"/>
  <c r="T33" i="355"/>
  <c r="I33" i="355" s="1"/>
  <c r="T33" i="17"/>
  <c r="I33" i="17" s="1"/>
  <c r="J45" i="17" s="1"/>
  <c r="F33" i="152"/>
  <c r="T33" i="13"/>
  <c r="I33" i="13" s="1"/>
  <c r="T33" i="261"/>
  <c r="I33" i="261" s="1"/>
  <c r="J45" i="261" s="1"/>
  <c r="T33" i="153"/>
  <c r="I33" i="153" s="1"/>
  <c r="T33" i="257"/>
  <c r="I33" i="257" s="1"/>
  <c r="J45" i="257" s="1"/>
  <c r="T33" i="8"/>
  <c r="I33" i="8" s="1"/>
  <c r="T33" i="3"/>
  <c r="I33" i="3" s="1"/>
  <c r="T33" i="19"/>
  <c r="I33" i="19" s="1"/>
  <c r="T33" i="347"/>
  <c r="I33" i="347" s="1"/>
  <c r="T33" i="384"/>
  <c r="I33" i="384" s="1"/>
  <c r="T33" i="48"/>
  <c r="I33" i="48" s="1"/>
  <c r="T33" i="7"/>
  <c r="I33" i="7" s="1"/>
  <c r="J45" i="7" s="1"/>
  <c r="T33" i="23"/>
  <c r="I33" i="23" s="1"/>
  <c r="T33" i="37"/>
  <c r="I33" i="37" s="1"/>
  <c r="T33" i="21"/>
  <c r="I33" i="21" s="1"/>
  <c r="L33" i="369"/>
  <c r="T33" i="367"/>
  <c r="I33" i="367" s="1"/>
  <c r="T33" i="31"/>
  <c r="I33" i="31" s="1"/>
  <c r="T33" i="204"/>
  <c r="I33" i="204" s="1"/>
  <c r="T33" i="363"/>
  <c r="I33" i="363" s="1"/>
  <c r="S33" i="170"/>
  <c r="R33" i="170"/>
  <c r="Q33" i="170"/>
  <c r="F33" i="170" s="1"/>
  <c r="T33" i="168"/>
  <c r="I33" i="168" s="1"/>
  <c r="T33" i="169"/>
  <c r="I33" i="169" s="1"/>
  <c r="T33" i="336"/>
  <c r="I33" i="336" s="1"/>
  <c r="S33" i="253"/>
  <c r="R33" i="253"/>
  <c r="Q33" i="253"/>
  <c r="F33" i="253" s="1"/>
  <c r="T33" i="28"/>
  <c r="I33" i="28" s="1"/>
  <c r="J45" i="28" s="1"/>
  <c r="T33" i="29"/>
  <c r="I33" i="29" s="1"/>
  <c r="T33" i="359"/>
  <c r="I33" i="359" s="1"/>
  <c r="J45" i="359" s="1"/>
  <c r="T33" i="360"/>
  <c r="I33" i="360" s="1"/>
  <c r="T33" i="342"/>
  <c r="I33" i="342" s="1"/>
  <c r="T33" i="334"/>
  <c r="I33" i="334" s="1"/>
  <c r="T33" i="33"/>
  <c r="I33" i="33" s="1"/>
  <c r="F33" i="321"/>
  <c r="T33" i="319"/>
  <c r="I33" i="319" s="1"/>
  <c r="T33" i="320"/>
  <c r="I33" i="320" s="1"/>
  <c r="L33" i="343"/>
  <c r="T33" i="318"/>
  <c r="I33" i="318" s="1"/>
  <c r="T33" i="288"/>
  <c r="I33" i="288" s="1"/>
  <c r="T33" i="337"/>
  <c r="I33" i="337" s="1"/>
  <c r="T33" i="227"/>
  <c r="I33" i="227" s="1"/>
  <c r="T33" i="43"/>
  <c r="I33" i="43" s="1"/>
  <c r="J45" i="43" s="1"/>
  <c r="S33" i="388"/>
  <c r="R33" i="388"/>
  <c r="Q33" i="388"/>
  <c r="F33" i="388" s="1"/>
  <c r="T33" i="290"/>
  <c r="I33" i="290" s="1"/>
  <c r="T33" i="289"/>
  <c r="I33" i="289" s="1"/>
  <c r="T33" i="298"/>
  <c r="I33" i="298" s="1"/>
  <c r="J45" i="298" s="1"/>
  <c r="S33" i="357"/>
  <c r="I33" i="357" s="1"/>
  <c r="T33" i="293"/>
  <c r="I33" i="293" s="1"/>
  <c r="T33" i="348"/>
  <c r="I33" i="348" s="1"/>
  <c r="F33" i="195"/>
  <c r="T33" i="194"/>
  <c r="I33" i="194" s="1"/>
  <c r="T33" i="193"/>
  <c r="I33" i="193" s="1"/>
  <c r="J45" i="193" s="1"/>
  <c r="T33" i="297"/>
  <c r="I33" i="297" s="1"/>
  <c r="T33" i="350"/>
  <c r="I33" i="350" s="1"/>
  <c r="S33" i="142"/>
  <c r="R33" i="142"/>
  <c r="Q33" i="142"/>
  <c r="F33" i="142" s="1"/>
  <c r="T33" i="18"/>
  <c r="I33" i="18" s="1"/>
  <c r="T33" i="20"/>
  <c r="I33" i="20" s="1"/>
  <c r="J45" i="20" s="1"/>
  <c r="T33" i="114"/>
  <c r="I33" i="114" s="1"/>
  <c r="T33" i="1"/>
  <c r="I33" i="1" s="1"/>
  <c r="J45" i="1" s="1"/>
  <c r="T33" i="323"/>
  <c r="I33" i="323" s="1"/>
  <c r="J45" i="323" s="1"/>
  <c r="T33" i="233"/>
  <c r="I33" i="233" s="1"/>
  <c r="T33" i="191"/>
  <c r="I33" i="191" s="1"/>
  <c r="T33" i="105"/>
  <c r="I33" i="105" s="1"/>
  <c r="T33" i="294"/>
  <c r="I33" i="294" s="1"/>
  <c r="S33" i="365"/>
  <c r="I33" i="365" s="1"/>
  <c r="S33" i="366"/>
  <c r="I33" i="366" s="1"/>
  <c r="T33" i="206"/>
  <c r="I33" i="206" s="1"/>
  <c r="T33" i="301"/>
  <c r="I33" i="301" s="1"/>
  <c r="T33" i="344"/>
  <c r="I33" i="344" s="1"/>
  <c r="J45" i="344" s="1"/>
  <c r="T33" i="61"/>
  <c r="I33" i="61" s="1"/>
  <c r="J45" i="61" s="1"/>
  <c r="T33" i="338"/>
  <c r="I33" i="338" s="1"/>
  <c r="T33" i="340"/>
  <c r="I33" i="340" s="1"/>
  <c r="T33" i="34"/>
  <c r="I33" i="34" s="1"/>
  <c r="J45" i="34" s="1"/>
  <c r="T33" i="174"/>
  <c r="I33" i="174" s="1"/>
  <c r="J45" i="174" s="1"/>
  <c r="I33" i="187"/>
  <c r="T33" i="135"/>
  <c r="I33" i="135" s="1"/>
  <c r="T33" i="333"/>
  <c r="I33" i="333" s="1"/>
  <c r="T33" i="295"/>
  <c r="I33" i="295" s="1"/>
  <c r="J45" i="295" s="1"/>
  <c r="T33" i="283"/>
  <c r="I33" i="283" s="1"/>
  <c r="T33" i="284"/>
  <c r="I33" i="284" s="1"/>
  <c r="T33" i="292"/>
  <c r="I33" i="292" s="1"/>
  <c r="T33" i="269"/>
  <c r="I33" i="269" s="1"/>
  <c r="J45" i="269" s="1"/>
  <c r="T33" i="325"/>
  <c r="I33" i="325" s="1"/>
  <c r="T33" i="11"/>
  <c r="I33" i="11" s="1"/>
  <c r="S33" i="279"/>
  <c r="I33" i="279" s="1"/>
  <c r="S33" i="335"/>
  <c r="I33" i="335" s="1"/>
  <c r="T33" i="54"/>
  <c r="I33" i="54" s="1"/>
  <c r="T33" i="101"/>
  <c r="I33" i="101" s="1"/>
  <c r="J45" i="101" s="1"/>
  <c r="T33" i="382"/>
  <c r="I33" i="382" s="1"/>
  <c r="T33" i="102"/>
  <c r="I33" i="102" s="1"/>
  <c r="J45" i="102" s="1"/>
  <c r="T33" i="103"/>
  <c r="I33" i="103" s="1"/>
  <c r="T33" i="265"/>
  <c r="I33" i="265" s="1"/>
  <c r="I33" i="296"/>
  <c r="J45" i="296" s="1"/>
  <c r="T33" i="75"/>
  <c r="I33" i="75" s="1"/>
  <c r="T33" i="262"/>
  <c r="I33" i="262" s="1"/>
  <c r="J45" i="262" s="1"/>
  <c r="T33" i="249"/>
  <c r="I33" i="249" s="1"/>
  <c r="T33" i="201"/>
  <c r="I33" i="201" s="1"/>
  <c r="T33" i="112"/>
  <c r="I33" i="112" s="1"/>
  <c r="T33" i="109"/>
  <c r="I33" i="109" s="1"/>
  <c r="T33" i="2"/>
  <c r="I33" i="2" s="1"/>
  <c r="T33" i="85"/>
  <c r="I33" i="85" s="1"/>
  <c r="T33" i="324"/>
  <c r="I33" i="324" s="1"/>
  <c r="T33" i="32"/>
  <c r="I33" i="32" s="1"/>
  <c r="T33" i="203"/>
  <c r="I33" i="203" s="1"/>
  <c r="T33" i="164"/>
  <c r="I33" i="164" s="1"/>
  <c r="T33" i="162"/>
  <c r="I33" i="162" s="1"/>
  <c r="T33" i="196"/>
  <c r="I33" i="196" s="1"/>
  <c r="J45" i="196" s="1"/>
  <c r="T33" i="197"/>
  <c r="I33" i="197" s="1"/>
  <c r="T33" i="198"/>
  <c r="I33" i="198" s="1"/>
  <c r="J45" i="198" s="1"/>
  <c r="T33" i="345"/>
  <c r="I33" i="345" s="1"/>
  <c r="T33" i="346"/>
  <c r="I33" i="346" s="1"/>
  <c r="T33" i="74"/>
  <c r="I33" i="74" s="1"/>
  <c r="T33" i="200"/>
  <c r="I33" i="200" s="1"/>
  <c r="T33" i="280"/>
  <c r="I33" i="280" s="1"/>
  <c r="T33" i="97"/>
  <c r="I33" i="97" s="1"/>
  <c r="T33" i="383"/>
  <c r="I33" i="383" s="1"/>
  <c r="J45" i="383" s="1"/>
  <c r="T33" i="45"/>
  <c r="I33" i="45" s="1"/>
  <c r="T33" i="104"/>
  <c r="I33" i="104" s="1"/>
  <c r="T33" i="254"/>
  <c r="I33" i="254" s="1"/>
  <c r="F33" i="185"/>
  <c r="T33" i="181"/>
  <c r="I33" i="181" s="1"/>
  <c r="T33" i="183"/>
  <c r="I33" i="183" s="1"/>
  <c r="T33" i="184"/>
  <c r="I33" i="184" s="1"/>
  <c r="S33" i="144"/>
  <c r="R33" i="144"/>
  <c r="Q33" i="144"/>
  <c r="F33" i="144" s="1"/>
  <c r="T33" i="27"/>
  <c r="I33" i="27" s="1"/>
  <c r="J45" i="27" s="1"/>
  <c r="T33" i="143"/>
  <c r="I33" i="143" s="1"/>
  <c r="T33" i="268"/>
  <c r="I33" i="268" s="1"/>
  <c r="T33" i="263"/>
  <c r="I33" i="263" s="1"/>
  <c r="T33" i="209"/>
  <c r="I33" i="209" s="1"/>
  <c r="T33" i="192"/>
  <c r="I33" i="192" s="1"/>
  <c r="T33" i="140"/>
  <c r="I33" i="140" s="1"/>
  <c r="T33" i="270"/>
  <c r="I33" i="270" s="1"/>
  <c r="T33" i="271"/>
  <c r="I33" i="271" s="1"/>
  <c r="S33" i="186"/>
  <c r="R33" i="186"/>
  <c r="Q33" i="186"/>
  <c r="F33" i="186" s="1"/>
  <c r="T33" i="159"/>
  <c r="I33" i="159" s="1"/>
  <c r="T33" i="160"/>
  <c r="I33" i="160" s="1"/>
  <c r="T33" i="107"/>
  <c r="I33" i="107" s="1"/>
  <c r="J45" i="107" s="1"/>
  <c r="T33" i="176"/>
  <c r="I33" i="176" s="1"/>
  <c r="T33" i="53"/>
  <c r="I33" i="53" s="1"/>
  <c r="J45" i="53" s="1"/>
  <c r="T33" i="52"/>
  <c r="I33" i="52" s="1"/>
  <c r="J45" i="52" s="1"/>
  <c r="T33" i="281"/>
  <c r="I33" i="281" s="1"/>
  <c r="T33" i="332"/>
  <c r="I33" i="332" s="1"/>
  <c r="T33" i="25"/>
  <c r="I33" i="25" s="1"/>
  <c r="T33" i="24"/>
  <c r="I33" i="24" s="1"/>
  <c r="J45" i="24" s="1"/>
  <c r="T33" i="116"/>
  <c r="I33" i="116" s="1"/>
  <c r="T33" i="272"/>
  <c r="I33" i="272" s="1"/>
  <c r="T33" i="285"/>
  <c r="I33" i="285" s="1"/>
  <c r="J45" i="285" s="1"/>
  <c r="S33" i="44"/>
  <c r="I33" i="44" s="1"/>
  <c r="T33" i="287"/>
  <c r="I33" i="287" s="1"/>
  <c r="T33" i="276"/>
  <c r="I33" i="276" s="1"/>
  <c r="J45" i="276" s="1"/>
  <c r="S33" i="231"/>
  <c r="R33" i="231"/>
  <c r="Q33" i="231"/>
  <c r="F33" i="231" s="1"/>
  <c r="T33" i="229"/>
  <c r="I33" i="229" s="1"/>
  <c r="T33" i="230"/>
  <c r="I33" i="230" s="1"/>
  <c r="F33" i="327"/>
  <c r="T33" i="328"/>
  <c r="I33" i="328" s="1"/>
  <c r="T33" i="329"/>
  <c r="I33" i="329" s="1"/>
  <c r="T33" i="326"/>
  <c r="I33" i="326" s="1"/>
  <c r="T33" i="47"/>
  <c r="I33" i="47" s="1"/>
  <c r="T33" i="248"/>
  <c r="I33" i="248" s="1"/>
  <c r="T33" i="46"/>
  <c r="I33" i="46" s="1"/>
  <c r="T33" i="239"/>
  <c r="I33" i="239" s="1"/>
  <c r="T33" i="243"/>
  <c r="I33" i="243" s="1"/>
  <c r="S33" i="247"/>
  <c r="R33" i="247"/>
  <c r="Q33" i="247"/>
  <c r="F33" i="247" s="1"/>
  <c r="T33" i="244"/>
  <c r="I33" i="244" s="1"/>
  <c r="T33" i="246"/>
  <c r="I33" i="246" s="1"/>
  <c r="T33" i="89"/>
  <c r="I33" i="89" s="1"/>
  <c r="L10" i="283" l="1"/>
  <c r="J45" i="246"/>
  <c r="J45" i="116"/>
  <c r="J45" i="209"/>
  <c r="J45" i="200"/>
  <c r="J45" i="382"/>
  <c r="J45" i="33"/>
  <c r="J45" i="168"/>
  <c r="J45" i="9"/>
  <c r="J45" i="389"/>
  <c r="J45" i="230"/>
  <c r="J45" i="25"/>
  <c r="J45" i="268"/>
  <c r="J45" i="346"/>
  <c r="J45" i="109"/>
  <c r="J45" i="89"/>
  <c r="J45" i="243"/>
  <c r="J45" i="329"/>
  <c r="J45" i="272"/>
  <c r="J45" i="192"/>
  <c r="J45" i="280"/>
  <c r="J45" i="197"/>
  <c r="J45" i="324"/>
  <c r="J45" i="249"/>
  <c r="J45" i="11"/>
  <c r="J45" i="340"/>
  <c r="J45" i="290"/>
  <c r="J45" i="337"/>
  <c r="J45" i="29"/>
  <c r="J45" i="169"/>
  <c r="J45" i="204"/>
  <c r="J45" i="23"/>
  <c r="J45" i="3"/>
  <c r="J45" i="202"/>
  <c r="J45" i="364"/>
  <c r="J45" i="328"/>
  <c r="J45" i="333"/>
  <c r="J45" i="31"/>
  <c r="J45" i="244"/>
  <c r="J45" i="46"/>
  <c r="J45" i="176"/>
  <c r="J45" i="263"/>
  <c r="J45" i="104"/>
  <c r="J45" i="74"/>
  <c r="J45" i="162"/>
  <c r="J45" i="2"/>
  <c r="J45" i="75"/>
  <c r="J45" i="135"/>
  <c r="J45" i="294"/>
  <c r="J45" i="114"/>
  <c r="J45" i="350"/>
  <c r="J45" i="293"/>
  <c r="J45" i="318"/>
  <c r="J45" i="334"/>
  <c r="J45" i="367"/>
  <c r="J45" i="48"/>
  <c r="J45" i="355"/>
  <c r="J45" i="207"/>
  <c r="J45" i="391"/>
  <c r="J45" i="352"/>
  <c r="J45" i="387"/>
  <c r="J45" i="239"/>
  <c r="J45" i="338"/>
  <c r="J45" i="348"/>
  <c r="J45" i="322"/>
  <c r="J45" i="287"/>
  <c r="J45" i="271"/>
  <c r="J45" i="45"/>
  <c r="J45" i="292"/>
  <c r="J45" i="105"/>
  <c r="J45" i="297"/>
  <c r="J45" i="153"/>
  <c r="J45" i="351"/>
  <c r="J45" i="47"/>
  <c r="J45" i="160"/>
  <c r="J45" i="203"/>
  <c r="J45" i="265"/>
  <c r="J45" i="301"/>
  <c r="J45" i="191"/>
  <c r="J45" i="18"/>
  <c r="J45" i="320"/>
  <c r="J45" i="360"/>
  <c r="J45" i="21"/>
  <c r="J45" i="347"/>
  <c r="J45" i="190"/>
  <c r="J45" i="349"/>
  <c r="J45" i="113"/>
  <c r="J45" i="254"/>
  <c r="J45" i="85"/>
  <c r="J45" i="325"/>
  <c r="J45" i="288"/>
  <c r="J45" i="8"/>
  <c r="J33" i="8"/>
  <c r="J45" i="314"/>
  <c r="J45" i="248"/>
  <c r="J45" i="184"/>
  <c r="J45" i="164"/>
  <c r="J45" i="54"/>
  <c r="J45" i="187"/>
  <c r="J45" i="342"/>
  <c r="J45" i="384"/>
  <c r="J45" i="356"/>
  <c r="J45" i="4"/>
  <c r="J45" i="229"/>
  <c r="J45" i="332"/>
  <c r="J45" i="270"/>
  <c r="J45" i="143"/>
  <c r="J45" i="183"/>
  <c r="J45" i="345"/>
  <c r="J45" i="112"/>
  <c r="J45" i="284"/>
  <c r="J45" i="326"/>
  <c r="J45" i="281"/>
  <c r="J45" i="159"/>
  <c r="J45" i="140"/>
  <c r="J45" i="181"/>
  <c r="J45" i="97"/>
  <c r="J45" i="32"/>
  <c r="J45" i="201"/>
  <c r="J45" i="103"/>
  <c r="J45" i="283"/>
  <c r="J45" i="206"/>
  <c r="J45" i="233"/>
  <c r="J45" i="194"/>
  <c r="J45" i="289"/>
  <c r="J45" i="227"/>
  <c r="J45" i="319"/>
  <c r="J45" i="336"/>
  <c r="J45" i="363"/>
  <c r="J45" i="37"/>
  <c r="J45" i="19"/>
  <c r="J45" i="13"/>
  <c r="J45" i="16"/>
  <c r="J45" i="299"/>
  <c r="J45" i="385"/>
  <c r="J45" i="362"/>
  <c r="J45" i="368"/>
  <c r="J45" i="88"/>
  <c r="E34" i="395"/>
  <c r="G34" i="327"/>
  <c r="H45" i="327"/>
  <c r="G34" i="186"/>
  <c r="H45" i="186"/>
  <c r="G34" i="144"/>
  <c r="H45" i="144"/>
  <c r="G34" i="142"/>
  <c r="H45" i="142"/>
  <c r="G34" i="300"/>
  <c r="H45" i="300"/>
  <c r="D37" i="15"/>
  <c r="G34" i="231"/>
  <c r="H45" i="231"/>
  <c r="G34" i="321"/>
  <c r="H45" i="321"/>
  <c r="G34" i="253"/>
  <c r="H45" i="253"/>
  <c r="G34" i="152"/>
  <c r="H45" i="152"/>
  <c r="G34" i="185"/>
  <c r="H45" i="185"/>
  <c r="G34" i="388"/>
  <c r="H45" i="388"/>
  <c r="G34" i="371"/>
  <c r="H45" i="371"/>
  <c r="G34" i="149"/>
  <c r="H45" i="149"/>
  <c r="G34" i="247"/>
  <c r="H45" i="247"/>
  <c r="G34" i="195"/>
  <c r="H45" i="195"/>
  <c r="G34" i="170"/>
  <c r="H45" i="170"/>
  <c r="D37" i="395"/>
  <c r="L34" i="283"/>
  <c r="D34" i="395"/>
  <c r="D25" i="395"/>
  <c r="O34" i="395"/>
  <c r="E34" i="15"/>
  <c r="D34" i="15"/>
  <c r="O13" i="395"/>
  <c r="O16" i="395"/>
  <c r="D19" i="395"/>
  <c r="O31" i="395"/>
  <c r="T33" i="149"/>
  <c r="I33" i="149" s="1"/>
  <c r="J45" i="149" s="1"/>
  <c r="O19" i="395"/>
  <c r="O22" i="395"/>
  <c r="E19" i="15"/>
  <c r="D10" i="15"/>
  <c r="D31" i="395"/>
  <c r="O25" i="395"/>
  <c r="D13" i="395"/>
  <c r="O28" i="395"/>
  <c r="O10" i="395"/>
  <c r="D28" i="395"/>
  <c r="E25" i="395"/>
  <c r="E22" i="395"/>
  <c r="E28" i="395"/>
  <c r="D16" i="395"/>
  <c r="D10" i="395"/>
  <c r="E31" i="395"/>
  <c r="E19" i="395"/>
  <c r="D22" i="395"/>
  <c r="D22" i="15"/>
  <c r="D28" i="15"/>
  <c r="D31" i="15"/>
  <c r="E31" i="15"/>
  <c r="D25" i="15"/>
  <c r="D13" i="15"/>
  <c r="E25" i="15"/>
  <c r="E22" i="15"/>
  <c r="D16" i="15"/>
  <c r="E28" i="15"/>
  <c r="D19" i="15"/>
  <c r="T33" i="186"/>
  <c r="I33" i="186" s="1"/>
  <c r="T33" i="144"/>
  <c r="I33" i="144" s="1"/>
  <c r="T33" i="231"/>
  <c r="I33" i="231" s="1"/>
  <c r="T33" i="185"/>
  <c r="I33" i="185" s="1"/>
  <c r="T33" i="247"/>
  <c r="I33" i="247" s="1"/>
  <c r="T33" i="327"/>
  <c r="I33" i="327" s="1"/>
  <c r="T33" i="142"/>
  <c r="I33" i="142" s="1"/>
  <c r="T33" i="388"/>
  <c r="I33" i="388" s="1"/>
  <c r="T33" i="321"/>
  <c r="I33" i="321" s="1"/>
  <c r="J45" i="321" s="1"/>
  <c r="T33" i="253"/>
  <c r="I33" i="253" s="1"/>
  <c r="T33" i="152"/>
  <c r="I33" i="152" s="1"/>
  <c r="J45" i="152" s="1"/>
  <c r="T33" i="371"/>
  <c r="I33" i="371" s="1"/>
  <c r="T33" i="300"/>
  <c r="I33" i="300" s="1"/>
  <c r="T33" i="195"/>
  <c r="I33" i="195" s="1"/>
  <c r="J45" i="195" s="1"/>
  <c r="T33" i="170"/>
  <c r="I33" i="170" s="1"/>
  <c r="T32" i="392"/>
  <c r="I32" i="392" s="1"/>
  <c r="F32" i="392"/>
  <c r="H44" i="392" s="1"/>
  <c r="K31" i="392"/>
  <c r="L34" i="392" s="1"/>
  <c r="T31" i="392"/>
  <c r="I31" i="392" s="1"/>
  <c r="J43" i="392" s="1"/>
  <c r="F31" i="392"/>
  <c r="H43" i="392" s="1"/>
  <c r="T30" i="392"/>
  <c r="I30" i="392" s="1"/>
  <c r="F30" i="392"/>
  <c r="H42" i="392" s="1"/>
  <c r="T29" i="392"/>
  <c r="I29" i="392" s="1"/>
  <c r="J41" i="392" s="1"/>
  <c r="F29" i="392"/>
  <c r="H41" i="392" s="1"/>
  <c r="K28" i="392"/>
  <c r="M40" i="392"/>
  <c r="T28" i="392"/>
  <c r="I28" i="392" s="1"/>
  <c r="J40" i="392" s="1"/>
  <c r="F28" i="392"/>
  <c r="T27" i="392"/>
  <c r="I27" i="392" s="1"/>
  <c r="J39" i="392" s="1"/>
  <c r="F27" i="392"/>
  <c r="T26" i="392"/>
  <c r="I26" i="392" s="1"/>
  <c r="K25" i="392"/>
  <c r="M37" i="392"/>
  <c r="T25" i="392"/>
  <c r="I25" i="392" s="1"/>
  <c r="J37" i="392" s="1"/>
  <c r="F25" i="392"/>
  <c r="T24" i="392"/>
  <c r="I24" i="392" s="1"/>
  <c r="J36" i="392" s="1"/>
  <c r="F24" i="392"/>
  <c r="T23" i="392"/>
  <c r="I23" i="392" s="1"/>
  <c r="J35" i="392" s="1"/>
  <c r="F23" i="392"/>
  <c r="K22" i="392"/>
  <c r="M34" i="392"/>
  <c r="T22" i="392"/>
  <c r="I22" i="392" s="1"/>
  <c r="F22" i="392"/>
  <c r="T21" i="392"/>
  <c r="I21" i="392" s="1"/>
  <c r="J33" i="392" s="1"/>
  <c r="F21" i="392"/>
  <c r="T20" i="392"/>
  <c r="I20" i="392" s="1"/>
  <c r="F20" i="392"/>
  <c r="K19" i="392"/>
  <c r="T19" i="392"/>
  <c r="I19" i="392" s="1"/>
  <c r="F19" i="392"/>
  <c r="T18" i="392"/>
  <c r="I18" i="392" s="1"/>
  <c r="F18" i="392"/>
  <c r="T17" i="392"/>
  <c r="I17" i="392" s="1"/>
  <c r="F17" i="392"/>
  <c r="K16" i="392"/>
  <c r="U16" i="392"/>
  <c r="T16" i="392"/>
  <c r="I16" i="392" s="1"/>
  <c r="F16" i="392"/>
  <c r="U15" i="392"/>
  <c r="T15" i="392"/>
  <c r="I15" i="392" s="1"/>
  <c r="F15" i="392"/>
  <c r="U14" i="392"/>
  <c r="T14" i="392"/>
  <c r="I14" i="392" s="1"/>
  <c r="F14" i="392"/>
  <c r="K13" i="392"/>
  <c r="U13" i="392"/>
  <c r="T13" i="392"/>
  <c r="I13" i="392" s="1"/>
  <c r="F13" i="392"/>
  <c r="U12" i="392"/>
  <c r="T12" i="392"/>
  <c r="I12" i="392" s="1"/>
  <c r="F12" i="392"/>
  <c r="AC11" i="392"/>
  <c r="U11" i="392"/>
  <c r="T11" i="392"/>
  <c r="I11" i="392" s="1"/>
  <c r="F11" i="392"/>
  <c r="K10" i="392"/>
  <c r="U10" i="392"/>
  <c r="T10" i="392"/>
  <c r="I10" i="392" s="1"/>
  <c r="F10" i="392"/>
  <c r="U9" i="392"/>
  <c r="T9" i="392"/>
  <c r="I9" i="392" s="1"/>
  <c r="F9" i="392"/>
  <c r="U8" i="392"/>
  <c r="T8" i="392"/>
  <c r="I8" i="392" s="1"/>
  <c r="F8" i="392"/>
  <c r="K7" i="392"/>
  <c r="U7" i="392"/>
  <c r="T7" i="392"/>
  <c r="I7" i="392" s="1"/>
  <c r="F7" i="392"/>
  <c r="U6" i="392"/>
  <c r="T6" i="392"/>
  <c r="I6" i="392" s="1"/>
  <c r="F6" i="392"/>
  <c r="U5" i="392"/>
  <c r="T5" i="392"/>
  <c r="I5" i="392" s="1"/>
  <c r="F5" i="392"/>
  <c r="J23" i="392" l="1"/>
  <c r="J29" i="392"/>
  <c r="J28" i="392"/>
  <c r="J31" i="392"/>
  <c r="J21" i="392"/>
  <c r="J17" i="392"/>
  <c r="J19" i="392"/>
  <c r="J24" i="392"/>
  <c r="J18" i="392"/>
  <c r="J45" i="253"/>
  <c r="J45" i="388"/>
  <c r="J45" i="247"/>
  <c r="J32" i="392"/>
  <c r="J44" i="392"/>
  <c r="J30" i="392"/>
  <c r="J42" i="392"/>
  <c r="J45" i="170"/>
  <c r="J45" i="231"/>
  <c r="J45" i="185"/>
  <c r="J45" i="186"/>
  <c r="J45" i="144"/>
  <c r="J25" i="392"/>
  <c r="J26" i="392"/>
  <c r="J38" i="392"/>
  <c r="J45" i="300"/>
  <c r="J45" i="142"/>
  <c r="J20" i="392"/>
  <c r="J27" i="392"/>
  <c r="J22" i="392"/>
  <c r="J34" i="392"/>
  <c r="J45" i="371"/>
  <c r="J45" i="327"/>
  <c r="H40" i="392"/>
  <c r="N34" i="392"/>
  <c r="O37" i="392" s="1"/>
  <c r="H39" i="392"/>
  <c r="H33" i="392"/>
  <c r="H36" i="392"/>
  <c r="H34" i="392"/>
  <c r="H35" i="392"/>
  <c r="H37" i="392"/>
  <c r="G14" i="392"/>
  <c r="C34" i="392"/>
  <c r="E46" i="392" s="1"/>
  <c r="B34" i="392"/>
  <c r="G18" i="392"/>
  <c r="N31" i="392"/>
  <c r="L10" i="392"/>
  <c r="G27" i="392"/>
  <c r="G33" i="392"/>
  <c r="N22" i="392"/>
  <c r="C13" i="392"/>
  <c r="G17" i="392"/>
  <c r="H20" i="392"/>
  <c r="G15" i="392"/>
  <c r="N19" i="392"/>
  <c r="L19" i="392"/>
  <c r="N28" i="392"/>
  <c r="C31" i="392"/>
  <c r="E43" i="392" s="1"/>
  <c r="G6" i="392"/>
  <c r="N10" i="392"/>
  <c r="L16" i="392"/>
  <c r="H19" i="392"/>
  <c r="G21" i="392"/>
  <c r="M25" i="392"/>
  <c r="H28" i="392"/>
  <c r="B31" i="392"/>
  <c r="N13" i="392"/>
  <c r="C25" i="392"/>
  <c r="E37" i="392" s="1"/>
  <c r="H32" i="392"/>
  <c r="N25" i="392"/>
  <c r="L25" i="392"/>
  <c r="L31" i="392"/>
  <c r="G30" i="392"/>
  <c r="C28" i="392"/>
  <c r="E40" i="392" s="1"/>
  <c r="B28" i="392"/>
  <c r="L28" i="392"/>
  <c r="B25" i="392"/>
  <c r="C19" i="392"/>
  <c r="B19" i="392"/>
  <c r="L22" i="392"/>
  <c r="H26" i="392"/>
  <c r="M31" i="392"/>
  <c r="C22" i="392"/>
  <c r="G24" i="392"/>
  <c r="H29" i="392"/>
  <c r="H31" i="392"/>
  <c r="C7" i="392"/>
  <c r="N16" i="392"/>
  <c r="H18" i="392"/>
  <c r="N7" i="392"/>
  <c r="G10" i="392"/>
  <c r="L13" i="392"/>
  <c r="H17" i="392"/>
  <c r="H21" i="392"/>
  <c r="H22" i="392"/>
  <c r="G11" i="392"/>
  <c r="G13" i="392"/>
  <c r="B16" i="392"/>
  <c r="G16" i="392"/>
  <c r="C16" i="392"/>
  <c r="M19" i="392"/>
  <c r="M22" i="392"/>
  <c r="H23" i="392"/>
  <c r="H25" i="392"/>
  <c r="M28" i="392"/>
  <c r="B7" i="392"/>
  <c r="B10" i="392"/>
  <c r="B13" i="392"/>
  <c r="B22" i="392"/>
  <c r="G7" i="392"/>
  <c r="G20" i="392"/>
  <c r="G23" i="392"/>
  <c r="G26" i="392"/>
  <c r="G29" i="392"/>
  <c r="G32" i="392"/>
  <c r="G8" i="392"/>
  <c r="G9" i="392"/>
  <c r="C10" i="392"/>
  <c r="G12" i="392"/>
  <c r="G19" i="392"/>
  <c r="G22" i="392"/>
  <c r="H24" i="392"/>
  <c r="G25" i="392"/>
  <c r="H27" i="392"/>
  <c r="G28" i="392"/>
  <c r="H30" i="392"/>
  <c r="G31" i="392"/>
  <c r="E31" i="392" l="1"/>
  <c r="O34" i="392"/>
  <c r="D37" i="392"/>
  <c r="O25" i="392"/>
  <c r="E34" i="392"/>
  <c r="D34" i="392"/>
  <c r="O22" i="392"/>
  <c r="D25" i="392"/>
  <c r="O10" i="392"/>
  <c r="D16" i="392"/>
  <c r="O16" i="392"/>
  <c r="O28" i="392"/>
  <c r="E19" i="392"/>
  <c r="E25" i="392"/>
  <c r="O31" i="392"/>
  <c r="D10" i="392"/>
  <c r="D28" i="392"/>
  <c r="O13" i="392"/>
  <c r="D22" i="392"/>
  <c r="D31" i="392"/>
  <c r="O19" i="392"/>
  <c r="E28" i="392"/>
  <c r="D19" i="392"/>
  <c r="E22" i="392"/>
  <c r="D13" i="392"/>
  <c r="U32" i="391" l="1"/>
  <c r="T32" i="391"/>
  <c r="I32" i="391" s="1"/>
  <c r="F32" i="391"/>
  <c r="H44" i="391" s="1"/>
  <c r="K31" i="391"/>
  <c r="L34" i="391" s="1"/>
  <c r="U31" i="391"/>
  <c r="M43" i="391" s="1"/>
  <c r="T31" i="391"/>
  <c r="I31" i="391" s="1"/>
  <c r="F31" i="391"/>
  <c r="H43" i="391" s="1"/>
  <c r="U30" i="391"/>
  <c r="T30" i="391"/>
  <c r="I30" i="391" s="1"/>
  <c r="F30" i="391"/>
  <c r="H42" i="391" s="1"/>
  <c r="U29" i="391"/>
  <c r="T29" i="391"/>
  <c r="I29" i="391" s="1"/>
  <c r="F29" i="391"/>
  <c r="H41" i="391" s="1"/>
  <c r="K28" i="391"/>
  <c r="U28" i="391"/>
  <c r="M40" i="391" s="1"/>
  <c r="T28" i="391"/>
  <c r="I28" i="391" s="1"/>
  <c r="F28" i="391"/>
  <c r="U27" i="391"/>
  <c r="T27" i="391"/>
  <c r="I27" i="391" s="1"/>
  <c r="F27" i="391"/>
  <c r="U26" i="391"/>
  <c r="T26" i="391"/>
  <c r="I26" i="391" s="1"/>
  <c r="K25" i="391"/>
  <c r="U25" i="391"/>
  <c r="M37" i="391" s="1"/>
  <c r="T25" i="391"/>
  <c r="I25" i="391" s="1"/>
  <c r="F25" i="391"/>
  <c r="U24" i="391"/>
  <c r="T24" i="391"/>
  <c r="I24" i="391" s="1"/>
  <c r="F24" i="391"/>
  <c r="U23" i="391"/>
  <c r="T23" i="391"/>
  <c r="I23" i="391" s="1"/>
  <c r="F23" i="391"/>
  <c r="K22" i="391"/>
  <c r="U22" i="391"/>
  <c r="M34" i="391" s="1"/>
  <c r="T22" i="391"/>
  <c r="I22" i="391" s="1"/>
  <c r="F22" i="391"/>
  <c r="U21" i="391"/>
  <c r="T21" i="391"/>
  <c r="I21" i="391" s="1"/>
  <c r="F21" i="391"/>
  <c r="U20" i="391"/>
  <c r="T20" i="391"/>
  <c r="I20" i="391" s="1"/>
  <c r="F20" i="391"/>
  <c r="K19" i="391"/>
  <c r="U19" i="391"/>
  <c r="T19" i="391"/>
  <c r="I19" i="391" s="1"/>
  <c r="F19" i="391"/>
  <c r="U18" i="391"/>
  <c r="T18" i="391"/>
  <c r="I18" i="391" s="1"/>
  <c r="F18" i="391"/>
  <c r="U17" i="391"/>
  <c r="T17" i="391"/>
  <c r="I17" i="391" s="1"/>
  <c r="F17" i="391"/>
  <c r="K16" i="391"/>
  <c r="U16" i="391"/>
  <c r="T16" i="391"/>
  <c r="I16" i="391" s="1"/>
  <c r="F16" i="391"/>
  <c r="U15" i="391"/>
  <c r="T15" i="391"/>
  <c r="I15" i="391" s="1"/>
  <c r="F15" i="391"/>
  <c r="U14" i="391"/>
  <c r="T14" i="391"/>
  <c r="I14" i="391" s="1"/>
  <c r="F14" i="391"/>
  <c r="K13" i="391"/>
  <c r="U13" i="391"/>
  <c r="T13" i="391"/>
  <c r="I13" i="391" s="1"/>
  <c r="F13" i="391"/>
  <c r="U12" i="391"/>
  <c r="T12" i="391"/>
  <c r="I12" i="391" s="1"/>
  <c r="F12" i="391"/>
  <c r="AC11" i="391"/>
  <c r="U11" i="391"/>
  <c r="T11" i="391"/>
  <c r="I11" i="391" s="1"/>
  <c r="F11" i="391"/>
  <c r="K10" i="391"/>
  <c r="U10" i="391"/>
  <c r="T10" i="391"/>
  <c r="I10" i="391" s="1"/>
  <c r="F10" i="391"/>
  <c r="U9" i="391"/>
  <c r="T9" i="391"/>
  <c r="I9" i="391" s="1"/>
  <c r="F9" i="391"/>
  <c r="U8" i="391"/>
  <c r="T8" i="391"/>
  <c r="I8" i="391" s="1"/>
  <c r="F8" i="391"/>
  <c r="K7" i="391"/>
  <c r="U7" i="391"/>
  <c r="T7" i="391"/>
  <c r="I7" i="391" s="1"/>
  <c r="F7" i="391"/>
  <c r="U6" i="391"/>
  <c r="T6" i="391"/>
  <c r="I6" i="391" s="1"/>
  <c r="F6" i="391"/>
  <c r="U5" i="391"/>
  <c r="T5" i="391"/>
  <c r="I5" i="391" s="1"/>
  <c r="F5" i="391"/>
  <c r="J17" i="391" l="1"/>
  <c r="J19" i="391"/>
  <c r="J20" i="391"/>
  <c r="J18" i="391"/>
  <c r="J29" i="391"/>
  <c r="J41" i="391"/>
  <c r="J31" i="391"/>
  <c r="J43" i="391"/>
  <c r="J22" i="391"/>
  <c r="J34" i="391"/>
  <c r="J24" i="391"/>
  <c r="J36" i="391"/>
  <c r="J30" i="391"/>
  <c r="J42" i="391"/>
  <c r="J21" i="391"/>
  <c r="J33" i="391"/>
  <c r="J32" i="391"/>
  <c r="J44" i="391"/>
  <c r="J26" i="391"/>
  <c r="J38" i="391"/>
  <c r="J28" i="391"/>
  <c r="J40" i="391"/>
  <c r="J23" i="391"/>
  <c r="J35" i="391"/>
  <c r="J25" i="391"/>
  <c r="J37" i="391"/>
  <c r="J27" i="391"/>
  <c r="J39" i="391"/>
  <c r="H35" i="391"/>
  <c r="H39" i="391"/>
  <c r="H33" i="391"/>
  <c r="H37" i="391"/>
  <c r="N34" i="391"/>
  <c r="O37" i="391" s="1"/>
  <c r="H36" i="391"/>
  <c r="H40" i="391"/>
  <c r="G11" i="391"/>
  <c r="H20" i="391"/>
  <c r="C34" i="391"/>
  <c r="E46" i="391" s="1"/>
  <c r="B34" i="391"/>
  <c r="G23" i="391"/>
  <c r="H34" i="391"/>
  <c r="N25" i="391"/>
  <c r="N31" i="391"/>
  <c r="G10" i="391"/>
  <c r="G33" i="391"/>
  <c r="C28" i="391"/>
  <c r="E40" i="391" s="1"/>
  <c r="G13" i="391"/>
  <c r="N22" i="391"/>
  <c r="C19" i="391"/>
  <c r="G16" i="391"/>
  <c r="N7" i="391"/>
  <c r="L10" i="391"/>
  <c r="C31" i="391"/>
  <c r="E43" i="391" s="1"/>
  <c r="G32" i="391"/>
  <c r="N19" i="391"/>
  <c r="C25" i="391"/>
  <c r="E37" i="391" s="1"/>
  <c r="N28" i="391"/>
  <c r="H30" i="391"/>
  <c r="H32" i="391"/>
  <c r="C22" i="391"/>
  <c r="L25" i="391"/>
  <c r="G26" i="391"/>
  <c r="L31" i="391"/>
  <c r="B16" i="391"/>
  <c r="M19" i="391"/>
  <c r="M28" i="391"/>
  <c r="C16" i="391"/>
  <c r="G21" i="391"/>
  <c r="B31" i="391"/>
  <c r="G7" i="391"/>
  <c r="N10" i="391"/>
  <c r="G15" i="391"/>
  <c r="H24" i="391"/>
  <c r="H29" i="391"/>
  <c r="G30" i="391"/>
  <c r="C7" i="391"/>
  <c r="L16" i="391"/>
  <c r="N16" i="391"/>
  <c r="G17" i="391"/>
  <c r="H18" i="391"/>
  <c r="B19" i="391"/>
  <c r="L19" i="391"/>
  <c r="M22" i="391"/>
  <c r="H23" i="391"/>
  <c r="G24" i="391"/>
  <c r="H27" i="391"/>
  <c r="B28" i="391"/>
  <c r="L28" i="391"/>
  <c r="N13" i="391"/>
  <c r="G14" i="391"/>
  <c r="C13" i="391"/>
  <c r="L13" i="391"/>
  <c r="H17" i="391"/>
  <c r="G18" i="391"/>
  <c r="G20" i="391"/>
  <c r="H21" i="391"/>
  <c r="B22" i="391"/>
  <c r="L22" i="391"/>
  <c r="M25" i="391"/>
  <c r="H26" i="391"/>
  <c r="G27" i="391"/>
  <c r="G29" i="391"/>
  <c r="M31" i="391"/>
  <c r="B10" i="391"/>
  <c r="B25" i="391"/>
  <c r="G6" i="391"/>
  <c r="G8" i="391"/>
  <c r="G9" i="391"/>
  <c r="C10" i="391"/>
  <c r="G12" i="391"/>
  <c r="G19" i="391"/>
  <c r="G22" i="391"/>
  <c r="G25" i="391"/>
  <c r="G28" i="391"/>
  <c r="G31" i="391"/>
  <c r="H19" i="391"/>
  <c r="H22" i="391"/>
  <c r="H25" i="391"/>
  <c r="H28" i="391"/>
  <c r="H31" i="391"/>
  <c r="B7" i="391"/>
  <c r="B13" i="391"/>
  <c r="T32" i="389"/>
  <c r="I32" i="389" s="1"/>
  <c r="F32" i="389"/>
  <c r="H44" i="389" s="1"/>
  <c r="K31" i="389"/>
  <c r="M43" i="389" s="1"/>
  <c r="U31" i="389"/>
  <c r="T31" i="389"/>
  <c r="I31" i="389" s="1"/>
  <c r="F31" i="389"/>
  <c r="H43" i="389" s="1"/>
  <c r="T30" i="389"/>
  <c r="I30" i="389" s="1"/>
  <c r="F30" i="389"/>
  <c r="H42" i="389" s="1"/>
  <c r="T29" i="389"/>
  <c r="I29" i="389" s="1"/>
  <c r="F29" i="389"/>
  <c r="H41" i="389" s="1"/>
  <c r="K28" i="389"/>
  <c r="U28" i="389"/>
  <c r="M40" i="389" s="1"/>
  <c r="T28" i="389"/>
  <c r="I28" i="389" s="1"/>
  <c r="F28" i="389"/>
  <c r="T27" i="389"/>
  <c r="I27" i="389" s="1"/>
  <c r="F27" i="389"/>
  <c r="T26" i="389"/>
  <c r="I26" i="389" s="1"/>
  <c r="K25" i="389"/>
  <c r="U25" i="389"/>
  <c r="M37" i="389" s="1"/>
  <c r="T25" i="389"/>
  <c r="I25" i="389" s="1"/>
  <c r="F25" i="389"/>
  <c r="T24" i="389"/>
  <c r="I24" i="389" s="1"/>
  <c r="J36" i="389" s="1"/>
  <c r="F24" i="389"/>
  <c r="T23" i="389"/>
  <c r="I23" i="389" s="1"/>
  <c r="F23" i="389"/>
  <c r="K22" i="389"/>
  <c r="U22" i="389"/>
  <c r="M34" i="389" s="1"/>
  <c r="T22" i="389"/>
  <c r="I22" i="389" s="1"/>
  <c r="F22" i="389"/>
  <c r="T21" i="389"/>
  <c r="I21" i="389" s="1"/>
  <c r="F21" i="389"/>
  <c r="T20" i="389"/>
  <c r="I20" i="389" s="1"/>
  <c r="F20" i="389"/>
  <c r="K19" i="389"/>
  <c r="U19" i="389"/>
  <c r="T19" i="389"/>
  <c r="I19" i="389" s="1"/>
  <c r="F19" i="389"/>
  <c r="T18" i="389"/>
  <c r="I18" i="389" s="1"/>
  <c r="F18" i="389"/>
  <c r="T17" i="389"/>
  <c r="I17" i="389" s="1"/>
  <c r="F17" i="389"/>
  <c r="K16" i="389"/>
  <c r="U16" i="389"/>
  <c r="T16" i="389"/>
  <c r="I16" i="389" s="1"/>
  <c r="F16" i="389"/>
  <c r="T15" i="389"/>
  <c r="I15" i="389" s="1"/>
  <c r="F15" i="389"/>
  <c r="T14" i="389"/>
  <c r="I14" i="389" s="1"/>
  <c r="F14" i="389"/>
  <c r="K13" i="389"/>
  <c r="U13" i="389"/>
  <c r="T13" i="389"/>
  <c r="I13" i="389" s="1"/>
  <c r="F13" i="389"/>
  <c r="T12" i="389"/>
  <c r="I12" i="389" s="1"/>
  <c r="F12" i="389"/>
  <c r="T11" i="389"/>
  <c r="I11" i="389" s="1"/>
  <c r="F11" i="389"/>
  <c r="K10" i="389"/>
  <c r="U10" i="389"/>
  <c r="T10" i="389"/>
  <c r="I10" i="389" s="1"/>
  <c r="F10" i="389"/>
  <c r="T9" i="389"/>
  <c r="I9" i="389" s="1"/>
  <c r="F9" i="389"/>
  <c r="T8" i="389"/>
  <c r="I8" i="389" s="1"/>
  <c r="F8" i="389"/>
  <c r="K7" i="389"/>
  <c r="U7" i="389"/>
  <c r="T7" i="389"/>
  <c r="I7" i="389" s="1"/>
  <c r="F7" i="389"/>
  <c r="T6" i="389"/>
  <c r="I6" i="389" s="1"/>
  <c r="F6" i="389"/>
  <c r="T5" i="389"/>
  <c r="I5" i="389" s="1"/>
  <c r="F5" i="389"/>
  <c r="S32" i="388"/>
  <c r="R32" i="388"/>
  <c r="K34" i="388" s="1"/>
  <c r="M46" i="388" s="1"/>
  <c r="S31" i="388"/>
  <c r="R31" i="388"/>
  <c r="S30" i="388"/>
  <c r="R30" i="388"/>
  <c r="S29" i="388"/>
  <c r="R29" i="388"/>
  <c r="S28" i="388"/>
  <c r="R28" i="388"/>
  <c r="S27" i="388"/>
  <c r="R27" i="388"/>
  <c r="S26" i="388"/>
  <c r="R26" i="388"/>
  <c r="S25" i="388"/>
  <c r="R25" i="388"/>
  <c r="S24" i="388"/>
  <c r="R24" i="388"/>
  <c r="S23" i="388"/>
  <c r="R23" i="388"/>
  <c r="S22" i="388"/>
  <c r="R22" i="388"/>
  <c r="S21" i="388"/>
  <c r="R21" i="388"/>
  <c r="S20" i="388"/>
  <c r="R20" i="388"/>
  <c r="S19" i="388"/>
  <c r="R19" i="388"/>
  <c r="S18" i="388"/>
  <c r="R18" i="388"/>
  <c r="S17" i="388"/>
  <c r="R17" i="388"/>
  <c r="S16" i="388"/>
  <c r="R16" i="388"/>
  <c r="S15" i="388"/>
  <c r="R15" i="388"/>
  <c r="S14" i="388"/>
  <c r="R14" i="388"/>
  <c r="S13" i="388"/>
  <c r="R13" i="388"/>
  <c r="S12" i="388"/>
  <c r="R12" i="388"/>
  <c r="S11" i="388"/>
  <c r="R11" i="388"/>
  <c r="S10" i="388"/>
  <c r="R10" i="388"/>
  <c r="S9" i="388"/>
  <c r="R9" i="388"/>
  <c r="S8" i="388"/>
  <c r="R8" i="388"/>
  <c r="S7" i="388"/>
  <c r="R7" i="388"/>
  <c r="S6" i="388"/>
  <c r="R6" i="388"/>
  <c r="S5" i="388"/>
  <c r="R5" i="388"/>
  <c r="Q32" i="388"/>
  <c r="Q31" i="388"/>
  <c r="F31" i="388" s="1"/>
  <c r="H43" i="388" s="1"/>
  <c r="Q30" i="388"/>
  <c r="F30" i="388" s="1"/>
  <c r="H42" i="388" s="1"/>
  <c r="Q29" i="388"/>
  <c r="Q28" i="388"/>
  <c r="F28" i="388" s="1"/>
  <c r="Q27" i="388"/>
  <c r="F27" i="388" s="1"/>
  <c r="Q26" i="388"/>
  <c r="F26" i="388" s="1"/>
  <c r="Q25" i="388"/>
  <c r="Q24" i="388"/>
  <c r="F24" i="388" s="1"/>
  <c r="Q23" i="388"/>
  <c r="F23" i="388" s="1"/>
  <c r="Q22" i="388"/>
  <c r="F22" i="388" s="1"/>
  <c r="Q21" i="388"/>
  <c r="Q20" i="388"/>
  <c r="F20" i="388" s="1"/>
  <c r="Q19" i="388"/>
  <c r="F19" i="388" s="1"/>
  <c r="Q18" i="388"/>
  <c r="F18" i="388" s="1"/>
  <c r="Q17" i="388"/>
  <c r="Q16" i="388"/>
  <c r="Q15" i="388"/>
  <c r="F15" i="388" s="1"/>
  <c r="Q14" i="388"/>
  <c r="Q13" i="388"/>
  <c r="Q12" i="388"/>
  <c r="F12" i="388" s="1"/>
  <c r="Q11" i="388"/>
  <c r="F11" i="388" s="1"/>
  <c r="Q10" i="388"/>
  <c r="F10" i="388" s="1"/>
  <c r="Q9" i="388"/>
  <c r="Q8" i="388"/>
  <c r="F8" i="388" s="1"/>
  <c r="Q7" i="388"/>
  <c r="F7" i="388" s="1"/>
  <c r="Q6" i="388"/>
  <c r="F6" i="388" s="1"/>
  <c r="Q5" i="388"/>
  <c r="F5" i="388" s="1"/>
  <c r="T32" i="388" l="1"/>
  <c r="I32" i="388" s="1"/>
  <c r="J44" i="388" s="1"/>
  <c r="J24" i="389"/>
  <c r="T16" i="388"/>
  <c r="I16" i="388" s="1"/>
  <c r="J18" i="389"/>
  <c r="J20" i="389"/>
  <c r="J32" i="389"/>
  <c r="J44" i="389"/>
  <c r="J25" i="389"/>
  <c r="J37" i="389"/>
  <c r="J28" i="389"/>
  <c r="J40" i="389"/>
  <c r="J19" i="389"/>
  <c r="J21" i="389"/>
  <c r="J33" i="389"/>
  <c r="J23" i="389"/>
  <c r="J35" i="389"/>
  <c r="J30" i="389"/>
  <c r="J42" i="389"/>
  <c r="J26" i="389"/>
  <c r="J38" i="389"/>
  <c r="J31" i="389"/>
  <c r="J43" i="389"/>
  <c r="J22" i="389"/>
  <c r="J34" i="389"/>
  <c r="J17" i="389"/>
  <c r="J27" i="389"/>
  <c r="J39" i="389"/>
  <c r="J29" i="389"/>
  <c r="J41" i="389"/>
  <c r="O10" i="391"/>
  <c r="H35" i="389"/>
  <c r="H37" i="389"/>
  <c r="H34" i="388"/>
  <c r="H38" i="388"/>
  <c r="O34" i="391"/>
  <c r="H35" i="388"/>
  <c r="H39" i="388"/>
  <c r="H33" i="389"/>
  <c r="H36" i="389"/>
  <c r="H34" i="389"/>
  <c r="N34" i="389"/>
  <c r="O37" i="389" s="1"/>
  <c r="H39" i="389"/>
  <c r="H36" i="388"/>
  <c r="H40" i="388"/>
  <c r="H40" i="389"/>
  <c r="D37" i="391"/>
  <c r="L34" i="389"/>
  <c r="H17" i="389"/>
  <c r="H24" i="389"/>
  <c r="D25" i="391"/>
  <c r="O28" i="391"/>
  <c r="F32" i="388"/>
  <c r="U34" i="388"/>
  <c r="C34" i="389"/>
  <c r="E46" i="389" s="1"/>
  <c r="B34" i="389"/>
  <c r="E34" i="391"/>
  <c r="D34" i="391"/>
  <c r="D28" i="391"/>
  <c r="O25" i="391"/>
  <c r="E25" i="391"/>
  <c r="D10" i="391"/>
  <c r="G25" i="389"/>
  <c r="O13" i="391"/>
  <c r="D19" i="391"/>
  <c r="O22" i="391"/>
  <c r="G33" i="389"/>
  <c r="E28" i="391"/>
  <c r="D31" i="391"/>
  <c r="D22" i="391"/>
  <c r="E19" i="391"/>
  <c r="E31" i="391"/>
  <c r="D16" i="391"/>
  <c r="O31" i="391"/>
  <c r="O19" i="391"/>
  <c r="O16" i="391"/>
  <c r="D13" i="391"/>
  <c r="E22" i="391"/>
  <c r="G23" i="389"/>
  <c r="N22" i="389"/>
  <c r="H29" i="389"/>
  <c r="G18" i="389"/>
  <c r="N25" i="389"/>
  <c r="L16" i="389"/>
  <c r="L19" i="389"/>
  <c r="G16" i="389"/>
  <c r="G15" i="389"/>
  <c r="G24" i="389"/>
  <c r="N31" i="389"/>
  <c r="H31" i="389"/>
  <c r="H30" i="389"/>
  <c r="C25" i="389"/>
  <c r="E37" i="389" s="1"/>
  <c r="L22" i="389"/>
  <c r="G31" i="389"/>
  <c r="C7" i="389"/>
  <c r="N19" i="389"/>
  <c r="N28" i="389"/>
  <c r="G29" i="389"/>
  <c r="G30" i="389"/>
  <c r="N7" i="389"/>
  <c r="G17" i="389"/>
  <c r="C19" i="389"/>
  <c r="G19" i="389"/>
  <c r="H20" i="389"/>
  <c r="H22" i="389"/>
  <c r="B25" i="389"/>
  <c r="B31" i="389"/>
  <c r="C31" i="389"/>
  <c r="E43" i="389" s="1"/>
  <c r="B19" i="389"/>
  <c r="H19" i="389"/>
  <c r="M28" i="389"/>
  <c r="H32" i="389"/>
  <c r="L28" i="389"/>
  <c r="M31" i="389"/>
  <c r="G6" i="389"/>
  <c r="G7" i="389"/>
  <c r="C10" i="389"/>
  <c r="G10" i="389"/>
  <c r="B13" i="389"/>
  <c r="G13" i="389"/>
  <c r="G14" i="389"/>
  <c r="B16" i="389"/>
  <c r="M19" i="389"/>
  <c r="H25" i="389"/>
  <c r="H26" i="389"/>
  <c r="H28" i="389"/>
  <c r="N10" i="389"/>
  <c r="N13" i="389"/>
  <c r="N16" i="389"/>
  <c r="C16" i="389"/>
  <c r="H21" i="389"/>
  <c r="B7" i="389"/>
  <c r="L10" i="389"/>
  <c r="L13" i="389"/>
  <c r="M25" i="389"/>
  <c r="H27" i="389"/>
  <c r="C13" i="389"/>
  <c r="H18" i="389"/>
  <c r="B22" i="389"/>
  <c r="H23" i="389"/>
  <c r="L31" i="389"/>
  <c r="G11" i="389"/>
  <c r="G20" i="389"/>
  <c r="G21" i="389"/>
  <c r="C22" i="389"/>
  <c r="G22" i="389"/>
  <c r="G26" i="389"/>
  <c r="G27" i="389"/>
  <c r="C28" i="389"/>
  <c r="E40" i="389" s="1"/>
  <c r="G28" i="389"/>
  <c r="G32" i="389"/>
  <c r="G9" i="389"/>
  <c r="M22" i="389"/>
  <c r="G8" i="389"/>
  <c r="G12" i="389"/>
  <c r="L25" i="389"/>
  <c r="B28" i="389"/>
  <c r="B10" i="389"/>
  <c r="T9" i="388"/>
  <c r="I9" i="388" s="1"/>
  <c r="U19" i="388"/>
  <c r="U31" i="388"/>
  <c r="K7" i="388"/>
  <c r="K10" i="388"/>
  <c r="K13" i="388"/>
  <c r="T15" i="388"/>
  <c r="I15" i="388" s="1"/>
  <c r="U13" i="388"/>
  <c r="U22" i="388"/>
  <c r="T20" i="388"/>
  <c r="I20" i="388" s="1"/>
  <c r="U25" i="388"/>
  <c r="M37" i="388" s="1"/>
  <c r="K16" i="388"/>
  <c r="K19" i="388"/>
  <c r="K22" i="388"/>
  <c r="K25" i="388"/>
  <c r="K28" i="388"/>
  <c r="K31" i="388"/>
  <c r="M43" i="388" s="1"/>
  <c r="T12" i="388"/>
  <c r="I12" i="388" s="1"/>
  <c r="T28" i="388"/>
  <c r="I28" i="388" s="1"/>
  <c r="T14" i="388"/>
  <c r="I14" i="388" s="1"/>
  <c r="T7" i="388"/>
  <c r="I7" i="388" s="1"/>
  <c r="T11" i="388"/>
  <c r="I11" i="388" s="1"/>
  <c r="T19" i="388"/>
  <c r="I19" i="388" s="1"/>
  <c r="T23" i="388"/>
  <c r="I23" i="388" s="1"/>
  <c r="T27" i="388"/>
  <c r="I27" i="388" s="1"/>
  <c r="T31" i="388"/>
  <c r="I31" i="388" s="1"/>
  <c r="F14" i="388"/>
  <c r="T5" i="388"/>
  <c r="I5" i="388" s="1"/>
  <c r="U7" i="388"/>
  <c r="F13" i="388"/>
  <c r="F17" i="388"/>
  <c r="T10" i="388"/>
  <c r="I10" i="388" s="1"/>
  <c r="T18" i="388"/>
  <c r="I18" i="388" s="1"/>
  <c r="T30" i="388"/>
  <c r="I30" i="388" s="1"/>
  <c r="F16" i="388"/>
  <c r="T21" i="388"/>
  <c r="I21" i="388" s="1"/>
  <c r="U16" i="388"/>
  <c r="U28" i="388"/>
  <c r="M40" i="388" s="1"/>
  <c r="T8" i="388"/>
  <c r="I8" i="388" s="1"/>
  <c r="T24" i="388"/>
  <c r="I24" i="388" s="1"/>
  <c r="J36" i="388" s="1"/>
  <c r="T6" i="388"/>
  <c r="I6" i="388" s="1"/>
  <c r="T22" i="388"/>
  <c r="I22" i="388" s="1"/>
  <c r="G12" i="388"/>
  <c r="U10" i="388"/>
  <c r="T13" i="388"/>
  <c r="I13" i="388" s="1"/>
  <c r="G19" i="388"/>
  <c r="G31" i="388"/>
  <c r="T25" i="388"/>
  <c r="I25" i="388" s="1"/>
  <c r="T26" i="388"/>
  <c r="I26" i="388" s="1"/>
  <c r="T29" i="388"/>
  <c r="I29" i="388" s="1"/>
  <c r="F9" i="388"/>
  <c r="F25" i="388"/>
  <c r="F29" i="388"/>
  <c r="T17" i="388"/>
  <c r="I17" i="388" s="1"/>
  <c r="G7" i="388"/>
  <c r="G8" i="388"/>
  <c r="F21" i="388"/>
  <c r="G24" i="388"/>
  <c r="H20" i="388"/>
  <c r="H22" i="388"/>
  <c r="H24" i="388"/>
  <c r="H30" i="388"/>
  <c r="H19" i="388"/>
  <c r="H31" i="388"/>
  <c r="B7" i="388"/>
  <c r="C7" i="388"/>
  <c r="H27" i="388"/>
  <c r="G11" i="388"/>
  <c r="H23" i="388"/>
  <c r="G6" i="388"/>
  <c r="H18" i="388"/>
  <c r="B28" i="388"/>
  <c r="G20" i="388"/>
  <c r="G27" i="388"/>
  <c r="C28" i="388"/>
  <c r="E40" i="388" s="1"/>
  <c r="G28" i="388"/>
  <c r="G23" i="388"/>
  <c r="T32" i="387"/>
  <c r="I32" i="387" s="1"/>
  <c r="F32" i="387"/>
  <c r="H44" i="387" s="1"/>
  <c r="K31" i="387"/>
  <c r="M43" i="387" s="1"/>
  <c r="U31" i="387"/>
  <c r="T31" i="387"/>
  <c r="I31" i="387" s="1"/>
  <c r="F31" i="387"/>
  <c r="H43" i="387" s="1"/>
  <c r="T30" i="387"/>
  <c r="I30" i="387" s="1"/>
  <c r="F30" i="387"/>
  <c r="H42" i="387" s="1"/>
  <c r="T29" i="387"/>
  <c r="I29" i="387" s="1"/>
  <c r="F29" i="387"/>
  <c r="H41" i="387" s="1"/>
  <c r="K28" i="387"/>
  <c r="U28" i="387"/>
  <c r="M40" i="387" s="1"/>
  <c r="T28" i="387"/>
  <c r="I28" i="387" s="1"/>
  <c r="F28" i="387"/>
  <c r="T27" i="387"/>
  <c r="I27" i="387" s="1"/>
  <c r="F27" i="387"/>
  <c r="T26" i="387"/>
  <c r="I26" i="387" s="1"/>
  <c r="K25" i="387"/>
  <c r="U25" i="387"/>
  <c r="M37" i="387" s="1"/>
  <c r="T25" i="387"/>
  <c r="I25" i="387" s="1"/>
  <c r="F25" i="387"/>
  <c r="T24" i="387"/>
  <c r="I24" i="387" s="1"/>
  <c r="J36" i="387" s="1"/>
  <c r="F24" i="387"/>
  <c r="T23" i="387"/>
  <c r="I23" i="387" s="1"/>
  <c r="F23" i="387"/>
  <c r="K22" i="387"/>
  <c r="U22" i="387"/>
  <c r="M34" i="387" s="1"/>
  <c r="T22" i="387"/>
  <c r="I22" i="387" s="1"/>
  <c r="F22" i="387"/>
  <c r="T21" i="387"/>
  <c r="I21" i="387" s="1"/>
  <c r="F21" i="387"/>
  <c r="T20" i="387"/>
  <c r="I20" i="387" s="1"/>
  <c r="F20" i="387"/>
  <c r="K19" i="387"/>
  <c r="U19" i="387"/>
  <c r="T19" i="387"/>
  <c r="I19" i="387" s="1"/>
  <c r="F19" i="387"/>
  <c r="T18" i="387"/>
  <c r="I18" i="387" s="1"/>
  <c r="F18" i="387"/>
  <c r="T17" i="387"/>
  <c r="I17" i="387" s="1"/>
  <c r="F17" i="387"/>
  <c r="K16" i="387"/>
  <c r="U16" i="387"/>
  <c r="T16" i="387"/>
  <c r="I16" i="387" s="1"/>
  <c r="F16" i="387"/>
  <c r="T15" i="387"/>
  <c r="I15" i="387" s="1"/>
  <c r="F15" i="387"/>
  <c r="T14" i="387"/>
  <c r="I14" i="387" s="1"/>
  <c r="F14" i="387"/>
  <c r="K13" i="387"/>
  <c r="U13" i="387"/>
  <c r="T13" i="387"/>
  <c r="I13" i="387" s="1"/>
  <c r="F13" i="387"/>
  <c r="T12" i="387"/>
  <c r="I12" i="387" s="1"/>
  <c r="F12" i="387"/>
  <c r="T11" i="387"/>
  <c r="I11" i="387" s="1"/>
  <c r="F11" i="387"/>
  <c r="K10" i="387"/>
  <c r="U10" i="387"/>
  <c r="T10" i="387"/>
  <c r="I10" i="387" s="1"/>
  <c r="F10" i="387"/>
  <c r="T9" i="387"/>
  <c r="I9" i="387" s="1"/>
  <c r="F9" i="387"/>
  <c r="T8" i="387"/>
  <c r="I8" i="387" s="1"/>
  <c r="F8" i="387"/>
  <c r="K7" i="387"/>
  <c r="U7" i="387"/>
  <c r="T7" i="387"/>
  <c r="I7" i="387" s="1"/>
  <c r="F7" i="387"/>
  <c r="T6" i="387"/>
  <c r="I6" i="387" s="1"/>
  <c r="F6" i="387"/>
  <c r="T5" i="387"/>
  <c r="I5" i="387" s="1"/>
  <c r="F5" i="387"/>
  <c r="N34" i="386"/>
  <c r="O37" i="386" s="1"/>
  <c r="F32" i="386"/>
  <c r="H44" i="386" s="1"/>
  <c r="K31" i="386"/>
  <c r="M43" i="386" s="1"/>
  <c r="U31" i="386"/>
  <c r="F31" i="386"/>
  <c r="H43" i="386" s="1"/>
  <c r="F30" i="386"/>
  <c r="H42" i="386" s="1"/>
  <c r="F29" i="386"/>
  <c r="H41" i="386" s="1"/>
  <c r="K28" i="386"/>
  <c r="U28" i="386"/>
  <c r="M40" i="386" s="1"/>
  <c r="F28" i="386"/>
  <c r="F27" i="386"/>
  <c r="K25" i="386"/>
  <c r="U25" i="386"/>
  <c r="M37" i="386" s="1"/>
  <c r="T25" i="386"/>
  <c r="I25" i="386" s="1"/>
  <c r="F25" i="386"/>
  <c r="T24" i="386"/>
  <c r="I24" i="386" s="1"/>
  <c r="J36" i="386" s="1"/>
  <c r="F24" i="386"/>
  <c r="T23" i="386"/>
  <c r="I23" i="386" s="1"/>
  <c r="F23" i="386"/>
  <c r="K22" i="386"/>
  <c r="U22" i="386"/>
  <c r="M34" i="386" s="1"/>
  <c r="T22" i="386"/>
  <c r="I22" i="386" s="1"/>
  <c r="J34" i="386" s="1"/>
  <c r="F22" i="386"/>
  <c r="T21" i="386"/>
  <c r="I21" i="386" s="1"/>
  <c r="F21" i="386"/>
  <c r="T20" i="386"/>
  <c r="I20" i="386" s="1"/>
  <c r="J32" i="386" s="1"/>
  <c r="F20" i="386"/>
  <c r="K19" i="386"/>
  <c r="U19" i="386"/>
  <c r="T19" i="386"/>
  <c r="I19" i="386" s="1"/>
  <c r="F19" i="386"/>
  <c r="T18" i="386"/>
  <c r="I18" i="386" s="1"/>
  <c r="J30" i="386" s="1"/>
  <c r="F18" i="386"/>
  <c r="T17" i="386"/>
  <c r="I17" i="386" s="1"/>
  <c r="F17" i="386"/>
  <c r="K16" i="386"/>
  <c r="U16" i="386"/>
  <c r="T16" i="386"/>
  <c r="I16" i="386" s="1"/>
  <c r="J28" i="386" s="1"/>
  <c r="F16" i="386"/>
  <c r="T15" i="386"/>
  <c r="I15" i="386" s="1"/>
  <c r="J27" i="386" s="1"/>
  <c r="F15" i="386"/>
  <c r="T14" i="386"/>
  <c r="I14" i="386" s="1"/>
  <c r="J26" i="386" s="1"/>
  <c r="F14" i="386"/>
  <c r="K13" i="386"/>
  <c r="U13" i="386"/>
  <c r="T13" i="386"/>
  <c r="I13" i="386" s="1"/>
  <c r="F13" i="386"/>
  <c r="T12" i="386"/>
  <c r="I12" i="386" s="1"/>
  <c r="F12" i="386"/>
  <c r="T11" i="386"/>
  <c r="I11" i="386" s="1"/>
  <c r="F11" i="386"/>
  <c r="K10" i="386"/>
  <c r="U10" i="386"/>
  <c r="T10" i="386"/>
  <c r="I10" i="386" s="1"/>
  <c r="F10" i="386"/>
  <c r="T9" i="386"/>
  <c r="I9" i="386" s="1"/>
  <c r="F9" i="386"/>
  <c r="T8" i="386"/>
  <c r="I8" i="386" s="1"/>
  <c r="F8" i="386"/>
  <c r="K7" i="386"/>
  <c r="U7" i="386"/>
  <c r="T7" i="386"/>
  <c r="I7" i="386" s="1"/>
  <c r="F7" i="386"/>
  <c r="T6" i="386"/>
  <c r="I6" i="386" s="1"/>
  <c r="F6" i="386"/>
  <c r="T5" i="386"/>
  <c r="I5" i="386" s="1"/>
  <c r="F5" i="386"/>
  <c r="N34" i="388" l="1"/>
  <c r="O37" i="388" s="1"/>
  <c r="J18" i="386"/>
  <c r="J20" i="386"/>
  <c r="J22" i="386"/>
  <c r="J24" i="386"/>
  <c r="J17" i="388"/>
  <c r="J24" i="388"/>
  <c r="J24" i="387"/>
  <c r="J19" i="387"/>
  <c r="J19" i="388"/>
  <c r="J19" i="386"/>
  <c r="J31" i="386"/>
  <c r="J21" i="386"/>
  <c r="J33" i="386"/>
  <c r="J23" i="386"/>
  <c r="J35" i="386"/>
  <c r="J28" i="387"/>
  <c r="J40" i="387"/>
  <c r="J30" i="387"/>
  <c r="J42" i="387"/>
  <c r="J32" i="387"/>
  <c r="J44" i="387"/>
  <c r="J25" i="388"/>
  <c r="J37" i="388"/>
  <c r="J22" i="388"/>
  <c r="J34" i="388"/>
  <c r="J21" i="388"/>
  <c r="J33" i="388"/>
  <c r="J23" i="388"/>
  <c r="J35" i="388"/>
  <c r="J21" i="387"/>
  <c r="J33" i="387"/>
  <c r="J31" i="387"/>
  <c r="J43" i="387"/>
  <c r="J30" i="388"/>
  <c r="J42" i="388"/>
  <c r="J20" i="388"/>
  <c r="J32" i="388"/>
  <c r="J23" i="387"/>
  <c r="J35" i="387"/>
  <c r="J17" i="386"/>
  <c r="J29" i="386"/>
  <c r="J26" i="387"/>
  <c r="J38" i="387"/>
  <c r="J17" i="387"/>
  <c r="J22" i="387"/>
  <c r="J34" i="387"/>
  <c r="J18" i="388"/>
  <c r="J25" i="386"/>
  <c r="J37" i="386"/>
  <c r="J27" i="387"/>
  <c r="J39" i="387"/>
  <c r="J29" i="387"/>
  <c r="J41" i="387"/>
  <c r="J29" i="388"/>
  <c r="J41" i="388"/>
  <c r="J31" i="388"/>
  <c r="J43" i="388"/>
  <c r="J18" i="387"/>
  <c r="J20" i="387"/>
  <c r="J25" i="387"/>
  <c r="J37" i="387"/>
  <c r="J26" i="388"/>
  <c r="J38" i="388"/>
  <c r="J27" i="388"/>
  <c r="J39" i="388"/>
  <c r="J28" i="388"/>
  <c r="J40" i="388"/>
  <c r="O34" i="389"/>
  <c r="L37" i="388"/>
  <c r="H25" i="386"/>
  <c r="H34" i="386"/>
  <c r="H35" i="386"/>
  <c r="H37" i="386"/>
  <c r="H39" i="386"/>
  <c r="H39" i="387"/>
  <c r="H40" i="386"/>
  <c r="H33" i="387"/>
  <c r="H36" i="387"/>
  <c r="H33" i="386"/>
  <c r="H36" i="386"/>
  <c r="H40" i="387"/>
  <c r="G10" i="388"/>
  <c r="H17" i="388"/>
  <c r="H26" i="388"/>
  <c r="H34" i="387"/>
  <c r="H35" i="387"/>
  <c r="H37" i="387"/>
  <c r="N34" i="387"/>
  <c r="O37" i="387" s="1"/>
  <c r="G13" i="388"/>
  <c r="D37" i="389"/>
  <c r="B34" i="388"/>
  <c r="H44" i="388"/>
  <c r="L34" i="386"/>
  <c r="L34" i="387"/>
  <c r="C31" i="388"/>
  <c r="E43" i="388" s="1"/>
  <c r="H41" i="388"/>
  <c r="B16" i="388"/>
  <c r="M19" i="387"/>
  <c r="D19" i="389"/>
  <c r="H24" i="386"/>
  <c r="H18" i="387"/>
  <c r="G25" i="388"/>
  <c r="H37" i="388"/>
  <c r="H24" i="387"/>
  <c r="G32" i="388"/>
  <c r="H32" i="388"/>
  <c r="C34" i="388"/>
  <c r="E46" i="388" s="1"/>
  <c r="M25" i="386"/>
  <c r="H31" i="387"/>
  <c r="G33" i="388"/>
  <c r="M31" i="387"/>
  <c r="O22" i="389"/>
  <c r="M34" i="388"/>
  <c r="L34" i="388"/>
  <c r="C34" i="387"/>
  <c r="E46" i="387" s="1"/>
  <c r="B34" i="387"/>
  <c r="C34" i="386"/>
  <c r="E46" i="386" s="1"/>
  <c r="B34" i="386"/>
  <c r="E34" i="389"/>
  <c r="D34" i="389"/>
  <c r="L19" i="388"/>
  <c r="L22" i="388"/>
  <c r="M19" i="388"/>
  <c r="G33" i="386"/>
  <c r="G33" i="387"/>
  <c r="B22" i="388"/>
  <c r="H33" i="388"/>
  <c r="O25" i="389"/>
  <c r="O28" i="389"/>
  <c r="L25" i="388"/>
  <c r="M31" i="388"/>
  <c r="N16" i="388"/>
  <c r="D31" i="389"/>
  <c r="O19" i="389"/>
  <c r="L31" i="388"/>
  <c r="O13" i="389"/>
  <c r="O31" i="389"/>
  <c r="N25" i="388"/>
  <c r="N22" i="388"/>
  <c r="E31" i="389"/>
  <c r="E19" i="389"/>
  <c r="D10" i="389"/>
  <c r="L16" i="388"/>
  <c r="L10" i="388"/>
  <c r="E25" i="389"/>
  <c r="O16" i="389"/>
  <c r="O10" i="389"/>
  <c r="D13" i="389"/>
  <c r="D16" i="389"/>
  <c r="D22" i="389"/>
  <c r="E22" i="389"/>
  <c r="D25" i="389"/>
  <c r="D28" i="389"/>
  <c r="E28" i="389"/>
  <c r="B25" i="388"/>
  <c r="N13" i="388"/>
  <c r="M25" i="388"/>
  <c r="C16" i="388"/>
  <c r="E28" i="388" s="1"/>
  <c r="C19" i="388"/>
  <c r="N19" i="388"/>
  <c r="B19" i="388"/>
  <c r="G26" i="388"/>
  <c r="G15" i="388"/>
  <c r="N28" i="388"/>
  <c r="G14" i="388"/>
  <c r="H25" i="388"/>
  <c r="N10" i="388"/>
  <c r="G21" i="388"/>
  <c r="B13" i="388"/>
  <c r="C13" i="388"/>
  <c r="G17" i="388"/>
  <c r="L13" i="388"/>
  <c r="G16" i="388"/>
  <c r="M22" i="388"/>
  <c r="C10" i="388"/>
  <c r="D10" i="388" s="1"/>
  <c r="B10" i="388"/>
  <c r="H29" i="388"/>
  <c r="G9" i="388"/>
  <c r="H28" i="388"/>
  <c r="N7" i="388"/>
  <c r="G18" i="388"/>
  <c r="H21" i="388"/>
  <c r="N31" i="388"/>
  <c r="M28" i="388"/>
  <c r="L28" i="388"/>
  <c r="B31" i="388"/>
  <c r="G30" i="388"/>
  <c r="G29" i="388"/>
  <c r="G22" i="388"/>
  <c r="C25" i="388"/>
  <c r="E37" i="388" s="1"/>
  <c r="C22" i="388"/>
  <c r="B7" i="386"/>
  <c r="G15" i="387"/>
  <c r="G18" i="387"/>
  <c r="G30" i="387"/>
  <c r="G8" i="386"/>
  <c r="N7" i="387"/>
  <c r="N19" i="387"/>
  <c r="N22" i="387"/>
  <c r="N31" i="387"/>
  <c r="M22" i="387"/>
  <c r="N28" i="387"/>
  <c r="B7" i="387"/>
  <c r="G7" i="387"/>
  <c r="C10" i="387"/>
  <c r="G10" i="387"/>
  <c r="C13" i="387"/>
  <c r="B16" i="387"/>
  <c r="B22" i="387"/>
  <c r="C25" i="387"/>
  <c r="E37" i="387" s="1"/>
  <c r="G25" i="387"/>
  <c r="B28" i="387"/>
  <c r="L16" i="387"/>
  <c r="C31" i="387"/>
  <c r="E43" i="387" s="1"/>
  <c r="G31" i="387"/>
  <c r="N25" i="387"/>
  <c r="H30" i="387"/>
  <c r="H32" i="387"/>
  <c r="C19" i="387"/>
  <c r="G19" i="387"/>
  <c r="G24" i="387"/>
  <c r="H29" i="387"/>
  <c r="G8" i="387"/>
  <c r="G13" i="387"/>
  <c r="C16" i="387"/>
  <c r="H20" i="387"/>
  <c r="H25" i="387"/>
  <c r="H28" i="387"/>
  <c r="H19" i="387"/>
  <c r="N10" i="387"/>
  <c r="N13" i="387"/>
  <c r="G16" i="387"/>
  <c r="H22" i="387"/>
  <c r="L19" i="387"/>
  <c r="G9" i="387"/>
  <c r="L13" i="387"/>
  <c r="N16" i="387"/>
  <c r="H17" i="387"/>
  <c r="H21" i="387"/>
  <c r="H27" i="387"/>
  <c r="M28" i="387"/>
  <c r="C7" i="387"/>
  <c r="G12" i="387"/>
  <c r="H23" i="387"/>
  <c r="L31" i="387"/>
  <c r="G6" i="387"/>
  <c r="B10" i="387"/>
  <c r="L10" i="387"/>
  <c r="G11" i="387"/>
  <c r="G20" i="387"/>
  <c r="G21" i="387"/>
  <c r="C22" i="387"/>
  <c r="G22" i="387"/>
  <c r="M25" i="387"/>
  <c r="G26" i="387"/>
  <c r="G27" i="387"/>
  <c r="C28" i="387"/>
  <c r="E40" i="387" s="1"/>
  <c r="G28" i="387"/>
  <c r="G32" i="387"/>
  <c r="G9" i="386"/>
  <c r="G15" i="386"/>
  <c r="G18" i="386"/>
  <c r="G24" i="386"/>
  <c r="G30" i="386"/>
  <c r="B13" i="387"/>
  <c r="G14" i="387"/>
  <c r="B19" i="387"/>
  <c r="L22" i="387"/>
  <c r="B25" i="387"/>
  <c r="H26" i="387"/>
  <c r="L28" i="387"/>
  <c r="B31" i="387"/>
  <c r="L25" i="387"/>
  <c r="G17" i="387"/>
  <c r="G23" i="387"/>
  <c r="G29" i="387"/>
  <c r="N7" i="386"/>
  <c r="B10" i="386"/>
  <c r="B16" i="386"/>
  <c r="H32" i="386"/>
  <c r="N10" i="386"/>
  <c r="N13" i="386"/>
  <c r="N16" i="386"/>
  <c r="N22" i="386"/>
  <c r="N25" i="386"/>
  <c r="N28" i="386"/>
  <c r="C31" i="386"/>
  <c r="E43" i="386" s="1"/>
  <c r="H29" i="386"/>
  <c r="G31" i="386"/>
  <c r="M31" i="386"/>
  <c r="N31" i="386"/>
  <c r="O34" i="386" s="1"/>
  <c r="H30" i="386"/>
  <c r="C19" i="386"/>
  <c r="G19" i="386"/>
  <c r="C22" i="386"/>
  <c r="G22" i="386"/>
  <c r="N19" i="386"/>
  <c r="C25" i="386"/>
  <c r="E37" i="386" s="1"/>
  <c r="G25" i="386"/>
  <c r="C28" i="386"/>
  <c r="E40" i="386" s="1"/>
  <c r="H31" i="386"/>
  <c r="C7" i="386"/>
  <c r="H17" i="386"/>
  <c r="H21" i="386"/>
  <c r="M22" i="386"/>
  <c r="G7" i="386"/>
  <c r="C10" i="386"/>
  <c r="L16" i="386"/>
  <c r="H19" i="386"/>
  <c r="L19" i="386"/>
  <c r="H28" i="386"/>
  <c r="G6" i="386"/>
  <c r="C13" i="386"/>
  <c r="G13" i="386"/>
  <c r="C16" i="386"/>
  <c r="L10" i="386"/>
  <c r="G16" i="386"/>
  <c r="H27" i="386"/>
  <c r="M28" i="386"/>
  <c r="G12" i="386"/>
  <c r="H18" i="386"/>
  <c r="L31" i="386"/>
  <c r="G10" i="386"/>
  <c r="G11" i="386"/>
  <c r="M19" i="386"/>
  <c r="G21" i="386"/>
  <c r="G26" i="386"/>
  <c r="G27" i="386"/>
  <c r="G28" i="386"/>
  <c r="G32" i="386"/>
  <c r="B13" i="386"/>
  <c r="L13" i="386"/>
  <c r="G14" i="386"/>
  <c r="B19" i="386"/>
  <c r="H20" i="386"/>
  <c r="H22" i="386"/>
  <c r="L22" i="386"/>
  <c r="B25" i="386"/>
  <c r="H26" i="386"/>
  <c r="L28" i="386"/>
  <c r="B31" i="386"/>
  <c r="B22" i="386"/>
  <c r="H23" i="386"/>
  <c r="L25" i="386"/>
  <c r="B28" i="386"/>
  <c r="G20" i="386"/>
  <c r="G17" i="386"/>
  <c r="G23" i="386"/>
  <c r="G29" i="386"/>
  <c r="O34" i="388" l="1"/>
  <c r="D16" i="388"/>
  <c r="D31" i="388"/>
  <c r="O34" i="387"/>
  <c r="D37" i="386"/>
  <c r="D37" i="387"/>
  <c r="D37" i="388"/>
  <c r="D34" i="388"/>
  <c r="E34" i="388"/>
  <c r="O10" i="386"/>
  <c r="E34" i="386"/>
  <c r="D34" i="386"/>
  <c r="E34" i="387"/>
  <c r="D34" i="387"/>
  <c r="O19" i="388"/>
  <c r="O16" i="388"/>
  <c r="O28" i="388"/>
  <c r="O25" i="388"/>
  <c r="O22" i="388"/>
  <c r="D19" i="388"/>
  <c r="O13" i="388"/>
  <c r="O31" i="388"/>
  <c r="E19" i="388"/>
  <c r="E31" i="388"/>
  <c r="E28" i="386"/>
  <c r="O10" i="388"/>
  <c r="D13" i="388"/>
  <c r="E22" i="388"/>
  <c r="D22" i="388"/>
  <c r="E25" i="388"/>
  <c r="E31" i="387"/>
  <c r="O22" i="387"/>
  <c r="D25" i="388"/>
  <c r="D28" i="388"/>
  <c r="O28" i="386"/>
  <c r="E25" i="387"/>
  <c r="D19" i="387"/>
  <c r="D31" i="387"/>
  <c r="O25" i="387"/>
  <c r="O31" i="387"/>
  <c r="E19" i="387"/>
  <c r="O28" i="387"/>
  <c r="O10" i="387"/>
  <c r="E31" i="386"/>
  <c r="O31" i="386"/>
  <c r="O16" i="386"/>
  <c r="O13" i="386"/>
  <c r="O25" i="386"/>
  <c r="D16" i="387"/>
  <c r="D19" i="386"/>
  <c r="E19" i="386"/>
  <c r="O13" i="387"/>
  <c r="D13" i="387"/>
  <c r="D10" i="387"/>
  <c r="O16" i="387"/>
  <c r="O19" i="387"/>
  <c r="E22" i="387"/>
  <c r="D22" i="387"/>
  <c r="E22" i="386"/>
  <c r="D25" i="386"/>
  <c r="D13" i="386"/>
  <c r="O19" i="386"/>
  <c r="E28" i="387"/>
  <c r="D28" i="387"/>
  <c r="D25" i="387"/>
  <c r="D28" i="386"/>
  <c r="D10" i="386"/>
  <c r="D22" i="386"/>
  <c r="O22" i="386"/>
  <c r="D31" i="386"/>
  <c r="E25" i="386"/>
  <c r="D16" i="386"/>
  <c r="T32" i="385" l="1"/>
  <c r="I32" i="385" s="1"/>
  <c r="F32" i="385"/>
  <c r="H44" i="385" s="1"/>
  <c r="T31" i="385"/>
  <c r="I31" i="385" s="1"/>
  <c r="F31" i="385"/>
  <c r="H43" i="385" s="1"/>
  <c r="T30" i="385"/>
  <c r="I30" i="385" s="1"/>
  <c r="F30" i="385"/>
  <c r="H42" i="385" s="1"/>
  <c r="T29" i="385"/>
  <c r="I29" i="385" s="1"/>
  <c r="F29" i="385"/>
  <c r="H41" i="385" s="1"/>
  <c r="T28" i="385"/>
  <c r="I28" i="385" s="1"/>
  <c r="J40" i="385" s="1"/>
  <c r="F28" i="385"/>
  <c r="T27" i="385"/>
  <c r="I27" i="385" s="1"/>
  <c r="F27" i="385"/>
  <c r="T26" i="385"/>
  <c r="I26" i="385" s="1"/>
  <c r="T25" i="385"/>
  <c r="I25" i="385" s="1"/>
  <c r="F25" i="385"/>
  <c r="T24" i="385"/>
  <c r="I24" i="385" s="1"/>
  <c r="J36" i="385" s="1"/>
  <c r="F24" i="385"/>
  <c r="T23" i="385"/>
  <c r="I23" i="385" s="1"/>
  <c r="F23" i="385"/>
  <c r="T22" i="385"/>
  <c r="I22" i="385" s="1"/>
  <c r="F22" i="385"/>
  <c r="T21" i="385"/>
  <c r="I21" i="385" s="1"/>
  <c r="F21" i="385"/>
  <c r="T20" i="385"/>
  <c r="I20" i="385" s="1"/>
  <c r="F20" i="385"/>
  <c r="T19" i="385"/>
  <c r="I19" i="385" s="1"/>
  <c r="F19" i="385"/>
  <c r="T18" i="385"/>
  <c r="I18" i="385" s="1"/>
  <c r="F18" i="385"/>
  <c r="T17" i="385"/>
  <c r="I17" i="385" s="1"/>
  <c r="F17" i="385"/>
  <c r="T16" i="385"/>
  <c r="I16" i="385" s="1"/>
  <c r="F16" i="385"/>
  <c r="T15" i="385"/>
  <c r="I15" i="385" s="1"/>
  <c r="F15" i="385"/>
  <c r="T14" i="385"/>
  <c r="I14" i="385" s="1"/>
  <c r="F14" i="385"/>
  <c r="T13" i="385"/>
  <c r="I13" i="385" s="1"/>
  <c r="F13" i="385"/>
  <c r="T12" i="385"/>
  <c r="I12" i="385" s="1"/>
  <c r="F12" i="385"/>
  <c r="T11" i="385"/>
  <c r="I11" i="385" s="1"/>
  <c r="F11" i="385"/>
  <c r="T10" i="385"/>
  <c r="I10" i="385" s="1"/>
  <c r="F10" i="385"/>
  <c r="T9" i="385"/>
  <c r="I9" i="385" s="1"/>
  <c r="F9" i="385"/>
  <c r="T8" i="385"/>
  <c r="I8" i="385" s="1"/>
  <c r="F8" i="385"/>
  <c r="T7" i="385"/>
  <c r="I7" i="385" s="1"/>
  <c r="F7" i="385"/>
  <c r="T6" i="385"/>
  <c r="I6" i="385" s="1"/>
  <c r="F6" i="385"/>
  <c r="T5" i="385"/>
  <c r="I5" i="385" s="1"/>
  <c r="F5" i="385"/>
  <c r="J20" i="385" l="1"/>
  <c r="J24" i="385"/>
  <c r="J28" i="385"/>
  <c r="J30" i="385"/>
  <c r="J42" i="385"/>
  <c r="J18" i="385"/>
  <c r="J19" i="385"/>
  <c r="J22" i="385"/>
  <c r="J34" i="385"/>
  <c r="J17" i="385"/>
  <c r="J23" i="385"/>
  <c r="J35" i="385"/>
  <c r="J31" i="385"/>
  <c r="J43" i="385"/>
  <c r="J27" i="385"/>
  <c r="J39" i="385"/>
  <c r="J25" i="385"/>
  <c r="J37" i="385"/>
  <c r="J21" i="385"/>
  <c r="J33" i="385"/>
  <c r="J26" i="385"/>
  <c r="J38" i="385"/>
  <c r="J29" i="385"/>
  <c r="J41" i="385"/>
  <c r="J32" i="385"/>
  <c r="J44" i="385"/>
  <c r="H39" i="385"/>
  <c r="H33" i="385"/>
  <c r="H35" i="385"/>
  <c r="H37" i="385"/>
  <c r="H40" i="385"/>
  <c r="H26" i="385"/>
  <c r="H34" i="385"/>
  <c r="H36" i="385"/>
  <c r="N34" i="385"/>
  <c r="O37" i="385" s="1"/>
  <c r="N16" i="385"/>
  <c r="N10" i="385"/>
  <c r="N31" i="385"/>
  <c r="N7" i="385"/>
  <c r="N19" i="385"/>
  <c r="N25" i="385"/>
  <c r="N22" i="385"/>
  <c r="N13" i="385"/>
  <c r="N28" i="385"/>
  <c r="C34" i="385"/>
  <c r="E46" i="385" s="1"/>
  <c r="B34" i="385"/>
  <c r="G33" i="385"/>
  <c r="G30" i="385"/>
  <c r="G27" i="385"/>
  <c r="H21" i="385"/>
  <c r="G18" i="385"/>
  <c r="G11" i="385"/>
  <c r="G15" i="385"/>
  <c r="G12" i="385"/>
  <c r="G23" i="385"/>
  <c r="H30" i="385"/>
  <c r="G19" i="385"/>
  <c r="G21" i="385"/>
  <c r="G26" i="385"/>
  <c r="B28" i="385"/>
  <c r="G13" i="385"/>
  <c r="H24" i="385"/>
  <c r="C7" i="385"/>
  <c r="B10" i="385"/>
  <c r="B16" i="385"/>
  <c r="H22" i="385"/>
  <c r="G17" i="385"/>
  <c r="H27" i="385"/>
  <c r="C10" i="385"/>
  <c r="C16" i="385"/>
  <c r="G20" i="385"/>
  <c r="H23" i="385"/>
  <c r="G24" i="385"/>
  <c r="B25" i="385"/>
  <c r="H28" i="385"/>
  <c r="H17" i="385"/>
  <c r="G8" i="385"/>
  <c r="G9" i="385"/>
  <c r="G10" i="385"/>
  <c r="G14" i="385"/>
  <c r="G16" i="385"/>
  <c r="H20" i="385"/>
  <c r="B22" i="385"/>
  <c r="H25" i="385"/>
  <c r="G29" i="385"/>
  <c r="B7" i="385"/>
  <c r="G7" i="385"/>
  <c r="B13" i="385"/>
  <c r="C13" i="385"/>
  <c r="B19" i="385"/>
  <c r="H29" i="385"/>
  <c r="H31" i="385"/>
  <c r="G32" i="385"/>
  <c r="H32" i="385"/>
  <c r="B31" i="385"/>
  <c r="H18" i="385"/>
  <c r="G22" i="385"/>
  <c r="C25" i="385"/>
  <c r="E37" i="385" s="1"/>
  <c r="G25" i="385"/>
  <c r="C28" i="385"/>
  <c r="E40" i="385" s="1"/>
  <c r="G28" i="385"/>
  <c r="C31" i="385"/>
  <c r="E43" i="385" s="1"/>
  <c r="G31" i="385"/>
  <c r="C22" i="385"/>
  <c r="G6" i="385"/>
  <c r="H19" i="385"/>
  <c r="C19" i="385"/>
  <c r="F32" i="88"/>
  <c r="H44" i="88" s="1"/>
  <c r="F32" i="148"/>
  <c r="H44" i="148" s="1"/>
  <c r="F32" i="35"/>
  <c r="F32" i="202"/>
  <c r="H44" i="202" s="1"/>
  <c r="F32" i="4"/>
  <c r="H44" i="4" s="1"/>
  <c r="F32" i="299"/>
  <c r="H44" i="299" s="1"/>
  <c r="F32" i="190"/>
  <c r="H44" i="190" s="1"/>
  <c r="F32" i="5"/>
  <c r="H44" i="5" s="1"/>
  <c r="F32" i="207"/>
  <c r="H44" i="207" s="1"/>
  <c r="F32" i="303"/>
  <c r="H44" i="303" s="1"/>
  <c r="F32" i="9"/>
  <c r="H44" i="9" s="1"/>
  <c r="F32" i="3"/>
  <c r="H44" i="3" s="1"/>
  <c r="F32" i="17"/>
  <c r="H44" i="17" s="1"/>
  <c r="F32" i="19"/>
  <c r="H44" i="19" s="1"/>
  <c r="F32" i="347"/>
  <c r="H44" i="347" s="1"/>
  <c r="F32" i="384"/>
  <c r="H44" i="384" s="1"/>
  <c r="F32" i="113"/>
  <c r="H44" i="113" s="1"/>
  <c r="F32" i="361"/>
  <c r="H44" i="361" s="1"/>
  <c r="F32" i="351"/>
  <c r="H44" i="351" s="1"/>
  <c r="F32" i="352"/>
  <c r="H44" i="352" s="1"/>
  <c r="F32" i="322"/>
  <c r="H44" i="322" s="1"/>
  <c r="F32" i="353"/>
  <c r="F32" i="362"/>
  <c r="H44" i="362" s="1"/>
  <c r="F32" i="354"/>
  <c r="H44" i="354" s="1"/>
  <c r="F32" i="355"/>
  <c r="H44" i="355" s="1"/>
  <c r="F32" i="48"/>
  <c r="H44" i="48" s="1"/>
  <c r="F32" i="7"/>
  <c r="H44" i="7" s="1"/>
  <c r="F32" i="23"/>
  <c r="H44" i="23" s="1"/>
  <c r="F32" i="37"/>
  <c r="H44" i="37" s="1"/>
  <c r="F32" i="12"/>
  <c r="H44" i="12" s="1"/>
  <c r="F32" i="356"/>
  <c r="H44" i="356" s="1"/>
  <c r="F32" i="314"/>
  <c r="H44" i="314" s="1"/>
  <c r="F32" i="13"/>
  <c r="H44" i="13" s="1"/>
  <c r="F32" i="261"/>
  <c r="H44" i="261" s="1"/>
  <c r="F32" i="153"/>
  <c r="H44" i="153" s="1"/>
  <c r="F32" i="257"/>
  <c r="H44" i="257" s="1"/>
  <c r="F32" i="21"/>
  <c r="H44" i="21" s="1"/>
  <c r="E32" i="369"/>
  <c r="F32" i="367"/>
  <c r="H44" i="367" s="1"/>
  <c r="F32" i="31"/>
  <c r="H44" i="31" s="1"/>
  <c r="F32" i="364"/>
  <c r="H44" i="364" s="1"/>
  <c r="F32" i="368"/>
  <c r="H44" i="368" s="1"/>
  <c r="F32" i="204"/>
  <c r="H44" i="204" s="1"/>
  <c r="F32" i="363"/>
  <c r="H44" i="363" s="1"/>
  <c r="F32" i="168"/>
  <c r="H44" i="168" s="1"/>
  <c r="F32" i="169"/>
  <c r="H44" i="169" s="1"/>
  <c r="F32" i="336"/>
  <c r="H44" i="336" s="1"/>
  <c r="F32" i="28"/>
  <c r="H44" i="28" s="1"/>
  <c r="F32" i="29"/>
  <c r="H44" i="29" s="1"/>
  <c r="F32" i="359"/>
  <c r="H44" i="359" s="1"/>
  <c r="F32" i="360"/>
  <c r="H44" i="360" s="1"/>
  <c r="F32" i="8"/>
  <c r="H44" i="8" s="1"/>
  <c r="F32" i="342"/>
  <c r="H44" i="342" s="1"/>
  <c r="F32" i="334"/>
  <c r="H44" i="334" s="1"/>
  <c r="F32" i="33"/>
  <c r="H44" i="33" s="1"/>
  <c r="F32" i="349"/>
  <c r="H44" i="349" s="1"/>
  <c r="F32" i="319"/>
  <c r="H44" i="319" s="1"/>
  <c r="F32" i="320"/>
  <c r="H44" i="320" s="1"/>
  <c r="E32" i="343"/>
  <c r="F32" i="288"/>
  <c r="H44" i="288" s="1"/>
  <c r="F32" i="337"/>
  <c r="H44" i="337" s="1"/>
  <c r="F32" i="227"/>
  <c r="H44" i="227" s="1"/>
  <c r="F32" i="43"/>
  <c r="H44" i="43" s="1"/>
  <c r="F32" i="290"/>
  <c r="H44" i="290" s="1"/>
  <c r="F32" i="289"/>
  <c r="H44" i="289" s="1"/>
  <c r="F32" i="298"/>
  <c r="H44" i="298" s="1"/>
  <c r="F32" i="357"/>
  <c r="H44" i="357" s="1"/>
  <c r="F32" i="293"/>
  <c r="H44" i="293" s="1"/>
  <c r="F32" i="348"/>
  <c r="H44" i="348" s="1"/>
  <c r="F32" i="16"/>
  <c r="H44" i="16" s="1"/>
  <c r="F32" i="194"/>
  <c r="H44" i="194" s="1"/>
  <c r="F32" i="193"/>
  <c r="H44" i="193" s="1"/>
  <c r="F32" i="297"/>
  <c r="H44" i="297" s="1"/>
  <c r="F32" i="350"/>
  <c r="H44" i="350" s="1"/>
  <c r="F32" i="18"/>
  <c r="H44" i="18" s="1"/>
  <c r="F32" i="20"/>
  <c r="H44" i="20" s="1"/>
  <c r="F32" i="114"/>
  <c r="H44" i="114" s="1"/>
  <c r="F32" i="1"/>
  <c r="H44" i="1" s="1"/>
  <c r="F32" i="323"/>
  <c r="H44" i="323" s="1"/>
  <c r="F32" i="233"/>
  <c r="H44" i="233" s="1"/>
  <c r="F32" i="191"/>
  <c r="H44" i="191" s="1"/>
  <c r="F32" i="105"/>
  <c r="H44" i="105" s="1"/>
  <c r="F32" i="294"/>
  <c r="H44" i="294" s="1"/>
  <c r="F32" i="365"/>
  <c r="H44" i="365" s="1"/>
  <c r="F32" i="366"/>
  <c r="H44" i="366" s="1"/>
  <c r="F32" i="206"/>
  <c r="H44" i="206" s="1"/>
  <c r="F32" i="22"/>
  <c r="H44" i="22" s="1"/>
  <c r="F32" i="301"/>
  <c r="H44" i="301" s="1"/>
  <c r="F32" i="344"/>
  <c r="H44" i="344" s="1"/>
  <c r="F32" i="61"/>
  <c r="H44" i="61" s="1"/>
  <c r="F32" i="338"/>
  <c r="H44" i="338" s="1"/>
  <c r="F32" i="340"/>
  <c r="H44" i="340" s="1"/>
  <c r="F32" i="34"/>
  <c r="H44" i="34" s="1"/>
  <c r="F32" i="174"/>
  <c r="H44" i="174" s="1"/>
  <c r="F32" i="135"/>
  <c r="H44" i="135" s="1"/>
  <c r="F32" i="333"/>
  <c r="H44" i="333" s="1"/>
  <c r="F32" i="295"/>
  <c r="H44" i="295" s="1"/>
  <c r="F32" i="283"/>
  <c r="H44" i="283" s="1"/>
  <c r="F32" i="187"/>
  <c r="H44" i="187" s="1"/>
  <c r="F32" i="284"/>
  <c r="H44" i="284" s="1"/>
  <c r="F32" i="292"/>
  <c r="H44" i="292" s="1"/>
  <c r="F32" i="269"/>
  <c r="H44" i="269" s="1"/>
  <c r="F32" i="325"/>
  <c r="H44" i="325" s="1"/>
  <c r="F32" i="11"/>
  <c r="H44" i="11" s="1"/>
  <c r="F32" i="279"/>
  <c r="H44" i="279" s="1"/>
  <c r="F32" i="335"/>
  <c r="H44" i="335" s="1"/>
  <c r="F32" i="54"/>
  <c r="H44" i="54" s="1"/>
  <c r="F32" i="101"/>
  <c r="H44" i="101" s="1"/>
  <c r="F32" i="382"/>
  <c r="H44" i="382" s="1"/>
  <c r="F32" i="102"/>
  <c r="H44" i="102" s="1"/>
  <c r="F32" i="103"/>
  <c r="H44" i="103" s="1"/>
  <c r="F32" i="265"/>
  <c r="H44" i="265" s="1"/>
  <c r="F32" i="296"/>
  <c r="H44" i="296" s="1"/>
  <c r="F32" i="75"/>
  <c r="H44" i="75" s="1"/>
  <c r="F32" i="262"/>
  <c r="H44" i="262" s="1"/>
  <c r="F32" i="249"/>
  <c r="H44" i="249" s="1"/>
  <c r="F32" i="201"/>
  <c r="H44" i="201" s="1"/>
  <c r="F32" i="112"/>
  <c r="H44" i="112" s="1"/>
  <c r="F32" i="109"/>
  <c r="H44" i="109" s="1"/>
  <c r="F32" i="2"/>
  <c r="H44" i="2" s="1"/>
  <c r="F32" i="85"/>
  <c r="H44" i="85" s="1"/>
  <c r="F32" i="324"/>
  <c r="H44" i="324" s="1"/>
  <c r="F32" i="32"/>
  <c r="H44" i="32" s="1"/>
  <c r="F32" i="203"/>
  <c r="H44" i="203" s="1"/>
  <c r="F32" i="164"/>
  <c r="H44" i="164" s="1"/>
  <c r="F32" i="162"/>
  <c r="H44" i="162" s="1"/>
  <c r="F32" i="196"/>
  <c r="H44" i="196" s="1"/>
  <c r="F32" i="197"/>
  <c r="H44" i="197" s="1"/>
  <c r="F32" i="198"/>
  <c r="H44" i="198" s="1"/>
  <c r="F32" i="345"/>
  <c r="H44" i="345" s="1"/>
  <c r="F32" i="346"/>
  <c r="H44" i="346" s="1"/>
  <c r="F32" i="74"/>
  <c r="H44" i="74" s="1"/>
  <c r="F32" i="200"/>
  <c r="H44" i="200" s="1"/>
  <c r="F32" i="280"/>
  <c r="H44" i="280" s="1"/>
  <c r="F32" i="97"/>
  <c r="H44" i="97" s="1"/>
  <c r="F32" i="383"/>
  <c r="H44" i="383" s="1"/>
  <c r="F32" i="45"/>
  <c r="H44" i="45" s="1"/>
  <c r="F32" i="104"/>
  <c r="H44" i="104" s="1"/>
  <c r="F32" i="254"/>
  <c r="H44" i="254" s="1"/>
  <c r="F32" i="181"/>
  <c r="H44" i="181" s="1"/>
  <c r="F32" i="183"/>
  <c r="H44" i="183" s="1"/>
  <c r="F32" i="184"/>
  <c r="H44" i="184" s="1"/>
  <c r="F32" i="27"/>
  <c r="H44" i="27" s="1"/>
  <c r="F32" i="143"/>
  <c r="H44" i="143" s="1"/>
  <c r="F32" i="268"/>
  <c r="H44" i="268" s="1"/>
  <c r="F32" i="263"/>
  <c r="H44" i="263" s="1"/>
  <c r="F32" i="209"/>
  <c r="H44" i="209" s="1"/>
  <c r="F32" i="192"/>
  <c r="H44" i="192" s="1"/>
  <c r="F32" i="140"/>
  <c r="H44" i="140" s="1"/>
  <c r="F32" i="270"/>
  <c r="H44" i="270" s="1"/>
  <c r="F32" i="271"/>
  <c r="H44" i="271" s="1"/>
  <c r="F32" i="159"/>
  <c r="H44" i="159" s="1"/>
  <c r="F32" i="160"/>
  <c r="H44" i="160" s="1"/>
  <c r="F32" i="107"/>
  <c r="H44" i="107" s="1"/>
  <c r="F32" i="176"/>
  <c r="H44" i="176" s="1"/>
  <c r="F32" i="53"/>
  <c r="H44" i="53" s="1"/>
  <c r="F32" i="52"/>
  <c r="H44" i="52" s="1"/>
  <c r="F32" i="281"/>
  <c r="H44" i="281" s="1"/>
  <c r="F32" i="332"/>
  <c r="H44" i="332" s="1"/>
  <c r="F32" i="25"/>
  <c r="H44" i="25" s="1"/>
  <c r="F32" i="24"/>
  <c r="H44" i="24" s="1"/>
  <c r="F32" i="318"/>
  <c r="H44" i="318" s="1"/>
  <c r="F32" i="116"/>
  <c r="H44" i="116" s="1"/>
  <c r="F32" i="272"/>
  <c r="H44" i="272" s="1"/>
  <c r="F32" i="285"/>
  <c r="H44" i="285" s="1"/>
  <c r="F32" i="44"/>
  <c r="H44" i="44" s="1"/>
  <c r="F32" i="87"/>
  <c r="H44" i="87" s="1"/>
  <c r="F32" i="287"/>
  <c r="H44" i="287" s="1"/>
  <c r="F32" i="276"/>
  <c r="H44" i="276" s="1"/>
  <c r="F32" i="229"/>
  <c r="H44" i="229" s="1"/>
  <c r="F32" i="230"/>
  <c r="H44" i="230" s="1"/>
  <c r="F32" i="328"/>
  <c r="H44" i="328" s="1"/>
  <c r="F32" i="329"/>
  <c r="H44" i="329" s="1"/>
  <c r="F32" i="326"/>
  <c r="H44" i="326" s="1"/>
  <c r="F32" i="47"/>
  <c r="H44" i="47" s="1"/>
  <c r="F32" i="248"/>
  <c r="H44" i="248" s="1"/>
  <c r="F32" i="46"/>
  <c r="H44" i="46" s="1"/>
  <c r="F32" i="239"/>
  <c r="H44" i="239" s="1"/>
  <c r="F32" i="243"/>
  <c r="H44" i="243" s="1"/>
  <c r="F32" i="244"/>
  <c r="H44" i="244" s="1"/>
  <c r="F32" i="246"/>
  <c r="H44" i="246" s="1"/>
  <c r="F32" i="89"/>
  <c r="H44" i="89" s="1"/>
  <c r="O34" i="385" l="1"/>
  <c r="O19" i="385"/>
  <c r="D37" i="385"/>
  <c r="H222" i="417"/>
  <c r="I234" i="417" s="1"/>
  <c r="H44" i="35"/>
  <c r="O25" i="385"/>
  <c r="O10" i="385"/>
  <c r="O13" i="385"/>
  <c r="O22" i="385"/>
  <c r="O28" i="385"/>
  <c r="O16" i="385"/>
  <c r="O31" i="385"/>
  <c r="C34" i="248"/>
  <c r="E46" i="248" s="1"/>
  <c r="B34" i="248"/>
  <c r="C34" i="44"/>
  <c r="E46" i="44" s="1"/>
  <c r="B34" i="44"/>
  <c r="C34" i="176"/>
  <c r="E46" i="176" s="1"/>
  <c r="B34" i="176"/>
  <c r="C34" i="209"/>
  <c r="E46" i="209" s="1"/>
  <c r="B34" i="209"/>
  <c r="B34" i="74"/>
  <c r="C34" i="74"/>
  <c r="E46" i="74" s="1"/>
  <c r="C34" i="85"/>
  <c r="E46" i="85" s="1"/>
  <c r="B34" i="85"/>
  <c r="C34" i="382"/>
  <c r="E46" i="382" s="1"/>
  <c r="B34" i="382"/>
  <c r="B34" i="283"/>
  <c r="C34" i="283"/>
  <c r="E46" i="283" s="1"/>
  <c r="C34" i="206"/>
  <c r="E46" i="206" s="1"/>
  <c r="B34" i="206"/>
  <c r="C34" i="350"/>
  <c r="E46" i="350" s="1"/>
  <c r="B34" i="350"/>
  <c r="C34" i="227"/>
  <c r="E46" i="227" s="1"/>
  <c r="B34" i="227"/>
  <c r="C34" i="336"/>
  <c r="E46" i="336" s="1"/>
  <c r="B34" i="336"/>
  <c r="C34" i="153"/>
  <c r="E46" i="153" s="1"/>
  <c r="B34" i="153"/>
  <c r="C34" i="351"/>
  <c r="E46" i="351" s="1"/>
  <c r="B34" i="351"/>
  <c r="C34" i="190"/>
  <c r="E46" i="190" s="1"/>
  <c r="B34" i="190"/>
  <c r="C34" i="47"/>
  <c r="E46" i="47" s="1"/>
  <c r="B34" i="47"/>
  <c r="C34" i="285"/>
  <c r="E46" i="285" s="1"/>
  <c r="B34" i="285"/>
  <c r="C34" i="24"/>
  <c r="E46" i="24" s="1"/>
  <c r="B34" i="24"/>
  <c r="C34" i="281"/>
  <c r="E46" i="281" s="1"/>
  <c r="B34" i="281"/>
  <c r="C34" i="107"/>
  <c r="E46" i="107" s="1"/>
  <c r="B34" i="107"/>
  <c r="C34" i="270"/>
  <c r="E46" i="270" s="1"/>
  <c r="B34" i="270"/>
  <c r="C34" i="263"/>
  <c r="E46" i="263" s="1"/>
  <c r="B34" i="263"/>
  <c r="B34" i="184"/>
  <c r="C34" i="184"/>
  <c r="E46" i="184" s="1"/>
  <c r="C34" i="254"/>
  <c r="E46" i="254" s="1"/>
  <c r="B34" i="254"/>
  <c r="C34" i="97"/>
  <c r="E46" i="97" s="1"/>
  <c r="B34" i="97"/>
  <c r="C34" i="346"/>
  <c r="E46" i="346" s="1"/>
  <c r="B34" i="346"/>
  <c r="C34" i="197"/>
  <c r="E46" i="197" s="1"/>
  <c r="B34" i="197"/>
  <c r="C34" i="203"/>
  <c r="E46" i="203" s="1"/>
  <c r="B34" i="203"/>
  <c r="C34" i="2"/>
  <c r="E46" i="2" s="1"/>
  <c r="B34" i="2"/>
  <c r="C34" i="249"/>
  <c r="E46" i="249" s="1"/>
  <c r="B34" i="249"/>
  <c r="C34" i="265"/>
  <c r="E46" i="265" s="1"/>
  <c r="B34" i="265"/>
  <c r="C34" i="101"/>
  <c r="E46" i="101" s="1"/>
  <c r="B34" i="101"/>
  <c r="C34" i="11"/>
  <c r="E46" i="11" s="1"/>
  <c r="B34" i="11"/>
  <c r="C34" i="292"/>
  <c r="E46" i="292" s="1"/>
  <c r="B34" i="292"/>
  <c r="C34" i="295"/>
  <c r="E46" i="295" s="1"/>
  <c r="B34" i="295"/>
  <c r="C34" i="34"/>
  <c r="E46" i="34" s="1"/>
  <c r="B34" i="34"/>
  <c r="C34" i="344"/>
  <c r="E46" i="344" s="1"/>
  <c r="B34" i="344"/>
  <c r="C34" i="366"/>
  <c r="E46" i="366" s="1"/>
  <c r="B34" i="366"/>
  <c r="C34" i="191"/>
  <c r="E46" i="191" s="1"/>
  <c r="B34" i="191"/>
  <c r="C34" i="114"/>
  <c r="E46" i="114" s="1"/>
  <c r="B34" i="114"/>
  <c r="B34" i="297"/>
  <c r="C34" i="297"/>
  <c r="E46" i="297" s="1"/>
  <c r="C34" i="348"/>
  <c r="E46" i="348" s="1"/>
  <c r="B34" i="348"/>
  <c r="C34" i="289"/>
  <c r="E46" i="289" s="1"/>
  <c r="B34" i="289"/>
  <c r="C34" i="337"/>
  <c r="E46" i="337" s="1"/>
  <c r="B34" i="337"/>
  <c r="C34" i="319"/>
  <c r="E46" i="319" s="1"/>
  <c r="B34" i="319"/>
  <c r="C34" i="334"/>
  <c r="E46" i="334" s="1"/>
  <c r="B34" i="334"/>
  <c r="B34" i="359"/>
  <c r="C34" i="359"/>
  <c r="E46" i="359" s="1"/>
  <c r="C34" i="169"/>
  <c r="E46" i="169" s="1"/>
  <c r="B34" i="169"/>
  <c r="C34" i="368"/>
  <c r="E46" i="368" s="1"/>
  <c r="B34" i="368"/>
  <c r="B34" i="369"/>
  <c r="C37" i="369" s="1"/>
  <c r="A34" i="369"/>
  <c r="C34" i="261"/>
  <c r="E46" i="261" s="1"/>
  <c r="B34" i="261"/>
  <c r="C34" i="12"/>
  <c r="E46" i="12" s="1"/>
  <c r="B34" i="12"/>
  <c r="C34" i="48"/>
  <c r="E46" i="48" s="1"/>
  <c r="B34" i="48"/>
  <c r="C34" i="353"/>
  <c r="E46" i="353" s="1"/>
  <c r="B34" i="353"/>
  <c r="C34" i="361"/>
  <c r="E46" i="361" s="1"/>
  <c r="B34" i="361"/>
  <c r="B34" i="19"/>
  <c r="C34" i="19"/>
  <c r="E46" i="19" s="1"/>
  <c r="C34" i="303"/>
  <c r="E46" i="303" s="1"/>
  <c r="B34" i="303"/>
  <c r="B34" i="299"/>
  <c r="C34" i="299"/>
  <c r="E46" i="299" s="1"/>
  <c r="C34" i="148"/>
  <c r="E46" i="148" s="1"/>
  <c r="B34" i="148"/>
  <c r="C34" i="229"/>
  <c r="E46" i="229" s="1"/>
  <c r="B34" i="229"/>
  <c r="B34" i="332"/>
  <c r="C34" i="332"/>
  <c r="E46" i="332" s="1"/>
  <c r="C34" i="27"/>
  <c r="E46" i="27" s="1"/>
  <c r="B34" i="27"/>
  <c r="C34" i="198"/>
  <c r="E46" i="198" s="1"/>
  <c r="B34" i="198"/>
  <c r="C34" i="201"/>
  <c r="E46" i="201" s="1"/>
  <c r="B34" i="201"/>
  <c r="C34" i="279"/>
  <c r="E46" i="279" s="1"/>
  <c r="B34" i="279"/>
  <c r="C34" i="174"/>
  <c r="E46" i="174" s="1"/>
  <c r="B34" i="174"/>
  <c r="C34" i="61"/>
  <c r="E46" i="61" s="1"/>
  <c r="B34" i="61"/>
  <c r="C34" i="1"/>
  <c r="E46" i="1" s="1"/>
  <c r="B34" i="1"/>
  <c r="C34" i="298"/>
  <c r="E46" i="298" s="1"/>
  <c r="B34" i="298"/>
  <c r="C34" i="360"/>
  <c r="E46" i="360" s="1"/>
  <c r="B34" i="360"/>
  <c r="C34" i="204"/>
  <c r="E46" i="204" s="1"/>
  <c r="B34" i="204"/>
  <c r="C34" i="356"/>
  <c r="E46" i="356" s="1"/>
  <c r="B34" i="356"/>
  <c r="C34" i="362"/>
  <c r="E46" i="362" s="1"/>
  <c r="B34" i="362"/>
  <c r="C34" i="9"/>
  <c r="E46" i="9" s="1"/>
  <c r="B34" i="9"/>
  <c r="C34" i="243"/>
  <c r="E46" i="243" s="1"/>
  <c r="B34" i="243"/>
  <c r="C34" i="326"/>
  <c r="E46" i="326" s="1"/>
  <c r="B34" i="326"/>
  <c r="C34" i="328"/>
  <c r="E46" i="328" s="1"/>
  <c r="B34" i="328"/>
  <c r="C34" i="287"/>
  <c r="E46" i="287" s="1"/>
  <c r="B34" i="287"/>
  <c r="C34" i="272"/>
  <c r="E46" i="272" s="1"/>
  <c r="B34" i="272"/>
  <c r="B34" i="25"/>
  <c r="C34" i="25"/>
  <c r="E46" i="25" s="1"/>
  <c r="C34" i="52"/>
  <c r="E46" i="52" s="1"/>
  <c r="B34" i="52"/>
  <c r="C34" i="160"/>
  <c r="E46" i="160" s="1"/>
  <c r="B34" i="160"/>
  <c r="B34" i="140"/>
  <c r="C34" i="140"/>
  <c r="E46" i="140" s="1"/>
  <c r="B34" i="268"/>
  <c r="C34" i="268"/>
  <c r="E46" i="268" s="1"/>
  <c r="C34" i="183"/>
  <c r="E46" i="183" s="1"/>
  <c r="B34" i="183"/>
  <c r="C34" i="104"/>
  <c r="E46" i="104" s="1"/>
  <c r="B34" i="104"/>
  <c r="C34" i="280"/>
  <c r="E46" i="280" s="1"/>
  <c r="B34" i="280"/>
  <c r="C34" i="345"/>
  <c r="E46" i="345" s="1"/>
  <c r="B34" i="345"/>
  <c r="C34" i="196"/>
  <c r="E46" i="196" s="1"/>
  <c r="B34" i="196"/>
  <c r="C34" i="32"/>
  <c r="E46" i="32" s="1"/>
  <c r="B34" i="32"/>
  <c r="C34" i="109"/>
  <c r="E46" i="109" s="1"/>
  <c r="B34" i="109"/>
  <c r="B34" i="262"/>
  <c r="C34" i="262"/>
  <c r="E46" i="262" s="1"/>
  <c r="C34" i="103"/>
  <c r="E46" i="103" s="1"/>
  <c r="B34" i="103"/>
  <c r="C34" i="54"/>
  <c r="E46" i="54" s="1"/>
  <c r="B34" i="54"/>
  <c r="C34" i="325"/>
  <c r="E46" i="325" s="1"/>
  <c r="B34" i="325"/>
  <c r="C34" i="284"/>
  <c r="E46" i="284" s="1"/>
  <c r="B34" i="284"/>
  <c r="C34" i="333"/>
  <c r="E46" i="333" s="1"/>
  <c r="B34" i="333"/>
  <c r="C34" i="340"/>
  <c r="E46" i="340" s="1"/>
  <c r="B34" i="340"/>
  <c r="C34" i="301"/>
  <c r="E46" i="301" s="1"/>
  <c r="B34" i="301"/>
  <c r="C34" i="365"/>
  <c r="E46" i="365" s="1"/>
  <c r="B34" i="365"/>
  <c r="C34" i="233"/>
  <c r="E46" i="233" s="1"/>
  <c r="B34" i="233"/>
  <c r="C34" i="20"/>
  <c r="E46" i="20" s="1"/>
  <c r="B34" i="20"/>
  <c r="C34" i="193"/>
  <c r="E46" i="193" s="1"/>
  <c r="B34" i="193"/>
  <c r="C34" i="293"/>
  <c r="E46" i="293" s="1"/>
  <c r="B34" i="293"/>
  <c r="B34" i="290"/>
  <c r="C34" i="290"/>
  <c r="E46" i="290" s="1"/>
  <c r="C34" i="288"/>
  <c r="E46" i="288" s="1"/>
  <c r="B34" i="288"/>
  <c r="C34" i="349"/>
  <c r="E46" i="349" s="1"/>
  <c r="B34" i="349"/>
  <c r="C34" i="342"/>
  <c r="E46" i="342" s="1"/>
  <c r="B34" i="342"/>
  <c r="C34" i="29"/>
  <c r="E46" i="29" s="1"/>
  <c r="B34" i="29"/>
  <c r="C34" i="168"/>
  <c r="E46" i="168" s="1"/>
  <c r="B34" i="168"/>
  <c r="C34" i="364"/>
  <c r="E46" i="364" s="1"/>
  <c r="B34" i="364"/>
  <c r="C34" i="21"/>
  <c r="E46" i="21" s="1"/>
  <c r="B34" i="21"/>
  <c r="C34" i="13"/>
  <c r="E46" i="13" s="1"/>
  <c r="B34" i="13"/>
  <c r="C34" i="37"/>
  <c r="E46" i="37" s="1"/>
  <c r="B34" i="37"/>
  <c r="B34" i="355"/>
  <c r="C34" i="355"/>
  <c r="E46" i="355" s="1"/>
  <c r="B34" i="322"/>
  <c r="C34" i="322"/>
  <c r="E46" i="322" s="1"/>
  <c r="C34" i="113"/>
  <c r="E46" i="113" s="1"/>
  <c r="B34" i="113"/>
  <c r="C34" i="17"/>
  <c r="E46" i="17" s="1"/>
  <c r="B34" i="17"/>
  <c r="C34" i="207"/>
  <c r="E46" i="207" s="1"/>
  <c r="B34" i="207"/>
  <c r="C34" i="4"/>
  <c r="E46" i="4" s="1"/>
  <c r="B34" i="4"/>
  <c r="C34" i="88"/>
  <c r="E46" i="88" s="1"/>
  <c r="B34" i="88"/>
  <c r="C34" i="244"/>
  <c r="E46" i="244" s="1"/>
  <c r="B34" i="244"/>
  <c r="C34" i="329"/>
  <c r="E46" i="329" s="1"/>
  <c r="B34" i="329"/>
  <c r="C34" i="318"/>
  <c r="E46" i="318" s="1"/>
  <c r="B34" i="318"/>
  <c r="C34" i="271"/>
  <c r="E46" i="271" s="1"/>
  <c r="B34" i="271"/>
  <c r="B34" i="383"/>
  <c r="C34" i="383"/>
  <c r="E46" i="383" s="1"/>
  <c r="B34" i="164"/>
  <c r="C34" i="164"/>
  <c r="E46" i="164" s="1"/>
  <c r="C34" i="296"/>
  <c r="E46" i="296" s="1"/>
  <c r="B34" i="296"/>
  <c r="C34" i="339"/>
  <c r="E46" i="339" s="1"/>
  <c r="B34" i="339"/>
  <c r="C34" i="105"/>
  <c r="E46" i="105" s="1"/>
  <c r="B34" i="105"/>
  <c r="C34" i="16"/>
  <c r="E46" i="16" s="1"/>
  <c r="B34" i="16"/>
  <c r="C34" i="320"/>
  <c r="E46" i="320" s="1"/>
  <c r="B34" i="320"/>
  <c r="C34" i="33"/>
  <c r="E46" i="33" s="1"/>
  <c r="B34" i="33"/>
  <c r="C34" i="367"/>
  <c r="E46" i="367" s="1"/>
  <c r="B34" i="367"/>
  <c r="B34" i="7"/>
  <c r="C34" i="7"/>
  <c r="E46" i="7" s="1"/>
  <c r="C34" i="347"/>
  <c r="E46" i="347" s="1"/>
  <c r="B34" i="347"/>
  <c r="B34" i="35"/>
  <c r="C34" i="35"/>
  <c r="E46" i="35" s="1"/>
  <c r="C34" i="276"/>
  <c r="E46" i="276" s="1"/>
  <c r="B34" i="276"/>
  <c r="C34" i="89"/>
  <c r="E46" i="89" s="1"/>
  <c r="B34" i="89"/>
  <c r="C34" i="239"/>
  <c r="E46" i="239" s="1"/>
  <c r="B34" i="239"/>
  <c r="C34" i="246"/>
  <c r="E46" i="246" s="1"/>
  <c r="B34" i="246"/>
  <c r="C34" i="46"/>
  <c r="E46" i="46" s="1"/>
  <c r="B34" i="46"/>
  <c r="C34" i="230"/>
  <c r="E46" i="230" s="1"/>
  <c r="B34" i="230"/>
  <c r="C34" i="87"/>
  <c r="E46" i="87" s="1"/>
  <c r="B34" i="87"/>
  <c r="C34" i="116"/>
  <c r="E46" i="116" s="1"/>
  <c r="B34" i="116"/>
  <c r="B34" i="53"/>
  <c r="C34" i="53"/>
  <c r="E46" i="53" s="1"/>
  <c r="B34" i="159"/>
  <c r="C34" i="159"/>
  <c r="E46" i="159" s="1"/>
  <c r="C34" i="192"/>
  <c r="E46" i="192" s="1"/>
  <c r="B34" i="192"/>
  <c r="C34" i="143"/>
  <c r="E46" i="143" s="1"/>
  <c r="B34" i="143"/>
  <c r="C34" i="181"/>
  <c r="E46" i="181" s="1"/>
  <c r="B34" i="181"/>
  <c r="C34" i="45"/>
  <c r="E46" i="45" s="1"/>
  <c r="B34" i="45"/>
  <c r="C34" i="200"/>
  <c r="E46" i="200" s="1"/>
  <c r="B34" i="200"/>
  <c r="C34" i="162"/>
  <c r="E46" i="162" s="1"/>
  <c r="B34" i="162"/>
  <c r="C34" i="324"/>
  <c r="E46" i="324" s="1"/>
  <c r="B34" i="324"/>
  <c r="C34" i="112"/>
  <c r="E46" i="112" s="1"/>
  <c r="B34" i="112"/>
  <c r="C34" i="75"/>
  <c r="E46" i="75" s="1"/>
  <c r="B34" i="75"/>
  <c r="C34" i="102"/>
  <c r="E46" i="102" s="1"/>
  <c r="B34" i="102"/>
  <c r="B34" i="335"/>
  <c r="C34" i="335"/>
  <c r="E46" i="335" s="1"/>
  <c r="C34" i="269"/>
  <c r="E46" i="269" s="1"/>
  <c r="B34" i="269"/>
  <c r="C34" i="187"/>
  <c r="E46" i="187" s="1"/>
  <c r="B34" i="187"/>
  <c r="C34" i="135"/>
  <c r="E46" i="135" s="1"/>
  <c r="B34" i="135"/>
  <c r="B34" i="338"/>
  <c r="C34" i="338"/>
  <c r="E46" i="338" s="1"/>
  <c r="C34" i="22"/>
  <c r="E46" i="22" s="1"/>
  <c r="B34" i="22"/>
  <c r="B34" i="294"/>
  <c r="C34" i="294"/>
  <c r="E46" i="294" s="1"/>
  <c r="C34" i="323"/>
  <c r="E46" i="323" s="1"/>
  <c r="B34" i="323"/>
  <c r="C34" i="18"/>
  <c r="E46" i="18" s="1"/>
  <c r="B34" i="18"/>
  <c r="C34" i="194"/>
  <c r="E46" i="194" s="1"/>
  <c r="B34" i="194"/>
  <c r="C34" i="357"/>
  <c r="E46" i="357" s="1"/>
  <c r="B34" i="357"/>
  <c r="C34" i="43"/>
  <c r="E46" i="43" s="1"/>
  <c r="B34" i="43"/>
  <c r="A34" i="343"/>
  <c r="B34" i="343"/>
  <c r="C37" i="343" s="1"/>
  <c r="C34" i="8"/>
  <c r="E46" i="8" s="1"/>
  <c r="B34" i="8"/>
  <c r="C34" i="28"/>
  <c r="E46" i="28" s="1"/>
  <c r="B34" i="28"/>
  <c r="B34" i="363"/>
  <c r="C34" i="363"/>
  <c r="E46" i="363" s="1"/>
  <c r="C34" i="31"/>
  <c r="E46" i="31" s="1"/>
  <c r="B34" i="31"/>
  <c r="C34" i="257"/>
  <c r="E46" i="257" s="1"/>
  <c r="B34" i="257"/>
  <c r="C34" i="314"/>
  <c r="E46" i="314" s="1"/>
  <c r="B34" i="314"/>
  <c r="C34" i="23"/>
  <c r="E46" i="23" s="1"/>
  <c r="B34" i="23"/>
  <c r="C34" i="354"/>
  <c r="E46" i="354" s="1"/>
  <c r="B34" i="354"/>
  <c r="C34" i="352"/>
  <c r="E46" i="352" s="1"/>
  <c r="B34" i="352"/>
  <c r="C34" i="384"/>
  <c r="E46" i="384" s="1"/>
  <c r="B34" i="384"/>
  <c r="C34" i="3"/>
  <c r="E46" i="3" s="1"/>
  <c r="B34" i="3"/>
  <c r="C34" i="5"/>
  <c r="E46" i="5" s="1"/>
  <c r="B34" i="5"/>
  <c r="C34" i="202"/>
  <c r="E46" i="202" s="1"/>
  <c r="B34" i="202"/>
  <c r="E34" i="385"/>
  <c r="D34" i="385"/>
  <c r="G33" i="244"/>
  <c r="G33" i="248"/>
  <c r="G33" i="329"/>
  <c r="G33" i="229"/>
  <c r="G33" i="44"/>
  <c r="G33" i="318"/>
  <c r="G33" i="332"/>
  <c r="G33" i="176"/>
  <c r="G33" i="271"/>
  <c r="G33" i="209"/>
  <c r="G33" i="27"/>
  <c r="G33" i="383"/>
  <c r="G33" i="74"/>
  <c r="G33" i="198"/>
  <c r="G33" i="164"/>
  <c r="G33" i="85"/>
  <c r="G33" i="201"/>
  <c r="G33" i="296"/>
  <c r="G33" i="382"/>
  <c r="G33" i="279"/>
  <c r="G33" i="339"/>
  <c r="G33" i="283"/>
  <c r="G33" i="174"/>
  <c r="G33" i="61"/>
  <c r="G33" i="206"/>
  <c r="G33" i="105"/>
  <c r="G33" i="1"/>
  <c r="G33" i="350"/>
  <c r="G33" i="16"/>
  <c r="G33" i="298"/>
  <c r="G33" i="227"/>
  <c r="G33" i="320"/>
  <c r="G33" i="33"/>
  <c r="G33" i="360"/>
  <c r="G33" i="336"/>
  <c r="G33" i="204"/>
  <c r="G33" i="367"/>
  <c r="G33" i="153"/>
  <c r="G33" i="356"/>
  <c r="G33" i="7"/>
  <c r="G33" i="354"/>
  <c r="G33" i="352"/>
  <c r="G33" i="384"/>
  <c r="G33" i="3"/>
  <c r="G33" i="5"/>
  <c r="G33" i="202"/>
  <c r="G33" i="243"/>
  <c r="G33" i="47"/>
  <c r="G33" i="276"/>
  <c r="G33" i="285"/>
  <c r="G33" i="24"/>
  <c r="G33" i="281"/>
  <c r="G33" i="107"/>
  <c r="G33" i="270"/>
  <c r="G33" i="263"/>
  <c r="G33" i="184"/>
  <c r="G33" i="254"/>
  <c r="G33" i="97"/>
  <c r="G33" i="346"/>
  <c r="G33" i="197"/>
  <c r="G33" i="203"/>
  <c r="G33" i="2"/>
  <c r="G33" i="249"/>
  <c r="G33" i="265"/>
  <c r="G33" i="101"/>
  <c r="G33" i="11"/>
  <c r="G33" i="292"/>
  <c r="G33" i="295"/>
  <c r="G33" i="34"/>
  <c r="G33" i="344"/>
  <c r="G33" i="366"/>
  <c r="G33" i="191"/>
  <c r="G33" i="114"/>
  <c r="G33" i="297"/>
  <c r="G33" i="348"/>
  <c r="G33" i="289"/>
  <c r="G33" i="337"/>
  <c r="G33" i="319"/>
  <c r="G33" i="334"/>
  <c r="G33" i="359"/>
  <c r="G33" i="169"/>
  <c r="G33" i="368"/>
  <c r="F33" i="369"/>
  <c r="G33" i="261"/>
  <c r="G33" i="12"/>
  <c r="G33" i="48"/>
  <c r="G33" i="362"/>
  <c r="G33" i="351"/>
  <c r="G33" i="347"/>
  <c r="G33" i="9"/>
  <c r="G33" i="190"/>
  <c r="G33" i="35"/>
  <c r="G33" i="89"/>
  <c r="G33" i="239"/>
  <c r="G33" i="326"/>
  <c r="G33" i="328"/>
  <c r="G33" i="287"/>
  <c r="G33" i="272"/>
  <c r="G33" i="25"/>
  <c r="G33" i="52"/>
  <c r="G33" i="160"/>
  <c r="G33" i="140"/>
  <c r="G33" i="268"/>
  <c r="G33" i="183"/>
  <c r="G33" i="104"/>
  <c r="G33" i="280"/>
  <c r="G33" i="345"/>
  <c r="G33" i="196"/>
  <c r="G33" i="32"/>
  <c r="G33" i="109"/>
  <c r="G33" i="262"/>
  <c r="G33" i="103"/>
  <c r="G33" i="54"/>
  <c r="G33" i="325"/>
  <c r="G33" i="284"/>
  <c r="G33" i="333"/>
  <c r="G33" i="340"/>
  <c r="G33" i="301"/>
  <c r="G33" i="365"/>
  <c r="G33" i="233"/>
  <c r="G33" i="20"/>
  <c r="G33" i="193"/>
  <c r="G33" i="293"/>
  <c r="G33" i="290"/>
  <c r="G33" i="288"/>
  <c r="G33" i="349"/>
  <c r="G33" i="342"/>
  <c r="G33" i="29"/>
  <c r="G33" i="168"/>
  <c r="G33" i="364"/>
  <c r="G33" i="21"/>
  <c r="G33" i="13"/>
  <c r="G33" i="37"/>
  <c r="G33" i="355"/>
  <c r="G33" i="353"/>
  <c r="G33" i="361"/>
  <c r="G33" i="19"/>
  <c r="G33" i="303"/>
  <c r="G33" i="299"/>
  <c r="G33" i="148"/>
  <c r="G33" i="246"/>
  <c r="G33" i="46"/>
  <c r="G33" i="230"/>
  <c r="G33" i="87"/>
  <c r="G33" i="116"/>
  <c r="G33" i="53"/>
  <c r="G33" i="159"/>
  <c r="G33" i="192"/>
  <c r="G33" i="143"/>
  <c r="G33" i="181"/>
  <c r="G33" i="45"/>
  <c r="G33" i="200"/>
  <c r="G33" i="162"/>
  <c r="G33" i="324"/>
  <c r="G33" i="112"/>
  <c r="G33" i="75"/>
  <c r="G33" i="102"/>
  <c r="G33" i="335"/>
  <c r="G33" i="269"/>
  <c r="G33" i="187"/>
  <c r="G33" i="135"/>
  <c r="G33" i="338"/>
  <c r="G33" i="22"/>
  <c r="G33" i="294"/>
  <c r="G33" i="323"/>
  <c r="G33" i="18"/>
  <c r="G33" i="194"/>
  <c r="G33" i="357"/>
  <c r="G33" i="43"/>
  <c r="F33" i="343"/>
  <c r="G33" i="8"/>
  <c r="G33" i="28"/>
  <c r="G33" i="363"/>
  <c r="G33" i="31"/>
  <c r="G33" i="257"/>
  <c r="G33" i="314"/>
  <c r="G33" i="23"/>
  <c r="G33" i="322"/>
  <c r="G33" i="113"/>
  <c r="G33" i="17"/>
  <c r="G33" i="207"/>
  <c r="G33" i="4"/>
  <c r="G33" i="88"/>
  <c r="D10" i="385"/>
  <c r="D13" i="385"/>
  <c r="D16" i="385"/>
  <c r="E22" i="385"/>
  <c r="D22" i="385"/>
  <c r="E28" i="385"/>
  <c r="D28" i="385"/>
  <c r="E19" i="385"/>
  <c r="D19" i="385"/>
  <c r="E31" i="385"/>
  <c r="D31" i="385"/>
  <c r="E25" i="385"/>
  <c r="D25" i="385"/>
  <c r="U19" i="353"/>
  <c r="K19" i="353"/>
  <c r="U22" i="353"/>
  <c r="M34" i="353" s="1"/>
  <c r="K22" i="353"/>
  <c r="U25" i="353"/>
  <c r="M37" i="353" s="1"/>
  <c r="K25" i="353"/>
  <c r="U28" i="353"/>
  <c r="M40" i="353" s="1"/>
  <c r="K28" i="353"/>
  <c r="U32" i="202"/>
  <c r="E32" i="317"/>
  <c r="E32" i="316"/>
  <c r="E32" i="315"/>
  <c r="E32" i="381"/>
  <c r="D37" i="202" l="1"/>
  <c r="D37" i="3"/>
  <c r="D37" i="352"/>
  <c r="D37" i="23"/>
  <c r="D37" i="257"/>
  <c r="D37" i="8"/>
  <c r="D37" i="357"/>
  <c r="D37" i="18"/>
  <c r="D37" i="187"/>
  <c r="D37" i="75"/>
  <c r="D37" i="324"/>
  <c r="D37" i="200"/>
  <c r="D37" i="181"/>
  <c r="D37" i="192"/>
  <c r="D37" i="87"/>
  <c r="D37" i="246"/>
  <c r="D37" i="89"/>
  <c r="D37" i="33"/>
  <c r="D37" i="16"/>
  <c r="D37" i="339"/>
  <c r="D37" i="271"/>
  <c r="D37" i="329"/>
  <c r="D37" i="88"/>
  <c r="D37" i="207"/>
  <c r="D37" i="113"/>
  <c r="D37" i="13"/>
  <c r="D37" i="364"/>
  <c r="D37" i="29"/>
  <c r="D37" i="349"/>
  <c r="D37" i="193"/>
  <c r="D37" i="233"/>
  <c r="D37" i="301"/>
  <c r="D37" i="333"/>
  <c r="D37" i="325"/>
  <c r="D37" i="103"/>
  <c r="D37" i="109"/>
  <c r="D37" i="196"/>
  <c r="D37" i="280"/>
  <c r="D37" i="183"/>
  <c r="D37" i="52"/>
  <c r="D37" i="272"/>
  <c r="D37" i="328"/>
  <c r="D37" i="9"/>
  <c r="D37" i="356"/>
  <c r="D37" i="360"/>
  <c r="D37" i="298"/>
  <c r="D37" i="61"/>
  <c r="D37" i="279"/>
  <c r="D37" i="198"/>
  <c r="D37" i="148"/>
  <c r="D37" i="303"/>
  <c r="D37" i="361"/>
  <c r="D37" i="48"/>
  <c r="D37" i="261"/>
  <c r="D37" i="368"/>
  <c r="D37" i="319"/>
  <c r="D37" i="289"/>
  <c r="D37" i="191"/>
  <c r="D37" i="344"/>
  <c r="D37" i="295"/>
  <c r="D37" i="11"/>
  <c r="D37" i="265"/>
  <c r="D37" i="2"/>
  <c r="D37" i="197"/>
  <c r="D37" i="97"/>
  <c r="D37" i="270"/>
  <c r="D37" i="281"/>
  <c r="D37" i="285"/>
  <c r="D37" i="190"/>
  <c r="D37" i="153"/>
  <c r="D37" i="350"/>
  <c r="D37" i="85"/>
  <c r="D37" i="176"/>
  <c r="D37" i="248"/>
  <c r="D37" i="159"/>
  <c r="D37" i="383"/>
  <c r="D37" i="322"/>
  <c r="D37" i="262"/>
  <c r="D37" i="268"/>
  <c r="D37" i="25"/>
  <c r="D37" i="299"/>
  <c r="D37" i="19"/>
  <c r="D37" i="74"/>
  <c r="D37" i="5"/>
  <c r="D37" i="384"/>
  <c r="D37" i="354"/>
  <c r="D37" i="314"/>
  <c r="D37" i="31"/>
  <c r="D37" i="28"/>
  <c r="D37" i="43"/>
  <c r="D37" i="194"/>
  <c r="D37" i="323"/>
  <c r="D37" i="22"/>
  <c r="D37" i="135"/>
  <c r="D37" i="269"/>
  <c r="D37" i="102"/>
  <c r="D37" i="112"/>
  <c r="D37" i="162"/>
  <c r="D37" i="45"/>
  <c r="D37" i="143"/>
  <c r="D37" i="116"/>
  <c r="D37" i="230"/>
  <c r="D37" i="46"/>
  <c r="D37" i="239"/>
  <c r="D37" i="276"/>
  <c r="D37" i="347"/>
  <c r="D37" i="367"/>
  <c r="D37" i="320"/>
  <c r="D37" i="105"/>
  <c r="D37" i="296"/>
  <c r="D37" i="318"/>
  <c r="D37" i="244"/>
  <c r="D37" i="4"/>
  <c r="D37" i="17"/>
  <c r="D37" i="37"/>
  <c r="D37" i="21"/>
  <c r="D37" i="168"/>
  <c r="D37" i="342"/>
  <c r="D37" i="288"/>
  <c r="D37" i="293"/>
  <c r="D37" i="20"/>
  <c r="D37" i="365"/>
  <c r="D37" i="340"/>
  <c r="D37" i="284"/>
  <c r="D37" i="54"/>
  <c r="D37" i="32"/>
  <c r="D37" i="345"/>
  <c r="D37" i="104"/>
  <c r="D37" i="160"/>
  <c r="D37" i="287"/>
  <c r="D37" i="326"/>
  <c r="D37" i="243"/>
  <c r="D37" i="362"/>
  <c r="D37" i="204"/>
  <c r="D37" i="1"/>
  <c r="D37" i="174"/>
  <c r="D37" i="201"/>
  <c r="D37" i="27"/>
  <c r="D37" i="229"/>
  <c r="D37" i="12"/>
  <c r="D37" i="169"/>
  <c r="D37" i="334"/>
  <c r="D37" i="337"/>
  <c r="D37" i="348"/>
  <c r="D37" i="114"/>
  <c r="D37" i="366"/>
  <c r="D37" i="34"/>
  <c r="D37" i="292"/>
  <c r="D37" i="101"/>
  <c r="D37" i="249"/>
  <c r="D37" i="203"/>
  <c r="D37" i="346"/>
  <c r="D37" i="254"/>
  <c r="D37" i="263"/>
  <c r="D37" i="107"/>
  <c r="D37" i="24"/>
  <c r="D37" i="47"/>
  <c r="D37" i="351"/>
  <c r="D37" i="336"/>
  <c r="D37" i="227"/>
  <c r="D37" i="206"/>
  <c r="D37" i="382"/>
  <c r="D37" i="209"/>
  <c r="D37" i="44"/>
  <c r="D37" i="363"/>
  <c r="D37" i="294"/>
  <c r="D37" i="338"/>
  <c r="D37" i="335"/>
  <c r="D37" i="53"/>
  <c r="D37" i="7"/>
  <c r="D37" i="164"/>
  <c r="D37" i="355"/>
  <c r="D37" i="290"/>
  <c r="D37" i="140"/>
  <c r="D37" i="332"/>
  <c r="D37" i="359"/>
  <c r="D37" i="297"/>
  <c r="D37" i="184"/>
  <c r="D37" i="283"/>
  <c r="D37" i="35"/>
  <c r="L25" i="353"/>
  <c r="L28" i="353"/>
  <c r="L22" i="353"/>
  <c r="S32" i="170"/>
  <c r="R32" i="170"/>
  <c r="K34" i="170" s="1"/>
  <c r="M46" i="170" s="1"/>
  <c r="Q32" i="170"/>
  <c r="F32" i="170" l="1"/>
  <c r="U34" i="170"/>
  <c r="L37" i="170" l="1"/>
  <c r="B34" i="170"/>
  <c r="H44" i="170"/>
  <c r="G33" i="170"/>
  <c r="C34" i="170"/>
  <c r="E46" i="170" s="1"/>
  <c r="F32" i="371"/>
  <c r="U34" i="371"/>
  <c r="T32" i="202"/>
  <c r="I32" i="202" s="1"/>
  <c r="T32" i="4"/>
  <c r="I32" i="4" s="1"/>
  <c r="T32" i="3"/>
  <c r="I32" i="3" s="1"/>
  <c r="T32" i="48"/>
  <c r="I32" i="48" s="1"/>
  <c r="J44" i="48" s="1"/>
  <c r="T32" i="7"/>
  <c r="I32" i="7" s="1"/>
  <c r="T32" i="384"/>
  <c r="I32" i="384" s="1"/>
  <c r="T32" i="17"/>
  <c r="I32" i="17" s="1"/>
  <c r="T32" i="5"/>
  <c r="I32" i="5" s="1"/>
  <c r="T32" i="207"/>
  <c r="I32" i="207" s="1"/>
  <c r="J44" i="207" s="1"/>
  <c r="T32" i="9"/>
  <c r="I32" i="9" s="1"/>
  <c r="S32" i="300"/>
  <c r="R32" i="300"/>
  <c r="K34" i="300" s="1"/>
  <c r="M46" i="300" s="1"/>
  <c r="Q32" i="300"/>
  <c r="T32" i="299"/>
  <c r="I32" i="299" s="1"/>
  <c r="T32" i="190"/>
  <c r="I32" i="190" s="1"/>
  <c r="J44" i="190" s="1"/>
  <c r="T32" i="89"/>
  <c r="I32" i="89" s="1"/>
  <c r="K34" i="149"/>
  <c r="M46" i="149" s="1"/>
  <c r="T32" i="88"/>
  <c r="I32" i="88" s="1"/>
  <c r="T32" i="148"/>
  <c r="I32" i="148" s="1"/>
  <c r="T32" i="303"/>
  <c r="I32" i="303" s="1"/>
  <c r="T32" i="37"/>
  <c r="I32" i="37" s="1"/>
  <c r="T32" i="314"/>
  <c r="I32" i="314" s="1"/>
  <c r="N32" i="317"/>
  <c r="M32" i="317"/>
  <c r="L32" i="317"/>
  <c r="N32" i="316"/>
  <c r="M32" i="316"/>
  <c r="P32" i="316" s="1"/>
  <c r="L32" i="316"/>
  <c r="T32" i="23"/>
  <c r="I32" i="23" s="1"/>
  <c r="N32" i="315"/>
  <c r="M32" i="315"/>
  <c r="L32" i="315"/>
  <c r="K34" i="152"/>
  <c r="M46" i="152" s="1"/>
  <c r="T32" i="13"/>
  <c r="I32" i="13" s="1"/>
  <c r="J44" i="13" s="1"/>
  <c r="T32" i="261"/>
  <c r="I32" i="261" s="1"/>
  <c r="T32" i="153"/>
  <c r="I32" i="153" s="1"/>
  <c r="J44" i="153" s="1"/>
  <c r="T32" i="257"/>
  <c r="I32" i="257" s="1"/>
  <c r="T32" i="12"/>
  <c r="I32" i="12" s="1"/>
  <c r="T32" i="356"/>
  <c r="I32" i="356" s="1"/>
  <c r="J44" i="356" s="1"/>
  <c r="T32" i="168"/>
  <c r="I32" i="168" s="1"/>
  <c r="T32" i="169"/>
  <c r="I32" i="169" s="1"/>
  <c r="T32" i="336"/>
  <c r="I32" i="336" s="1"/>
  <c r="T32" i="21"/>
  <c r="I32" i="21" s="1"/>
  <c r="J44" i="21" s="1"/>
  <c r="L32" i="369"/>
  <c r="Q34" i="369" s="1"/>
  <c r="R37" i="369" s="1"/>
  <c r="T32" i="368"/>
  <c r="I32" i="368" s="1"/>
  <c r="T32" i="364"/>
  <c r="I32" i="364" s="1"/>
  <c r="T32" i="367"/>
  <c r="I32" i="367" s="1"/>
  <c r="J44" i="367" s="1"/>
  <c r="T32" i="31"/>
  <c r="I32" i="31" s="1"/>
  <c r="T32" i="204"/>
  <c r="I32" i="204" s="1"/>
  <c r="N32" i="381"/>
  <c r="M32" i="381"/>
  <c r="P32" i="381" s="1"/>
  <c r="L32" i="381"/>
  <c r="T32" i="363"/>
  <c r="I32" i="363" s="1"/>
  <c r="S32" i="253"/>
  <c r="R32" i="253"/>
  <c r="K34" i="253" s="1"/>
  <c r="M46" i="253" s="1"/>
  <c r="Q32" i="253"/>
  <c r="T32" i="28"/>
  <c r="I32" i="28" s="1"/>
  <c r="T32" i="29"/>
  <c r="I32" i="29" s="1"/>
  <c r="T32" i="359"/>
  <c r="I32" i="359" s="1"/>
  <c r="T32" i="360"/>
  <c r="I32" i="360" s="1"/>
  <c r="J44" i="360" s="1"/>
  <c r="T32" i="8"/>
  <c r="I32" i="8" s="1"/>
  <c r="T32" i="19"/>
  <c r="I32" i="19" s="1"/>
  <c r="T32" i="347"/>
  <c r="I32" i="347" s="1"/>
  <c r="T32" i="342"/>
  <c r="I32" i="342" s="1"/>
  <c r="T32" i="334"/>
  <c r="I32" i="334" s="1"/>
  <c r="K34" i="371"/>
  <c r="M46" i="371" s="1"/>
  <c r="T32" i="33"/>
  <c r="I32" i="33" s="1"/>
  <c r="T32" i="113"/>
  <c r="I32" i="113" s="1"/>
  <c r="N34" i="361"/>
  <c r="O37" i="361" s="1"/>
  <c r="T32" i="351"/>
  <c r="I32" i="351" s="1"/>
  <c r="T32" i="352"/>
  <c r="I32" i="352" s="1"/>
  <c r="T32" i="322"/>
  <c r="I32" i="322" s="1"/>
  <c r="J44" i="322" s="1"/>
  <c r="T32" i="362"/>
  <c r="I32" i="362" s="1"/>
  <c r="T32" i="354"/>
  <c r="I32" i="354" s="1"/>
  <c r="T32" i="353"/>
  <c r="I32" i="353" s="1"/>
  <c r="K34" i="321"/>
  <c r="M46" i="321" s="1"/>
  <c r="T32" i="319"/>
  <c r="I32" i="319" s="1"/>
  <c r="J44" i="319" s="1"/>
  <c r="T32" i="320"/>
  <c r="I32" i="320" s="1"/>
  <c r="L32" i="343"/>
  <c r="Q34" i="343" s="1"/>
  <c r="R37" i="343" s="1"/>
  <c r="T32" i="349"/>
  <c r="I32" i="349" s="1"/>
  <c r="T32" i="288"/>
  <c r="I32" i="288" s="1"/>
  <c r="T32" i="337"/>
  <c r="I32" i="337" s="1"/>
  <c r="T32" i="227"/>
  <c r="I32" i="227" s="1"/>
  <c r="T32" i="355"/>
  <c r="I32" i="355" s="1"/>
  <c r="T32" i="43"/>
  <c r="I32" i="43" s="1"/>
  <c r="T32" i="290"/>
  <c r="I32" i="290" s="1"/>
  <c r="T32" i="289"/>
  <c r="I32" i="289" s="1"/>
  <c r="T32" i="298"/>
  <c r="I32" i="298" s="1"/>
  <c r="S32" i="357"/>
  <c r="T32" i="293"/>
  <c r="I32" i="293" s="1"/>
  <c r="T32" i="348"/>
  <c r="I32" i="348" s="1"/>
  <c r="T32" i="16"/>
  <c r="I32" i="16" s="1"/>
  <c r="K34" i="195"/>
  <c r="M46" i="195" s="1"/>
  <c r="T32" i="194"/>
  <c r="I32" i="194" s="1"/>
  <c r="J44" i="194" s="1"/>
  <c r="T32" i="193"/>
  <c r="I32" i="193" s="1"/>
  <c r="T32" i="297"/>
  <c r="I32" i="297" s="1"/>
  <c r="T32" i="350"/>
  <c r="I32" i="350" s="1"/>
  <c r="S32" i="142"/>
  <c r="R32" i="142"/>
  <c r="K34" i="142" s="1"/>
  <c r="M46" i="142" s="1"/>
  <c r="Q32" i="142"/>
  <c r="T32" i="18"/>
  <c r="I32" i="18" s="1"/>
  <c r="J44" i="18" s="1"/>
  <c r="T32" i="20"/>
  <c r="I32" i="20" s="1"/>
  <c r="T32" i="114"/>
  <c r="I32" i="114" s="1"/>
  <c r="T32" i="1"/>
  <c r="I32" i="1" s="1"/>
  <c r="T32" i="323"/>
  <c r="I32" i="323" s="1"/>
  <c r="T32" i="233"/>
  <c r="I32" i="233" s="1"/>
  <c r="J44" i="233" s="1"/>
  <c r="T32" i="191"/>
  <c r="I32" i="191" s="1"/>
  <c r="T32" i="105"/>
  <c r="I32" i="105" s="1"/>
  <c r="T32" i="294"/>
  <c r="I32" i="294" s="1"/>
  <c r="T32" i="206"/>
  <c r="I32" i="206" s="1"/>
  <c r="J44" i="206" s="1"/>
  <c r="N34" i="22"/>
  <c r="O37" i="22" s="1"/>
  <c r="T32" i="344"/>
  <c r="I32" i="344" s="1"/>
  <c r="T32" i="61"/>
  <c r="I32" i="61" s="1"/>
  <c r="T32" i="338"/>
  <c r="I32" i="338" s="1"/>
  <c r="T32" i="340"/>
  <c r="I32" i="340" s="1"/>
  <c r="J44" i="340" s="1"/>
  <c r="T32" i="301"/>
  <c r="I32" i="301" s="1"/>
  <c r="J44" i="301" s="1"/>
  <c r="T32" i="34"/>
  <c r="I32" i="34" s="1"/>
  <c r="T32" i="174"/>
  <c r="I32" i="174" s="1"/>
  <c r="T32" i="135"/>
  <c r="I32" i="135" s="1"/>
  <c r="J44" i="135" s="1"/>
  <c r="T32" i="333"/>
  <c r="I32" i="333" s="1"/>
  <c r="T32" i="295"/>
  <c r="I32" i="295" s="1"/>
  <c r="S32" i="365"/>
  <c r="S32" i="366"/>
  <c r="T32" i="283"/>
  <c r="I32" i="283" s="1"/>
  <c r="I32" i="187"/>
  <c r="T32" i="284"/>
  <c r="I32" i="284" s="1"/>
  <c r="T32" i="292"/>
  <c r="I32" i="292" s="1"/>
  <c r="N34" i="339"/>
  <c r="O37" i="339" s="1"/>
  <c r="T32" i="269"/>
  <c r="I32" i="269" s="1"/>
  <c r="T32" i="325"/>
  <c r="I32" i="325" s="1"/>
  <c r="T32" i="11"/>
  <c r="I32" i="11" s="1"/>
  <c r="J44" i="11" s="1"/>
  <c r="S32" i="279"/>
  <c r="S32" i="335"/>
  <c r="T32" i="54"/>
  <c r="I32" i="54" s="1"/>
  <c r="T32" i="101"/>
  <c r="I32" i="101" s="1"/>
  <c r="T32" i="382"/>
  <c r="I32" i="382" s="1"/>
  <c r="J44" i="382" s="1"/>
  <c r="T32" i="102"/>
  <c r="I32" i="102" s="1"/>
  <c r="T32" i="103"/>
  <c r="I32" i="103" s="1"/>
  <c r="J44" i="103" s="1"/>
  <c r="T32" i="265"/>
  <c r="I32" i="265" s="1"/>
  <c r="J44" i="265" s="1"/>
  <c r="I32" i="296"/>
  <c r="T32" i="75"/>
  <c r="I32" i="75" s="1"/>
  <c r="J44" i="75" s="1"/>
  <c r="T32" i="262"/>
  <c r="I32" i="262" s="1"/>
  <c r="T32" i="249"/>
  <c r="I32" i="249" s="1"/>
  <c r="T32" i="201"/>
  <c r="I32" i="201" s="1"/>
  <c r="T32" i="112"/>
  <c r="I32" i="112" s="1"/>
  <c r="J44" i="112" s="1"/>
  <c r="T32" i="109"/>
  <c r="I32" i="109" s="1"/>
  <c r="T32" i="2"/>
  <c r="I32" i="2" s="1"/>
  <c r="T32" i="85"/>
  <c r="I32" i="85" s="1"/>
  <c r="J44" i="85" s="1"/>
  <c r="T32" i="324"/>
  <c r="I32" i="324" s="1"/>
  <c r="T32" i="32"/>
  <c r="I32" i="32" s="1"/>
  <c r="T32" i="203"/>
  <c r="I32" i="203" s="1"/>
  <c r="T32" i="164"/>
  <c r="I32" i="164" s="1"/>
  <c r="T32" i="162"/>
  <c r="I32" i="162" s="1"/>
  <c r="T32" i="196"/>
  <c r="I32" i="196" s="1"/>
  <c r="T32" i="197"/>
  <c r="I32" i="197" s="1"/>
  <c r="J44" i="197" s="1"/>
  <c r="T32" i="198"/>
  <c r="I32" i="198" s="1"/>
  <c r="T32" i="345"/>
  <c r="I32" i="345" s="1"/>
  <c r="T32" i="346"/>
  <c r="I32" i="346" s="1"/>
  <c r="T32" i="74"/>
  <c r="I32" i="74" s="1"/>
  <c r="J44" i="74" s="1"/>
  <c r="T32" i="200"/>
  <c r="I32" i="200" s="1"/>
  <c r="T32" i="280"/>
  <c r="I32" i="280" s="1"/>
  <c r="T32" i="97"/>
  <c r="I32" i="97" s="1"/>
  <c r="J44" i="97" s="1"/>
  <c r="T32" i="383"/>
  <c r="I32" i="383" s="1"/>
  <c r="T32" i="45"/>
  <c r="I32" i="45" s="1"/>
  <c r="T32" i="104"/>
  <c r="I32" i="104" s="1"/>
  <c r="T32" i="254"/>
  <c r="I32" i="254" s="1"/>
  <c r="K34" i="185"/>
  <c r="M46" i="185" s="1"/>
  <c r="T32" i="181"/>
  <c r="I32" i="181" s="1"/>
  <c r="T32" i="183"/>
  <c r="I32" i="183" s="1"/>
  <c r="T32" i="184"/>
  <c r="I32" i="184" s="1"/>
  <c r="J44" i="184" s="1"/>
  <c r="S32" i="144"/>
  <c r="R32" i="144"/>
  <c r="K34" i="144" s="1"/>
  <c r="M46" i="144" s="1"/>
  <c r="Q32" i="144"/>
  <c r="T32" i="27"/>
  <c r="I32" i="27" s="1"/>
  <c r="T32" i="143"/>
  <c r="I32" i="143" s="1"/>
  <c r="J44" i="143" s="1"/>
  <c r="T32" i="268"/>
  <c r="I32" i="268" s="1"/>
  <c r="T32" i="263"/>
  <c r="I32" i="263" s="1"/>
  <c r="T32" i="209"/>
  <c r="I32" i="209" s="1"/>
  <c r="T32" i="192"/>
  <c r="I32" i="192" s="1"/>
  <c r="T32" i="140"/>
  <c r="I32" i="140" s="1"/>
  <c r="T32" i="270"/>
  <c r="I32" i="270" s="1"/>
  <c r="T32" i="271"/>
  <c r="I32" i="271" s="1"/>
  <c r="S32" i="186"/>
  <c r="R32" i="186"/>
  <c r="K34" i="186" s="1"/>
  <c r="M46" i="186" s="1"/>
  <c r="Q32" i="186"/>
  <c r="T32" i="159"/>
  <c r="I32" i="159" s="1"/>
  <c r="T32" i="160"/>
  <c r="I32" i="160" s="1"/>
  <c r="T32" i="107"/>
  <c r="I32" i="107" s="1"/>
  <c r="T32" i="176"/>
  <c r="I32" i="176" s="1"/>
  <c r="J44" i="176" s="1"/>
  <c r="T32" i="53"/>
  <c r="I32" i="53" s="1"/>
  <c r="T32" i="52"/>
  <c r="I32" i="52" s="1"/>
  <c r="T32" i="281"/>
  <c r="I32" i="281" s="1"/>
  <c r="T32" i="332"/>
  <c r="I32" i="332" s="1"/>
  <c r="T32" i="25"/>
  <c r="I32" i="25" s="1"/>
  <c r="J44" i="25" s="1"/>
  <c r="T32" i="24"/>
  <c r="I32" i="24" s="1"/>
  <c r="T32" i="318"/>
  <c r="I32" i="318" s="1"/>
  <c r="T32" i="116"/>
  <c r="I32" i="116" s="1"/>
  <c r="J44" i="116" s="1"/>
  <c r="T32" i="272"/>
  <c r="I32" i="272" s="1"/>
  <c r="J44" i="272" s="1"/>
  <c r="T32" i="285"/>
  <c r="I32" i="285" s="1"/>
  <c r="S32" i="44"/>
  <c r="N34" i="87"/>
  <c r="O37" i="87" s="1"/>
  <c r="T32" i="287"/>
  <c r="I32" i="287" s="1"/>
  <c r="J44" i="287" s="1"/>
  <c r="T32" i="276"/>
  <c r="I32" i="276" s="1"/>
  <c r="S32" i="231"/>
  <c r="R32" i="231"/>
  <c r="Q32" i="231"/>
  <c r="T32" i="229"/>
  <c r="I32" i="229" s="1"/>
  <c r="T32" i="230"/>
  <c r="I32" i="230" s="1"/>
  <c r="K34" i="327"/>
  <c r="M46" i="327" s="1"/>
  <c r="T32" i="328"/>
  <c r="I32" i="328" s="1"/>
  <c r="T32" i="329"/>
  <c r="I32" i="329" s="1"/>
  <c r="T32" i="326"/>
  <c r="I32" i="326" s="1"/>
  <c r="T32" i="47"/>
  <c r="I32" i="47" s="1"/>
  <c r="T32" i="248"/>
  <c r="I32" i="248" s="1"/>
  <c r="T32" i="46"/>
  <c r="I32" i="46" s="1"/>
  <c r="T32" i="239"/>
  <c r="I32" i="239" s="1"/>
  <c r="T32" i="243"/>
  <c r="I32" i="243" s="1"/>
  <c r="S32" i="247"/>
  <c r="R32" i="247"/>
  <c r="K34" i="247" s="1"/>
  <c r="M46" i="247" s="1"/>
  <c r="Q32" i="247"/>
  <c r="T32" i="244"/>
  <c r="I32" i="244" s="1"/>
  <c r="J44" i="244" s="1"/>
  <c r="T32" i="246"/>
  <c r="I32" i="246" s="1"/>
  <c r="J44" i="53" l="1"/>
  <c r="J44" i="209"/>
  <c r="J44" i="196"/>
  <c r="J44" i="329"/>
  <c r="J44" i="285"/>
  <c r="J44" i="332"/>
  <c r="J44" i="160"/>
  <c r="J44" i="270"/>
  <c r="J44" i="183"/>
  <c r="J44" i="383"/>
  <c r="J44" i="246"/>
  <c r="J44" i="239"/>
  <c r="J44" i="328"/>
  <c r="J44" i="281"/>
  <c r="J44" i="159"/>
  <c r="J44" i="140"/>
  <c r="J44" i="27"/>
  <c r="J44" i="181"/>
  <c r="J44" i="198"/>
  <c r="J44" i="32"/>
  <c r="J44" i="201"/>
  <c r="J44" i="284"/>
  <c r="J44" i="333"/>
  <c r="J44" i="338"/>
  <c r="J44" i="105"/>
  <c r="J44" i="20"/>
  <c r="J44" i="297"/>
  <c r="J44" i="293"/>
  <c r="J44" i="355"/>
  <c r="J44" i="320"/>
  <c r="J44" i="46"/>
  <c r="J44" i="276"/>
  <c r="J44" i="52"/>
  <c r="J44" i="192"/>
  <c r="J44" i="280"/>
  <c r="J44" i="324"/>
  <c r="J44" i="249"/>
  <c r="J44" i="102"/>
  <c r="J44" i="187"/>
  <c r="J44" i="61"/>
  <c r="J44" i="191"/>
  <c r="J44" i="193"/>
  <c r="J44" i="227"/>
  <c r="J44" i="352"/>
  <c r="J44" i="334"/>
  <c r="J44" i="359"/>
  <c r="J44" i="363"/>
  <c r="J44" i="169"/>
  <c r="J44" i="261"/>
  <c r="J44" i="23"/>
  <c r="J44" i="7"/>
  <c r="J44" i="230"/>
  <c r="J44" i="254"/>
  <c r="J44" i="262"/>
  <c r="J44" i="325"/>
  <c r="J44" i="174"/>
  <c r="J44" i="298"/>
  <c r="J44" i="342"/>
  <c r="J44" i="89"/>
  <c r="J44" i="24"/>
  <c r="J44" i="263"/>
  <c r="J44" i="104"/>
  <c r="J44" i="162"/>
  <c r="J44" i="2"/>
  <c r="J44" i="101"/>
  <c r="J44" i="269"/>
  <c r="J44" i="34"/>
  <c r="J44" i="323"/>
  <c r="J44" i="289"/>
  <c r="J44" i="288"/>
  <c r="J44" i="353"/>
  <c r="J44" i="347"/>
  <c r="J44" i="28"/>
  <c r="J44" i="368"/>
  <c r="J44" i="37"/>
  <c r="J44" i="3"/>
  <c r="J44" i="318"/>
  <c r="J44" i="200"/>
  <c r="J44" i="283"/>
  <c r="J44" i="344"/>
  <c r="J44" i="337"/>
  <c r="J44" i="351"/>
  <c r="J44" i="29"/>
  <c r="J44" i="364"/>
  <c r="J44" i="168"/>
  <c r="J44" i="314"/>
  <c r="J44" i="9"/>
  <c r="J44" i="47"/>
  <c r="J44" i="229"/>
  <c r="J44" i="326"/>
  <c r="J44" i="107"/>
  <c r="J44" i="271"/>
  <c r="J44" i="268"/>
  <c r="J44" i="45"/>
  <c r="J44" i="346"/>
  <c r="J44" i="164"/>
  <c r="J44" i="109"/>
  <c r="J44" i="296"/>
  <c r="J44" i="54"/>
  <c r="J44" i="1"/>
  <c r="J44" i="16"/>
  <c r="J44" i="290"/>
  <c r="J44" i="349"/>
  <c r="J44" i="354"/>
  <c r="J44" i="113"/>
  <c r="J44" i="19"/>
  <c r="J44" i="12"/>
  <c r="J44" i="303"/>
  <c r="J44" i="299"/>
  <c r="J44" i="5"/>
  <c r="J44" i="4"/>
  <c r="J44" i="248"/>
  <c r="J44" i="243"/>
  <c r="J44" i="345"/>
  <c r="J44" i="203"/>
  <c r="J44" i="292"/>
  <c r="J44" i="295"/>
  <c r="J44" i="294"/>
  <c r="J44" i="114"/>
  <c r="J44" i="350"/>
  <c r="J44" i="348"/>
  <c r="J44" i="43"/>
  <c r="J44" i="362"/>
  <c r="J44" i="33"/>
  <c r="J32" i="8"/>
  <c r="J44" i="8"/>
  <c r="J44" i="204"/>
  <c r="J44" i="257"/>
  <c r="J44" i="148"/>
  <c r="J44" i="17"/>
  <c r="J44" i="202"/>
  <c r="J44" i="31"/>
  <c r="J44" i="336"/>
  <c r="J44" i="88"/>
  <c r="J44" i="384"/>
  <c r="L37" i="371"/>
  <c r="N34" i="246"/>
  <c r="O37" i="246" s="1"/>
  <c r="N34" i="248"/>
  <c r="O37" i="248" s="1"/>
  <c r="N34" i="329"/>
  <c r="O37" i="329" s="1"/>
  <c r="N34" i="272"/>
  <c r="O37" i="272" s="1"/>
  <c r="N34" i="53"/>
  <c r="O37" i="53" s="1"/>
  <c r="N34" i="159"/>
  <c r="O37" i="159" s="1"/>
  <c r="N34" i="209"/>
  <c r="O37" i="209" s="1"/>
  <c r="N34" i="383"/>
  <c r="O37" i="383" s="1"/>
  <c r="N34" i="197"/>
  <c r="O37" i="197" s="1"/>
  <c r="N34" i="2"/>
  <c r="O37" i="2" s="1"/>
  <c r="N34" i="101"/>
  <c r="O37" i="101" s="1"/>
  <c r="N34" i="292"/>
  <c r="O37" i="292" s="1"/>
  <c r="N34" i="135"/>
  <c r="O37" i="135" s="1"/>
  <c r="N34" i="340"/>
  <c r="O37" i="340" s="1"/>
  <c r="N34" i="191"/>
  <c r="O37" i="191" s="1"/>
  <c r="N34" i="114"/>
  <c r="O37" i="114" s="1"/>
  <c r="N34" i="348"/>
  <c r="O37" i="348" s="1"/>
  <c r="N34" i="352"/>
  <c r="O37" i="352" s="1"/>
  <c r="N34" i="342"/>
  <c r="O37" i="342" s="1"/>
  <c r="N34" i="360"/>
  <c r="O37" i="360" s="1"/>
  <c r="N34" i="31"/>
  <c r="O37" i="31" s="1"/>
  <c r="N34" i="88"/>
  <c r="O37" i="88" s="1"/>
  <c r="N34" i="9"/>
  <c r="O37" i="9" s="1"/>
  <c r="N34" i="4"/>
  <c r="O37" i="4" s="1"/>
  <c r="N34" i="244"/>
  <c r="O37" i="244" s="1"/>
  <c r="N34" i="47"/>
  <c r="O37" i="47" s="1"/>
  <c r="N34" i="332"/>
  <c r="O37" i="332" s="1"/>
  <c r="N34" i="270"/>
  <c r="O37" i="270" s="1"/>
  <c r="N34" i="254"/>
  <c r="O37" i="254" s="1"/>
  <c r="N34" i="346"/>
  <c r="O37" i="346" s="1"/>
  <c r="N34" i="32"/>
  <c r="O37" i="32" s="1"/>
  <c r="N34" i="262"/>
  <c r="O37" i="262" s="1"/>
  <c r="N34" i="54"/>
  <c r="O37" i="54" s="1"/>
  <c r="N34" i="284"/>
  <c r="O37" i="284" s="1"/>
  <c r="N34" i="174"/>
  <c r="O37" i="174" s="1"/>
  <c r="N34" i="233"/>
  <c r="O37" i="233" s="1"/>
  <c r="N34" i="194"/>
  <c r="O37" i="194" s="1"/>
  <c r="N34" i="293"/>
  <c r="O37" i="293" s="1"/>
  <c r="N34" i="320"/>
  <c r="O37" i="320" s="1"/>
  <c r="N34" i="354"/>
  <c r="O37" i="354" s="1"/>
  <c r="N34" i="359"/>
  <c r="O37" i="359" s="1"/>
  <c r="N34" i="21"/>
  <c r="O37" i="21" s="1"/>
  <c r="N34" i="261"/>
  <c r="O37" i="261" s="1"/>
  <c r="N34" i="37"/>
  <c r="O37" i="37" s="1"/>
  <c r="N34" i="7"/>
  <c r="O37" i="7" s="1"/>
  <c r="N34" i="239"/>
  <c r="O37" i="239" s="1"/>
  <c r="N34" i="326"/>
  <c r="O37" i="326" s="1"/>
  <c r="N34" i="328"/>
  <c r="O37" i="328" s="1"/>
  <c r="N34" i="230"/>
  <c r="O37" i="230" s="1"/>
  <c r="M34" i="44"/>
  <c r="N37" i="44" s="1"/>
  <c r="I32" i="44"/>
  <c r="N34" i="318"/>
  <c r="O37" i="318" s="1"/>
  <c r="N34" i="281"/>
  <c r="O37" i="281" s="1"/>
  <c r="N34" i="107"/>
  <c r="O37" i="107" s="1"/>
  <c r="N34" i="140"/>
  <c r="O37" i="140" s="1"/>
  <c r="N34" i="268"/>
  <c r="O37" i="268" s="1"/>
  <c r="N34" i="181"/>
  <c r="O37" i="181" s="1"/>
  <c r="N34" i="104"/>
  <c r="O37" i="104" s="1"/>
  <c r="N34" i="280"/>
  <c r="O37" i="280" s="1"/>
  <c r="N34" i="345"/>
  <c r="O37" i="345" s="1"/>
  <c r="N34" i="162"/>
  <c r="O37" i="162" s="1"/>
  <c r="N34" i="324"/>
  <c r="O37" i="324" s="1"/>
  <c r="N34" i="112"/>
  <c r="O37" i="112" s="1"/>
  <c r="N34" i="75"/>
  <c r="O37" i="75" s="1"/>
  <c r="N34" i="102"/>
  <c r="O37" i="102" s="1"/>
  <c r="M34" i="335"/>
  <c r="N37" i="335" s="1"/>
  <c r="I32" i="335"/>
  <c r="N34" i="269"/>
  <c r="O37" i="269" s="1"/>
  <c r="N34" i="295"/>
  <c r="O37" i="295" s="1"/>
  <c r="N34" i="34"/>
  <c r="O37" i="34" s="1"/>
  <c r="N34" i="61"/>
  <c r="O37" i="61" s="1"/>
  <c r="N34" i="294"/>
  <c r="O37" i="294" s="1"/>
  <c r="N34" i="323"/>
  <c r="O37" i="323" s="1"/>
  <c r="N34" i="18"/>
  <c r="O37" i="18" s="1"/>
  <c r="N34" i="350"/>
  <c r="O37" i="350" s="1"/>
  <c r="M34" i="357"/>
  <c r="N37" i="357" s="1"/>
  <c r="I32" i="357"/>
  <c r="N34" i="43"/>
  <c r="O37" i="43" s="1"/>
  <c r="N34" i="288"/>
  <c r="O37" i="288" s="1"/>
  <c r="N34" i="319"/>
  <c r="O37" i="319" s="1"/>
  <c r="N34" i="362"/>
  <c r="O37" i="362" s="1"/>
  <c r="N34" i="19"/>
  <c r="O37" i="19" s="1"/>
  <c r="N34" i="29"/>
  <c r="O37" i="29" s="1"/>
  <c r="N34" i="364"/>
  <c r="O37" i="364" s="1"/>
  <c r="N34" i="336"/>
  <c r="O37" i="336" s="1"/>
  <c r="N34" i="12"/>
  <c r="O37" i="12" s="1"/>
  <c r="N34" i="13"/>
  <c r="O37" i="13" s="1"/>
  <c r="N34" i="303"/>
  <c r="O37" i="303" s="1"/>
  <c r="N34" i="89"/>
  <c r="O37" i="89" s="1"/>
  <c r="N34" i="5"/>
  <c r="O37" i="5" s="1"/>
  <c r="N34" i="48"/>
  <c r="O37" i="48" s="1"/>
  <c r="N34" i="287"/>
  <c r="O37" i="287" s="1"/>
  <c r="N34" i="25"/>
  <c r="O37" i="25" s="1"/>
  <c r="N34" i="271"/>
  <c r="O37" i="271" s="1"/>
  <c r="N34" i="27"/>
  <c r="O37" i="27" s="1"/>
  <c r="N34" i="184"/>
  <c r="O37" i="184" s="1"/>
  <c r="N34" i="74"/>
  <c r="O37" i="74" s="1"/>
  <c r="N34" i="203"/>
  <c r="O37" i="203" s="1"/>
  <c r="N34" i="249"/>
  <c r="O37" i="249" s="1"/>
  <c r="N34" i="265"/>
  <c r="O37" i="265" s="1"/>
  <c r="N34" i="11"/>
  <c r="O37" i="11" s="1"/>
  <c r="M34" i="366"/>
  <c r="N37" i="366" s="1"/>
  <c r="I32" i="366"/>
  <c r="N34" i="193"/>
  <c r="O37" i="193" s="1"/>
  <c r="N34" i="289"/>
  <c r="O37" i="289" s="1"/>
  <c r="N34" i="227"/>
  <c r="O37" i="227" s="1"/>
  <c r="N34" i="353"/>
  <c r="N34" i="33"/>
  <c r="O37" i="33" s="1"/>
  <c r="N34" i="168"/>
  <c r="O37" i="168" s="1"/>
  <c r="N34" i="153"/>
  <c r="O37" i="153" s="1"/>
  <c r="N34" i="314"/>
  <c r="O37" i="314" s="1"/>
  <c r="N34" i="299"/>
  <c r="O37" i="299" s="1"/>
  <c r="N34" i="384"/>
  <c r="O37" i="384" s="1"/>
  <c r="N34" i="243"/>
  <c r="O37" i="243" s="1"/>
  <c r="N34" i="116"/>
  <c r="O37" i="116" s="1"/>
  <c r="N34" i="176"/>
  <c r="O37" i="176" s="1"/>
  <c r="N34" i="263"/>
  <c r="O37" i="263" s="1"/>
  <c r="N34" i="183"/>
  <c r="O37" i="183" s="1"/>
  <c r="N34" i="97"/>
  <c r="O37" i="97" s="1"/>
  <c r="N34" i="196"/>
  <c r="O37" i="196" s="1"/>
  <c r="N34" i="109"/>
  <c r="O37" i="109" s="1"/>
  <c r="N34" i="103"/>
  <c r="O37" i="103" s="1"/>
  <c r="N34" i="325"/>
  <c r="O37" i="325" s="1"/>
  <c r="M34" i="365"/>
  <c r="N37" i="365" s="1"/>
  <c r="I32" i="365"/>
  <c r="N34" i="338"/>
  <c r="O37" i="338" s="1"/>
  <c r="N34" i="206"/>
  <c r="O37" i="206" s="1"/>
  <c r="N34" i="20"/>
  <c r="O37" i="20" s="1"/>
  <c r="N34" i="290"/>
  <c r="O37" i="290" s="1"/>
  <c r="N34" i="337"/>
  <c r="O37" i="337" s="1"/>
  <c r="N34" i="351"/>
  <c r="O37" i="351" s="1"/>
  <c r="N34" i="347"/>
  <c r="O37" i="347" s="1"/>
  <c r="N34" i="367"/>
  <c r="O37" i="367" s="1"/>
  <c r="N34" i="356"/>
  <c r="O37" i="356" s="1"/>
  <c r="N34" i="207"/>
  <c r="O37" i="207" s="1"/>
  <c r="N34" i="202"/>
  <c r="O37" i="202" s="1"/>
  <c r="N34" i="46"/>
  <c r="O37" i="46" s="1"/>
  <c r="N34" i="229"/>
  <c r="O37" i="229" s="1"/>
  <c r="N34" i="276"/>
  <c r="O37" i="276" s="1"/>
  <c r="N34" i="285"/>
  <c r="O37" i="285" s="1"/>
  <c r="N34" i="24"/>
  <c r="O37" i="24" s="1"/>
  <c r="N34" i="52"/>
  <c r="O37" i="52" s="1"/>
  <c r="N34" i="160"/>
  <c r="O37" i="160" s="1"/>
  <c r="N34" i="192"/>
  <c r="O37" i="192" s="1"/>
  <c r="N34" i="143"/>
  <c r="O37" i="143" s="1"/>
  <c r="N34" i="45"/>
  <c r="O37" i="45" s="1"/>
  <c r="N34" i="200"/>
  <c r="O37" i="200" s="1"/>
  <c r="N34" i="198"/>
  <c r="O37" i="198" s="1"/>
  <c r="N34" i="164"/>
  <c r="O37" i="164" s="1"/>
  <c r="N34" i="85"/>
  <c r="O37" i="85" s="1"/>
  <c r="N34" i="201"/>
  <c r="O37" i="201" s="1"/>
  <c r="N34" i="382"/>
  <c r="O37" i="382" s="1"/>
  <c r="M34" i="279"/>
  <c r="N37" i="279" s="1"/>
  <c r="I32" i="279"/>
  <c r="N34" i="283"/>
  <c r="O37" i="283" s="1"/>
  <c r="N34" i="333"/>
  <c r="O37" i="333" s="1"/>
  <c r="N34" i="301"/>
  <c r="O37" i="301" s="1"/>
  <c r="N34" i="344"/>
  <c r="O37" i="344" s="1"/>
  <c r="N34" i="105"/>
  <c r="O37" i="105" s="1"/>
  <c r="N34" i="1"/>
  <c r="O37" i="1" s="1"/>
  <c r="N34" i="297"/>
  <c r="O37" i="297" s="1"/>
  <c r="N34" i="16"/>
  <c r="O37" i="16" s="1"/>
  <c r="N34" i="298"/>
  <c r="O37" i="298" s="1"/>
  <c r="N34" i="355"/>
  <c r="O37" i="355" s="1"/>
  <c r="N34" i="349"/>
  <c r="O37" i="349" s="1"/>
  <c r="N34" i="322"/>
  <c r="O37" i="322" s="1"/>
  <c r="N34" i="113"/>
  <c r="O37" i="113" s="1"/>
  <c r="N34" i="334"/>
  <c r="O37" i="334" s="1"/>
  <c r="N34" i="8"/>
  <c r="O37" i="8" s="1"/>
  <c r="N34" i="28"/>
  <c r="O37" i="28" s="1"/>
  <c r="N34" i="363"/>
  <c r="O37" i="363" s="1"/>
  <c r="N34" i="204"/>
  <c r="O37" i="204" s="1"/>
  <c r="N34" i="368"/>
  <c r="O37" i="368" s="1"/>
  <c r="N34" i="169"/>
  <c r="O37" i="169" s="1"/>
  <c r="N34" i="257"/>
  <c r="O37" i="257" s="1"/>
  <c r="N34" i="148"/>
  <c r="O37" i="148" s="1"/>
  <c r="N34" i="190"/>
  <c r="O37" i="190" s="1"/>
  <c r="N34" i="17"/>
  <c r="O37" i="17" s="1"/>
  <c r="N34" i="3"/>
  <c r="O37" i="3" s="1"/>
  <c r="N34" i="23"/>
  <c r="O37" i="23" s="1"/>
  <c r="D37" i="170"/>
  <c r="B34" i="371"/>
  <c r="H44" i="371"/>
  <c r="C34" i="371"/>
  <c r="E46" i="371" s="1"/>
  <c r="G33" i="371"/>
  <c r="F32" i="185"/>
  <c r="U34" i="185"/>
  <c r="F32" i="152"/>
  <c r="U34" i="152"/>
  <c r="F32" i="321"/>
  <c r="U34" i="321"/>
  <c r="F32" i="253"/>
  <c r="U34" i="253"/>
  <c r="F32" i="247"/>
  <c r="U34" i="247"/>
  <c r="F32" i="144"/>
  <c r="U34" i="144"/>
  <c r="F32" i="195"/>
  <c r="U34" i="195"/>
  <c r="F32" i="149"/>
  <c r="U34" i="149"/>
  <c r="F32" i="231"/>
  <c r="K34" i="231"/>
  <c r="M46" i="231" s="1"/>
  <c r="F32" i="186"/>
  <c r="U34" i="186"/>
  <c r="F32" i="327"/>
  <c r="U34" i="327"/>
  <c r="F32" i="142"/>
  <c r="U34" i="142"/>
  <c r="F32" i="300"/>
  <c r="U34" i="300"/>
  <c r="T32" i="231"/>
  <c r="I32" i="231" s="1"/>
  <c r="T32" i="195"/>
  <c r="I32" i="195" s="1"/>
  <c r="T32" i="321"/>
  <c r="I32" i="321" s="1"/>
  <c r="T32" i="253"/>
  <c r="I32" i="253" s="1"/>
  <c r="J44" i="253" s="1"/>
  <c r="O32" i="316"/>
  <c r="P32" i="315"/>
  <c r="O32" i="315"/>
  <c r="T32" i="185"/>
  <c r="I32" i="185" s="1"/>
  <c r="T32" i="247"/>
  <c r="I32" i="247" s="1"/>
  <c r="T32" i="144"/>
  <c r="I32" i="144" s="1"/>
  <c r="T32" i="327"/>
  <c r="I32" i="327" s="1"/>
  <c r="J44" i="327" s="1"/>
  <c r="T32" i="186"/>
  <c r="I32" i="186" s="1"/>
  <c r="T32" i="142"/>
  <c r="I32" i="142" s="1"/>
  <c r="T32" i="371"/>
  <c r="I32" i="371" s="1"/>
  <c r="J44" i="371" s="1"/>
  <c r="T32" i="152"/>
  <c r="I32" i="152" s="1"/>
  <c r="O32" i="381"/>
  <c r="P32" i="317"/>
  <c r="O32" i="317"/>
  <c r="T32" i="300"/>
  <c r="I32" i="300" s="1"/>
  <c r="T32" i="170"/>
  <c r="I32" i="170" s="1"/>
  <c r="T32" i="149"/>
  <c r="I32" i="149" s="1"/>
  <c r="K31" i="384"/>
  <c r="M43" i="384" s="1"/>
  <c r="U31" i="384"/>
  <c r="T31" i="384"/>
  <c r="I31" i="384" s="1"/>
  <c r="F31" i="384"/>
  <c r="H43" i="384" s="1"/>
  <c r="T30" i="384"/>
  <c r="I30" i="384" s="1"/>
  <c r="F30" i="384"/>
  <c r="H42" i="384" s="1"/>
  <c r="T29" i="384"/>
  <c r="I29" i="384" s="1"/>
  <c r="F29" i="384"/>
  <c r="H41" i="384" s="1"/>
  <c r="K28" i="384"/>
  <c r="U28" i="384"/>
  <c r="M40" i="384" s="1"/>
  <c r="T28" i="384"/>
  <c r="I28" i="384" s="1"/>
  <c r="F28" i="384"/>
  <c r="T27" i="384"/>
  <c r="I27" i="384" s="1"/>
  <c r="F27" i="384"/>
  <c r="T26" i="384"/>
  <c r="I26" i="384" s="1"/>
  <c r="K25" i="384"/>
  <c r="U25" i="384"/>
  <c r="M37" i="384" s="1"/>
  <c r="T25" i="384"/>
  <c r="I25" i="384" s="1"/>
  <c r="F25" i="384"/>
  <c r="T24" i="384"/>
  <c r="I24" i="384" s="1"/>
  <c r="F24" i="384"/>
  <c r="T23" i="384"/>
  <c r="I23" i="384" s="1"/>
  <c r="F23" i="384"/>
  <c r="K22" i="384"/>
  <c r="U22" i="384"/>
  <c r="M34" i="384" s="1"/>
  <c r="T22" i="384"/>
  <c r="I22" i="384" s="1"/>
  <c r="F22" i="384"/>
  <c r="T21" i="384"/>
  <c r="I21" i="384" s="1"/>
  <c r="F21" i="384"/>
  <c r="T20" i="384"/>
  <c r="I20" i="384" s="1"/>
  <c r="F20" i="384"/>
  <c r="K19" i="384"/>
  <c r="U19" i="384"/>
  <c r="T19" i="384"/>
  <c r="I19" i="384" s="1"/>
  <c r="F19" i="384"/>
  <c r="T18" i="384"/>
  <c r="I18" i="384" s="1"/>
  <c r="F18" i="384"/>
  <c r="T17" i="384"/>
  <c r="I17" i="384" s="1"/>
  <c r="F17" i="384"/>
  <c r="K16" i="384"/>
  <c r="U16" i="384"/>
  <c r="T16" i="384"/>
  <c r="I16" i="384" s="1"/>
  <c r="F16" i="384"/>
  <c r="T15" i="384"/>
  <c r="I15" i="384" s="1"/>
  <c r="F15" i="384"/>
  <c r="T14" i="384"/>
  <c r="I14" i="384" s="1"/>
  <c r="F14" i="384"/>
  <c r="K13" i="384"/>
  <c r="U13" i="384"/>
  <c r="T13" i="384"/>
  <c r="I13" i="384" s="1"/>
  <c r="F13" i="384"/>
  <c r="T12" i="384"/>
  <c r="I12" i="384" s="1"/>
  <c r="F12" i="384"/>
  <c r="T11" i="384"/>
  <c r="I11" i="384" s="1"/>
  <c r="F11" i="384"/>
  <c r="K10" i="384"/>
  <c r="U10" i="384"/>
  <c r="T10" i="384"/>
  <c r="I10" i="384" s="1"/>
  <c r="F10" i="384"/>
  <c r="T9" i="384"/>
  <c r="I9" i="384" s="1"/>
  <c r="F9" i="384"/>
  <c r="T8" i="384"/>
  <c r="I8" i="384" s="1"/>
  <c r="F8" i="384"/>
  <c r="K7" i="384"/>
  <c r="U7" i="384"/>
  <c r="T7" i="384"/>
  <c r="I7" i="384" s="1"/>
  <c r="F7" i="384"/>
  <c r="T6" i="384"/>
  <c r="I6" i="384" s="1"/>
  <c r="F6" i="384"/>
  <c r="T5" i="384"/>
  <c r="I5" i="384" s="1"/>
  <c r="F5" i="384"/>
  <c r="J18" i="384" l="1"/>
  <c r="J20" i="384"/>
  <c r="J44" i="247"/>
  <c r="J28" i="384"/>
  <c r="J40" i="384"/>
  <c r="J44" i="170"/>
  <c r="J44" i="195"/>
  <c r="J19" i="384"/>
  <c r="J23" i="384"/>
  <c r="J35" i="384"/>
  <c r="J27" i="384"/>
  <c r="J39" i="384"/>
  <c r="J29" i="384"/>
  <c r="J41" i="384"/>
  <c r="J44" i="144"/>
  <c r="J44" i="152"/>
  <c r="J44" i="142"/>
  <c r="J44" i="186"/>
  <c r="J25" i="384"/>
  <c r="J37" i="384"/>
  <c r="J44" i="149"/>
  <c r="J44" i="321"/>
  <c r="J30" i="384"/>
  <c r="J42" i="384"/>
  <c r="J44" i="185"/>
  <c r="J21" i="384"/>
  <c r="J33" i="384"/>
  <c r="J44" i="300"/>
  <c r="J44" i="231"/>
  <c r="J32" i="384"/>
  <c r="J26" i="384"/>
  <c r="J38" i="384"/>
  <c r="J31" i="384"/>
  <c r="J43" i="384"/>
  <c r="J17" i="384"/>
  <c r="J22" i="384"/>
  <c r="J34" i="384"/>
  <c r="J24" i="384"/>
  <c r="J36" i="384"/>
  <c r="L37" i="300"/>
  <c r="L37" i="247"/>
  <c r="L37" i="195"/>
  <c r="L37" i="185"/>
  <c r="L37" i="142"/>
  <c r="L37" i="186"/>
  <c r="L37" i="149"/>
  <c r="L37" i="144"/>
  <c r="L37" i="253"/>
  <c r="L37" i="152"/>
  <c r="L37" i="327"/>
  <c r="L37" i="321"/>
  <c r="H33" i="384"/>
  <c r="N34" i="371"/>
  <c r="O37" i="371" s="1"/>
  <c r="N34" i="144"/>
  <c r="O37" i="144" s="1"/>
  <c r="N34" i="247"/>
  <c r="O37" i="247" s="1"/>
  <c r="N34" i="231"/>
  <c r="O37" i="231" s="1"/>
  <c r="H36" i="384"/>
  <c r="N34" i="195"/>
  <c r="O37" i="195" s="1"/>
  <c r="H40" i="384"/>
  <c r="N34" i="149"/>
  <c r="O37" i="149" s="1"/>
  <c r="N34" i="142"/>
  <c r="O37" i="142" s="1"/>
  <c r="H34" i="384"/>
  <c r="H35" i="384"/>
  <c r="H37" i="384"/>
  <c r="N34" i="170"/>
  <c r="O37" i="170" s="1"/>
  <c r="N34" i="186"/>
  <c r="O37" i="186" s="1"/>
  <c r="N34" i="185"/>
  <c r="O37" i="185" s="1"/>
  <c r="N34" i="253"/>
  <c r="O37" i="253" s="1"/>
  <c r="H39" i="384"/>
  <c r="N34" i="300"/>
  <c r="O37" i="300" s="1"/>
  <c r="N34" i="152"/>
  <c r="O37" i="152" s="1"/>
  <c r="N34" i="327"/>
  <c r="O37" i="327" s="1"/>
  <c r="N34" i="321"/>
  <c r="O37" i="321" s="1"/>
  <c r="D37" i="371"/>
  <c r="B34" i="300"/>
  <c r="H44" i="300"/>
  <c r="B34" i="327"/>
  <c r="H44" i="327"/>
  <c r="C34" i="231"/>
  <c r="E46" i="231" s="1"/>
  <c r="H44" i="231"/>
  <c r="C34" i="195"/>
  <c r="E46" i="195" s="1"/>
  <c r="H44" i="195"/>
  <c r="C34" i="247"/>
  <c r="E46" i="247" s="1"/>
  <c r="H44" i="247"/>
  <c r="G33" i="321"/>
  <c r="H44" i="321"/>
  <c r="G33" i="185"/>
  <c r="H44" i="185"/>
  <c r="G33" i="142"/>
  <c r="H44" i="142"/>
  <c r="B34" i="186"/>
  <c r="H44" i="186"/>
  <c r="C34" i="149"/>
  <c r="E46" i="149" s="1"/>
  <c r="H44" i="149"/>
  <c r="C34" i="144"/>
  <c r="E46" i="144" s="1"/>
  <c r="H44" i="144"/>
  <c r="G33" i="253"/>
  <c r="H44" i="253"/>
  <c r="C34" i="152"/>
  <c r="E46" i="152" s="1"/>
  <c r="H44" i="152"/>
  <c r="L34" i="384"/>
  <c r="C34" i="253"/>
  <c r="E46" i="253" s="1"/>
  <c r="G33" i="327"/>
  <c r="B34" i="185"/>
  <c r="C34" i="327"/>
  <c r="E46" i="327" s="1"/>
  <c r="B34" i="253"/>
  <c r="G33" i="144"/>
  <c r="B34" i="142"/>
  <c r="G33" i="186"/>
  <c r="C34" i="142"/>
  <c r="E46" i="142" s="1"/>
  <c r="G33" i="149"/>
  <c r="B34" i="144"/>
  <c r="C34" i="186"/>
  <c r="E46" i="186" s="1"/>
  <c r="B34" i="149"/>
  <c r="C34" i="185"/>
  <c r="E46" i="185" s="1"/>
  <c r="G33" i="247"/>
  <c r="B34" i="247"/>
  <c r="B34" i="321"/>
  <c r="C34" i="300"/>
  <c r="E46" i="300" s="1"/>
  <c r="C34" i="321"/>
  <c r="E46" i="321" s="1"/>
  <c r="G33" i="152"/>
  <c r="B34" i="152"/>
  <c r="B34" i="231"/>
  <c r="B34" i="195"/>
  <c r="G33" i="195"/>
  <c r="G33" i="231"/>
  <c r="G33" i="300"/>
  <c r="C31" i="384"/>
  <c r="E43" i="384" s="1"/>
  <c r="G31" i="384"/>
  <c r="N22" i="384"/>
  <c r="G8" i="384"/>
  <c r="N28" i="384"/>
  <c r="G18" i="384"/>
  <c r="H24" i="384"/>
  <c r="N7" i="384"/>
  <c r="G10" i="384"/>
  <c r="C13" i="384"/>
  <c r="G13" i="384"/>
  <c r="B16" i="384"/>
  <c r="G16" i="384"/>
  <c r="C22" i="384"/>
  <c r="E34" i="384" s="1"/>
  <c r="G22" i="384"/>
  <c r="H27" i="384"/>
  <c r="M28" i="384"/>
  <c r="M31" i="384"/>
  <c r="G32" i="384"/>
  <c r="G6" i="384"/>
  <c r="L10" i="384"/>
  <c r="N10" i="384"/>
  <c r="N13" i="384"/>
  <c r="C25" i="384"/>
  <c r="E37" i="384" s="1"/>
  <c r="H32" i="384"/>
  <c r="G9" i="384"/>
  <c r="L19" i="384"/>
  <c r="G25" i="384"/>
  <c r="C16" i="384"/>
  <c r="H30" i="384"/>
  <c r="C19" i="384"/>
  <c r="H29" i="384"/>
  <c r="M25" i="384"/>
  <c r="G15" i="384"/>
  <c r="N16" i="384"/>
  <c r="H17" i="384"/>
  <c r="G19" i="384"/>
  <c r="H21" i="384"/>
  <c r="M22" i="384"/>
  <c r="N25" i="384"/>
  <c r="N31" i="384"/>
  <c r="O34" i="384" s="1"/>
  <c r="B7" i="384"/>
  <c r="G7" i="384"/>
  <c r="C10" i="384"/>
  <c r="L16" i="384"/>
  <c r="N19" i="384"/>
  <c r="H19" i="384"/>
  <c r="G24" i="384"/>
  <c r="H25" i="384"/>
  <c r="C28" i="384"/>
  <c r="E40" i="384" s="1"/>
  <c r="H28" i="384"/>
  <c r="G30" i="384"/>
  <c r="H31" i="384"/>
  <c r="C7" i="384"/>
  <c r="H23" i="384"/>
  <c r="L25" i="384"/>
  <c r="L31" i="384"/>
  <c r="B10" i="384"/>
  <c r="G11" i="384"/>
  <c r="M19" i="384"/>
  <c r="G21" i="384"/>
  <c r="G26" i="384"/>
  <c r="G27" i="384"/>
  <c r="G28" i="384"/>
  <c r="B13" i="384"/>
  <c r="L13" i="384"/>
  <c r="G14" i="384"/>
  <c r="B19" i="384"/>
  <c r="H20" i="384"/>
  <c r="H22" i="384"/>
  <c r="L22" i="384"/>
  <c r="B25" i="384"/>
  <c r="H26" i="384"/>
  <c r="L28" i="384"/>
  <c r="B31" i="384"/>
  <c r="G12" i="384"/>
  <c r="H18" i="384"/>
  <c r="B22" i="384"/>
  <c r="B28" i="384"/>
  <c r="G20" i="384"/>
  <c r="G17" i="384"/>
  <c r="G23" i="384"/>
  <c r="G29" i="384"/>
  <c r="S31" i="170"/>
  <c r="R31" i="170"/>
  <c r="Q31" i="170"/>
  <c r="U31" i="202"/>
  <c r="D37" i="300" l="1"/>
  <c r="D37" i="185"/>
  <c r="D37" i="142"/>
  <c r="D37" i="253"/>
  <c r="D37" i="152"/>
  <c r="D37" i="144"/>
  <c r="D37" i="247"/>
  <c r="D37" i="231"/>
  <c r="D37" i="186"/>
  <c r="D37" i="327"/>
  <c r="D37" i="321"/>
  <c r="D37" i="149"/>
  <c r="D37" i="195"/>
  <c r="D34" i="384"/>
  <c r="D16" i="384"/>
  <c r="O22" i="384"/>
  <c r="D31" i="384"/>
  <c r="E31" i="384"/>
  <c r="O25" i="384"/>
  <c r="O16" i="384"/>
  <c r="O28" i="384"/>
  <c r="O19" i="384"/>
  <c r="O31" i="384"/>
  <c r="O13" i="384"/>
  <c r="E22" i="384"/>
  <c r="E25" i="384"/>
  <c r="O10" i="384"/>
  <c r="D22" i="384"/>
  <c r="D19" i="384"/>
  <c r="D13" i="384"/>
  <c r="D25" i="384"/>
  <c r="D10" i="384"/>
  <c r="E19" i="384"/>
  <c r="D28" i="384"/>
  <c r="E28" i="384"/>
  <c r="T31" i="371"/>
  <c r="I31" i="371" s="1"/>
  <c r="J43" i="371" l="1"/>
  <c r="AC11" i="35"/>
  <c r="F31" i="168" l="1"/>
  <c r="F31" i="169"/>
  <c r="F31" i="336"/>
  <c r="F31" i="35"/>
  <c r="H43" i="35" s="1"/>
  <c r="F31" i="202"/>
  <c r="F31" i="4"/>
  <c r="F31" i="3"/>
  <c r="F31" i="48"/>
  <c r="F31" i="7"/>
  <c r="F31" i="17"/>
  <c r="F31" i="5"/>
  <c r="F31" i="207"/>
  <c r="F31" i="9"/>
  <c r="F31" i="299"/>
  <c r="F31" i="190"/>
  <c r="F31" i="89"/>
  <c r="F31" i="88"/>
  <c r="F31" i="148"/>
  <c r="F31" i="303"/>
  <c r="F31" i="21"/>
  <c r="E31" i="369"/>
  <c r="F31" i="368"/>
  <c r="F31" i="364"/>
  <c r="F31" i="367"/>
  <c r="F31" i="31"/>
  <c r="F31" i="19"/>
  <c r="F31" i="204"/>
  <c r="E31" i="381"/>
  <c r="F32" i="381" s="1"/>
  <c r="F31" i="363"/>
  <c r="F31" i="28"/>
  <c r="F31" i="29"/>
  <c r="F31" i="359"/>
  <c r="F31" i="360"/>
  <c r="F31" i="8"/>
  <c r="F31" i="334"/>
  <c r="F31" i="342"/>
  <c r="F31" i="347"/>
  <c r="F31" i="33"/>
  <c r="F31" i="113"/>
  <c r="F31" i="361"/>
  <c r="F31" i="351"/>
  <c r="F31" i="352"/>
  <c r="F31" i="322"/>
  <c r="F31" i="362"/>
  <c r="F31" i="354"/>
  <c r="F31" i="353"/>
  <c r="G45" i="353" s="1"/>
  <c r="F31" i="288"/>
  <c r="F31" i="12"/>
  <c r="F31" i="356"/>
  <c r="F31" i="337"/>
  <c r="F31" i="227"/>
  <c r="F31" i="349"/>
  <c r="F31" i="355"/>
  <c r="F31" i="43"/>
  <c r="F31" i="290"/>
  <c r="F31" i="289"/>
  <c r="F31" i="298"/>
  <c r="F31" i="357"/>
  <c r="F31" i="293"/>
  <c r="F31" i="348"/>
  <c r="F31" i="16"/>
  <c r="F31" i="194"/>
  <c r="F31" i="193"/>
  <c r="F31" i="297"/>
  <c r="F31" i="350"/>
  <c r="F31" i="18"/>
  <c r="F31" i="20"/>
  <c r="F31" i="114"/>
  <c r="F31" i="1"/>
  <c r="F31" i="323"/>
  <c r="F31" i="233"/>
  <c r="F31" i="13"/>
  <c r="F31" i="261"/>
  <c r="F31" i="153"/>
  <c r="F31" i="257"/>
  <c r="F31" i="191"/>
  <c r="F31" i="23"/>
  <c r="F31" i="314"/>
  <c r="E31" i="317"/>
  <c r="F32" i="317" s="1"/>
  <c r="E31" i="316"/>
  <c r="F32" i="316" s="1"/>
  <c r="E31" i="315"/>
  <c r="F32" i="315" s="1"/>
  <c r="F31" i="105"/>
  <c r="F31" i="294"/>
  <c r="F31" i="206"/>
  <c r="F31" i="22"/>
  <c r="F31" i="344"/>
  <c r="F31" i="61"/>
  <c r="F31" i="338"/>
  <c r="F31" i="340"/>
  <c r="F31" i="301"/>
  <c r="F31" i="34"/>
  <c r="F31" i="174"/>
  <c r="F31" i="135"/>
  <c r="F31" i="333"/>
  <c r="F31" i="295"/>
  <c r="F31" i="365"/>
  <c r="F31" i="366"/>
  <c r="F31" i="283"/>
  <c r="F31" i="187"/>
  <c r="F31" i="284"/>
  <c r="F31" i="292"/>
  <c r="G32" i="339"/>
  <c r="F31" i="269"/>
  <c r="F31" i="325"/>
  <c r="F31" i="11"/>
  <c r="F31" i="279"/>
  <c r="F31" i="335"/>
  <c r="F31" i="37"/>
  <c r="F31" i="54"/>
  <c r="F31" i="101"/>
  <c r="F31" i="382"/>
  <c r="F31" i="102"/>
  <c r="F31" i="103"/>
  <c r="F31" i="265"/>
  <c r="F31" i="296"/>
  <c r="F31" i="75"/>
  <c r="F31" i="262"/>
  <c r="F31" i="249"/>
  <c r="F31" i="201"/>
  <c r="F31" i="112"/>
  <c r="F31" i="109"/>
  <c r="F31" i="2"/>
  <c r="F31" i="85"/>
  <c r="F31" i="324"/>
  <c r="F31" i="32"/>
  <c r="F31" i="203"/>
  <c r="F31" i="164"/>
  <c r="F31" i="162"/>
  <c r="F31" i="196"/>
  <c r="F31" i="197"/>
  <c r="F31" i="198"/>
  <c r="F31" i="345"/>
  <c r="F31" i="346"/>
  <c r="F31" i="74"/>
  <c r="F31" i="200"/>
  <c r="F31" i="280"/>
  <c r="F31" i="97"/>
  <c r="F31" i="383"/>
  <c r="F31" i="45"/>
  <c r="F31" i="104"/>
  <c r="F31" i="254"/>
  <c r="F31" i="181"/>
  <c r="F31" i="183"/>
  <c r="F31" i="184"/>
  <c r="F31" i="27"/>
  <c r="F31" i="143"/>
  <c r="F31" i="268"/>
  <c r="F31" i="263"/>
  <c r="F31" i="209"/>
  <c r="F31" i="192"/>
  <c r="F31" i="140"/>
  <c r="F31" i="270"/>
  <c r="F31" i="271"/>
  <c r="F31" i="159"/>
  <c r="F31" i="160"/>
  <c r="F31" i="107"/>
  <c r="F31" i="176"/>
  <c r="F31" i="53"/>
  <c r="F31" i="52"/>
  <c r="F31" i="281"/>
  <c r="F31" i="332"/>
  <c r="F31" i="25"/>
  <c r="F31" i="24"/>
  <c r="F31" i="318"/>
  <c r="F31" i="319"/>
  <c r="F31" i="320"/>
  <c r="E31" i="343"/>
  <c r="F32" i="343" s="1"/>
  <c r="F31" i="116"/>
  <c r="F31" i="272"/>
  <c r="F31" i="285"/>
  <c r="F31" i="44"/>
  <c r="F31" i="87"/>
  <c r="F31" i="287"/>
  <c r="F31" i="276"/>
  <c r="F31" i="229"/>
  <c r="F31" i="230"/>
  <c r="F31" i="328"/>
  <c r="F31" i="329"/>
  <c r="F31" i="326"/>
  <c r="F31" i="47"/>
  <c r="F31" i="248"/>
  <c r="F31" i="46"/>
  <c r="F31" i="239"/>
  <c r="F31" i="243"/>
  <c r="F31" i="244"/>
  <c r="F31" i="246"/>
  <c r="F32" i="369" l="1"/>
  <c r="G43" i="369"/>
  <c r="G32" i="202"/>
  <c r="H43" i="202"/>
  <c r="G32" i="285"/>
  <c r="H43" i="285"/>
  <c r="G32" i="25"/>
  <c r="H43" i="25"/>
  <c r="G32" i="159"/>
  <c r="H43" i="159"/>
  <c r="G32" i="143"/>
  <c r="H43" i="143"/>
  <c r="G32" i="200"/>
  <c r="H43" i="200"/>
  <c r="G32" i="162"/>
  <c r="H43" i="162"/>
  <c r="G32" i="112"/>
  <c r="H43" i="112"/>
  <c r="G32" i="102"/>
  <c r="H43" i="102"/>
  <c r="G32" i="325"/>
  <c r="H43" i="325"/>
  <c r="G32" i="365"/>
  <c r="H43" i="365"/>
  <c r="G32" i="338"/>
  <c r="H43" i="338"/>
  <c r="G32" i="206"/>
  <c r="H43" i="206"/>
  <c r="G32" i="114"/>
  <c r="H43" i="114"/>
  <c r="G32" i="348"/>
  <c r="H43" i="348"/>
  <c r="G32" i="349"/>
  <c r="H43" i="349"/>
  <c r="G32" i="239"/>
  <c r="H43" i="239"/>
  <c r="G32" i="328"/>
  <c r="H43" i="328"/>
  <c r="G32" i="272"/>
  <c r="H43" i="272"/>
  <c r="G32" i="332"/>
  <c r="H43" i="332"/>
  <c r="G32" i="176"/>
  <c r="H43" i="176"/>
  <c r="G32" i="27"/>
  <c r="H43" i="27"/>
  <c r="G32" i="383"/>
  <c r="H43" i="383"/>
  <c r="G32" i="74"/>
  <c r="H43" i="74"/>
  <c r="G32" i="164"/>
  <c r="H43" i="164"/>
  <c r="G32" i="296"/>
  <c r="H43" i="296"/>
  <c r="G32" i="335"/>
  <c r="H43" i="335"/>
  <c r="G32" i="187"/>
  <c r="H43" i="187"/>
  <c r="G32" i="295"/>
  <c r="H43" i="295"/>
  <c r="G32" i="61"/>
  <c r="H43" i="61"/>
  <c r="G32" i="233"/>
  <c r="H43" i="233"/>
  <c r="G32" i="193"/>
  <c r="H43" i="193"/>
  <c r="G32" i="293"/>
  <c r="H43" i="293"/>
  <c r="G32" i="227"/>
  <c r="H43" i="227"/>
  <c r="G32" i="322"/>
  <c r="H43" i="322"/>
  <c r="G32" i="334"/>
  <c r="H43" i="334"/>
  <c r="G32" i="29"/>
  <c r="H43" i="29"/>
  <c r="G32" i="367"/>
  <c r="H43" i="367"/>
  <c r="G32" i="89"/>
  <c r="H43" i="89"/>
  <c r="G32" i="48"/>
  <c r="H43" i="48"/>
  <c r="G32" i="246"/>
  <c r="H43" i="246"/>
  <c r="G32" i="230"/>
  <c r="H43" i="230"/>
  <c r="G32" i="281"/>
  <c r="H43" i="281"/>
  <c r="G32" i="263"/>
  <c r="H43" i="263"/>
  <c r="G32" i="97"/>
  <c r="H43" i="97"/>
  <c r="G32" i="197"/>
  <c r="H43" i="197"/>
  <c r="G32" i="2"/>
  <c r="H43" i="2"/>
  <c r="G32" i="101"/>
  <c r="H43" i="101"/>
  <c r="G32" i="333"/>
  <c r="H43" i="333"/>
  <c r="G32" i="344"/>
  <c r="H43" i="344"/>
  <c r="G32" i="105"/>
  <c r="H43" i="105"/>
  <c r="G32" i="314"/>
  <c r="H43" i="314"/>
  <c r="G32" i="153"/>
  <c r="H43" i="153"/>
  <c r="G32" i="323"/>
  <c r="H43" i="323"/>
  <c r="G32" i="18"/>
  <c r="H43" i="18"/>
  <c r="G32" i="194"/>
  <c r="H43" i="194"/>
  <c r="G32" i="357"/>
  <c r="H43" i="357"/>
  <c r="G32" i="337"/>
  <c r="H43" i="337"/>
  <c r="G32" i="353"/>
  <c r="G32" i="352"/>
  <c r="H43" i="352"/>
  <c r="G32" i="33"/>
  <c r="H43" i="33"/>
  <c r="G32" i="8"/>
  <c r="H43" i="8"/>
  <c r="G32" i="28"/>
  <c r="H43" i="28"/>
  <c r="G32" i="19"/>
  <c r="H43" i="19"/>
  <c r="G32" i="364"/>
  <c r="H43" i="364"/>
  <c r="G32" i="303"/>
  <c r="H43" i="303"/>
  <c r="G32" i="190"/>
  <c r="H43" i="190"/>
  <c r="G32" i="5"/>
  <c r="H43" i="5"/>
  <c r="G32" i="3"/>
  <c r="H43" i="3"/>
  <c r="G32" i="336"/>
  <c r="H43" i="336"/>
  <c r="G32" i="243"/>
  <c r="H43" i="243"/>
  <c r="G32" i="47"/>
  <c r="H43" i="47"/>
  <c r="G32" i="276"/>
  <c r="H43" i="276"/>
  <c r="G32" i="320"/>
  <c r="H43" i="320"/>
  <c r="G32" i="53"/>
  <c r="H43" i="53"/>
  <c r="G32" i="192"/>
  <c r="H43" i="192"/>
  <c r="G32" i="181"/>
  <c r="H43" i="181"/>
  <c r="G32" i="45"/>
  <c r="H43" i="45"/>
  <c r="G32" i="324"/>
  <c r="H43" i="324"/>
  <c r="G32" i="75"/>
  <c r="H43" i="75"/>
  <c r="G32" i="37"/>
  <c r="H43" i="37"/>
  <c r="G32" i="284"/>
  <c r="H43" i="284"/>
  <c r="G32" i="174"/>
  <c r="H43" i="174"/>
  <c r="G32" i="191"/>
  <c r="H43" i="191"/>
  <c r="G32" i="13"/>
  <c r="H43" i="13"/>
  <c r="G32" i="297"/>
  <c r="H43" i="297"/>
  <c r="G32" i="289"/>
  <c r="H43" i="289"/>
  <c r="G32" i="12"/>
  <c r="H43" i="12"/>
  <c r="G32" i="326"/>
  <c r="H43" i="326"/>
  <c r="G32" i="287"/>
  <c r="H43" i="287"/>
  <c r="G32" i="319"/>
  <c r="H43" i="319"/>
  <c r="G32" i="271"/>
  <c r="H43" i="271"/>
  <c r="G32" i="209"/>
  <c r="H43" i="209"/>
  <c r="G32" i="198"/>
  <c r="H43" i="198"/>
  <c r="G32" i="85"/>
  <c r="H43" i="85"/>
  <c r="G32" i="201"/>
  <c r="H43" i="201"/>
  <c r="G32" i="382"/>
  <c r="H43" i="382"/>
  <c r="G32" i="269"/>
  <c r="H43" i="269"/>
  <c r="G32" i="34"/>
  <c r="H43" i="34"/>
  <c r="G32" i="294"/>
  <c r="H43" i="294"/>
  <c r="G32" i="257"/>
  <c r="H43" i="257"/>
  <c r="G32" i="20"/>
  <c r="H43" i="20"/>
  <c r="G32" i="290"/>
  <c r="H43" i="290"/>
  <c r="G32" i="288"/>
  <c r="H43" i="288"/>
  <c r="G32" i="113"/>
  <c r="H43" i="113"/>
  <c r="G32" i="204"/>
  <c r="H43" i="204"/>
  <c r="G32" i="21"/>
  <c r="H43" i="21"/>
  <c r="G32" i="207"/>
  <c r="H43" i="207"/>
  <c r="G32" i="46"/>
  <c r="H43" i="46"/>
  <c r="G32" i="87"/>
  <c r="H43" i="87"/>
  <c r="G32" i="116"/>
  <c r="H43" i="116"/>
  <c r="G32" i="318"/>
  <c r="H43" i="318"/>
  <c r="G32" i="107"/>
  <c r="H43" i="107"/>
  <c r="G32" i="270"/>
  <c r="H43" i="270"/>
  <c r="G32" i="184"/>
  <c r="H43" i="184"/>
  <c r="G32" i="254"/>
  <c r="H43" i="254"/>
  <c r="G32" i="346"/>
  <c r="H43" i="346"/>
  <c r="G32" i="203"/>
  <c r="H43" i="203"/>
  <c r="G32" i="249"/>
  <c r="H43" i="249"/>
  <c r="G32" i="265"/>
  <c r="H43" i="265"/>
  <c r="G32" i="279"/>
  <c r="H43" i="279"/>
  <c r="G32" i="283"/>
  <c r="H43" i="283"/>
  <c r="G32" i="301"/>
  <c r="H43" i="301"/>
  <c r="G32" i="43"/>
  <c r="H43" i="43"/>
  <c r="G32" i="244"/>
  <c r="H43" i="244"/>
  <c r="G32" i="248"/>
  <c r="H43" i="248"/>
  <c r="G32" i="329"/>
  <c r="H43" i="329"/>
  <c r="G32" i="229"/>
  <c r="H43" i="229"/>
  <c r="G32" i="44"/>
  <c r="H43" i="44"/>
  <c r="G32" i="24"/>
  <c r="H43" i="24"/>
  <c r="G32" i="52"/>
  <c r="H43" i="52"/>
  <c r="G32" i="160"/>
  <c r="H43" i="160"/>
  <c r="G32" i="140"/>
  <c r="H43" i="140"/>
  <c r="G32" i="268"/>
  <c r="H43" i="268"/>
  <c r="G32" i="183"/>
  <c r="H43" i="183"/>
  <c r="G32" i="104"/>
  <c r="H43" i="104"/>
  <c r="G32" i="280"/>
  <c r="H43" i="280"/>
  <c r="G32" i="345"/>
  <c r="H43" i="345"/>
  <c r="G32" i="196"/>
  <c r="H43" i="196"/>
  <c r="G32" i="32"/>
  <c r="H43" i="32"/>
  <c r="G32" i="109"/>
  <c r="H43" i="109"/>
  <c r="G32" i="262"/>
  <c r="H43" i="262"/>
  <c r="G32" i="103"/>
  <c r="H43" i="103"/>
  <c r="G32" i="54"/>
  <c r="H43" i="54"/>
  <c r="G32" i="11"/>
  <c r="H43" i="11"/>
  <c r="G32" i="292"/>
  <c r="H43" i="292"/>
  <c r="G32" i="366"/>
  <c r="H43" i="366"/>
  <c r="G32" i="135"/>
  <c r="H43" i="135"/>
  <c r="G32" i="340"/>
  <c r="H43" i="340"/>
  <c r="G32" i="22"/>
  <c r="H43" i="22"/>
  <c r="G32" i="23"/>
  <c r="H43" i="23"/>
  <c r="G32" i="261"/>
  <c r="H43" i="261"/>
  <c r="G32" i="1"/>
  <c r="H43" i="1"/>
  <c r="G32" i="350"/>
  <c r="H43" i="350"/>
  <c r="G32" i="16"/>
  <c r="H43" i="16"/>
  <c r="G32" i="298"/>
  <c r="H43" i="298"/>
  <c r="G32" i="355"/>
  <c r="H43" i="355"/>
  <c r="G32" i="356"/>
  <c r="H43" i="356"/>
  <c r="G32" i="354"/>
  <c r="H43" i="354"/>
  <c r="G32" i="351"/>
  <c r="H43" i="351"/>
  <c r="G32" i="347"/>
  <c r="H43" i="347"/>
  <c r="G32" i="360"/>
  <c r="H43" i="360"/>
  <c r="G32" i="363"/>
  <c r="H43" i="363"/>
  <c r="G32" i="31"/>
  <c r="H43" i="31"/>
  <c r="G32" i="368"/>
  <c r="H43" i="368"/>
  <c r="G32" i="148"/>
  <c r="H43" i="148"/>
  <c r="G32" i="299"/>
  <c r="H43" i="299"/>
  <c r="G32" i="17"/>
  <c r="H43" i="17"/>
  <c r="G32" i="4"/>
  <c r="H43" i="4"/>
  <c r="G32" i="169"/>
  <c r="H43" i="169"/>
  <c r="G32" i="362"/>
  <c r="H43" i="362"/>
  <c r="G32" i="361"/>
  <c r="H43" i="361"/>
  <c r="G32" i="342"/>
  <c r="H43" i="342"/>
  <c r="G32" i="359"/>
  <c r="H43" i="359"/>
  <c r="G32" i="88"/>
  <c r="H43" i="88"/>
  <c r="G32" i="9"/>
  <c r="H43" i="9"/>
  <c r="G32" i="7"/>
  <c r="H43" i="7"/>
  <c r="G32" i="168"/>
  <c r="H43" i="168"/>
  <c r="G32" i="35"/>
  <c r="H221" i="417"/>
  <c r="I233" i="417" s="1"/>
  <c r="K31" i="383"/>
  <c r="M43" i="383" s="1"/>
  <c r="U31" i="383"/>
  <c r="T31" i="383"/>
  <c r="I31" i="383" s="1"/>
  <c r="J43" i="383" s="1"/>
  <c r="T30" i="383"/>
  <c r="I30" i="383" s="1"/>
  <c r="F30" i="383"/>
  <c r="T29" i="383"/>
  <c r="I29" i="383" s="1"/>
  <c r="J41" i="383" s="1"/>
  <c r="F29" i="383"/>
  <c r="H41" i="383" s="1"/>
  <c r="K28" i="383"/>
  <c r="U28" i="383"/>
  <c r="M40" i="383" s="1"/>
  <c r="T28" i="383"/>
  <c r="I28" i="383" s="1"/>
  <c r="J40" i="383" s="1"/>
  <c r="F28" i="383"/>
  <c r="T27" i="383"/>
  <c r="I27" i="383" s="1"/>
  <c r="J39" i="383" s="1"/>
  <c r="F27" i="383"/>
  <c r="T26" i="383"/>
  <c r="I26" i="383" s="1"/>
  <c r="K25" i="383"/>
  <c r="U25" i="383"/>
  <c r="M37" i="383" s="1"/>
  <c r="T25" i="383"/>
  <c r="I25" i="383" s="1"/>
  <c r="F25" i="383"/>
  <c r="T24" i="383"/>
  <c r="I24" i="383" s="1"/>
  <c r="J36" i="383" s="1"/>
  <c r="F24" i="383"/>
  <c r="T23" i="383"/>
  <c r="I23" i="383" s="1"/>
  <c r="F23" i="383"/>
  <c r="K22" i="383"/>
  <c r="U22" i="383"/>
  <c r="M34" i="383" s="1"/>
  <c r="T22" i="383"/>
  <c r="I22" i="383" s="1"/>
  <c r="F22" i="383"/>
  <c r="T21" i="383"/>
  <c r="I21" i="383" s="1"/>
  <c r="J33" i="383" s="1"/>
  <c r="F21" i="383"/>
  <c r="T20" i="383"/>
  <c r="I20" i="383" s="1"/>
  <c r="J32" i="383" s="1"/>
  <c r="F20" i="383"/>
  <c r="K19" i="383"/>
  <c r="U19" i="383"/>
  <c r="T19" i="383"/>
  <c r="I19" i="383" s="1"/>
  <c r="F19" i="383"/>
  <c r="T18" i="383"/>
  <c r="I18" i="383" s="1"/>
  <c r="F18" i="383"/>
  <c r="T17" i="383"/>
  <c r="I17" i="383" s="1"/>
  <c r="F17" i="383"/>
  <c r="K16" i="383"/>
  <c r="U16" i="383"/>
  <c r="T16" i="383"/>
  <c r="I16" i="383" s="1"/>
  <c r="F16" i="383"/>
  <c r="T15" i="383"/>
  <c r="I15" i="383" s="1"/>
  <c r="F15" i="383"/>
  <c r="T14" i="383"/>
  <c r="I14" i="383" s="1"/>
  <c r="F14" i="383"/>
  <c r="K13" i="383"/>
  <c r="U13" i="383"/>
  <c r="T13" i="383"/>
  <c r="I13" i="383" s="1"/>
  <c r="F13" i="383"/>
  <c r="T12" i="383"/>
  <c r="I12" i="383" s="1"/>
  <c r="F12" i="383"/>
  <c r="T11" i="383"/>
  <c r="I11" i="383" s="1"/>
  <c r="F11" i="383"/>
  <c r="K10" i="383"/>
  <c r="U10" i="383"/>
  <c r="T10" i="383"/>
  <c r="I10" i="383" s="1"/>
  <c r="F10" i="383"/>
  <c r="T9" i="383"/>
  <c r="I9" i="383" s="1"/>
  <c r="F9" i="383"/>
  <c r="T8" i="383"/>
  <c r="I8" i="383" s="1"/>
  <c r="F8" i="383"/>
  <c r="K7" i="383"/>
  <c r="U7" i="383"/>
  <c r="T7" i="383"/>
  <c r="I7" i="383" s="1"/>
  <c r="F7" i="383"/>
  <c r="T6" i="383"/>
  <c r="I6" i="383" s="1"/>
  <c r="F6" i="383"/>
  <c r="T5" i="383"/>
  <c r="I5" i="383" s="1"/>
  <c r="F5" i="383"/>
  <c r="F31" i="195"/>
  <c r="S31" i="253"/>
  <c r="R31" i="253"/>
  <c r="Q31" i="253"/>
  <c r="F31" i="253" s="1"/>
  <c r="J21" i="383" l="1"/>
  <c r="J28" i="383"/>
  <c r="J18" i="383"/>
  <c r="J37" i="383"/>
  <c r="J25" i="383"/>
  <c r="J26" i="383"/>
  <c r="J38" i="383"/>
  <c r="J20" i="383"/>
  <c r="J27" i="383"/>
  <c r="J29" i="383"/>
  <c r="J17" i="383"/>
  <c r="J22" i="383"/>
  <c r="J34" i="383"/>
  <c r="J30" i="383"/>
  <c r="J42" i="383"/>
  <c r="J24" i="383"/>
  <c r="J31" i="383"/>
  <c r="J19" i="383"/>
  <c r="J35" i="383"/>
  <c r="J23" i="383"/>
  <c r="H36" i="383"/>
  <c r="H40" i="383"/>
  <c r="H33" i="383"/>
  <c r="H32" i="383"/>
  <c r="H34" i="383"/>
  <c r="H35" i="383"/>
  <c r="H37" i="383"/>
  <c r="H39" i="383"/>
  <c r="L34" i="383"/>
  <c r="G32" i="253"/>
  <c r="H43" i="253"/>
  <c r="G32" i="195"/>
  <c r="H43" i="195"/>
  <c r="G31" i="383"/>
  <c r="H42" i="383"/>
  <c r="H17" i="383"/>
  <c r="M19" i="383"/>
  <c r="M31" i="383"/>
  <c r="G7" i="383"/>
  <c r="G10" i="383"/>
  <c r="G13" i="383"/>
  <c r="G22" i="383"/>
  <c r="C13" i="383"/>
  <c r="G16" i="383"/>
  <c r="G19" i="383"/>
  <c r="N28" i="383"/>
  <c r="B16" i="383"/>
  <c r="C19" i="383"/>
  <c r="G8" i="383"/>
  <c r="G6" i="383"/>
  <c r="G24" i="383"/>
  <c r="H27" i="383"/>
  <c r="M28" i="383"/>
  <c r="G30" i="383"/>
  <c r="N22" i="383"/>
  <c r="N31" i="383"/>
  <c r="O34" i="383" s="1"/>
  <c r="H30" i="383"/>
  <c r="C31" i="383"/>
  <c r="E43" i="383" s="1"/>
  <c r="H29" i="383"/>
  <c r="N19" i="383"/>
  <c r="C25" i="383"/>
  <c r="E37" i="383" s="1"/>
  <c r="G20" i="383"/>
  <c r="H24" i="383"/>
  <c r="M25" i="383"/>
  <c r="G18" i="383"/>
  <c r="G21" i="383"/>
  <c r="N25" i="383"/>
  <c r="G25" i="383"/>
  <c r="C28" i="383"/>
  <c r="E40" i="383" s="1"/>
  <c r="G28" i="383"/>
  <c r="H31" i="383"/>
  <c r="N7" i="383"/>
  <c r="N10" i="383"/>
  <c r="N13" i="383"/>
  <c r="N16" i="383"/>
  <c r="M22" i="383"/>
  <c r="B7" i="383"/>
  <c r="C7" i="383"/>
  <c r="G9" i="383"/>
  <c r="G15" i="383"/>
  <c r="L16" i="383"/>
  <c r="H19" i="383"/>
  <c r="L19" i="383"/>
  <c r="H25" i="383"/>
  <c r="B22" i="383"/>
  <c r="H23" i="383"/>
  <c r="L25" i="383"/>
  <c r="B10" i="383"/>
  <c r="L10" i="383"/>
  <c r="C22" i="383"/>
  <c r="E34" i="383" s="1"/>
  <c r="G26" i="383"/>
  <c r="G27" i="383"/>
  <c r="C10" i="383"/>
  <c r="B13" i="383"/>
  <c r="L13" i="383"/>
  <c r="G14" i="383"/>
  <c r="B19" i="383"/>
  <c r="H20" i="383"/>
  <c r="H21" i="383"/>
  <c r="H22" i="383"/>
  <c r="L22" i="383"/>
  <c r="B25" i="383"/>
  <c r="H26" i="383"/>
  <c r="H28" i="383"/>
  <c r="L28" i="383"/>
  <c r="B31" i="383"/>
  <c r="G12" i="383"/>
  <c r="C16" i="383"/>
  <c r="H18" i="383"/>
  <c r="B28" i="383"/>
  <c r="L31" i="383"/>
  <c r="G11" i="383"/>
  <c r="G17" i="383"/>
  <c r="G23" i="383"/>
  <c r="G29" i="383"/>
  <c r="D34" i="383" l="1"/>
  <c r="D16" i="383"/>
  <c r="E25" i="383"/>
  <c r="D28" i="383"/>
  <c r="O31" i="383"/>
  <c r="D25" i="383"/>
  <c r="E19" i="383"/>
  <c r="E31" i="383"/>
  <c r="O13" i="383"/>
  <c r="O10" i="383"/>
  <c r="O22" i="383"/>
  <c r="O25" i="383"/>
  <c r="E28" i="383"/>
  <c r="D31" i="383"/>
  <c r="O16" i="383"/>
  <c r="O28" i="383"/>
  <c r="D10" i="383"/>
  <c r="O19" i="383"/>
  <c r="D13" i="383"/>
  <c r="D19" i="383"/>
  <c r="E22" i="383"/>
  <c r="D22" i="383"/>
  <c r="K31" i="382"/>
  <c r="M43" i="382" s="1"/>
  <c r="U31" i="382"/>
  <c r="T31" i="382"/>
  <c r="I31" i="382" s="1"/>
  <c r="T30" i="382"/>
  <c r="I30" i="382" s="1"/>
  <c r="J42" i="382" s="1"/>
  <c r="F30" i="382"/>
  <c r="T29" i="382"/>
  <c r="I29" i="382" s="1"/>
  <c r="F29" i="382"/>
  <c r="H41" i="382" s="1"/>
  <c r="K28" i="382"/>
  <c r="U28" i="382"/>
  <c r="M40" i="382" s="1"/>
  <c r="T28" i="382"/>
  <c r="I28" i="382" s="1"/>
  <c r="J40" i="382" s="1"/>
  <c r="F28" i="382"/>
  <c r="T27" i="382"/>
  <c r="I27" i="382" s="1"/>
  <c r="F27" i="382"/>
  <c r="T26" i="382"/>
  <c r="I26" i="382" s="1"/>
  <c r="J38" i="382" s="1"/>
  <c r="K25" i="382"/>
  <c r="U25" i="382"/>
  <c r="M37" i="382" s="1"/>
  <c r="T25" i="382"/>
  <c r="I25" i="382" s="1"/>
  <c r="F25" i="382"/>
  <c r="T24" i="382"/>
  <c r="I24" i="382" s="1"/>
  <c r="J36" i="382" s="1"/>
  <c r="F24" i="382"/>
  <c r="T23" i="382"/>
  <c r="I23" i="382" s="1"/>
  <c r="F23" i="382"/>
  <c r="K22" i="382"/>
  <c r="U22" i="382"/>
  <c r="M34" i="382" s="1"/>
  <c r="T22" i="382"/>
  <c r="I22" i="382" s="1"/>
  <c r="J34" i="382" s="1"/>
  <c r="F22" i="382"/>
  <c r="T21" i="382"/>
  <c r="I21" i="382" s="1"/>
  <c r="F21" i="382"/>
  <c r="T20" i="382"/>
  <c r="I20" i="382" s="1"/>
  <c r="J32" i="382" s="1"/>
  <c r="F20" i="382"/>
  <c r="K19" i="382"/>
  <c r="U19" i="382"/>
  <c r="T19" i="382"/>
  <c r="I19" i="382" s="1"/>
  <c r="F19" i="382"/>
  <c r="T18" i="382"/>
  <c r="I18" i="382" s="1"/>
  <c r="F18" i="382"/>
  <c r="T17" i="382"/>
  <c r="I17" i="382" s="1"/>
  <c r="F17" i="382"/>
  <c r="K16" i="382"/>
  <c r="U16" i="382"/>
  <c r="T16" i="382"/>
  <c r="I16" i="382" s="1"/>
  <c r="F16" i="382"/>
  <c r="T15" i="382"/>
  <c r="I15" i="382" s="1"/>
  <c r="F15" i="382"/>
  <c r="T14" i="382"/>
  <c r="I14" i="382" s="1"/>
  <c r="F14" i="382"/>
  <c r="K13" i="382"/>
  <c r="U13" i="382"/>
  <c r="T13" i="382"/>
  <c r="I13" i="382" s="1"/>
  <c r="F13" i="382"/>
  <c r="T12" i="382"/>
  <c r="I12" i="382" s="1"/>
  <c r="F12" i="382"/>
  <c r="T11" i="382"/>
  <c r="I11" i="382" s="1"/>
  <c r="F11" i="382"/>
  <c r="K10" i="382"/>
  <c r="U10" i="382"/>
  <c r="T10" i="382"/>
  <c r="I10" i="382" s="1"/>
  <c r="F10" i="382"/>
  <c r="T9" i="382"/>
  <c r="I9" i="382" s="1"/>
  <c r="F9" i="382"/>
  <c r="T8" i="382"/>
  <c r="I8" i="382" s="1"/>
  <c r="F8" i="382"/>
  <c r="K7" i="382"/>
  <c r="U7" i="382"/>
  <c r="T7" i="382"/>
  <c r="I7" i="382" s="1"/>
  <c r="F7" i="382"/>
  <c r="T6" i="382"/>
  <c r="I6" i="382" s="1"/>
  <c r="F6" i="382"/>
  <c r="T5" i="382"/>
  <c r="I5" i="382" s="1"/>
  <c r="F5" i="382"/>
  <c r="J18" i="382" l="1"/>
  <c r="J20" i="382"/>
  <c r="J28" i="382"/>
  <c r="J30" i="382"/>
  <c r="J17" i="382"/>
  <c r="J26" i="382"/>
  <c r="J27" i="382"/>
  <c r="J39" i="382"/>
  <c r="J24" i="382"/>
  <c r="J19" i="382"/>
  <c r="J25" i="382"/>
  <c r="J37" i="382"/>
  <c r="J29" i="382"/>
  <c r="J41" i="382"/>
  <c r="J22" i="382"/>
  <c r="J21" i="382"/>
  <c r="J33" i="382"/>
  <c r="J23" i="382"/>
  <c r="J35" i="382"/>
  <c r="J31" i="382"/>
  <c r="J43" i="382"/>
  <c r="H32" i="382"/>
  <c r="H37" i="382"/>
  <c r="H39" i="382"/>
  <c r="H26" i="382"/>
  <c r="H35" i="382"/>
  <c r="H36" i="382"/>
  <c r="H34" i="382"/>
  <c r="H33" i="382"/>
  <c r="H40" i="382"/>
  <c r="L34" i="382"/>
  <c r="G31" i="382"/>
  <c r="H42" i="382"/>
  <c r="M19" i="382"/>
  <c r="H28" i="382"/>
  <c r="H21" i="382"/>
  <c r="L28" i="382"/>
  <c r="L13" i="382"/>
  <c r="G11" i="382"/>
  <c r="G26" i="382"/>
  <c r="B13" i="382"/>
  <c r="G28" i="382"/>
  <c r="G6" i="382"/>
  <c r="B31" i="382"/>
  <c r="C22" i="382"/>
  <c r="E34" i="382" s="1"/>
  <c r="G22" i="382"/>
  <c r="C25" i="382"/>
  <c r="E37" i="382" s="1"/>
  <c r="N22" i="382"/>
  <c r="N13" i="382"/>
  <c r="H27" i="382"/>
  <c r="L16" i="382"/>
  <c r="G21" i="382"/>
  <c r="N25" i="382"/>
  <c r="C7" i="382"/>
  <c r="B7" i="382"/>
  <c r="C28" i="382"/>
  <c r="E40" i="382" s="1"/>
  <c r="N7" i="382"/>
  <c r="N31" i="382"/>
  <c r="O34" i="382" s="1"/>
  <c r="G30" i="382"/>
  <c r="G29" i="382"/>
  <c r="C31" i="382"/>
  <c r="E43" i="382" s="1"/>
  <c r="G7" i="382"/>
  <c r="H18" i="382"/>
  <c r="B16" i="382"/>
  <c r="N10" i="382"/>
  <c r="G10" i="382"/>
  <c r="G16" i="382"/>
  <c r="H25" i="382"/>
  <c r="M28" i="382"/>
  <c r="G13" i="382"/>
  <c r="H19" i="382"/>
  <c r="H24" i="382"/>
  <c r="B19" i="382"/>
  <c r="G18" i="382"/>
  <c r="G19" i="382"/>
  <c r="N28" i="382"/>
  <c r="G17" i="382"/>
  <c r="B22" i="382"/>
  <c r="B25" i="382"/>
  <c r="G24" i="382"/>
  <c r="G25" i="382"/>
  <c r="M25" i="382"/>
  <c r="L31" i="382"/>
  <c r="H20" i="382"/>
  <c r="H22" i="382"/>
  <c r="N16" i="382"/>
  <c r="N19" i="382"/>
  <c r="C19" i="382"/>
  <c r="L22" i="382"/>
  <c r="G20" i="382"/>
  <c r="G23" i="382"/>
  <c r="B28" i="382"/>
  <c r="G27" i="382"/>
  <c r="H30" i="382"/>
  <c r="H31" i="382"/>
  <c r="M22" i="382"/>
  <c r="G8" i="382"/>
  <c r="G12" i="382"/>
  <c r="C16" i="382"/>
  <c r="H17" i="382"/>
  <c r="L19" i="382"/>
  <c r="H23" i="382"/>
  <c r="L25" i="382"/>
  <c r="H29" i="382"/>
  <c r="B10" i="382"/>
  <c r="G15" i="382"/>
  <c r="M31" i="382"/>
  <c r="G9" i="382"/>
  <c r="C13" i="382"/>
  <c r="L10" i="382"/>
  <c r="C10" i="382"/>
  <c r="G14" i="382"/>
  <c r="N31" i="381"/>
  <c r="M31" i="381"/>
  <c r="L31" i="381"/>
  <c r="L30" i="381"/>
  <c r="E30" i="381"/>
  <c r="L29" i="381"/>
  <c r="E29" i="381"/>
  <c r="N28" i="381"/>
  <c r="M28" i="381"/>
  <c r="L28" i="381"/>
  <c r="E28" i="381"/>
  <c r="L27" i="381"/>
  <c r="E27" i="381"/>
  <c r="L26" i="381"/>
  <c r="E26" i="381"/>
  <c r="N25" i="381"/>
  <c r="M25" i="381"/>
  <c r="L25" i="381"/>
  <c r="E25" i="381"/>
  <c r="L24" i="381"/>
  <c r="E24" i="381"/>
  <c r="L23" i="381"/>
  <c r="E23" i="381"/>
  <c r="N22" i="381"/>
  <c r="M22" i="381"/>
  <c r="L22" i="381"/>
  <c r="E22" i="381"/>
  <c r="L21" i="381"/>
  <c r="E21" i="381"/>
  <c r="L20" i="381"/>
  <c r="E20" i="381"/>
  <c r="G32" i="381" s="1"/>
  <c r="N19" i="381"/>
  <c r="M19" i="381"/>
  <c r="L19" i="381"/>
  <c r="E19" i="381"/>
  <c r="G31" i="381" s="1"/>
  <c r="L18" i="381"/>
  <c r="E18" i="381"/>
  <c r="L17" i="381"/>
  <c r="E17" i="381"/>
  <c r="N16" i="381"/>
  <c r="M16" i="381"/>
  <c r="L16" i="381"/>
  <c r="E16" i="381"/>
  <c r="L15" i="381"/>
  <c r="E15" i="381"/>
  <c r="L14" i="381"/>
  <c r="E14" i="381"/>
  <c r="N13" i="381"/>
  <c r="M13" i="381"/>
  <c r="L13" i="381"/>
  <c r="E13" i="381"/>
  <c r="L12" i="381"/>
  <c r="E12" i="381"/>
  <c r="L11" i="381"/>
  <c r="E11" i="381"/>
  <c r="N10" i="381"/>
  <c r="M10" i="381"/>
  <c r="L10" i="381"/>
  <c r="E10" i="381"/>
  <c r="L9" i="381"/>
  <c r="E9" i="381"/>
  <c r="L8" i="381"/>
  <c r="Q10" i="381" s="1"/>
  <c r="E8" i="381"/>
  <c r="N7" i="381"/>
  <c r="M7" i="381"/>
  <c r="L7" i="381"/>
  <c r="E7" i="381"/>
  <c r="L6" i="381"/>
  <c r="E6" i="381"/>
  <c r="L5" i="381"/>
  <c r="Q7" i="381" s="1"/>
  <c r="E5" i="381"/>
  <c r="G17" i="381" l="1"/>
  <c r="D34" i="382"/>
  <c r="G29" i="381"/>
  <c r="Q32" i="381"/>
  <c r="R32" i="381" s="1"/>
  <c r="F17" i="381"/>
  <c r="E19" i="382"/>
  <c r="O31" i="382"/>
  <c r="F29" i="381"/>
  <c r="D28" i="382"/>
  <c r="D25" i="382"/>
  <c r="O13" i="382"/>
  <c r="O16" i="382"/>
  <c r="O22" i="382"/>
  <c r="D31" i="382"/>
  <c r="O25" i="382"/>
  <c r="O28" i="382"/>
  <c r="O10" i="382"/>
  <c r="D13" i="382"/>
  <c r="O19" i="382"/>
  <c r="D19" i="382"/>
  <c r="E31" i="382"/>
  <c r="D22" i="382"/>
  <c r="F9" i="381"/>
  <c r="F10" i="381"/>
  <c r="B13" i="381"/>
  <c r="F13" i="381"/>
  <c r="A16" i="381"/>
  <c r="D16" i="382"/>
  <c r="E28" i="382"/>
  <c r="Q19" i="381"/>
  <c r="Q22" i="381"/>
  <c r="Q25" i="381"/>
  <c r="Q28" i="381"/>
  <c r="E22" i="382"/>
  <c r="D10" i="382"/>
  <c r="E25" i="382"/>
  <c r="F23" i="381"/>
  <c r="F16" i="381"/>
  <c r="O16" i="381"/>
  <c r="F18" i="381"/>
  <c r="F25" i="381"/>
  <c r="F31" i="381"/>
  <c r="Q13" i="381"/>
  <c r="R13" i="381" s="1"/>
  <c r="F7" i="381"/>
  <c r="B16" i="381"/>
  <c r="F30" i="381"/>
  <c r="A22" i="381"/>
  <c r="A25" i="381"/>
  <c r="A31" i="381"/>
  <c r="P19" i="381"/>
  <c r="G24" i="381"/>
  <c r="B31" i="381"/>
  <c r="Q31" i="381"/>
  <c r="P31" i="381"/>
  <c r="B19" i="381"/>
  <c r="B25" i="381"/>
  <c r="G30" i="381"/>
  <c r="F19" i="381"/>
  <c r="A19" i="381"/>
  <c r="F24" i="381"/>
  <c r="F8" i="381"/>
  <c r="A7" i="381"/>
  <c r="G27" i="381"/>
  <c r="P28" i="381"/>
  <c r="G20" i="381"/>
  <c r="O13" i="381"/>
  <c r="Q16" i="381"/>
  <c r="G21" i="381"/>
  <c r="G19" i="381"/>
  <c r="O19" i="381"/>
  <c r="P22" i="381"/>
  <c r="G25" i="381"/>
  <c r="G26" i="381"/>
  <c r="R10" i="381"/>
  <c r="B7" i="381"/>
  <c r="F12" i="381"/>
  <c r="G23" i="381"/>
  <c r="O25" i="381"/>
  <c r="A28" i="381"/>
  <c r="O31" i="381"/>
  <c r="F6" i="381"/>
  <c r="A10" i="381"/>
  <c r="O10" i="381"/>
  <c r="F11" i="381"/>
  <c r="F15" i="381"/>
  <c r="F20" i="381"/>
  <c r="F21" i="381"/>
  <c r="B22" i="381"/>
  <c r="F22" i="381"/>
  <c r="P25" i="381"/>
  <c r="F26" i="381"/>
  <c r="F27" i="381"/>
  <c r="B28" i="381"/>
  <c r="F28" i="381"/>
  <c r="B10" i="381"/>
  <c r="A13" i="381"/>
  <c r="F14" i="381"/>
  <c r="G22" i="381"/>
  <c r="O22" i="381"/>
  <c r="G28" i="381"/>
  <c r="O28" i="381"/>
  <c r="G18" i="381"/>
  <c r="K31" i="368"/>
  <c r="M43" i="368" s="1"/>
  <c r="U31" i="368"/>
  <c r="K31" i="364"/>
  <c r="M43" i="364" s="1"/>
  <c r="U31" i="364"/>
  <c r="K31" i="367"/>
  <c r="M43" i="367" s="1"/>
  <c r="U31" i="367"/>
  <c r="K31" i="8"/>
  <c r="M43" i="8" s="1"/>
  <c r="U31" i="8"/>
  <c r="N31" i="369"/>
  <c r="M31" i="369"/>
  <c r="O34" i="369" s="1"/>
  <c r="K31" i="9"/>
  <c r="M43" i="9" s="1"/>
  <c r="U31" i="9"/>
  <c r="K31" i="35"/>
  <c r="M43" i="35" s="1"/>
  <c r="K31" i="202"/>
  <c r="K31" i="5"/>
  <c r="M43" i="5" s="1"/>
  <c r="U31" i="5"/>
  <c r="K31" i="207"/>
  <c r="M43" i="207" s="1"/>
  <c r="U31" i="207"/>
  <c r="K31" i="31"/>
  <c r="M43" i="31" s="1"/>
  <c r="U31" i="31"/>
  <c r="K31" i="89"/>
  <c r="M43" i="89" s="1"/>
  <c r="U31" i="89"/>
  <c r="K31" i="88"/>
  <c r="M43" i="88" s="1"/>
  <c r="U31" i="88"/>
  <c r="K31" i="148"/>
  <c r="M43" i="148" s="1"/>
  <c r="U31" i="148"/>
  <c r="K31" i="28"/>
  <c r="M43" i="28" s="1"/>
  <c r="U31" i="28"/>
  <c r="K31" i="29"/>
  <c r="M43" i="29" s="1"/>
  <c r="U31" i="29"/>
  <c r="K31" i="359"/>
  <c r="M43" i="359" s="1"/>
  <c r="U31" i="359"/>
  <c r="K31" i="360"/>
  <c r="M43" i="360" s="1"/>
  <c r="U31" i="360"/>
  <c r="K31" i="19"/>
  <c r="M43" i="19" s="1"/>
  <c r="U31" i="19"/>
  <c r="K31" i="4"/>
  <c r="M43" i="4" s="1"/>
  <c r="U31" i="4"/>
  <c r="K31" i="204"/>
  <c r="M43" i="204" s="1"/>
  <c r="U31" i="204"/>
  <c r="K31" i="363"/>
  <c r="U31" i="363"/>
  <c r="K31" i="334"/>
  <c r="M43" i="334" s="1"/>
  <c r="U31" i="334"/>
  <c r="K31" i="342"/>
  <c r="M43" i="342" s="1"/>
  <c r="U31" i="342"/>
  <c r="K31" i="347"/>
  <c r="M43" i="347" s="1"/>
  <c r="U31" i="347"/>
  <c r="K31" i="33"/>
  <c r="M43" i="33" s="1"/>
  <c r="U31" i="33"/>
  <c r="K31" i="113"/>
  <c r="M43" i="113" s="1"/>
  <c r="U31" i="113"/>
  <c r="K31" i="361"/>
  <c r="M43" i="361" s="1"/>
  <c r="U31" i="361"/>
  <c r="K31" i="351"/>
  <c r="M43" i="351" s="1"/>
  <c r="U31" i="351"/>
  <c r="K31" i="352"/>
  <c r="M43" i="352" s="1"/>
  <c r="U31" i="352"/>
  <c r="K31" i="322"/>
  <c r="M43" i="322" s="1"/>
  <c r="U31" i="322"/>
  <c r="K31" i="362"/>
  <c r="M43" i="362" s="1"/>
  <c r="U31" i="362"/>
  <c r="K31" i="353"/>
  <c r="M43" i="353" s="1"/>
  <c r="U31" i="353"/>
  <c r="L37" i="353" s="1"/>
  <c r="K31" i="354"/>
  <c r="M43" i="354" s="1"/>
  <c r="U31" i="354"/>
  <c r="K31" i="7"/>
  <c r="M43" i="7" s="1"/>
  <c r="U31" i="7"/>
  <c r="K31" i="17"/>
  <c r="M43" i="17" s="1"/>
  <c r="U31" i="17"/>
  <c r="K31" i="288"/>
  <c r="M43" i="288" s="1"/>
  <c r="U31" i="288"/>
  <c r="K31" i="3"/>
  <c r="M43" i="3" s="1"/>
  <c r="U31" i="3"/>
  <c r="K31" i="12"/>
  <c r="M43" i="12" s="1"/>
  <c r="U31" i="12"/>
  <c r="K31" i="356"/>
  <c r="M43" i="356" s="1"/>
  <c r="U31" i="356"/>
  <c r="K31" i="227"/>
  <c r="M43" i="227" s="1"/>
  <c r="U31" i="227"/>
  <c r="K31" i="349"/>
  <c r="M43" i="349" s="1"/>
  <c r="U31" i="349"/>
  <c r="K31" i="15"/>
  <c r="M43" i="15" s="1"/>
  <c r="U31" i="15"/>
  <c r="K31" i="355"/>
  <c r="M43" i="355" s="1"/>
  <c r="U31" i="355"/>
  <c r="K31" i="43"/>
  <c r="M43" i="43" s="1"/>
  <c r="U31" i="43"/>
  <c r="K31" i="290"/>
  <c r="M43" i="290" s="1"/>
  <c r="U31" i="290"/>
  <c r="K31" i="289"/>
  <c r="M43" i="289" s="1"/>
  <c r="U31" i="289"/>
  <c r="K31" i="298"/>
  <c r="M43" i="298" s="1"/>
  <c r="U31" i="298"/>
  <c r="K31" i="293"/>
  <c r="M43" i="293" s="1"/>
  <c r="U31" i="293"/>
  <c r="K31" i="348"/>
  <c r="M43" i="348" s="1"/>
  <c r="U31" i="348"/>
  <c r="K31" i="16"/>
  <c r="M43" i="16" s="1"/>
  <c r="U31" i="16"/>
  <c r="K31" i="194"/>
  <c r="M43" i="194" s="1"/>
  <c r="U31" i="194"/>
  <c r="K31" i="193"/>
  <c r="M43" i="193" s="1"/>
  <c r="U31" i="193"/>
  <c r="K31" i="297"/>
  <c r="M43" i="297" s="1"/>
  <c r="U31" i="297"/>
  <c r="K31" i="350"/>
  <c r="M43" i="350" s="1"/>
  <c r="U31" i="350"/>
  <c r="K31" i="18"/>
  <c r="M43" i="18" s="1"/>
  <c r="U31" i="18"/>
  <c r="K31" i="20"/>
  <c r="M43" i="20" s="1"/>
  <c r="U31" i="20"/>
  <c r="K31" i="114"/>
  <c r="M43" i="114" s="1"/>
  <c r="U31" i="114"/>
  <c r="U31" i="191"/>
  <c r="K31" i="1"/>
  <c r="M43" i="1" s="1"/>
  <c r="U31" i="1"/>
  <c r="K31" i="323"/>
  <c r="U31" i="323"/>
  <c r="K31" i="233"/>
  <c r="M43" i="233" s="1"/>
  <c r="U31" i="233"/>
  <c r="K31" i="13"/>
  <c r="M43" i="13" s="1"/>
  <c r="U31" i="13"/>
  <c r="K31" i="261"/>
  <c r="M43" i="261" s="1"/>
  <c r="U31" i="261"/>
  <c r="K31" i="153"/>
  <c r="M43" i="153" s="1"/>
  <c r="U31" i="153"/>
  <c r="K31" i="257"/>
  <c r="M43" i="257" s="1"/>
  <c r="U31" i="257"/>
  <c r="K31" i="23"/>
  <c r="M43" i="23" s="1"/>
  <c r="U31" i="23"/>
  <c r="K31" i="314"/>
  <c r="M43" i="314" s="1"/>
  <c r="U31" i="314"/>
  <c r="N31" i="317"/>
  <c r="M31" i="317"/>
  <c r="N31" i="316"/>
  <c r="M31" i="316"/>
  <c r="N31" i="315"/>
  <c r="M31" i="315"/>
  <c r="K31" i="105"/>
  <c r="M43" i="105" s="1"/>
  <c r="U31" i="105"/>
  <c r="K31" i="294"/>
  <c r="M43" i="294" s="1"/>
  <c r="U31" i="294"/>
  <c r="K31" i="206"/>
  <c r="M43" i="206" s="1"/>
  <c r="U31" i="206"/>
  <c r="K31" i="22"/>
  <c r="M43" i="22" s="1"/>
  <c r="U31" i="22"/>
  <c r="K31" i="344"/>
  <c r="M43" i="344" s="1"/>
  <c r="U31" i="344"/>
  <c r="K31" i="61"/>
  <c r="M43" i="61" s="1"/>
  <c r="U31" i="61"/>
  <c r="K31" i="338"/>
  <c r="M43" i="338" s="1"/>
  <c r="U31" i="338"/>
  <c r="K31" i="299"/>
  <c r="M43" i="299" s="1"/>
  <c r="U31" i="299"/>
  <c r="K31" i="190"/>
  <c r="M43" i="190" s="1"/>
  <c r="U31" i="190"/>
  <c r="K31" i="340"/>
  <c r="M43" i="340" s="1"/>
  <c r="U31" i="340"/>
  <c r="K31" i="301"/>
  <c r="M43" i="301" s="1"/>
  <c r="U31" i="301"/>
  <c r="K31" i="34"/>
  <c r="M43" i="34" s="1"/>
  <c r="U31" i="34"/>
  <c r="K31" i="174"/>
  <c r="M43" i="174" s="1"/>
  <c r="U31" i="174"/>
  <c r="K31" i="135"/>
  <c r="M43" i="135" s="1"/>
  <c r="U31" i="135"/>
  <c r="K31" i="333"/>
  <c r="M43" i="333" s="1"/>
  <c r="U31" i="333"/>
  <c r="K31" i="295"/>
  <c r="M43" i="295" s="1"/>
  <c r="U31" i="295"/>
  <c r="J31" i="365"/>
  <c r="T31" i="365"/>
  <c r="J31" i="366"/>
  <c r="T31" i="366"/>
  <c r="K31" i="284"/>
  <c r="M43" i="284" s="1"/>
  <c r="U31" i="284"/>
  <c r="K31" i="292"/>
  <c r="M43" i="292" s="1"/>
  <c r="U31" i="292"/>
  <c r="K31" i="339"/>
  <c r="M43" i="339" s="1"/>
  <c r="U31" i="339"/>
  <c r="K31" i="269"/>
  <c r="M43" i="269" s="1"/>
  <c r="U31" i="269"/>
  <c r="K31" i="325"/>
  <c r="M43" i="325" s="1"/>
  <c r="U31" i="325"/>
  <c r="K31" i="11"/>
  <c r="M43" i="11" s="1"/>
  <c r="U31" i="11"/>
  <c r="J31" i="279"/>
  <c r="T31" i="279"/>
  <c r="J31" i="335"/>
  <c r="T31" i="335"/>
  <c r="K31" i="37"/>
  <c r="M43" i="37" s="1"/>
  <c r="U31" i="37"/>
  <c r="K31" i="54"/>
  <c r="M43" i="54" s="1"/>
  <c r="U31" i="54"/>
  <c r="K31" i="303"/>
  <c r="M43" i="303" s="1"/>
  <c r="U31" i="303"/>
  <c r="K31" i="101"/>
  <c r="M43" i="101" s="1"/>
  <c r="U31" i="101"/>
  <c r="K31" i="102"/>
  <c r="M43" i="102" s="1"/>
  <c r="U31" i="102"/>
  <c r="K31" i="103"/>
  <c r="M43" i="103" s="1"/>
  <c r="U31" i="103"/>
  <c r="K31" i="265"/>
  <c r="M43" i="265" s="1"/>
  <c r="U31" i="265"/>
  <c r="K31" i="75"/>
  <c r="M43" i="75" s="1"/>
  <c r="U31" i="75"/>
  <c r="K31" i="262"/>
  <c r="M43" i="262" s="1"/>
  <c r="U31" i="262"/>
  <c r="K31" i="249"/>
  <c r="M43" i="249" s="1"/>
  <c r="U31" i="249"/>
  <c r="K31" i="201"/>
  <c r="M43" i="201" s="1"/>
  <c r="U31" i="201"/>
  <c r="K31" i="112"/>
  <c r="M43" i="112" s="1"/>
  <c r="U31" i="112"/>
  <c r="K31" i="109"/>
  <c r="M43" i="109" s="1"/>
  <c r="U31" i="109"/>
  <c r="K31" i="2"/>
  <c r="M43" i="2" s="1"/>
  <c r="U31" i="2"/>
  <c r="K31" i="85"/>
  <c r="M43" i="85" s="1"/>
  <c r="U31" i="85"/>
  <c r="K31" i="324"/>
  <c r="M43" i="324" s="1"/>
  <c r="U31" i="324"/>
  <c r="K31" i="32"/>
  <c r="M43" i="32" s="1"/>
  <c r="U31" i="32"/>
  <c r="K31" i="203"/>
  <c r="M43" i="203" s="1"/>
  <c r="U31" i="203"/>
  <c r="K31" i="164"/>
  <c r="M43" i="164" s="1"/>
  <c r="U31" i="164"/>
  <c r="K31" i="162"/>
  <c r="M43" i="162" s="1"/>
  <c r="U31" i="162"/>
  <c r="K31" i="196"/>
  <c r="M43" i="196" s="1"/>
  <c r="U31" i="196"/>
  <c r="K31" i="197"/>
  <c r="M43" i="197" s="1"/>
  <c r="U31" i="197"/>
  <c r="K31" i="198"/>
  <c r="M43" i="198" s="1"/>
  <c r="U31" i="198"/>
  <c r="K31" i="345"/>
  <c r="M43" i="345" s="1"/>
  <c r="U31" i="345"/>
  <c r="K31" i="346"/>
  <c r="M43" i="346" s="1"/>
  <c r="U31" i="346"/>
  <c r="K31" i="74"/>
  <c r="M43" i="74" s="1"/>
  <c r="U31" i="74"/>
  <c r="K31" i="181"/>
  <c r="M43" i="181" s="1"/>
  <c r="U31" i="181"/>
  <c r="K31" i="183"/>
  <c r="M43" i="183" s="1"/>
  <c r="U31" i="183"/>
  <c r="K31" i="184"/>
  <c r="M43" i="184" s="1"/>
  <c r="U31" i="184"/>
  <c r="K31" i="200"/>
  <c r="M43" i="200" s="1"/>
  <c r="U31" i="200"/>
  <c r="K31" i="280"/>
  <c r="M43" i="280" s="1"/>
  <c r="U31" i="280"/>
  <c r="K31" i="27"/>
  <c r="M43" i="27" s="1"/>
  <c r="U31" i="27"/>
  <c r="K31" i="143"/>
  <c r="M43" i="143" s="1"/>
  <c r="U31" i="143"/>
  <c r="K31" i="97"/>
  <c r="M43" i="97" s="1"/>
  <c r="U31" i="97"/>
  <c r="K31" i="45"/>
  <c r="M43" i="45" s="1"/>
  <c r="U31" i="45"/>
  <c r="K31" i="104"/>
  <c r="M43" i="104" s="1"/>
  <c r="U31" i="104"/>
  <c r="K31" i="48"/>
  <c r="M43" i="48" s="1"/>
  <c r="U31" i="48"/>
  <c r="K31" i="254"/>
  <c r="M43" i="254" s="1"/>
  <c r="U31" i="254"/>
  <c r="K31" i="268"/>
  <c r="U31" i="268"/>
  <c r="K31" i="263"/>
  <c r="M43" i="263" s="1"/>
  <c r="U31" i="263"/>
  <c r="K31" i="209"/>
  <c r="M43" i="209" s="1"/>
  <c r="U31" i="209"/>
  <c r="K31" i="192"/>
  <c r="M43" i="192" s="1"/>
  <c r="U31" i="192"/>
  <c r="K31" i="140"/>
  <c r="M43" i="140" s="1"/>
  <c r="U31" i="140"/>
  <c r="K31" i="270"/>
  <c r="M43" i="270" s="1"/>
  <c r="U31" i="270"/>
  <c r="K31" i="271"/>
  <c r="M43" i="271" s="1"/>
  <c r="U31" i="271"/>
  <c r="K31" i="159"/>
  <c r="M43" i="159" s="1"/>
  <c r="U31" i="159"/>
  <c r="K31" i="160"/>
  <c r="M43" i="160" s="1"/>
  <c r="U31" i="160"/>
  <c r="K31" i="107"/>
  <c r="M43" i="107" s="1"/>
  <c r="U31" i="107"/>
  <c r="K31" i="176"/>
  <c r="M43" i="176" s="1"/>
  <c r="U31" i="176"/>
  <c r="K31" i="53"/>
  <c r="M43" i="53" s="1"/>
  <c r="U31" i="53"/>
  <c r="K31" i="52"/>
  <c r="M43" i="52" s="1"/>
  <c r="U31" i="52"/>
  <c r="K31" i="281"/>
  <c r="M43" i="281" s="1"/>
  <c r="U31" i="281"/>
  <c r="K31" i="332"/>
  <c r="M43" i="332" s="1"/>
  <c r="U31" i="332"/>
  <c r="K31" i="25"/>
  <c r="M43" i="25" s="1"/>
  <c r="U31" i="25"/>
  <c r="K31" i="24"/>
  <c r="M43" i="24" s="1"/>
  <c r="U31" i="24"/>
  <c r="U31" i="319"/>
  <c r="U31" i="320"/>
  <c r="M31" i="343"/>
  <c r="O34" i="343" s="1"/>
  <c r="K31" i="116"/>
  <c r="M43" i="116" s="1"/>
  <c r="U31" i="116"/>
  <c r="K31" i="272"/>
  <c r="M43" i="272" s="1"/>
  <c r="U31" i="272"/>
  <c r="K31" i="285"/>
  <c r="M43" i="285" s="1"/>
  <c r="U31" i="285"/>
  <c r="J31" i="44"/>
  <c r="T31" i="44"/>
  <c r="K31" i="87"/>
  <c r="M43" i="87" s="1"/>
  <c r="U31" i="87"/>
  <c r="K31" i="287"/>
  <c r="M43" i="287" s="1"/>
  <c r="U31" i="287"/>
  <c r="K31" i="276"/>
  <c r="M43" i="276" s="1"/>
  <c r="U31" i="276"/>
  <c r="K31" i="229"/>
  <c r="M43" i="229" s="1"/>
  <c r="U31" i="229"/>
  <c r="K31" i="230"/>
  <c r="M43" i="230" s="1"/>
  <c r="U31" i="230"/>
  <c r="K31" i="328"/>
  <c r="M43" i="328" s="1"/>
  <c r="U31" i="328"/>
  <c r="K31" i="329"/>
  <c r="M43" i="329" s="1"/>
  <c r="U31" i="329"/>
  <c r="K31" i="326"/>
  <c r="M43" i="326" s="1"/>
  <c r="U31" i="326"/>
  <c r="K31" i="47"/>
  <c r="M43" i="47" s="1"/>
  <c r="U31" i="47"/>
  <c r="K31" i="248"/>
  <c r="M43" i="248" s="1"/>
  <c r="U31" i="248"/>
  <c r="K31" i="46"/>
  <c r="M43" i="46" s="1"/>
  <c r="U31" i="46"/>
  <c r="K31" i="239"/>
  <c r="M43" i="239" s="1"/>
  <c r="U31" i="239"/>
  <c r="K31" i="243"/>
  <c r="M43" i="243" s="1"/>
  <c r="U31" i="243"/>
  <c r="K31" i="244"/>
  <c r="M43" i="244" s="1"/>
  <c r="U31" i="244"/>
  <c r="K31" i="246"/>
  <c r="M43" i="246" s="1"/>
  <c r="U31" i="246"/>
  <c r="K31" i="168"/>
  <c r="M43" i="168" s="1"/>
  <c r="U31" i="168"/>
  <c r="K31" i="169"/>
  <c r="M43" i="169" s="1"/>
  <c r="U31" i="169"/>
  <c r="K31" i="336"/>
  <c r="M43" i="336" s="1"/>
  <c r="U31" i="336"/>
  <c r="L34" i="202" l="1"/>
  <c r="M43" i="202"/>
  <c r="C10" i="381"/>
  <c r="R31" i="381"/>
  <c r="L34" i="35"/>
  <c r="L34" i="24"/>
  <c r="L34" i="332"/>
  <c r="L34" i="52"/>
  <c r="L34" i="176"/>
  <c r="L34" i="160"/>
  <c r="L34" i="271"/>
  <c r="L34" i="140"/>
  <c r="L34" i="209"/>
  <c r="L34" i="268"/>
  <c r="M43" i="268"/>
  <c r="L34" i="48"/>
  <c r="L34" i="97"/>
  <c r="L34" i="27"/>
  <c r="L34" i="200"/>
  <c r="L34" i="183"/>
  <c r="L34" i="74"/>
  <c r="L34" i="345"/>
  <c r="L34" i="198"/>
  <c r="L34" i="196"/>
  <c r="L34" i="164"/>
  <c r="L34" i="32"/>
  <c r="L34" i="85"/>
  <c r="L34" i="109"/>
  <c r="L34" i="201"/>
  <c r="L34" i="262"/>
  <c r="L34" i="103"/>
  <c r="L34" i="101"/>
  <c r="L34" i="54"/>
  <c r="K34" i="335"/>
  <c r="L43" i="335"/>
  <c r="L34" i="11"/>
  <c r="L34" i="269"/>
  <c r="L34" i="292"/>
  <c r="K34" i="365"/>
  <c r="L43" i="365"/>
  <c r="L34" i="333"/>
  <c r="L34" i="301"/>
  <c r="L34" i="190"/>
  <c r="L34" i="338"/>
  <c r="L34" i="344"/>
  <c r="L34" i="206"/>
  <c r="L34" i="105"/>
  <c r="L34" i="314"/>
  <c r="L34" i="257"/>
  <c r="L34" i="261"/>
  <c r="L34" i="233"/>
  <c r="L34" i="1"/>
  <c r="L34" i="336"/>
  <c r="L34" i="168"/>
  <c r="L34" i="244"/>
  <c r="L34" i="239"/>
  <c r="L34" i="248"/>
  <c r="L34" i="326"/>
  <c r="L34" i="329"/>
  <c r="L34" i="328"/>
  <c r="L34" i="229"/>
  <c r="L34" i="287"/>
  <c r="K34" i="44"/>
  <c r="L43" i="44"/>
  <c r="L34" i="272"/>
  <c r="L34" i="20"/>
  <c r="L34" i="350"/>
  <c r="L34" i="193"/>
  <c r="L34" i="16"/>
  <c r="L34" i="293"/>
  <c r="L34" i="289"/>
  <c r="L34" i="43"/>
  <c r="L34" i="15"/>
  <c r="L34" i="227"/>
  <c r="L34" i="288"/>
  <c r="L34" i="7"/>
  <c r="L34" i="353"/>
  <c r="L34" i="322"/>
  <c r="L34" i="113"/>
  <c r="L34" i="347"/>
  <c r="L34" i="334"/>
  <c r="L34" i="204"/>
  <c r="L34" i="19"/>
  <c r="L34" i="359"/>
  <c r="L34" i="28"/>
  <c r="L34" i="88"/>
  <c r="L34" i="31"/>
  <c r="L34" i="5"/>
  <c r="L34" i="8"/>
  <c r="L34" i="364"/>
  <c r="L34" i="320"/>
  <c r="L34" i="25"/>
  <c r="L34" i="281"/>
  <c r="L34" i="53"/>
  <c r="L34" i="107"/>
  <c r="L34" i="159"/>
  <c r="L34" i="270"/>
  <c r="L34" i="192"/>
  <c r="L34" i="263"/>
  <c r="L34" i="254"/>
  <c r="L34" i="104"/>
  <c r="L34" i="45"/>
  <c r="L34" i="143"/>
  <c r="L34" i="280"/>
  <c r="L34" i="184"/>
  <c r="L34" i="181"/>
  <c r="L34" i="346"/>
  <c r="L34" i="197"/>
  <c r="L34" i="162"/>
  <c r="L34" i="203"/>
  <c r="L34" i="324"/>
  <c r="L34" i="2"/>
  <c r="L34" i="112"/>
  <c r="L34" i="249"/>
  <c r="L34" i="75"/>
  <c r="L34" i="265"/>
  <c r="L34" i="102"/>
  <c r="L34" i="303"/>
  <c r="L34" i="37"/>
  <c r="K34" i="279"/>
  <c r="L43" i="279"/>
  <c r="L34" i="325"/>
  <c r="L34" i="339"/>
  <c r="L34" i="284"/>
  <c r="K34" i="366"/>
  <c r="L43" i="366"/>
  <c r="L34" i="295"/>
  <c r="L34" i="135"/>
  <c r="L34" i="34"/>
  <c r="L34" i="340"/>
  <c r="L34" i="299"/>
  <c r="L34" i="61"/>
  <c r="L34" i="22"/>
  <c r="L34" i="294"/>
  <c r="L34" i="23"/>
  <c r="L34" i="153"/>
  <c r="L34" i="13"/>
  <c r="L34" i="323"/>
  <c r="M43" i="323"/>
  <c r="L34" i="191"/>
  <c r="L34" i="169"/>
  <c r="L34" i="246"/>
  <c r="L34" i="243"/>
  <c r="L34" i="46"/>
  <c r="L34" i="47"/>
  <c r="L34" i="230"/>
  <c r="L34" i="276"/>
  <c r="L34" i="87"/>
  <c r="L34" i="285"/>
  <c r="L34" i="116"/>
  <c r="L34" i="319"/>
  <c r="L34" i="114"/>
  <c r="L34" i="18"/>
  <c r="L34" i="297"/>
  <c r="L34" i="194"/>
  <c r="L34" i="348"/>
  <c r="L34" i="298"/>
  <c r="L34" i="290"/>
  <c r="L34" i="355"/>
  <c r="L34" i="349"/>
  <c r="L34" i="3"/>
  <c r="L34" i="362"/>
  <c r="L34" i="352"/>
  <c r="L34" i="361"/>
  <c r="L34" i="33"/>
  <c r="L34" i="342"/>
  <c r="L34" i="363"/>
  <c r="M43" i="363"/>
  <c r="L34" i="360"/>
  <c r="L34" i="29"/>
  <c r="L34" i="148"/>
  <c r="L34" i="89"/>
  <c r="L34" i="367"/>
  <c r="L34" i="368"/>
  <c r="L34" i="174"/>
  <c r="L34" i="351"/>
  <c r="L34" i="354"/>
  <c r="L34" i="4"/>
  <c r="L34" i="12"/>
  <c r="L34" i="9"/>
  <c r="L34" i="356"/>
  <c r="L34" i="17"/>
  <c r="L34" i="207"/>
  <c r="R25" i="381"/>
  <c r="D25" i="381"/>
  <c r="C19" i="381"/>
  <c r="R28" i="381"/>
  <c r="C16" i="381"/>
  <c r="R22" i="381"/>
  <c r="R19" i="381"/>
  <c r="D31" i="381"/>
  <c r="D19" i="381"/>
  <c r="R16" i="381"/>
  <c r="D28" i="381"/>
  <c r="C28" i="381"/>
  <c r="C31" i="381"/>
  <c r="D22" i="381"/>
  <c r="C22" i="381"/>
  <c r="C25" i="381"/>
  <c r="C13" i="381"/>
  <c r="S31" i="300"/>
  <c r="R31" i="300"/>
  <c r="Q31" i="300"/>
  <c r="F31" i="300" s="1"/>
  <c r="G32" i="300" l="1"/>
  <c r="H43" i="300"/>
  <c r="T31" i="300"/>
  <c r="I31" i="300" s="1"/>
  <c r="F31" i="371"/>
  <c r="F28" i="371"/>
  <c r="F27" i="371"/>
  <c r="F26" i="371"/>
  <c r="F25" i="371"/>
  <c r="F23" i="371"/>
  <c r="F22" i="371"/>
  <c r="F21" i="371"/>
  <c r="F20" i="371"/>
  <c r="F19" i="371"/>
  <c r="F18" i="371"/>
  <c r="F16" i="371"/>
  <c r="F15" i="371"/>
  <c r="F14" i="371"/>
  <c r="F13" i="371"/>
  <c r="F12" i="371"/>
  <c r="F11" i="371"/>
  <c r="F10" i="371"/>
  <c r="F9" i="371"/>
  <c r="F8" i="371"/>
  <c r="F7" i="371"/>
  <c r="J43" i="300" l="1"/>
  <c r="H37" i="371"/>
  <c r="H33" i="371"/>
  <c r="H34" i="371"/>
  <c r="H39" i="371"/>
  <c r="H32" i="371"/>
  <c r="H38" i="371"/>
  <c r="H35" i="371"/>
  <c r="H40" i="371"/>
  <c r="G32" i="371"/>
  <c r="H43" i="371"/>
  <c r="G11" i="371"/>
  <c r="F30" i="371"/>
  <c r="K13" i="371"/>
  <c r="T11" i="371"/>
  <c r="I11" i="371" s="1"/>
  <c r="T19" i="371"/>
  <c r="I19" i="371" s="1"/>
  <c r="T15" i="371"/>
  <c r="I15" i="371" s="1"/>
  <c r="K22" i="371"/>
  <c r="T12" i="371"/>
  <c r="I12" i="371" s="1"/>
  <c r="F29" i="371"/>
  <c r="U31" i="371"/>
  <c r="K10" i="371"/>
  <c r="K31" i="371"/>
  <c r="M43" i="371" s="1"/>
  <c r="K7" i="371"/>
  <c r="T14" i="371"/>
  <c r="I14" i="371" s="1"/>
  <c r="K19" i="371"/>
  <c r="T18" i="371"/>
  <c r="I18" i="371" s="1"/>
  <c r="T24" i="371"/>
  <c r="I24" i="371" s="1"/>
  <c r="J36" i="371" s="1"/>
  <c r="T26" i="371"/>
  <c r="I26" i="371" s="1"/>
  <c r="J38" i="371" s="1"/>
  <c r="T13" i="371"/>
  <c r="I13" i="371" s="1"/>
  <c r="G15" i="371"/>
  <c r="G19" i="371"/>
  <c r="B10" i="371"/>
  <c r="H27" i="371"/>
  <c r="G20" i="371"/>
  <c r="H20" i="371"/>
  <c r="H28" i="371"/>
  <c r="C10" i="371"/>
  <c r="K25" i="371"/>
  <c r="G12" i="371"/>
  <c r="K28" i="371"/>
  <c r="B13" i="371"/>
  <c r="B16" i="371"/>
  <c r="C16" i="371"/>
  <c r="T22" i="371"/>
  <c r="I22" i="371" s="1"/>
  <c r="F24" i="371"/>
  <c r="T28" i="371"/>
  <c r="I28" i="371" s="1"/>
  <c r="J40" i="371" s="1"/>
  <c r="T30" i="371"/>
  <c r="I30" i="371" s="1"/>
  <c r="J42" i="371" s="1"/>
  <c r="G9" i="371"/>
  <c r="H21" i="371"/>
  <c r="F6" i="371"/>
  <c r="G8" i="371"/>
  <c r="K16" i="371"/>
  <c r="T17" i="371"/>
  <c r="I17" i="371" s="1"/>
  <c r="J17" i="371" s="1"/>
  <c r="T20" i="371"/>
  <c r="I20" i="371" s="1"/>
  <c r="U28" i="371"/>
  <c r="M40" i="371" s="1"/>
  <c r="G14" i="371"/>
  <c r="G13" i="371"/>
  <c r="G22" i="371"/>
  <c r="H22" i="371"/>
  <c r="B22" i="371"/>
  <c r="U13" i="371"/>
  <c r="U22" i="371"/>
  <c r="M34" i="371" s="1"/>
  <c r="H25" i="371"/>
  <c r="U7" i="371"/>
  <c r="G10" i="371"/>
  <c r="U10" i="371"/>
  <c r="C13" i="371"/>
  <c r="G16" i="371"/>
  <c r="U16" i="371"/>
  <c r="F17" i="371"/>
  <c r="H19" i="371"/>
  <c r="G21" i="371"/>
  <c r="G23" i="371"/>
  <c r="U25" i="371"/>
  <c r="M37" i="371" s="1"/>
  <c r="G28" i="371"/>
  <c r="T29" i="371"/>
  <c r="I29" i="371" s="1"/>
  <c r="F5" i="371"/>
  <c r="T16" i="371"/>
  <c r="I16" i="371" s="1"/>
  <c r="U19" i="371"/>
  <c r="C22" i="371"/>
  <c r="E34" i="371" s="1"/>
  <c r="T21" i="371"/>
  <c r="I21" i="371" s="1"/>
  <c r="H23" i="371"/>
  <c r="T23" i="371"/>
  <c r="I23" i="371" s="1"/>
  <c r="T25" i="371"/>
  <c r="I25" i="371" s="1"/>
  <c r="T27" i="371"/>
  <c r="I27" i="371" s="1"/>
  <c r="J23" i="371" l="1"/>
  <c r="J35" i="371"/>
  <c r="J34" i="371"/>
  <c r="J22" i="371"/>
  <c r="J30" i="371"/>
  <c r="J18" i="371"/>
  <c r="J27" i="371"/>
  <c r="J39" i="371"/>
  <c r="J29" i="371"/>
  <c r="J41" i="371"/>
  <c r="J21" i="371"/>
  <c r="J33" i="371"/>
  <c r="J19" i="371"/>
  <c r="J31" i="371"/>
  <c r="J25" i="371"/>
  <c r="J37" i="371"/>
  <c r="J28" i="371"/>
  <c r="J32" i="371"/>
  <c r="J20" i="371"/>
  <c r="J26" i="371"/>
  <c r="J24" i="371"/>
  <c r="H18" i="371"/>
  <c r="L34" i="371"/>
  <c r="H30" i="371"/>
  <c r="H42" i="371"/>
  <c r="G29" i="371"/>
  <c r="H41" i="371"/>
  <c r="E22" i="371"/>
  <c r="H17" i="371"/>
  <c r="G24" i="371"/>
  <c r="H36" i="371"/>
  <c r="G30" i="371"/>
  <c r="G25" i="371"/>
  <c r="B25" i="371"/>
  <c r="C31" i="371"/>
  <c r="E43" i="371" s="1"/>
  <c r="N31" i="371"/>
  <c r="O34" i="371" s="1"/>
  <c r="N13" i="371"/>
  <c r="N16" i="371"/>
  <c r="L31" i="371"/>
  <c r="M31" i="371"/>
  <c r="C25" i="371"/>
  <c r="E37" i="371" s="1"/>
  <c r="B31" i="371"/>
  <c r="N7" i="371"/>
  <c r="N19" i="371"/>
  <c r="H31" i="371"/>
  <c r="G31" i="371"/>
  <c r="H24" i="371"/>
  <c r="N10" i="371"/>
  <c r="N22" i="371"/>
  <c r="M28" i="371"/>
  <c r="N28" i="371"/>
  <c r="D13" i="371"/>
  <c r="G7" i="371"/>
  <c r="L13" i="371"/>
  <c r="M25" i="371"/>
  <c r="L25" i="371"/>
  <c r="N25" i="371"/>
  <c r="M19" i="371"/>
  <c r="L19" i="371"/>
  <c r="C7" i="371"/>
  <c r="D10" i="371" s="1"/>
  <c r="B7" i="371"/>
  <c r="L22" i="371"/>
  <c r="M22" i="371"/>
  <c r="B19" i="371"/>
  <c r="G17" i="371"/>
  <c r="C19" i="371"/>
  <c r="D22" i="371" s="1"/>
  <c r="G18" i="371"/>
  <c r="L10" i="371"/>
  <c r="L28" i="371"/>
  <c r="H29" i="371"/>
  <c r="G26" i="371"/>
  <c r="C28" i="371"/>
  <c r="E40" i="371" s="1"/>
  <c r="B28" i="371"/>
  <c r="H26" i="371"/>
  <c r="G27" i="371"/>
  <c r="L16" i="371"/>
  <c r="G6" i="371"/>
  <c r="D16" i="371"/>
  <c r="D34" i="371" l="1"/>
  <c r="E25" i="371"/>
  <c r="O31" i="371"/>
  <c r="O22" i="371"/>
  <c r="D25" i="371"/>
  <c r="D31" i="371"/>
  <c r="O13" i="371"/>
  <c r="O16" i="371"/>
  <c r="O19" i="371"/>
  <c r="O10" i="371"/>
  <c r="O25" i="371"/>
  <c r="E31" i="371"/>
  <c r="E28" i="371"/>
  <c r="D28" i="371"/>
  <c r="D19" i="371"/>
  <c r="E19" i="371"/>
  <c r="O28" i="371"/>
  <c r="S30" i="170" l="1"/>
  <c r="R30" i="170"/>
  <c r="Q30" i="170"/>
  <c r="T30" i="170" l="1"/>
  <c r="I30" i="170" s="1"/>
  <c r="F31" i="170"/>
  <c r="S31" i="247"/>
  <c r="R31" i="247"/>
  <c r="Q31" i="247"/>
  <c r="F31" i="247" s="1"/>
  <c r="F31" i="327"/>
  <c r="S31" i="231"/>
  <c r="R31" i="231"/>
  <c r="Q31" i="231"/>
  <c r="F31" i="231" s="1"/>
  <c r="F31" i="321"/>
  <c r="S31" i="186"/>
  <c r="R31" i="186"/>
  <c r="Q31" i="186"/>
  <c r="F31" i="186" s="1"/>
  <c r="S30" i="186"/>
  <c r="R30" i="186"/>
  <c r="Q30" i="186"/>
  <c r="S31" i="144"/>
  <c r="R31" i="144"/>
  <c r="Q31" i="144"/>
  <c r="F31" i="144" s="1"/>
  <c r="S30" i="144"/>
  <c r="R30" i="144"/>
  <c r="Q30" i="144"/>
  <c r="F31" i="185"/>
  <c r="T31" i="196"/>
  <c r="I31" i="196" s="1"/>
  <c r="J43" i="196" s="1"/>
  <c r="F31" i="152"/>
  <c r="S31" i="142"/>
  <c r="R31" i="142"/>
  <c r="Q31" i="142"/>
  <c r="F31" i="142" s="1"/>
  <c r="K7" i="289"/>
  <c r="F31" i="149"/>
  <c r="L31" i="369"/>
  <c r="L30" i="369"/>
  <c r="E30" i="369"/>
  <c r="G42" i="369" s="1"/>
  <c r="L29" i="369"/>
  <c r="E29" i="369"/>
  <c r="G41" i="369" s="1"/>
  <c r="N28" i="369"/>
  <c r="M28" i="369"/>
  <c r="L28" i="369"/>
  <c r="E28" i="369"/>
  <c r="G40" i="369" s="1"/>
  <c r="L27" i="369"/>
  <c r="E27" i="369"/>
  <c r="G39" i="369" s="1"/>
  <c r="L26" i="369"/>
  <c r="N25" i="369"/>
  <c r="M25" i="369"/>
  <c r="P37" i="369" s="1"/>
  <c r="L25" i="369"/>
  <c r="E25" i="369"/>
  <c r="G37" i="369" s="1"/>
  <c r="L24" i="369"/>
  <c r="E24" i="369"/>
  <c r="G36" i="369" s="1"/>
  <c r="L23" i="369"/>
  <c r="E23" i="369"/>
  <c r="G35" i="369" s="1"/>
  <c r="N22" i="369"/>
  <c r="M22" i="369"/>
  <c r="P34" i="369" s="1"/>
  <c r="L22" i="369"/>
  <c r="E22" i="369"/>
  <c r="G34" i="369" s="1"/>
  <c r="L21" i="369"/>
  <c r="E21" i="369"/>
  <c r="G33" i="369" s="1"/>
  <c r="L20" i="369"/>
  <c r="E20" i="369"/>
  <c r="G32" i="369" s="1"/>
  <c r="N19" i="369"/>
  <c r="M19" i="369"/>
  <c r="P31" i="369" s="1"/>
  <c r="L19" i="369"/>
  <c r="E19" i="369"/>
  <c r="L18" i="369"/>
  <c r="E18" i="369"/>
  <c r="L17" i="369"/>
  <c r="E17" i="369"/>
  <c r="N16" i="369"/>
  <c r="M16" i="369"/>
  <c r="L16" i="369"/>
  <c r="E16" i="369"/>
  <c r="L15" i="369"/>
  <c r="E15" i="369"/>
  <c r="L14" i="369"/>
  <c r="E14" i="369"/>
  <c r="N13" i="369"/>
  <c r="M13" i="369"/>
  <c r="L13" i="369"/>
  <c r="E13" i="369"/>
  <c r="L12" i="369"/>
  <c r="E12" i="369"/>
  <c r="L11" i="369"/>
  <c r="E11" i="369"/>
  <c r="N10" i="369"/>
  <c r="M10" i="369"/>
  <c r="L10" i="369"/>
  <c r="E10" i="369"/>
  <c r="L9" i="369"/>
  <c r="E9" i="369"/>
  <c r="L8" i="369"/>
  <c r="E8" i="369"/>
  <c r="N7" i="369"/>
  <c r="M7" i="369"/>
  <c r="L7" i="369"/>
  <c r="E7" i="369"/>
  <c r="L6" i="369"/>
  <c r="E6" i="369"/>
  <c r="L5" i="369"/>
  <c r="E5" i="369"/>
  <c r="G17" i="369" l="1"/>
  <c r="J42" i="170"/>
  <c r="G32" i="321"/>
  <c r="H43" i="321"/>
  <c r="G32" i="186"/>
  <c r="H43" i="186"/>
  <c r="G32" i="231"/>
  <c r="H43" i="231"/>
  <c r="G32" i="149"/>
  <c r="H43" i="149"/>
  <c r="G32" i="142"/>
  <c r="H43" i="142"/>
  <c r="G32" i="170"/>
  <c r="H43" i="170"/>
  <c r="G32" i="327"/>
  <c r="H43" i="327"/>
  <c r="G32" i="152"/>
  <c r="H43" i="152"/>
  <c r="G32" i="185"/>
  <c r="H43" i="185"/>
  <c r="G32" i="144"/>
  <c r="H43" i="144"/>
  <c r="G32" i="247"/>
  <c r="H43" i="247"/>
  <c r="O31" i="369"/>
  <c r="P40" i="369"/>
  <c r="T31" i="185"/>
  <c r="I31" i="185" s="1"/>
  <c r="T31" i="186"/>
  <c r="I31" i="186" s="1"/>
  <c r="T31" i="247"/>
  <c r="I31" i="247" s="1"/>
  <c r="Q31" i="369"/>
  <c r="R34" i="369" s="1"/>
  <c r="T31" i="231"/>
  <c r="I31" i="231" s="1"/>
  <c r="U31" i="231"/>
  <c r="A31" i="369"/>
  <c r="T30" i="186"/>
  <c r="I30" i="186" s="1"/>
  <c r="T31" i="144"/>
  <c r="I31" i="144" s="1"/>
  <c r="T31" i="327"/>
  <c r="I31" i="327" s="1"/>
  <c r="T30" i="144"/>
  <c r="I30" i="144" s="1"/>
  <c r="T31" i="321"/>
  <c r="I31" i="321" s="1"/>
  <c r="J43" i="321" s="1"/>
  <c r="T31" i="170"/>
  <c r="I31" i="170" s="1"/>
  <c r="G25" i="369"/>
  <c r="P28" i="369"/>
  <c r="G30" i="369"/>
  <c r="G26" i="369"/>
  <c r="G28" i="369"/>
  <c r="B31" i="369"/>
  <c r="D43" i="369" s="1"/>
  <c r="F7" i="369"/>
  <c r="A19" i="369"/>
  <c r="F19" i="369"/>
  <c r="F25" i="369"/>
  <c r="G20" i="369"/>
  <c r="G22" i="369"/>
  <c r="A25" i="369"/>
  <c r="G31" i="369"/>
  <c r="P19" i="369"/>
  <c r="G24" i="369"/>
  <c r="F15" i="369"/>
  <c r="O19" i="369"/>
  <c r="F30" i="369"/>
  <c r="Q22" i="369"/>
  <c r="F18" i="369"/>
  <c r="F24" i="369"/>
  <c r="G29" i="369"/>
  <c r="F17" i="369"/>
  <c r="F23" i="369"/>
  <c r="Q19" i="369"/>
  <c r="B19" i="369"/>
  <c r="O22" i="369"/>
  <c r="Q25" i="369"/>
  <c r="B25" i="369"/>
  <c r="D37" i="369" s="1"/>
  <c r="Q28" i="369"/>
  <c r="O28" i="369"/>
  <c r="F29" i="369"/>
  <c r="O10" i="369"/>
  <c r="O13" i="369"/>
  <c r="F16" i="369"/>
  <c r="O16" i="369"/>
  <c r="A7" i="369"/>
  <c r="Q7" i="369"/>
  <c r="B10" i="369"/>
  <c r="F10" i="369"/>
  <c r="A13" i="369"/>
  <c r="F13" i="369"/>
  <c r="F14" i="369"/>
  <c r="A16" i="369"/>
  <c r="G21" i="369"/>
  <c r="F6" i="369"/>
  <c r="Q10" i="369"/>
  <c r="Q13" i="369"/>
  <c r="Q16" i="369"/>
  <c r="G19" i="369"/>
  <c r="G27" i="369"/>
  <c r="F9" i="369"/>
  <c r="B13" i="369"/>
  <c r="P22" i="369"/>
  <c r="B7" i="369"/>
  <c r="F8" i="369"/>
  <c r="F12" i="369"/>
  <c r="B16" i="369"/>
  <c r="G18" i="369"/>
  <c r="A22" i="369"/>
  <c r="G23" i="369"/>
  <c r="O25" i="369"/>
  <c r="A28" i="369"/>
  <c r="A10" i="369"/>
  <c r="F11" i="369"/>
  <c r="F20" i="369"/>
  <c r="F21" i="369"/>
  <c r="B22" i="369"/>
  <c r="D34" i="369" s="1"/>
  <c r="F22" i="369"/>
  <c r="P25" i="369"/>
  <c r="F26" i="369"/>
  <c r="F27" i="369"/>
  <c r="B28" i="369"/>
  <c r="D40" i="369" s="1"/>
  <c r="F28" i="369"/>
  <c r="F31" i="369"/>
  <c r="T31" i="364"/>
  <c r="I31" i="364" s="1"/>
  <c r="T31" i="367"/>
  <c r="I31" i="367" s="1"/>
  <c r="T31" i="8"/>
  <c r="I31" i="8" s="1"/>
  <c r="T31" i="9"/>
  <c r="I31" i="9" s="1"/>
  <c r="T31" i="202"/>
  <c r="I31" i="202" s="1"/>
  <c r="T31" i="5"/>
  <c r="I31" i="5" s="1"/>
  <c r="J43" i="5" s="1"/>
  <c r="T31" i="207"/>
  <c r="I31" i="207" s="1"/>
  <c r="T31" i="31"/>
  <c r="I31" i="31" s="1"/>
  <c r="T31" i="89"/>
  <c r="I31" i="89" s="1"/>
  <c r="T31" i="149"/>
  <c r="I31" i="149" s="1"/>
  <c r="J43" i="149" s="1"/>
  <c r="T31" i="88"/>
  <c r="I31" i="88" s="1"/>
  <c r="T31" i="148"/>
  <c r="I31" i="148" s="1"/>
  <c r="J43" i="148" s="1"/>
  <c r="T31" i="253"/>
  <c r="I31" i="253" s="1"/>
  <c r="T31" i="28"/>
  <c r="I31" i="28" s="1"/>
  <c r="J43" i="28" s="1"/>
  <c r="T31" i="29"/>
  <c r="I31" i="29" s="1"/>
  <c r="T31" i="359"/>
  <c r="I31" i="359" s="1"/>
  <c r="J43" i="359" s="1"/>
  <c r="T31" i="360"/>
  <c r="I31" i="360" s="1"/>
  <c r="T31" i="19"/>
  <c r="I31" i="19" s="1"/>
  <c r="T31" i="4"/>
  <c r="I31" i="4" s="1"/>
  <c r="T31" i="204"/>
  <c r="I31" i="204" s="1"/>
  <c r="T31" i="363"/>
  <c r="I31" i="363" s="1"/>
  <c r="T31" i="334"/>
  <c r="I31" i="334" s="1"/>
  <c r="T31" i="21"/>
  <c r="I31" i="21" s="1"/>
  <c r="T31" i="342"/>
  <c r="I31" i="342" s="1"/>
  <c r="T31" i="347"/>
  <c r="I31" i="347" s="1"/>
  <c r="T31" i="33"/>
  <c r="I31" i="33" s="1"/>
  <c r="T31" i="113"/>
  <c r="I31" i="113" s="1"/>
  <c r="T31" i="351"/>
  <c r="I31" i="351" s="1"/>
  <c r="T31" i="352"/>
  <c r="I31" i="352" s="1"/>
  <c r="T31" i="322"/>
  <c r="I31" i="322" s="1"/>
  <c r="T31" i="362"/>
  <c r="I31" i="362" s="1"/>
  <c r="T31" i="353"/>
  <c r="I31" i="353" s="1"/>
  <c r="J43" i="353" s="1"/>
  <c r="T31" i="354"/>
  <c r="I31" i="354" s="1"/>
  <c r="J43" i="354" s="1"/>
  <c r="T31" i="7"/>
  <c r="I31" i="7" s="1"/>
  <c r="J43" i="7" s="1"/>
  <c r="T31" i="288"/>
  <c r="I31" i="288" s="1"/>
  <c r="T31" i="17"/>
  <c r="I31" i="17" s="1"/>
  <c r="J43" i="17" s="1"/>
  <c r="T31" i="3"/>
  <c r="I31" i="3" s="1"/>
  <c r="T31" i="12"/>
  <c r="I31" i="12" s="1"/>
  <c r="J43" i="12" s="1"/>
  <c r="T31" i="356"/>
  <c r="I31" i="356" s="1"/>
  <c r="T31" i="337"/>
  <c r="I31" i="337" s="1"/>
  <c r="T31" i="227"/>
  <c r="I31" i="227" s="1"/>
  <c r="T31" i="349"/>
  <c r="I31" i="349" s="1"/>
  <c r="T31" i="355"/>
  <c r="I31" i="355" s="1"/>
  <c r="T31" i="290"/>
  <c r="I31" i="290" s="1"/>
  <c r="T31" i="289"/>
  <c r="I31" i="289" s="1"/>
  <c r="T31" i="298"/>
  <c r="I31" i="298" s="1"/>
  <c r="J43" i="298" s="1"/>
  <c r="S31" i="357"/>
  <c r="I31" i="357" s="1"/>
  <c r="T31" i="43"/>
  <c r="I31" i="43" s="1"/>
  <c r="J43" i="43" s="1"/>
  <c r="T31" i="293"/>
  <c r="I31" i="293" s="1"/>
  <c r="T31" i="348"/>
  <c r="I31" i="348" s="1"/>
  <c r="T31" i="16"/>
  <c r="I31" i="16" s="1"/>
  <c r="T31" i="195"/>
  <c r="I31" i="195" s="1"/>
  <c r="J43" i="195" s="1"/>
  <c r="T31" i="194"/>
  <c r="I31" i="194" s="1"/>
  <c r="T31" i="193"/>
  <c r="I31" i="193" s="1"/>
  <c r="J43" i="193" s="1"/>
  <c r="T31" i="297"/>
  <c r="I31" i="297" s="1"/>
  <c r="T31" i="350"/>
  <c r="I31" i="350" s="1"/>
  <c r="T31" i="18"/>
  <c r="I31" i="18" s="1"/>
  <c r="T31" i="20"/>
  <c r="I31" i="20" s="1"/>
  <c r="J43" i="20" s="1"/>
  <c r="T31" i="191"/>
  <c r="I31" i="191" s="1"/>
  <c r="T31" i="1"/>
  <c r="I31" i="1" s="1"/>
  <c r="J43" i="1" s="1"/>
  <c r="T31" i="114"/>
  <c r="I31" i="114" s="1"/>
  <c r="T31" i="323"/>
  <c r="I31" i="323" s="1"/>
  <c r="J43" i="323" s="1"/>
  <c r="T31" i="233"/>
  <c r="I31" i="233" s="1"/>
  <c r="T31" i="152"/>
  <c r="I31" i="152" s="1"/>
  <c r="J43" i="152" s="1"/>
  <c r="T31" i="13"/>
  <c r="I31" i="13" s="1"/>
  <c r="T31" i="261"/>
  <c r="I31" i="261" s="1"/>
  <c r="J43" i="261" s="1"/>
  <c r="T31" i="153"/>
  <c r="I31" i="153" s="1"/>
  <c r="T31" i="257"/>
  <c r="I31" i="257" s="1"/>
  <c r="J43" i="257" s="1"/>
  <c r="T31" i="23"/>
  <c r="I31" i="23" s="1"/>
  <c r="T31" i="314"/>
  <c r="I31" i="314" s="1"/>
  <c r="L31" i="317"/>
  <c r="L31" i="316"/>
  <c r="L31" i="315"/>
  <c r="T31" i="105"/>
  <c r="I31" i="105" s="1"/>
  <c r="T31" i="206"/>
  <c r="I31" i="206" s="1"/>
  <c r="T31" i="344"/>
  <c r="I31" i="344" s="1"/>
  <c r="J43" i="344" s="1"/>
  <c r="T31" i="61"/>
  <c r="I31" i="61" s="1"/>
  <c r="J43" i="61" s="1"/>
  <c r="T31" i="338"/>
  <c r="I31" i="338" s="1"/>
  <c r="T31" i="299"/>
  <c r="I31" i="299" s="1"/>
  <c r="T31" i="190"/>
  <c r="I31" i="190" s="1"/>
  <c r="T31" i="340"/>
  <c r="I31" i="340" s="1"/>
  <c r="T31" i="301"/>
  <c r="I31" i="301" s="1"/>
  <c r="T31" i="34"/>
  <c r="I31" i="34" s="1"/>
  <c r="J43" i="34" s="1"/>
  <c r="T31" i="174"/>
  <c r="I31" i="174" s="1"/>
  <c r="J43" i="174" s="1"/>
  <c r="T31" i="135"/>
  <c r="I31" i="135" s="1"/>
  <c r="T31" i="333"/>
  <c r="I31" i="333" s="1"/>
  <c r="T31" i="295"/>
  <c r="I31" i="295" s="1"/>
  <c r="J43" i="295" s="1"/>
  <c r="T31" i="294"/>
  <c r="I31" i="294" s="1"/>
  <c r="J43" i="294" s="1"/>
  <c r="S31" i="365"/>
  <c r="I31" i="365" s="1"/>
  <c r="S31" i="366"/>
  <c r="I31" i="366" s="1"/>
  <c r="T31" i="283"/>
  <c r="I31" i="283" s="1"/>
  <c r="I31" i="187"/>
  <c r="T31" i="284"/>
  <c r="I31" i="284" s="1"/>
  <c r="T31" i="292"/>
  <c r="I31" i="292" s="1"/>
  <c r="T31" i="269"/>
  <c r="I31" i="269" s="1"/>
  <c r="J43" i="269" s="1"/>
  <c r="T31" i="325"/>
  <c r="I31" i="325" s="1"/>
  <c r="T31" i="11"/>
  <c r="I31" i="11" s="1"/>
  <c r="S31" i="279"/>
  <c r="I31" i="279" s="1"/>
  <c r="S31" i="335"/>
  <c r="I31" i="335" s="1"/>
  <c r="T31" i="37"/>
  <c r="I31" i="37" s="1"/>
  <c r="T31" i="54"/>
  <c r="I31" i="54" s="1"/>
  <c r="T31" i="303"/>
  <c r="I31" i="303" s="1"/>
  <c r="J43" i="303" s="1"/>
  <c r="T31" i="101"/>
  <c r="I31" i="101" s="1"/>
  <c r="J43" i="101" s="1"/>
  <c r="T31" i="102"/>
  <c r="I31" i="102" s="1"/>
  <c r="J43" i="102" s="1"/>
  <c r="T31" i="103"/>
  <c r="I31" i="103" s="1"/>
  <c r="T31" i="265"/>
  <c r="I31" i="265" s="1"/>
  <c r="I31" i="296"/>
  <c r="J43" i="296" s="1"/>
  <c r="T31" i="75"/>
  <c r="I31" i="75" s="1"/>
  <c r="T31" i="262"/>
  <c r="I31" i="262" s="1"/>
  <c r="J43" i="262" s="1"/>
  <c r="T31" i="249"/>
  <c r="I31" i="249" s="1"/>
  <c r="T31" i="201"/>
  <c r="I31" i="201" s="1"/>
  <c r="T31" i="112"/>
  <c r="I31" i="112" s="1"/>
  <c r="T31" i="109"/>
  <c r="I31" i="109" s="1"/>
  <c r="T31" i="2"/>
  <c r="I31" i="2" s="1"/>
  <c r="T31" i="85"/>
  <c r="I31" i="85" s="1"/>
  <c r="T31" i="324"/>
  <c r="I31" i="324" s="1"/>
  <c r="T31" i="32"/>
  <c r="I31" i="32" s="1"/>
  <c r="T31" i="203"/>
  <c r="I31" i="203" s="1"/>
  <c r="T31" i="164"/>
  <c r="I31" i="164" s="1"/>
  <c r="T31" i="162"/>
  <c r="I31" i="162" s="1"/>
  <c r="T31" i="197"/>
  <c r="I31" i="197" s="1"/>
  <c r="T31" i="198"/>
  <c r="I31" i="198" s="1"/>
  <c r="J43" i="198" s="1"/>
  <c r="T31" i="345"/>
  <c r="I31" i="345" s="1"/>
  <c r="T31" i="346"/>
  <c r="I31" i="346" s="1"/>
  <c r="T31" i="74"/>
  <c r="I31" i="74" s="1"/>
  <c r="T31" i="181"/>
  <c r="I31" i="181" s="1"/>
  <c r="T31" i="183"/>
  <c r="I31" i="183" s="1"/>
  <c r="J43" i="183" s="1"/>
  <c r="T31" i="184"/>
  <c r="I31" i="184" s="1"/>
  <c r="T31" i="200"/>
  <c r="I31" i="200" s="1"/>
  <c r="T31" i="280"/>
  <c r="I31" i="280" s="1"/>
  <c r="T31" i="27"/>
  <c r="I31" i="27" s="1"/>
  <c r="J43" i="27" s="1"/>
  <c r="T31" i="143"/>
  <c r="I31" i="143" s="1"/>
  <c r="T31" i="97"/>
  <c r="I31" i="97" s="1"/>
  <c r="T31" i="45"/>
  <c r="I31" i="45" s="1"/>
  <c r="T31" i="104"/>
  <c r="I31" i="104" s="1"/>
  <c r="T31" i="48"/>
  <c r="I31" i="48" s="1"/>
  <c r="T31" i="254"/>
  <c r="I31" i="254" s="1"/>
  <c r="T31" i="268"/>
  <c r="I31" i="268" s="1"/>
  <c r="T31" i="263"/>
  <c r="I31" i="263" s="1"/>
  <c r="T31" i="209"/>
  <c r="I31" i="209" s="1"/>
  <c r="T31" i="192"/>
  <c r="I31" i="192" s="1"/>
  <c r="T31" i="140"/>
  <c r="I31" i="140" s="1"/>
  <c r="T31" i="270"/>
  <c r="I31" i="270" s="1"/>
  <c r="T31" i="271"/>
  <c r="I31" i="271" s="1"/>
  <c r="T31" i="159"/>
  <c r="I31" i="159" s="1"/>
  <c r="T31" i="160"/>
  <c r="I31" i="160" s="1"/>
  <c r="T31" i="107"/>
  <c r="I31" i="107" s="1"/>
  <c r="J43" i="107" s="1"/>
  <c r="T31" i="176"/>
  <c r="I31" i="176" s="1"/>
  <c r="T31" i="53"/>
  <c r="I31" i="53" s="1"/>
  <c r="T31" i="52"/>
  <c r="I31" i="52" s="1"/>
  <c r="J43" i="52" s="1"/>
  <c r="T31" i="281"/>
  <c r="I31" i="281" s="1"/>
  <c r="T31" i="332"/>
  <c r="I31" i="332" s="1"/>
  <c r="T31" i="25"/>
  <c r="I31" i="25" s="1"/>
  <c r="T31" i="24"/>
  <c r="I31" i="24" s="1"/>
  <c r="J43" i="24" s="1"/>
  <c r="T31" i="319"/>
  <c r="I31" i="319" s="1"/>
  <c r="T31" i="320"/>
  <c r="I31" i="320" s="1"/>
  <c r="L31" i="343"/>
  <c r="T31" i="318"/>
  <c r="I31" i="318" s="1"/>
  <c r="T31" i="116"/>
  <c r="I31" i="116" s="1"/>
  <c r="T31" i="272"/>
  <c r="I31" i="272" s="1"/>
  <c r="T31" i="285"/>
  <c r="I31" i="285" s="1"/>
  <c r="J43" i="285" s="1"/>
  <c r="S31" i="44"/>
  <c r="I31" i="44" s="1"/>
  <c r="T31" i="287"/>
  <c r="I31" i="287" s="1"/>
  <c r="T31" i="276"/>
  <c r="I31" i="276" s="1"/>
  <c r="J43" i="276" s="1"/>
  <c r="T31" i="229"/>
  <c r="I31" i="229" s="1"/>
  <c r="T31" i="230"/>
  <c r="I31" i="230" s="1"/>
  <c r="T31" i="328"/>
  <c r="I31" i="328" s="1"/>
  <c r="T31" i="329"/>
  <c r="I31" i="329" s="1"/>
  <c r="T31" i="326"/>
  <c r="I31" i="326" s="1"/>
  <c r="T31" i="47"/>
  <c r="I31" i="47" s="1"/>
  <c r="T31" i="248"/>
  <c r="I31" i="248" s="1"/>
  <c r="T31" i="46"/>
  <c r="I31" i="46" s="1"/>
  <c r="T31" i="239"/>
  <c r="I31" i="239" s="1"/>
  <c r="T31" i="243"/>
  <c r="I31" i="243" s="1"/>
  <c r="T31" i="244"/>
  <c r="I31" i="244" s="1"/>
  <c r="T31" i="246"/>
  <c r="I31" i="246" s="1"/>
  <c r="T31" i="168"/>
  <c r="I31" i="168" s="1"/>
  <c r="T31" i="169"/>
  <c r="I31" i="169" s="1"/>
  <c r="T31" i="336"/>
  <c r="I31" i="336" s="1"/>
  <c r="T31" i="368"/>
  <c r="I31" i="368" s="1"/>
  <c r="J43" i="368" s="1"/>
  <c r="J43" i="33" l="1"/>
  <c r="J43" i="204"/>
  <c r="J43" i="31"/>
  <c r="J43" i="367"/>
  <c r="J43" i="170"/>
  <c r="J43" i="185"/>
  <c r="J43" i="11"/>
  <c r="J43" i="135"/>
  <c r="J43" i="299"/>
  <c r="J43" i="153"/>
  <c r="J43" i="114"/>
  <c r="J43" i="297"/>
  <c r="J43" i="293"/>
  <c r="J43" i="355"/>
  <c r="J43" i="3"/>
  <c r="J43" i="362"/>
  <c r="J43" i="347"/>
  <c r="J43" i="4"/>
  <c r="J43" i="253"/>
  <c r="J43" i="207"/>
  <c r="J43" i="364"/>
  <c r="J43" i="46"/>
  <c r="J43" i="140"/>
  <c r="J43" i="280"/>
  <c r="J43" i="203"/>
  <c r="J43" i="112"/>
  <c r="J43" i="37"/>
  <c r="J43" i="292"/>
  <c r="J43" i="301"/>
  <c r="J43" i="314"/>
  <c r="J43" i="334"/>
  <c r="J43" i="144"/>
  <c r="J43" i="248"/>
  <c r="J43" i="116"/>
  <c r="J43" i="25"/>
  <c r="J43" i="192"/>
  <c r="J43" i="200"/>
  <c r="J43" i="32"/>
  <c r="J43" i="103"/>
  <c r="J43" i="206"/>
  <c r="J43" i="23"/>
  <c r="J43" i="18"/>
  <c r="J43" i="289"/>
  <c r="J43" i="363"/>
  <c r="J43" i="89"/>
  <c r="J43" i="186"/>
  <c r="J43" i="246"/>
  <c r="J43" i="332"/>
  <c r="J43" i="209"/>
  <c r="J43" i="184"/>
  <c r="J43" i="324"/>
  <c r="J43" i="249"/>
  <c r="J43" i="187"/>
  <c r="J43" i="333"/>
  <c r="J43" i="190"/>
  <c r="J43" i="105"/>
  <c r="J43" i="350"/>
  <c r="J43" i="348"/>
  <c r="J43" i="290"/>
  <c r="J43" i="244"/>
  <c r="J43" i="326"/>
  <c r="J43" i="287"/>
  <c r="J43" i="281"/>
  <c r="J43" i="159"/>
  <c r="J43" i="263"/>
  <c r="J43" i="97"/>
  <c r="J43" i="197"/>
  <c r="J43" i="85"/>
  <c r="J43" i="283"/>
  <c r="J43" i="243"/>
  <c r="J43" i="329"/>
  <c r="J43" i="320"/>
  <c r="J43" i="271"/>
  <c r="J43" i="268"/>
  <c r="J43" i="143"/>
  <c r="J43" i="181"/>
  <c r="J43" i="162"/>
  <c r="J43" i="2"/>
  <c r="J43" i="75"/>
  <c r="J43" i="325"/>
  <c r="J43" i="338"/>
  <c r="J43" i="349"/>
  <c r="J43" i="322"/>
  <c r="J43" i="342"/>
  <c r="J43" i="19"/>
  <c r="J42" i="144"/>
  <c r="J43" i="231"/>
  <c r="J43" i="169"/>
  <c r="J43" i="230"/>
  <c r="J43" i="272"/>
  <c r="J43" i="176"/>
  <c r="J43" i="48"/>
  <c r="J43" i="346"/>
  <c r="J43" i="265"/>
  <c r="J43" i="337"/>
  <c r="J43" i="351"/>
  <c r="J43" i="9"/>
  <c r="J43" i="247"/>
  <c r="J43" i="168"/>
  <c r="J43" i="229"/>
  <c r="J43" i="104"/>
  <c r="J43" i="345"/>
  <c r="J43" i="201"/>
  <c r="J43" i="284"/>
  <c r="J43" i="340"/>
  <c r="J43" i="233"/>
  <c r="J43" i="16"/>
  <c r="J43" i="356"/>
  <c r="J43" i="113"/>
  <c r="J43" i="29"/>
  <c r="J43" i="8"/>
  <c r="J42" i="186"/>
  <c r="J43" i="47"/>
  <c r="J43" i="318"/>
  <c r="J43" i="160"/>
  <c r="J43" i="45"/>
  <c r="J43" i="336"/>
  <c r="J43" i="239"/>
  <c r="J43" i="328"/>
  <c r="J43" i="319"/>
  <c r="J43" i="53"/>
  <c r="J43" i="270"/>
  <c r="J43" i="254"/>
  <c r="J43" i="74"/>
  <c r="J43" i="164"/>
  <c r="J43" i="109"/>
  <c r="J43" i="54"/>
  <c r="J43" i="13"/>
  <c r="J43" i="191"/>
  <c r="J43" i="194"/>
  <c r="J43" i="227"/>
  <c r="J43" i="288"/>
  <c r="J43" i="352"/>
  <c r="J43" i="21"/>
  <c r="J43" i="360"/>
  <c r="J43" i="88"/>
  <c r="J43" i="202"/>
  <c r="J43" i="327"/>
  <c r="L34" i="231"/>
  <c r="C34" i="369"/>
  <c r="R19" i="369"/>
  <c r="R31" i="369"/>
  <c r="R25" i="369"/>
  <c r="R22" i="369"/>
  <c r="D19" i="369"/>
  <c r="R13" i="369"/>
  <c r="C25" i="369"/>
  <c r="C13" i="369"/>
  <c r="R28" i="369"/>
  <c r="C19" i="369"/>
  <c r="C10" i="369"/>
  <c r="D31" i="369"/>
  <c r="R10" i="369"/>
  <c r="C16" i="369"/>
  <c r="D25" i="369"/>
  <c r="R16" i="369"/>
  <c r="C28" i="369"/>
  <c r="D28" i="369"/>
  <c r="C31" i="369"/>
  <c r="C22" i="369"/>
  <c r="D22" i="369"/>
  <c r="T31" i="142"/>
  <c r="I31" i="142" s="1"/>
  <c r="T30" i="368"/>
  <c r="I30" i="368" s="1"/>
  <c r="F30" i="368"/>
  <c r="T29" i="368"/>
  <c r="I29" i="368" s="1"/>
  <c r="F29" i="368"/>
  <c r="H41" i="368" s="1"/>
  <c r="K28" i="368"/>
  <c r="U28" i="368"/>
  <c r="T28" i="368"/>
  <c r="I28" i="368" s="1"/>
  <c r="J40" i="368" s="1"/>
  <c r="F28" i="368"/>
  <c r="T27" i="368"/>
  <c r="I27" i="368" s="1"/>
  <c r="F27" i="368"/>
  <c r="T26" i="368"/>
  <c r="I26" i="368" s="1"/>
  <c r="K25" i="368"/>
  <c r="U25" i="368"/>
  <c r="M37" i="368" s="1"/>
  <c r="T25" i="368"/>
  <c r="I25" i="368" s="1"/>
  <c r="F25" i="368"/>
  <c r="T24" i="368"/>
  <c r="I24" i="368" s="1"/>
  <c r="J36" i="368" s="1"/>
  <c r="F24" i="368"/>
  <c r="T23" i="368"/>
  <c r="I23" i="368" s="1"/>
  <c r="F23" i="368"/>
  <c r="K22" i="368"/>
  <c r="U22" i="368"/>
  <c r="M34" i="368" s="1"/>
  <c r="T22" i="368"/>
  <c r="I22" i="368" s="1"/>
  <c r="F22" i="368"/>
  <c r="T21" i="368"/>
  <c r="I21" i="368" s="1"/>
  <c r="F21" i="368"/>
  <c r="T20" i="368"/>
  <c r="I20" i="368" s="1"/>
  <c r="J32" i="368" s="1"/>
  <c r="F20" i="368"/>
  <c r="K19" i="368"/>
  <c r="U19" i="368"/>
  <c r="M31" i="368" s="1"/>
  <c r="T19" i="368"/>
  <c r="I19" i="368" s="1"/>
  <c r="F19" i="368"/>
  <c r="T18" i="368"/>
  <c r="I18" i="368" s="1"/>
  <c r="F18" i="368"/>
  <c r="T17" i="368"/>
  <c r="I17" i="368" s="1"/>
  <c r="F17" i="368"/>
  <c r="K16" i="368"/>
  <c r="U16" i="368"/>
  <c r="T16" i="368"/>
  <c r="I16" i="368" s="1"/>
  <c r="F16" i="368"/>
  <c r="T15" i="368"/>
  <c r="I15" i="368" s="1"/>
  <c r="F15" i="368"/>
  <c r="T14" i="368"/>
  <c r="I14" i="368" s="1"/>
  <c r="F14" i="368"/>
  <c r="K13" i="368"/>
  <c r="U13" i="368"/>
  <c r="T13" i="368"/>
  <c r="I13" i="368" s="1"/>
  <c r="F13" i="368"/>
  <c r="T12" i="368"/>
  <c r="I12" i="368" s="1"/>
  <c r="F12" i="368"/>
  <c r="T11" i="368"/>
  <c r="I11" i="368" s="1"/>
  <c r="F11" i="368"/>
  <c r="K10" i="368"/>
  <c r="U10" i="368"/>
  <c r="T10" i="368"/>
  <c r="I10" i="368" s="1"/>
  <c r="F10" i="368"/>
  <c r="T9" i="368"/>
  <c r="I9" i="368" s="1"/>
  <c r="F9" i="368"/>
  <c r="T8" i="368"/>
  <c r="I8" i="368" s="1"/>
  <c r="F8" i="368"/>
  <c r="K7" i="368"/>
  <c r="U7" i="368"/>
  <c r="T7" i="368"/>
  <c r="I7" i="368" s="1"/>
  <c r="F7" i="368"/>
  <c r="T6" i="368"/>
  <c r="I6" i="368" s="1"/>
  <c r="F6" i="368"/>
  <c r="T5" i="368"/>
  <c r="I5" i="368" s="1"/>
  <c r="F5" i="368"/>
  <c r="J17" i="368" l="1"/>
  <c r="J28" i="368"/>
  <c r="J20" i="368"/>
  <c r="J26" i="368"/>
  <c r="J38" i="368"/>
  <c r="J39" i="368"/>
  <c r="J27" i="368"/>
  <c r="J18" i="368"/>
  <c r="J22" i="368"/>
  <c r="J34" i="368"/>
  <c r="J41" i="368"/>
  <c r="J29" i="368"/>
  <c r="J37" i="368"/>
  <c r="J25" i="368"/>
  <c r="M19" i="368"/>
  <c r="J30" i="368"/>
  <c r="J42" i="368"/>
  <c r="J24" i="368"/>
  <c r="J31" i="368"/>
  <c r="J19" i="368"/>
  <c r="J21" i="368"/>
  <c r="J33" i="368"/>
  <c r="J35" i="368"/>
  <c r="J23" i="368"/>
  <c r="J43" i="142"/>
  <c r="H32" i="368"/>
  <c r="H34" i="368"/>
  <c r="H35" i="368"/>
  <c r="H39" i="368"/>
  <c r="H31" i="368"/>
  <c r="H33" i="368"/>
  <c r="H36" i="368"/>
  <c r="H37" i="368"/>
  <c r="H24" i="368"/>
  <c r="H40" i="368"/>
  <c r="G31" i="368"/>
  <c r="H42" i="368"/>
  <c r="L31" i="368"/>
  <c r="M40" i="368"/>
  <c r="H30" i="368"/>
  <c r="M28" i="368"/>
  <c r="B31" i="368"/>
  <c r="N31" i="368"/>
  <c r="O34" i="368" s="1"/>
  <c r="G24" i="368"/>
  <c r="G16" i="368"/>
  <c r="C19" i="368"/>
  <c r="C25" i="368"/>
  <c r="E37" i="368" s="1"/>
  <c r="G25" i="368"/>
  <c r="C31" i="368"/>
  <c r="E43" i="368" s="1"/>
  <c r="B7" i="368"/>
  <c r="G7" i="368"/>
  <c r="C10" i="368"/>
  <c r="G10" i="368"/>
  <c r="B13" i="368"/>
  <c r="G13" i="368"/>
  <c r="N25" i="368"/>
  <c r="H21" i="368"/>
  <c r="L22" i="368"/>
  <c r="N7" i="368"/>
  <c r="N10" i="368"/>
  <c r="N16" i="368"/>
  <c r="G17" i="368"/>
  <c r="G6" i="368"/>
  <c r="N19" i="368"/>
  <c r="G19" i="368"/>
  <c r="L28" i="368"/>
  <c r="B19" i="368"/>
  <c r="G18" i="368"/>
  <c r="B25" i="368"/>
  <c r="G30" i="368"/>
  <c r="N22" i="368"/>
  <c r="G23" i="368"/>
  <c r="N28" i="368"/>
  <c r="G29" i="368"/>
  <c r="G14" i="368"/>
  <c r="N13" i="368"/>
  <c r="H17" i="368"/>
  <c r="H19" i="368"/>
  <c r="L19" i="368"/>
  <c r="H27" i="368"/>
  <c r="L13" i="368"/>
  <c r="G15" i="368"/>
  <c r="L16" i="368"/>
  <c r="H20" i="368"/>
  <c r="H22" i="368"/>
  <c r="H29" i="368"/>
  <c r="B16" i="368"/>
  <c r="L10" i="368"/>
  <c r="H25" i="368"/>
  <c r="H26" i="368"/>
  <c r="H28" i="368"/>
  <c r="G9" i="368"/>
  <c r="C13" i="368"/>
  <c r="M22" i="368"/>
  <c r="C7" i="368"/>
  <c r="G8" i="368"/>
  <c r="G12" i="368"/>
  <c r="C16" i="368"/>
  <c r="H18" i="368"/>
  <c r="B22" i="368"/>
  <c r="H23" i="368"/>
  <c r="L25" i="368"/>
  <c r="B28" i="368"/>
  <c r="B10" i="368"/>
  <c r="G11" i="368"/>
  <c r="G20" i="368"/>
  <c r="G21" i="368"/>
  <c r="C22" i="368"/>
  <c r="E34" i="368" s="1"/>
  <c r="G22" i="368"/>
  <c r="M25" i="368"/>
  <c r="G26" i="368"/>
  <c r="G27" i="368"/>
  <c r="C28" i="368"/>
  <c r="E40" i="368" s="1"/>
  <c r="G28" i="368"/>
  <c r="T30" i="367"/>
  <c r="I30" i="367" s="1"/>
  <c r="F30" i="367"/>
  <c r="T29" i="367"/>
  <c r="I29" i="367" s="1"/>
  <c r="F29" i="367"/>
  <c r="H41" i="367" s="1"/>
  <c r="K28" i="367"/>
  <c r="U28" i="367"/>
  <c r="T28" i="367"/>
  <c r="I28" i="367" s="1"/>
  <c r="J40" i="367" s="1"/>
  <c r="F28" i="367"/>
  <c r="T27" i="367"/>
  <c r="I27" i="367" s="1"/>
  <c r="F27" i="367"/>
  <c r="T26" i="367"/>
  <c r="I26" i="367" s="1"/>
  <c r="J38" i="367" s="1"/>
  <c r="K25" i="367"/>
  <c r="U25" i="367"/>
  <c r="M37" i="367" s="1"/>
  <c r="T25" i="367"/>
  <c r="I25" i="367" s="1"/>
  <c r="F25" i="367"/>
  <c r="T24" i="367"/>
  <c r="I24" i="367" s="1"/>
  <c r="J36" i="367" s="1"/>
  <c r="F24" i="367"/>
  <c r="T23" i="367"/>
  <c r="I23" i="367" s="1"/>
  <c r="F23" i="367"/>
  <c r="K22" i="367"/>
  <c r="U22" i="367"/>
  <c r="M34" i="367" s="1"/>
  <c r="T22" i="367"/>
  <c r="I22" i="367" s="1"/>
  <c r="J34" i="367" s="1"/>
  <c r="F22" i="367"/>
  <c r="T21" i="367"/>
  <c r="I21" i="367" s="1"/>
  <c r="F21" i="367"/>
  <c r="T20" i="367"/>
  <c r="I20" i="367" s="1"/>
  <c r="J32" i="367" s="1"/>
  <c r="F20" i="367"/>
  <c r="K19" i="367"/>
  <c r="U19" i="367"/>
  <c r="M31" i="367" s="1"/>
  <c r="T19" i="367"/>
  <c r="I19" i="367" s="1"/>
  <c r="F19" i="367"/>
  <c r="T18" i="367"/>
  <c r="I18" i="367" s="1"/>
  <c r="F18" i="367"/>
  <c r="T17" i="367"/>
  <c r="I17" i="367" s="1"/>
  <c r="F17" i="367"/>
  <c r="K16" i="367"/>
  <c r="U16" i="367"/>
  <c r="T16" i="367"/>
  <c r="I16" i="367" s="1"/>
  <c r="F16" i="367"/>
  <c r="T15" i="367"/>
  <c r="I15" i="367" s="1"/>
  <c r="F15" i="367"/>
  <c r="T14" i="367"/>
  <c r="I14" i="367" s="1"/>
  <c r="F14" i="367"/>
  <c r="K13" i="367"/>
  <c r="U13" i="367"/>
  <c r="T13" i="367"/>
  <c r="I13" i="367" s="1"/>
  <c r="F13" i="367"/>
  <c r="T12" i="367"/>
  <c r="I12" i="367" s="1"/>
  <c r="F12" i="367"/>
  <c r="T11" i="367"/>
  <c r="I11" i="367" s="1"/>
  <c r="F11" i="367"/>
  <c r="K10" i="367"/>
  <c r="U10" i="367"/>
  <c r="T10" i="367"/>
  <c r="I10" i="367" s="1"/>
  <c r="F10" i="367"/>
  <c r="T9" i="367"/>
  <c r="I9" i="367" s="1"/>
  <c r="F9" i="367"/>
  <c r="T8" i="367"/>
  <c r="I8" i="367" s="1"/>
  <c r="F8" i="367"/>
  <c r="K7" i="367"/>
  <c r="U7" i="367"/>
  <c r="T7" i="367"/>
  <c r="I7" i="367" s="1"/>
  <c r="F7" i="367"/>
  <c r="T6" i="367"/>
  <c r="I6" i="367" s="1"/>
  <c r="F6" i="367"/>
  <c r="T5" i="367"/>
  <c r="I5" i="367" s="1"/>
  <c r="F5" i="367"/>
  <c r="J22" i="367" l="1"/>
  <c r="J24" i="367"/>
  <c r="J26" i="367"/>
  <c r="J28" i="367"/>
  <c r="J19" i="367"/>
  <c r="J31" i="367"/>
  <c r="J21" i="367"/>
  <c r="J33" i="367"/>
  <c r="J23" i="367"/>
  <c r="J35" i="367"/>
  <c r="J25" i="367"/>
  <c r="J37" i="367"/>
  <c r="J42" i="367"/>
  <c r="J30" i="367"/>
  <c r="J20" i="367"/>
  <c r="J17" i="367"/>
  <c r="J18" i="367"/>
  <c r="J27" i="367"/>
  <c r="J39" i="367"/>
  <c r="J29" i="367"/>
  <c r="J41" i="367"/>
  <c r="H37" i="367"/>
  <c r="H39" i="367"/>
  <c r="H31" i="367"/>
  <c r="H32" i="367"/>
  <c r="H35" i="367"/>
  <c r="H33" i="367"/>
  <c r="H36" i="367"/>
  <c r="H34" i="367"/>
  <c r="H40" i="367"/>
  <c r="G31" i="367"/>
  <c r="H42" i="367"/>
  <c r="D34" i="368"/>
  <c r="L31" i="367"/>
  <c r="M40" i="367"/>
  <c r="O13" i="368"/>
  <c r="D19" i="368"/>
  <c r="N31" i="367"/>
  <c r="O34" i="367" s="1"/>
  <c r="B31" i="367"/>
  <c r="O31" i="368"/>
  <c r="C31" i="367"/>
  <c r="E43" i="367" s="1"/>
  <c r="O10" i="368"/>
  <c r="O19" i="368"/>
  <c r="O28" i="368"/>
  <c r="G14" i="367"/>
  <c r="N13" i="367"/>
  <c r="D25" i="368"/>
  <c r="O25" i="368"/>
  <c r="G6" i="367"/>
  <c r="D13" i="368"/>
  <c r="G16" i="367"/>
  <c r="E31" i="368"/>
  <c r="D31" i="368"/>
  <c r="L16" i="367"/>
  <c r="D10" i="368"/>
  <c r="O16" i="368"/>
  <c r="O22" i="368"/>
  <c r="E25" i="368"/>
  <c r="D16" i="368"/>
  <c r="E28" i="368"/>
  <c r="D28" i="368"/>
  <c r="D22" i="368"/>
  <c r="E22" i="368"/>
  <c r="E19" i="368"/>
  <c r="H17" i="367"/>
  <c r="H19" i="367"/>
  <c r="H25" i="367"/>
  <c r="H26" i="367"/>
  <c r="G7" i="367"/>
  <c r="B10" i="367"/>
  <c r="G10" i="367"/>
  <c r="B13" i="367"/>
  <c r="N19" i="367"/>
  <c r="N25" i="367"/>
  <c r="H29" i="367"/>
  <c r="G15" i="367"/>
  <c r="G21" i="367"/>
  <c r="G27" i="367"/>
  <c r="M28" i="367"/>
  <c r="G13" i="367"/>
  <c r="N16" i="367"/>
  <c r="N22" i="367"/>
  <c r="H22" i="367"/>
  <c r="N10" i="367"/>
  <c r="H27" i="367"/>
  <c r="N7" i="367"/>
  <c r="G9" i="367"/>
  <c r="L10" i="367"/>
  <c r="G12" i="367"/>
  <c r="L13" i="367"/>
  <c r="C22" i="367"/>
  <c r="E34" i="367" s="1"/>
  <c r="H24" i="367"/>
  <c r="M25" i="367"/>
  <c r="H30" i="367"/>
  <c r="G11" i="367"/>
  <c r="H23" i="367"/>
  <c r="C28" i="367"/>
  <c r="E40" i="367" s="1"/>
  <c r="C7" i="367"/>
  <c r="H18" i="367"/>
  <c r="M19" i="367"/>
  <c r="H20" i="367"/>
  <c r="G22" i="367"/>
  <c r="N28" i="367"/>
  <c r="G28" i="367"/>
  <c r="C10" i="367"/>
  <c r="B19" i="367"/>
  <c r="H21" i="367"/>
  <c r="L22" i="367"/>
  <c r="B25" i="367"/>
  <c r="H28" i="367"/>
  <c r="L28" i="367"/>
  <c r="B7" i="367"/>
  <c r="C13" i="367"/>
  <c r="B16" i="367"/>
  <c r="G17" i="367"/>
  <c r="G18" i="367"/>
  <c r="C19" i="367"/>
  <c r="G19" i="367"/>
  <c r="M22" i="367"/>
  <c r="G23" i="367"/>
  <c r="G24" i="367"/>
  <c r="C25" i="367"/>
  <c r="E37" i="367" s="1"/>
  <c r="G25" i="367"/>
  <c r="G29" i="367"/>
  <c r="G30" i="367"/>
  <c r="G8" i="367"/>
  <c r="C16" i="367"/>
  <c r="L19" i="367"/>
  <c r="B22" i="367"/>
  <c r="L25" i="367"/>
  <c r="B28" i="367"/>
  <c r="G20" i="367"/>
  <c r="G26" i="367"/>
  <c r="D34" i="367" l="1"/>
  <c r="D10" i="367"/>
  <c r="O19" i="367"/>
  <c r="D31" i="367"/>
  <c r="O31" i="367"/>
  <c r="E31" i="367"/>
  <c r="O28" i="367"/>
  <c r="O16" i="367"/>
  <c r="D13" i="367"/>
  <c r="O22" i="367"/>
  <c r="O25" i="367"/>
  <c r="E22" i="367"/>
  <c r="D28" i="367"/>
  <c r="O10" i="367"/>
  <c r="D16" i="367"/>
  <c r="D22" i="367"/>
  <c r="O13" i="367"/>
  <c r="E25" i="367"/>
  <c r="D25" i="367"/>
  <c r="E19" i="367"/>
  <c r="D19" i="367"/>
  <c r="E28" i="367"/>
  <c r="U30" i="202" l="1"/>
  <c r="S30" i="366"/>
  <c r="I30" i="366" s="1"/>
  <c r="F30" i="366"/>
  <c r="S29" i="366"/>
  <c r="I29" i="366" s="1"/>
  <c r="F29" i="366"/>
  <c r="H41" i="366" s="1"/>
  <c r="J28" i="366"/>
  <c r="T28" i="366"/>
  <c r="S28" i="366"/>
  <c r="F28" i="366"/>
  <c r="S27" i="366"/>
  <c r="F27" i="366"/>
  <c r="S26" i="366"/>
  <c r="J25" i="366"/>
  <c r="T25" i="366"/>
  <c r="L37" i="366" s="1"/>
  <c r="S25" i="366"/>
  <c r="F25" i="366"/>
  <c r="S24" i="366"/>
  <c r="F24" i="366"/>
  <c r="S23" i="366"/>
  <c r="F23" i="366"/>
  <c r="J22" i="366"/>
  <c r="T22" i="366"/>
  <c r="L34" i="366" s="1"/>
  <c r="S22" i="366"/>
  <c r="F22" i="366"/>
  <c r="S21" i="366"/>
  <c r="F21" i="366"/>
  <c r="S20" i="366"/>
  <c r="F20" i="366"/>
  <c r="J19" i="366"/>
  <c r="T19" i="366"/>
  <c r="L31" i="366" s="1"/>
  <c r="S19" i="366"/>
  <c r="F19" i="366"/>
  <c r="S18" i="366"/>
  <c r="F18" i="366"/>
  <c r="S17" i="366"/>
  <c r="F17" i="366"/>
  <c r="J16" i="366"/>
  <c r="T16" i="366"/>
  <c r="S16" i="366"/>
  <c r="F16" i="366"/>
  <c r="I16" i="366" s="1"/>
  <c r="S15" i="366"/>
  <c r="F15" i="366"/>
  <c r="I15" i="366" s="1"/>
  <c r="S14" i="366"/>
  <c r="F14" i="366"/>
  <c r="I14" i="366" s="1"/>
  <c r="J13" i="366"/>
  <c r="T13" i="366"/>
  <c r="S13" i="366"/>
  <c r="F13" i="366"/>
  <c r="I13" i="366" s="1"/>
  <c r="S12" i="366"/>
  <c r="F12" i="366"/>
  <c r="I12" i="366" s="1"/>
  <c r="S11" i="366"/>
  <c r="F11" i="366"/>
  <c r="I11" i="366" s="1"/>
  <c r="J10" i="366"/>
  <c r="T10" i="366"/>
  <c r="S10" i="366"/>
  <c r="F10" i="366"/>
  <c r="I10" i="366" s="1"/>
  <c r="S9" i="366"/>
  <c r="F9" i="366"/>
  <c r="I9" i="366" s="1"/>
  <c r="S8" i="366"/>
  <c r="F8" i="366"/>
  <c r="I8" i="366" s="1"/>
  <c r="J7" i="366"/>
  <c r="T7" i="366"/>
  <c r="S7" i="366"/>
  <c r="F7" i="366"/>
  <c r="I7" i="366" s="1"/>
  <c r="S6" i="366"/>
  <c r="F6" i="366"/>
  <c r="I6" i="366" s="1"/>
  <c r="S5" i="366"/>
  <c r="F5" i="366"/>
  <c r="I5" i="366" s="1"/>
  <c r="S30" i="365"/>
  <c r="I30" i="365" s="1"/>
  <c r="F30" i="365"/>
  <c r="S29" i="365"/>
  <c r="I29" i="365" s="1"/>
  <c r="F29" i="365"/>
  <c r="H41" i="365" s="1"/>
  <c r="J28" i="365"/>
  <c r="T28" i="365"/>
  <c r="S28" i="365"/>
  <c r="F28" i="365"/>
  <c r="S27" i="365"/>
  <c r="F27" i="365"/>
  <c r="S26" i="365"/>
  <c r="J25" i="365"/>
  <c r="T25" i="365"/>
  <c r="L37" i="365" s="1"/>
  <c r="S25" i="365"/>
  <c r="F25" i="365"/>
  <c r="S24" i="365"/>
  <c r="F24" i="365"/>
  <c r="S23" i="365"/>
  <c r="F23" i="365"/>
  <c r="J22" i="365"/>
  <c r="T22" i="365"/>
  <c r="L34" i="365" s="1"/>
  <c r="S22" i="365"/>
  <c r="F22" i="365"/>
  <c r="S21" i="365"/>
  <c r="F21" i="365"/>
  <c r="S20" i="365"/>
  <c r="F20" i="365"/>
  <c r="J19" i="365"/>
  <c r="T19" i="365"/>
  <c r="L31" i="365" s="1"/>
  <c r="S19" i="365"/>
  <c r="F19" i="365"/>
  <c r="S18" i="365"/>
  <c r="F18" i="365"/>
  <c r="S17" i="365"/>
  <c r="F17" i="365"/>
  <c r="J16" i="365"/>
  <c r="T16" i="365"/>
  <c r="S16" i="365"/>
  <c r="F16" i="365"/>
  <c r="I16" i="365" s="1"/>
  <c r="S15" i="365"/>
  <c r="F15" i="365"/>
  <c r="I15" i="365" s="1"/>
  <c r="S14" i="365"/>
  <c r="F14" i="365"/>
  <c r="I14" i="365" s="1"/>
  <c r="J13" i="365"/>
  <c r="T13" i="365"/>
  <c r="S13" i="365"/>
  <c r="F13" i="365"/>
  <c r="I13" i="365" s="1"/>
  <c r="S12" i="365"/>
  <c r="F12" i="365"/>
  <c r="I12" i="365" s="1"/>
  <c r="S11" i="365"/>
  <c r="F11" i="365"/>
  <c r="I11" i="365" s="1"/>
  <c r="J10" i="365"/>
  <c r="T10" i="365"/>
  <c r="S10" i="365"/>
  <c r="F10" i="365"/>
  <c r="S9" i="365"/>
  <c r="F9" i="365"/>
  <c r="I9" i="365" s="1"/>
  <c r="S8" i="365"/>
  <c r="F8" i="365"/>
  <c r="I8" i="365" s="1"/>
  <c r="J7" i="365"/>
  <c r="T7" i="365"/>
  <c r="S7" i="365"/>
  <c r="F7" i="365"/>
  <c r="I7" i="365" s="1"/>
  <c r="S6" i="365"/>
  <c r="F6" i="365"/>
  <c r="I6" i="365" s="1"/>
  <c r="S5" i="365"/>
  <c r="F5" i="365"/>
  <c r="I5" i="365" s="1"/>
  <c r="F30" i="363"/>
  <c r="F30" i="9"/>
  <c r="F30" i="35"/>
  <c r="H42" i="35" s="1"/>
  <c r="F30" i="202"/>
  <c r="F30" i="5"/>
  <c r="F30" i="207"/>
  <c r="F30" i="31"/>
  <c r="F30" i="28"/>
  <c r="F30" i="29"/>
  <c r="F30" i="359"/>
  <c r="F30" i="360"/>
  <c r="F30" i="89"/>
  <c r="F30" i="88"/>
  <c r="F30" i="148"/>
  <c r="F30" i="4"/>
  <c r="F30" i="19"/>
  <c r="F30" i="334"/>
  <c r="F30" i="342"/>
  <c r="F30" i="347"/>
  <c r="F30" i="33"/>
  <c r="F30" i="21"/>
  <c r="H42" i="21" s="1"/>
  <c r="F30" i="113"/>
  <c r="F30" i="361"/>
  <c r="F30" i="351"/>
  <c r="F30" i="352"/>
  <c r="F30" i="322"/>
  <c r="F30" i="362"/>
  <c r="F30" i="353"/>
  <c r="F30" i="354"/>
  <c r="F30" i="7"/>
  <c r="F30" i="288"/>
  <c r="F30" i="17"/>
  <c r="F30" i="3"/>
  <c r="F30" i="12"/>
  <c r="F30" i="356"/>
  <c r="F30" i="8"/>
  <c r="F30" i="337"/>
  <c r="F30" i="227"/>
  <c r="F30" i="349"/>
  <c r="F30" i="355"/>
  <c r="F30" i="290"/>
  <c r="F30" i="289"/>
  <c r="F30" i="298"/>
  <c r="F30" i="357"/>
  <c r="F30" i="43"/>
  <c r="F30" i="293"/>
  <c r="F30" i="348"/>
  <c r="F30" i="16"/>
  <c r="F30" i="194"/>
  <c r="F30" i="193"/>
  <c r="F30" i="297"/>
  <c r="F30" i="350"/>
  <c r="F30" i="18"/>
  <c r="F30" i="20"/>
  <c r="F30" i="191"/>
  <c r="F30" i="1"/>
  <c r="F30" i="114"/>
  <c r="F30" i="323"/>
  <c r="F30" i="233"/>
  <c r="F30" i="13"/>
  <c r="F30" i="261"/>
  <c r="F30" i="153"/>
  <c r="F30" i="257"/>
  <c r="F30" i="23"/>
  <c r="F30" i="314"/>
  <c r="E30" i="317"/>
  <c r="F31" i="317" s="1"/>
  <c r="E30" i="316"/>
  <c r="F31" i="316" s="1"/>
  <c r="E30" i="315"/>
  <c r="F31" i="315" s="1"/>
  <c r="F30" i="105"/>
  <c r="F30" i="206"/>
  <c r="F30" i="22"/>
  <c r="F30" i="344"/>
  <c r="F30" i="61"/>
  <c r="F30" i="338"/>
  <c r="F30" i="299"/>
  <c r="F30" i="190"/>
  <c r="F30" i="340"/>
  <c r="F30" i="301"/>
  <c r="F30" i="34"/>
  <c r="F30" i="174"/>
  <c r="F30" i="135"/>
  <c r="F30" i="333"/>
  <c r="F30" i="295"/>
  <c r="F30" i="294"/>
  <c r="F30" i="283"/>
  <c r="F30" i="187"/>
  <c r="F30" i="284"/>
  <c r="F30" i="292"/>
  <c r="G31" i="339"/>
  <c r="F30" i="269"/>
  <c r="F30" i="325"/>
  <c r="F30" i="11"/>
  <c r="F30" i="279"/>
  <c r="F30" i="204"/>
  <c r="F30" i="335"/>
  <c r="F30" i="37"/>
  <c r="F30" i="54"/>
  <c r="F30" i="303"/>
  <c r="F30" i="101"/>
  <c r="F30" i="102"/>
  <c r="F30" i="103"/>
  <c r="F30" i="265"/>
  <c r="F30" i="296"/>
  <c r="F30" i="75"/>
  <c r="F30" i="262"/>
  <c r="F30" i="249"/>
  <c r="F30" i="201"/>
  <c r="F30" i="112"/>
  <c r="F30" i="109"/>
  <c r="F30" i="2"/>
  <c r="H42" i="2" s="1"/>
  <c r="F30" i="85"/>
  <c r="F30" i="324"/>
  <c r="F30" i="32"/>
  <c r="F30" i="203"/>
  <c r="F30" i="164"/>
  <c r="F30" i="162"/>
  <c r="F30" i="196"/>
  <c r="F30" i="197"/>
  <c r="F30" i="198"/>
  <c r="F30" i="345"/>
  <c r="F30" i="346"/>
  <c r="F30" i="74"/>
  <c r="F30" i="181"/>
  <c r="F30" i="183"/>
  <c r="F30" i="184"/>
  <c r="F30" i="200"/>
  <c r="F30" i="280"/>
  <c r="F30" i="27"/>
  <c r="F30" i="143"/>
  <c r="F30" i="97"/>
  <c r="F30" i="45"/>
  <c r="F30" i="104"/>
  <c r="F30" i="48"/>
  <c r="F30" i="254"/>
  <c r="F30" i="268"/>
  <c r="F30" i="263"/>
  <c r="F30" i="209"/>
  <c r="F30" i="192"/>
  <c r="F30" i="140"/>
  <c r="F30" i="270"/>
  <c r="F30" i="271"/>
  <c r="F30" i="159"/>
  <c r="F30" i="160"/>
  <c r="F30" i="107"/>
  <c r="F30" i="176"/>
  <c r="F30" i="53"/>
  <c r="F30" i="52"/>
  <c r="F30" i="281"/>
  <c r="F30" i="332"/>
  <c r="F30" i="25"/>
  <c r="F30" i="24"/>
  <c r="F30" i="319"/>
  <c r="F30" i="320"/>
  <c r="E30" i="343"/>
  <c r="F30" i="318"/>
  <c r="F30" i="116"/>
  <c r="F30" i="272"/>
  <c r="F30" i="285"/>
  <c r="F30" i="44"/>
  <c r="F30" i="87"/>
  <c r="F30" i="287"/>
  <c r="F30" i="276"/>
  <c r="F30" i="229"/>
  <c r="F30" i="230"/>
  <c r="F30" i="328"/>
  <c r="F30" i="329"/>
  <c r="F30" i="326"/>
  <c r="F30" i="47"/>
  <c r="F30" i="248"/>
  <c r="F30" i="46"/>
  <c r="F30" i="239"/>
  <c r="F30" i="243"/>
  <c r="F30" i="244"/>
  <c r="F30" i="246"/>
  <c r="F30" i="168"/>
  <c r="F30" i="169"/>
  <c r="F30" i="336"/>
  <c r="F30" i="364"/>
  <c r="T30" i="364"/>
  <c r="I30" i="364" s="1"/>
  <c r="T29" i="364"/>
  <c r="I29" i="364" s="1"/>
  <c r="F29" i="364"/>
  <c r="H41" i="364" s="1"/>
  <c r="K28" i="364"/>
  <c r="U28" i="364"/>
  <c r="T28" i="364"/>
  <c r="I28" i="364" s="1"/>
  <c r="J40" i="364" s="1"/>
  <c r="F28" i="364"/>
  <c r="T27" i="364"/>
  <c r="I27" i="364" s="1"/>
  <c r="F27" i="364"/>
  <c r="T26" i="364"/>
  <c r="I26" i="364" s="1"/>
  <c r="J38" i="364" s="1"/>
  <c r="K25" i="364"/>
  <c r="U25" i="364"/>
  <c r="M37" i="364" s="1"/>
  <c r="T25" i="364"/>
  <c r="I25" i="364" s="1"/>
  <c r="F25" i="364"/>
  <c r="T24" i="364"/>
  <c r="I24" i="364" s="1"/>
  <c r="J36" i="364" s="1"/>
  <c r="F24" i="364"/>
  <c r="T23" i="364"/>
  <c r="I23" i="364" s="1"/>
  <c r="F23" i="364"/>
  <c r="K22" i="364"/>
  <c r="U22" i="364"/>
  <c r="M34" i="364" s="1"/>
  <c r="T22" i="364"/>
  <c r="I22" i="364" s="1"/>
  <c r="J34" i="364" s="1"/>
  <c r="F22" i="364"/>
  <c r="T21" i="364"/>
  <c r="I21" i="364" s="1"/>
  <c r="F21" i="364"/>
  <c r="T20" i="364"/>
  <c r="I20" i="364" s="1"/>
  <c r="J32" i="364" s="1"/>
  <c r="F20" i="364"/>
  <c r="K19" i="364"/>
  <c r="U19" i="364"/>
  <c r="M31" i="364" s="1"/>
  <c r="T19" i="364"/>
  <c r="I19" i="364" s="1"/>
  <c r="F19" i="364"/>
  <c r="T18" i="364"/>
  <c r="I18" i="364" s="1"/>
  <c r="F18" i="364"/>
  <c r="T17" i="364"/>
  <c r="I17" i="364" s="1"/>
  <c r="F17" i="364"/>
  <c r="K16" i="364"/>
  <c r="U16" i="364"/>
  <c r="T16" i="364"/>
  <c r="I16" i="364" s="1"/>
  <c r="F16" i="364"/>
  <c r="T15" i="364"/>
  <c r="I15" i="364" s="1"/>
  <c r="F15" i="364"/>
  <c r="T14" i="364"/>
  <c r="I14" i="364" s="1"/>
  <c r="F14" i="364"/>
  <c r="K13" i="364"/>
  <c r="U13" i="364"/>
  <c r="T13" i="364"/>
  <c r="I13" i="364" s="1"/>
  <c r="F13" i="364"/>
  <c r="T12" i="364"/>
  <c r="I12" i="364" s="1"/>
  <c r="F12" i="364"/>
  <c r="T11" i="364"/>
  <c r="I11" i="364" s="1"/>
  <c r="F11" i="364"/>
  <c r="K10" i="364"/>
  <c r="U10" i="364"/>
  <c r="T10" i="364"/>
  <c r="I10" i="364" s="1"/>
  <c r="F10" i="364"/>
  <c r="T9" i="364"/>
  <c r="I9" i="364" s="1"/>
  <c r="F9" i="364"/>
  <c r="T8" i="364"/>
  <c r="I8" i="364" s="1"/>
  <c r="F8" i="364"/>
  <c r="K7" i="364"/>
  <c r="U7" i="364"/>
  <c r="T7" i="364"/>
  <c r="I7" i="364" s="1"/>
  <c r="F7" i="364"/>
  <c r="T6" i="364"/>
  <c r="I6" i="364" s="1"/>
  <c r="F6" i="364"/>
  <c r="T5" i="364"/>
  <c r="I5" i="364" s="1"/>
  <c r="F5" i="364"/>
  <c r="J28" i="364" l="1"/>
  <c r="J18" i="364"/>
  <c r="J20" i="364"/>
  <c r="J17" i="364"/>
  <c r="J22" i="364"/>
  <c r="J24" i="364"/>
  <c r="J26" i="364"/>
  <c r="J19" i="364"/>
  <c r="J31" i="364"/>
  <c r="J21" i="364"/>
  <c r="J33" i="364"/>
  <c r="J23" i="364"/>
  <c r="J35" i="364"/>
  <c r="J29" i="364"/>
  <c r="J41" i="364"/>
  <c r="J25" i="364"/>
  <c r="J37" i="364"/>
  <c r="J42" i="364"/>
  <c r="J30" i="364"/>
  <c r="J27" i="364"/>
  <c r="J39" i="364"/>
  <c r="G43" i="353"/>
  <c r="B43" i="353"/>
  <c r="C43" i="353"/>
  <c r="E55" i="353" s="1"/>
  <c r="H40" i="365"/>
  <c r="H31" i="366"/>
  <c r="H32" i="366"/>
  <c r="H34" i="366"/>
  <c r="H35" i="366"/>
  <c r="H37" i="366"/>
  <c r="H33" i="364"/>
  <c r="H36" i="364"/>
  <c r="H40" i="364"/>
  <c r="H22" i="365"/>
  <c r="I22" i="365" s="1"/>
  <c r="I10" i="365"/>
  <c r="H31" i="365"/>
  <c r="H32" i="365"/>
  <c r="H34" i="365"/>
  <c r="H35" i="365"/>
  <c r="H37" i="365"/>
  <c r="H39" i="366"/>
  <c r="H39" i="364"/>
  <c r="H32" i="364"/>
  <c r="H34" i="364"/>
  <c r="H35" i="364"/>
  <c r="H37" i="364"/>
  <c r="H39" i="365"/>
  <c r="H33" i="366"/>
  <c r="H36" i="366"/>
  <c r="H33" i="365"/>
  <c r="H36" i="365"/>
  <c r="H40" i="366"/>
  <c r="H220" i="417"/>
  <c r="G31" i="328"/>
  <c r="H42" i="328"/>
  <c r="G31" i="320"/>
  <c r="H42" i="320"/>
  <c r="G31" i="159"/>
  <c r="H42" i="159"/>
  <c r="G31" i="254"/>
  <c r="H42" i="254"/>
  <c r="G31" i="181"/>
  <c r="H42" i="181"/>
  <c r="G31" i="75"/>
  <c r="H42" i="75"/>
  <c r="G31" i="292"/>
  <c r="H42" i="292"/>
  <c r="G31" i="190"/>
  <c r="H42" i="190"/>
  <c r="G31" i="23"/>
  <c r="H42" i="23"/>
  <c r="G31" i="350"/>
  <c r="H42" i="350"/>
  <c r="G31" i="8"/>
  <c r="H42" i="8"/>
  <c r="G31" i="351"/>
  <c r="H42" i="351"/>
  <c r="G31" i="19"/>
  <c r="H42" i="19"/>
  <c r="G31" i="202"/>
  <c r="H42" i="202"/>
  <c r="G31" i="332"/>
  <c r="H42" i="332"/>
  <c r="G31" i="97"/>
  <c r="H42" i="97"/>
  <c r="G31" i="198"/>
  <c r="H42" i="198"/>
  <c r="G31" i="164"/>
  <c r="H42" i="164"/>
  <c r="G31" i="85"/>
  <c r="H42" i="85"/>
  <c r="G31" i="201"/>
  <c r="H42" i="201"/>
  <c r="G31" i="335"/>
  <c r="H42" i="335"/>
  <c r="G31" i="325"/>
  <c r="H42" i="325"/>
  <c r="G31" i="284"/>
  <c r="H42" i="284"/>
  <c r="G31" i="295"/>
  <c r="H42" i="295"/>
  <c r="G31" i="34"/>
  <c r="H42" i="34"/>
  <c r="G31" i="299"/>
  <c r="H42" i="299"/>
  <c r="G31" i="22"/>
  <c r="H42" i="22"/>
  <c r="G31" i="257"/>
  <c r="H42" i="257"/>
  <c r="G31" i="233"/>
  <c r="H42" i="233"/>
  <c r="G31" i="191"/>
  <c r="H42" i="191"/>
  <c r="G31" i="297"/>
  <c r="H42" i="297"/>
  <c r="G31" i="348"/>
  <c r="H42" i="348"/>
  <c r="G31" i="298"/>
  <c r="H42" i="298"/>
  <c r="G31" i="349"/>
  <c r="H42" i="349"/>
  <c r="G31" i="356"/>
  <c r="H42" i="356"/>
  <c r="G31" i="288"/>
  <c r="H42" i="288"/>
  <c r="G31" i="362"/>
  <c r="H42" i="362"/>
  <c r="G31" i="361"/>
  <c r="H42" i="361"/>
  <c r="G31" i="347"/>
  <c r="H42" i="347"/>
  <c r="G31" i="4"/>
  <c r="H42" i="4"/>
  <c r="G31" i="360"/>
  <c r="H42" i="360"/>
  <c r="G31" i="31"/>
  <c r="H42" i="31"/>
  <c r="G31" i="35"/>
  <c r="G31" i="366"/>
  <c r="H42" i="366"/>
  <c r="G31" i="168"/>
  <c r="H42" i="168"/>
  <c r="G31" i="326"/>
  <c r="H42" i="326"/>
  <c r="G31" i="287"/>
  <c r="H42" i="287"/>
  <c r="G31" i="192"/>
  <c r="H42" i="192"/>
  <c r="G31" i="280"/>
  <c r="H42" i="280"/>
  <c r="G31" i="112"/>
  <c r="H42" i="112"/>
  <c r="G31" i="37"/>
  <c r="H42" i="37"/>
  <c r="G31" i="294"/>
  <c r="H42" i="294"/>
  <c r="G31" i="1"/>
  <c r="H42" i="1"/>
  <c r="G31" i="355"/>
  <c r="H42" i="355"/>
  <c r="G31" i="353"/>
  <c r="H42" i="353"/>
  <c r="G31" i="89"/>
  <c r="H42" i="89"/>
  <c r="G31" i="364"/>
  <c r="H42" i="364"/>
  <c r="G31" i="46"/>
  <c r="H42" i="46"/>
  <c r="G31" i="87"/>
  <c r="H42" i="87"/>
  <c r="G31" i="319"/>
  <c r="H42" i="319"/>
  <c r="G31" i="271"/>
  <c r="H42" i="271"/>
  <c r="G31" i="209"/>
  <c r="H42" i="209"/>
  <c r="G31" i="200"/>
  <c r="H42" i="200"/>
  <c r="G31" i="101"/>
  <c r="H42" i="101"/>
  <c r="G31" i="336"/>
  <c r="H42" i="336"/>
  <c r="G31" i="244"/>
  <c r="H42" i="244"/>
  <c r="G31" i="248"/>
  <c r="H42" i="248"/>
  <c r="G31" i="329"/>
  <c r="H42" i="329"/>
  <c r="G31" i="229"/>
  <c r="H42" i="229"/>
  <c r="G31" i="44"/>
  <c r="H42" i="44"/>
  <c r="G31" i="318"/>
  <c r="H42" i="318"/>
  <c r="G31" i="24"/>
  <c r="H42" i="24"/>
  <c r="G31" i="281"/>
  <c r="H42" i="281"/>
  <c r="G31" i="107"/>
  <c r="H42" i="107"/>
  <c r="G31" i="270"/>
  <c r="H42" i="270"/>
  <c r="G31" i="263"/>
  <c r="H42" i="263"/>
  <c r="G31" i="104"/>
  <c r="H42" i="104"/>
  <c r="G31" i="143"/>
  <c r="H42" i="143"/>
  <c r="G31" i="184"/>
  <c r="H42" i="184"/>
  <c r="G31" i="346"/>
  <c r="H42" i="346"/>
  <c r="G31" i="197"/>
  <c r="H42" i="197"/>
  <c r="G31" i="203"/>
  <c r="H42" i="203"/>
  <c r="G31" i="2"/>
  <c r="G31" i="249"/>
  <c r="H42" i="249"/>
  <c r="G31" i="265"/>
  <c r="H42" i="265"/>
  <c r="G31" i="303"/>
  <c r="H42" i="303"/>
  <c r="G31" i="204"/>
  <c r="H42" i="204"/>
  <c r="G31" i="269"/>
  <c r="H42" i="269"/>
  <c r="G31" i="187"/>
  <c r="H42" i="187"/>
  <c r="G31" i="333"/>
  <c r="H42" i="333"/>
  <c r="G31" i="301"/>
  <c r="H42" i="301"/>
  <c r="G31" i="338"/>
  <c r="H42" i="338"/>
  <c r="G31" i="206"/>
  <c r="H42" i="206"/>
  <c r="G31" i="153"/>
  <c r="H42" i="153"/>
  <c r="G31" i="323"/>
  <c r="H42" i="323"/>
  <c r="G31" i="20"/>
  <c r="H42" i="20"/>
  <c r="G31" i="193"/>
  <c r="H42" i="193"/>
  <c r="G31" i="293"/>
  <c r="H42" i="293"/>
  <c r="G31" i="289"/>
  <c r="H42" i="289"/>
  <c r="G31" i="227"/>
  <c r="H42" i="227"/>
  <c r="G31" i="12"/>
  <c r="H42" i="12"/>
  <c r="G31" i="7"/>
  <c r="H42" i="7"/>
  <c r="G31" i="322"/>
  <c r="H42" i="322"/>
  <c r="G31" i="113"/>
  <c r="H42" i="113"/>
  <c r="G31" i="342"/>
  <c r="H42" i="342"/>
  <c r="G31" i="148"/>
  <c r="H42" i="148"/>
  <c r="G31" i="359"/>
  <c r="H42" i="359"/>
  <c r="G31" i="207"/>
  <c r="H42" i="207"/>
  <c r="G31" i="9"/>
  <c r="H42" i="9"/>
  <c r="G31" i="365"/>
  <c r="H42" i="365"/>
  <c r="G31" i="239"/>
  <c r="H42" i="239"/>
  <c r="G31" i="272"/>
  <c r="H42" i="272"/>
  <c r="G31" i="53"/>
  <c r="H42" i="53"/>
  <c r="G31" i="45"/>
  <c r="H42" i="45"/>
  <c r="G31" i="162"/>
  <c r="H42" i="162"/>
  <c r="G31" i="324"/>
  <c r="H42" i="324"/>
  <c r="G31" i="102"/>
  <c r="H42" i="102"/>
  <c r="G31" i="11"/>
  <c r="H42" i="11"/>
  <c r="G31" i="174"/>
  <c r="H42" i="174"/>
  <c r="G31" i="344"/>
  <c r="H42" i="344"/>
  <c r="G31" i="13"/>
  <c r="H42" i="13"/>
  <c r="G31" i="16"/>
  <c r="H42" i="16"/>
  <c r="G31" i="357"/>
  <c r="H42" i="357"/>
  <c r="G31" i="17"/>
  <c r="H42" i="17"/>
  <c r="G31" i="33"/>
  <c r="H42" i="33"/>
  <c r="G31" i="28"/>
  <c r="H42" i="28"/>
  <c r="G31" i="246"/>
  <c r="H42" i="246"/>
  <c r="G31" i="230"/>
  <c r="H42" i="230"/>
  <c r="G31" i="116"/>
  <c r="H42" i="116"/>
  <c r="G31" i="176"/>
  <c r="H42" i="176"/>
  <c r="G31" i="48"/>
  <c r="H42" i="48"/>
  <c r="G31" i="74"/>
  <c r="H42" i="74"/>
  <c r="G31" i="296"/>
  <c r="H42" i="296"/>
  <c r="G31" i="169"/>
  <c r="H42" i="169"/>
  <c r="G31" i="243"/>
  <c r="H42" i="243"/>
  <c r="G31" i="47"/>
  <c r="H42" i="47"/>
  <c r="G31" i="276"/>
  <c r="H42" i="276"/>
  <c r="G31" i="285"/>
  <c r="H42" i="285"/>
  <c r="F31" i="343"/>
  <c r="G42" i="343"/>
  <c r="G31" i="25"/>
  <c r="H42" i="25"/>
  <c r="G31" i="52"/>
  <c r="H42" i="52"/>
  <c r="G31" i="160"/>
  <c r="H42" i="160"/>
  <c r="G31" i="140"/>
  <c r="H42" i="140"/>
  <c r="G31" i="268"/>
  <c r="H42" i="268"/>
  <c r="G31" i="27"/>
  <c r="H42" i="27"/>
  <c r="G31" i="183"/>
  <c r="H42" i="183"/>
  <c r="G31" i="345"/>
  <c r="H42" i="345"/>
  <c r="G31" i="196"/>
  <c r="H42" i="196"/>
  <c r="G31" i="32"/>
  <c r="H42" i="32"/>
  <c r="G31" i="109"/>
  <c r="H42" i="109"/>
  <c r="G31" i="262"/>
  <c r="H42" i="262"/>
  <c r="G31" i="103"/>
  <c r="H42" i="103"/>
  <c r="G31" i="54"/>
  <c r="H42" i="54"/>
  <c r="G31" i="279"/>
  <c r="H42" i="279"/>
  <c r="G31" i="283"/>
  <c r="H42" i="283"/>
  <c r="G31" i="135"/>
  <c r="H42" i="135"/>
  <c r="G31" i="340"/>
  <c r="H42" i="340"/>
  <c r="G31" i="61"/>
  <c r="H42" i="61"/>
  <c r="G31" i="105"/>
  <c r="H42" i="105"/>
  <c r="G31" i="314"/>
  <c r="H42" i="314"/>
  <c r="G31" i="261"/>
  <c r="H42" i="261"/>
  <c r="G31" i="114"/>
  <c r="H42" i="114"/>
  <c r="G31" i="18"/>
  <c r="H42" i="18"/>
  <c r="G31" i="194"/>
  <c r="H42" i="194"/>
  <c r="G31" i="43"/>
  <c r="H42" i="43"/>
  <c r="G31" i="290"/>
  <c r="H42" i="290"/>
  <c r="G31" i="337"/>
  <c r="H42" i="337"/>
  <c r="G31" i="3"/>
  <c r="H42" i="3"/>
  <c r="G31" i="354"/>
  <c r="H42" i="354"/>
  <c r="G31" i="352"/>
  <c r="H42" i="352"/>
  <c r="G31" i="21"/>
  <c r="G31" i="334"/>
  <c r="H42" i="334"/>
  <c r="G31" i="88"/>
  <c r="H42" i="88"/>
  <c r="G31" i="29"/>
  <c r="H42" i="29"/>
  <c r="G31" i="5"/>
  <c r="H42" i="5"/>
  <c r="G31" i="363"/>
  <c r="H42" i="363"/>
  <c r="L31" i="364"/>
  <c r="M40" i="364"/>
  <c r="K31" i="366"/>
  <c r="L40" i="366"/>
  <c r="K31" i="365"/>
  <c r="L40" i="365"/>
  <c r="H27" i="364"/>
  <c r="L10" i="364"/>
  <c r="K19" i="366"/>
  <c r="B31" i="364"/>
  <c r="N31" i="364"/>
  <c r="O34" i="364" s="1"/>
  <c r="M31" i="365"/>
  <c r="N34" i="365" s="1"/>
  <c r="M31" i="366"/>
  <c r="N34" i="366" s="1"/>
  <c r="B31" i="365"/>
  <c r="B31" i="366"/>
  <c r="M13" i="366"/>
  <c r="M22" i="366"/>
  <c r="G20" i="364"/>
  <c r="H31" i="364"/>
  <c r="C31" i="364"/>
  <c r="E43" i="364" s="1"/>
  <c r="C31" i="365"/>
  <c r="E43" i="365" s="1"/>
  <c r="C31" i="366"/>
  <c r="E43" i="366" s="1"/>
  <c r="C28" i="365"/>
  <c r="E40" i="365" s="1"/>
  <c r="M28" i="366"/>
  <c r="G11" i="366"/>
  <c r="M10" i="365"/>
  <c r="M13" i="365"/>
  <c r="M16" i="365"/>
  <c r="M28" i="365"/>
  <c r="G22" i="366"/>
  <c r="L19" i="365"/>
  <c r="C10" i="366"/>
  <c r="G29" i="366"/>
  <c r="H23" i="366"/>
  <c r="I23" i="366" s="1"/>
  <c r="H25" i="366"/>
  <c r="I25" i="366" s="1"/>
  <c r="C19" i="366"/>
  <c r="G19" i="366"/>
  <c r="B22" i="366"/>
  <c r="G24" i="366"/>
  <c r="C28" i="366"/>
  <c r="E40" i="366" s="1"/>
  <c r="H18" i="366"/>
  <c r="I18" i="366" s="1"/>
  <c r="L19" i="366"/>
  <c r="G30" i="366"/>
  <c r="G21" i="366"/>
  <c r="M19" i="366"/>
  <c r="G20" i="366"/>
  <c r="C25" i="366"/>
  <c r="E37" i="366" s="1"/>
  <c r="G25" i="366"/>
  <c r="B28" i="366"/>
  <c r="G27" i="366"/>
  <c r="G28" i="366"/>
  <c r="H24" i="366"/>
  <c r="I24" i="366" s="1"/>
  <c r="L25" i="366"/>
  <c r="G18" i="366"/>
  <c r="C22" i="366"/>
  <c r="E34" i="366" s="1"/>
  <c r="K25" i="366"/>
  <c r="M25" i="366"/>
  <c r="G26" i="366"/>
  <c r="H30" i="366"/>
  <c r="H17" i="366"/>
  <c r="I17" i="366" s="1"/>
  <c r="H19" i="366"/>
  <c r="I19" i="366" s="1"/>
  <c r="H29" i="366"/>
  <c r="H27" i="366"/>
  <c r="I27" i="366" s="1"/>
  <c r="G10" i="366"/>
  <c r="M7" i="366"/>
  <c r="M10" i="366"/>
  <c r="C16" i="366"/>
  <c r="G16" i="366"/>
  <c r="K10" i="366"/>
  <c r="M16" i="366"/>
  <c r="H21" i="366"/>
  <c r="I21" i="366" s="1"/>
  <c r="H22" i="366"/>
  <c r="I22" i="366" s="1"/>
  <c r="B10" i="366"/>
  <c r="G6" i="366"/>
  <c r="G9" i="366"/>
  <c r="K13" i="366"/>
  <c r="H28" i="366"/>
  <c r="I28" i="366" s="1"/>
  <c r="B7" i="366"/>
  <c r="L28" i="366"/>
  <c r="H30" i="365"/>
  <c r="G13" i="365"/>
  <c r="C16" i="365"/>
  <c r="G16" i="365"/>
  <c r="G22" i="365"/>
  <c r="M19" i="365"/>
  <c r="B22" i="365"/>
  <c r="L25" i="365"/>
  <c r="M22" i="365"/>
  <c r="G28" i="365"/>
  <c r="L28" i="365"/>
  <c r="H17" i="365"/>
  <c r="I17" i="365" s="1"/>
  <c r="G6" i="365"/>
  <c r="K10" i="365"/>
  <c r="G12" i="365"/>
  <c r="H23" i="365"/>
  <c r="I23" i="365" s="1"/>
  <c r="H25" i="365"/>
  <c r="I25" i="365" s="1"/>
  <c r="H21" i="365"/>
  <c r="I21" i="365" s="1"/>
  <c r="G9" i="365"/>
  <c r="G10" i="365"/>
  <c r="K13" i="365"/>
  <c r="H27" i="365"/>
  <c r="I27" i="365" s="1"/>
  <c r="K16" i="365"/>
  <c r="H18" i="365"/>
  <c r="I18" i="365" s="1"/>
  <c r="K19" i="365"/>
  <c r="G20" i="365"/>
  <c r="M25" i="365"/>
  <c r="B28" i="365"/>
  <c r="G27" i="365"/>
  <c r="H29" i="365"/>
  <c r="G7" i="366"/>
  <c r="B13" i="366"/>
  <c r="G13" i="366"/>
  <c r="G14" i="366"/>
  <c r="B19" i="366"/>
  <c r="H20" i="366"/>
  <c r="I20" i="366" s="1"/>
  <c r="K22" i="366"/>
  <c r="B25" i="366"/>
  <c r="H26" i="366"/>
  <c r="I26" i="366" s="1"/>
  <c r="K28" i="366"/>
  <c r="G21" i="365"/>
  <c r="G15" i="366"/>
  <c r="C7" i="365"/>
  <c r="C13" i="365"/>
  <c r="C22" i="365"/>
  <c r="E34" i="365" s="1"/>
  <c r="L22" i="365"/>
  <c r="H24" i="365"/>
  <c r="I24" i="365" s="1"/>
  <c r="K25" i="365"/>
  <c r="G26" i="365"/>
  <c r="C13" i="366"/>
  <c r="B16" i="366"/>
  <c r="K16" i="366"/>
  <c r="G17" i="366"/>
  <c r="L22" i="366"/>
  <c r="G23" i="366"/>
  <c r="M7" i="365"/>
  <c r="G7" i="365"/>
  <c r="G8" i="365"/>
  <c r="B10" i="365"/>
  <c r="G11" i="365"/>
  <c r="H19" i="365"/>
  <c r="I19" i="365" s="1"/>
  <c r="C7" i="366"/>
  <c r="G8" i="366"/>
  <c r="G12" i="366"/>
  <c r="C10" i="365"/>
  <c r="B13" i="365"/>
  <c r="G14" i="365"/>
  <c r="B19" i="365"/>
  <c r="H20" i="365"/>
  <c r="I20" i="365" s="1"/>
  <c r="K22" i="365"/>
  <c r="B25" i="365"/>
  <c r="H26" i="365"/>
  <c r="I26" i="365" s="1"/>
  <c r="H28" i="365"/>
  <c r="I28" i="365" s="1"/>
  <c r="K28" i="365"/>
  <c r="B7" i="365"/>
  <c r="B16" i="365"/>
  <c r="G17" i="365"/>
  <c r="G18" i="365"/>
  <c r="C19" i="365"/>
  <c r="G19" i="365"/>
  <c r="G23" i="365"/>
  <c r="G24" i="365"/>
  <c r="C25" i="365"/>
  <c r="E37" i="365" s="1"/>
  <c r="G25" i="365"/>
  <c r="G29" i="365"/>
  <c r="G30" i="365"/>
  <c r="G15" i="365"/>
  <c r="B28" i="364"/>
  <c r="G28" i="364"/>
  <c r="N19" i="364"/>
  <c r="N25" i="364"/>
  <c r="N28" i="364"/>
  <c r="G11" i="364"/>
  <c r="C22" i="364"/>
  <c r="E34" i="364" s="1"/>
  <c r="C16" i="364"/>
  <c r="N7" i="364"/>
  <c r="N10" i="364"/>
  <c r="N13" i="364"/>
  <c r="N16" i="364"/>
  <c r="G6" i="364"/>
  <c r="G9" i="364"/>
  <c r="G12" i="364"/>
  <c r="G10" i="364"/>
  <c r="L13" i="364"/>
  <c r="L16" i="364"/>
  <c r="H18" i="364"/>
  <c r="L19" i="364"/>
  <c r="G27" i="364"/>
  <c r="H29" i="364"/>
  <c r="C7" i="364"/>
  <c r="C13" i="364"/>
  <c r="N22" i="364"/>
  <c r="M22" i="364"/>
  <c r="H24" i="364"/>
  <c r="L25" i="364"/>
  <c r="G26" i="364"/>
  <c r="G7" i="364"/>
  <c r="G8" i="364"/>
  <c r="B10" i="364"/>
  <c r="G13" i="364"/>
  <c r="G16" i="364"/>
  <c r="H17" i="364"/>
  <c r="H19" i="364"/>
  <c r="M19" i="364"/>
  <c r="H21" i="364"/>
  <c r="H22" i="364"/>
  <c r="C28" i="364"/>
  <c r="E40" i="364" s="1"/>
  <c r="M28" i="364"/>
  <c r="H30" i="364"/>
  <c r="B22" i="364"/>
  <c r="G21" i="364"/>
  <c r="G22" i="364"/>
  <c r="H23" i="364"/>
  <c r="H25" i="364"/>
  <c r="M25" i="364"/>
  <c r="G15" i="364"/>
  <c r="C10" i="364"/>
  <c r="B13" i="364"/>
  <c r="G14" i="364"/>
  <c r="B19" i="364"/>
  <c r="H20" i="364"/>
  <c r="L22" i="364"/>
  <c r="B25" i="364"/>
  <c r="H26" i="364"/>
  <c r="H28" i="364"/>
  <c r="L28" i="364"/>
  <c r="B7" i="364"/>
  <c r="B16" i="364"/>
  <c r="G17" i="364"/>
  <c r="G18" i="364"/>
  <c r="C19" i="364"/>
  <c r="G19" i="364"/>
  <c r="G23" i="364"/>
  <c r="G24" i="364"/>
  <c r="C25" i="364"/>
  <c r="E37" i="364" s="1"/>
  <c r="G25" i="364"/>
  <c r="G29" i="364"/>
  <c r="G30" i="364"/>
  <c r="T30" i="363"/>
  <c r="I30" i="363" s="1"/>
  <c r="T29" i="363"/>
  <c r="I29" i="363" s="1"/>
  <c r="F29" i="363"/>
  <c r="H41" i="363" s="1"/>
  <c r="K28" i="363"/>
  <c r="U28" i="363"/>
  <c r="T28" i="363"/>
  <c r="I28" i="363" s="1"/>
  <c r="J40" i="363" s="1"/>
  <c r="F28" i="363"/>
  <c r="T27" i="363"/>
  <c r="I27" i="363" s="1"/>
  <c r="F27" i="363"/>
  <c r="T26" i="363"/>
  <c r="I26" i="363" s="1"/>
  <c r="K25" i="363"/>
  <c r="U25" i="363"/>
  <c r="M37" i="363" s="1"/>
  <c r="T25" i="363"/>
  <c r="I25" i="363" s="1"/>
  <c r="F25" i="363"/>
  <c r="T24" i="363"/>
  <c r="I24" i="363" s="1"/>
  <c r="F24" i="363"/>
  <c r="T23" i="363"/>
  <c r="I23" i="363" s="1"/>
  <c r="F23" i="363"/>
  <c r="K22" i="363"/>
  <c r="U22" i="363"/>
  <c r="M34" i="363" s="1"/>
  <c r="T22" i="363"/>
  <c r="I22" i="363" s="1"/>
  <c r="F22" i="363"/>
  <c r="T21" i="363"/>
  <c r="I21" i="363" s="1"/>
  <c r="F21" i="363"/>
  <c r="T20" i="363"/>
  <c r="I20" i="363" s="1"/>
  <c r="J32" i="363" s="1"/>
  <c r="F20" i="363"/>
  <c r="K19" i="363"/>
  <c r="U19" i="363"/>
  <c r="M31" i="363" s="1"/>
  <c r="T19" i="363"/>
  <c r="I19" i="363" s="1"/>
  <c r="F19" i="363"/>
  <c r="T18" i="363"/>
  <c r="I18" i="363" s="1"/>
  <c r="F18" i="363"/>
  <c r="T17" i="363"/>
  <c r="I17" i="363" s="1"/>
  <c r="F17" i="363"/>
  <c r="K16" i="363"/>
  <c r="U16" i="363"/>
  <c r="T16" i="363"/>
  <c r="I16" i="363" s="1"/>
  <c r="F16" i="363"/>
  <c r="T15" i="363"/>
  <c r="I15" i="363" s="1"/>
  <c r="F15" i="363"/>
  <c r="T14" i="363"/>
  <c r="I14" i="363" s="1"/>
  <c r="F14" i="363"/>
  <c r="K13" i="363"/>
  <c r="U13" i="363"/>
  <c r="T13" i="363"/>
  <c r="I13" i="363" s="1"/>
  <c r="F13" i="363"/>
  <c r="T12" i="363"/>
  <c r="I12" i="363" s="1"/>
  <c r="F12" i="363"/>
  <c r="T11" i="363"/>
  <c r="I11" i="363" s="1"/>
  <c r="F11" i="363"/>
  <c r="K10" i="363"/>
  <c r="U10" i="363"/>
  <c r="T10" i="363"/>
  <c r="I10" i="363" s="1"/>
  <c r="F10" i="363"/>
  <c r="T9" i="363"/>
  <c r="I9" i="363" s="1"/>
  <c r="F9" i="363"/>
  <c r="T8" i="363"/>
  <c r="I8" i="363" s="1"/>
  <c r="F8" i="363"/>
  <c r="K7" i="363"/>
  <c r="U7" i="363"/>
  <c r="T7" i="363"/>
  <c r="I7" i="363" s="1"/>
  <c r="F7" i="363"/>
  <c r="T6" i="363"/>
  <c r="I6" i="363" s="1"/>
  <c r="F6" i="363"/>
  <c r="T5" i="363"/>
  <c r="I5" i="363" s="1"/>
  <c r="F5" i="363"/>
  <c r="D46" i="353" l="1"/>
  <c r="J20" i="363"/>
  <c r="J19" i="363"/>
  <c r="J31" i="363"/>
  <c r="J26" i="363"/>
  <c r="J38" i="363"/>
  <c r="J17" i="363"/>
  <c r="J24" i="363"/>
  <c r="J36" i="363"/>
  <c r="J28" i="363"/>
  <c r="J18" i="363"/>
  <c r="J25" i="363"/>
  <c r="J37" i="363"/>
  <c r="J30" i="363"/>
  <c r="J42" i="363"/>
  <c r="J23" i="363"/>
  <c r="J35" i="363"/>
  <c r="J21" i="363"/>
  <c r="J33" i="363"/>
  <c r="J22" i="363"/>
  <c r="J34" i="363"/>
  <c r="J27" i="363"/>
  <c r="J39" i="363"/>
  <c r="J29" i="363"/>
  <c r="J41" i="363"/>
  <c r="D43" i="353"/>
  <c r="H31" i="363"/>
  <c r="H32" i="363"/>
  <c r="H34" i="363"/>
  <c r="H35" i="363"/>
  <c r="H37" i="363"/>
  <c r="H39" i="363"/>
  <c r="H30" i="363"/>
  <c r="H33" i="363"/>
  <c r="H36" i="363"/>
  <c r="H40" i="363"/>
  <c r="I232" i="417"/>
  <c r="D34" i="364"/>
  <c r="D34" i="366"/>
  <c r="D34" i="365"/>
  <c r="L31" i="363"/>
  <c r="M40" i="363"/>
  <c r="H19" i="363"/>
  <c r="H23" i="363"/>
  <c r="H24" i="363"/>
  <c r="H18" i="363"/>
  <c r="H25" i="363"/>
  <c r="O31" i="364"/>
  <c r="G17" i="363"/>
  <c r="E28" i="364"/>
  <c r="D16" i="364"/>
  <c r="N31" i="366"/>
  <c r="N31" i="365"/>
  <c r="N25" i="366"/>
  <c r="N22" i="366"/>
  <c r="N31" i="363"/>
  <c r="O34" i="363" s="1"/>
  <c r="C31" i="363"/>
  <c r="E43" i="363" s="1"/>
  <c r="B31" i="363"/>
  <c r="N19" i="365"/>
  <c r="D13" i="366"/>
  <c r="N16" i="366"/>
  <c r="N28" i="366"/>
  <c r="N16" i="365"/>
  <c r="N10" i="366"/>
  <c r="E28" i="365"/>
  <c r="E31" i="366"/>
  <c r="D31" i="366"/>
  <c r="D31" i="365"/>
  <c r="E31" i="365"/>
  <c r="D31" i="364"/>
  <c r="E31" i="364"/>
  <c r="N13" i="365"/>
  <c r="N10" i="365"/>
  <c r="D16" i="365"/>
  <c r="N28" i="365"/>
  <c r="D10" i="365"/>
  <c r="E22" i="366"/>
  <c r="N22" i="365"/>
  <c r="D28" i="366"/>
  <c r="D22" i="366"/>
  <c r="E28" i="366"/>
  <c r="E19" i="366"/>
  <c r="D19" i="366"/>
  <c r="D25" i="366"/>
  <c r="N13" i="366"/>
  <c r="N19" i="366"/>
  <c r="D16" i="366"/>
  <c r="N25" i="365"/>
  <c r="D10" i="366"/>
  <c r="E25" i="366"/>
  <c r="D25" i="365"/>
  <c r="E25" i="365"/>
  <c r="D19" i="365"/>
  <c r="E19" i="365"/>
  <c r="D28" i="365"/>
  <c r="D22" i="365"/>
  <c r="E22" i="365"/>
  <c r="D13" i="365"/>
  <c r="O28" i="364"/>
  <c r="G22" i="363"/>
  <c r="G28" i="363"/>
  <c r="O19" i="364"/>
  <c r="O16" i="364"/>
  <c r="O25" i="364"/>
  <c r="O10" i="364"/>
  <c r="O22" i="364"/>
  <c r="O13" i="364"/>
  <c r="D10" i="364"/>
  <c r="E22" i="364"/>
  <c r="D25" i="364"/>
  <c r="E25" i="364"/>
  <c r="D19" i="364"/>
  <c r="E19" i="364"/>
  <c r="D28" i="364"/>
  <c r="D22" i="364"/>
  <c r="B7" i="363"/>
  <c r="G10" i="363"/>
  <c r="C16" i="363"/>
  <c r="B19" i="363"/>
  <c r="G19" i="363"/>
  <c r="B25" i="363"/>
  <c r="G25" i="363"/>
  <c r="D13" i="364"/>
  <c r="C10" i="363"/>
  <c r="N22" i="363"/>
  <c r="N28" i="363"/>
  <c r="B22" i="363"/>
  <c r="B28" i="363"/>
  <c r="G29" i="363"/>
  <c r="G30" i="363"/>
  <c r="L25" i="363"/>
  <c r="G18" i="363"/>
  <c r="G24" i="363"/>
  <c r="G27" i="363"/>
  <c r="N19" i="363"/>
  <c r="C19" i="363"/>
  <c r="N25" i="363"/>
  <c r="C25" i="363"/>
  <c r="E37" i="363" s="1"/>
  <c r="C28" i="363"/>
  <c r="E40" i="363" s="1"/>
  <c r="H29" i="363"/>
  <c r="G21" i="363"/>
  <c r="G20" i="363"/>
  <c r="G26" i="363"/>
  <c r="C22" i="363"/>
  <c r="E34" i="363" s="1"/>
  <c r="M19" i="363"/>
  <c r="L19" i="363"/>
  <c r="G23" i="363"/>
  <c r="L10" i="363"/>
  <c r="M28" i="363"/>
  <c r="H21" i="363"/>
  <c r="N7" i="363"/>
  <c r="B10" i="363"/>
  <c r="G11" i="363"/>
  <c r="N10" i="363"/>
  <c r="N13" i="363"/>
  <c r="N16" i="363"/>
  <c r="H17" i="363"/>
  <c r="G6" i="363"/>
  <c r="G9" i="363"/>
  <c r="L13" i="363"/>
  <c r="G16" i="363"/>
  <c r="M25" i="363"/>
  <c r="H27" i="363"/>
  <c r="G15" i="363"/>
  <c r="G7" i="363"/>
  <c r="B13" i="363"/>
  <c r="G13" i="363"/>
  <c r="G14" i="363"/>
  <c r="H20" i="363"/>
  <c r="H22" i="363"/>
  <c r="L22" i="363"/>
  <c r="H26" i="363"/>
  <c r="H28" i="363"/>
  <c r="L28" i="363"/>
  <c r="C13" i="363"/>
  <c r="B16" i="363"/>
  <c r="L16" i="363"/>
  <c r="M22" i="363"/>
  <c r="C7" i="363"/>
  <c r="G8" i="363"/>
  <c r="G12" i="363"/>
  <c r="D34" i="363" l="1"/>
  <c r="O31" i="363"/>
  <c r="E31" i="363"/>
  <c r="D31" i="363"/>
  <c r="O22" i="363"/>
  <c r="E22" i="363"/>
  <c r="D19" i="363"/>
  <c r="O25" i="363"/>
  <c r="O19" i="363"/>
  <c r="E28" i="363"/>
  <c r="D28" i="363"/>
  <c r="D25" i="363"/>
  <c r="O16" i="363"/>
  <c r="O28" i="363"/>
  <c r="E19" i="363"/>
  <c r="D22" i="363"/>
  <c r="O10" i="363"/>
  <c r="O13" i="363"/>
  <c r="D13" i="363"/>
  <c r="E25" i="363"/>
  <c r="D16" i="363"/>
  <c r="D10" i="363"/>
  <c r="Q30" i="253"/>
  <c r="F30" i="149" l="1"/>
  <c r="F30" i="253"/>
  <c r="F30" i="152"/>
  <c r="K28" i="190"/>
  <c r="K25" i="190"/>
  <c r="K22" i="190"/>
  <c r="K19" i="190"/>
  <c r="K28" i="299"/>
  <c r="K25" i="299"/>
  <c r="K22" i="299"/>
  <c r="K19" i="299"/>
  <c r="K28" i="227"/>
  <c r="K25" i="227"/>
  <c r="K22" i="227"/>
  <c r="K19" i="227"/>
  <c r="T30" i="5"/>
  <c r="I30" i="5" s="1"/>
  <c r="T30" i="207"/>
  <c r="I30" i="207" s="1"/>
  <c r="J42" i="207" s="1"/>
  <c r="T30" i="31"/>
  <c r="I30" i="31" s="1"/>
  <c r="T30" i="334"/>
  <c r="I30" i="334" s="1"/>
  <c r="T30" i="4"/>
  <c r="I30" i="4" s="1"/>
  <c r="S30" i="253"/>
  <c r="R30" i="253"/>
  <c r="T30" i="28"/>
  <c r="I30" i="28" s="1"/>
  <c r="T30" i="29"/>
  <c r="I30" i="29" s="1"/>
  <c r="T30" i="359"/>
  <c r="I30" i="359" s="1"/>
  <c r="T30" i="360"/>
  <c r="I30" i="360" s="1"/>
  <c r="J42" i="360" s="1"/>
  <c r="T30" i="342"/>
  <c r="I30" i="342" s="1"/>
  <c r="T30" i="89"/>
  <c r="I30" i="89" s="1"/>
  <c r="T30" i="19"/>
  <c r="I30" i="19" s="1"/>
  <c r="T30" i="347"/>
  <c r="I30" i="347" s="1"/>
  <c r="T30" i="33"/>
  <c r="I30" i="33" s="1"/>
  <c r="T30" i="21"/>
  <c r="I30" i="21" s="1"/>
  <c r="J42" i="21" s="1"/>
  <c r="T30" i="88"/>
  <c r="I30" i="88" s="1"/>
  <c r="T30" i="148"/>
  <c r="I30" i="148" s="1"/>
  <c r="T30" i="113"/>
  <c r="I30" i="113" s="1"/>
  <c r="T30" i="351"/>
  <c r="I30" i="351" s="1"/>
  <c r="T30" i="352"/>
  <c r="I30" i="352" s="1"/>
  <c r="T30" i="322"/>
  <c r="I30" i="322" s="1"/>
  <c r="J42" i="322" s="1"/>
  <c r="T30" i="362"/>
  <c r="I30" i="362" s="1"/>
  <c r="T30" i="353"/>
  <c r="I30" i="353" s="1"/>
  <c r="T30" i="354"/>
  <c r="I30" i="354" s="1"/>
  <c r="T30" i="7"/>
  <c r="I30" i="7" s="1"/>
  <c r="T30" i="288"/>
  <c r="I30" i="288" s="1"/>
  <c r="T30" i="17"/>
  <c r="I30" i="17" s="1"/>
  <c r="T30" i="3"/>
  <c r="I30" i="3" s="1"/>
  <c r="T30" i="12"/>
  <c r="I30" i="12" s="1"/>
  <c r="T30" i="356"/>
  <c r="I30" i="356" s="1"/>
  <c r="J42" i="356" s="1"/>
  <c r="T30" i="8"/>
  <c r="I30" i="8" s="1"/>
  <c r="T30" i="337"/>
  <c r="I30" i="337" s="1"/>
  <c r="T30" i="227"/>
  <c r="I30" i="227" s="1"/>
  <c r="T30" i="349"/>
  <c r="I30" i="349" s="1"/>
  <c r="T30" i="355"/>
  <c r="I30" i="355" s="1"/>
  <c r="T30" i="290"/>
  <c r="I30" i="290" s="1"/>
  <c r="T30" i="289"/>
  <c r="I30" i="289" s="1"/>
  <c r="T30" i="298"/>
  <c r="I30" i="298" s="1"/>
  <c r="S30" i="357"/>
  <c r="I30" i="357" s="1"/>
  <c r="T30" i="43"/>
  <c r="I30" i="43" s="1"/>
  <c r="T30" i="293"/>
  <c r="I30" i="293" s="1"/>
  <c r="T30" i="348"/>
  <c r="I30" i="348" s="1"/>
  <c r="T30" i="16"/>
  <c r="I30" i="16" s="1"/>
  <c r="T30" i="194"/>
  <c r="I30" i="194" s="1"/>
  <c r="J42" i="194" s="1"/>
  <c r="T30" i="193"/>
  <c r="I30" i="193" s="1"/>
  <c r="T30" i="297"/>
  <c r="I30" i="297" s="1"/>
  <c r="T30" i="350"/>
  <c r="I30" i="350" s="1"/>
  <c r="S30" i="142"/>
  <c r="R30" i="142"/>
  <c r="Q30" i="142"/>
  <c r="T30" i="18"/>
  <c r="I30" i="18" s="1"/>
  <c r="J42" i="18" s="1"/>
  <c r="T30" i="20"/>
  <c r="I30" i="20" s="1"/>
  <c r="T30" i="191"/>
  <c r="I30" i="191" s="1"/>
  <c r="T30" i="1"/>
  <c r="I30" i="1" s="1"/>
  <c r="T30" i="114"/>
  <c r="I30" i="114" s="1"/>
  <c r="T30" i="323"/>
  <c r="I30" i="323" s="1"/>
  <c r="T30" i="233"/>
  <c r="I30" i="233" s="1"/>
  <c r="J42" i="233" s="1"/>
  <c r="T30" i="13"/>
  <c r="I30" i="13" s="1"/>
  <c r="J42" i="13" s="1"/>
  <c r="T30" i="261"/>
  <c r="I30" i="261" s="1"/>
  <c r="T30" i="153"/>
  <c r="I30" i="153" s="1"/>
  <c r="J42" i="153" s="1"/>
  <c r="T30" i="257"/>
  <c r="I30" i="257" s="1"/>
  <c r="T30" i="23"/>
  <c r="I30" i="23" s="1"/>
  <c r="T30" i="314"/>
  <c r="I30" i="314" s="1"/>
  <c r="L30" i="317"/>
  <c r="Q32" i="317" s="1"/>
  <c r="R32" i="317" s="1"/>
  <c r="L30" i="316"/>
  <c r="Q32" i="316" s="1"/>
  <c r="R32" i="316" s="1"/>
  <c r="L30" i="315"/>
  <c r="Q32" i="315" s="1"/>
  <c r="R32" i="315" s="1"/>
  <c r="T30" i="105"/>
  <c r="I30" i="105" s="1"/>
  <c r="T30" i="206"/>
  <c r="I30" i="206" s="1"/>
  <c r="J42" i="206" s="1"/>
  <c r="T30" i="344"/>
  <c r="I30" i="344" s="1"/>
  <c r="T30" i="61"/>
  <c r="I30" i="61" s="1"/>
  <c r="T30" i="338"/>
  <c r="I30" i="338" s="1"/>
  <c r="S30" i="300"/>
  <c r="R30" i="300"/>
  <c r="Q30" i="300"/>
  <c r="T30" i="299"/>
  <c r="I30" i="299" s="1"/>
  <c r="T30" i="190"/>
  <c r="I30" i="190" s="1"/>
  <c r="J42" i="190" s="1"/>
  <c r="T30" i="340"/>
  <c r="I30" i="340" s="1"/>
  <c r="J42" i="340" s="1"/>
  <c r="T30" i="301"/>
  <c r="I30" i="301" s="1"/>
  <c r="J42" i="301" s="1"/>
  <c r="T30" i="34"/>
  <c r="I30" i="34" s="1"/>
  <c r="T30" i="174"/>
  <c r="I30" i="174" s="1"/>
  <c r="T30" i="135"/>
  <c r="I30" i="135" s="1"/>
  <c r="J42" i="135" s="1"/>
  <c r="T30" i="333"/>
  <c r="I30" i="333" s="1"/>
  <c r="T30" i="295"/>
  <c r="I30" i="295" s="1"/>
  <c r="T30" i="294"/>
  <c r="I30" i="294" s="1"/>
  <c r="T30" i="283"/>
  <c r="I30" i="283" s="1"/>
  <c r="I30" i="187"/>
  <c r="T30" i="284"/>
  <c r="I30" i="284" s="1"/>
  <c r="T30" i="292"/>
  <c r="I30" i="292" s="1"/>
  <c r="T30" i="269"/>
  <c r="I30" i="269" s="1"/>
  <c r="T30" i="325"/>
  <c r="I30" i="325" s="1"/>
  <c r="T30" i="11"/>
  <c r="I30" i="11" s="1"/>
  <c r="J42" i="11" s="1"/>
  <c r="S30" i="279"/>
  <c r="I30" i="279" s="1"/>
  <c r="T30" i="204"/>
  <c r="I30" i="204" s="1"/>
  <c r="S30" i="335"/>
  <c r="I30" i="335" s="1"/>
  <c r="T30" i="9"/>
  <c r="I30" i="9" s="1"/>
  <c r="T30" i="37"/>
  <c r="I30" i="37" s="1"/>
  <c r="T30" i="54"/>
  <c r="I30" i="54" s="1"/>
  <c r="T30" i="303"/>
  <c r="I30" i="303" s="1"/>
  <c r="T30" i="101"/>
  <c r="I30" i="101" s="1"/>
  <c r="T30" i="102"/>
  <c r="I30" i="102" s="1"/>
  <c r="T30" i="103"/>
  <c r="I30" i="103" s="1"/>
  <c r="J42" i="103" s="1"/>
  <c r="T30" i="265"/>
  <c r="I30" i="265" s="1"/>
  <c r="J42" i="265" s="1"/>
  <c r="I30" i="296"/>
  <c r="T30" i="75"/>
  <c r="I30" i="75" s="1"/>
  <c r="J42" i="75" s="1"/>
  <c r="T30" i="262"/>
  <c r="I30" i="262" s="1"/>
  <c r="T30" i="249"/>
  <c r="I30" i="249" s="1"/>
  <c r="T30" i="201"/>
  <c r="I30" i="201" s="1"/>
  <c r="T30" i="112"/>
  <c r="I30" i="112" s="1"/>
  <c r="J42" i="112" s="1"/>
  <c r="T30" i="109"/>
  <c r="I30" i="109" s="1"/>
  <c r="T30" i="2"/>
  <c r="I30" i="2" s="1"/>
  <c r="T30" i="85"/>
  <c r="I30" i="85" s="1"/>
  <c r="J42" i="85" s="1"/>
  <c r="T30" i="324"/>
  <c r="I30" i="324" s="1"/>
  <c r="T30" i="32"/>
  <c r="I30" i="32" s="1"/>
  <c r="T30" i="203"/>
  <c r="I30" i="203" s="1"/>
  <c r="T30" i="164"/>
  <c r="I30" i="164" s="1"/>
  <c r="T30" i="162"/>
  <c r="I30" i="162" s="1"/>
  <c r="T30" i="196"/>
  <c r="I30" i="196" s="1"/>
  <c r="T30" i="197"/>
  <c r="I30" i="197" s="1"/>
  <c r="J42" i="197" s="1"/>
  <c r="T30" i="198"/>
  <c r="I30" i="198" s="1"/>
  <c r="T30" i="345"/>
  <c r="I30" i="345" s="1"/>
  <c r="T30" i="346"/>
  <c r="I30" i="346" s="1"/>
  <c r="T30" i="74"/>
  <c r="I30" i="74" s="1"/>
  <c r="J42" i="74" s="1"/>
  <c r="S30" i="185"/>
  <c r="R30" i="185"/>
  <c r="Q30" i="185"/>
  <c r="T30" i="181"/>
  <c r="I30" i="181" s="1"/>
  <c r="J42" i="181" s="1"/>
  <c r="T30" i="183"/>
  <c r="I30" i="183" s="1"/>
  <c r="T30" i="184"/>
  <c r="I30" i="184" s="1"/>
  <c r="T30" i="200"/>
  <c r="I30" i="200" s="1"/>
  <c r="T30" i="280"/>
  <c r="I30" i="280" s="1"/>
  <c r="F30" i="144"/>
  <c r="T30" i="27"/>
  <c r="I30" i="27" s="1"/>
  <c r="T30" i="143"/>
  <c r="I30" i="143" s="1"/>
  <c r="J42" i="143" s="1"/>
  <c r="T30" i="97"/>
  <c r="I30" i="97" s="1"/>
  <c r="J42" i="97" s="1"/>
  <c r="T30" i="45"/>
  <c r="I30" i="45" s="1"/>
  <c r="T30" i="104"/>
  <c r="I30" i="104" s="1"/>
  <c r="T30" i="48"/>
  <c r="I30" i="48" s="1"/>
  <c r="J42" i="48" s="1"/>
  <c r="T30" i="254"/>
  <c r="I30" i="254" s="1"/>
  <c r="T30" i="268"/>
  <c r="I30" i="268" s="1"/>
  <c r="T30" i="263"/>
  <c r="I30" i="263" s="1"/>
  <c r="T30" i="209"/>
  <c r="I30" i="209" s="1"/>
  <c r="T30" i="192"/>
  <c r="I30" i="192" s="1"/>
  <c r="T30" i="140"/>
  <c r="I30" i="140" s="1"/>
  <c r="T30" i="270"/>
  <c r="I30" i="270" s="1"/>
  <c r="T30" i="271"/>
  <c r="I30" i="271" s="1"/>
  <c r="F30" i="186"/>
  <c r="T30" i="159"/>
  <c r="I30" i="159" s="1"/>
  <c r="T30" i="160"/>
  <c r="I30" i="160" s="1"/>
  <c r="T30" i="107"/>
  <c r="I30" i="107" s="1"/>
  <c r="T30" i="176"/>
  <c r="I30" i="176" s="1"/>
  <c r="J42" i="176" s="1"/>
  <c r="T30" i="53"/>
  <c r="I30" i="53" s="1"/>
  <c r="T30" i="52"/>
  <c r="I30" i="52" s="1"/>
  <c r="T30" i="281"/>
  <c r="I30" i="281" s="1"/>
  <c r="T30" i="332"/>
  <c r="I30" i="332" s="1"/>
  <c r="T30" i="25"/>
  <c r="I30" i="25" s="1"/>
  <c r="J42" i="25" s="1"/>
  <c r="T30" i="24"/>
  <c r="I30" i="24" s="1"/>
  <c r="T30" i="319"/>
  <c r="I30" i="319" s="1"/>
  <c r="J42" i="319" s="1"/>
  <c r="T30" i="320"/>
  <c r="I30" i="320" s="1"/>
  <c r="L30" i="343"/>
  <c r="T30" i="318"/>
  <c r="I30" i="318" s="1"/>
  <c r="T30" i="116"/>
  <c r="I30" i="116" s="1"/>
  <c r="J42" i="116" s="1"/>
  <c r="T30" i="272"/>
  <c r="I30" i="272" s="1"/>
  <c r="J42" i="272" s="1"/>
  <c r="T30" i="285"/>
  <c r="I30" i="285" s="1"/>
  <c r="S30" i="44"/>
  <c r="I30" i="44" s="1"/>
  <c r="T30" i="287"/>
  <c r="I30" i="287" s="1"/>
  <c r="J42" i="287" s="1"/>
  <c r="T30" i="276"/>
  <c r="I30" i="276" s="1"/>
  <c r="S30" i="231"/>
  <c r="R30" i="231"/>
  <c r="Q30" i="231"/>
  <c r="T30" i="229"/>
  <c r="I30" i="229" s="1"/>
  <c r="T30" i="230"/>
  <c r="I30" i="230" s="1"/>
  <c r="T30" i="328"/>
  <c r="I30" i="328" s="1"/>
  <c r="T30" i="329"/>
  <c r="I30" i="329" s="1"/>
  <c r="T30" i="326"/>
  <c r="I30" i="326" s="1"/>
  <c r="T30" i="47"/>
  <c r="I30" i="47" s="1"/>
  <c r="T30" i="248"/>
  <c r="I30" i="248" s="1"/>
  <c r="T30" i="46"/>
  <c r="I30" i="46" s="1"/>
  <c r="T30" i="239"/>
  <c r="I30" i="239" s="1"/>
  <c r="T30" i="243"/>
  <c r="I30" i="243" s="1"/>
  <c r="S30" i="247"/>
  <c r="R30" i="247"/>
  <c r="Q30" i="247"/>
  <c r="T30" i="244"/>
  <c r="I30" i="244" s="1"/>
  <c r="J42" i="244" s="1"/>
  <c r="T30" i="246"/>
  <c r="I30" i="246" s="1"/>
  <c r="F30" i="170"/>
  <c r="T30" i="168"/>
  <c r="I30" i="168" s="1"/>
  <c r="T30" i="169"/>
  <c r="I30" i="169" s="1"/>
  <c r="T30" i="336"/>
  <c r="I30" i="336" s="1"/>
  <c r="T30" i="202"/>
  <c r="I30" i="202" s="1"/>
  <c r="J42" i="24" l="1"/>
  <c r="J42" i="270"/>
  <c r="J42" i="203"/>
  <c r="J42" i="37"/>
  <c r="J42" i="294"/>
  <c r="J42" i="113"/>
  <c r="J42" i="28"/>
  <c r="J42" i="329"/>
  <c r="J42" i="140"/>
  <c r="J42" i="169"/>
  <c r="J42" i="47"/>
  <c r="J42" i="285"/>
  <c r="J42" i="53"/>
  <c r="J42" i="271"/>
  <c r="J42" i="268"/>
  <c r="J42" i="183"/>
  <c r="J42" i="346"/>
  <c r="J42" i="164"/>
  <c r="J42" i="109"/>
  <c r="J42" i="296"/>
  <c r="J42" i="54"/>
  <c r="J42" i="283"/>
  <c r="J42" i="34"/>
  <c r="J42" i="105"/>
  <c r="J42" i="257"/>
  <c r="J42" i="114"/>
  <c r="J42" i="16"/>
  <c r="J42" i="289"/>
  <c r="J30" i="8"/>
  <c r="J42" i="8"/>
  <c r="J42" i="7"/>
  <c r="J42" i="351"/>
  <c r="J42" i="347"/>
  <c r="J42" i="29"/>
  <c r="J42" i="31"/>
  <c r="J42" i="61"/>
  <c r="J42" i="20"/>
  <c r="J42" i="297"/>
  <c r="J42" i="43"/>
  <c r="J42" i="349"/>
  <c r="J42" i="3"/>
  <c r="J42" i="362"/>
  <c r="J42" i="88"/>
  <c r="J42" i="342"/>
  <c r="J42" i="191"/>
  <c r="J42" i="293"/>
  <c r="J42" i="12"/>
  <c r="J42" i="353"/>
  <c r="J42" i="148"/>
  <c r="J42" i="89"/>
  <c r="J42" i="5"/>
  <c r="J42" i="246"/>
  <c r="J42" i="239"/>
  <c r="J42" i="328"/>
  <c r="J42" i="276"/>
  <c r="J42" i="318"/>
  <c r="J42" i="332"/>
  <c r="J42" i="160"/>
  <c r="J42" i="192"/>
  <c r="J42" i="104"/>
  <c r="J42" i="280"/>
  <c r="J42" i="324"/>
  <c r="J42" i="249"/>
  <c r="J42" i="102"/>
  <c r="J42" i="292"/>
  <c r="J42" i="333"/>
  <c r="J42" i="202"/>
  <c r="J42" i="46"/>
  <c r="J42" i="230"/>
  <c r="J42" i="281"/>
  <c r="J42" i="159"/>
  <c r="J42" i="209"/>
  <c r="J42" i="45"/>
  <c r="J42" i="200"/>
  <c r="J42" i="196"/>
  <c r="J42" i="262"/>
  <c r="J42" i="101"/>
  <c r="J42" i="204"/>
  <c r="J42" i="284"/>
  <c r="J42" i="299"/>
  <c r="J42" i="344"/>
  <c r="J42" i="314"/>
  <c r="J42" i="193"/>
  <c r="J42" i="227"/>
  <c r="J42" i="17"/>
  <c r="J42" i="4"/>
  <c r="J42" i="168"/>
  <c r="J42" i="326"/>
  <c r="J42" i="254"/>
  <c r="J42" i="27"/>
  <c r="J42" i="345"/>
  <c r="J42" i="325"/>
  <c r="J42" i="1"/>
  <c r="J42" i="348"/>
  <c r="J42" i="290"/>
  <c r="J42" i="354"/>
  <c r="J42" i="19"/>
  <c r="J42" i="243"/>
  <c r="J42" i="107"/>
  <c r="J42" i="198"/>
  <c r="J42" i="32"/>
  <c r="J42" i="201"/>
  <c r="J42" i="9"/>
  <c r="J42" i="269"/>
  <c r="J42" i="295"/>
  <c r="J42" i="338"/>
  <c r="J42" i="261"/>
  <c r="J42" i="350"/>
  <c r="J42" i="355"/>
  <c r="J42" i="336"/>
  <c r="J42" i="248"/>
  <c r="J42" i="229"/>
  <c r="J42" i="320"/>
  <c r="J42" i="52"/>
  <c r="J42" i="263"/>
  <c r="J42" i="184"/>
  <c r="J42" i="162"/>
  <c r="J42" i="2"/>
  <c r="J42" i="303"/>
  <c r="J42" i="187"/>
  <c r="J42" i="174"/>
  <c r="J42" i="23"/>
  <c r="J42" i="323"/>
  <c r="J42" i="298"/>
  <c r="J42" i="337"/>
  <c r="J42" i="288"/>
  <c r="J42" i="352"/>
  <c r="J42" i="33"/>
  <c r="J42" i="359"/>
  <c r="J42" i="334"/>
  <c r="N43" i="353"/>
  <c r="O46" i="353" s="1"/>
  <c r="G31" i="170"/>
  <c r="H42" i="170"/>
  <c r="G31" i="186"/>
  <c r="H42" i="186"/>
  <c r="G31" i="144"/>
  <c r="H42" i="144"/>
  <c r="G31" i="152"/>
  <c r="H42" i="152"/>
  <c r="G31" i="253"/>
  <c r="H42" i="253"/>
  <c r="G31" i="149"/>
  <c r="H42" i="149"/>
  <c r="F30" i="231"/>
  <c r="F30" i="195"/>
  <c r="F30" i="247"/>
  <c r="F30" i="321"/>
  <c r="F30" i="185"/>
  <c r="F30" i="142"/>
  <c r="F30" i="327"/>
  <c r="F30" i="300"/>
  <c r="T30" i="185"/>
  <c r="I30" i="185" s="1"/>
  <c r="T30" i="300"/>
  <c r="I30" i="300" s="1"/>
  <c r="T30" i="142"/>
  <c r="I30" i="142" s="1"/>
  <c r="T30" i="253"/>
  <c r="I30" i="253" s="1"/>
  <c r="J42" i="253" s="1"/>
  <c r="T30" i="231"/>
  <c r="I30" i="231" s="1"/>
  <c r="T30" i="149"/>
  <c r="I30" i="149" s="1"/>
  <c r="T30" i="327"/>
  <c r="I30" i="327" s="1"/>
  <c r="J42" i="327" s="1"/>
  <c r="T30" i="247"/>
  <c r="I30" i="247" s="1"/>
  <c r="T30" i="321"/>
  <c r="I30" i="321" s="1"/>
  <c r="T30" i="195"/>
  <c r="I30" i="195" s="1"/>
  <c r="T30" i="152"/>
  <c r="I30" i="152" s="1"/>
  <c r="K7" i="206"/>
  <c r="K10" i="206"/>
  <c r="K13" i="206"/>
  <c r="K16" i="206"/>
  <c r="K19" i="206"/>
  <c r="K7" i="105"/>
  <c r="K10" i="105"/>
  <c r="K13" i="105"/>
  <c r="K16" i="105"/>
  <c r="K19" i="105"/>
  <c r="J42" i="142" l="1"/>
  <c r="J42" i="321"/>
  <c r="J42" i="247"/>
  <c r="J42" i="185"/>
  <c r="J42" i="149"/>
  <c r="J42" i="152"/>
  <c r="J42" i="231"/>
  <c r="J42" i="300"/>
  <c r="J42" i="195"/>
  <c r="O43" i="353"/>
  <c r="G31" i="300"/>
  <c r="H42" i="300"/>
  <c r="G31" i="321"/>
  <c r="H42" i="321"/>
  <c r="G31" i="327"/>
  <c r="H42" i="327"/>
  <c r="G31" i="247"/>
  <c r="H42" i="247"/>
  <c r="G31" i="142"/>
  <c r="H42" i="142"/>
  <c r="G31" i="195"/>
  <c r="H42" i="195"/>
  <c r="G31" i="185"/>
  <c r="H42" i="185"/>
  <c r="G31" i="231"/>
  <c r="H42" i="231"/>
  <c r="U29" i="202"/>
  <c r="F29" i="202" l="1"/>
  <c r="H41" i="202" s="1"/>
  <c r="F29" i="5"/>
  <c r="H41" i="5" s="1"/>
  <c r="F29" i="207"/>
  <c r="F29" i="31"/>
  <c r="H41" i="31" s="1"/>
  <c r="F29" i="334"/>
  <c r="H41" i="334" s="1"/>
  <c r="F29" i="4"/>
  <c r="H41" i="4" s="1"/>
  <c r="F29" i="28"/>
  <c r="H41" i="28" s="1"/>
  <c r="F29" i="29"/>
  <c r="H41" i="29" s="1"/>
  <c r="F29" i="359"/>
  <c r="H41" i="359" s="1"/>
  <c r="F29" i="360"/>
  <c r="H41" i="360" s="1"/>
  <c r="F29" i="347"/>
  <c r="H41" i="347" s="1"/>
  <c r="F29" i="19"/>
  <c r="H41" i="19" s="1"/>
  <c r="F29" i="33"/>
  <c r="H41" i="33" s="1"/>
  <c r="F29" i="342"/>
  <c r="H41" i="342" s="1"/>
  <c r="F29" i="21"/>
  <c r="H41" i="21" s="1"/>
  <c r="F29" i="89"/>
  <c r="H41" i="89" s="1"/>
  <c r="F29" i="88"/>
  <c r="H41" i="88" s="1"/>
  <c r="F29" i="148"/>
  <c r="H41" i="148" s="1"/>
  <c r="F29" i="113"/>
  <c r="H41" i="113" s="1"/>
  <c r="F29" i="361"/>
  <c r="H41" i="361" s="1"/>
  <c r="F29" i="351"/>
  <c r="H41" i="351" s="1"/>
  <c r="F29" i="352"/>
  <c r="H41" i="352" s="1"/>
  <c r="F29" i="322"/>
  <c r="H41" i="322" s="1"/>
  <c r="F29" i="362"/>
  <c r="H41" i="362" s="1"/>
  <c r="F29" i="353"/>
  <c r="F29" i="354"/>
  <c r="H41" i="354" s="1"/>
  <c r="F29" i="7"/>
  <c r="H41" i="7" s="1"/>
  <c r="F29" i="288"/>
  <c r="H41" i="288" s="1"/>
  <c r="F29" i="17"/>
  <c r="H41" i="17" s="1"/>
  <c r="F29" i="3"/>
  <c r="H41" i="3" s="1"/>
  <c r="F29" i="12"/>
  <c r="H41" i="12" s="1"/>
  <c r="F29" i="356"/>
  <c r="H41" i="356" s="1"/>
  <c r="F29" i="8"/>
  <c r="H41" i="8" s="1"/>
  <c r="F29" i="337"/>
  <c r="H41" i="337" s="1"/>
  <c r="F29" i="227"/>
  <c r="H41" i="227" s="1"/>
  <c r="F29" i="349"/>
  <c r="H41" i="349" s="1"/>
  <c r="F29" i="355"/>
  <c r="H41" i="355" s="1"/>
  <c r="F29" i="290"/>
  <c r="H41" i="290" s="1"/>
  <c r="F29" i="289"/>
  <c r="H41" i="289" s="1"/>
  <c r="F29" i="298"/>
  <c r="H41" i="298" s="1"/>
  <c r="F29" i="357"/>
  <c r="H41" i="357" s="1"/>
  <c r="F29" i="43"/>
  <c r="H41" i="43" s="1"/>
  <c r="F29" i="293"/>
  <c r="H41" i="293" s="1"/>
  <c r="F29" i="348"/>
  <c r="H41" i="348" s="1"/>
  <c r="F29" i="16"/>
  <c r="H41" i="16" s="1"/>
  <c r="F29" i="194"/>
  <c r="H41" i="194" s="1"/>
  <c r="F29" i="193"/>
  <c r="H41" i="193" s="1"/>
  <c r="F29" i="297"/>
  <c r="H41" i="297" s="1"/>
  <c r="F29" i="350"/>
  <c r="H41" i="350" s="1"/>
  <c r="F29" i="18"/>
  <c r="H41" i="18" s="1"/>
  <c r="F29" i="20"/>
  <c r="H41" i="20" s="1"/>
  <c r="F29" i="191"/>
  <c r="H41" i="191" s="1"/>
  <c r="F29" i="1"/>
  <c r="H41" i="1" s="1"/>
  <c r="F29" i="114"/>
  <c r="H41" i="114" s="1"/>
  <c r="F29" i="323"/>
  <c r="H41" i="323" s="1"/>
  <c r="F29" i="233"/>
  <c r="H41" i="233" s="1"/>
  <c r="F29" i="13"/>
  <c r="H41" i="13" s="1"/>
  <c r="F29" i="261"/>
  <c r="H41" i="261" s="1"/>
  <c r="F29" i="153"/>
  <c r="H41" i="153" s="1"/>
  <c r="F29" i="257"/>
  <c r="H41" i="257" s="1"/>
  <c r="F29" i="23"/>
  <c r="H41" i="23" s="1"/>
  <c r="F29" i="314"/>
  <c r="H41" i="314" s="1"/>
  <c r="E29" i="317"/>
  <c r="E29" i="316"/>
  <c r="E29" i="315"/>
  <c r="F29" i="105"/>
  <c r="H41" i="105" s="1"/>
  <c r="F29" i="206"/>
  <c r="H41" i="206" s="1"/>
  <c r="F29" i="22"/>
  <c r="H41" i="22" s="1"/>
  <c r="F29" i="344"/>
  <c r="H41" i="344" s="1"/>
  <c r="F29" i="61"/>
  <c r="H41" i="61" s="1"/>
  <c r="F29" i="338"/>
  <c r="H41" i="338" s="1"/>
  <c r="F29" i="299"/>
  <c r="H41" i="299" s="1"/>
  <c r="F29" i="190"/>
  <c r="H41" i="190" s="1"/>
  <c r="F29" i="340"/>
  <c r="H41" i="340" s="1"/>
  <c r="F29" i="301"/>
  <c r="H41" i="301" s="1"/>
  <c r="F29" i="34"/>
  <c r="H41" i="34" s="1"/>
  <c r="F29" i="174"/>
  <c r="H41" i="174" s="1"/>
  <c r="F29" i="135"/>
  <c r="H41" i="135" s="1"/>
  <c r="F29" i="333"/>
  <c r="H41" i="333" s="1"/>
  <c r="F29" i="295"/>
  <c r="H41" i="295" s="1"/>
  <c r="F29" i="294"/>
  <c r="H41" i="294" s="1"/>
  <c r="F29" i="283"/>
  <c r="H41" i="283" s="1"/>
  <c r="F29" i="187"/>
  <c r="H41" i="187" s="1"/>
  <c r="F29" i="284"/>
  <c r="H41" i="284" s="1"/>
  <c r="F29" i="269"/>
  <c r="H41" i="269" s="1"/>
  <c r="F29" i="325"/>
  <c r="H41" i="325" s="1"/>
  <c r="F29" i="11"/>
  <c r="H41" i="11" s="1"/>
  <c r="F29" i="279"/>
  <c r="H41" i="279" s="1"/>
  <c r="F29" i="204"/>
  <c r="H41" i="204" s="1"/>
  <c r="F29" i="9"/>
  <c r="H41" i="9" s="1"/>
  <c r="F29" i="37"/>
  <c r="H41" i="37" s="1"/>
  <c r="F29" i="54"/>
  <c r="H41" i="54" s="1"/>
  <c r="F29" i="303"/>
  <c r="H41" i="303" s="1"/>
  <c r="F29" i="101"/>
  <c r="H41" i="101" s="1"/>
  <c r="F29" i="102"/>
  <c r="H41" i="102" s="1"/>
  <c r="F29" i="103"/>
  <c r="H41" i="103" s="1"/>
  <c r="F29" i="265"/>
  <c r="H41" i="265" s="1"/>
  <c r="F29" i="296"/>
  <c r="H41" i="296" s="1"/>
  <c r="F29" i="75"/>
  <c r="H41" i="75" s="1"/>
  <c r="F29" i="262"/>
  <c r="H41" i="262" s="1"/>
  <c r="F29" i="249"/>
  <c r="H41" i="249" s="1"/>
  <c r="F29" i="201"/>
  <c r="H41" i="201" s="1"/>
  <c r="F29" i="112"/>
  <c r="H41" i="112" s="1"/>
  <c r="F29" i="109"/>
  <c r="H41" i="109" s="1"/>
  <c r="F29" i="2"/>
  <c r="H41" i="2" s="1"/>
  <c r="F29" i="85"/>
  <c r="H41" i="85" s="1"/>
  <c r="F29" i="324"/>
  <c r="H41" i="324" s="1"/>
  <c r="F29" i="32"/>
  <c r="H41" i="32" s="1"/>
  <c r="F29" i="203"/>
  <c r="H41" i="203" s="1"/>
  <c r="F29" i="164"/>
  <c r="H41" i="164" s="1"/>
  <c r="F29" i="162"/>
  <c r="H41" i="162" s="1"/>
  <c r="F29" i="196"/>
  <c r="H41" i="196" s="1"/>
  <c r="F29" i="197"/>
  <c r="H41" i="197" s="1"/>
  <c r="F29" i="198"/>
  <c r="H41" i="198" s="1"/>
  <c r="F29" i="345"/>
  <c r="H41" i="345" s="1"/>
  <c r="F29" i="346"/>
  <c r="H41" i="346" s="1"/>
  <c r="F29" i="74"/>
  <c r="H41" i="74" s="1"/>
  <c r="F29" i="181"/>
  <c r="H41" i="181" s="1"/>
  <c r="F29" i="183"/>
  <c r="H41" i="183" s="1"/>
  <c r="F29" i="184"/>
  <c r="H41" i="184" s="1"/>
  <c r="F29" i="200"/>
  <c r="H41" i="200" s="1"/>
  <c r="F29" i="280"/>
  <c r="H41" i="280" s="1"/>
  <c r="F29" i="27"/>
  <c r="H41" i="27" s="1"/>
  <c r="F29" i="143"/>
  <c r="H41" i="143" s="1"/>
  <c r="F29" i="97"/>
  <c r="H41" i="97" s="1"/>
  <c r="F29" i="45"/>
  <c r="H41" i="45" s="1"/>
  <c r="F29" i="104"/>
  <c r="H41" i="104" s="1"/>
  <c r="F29" i="48"/>
  <c r="H41" i="48" s="1"/>
  <c r="F29" i="254"/>
  <c r="H41" i="254" s="1"/>
  <c r="F29" i="268"/>
  <c r="H41" i="268" s="1"/>
  <c r="F29" i="263"/>
  <c r="H41" i="263" s="1"/>
  <c r="F29" i="209"/>
  <c r="H41" i="209" s="1"/>
  <c r="F29" i="192"/>
  <c r="H41" i="192" s="1"/>
  <c r="F29" i="140"/>
  <c r="H41" i="140" s="1"/>
  <c r="F29" i="270"/>
  <c r="H41" i="270" s="1"/>
  <c r="F29" i="271"/>
  <c r="H41" i="271" s="1"/>
  <c r="F29" i="159"/>
  <c r="H41" i="159" s="1"/>
  <c r="F29" i="160"/>
  <c r="H41" i="160" s="1"/>
  <c r="F29" i="107"/>
  <c r="H41" i="107" s="1"/>
  <c r="F29" i="176"/>
  <c r="H41" i="176" s="1"/>
  <c r="F29" i="53"/>
  <c r="H41" i="53" s="1"/>
  <c r="F29" i="52"/>
  <c r="H41" i="52" s="1"/>
  <c r="F29" i="281"/>
  <c r="H41" i="281" s="1"/>
  <c r="F29" i="332"/>
  <c r="H41" i="332" s="1"/>
  <c r="F29" i="25"/>
  <c r="H41" i="25" s="1"/>
  <c r="F29" i="24"/>
  <c r="H41" i="24" s="1"/>
  <c r="F29" i="319"/>
  <c r="H41" i="319" s="1"/>
  <c r="F29" i="320"/>
  <c r="H41" i="320" s="1"/>
  <c r="E29" i="343"/>
  <c r="G41" i="343" s="1"/>
  <c r="F29" i="318"/>
  <c r="H41" i="318" s="1"/>
  <c r="F29" i="116"/>
  <c r="H41" i="116" s="1"/>
  <c r="F29" i="272"/>
  <c r="H41" i="272" s="1"/>
  <c r="F29" i="285"/>
  <c r="H41" i="285" s="1"/>
  <c r="F29" i="44"/>
  <c r="H41" i="44" s="1"/>
  <c r="F29" i="87"/>
  <c r="H41" i="87" s="1"/>
  <c r="F29" i="287"/>
  <c r="H41" i="287" s="1"/>
  <c r="F29" i="276"/>
  <c r="H41" i="276" s="1"/>
  <c r="F29" i="229"/>
  <c r="H41" i="229" s="1"/>
  <c r="F29" i="230"/>
  <c r="H41" i="230" s="1"/>
  <c r="F29" i="328"/>
  <c r="H41" i="328" s="1"/>
  <c r="F29" i="329"/>
  <c r="H41" i="329" s="1"/>
  <c r="F29" i="326"/>
  <c r="H41" i="326" s="1"/>
  <c r="F29" i="47"/>
  <c r="H41" i="47" s="1"/>
  <c r="F29" i="248"/>
  <c r="H41" i="248" s="1"/>
  <c r="F29" i="46"/>
  <c r="H41" i="46" s="1"/>
  <c r="F29" i="239"/>
  <c r="H41" i="239" s="1"/>
  <c r="F29" i="243"/>
  <c r="H41" i="243" s="1"/>
  <c r="F29" i="244"/>
  <c r="H41" i="244" s="1"/>
  <c r="F29" i="246"/>
  <c r="H41" i="246" s="1"/>
  <c r="F29" i="168"/>
  <c r="H41" i="168" s="1"/>
  <c r="F29" i="169"/>
  <c r="H41" i="169" s="1"/>
  <c r="F29" i="336"/>
  <c r="H41" i="336" s="1"/>
  <c r="F29" i="35"/>
  <c r="G36" i="353" l="1"/>
  <c r="H38" i="353"/>
  <c r="H41" i="35"/>
  <c r="H219" i="417"/>
  <c r="B31" i="207"/>
  <c r="H41" i="207"/>
  <c r="C31" i="246"/>
  <c r="E43" i="246" s="1"/>
  <c r="B31" i="246"/>
  <c r="C31" i="230"/>
  <c r="E43" i="230" s="1"/>
  <c r="B31" i="230"/>
  <c r="C31" i="319"/>
  <c r="E43" i="319" s="1"/>
  <c r="B31" i="319"/>
  <c r="C31" i="332"/>
  <c r="E43" i="332" s="1"/>
  <c r="B31" i="332"/>
  <c r="C31" i="209"/>
  <c r="E43" i="209" s="1"/>
  <c r="B31" i="209"/>
  <c r="C31" i="200"/>
  <c r="E43" i="200" s="1"/>
  <c r="B31" i="200"/>
  <c r="C31" i="85"/>
  <c r="E43" i="85" s="1"/>
  <c r="B31" i="85"/>
  <c r="C31" i="101"/>
  <c r="E43" i="101" s="1"/>
  <c r="B31" i="101"/>
  <c r="C31" i="339"/>
  <c r="E43" i="339" s="1"/>
  <c r="B31" i="339"/>
  <c r="C31" i="61"/>
  <c r="E43" i="61" s="1"/>
  <c r="B31" i="61"/>
  <c r="C31" i="314"/>
  <c r="E43" i="314" s="1"/>
  <c r="B31" i="314"/>
  <c r="C31" i="18"/>
  <c r="E43" i="18" s="1"/>
  <c r="B31" i="18"/>
  <c r="C31" i="43"/>
  <c r="E43" i="43" s="1"/>
  <c r="B31" i="43"/>
  <c r="C31" i="356"/>
  <c r="E43" i="356" s="1"/>
  <c r="B31" i="356"/>
  <c r="C31" i="362"/>
  <c r="E43" i="362" s="1"/>
  <c r="B31" i="362"/>
  <c r="C31" i="361"/>
  <c r="E43" i="361" s="1"/>
  <c r="B31" i="361"/>
  <c r="C31" i="89"/>
  <c r="E43" i="89" s="1"/>
  <c r="B31" i="89"/>
  <c r="C31" i="29"/>
  <c r="E43" i="29" s="1"/>
  <c r="B31" i="29"/>
  <c r="C31" i="336"/>
  <c r="E43" i="336" s="1"/>
  <c r="B31" i="336"/>
  <c r="C31" i="244"/>
  <c r="E43" i="244" s="1"/>
  <c r="B31" i="244"/>
  <c r="C31" i="248"/>
  <c r="E43" i="248" s="1"/>
  <c r="B31" i="248"/>
  <c r="C31" i="329"/>
  <c r="E43" i="329" s="1"/>
  <c r="B31" i="329"/>
  <c r="C31" i="229"/>
  <c r="E43" i="229" s="1"/>
  <c r="B31" i="229"/>
  <c r="C31" i="44"/>
  <c r="E43" i="44" s="1"/>
  <c r="B31" i="44"/>
  <c r="C31" i="318"/>
  <c r="E43" i="318" s="1"/>
  <c r="B31" i="318"/>
  <c r="C31" i="24"/>
  <c r="E43" i="24" s="1"/>
  <c r="B31" i="24"/>
  <c r="C31" i="281"/>
  <c r="E43" i="281" s="1"/>
  <c r="B31" i="281"/>
  <c r="C31" i="107"/>
  <c r="E43" i="107" s="1"/>
  <c r="B31" i="107"/>
  <c r="C31" i="270"/>
  <c r="E43" i="270" s="1"/>
  <c r="B31" i="270"/>
  <c r="C31" i="263"/>
  <c r="E43" i="263" s="1"/>
  <c r="B31" i="263"/>
  <c r="C31" i="104"/>
  <c r="E43" i="104" s="1"/>
  <c r="B31" i="104"/>
  <c r="C31" i="143"/>
  <c r="E43" i="143" s="1"/>
  <c r="B31" i="143"/>
  <c r="C31" i="184"/>
  <c r="E43" i="184" s="1"/>
  <c r="B31" i="184"/>
  <c r="C31" i="346"/>
  <c r="E43" i="346" s="1"/>
  <c r="B31" i="346"/>
  <c r="C31" i="197"/>
  <c r="E43" i="197" s="1"/>
  <c r="B31" i="197"/>
  <c r="C31" i="203"/>
  <c r="E43" i="203" s="1"/>
  <c r="B31" i="203"/>
  <c r="C31" i="2"/>
  <c r="E43" i="2" s="1"/>
  <c r="B31" i="2"/>
  <c r="C31" i="249"/>
  <c r="E43" i="249" s="1"/>
  <c r="B31" i="249"/>
  <c r="C31" i="265"/>
  <c r="E43" i="265" s="1"/>
  <c r="B31" i="265"/>
  <c r="C31" i="303"/>
  <c r="E43" i="303" s="1"/>
  <c r="B31" i="303"/>
  <c r="C31" i="9"/>
  <c r="E43" i="9" s="1"/>
  <c r="B31" i="9"/>
  <c r="C31" i="11"/>
  <c r="E43" i="11" s="1"/>
  <c r="B31" i="11"/>
  <c r="C31" i="292"/>
  <c r="E43" i="292" s="1"/>
  <c r="B31" i="292"/>
  <c r="C31" i="294"/>
  <c r="E43" i="294" s="1"/>
  <c r="B31" i="294"/>
  <c r="C31" i="174"/>
  <c r="E43" i="174" s="1"/>
  <c r="B31" i="174"/>
  <c r="C31" i="190"/>
  <c r="E43" i="190" s="1"/>
  <c r="B31" i="190"/>
  <c r="C31" i="344"/>
  <c r="E43" i="344" s="1"/>
  <c r="B31" i="344"/>
  <c r="B31" i="315"/>
  <c r="A31" i="315"/>
  <c r="C31" i="23"/>
  <c r="E43" i="23" s="1"/>
  <c r="B31" i="23"/>
  <c r="C31" i="13"/>
  <c r="E43" i="13" s="1"/>
  <c r="B31" i="13"/>
  <c r="C31" i="1"/>
  <c r="E43" i="1" s="1"/>
  <c r="B31" i="1"/>
  <c r="C31" i="350"/>
  <c r="E43" i="350" s="1"/>
  <c r="B31" i="350"/>
  <c r="C31" i="16"/>
  <c r="E43" i="16" s="1"/>
  <c r="B31" i="16"/>
  <c r="C31" i="357"/>
  <c r="E43" i="357" s="1"/>
  <c r="B31" i="357"/>
  <c r="C31" i="355"/>
  <c r="E43" i="355" s="1"/>
  <c r="B31" i="355"/>
  <c r="C31" i="337"/>
  <c r="E43" i="337" s="1"/>
  <c r="B31" i="337"/>
  <c r="C31" i="12"/>
  <c r="E43" i="12" s="1"/>
  <c r="B31" i="12"/>
  <c r="C31" i="7"/>
  <c r="E43" i="7" s="1"/>
  <c r="B31" i="7"/>
  <c r="C31" i="322"/>
  <c r="E43" i="322" s="1"/>
  <c r="B31" i="322"/>
  <c r="C31" i="113"/>
  <c r="E43" i="113" s="1"/>
  <c r="B31" i="113"/>
  <c r="C31" i="21"/>
  <c r="E43" i="21" s="1"/>
  <c r="B31" i="21"/>
  <c r="C31" i="347"/>
  <c r="E43" i="347" s="1"/>
  <c r="B31" i="347"/>
  <c r="C31" i="28"/>
  <c r="E43" i="28" s="1"/>
  <c r="B31" i="28"/>
  <c r="C31" i="207"/>
  <c r="E43" i="207" s="1"/>
  <c r="C31" i="46"/>
  <c r="E43" i="46" s="1"/>
  <c r="B31" i="46"/>
  <c r="C31" i="87"/>
  <c r="E43" i="87" s="1"/>
  <c r="B31" i="87"/>
  <c r="C31" i="271"/>
  <c r="E43" i="271" s="1"/>
  <c r="B31" i="271"/>
  <c r="C31" i="48"/>
  <c r="E43" i="48" s="1"/>
  <c r="B31" i="48"/>
  <c r="C31" i="74"/>
  <c r="E43" i="74" s="1"/>
  <c r="B31" i="74"/>
  <c r="C31" i="164"/>
  <c r="E43" i="164" s="1"/>
  <c r="B31" i="164"/>
  <c r="C31" i="296"/>
  <c r="E43" i="296" s="1"/>
  <c r="B31" i="296"/>
  <c r="C31" i="279"/>
  <c r="E43" i="279" s="1"/>
  <c r="B31" i="279"/>
  <c r="C31" i="340"/>
  <c r="E43" i="340" s="1"/>
  <c r="B31" i="340"/>
  <c r="C31" i="261"/>
  <c r="E43" i="261" s="1"/>
  <c r="B31" i="261"/>
  <c r="C31" i="194"/>
  <c r="E43" i="194" s="1"/>
  <c r="B31" i="194"/>
  <c r="C31" i="290"/>
  <c r="E43" i="290" s="1"/>
  <c r="B31" i="290"/>
  <c r="C31" i="288"/>
  <c r="E43" i="288" s="1"/>
  <c r="B31" i="288"/>
  <c r="C31" i="19"/>
  <c r="E43" i="19" s="1"/>
  <c r="B31" i="19"/>
  <c r="C31" i="169"/>
  <c r="E43" i="169" s="1"/>
  <c r="B31" i="169"/>
  <c r="C31" i="243"/>
  <c r="E43" i="243" s="1"/>
  <c r="B31" i="243"/>
  <c r="C31" i="47"/>
  <c r="E43" i="47" s="1"/>
  <c r="B31" i="47"/>
  <c r="C31" i="276"/>
  <c r="E43" i="276" s="1"/>
  <c r="B31" i="276"/>
  <c r="C31" i="285"/>
  <c r="E43" i="285" s="1"/>
  <c r="B31" i="285"/>
  <c r="B31" i="343"/>
  <c r="A31" i="343"/>
  <c r="C31" i="25"/>
  <c r="E43" i="25" s="1"/>
  <c r="B31" i="25"/>
  <c r="C31" i="52"/>
  <c r="E43" i="52" s="1"/>
  <c r="B31" i="52"/>
  <c r="C31" i="160"/>
  <c r="E43" i="160" s="1"/>
  <c r="B31" i="160"/>
  <c r="C31" i="140"/>
  <c r="E43" i="140" s="1"/>
  <c r="B31" i="140"/>
  <c r="C31" i="268"/>
  <c r="E43" i="268" s="1"/>
  <c r="B31" i="268"/>
  <c r="C31" i="27"/>
  <c r="E43" i="27" s="1"/>
  <c r="B31" i="27"/>
  <c r="C31" i="183"/>
  <c r="E43" i="183" s="1"/>
  <c r="B31" i="183"/>
  <c r="C31" i="345"/>
  <c r="E43" i="345" s="1"/>
  <c r="B31" i="345"/>
  <c r="C31" i="196"/>
  <c r="E43" i="196" s="1"/>
  <c r="B31" i="196"/>
  <c r="C31" i="32"/>
  <c r="E43" i="32" s="1"/>
  <c r="B31" i="32"/>
  <c r="C31" i="109"/>
  <c r="E43" i="109" s="1"/>
  <c r="B31" i="109"/>
  <c r="C31" i="262"/>
  <c r="E43" i="262" s="1"/>
  <c r="B31" i="262"/>
  <c r="C31" i="103"/>
  <c r="E43" i="103" s="1"/>
  <c r="B31" i="103"/>
  <c r="C31" i="335"/>
  <c r="E43" i="335" s="1"/>
  <c r="B31" i="335"/>
  <c r="C31" i="325"/>
  <c r="E43" i="325" s="1"/>
  <c r="B31" i="325"/>
  <c r="C31" i="284"/>
  <c r="E43" i="284" s="1"/>
  <c r="B31" i="284"/>
  <c r="C31" i="295"/>
  <c r="E43" i="295" s="1"/>
  <c r="B31" i="295"/>
  <c r="C31" i="34"/>
  <c r="E43" i="34" s="1"/>
  <c r="B31" i="34"/>
  <c r="C31" i="299"/>
  <c r="E43" i="299" s="1"/>
  <c r="B31" i="299"/>
  <c r="C31" i="22"/>
  <c r="E43" i="22" s="1"/>
  <c r="B31" i="22"/>
  <c r="B31" i="316"/>
  <c r="A31" i="316"/>
  <c r="C31" i="257"/>
  <c r="E43" i="257" s="1"/>
  <c r="B31" i="257"/>
  <c r="C31" i="233"/>
  <c r="E43" i="233" s="1"/>
  <c r="B31" i="233"/>
  <c r="C31" i="191"/>
  <c r="E43" i="191" s="1"/>
  <c r="B31" i="191"/>
  <c r="C31" i="297"/>
  <c r="E43" i="297" s="1"/>
  <c r="B31" i="297"/>
  <c r="C31" i="348"/>
  <c r="E43" i="348" s="1"/>
  <c r="B31" i="348"/>
  <c r="C31" i="298"/>
  <c r="E43" i="298" s="1"/>
  <c r="B31" i="298"/>
  <c r="C31" i="8"/>
  <c r="E43" i="8" s="1"/>
  <c r="B31" i="8"/>
  <c r="C31" i="3"/>
  <c r="E43" i="3" s="1"/>
  <c r="B31" i="3"/>
  <c r="C31" i="354"/>
  <c r="E43" i="354" s="1"/>
  <c r="B31" i="354"/>
  <c r="C31" i="352"/>
  <c r="E43" i="352" s="1"/>
  <c r="B31" i="352"/>
  <c r="C31" i="148"/>
  <c r="E43" i="148" s="1"/>
  <c r="B31" i="148"/>
  <c r="C31" i="342"/>
  <c r="E43" i="342" s="1"/>
  <c r="B31" i="342"/>
  <c r="C31" i="360"/>
  <c r="E43" i="360" s="1"/>
  <c r="B31" i="360"/>
  <c r="C31" i="4"/>
  <c r="E43" i="4" s="1"/>
  <c r="B31" i="4"/>
  <c r="C31" i="5"/>
  <c r="E43" i="5" s="1"/>
  <c r="B31" i="5"/>
  <c r="C31" i="35"/>
  <c r="E43" i="35" s="1"/>
  <c r="B31" i="35"/>
  <c r="C31" i="116"/>
  <c r="E43" i="116" s="1"/>
  <c r="B31" i="116"/>
  <c r="C31" i="176"/>
  <c r="E43" i="176" s="1"/>
  <c r="B31" i="176"/>
  <c r="C31" i="97"/>
  <c r="E43" i="97" s="1"/>
  <c r="B31" i="97"/>
  <c r="C31" i="198"/>
  <c r="E43" i="198" s="1"/>
  <c r="B31" i="198"/>
  <c r="C31" i="201"/>
  <c r="E43" i="201" s="1"/>
  <c r="B31" i="201"/>
  <c r="C31" i="37"/>
  <c r="E43" i="37" s="1"/>
  <c r="B31" i="37"/>
  <c r="C31" i="283"/>
  <c r="E43" i="283" s="1"/>
  <c r="B31" i="283"/>
  <c r="C31" i="135"/>
  <c r="E43" i="135" s="1"/>
  <c r="B31" i="135"/>
  <c r="C31" i="105"/>
  <c r="E43" i="105" s="1"/>
  <c r="B31" i="105"/>
  <c r="C31" i="114"/>
  <c r="E43" i="114" s="1"/>
  <c r="B31" i="114"/>
  <c r="C31" i="227"/>
  <c r="E43" i="227" s="1"/>
  <c r="B31" i="227"/>
  <c r="C31" i="31"/>
  <c r="E43" i="31" s="1"/>
  <c r="B31" i="31"/>
  <c r="C31" i="168"/>
  <c r="E43" i="168" s="1"/>
  <c r="B31" i="168"/>
  <c r="C31" i="239"/>
  <c r="E43" i="239" s="1"/>
  <c r="B31" i="239"/>
  <c r="C31" i="326"/>
  <c r="E43" i="326" s="1"/>
  <c r="B31" i="326"/>
  <c r="C31" i="328"/>
  <c r="E43" i="328" s="1"/>
  <c r="B31" i="328"/>
  <c r="C31" i="287"/>
  <c r="E43" i="287" s="1"/>
  <c r="B31" i="287"/>
  <c r="C31" i="272"/>
  <c r="E43" i="272" s="1"/>
  <c r="B31" i="272"/>
  <c r="C31" i="320"/>
  <c r="E43" i="320" s="1"/>
  <c r="B31" i="320"/>
  <c r="C31" i="53"/>
  <c r="E43" i="53" s="1"/>
  <c r="B31" i="53"/>
  <c r="C31" i="159"/>
  <c r="E43" i="159" s="1"/>
  <c r="B31" i="159"/>
  <c r="C31" i="192"/>
  <c r="E43" i="192" s="1"/>
  <c r="B31" i="192"/>
  <c r="C31" i="254"/>
  <c r="E43" i="254" s="1"/>
  <c r="B31" i="254"/>
  <c r="C31" i="45"/>
  <c r="E43" i="45" s="1"/>
  <c r="B31" i="45"/>
  <c r="C31" i="280"/>
  <c r="E43" i="280" s="1"/>
  <c r="B31" i="280"/>
  <c r="C31" i="181"/>
  <c r="E43" i="181" s="1"/>
  <c r="B31" i="181"/>
  <c r="C31" i="162"/>
  <c r="E43" i="162" s="1"/>
  <c r="B31" i="162"/>
  <c r="C31" i="324"/>
  <c r="E43" i="324" s="1"/>
  <c r="B31" i="324"/>
  <c r="C31" i="112"/>
  <c r="E43" i="112" s="1"/>
  <c r="B31" i="112"/>
  <c r="C31" i="75"/>
  <c r="E43" i="75" s="1"/>
  <c r="B31" i="75"/>
  <c r="C31" i="102"/>
  <c r="E43" i="102" s="1"/>
  <c r="B31" i="102"/>
  <c r="C31" i="54"/>
  <c r="E43" i="54" s="1"/>
  <c r="B31" i="54"/>
  <c r="C31" i="204"/>
  <c r="E43" i="204" s="1"/>
  <c r="B31" i="204"/>
  <c r="C31" i="269"/>
  <c r="E43" i="269" s="1"/>
  <c r="B31" i="269"/>
  <c r="C31" i="187"/>
  <c r="E43" i="187" s="1"/>
  <c r="B31" i="187"/>
  <c r="C31" i="333"/>
  <c r="E43" i="333" s="1"/>
  <c r="B31" i="333"/>
  <c r="C31" i="301"/>
  <c r="E43" i="301" s="1"/>
  <c r="B31" i="301"/>
  <c r="C31" i="338"/>
  <c r="E43" i="338" s="1"/>
  <c r="B31" i="338"/>
  <c r="C31" i="206"/>
  <c r="E43" i="206" s="1"/>
  <c r="B31" i="206"/>
  <c r="B31" i="317"/>
  <c r="A31" i="317"/>
  <c r="C31" i="153"/>
  <c r="E43" i="153" s="1"/>
  <c r="B31" i="153"/>
  <c r="C31" i="323"/>
  <c r="E43" i="323" s="1"/>
  <c r="B31" i="323"/>
  <c r="C31" i="20"/>
  <c r="E43" i="20" s="1"/>
  <c r="B31" i="20"/>
  <c r="C31" i="193"/>
  <c r="E43" i="193" s="1"/>
  <c r="B31" i="193"/>
  <c r="C31" i="293"/>
  <c r="E43" i="293" s="1"/>
  <c r="B31" i="293"/>
  <c r="C31" i="289"/>
  <c r="E43" i="289" s="1"/>
  <c r="B31" i="289"/>
  <c r="C31" i="349"/>
  <c r="E43" i="349" s="1"/>
  <c r="B31" i="349"/>
  <c r="C31" i="17"/>
  <c r="E43" i="17" s="1"/>
  <c r="B31" i="17"/>
  <c r="C31" i="353"/>
  <c r="B31" i="353"/>
  <c r="C31" i="351"/>
  <c r="E43" i="351" s="1"/>
  <c r="B31" i="351"/>
  <c r="C31" i="88"/>
  <c r="E43" i="88" s="1"/>
  <c r="B31" i="88"/>
  <c r="C31" i="33"/>
  <c r="E43" i="33" s="1"/>
  <c r="B31" i="33"/>
  <c r="C31" i="359"/>
  <c r="E43" i="359" s="1"/>
  <c r="B31" i="359"/>
  <c r="C31" i="334"/>
  <c r="E43" i="334" s="1"/>
  <c r="B31" i="334"/>
  <c r="C31" i="202"/>
  <c r="E43" i="202" s="1"/>
  <c r="B31" i="202"/>
  <c r="G30" i="169"/>
  <c r="G30" i="47"/>
  <c r="G30" i="329"/>
  <c r="G30" i="44"/>
  <c r="G30" i="270"/>
  <c r="G30" i="143"/>
  <c r="G30" i="184"/>
  <c r="G30" i="203"/>
  <c r="G30" i="249"/>
  <c r="G30" i="37"/>
  <c r="G30" i="283"/>
  <c r="G30" i="61"/>
  <c r="G30" i="261"/>
  <c r="G30" i="114"/>
  <c r="G30" i="43"/>
  <c r="G30" i="356"/>
  <c r="G30" i="362"/>
  <c r="G30" i="89"/>
  <c r="G30" i="19"/>
  <c r="G30" i="276"/>
  <c r="F30" i="343"/>
  <c r="G30" i="25"/>
  <c r="G30" i="52"/>
  <c r="G30" i="160"/>
  <c r="G30" i="140"/>
  <c r="G30" i="268"/>
  <c r="G30" i="27"/>
  <c r="G30" i="183"/>
  <c r="G30" i="345"/>
  <c r="G30" i="196"/>
  <c r="G30" i="32"/>
  <c r="G30" i="109"/>
  <c r="G30" i="262"/>
  <c r="G30" i="103"/>
  <c r="G30" i="303"/>
  <c r="G30" i="9"/>
  <c r="G30" i="11"/>
  <c r="G30" i="292"/>
  <c r="G30" i="294"/>
  <c r="G30" i="174"/>
  <c r="G30" i="190"/>
  <c r="G30" i="344"/>
  <c r="F30" i="315"/>
  <c r="G30" i="23"/>
  <c r="G30" i="13"/>
  <c r="G30" i="1"/>
  <c r="G30" i="350"/>
  <c r="G30" i="16"/>
  <c r="G30" i="357"/>
  <c r="G30" i="355"/>
  <c r="G30" i="337"/>
  <c r="G30" i="12"/>
  <c r="G30" i="7"/>
  <c r="G30" i="322"/>
  <c r="G30" i="113"/>
  <c r="G30" i="21"/>
  <c r="G30" i="347"/>
  <c r="G30" i="28"/>
  <c r="G30" i="207"/>
  <c r="G30" i="24"/>
  <c r="G30" i="107"/>
  <c r="G30" i="104"/>
  <c r="G30" i="197"/>
  <c r="G30" i="2"/>
  <c r="G30" i="339"/>
  <c r="G30" i="340"/>
  <c r="G30" i="194"/>
  <c r="G30" i="227"/>
  <c r="G30" i="361"/>
  <c r="G30" i="31"/>
  <c r="G30" i="239"/>
  <c r="G30" i="35"/>
  <c r="G30" i="326"/>
  <c r="G30" i="328"/>
  <c r="G30" i="287"/>
  <c r="G30" i="272"/>
  <c r="G30" i="320"/>
  <c r="G30" i="53"/>
  <c r="G30" i="159"/>
  <c r="G30" i="192"/>
  <c r="G30" i="254"/>
  <c r="G30" i="45"/>
  <c r="G30" i="280"/>
  <c r="G30" i="181"/>
  <c r="G30" i="162"/>
  <c r="G30" i="324"/>
  <c r="G30" i="112"/>
  <c r="G30" i="75"/>
  <c r="G30" i="102"/>
  <c r="G30" i="335"/>
  <c r="G30" i="325"/>
  <c r="G30" i="284"/>
  <c r="G30" i="295"/>
  <c r="G30" i="34"/>
  <c r="G30" i="299"/>
  <c r="G30" i="22"/>
  <c r="F30" i="316"/>
  <c r="G30" i="257"/>
  <c r="G30" i="233"/>
  <c r="G30" i="191"/>
  <c r="G30" i="297"/>
  <c r="G30" i="348"/>
  <c r="G30" i="298"/>
  <c r="G30" i="8"/>
  <c r="G30" i="3"/>
  <c r="G30" i="354"/>
  <c r="G30" i="352"/>
  <c r="G30" i="148"/>
  <c r="G30" i="342"/>
  <c r="G30" i="360"/>
  <c r="G30" i="4"/>
  <c r="G30" i="5"/>
  <c r="G30" i="243"/>
  <c r="G30" i="229"/>
  <c r="G30" i="318"/>
  <c r="G30" i="281"/>
  <c r="G30" i="263"/>
  <c r="G30" i="346"/>
  <c r="G30" i="265"/>
  <c r="G30" i="279"/>
  <c r="G30" i="135"/>
  <c r="G30" i="105"/>
  <c r="G30" i="314"/>
  <c r="G30" i="18"/>
  <c r="G30" i="290"/>
  <c r="G30" i="288"/>
  <c r="G30" i="29"/>
  <c r="G30" i="168"/>
  <c r="G30" i="285"/>
  <c r="G30" i="246"/>
  <c r="G30" i="46"/>
  <c r="G30" i="336"/>
  <c r="G30" i="244"/>
  <c r="G30" i="248"/>
  <c r="G30" i="230"/>
  <c r="G30" i="87"/>
  <c r="G30" i="116"/>
  <c r="G30" i="319"/>
  <c r="G30" i="332"/>
  <c r="G30" i="176"/>
  <c r="G30" i="271"/>
  <c r="G30" i="209"/>
  <c r="G30" i="48"/>
  <c r="G30" i="97"/>
  <c r="G30" i="200"/>
  <c r="G30" i="74"/>
  <c r="G30" i="198"/>
  <c r="G30" i="164"/>
  <c r="G30" i="85"/>
  <c r="G30" i="201"/>
  <c r="G30" i="296"/>
  <c r="G30" i="101"/>
  <c r="G30" i="54"/>
  <c r="G30" i="204"/>
  <c r="G30" i="269"/>
  <c r="G30" i="187"/>
  <c r="G30" i="333"/>
  <c r="G30" i="301"/>
  <c r="G30" i="338"/>
  <c r="G30" i="206"/>
  <c r="F30" i="317"/>
  <c r="G30" i="153"/>
  <c r="G30" i="323"/>
  <c r="G30" i="20"/>
  <c r="G30" i="193"/>
  <c r="G30" i="293"/>
  <c r="G30" i="289"/>
  <c r="G30" i="349"/>
  <c r="G30" i="17"/>
  <c r="G30" i="353"/>
  <c r="G30" i="351"/>
  <c r="G30" i="88"/>
  <c r="G30" i="33"/>
  <c r="G30" i="359"/>
  <c r="G30" i="334"/>
  <c r="G30" i="202"/>
  <c r="T29" i="362"/>
  <c r="I29" i="362" s="1"/>
  <c r="K28" i="362"/>
  <c r="U28" i="362"/>
  <c r="T28" i="362"/>
  <c r="I28" i="362" s="1"/>
  <c r="J40" i="362" s="1"/>
  <c r="F28" i="362"/>
  <c r="T27" i="362"/>
  <c r="I27" i="362" s="1"/>
  <c r="F27" i="362"/>
  <c r="T26" i="362"/>
  <c r="I26" i="362" s="1"/>
  <c r="J38" i="362" s="1"/>
  <c r="K25" i="362"/>
  <c r="U25" i="362"/>
  <c r="M37" i="362" s="1"/>
  <c r="T25" i="362"/>
  <c r="I25" i="362" s="1"/>
  <c r="F25" i="362"/>
  <c r="T24" i="362"/>
  <c r="I24" i="362" s="1"/>
  <c r="J36" i="362" s="1"/>
  <c r="F24" i="362"/>
  <c r="T23" i="362"/>
  <c r="I23" i="362" s="1"/>
  <c r="F23" i="362"/>
  <c r="K22" i="362"/>
  <c r="U22" i="362"/>
  <c r="M34" i="362" s="1"/>
  <c r="T22" i="362"/>
  <c r="I22" i="362" s="1"/>
  <c r="J34" i="362" s="1"/>
  <c r="F22" i="362"/>
  <c r="T21" i="362"/>
  <c r="I21" i="362" s="1"/>
  <c r="F21" i="362"/>
  <c r="T20" i="362"/>
  <c r="I20" i="362" s="1"/>
  <c r="J32" i="362" s="1"/>
  <c r="F20" i="362"/>
  <c r="K19" i="362"/>
  <c r="U19" i="362"/>
  <c r="M31" i="362" s="1"/>
  <c r="T19" i="362"/>
  <c r="I19" i="362" s="1"/>
  <c r="F19" i="362"/>
  <c r="T18" i="362"/>
  <c r="I18" i="362" s="1"/>
  <c r="J30" i="362" s="1"/>
  <c r="F18" i="362"/>
  <c r="T17" i="362"/>
  <c r="I17" i="362" s="1"/>
  <c r="F17" i="362"/>
  <c r="K16" i="362"/>
  <c r="U16" i="362"/>
  <c r="T16" i="362"/>
  <c r="I16" i="362" s="1"/>
  <c r="F16" i="362"/>
  <c r="T15" i="362"/>
  <c r="I15" i="362" s="1"/>
  <c r="F15" i="362"/>
  <c r="T14" i="362"/>
  <c r="I14" i="362" s="1"/>
  <c r="F14" i="362"/>
  <c r="K13" i="362"/>
  <c r="U13" i="362"/>
  <c r="T13" i="362"/>
  <c r="I13" i="362" s="1"/>
  <c r="F13" i="362"/>
  <c r="T12" i="362"/>
  <c r="I12" i="362" s="1"/>
  <c r="F12" i="362"/>
  <c r="T11" i="362"/>
  <c r="I11" i="362" s="1"/>
  <c r="F11" i="362"/>
  <c r="K10" i="362"/>
  <c r="U10" i="362"/>
  <c r="T10" i="362"/>
  <c r="I10" i="362" s="1"/>
  <c r="F10" i="362"/>
  <c r="T9" i="362"/>
  <c r="I9" i="362" s="1"/>
  <c r="F9" i="362"/>
  <c r="T8" i="362"/>
  <c r="I8" i="362" s="1"/>
  <c r="F8" i="362"/>
  <c r="K7" i="362"/>
  <c r="U7" i="362"/>
  <c r="T7" i="362"/>
  <c r="I7" i="362" s="1"/>
  <c r="F7" i="362"/>
  <c r="T6" i="362"/>
  <c r="I6" i="362" s="1"/>
  <c r="F6" i="362"/>
  <c r="T5" i="362"/>
  <c r="I5" i="362" s="1"/>
  <c r="F5" i="362"/>
  <c r="N31" i="361"/>
  <c r="O34" i="361" s="1"/>
  <c r="K28" i="361"/>
  <c r="U28" i="361"/>
  <c r="T28" i="361"/>
  <c r="I28" i="361" s="1"/>
  <c r="J40" i="361" s="1"/>
  <c r="F28" i="361"/>
  <c r="T27" i="361"/>
  <c r="I27" i="361" s="1"/>
  <c r="F27" i="361"/>
  <c r="T26" i="361"/>
  <c r="I26" i="361" s="1"/>
  <c r="J38" i="361" s="1"/>
  <c r="K25" i="361"/>
  <c r="U25" i="361"/>
  <c r="M37" i="361" s="1"/>
  <c r="T25" i="361"/>
  <c r="I25" i="361" s="1"/>
  <c r="F25" i="361"/>
  <c r="T24" i="361"/>
  <c r="I24" i="361" s="1"/>
  <c r="J36" i="361" s="1"/>
  <c r="F24" i="361"/>
  <c r="T23" i="361"/>
  <c r="I23" i="361" s="1"/>
  <c r="F23" i="361"/>
  <c r="K22" i="361"/>
  <c r="U22" i="361"/>
  <c r="M34" i="361" s="1"/>
  <c r="T22" i="361"/>
  <c r="I22" i="361" s="1"/>
  <c r="J34" i="361" s="1"/>
  <c r="F22" i="361"/>
  <c r="T21" i="361"/>
  <c r="I21" i="361" s="1"/>
  <c r="F21" i="361"/>
  <c r="T20" i="361"/>
  <c r="I20" i="361" s="1"/>
  <c r="J32" i="361" s="1"/>
  <c r="F20" i="361"/>
  <c r="K19" i="361"/>
  <c r="U19" i="361"/>
  <c r="M31" i="361" s="1"/>
  <c r="T19" i="361"/>
  <c r="I19" i="361" s="1"/>
  <c r="F19" i="361"/>
  <c r="T18" i="361"/>
  <c r="I18" i="361" s="1"/>
  <c r="J30" i="361" s="1"/>
  <c r="F18" i="361"/>
  <c r="T17" i="361"/>
  <c r="I17" i="361" s="1"/>
  <c r="F17" i="361"/>
  <c r="K16" i="361"/>
  <c r="U16" i="361"/>
  <c r="T16" i="361"/>
  <c r="I16" i="361" s="1"/>
  <c r="F16" i="361"/>
  <c r="T15" i="361"/>
  <c r="I15" i="361" s="1"/>
  <c r="F15" i="361"/>
  <c r="T14" i="361"/>
  <c r="I14" i="361" s="1"/>
  <c r="F14" i="361"/>
  <c r="K13" i="361"/>
  <c r="U13" i="361"/>
  <c r="T13" i="361"/>
  <c r="I13" i="361" s="1"/>
  <c r="F13" i="361"/>
  <c r="T12" i="361"/>
  <c r="I12" i="361" s="1"/>
  <c r="F12" i="361"/>
  <c r="T11" i="361"/>
  <c r="I11" i="361" s="1"/>
  <c r="F11" i="361"/>
  <c r="K10" i="361"/>
  <c r="U10" i="361"/>
  <c r="T10" i="361"/>
  <c r="I10" i="361" s="1"/>
  <c r="F10" i="361"/>
  <c r="T9" i="361"/>
  <c r="I9" i="361" s="1"/>
  <c r="F9" i="361"/>
  <c r="T8" i="361"/>
  <c r="I8" i="361" s="1"/>
  <c r="F8" i="361"/>
  <c r="K7" i="361"/>
  <c r="U7" i="361"/>
  <c r="T7" i="361"/>
  <c r="I7" i="361" s="1"/>
  <c r="F7" i="361"/>
  <c r="T6" i="361"/>
  <c r="I6" i="361" s="1"/>
  <c r="F6" i="361"/>
  <c r="T5" i="361"/>
  <c r="I5" i="361" s="1"/>
  <c r="F5" i="361"/>
  <c r="K7" i="8"/>
  <c r="K10" i="8"/>
  <c r="K13" i="8"/>
  <c r="K16" i="8"/>
  <c r="K19" i="8"/>
  <c r="K22" i="8"/>
  <c r="K25" i="8"/>
  <c r="K28" i="8"/>
  <c r="J18" i="361" l="1"/>
  <c r="J20" i="361"/>
  <c r="J28" i="362"/>
  <c r="J28" i="361"/>
  <c r="J26" i="362"/>
  <c r="J17" i="362"/>
  <c r="J22" i="361"/>
  <c r="J24" i="361"/>
  <c r="J26" i="361"/>
  <c r="J18" i="362"/>
  <c r="J20" i="362"/>
  <c r="J21" i="361"/>
  <c r="J33" i="361"/>
  <c r="J29" i="362"/>
  <c r="J41" i="362"/>
  <c r="J27" i="362"/>
  <c r="J39" i="362"/>
  <c r="J17" i="361"/>
  <c r="J29" i="361"/>
  <c r="J25" i="362"/>
  <c r="J37" i="362"/>
  <c r="J27" i="361"/>
  <c r="J39" i="361"/>
  <c r="J23" i="362"/>
  <c r="J35" i="362"/>
  <c r="J19" i="361"/>
  <c r="J31" i="361"/>
  <c r="J23" i="361"/>
  <c r="J35" i="361"/>
  <c r="J25" i="361"/>
  <c r="J37" i="361"/>
  <c r="J22" i="362"/>
  <c r="J24" i="362"/>
  <c r="J19" i="362"/>
  <c r="J31" i="362"/>
  <c r="J21" i="362"/>
  <c r="J33" i="362"/>
  <c r="E43" i="353"/>
  <c r="D37" i="353"/>
  <c r="H35" i="361"/>
  <c r="H32" i="362"/>
  <c r="H35" i="362"/>
  <c r="H30" i="361"/>
  <c r="H31" i="361"/>
  <c r="H32" i="361"/>
  <c r="H34" i="361"/>
  <c r="H37" i="361"/>
  <c r="H31" i="362"/>
  <c r="H34" i="362"/>
  <c r="H37" i="362"/>
  <c r="H39" i="361"/>
  <c r="H39" i="362"/>
  <c r="H33" i="361"/>
  <c r="H30" i="362"/>
  <c r="H36" i="362"/>
  <c r="H36" i="361"/>
  <c r="H33" i="362"/>
  <c r="H40" i="361"/>
  <c r="H40" i="362"/>
  <c r="N31" i="362"/>
  <c r="O34" i="362" s="1"/>
  <c r="I231" i="417"/>
  <c r="D34" i="334"/>
  <c r="D34" i="33"/>
  <c r="D34" i="351"/>
  <c r="D34" i="17"/>
  <c r="D34" i="289"/>
  <c r="D34" i="193"/>
  <c r="D34" i="323"/>
  <c r="D34" i="338"/>
  <c r="D34" i="333"/>
  <c r="D34" i="269"/>
  <c r="D34" i="54"/>
  <c r="D34" i="75"/>
  <c r="D34" i="324"/>
  <c r="D34" i="280"/>
  <c r="D34" i="254"/>
  <c r="D34" i="159"/>
  <c r="D34" i="272"/>
  <c r="D34" i="328"/>
  <c r="D34" i="239"/>
  <c r="D34" i="31"/>
  <c r="D34" i="114"/>
  <c r="D34" i="135"/>
  <c r="D34" i="37"/>
  <c r="D34" i="198"/>
  <c r="D34" i="176"/>
  <c r="D34" i="5"/>
  <c r="D34" i="360"/>
  <c r="D34" i="148"/>
  <c r="D34" i="354"/>
  <c r="D34" i="8"/>
  <c r="D34" i="348"/>
  <c r="D34" i="191"/>
  <c r="D34" i="257"/>
  <c r="D34" i="22"/>
  <c r="D34" i="34"/>
  <c r="D34" i="284"/>
  <c r="D34" i="335"/>
  <c r="D34" i="262"/>
  <c r="D34" i="32"/>
  <c r="D34" i="345"/>
  <c r="D34" i="27"/>
  <c r="D34" i="268"/>
  <c r="D34" i="160"/>
  <c r="D34" i="25"/>
  <c r="D34" i="285"/>
  <c r="D34" i="243"/>
  <c r="D34" i="19"/>
  <c r="D34" i="290"/>
  <c r="D34" i="261"/>
  <c r="D34" i="279"/>
  <c r="D34" i="164"/>
  <c r="D34" i="48"/>
  <c r="D34" i="87"/>
  <c r="D34" i="28"/>
  <c r="D34" i="21"/>
  <c r="D34" i="322"/>
  <c r="D34" i="12"/>
  <c r="D34" i="355"/>
  <c r="D34" i="16"/>
  <c r="D34" i="1"/>
  <c r="D34" i="23"/>
  <c r="D34" i="344"/>
  <c r="D34" i="174"/>
  <c r="D34" i="292"/>
  <c r="D34" i="9"/>
  <c r="D34" i="265"/>
  <c r="D34" i="2"/>
  <c r="D34" i="197"/>
  <c r="D34" i="184"/>
  <c r="D34" i="104"/>
  <c r="D34" i="270"/>
  <c r="D34" i="281"/>
  <c r="D34" i="318"/>
  <c r="D34" i="229"/>
  <c r="D34" i="248"/>
  <c r="D34" i="336"/>
  <c r="D34" i="89"/>
  <c r="D34" i="362"/>
  <c r="D34" i="43"/>
  <c r="D34" i="314"/>
  <c r="D34" i="339"/>
  <c r="D34" i="85"/>
  <c r="D34" i="209"/>
  <c r="D34" i="319"/>
  <c r="D34" i="246"/>
  <c r="D34" i="202"/>
  <c r="D34" i="359"/>
  <c r="D34" i="88"/>
  <c r="D34" i="353"/>
  <c r="D34" i="349"/>
  <c r="D34" i="293"/>
  <c r="D34" i="20"/>
  <c r="D34" i="153"/>
  <c r="D34" i="206"/>
  <c r="D34" i="301"/>
  <c r="D34" i="187"/>
  <c r="D34" i="204"/>
  <c r="D34" i="102"/>
  <c r="D34" i="112"/>
  <c r="D34" i="162"/>
  <c r="D34" i="181"/>
  <c r="D34" i="45"/>
  <c r="D34" i="192"/>
  <c r="D34" i="53"/>
  <c r="D34" i="320"/>
  <c r="D34" i="287"/>
  <c r="D34" i="326"/>
  <c r="D34" i="168"/>
  <c r="D34" i="227"/>
  <c r="D34" i="105"/>
  <c r="D34" i="283"/>
  <c r="D34" i="201"/>
  <c r="D34" i="97"/>
  <c r="D34" i="116"/>
  <c r="D34" i="35"/>
  <c r="D34" i="4"/>
  <c r="D34" i="342"/>
  <c r="D34" i="352"/>
  <c r="D34" i="3"/>
  <c r="D34" i="298"/>
  <c r="D34" i="297"/>
  <c r="D34" i="233"/>
  <c r="D34" i="299"/>
  <c r="D34" i="295"/>
  <c r="D34" i="325"/>
  <c r="D34" i="103"/>
  <c r="D34" i="109"/>
  <c r="D34" i="196"/>
  <c r="D34" i="183"/>
  <c r="D34" i="140"/>
  <c r="D34" i="52"/>
  <c r="C34" i="343"/>
  <c r="D43" i="343"/>
  <c r="D34" i="276"/>
  <c r="D34" i="47"/>
  <c r="D34" i="169"/>
  <c r="D34" i="288"/>
  <c r="D34" i="194"/>
  <c r="D34" i="340"/>
  <c r="D34" i="296"/>
  <c r="D34" i="74"/>
  <c r="D34" i="271"/>
  <c r="D34" i="46"/>
  <c r="D34" i="207"/>
  <c r="D34" i="347"/>
  <c r="D34" i="113"/>
  <c r="D34" i="7"/>
  <c r="D34" i="337"/>
  <c r="D34" i="357"/>
  <c r="D34" i="350"/>
  <c r="D34" i="13"/>
  <c r="D34" i="190"/>
  <c r="D34" i="294"/>
  <c r="D34" i="11"/>
  <c r="D34" i="303"/>
  <c r="D34" i="249"/>
  <c r="D34" i="203"/>
  <c r="D34" i="346"/>
  <c r="D34" i="143"/>
  <c r="D34" i="263"/>
  <c r="D34" i="107"/>
  <c r="D34" i="24"/>
  <c r="D34" i="44"/>
  <c r="D34" i="329"/>
  <c r="D34" i="244"/>
  <c r="D34" i="29"/>
  <c r="D34" i="361"/>
  <c r="D34" i="356"/>
  <c r="D34" i="18"/>
  <c r="D34" i="61"/>
  <c r="D34" i="101"/>
  <c r="D34" i="200"/>
  <c r="D34" i="332"/>
  <c r="D34" i="230"/>
  <c r="L31" i="361"/>
  <c r="M40" i="361"/>
  <c r="L31" i="362"/>
  <c r="M40" i="362"/>
  <c r="H28" i="362"/>
  <c r="C7" i="361"/>
  <c r="C10" i="361"/>
  <c r="C13" i="361"/>
  <c r="H26" i="361"/>
  <c r="C16" i="361"/>
  <c r="C19" i="361"/>
  <c r="E31" i="361" s="1"/>
  <c r="C22" i="361"/>
  <c r="E34" i="361" s="1"/>
  <c r="C25" i="361"/>
  <c r="E37" i="361" s="1"/>
  <c r="C28" i="361"/>
  <c r="E40" i="361" s="1"/>
  <c r="C7" i="362"/>
  <c r="C10" i="362"/>
  <c r="C13" i="362"/>
  <c r="C16" i="362"/>
  <c r="C19" i="362"/>
  <c r="E31" i="362" s="1"/>
  <c r="C22" i="362"/>
  <c r="E34" i="362" s="1"/>
  <c r="C25" i="362"/>
  <c r="E37" i="362" s="1"/>
  <c r="C28" i="362"/>
  <c r="E40" i="362" s="1"/>
  <c r="N16" i="361"/>
  <c r="N19" i="361"/>
  <c r="N25" i="361"/>
  <c r="N19" i="362"/>
  <c r="G27" i="361"/>
  <c r="G14" i="362"/>
  <c r="H27" i="362"/>
  <c r="N13" i="362"/>
  <c r="H17" i="362"/>
  <c r="H19" i="362"/>
  <c r="M28" i="362"/>
  <c r="B10" i="361"/>
  <c r="G10" i="361"/>
  <c r="G6" i="362"/>
  <c r="N16" i="362"/>
  <c r="G28" i="362"/>
  <c r="N25" i="362"/>
  <c r="G21" i="362"/>
  <c r="L13" i="362"/>
  <c r="G15" i="362"/>
  <c r="G10" i="362"/>
  <c r="G11" i="362"/>
  <c r="G13" i="362"/>
  <c r="G7" i="361"/>
  <c r="N7" i="362"/>
  <c r="H21" i="362"/>
  <c r="N10" i="362"/>
  <c r="M22" i="362"/>
  <c r="H24" i="362"/>
  <c r="M25" i="362"/>
  <c r="H26" i="362"/>
  <c r="B13" i="362"/>
  <c r="N13" i="361"/>
  <c r="G14" i="361"/>
  <c r="G16" i="361"/>
  <c r="B19" i="361"/>
  <c r="H19" i="361"/>
  <c r="G22" i="361"/>
  <c r="H27" i="361"/>
  <c r="L10" i="362"/>
  <c r="G12" i="362"/>
  <c r="L16" i="362"/>
  <c r="H18" i="362"/>
  <c r="M19" i="362"/>
  <c r="H20" i="362"/>
  <c r="G22" i="362"/>
  <c r="N28" i="362"/>
  <c r="H29" i="362"/>
  <c r="G7" i="362"/>
  <c r="B10" i="362"/>
  <c r="N22" i="362"/>
  <c r="H22" i="362"/>
  <c r="B25" i="362"/>
  <c r="H25" i="362"/>
  <c r="G27" i="362"/>
  <c r="L28" i="362"/>
  <c r="L13" i="361"/>
  <c r="B7" i="362"/>
  <c r="G9" i="362"/>
  <c r="B16" i="362"/>
  <c r="G16" i="362"/>
  <c r="G17" i="362"/>
  <c r="G18" i="362"/>
  <c r="G19" i="362"/>
  <c r="G23" i="362"/>
  <c r="G24" i="362"/>
  <c r="G25" i="362"/>
  <c r="G29" i="362"/>
  <c r="B19" i="362"/>
  <c r="L22" i="362"/>
  <c r="G15" i="361"/>
  <c r="G8" i="362"/>
  <c r="L19" i="362"/>
  <c r="B22" i="362"/>
  <c r="H23" i="362"/>
  <c r="L25" i="362"/>
  <c r="B28" i="362"/>
  <c r="G11" i="361"/>
  <c r="G20" i="362"/>
  <c r="G26" i="362"/>
  <c r="M28" i="361"/>
  <c r="N22" i="361"/>
  <c r="G21" i="361"/>
  <c r="N28" i="361"/>
  <c r="O31" i="361" s="1"/>
  <c r="G28" i="361"/>
  <c r="H29" i="361"/>
  <c r="B13" i="361"/>
  <c r="G6" i="361"/>
  <c r="N10" i="361"/>
  <c r="M22" i="361"/>
  <c r="H24" i="361"/>
  <c r="M25" i="361"/>
  <c r="N7" i="361"/>
  <c r="L10" i="361"/>
  <c r="G12" i="361"/>
  <c r="G13" i="361"/>
  <c r="H18" i="361"/>
  <c r="M19" i="361"/>
  <c r="H20" i="361"/>
  <c r="H22" i="361"/>
  <c r="H23" i="361"/>
  <c r="H25" i="361"/>
  <c r="B25" i="361"/>
  <c r="H28" i="361"/>
  <c r="B7" i="361"/>
  <c r="G9" i="361"/>
  <c r="B16" i="361"/>
  <c r="L16" i="361"/>
  <c r="G17" i="361"/>
  <c r="G18" i="361"/>
  <c r="G19" i="361"/>
  <c r="G23" i="361"/>
  <c r="G24" i="361"/>
  <c r="G25" i="361"/>
  <c r="G29" i="361"/>
  <c r="H21" i="361"/>
  <c r="L22" i="361"/>
  <c r="G8" i="361"/>
  <c r="H17" i="361"/>
  <c r="L19" i="361"/>
  <c r="B22" i="361"/>
  <c r="L25" i="361"/>
  <c r="B28" i="361"/>
  <c r="L28" i="361"/>
  <c r="G20" i="361"/>
  <c r="G26" i="361"/>
  <c r="T29" i="360"/>
  <c r="I29" i="360" s="1"/>
  <c r="K28" i="360"/>
  <c r="U28" i="360"/>
  <c r="T28" i="360"/>
  <c r="I28" i="360" s="1"/>
  <c r="J40" i="360" s="1"/>
  <c r="F28" i="360"/>
  <c r="T27" i="360"/>
  <c r="I27" i="360" s="1"/>
  <c r="F27" i="360"/>
  <c r="T26" i="360"/>
  <c r="I26" i="360" s="1"/>
  <c r="J38" i="360" s="1"/>
  <c r="K25" i="360"/>
  <c r="U25" i="360"/>
  <c r="M37" i="360" s="1"/>
  <c r="T25" i="360"/>
  <c r="I25" i="360" s="1"/>
  <c r="F25" i="360"/>
  <c r="T24" i="360"/>
  <c r="I24" i="360" s="1"/>
  <c r="J36" i="360" s="1"/>
  <c r="F24" i="360"/>
  <c r="T23" i="360"/>
  <c r="I23" i="360" s="1"/>
  <c r="F23" i="360"/>
  <c r="K22" i="360"/>
  <c r="U22" i="360"/>
  <c r="M34" i="360" s="1"/>
  <c r="T22" i="360"/>
  <c r="I22" i="360" s="1"/>
  <c r="J34" i="360" s="1"/>
  <c r="F22" i="360"/>
  <c r="T21" i="360"/>
  <c r="I21" i="360" s="1"/>
  <c r="F21" i="360"/>
  <c r="T20" i="360"/>
  <c r="I20" i="360" s="1"/>
  <c r="J32" i="360" s="1"/>
  <c r="F20" i="360"/>
  <c r="K19" i="360"/>
  <c r="U19" i="360"/>
  <c r="M31" i="360" s="1"/>
  <c r="T19" i="360"/>
  <c r="I19" i="360" s="1"/>
  <c r="F19" i="360"/>
  <c r="T18" i="360"/>
  <c r="I18" i="360" s="1"/>
  <c r="J30" i="360" s="1"/>
  <c r="F18" i="360"/>
  <c r="T17" i="360"/>
  <c r="I17" i="360" s="1"/>
  <c r="F17" i="360"/>
  <c r="K16" i="360"/>
  <c r="U16" i="360"/>
  <c r="T16" i="360"/>
  <c r="I16" i="360" s="1"/>
  <c r="F16" i="360"/>
  <c r="T15" i="360"/>
  <c r="I15" i="360" s="1"/>
  <c r="F15" i="360"/>
  <c r="T14" i="360"/>
  <c r="I14" i="360" s="1"/>
  <c r="F14" i="360"/>
  <c r="K13" i="360"/>
  <c r="U13" i="360"/>
  <c r="T13" i="360"/>
  <c r="I13" i="360" s="1"/>
  <c r="F13" i="360"/>
  <c r="T12" i="360"/>
  <c r="I12" i="360" s="1"/>
  <c r="F12" i="360"/>
  <c r="T11" i="360"/>
  <c r="I11" i="360" s="1"/>
  <c r="F11" i="360"/>
  <c r="K10" i="360"/>
  <c r="U10" i="360"/>
  <c r="T10" i="360"/>
  <c r="I10" i="360" s="1"/>
  <c r="F10" i="360"/>
  <c r="T9" i="360"/>
  <c r="I9" i="360" s="1"/>
  <c r="F9" i="360"/>
  <c r="T8" i="360"/>
  <c r="I8" i="360" s="1"/>
  <c r="F8" i="360"/>
  <c r="K7" i="360"/>
  <c r="U7" i="360"/>
  <c r="T7" i="360"/>
  <c r="I7" i="360" s="1"/>
  <c r="F7" i="360"/>
  <c r="T6" i="360"/>
  <c r="I6" i="360" s="1"/>
  <c r="F6" i="360"/>
  <c r="T5" i="360"/>
  <c r="I5" i="360" s="1"/>
  <c r="F5" i="360"/>
  <c r="T29" i="359"/>
  <c r="I29" i="359" s="1"/>
  <c r="K28" i="359"/>
  <c r="U28" i="359"/>
  <c r="T28" i="359"/>
  <c r="I28" i="359" s="1"/>
  <c r="J40" i="359" s="1"/>
  <c r="F28" i="359"/>
  <c r="T27" i="359"/>
  <c r="I27" i="359" s="1"/>
  <c r="F27" i="359"/>
  <c r="T26" i="359"/>
  <c r="I26" i="359" s="1"/>
  <c r="K25" i="359"/>
  <c r="U25" i="359"/>
  <c r="M37" i="359" s="1"/>
  <c r="T25" i="359"/>
  <c r="I25" i="359" s="1"/>
  <c r="F25" i="359"/>
  <c r="T24" i="359"/>
  <c r="I24" i="359" s="1"/>
  <c r="J36" i="359" s="1"/>
  <c r="F24" i="359"/>
  <c r="T23" i="359"/>
  <c r="I23" i="359" s="1"/>
  <c r="F23" i="359"/>
  <c r="K22" i="359"/>
  <c r="U22" i="359"/>
  <c r="M34" i="359" s="1"/>
  <c r="T22" i="359"/>
  <c r="I22" i="359" s="1"/>
  <c r="F22" i="359"/>
  <c r="T21" i="359"/>
  <c r="I21" i="359" s="1"/>
  <c r="F21" i="359"/>
  <c r="T20" i="359"/>
  <c r="I20" i="359" s="1"/>
  <c r="J32" i="359" s="1"/>
  <c r="F20" i="359"/>
  <c r="K19" i="359"/>
  <c r="U19" i="359"/>
  <c r="M31" i="359" s="1"/>
  <c r="T19" i="359"/>
  <c r="I19" i="359" s="1"/>
  <c r="F19" i="359"/>
  <c r="T18" i="359"/>
  <c r="I18" i="359" s="1"/>
  <c r="F18" i="359"/>
  <c r="T17" i="359"/>
  <c r="I17" i="359" s="1"/>
  <c r="F17" i="359"/>
  <c r="K16" i="359"/>
  <c r="U16" i="359"/>
  <c r="T16" i="359"/>
  <c r="I16" i="359" s="1"/>
  <c r="F16" i="359"/>
  <c r="T15" i="359"/>
  <c r="I15" i="359" s="1"/>
  <c r="F15" i="359"/>
  <c r="T14" i="359"/>
  <c r="I14" i="359" s="1"/>
  <c r="F14" i="359"/>
  <c r="K13" i="359"/>
  <c r="U13" i="359"/>
  <c r="T13" i="359"/>
  <c r="I13" i="359" s="1"/>
  <c r="F13" i="359"/>
  <c r="T12" i="359"/>
  <c r="I12" i="359" s="1"/>
  <c r="F12" i="359"/>
  <c r="T11" i="359"/>
  <c r="I11" i="359" s="1"/>
  <c r="F11" i="359"/>
  <c r="K10" i="359"/>
  <c r="U10" i="359"/>
  <c r="T10" i="359"/>
  <c r="I10" i="359" s="1"/>
  <c r="F10" i="359"/>
  <c r="T9" i="359"/>
  <c r="I9" i="359" s="1"/>
  <c r="F9" i="359"/>
  <c r="T8" i="359"/>
  <c r="I8" i="359" s="1"/>
  <c r="F8" i="359"/>
  <c r="K7" i="359"/>
  <c r="U7" i="359"/>
  <c r="T7" i="359"/>
  <c r="I7" i="359" s="1"/>
  <c r="F7" i="359"/>
  <c r="T6" i="359"/>
  <c r="I6" i="359" s="1"/>
  <c r="F6" i="359"/>
  <c r="T5" i="359"/>
  <c r="I5" i="359" s="1"/>
  <c r="F5" i="359"/>
  <c r="J20" i="359" l="1"/>
  <c r="J28" i="360"/>
  <c r="J28" i="359"/>
  <c r="J26" i="360"/>
  <c r="J17" i="360"/>
  <c r="J24" i="359"/>
  <c r="J18" i="360"/>
  <c r="J20" i="360"/>
  <c r="J31" i="359"/>
  <c r="J19" i="359"/>
  <c r="J33" i="359"/>
  <c r="J21" i="359"/>
  <c r="J35" i="359"/>
  <c r="J23" i="359"/>
  <c r="J29" i="360"/>
  <c r="J41" i="360"/>
  <c r="J26" i="359"/>
  <c r="J38" i="359"/>
  <c r="J27" i="360"/>
  <c r="J39" i="360"/>
  <c r="J17" i="359"/>
  <c r="J22" i="359"/>
  <c r="J34" i="359"/>
  <c r="J41" i="359"/>
  <c r="J29" i="359"/>
  <c r="J25" i="360"/>
  <c r="J37" i="360"/>
  <c r="J39" i="359"/>
  <c r="J27" i="359"/>
  <c r="J18" i="359"/>
  <c r="J30" i="359"/>
  <c r="J37" i="359"/>
  <c r="J25" i="359"/>
  <c r="J22" i="360"/>
  <c r="J24" i="360"/>
  <c r="J19" i="360"/>
  <c r="J31" i="360"/>
  <c r="J21" i="360"/>
  <c r="J33" i="360"/>
  <c r="J23" i="360"/>
  <c r="J35" i="360"/>
  <c r="O31" i="362"/>
  <c r="H30" i="359"/>
  <c r="H33" i="359"/>
  <c r="H36" i="359"/>
  <c r="H30" i="360"/>
  <c r="H33" i="360"/>
  <c r="H36" i="360"/>
  <c r="H40" i="359"/>
  <c r="N31" i="359"/>
  <c r="O34" i="359" s="1"/>
  <c r="H40" i="360"/>
  <c r="N31" i="360"/>
  <c r="O34" i="360" s="1"/>
  <c r="H32" i="359"/>
  <c r="H34" i="359"/>
  <c r="H35" i="359"/>
  <c r="H37" i="359"/>
  <c r="H31" i="360"/>
  <c r="H32" i="360"/>
  <c r="H34" i="360"/>
  <c r="H35" i="360"/>
  <c r="H37" i="360"/>
  <c r="H39" i="359"/>
  <c r="H39" i="360"/>
  <c r="L31" i="359"/>
  <c r="M40" i="359"/>
  <c r="L31" i="360"/>
  <c r="M40" i="360"/>
  <c r="D31" i="362"/>
  <c r="D31" i="361"/>
  <c r="L28" i="360"/>
  <c r="G8" i="360"/>
  <c r="D10" i="362"/>
  <c r="G20" i="359"/>
  <c r="H31" i="359"/>
  <c r="C7" i="360"/>
  <c r="C10" i="360"/>
  <c r="C13" i="360"/>
  <c r="C19" i="360"/>
  <c r="E31" i="360" s="1"/>
  <c r="C22" i="360"/>
  <c r="E34" i="360" s="1"/>
  <c r="C25" i="360"/>
  <c r="E37" i="360" s="1"/>
  <c r="D13" i="361"/>
  <c r="D13" i="362"/>
  <c r="D10" i="361"/>
  <c r="E25" i="362"/>
  <c r="D25" i="362"/>
  <c r="E25" i="361"/>
  <c r="D25" i="361"/>
  <c r="E22" i="362"/>
  <c r="D22" i="362"/>
  <c r="E22" i="361"/>
  <c r="D22" i="361"/>
  <c r="E19" i="362"/>
  <c r="D19" i="362"/>
  <c r="E19" i="361"/>
  <c r="D19" i="361"/>
  <c r="E28" i="362"/>
  <c r="D28" i="362"/>
  <c r="D16" i="362"/>
  <c r="E28" i="361"/>
  <c r="D28" i="361"/>
  <c r="D16" i="361"/>
  <c r="C28" i="360"/>
  <c r="E40" i="360" s="1"/>
  <c r="C7" i="359"/>
  <c r="C10" i="359"/>
  <c r="C13" i="359"/>
  <c r="C16" i="359"/>
  <c r="C19" i="359"/>
  <c r="E31" i="359" s="1"/>
  <c r="C22" i="359"/>
  <c r="E34" i="359" s="1"/>
  <c r="C25" i="359"/>
  <c r="E37" i="359" s="1"/>
  <c r="C28" i="359"/>
  <c r="E40" i="359" s="1"/>
  <c r="H26" i="360"/>
  <c r="C16" i="360"/>
  <c r="O28" i="361"/>
  <c r="O25" i="362"/>
  <c r="O16" i="361"/>
  <c r="O19" i="361"/>
  <c r="O22" i="361"/>
  <c r="O28" i="362"/>
  <c r="O19" i="362"/>
  <c r="O22" i="362"/>
  <c r="O13" i="361"/>
  <c r="O25" i="361"/>
  <c r="O16" i="362"/>
  <c r="O10" i="362"/>
  <c r="O13" i="362"/>
  <c r="O10" i="361"/>
  <c r="L10" i="360"/>
  <c r="G21" i="360"/>
  <c r="N19" i="359"/>
  <c r="N19" i="360"/>
  <c r="G7" i="359"/>
  <c r="G11" i="359"/>
  <c r="L13" i="359"/>
  <c r="L22" i="360"/>
  <c r="G9" i="360"/>
  <c r="G28" i="360"/>
  <c r="G15" i="360"/>
  <c r="M28" i="360"/>
  <c r="N25" i="360"/>
  <c r="N28" i="360"/>
  <c r="H27" i="359"/>
  <c r="M28" i="359"/>
  <c r="N22" i="359"/>
  <c r="G28" i="359"/>
  <c r="G21" i="359"/>
  <c r="N25" i="359"/>
  <c r="N28" i="359"/>
  <c r="B13" i="359"/>
  <c r="G10" i="359"/>
  <c r="N13" i="359"/>
  <c r="G13" i="359"/>
  <c r="G16" i="359"/>
  <c r="G17" i="359"/>
  <c r="H24" i="359"/>
  <c r="N16" i="359"/>
  <c r="M22" i="360"/>
  <c r="H28" i="360"/>
  <c r="H20" i="360"/>
  <c r="G22" i="360"/>
  <c r="G27" i="360"/>
  <c r="H22" i="360"/>
  <c r="N22" i="360"/>
  <c r="G10" i="360"/>
  <c r="G7" i="360"/>
  <c r="H27" i="360"/>
  <c r="B10" i="360"/>
  <c r="N13" i="360"/>
  <c r="G14" i="360"/>
  <c r="G12" i="360"/>
  <c r="L13" i="360"/>
  <c r="H21" i="360"/>
  <c r="M25" i="359"/>
  <c r="G13" i="360"/>
  <c r="H18" i="360"/>
  <c r="G18" i="360"/>
  <c r="H24" i="360"/>
  <c r="G24" i="360"/>
  <c r="N10" i="359"/>
  <c r="B7" i="360"/>
  <c r="M19" i="360"/>
  <c r="L19" i="360"/>
  <c r="M25" i="360"/>
  <c r="L25" i="360"/>
  <c r="L10" i="359"/>
  <c r="H22" i="359"/>
  <c r="G22" i="359"/>
  <c r="B28" i="359"/>
  <c r="G27" i="359"/>
  <c r="N7" i="360"/>
  <c r="B13" i="360"/>
  <c r="G11" i="360"/>
  <c r="G16" i="360"/>
  <c r="B16" i="360"/>
  <c r="H17" i="360"/>
  <c r="G17" i="360"/>
  <c r="B19" i="360"/>
  <c r="H23" i="360"/>
  <c r="G23" i="360"/>
  <c r="B25" i="360"/>
  <c r="H29" i="360"/>
  <c r="G29" i="360"/>
  <c r="N7" i="359"/>
  <c r="G14" i="359"/>
  <c r="L16" i="359"/>
  <c r="H26" i="359"/>
  <c r="G6" i="360"/>
  <c r="N10" i="360"/>
  <c r="N16" i="360"/>
  <c r="H19" i="360"/>
  <c r="G19" i="360"/>
  <c r="H25" i="360"/>
  <c r="G25" i="360"/>
  <c r="L16" i="360"/>
  <c r="G6" i="359"/>
  <c r="B22" i="359"/>
  <c r="H29" i="359"/>
  <c r="B22" i="360"/>
  <c r="B28" i="360"/>
  <c r="B10" i="359"/>
  <c r="G15" i="359"/>
  <c r="G18" i="359"/>
  <c r="M19" i="359"/>
  <c r="H20" i="359"/>
  <c r="G26" i="359"/>
  <c r="G20" i="360"/>
  <c r="G26" i="360"/>
  <c r="B19" i="359"/>
  <c r="H21" i="359"/>
  <c r="B25" i="359"/>
  <c r="H28" i="359"/>
  <c r="L28" i="359"/>
  <c r="B7" i="359"/>
  <c r="G9" i="359"/>
  <c r="G23" i="359"/>
  <c r="G24" i="359"/>
  <c r="G29" i="359"/>
  <c r="G8" i="359"/>
  <c r="G12" i="359"/>
  <c r="H17" i="359"/>
  <c r="H18" i="359"/>
  <c r="H19" i="359"/>
  <c r="L19" i="359"/>
  <c r="H23" i="359"/>
  <c r="H25" i="359"/>
  <c r="L25" i="359"/>
  <c r="L22" i="359"/>
  <c r="B16" i="359"/>
  <c r="G19" i="359"/>
  <c r="M22" i="359"/>
  <c r="G25" i="359"/>
  <c r="O31" i="360" l="1"/>
  <c r="O31" i="359"/>
  <c r="D31" i="359"/>
  <c r="D31" i="360"/>
  <c r="E25" i="360"/>
  <c r="E22" i="360"/>
  <c r="D13" i="360"/>
  <c r="D10" i="360"/>
  <c r="E19" i="360"/>
  <c r="D25" i="360"/>
  <c r="D22" i="360"/>
  <c r="D16" i="360"/>
  <c r="D16" i="359"/>
  <c r="D13" i="359"/>
  <c r="D10" i="359"/>
  <c r="E28" i="359"/>
  <c r="D28" i="359"/>
  <c r="E28" i="360"/>
  <c r="D28" i="360"/>
  <c r="D19" i="360"/>
  <c r="E25" i="359"/>
  <c r="D25" i="359"/>
  <c r="E22" i="359"/>
  <c r="D22" i="359"/>
  <c r="E19" i="359"/>
  <c r="D19" i="359"/>
  <c r="O25" i="360"/>
  <c r="O28" i="360"/>
  <c r="O16" i="359"/>
  <c r="O28" i="359"/>
  <c r="O22" i="359"/>
  <c r="O22" i="360"/>
  <c r="O13" i="360"/>
  <c r="O25" i="359"/>
  <c r="O16" i="360"/>
  <c r="O13" i="359"/>
  <c r="O19" i="359"/>
  <c r="O19" i="360"/>
  <c r="O10" i="360"/>
  <c r="O10" i="359"/>
  <c r="S29" i="357" l="1"/>
  <c r="S28" i="357"/>
  <c r="F28" i="357"/>
  <c r="S27" i="357"/>
  <c r="F27" i="357"/>
  <c r="S26" i="357"/>
  <c r="S25" i="357"/>
  <c r="F25" i="357"/>
  <c r="S24" i="357"/>
  <c r="F24" i="357"/>
  <c r="S23" i="357"/>
  <c r="F23" i="357"/>
  <c r="S22" i="357"/>
  <c r="F22" i="357"/>
  <c r="S21" i="357"/>
  <c r="F21" i="357"/>
  <c r="S20" i="357"/>
  <c r="F20" i="357"/>
  <c r="S19" i="357"/>
  <c r="F19" i="357"/>
  <c r="S18" i="357"/>
  <c r="F18" i="357"/>
  <c r="S17" i="357"/>
  <c r="F17" i="357"/>
  <c r="J16" i="357"/>
  <c r="T16" i="357"/>
  <c r="S16" i="357"/>
  <c r="F16" i="357"/>
  <c r="I16" i="357" s="1"/>
  <c r="S15" i="357"/>
  <c r="F15" i="357"/>
  <c r="I15" i="357" s="1"/>
  <c r="S14" i="357"/>
  <c r="F14" i="357"/>
  <c r="I14" i="357" s="1"/>
  <c r="J13" i="357"/>
  <c r="T13" i="357"/>
  <c r="L25" i="357" s="1"/>
  <c r="S13" i="357"/>
  <c r="F13" i="357"/>
  <c r="I13" i="357" s="1"/>
  <c r="S12" i="357"/>
  <c r="F12" i="357"/>
  <c r="I12" i="357" s="1"/>
  <c r="S11" i="357"/>
  <c r="F11" i="357"/>
  <c r="I11" i="357" s="1"/>
  <c r="J10" i="357"/>
  <c r="T10" i="357"/>
  <c r="L22" i="357" s="1"/>
  <c r="S10" i="357"/>
  <c r="F10" i="357"/>
  <c r="I10" i="357" s="1"/>
  <c r="S9" i="357"/>
  <c r="F9" i="357"/>
  <c r="I9" i="357" s="1"/>
  <c r="S8" i="357"/>
  <c r="F8" i="357"/>
  <c r="I8" i="357" s="1"/>
  <c r="K7" i="357"/>
  <c r="J7" i="357"/>
  <c r="T7" i="357"/>
  <c r="L19" i="357" s="1"/>
  <c r="S7" i="357"/>
  <c r="F7" i="357"/>
  <c r="I7" i="357" s="1"/>
  <c r="S6" i="357"/>
  <c r="F6" i="357"/>
  <c r="I6" i="357" s="1"/>
  <c r="S5" i="357"/>
  <c r="F5" i="357"/>
  <c r="I5" i="357" s="1"/>
  <c r="S29" i="247"/>
  <c r="R29" i="247"/>
  <c r="K31" i="247" s="1"/>
  <c r="M43" i="247" s="1"/>
  <c r="Q29" i="247"/>
  <c r="S29" i="170"/>
  <c r="R29" i="170"/>
  <c r="K31" i="170" s="1"/>
  <c r="M43" i="170" s="1"/>
  <c r="Q29" i="170"/>
  <c r="K31" i="321"/>
  <c r="M43" i="321" s="1"/>
  <c r="S29" i="186"/>
  <c r="R29" i="186"/>
  <c r="K31" i="186" s="1"/>
  <c r="M43" i="186" s="1"/>
  <c r="Q29" i="186"/>
  <c r="S29" i="144"/>
  <c r="R29" i="144"/>
  <c r="K31" i="144" s="1"/>
  <c r="M43" i="144" s="1"/>
  <c r="Q29" i="144"/>
  <c r="S29" i="185"/>
  <c r="R29" i="185"/>
  <c r="K31" i="185" s="1"/>
  <c r="M43" i="185" s="1"/>
  <c r="Q29" i="185"/>
  <c r="T29" i="356"/>
  <c r="I29" i="356" s="1"/>
  <c r="K28" i="356"/>
  <c r="U28" i="356"/>
  <c r="T28" i="356"/>
  <c r="I28" i="356" s="1"/>
  <c r="J40" i="356" s="1"/>
  <c r="F28" i="356"/>
  <c r="T27" i="356"/>
  <c r="I27" i="356" s="1"/>
  <c r="F27" i="356"/>
  <c r="T26" i="356"/>
  <c r="I26" i="356" s="1"/>
  <c r="J38" i="356" s="1"/>
  <c r="K25" i="356"/>
  <c r="U25" i="356"/>
  <c r="M37" i="356" s="1"/>
  <c r="T25" i="356"/>
  <c r="I25" i="356" s="1"/>
  <c r="F25" i="356"/>
  <c r="T24" i="356"/>
  <c r="I24" i="356" s="1"/>
  <c r="J36" i="356" s="1"/>
  <c r="F24" i="356"/>
  <c r="T23" i="356"/>
  <c r="I23" i="356" s="1"/>
  <c r="F23" i="356"/>
  <c r="K22" i="356"/>
  <c r="U22" i="356"/>
  <c r="M34" i="356" s="1"/>
  <c r="T22" i="356"/>
  <c r="I22" i="356" s="1"/>
  <c r="J34" i="356" s="1"/>
  <c r="F22" i="356"/>
  <c r="T21" i="356"/>
  <c r="I21" i="356" s="1"/>
  <c r="F21" i="356"/>
  <c r="T20" i="356"/>
  <c r="I20" i="356" s="1"/>
  <c r="J32" i="356" s="1"/>
  <c r="F20" i="356"/>
  <c r="K19" i="356"/>
  <c r="U19" i="356"/>
  <c r="M31" i="356" s="1"/>
  <c r="T19" i="356"/>
  <c r="I19" i="356" s="1"/>
  <c r="F19" i="356"/>
  <c r="T18" i="356"/>
  <c r="I18" i="356" s="1"/>
  <c r="J30" i="356" s="1"/>
  <c r="F18" i="356"/>
  <c r="T17" i="356"/>
  <c r="I17" i="356" s="1"/>
  <c r="F17" i="356"/>
  <c r="K16" i="356"/>
  <c r="U16" i="356"/>
  <c r="T16" i="356"/>
  <c r="I16" i="356" s="1"/>
  <c r="F16" i="356"/>
  <c r="T15" i="356"/>
  <c r="I15" i="356" s="1"/>
  <c r="F15" i="356"/>
  <c r="T14" i="356"/>
  <c r="I14" i="356" s="1"/>
  <c r="F14" i="356"/>
  <c r="K13" i="356"/>
  <c r="U13" i="356"/>
  <c r="T13" i="356"/>
  <c r="I13" i="356" s="1"/>
  <c r="F13" i="356"/>
  <c r="T12" i="356"/>
  <c r="I12" i="356" s="1"/>
  <c r="F12" i="356"/>
  <c r="T11" i="356"/>
  <c r="I11" i="356" s="1"/>
  <c r="F11" i="356"/>
  <c r="K10" i="356"/>
  <c r="U10" i="356"/>
  <c r="T10" i="356"/>
  <c r="I10" i="356" s="1"/>
  <c r="F10" i="356"/>
  <c r="T9" i="356"/>
  <c r="I9" i="356" s="1"/>
  <c r="F9" i="356"/>
  <c r="T8" i="356"/>
  <c r="I8" i="356" s="1"/>
  <c r="F8" i="356"/>
  <c r="K7" i="356"/>
  <c r="U7" i="356"/>
  <c r="T7" i="356"/>
  <c r="I7" i="356" s="1"/>
  <c r="F7" i="356"/>
  <c r="T6" i="356"/>
  <c r="I6" i="356" s="1"/>
  <c r="F6" i="356"/>
  <c r="T5" i="356"/>
  <c r="I5" i="356" s="1"/>
  <c r="F5" i="356"/>
  <c r="S29" i="253"/>
  <c r="R29" i="253"/>
  <c r="K31" i="253" s="1"/>
  <c r="M43" i="253" s="1"/>
  <c r="Q29" i="253"/>
  <c r="S29" i="300"/>
  <c r="R29" i="300"/>
  <c r="K31" i="300" s="1"/>
  <c r="M43" i="300" s="1"/>
  <c r="Q29" i="300"/>
  <c r="S29" i="142"/>
  <c r="R29" i="142"/>
  <c r="K31" i="142" s="1"/>
  <c r="M43" i="142" s="1"/>
  <c r="Q29" i="142"/>
  <c r="Q17" i="195"/>
  <c r="R17" i="195"/>
  <c r="S17" i="195"/>
  <c r="Q18" i="195"/>
  <c r="R18" i="195"/>
  <c r="S18" i="195"/>
  <c r="Q19" i="195"/>
  <c r="R19" i="195"/>
  <c r="S19" i="195"/>
  <c r="Q20" i="195"/>
  <c r="R20" i="195"/>
  <c r="S20" i="195"/>
  <c r="Q21" i="195"/>
  <c r="R21" i="195"/>
  <c r="S21" i="195"/>
  <c r="Q22" i="195"/>
  <c r="R22" i="195"/>
  <c r="S22" i="195"/>
  <c r="Q23" i="195"/>
  <c r="R23" i="195"/>
  <c r="S23" i="195"/>
  <c r="Q24" i="195"/>
  <c r="R24" i="195"/>
  <c r="S24" i="195"/>
  <c r="Q25" i="195"/>
  <c r="R25" i="195"/>
  <c r="S25" i="195"/>
  <c r="Q26" i="195"/>
  <c r="F26" i="195" s="1"/>
  <c r="R26" i="195"/>
  <c r="S26" i="195"/>
  <c r="Q27" i="195"/>
  <c r="R27" i="195"/>
  <c r="S27" i="195"/>
  <c r="Q28" i="195"/>
  <c r="R28" i="195"/>
  <c r="S28" i="195"/>
  <c r="K31" i="195"/>
  <c r="M43" i="195" s="1"/>
  <c r="T29" i="355"/>
  <c r="I29" i="355" s="1"/>
  <c r="K28" i="355"/>
  <c r="U28" i="355"/>
  <c r="T28" i="355"/>
  <c r="I28" i="355" s="1"/>
  <c r="J40" i="355" s="1"/>
  <c r="F28" i="355"/>
  <c r="T27" i="355"/>
  <c r="I27" i="355" s="1"/>
  <c r="F27" i="355"/>
  <c r="T26" i="355"/>
  <c r="I26" i="355" s="1"/>
  <c r="K25" i="355"/>
  <c r="U25" i="355"/>
  <c r="M37" i="355" s="1"/>
  <c r="T25" i="355"/>
  <c r="I25" i="355" s="1"/>
  <c r="F25" i="355"/>
  <c r="T24" i="355"/>
  <c r="I24" i="355" s="1"/>
  <c r="J36" i="355" s="1"/>
  <c r="F24" i="355"/>
  <c r="T23" i="355"/>
  <c r="I23" i="355" s="1"/>
  <c r="F23" i="355"/>
  <c r="K22" i="355"/>
  <c r="U22" i="355"/>
  <c r="M34" i="355" s="1"/>
  <c r="T22" i="355"/>
  <c r="I22" i="355" s="1"/>
  <c r="F22" i="355"/>
  <c r="T21" i="355"/>
  <c r="I21" i="355" s="1"/>
  <c r="F21" i="355"/>
  <c r="T20" i="355"/>
  <c r="I20" i="355" s="1"/>
  <c r="J32" i="355" s="1"/>
  <c r="F20" i="355"/>
  <c r="K19" i="355"/>
  <c r="U19" i="355"/>
  <c r="M31" i="355" s="1"/>
  <c r="T19" i="355"/>
  <c r="I19" i="355" s="1"/>
  <c r="F19" i="355"/>
  <c r="T18" i="355"/>
  <c r="I18" i="355" s="1"/>
  <c r="F18" i="355"/>
  <c r="T17" i="355"/>
  <c r="I17" i="355" s="1"/>
  <c r="F17" i="355"/>
  <c r="K16" i="355"/>
  <c r="U16" i="355"/>
  <c r="T16" i="355"/>
  <c r="I16" i="355" s="1"/>
  <c r="F16" i="355"/>
  <c r="T15" i="355"/>
  <c r="I15" i="355" s="1"/>
  <c r="F15" i="355"/>
  <c r="T14" i="355"/>
  <c r="I14" i="355" s="1"/>
  <c r="F14" i="355"/>
  <c r="K13" i="355"/>
  <c r="U13" i="355"/>
  <c r="T13" i="355"/>
  <c r="I13" i="355" s="1"/>
  <c r="F13" i="355"/>
  <c r="T12" i="355"/>
  <c r="I12" i="355" s="1"/>
  <c r="F12" i="355"/>
  <c r="T11" i="355"/>
  <c r="I11" i="355" s="1"/>
  <c r="F11" i="355"/>
  <c r="U10" i="355"/>
  <c r="T10" i="355"/>
  <c r="I10" i="355" s="1"/>
  <c r="F10" i="355"/>
  <c r="T9" i="355"/>
  <c r="I9" i="355" s="1"/>
  <c r="F9" i="355"/>
  <c r="T8" i="355"/>
  <c r="I8" i="355" s="1"/>
  <c r="F8" i="355"/>
  <c r="U7" i="355"/>
  <c r="T7" i="355"/>
  <c r="I7" i="355" s="1"/>
  <c r="F7" i="355"/>
  <c r="T6" i="355"/>
  <c r="I6" i="355" s="1"/>
  <c r="F6" i="355"/>
  <c r="T5" i="355"/>
  <c r="I5" i="355" s="1"/>
  <c r="F5" i="355"/>
  <c r="J24" i="356" l="1"/>
  <c r="J20" i="355"/>
  <c r="J22" i="356"/>
  <c r="J26" i="356"/>
  <c r="J28" i="355"/>
  <c r="J24" i="355"/>
  <c r="J28" i="356"/>
  <c r="J25" i="356"/>
  <c r="J37" i="356"/>
  <c r="J23" i="355"/>
  <c r="J35" i="355"/>
  <c r="J22" i="355"/>
  <c r="J34" i="355"/>
  <c r="J27" i="355"/>
  <c r="J39" i="355"/>
  <c r="J21" i="355"/>
  <c r="J33" i="355"/>
  <c r="J17" i="355"/>
  <c r="J19" i="356"/>
  <c r="J31" i="356"/>
  <c r="J21" i="356"/>
  <c r="J33" i="356"/>
  <c r="J18" i="355"/>
  <c r="J30" i="355"/>
  <c r="J25" i="355"/>
  <c r="J37" i="355"/>
  <c r="J19" i="355"/>
  <c r="J31" i="355"/>
  <c r="J26" i="355"/>
  <c r="J38" i="355"/>
  <c r="J29" i="355"/>
  <c r="J41" i="355"/>
  <c r="J23" i="356"/>
  <c r="J35" i="356"/>
  <c r="J18" i="356"/>
  <c r="J20" i="356"/>
  <c r="J17" i="356"/>
  <c r="J29" i="356"/>
  <c r="J41" i="356"/>
  <c r="J27" i="356"/>
  <c r="J39" i="356"/>
  <c r="H40" i="355"/>
  <c r="N31" i="355"/>
  <c r="O34" i="355" s="1"/>
  <c r="H39" i="356"/>
  <c r="H31" i="357"/>
  <c r="H33" i="357"/>
  <c r="H35" i="357"/>
  <c r="H37" i="357"/>
  <c r="H31" i="355"/>
  <c r="H32" i="355"/>
  <c r="H34" i="355"/>
  <c r="H35" i="355"/>
  <c r="H37" i="355"/>
  <c r="H30" i="356"/>
  <c r="H33" i="356"/>
  <c r="H36" i="356"/>
  <c r="H40" i="357"/>
  <c r="H39" i="355"/>
  <c r="H38" i="195"/>
  <c r="H40" i="356"/>
  <c r="N31" i="356"/>
  <c r="O34" i="356" s="1"/>
  <c r="H30" i="357"/>
  <c r="H32" i="357"/>
  <c r="H34" i="357"/>
  <c r="H36" i="357"/>
  <c r="H30" i="355"/>
  <c r="H33" i="355"/>
  <c r="H36" i="355"/>
  <c r="H31" i="356"/>
  <c r="H32" i="356"/>
  <c r="H34" i="356"/>
  <c r="H35" i="356"/>
  <c r="H37" i="356"/>
  <c r="H39" i="357"/>
  <c r="M31" i="357"/>
  <c r="N34" i="357" s="1"/>
  <c r="I29" i="357"/>
  <c r="M19" i="357"/>
  <c r="M25" i="357"/>
  <c r="L28" i="357"/>
  <c r="K19" i="357"/>
  <c r="M28" i="357"/>
  <c r="M22" i="357"/>
  <c r="L31" i="356"/>
  <c r="M40" i="356"/>
  <c r="L31" i="355"/>
  <c r="M40" i="355"/>
  <c r="L10" i="355"/>
  <c r="H28" i="355"/>
  <c r="F29" i="321"/>
  <c r="U31" i="321"/>
  <c r="F29" i="300"/>
  <c r="U31" i="300"/>
  <c r="F29" i="142"/>
  <c r="H41" i="142" s="1"/>
  <c r="U31" i="142"/>
  <c r="F29" i="186"/>
  <c r="U31" i="186"/>
  <c r="F29" i="144"/>
  <c r="U31" i="144"/>
  <c r="F29" i="247"/>
  <c r="H41" i="247" s="1"/>
  <c r="U31" i="247"/>
  <c r="F29" i="195"/>
  <c r="U31" i="195"/>
  <c r="F29" i="253"/>
  <c r="H41" i="253" s="1"/>
  <c r="U31" i="253"/>
  <c r="F29" i="185"/>
  <c r="U31" i="185"/>
  <c r="F29" i="170"/>
  <c r="U31" i="170"/>
  <c r="C7" i="356"/>
  <c r="C10" i="356"/>
  <c r="C13" i="356"/>
  <c r="C16" i="356"/>
  <c r="C19" i="356"/>
  <c r="E31" i="356" s="1"/>
  <c r="C22" i="356"/>
  <c r="E34" i="356" s="1"/>
  <c r="C25" i="356"/>
  <c r="E37" i="356" s="1"/>
  <c r="C28" i="356"/>
  <c r="E40" i="356" s="1"/>
  <c r="C7" i="357"/>
  <c r="C22" i="357"/>
  <c r="E34" i="357" s="1"/>
  <c r="C25" i="357"/>
  <c r="E37" i="357" s="1"/>
  <c r="C7" i="355"/>
  <c r="C13" i="355"/>
  <c r="C16" i="355"/>
  <c r="C19" i="355"/>
  <c r="E31" i="355" s="1"/>
  <c r="C22" i="355"/>
  <c r="E34" i="355" s="1"/>
  <c r="C25" i="355"/>
  <c r="E37" i="355" s="1"/>
  <c r="C28" i="355"/>
  <c r="E40" i="355" s="1"/>
  <c r="C10" i="357"/>
  <c r="C13" i="357"/>
  <c r="C16" i="357"/>
  <c r="C19" i="357"/>
  <c r="E31" i="357" s="1"/>
  <c r="C10" i="355"/>
  <c r="C28" i="357"/>
  <c r="E40" i="357" s="1"/>
  <c r="H25" i="357"/>
  <c r="I25" i="357" s="1"/>
  <c r="G24" i="357"/>
  <c r="G22" i="357"/>
  <c r="G21" i="357"/>
  <c r="G12" i="357"/>
  <c r="G11" i="357"/>
  <c r="B16" i="357"/>
  <c r="G10" i="357"/>
  <c r="K10" i="357"/>
  <c r="M13" i="357"/>
  <c r="G14" i="357"/>
  <c r="G16" i="357"/>
  <c r="B19" i="357"/>
  <c r="G20" i="357"/>
  <c r="B28" i="357"/>
  <c r="G8" i="357"/>
  <c r="K13" i="357"/>
  <c r="M7" i="357"/>
  <c r="B13" i="357"/>
  <c r="H27" i="357"/>
  <c r="I27" i="357" s="1"/>
  <c r="G6" i="357"/>
  <c r="G7" i="357"/>
  <c r="H21" i="357"/>
  <c r="I21" i="357" s="1"/>
  <c r="H22" i="357"/>
  <c r="I22" i="357" s="1"/>
  <c r="G13" i="357"/>
  <c r="G15" i="357"/>
  <c r="K16" i="357"/>
  <c r="H18" i="357"/>
  <c r="I18" i="357" s="1"/>
  <c r="H23" i="357"/>
  <c r="I23" i="357" s="1"/>
  <c r="B7" i="357"/>
  <c r="M10" i="357"/>
  <c r="M16" i="357"/>
  <c r="H20" i="357"/>
  <c r="I20" i="357" s="1"/>
  <c r="H28" i="357"/>
  <c r="I28" i="357" s="1"/>
  <c r="G25" i="357"/>
  <c r="G27" i="357"/>
  <c r="G28" i="357"/>
  <c r="H29" i="357"/>
  <c r="H24" i="357"/>
  <c r="I24" i="357" s="1"/>
  <c r="G26" i="357"/>
  <c r="G9" i="357"/>
  <c r="G17" i="357"/>
  <c r="G18" i="357"/>
  <c r="G19" i="357"/>
  <c r="B22" i="357"/>
  <c r="H26" i="357"/>
  <c r="I26" i="357" s="1"/>
  <c r="G29" i="357"/>
  <c r="H17" i="357"/>
  <c r="I17" i="357" s="1"/>
  <c r="H19" i="357"/>
  <c r="I19" i="357" s="1"/>
  <c r="B25" i="357"/>
  <c r="B10" i="357"/>
  <c r="G23" i="357"/>
  <c r="G15" i="356"/>
  <c r="G21" i="356"/>
  <c r="G27" i="355"/>
  <c r="N25" i="356"/>
  <c r="G7" i="356"/>
  <c r="B10" i="356"/>
  <c r="G10" i="356"/>
  <c r="G13" i="356"/>
  <c r="G14" i="356"/>
  <c r="G28" i="356"/>
  <c r="H27" i="356"/>
  <c r="N19" i="356"/>
  <c r="H19" i="356"/>
  <c r="G6" i="356"/>
  <c r="N13" i="356"/>
  <c r="H28" i="356"/>
  <c r="B19" i="356"/>
  <c r="M28" i="356"/>
  <c r="L13" i="356"/>
  <c r="N16" i="356"/>
  <c r="N7" i="356"/>
  <c r="G9" i="356"/>
  <c r="L10" i="356"/>
  <c r="G12" i="356"/>
  <c r="L16" i="356"/>
  <c r="H18" i="356"/>
  <c r="M19" i="356"/>
  <c r="G11" i="356"/>
  <c r="B13" i="356"/>
  <c r="N10" i="356"/>
  <c r="H20" i="356"/>
  <c r="H25" i="356"/>
  <c r="M22" i="356"/>
  <c r="H24" i="356"/>
  <c r="M25" i="356"/>
  <c r="H26" i="356"/>
  <c r="G22" i="356"/>
  <c r="N28" i="356"/>
  <c r="H29" i="356"/>
  <c r="N22" i="356"/>
  <c r="H22" i="356"/>
  <c r="B25" i="356"/>
  <c r="G27" i="356"/>
  <c r="H21" i="356"/>
  <c r="L28" i="356"/>
  <c r="B7" i="356"/>
  <c r="B16" i="356"/>
  <c r="G16" i="356"/>
  <c r="G17" i="356"/>
  <c r="G18" i="356"/>
  <c r="G19" i="356"/>
  <c r="G23" i="356"/>
  <c r="G24" i="356"/>
  <c r="G25" i="356"/>
  <c r="G29" i="356"/>
  <c r="N7" i="355"/>
  <c r="G8" i="356"/>
  <c r="H17" i="356"/>
  <c r="L19" i="356"/>
  <c r="B22" i="356"/>
  <c r="H23" i="356"/>
  <c r="L25" i="356"/>
  <c r="B28" i="356"/>
  <c r="L22" i="356"/>
  <c r="G20" i="356"/>
  <c r="G26" i="356"/>
  <c r="H20" i="355"/>
  <c r="G22" i="355"/>
  <c r="G7" i="355"/>
  <c r="N25" i="355"/>
  <c r="G14" i="355"/>
  <c r="H25" i="355"/>
  <c r="G15" i="355"/>
  <c r="L16" i="355"/>
  <c r="G18" i="355"/>
  <c r="N22" i="355"/>
  <c r="H26" i="355"/>
  <c r="G12" i="355"/>
  <c r="N19" i="355"/>
  <c r="G21" i="355"/>
  <c r="M25" i="355"/>
  <c r="G28" i="355"/>
  <c r="G29" i="355"/>
  <c r="B19" i="355"/>
  <c r="N28" i="355"/>
  <c r="G13" i="355"/>
  <c r="L13" i="355"/>
  <c r="H24" i="355"/>
  <c r="M19" i="355"/>
  <c r="M28" i="355"/>
  <c r="B10" i="355"/>
  <c r="G10" i="355"/>
  <c r="G11" i="355"/>
  <c r="B13" i="355"/>
  <c r="H22" i="355"/>
  <c r="G6" i="355"/>
  <c r="N10" i="355"/>
  <c r="N13" i="355"/>
  <c r="N16" i="355"/>
  <c r="H19" i="355"/>
  <c r="H27" i="355"/>
  <c r="H21" i="355"/>
  <c r="B25" i="355"/>
  <c r="B7" i="355"/>
  <c r="G9" i="355"/>
  <c r="B16" i="355"/>
  <c r="G16" i="355"/>
  <c r="G17" i="355"/>
  <c r="G19" i="355"/>
  <c r="G23" i="355"/>
  <c r="G24" i="355"/>
  <c r="G25" i="355"/>
  <c r="H17" i="355"/>
  <c r="H18" i="355"/>
  <c r="L19" i="355"/>
  <c r="B22" i="355"/>
  <c r="H23" i="355"/>
  <c r="L25" i="355"/>
  <c r="B28" i="355"/>
  <c r="H29" i="355"/>
  <c r="L22" i="355"/>
  <c r="L28" i="355"/>
  <c r="M22" i="355"/>
  <c r="G8" i="355"/>
  <c r="G20" i="355"/>
  <c r="G26" i="355"/>
  <c r="T29" i="354"/>
  <c r="I29" i="354" s="1"/>
  <c r="J41" i="354" s="1"/>
  <c r="K28" i="354"/>
  <c r="U28" i="354"/>
  <c r="T28" i="354"/>
  <c r="I28" i="354" s="1"/>
  <c r="J40" i="354" s="1"/>
  <c r="F28" i="354"/>
  <c r="T27" i="354"/>
  <c r="I27" i="354" s="1"/>
  <c r="J39" i="354" s="1"/>
  <c r="F27" i="354"/>
  <c r="T26" i="354"/>
  <c r="I26" i="354" s="1"/>
  <c r="K25" i="354"/>
  <c r="U25" i="354"/>
  <c r="M37" i="354" s="1"/>
  <c r="T25" i="354"/>
  <c r="I25" i="354" s="1"/>
  <c r="J37" i="354" s="1"/>
  <c r="F25" i="354"/>
  <c r="T24" i="354"/>
  <c r="I24" i="354" s="1"/>
  <c r="F24" i="354"/>
  <c r="T23" i="354"/>
  <c r="I23" i="354" s="1"/>
  <c r="J35" i="354" s="1"/>
  <c r="F23" i="354"/>
  <c r="K22" i="354"/>
  <c r="U22" i="354"/>
  <c r="M34" i="354" s="1"/>
  <c r="T22" i="354"/>
  <c r="I22" i="354" s="1"/>
  <c r="F22" i="354"/>
  <c r="T21" i="354"/>
  <c r="I21" i="354" s="1"/>
  <c r="J33" i="354" s="1"/>
  <c r="F21" i="354"/>
  <c r="T20" i="354"/>
  <c r="I20" i="354" s="1"/>
  <c r="F20" i="354"/>
  <c r="K19" i="354"/>
  <c r="U19" i="354"/>
  <c r="M31" i="354" s="1"/>
  <c r="T19" i="354"/>
  <c r="I19" i="354" s="1"/>
  <c r="J31" i="354" s="1"/>
  <c r="F19" i="354"/>
  <c r="T18" i="354"/>
  <c r="I18" i="354" s="1"/>
  <c r="F18" i="354"/>
  <c r="T17" i="354"/>
  <c r="I17" i="354" s="1"/>
  <c r="F17" i="354"/>
  <c r="K16" i="354"/>
  <c r="U16" i="354"/>
  <c r="T16" i="354"/>
  <c r="I16" i="354" s="1"/>
  <c r="F16" i="354"/>
  <c r="T15" i="354"/>
  <c r="I15" i="354" s="1"/>
  <c r="F15" i="354"/>
  <c r="T14" i="354"/>
  <c r="I14" i="354" s="1"/>
  <c r="F14" i="354"/>
  <c r="K13" i="354"/>
  <c r="U13" i="354"/>
  <c r="T13" i="354"/>
  <c r="I13" i="354" s="1"/>
  <c r="F13" i="354"/>
  <c r="T12" i="354"/>
  <c r="I12" i="354" s="1"/>
  <c r="F12" i="354"/>
  <c r="T11" i="354"/>
  <c r="I11" i="354" s="1"/>
  <c r="F11" i="354"/>
  <c r="K10" i="354"/>
  <c r="U10" i="354"/>
  <c r="T10" i="354"/>
  <c r="I10" i="354" s="1"/>
  <c r="F10" i="354"/>
  <c r="T9" i="354"/>
  <c r="I9" i="354" s="1"/>
  <c r="F9" i="354"/>
  <c r="T8" i="354"/>
  <c r="I8" i="354" s="1"/>
  <c r="F8" i="354"/>
  <c r="K7" i="354"/>
  <c r="U7" i="354"/>
  <c r="T7" i="354"/>
  <c r="I7" i="354" s="1"/>
  <c r="F7" i="354"/>
  <c r="T6" i="354"/>
  <c r="I6" i="354" s="1"/>
  <c r="F6" i="354"/>
  <c r="T5" i="354"/>
  <c r="I5" i="354" s="1"/>
  <c r="F5" i="354"/>
  <c r="T29" i="353"/>
  <c r="I29" i="353" s="1"/>
  <c r="J41" i="353" s="1"/>
  <c r="L31" i="353"/>
  <c r="T28" i="353"/>
  <c r="I28" i="353" s="1"/>
  <c r="J40" i="353" s="1"/>
  <c r="F28" i="353"/>
  <c r="T27" i="353"/>
  <c r="I27" i="353" s="1"/>
  <c r="J39" i="353" s="1"/>
  <c r="F27" i="353"/>
  <c r="T26" i="353"/>
  <c r="I26" i="353" s="1"/>
  <c r="T25" i="353"/>
  <c r="I25" i="353" s="1"/>
  <c r="F25" i="353"/>
  <c r="T24" i="353"/>
  <c r="I24" i="353" s="1"/>
  <c r="J36" i="353" s="1"/>
  <c r="F24" i="353"/>
  <c r="H44" i="353" s="1"/>
  <c r="T23" i="353"/>
  <c r="I23" i="353" s="1"/>
  <c r="F23" i="353"/>
  <c r="T22" i="353"/>
  <c r="I22" i="353" s="1"/>
  <c r="F22" i="353"/>
  <c r="T21" i="353"/>
  <c r="I21" i="353" s="1"/>
  <c r="F21" i="353"/>
  <c r="H43" i="353" s="1"/>
  <c r="T20" i="353"/>
  <c r="I20" i="353" s="1"/>
  <c r="J32" i="353" s="1"/>
  <c r="F20" i="353"/>
  <c r="M31" i="353"/>
  <c r="T19" i="353"/>
  <c r="I19" i="353" s="1"/>
  <c r="F19" i="353"/>
  <c r="H41" i="353" s="1"/>
  <c r="T18" i="353"/>
  <c r="I18" i="353" s="1"/>
  <c r="F18" i="353"/>
  <c r="T17" i="353"/>
  <c r="I17" i="353" s="1"/>
  <c r="F17" i="353"/>
  <c r="K16" i="353"/>
  <c r="U16" i="353"/>
  <c r="T16" i="353"/>
  <c r="I16" i="353" s="1"/>
  <c r="F16" i="353"/>
  <c r="T15" i="353"/>
  <c r="I15" i="353" s="1"/>
  <c r="F15" i="353"/>
  <c r="T14" i="353"/>
  <c r="I14" i="353" s="1"/>
  <c r="F14" i="353"/>
  <c r="K13" i="353"/>
  <c r="U13" i="353"/>
  <c r="T13" i="353"/>
  <c r="I13" i="353" s="1"/>
  <c r="F13" i="353"/>
  <c r="T12" i="353"/>
  <c r="I12" i="353" s="1"/>
  <c r="F12" i="353"/>
  <c r="T11" i="353"/>
  <c r="I11" i="353" s="1"/>
  <c r="F11" i="353"/>
  <c r="K10" i="353"/>
  <c r="U10" i="353"/>
  <c r="M22" i="353" s="1"/>
  <c r="T10" i="353"/>
  <c r="I10" i="353" s="1"/>
  <c r="F10" i="353"/>
  <c r="T9" i="353"/>
  <c r="I9" i="353" s="1"/>
  <c r="F9" i="353"/>
  <c r="T8" i="353"/>
  <c r="I8" i="353" s="1"/>
  <c r="F8" i="353"/>
  <c r="K7" i="353"/>
  <c r="U7" i="353"/>
  <c r="M19" i="353" s="1"/>
  <c r="T7" i="353"/>
  <c r="I7" i="353" s="1"/>
  <c r="F7" i="353"/>
  <c r="T6" i="353"/>
  <c r="I6" i="353" s="1"/>
  <c r="F6" i="353"/>
  <c r="T5" i="353"/>
  <c r="I5" i="353" s="1"/>
  <c r="F5" i="353"/>
  <c r="T29" i="352"/>
  <c r="I29" i="352" s="1"/>
  <c r="K28" i="352"/>
  <c r="U28" i="352"/>
  <c r="T28" i="352"/>
  <c r="I28" i="352" s="1"/>
  <c r="J40" i="352" s="1"/>
  <c r="F28" i="352"/>
  <c r="T27" i="352"/>
  <c r="I27" i="352" s="1"/>
  <c r="F27" i="352"/>
  <c r="T26" i="352"/>
  <c r="I26" i="352" s="1"/>
  <c r="J38" i="352" s="1"/>
  <c r="K25" i="352"/>
  <c r="U25" i="352"/>
  <c r="M37" i="352" s="1"/>
  <c r="T25" i="352"/>
  <c r="I25" i="352" s="1"/>
  <c r="F25" i="352"/>
  <c r="T24" i="352"/>
  <c r="I24" i="352" s="1"/>
  <c r="J36" i="352" s="1"/>
  <c r="F24" i="352"/>
  <c r="T23" i="352"/>
  <c r="I23" i="352" s="1"/>
  <c r="F23" i="352"/>
  <c r="K22" i="352"/>
  <c r="U22" i="352"/>
  <c r="M34" i="352" s="1"/>
  <c r="T22" i="352"/>
  <c r="I22" i="352" s="1"/>
  <c r="J34" i="352" s="1"/>
  <c r="F22" i="352"/>
  <c r="T21" i="352"/>
  <c r="I21" i="352" s="1"/>
  <c r="F21" i="352"/>
  <c r="T20" i="352"/>
  <c r="I20" i="352" s="1"/>
  <c r="J32" i="352" s="1"/>
  <c r="F20" i="352"/>
  <c r="K19" i="352"/>
  <c r="U19" i="352"/>
  <c r="M31" i="352" s="1"/>
  <c r="T19" i="352"/>
  <c r="I19" i="352" s="1"/>
  <c r="F19" i="352"/>
  <c r="T18" i="352"/>
  <c r="I18" i="352" s="1"/>
  <c r="J30" i="352" s="1"/>
  <c r="F18" i="352"/>
  <c r="T17" i="352"/>
  <c r="I17" i="352" s="1"/>
  <c r="F17" i="352"/>
  <c r="K16" i="352"/>
  <c r="U16" i="352"/>
  <c r="T16" i="352"/>
  <c r="I16" i="352" s="1"/>
  <c r="F16" i="352"/>
  <c r="T15" i="352"/>
  <c r="I15" i="352" s="1"/>
  <c r="F15" i="352"/>
  <c r="T14" i="352"/>
  <c r="I14" i="352" s="1"/>
  <c r="F14" i="352"/>
  <c r="K13" i="352"/>
  <c r="U13" i="352"/>
  <c r="T13" i="352"/>
  <c r="I13" i="352" s="1"/>
  <c r="F13" i="352"/>
  <c r="T12" i="352"/>
  <c r="I12" i="352" s="1"/>
  <c r="F12" i="352"/>
  <c r="T11" i="352"/>
  <c r="I11" i="352" s="1"/>
  <c r="F11" i="352"/>
  <c r="K10" i="352"/>
  <c r="U10" i="352"/>
  <c r="T10" i="352"/>
  <c r="I10" i="352" s="1"/>
  <c r="F10" i="352"/>
  <c r="T9" i="352"/>
  <c r="I9" i="352" s="1"/>
  <c r="F9" i="352"/>
  <c r="T8" i="352"/>
  <c r="I8" i="352" s="1"/>
  <c r="F8" i="352"/>
  <c r="K7" i="352"/>
  <c r="U7" i="352"/>
  <c r="T7" i="352"/>
  <c r="I7" i="352" s="1"/>
  <c r="F7" i="352"/>
  <c r="T6" i="352"/>
  <c r="I6" i="352" s="1"/>
  <c r="F6" i="352"/>
  <c r="T5" i="352"/>
  <c r="I5" i="352" s="1"/>
  <c r="F5" i="352"/>
  <c r="T29" i="351"/>
  <c r="I29" i="351" s="1"/>
  <c r="K28" i="351"/>
  <c r="U28" i="351"/>
  <c r="T28" i="351"/>
  <c r="I28" i="351" s="1"/>
  <c r="J40" i="351" s="1"/>
  <c r="F28" i="351"/>
  <c r="T27" i="351"/>
  <c r="I27" i="351" s="1"/>
  <c r="J39" i="351" s="1"/>
  <c r="F27" i="351"/>
  <c r="T26" i="351"/>
  <c r="I26" i="351" s="1"/>
  <c r="K25" i="351"/>
  <c r="U25" i="351"/>
  <c r="M37" i="351" s="1"/>
  <c r="T25" i="351"/>
  <c r="I25" i="351" s="1"/>
  <c r="F25" i="351"/>
  <c r="T24" i="351"/>
  <c r="I24" i="351" s="1"/>
  <c r="J36" i="351" s="1"/>
  <c r="F24" i="351"/>
  <c r="T23" i="351"/>
  <c r="I23" i="351" s="1"/>
  <c r="J35" i="351" s="1"/>
  <c r="F23" i="351"/>
  <c r="K22" i="351"/>
  <c r="U22" i="351"/>
  <c r="M34" i="351" s="1"/>
  <c r="T22" i="351"/>
  <c r="I22" i="351" s="1"/>
  <c r="F22" i="351"/>
  <c r="T21" i="351"/>
  <c r="I21" i="351" s="1"/>
  <c r="F21" i="351"/>
  <c r="T20" i="351"/>
  <c r="I20" i="351" s="1"/>
  <c r="J32" i="351" s="1"/>
  <c r="F20" i="351"/>
  <c r="K19" i="351"/>
  <c r="U19" i="351"/>
  <c r="M31" i="351" s="1"/>
  <c r="T19" i="351"/>
  <c r="I19" i="351" s="1"/>
  <c r="J31" i="351" s="1"/>
  <c r="F19" i="351"/>
  <c r="T18" i="351"/>
  <c r="I18" i="351" s="1"/>
  <c r="F18" i="351"/>
  <c r="T17" i="351"/>
  <c r="I17" i="351" s="1"/>
  <c r="F17" i="351"/>
  <c r="K16" i="351"/>
  <c r="U16" i="351"/>
  <c r="T16" i="351"/>
  <c r="I16" i="351" s="1"/>
  <c r="F16" i="351"/>
  <c r="T15" i="351"/>
  <c r="I15" i="351" s="1"/>
  <c r="F15" i="351"/>
  <c r="T14" i="351"/>
  <c r="I14" i="351" s="1"/>
  <c r="F14" i="351"/>
  <c r="K13" i="351"/>
  <c r="U13" i="351"/>
  <c r="T13" i="351"/>
  <c r="I13" i="351" s="1"/>
  <c r="F13" i="351"/>
  <c r="T12" i="351"/>
  <c r="I12" i="351" s="1"/>
  <c r="F12" i="351"/>
  <c r="T11" i="351"/>
  <c r="I11" i="351" s="1"/>
  <c r="F11" i="351"/>
  <c r="K10" i="351"/>
  <c r="U10" i="351"/>
  <c r="T10" i="351"/>
  <c r="I10" i="351" s="1"/>
  <c r="F10" i="351"/>
  <c r="T9" i="351"/>
  <c r="I9" i="351" s="1"/>
  <c r="F9" i="351"/>
  <c r="T8" i="351"/>
  <c r="I8" i="351" s="1"/>
  <c r="F8" i="351"/>
  <c r="K7" i="351"/>
  <c r="U7" i="351"/>
  <c r="T7" i="351"/>
  <c r="I7" i="351" s="1"/>
  <c r="F7" i="351"/>
  <c r="T6" i="351"/>
  <c r="I6" i="351" s="1"/>
  <c r="F6" i="351"/>
  <c r="T5" i="351"/>
  <c r="I5" i="351" s="1"/>
  <c r="F5" i="351"/>
  <c r="T29" i="350"/>
  <c r="I29" i="350" s="1"/>
  <c r="K28" i="350"/>
  <c r="U28" i="350"/>
  <c r="T28" i="350"/>
  <c r="I28" i="350" s="1"/>
  <c r="J40" i="350" s="1"/>
  <c r="F28" i="350"/>
  <c r="T27" i="350"/>
  <c r="I27" i="350" s="1"/>
  <c r="F27" i="350"/>
  <c r="T26" i="350"/>
  <c r="I26" i="350" s="1"/>
  <c r="K25" i="350"/>
  <c r="U25" i="350"/>
  <c r="M37" i="350" s="1"/>
  <c r="T25" i="350"/>
  <c r="I25" i="350" s="1"/>
  <c r="F25" i="350"/>
  <c r="T24" i="350"/>
  <c r="I24" i="350" s="1"/>
  <c r="J36" i="350" s="1"/>
  <c r="F24" i="350"/>
  <c r="T23" i="350"/>
  <c r="I23" i="350" s="1"/>
  <c r="F23" i="350"/>
  <c r="K22" i="350"/>
  <c r="U22" i="350"/>
  <c r="M34" i="350" s="1"/>
  <c r="T22" i="350"/>
  <c r="I22" i="350" s="1"/>
  <c r="F22" i="350"/>
  <c r="T21" i="350"/>
  <c r="I21" i="350" s="1"/>
  <c r="F21" i="350"/>
  <c r="T20" i="350"/>
  <c r="I20" i="350" s="1"/>
  <c r="J32" i="350" s="1"/>
  <c r="F20" i="350"/>
  <c r="K19" i="350"/>
  <c r="U19" i="350"/>
  <c r="M31" i="350" s="1"/>
  <c r="T19" i="350"/>
  <c r="I19" i="350" s="1"/>
  <c r="F19" i="350"/>
  <c r="T18" i="350"/>
  <c r="I18" i="350" s="1"/>
  <c r="F18" i="350"/>
  <c r="T17" i="350"/>
  <c r="I17" i="350" s="1"/>
  <c r="F17" i="350"/>
  <c r="K16" i="350"/>
  <c r="U16" i="350"/>
  <c r="T16" i="350"/>
  <c r="I16" i="350" s="1"/>
  <c r="F16" i="350"/>
  <c r="T15" i="350"/>
  <c r="I15" i="350" s="1"/>
  <c r="F15" i="350"/>
  <c r="T14" i="350"/>
  <c r="I14" i="350" s="1"/>
  <c r="F14" i="350"/>
  <c r="K13" i="350"/>
  <c r="U13" i="350"/>
  <c r="T13" i="350"/>
  <c r="I13" i="350" s="1"/>
  <c r="F13" i="350"/>
  <c r="T12" i="350"/>
  <c r="I12" i="350" s="1"/>
  <c r="F12" i="350"/>
  <c r="T11" i="350"/>
  <c r="I11" i="350" s="1"/>
  <c r="F11" i="350"/>
  <c r="K10" i="350"/>
  <c r="U10" i="350"/>
  <c r="T10" i="350"/>
  <c r="I10" i="350" s="1"/>
  <c r="F10" i="350"/>
  <c r="T9" i="350"/>
  <c r="I9" i="350" s="1"/>
  <c r="F9" i="350"/>
  <c r="T8" i="350"/>
  <c r="I8" i="350" s="1"/>
  <c r="F8" i="350"/>
  <c r="K7" i="350"/>
  <c r="U7" i="350"/>
  <c r="T7" i="350"/>
  <c r="I7" i="350" s="1"/>
  <c r="F7" i="350"/>
  <c r="T6" i="350"/>
  <c r="I6" i="350" s="1"/>
  <c r="F6" i="350"/>
  <c r="T5" i="350"/>
  <c r="I5" i="350" s="1"/>
  <c r="F5" i="350"/>
  <c r="J28" i="354" l="1"/>
  <c r="O31" i="355"/>
  <c r="J20" i="350"/>
  <c r="J19" i="351"/>
  <c r="J23" i="351"/>
  <c r="J22" i="352"/>
  <c r="J24" i="352"/>
  <c r="J27" i="353"/>
  <c r="J19" i="354"/>
  <c r="J21" i="354"/>
  <c r="J23" i="354"/>
  <c r="O31" i="356"/>
  <c r="J17" i="351"/>
  <c r="J24" i="350"/>
  <c r="J20" i="351"/>
  <c r="J27" i="351"/>
  <c r="J28" i="352"/>
  <c r="J25" i="354"/>
  <c r="J26" i="351"/>
  <c r="J38" i="351"/>
  <c r="J27" i="352"/>
  <c r="J39" i="352"/>
  <c r="J33" i="353"/>
  <c r="J21" i="353"/>
  <c r="J26" i="354"/>
  <c r="J38" i="354"/>
  <c r="J19" i="350"/>
  <c r="J31" i="350"/>
  <c r="J23" i="350"/>
  <c r="J35" i="350"/>
  <c r="J22" i="351"/>
  <c r="J34" i="351"/>
  <c r="J29" i="351"/>
  <c r="J41" i="351"/>
  <c r="J26" i="350"/>
  <c r="J38" i="350"/>
  <c r="J22" i="353"/>
  <c r="J34" i="353"/>
  <c r="J37" i="353"/>
  <c r="J25" i="353"/>
  <c r="M25" i="350"/>
  <c r="J27" i="350"/>
  <c r="J39" i="350"/>
  <c r="J28" i="350"/>
  <c r="J18" i="350"/>
  <c r="J30" i="350"/>
  <c r="J25" i="350"/>
  <c r="J37" i="350"/>
  <c r="J24" i="351"/>
  <c r="J21" i="351"/>
  <c r="J33" i="351"/>
  <c r="J18" i="352"/>
  <c r="J20" i="352"/>
  <c r="J17" i="352"/>
  <c r="J29" i="352"/>
  <c r="J41" i="352"/>
  <c r="J28" i="353"/>
  <c r="J18" i="353"/>
  <c r="J30" i="353"/>
  <c r="J25" i="352"/>
  <c r="J37" i="352"/>
  <c r="J24" i="353"/>
  <c r="J31" i="353"/>
  <c r="J19" i="353"/>
  <c r="J27" i="354"/>
  <c r="J29" i="354"/>
  <c r="J17" i="354"/>
  <c r="J22" i="354"/>
  <c r="J34" i="354"/>
  <c r="J24" i="354"/>
  <c r="J36" i="354"/>
  <c r="J21" i="350"/>
  <c r="J33" i="350"/>
  <c r="J17" i="350"/>
  <c r="J22" i="350"/>
  <c r="J34" i="350"/>
  <c r="J29" i="350"/>
  <c r="J41" i="350"/>
  <c r="J28" i="351"/>
  <c r="J18" i="351"/>
  <c r="J30" i="351"/>
  <c r="J25" i="351"/>
  <c r="J37" i="351"/>
  <c r="J26" i="352"/>
  <c r="J19" i="352"/>
  <c r="J31" i="352"/>
  <c r="J21" i="352"/>
  <c r="J33" i="352"/>
  <c r="J23" i="352"/>
  <c r="J35" i="352"/>
  <c r="J20" i="353"/>
  <c r="J29" i="353"/>
  <c r="J17" i="353"/>
  <c r="J26" i="353"/>
  <c r="J38" i="353"/>
  <c r="J18" i="354"/>
  <c r="J30" i="354"/>
  <c r="J20" i="354"/>
  <c r="J32" i="354"/>
  <c r="J35" i="353"/>
  <c r="J23" i="353"/>
  <c r="H31" i="350"/>
  <c r="H32" i="350"/>
  <c r="H34" i="350"/>
  <c r="H35" i="350"/>
  <c r="H37" i="350"/>
  <c r="H31" i="351"/>
  <c r="H32" i="351"/>
  <c r="H34" i="351"/>
  <c r="H35" i="351"/>
  <c r="H37" i="351"/>
  <c r="H31" i="352"/>
  <c r="H32" i="352"/>
  <c r="H34" i="352"/>
  <c r="H35" i="352"/>
  <c r="H37" i="352"/>
  <c r="H31" i="353"/>
  <c r="H39" i="353"/>
  <c r="H30" i="354"/>
  <c r="H33" i="354"/>
  <c r="H36" i="354"/>
  <c r="H39" i="350"/>
  <c r="H39" i="351"/>
  <c r="H39" i="352"/>
  <c r="H33" i="353"/>
  <c r="H35" i="353"/>
  <c r="H37" i="353"/>
  <c r="N31" i="353"/>
  <c r="H40" i="354"/>
  <c r="N31" i="354"/>
  <c r="O34" i="354" s="1"/>
  <c r="H30" i="350"/>
  <c r="H33" i="350"/>
  <c r="H36" i="350"/>
  <c r="H30" i="351"/>
  <c r="H33" i="351"/>
  <c r="H36" i="351"/>
  <c r="H30" i="352"/>
  <c r="H33" i="352"/>
  <c r="H36" i="352"/>
  <c r="H30" i="353"/>
  <c r="H40" i="353"/>
  <c r="H31" i="354"/>
  <c r="H32" i="354"/>
  <c r="H34" i="354"/>
  <c r="H35" i="354"/>
  <c r="H37" i="354"/>
  <c r="H40" i="350"/>
  <c r="N31" i="350"/>
  <c r="O34" i="350" s="1"/>
  <c r="H40" i="351"/>
  <c r="N31" i="351"/>
  <c r="O34" i="351" s="1"/>
  <c r="H40" i="352"/>
  <c r="N31" i="352"/>
  <c r="O34" i="352" s="1"/>
  <c r="H32" i="353"/>
  <c r="H34" i="353"/>
  <c r="H36" i="353"/>
  <c r="H39" i="354"/>
  <c r="N19" i="357"/>
  <c r="L34" i="185"/>
  <c r="L34" i="195"/>
  <c r="L34" i="144"/>
  <c r="L34" i="142"/>
  <c r="L34" i="321"/>
  <c r="L34" i="170"/>
  <c r="L34" i="253"/>
  <c r="L34" i="247"/>
  <c r="L34" i="186"/>
  <c r="L34" i="300"/>
  <c r="N22" i="357"/>
  <c r="G30" i="170"/>
  <c r="H41" i="170"/>
  <c r="G30" i="186"/>
  <c r="H41" i="186"/>
  <c r="G30" i="300"/>
  <c r="H41" i="300"/>
  <c r="G30" i="185"/>
  <c r="H41" i="185"/>
  <c r="G30" i="195"/>
  <c r="H41" i="195"/>
  <c r="G30" i="144"/>
  <c r="H41" i="144"/>
  <c r="G30" i="321"/>
  <c r="H41" i="321"/>
  <c r="N28" i="357"/>
  <c r="N31" i="357"/>
  <c r="N25" i="357"/>
  <c r="L31" i="350"/>
  <c r="M40" i="350"/>
  <c r="L31" i="351"/>
  <c r="M40" i="351"/>
  <c r="L31" i="352"/>
  <c r="M40" i="352"/>
  <c r="L31" i="354"/>
  <c r="M40" i="354"/>
  <c r="D31" i="355"/>
  <c r="D31" i="357"/>
  <c r="D31" i="356"/>
  <c r="M19" i="350"/>
  <c r="H24" i="350"/>
  <c r="H18" i="350"/>
  <c r="H25" i="350"/>
  <c r="L16" i="354"/>
  <c r="M22" i="350"/>
  <c r="G17" i="350"/>
  <c r="H28" i="352"/>
  <c r="L13" i="351"/>
  <c r="L16" i="353"/>
  <c r="M25" i="353"/>
  <c r="L19" i="353"/>
  <c r="M28" i="353"/>
  <c r="H28" i="353"/>
  <c r="L13" i="352"/>
  <c r="C31" i="170"/>
  <c r="E43" i="170" s="1"/>
  <c r="B31" i="170"/>
  <c r="C31" i="253"/>
  <c r="E43" i="253" s="1"/>
  <c r="B31" i="253"/>
  <c r="C31" i="142"/>
  <c r="E43" i="142" s="1"/>
  <c r="B31" i="142"/>
  <c r="C31" i="144"/>
  <c r="E43" i="144" s="1"/>
  <c r="B31" i="144"/>
  <c r="C31" i="247"/>
  <c r="E43" i="247" s="1"/>
  <c r="B31" i="247"/>
  <c r="C31" i="321"/>
  <c r="E43" i="321" s="1"/>
  <c r="B31" i="321"/>
  <c r="C31" i="300"/>
  <c r="E43" i="300" s="1"/>
  <c r="B31" i="300"/>
  <c r="G30" i="142"/>
  <c r="G30" i="247"/>
  <c r="G30" i="253"/>
  <c r="C31" i="185"/>
  <c r="E43" i="185" s="1"/>
  <c r="B31" i="185"/>
  <c r="C31" i="195"/>
  <c r="E43" i="195" s="1"/>
  <c r="B31" i="195"/>
  <c r="C31" i="186"/>
  <c r="E43" i="186" s="1"/>
  <c r="B31" i="186"/>
  <c r="D13" i="357"/>
  <c r="D16" i="356"/>
  <c r="D10" i="355"/>
  <c r="D10" i="357"/>
  <c r="D10" i="356"/>
  <c r="D13" i="355"/>
  <c r="D16" i="357"/>
  <c r="E19" i="357"/>
  <c r="D19" i="357"/>
  <c r="E25" i="355"/>
  <c r="D25" i="355"/>
  <c r="E22" i="357"/>
  <c r="D22" i="357"/>
  <c r="E22" i="356"/>
  <c r="D22" i="356"/>
  <c r="E22" i="355"/>
  <c r="D22" i="355"/>
  <c r="E19" i="356"/>
  <c r="D19" i="356"/>
  <c r="E19" i="355"/>
  <c r="D19" i="355"/>
  <c r="E28" i="356"/>
  <c r="D28" i="356"/>
  <c r="E28" i="357"/>
  <c r="D28" i="357"/>
  <c r="E28" i="355"/>
  <c r="D28" i="355"/>
  <c r="D16" i="355"/>
  <c r="E25" i="357"/>
  <c r="D25" i="357"/>
  <c r="E25" i="356"/>
  <c r="D25" i="356"/>
  <c r="D13" i="356"/>
  <c r="C22" i="352"/>
  <c r="E34" i="352" s="1"/>
  <c r="C28" i="352"/>
  <c r="E40" i="352" s="1"/>
  <c r="C25" i="352"/>
  <c r="E37" i="352" s="1"/>
  <c r="C7" i="352"/>
  <c r="C10" i="352"/>
  <c r="C19" i="352"/>
  <c r="E31" i="352" s="1"/>
  <c r="C13" i="352"/>
  <c r="C16" i="352"/>
  <c r="C7" i="351"/>
  <c r="C10" i="351"/>
  <c r="C13" i="351"/>
  <c r="C16" i="351"/>
  <c r="C19" i="351"/>
  <c r="E31" i="351" s="1"/>
  <c r="C22" i="351"/>
  <c r="E34" i="351" s="1"/>
  <c r="C25" i="351"/>
  <c r="E37" i="351" s="1"/>
  <c r="C28" i="351"/>
  <c r="E40" i="351" s="1"/>
  <c r="C7" i="353"/>
  <c r="C10" i="353"/>
  <c r="C13" i="353"/>
  <c r="H26" i="353"/>
  <c r="C16" i="353"/>
  <c r="C19" i="353"/>
  <c r="E31" i="353" s="1"/>
  <c r="C22" i="353"/>
  <c r="E34" i="353" s="1"/>
  <c r="C25" i="353"/>
  <c r="E37" i="353" s="1"/>
  <c r="C28" i="353"/>
  <c r="E40" i="353" s="1"/>
  <c r="H17" i="350"/>
  <c r="C7" i="350"/>
  <c r="C10" i="350"/>
  <c r="C13" i="350"/>
  <c r="C16" i="350"/>
  <c r="C19" i="350"/>
  <c r="E31" i="350" s="1"/>
  <c r="C22" i="350"/>
  <c r="E34" i="350" s="1"/>
  <c r="C25" i="350"/>
  <c r="E37" i="350" s="1"/>
  <c r="C28" i="350"/>
  <c r="E40" i="350" s="1"/>
  <c r="C7" i="354"/>
  <c r="C10" i="354"/>
  <c r="C13" i="354"/>
  <c r="H26" i="354"/>
  <c r="C16" i="354"/>
  <c r="C19" i="354"/>
  <c r="E31" i="354" s="1"/>
  <c r="C22" i="354"/>
  <c r="E34" i="354" s="1"/>
  <c r="C25" i="354"/>
  <c r="E37" i="354" s="1"/>
  <c r="C28" i="354"/>
  <c r="E40" i="354" s="1"/>
  <c r="O22" i="356"/>
  <c r="N16" i="357"/>
  <c r="N10" i="357"/>
  <c r="N13" i="357"/>
  <c r="N19" i="354"/>
  <c r="O28" i="356"/>
  <c r="O10" i="356"/>
  <c r="O13" i="356"/>
  <c r="O19" i="356"/>
  <c r="O10" i="355"/>
  <c r="N25" i="352"/>
  <c r="O16" i="356"/>
  <c r="O25" i="356"/>
  <c r="O22" i="355"/>
  <c r="O19" i="355"/>
  <c r="O16" i="355"/>
  <c r="N25" i="354"/>
  <c r="O28" i="355"/>
  <c r="O25" i="355"/>
  <c r="O13" i="355"/>
  <c r="G27" i="350"/>
  <c r="G27" i="352"/>
  <c r="G7" i="353"/>
  <c r="B10" i="353"/>
  <c r="G10" i="353"/>
  <c r="G22" i="353"/>
  <c r="G28" i="353"/>
  <c r="G6" i="354"/>
  <c r="G27" i="354"/>
  <c r="G14" i="353"/>
  <c r="M28" i="354"/>
  <c r="G27" i="351"/>
  <c r="G7" i="354"/>
  <c r="B13" i="354"/>
  <c r="G13" i="354"/>
  <c r="G16" i="354"/>
  <c r="H17" i="354"/>
  <c r="H19" i="354"/>
  <c r="N25" i="351"/>
  <c r="N13" i="354"/>
  <c r="L19" i="350"/>
  <c r="G11" i="350"/>
  <c r="G14" i="354"/>
  <c r="N16" i="354"/>
  <c r="G22" i="354"/>
  <c r="B10" i="354"/>
  <c r="G10" i="354"/>
  <c r="N22" i="354"/>
  <c r="G28" i="354"/>
  <c r="H29" i="354"/>
  <c r="G21" i="354"/>
  <c r="N28" i="354"/>
  <c r="G11" i="354"/>
  <c r="N10" i="354"/>
  <c r="H23" i="354"/>
  <c r="H25" i="354"/>
  <c r="N7" i="354"/>
  <c r="G9" i="354"/>
  <c r="L10" i="354"/>
  <c r="G12" i="354"/>
  <c r="L13" i="354"/>
  <c r="G15" i="354"/>
  <c r="H18" i="354"/>
  <c r="M19" i="354"/>
  <c r="M22" i="354"/>
  <c r="H24" i="354"/>
  <c r="M25" i="354"/>
  <c r="N19" i="353"/>
  <c r="N25" i="353"/>
  <c r="N13" i="353"/>
  <c r="N16" i="353"/>
  <c r="G15" i="353"/>
  <c r="G7" i="351"/>
  <c r="B10" i="351"/>
  <c r="G9" i="353"/>
  <c r="N10" i="353"/>
  <c r="H24" i="353"/>
  <c r="B19" i="354"/>
  <c r="H20" i="354"/>
  <c r="H21" i="354"/>
  <c r="H22" i="354"/>
  <c r="L22" i="354"/>
  <c r="B25" i="354"/>
  <c r="H27" i="354"/>
  <c r="H28" i="354"/>
  <c r="L28" i="354"/>
  <c r="L10" i="353"/>
  <c r="G12" i="353"/>
  <c r="G13" i="353"/>
  <c r="L13" i="353"/>
  <c r="H18" i="353"/>
  <c r="H20" i="353"/>
  <c r="N28" i="353"/>
  <c r="B7" i="354"/>
  <c r="B16" i="354"/>
  <c r="G17" i="354"/>
  <c r="G18" i="354"/>
  <c r="G19" i="354"/>
  <c r="G23" i="354"/>
  <c r="G24" i="354"/>
  <c r="G25" i="354"/>
  <c r="G29" i="354"/>
  <c r="G13" i="352"/>
  <c r="G6" i="353"/>
  <c r="G8" i="353"/>
  <c r="N22" i="353"/>
  <c r="H22" i="353"/>
  <c r="H23" i="353"/>
  <c r="H25" i="353"/>
  <c r="G27" i="353"/>
  <c r="H29" i="353"/>
  <c r="G8" i="354"/>
  <c r="L19" i="354"/>
  <c r="B22" i="354"/>
  <c r="L25" i="354"/>
  <c r="B28" i="354"/>
  <c r="N7" i="353"/>
  <c r="G11" i="353"/>
  <c r="B13" i="353"/>
  <c r="H17" i="353"/>
  <c r="H19" i="353"/>
  <c r="G21" i="353"/>
  <c r="H27" i="353"/>
  <c r="G20" i="354"/>
  <c r="G26" i="354"/>
  <c r="B19" i="353"/>
  <c r="H21" i="353"/>
  <c r="B25" i="353"/>
  <c r="G10" i="351"/>
  <c r="B7" i="353"/>
  <c r="B16" i="353"/>
  <c r="G16" i="353"/>
  <c r="G17" i="353"/>
  <c r="G18" i="353"/>
  <c r="G19" i="353"/>
  <c r="G23" i="353"/>
  <c r="G24" i="353"/>
  <c r="G25" i="353"/>
  <c r="G29" i="353"/>
  <c r="G22" i="352"/>
  <c r="B22" i="353"/>
  <c r="B28" i="353"/>
  <c r="G20" i="353"/>
  <c r="G26" i="353"/>
  <c r="N19" i="352"/>
  <c r="N22" i="352"/>
  <c r="G7" i="352"/>
  <c r="B10" i="352"/>
  <c r="G10" i="352"/>
  <c r="G15" i="352"/>
  <c r="L16" i="352"/>
  <c r="G18" i="352"/>
  <c r="M19" i="352"/>
  <c r="H24" i="352"/>
  <c r="M25" i="352"/>
  <c r="N28" i="352"/>
  <c r="G21" i="352"/>
  <c r="H26" i="352"/>
  <c r="G28" i="352"/>
  <c r="H29" i="352"/>
  <c r="G19" i="352"/>
  <c r="H20" i="352"/>
  <c r="M28" i="352"/>
  <c r="G6" i="352"/>
  <c r="N10" i="352"/>
  <c r="N13" i="352"/>
  <c r="G14" i="352"/>
  <c r="H22" i="352"/>
  <c r="H23" i="352"/>
  <c r="H25" i="352"/>
  <c r="G11" i="352"/>
  <c r="B13" i="352"/>
  <c r="N7" i="352"/>
  <c r="G9" i="352"/>
  <c r="L10" i="352"/>
  <c r="G12" i="352"/>
  <c r="N16" i="352"/>
  <c r="H17" i="352"/>
  <c r="H27" i="352"/>
  <c r="B19" i="352"/>
  <c r="H21" i="352"/>
  <c r="B25" i="352"/>
  <c r="B7" i="352"/>
  <c r="B16" i="352"/>
  <c r="G16" i="352"/>
  <c r="G17" i="352"/>
  <c r="M22" i="352"/>
  <c r="G23" i="352"/>
  <c r="G24" i="352"/>
  <c r="G25" i="352"/>
  <c r="G29" i="352"/>
  <c r="N13" i="350"/>
  <c r="G22" i="351"/>
  <c r="G25" i="351"/>
  <c r="G8" i="352"/>
  <c r="H18" i="352"/>
  <c r="H19" i="352"/>
  <c r="L19" i="352"/>
  <c r="B22" i="352"/>
  <c r="L25" i="352"/>
  <c r="B28" i="352"/>
  <c r="L22" i="352"/>
  <c r="L28" i="352"/>
  <c r="G19" i="350"/>
  <c r="B25" i="350"/>
  <c r="G26" i="350"/>
  <c r="G20" i="352"/>
  <c r="G26" i="352"/>
  <c r="G14" i="351"/>
  <c r="G12" i="351"/>
  <c r="N19" i="351"/>
  <c r="N22" i="351"/>
  <c r="N10" i="351"/>
  <c r="G15" i="351"/>
  <c r="L16" i="351"/>
  <c r="H18" i="351"/>
  <c r="M19" i="351"/>
  <c r="M25" i="351"/>
  <c r="G21" i="351"/>
  <c r="H26" i="351"/>
  <c r="G28" i="351"/>
  <c r="G29" i="351"/>
  <c r="G19" i="351"/>
  <c r="N28" i="351"/>
  <c r="G13" i="351"/>
  <c r="H20" i="351"/>
  <c r="M28" i="351"/>
  <c r="G6" i="351"/>
  <c r="G11" i="351"/>
  <c r="B13" i="351"/>
  <c r="G16" i="351"/>
  <c r="H22" i="351"/>
  <c r="H24" i="351"/>
  <c r="N7" i="351"/>
  <c r="G9" i="351"/>
  <c r="L10" i="351"/>
  <c r="N13" i="351"/>
  <c r="N16" i="351"/>
  <c r="H27" i="351"/>
  <c r="B19" i="351"/>
  <c r="H21" i="351"/>
  <c r="B7" i="351"/>
  <c r="G18" i="351"/>
  <c r="M22" i="351"/>
  <c r="G24" i="351"/>
  <c r="G8" i="351"/>
  <c r="H17" i="351"/>
  <c r="H19" i="351"/>
  <c r="L19" i="351"/>
  <c r="B22" i="351"/>
  <c r="H23" i="351"/>
  <c r="H25" i="351"/>
  <c r="L25" i="351"/>
  <c r="B28" i="351"/>
  <c r="H29" i="351"/>
  <c r="L22" i="351"/>
  <c r="B25" i="351"/>
  <c r="H28" i="351"/>
  <c r="L28" i="351"/>
  <c r="B16" i="351"/>
  <c r="G17" i="351"/>
  <c r="G23" i="351"/>
  <c r="G20" i="351"/>
  <c r="G26" i="351"/>
  <c r="G9" i="350"/>
  <c r="G28" i="350"/>
  <c r="G18" i="350"/>
  <c r="G22" i="350"/>
  <c r="N28" i="350"/>
  <c r="G24" i="350"/>
  <c r="B22" i="350"/>
  <c r="G21" i="350"/>
  <c r="G23" i="350"/>
  <c r="H19" i="350"/>
  <c r="H23" i="350"/>
  <c r="B19" i="350"/>
  <c r="G20" i="350"/>
  <c r="L25" i="350"/>
  <c r="N25" i="350"/>
  <c r="H29" i="350"/>
  <c r="N19" i="350"/>
  <c r="N22" i="350"/>
  <c r="G25" i="350"/>
  <c r="G15" i="350"/>
  <c r="G16" i="350"/>
  <c r="L16" i="350"/>
  <c r="H22" i="350"/>
  <c r="B16" i="350"/>
  <c r="H27" i="350"/>
  <c r="N7" i="350"/>
  <c r="N10" i="350"/>
  <c r="N16" i="350"/>
  <c r="M28" i="350"/>
  <c r="G6" i="350"/>
  <c r="B10" i="350"/>
  <c r="G10" i="350"/>
  <c r="L10" i="350"/>
  <c r="G7" i="350"/>
  <c r="B13" i="350"/>
  <c r="G13" i="350"/>
  <c r="L13" i="350"/>
  <c r="G14" i="350"/>
  <c r="H20" i="350"/>
  <c r="H21" i="350"/>
  <c r="L22" i="350"/>
  <c r="H26" i="350"/>
  <c r="H28" i="350"/>
  <c r="L28" i="350"/>
  <c r="B7" i="350"/>
  <c r="G29" i="350"/>
  <c r="G8" i="350"/>
  <c r="G12" i="350"/>
  <c r="B28" i="350"/>
  <c r="T29" i="347"/>
  <c r="I29" i="347" s="1"/>
  <c r="T29" i="337"/>
  <c r="I29" i="337" s="1"/>
  <c r="T29" i="227"/>
  <c r="I29" i="227" s="1"/>
  <c r="N31" i="15"/>
  <c r="O34" i="15" s="1"/>
  <c r="T29" i="290"/>
  <c r="I29" i="290" s="1"/>
  <c r="T29" i="289"/>
  <c r="I29" i="289" s="1"/>
  <c r="T29" i="43"/>
  <c r="I29" i="43" s="1"/>
  <c r="J41" i="43" s="1"/>
  <c r="T29" i="298"/>
  <c r="I29" i="298" s="1"/>
  <c r="J41" i="298" s="1"/>
  <c r="T29" i="293"/>
  <c r="I29" i="293" s="1"/>
  <c r="T29" i="348"/>
  <c r="I29" i="348" s="1"/>
  <c r="T29" i="202"/>
  <c r="I29" i="202" s="1"/>
  <c r="T29" i="16"/>
  <c r="I29" i="16" s="1"/>
  <c r="K31" i="149"/>
  <c r="M43" i="149" s="1"/>
  <c r="T29" i="88"/>
  <c r="I29" i="88" s="1"/>
  <c r="T29" i="148"/>
  <c r="I29" i="148" s="1"/>
  <c r="J41" i="148" s="1"/>
  <c r="T29" i="89"/>
  <c r="I29" i="89" s="1"/>
  <c r="T29" i="3"/>
  <c r="I29" i="3" s="1"/>
  <c r="T29" i="194"/>
  <c r="I29" i="194" s="1"/>
  <c r="T29" i="193"/>
  <c r="I29" i="193" s="1"/>
  <c r="J41" i="193" s="1"/>
  <c r="T29" i="297"/>
  <c r="I29" i="297" s="1"/>
  <c r="T29" i="5"/>
  <c r="I29" i="5" s="1"/>
  <c r="J41" i="5" s="1"/>
  <c r="T29" i="207"/>
  <c r="I29" i="207" s="1"/>
  <c r="T29" i="18"/>
  <c r="I29" i="18" s="1"/>
  <c r="T29" i="20"/>
  <c r="I29" i="20" s="1"/>
  <c r="J41" i="20" s="1"/>
  <c r="T29" i="8"/>
  <c r="I29" i="8" s="1"/>
  <c r="T29" i="191"/>
  <c r="I29" i="191" s="1"/>
  <c r="T29" i="1"/>
  <c r="I29" i="1" s="1"/>
  <c r="J41" i="1" s="1"/>
  <c r="T29" i="113"/>
  <c r="I29" i="113" s="1"/>
  <c r="T29" i="322"/>
  <c r="I29" i="322" s="1"/>
  <c r="T29" i="114"/>
  <c r="I29" i="114" s="1"/>
  <c r="T29" i="323"/>
  <c r="I29" i="323" s="1"/>
  <c r="J41" i="323" s="1"/>
  <c r="T29" i="233"/>
  <c r="I29" i="233" s="1"/>
  <c r="K31" i="152"/>
  <c r="M43" i="152" s="1"/>
  <c r="T29" i="13"/>
  <c r="I29" i="13" s="1"/>
  <c r="T29" i="261"/>
  <c r="I29" i="261" s="1"/>
  <c r="J41" i="261" s="1"/>
  <c r="T29" i="153"/>
  <c r="I29" i="153" s="1"/>
  <c r="T29" i="257"/>
  <c r="I29" i="257" s="1"/>
  <c r="J41" i="257" s="1"/>
  <c r="T29" i="21"/>
  <c r="I29" i="21" s="1"/>
  <c r="T29" i="23"/>
  <c r="I29" i="23" s="1"/>
  <c r="T29" i="314"/>
  <c r="I29" i="314" s="1"/>
  <c r="L29" i="317"/>
  <c r="Q31" i="317" s="1"/>
  <c r="L29" i="316"/>
  <c r="Q31" i="316" s="1"/>
  <c r="L29" i="315"/>
  <c r="Q31" i="315" s="1"/>
  <c r="T29" i="105"/>
  <c r="I29" i="105" s="1"/>
  <c r="T29" i="206"/>
  <c r="I29" i="206" s="1"/>
  <c r="N31" i="22"/>
  <c r="O34" i="22" s="1"/>
  <c r="T29" i="334"/>
  <c r="I29" i="334" s="1"/>
  <c r="T29" i="344"/>
  <c r="I29" i="344" s="1"/>
  <c r="J41" i="344" s="1"/>
  <c r="T29" i="61"/>
  <c r="I29" i="61" s="1"/>
  <c r="J41" i="61" s="1"/>
  <c r="T29" i="338"/>
  <c r="I29" i="338" s="1"/>
  <c r="T29" i="299"/>
  <c r="I29" i="299" s="1"/>
  <c r="T29" i="190"/>
  <c r="I29" i="190" s="1"/>
  <c r="T29" i="340"/>
  <c r="I29" i="340" s="1"/>
  <c r="T29" i="342"/>
  <c r="I29" i="342" s="1"/>
  <c r="T29" i="301"/>
  <c r="I29" i="301" s="1"/>
  <c r="T29" i="34"/>
  <c r="I29" i="34" s="1"/>
  <c r="J41" i="34" s="1"/>
  <c r="T29" i="174"/>
  <c r="I29" i="174" s="1"/>
  <c r="J41" i="174" s="1"/>
  <c r="T29" i="135"/>
  <c r="I29" i="135" s="1"/>
  <c r="T29" i="333"/>
  <c r="I29" i="333" s="1"/>
  <c r="T29" i="295"/>
  <c r="I29" i="295" s="1"/>
  <c r="J41" i="295" s="1"/>
  <c r="T29" i="294"/>
  <c r="I29" i="294" s="1"/>
  <c r="J41" i="294" s="1"/>
  <c r="T29" i="283"/>
  <c r="I29" i="283" s="1"/>
  <c r="I29" i="187"/>
  <c r="T29" i="4"/>
  <c r="I29" i="4" s="1"/>
  <c r="T29" i="284"/>
  <c r="I29" i="284" s="1"/>
  <c r="T29" i="292"/>
  <c r="I29" i="292" s="1"/>
  <c r="N31" i="339"/>
  <c r="O34" i="339" s="1"/>
  <c r="T29" i="269"/>
  <c r="I29" i="269" s="1"/>
  <c r="J41" i="269" s="1"/>
  <c r="T29" i="325"/>
  <c r="I29" i="325" s="1"/>
  <c r="T29" i="11"/>
  <c r="I29" i="11" s="1"/>
  <c r="S29" i="279"/>
  <c r="T29" i="204"/>
  <c r="I29" i="204" s="1"/>
  <c r="S29" i="335"/>
  <c r="T29" i="28"/>
  <c r="I29" i="28" s="1"/>
  <c r="J41" i="28" s="1"/>
  <c r="T29" i="29"/>
  <c r="I29" i="29" s="1"/>
  <c r="T29" i="9"/>
  <c r="I29" i="9" s="1"/>
  <c r="T29" i="37"/>
  <c r="I29" i="37" s="1"/>
  <c r="T29" i="54"/>
  <c r="I29" i="54" s="1"/>
  <c r="T29" i="7"/>
  <c r="I29" i="7" s="1"/>
  <c r="J41" i="7" s="1"/>
  <c r="T29" i="288"/>
  <c r="I29" i="288" s="1"/>
  <c r="T29" i="17"/>
  <c r="I29" i="17" s="1"/>
  <c r="J41" i="17" s="1"/>
  <c r="T29" i="12"/>
  <c r="I29" i="12" s="1"/>
  <c r="T29" i="303"/>
  <c r="I29" i="303" s="1"/>
  <c r="J41" i="303" s="1"/>
  <c r="T29" i="101"/>
  <c r="I29" i="101" s="1"/>
  <c r="J41" i="101" s="1"/>
  <c r="T29" i="102"/>
  <c r="I29" i="102" s="1"/>
  <c r="J41" i="102" s="1"/>
  <c r="T29" i="103"/>
  <c r="I29" i="103" s="1"/>
  <c r="T29" i="265"/>
  <c r="I29" i="265" s="1"/>
  <c r="I29" i="296"/>
  <c r="J41" i="296" s="1"/>
  <c r="T29" i="75"/>
  <c r="I29" i="75" s="1"/>
  <c r="T29" i="262"/>
  <c r="I29" i="262" s="1"/>
  <c r="J41" i="262" s="1"/>
  <c r="T29" i="249"/>
  <c r="I29" i="249" s="1"/>
  <c r="T29" i="201"/>
  <c r="I29" i="201" s="1"/>
  <c r="T29" i="33"/>
  <c r="I29" i="33" s="1"/>
  <c r="T29" i="112"/>
  <c r="I29" i="112" s="1"/>
  <c r="T29" i="109"/>
  <c r="I29" i="109" s="1"/>
  <c r="T29" i="2"/>
  <c r="I29" i="2" s="1"/>
  <c r="T29" i="85"/>
  <c r="I29" i="85" s="1"/>
  <c r="T29" i="324"/>
  <c r="I29" i="324" s="1"/>
  <c r="T29" i="32"/>
  <c r="I29" i="32" s="1"/>
  <c r="T29" i="203"/>
  <c r="I29" i="203" s="1"/>
  <c r="T29" i="164"/>
  <c r="I29" i="164" s="1"/>
  <c r="T29" i="162"/>
  <c r="I29" i="162" s="1"/>
  <c r="T29" i="196"/>
  <c r="I29" i="196" s="1"/>
  <c r="J41" i="196" s="1"/>
  <c r="T29" i="197"/>
  <c r="I29" i="197" s="1"/>
  <c r="T29" i="198"/>
  <c r="I29" i="198" s="1"/>
  <c r="J41" i="198" s="1"/>
  <c r="T29" i="345"/>
  <c r="I29" i="345" s="1"/>
  <c r="T29" i="346"/>
  <c r="I29" i="346" s="1"/>
  <c r="T29" i="74"/>
  <c r="I29" i="74" s="1"/>
  <c r="T29" i="181"/>
  <c r="I29" i="181" s="1"/>
  <c r="T29" i="183"/>
  <c r="I29" i="183" s="1"/>
  <c r="T29" i="184"/>
  <c r="I29" i="184" s="1"/>
  <c r="T29" i="200"/>
  <c r="I29" i="200" s="1"/>
  <c r="T29" i="280"/>
  <c r="I29" i="280" s="1"/>
  <c r="T29" i="27"/>
  <c r="I29" i="27" s="1"/>
  <c r="J41" i="27" s="1"/>
  <c r="T29" i="143"/>
  <c r="I29" i="143" s="1"/>
  <c r="T29" i="97"/>
  <c r="I29" i="97" s="1"/>
  <c r="T29" i="45"/>
  <c r="I29" i="45" s="1"/>
  <c r="T29" i="104"/>
  <c r="I29" i="104" s="1"/>
  <c r="T29" i="48"/>
  <c r="I29" i="48" s="1"/>
  <c r="T29" i="254"/>
  <c r="I29" i="254" s="1"/>
  <c r="T29" i="268"/>
  <c r="I29" i="268" s="1"/>
  <c r="T29" i="263"/>
  <c r="I29" i="263" s="1"/>
  <c r="T29" i="209"/>
  <c r="I29" i="209" s="1"/>
  <c r="T29" i="192"/>
  <c r="I29" i="192" s="1"/>
  <c r="T29" i="140"/>
  <c r="I29" i="140" s="1"/>
  <c r="T29" i="270"/>
  <c r="I29" i="270" s="1"/>
  <c r="T29" i="271"/>
  <c r="I29" i="271" s="1"/>
  <c r="T29" i="159"/>
  <c r="I29" i="159" s="1"/>
  <c r="T29" i="160"/>
  <c r="I29" i="160" s="1"/>
  <c r="T29" i="107"/>
  <c r="I29" i="107" s="1"/>
  <c r="J41" i="107" s="1"/>
  <c r="T29" i="176"/>
  <c r="I29" i="176" s="1"/>
  <c r="T29" i="53"/>
  <c r="I29" i="53" s="1"/>
  <c r="T29" i="52"/>
  <c r="I29" i="52" s="1"/>
  <c r="J41" i="52" s="1"/>
  <c r="T29" i="281"/>
  <c r="I29" i="281" s="1"/>
  <c r="T29" i="332"/>
  <c r="I29" i="332" s="1"/>
  <c r="T29" i="25"/>
  <c r="I29" i="25" s="1"/>
  <c r="T29" i="31"/>
  <c r="I29" i="31" s="1"/>
  <c r="T29" i="24"/>
  <c r="I29" i="24" s="1"/>
  <c r="J41" i="24" s="1"/>
  <c r="T29" i="319"/>
  <c r="I29" i="319" s="1"/>
  <c r="T29" i="320"/>
  <c r="I29" i="320" s="1"/>
  <c r="L29" i="343"/>
  <c r="Q31" i="343" s="1"/>
  <c r="R34" i="343" s="1"/>
  <c r="T29" i="318"/>
  <c r="I29" i="318" s="1"/>
  <c r="T29" i="116"/>
  <c r="I29" i="116" s="1"/>
  <c r="T29" i="272"/>
  <c r="I29" i="272" s="1"/>
  <c r="T29" i="285"/>
  <c r="I29" i="285" s="1"/>
  <c r="J41" i="285" s="1"/>
  <c r="S29" i="44"/>
  <c r="N31" i="87"/>
  <c r="O34" i="87" s="1"/>
  <c r="T29" i="287"/>
  <c r="I29" i="287" s="1"/>
  <c r="T29" i="276"/>
  <c r="I29" i="276" s="1"/>
  <c r="J41" i="276" s="1"/>
  <c r="S29" i="231"/>
  <c r="R29" i="231"/>
  <c r="Q29" i="231"/>
  <c r="T29" i="229"/>
  <c r="I29" i="229" s="1"/>
  <c r="T29" i="230"/>
  <c r="I29" i="230" s="1"/>
  <c r="K31" i="327"/>
  <c r="M43" i="327" s="1"/>
  <c r="T29" i="328"/>
  <c r="I29" i="328" s="1"/>
  <c r="T29" i="329"/>
  <c r="I29" i="329" s="1"/>
  <c r="T29" i="326"/>
  <c r="I29" i="326" s="1"/>
  <c r="T29" i="47"/>
  <c r="I29" i="47" s="1"/>
  <c r="T29" i="248"/>
  <c r="I29" i="248" s="1"/>
  <c r="T29" i="46"/>
  <c r="I29" i="46" s="1"/>
  <c r="T29" i="239"/>
  <c r="I29" i="239" s="1"/>
  <c r="T29" i="243"/>
  <c r="I29" i="243" s="1"/>
  <c r="T29" i="19"/>
  <c r="I29" i="19" s="1"/>
  <c r="T29" i="244"/>
  <c r="I29" i="244" s="1"/>
  <c r="T29" i="246"/>
  <c r="I29" i="246" s="1"/>
  <c r="T29" i="168"/>
  <c r="I29" i="168" s="1"/>
  <c r="T29" i="169"/>
  <c r="I29" i="169" s="1"/>
  <c r="T29" i="336"/>
  <c r="I29" i="336" s="1"/>
  <c r="T29" i="349"/>
  <c r="I29" i="349" s="1"/>
  <c r="O31" i="352" l="1"/>
  <c r="O31" i="354"/>
  <c r="O31" i="350"/>
  <c r="O31" i="351"/>
  <c r="J41" i="19"/>
  <c r="J41" i="320"/>
  <c r="J41" i="97"/>
  <c r="J41" i="324"/>
  <c r="J41" i="283"/>
  <c r="J41" i="21"/>
  <c r="J41" i="168"/>
  <c r="J41" i="46"/>
  <c r="J41" i="116"/>
  <c r="J41" i="31"/>
  <c r="J41" i="140"/>
  <c r="J41" i="280"/>
  <c r="J41" i="164"/>
  <c r="J41" i="284"/>
  <c r="J41" i="340"/>
  <c r="J41" i="322"/>
  <c r="J41" i="3"/>
  <c r="J41" i="246"/>
  <c r="J41" i="230"/>
  <c r="J41" i="287"/>
  <c r="J41" i="318"/>
  <c r="J41" i="25"/>
  <c r="J41" i="192"/>
  <c r="J41" i="104"/>
  <c r="J41" i="345"/>
  <c r="J41" i="203"/>
  <c r="J41" i="112"/>
  <c r="J41" i="12"/>
  <c r="J41" i="9"/>
  <c r="J41" i="11"/>
  <c r="J41" i="4"/>
  <c r="J41" i="135"/>
  <c r="J41" i="190"/>
  <c r="J41" i="314"/>
  <c r="J41" i="113"/>
  <c r="J41" i="207"/>
  <c r="J41" i="89"/>
  <c r="J41" i="348"/>
  <c r="J41" i="244"/>
  <c r="J41" i="47"/>
  <c r="J41" i="229"/>
  <c r="J41" i="332"/>
  <c r="J41" i="160"/>
  <c r="J41" i="209"/>
  <c r="J41" i="45"/>
  <c r="J41" i="184"/>
  <c r="J41" i="32"/>
  <c r="J41" i="33"/>
  <c r="J41" i="265"/>
  <c r="J41" i="29"/>
  <c r="J41" i="325"/>
  <c r="J41" i="187"/>
  <c r="J41" i="299"/>
  <c r="J41" i="206"/>
  <c r="J41" i="23"/>
  <c r="J41" i="293"/>
  <c r="J41" i="227"/>
  <c r="J41" i="281"/>
  <c r="J41" i="103"/>
  <c r="J41" i="105"/>
  <c r="J41" i="88"/>
  <c r="J41" i="8"/>
  <c r="J29" i="8"/>
  <c r="J41" i="347"/>
  <c r="J41" i="349"/>
  <c r="J41" i="326"/>
  <c r="J41" i="263"/>
  <c r="J41" i="197"/>
  <c r="J41" i="201"/>
  <c r="J41" i="338"/>
  <c r="J41" i="191"/>
  <c r="J41" i="337"/>
  <c r="J41" i="336"/>
  <c r="J41" i="243"/>
  <c r="J41" i="329"/>
  <c r="J41" i="319"/>
  <c r="J41" i="271"/>
  <c r="J41" i="268"/>
  <c r="J41" i="143"/>
  <c r="J41" i="181"/>
  <c r="J41" i="85"/>
  <c r="J41" i="249"/>
  <c r="J41" i="301"/>
  <c r="J41" i="169"/>
  <c r="J41" i="239"/>
  <c r="J41" i="328"/>
  <c r="J41" i="272"/>
  <c r="J41" i="53"/>
  <c r="J41" i="270"/>
  <c r="J41" i="254"/>
  <c r="J41" i="74"/>
  <c r="J41" i="162"/>
  <c r="J41" i="2"/>
  <c r="J41" i="54"/>
  <c r="J41" i="204"/>
  <c r="J41" i="292"/>
  <c r="J41" i="342"/>
  <c r="J41" i="153"/>
  <c r="J41" i="114"/>
  <c r="J41" i="194"/>
  <c r="J41" i="16"/>
  <c r="J41" i="289"/>
  <c r="J41" i="159"/>
  <c r="J41" i="183"/>
  <c r="J41" i="288"/>
  <c r="J41" i="233"/>
  <c r="J41" i="297"/>
  <c r="J41" i="109"/>
  <c r="J41" i="334"/>
  <c r="J41" i="18"/>
  <c r="J41" i="202"/>
  <c r="J41" i="290"/>
  <c r="J41" i="176"/>
  <c r="J41" i="48"/>
  <c r="J41" i="346"/>
  <c r="J41" i="75"/>
  <c r="J41" i="37"/>
  <c r="J41" i="333"/>
  <c r="J41" i="248"/>
  <c r="J41" i="200"/>
  <c r="J41" i="13"/>
  <c r="O16" i="350"/>
  <c r="O34" i="353"/>
  <c r="O37" i="353"/>
  <c r="O31" i="353"/>
  <c r="N31" i="244"/>
  <c r="O34" i="244" s="1"/>
  <c r="N31" i="46"/>
  <c r="O34" i="46" s="1"/>
  <c r="N31" i="229"/>
  <c r="O34" i="229" s="1"/>
  <c r="N31" i="276"/>
  <c r="O34" i="276" s="1"/>
  <c r="N31" i="285"/>
  <c r="O34" i="285" s="1"/>
  <c r="N31" i="31"/>
  <c r="O34" i="31" s="1"/>
  <c r="N31" i="52"/>
  <c r="O34" i="52" s="1"/>
  <c r="N31" i="160"/>
  <c r="O34" i="160" s="1"/>
  <c r="N31" i="140"/>
  <c r="O34" i="140" s="1"/>
  <c r="N31" i="268"/>
  <c r="O34" i="268" s="1"/>
  <c r="N31" i="27"/>
  <c r="O34" i="27" s="1"/>
  <c r="N31" i="183"/>
  <c r="O34" i="183" s="1"/>
  <c r="N31" i="345"/>
  <c r="O34" i="345" s="1"/>
  <c r="N31" i="162"/>
  <c r="O34" i="162" s="1"/>
  <c r="N31" i="324"/>
  <c r="O34" i="324" s="1"/>
  <c r="N31" i="112"/>
  <c r="O34" i="112" s="1"/>
  <c r="N31" i="262"/>
  <c r="O34" i="262" s="1"/>
  <c r="N31" i="103"/>
  <c r="O34" i="103" s="1"/>
  <c r="N31" i="12"/>
  <c r="O34" i="12" s="1"/>
  <c r="N31" i="54"/>
  <c r="O34" i="54" s="1"/>
  <c r="N31" i="28"/>
  <c r="O34" i="28" s="1"/>
  <c r="N31" i="11"/>
  <c r="O34" i="11" s="1"/>
  <c r="N31" i="292"/>
  <c r="O34" i="292" s="1"/>
  <c r="N31" i="283"/>
  <c r="O34" i="283" s="1"/>
  <c r="N31" i="135"/>
  <c r="O34" i="135" s="1"/>
  <c r="N31" i="342"/>
  <c r="O34" i="342" s="1"/>
  <c r="N31" i="338"/>
  <c r="O34" i="338" s="1"/>
  <c r="N31" i="21"/>
  <c r="O34" i="21" s="1"/>
  <c r="N31" i="13"/>
  <c r="O34" i="13" s="1"/>
  <c r="N31" i="233"/>
  <c r="O34" i="233" s="1"/>
  <c r="N31" i="113"/>
  <c r="O34" i="113" s="1"/>
  <c r="N31" i="20"/>
  <c r="O34" i="20" s="1"/>
  <c r="N31" i="297"/>
  <c r="O34" i="297" s="1"/>
  <c r="N31" i="89"/>
  <c r="O34" i="89" s="1"/>
  <c r="N31" i="16"/>
  <c r="O34" i="16" s="1"/>
  <c r="N31" i="298"/>
  <c r="O34" i="298" s="1"/>
  <c r="N31" i="169"/>
  <c r="O34" i="169" s="1"/>
  <c r="N31" i="19"/>
  <c r="O34" i="19" s="1"/>
  <c r="N31" i="248"/>
  <c r="O34" i="248" s="1"/>
  <c r="N31" i="329"/>
  <c r="O34" i="329" s="1"/>
  <c r="N31" i="287"/>
  <c r="O34" i="287" s="1"/>
  <c r="N31" i="272"/>
  <c r="O34" i="272" s="1"/>
  <c r="N31" i="320"/>
  <c r="O34" i="320" s="1"/>
  <c r="N31" i="25"/>
  <c r="O34" i="25" s="1"/>
  <c r="N31" i="53"/>
  <c r="O34" i="53" s="1"/>
  <c r="N31" i="159"/>
  <c r="O34" i="159" s="1"/>
  <c r="N31" i="192"/>
  <c r="O34" i="192" s="1"/>
  <c r="N31" i="254"/>
  <c r="O34" i="254" s="1"/>
  <c r="N31" i="45"/>
  <c r="O34" i="45" s="1"/>
  <c r="N31" i="280"/>
  <c r="O34" i="280" s="1"/>
  <c r="N31" i="181"/>
  <c r="O34" i="181" s="1"/>
  <c r="N31" i="198"/>
  <c r="O34" i="198" s="1"/>
  <c r="N31" i="164"/>
  <c r="O34" i="164" s="1"/>
  <c r="N31" i="85"/>
  <c r="O34" i="85" s="1"/>
  <c r="N31" i="33"/>
  <c r="O34" i="33" s="1"/>
  <c r="N31" i="75"/>
  <c r="O34" i="75" s="1"/>
  <c r="N31" i="102"/>
  <c r="O34" i="102" s="1"/>
  <c r="N31" i="17"/>
  <c r="O34" i="17" s="1"/>
  <c r="N31" i="37"/>
  <c r="O34" i="37" s="1"/>
  <c r="M31" i="335"/>
  <c r="N34" i="335" s="1"/>
  <c r="I29" i="335"/>
  <c r="N31" i="325"/>
  <c r="O34" i="325" s="1"/>
  <c r="N31" i="284"/>
  <c r="O34" i="284" s="1"/>
  <c r="N31" i="294"/>
  <c r="O34" i="294" s="1"/>
  <c r="N31" i="174"/>
  <c r="O34" i="174" s="1"/>
  <c r="N31" i="340"/>
  <c r="O34" i="340" s="1"/>
  <c r="N31" i="61"/>
  <c r="O34" i="61" s="1"/>
  <c r="N31" i="206"/>
  <c r="O34" i="206" s="1"/>
  <c r="N31" i="257"/>
  <c r="O34" i="257" s="1"/>
  <c r="N31" i="323"/>
  <c r="O34" i="323" s="1"/>
  <c r="N31" i="1"/>
  <c r="O34" i="1" s="1"/>
  <c r="N31" i="18"/>
  <c r="O34" i="18" s="1"/>
  <c r="N31" i="193"/>
  <c r="O34" i="193" s="1"/>
  <c r="N31" i="148"/>
  <c r="O34" i="148" s="1"/>
  <c r="N31" i="202"/>
  <c r="O34" i="202" s="1"/>
  <c r="N31" i="43"/>
  <c r="O34" i="43" s="1"/>
  <c r="N31" i="227"/>
  <c r="O34" i="227" s="1"/>
  <c r="N31" i="168"/>
  <c r="O34" i="168" s="1"/>
  <c r="N31" i="243"/>
  <c r="O34" i="243" s="1"/>
  <c r="N31" i="47"/>
  <c r="O34" i="47" s="1"/>
  <c r="N31" i="116"/>
  <c r="O34" i="116" s="1"/>
  <c r="N31" i="319"/>
  <c r="O34" i="319" s="1"/>
  <c r="N31" i="332"/>
  <c r="O34" i="332" s="1"/>
  <c r="N31" i="176"/>
  <c r="O34" i="176" s="1"/>
  <c r="N31" i="271"/>
  <c r="O34" i="271" s="1"/>
  <c r="N31" i="209"/>
  <c r="O34" i="209" s="1"/>
  <c r="N31" i="48"/>
  <c r="O34" i="48" s="1"/>
  <c r="N31" i="97"/>
  <c r="O34" i="97" s="1"/>
  <c r="N31" i="200"/>
  <c r="O34" i="200" s="1"/>
  <c r="N31" i="74"/>
  <c r="O34" i="74" s="1"/>
  <c r="N31" i="197"/>
  <c r="O34" i="197" s="1"/>
  <c r="N31" i="203"/>
  <c r="O34" i="203" s="1"/>
  <c r="N31" i="2"/>
  <c r="O34" i="2" s="1"/>
  <c r="N31" i="201"/>
  <c r="O34" i="201" s="1"/>
  <c r="N31" i="101"/>
  <c r="O34" i="101" s="1"/>
  <c r="N31" i="288"/>
  <c r="O34" i="288" s="1"/>
  <c r="N31" i="9"/>
  <c r="O34" i="9" s="1"/>
  <c r="N31" i="204"/>
  <c r="O34" i="204" s="1"/>
  <c r="N31" i="269"/>
  <c r="O34" i="269" s="1"/>
  <c r="N31" i="4"/>
  <c r="O34" i="4" s="1"/>
  <c r="N31" i="295"/>
  <c r="O34" i="295" s="1"/>
  <c r="N31" i="34"/>
  <c r="O34" i="34" s="1"/>
  <c r="N31" i="190"/>
  <c r="O34" i="190" s="1"/>
  <c r="N31" i="344"/>
  <c r="O34" i="344" s="1"/>
  <c r="N31" i="105"/>
  <c r="O34" i="105" s="1"/>
  <c r="N31" i="314"/>
  <c r="O34" i="314" s="1"/>
  <c r="N31" i="153"/>
  <c r="O34" i="153" s="1"/>
  <c r="N31" i="114"/>
  <c r="O34" i="114" s="1"/>
  <c r="N31" i="191"/>
  <c r="O34" i="191" s="1"/>
  <c r="N31" i="207"/>
  <c r="O34" i="207" s="1"/>
  <c r="N31" i="194"/>
  <c r="O34" i="194" s="1"/>
  <c r="N31" i="88"/>
  <c r="O34" i="88" s="1"/>
  <c r="N31" i="348"/>
  <c r="O34" i="348" s="1"/>
  <c r="N31" i="289"/>
  <c r="O34" i="289" s="1"/>
  <c r="N31" i="337"/>
  <c r="O34" i="337" s="1"/>
  <c r="N31" i="336"/>
  <c r="O34" i="336" s="1"/>
  <c r="N31" i="349"/>
  <c r="O34" i="349" s="1"/>
  <c r="N31" i="246"/>
  <c r="O34" i="246" s="1"/>
  <c r="N31" i="239"/>
  <c r="O34" i="239" s="1"/>
  <c r="N31" i="326"/>
  <c r="O34" i="326" s="1"/>
  <c r="N31" i="328"/>
  <c r="O34" i="328" s="1"/>
  <c r="N31" i="230"/>
  <c r="O34" i="230" s="1"/>
  <c r="M31" i="44"/>
  <c r="N34" i="44" s="1"/>
  <c r="I29" i="44"/>
  <c r="N31" i="318"/>
  <c r="O34" i="318" s="1"/>
  <c r="N31" i="24"/>
  <c r="O34" i="24" s="1"/>
  <c r="N31" i="281"/>
  <c r="O34" i="281" s="1"/>
  <c r="N31" i="107"/>
  <c r="O34" i="107" s="1"/>
  <c r="N31" i="270"/>
  <c r="O34" i="270" s="1"/>
  <c r="N31" i="263"/>
  <c r="O34" i="263" s="1"/>
  <c r="N31" i="104"/>
  <c r="O34" i="104" s="1"/>
  <c r="N31" i="143"/>
  <c r="O34" i="143" s="1"/>
  <c r="N31" i="184"/>
  <c r="O34" i="184" s="1"/>
  <c r="N31" i="346"/>
  <c r="O34" i="346" s="1"/>
  <c r="N31" i="196"/>
  <c r="O34" i="196" s="1"/>
  <c r="N31" i="32"/>
  <c r="O34" i="32" s="1"/>
  <c r="N31" i="109"/>
  <c r="O34" i="109" s="1"/>
  <c r="N31" i="249"/>
  <c r="O34" i="249" s="1"/>
  <c r="N31" i="265"/>
  <c r="O34" i="265" s="1"/>
  <c r="N31" i="303"/>
  <c r="O34" i="303" s="1"/>
  <c r="N31" i="7"/>
  <c r="O34" i="7" s="1"/>
  <c r="N31" i="29"/>
  <c r="O34" i="29" s="1"/>
  <c r="M31" i="279"/>
  <c r="N34" i="279" s="1"/>
  <c r="I29" i="279"/>
  <c r="N31" i="333"/>
  <c r="O34" i="333" s="1"/>
  <c r="N31" i="301"/>
  <c r="O34" i="301" s="1"/>
  <c r="N31" i="299"/>
  <c r="O34" i="299" s="1"/>
  <c r="N31" i="334"/>
  <c r="O34" i="334" s="1"/>
  <c r="N31" i="261"/>
  <c r="O34" i="261" s="1"/>
  <c r="N31" i="322"/>
  <c r="O34" i="322" s="1"/>
  <c r="N31" i="8"/>
  <c r="O34" i="8" s="1"/>
  <c r="N31" i="5"/>
  <c r="O34" i="5" s="1"/>
  <c r="N31" i="3"/>
  <c r="O34" i="3" s="1"/>
  <c r="N31" i="293"/>
  <c r="O34" i="293" s="1"/>
  <c r="N31" i="290"/>
  <c r="O34" i="290" s="1"/>
  <c r="N31" i="347"/>
  <c r="O34" i="347" s="1"/>
  <c r="N31" i="23"/>
  <c r="O34" i="23" s="1"/>
  <c r="D34" i="300"/>
  <c r="D34" i="247"/>
  <c r="D34" i="142"/>
  <c r="D34" i="170"/>
  <c r="D34" i="195"/>
  <c r="D34" i="321"/>
  <c r="D34" i="144"/>
  <c r="D34" i="253"/>
  <c r="D34" i="186"/>
  <c r="D34" i="185"/>
  <c r="D31" i="352"/>
  <c r="D31" i="350"/>
  <c r="D31" i="353"/>
  <c r="D31" i="354"/>
  <c r="D31" i="351"/>
  <c r="F29" i="149"/>
  <c r="U31" i="149"/>
  <c r="F29" i="327"/>
  <c r="U31" i="327"/>
  <c r="F29" i="152"/>
  <c r="U31" i="152"/>
  <c r="F29" i="231"/>
  <c r="K31" i="231"/>
  <c r="M43" i="231" s="1"/>
  <c r="D16" i="351"/>
  <c r="D16" i="352"/>
  <c r="D10" i="354"/>
  <c r="D10" i="350"/>
  <c r="D16" i="353"/>
  <c r="D10" i="352"/>
  <c r="D16" i="354"/>
  <c r="D16" i="350"/>
  <c r="D13" i="353"/>
  <c r="D13" i="351"/>
  <c r="E19" i="354"/>
  <c r="D19" i="354"/>
  <c r="E22" i="350"/>
  <c r="D22" i="350"/>
  <c r="E28" i="353"/>
  <c r="D28" i="353"/>
  <c r="E19" i="351"/>
  <c r="D19" i="351"/>
  <c r="E22" i="352"/>
  <c r="D22" i="352"/>
  <c r="E28" i="354"/>
  <c r="D28" i="354"/>
  <c r="E19" i="350"/>
  <c r="D19" i="350"/>
  <c r="E25" i="353"/>
  <c r="D25" i="353"/>
  <c r="E28" i="351"/>
  <c r="D28" i="351"/>
  <c r="E25" i="354"/>
  <c r="D25" i="354"/>
  <c r="E28" i="350"/>
  <c r="D28" i="350"/>
  <c r="E22" i="353"/>
  <c r="D22" i="353"/>
  <c r="E25" i="351"/>
  <c r="D25" i="351"/>
  <c r="D13" i="352"/>
  <c r="E25" i="352"/>
  <c r="D25" i="352"/>
  <c r="E22" i="354"/>
  <c r="D22" i="354"/>
  <c r="D13" i="354"/>
  <c r="E25" i="350"/>
  <c r="D25" i="350"/>
  <c r="D13" i="350"/>
  <c r="E19" i="353"/>
  <c r="D19" i="353"/>
  <c r="D10" i="353"/>
  <c r="E22" i="351"/>
  <c r="D22" i="351"/>
  <c r="D10" i="351"/>
  <c r="E19" i="352"/>
  <c r="D19" i="352"/>
  <c r="E28" i="352"/>
  <c r="D28" i="352"/>
  <c r="O13" i="354"/>
  <c r="O28" i="353"/>
  <c r="O28" i="352"/>
  <c r="O25" i="352"/>
  <c r="O22" i="354"/>
  <c r="O19" i="354"/>
  <c r="O10" i="354"/>
  <c r="O28" i="354"/>
  <c r="O28" i="351"/>
  <c r="O22" i="352"/>
  <c r="O13" i="353"/>
  <c r="O16" i="353"/>
  <c r="T29" i="152"/>
  <c r="I29" i="152" s="1"/>
  <c r="J41" i="152" s="1"/>
  <c r="O19" i="352"/>
  <c r="O19" i="353"/>
  <c r="O13" i="350"/>
  <c r="O25" i="354"/>
  <c r="O16" i="354"/>
  <c r="O22" i="353"/>
  <c r="O10" i="351"/>
  <c r="O25" i="353"/>
  <c r="O13" i="351"/>
  <c r="O19" i="351"/>
  <c r="O10" i="353"/>
  <c r="O16" i="352"/>
  <c r="O13" i="352"/>
  <c r="O10" i="352"/>
  <c r="T29" i="300"/>
  <c r="I29" i="300" s="1"/>
  <c r="O16" i="351"/>
  <c r="T29" i="247"/>
  <c r="I29" i="247" s="1"/>
  <c r="T29" i="142"/>
  <c r="I29" i="142" s="1"/>
  <c r="T29" i="195"/>
  <c r="I29" i="195" s="1"/>
  <c r="J41" i="195" s="1"/>
  <c r="O22" i="351"/>
  <c r="O25" i="351"/>
  <c r="O10" i="350"/>
  <c r="O25" i="350"/>
  <c r="O22" i="350"/>
  <c r="O19" i="350"/>
  <c r="O28" i="350"/>
  <c r="T29" i="231"/>
  <c r="I29" i="231" s="1"/>
  <c r="T29" i="149"/>
  <c r="I29" i="149" s="1"/>
  <c r="J41" i="149" s="1"/>
  <c r="T29" i="170"/>
  <c r="I29" i="170" s="1"/>
  <c r="T29" i="186"/>
  <c r="I29" i="186" s="1"/>
  <c r="T29" i="327"/>
  <c r="I29" i="327" s="1"/>
  <c r="T29" i="185"/>
  <c r="I29" i="185" s="1"/>
  <c r="T29" i="321"/>
  <c r="I29" i="321" s="1"/>
  <c r="J41" i="321" s="1"/>
  <c r="T29" i="144"/>
  <c r="I29" i="144" s="1"/>
  <c r="T29" i="253"/>
  <c r="I29" i="253" s="1"/>
  <c r="K28" i="349"/>
  <c r="U28" i="349"/>
  <c r="K25" i="349"/>
  <c r="U25" i="349"/>
  <c r="M37" i="349" s="1"/>
  <c r="K22" i="349"/>
  <c r="U22" i="349"/>
  <c r="M34" i="349" s="1"/>
  <c r="K19" i="349"/>
  <c r="U19" i="349"/>
  <c r="M31" i="349" s="1"/>
  <c r="K16" i="349"/>
  <c r="U16" i="349"/>
  <c r="K13" i="349"/>
  <c r="U13" i="349"/>
  <c r="K10" i="349"/>
  <c r="U10" i="349"/>
  <c r="K7" i="349"/>
  <c r="U7" i="349"/>
  <c r="T28" i="349"/>
  <c r="I28" i="349" s="1"/>
  <c r="F28" i="349"/>
  <c r="T27" i="349"/>
  <c r="I27" i="349" s="1"/>
  <c r="F27" i="349"/>
  <c r="T26" i="349"/>
  <c r="I26" i="349" s="1"/>
  <c r="T25" i="349"/>
  <c r="I25" i="349" s="1"/>
  <c r="F25" i="349"/>
  <c r="T24" i="349"/>
  <c r="I24" i="349" s="1"/>
  <c r="F24" i="349"/>
  <c r="T23" i="349"/>
  <c r="I23" i="349" s="1"/>
  <c r="F23" i="349"/>
  <c r="T22" i="349"/>
  <c r="I22" i="349" s="1"/>
  <c r="F22" i="349"/>
  <c r="T21" i="349"/>
  <c r="I21" i="349" s="1"/>
  <c r="F21" i="349"/>
  <c r="T20" i="349"/>
  <c r="I20" i="349" s="1"/>
  <c r="F20" i="349"/>
  <c r="T19" i="349"/>
  <c r="I19" i="349" s="1"/>
  <c r="F19" i="349"/>
  <c r="T18" i="349"/>
  <c r="I18" i="349" s="1"/>
  <c r="F18" i="349"/>
  <c r="T17" i="349"/>
  <c r="I17" i="349" s="1"/>
  <c r="F17" i="349"/>
  <c r="T16" i="349"/>
  <c r="I16" i="349" s="1"/>
  <c r="F16" i="349"/>
  <c r="T15" i="349"/>
  <c r="I15" i="349" s="1"/>
  <c r="F15" i="349"/>
  <c r="T14" i="349"/>
  <c r="I14" i="349" s="1"/>
  <c r="F14" i="349"/>
  <c r="T13" i="349"/>
  <c r="I13" i="349" s="1"/>
  <c r="F13" i="349"/>
  <c r="T12" i="349"/>
  <c r="I12" i="349" s="1"/>
  <c r="F12" i="349"/>
  <c r="T11" i="349"/>
  <c r="I11" i="349" s="1"/>
  <c r="F11" i="349"/>
  <c r="T10" i="349"/>
  <c r="I10" i="349" s="1"/>
  <c r="F10" i="349"/>
  <c r="T9" i="349"/>
  <c r="I9" i="349" s="1"/>
  <c r="F9" i="349"/>
  <c r="T8" i="349"/>
  <c r="I8" i="349" s="1"/>
  <c r="F8" i="349"/>
  <c r="T7" i="349"/>
  <c r="I7" i="349" s="1"/>
  <c r="F7" i="349"/>
  <c r="T6" i="349"/>
  <c r="I6" i="349" s="1"/>
  <c r="F6" i="349"/>
  <c r="T5" i="349"/>
  <c r="I5" i="349" s="1"/>
  <c r="F5" i="349"/>
  <c r="J22" i="349" l="1"/>
  <c r="J34" i="349"/>
  <c r="J26" i="349"/>
  <c r="J38" i="349"/>
  <c r="J41" i="185"/>
  <c r="J17" i="349"/>
  <c r="J23" i="349"/>
  <c r="J35" i="349"/>
  <c r="J41" i="327"/>
  <c r="J28" i="349"/>
  <c r="J40" i="349"/>
  <c r="J41" i="144"/>
  <c r="J41" i="300"/>
  <c r="J19" i="349"/>
  <c r="J31" i="349"/>
  <c r="J25" i="349"/>
  <c r="J37" i="349"/>
  <c r="J41" i="231"/>
  <c r="J20" i="349"/>
  <c r="J32" i="349"/>
  <c r="J27" i="349"/>
  <c r="J39" i="349"/>
  <c r="J41" i="186"/>
  <c r="J41" i="142"/>
  <c r="J18" i="349"/>
  <c r="J30" i="349"/>
  <c r="J21" i="349"/>
  <c r="J33" i="349"/>
  <c r="J24" i="349"/>
  <c r="J36" i="349"/>
  <c r="J41" i="253"/>
  <c r="J41" i="170"/>
  <c r="J41" i="247"/>
  <c r="J29" i="349"/>
  <c r="N31" i="170"/>
  <c r="O34" i="170" s="1"/>
  <c r="N31" i="247"/>
  <c r="O34" i="247" s="1"/>
  <c r="H30" i="349"/>
  <c r="H32" i="349"/>
  <c r="H34" i="349"/>
  <c r="H36" i="349"/>
  <c r="N31" i="185"/>
  <c r="O34" i="185" s="1"/>
  <c r="N31" i="149"/>
  <c r="O34" i="149" s="1"/>
  <c r="N31" i="152"/>
  <c r="O34" i="152" s="1"/>
  <c r="N31" i="253"/>
  <c r="O34" i="253" s="1"/>
  <c r="N31" i="231"/>
  <c r="O34" i="231" s="1"/>
  <c r="N31" i="195"/>
  <c r="O34" i="195" s="1"/>
  <c r="H39" i="349"/>
  <c r="N31" i="327"/>
  <c r="O34" i="327" s="1"/>
  <c r="N31" i="300"/>
  <c r="O34" i="300" s="1"/>
  <c r="H31" i="349"/>
  <c r="H33" i="349"/>
  <c r="H35" i="349"/>
  <c r="H37" i="349"/>
  <c r="N31" i="144"/>
  <c r="O34" i="144" s="1"/>
  <c r="N31" i="186"/>
  <c r="O34" i="186" s="1"/>
  <c r="N31" i="142"/>
  <c r="O34" i="142" s="1"/>
  <c r="N31" i="321"/>
  <c r="O34" i="321" s="1"/>
  <c r="L34" i="152"/>
  <c r="L34" i="149"/>
  <c r="L34" i="327"/>
  <c r="G30" i="231"/>
  <c r="H41" i="231"/>
  <c r="G30" i="327"/>
  <c r="H41" i="327"/>
  <c r="G30" i="152"/>
  <c r="H41" i="152"/>
  <c r="G30" i="149"/>
  <c r="H41" i="149"/>
  <c r="L31" i="349"/>
  <c r="M40" i="349"/>
  <c r="G29" i="349"/>
  <c r="H40" i="349"/>
  <c r="C31" i="231"/>
  <c r="E43" i="231" s="1"/>
  <c r="B31" i="231"/>
  <c r="C31" i="152"/>
  <c r="E43" i="152" s="1"/>
  <c r="B31" i="152"/>
  <c r="C31" i="327"/>
  <c r="E43" i="327" s="1"/>
  <c r="B31" i="327"/>
  <c r="C31" i="149"/>
  <c r="E43" i="149" s="1"/>
  <c r="B31" i="149"/>
  <c r="C7" i="349"/>
  <c r="C25" i="349"/>
  <c r="E37" i="349" s="1"/>
  <c r="C13" i="349"/>
  <c r="C19" i="349"/>
  <c r="E31" i="349" s="1"/>
  <c r="C16" i="349"/>
  <c r="C28" i="349"/>
  <c r="E40" i="349" s="1"/>
  <c r="C10" i="349"/>
  <c r="C22" i="349"/>
  <c r="E34" i="349" s="1"/>
  <c r="L16" i="349"/>
  <c r="N19" i="349"/>
  <c r="N16" i="349"/>
  <c r="N22" i="349"/>
  <c r="N28" i="349"/>
  <c r="O31" i="349" s="1"/>
  <c r="N10" i="349"/>
  <c r="B7" i="349"/>
  <c r="G7" i="349"/>
  <c r="G13" i="349"/>
  <c r="G15" i="349"/>
  <c r="G19" i="349"/>
  <c r="G25" i="349"/>
  <c r="L13" i="349"/>
  <c r="G9" i="349"/>
  <c r="M25" i="349"/>
  <c r="N7" i="349"/>
  <c r="N13" i="349"/>
  <c r="N25" i="349"/>
  <c r="M28" i="349"/>
  <c r="H29" i="349"/>
  <c r="L10" i="349"/>
  <c r="H18" i="349"/>
  <c r="G22" i="349"/>
  <c r="M19" i="349"/>
  <c r="L22" i="349"/>
  <c r="L28" i="349"/>
  <c r="M22" i="349"/>
  <c r="L19" i="349"/>
  <c r="L25" i="349"/>
  <c r="H19" i="349"/>
  <c r="G28" i="349"/>
  <c r="G16" i="349"/>
  <c r="G10" i="349"/>
  <c r="G12" i="349"/>
  <c r="H21" i="349"/>
  <c r="H24" i="349"/>
  <c r="H27" i="349"/>
  <c r="G6" i="349"/>
  <c r="H22" i="349"/>
  <c r="H25" i="349"/>
  <c r="H28" i="349"/>
  <c r="B10" i="349"/>
  <c r="B13" i="349"/>
  <c r="B16" i="349"/>
  <c r="G17" i="349"/>
  <c r="G20" i="349"/>
  <c r="G23" i="349"/>
  <c r="G26" i="349"/>
  <c r="G8" i="349"/>
  <c r="G11" i="349"/>
  <c r="G14" i="349"/>
  <c r="H17" i="349"/>
  <c r="G18" i="349"/>
  <c r="B19" i="349"/>
  <c r="H20" i="349"/>
  <c r="G21" i="349"/>
  <c r="B22" i="349"/>
  <c r="H23" i="349"/>
  <c r="G24" i="349"/>
  <c r="B25" i="349"/>
  <c r="H26" i="349"/>
  <c r="G27" i="349"/>
  <c r="B28" i="349"/>
  <c r="Q17" i="142"/>
  <c r="R17" i="142"/>
  <c r="S17" i="142"/>
  <c r="Q18" i="142"/>
  <c r="R18" i="142"/>
  <c r="S18" i="142"/>
  <c r="Q19" i="142"/>
  <c r="R19" i="142"/>
  <c r="S19" i="142"/>
  <c r="Q20" i="142"/>
  <c r="R20" i="142"/>
  <c r="S20" i="142"/>
  <c r="Q21" i="142"/>
  <c r="R21" i="142"/>
  <c r="S21" i="142"/>
  <c r="Q22" i="142"/>
  <c r="R22" i="142"/>
  <c r="S22" i="142"/>
  <c r="Q23" i="142"/>
  <c r="R23" i="142"/>
  <c r="S23" i="142"/>
  <c r="Q24" i="142"/>
  <c r="R24" i="142"/>
  <c r="S24" i="142"/>
  <c r="Q25" i="142"/>
  <c r="R25" i="142"/>
  <c r="S25" i="142"/>
  <c r="Q26" i="142"/>
  <c r="F26" i="142" s="1"/>
  <c r="R26" i="142"/>
  <c r="S26" i="142"/>
  <c r="Q27" i="142"/>
  <c r="R27" i="142"/>
  <c r="S27" i="142"/>
  <c r="Q28" i="142"/>
  <c r="R28" i="142"/>
  <c r="S28" i="142"/>
  <c r="U28" i="202"/>
  <c r="M40" i="202" s="1"/>
  <c r="L7" i="202"/>
  <c r="H38" i="142" l="1"/>
  <c r="D34" i="149"/>
  <c r="D34" i="152"/>
  <c r="D34" i="327"/>
  <c r="D34" i="231"/>
  <c r="D31" i="349"/>
  <c r="D10" i="349"/>
  <c r="E22" i="349"/>
  <c r="D22" i="349"/>
  <c r="E19" i="349"/>
  <c r="D19" i="349"/>
  <c r="D13" i="349"/>
  <c r="E28" i="349"/>
  <c r="D28" i="349"/>
  <c r="E25" i="349"/>
  <c r="D25" i="349"/>
  <c r="D16" i="349"/>
  <c r="O19" i="349"/>
  <c r="O22" i="349"/>
  <c r="O25" i="349"/>
  <c r="O10" i="349"/>
  <c r="O13" i="349"/>
  <c r="O28" i="349"/>
  <c r="O16" i="349"/>
  <c r="F28" i="298"/>
  <c r="F28" i="194"/>
  <c r="F28" i="193"/>
  <c r="F28" i="43"/>
  <c r="F28" i="348"/>
  <c r="F28" i="293"/>
  <c r="F28" i="297"/>
  <c r="F28" i="35"/>
  <c r="F28" i="202"/>
  <c r="F28" i="3"/>
  <c r="F28" i="88"/>
  <c r="F28" i="148"/>
  <c r="F28" i="89"/>
  <c r="F28" i="5"/>
  <c r="F28" i="207"/>
  <c r="F28" i="142"/>
  <c r="F28" i="18"/>
  <c r="F28" i="20"/>
  <c r="F28" i="8"/>
  <c r="F28" i="191"/>
  <c r="F28" i="1"/>
  <c r="F28" i="113"/>
  <c r="F28" i="322"/>
  <c r="F28" i="114"/>
  <c r="F28" i="323"/>
  <c r="F28" i="233"/>
  <c r="F28" i="13"/>
  <c r="F28" i="261"/>
  <c r="F28" i="153"/>
  <c r="F28" i="257"/>
  <c r="F28" i="21"/>
  <c r="F28" i="23"/>
  <c r="F28" i="314"/>
  <c r="E28" i="317"/>
  <c r="F29" i="317" s="1"/>
  <c r="E28" i="316"/>
  <c r="F29" i="316" s="1"/>
  <c r="E28" i="315"/>
  <c r="F29" i="315" s="1"/>
  <c r="F28" i="105"/>
  <c r="F28" i="206"/>
  <c r="F28" i="22"/>
  <c r="F28" i="334"/>
  <c r="F28" i="344"/>
  <c r="F28" i="61"/>
  <c r="F28" i="338"/>
  <c r="F28" i="299"/>
  <c r="F28" i="190"/>
  <c r="F28" i="340"/>
  <c r="F28" i="342"/>
  <c r="F28" i="301"/>
  <c r="F28" i="34"/>
  <c r="F28" i="174"/>
  <c r="F28" i="135"/>
  <c r="F28" i="333"/>
  <c r="F28" i="295"/>
  <c r="F28" i="294"/>
  <c r="F28" i="283"/>
  <c r="F28" i="187"/>
  <c r="F28" i="4"/>
  <c r="F28" i="284"/>
  <c r="F28" i="292"/>
  <c r="F28" i="339"/>
  <c r="F28" i="269"/>
  <c r="F28" i="325"/>
  <c r="F28" i="11"/>
  <c r="F28" i="279"/>
  <c r="F28" i="204"/>
  <c r="F28" i="335"/>
  <c r="F28" i="28"/>
  <c r="F28" i="29"/>
  <c r="F28" i="9"/>
  <c r="F28" i="37"/>
  <c r="F28" i="54"/>
  <c r="F28" i="7"/>
  <c r="F28" i="288"/>
  <c r="F28" i="17"/>
  <c r="F28" i="12"/>
  <c r="F28" i="303"/>
  <c r="F28" i="101"/>
  <c r="F28" i="102"/>
  <c r="F28" i="103"/>
  <c r="F28" i="265"/>
  <c r="F28" i="296"/>
  <c r="F28" i="75"/>
  <c r="F28" i="262"/>
  <c r="F28" i="290"/>
  <c r="F28" i="289"/>
  <c r="F28" i="249"/>
  <c r="F28" i="201"/>
  <c r="F28" i="337"/>
  <c r="F28" i="227"/>
  <c r="F28" i="33"/>
  <c r="F28" i="112"/>
  <c r="F28" i="109"/>
  <c r="F28" i="2"/>
  <c r="F28" i="85"/>
  <c r="F28" i="324"/>
  <c r="F28" i="32"/>
  <c r="F28" i="203"/>
  <c r="F28" i="164"/>
  <c r="F28" i="162"/>
  <c r="F28" i="196"/>
  <c r="F28" i="197"/>
  <c r="F28" i="198"/>
  <c r="F28" i="345"/>
  <c r="F28" i="346"/>
  <c r="F28" i="74"/>
  <c r="F28" i="181"/>
  <c r="F28" i="183"/>
  <c r="F28" i="184"/>
  <c r="F28" i="200"/>
  <c r="F28" i="280"/>
  <c r="F28" i="27"/>
  <c r="F28" i="143"/>
  <c r="F28" i="97"/>
  <c r="F28" i="45"/>
  <c r="F28" i="104"/>
  <c r="F28" i="48"/>
  <c r="F28" i="254"/>
  <c r="F28" i="268"/>
  <c r="F28" i="263"/>
  <c r="F28" i="209"/>
  <c r="F28" i="192"/>
  <c r="F28" i="140"/>
  <c r="F28" i="270"/>
  <c r="F28" i="271"/>
  <c r="F28" i="159"/>
  <c r="F28" i="160"/>
  <c r="F28" i="107"/>
  <c r="F28" i="176"/>
  <c r="F28" i="53"/>
  <c r="F28" i="52"/>
  <c r="F28" i="281"/>
  <c r="F28" i="332"/>
  <c r="F28" i="25"/>
  <c r="F28" i="31"/>
  <c r="F28" i="24"/>
  <c r="F28" i="319"/>
  <c r="F28" i="320"/>
  <c r="E28" i="343"/>
  <c r="F28" i="318"/>
  <c r="F28" i="116"/>
  <c r="F28" i="272"/>
  <c r="F28" i="285"/>
  <c r="F28" i="44"/>
  <c r="F28" i="87"/>
  <c r="F28" i="287"/>
  <c r="F28" i="276"/>
  <c r="F28" i="229"/>
  <c r="F28" i="230"/>
  <c r="F28" i="328"/>
  <c r="F28" i="329"/>
  <c r="F28" i="326"/>
  <c r="F28" i="47"/>
  <c r="F28" i="248"/>
  <c r="F28" i="46"/>
  <c r="F28" i="239"/>
  <c r="F28" i="243"/>
  <c r="F28" i="19"/>
  <c r="F28" i="347"/>
  <c r="F28" i="244"/>
  <c r="F28" i="246"/>
  <c r="F28" i="168"/>
  <c r="F28" i="169"/>
  <c r="F28" i="336"/>
  <c r="F28" i="16"/>
  <c r="H40" i="35" l="1"/>
  <c r="H218" i="417"/>
  <c r="G29" i="16"/>
  <c r="H40" i="16"/>
  <c r="G29" i="246"/>
  <c r="H40" i="246"/>
  <c r="G29" i="243"/>
  <c r="H40" i="243"/>
  <c r="G29" i="47"/>
  <c r="H40" i="47"/>
  <c r="G29" i="276"/>
  <c r="H40" i="276"/>
  <c r="G29" i="285"/>
  <c r="H40" i="285"/>
  <c r="F29" i="343"/>
  <c r="G40" i="343"/>
  <c r="G29" i="31"/>
  <c r="H40" i="31"/>
  <c r="G29" i="281"/>
  <c r="H40" i="281"/>
  <c r="G29" i="107"/>
  <c r="H40" i="107"/>
  <c r="G29" i="270"/>
  <c r="H40" i="270"/>
  <c r="G29" i="263"/>
  <c r="H40" i="263"/>
  <c r="G29" i="104"/>
  <c r="H40" i="104"/>
  <c r="G29" i="143"/>
  <c r="H40" i="143"/>
  <c r="G29" i="184"/>
  <c r="H40" i="184"/>
  <c r="G29" i="346"/>
  <c r="H40" i="346"/>
  <c r="G29" i="197"/>
  <c r="H40" i="197"/>
  <c r="G29" i="203"/>
  <c r="H40" i="203"/>
  <c r="G29" i="2"/>
  <c r="H40" i="2"/>
  <c r="G29" i="227"/>
  <c r="H40" i="227"/>
  <c r="G29" i="289"/>
  <c r="H40" i="289"/>
  <c r="G29" i="296"/>
  <c r="H40" i="296"/>
  <c r="G29" i="101"/>
  <c r="H40" i="101"/>
  <c r="G29" i="288"/>
  <c r="H40" i="288"/>
  <c r="G29" i="9"/>
  <c r="H40" i="9"/>
  <c r="G29" i="269"/>
  <c r="H40" i="269"/>
  <c r="G29" i="4"/>
  <c r="H40" i="4"/>
  <c r="G29" i="295"/>
  <c r="H40" i="295"/>
  <c r="G29" i="34"/>
  <c r="H40" i="34"/>
  <c r="G29" i="190"/>
  <c r="H40" i="190"/>
  <c r="G29" i="344"/>
  <c r="H40" i="344"/>
  <c r="G29" i="105"/>
  <c r="H40" i="105"/>
  <c r="G29" i="314"/>
  <c r="H40" i="314"/>
  <c r="G29" i="153"/>
  <c r="H40" i="153"/>
  <c r="G29" i="323"/>
  <c r="H40" i="323"/>
  <c r="G29" i="1"/>
  <c r="H40" i="1"/>
  <c r="G29" i="18"/>
  <c r="H40" i="18"/>
  <c r="G29" i="89"/>
  <c r="H40" i="89"/>
  <c r="G29" i="202"/>
  <c r="H40" i="202"/>
  <c r="G29" i="348"/>
  <c r="H40" i="348"/>
  <c r="G29" i="298"/>
  <c r="H40" i="298"/>
  <c r="G29" i="336"/>
  <c r="H40" i="336"/>
  <c r="G29" i="244"/>
  <c r="H40" i="244"/>
  <c r="G29" i="239"/>
  <c r="H40" i="239"/>
  <c r="G29" i="326"/>
  <c r="H40" i="326"/>
  <c r="G29" i="328"/>
  <c r="H40" i="328"/>
  <c r="G29" i="287"/>
  <c r="H40" i="287"/>
  <c r="G29" i="272"/>
  <c r="H40" i="272"/>
  <c r="G29" i="320"/>
  <c r="H40" i="320"/>
  <c r="G29" i="25"/>
  <c r="H40" i="25"/>
  <c r="G29" i="52"/>
  <c r="H40" i="52"/>
  <c r="G29" i="160"/>
  <c r="H40" i="160"/>
  <c r="G29" i="140"/>
  <c r="H40" i="140"/>
  <c r="G29" i="268"/>
  <c r="H40" i="268"/>
  <c r="G29" i="27"/>
  <c r="H40" i="27"/>
  <c r="G29" i="183"/>
  <c r="H40" i="183"/>
  <c r="G29" i="345"/>
  <c r="H40" i="345"/>
  <c r="G29" i="196"/>
  <c r="H40" i="196"/>
  <c r="G29" i="32"/>
  <c r="H40" i="32"/>
  <c r="G29" i="109"/>
  <c r="H40" i="109"/>
  <c r="G29" i="337"/>
  <c r="H40" i="337"/>
  <c r="G29" i="290"/>
  <c r="H40" i="290"/>
  <c r="G29" i="265"/>
  <c r="H40" i="265"/>
  <c r="G29" i="303"/>
  <c r="H40" i="303"/>
  <c r="G29" i="7"/>
  <c r="H40" i="7"/>
  <c r="G29" i="29"/>
  <c r="H40" i="29"/>
  <c r="G29" i="279"/>
  <c r="H40" i="279"/>
  <c r="G29" i="339"/>
  <c r="H40" i="339"/>
  <c r="G29" i="187"/>
  <c r="H40" i="187"/>
  <c r="G29" i="333"/>
  <c r="H40" i="333"/>
  <c r="G29" i="301"/>
  <c r="H40" i="301"/>
  <c r="G29" i="299"/>
  <c r="H40" i="299"/>
  <c r="G29" i="334"/>
  <c r="H40" i="334"/>
  <c r="G29" i="23"/>
  <c r="H40" i="23"/>
  <c r="G29" i="261"/>
  <c r="H40" i="261"/>
  <c r="G29" i="114"/>
  <c r="H40" i="114"/>
  <c r="G29" i="191"/>
  <c r="H40" i="191"/>
  <c r="G29" i="142"/>
  <c r="H40" i="142"/>
  <c r="G29" i="148"/>
  <c r="H40" i="148"/>
  <c r="G29" i="35"/>
  <c r="G29" i="43"/>
  <c r="H40" i="43"/>
  <c r="G29" i="169"/>
  <c r="H40" i="169"/>
  <c r="G29" i="347"/>
  <c r="H40" i="347"/>
  <c r="G29" i="46"/>
  <c r="H40" i="46"/>
  <c r="G29" i="230"/>
  <c r="H40" i="230"/>
  <c r="G29" i="87"/>
  <c r="H40" i="87"/>
  <c r="G29" i="116"/>
  <c r="H40" i="116"/>
  <c r="G29" i="319"/>
  <c r="H40" i="319"/>
  <c r="G29" i="53"/>
  <c r="H40" i="53"/>
  <c r="G29" i="159"/>
  <c r="H40" i="159"/>
  <c r="G29" i="192"/>
  <c r="H40" i="192"/>
  <c r="G29" i="254"/>
  <c r="H40" i="254"/>
  <c r="G29" i="45"/>
  <c r="H40" i="45"/>
  <c r="G29" i="280"/>
  <c r="H40" i="280"/>
  <c r="G29" i="181"/>
  <c r="H40" i="181"/>
  <c r="G29" i="162"/>
  <c r="H40" i="162"/>
  <c r="G29" i="324"/>
  <c r="H40" i="324"/>
  <c r="G29" i="112"/>
  <c r="H40" i="112"/>
  <c r="G29" i="201"/>
  <c r="H40" i="201"/>
  <c r="G29" i="262"/>
  <c r="H40" i="262"/>
  <c r="G29" i="103"/>
  <c r="H40" i="103"/>
  <c r="G29" i="12"/>
  <c r="H40" i="12"/>
  <c r="G29" i="54"/>
  <c r="H40" i="54"/>
  <c r="G29" i="28"/>
  <c r="H40" i="28"/>
  <c r="G29" i="11"/>
  <c r="H40" i="11"/>
  <c r="G29" i="292"/>
  <c r="H40" i="292"/>
  <c r="G29" i="283"/>
  <c r="H40" i="283"/>
  <c r="G29" i="135"/>
  <c r="H40" i="135"/>
  <c r="G29" i="342"/>
  <c r="H40" i="342"/>
  <c r="G29" i="338"/>
  <c r="H40" i="338"/>
  <c r="G29" i="22"/>
  <c r="H40" i="22"/>
  <c r="G29" i="21"/>
  <c r="H40" i="21"/>
  <c r="G29" i="13"/>
  <c r="H40" i="13"/>
  <c r="G29" i="322"/>
  <c r="H40" i="322"/>
  <c r="G29" i="8"/>
  <c r="H40" i="8"/>
  <c r="G29" i="207"/>
  <c r="H40" i="207"/>
  <c r="G29" i="88"/>
  <c r="H40" i="88"/>
  <c r="G29" i="297"/>
  <c r="H40" i="297"/>
  <c r="G29" i="193"/>
  <c r="H40" i="193"/>
  <c r="G29" i="168"/>
  <c r="H40" i="168"/>
  <c r="G29" i="19"/>
  <c r="H40" i="19"/>
  <c r="G29" i="248"/>
  <c r="H40" i="248"/>
  <c r="G29" i="329"/>
  <c r="H40" i="329"/>
  <c r="G29" i="229"/>
  <c r="H40" i="229"/>
  <c r="G29" i="44"/>
  <c r="H40" i="44"/>
  <c r="G29" i="318"/>
  <c r="H40" i="318"/>
  <c r="G29" i="24"/>
  <c r="H40" i="24"/>
  <c r="G29" i="332"/>
  <c r="H40" i="332"/>
  <c r="G29" i="176"/>
  <c r="H40" i="176"/>
  <c r="G29" i="271"/>
  <c r="H40" i="271"/>
  <c r="G29" i="209"/>
  <c r="H40" i="209"/>
  <c r="G29" i="97"/>
  <c r="H40" i="97"/>
  <c r="G29" i="200"/>
  <c r="H40" i="200"/>
  <c r="G29" i="74"/>
  <c r="H40" i="74"/>
  <c r="G29" i="198"/>
  <c r="H40" i="198"/>
  <c r="G29" i="164"/>
  <c r="H40" i="164"/>
  <c r="G29" i="85"/>
  <c r="H40" i="85"/>
  <c r="G29" i="33"/>
  <c r="H40" i="33"/>
  <c r="G29" i="249"/>
  <c r="H40" i="249"/>
  <c r="G29" i="75"/>
  <c r="H40" i="75"/>
  <c r="G29" i="102"/>
  <c r="H40" i="102"/>
  <c r="G29" i="17"/>
  <c r="H40" i="17"/>
  <c r="G29" i="37"/>
  <c r="H40" i="37"/>
  <c r="G29" i="335"/>
  <c r="H40" i="335"/>
  <c r="G29" i="325"/>
  <c r="H40" i="325"/>
  <c r="G29" i="284"/>
  <c r="H40" i="284"/>
  <c r="G29" i="294"/>
  <c r="H40" i="294"/>
  <c r="G29" i="174"/>
  <c r="H40" i="174"/>
  <c r="G29" i="340"/>
  <c r="H40" i="340"/>
  <c r="G29" i="61"/>
  <c r="H40" i="61"/>
  <c r="G29" i="206"/>
  <c r="H40" i="206"/>
  <c r="G29" i="257"/>
  <c r="H40" i="257"/>
  <c r="G29" i="233"/>
  <c r="H40" i="233"/>
  <c r="G29" i="113"/>
  <c r="H40" i="113"/>
  <c r="G29" i="20"/>
  <c r="H40" i="20"/>
  <c r="G29" i="5"/>
  <c r="H40" i="5"/>
  <c r="G29" i="3"/>
  <c r="H40" i="3"/>
  <c r="G29" i="293"/>
  <c r="H40" i="293"/>
  <c r="G29" i="194"/>
  <c r="H40" i="194"/>
  <c r="G29" i="204"/>
  <c r="H40" i="204"/>
  <c r="G29" i="48"/>
  <c r="H40" i="48"/>
  <c r="E28" i="175"/>
  <c r="I230" i="417" l="1"/>
  <c r="I218" i="417"/>
  <c r="K28" i="348"/>
  <c r="U28" i="348"/>
  <c r="T28" i="348"/>
  <c r="I28" i="348" s="1"/>
  <c r="J40" i="348" s="1"/>
  <c r="T27" i="348"/>
  <c r="I27" i="348" s="1"/>
  <c r="F27" i="348"/>
  <c r="T26" i="348"/>
  <c r="I26" i="348" s="1"/>
  <c r="K25" i="348"/>
  <c r="U25" i="348"/>
  <c r="M37" i="348" s="1"/>
  <c r="T25" i="348"/>
  <c r="I25" i="348" s="1"/>
  <c r="F25" i="348"/>
  <c r="T24" i="348"/>
  <c r="I24" i="348" s="1"/>
  <c r="F24" i="348"/>
  <c r="T23" i="348"/>
  <c r="I23" i="348" s="1"/>
  <c r="F23" i="348"/>
  <c r="K22" i="348"/>
  <c r="U22" i="348"/>
  <c r="M34" i="348" s="1"/>
  <c r="T22" i="348"/>
  <c r="I22" i="348" s="1"/>
  <c r="F22" i="348"/>
  <c r="T21" i="348"/>
  <c r="I21" i="348" s="1"/>
  <c r="F21" i="348"/>
  <c r="T20" i="348"/>
  <c r="I20" i="348" s="1"/>
  <c r="J32" i="348" s="1"/>
  <c r="F20" i="348"/>
  <c r="K19" i="348"/>
  <c r="U19" i="348"/>
  <c r="M31" i="348" s="1"/>
  <c r="T19" i="348"/>
  <c r="I19" i="348" s="1"/>
  <c r="F19" i="348"/>
  <c r="T18" i="348"/>
  <c r="I18" i="348" s="1"/>
  <c r="F18" i="348"/>
  <c r="T17" i="348"/>
  <c r="I17" i="348" s="1"/>
  <c r="F17" i="348"/>
  <c r="K16" i="348"/>
  <c r="U16" i="348"/>
  <c r="T16" i="348"/>
  <c r="I16" i="348" s="1"/>
  <c r="F16" i="348"/>
  <c r="T15" i="348"/>
  <c r="I15" i="348" s="1"/>
  <c r="F15" i="348"/>
  <c r="T14" i="348"/>
  <c r="I14" i="348" s="1"/>
  <c r="F14" i="348"/>
  <c r="K13" i="348"/>
  <c r="U13" i="348"/>
  <c r="T13" i="348"/>
  <c r="I13" i="348" s="1"/>
  <c r="F13" i="348"/>
  <c r="T12" i="348"/>
  <c r="I12" i="348" s="1"/>
  <c r="F12" i="348"/>
  <c r="T11" i="348"/>
  <c r="I11" i="348" s="1"/>
  <c r="F11" i="348"/>
  <c r="K10" i="348"/>
  <c r="U10" i="348"/>
  <c r="T10" i="348"/>
  <c r="I10" i="348" s="1"/>
  <c r="F10" i="348"/>
  <c r="T9" i="348"/>
  <c r="I9" i="348" s="1"/>
  <c r="F9" i="348"/>
  <c r="T8" i="348"/>
  <c r="I8" i="348" s="1"/>
  <c r="F8" i="348"/>
  <c r="K7" i="348"/>
  <c r="U7" i="348"/>
  <c r="T7" i="348"/>
  <c r="I7" i="348" s="1"/>
  <c r="F7" i="348"/>
  <c r="T6" i="348"/>
  <c r="I6" i="348" s="1"/>
  <c r="F6" i="348"/>
  <c r="T5" i="348"/>
  <c r="I5" i="348" s="1"/>
  <c r="F5" i="348"/>
  <c r="K7" i="246"/>
  <c r="K10" i="246"/>
  <c r="K13" i="246"/>
  <c r="K16" i="246"/>
  <c r="K19" i="246"/>
  <c r="K7" i="244"/>
  <c r="K10" i="244"/>
  <c r="K13" i="244"/>
  <c r="K16" i="244"/>
  <c r="K19" i="244"/>
  <c r="K22" i="244"/>
  <c r="K25" i="244"/>
  <c r="K28" i="244"/>
  <c r="K28" i="347"/>
  <c r="U28" i="347"/>
  <c r="T28" i="347"/>
  <c r="I28" i="347" s="1"/>
  <c r="T27" i="347"/>
  <c r="I27" i="347" s="1"/>
  <c r="F27" i="347"/>
  <c r="T26" i="347"/>
  <c r="I26" i="347" s="1"/>
  <c r="K25" i="347"/>
  <c r="U25" i="347"/>
  <c r="M37" i="347" s="1"/>
  <c r="T25" i="347"/>
  <c r="I25" i="347" s="1"/>
  <c r="F25" i="347"/>
  <c r="T24" i="347"/>
  <c r="I24" i="347" s="1"/>
  <c r="F24" i="347"/>
  <c r="T23" i="347"/>
  <c r="I23" i="347" s="1"/>
  <c r="F23" i="347"/>
  <c r="K22" i="347"/>
  <c r="U22" i="347"/>
  <c r="M34" i="347" s="1"/>
  <c r="T22" i="347"/>
  <c r="I22" i="347" s="1"/>
  <c r="F22" i="347"/>
  <c r="T21" i="347"/>
  <c r="I21" i="347" s="1"/>
  <c r="F21" i="347"/>
  <c r="T20" i="347"/>
  <c r="I20" i="347" s="1"/>
  <c r="F20" i="347"/>
  <c r="K19" i="347"/>
  <c r="U19" i="347"/>
  <c r="M31" i="347" s="1"/>
  <c r="T19" i="347"/>
  <c r="I19" i="347" s="1"/>
  <c r="F19" i="347"/>
  <c r="T18" i="347"/>
  <c r="I18" i="347" s="1"/>
  <c r="F18" i="347"/>
  <c r="T17" i="347"/>
  <c r="I17" i="347" s="1"/>
  <c r="F17" i="347"/>
  <c r="K16" i="347"/>
  <c r="U16" i="347"/>
  <c r="T16" i="347"/>
  <c r="I16" i="347" s="1"/>
  <c r="F16" i="347"/>
  <c r="T15" i="347"/>
  <c r="I15" i="347" s="1"/>
  <c r="F15" i="347"/>
  <c r="T14" i="347"/>
  <c r="I14" i="347" s="1"/>
  <c r="F14" i="347"/>
  <c r="K13" i="347"/>
  <c r="U13" i="347"/>
  <c r="T13" i="347"/>
  <c r="I13" i="347" s="1"/>
  <c r="F13" i="347"/>
  <c r="T12" i="347"/>
  <c r="I12" i="347" s="1"/>
  <c r="F12" i="347"/>
  <c r="T11" i="347"/>
  <c r="I11" i="347" s="1"/>
  <c r="F11" i="347"/>
  <c r="K10" i="347"/>
  <c r="U10" i="347"/>
  <c r="T10" i="347"/>
  <c r="I10" i="347" s="1"/>
  <c r="F10" i="347"/>
  <c r="T9" i="347"/>
  <c r="I9" i="347" s="1"/>
  <c r="F9" i="347"/>
  <c r="T8" i="347"/>
  <c r="I8" i="347" s="1"/>
  <c r="F8" i="347"/>
  <c r="K7" i="347"/>
  <c r="U7" i="347"/>
  <c r="T7" i="347"/>
  <c r="I7" i="347" s="1"/>
  <c r="F7" i="347"/>
  <c r="T6" i="347"/>
  <c r="I6" i="347" s="1"/>
  <c r="F6" i="347"/>
  <c r="T5" i="347"/>
  <c r="I5" i="347" s="1"/>
  <c r="F5" i="347"/>
  <c r="K28" i="346"/>
  <c r="U28" i="346"/>
  <c r="T28" i="346"/>
  <c r="I28" i="346" s="1"/>
  <c r="J40" i="346" s="1"/>
  <c r="T27" i="346"/>
  <c r="I27" i="346" s="1"/>
  <c r="J39" i="346" s="1"/>
  <c r="F27" i="346"/>
  <c r="T26" i="346"/>
  <c r="I26" i="346" s="1"/>
  <c r="K25" i="346"/>
  <c r="U25" i="346"/>
  <c r="M37" i="346" s="1"/>
  <c r="T25" i="346"/>
  <c r="I25" i="346" s="1"/>
  <c r="J37" i="346" s="1"/>
  <c r="F25" i="346"/>
  <c r="T24" i="346"/>
  <c r="I24" i="346" s="1"/>
  <c r="J36" i="346" s="1"/>
  <c r="F24" i="346"/>
  <c r="T23" i="346"/>
  <c r="I23" i="346" s="1"/>
  <c r="J35" i="346" s="1"/>
  <c r="F23" i="346"/>
  <c r="K22" i="346"/>
  <c r="U22" i="346"/>
  <c r="M34" i="346" s="1"/>
  <c r="T22" i="346"/>
  <c r="I22" i="346" s="1"/>
  <c r="F22" i="346"/>
  <c r="T21" i="346"/>
  <c r="I21" i="346" s="1"/>
  <c r="J33" i="346" s="1"/>
  <c r="F21" i="346"/>
  <c r="T20" i="346"/>
  <c r="I20" i="346" s="1"/>
  <c r="J32" i="346" s="1"/>
  <c r="F20" i="346"/>
  <c r="K19" i="346"/>
  <c r="U19" i="346"/>
  <c r="M31" i="346" s="1"/>
  <c r="T19" i="346"/>
  <c r="I19" i="346" s="1"/>
  <c r="J31" i="346" s="1"/>
  <c r="F19" i="346"/>
  <c r="T18" i="346"/>
  <c r="I18" i="346" s="1"/>
  <c r="F18" i="346"/>
  <c r="T17" i="346"/>
  <c r="I17" i="346" s="1"/>
  <c r="J29" i="346" s="1"/>
  <c r="F17" i="346"/>
  <c r="K16" i="346"/>
  <c r="U16" i="346"/>
  <c r="T16" i="346"/>
  <c r="I16" i="346" s="1"/>
  <c r="F16" i="346"/>
  <c r="T15" i="346"/>
  <c r="I15" i="346" s="1"/>
  <c r="F15" i="346"/>
  <c r="T14" i="346"/>
  <c r="I14" i="346" s="1"/>
  <c r="F14" i="346"/>
  <c r="K13" i="346"/>
  <c r="U13" i="346"/>
  <c r="T13" i="346"/>
  <c r="I13" i="346" s="1"/>
  <c r="F13" i="346"/>
  <c r="T12" i="346"/>
  <c r="I12" i="346" s="1"/>
  <c r="F12" i="346"/>
  <c r="T11" i="346"/>
  <c r="I11" i="346" s="1"/>
  <c r="F11" i="346"/>
  <c r="K10" i="346"/>
  <c r="U10" i="346"/>
  <c r="T10" i="346"/>
  <c r="I10" i="346" s="1"/>
  <c r="F10" i="346"/>
  <c r="T9" i="346"/>
  <c r="I9" i="346" s="1"/>
  <c r="F9" i="346"/>
  <c r="T8" i="346"/>
  <c r="I8" i="346" s="1"/>
  <c r="F8" i="346"/>
  <c r="K7" i="346"/>
  <c r="U7" i="346"/>
  <c r="T7" i="346"/>
  <c r="I7" i="346" s="1"/>
  <c r="F7" i="346"/>
  <c r="T6" i="346"/>
  <c r="I6" i="346" s="1"/>
  <c r="F6" i="346"/>
  <c r="T5" i="346"/>
  <c r="I5" i="346" s="1"/>
  <c r="F5" i="346"/>
  <c r="K28" i="345"/>
  <c r="U28" i="345"/>
  <c r="T28" i="345"/>
  <c r="I28" i="345" s="1"/>
  <c r="T27" i="345"/>
  <c r="I27" i="345" s="1"/>
  <c r="F27" i="345"/>
  <c r="T26" i="345"/>
  <c r="I26" i="345" s="1"/>
  <c r="K25" i="345"/>
  <c r="U25" i="345"/>
  <c r="M37" i="345" s="1"/>
  <c r="T25" i="345"/>
  <c r="I25" i="345" s="1"/>
  <c r="F25" i="345"/>
  <c r="T24" i="345"/>
  <c r="I24" i="345" s="1"/>
  <c r="F24" i="345"/>
  <c r="T23" i="345"/>
  <c r="I23" i="345" s="1"/>
  <c r="F23" i="345"/>
  <c r="K22" i="345"/>
  <c r="U22" i="345"/>
  <c r="M34" i="345" s="1"/>
  <c r="T22" i="345"/>
  <c r="I22" i="345" s="1"/>
  <c r="F22" i="345"/>
  <c r="T21" i="345"/>
  <c r="I21" i="345" s="1"/>
  <c r="F21" i="345"/>
  <c r="T20" i="345"/>
  <c r="I20" i="345" s="1"/>
  <c r="F20" i="345"/>
  <c r="K19" i="345"/>
  <c r="U19" i="345"/>
  <c r="M31" i="345" s="1"/>
  <c r="T19" i="345"/>
  <c r="I19" i="345" s="1"/>
  <c r="F19" i="345"/>
  <c r="T18" i="345"/>
  <c r="I18" i="345" s="1"/>
  <c r="F18" i="345"/>
  <c r="T17" i="345"/>
  <c r="I17" i="345" s="1"/>
  <c r="F17" i="345"/>
  <c r="K16" i="345"/>
  <c r="U16" i="345"/>
  <c r="T16" i="345"/>
  <c r="I16" i="345" s="1"/>
  <c r="F16" i="345"/>
  <c r="T15" i="345"/>
  <c r="I15" i="345" s="1"/>
  <c r="F15" i="345"/>
  <c r="T14" i="345"/>
  <c r="I14" i="345" s="1"/>
  <c r="F14" i="345"/>
  <c r="K13" i="345"/>
  <c r="U13" i="345"/>
  <c r="T13" i="345"/>
  <c r="I13" i="345" s="1"/>
  <c r="F13" i="345"/>
  <c r="T12" i="345"/>
  <c r="I12" i="345" s="1"/>
  <c r="F12" i="345"/>
  <c r="T11" i="345"/>
  <c r="I11" i="345" s="1"/>
  <c r="F11" i="345"/>
  <c r="K10" i="345"/>
  <c r="U10" i="345"/>
  <c r="T10" i="345"/>
  <c r="I10" i="345" s="1"/>
  <c r="F10" i="345"/>
  <c r="T9" i="345"/>
  <c r="I9" i="345" s="1"/>
  <c r="F9" i="345"/>
  <c r="T8" i="345"/>
  <c r="I8" i="345" s="1"/>
  <c r="F8" i="345"/>
  <c r="K7" i="345"/>
  <c r="U7" i="345"/>
  <c r="T7" i="345"/>
  <c r="I7" i="345" s="1"/>
  <c r="F7" i="345"/>
  <c r="T6" i="345"/>
  <c r="I6" i="345" s="1"/>
  <c r="F6" i="345"/>
  <c r="T5" i="345"/>
  <c r="I5" i="345" s="1"/>
  <c r="F5" i="345"/>
  <c r="K28" i="297"/>
  <c r="U28" i="297"/>
  <c r="K28" i="3"/>
  <c r="U28" i="3"/>
  <c r="K28" i="15"/>
  <c r="U28" i="15"/>
  <c r="K28" i="88"/>
  <c r="U28" i="88"/>
  <c r="K28" i="148"/>
  <c r="U28" i="148"/>
  <c r="K28" i="5"/>
  <c r="U28" i="5"/>
  <c r="K28" i="207"/>
  <c r="U28" i="207"/>
  <c r="K28" i="18"/>
  <c r="U28" i="18"/>
  <c r="K28" i="20"/>
  <c r="U28" i="20"/>
  <c r="K28" i="89"/>
  <c r="U28" i="89"/>
  <c r="U28" i="8"/>
  <c r="U28" i="191"/>
  <c r="K28" i="1"/>
  <c r="U28" i="1"/>
  <c r="K28" i="113"/>
  <c r="U28" i="113"/>
  <c r="K28" i="322"/>
  <c r="U28" i="322"/>
  <c r="K28" i="114"/>
  <c r="U28" i="114"/>
  <c r="K28" i="323"/>
  <c r="U28" i="323"/>
  <c r="K28" i="233"/>
  <c r="U28" i="233"/>
  <c r="K28" i="35"/>
  <c r="K28" i="202"/>
  <c r="L31" i="202" s="1"/>
  <c r="K28" i="13"/>
  <c r="U28" i="13"/>
  <c r="K28" i="261"/>
  <c r="U28" i="261"/>
  <c r="K28" i="153"/>
  <c r="U28" i="153"/>
  <c r="K28" i="257"/>
  <c r="U28" i="257"/>
  <c r="K28" i="105"/>
  <c r="U28" i="105"/>
  <c r="K28" i="23"/>
  <c r="U28" i="23"/>
  <c r="K28" i="314"/>
  <c r="U28" i="314"/>
  <c r="N28" i="317"/>
  <c r="M28" i="317"/>
  <c r="O31" i="317" s="1"/>
  <c r="N28" i="316"/>
  <c r="M28" i="316"/>
  <c r="O31" i="316" s="1"/>
  <c r="N28" i="315"/>
  <c r="M28" i="315"/>
  <c r="O31" i="315" s="1"/>
  <c r="K28" i="61"/>
  <c r="U28" i="61"/>
  <c r="K28" i="338"/>
  <c r="U28" i="338"/>
  <c r="U28" i="299"/>
  <c r="U28" i="190"/>
  <c r="K28" i="340"/>
  <c r="U28" i="340"/>
  <c r="K28" i="342"/>
  <c r="U28" i="342"/>
  <c r="K28" i="206"/>
  <c r="U28" i="206"/>
  <c r="K28" i="22"/>
  <c r="U28" i="22"/>
  <c r="K28" i="34"/>
  <c r="U28" i="34"/>
  <c r="K28" i="174"/>
  <c r="U28" i="174"/>
  <c r="K28" i="301"/>
  <c r="U28" i="301"/>
  <c r="K28" i="135"/>
  <c r="U28" i="135"/>
  <c r="K28" i="344"/>
  <c r="U28" i="344"/>
  <c r="K28" i="333"/>
  <c r="U28" i="333"/>
  <c r="N28" i="175"/>
  <c r="M28" i="175"/>
  <c r="K28" i="295"/>
  <c r="U28" i="295"/>
  <c r="K28" i="294"/>
  <c r="U28" i="294"/>
  <c r="K28" i="334"/>
  <c r="U28" i="334"/>
  <c r="L31" i="283"/>
  <c r="K28" i="4"/>
  <c r="U28" i="4"/>
  <c r="K28" i="284"/>
  <c r="U28" i="284"/>
  <c r="K28" i="292"/>
  <c r="U28" i="292"/>
  <c r="K28" i="339"/>
  <c r="U28" i="339"/>
  <c r="M40" i="339" s="1"/>
  <c r="K28" i="269"/>
  <c r="U28" i="269"/>
  <c r="K28" i="11"/>
  <c r="U28" i="11"/>
  <c r="J28" i="279"/>
  <c r="T28" i="279"/>
  <c r="K28" i="325"/>
  <c r="U28" i="325"/>
  <c r="K28" i="204"/>
  <c r="U28" i="204"/>
  <c r="J28" i="335"/>
  <c r="T28" i="335"/>
  <c r="K28" i="28"/>
  <c r="U28" i="28"/>
  <c r="K28" i="29"/>
  <c r="U28" i="29"/>
  <c r="K28" i="9"/>
  <c r="U28" i="9"/>
  <c r="K28" i="37"/>
  <c r="U28" i="37"/>
  <c r="K28" i="54"/>
  <c r="U28" i="54"/>
  <c r="K28" i="7"/>
  <c r="U28" i="7"/>
  <c r="K28" i="288"/>
  <c r="U28" i="288"/>
  <c r="K28" i="17"/>
  <c r="U28" i="17"/>
  <c r="K28" i="16"/>
  <c r="U28" i="16"/>
  <c r="K28" i="12"/>
  <c r="U28" i="12"/>
  <c r="K28" i="303"/>
  <c r="U28" i="303"/>
  <c r="K28" i="101"/>
  <c r="U28" i="101"/>
  <c r="K28" i="102"/>
  <c r="U28" i="102"/>
  <c r="K28" i="103"/>
  <c r="U28" i="103"/>
  <c r="K28" i="265"/>
  <c r="U28" i="265"/>
  <c r="K28" i="43"/>
  <c r="U28" i="43"/>
  <c r="K28" i="75"/>
  <c r="U28" i="75"/>
  <c r="K28" i="262"/>
  <c r="U28" i="262"/>
  <c r="K28" i="290"/>
  <c r="U28" i="290"/>
  <c r="K28" i="289"/>
  <c r="U28" i="289"/>
  <c r="K28" i="249"/>
  <c r="U28" i="249"/>
  <c r="K28" i="201"/>
  <c r="U28" i="201"/>
  <c r="U28" i="227"/>
  <c r="K28" i="33"/>
  <c r="U28" i="33"/>
  <c r="K28" i="112"/>
  <c r="U28" i="112"/>
  <c r="K28" i="109"/>
  <c r="U28" i="109"/>
  <c r="K28" i="2"/>
  <c r="U28" i="2"/>
  <c r="K28" i="85"/>
  <c r="U28" i="85"/>
  <c r="K28" i="324"/>
  <c r="U28" i="324"/>
  <c r="K28" i="32"/>
  <c r="U28" i="32"/>
  <c r="K28" i="203"/>
  <c r="U28" i="203"/>
  <c r="K28" i="164"/>
  <c r="U28" i="164"/>
  <c r="K28" i="162"/>
  <c r="U28" i="162"/>
  <c r="K28" i="196"/>
  <c r="U28" i="196"/>
  <c r="K28" i="197"/>
  <c r="U28" i="197"/>
  <c r="K28" i="198"/>
  <c r="U28" i="198"/>
  <c r="K28" i="74"/>
  <c r="U28" i="74"/>
  <c r="K28" i="181"/>
  <c r="U28" i="181"/>
  <c r="K28" i="183"/>
  <c r="U28" i="183"/>
  <c r="K28" i="184"/>
  <c r="U28" i="184"/>
  <c r="K28" i="200"/>
  <c r="U28" i="200"/>
  <c r="K28" i="280"/>
  <c r="U28" i="280"/>
  <c r="K28" i="194"/>
  <c r="U28" i="194"/>
  <c r="K28" i="193"/>
  <c r="U28" i="193"/>
  <c r="K28" i="27"/>
  <c r="U28" i="27"/>
  <c r="K28" i="143"/>
  <c r="U28" i="143"/>
  <c r="K28" i="97"/>
  <c r="U28" i="97"/>
  <c r="K28" i="45"/>
  <c r="U28" i="45"/>
  <c r="K28" i="104"/>
  <c r="U28" i="104"/>
  <c r="K28" i="268"/>
  <c r="U28" i="268"/>
  <c r="K28" i="263"/>
  <c r="U28" i="263"/>
  <c r="K28" i="209"/>
  <c r="U28" i="209"/>
  <c r="K28" i="192"/>
  <c r="U28" i="192"/>
  <c r="K28" i="48"/>
  <c r="U28" i="48"/>
  <c r="K28" i="254"/>
  <c r="U28" i="254"/>
  <c r="K28" i="140"/>
  <c r="U28" i="140"/>
  <c r="K28" i="270"/>
  <c r="U28" i="270"/>
  <c r="K28" i="271"/>
  <c r="U28" i="271"/>
  <c r="K28" i="159"/>
  <c r="U28" i="159"/>
  <c r="K28" i="160"/>
  <c r="U28" i="160"/>
  <c r="K28" i="107"/>
  <c r="U28" i="107"/>
  <c r="K28" i="176"/>
  <c r="U28" i="176"/>
  <c r="K28" i="53"/>
  <c r="U28" i="53"/>
  <c r="K28" i="52"/>
  <c r="U28" i="52"/>
  <c r="K28" i="281"/>
  <c r="U28" i="281"/>
  <c r="K28" i="332"/>
  <c r="U28" i="332"/>
  <c r="K28" i="25"/>
  <c r="U28" i="25"/>
  <c r="K28" i="31"/>
  <c r="U28" i="31"/>
  <c r="K28" i="24"/>
  <c r="U28" i="24"/>
  <c r="K28" i="298"/>
  <c r="U28" i="298"/>
  <c r="U28" i="319"/>
  <c r="U28" i="320"/>
  <c r="M28" i="343"/>
  <c r="K28" i="229"/>
  <c r="U28" i="229"/>
  <c r="K28" i="230"/>
  <c r="U28" i="230"/>
  <c r="J28" i="44"/>
  <c r="T28" i="44"/>
  <c r="K28" i="116"/>
  <c r="U28" i="116"/>
  <c r="K28" i="272"/>
  <c r="U28" i="272"/>
  <c r="K28" i="276"/>
  <c r="U28" i="276"/>
  <c r="K28" i="287"/>
  <c r="U28" i="287"/>
  <c r="K28" i="285"/>
  <c r="U28" i="285"/>
  <c r="K28" i="87"/>
  <c r="U28" i="87"/>
  <c r="K28" i="47"/>
  <c r="U28" i="47"/>
  <c r="K28" i="326"/>
  <c r="U28" i="326"/>
  <c r="K28" i="248"/>
  <c r="U28" i="248"/>
  <c r="K28" i="46"/>
  <c r="U28" i="46"/>
  <c r="K28" i="239"/>
  <c r="U28" i="239"/>
  <c r="K28" i="243"/>
  <c r="U28" i="243"/>
  <c r="U28" i="244"/>
  <c r="K28" i="246"/>
  <c r="U28" i="246"/>
  <c r="K28" i="19"/>
  <c r="U28" i="19"/>
  <c r="K28" i="328"/>
  <c r="U28" i="328"/>
  <c r="K28" i="329"/>
  <c r="U28" i="329"/>
  <c r="K28" i="168"/>
  <c r="U28" i="168"/>
  <c r="K28" i="169"/>
  <c r="U28" i="169"/>
  <c r="K28" i="336"/>
  <c r="U28" i="336"/>
  <c r="K28" i="293"/>
  <c r="U28" i="293"/>
  <c r="K25" i="297"/>
  <c r="U25" i="297"/>
  <c r="M37" i="297" s="1"/>
  <c r="K25" i="3"/>
  <c r="U25" i="3"/>
  <c r="M37" i="3" s="1"/>
  <c r="K25" i="15"/>
  <c r="U25" i="15"/>
  <c r="M37" i="15" s="1"/>
  <c r="K25" i="88"/>
  <c r="U25" i="88"/>
  <c r="M37" i="88" s="1"/>
  <c r="K25" i="148"/>
  <c r="U25" i="148"/>
  <c r="M37" i="148" s="1"/>
  <c r="K25" i="5"/>
  <c r="U25" i="5"/>
  <c r="M37" i="5" s="1"/>
  <c r="K25" i="207"/>
  <c r="U25" i="207"/>
  <c r="M37" i="207" s="1"/>
  <c r="K25" i="18"/>
  <c r="U25" i="18"/>
  <c r="M37" i="18" s="1"/>
  <c r="K25" i="20"/>
  <c r="U25" i="20"/>
  <c r="M37" i="20" s="1"/>
  <c r="K25" i="89"/>
  <c r="U25" i="89"/>
  <c r="M37" i="89" s="1"/>
  <c r="U25" i="8"/>
  <c r="M37" i="8" s="1"/>
  <c r="U25" i="191"/>
  <c r="M37" i="191" s="1"/>
  <c r="K25" i="1"/>
  <c r="U25" i="1"/>
  <c r="M37" i="1" s="1"/>
  <c r="K25" i="113"/>
  <c r="U25" i="113"/>
  <c r="M37" i="113" s="1"/>
  <c r="K25" i="322"/>
  <c r="U25" i="322"/>
  <c r="M37" i="322" s="1"/>
  <c r="K25" i="114"/>
  <c r="U25" i="114"/>
  <c r="M37" i="114" s="1"/>
  <c r="K25" i="323"/>
  <c r="U25" i="323"/>
  <c r="M37" i="323" s="1"/>
  <c r="K25" i="233"/>
  <c r="U25" i="233"/>
  <c r="M37" i="233" s="1"/>
  <c r="K25" i="35"/>
  <c r="K25" i="202"/>
  <c r="U25" i="202"/>
  <c r="M37" i="202" s="1"/>
  <c r="K25" i="13"/>
  <c r="U25" i="13"/>
  <c r="M37" i="13" s="1"/>
  <c r="K25" i="261"/>
  <c r="U25" i="261"/>
  <c r="M37" i="261" s="1"/>
  <c r="K25" i="153"/>
  <c r="U25" i="153"/>
  <c r="M37" i="153" s="1"/>
  <c r="K25" i="257"/>
  <c r="U25" i="257"/>
  <c r="M37" i="257" s="1"/>
  <c r="K25" i="105"/>
  <c r="U25" i="105"/>
  <c r="M37" i="105" s="1"/>
  <c r="K25" i="23"/>
  <c r="U25" i="23"/>
  <c r="M37" i="23" s="1"/>
  <c r="K25" i="314"/>
  <c r="U25" i="314"/>
  <c r="M37" i="314" s="1"/>
  <c r="N25" i="317"/>
  <c r="M25" i="317"/>
  <c r="N25" i="316"/>
  <c r="M25" i="316"/>
  <c r="N25" i="315"/>
  <c r="M25" i="315"/>
  <c r="K25" i="61"/>
  <c r="U25" i="61"/>
  <c r="M37" i="61" s="1"/>
  <c r="K25" i="338"/>
  <c r="U25" i="338"/>
  <c r="M37" i="338" s="1"/>
  <c r="U25" i="299"/>
  <c r="M37" i="299" s="1"/>
  <c r="U25" i="190"/>
  <c r="M37" i="190" s="1"/>
  <c r="K25" i="340"/>
  <c r="U25" i="340"/>
  <c r="M37" i="340" s="1"/>
  <c r="K25" i="342"/>
  <c r="U25" i="342"/>
  <c r="M37" i="342" s="1"/>
  <c r="K25" i="206"/>
  <c r="U25" i="206"/>
  <c r="M37" i="206" s="1"/>
  <c r="K25" i="22"/>
  <c r="U25" i="22"/>
  <c r="M37" i="22" s="1"/>
  <c r="K25" i="34"/>
  <c r="U25" i="34"/>
  <c r="M37" i="34" s="1"/>
  <c r="K25" i="174"/>
  <c r="U25" i="174"/>
  <c r="M37" i="174" s="1"/>
  <c r="K25" i="301"/>
  <c r="U25" i="301"/>
  <c r="M37" i="301" s="1"/>
  <c r="K25" i="135"/>
  <c r="U25" i="135"/>
  <c r="M37" i="135" s="1"/>
  <c r="K25" i="344"/>
  <c r="U25" i="344"/>
  <c r="M37" i="344" s="1"/>
  <c r="K25" i="333"/>
  <c r="U25" i="333"/>
  <c r="M37" i="333" s="1"/>
  <c r="N25" i="175"/>
  <c r="M25" i="175"/>
  <c r="K25" i="295"/>
  <c r="U25" i="295"/>
  <c r="M37" i="295" s="1"/>
  <c r="K25" i="294"/>
  <c r="U25" i="294"/>
  <c r="M37" i="294" s="1"/>
  <c r="K25" i="334"/>
  <c r="U25" i="334"/>
  <c r="M37" i="334" s="1"/>
  <c r="K25" i="4"/>
  <c r="U25" i="4"/>
  <c r="M37" i="4" s="1"/>
  <c r="K25" i="284"/>
  <c r="U25" i="284"/>
  <c r="M37" i="284" s="1"/>
  <c r="K25" i="292"/>
  <c r="U25" i="292"/>
  <c r="M37" i="292" s="1"/>
  <c r="K25" i="339"/>
  <c r="U25" i="339"/>
  <c r="M37" i="339" s="1"/>
  <c r="K25" i="269"/>
  <c r="U25" i="269"/>
  <c r="M37" i="269" s="1"/>
  <c r="K25" i="11"/>
  <c r="U25" i="11"/>
  <c r="M37" i="11" s="1"/>
  <c r="J25" i="279"/>
  <c r="T25" i="279"/>
  <c r="L37" i="279" s="1"/>
  <c r="K25" i="325"/>
  <c r="U25" i="325"/>
  <c r="M37" i="325" s="1"/>
  <c r="K25" i="204"/>
  <c r="U25" i="204"/>
  <c r="M37" i="204" s="1"/>
  <c r="J25" i="335"/>
  <c r="T25" i="335"/>
  <c r="L37" i="335" s="1"/>
  <c r="K25" i="28"/>
  <c r="U25" i="28"/>
  <c r="M37" i="28" s="1"/>
  <c r="K25" i="29"/>
  <c r="U25" i="29"/>
  <c r="M37" i="29" s="1"/>
  <c r="K25" i="9"/>
  <c r="U25" i="9"/>
  <c r="M37" i="9" s="1"/>
  <c r="K25" i="37"/>
  <c r="U25" i="37"/>
  <c r="M37" i="37" s="1"/>
  <c r="K25" i="54"/>
  <c r="U25" i="54"/>
  <c r="M37" i="54" s="1"/>
  <c r="K25" i="7"/>
  <c r="U25" i="7"/>
  <c r="M37" i="7" s="1"/>
  <c r="K25" i="288"/>
  <c r="U25" i="288"/>
  <c r="M37" i="288" s="1"/>
  <c r="K25" i="17"/>
  <c r="U25" i="17"/>
  <c r="M37" i="17" s="1"/>
  <c r="K25" i="16"/>
  <c r="U25" i="16"/>
  <c r="M37" i="16" s="1"/>
  <c r="K25" i="12"/>
  <c r="U25" i="12"/>
  <c r="M37" i="12" s="1"/>
  <c r="K25" i="303"/>
  <c r="U25" i="303"/>
  <c r="M37" i="303" s="1"/>
  <c r="K25" i="101"/>
  <c r="U25" i="101"/>
  <c r="M37" i="101" s="1"/>
  <c r="K25" i="102"/>
  <c r="U25" i="102"/>
  <c r="M37" i="102" s="1"/>
  <c r="K25" i="103"/>
  <c r="U25" i="103"/>
  <c r="M37" i="103" s="1"/>
  <c r="K25" i="265"/>
  <c r="U25" i="265"/>
  <c r="M37" i="265" s="1"/>
  <c r="K25" i="43"/>
  <c r="U25" i="43"/>
  <c r="M37" i="43" s="1"/>
  <c r="K25" i="75"/>
  <c r="U25" i="75"/>
  <c r="M37" i="75" s="1"/>
  <c r="K25" i="262"/>
  <c r="U25" i="262"/>
  <c r="M37" i="262" s="1"/>
  <c r="K25" i="290"/>
  <c r="U25" i="290"/>
  <c r="M37" i="290" s="1"/>
  <c r="K25" i="289"/>
  <c r="U25" i="289"/>
  <c r="M37" i="289" s="1"/>
  <c r="K25" i="249"/>
  <c r="U25" i="249"/>
  <c r="M37" i="249" s="1"/>
  <c r="K25" i="201"/>
  <c r="U25" i="201"/>
  <c r="M37" i="201" s="1"/>
  <c r="U25" i="227"/>
  <c r="M37" i="227" s="1"/>
  <c r="K25" i="33"/>
  <c r="U25" i="33"/>
  <c r="M37" i="33" s="1"/>
  <c r="K25" i="112"/>
  <c r="U25" i="112"/>
  <c r="M37" i="112" s="1"/>
  <c r="K25" i="109"/>
  <c r="U25" i="109"/>
  <c r="M37" i="109" s="1"/>
  <c r="K25" i="2"/>
  <c r="U25" i="2"/>
  <c r="M37" i="2" s="1"/>
  <c r="K25" i="85"/>
  <c r="U25" i="85"/>
  <c r="M37" i="85" s="1"/>
  <c r="K25" i="324"/>
  <c r="U25" i="324"/>
  <c r="M37" i="324" s="1"/>
  <c r="K25" i="32"/>
  <c r="U25" i="32"/>
  <c r="M37" i="32" s="1"/>
  <c r="K25" i="203"/>
  <c r="U25" i="203"/>
  <c r="M37" i="203" s="1"/>
  <c r="K25" i="164"/>
  <c r="U25" i="164"/>
  <c r="M37" i="164" s="1"/>
  <c r="K25" i="162"/>
  <c r="U25" i="162"/>
  <c r="M37" i="162" s="1"/>
  <c r="K25" i="196"/>
  <c r="U25" i="196"/>
  <c r="M37" i="196" s="1"/>
  <c r="K25" i="197"/>
  <c r="U25" i="197"/>
  <c r="M37" i="197" s="1"/>
  <c r="K25" i="198"/>
  <c r="U25" i="198"/>
  <c r="M37" i="198" s="1"/>
  <c r="K25" i="74"/>
  <c r="U25" i="74"/>
  <c r="M37" i="74" s="1"/>
  <c r="K25" i="181"/>
  <c r="U25" i="181"/>
  <c r="M37" i="181" s="1"/>
  <c r="K25" i="183"/>
  <c r="U25" i="183"/>
  <c r="M37" i="183" s="1"/>
  <c r="K25" i="184"/>
  <c r="U25" i="184"/>
  <c r="M37" i="184" s="1"/>
  <c r="K25" i="200"/>
  <c r="U25" i="200"/>
  <c r="M37" i="200" s="1"/>
  <c r="K25" i="280"/>
  <c r="U25" i="280"/>
  <c r="M37" i="280" s="1"/>
  <c r="K25" i="194"/>
  <c r="U25" i="194"/>
  <c r="M37" i="194" s="1"/>
  <c r="K25" i="193"/>
  <c r="U25" i="193"/>
  <c r="M37" i="193" s="1"/>
  <c r="K25" i="27"/>
  <c r="U25" i="27"/>
  <c r="M37" i="27" s="1"/>
  <c r="K25" i="143"/>
  <c r="U25" i="143"/>
  <c r="M37" i="143" s="1"/>
  <c r="K25" i="97"/>
  <c r="U25" i="97"/>
  <c r="M37" i="97" s="1"/>
  <c r="K25" i="45"/>
  <c r="U25" i="45"/>
  <c r="M37" i="45" s="1"/>
  <c r="K25" i="104"/>
  <c r="U25" i="104"/>
  <c r="M37" i="104" s="1"/>
  <c r="K25" i="268"/>
  <c r="U25" i="268"/>
  <c r="M37" i="268" s="1"/>
  <c r="K25" i="263"/>
  <c r="U25" i="263"/>
  <c r="M37" i="263" s="1"/>
  <c r="K25" i="209"/>
  <c r="U25" i="209"/>
  <c r="M37" i="209" s="1"/>
  <c r="K25" i="192"/>
  <c r="U25" i="192"/>
  <c r="M37" i="192" s="1"/>
  <c r="K25" i="48"/>
  <c r="U25" i="48"/>
  <c r="M37" i="48" s="1"/>
  <c r="K25" i="254"/>
  <c r="U25" i="254"/>
  <c r="M37" i="254" s="1"/>
  <c r="K25" i="140"/>
  <c r="U25" i="140"/>
  <c r="M37" i="140" s="1"/>
  <c r="K25" i="270"/>
  <c r="U25" i="270"/>
  <c r="M37" i="270" s="1"/>
  <c r="K25" i="271"/>
  <c r="U25" i="271"/>
  <c r="M37" i="271" s="1"/>
  <c r="K25" i="159"/>
  <c r="U25" i="159"/>
  <c r="M37" i="159" s="1"/>
  <c r="K25" i="160"/>
  <c r="U25" i="160"/>
  <c r="M37" i="160" s="1"/>
  <c r="K25" i="107"/>
  <c r="U25" i="107"/>
  <c r="M37" i="107" s="1"/>
  <c r="K25" i="176"/>
  <c r="U25" i="176"/>
  <c r="M37" i="176" s="1"/>
  <c r="K25" i="53"/>
  <c r="U25" i="53"/>
  <c r="M37" i="53" s="1"/>
  <c r="K25" i="52"/>
  <c r="U25" i="52"/>
  <c r="M37" i="52" s="1"/>
  <c r="K25" i="281"/>
  <c r="U25" i="281"/>
  <c r="M37" i="281" s="1"/>
  <c r="K25" i="332"/>
  <c r="U25" i="332"/>
  <c r="M37" i="332" s="1"/>
  <c r="K25" i="25"/>
  <c r="U25" i="25"/>
  <c r="M37" i="25" s="1"/>
  <c r="K25" i="31"/>
  <c r="U25" i="31"/>
  <c r="M37" i="31" s="1"/>
  <c r="K25" i="24"/>
  <c r="U25" i="24"/>
  <c r="M37" i="24" s="1"/>
  <c r="K25" i="298"/>
  <c r="U25" i="298"/>
  <c r="M37" i="298" s="1"/>
  <c r="U25" i="319"/>
  <c r="M37" i="319" s="1"/>
  <c r="U25" i="320"/>
  <c r="M37" i="320" s="1"/>
  <c r="M25" i="343"/>
  <c r="P37" i="343" s="1"/>
  <c r="K25" i="229"/>
  <c r="U25" i="229"/>
  <c r="M37" i="229" s="1"/>
  <c r="K25" i="230"/>
  <c r="U25" i="230"/>
  <c r="M37" i="230" s="1"/>
  <c r="J25" i="44"/>
  <c r="T25" i="44"/>
  <c r="L37" i="44" s="1"/>
  <c r="K25" i="116"/>
  <c r="U25" i="116"/>
  <c r="M37" i="116" s="1"/>
  <c r="K25" i="272"/>
  <c r="U25" i="272"/>
  <c r="M37" i="272" s="1"/>
  <c r="K25" i="276"/>
  <c r="U25" i="276"/>
  <c r="M37" i="276" s="1"/>
  <c r="K25" i="287"/>
  <c r="U25" i="287"/>
  <c r="M37" i="287" s="1"/>
  <c r="K25" i="285"/>
  <c r="U25" i="285"/>
  <c r="M37" i="285" s="1"/>
  <c r="K25" i="87"/>
  <c r="U25" i="87"/>
  <c r="M37" i="87" s="1"/>
  <c r="K25" i="47"/>
  <c r="U25" i="47"/>
  <c r="M37" i="47" s="1"/>
  <c r="K25" i="326"/>
  <c r="U25" i="326"/>
  <c r="M37" i="326" s="1"/>
  <c r="K25" i="248"/>
  <c r="U25" i="248"/>
  <c r="M37" i="248" s="1"/>
  <c r="K25" i="46"/>
  <c r="U25" i="46"/>
  <c r="M37" i="46" s="1"/>
  <c r="K25" i="239"/>
  <c r="U25" i="239"/>
  <c r="M37" i="239" s="1"/>
  <c r="K25" i="243"/>
  <c r="U25" i="243"/>
  <c r="M37" i="243" s="1"/>
  <c r="U25" i="244"/>
  <c r="M37" i="244" s="1"/>
  <c r="K25" i="246"/>
  <c r="U25" i="246"/>
  <c r="M37" i="246" s="1"/>
  <c r="K25" i="19"/>
  <c r="U25" i="19"/>
  <c r="M37" i="19" s="1"/>
  <c r="K25" i="328"/>
  <c r="U25" i="328"/>
  <c r="M37" i="328" s="1"/>
  <c r="K25" i="329"/>
  <c r="U25" i="329"/>
  <c r="M37" i="329" s="1"/>
  <c r="K25" i="168"/>
  <c r="U25" i="168"/>
  <c r="M37" i="168" s="1"/>
  <c r="K25" i="169"/>
  <c r="U25" i="169"/>
  <c r="M37" i="169" s="1"/>
  <c r="K25" i="336"/>
  <c r="U25" i="336"/>
  <c r="M37" i="336" s="1"/>
  <c r="K25" i="293"/>
  <c r="U25" i="293"/>
  <c r="M37" i="293" s="1"/>
  <c r="K22" i="297"/>
  <c r="U22" i="297"/>
  <c r="M34" i="297" s="1"/>
  <c r="K22" i="3"/>
  <c r="U22" i="3"/>
  <c r="M34" i="3" s="1"/>
  <c r="K22" i="15"/>
  <c r="U22" i="15"/>
  <c r="M34" i="15" s="1"/>
  <c r="K22" i="88"/>
  <c r="U22" i="88"/>
  <c r="M34" i="88" s="1"/>
  <c r="K22" i="148"/>
  <c r="U22" i="148"/>
  <c r="M34" i="148" s="1"/>
  <c r="K22" i="5"/>
  <c r="U22" i="5"/>
  <c r="M34" i="5" s="1"/>
  <c r="K22" i="207"/>
  <c r="U22" i="207"/>
  <c r="M34" i="207" s="1"/>
  <c r="K22" i="18"/>
  <c r="U22" i="18"/>
  <c r="M34" i="18" s="1"/>
  <c r="K22" i="20"/>
  <c r="U22" i="20"/>
  <c r="M34" i="20" s="1"/>
  <c r="K22" i="89"/>
  <c r="U22" i="89"/>
  <c r="M34" i="89" s="1"/>
  <c r="U22" i="8"/>
  <c r="M34" i="8" s="1"/>
  <c r="U22" i="191"/>
  <c r="M34" i="191" s="1"/>
  <c r="K22" i="1"/>
  <c r="U22" i="1"/>
  <c r="M34" i="1" s="1"/>
  <c r="K22" i="113"/>
  <c r="U22" i="113"/>
  <c r="M34" i="113" s="1"/>
  <c r="K22" i="322"/>
  <c r="U22" i="322"/>
  <c r="M34" i="322" s="1"/>
  <c r="K22" i="114"/>
  <c r="U22" i="114"/>
  <c r="M34" i="114" s="1"/>
  <c r="K22" i="323"/>
  <c r="U22" i="323"/>
  <c r="M34" i="323" s="1"/>
  <c r="K22" i="233"/>
  <c r="U22" i="233"/>
  <c r="M34" i="233" s="1"/>
  <c r="K22" i="35"/>
  <c r="K22" i="202"/>
  <c r="U22" i="202"/>
  <c r="M34" i="202" s="1"/>
  <c r="K22" i="13"/>
  <c r="U22" i="13"/>
  <c r="M34" i="13" s="1"/>
  <c r="K22" i="261"/>
  <c r="U22" i="261"/>
  <c r="M34" i="261" s="1"/>
  <c r="K22" i="153"/>
  <c r="U22" i="153"/>
  <c r="M34" i="153" s="1"/>
  <c r="K22" i="257"/>
  <c r="U22" i="257"/>
  <c r="M34" i="257" s="1"/>
  <c r="K22" i="105"/>
  <c r="U22" i="105"/>
  <c r="M34" i="105" s="1"/>
  <c r="K22" i="23"/>
  <c r="U22" i="23"/>
  <c r="M34" i="23" s="1"/>
  <c r="K22" i="314"/>
  <c r="U22" i="314"/>
  <c r="M34" i="314" s="1"/>
  <c r="N22" i="317"/>
  <c r="M22" i="317"/>
  <c r="N22" i="316"/>
  <c r="M22" i="316"/>
  <c r="N22" i="315"/>
  <c r="M22" i="315"/>
  <c r="K22" i="61"/>
  <c r="U22" i="61"/>
  <c r="M34" i="61" s="1"/>
  <c r="K22" i="338"/>
  <c r="U22" i="338"/>
  <c r="M34" i="338" s="1"/>
  <c r="U22" i="299"/>
  <c r="M34" i="299" s="1"/>
  <c r="U22" i="190"/>
  <c r="M34" i="190" s="1"/>
  <c r="K22" i="340"/>
  <c r="U22" i="340"/>
  <c r="M34" i="340" s="1"/>
  <c r="K22" i="342"/>
  <c r="U22" i="342"/>
  <c r="M34" i="342" s="1"/>
  <c r="K22" i="206"/>
  <c r="U22" i="206"/>
  <c r="M34" i="206" s="1"/>
  <c r="K22" i="22"/>
  <c r="U22" i="22"/>
  <c r="M34" i="22" s="1"/>
  <c r="K22" i="34"/>
  <c r="U22" i="34"/>
  <c r="M34" i="34" s="1"/>
  <c r="K22" i="174"/>
  <c r="U22" i="174"/>
  <c r="M34" i="174" s="1"/>
  <c r="K22" i="301"/>
  <c r="U22" i="301"/>
  <c r="M34" i="301" s="1"/>
  <c r="K22" i="135"/>
  <c r="U22" i="135"/>
  <c r="M34" i="135" s="1"/>
  <c r="K22" i="344"/>
  <c r="U22" i="344"/>
  <c r="M34" i="344" s="1"/>
  <c r="K22" i="333"/>
  <c r="U22" i="333"/>
  <c r="M34" i="333" s="1"/>
  <c r="N22" i="175"/>
  <c r="M22" i="175"/>
  <c r="K22" i="295"/>
  <c r="U22" i="295"/>
  <c r="M34" i="295" s="1"/>
  <c r="K22" i="294"/>
  <c r="U22" i="294"/>
  <c r="M34" i="294" s="1"/>
  <c r="K22" i="334"/>
  <c r="U22" i="334"/>
  <c r="M34" i="334" s="1"/>
  <c r="K22" i="4"/>
  <c r="U22" i="4"/>
  <c r="M34" i="4" s="1"/>
  <c r="K22" i="284"/>
  <c r="U22" i="284"/>
  <c r="M34" i="284" s="1"/>
  <c r="K22" i="292"/>
  <c r="U22" i="292"/>
  <c r="M34" i="292" s="1"/>
  <c r="K22" i="339"/>
  <c r="U22" i="339"/>
  <c r="M34" i="339" s="1"/>
  <c r="K22" i="269"/>
  <c r="U22" i="269"/>
  <c r="M34" i="269" s="1"/>
  <c r="K22" i="11"/>
  <c r="U22" i="11"/>
  <c r="M34" i="11" s="1"/>
  <c r="J22" i="279"/>
  <c r="T22" i="279"/>
  <c r="L34" i="279" s="1"/>
  <c r="K22" i="325"/>
  <c r="U22" i="325"/>
  <c r="M34" i="325" s="1"/>
  <c r="K22" i="204"/>
  <c r="U22" i="204"/>
  <c r="M34" i="204" s="1"/>
  <c r="J22" i="335"/>
  <c r="T22" i="335"/>
  <c r="L34" i="335" s="1"/>
  <c r="K22" i="28"/>
  <c r="U22" i="28"/>
  <c r="M34" i="28" s="1"/>
  <c r="K22" i="29"/>
  <c r="U22" i="29"/>
  <c r="M34" i="29" s="1"/>
  <c r="K22" i="9"/>
  <c r="U22" i="9"/>
  <c r="M34" i="9" s="1"/>
  <c r="K22" i="37"/>
  <c r="U22" i="37"/>
  <c r="M34" i="37" s="1"/>
  <c r="K22" i="54"/>
  <c r="U22" i="54"/>
  <c r="M34" i="54" s="1"/>
  <c r="K22" i="7"/>
  <c r="U22" i="7"/>
  <c r="M34" i="7" s="1"/>
  <c r="K22" i="288"/>
  <c r="U22" i="288"/>
  <c r="M34" i="288" s="1"/>
  <c r="K22" i="17"/>
  <c r="U22" i="17"/>
  <c r="M34" i="17" s="1"/>
  <c r="K22" i="16"/>
  <c r="U22" i="16"/>
  <c r="M34" i="16" s="1"/>
  <c r="K22" i="12"/>
  <c r="U22" i="12"/>
  <c r="M34" i="12" s="1"/>
  <c r="K22" i="303"/>
  <c r="U22" i="303"/>
  <c r="M34" i="303" s="1"/>
  <c r="K22" i="101"/>
  <c r="U22" i="101"/>
  <c r="M34" i="101" s="1"/>
  <c r="K22" i="102"/>
  <c r="U22" i="102"/>
  <c r="M34" i="102" s="1"/>
  <c r="K22" i="103"/>
  <c r="U22" i="103"/>
  <c r="M34" i="103" s="1"/>
  <c r="K22" i="265"/>
  <c r="U22" i="265"/>
  <c r="M34" i="265" s="1"/>
  <c r="K22" i="43"/>
  <c r="U22" i="43"/>
  <c r="M34" i="43" s="1"/>
  <c r="K22" i="75"/>
  <c r="U22" i="75"/>
  <c r="M34" i="75" s="1"/>
  <c r="K22" i="262"/>
  <c r="U22" i="262"/>
  <c r="M34" i="262" s="1"/>
  <c r="K22" i="290"/>
  <c r="U22" i="290"/>
  <c r="M34" i="290" s="1"/>
  <c r="K22" i="289"/>
  <c r="U22" i="289"/>
  <c r="M34" i="289" s="1"/>
  <c r="K22" i="249"/>
  <c r="U22" i="249"/>
  <c r="M34" i="249" s="1"/>
  <c r="K22" i="201"/>
  <c r="U22" i="201"/>
  <c r="M34" i="201" s="1"/>
  <c r="U22" i="227"/>
  <c r="M34" i="227" s="1"/>
  <c r="K22" i="33"/>
  <c r="U22" i="33"/>
  <c r="M34" i="33" s="1"/>
  <c r="K22" i="112"/>
  <c r="U22" i="112"/>
  <c r="M34" i="112" s="1"/>
  <c r="K22" i="109"/>
  <c r="U22" i="109"/>
  <c r="M34" i="109" s="1"/>
  <c r="K22" i="2"/>
  <c r="U22" i="2"/>
  <c r="M34" i="2" s="1"/>
  <c r="K22" i="85"/>
  <c r="U22" i="85"/>
  <c r="M34" i="85" s="1"/>
  <c r="K22" i="324"/>
  <c r="U22" i="324"/>
  <c r="M34" i="324" s="1"/>
  <c r="K22" i="32"/>
  <c r="U22" i="32"/>
  <c r="M34" i="32" s="1"/>
  <c r="K22" i="203"/>
  <c r="U22" i="203"/>
  <c r="M34" i="203" s="1"/>
  <c r="K22" i="164"/>
  <c r="U22" i="164"/>
  <c r="M34" i="164" s="1"/>
  <c r="K22" i="162"/>
  <c r="U22" i="162"/>
  <c r="M34" i="162" s="1"/>
  <c r="K22" i="196"/>
  <c r="U22" i="196"/>
  <c r="M34" i="196" s="1"/>
  <c r="K22" i="197"/>
  <c r="U22" i="197"/>
  <c r="M34" i="197" s="1"/>
  <c r="K22" i="198"/>
  <c r="U22" i="198"/>
  <c r="M34" i="198" s="1"/>
  <c r="K22" i="74"/>
  <c r="U22" i="74"/>
  <c r="M34" i="74" s="1"/>
  <c r="K22" i="181"/>
  <c r="U22" i="181"/>
  <c r="M34" i="181" s="1"/>
  <c r="K22" i="183"/>
  <c r="U22" i="183"/>
  <c r="M34" i="183" s="1"/>
  <c r="K22" i="184"/>
  <c r="U22" i="184"/>
  <c r="M34" i="184" s="1"/>
  <c r="K22" i="200"/>
  <c r="U22" i="200"/>
  <c r="M34" i="200" s="1"/>
  <c r="K22" i="280"/>
  <c r="U22" i="280"/>
  <c r="M34" i="280" s="1"/>
  <c r="K22" i="194"/>
  <c r="U22" i="194"/>
  <c r="M34" i="194" s="1"/>
  <c r="K22" i="193"/>
  <c r="U22" i="193"/>
  <c r="M34" i="193" s="1"/>
  <c r="K22" i="27"/>
  <c r="U22" i="27"/>
  <c r="M34" i="27" s="1"/>
  <c r="K22" i="143"/>
  <c r="U22" i="143"/>
  <c r="M34" i="143" s="1"/>
  <c r="K22" i="97"/>
  <c r="U22" i="97"/>
  <c r="M34" i="97" s="1"/>
  <c r="K22" i="45"/>
  <c r="U22" i="45"/>
  <c r="M34" i="45" s="1"/>
  <c r="K22" i="104"/>
  <c r="U22" i="104"/>
  <c r="M34" i="104" s="1"/>
  <c r="K22" i="268"/>
  <c r="U22" i="268"/>
  <c r="M34" i="268" s="1"/>
  <c r="K22" i="263"/>
  <c r="U22" i="263"/>
  <c r="M34" i="263" s="1"/>
  <c r="K22" i="209"/>
  <c r="U22" i="209"/>
  <c r="M34" i="209" s="1"/>
  <c r="K22" i="192"/>
  <c r="U22" i="192"/>
  <c r="M34" i="192" s="1"/>
  <c r="K22" i="48"/>
  <c r="U22" i="48"/>
  <c r="M34" i="48" s="1"/>
  <c r="K22" i="254"/>
  <c r="U22" i="254"/>
  <c r="M34" i="254" s="1"/>
  <c r="K22" i="140"/>
  <c r="U22" i="140"/>
  <c r="M34" i="140" s="1"/>
  <c r="K22" i="270"/>
  <c r="U22" i="270"/>
  <c r="M34" i="270" s="1"/>
  <c r="K22" i="271"/>
  <c r="U22" i="271"/>
  <c r="M34" i="271" s="1"/>
  <c r="K22" i="159"/>
  <c r="U22" i="159"/>
  <c r="M34" i="159" s="1"/>
  <c r="K22" i="160"/>
  <c r="U22" i="160"/>
  <c r="M34" i="160" s="1"/>
  <c r="K22" i="107"/>
  <c r="U22" i="107"/>
  <c r="M34" i="107" s="1"/>
  <c r="K22" i="176"/>
  <c r="U22" i="176"/>
  <c r="M34" i="176" s="1"/>
  <c r="K22" i="53"/>
  <c r="U22" i="53"/>
  <c r="M34" i="53" s="1"/>
  <c r="K22" i="52"/>
  <c r="U22" i="52"/>
  <c r="M34" i="52" s="1"/>
  <c r="K22" i="281"/>
  <c r="U22" i="281"/>
  <c r="M34" i="281" s="1"/>
  <c r="K22" i="332"/>
  <c r="U22" i="332"/>
  <c r="M34" i="332" s="1"/>
  <c r="K22" i="25"/>
  <c r="U22" i="25"/>
  <c r="M34" i="25" s="1"/>
  <c r="K22" i="31"/>
  <c r="U22" i="31"/>
  <c r="M34" i="31" s="1"/>
  <c r="K22" i="24"/>
  <c r="U22" i="24"/>
  <c r="M34" i="24" s="1"/>
  <c r="K22" i="298"/>
  <c r="U22" i="298"/>
  <c r="M34" i="298" s="1"/>
  <c r="U22" i="319"/>
  <c r="M34" i="319" s="1"/>
  <c r="U22" i="320"/>
  <c r="M34" i="320" s="1"/>
  <c r="M22" i="343"/>
  <c r="P34" i="343" s="1"/>
  <c r="K22" i="229"/>
  <c r="U22" i="229"/>
  <c r="M34" i="229" s="1"/>
  <c r="K22" i="230"/>
  <c r="U22" i="230"/>
  <c r="M34" i="230" s="1"/>
  <c r="J22" i="44"/>
  <c r="T22" i="44"/>
  <c r="L34" i="44" s="1"/>
  <c r="K22" i="116"/>
  <c r="U22" i="116"/>
  <c r="M34" i="116" s="1"/>
  <c r="K22" i="272"/>
  <c r="U22" i="272"/>
  <c r="M34" i="272" s="1"/>
  <c r="K22" i="276"/>
  <c r="U22" i="276"/>
  <c r="M34" i="276" s="1"/>
  <c r="K22" i="287"/>
  <c r="U22" i="287"/>
  <c r="M34" i="287" s="1"/>
  <c r="K22" i="285"/>
  <c r="U22" i="285"/>
  <c r="M34" i="285" s="1"/>
  <c r="K22" i="87"/>
  <c r="U22" i="87"/>
  <c r="M34" i="87" s="1"/>
  <c r="K22" i="47"/>
  <c r="U22" i="47"/>
  <c r="M34" i="47" s="1"/>
  <c r="K22" i="326"/>
  <c r="U22" i="326"/>
  <c r="M34" i="326" s="1"/>
  <c r="K22" i="248"/>
  <c r="U22" i="248"/>
  <c r="M34" i="248" s="1"/>
  <c r="K22" i="46"/>
  <c r="U22" i="46"/>
  <c r="M34" i="46" s="1"/>
  <c r="K22" i="239"/>
  <c r="U22" i="239"/>
  <c r="M34" i="239" s="1"/>
  <c r="K22" i="243"/>
  <c r="U22" i="243"/>
  <c r="M34" i="243" s="1"/>
  <c r="U22" i="244"/>
  <c r="M34" i="244" s="1"/>
  <c r="K22" i="246"/>
  <c r="U22" i="246"/>
  <c r="M34" i="246" s="1"/>
  <c r="K22" i="19"/>
  <c r="U22" i="19"/>
  <c r="M34" i="19" s="1"/>
  <c r="K22" i="328"/>
  <c r="U22" i="328"/>
  <c r="M34" i="328" s="1"/>
  <c r="K22" i="329"/>
  <c r="U22" i="329"/>
  <c r="M34" i="329" s="1"/>
  <c r="K22" i="168"/>
  <c r="U22" i="168"/>
  <c r="M34" i="168" s="1"/>
  <c r="K22" i="169"/>
  <c r="U22" i="169"/>
  <c r="M34" i="169" s="1"/>
  <c r="K22" i="336"/>
  <c r="U22" i="336"/>
  <c r="M34" i="336" s="1"/>
  <c r="K22" i="293"/>
  <c r="U22" i="293"/>
  <c r="M34" i="293" s="1"/>
  <c r="J21" i="346" l="1"/>
  <c r="J19" i="346"/>
  <c r="J28" i="346"/>
  <c r="J23" i="346"/>
  <c r="J17" i="346"/>
  <c r="J24" i="346"/>
  <c r="J28" i="348"/>
  <c r="J26" i="347"/>
  <c r="J38" i="347"/>
  <c r="J18" i="345"/>
  <c r="J30" i="345"/>
  <c r="J20" i="345"/>
  <c r="J32" i="345"/>
  <c r="J25" i="345"/>
  <c r="J37" i="345"/>
  <c r="J28" i="345"/>
  <c r="J40" i="345"/>
  <c r="J20" i="346"/>
  <c r="J25" i="346"/>
  <c r="J27" i="346"/>
  <c r="J22" i="346"/>
  <c r="J34" i="346"/>
  <c r="J19" i="347"/>
  <c r="J31" i="347"/>
  <c r="J21" i="347"/>
  <c r="J33" i="347"/>
  <c r="J23" i="347"/>
  <c r="J35" i="347"/>
  <c r="J27" i="348"/>
  <c r="J39" i="348"/>
  <c r="J19" i="345"/>
  <c r="J31" i="345"/>
  <c r="J21" i="345"/>
  <c r="J33" i="345"/>
  <c r="J23" i="345"/>
  <c r="J35" i="345"/>
  <c r="J18" i="346"/>
  <c r="J30" i="346"/>
  <c r="J17" i="347"/>
  <c r="J29" i="347"/>
  <c r="J22" i="347"/>
  <c r="J34" i="347"/>
  <c r="J24" i="347"/>
  <c r="J36" i="347"/>
  <c r="J26" i="345"/>
  <c r="J38" i="345"/>
  <c r="J27" i="347"/>
  <c r="J39" i="347"/>
  <c r="J19" i="348"/>
  <c r="J31" i="348"/>
  <c r="J21" i="348"/>
  <c r="J33" i="348"/>
  <c r="J23" i="348"/>
  <c r="J35" i="348"/>
  <c r="J18" i="348"/>
  <c r="J30" i="348"/>
  <c r="J25" i="348"/>
  <c r="J37" i="348"/>
  <c r="J17" i="345"/>
  <c r="J29" i="345"/>
  <c r="J22" i="345"/>
  <c r="J34" i="345"/>
  <c r="J24" i="345"/>
  <c r="J36" i="345"/>
  <c r="J18" i="347"/>
  <c r="J30" i="347"/>
  <c r="J20" i="347"/>
  <c r="J32" i="347"/>
  <c r="J25" i="347"/>
  <c r="J37" i="347"/>
  <c r="J28" i="347"/>
  <c r="J40" i="347"/>
  <c r="J26" i="348"/>
  <c r="J38" i="348"/>
  <c r="J27" i="345"/>
  <c r="J39" i="345"/>
  <c r="J26" i="346"/>
  <c r="J38" i="346"/>
  <c r="J20" i="348"/>
  <c r="J17" i="348"/>
  <c r="J29" i="348"/>
  <c r="J22" i="348"/>
  <c r="J34" i="348"/>
  <c r="J24" i="348"/>
  <c r="J36" i="348"/>
  <c r="H39" i="346"/>
  <c r="H31" i="348"/>
  <c r="H32" i="348"/>
  <c r="H34" i="348"/>
  <c r="H35" i="348"/>
  <c r="H37" i="348"/>
  <c r="H31" i="345"/>
  <c r="H32" i="345"/>
  <c r="H34" i="345"/>
  <c r="H35" i="345"/>
  <c r="H37" i="345"/>
  <c r="H30" i="346"/>
  <c r="H33" i="346"/>
  <c r="H36" i="346"/>
  <c r="H28" i="347"/>
  <c r="H31" i="347"/>
  <c r="H32" i="347"/>
  <c r="H34" i="347"/>
  <c r="H35" i="347"/>
  <c r="H37" i="347"/>
  <c r="H39" i="348"/>
  <c r="H39" i="345"/>
  <c r="H39" i="347"/>
  <c r="H30" i="348"/>
  <c r="H33" i="348"/>
  <c r="H36" i="348"/>
  <c r="H30" i="345"/>
  <c r="H33" i="345"/>
  <c r="H36" i="345"/>
  <c r="H28" i="346"/>
  <c r="H31" i="346"/>
  <c r="H32" i="346"/>
  <c r="H34" i="346"/>
  <c r="H35" i="346"/>
  <c r="H37" i="346"/>
  <c r="H30" i="347"/>
  <c r="H33" i="347"/>
  <c r="H36" i="347"/>
  <c r="L25" i="35"/>
  <c r="L28" i="35"/>
  <c r="L31" i="35"/>
  <c r="L31" i="293"/>
  <c r="M40" i="293"/>
  <c r="L31" i="169"/>
  <c r="M40" i="169"/>
  <c r="L31" i="19"/>
  <c r="M40" i="19"/>
  <c r="L31" i="244"/>
  <c r="M40" i="244"/>
  <c r="L31" i="320"/>
  <c r="M40" i="320"/>
  <c r="L31" i="24"/>
  <c r="M40" i="24"/>
  <c r="L31" i="25"/>
  <c r="M40" i="25"/>
  <c r="L31" i="332"/>
  <c r="M40" i="332"/>
  <c r="L31" i="52"/>
  <c r="M40" i="52"/>
  <c r="L31" i="176"/>
  <c r="M40" i="176"/>
  <c r="L31" i="160"/>
  <c r="M40" i="160"/>
  <c r="L31" i="271"/>
  <c r="M40" i="271"/>
  <c r="L31" i="140"/>
  <c r="M40" i="140"/>
  <c r="L31" i="48"/>
  <c r="M40" i="48"/>
  <c r="L31" i="209"/>
  <c r="M40" i="209"/>
  <c r="L31" i="268"/>
  <c r="M40" i="268"/>
  <c r="L31" i="97"/>
  <c r="M40" i="97"/>
  <c r="L31" i="27"/>
  <c r="M40" i="27"/>
  <c r="L31" i="194"/>
  <c r="M40" i="194"/>
  <c r="L31" i="200"/>
  <c r="M40" i="200"/>
  <c r="L31" i="183"/>
  <c r="M40" i="183"/>
  <c r="L31" i="74"/>
  <c r="M40" i="74"/>
  <c r="L31" i="198"/>
  <c r="M40" i="198"/>
  <c r="L31" i="196"/>
  <c r="M40" i="196"/>
  <c r="L31" i="164"/>
  <c r="M40" i="164"/>
  <c r="L31" i="32"/>
  <c r="M40" i="32"/>
  <c r="L31" i="85"/>
  <c r="M40" i="85"/>
  <c r="L31" i="109"/>
  <c r="M40" i="109"/>
  <c r="L31" i="33"/>
  <c r="M40" i="33"/>
  <c r="L31" i="201"/>
  <c r="M40" i="201"/>
  <c r="L31" i="289"/>
  <c r="M40" i="289"/>
  <c r="L31" i="262"/>
  <c r="M40" i="262"/>
  <c r="L31" i="265"/>
  <c r="M40" i="265"/>
  <c r="L31" i="102"/>
  <c r="M40" i="102"/>
  <c r="L31" i="303"/>
  <c r="M40" i="303"/>
  <c r="L31" i="16"/>
  <c r="M40" i="16"/>
  <c r="L31" i="288"/>
  <c r="M40" i="288"/>
  <c r="L31" i="54"/>
  <c r="M40" i="54"/>
  <c r="L31" i="9"/>
  <c r="M40" i="9"/>
  <c r="L31" i="28"/>
  <c r="M40" i="28"/>
  <c r="L31" i="204"/>
  <c r="M40" i="204"/>
  <c r="K31" i="279"/>
  <c r="L40" i="279"/>
  <c r="L31" i="269"/>
  <c r="M40" i="269"/>
  <c r="L31" i="292"/>
  <c r="M40" i="292"/>
  <c r="L31" i="4"/>
  <c r="M40" i="4"/>
  <c r="L31" i="243"/>
  <c r="M40" i="243"/>
  <c r="L31" i="46"/>
  <c r="M40" i="46"/>
  <c r="L31" i="326"/>
  <c r="M40" i="326"/>
  <c r="L31" i="87"/>
  <c r="M40" i="87"/>
  <c r="L31" i="287"/>
  <c r="M40" i="287"/>
  <c r="L31" i="272"/>
  <c r="M40" i="272"/>
  <c r="K31" i="44"/>
  <c r="L40" i="44"/>
  <c r="L31" i="229"/>
  <c r="M40" i="229"/>
  <c r="L31" i="319"/>
  <c r="M40" i="319"/>
  <c r="L31" i="334"/>
  <c r="M40" i="334"/>
  <c r="L31" i="295"/>
  <c r="M40" i="295"/>
  <c r="L31" i="333"/>
  <c r="M40" i="333"/>
  <c r="L31" i="135"/>
  <c r="M40" i="135"/>
  <c r="L31" i="174"/>
  <c r="M40" i="174"/>
  <c r="L31" i="22"/>
  <c r="M40" i="22"/>
  <c r="L31" i="342"/>
  <c r="M40" i="342"/>
  <c r="L31" i="190"/>
  <c r="M40" i="190"/>
  <c r="L31" i="61"/>
  <c r="M40" i="61"/>
  <c r="L31" i="314"/>
  <c r="M40" i="314"/>
  <c r="L31" i="105"/>
  <c r="M40" i="105"/>
  <c r="L31" i="153"/>
  <c r="M40" i="153"/>
  <c r="L31" i="13"/>
  <c r="M40" i="13"/>
  <c r="L31" i="233"/>
  <c r="M40" i="233"/>
  <c r="L31" i="114"/>
  <c r="M40" i="114"/>
  <c r="L31" i="113"/>
  <c r="M40" i="113"/>
  <c r="L31" i="191"/>
  <c r="M40" i="191"/>
  <c r="L31" i="20"/>
  <c r="M40" i="20"/>
  <c r="L31" i="207"/>
  <c r="M40" i="207"/>
  <c r="L31" i="148"/>
  <c r="M40" i="148"/>
  <c r="L31" i="15"/>
  <c r="M40" i="15"/>
  <c r="L31" i="297"/>
  <c r="M40" i="297"/>
  <c r="L31" i="346"/>
  <c r="M40" i="346"/>
  <c r="L31" i="336"/>
  <c r="M40" i="336"/>
  <c r="L31" i="168"/>
  <c r="M40" i="168"/>
  <c r="L31" i="329"/>
  <c r="M40" i="329"/>
  <c r="L31" i="328"/>
  <c r="M40" i="328"/>
  <c r="L31" i="246"/>
  <c r="M40" i="246"/>
  <c r="L31" i="298"/>
  <c r="M40" i="298"/>
  <c r="L31" i="31"/>
  <c r="M40" i="31"/>
  <c r="L31" i="281"/>
  <c r="M40" i="281"/>
  <c r="L31" i="53"/>
  <c r="M40" i="53"/>
  <c r="L31" i="107"/>
  <c r="M40" i="107"/>
  <c r="L31" i="159"/>
  <c r="M40" i="159"/>
  <c r="L31" i="270"/>
  <c r="M40" i="270"/>
  <c r="L31" i="254"/>
  <c r="M40" i="254"/>
  <c r="L31" i="192"/>
  <c r="M40" i="192"/>
  <c r="L31" i="263"/>
  <c r="M40" i="263"/>
  <c r="L31" i="104"/>
  <c r="M40" i="104"/>
  <c r="L31" i="45"/>
  <c r="M40" i="45"/>
  <c r="L31" i="143"/>
  <c r="M40" i="143"/>
  <c r="L31" i="193"/>
  <c r="M40" i="193"/>
  <c r="L31" i="280"/>
  <c r="M40" i="280"/>
  <c r="L31" i="184"/>
  <c r="M40" i="184"/>
  <c r="L31" i="181"/>
  <c r="M40" i="181"/>
  <c r="L31" i="197"/>
  <c r="M40" i="197"/>
  <c r="L31" i="162"/>
  <c r="M40" i="162"/>
  <c r="L31" i="203"/>
  <c r="M40" i="203"/>
  <c r="L31" i="324"/>
  <c r="M40" i="324"/>
  <c r="L31" i="2"/>
  <c r="M40" i="2"/>
  <c r="L31" i="112"/>
  <c r="M40" i="112"/>
  <c r="L31" i="227"/>
  <c r="M40" i="227"/>
  <c r="L31" i="249"/>
  <c r="M40" i="249"/>
  <c r="L31" i="290"/>
  <c r="M40" i="290"/>
  <c r="L31" i="75"/>
  <c r="M40" i="75"/>
  <c r="L31" i="43"/>
  <c r="M40" i="43"/>
  <c r="L31" i="103"/>
  <c r="M40" i="103"/>
  <c r="L31" i="101"/>
  <c r="M40" i="101"/>
  <c r="L31" i="12"/>
  <c r="M40" i="12"/>
  <c r="L31" i="17"/>
  <c r="M40" i="17"/>
  <c r="L31" i="7"/>
  <c r="M40" i="7"/>
  <c r="L31" i="37"/>
  <c r="M40" i="37"/>
  <c r="L31" i="29"/>
  <c r="M40" i="29"/>
  <c r="K31" i="335"/>
  <c r="L40" i="335"/>
  <c r="L31" i="325"/>
  <c r="M40" i="325"/>
  <c r="L31" i="11"/>
  <c r="M40" i="11"/>
  <c r="L31" i="339"/>
  <c r="L31" i="284"/>
  <c r="M40" i="284"/>
  <c r="L31" i="299"/>
  <c r="M40" i="299"/>
  <c r="L31" i="8"/>
  <c r="M40" i="8"/>
  <c r="L31" i="348"/>
  <c r="M40" i="348"/>
  <c r="L31" i="239"/>
  <c r="M40" i="239"/>
  <c r="L31" i="248"/>
  <c r="M40" i="248"/>
  <c r="L31" i="47"/>
  <c r="M40" i="47"/>
  <c r="L31" i="285"/>
  <c r="M40" i="285"/>
  <c r="L31" i="276"/>
  <c r="M40" i="276"/>
  <c r="L31" i="116"/>
  <c r="M40" i="116"/>
  <c r="L31" i="230"/>
  <c r="M40" i="230"/>
  <c r="O31" i="343"/>
  <c r="P40" i="343"/>
  <c r="L31" i="294"/>
  <c r="M40" i="294"/>
  <c r="L31" i="344"/>
  <c r="M40" i="344"/>
  <c r="L31" i="301"/>
  <c r="M40" i="301"/>
  <c r="L31" i="34"/>
  <c r="M40" i="34"/>
  <c r="L31" i="206"/>
  <c r="M40" i="206"/>
  <c r="L31" i="340"/>
  <c r="M40" i="340"/>
  <c r="L31" i="338"/>
  <c r="M40" i="338"/>
  <c r="L31" i="23"/>
  <c r="M40" i="23"/>
  <c r="L31" i="257"/>
  <c r="M40" i="257"/>
  <c r="L31" i="261"/>
  <c r="M40" i="261"/>
  <c r="L31" i="323"/>
  <c r="M40" i="323"/>
  <c r="L31" i="322"/>
  <c r="M40" i="322"/>
  <c r="L31" i="1"/>
  <c r="M40" i="1"/>
  <c r="L31" i="89"/>
  <c r="M40" i="89"/>
  <c r="L31" i="18"/>
  <c r="M40" i="18"/>
  <c r="L31" i="5"/>
  <c r="M40" i="5"/>
  <c r="L31" i="88"/>
  <c r="M40" i="88"/>
  <c r="L31" i="3"/>
  <c r="M40" i="3"/>
  <c r="L31" i="345"/>
  <c r="M40" i="345"/>
  <c r="L31" i="347"/>
  <c r="M40" i="347"/>
  <c r="L16" i="347"/>
  <c r="L25" i="8"/>
  <c r="L25" i="332"/>
  <c r="L25" i="176"/>
  <c r="L25" i="160"/>
  <c r="L25" i="271"/>
  <c r="L25" i="140"/>
  <c r="L25" i="209"/>
  <c r="L25" i="268"/>
  <c r="L25" i="183"/>
  <c r="L25" i="198"/>
  <c r="L25" i="196"/>
  <c r="L25" i="33"/>
  <c r="L25" i="201"/>
  <c r="L25" i="102"/>
  <c r="L25" i="37"/>
  <c r="L25" i="22"/>
  <c r="C16" i="347"/>
  <c r="C22" i="347"/>
  <c r="E34" i="347" s="1"/>
  <c r="C25" i="347"/>
  <c r="E37" i="347" s="1"/>
  <c r="C28" i="347"/>
  <c r="E40" i="347" s="1"/>
  <c r="C7" i="348"/>
  <c r="C10" i="348"/>
  <c r="C16" i="348"/>
  <c r="C7" i="345"/>
  <c r="C10" i="345"/>
  <c r="C13" i="345"/>
  <c r="C7" i="347"/>
  <c r="C10" i="347"/>
  <c r="C13" i="347"/>
  <c r="C13" i="348"/>
  <c r="C22" i="348"/>
  <c r="E34" i="348" s="1"/>
  <c r="C25" i="348"/>
  <c r="E37" i="348" s="1"/>
  <c r="C28" i="348"/>
  <c r="E40" i="348" s="1"/>
  <c r="H29" i="347"/>
  <c r="C19" i="347"/>
  <c r="E31" i="347" s="1"/>
  <c r="H29" i="348"/>
  <c r="C19" i="348"/>
  <c r="E31" i="348" s="1"/>
  <c r="C7" i="346"/>
  <c r="C10" i="346"/>
  <c r="C13" i="346"/>
  <c r="C16" i="346"/>
  <c r="H29" i="346"/>
  <c r="C19" i="346"/>
  <c r="E31" i="346" s="1"/>
  <c r="C22" i="346"/>
  <c r="E34" i="346" s="1"/>
  <c r="C25" i="346"/>
  <c r="E37" i="346" s="1"/>
  <c r="C28" i="346"/>
  <c r="E40" i="346" s="1"/>
  <c r="C16" i="345"/>
  <c r="H29" i="345"/>
  <c r="C19" i="345"/>
  <c r="E31" i="345" s="1"/>
  <c r="C22" i="345"/>
  <c r="E34" i="345" s="1"/>
  <c r="C25" i="345"/>
  <c r="E37" i="345" s="1"/>
  <c r="C28" i="345"/>
  <c r="E40" i="345" s="1"/>
  <c r="L25" i="5"/>
  <c r="L28" i="8"/>
  <c r="L28" i="19"/>
  <c r="L25" i="25"/>
  <c r="L28" i="52"/>
  <c r="L25" i="27"/>
  <c r="N25" i="346"/>
  <c r="B10" i="348"/>
  <c r="G10" i="348"/>
  <c r="G16" i="348"/>
  <c r="L25" i="289"/>
  <c r="G7" i="348"/>
  <c r="G13" i="348"/>
  <c r="L25" i="202"/>
  <c r="L28" i="329"/>
  <c r="L28" i="202"/>
  <c r="K25" i="44"/>
  <c r="L25" i="320"/>
  <c r="L28" i="25"/>
  <c r="L25" i="52"/>
  <c r="L28" i="280"/>
  <c r="L13" i="346"/>
  <c r="G7" i="346"/>
  <c r="B10" i="346"/>
  <c r="G10" i="346"/>
  <c r="K25" i="335"/>
  <c r="L25" i="339"/>
  <c r="L25" i="148"/>
  <c r="L28" i="348"/>
  <c r="L28" i="298"/>
  <c r="L25" i="28"/>
  <c r="L28" i="196"/>
  <c r="L28" i="85"/>
  <c r="L28" i="33"/>
  <c r="G14" i="347"/>
  <c r="L28" i="46"/>
  <c r="L28" i="326"/>
  <c r="L25" i="295"/>
  <c r="O25" i="316"/>
  <c r="L25" i="314"/>
  <c r="L28" i="17"/>
  <c r="L28" i="299"/>
  <c r="H17" i="347"/>
  <c r="H19" i="347"/>
  <c r="H20" i="347"/>
  <c r="H22" i="347"/>
  <c r="L25" i="299"/>
  <c r="L25" i="159"/>
  <c r="L25" i="270"/>
  <c r="L25" i="192"/>
  <c r="L25" i="263"/>
  <c r="L25" i="104"/>
  <c r="L25" i="162"/>
  <c r="L25" i="112"/>
  <c r="L25" i="103"/>
  <c r="L25" i="301"/>
  <c r="O25" i="315"/>
  <c r="L28" i="204"/>
  <c r="L28" i="292"/>
  <c r="L28" i="344"/>
  <c r="L28" i="301"/>
  <c r="N13" i="345"/>
  <c r="N16" i="345"/>
  <c r="G6" i="347"/>
  <c r="N16" i="347"/>
  <c r="N25" i="348"/>
  <c r="L28" i="194"/>
  <c r="L25" i="89"/>
  <c r="G6" i="345"/>
  <c r="G12" i="345"/>
  <c r="G15" i="345"/>
  <c r="G21" i="345"/>
  <c r="H18" i="346"/>
  <c r="M19" i="346"/>
  <c r="G21" i="346"/>
  <c r="G15" i="347"/>
  <c r="N25" i="347"/>
  <c r="G21" i="347"/>
  <c r="L25" i="31"/>
  <c r="L25" i="107"/>
  <c r="L28" i="270"/>
  <c r="L28" i="192"/>
  <c r="G27" i="346"/>
  <c r="N22" i="345"/>
  <c r="N25" i="345"/>
  <c r="L28" i="164"/>
  <c r="L28" i="32"/>
  <c r="L28" i="109"/>
  <c r="L25" i="109"/>
  <c r="L28" i="201"/>
  <c r="L25" i="283"/>
  <c r="L25" i="334"/>
  <c r="L28" i="105"/>
  <c r="L25" i="105"/>
  <c r="L25" i="257"/>
  <c r="L25" i="1"/>
  <c r="L28" i="15"/>
  <c r="L25" i="61"/>
  <c r="L25" i="15"/>
  <c r="L25" i="197"/>
  <c r="L25" i="288"/>
  <c r="L25" i="206"/>
  <c r="L25" i="244"/>
  <c r="L25" i="29"/>
  <c r="L28" i="29"/>
  <c r="L25" i="269"/>
  <c r="L28" i="328"/>
  <c r="L25" i="328"/>
  <c r="L25" i="262"/>
  <c r="L25" i="7"/>
  <c r="L25" i="284"/>
  <c r="O25" i="175"/>
  <c r="L25" i="174"/>
  <c r="L25" i="342"/>
  <c r="L25" i="323"/>
  <c r="L28" i="323"/>
  <c r="L28" i="261"/>
  <c r="L25" i="204"/>
  <c r="L25" i="338"/>
  <c r="L25" i="190"/>
  <c r="L25" i="113"/>
  <c r="K28" i="279"/>
  <c r="K25" i="279"/>
  <c r="L25" i="333"/>
  <c r="L28" i="206"/>
  <c r="L25" i="17"/>
  <c r="L25" i="4"/>
  <c r="L25" i="344"/>
  <c r="L25" i="340"/>
  <c r="L28" i="293"/>
  <c r="L25" i="293"/>
  <c r="L25" i="16"/>
  <c r="L28" i="16"/>
  <c r="L25" i="325"/>
  <c r="L25" i="11"/>
  <c r="L25" i="34"/>
  <c r="L25" i="297"/>
  <c r="L28" i="297"/>
  <c r="L25" i="298"/>
  <c r="L25" i="281"/>
  <c r="L25" i="53"/>
  <c r="L25" i="193"/>
  <c r="L25" i="280"/>
  <c r="L25" i="184"/>
  <c r="L25" i="181"/>
  <c r="L25" i="114"/>
  <c r="L25" i="303"/>
  <c r="L25" i="9"/>
  <c r="O28" i="316"/>
  <c r="O25" i="317"/>
  <c r="L25" i="88"/>
  <c r="L28" i="37"/>
  <c r="L28" i="34"/>
  <c r="L25" i="261"/>
  <c r="L25" i="153"/>
  <c r="L25" i="18"/>
  <c r="L25" i="97"/>
  <c r="L25" i="292"/>
  <c r="L25" i="13"/>
  <c r="L25" i="233"/>
  <c r="L25" i="322"/>
  <c r="L25" i="20"/>
  <c r="L28" i="20"/>
  <c r="L28" i="198"/>
  <c r="L28" i="265"/>
  <c r="L28" i="102"/>
  <c r="L28" i="4"/>
  <c r="L28" i="257"/>
  <c r="L28" i="1"/>
  <c r="L28" i="5"/>
  <c r="L28" i="88"/>
  <c r="L25" i="294"/>
  <c r="L25" i="135"/>
  <c r="L25" i="23"/>
  <c r="L25" i="191"/>
  <c r="L28" i="176"/>
  <c r="L28" i="160"/>
  <c r="L28" i="294"/>
  <c r="O28" i="175"/>
  <c r="L28" i="340"/>
  <c r="L28" i="61"/>
  <c r="L28" i="314"/>
  <c r="L28" i="322"/>
  <c r="L16" i="345"/>
  <c r="L25" i="207"/>
  <c r="L25" i="3"/>
  <c r="L28" i="169"/>
  <c r="L28" i="7"/>
  <c r="L28" i="269"/>
  <c r="L28" i="283"/>
  <c r="G14" i="346"/>
  <c r="H20" i="346"/>
  <c r="M25" i="345"/>
  <c r="L28" i="104"/>
  <c r="L28" i="113"/>
  <c r="N19" i="345"/>
  <c r="G27" i="345"/>
  <c r="G12" i="346"/>
  <c r="N19" i="346"/>
  <c r="G22" i="346"/>
  <c r="H23" i="346"/>
  <c r="H25" i="346"/>
  <c r="G28" i="346"/>
  <c r="N19" i="347"/>
  <c r="G21" i="348"/>
  <c r="L28" i="13"/>
  <c r="L28" i="233"/>
  <c r="G13" i="345"/>
  <c r="H28" i="345"/>
  <c r="H17" i="345"/>
  <c r="H19" i="345"/>
  <c r="N10" i="346"/>
  <c r="G15" i="346"/>
  <c r="M28" i="346"/>
  <c r="N22" i="346"/>
  <c r="N28" i="346"/>
  <c r="O31" i="346" s="1"/>
  <c r="N13" i="347"/>
  <c r="N19" i="348"/>
  <c r="L25" i="54"/>
  <c r="H22" i="348"/>
  <c r="L13" i="348"/>
  <c r="H18" i="348"/>
  <c r="M19" i="348"/>
  <c r="H24" i="348"/>
  <c r="G14" i="348"/>
  <c r="G11" i="348"/>
  <c r="L16" i="348"/>
  <c r="M25" i="348"/>
  <c r="G6" i="348"/>
  <c r="N10" i="348"/>
  <c r="N13" i="348"/>
  <c r="N16" i="348"/>
  <c r="H17" i="348"/>
  <c r="H19" i="348"/>
  <c r="G27" i="348"/>
  <c r="M28" i="348"/>
  <c r="B13" i="348"/>
  <c r="N7" i="348"/>
  <c r="G9" i="348"/>
  <c r="L10" i="348"/>
  <c r="G12" i="348"/>
  <c r="G15" i="348"/>
  <c r="N22" i="348"/>
  <c r="H23" i="348"/>
  <c r="H25" i="348"/>
  <c r="H27" i="348"/>
  <c r="H26" i="348"/>
  <c r="H20" i="348"/>
  <c r="G22" i="348"/>
  <c r="N28" i="348"/>
  <c r="O31" i="348" s="1"/>
  <c r="G28" i="348"/>
  <c r="B19" i="348"/>
  <c r="H21" i="348"/>
  <c r="L22" i="348"/>
  <c r="B25" i="348"/>
  <c r="H28" i="348"/>
  <c r="B7" i="348"/>
  <c r="B16" i="348"/>
  <c r="G17" i="348"/>
  <c r="G18" i="348"/>
  <c r="G19" i="348"/>
  <c r="M22" i="348"/>
  <c r="G23" i="348"/>
  <c r="G24" i="348"/>
  <c r="G25" i="348"/>
  <c r="G8" i="348"/>
  <c r="L19" i="348"/>
  <c r="B22" i="348"/>
  <c r="L25" i="348"/>
  <c r="B28" i="348"/>
  <c r="G20" i="348"/>
  <c r="G26" i="348"/>
  <c r="L28" i="244"/>
  <c r="H24" i="347"/>
  <c r="G7" i="347"/>
  <c r="B10" i="347"/>
  <c r="G10" i="347"/>
  <c r="G13" i="347"/>
  <c r="N7" i="347"/>
  <c r="L10" i="347"/>
  <c r="G12" i="347"/>
  <c r="L13" i="347"/>
  <c r="G27" i="347"/>
  <c r="M28" i="347"/>
  <c r="G11" i="347"/>
  <c r="B13" i="347"/>
  <c r="N10" i="347"/>
  <c r="M25" i="347"/>
  <c r="H18" i="347"/>
  <c r="M19" i="347"/>
  <c r="N22" i="347"/>
  <c r="H23" i="347"/>
  <c r="H25" i="347"/>
  <c r="H27" i="347"/>
  <c r="H26" i="347"/>
  <c r="G22" i="347"/>
  <c r="N28" i="347"/>
  <c r="O31" i="347" s="1"/>
  <c r="G28" i="347"/>
  <c r="B7" i="347"/>
  <c r="G9" i="347"/>
  <c r="B16" i="347"/>
  <c r="G16" i="347"/>
  <c r="G17" i="347"/>
  <c r="G18" i="347"/>
  <c r="G19" i="347"/>
  <c r="M22" i="347"/>
  <c r="G23" i="347"/>
  <c r="G24" i="347"/>
  <c r="G25" i="347"/>
  <c r="B19" i="347"/>
  <c r="H21" i="347"/>
  <c r="L22" i="347"/>
  <c r="B25" i="347"/>
  <c r="G8" i="347"/>
  <c r="L19" i="347"/>
  <c r="B22" i="347"/>
  <c r="L25" i="347"/>
  <c r="B28" i="347"/>
  <c r="L28" i="347"/>
  <c r="G20" i="347"/>
  <c r="G26" i="347"/>
  <c r="L28" i="243"/>
  <c r="L28" i="87"/>
  <c r="O28" i="343"/>
  <c r="L28" i="320"/>
  <c r="L28" i="319"/>
  <c r="L28" i="24"/>
  <c r="L25" i="24"/>
  <c r="L28" i="332"/>
  <c r="L28" i="263"/>
  <c r="L28" i="254"/>
  <c r="L25" i="254"/>
  <c r="L25" i="48"/>
  <c r="L28" i="45"/>
  <c r="L25" i="45"/>
  <c r="L28" i="143"/>
  <c r="L25" i="143"/>
  <c r="L25" i="194"/>
  <c r="L25" i="200"/>
  <c r="L28" i="184"/>
  <c r="L28" i="181"/>
  <c r="L28" i="74"/>
  <c r="L25" i="74"/>
  <c r="G13" i="346"/>
  <c r="G6" i="346"/>
  <c r="G11" i="346"/>
  <c r="B13" i="346"/>
  <c r="L16" i="346"/>
  <c r="H24" i="346"/>
  <c r="M25" i="346"/>
  <c r="N7" i="346"/>
  <c r="G9" i="346"/>
  <c r="L10" i="346"/>
  <c r="N13" i="346"/>
  <c r="N16" i="346"/>
  <c r="H17" i="346"/>
  <c r="H19" i="346"/>
  <c r="B19" i="346"/>
  <c r="H22" i="346"/>
  <c r="H27" i="346"/>
  <c r="H26" i="346"/>
  <c r="H21" i="346"/>
  <c r="L28" i="346"/>
  <c r="B7" i="346"/>
  <c r="B16" i="346"/>
  <c r="G16" i="346"/>
  <c r="G17" i="346"/>
  <c r="G18" i="346"/>
  <c r="G19" i="346"/>
  <c r="M22" i="346"/>
  <c r="G23" i="346"/>
  <c r="G24" i="346"/>
  <c r="G25" i="346"/>
  <c r="L22" i="346"/>
  <c r="B25" i="346"/>
  <c r="G8" i="346"/>
  <c r="L19" i="346"/>
  <c r="B22" i="346"/>
  <c r="L25" i="346"/>
  <c r="B28" i="346"/>
  <c r="G20" i="346"/>
  <c r="G26" i="346"/>
  <c r="N7" i="345"/>
  <c r="G7" i="345"/>
  <c r="B10" i="345"/>
  <c r="G10" i="345"/>
  <c r="G11" i="345"/>
  <c r="B13" i="345"/>
  <c r="G14" i="345"/>
  <c r="N10" i="345"/>
  <c r="L10" i="345"/>
  <c r="L13" i="345"/>
  <c r="H20" i="345"/>
  <c r="M28" i="345"/>
  <c r="M19" i="345"/>
  <c r="H22" i="345"/>
  <c r="H23" i="345"/>
  <c r="H25" i="345"/>
  <c r="H27" i="345"/>
  <c r="H21" i="345"/>
  <c r="G24" i="345"/>
  <c r="H26" i="345"/>
  <c r="G18" i="345"/>
  <c r="G22" i="345"/>
  <c r="N28" i="345"/>
  <c r="O31" i="345" s="1"/>
  <c r="G28" i="345"/>
  <c r="B19" i="345"/>
  <c r="B25" i="345"/>
  <c r="L28" i="345"/>
  <c r="B7" i="345"/>
  <c r="G9" i="345"/>
  <c r="B16" i="345"/>
  <c r="G16" i="345"/>
  <c r="G17" i="345"/>
  <c r="G19" i="345"/>
  <c r="G23" i="345"/>
  <c r="G25" i="345"/>
  <c r="G8" i="345"/>
  <c r="H18" i="345"/>
  <c r="L19" i="345"/>
  <c r="B22" i="345"/>
  <c r="H24" i="345"/>
  <c r="L25" i="345"/>
  <c r="B28" i="345"/>
  <c r="L22" i="345"/>
  <c r="M22" i="345"/>
  <c r="G20" i="345"/>
  <c r="G26" i="345"/>
  <c r="L25" i="164"/>
  <c r="L25" i="203"/>
  <c r="L25" i="32"/>
  <c r="L25" i="324"/>
  <c r="L25" i="85"/>
  <c r="L25" i="2"/>
  <c r="L25" i="227"/>
  <c r="L25" i="249"/>
  <c r="L28" i="289"/>
  <c r="L25" i="290"/>
  <c r="L25" i="75"/>
  <c r="L28" i="262"/>
  <c r="L25" i="43"/>
  <c r="L25" i="265"/>
  <c r="L25" i="101"/>
  <c r="L25" i="12"/>
  <c r="L28" i="287"/>
  <c r="L25" i="287"/>
  <c r="L28" i="207"/>
  <c r="L25" i="319"/>
  <c r="L25" i="168"/>
  <c r="L25" i="329"/>
  <c r="L28" i="135"/>
  <c r="L25" i="116"/>
  <c r="L25" i="229"/>
  <c r="L25" i="336"/>
  <c r="L25" i="246"/>
  <c r="L25" i="239"/>
  <c r="L25" i="248"/>
  <c r="L25" i="47"/>
  <c r="L28" i="303"/>
  <c r="L28" i="325"/>
  <c r="L25" i="285"/>
  <c r="L25" i="276"/>
  <c r="O25" i="343"/>
  <c r="L25" i="169"/>
  <c r="L25" i="19"/>
  <c r="L25" i="243"/>
  <c r="L25" i="46"/>
  <c r="L25" i="326"/>
  <c r="L28" i="272"/>
  <c r="L25" i="272"/>
  <c r="L28" i="336"/>
  <c r="L28" i="168"/>
  <c r="L28" i="246"/>
  <c r="L28" i="239"/>
  <c r="L28" i="248"/>
  <c r="L28" i="47"/>
  <c r="L28" i="285"/>
  <c r="L28" i="103"/>
  <c r="L28" i="28"/>
  <c r="L28" i="295"/>
  <c r="L28" i="75"/>
  <c r="L28" i="54"/>
  <c r="L28" i="190"/>
  <c r="L28" i="89"/>
  <c r="L25" i="87"/>
  <c r="L25" i="230"/>
  <c r="L28" i="230"/>
  <c r="L28" i="229"/>
  <c r="L28" i="249"/>
  <c r="L28" i="339"/>
  <c r="L28" i="22"/>
  <c r="L28" i="276"/>
  <c r="L28" i="31"/>
  <c r="L28" i="53"/>
  <c r="L28" i="159"/>
  <c r="L28" i="140"/>
  <c r="L28" i="209"/>
  <c r="L28" i="27"/>
  <c r="L28" i="183"/>
  <c r="L28" i="162"/>
  <c r="L28" i="324"/>
  <c r="L28" i="112"/>
  <c r="L28" i="338"/>
  <c r="O28" i="317"/>
  <c r="L28" i="116"/>
  <c r="L28" i="290"/>
  <c r="L28" i="43"/>
  <c r="L28" i="101"/>
  <c r="L28" i="12"/>
  <c r="L28" i="288"/>
  <c r="L28" i="9"/>
  <c r="K28" i="335"/>
  <c r="L28" i="11"/>
  <c r="L28" i="284"/>
  <c r="L28" i="334"/>
  <c r="L28" i="333"/>
  <c r="L28" i="174"/>
  <c r="L28" i="342"/>
  <c r="L28" i="18"/>
  <c r="L28" i="148"/>
  <c r="L28" i="3"/>
  <c r="K28" i="44"/>
  <c r="L28" i="281"/>
  <c r="L28" i="107"/>
  <c r="L28" i="271"/>
  <c r="L28" i="48"/>
  <c r="L28" i="268"/>
  <c r="L28" i="97"/>
  <c r="L28" i="193"/>
  <c r="L28" i="200"/>
  <c r="L28" i="197"/>
  <c r="L28" i="203"/>
  <c r="L28" i="2"/>
  <c r="L28" i="227"/>
  <c r="O28" i="315"/>
  <c r="L28" i="23"/>
  <c r="L28" i="153"/>
  <c r="L28" i="114"/>
  <c r="L28" i="191"/>
  <c r="D31" i="346" l="1"/>
  <c r="D31" i="348"/>
  <c r="D31" i="345"/>
  <c r="D31" i="347"/>
  <c r="O22" i="346"/>
  <c r="O22" i="347"/>
  <c r="D13" i="348"/>
  <c r="D10" i="348"/>
  <c r="D25" i="347"/>
  <c r="E28" i="347"/>
  <c r="D28" i="347"/>
  <c r="D22" i="347"/>
  <c r="D13" i="346"/>
  <c r="D10" i="347"/>
  <c r="D16" i="346"/>
  <c r="D13" i="347"/>
  <c r="D10" i="345"/>
  <c r="D16" i="345"/>
  <c r="D10" i="346"/>
  <c r="E19" i="345"/>
  <c r="D19" i="345"/>
  <c r="E25" i="346"/>
  <c r="D25" i="346"/>
  <c r="E19" i="348"/>
  <c r="D19" i="348"/>
  <c r="E28" i="348"/>
  <c r="D28" i="348"/>
  <c r="E25" i="347"/>
  <c r="E28" i="345"/>
  <c r="D28" i="345"/>
  <c r="E22" i="346"/>
  <c r="D22" i="346"/>
  <c r="E25" i="348"/>
  <c r="D25" i="348"/>
  <c r="E25" i="345"/>
  <c r="D25" i="345"/>
  <c r="E19" i="346"/>
  <c r="D19" i="346"/>
  <c r="E19" i="347"/>
  <c r="D19" i="347"/>
  <c r="E22" i="348"/>
  <c r="D22" i="348"/>
  <c r="D16" i="348"/>
  <c r="E22" i="347"/>
  <c r="E22" i="345"/>
  <c r="D22" i="345"/>
  <c r="E28" i="346"/>
  <c r="D28" i="346"/>
  <c r="D13" i="345"/>
  <c r="D16" i="347"/>
  <c r="O10" i="346"/>
  <c r="O28" i="346"/>
  <c r="O28" i="345"/>
  <c r="O10" i="347"/>
  <c r="O22" i="348"/>
  <c r="O13" i="346"/>
  <c r="O16" i="348"/>
  <c r="O16" i="345"/>
  <c r="O16" i="347"/>
  <c r="O28" i="347"/>
  <c r="O19" i="347"/>
  <c r="O25" i="345"/>
  <c r="O28" i="348"/>
  <c r="O22" i="345"/>
  <c r="O19" i="346"/>
  <c r="O10" i="345"/>
  <c r="O19" i="345"/>
  <c r="O25" i="346"/>
  <c r="O25" i="348"/>
  <c r="O19" i="348"/>
  <c r="O10" i="348"/>
  <c r="O13" i="348"/>
  <c r="O13" i="347"/>
  <c r="O25" i="347"/>
  <c r="O16" i="346"/>
  <c r="O13" i="345"/>
  <c r="T28" i="297" l="1"/>
  <c r="I28" i="297" s="1"/>
  <c r="T28" i="3"/>
  <c r="I28" i="3" s="1"/>
  <c r="J40" i="3" s="1"/>
  <c r="F28" i="149"/>
  <c r="T28" i="88"/>
  <c r="I28" i="88" s="1"/>
  <c r="J40" i="88" s="1"/>
  <c r="T28" i="148"/>
  <c r="I28" i="148" s="1"/>
  <c r="J40" i="148" s="1"/>
  <c r="T28" i="5"/>
  <c r="I28" i="5" s="1"/>
  <c r="J40" i="5" s="1"/>
  <c r="T28" i="207"/>
  <c r="I28" i="207" s="1"/>
  <c r="J40" i="207" s="1"/>
  <c r="T28" i="18"/>
  <c r="I28" i="18" s="1"/>
  <c r="J40" i="18" s="1"/>
  <c r="T28" i="20"/>
  <c r="I28" i="20" s="1"/>
  <c r="J40" i="20" s="1"/>
  <c r="T28" i="89"/>
  <c r="I28" i="89" s="1"/>
  <c r="J40" i="89" s="1"/>
  <c r="T28" i="8"/>
  <c r="I28" i="8" s="1"/>
  <c r="T28" i="191"/>
  <c r="I28" i="191" s="1"/>
  <c r="J40" i="191" s="1"/>
  <c r="T28" i="1"/>
  <c r="I28" i="1" s="1"/>
  <c r="J40" i="1" s="1"/>
  <c r="T28" i="113"/>
  <c r="I28" i="113" s="1"/>
  <c r="J40" i="113" s="1"/>
  <c r="T28" i="322"/>
  <c r="I28" i="322" s="1"/>
  <c r="J40" i="322" s="1"/>
  <c r="T28" i="114"/>
  <c r="I28" i="114" s="1"/>
  <c r="J40" i="114" s="1"/>
  <c r="T28" i="323"/>
  <c r="I28" i="323" s="1"/>
  <c r="J40" i="323" s="1"/>
  <c r="T28" i="233"/>
  <c r="I28" i="233" s="1"/>
  <c r="J40" i="233" s="1"/>
  <c r="T28" i="202"/>
  <c r="I28" i="202" s="1"/>
  <c r="J40" i="202" s="1"/>
  <c r="F28" i="152"/>
  <c r="T28" i="13"/>
  <c r="I28" i="13" s="1"/>
  <c r="J40" i="13" s="1"/>
  <c r="T28" i="261"/>
  <c r="I28" i="261" s="1"/>
  <c r="J40" i="261" s="1"/>
  <c r="T28" i="153"/>
  <c r="I28" i="153" s="1"/>
  <c r="J40" i="153" s="1"/>
  <c r="T28" i="257"/>
  <c r="I28" i="257" s="1"/>
  <c r="J40" i="257" s="1"/>
  <c r="T28" i="21"/>
  <c r="I28" i="21" s="1"/>
  <c r="J40" i="21" s="1"/>
  <c r="T28" i="338"/>
  <c r="I28" i="338" s="1"/>
  <c r="T28" i="105"/>
  <c r="I28" i="105" s="1"/>
  <c r="T28" i="23"/>
  <c r="I28" i="23" s="1"/>
  <c r="J40" i="23" s="1"/>
  <c r="L28" i="317"/>
  <c r="L28" i="316"/>
  <c r="T28" i="314"/>
  <c r="I28" i="314" s="1"/>
  <c r="L28" i="315"/>
  <c r="T28" i="61"/>
  <c r="I28" i="61" s="1"/>
  <c r="S28" i="300"/>
  <c r="R28" i="300"/>
  <c r="Q28" i="300"/>
  <c r="F28" i="300" s="1"/>
  <c r="T28" i="299"/>
  <c r="I28" i="299" s="1"/>
  <c r="T28" i="190"/>
  <c r="I28" i="190" s="1"/>
  <c r="J40" i="190" s="1"/>
  <c r="T28" i="340"/>
  <c r="I28" i="340" s="1"/>
  <c r="J40" i="340" s="1"/>
  <c r="T28" i="342"/>
  <c r="I28" i="342" s="1"/>
  <c r="J40" i="342" s="1"/>
  <c r="T28" i="206"/>
  <c r="I28" i="206" s="1"/>
  <c r="J40" i="206" s="1"/>
  <c r="T28" i="34"/>
  <c r="I28" i="34" s="1"/>
  <c r="J40" i="34" s="1"/>
  <c r="T28" i="174"/>
  <c r="I28" i="174" s="1"/>
  <c r="J40" i="174" s="1"/>
  <c r="T28" i="22"/>
  <c r="I28" i="22" s="1"/>
  <c r="J40" i="22" s="1"/>
  <c r="T28" i="301"/>
  <c r="I28" i="301" s="1"/>
  <c r="J40" i="301" s="1"/>
  <c r="T28" i="135"/>
  <c r="I28" i="135" s="1"/>
  <c r="J40" i="135" s="1"/>
  <c r="T28" i="344"/>
  <c r="I28" i="344" s="1"/>
  <c r="T28" i="333"/>
  <c r="I28" i="333" s="1"/>
  <c r="J40" i="333" s="1"/>
  <c r="T28" i="295"/>
  <c r="I28" i="295" s="1"/>
  <c r="J40" i="295" s="1"/>
  <c r="T28" i="294"/>
  <c r="I28" i="294" s="1"/>
  <c r="T28" i="334"/>
  <c r="I28" i="334" s="1"/>
  <c r="L28" i="175"/>
  <c r="T28" i="283"/>
  <c r="I28" i="283" s="1"/>
  <c r="I28" i="187"/>
  <c r="T28" i="4"/>
  <c r="I28" i="4" s="1"/>
  <c r="T28" i="284"/>
  <c r="I28" i="284" s="1"/>
  <c r="T28" i="292"/>
  <c r="I28" i="292" s="1"/>
  <c r="J40" i="292" s="1"/>
  <c r="T28" i="269"/>
  <c r="I28" i="269" s="1"/>
  <c r="J40" i="269" s="1"/>
  <c r="T28" i="11"/>
  <c r="I28" i="11" s="1"/>
  <c r="J40" i="11" s="1"/>
  <c r="S28" i="279"/>
  <c r="T28" i="325"/>
  <c r="I28" i="325" s="1"/>
  <c r="T28" i="204"/>
  <c r="I28" i="204" s="1"/>
  <c r="S28" i="335"/>
  <c r="S28" i="253"/>
  <c r="R28" i="253"/>
  <c r="Q28" i="253"/>
  <c r="F28" i="253" s="1"/>
  <c r="T28" i="28"/>
  <c r="I28" i="28" s="1"/>
  <c r="J40" i="28" s="1"/>
  <c r="T28" i="29"/>
  <c r="I28" i="29" s="1"/>
  <c r="J40" i="29" s="1"/>
  <c r="T28" i="9"/>
  <c r="I28" i="9" s="1"/>
  <c r="T28" i="37"/>
  <c r="I28" i="37" s="1"/>
  <c r="J40" i="37" s="1"/>
  <c r="T28" i="54"/>
  <c r="I28" i="54" s="1"/>
  <c r="J40" i="54" s="1"/>
  <c r="T28" i="7"/>
  <c r="I28" i="7" s="1"/>
  <c r="J40" i="7" s="1"/>
  <c r="T28" i="288"/>
  <c r="I28" i="288" s="1"/>
  <c r="T28" i="17"/>
  <c r="I28" i="17" s="1"/>
  <c r="T28" i="16"/>
  <c r="I28" i="16" s="1"/>
  <c r="T28" i="12"/>
  <c r="I28" i="12" s="1"/>
  <c r="J40" i="12" s="1"/>
  <c r="T28" i="303"/>
  <c r="I28" i="303" s="1"/>
  <c r="J40" i="303" s="1"/>
  <c r="T28" i="101"/>
  <c r="I28" i="101" s="1"/>
  <c r="J40" i="101" s="1"/>
  <c r="T28" i="102"/>
  <c r="I28" i="102" s="1"/>
  <c r="J40" i="102" s="1"/>
  <c r="T28" i="103"/>
  <c r="I28" i="103" s="1"/>
  <c r="J40" i="103" s="1"/>
  <c r="T28" i="265"/>
  <c r="I28" i="265" s="1"/>
  <c r="J40" i="265" s="1"/>
  <c r="T28" i="43"/>
  <c r="I28" i="43" s="1"/>
  <c r="J40" i="43" s="1"/>
  <c r="I28" i="296"/>
  <c r="J40" i="296" s="1"/>
  <c r="T28" i="75"/>
  <c r="I28" i="75" s="1"/>
  <c r="J40" i="75" s="1"/>
  <c r="T28" i="262"/>
  <c r="I28" i="262" s="1"/>
  <c r="J40" i="262" s="1"/>
  <c r="T28" i="290"/>
  <c r="I28" i="290" s="1"/>
  <c r="T28" i="289"/>
  <c r="I28" i="289" s="1"/>
  <c r="J40" i="289" s="1"/>
  <c r="T28" i="249"/>
  <c r="I28" i="249" s="1"/>
  <c r="T28" i="201"/>
  <c r="I28" i="201" s="1"/>
  <c r="J40" i="201" s="1"/>
  <c r="T28" i="337"/>
  <c r="I28" i="337" s="1"/>
  <c r="J40" i="337" s="1"/>
  <c r="T28" i="227"/>
  <c r="I28" i="227" s="1"/>
  <c r="T28" i="33"/>
  <c r="I28" i="33" s="1"/>
  <c r="T28" i="112"/>
  <c r="I28" i="112" s="1"/>
  <c r="J40" i="112" s="1"/>
  <c r="T28" i="109"/>
  <c r="I28" i="109" s="1"/>
  <c r="J40" i="109" s="1"/>
  <c r="T28" i="2"/>
  <c r="I28" i="2" s="1"/>
  <c r="J40" i="2" s="1"/>
  <c r="T28" i="85"/>
  <c r="I28" i="85" s="1"/>
  <c r="J40" i="85" s="1"/>
  <c r="T28" i="324"/>
  <c r="I28" i="324" s="1"/>
  <c r="J40" i="324" s="1"/>
  <c r="T28" i="32"/>
  <c r="I28" i="32" s="1"/>
  <c r="T28" i="203"/>
  <c r="I28" i="203" s="1"/>
  <c r="J40" i="203" s="1"/>
  <c r="T28" i="164"/>
  <c r="I28" i="164" s="1"/>
  <c r="J40" i="164" s="1"/>
  <c r="T28" i="162"/>
  <c r="I28" i="162" s="1"/>
  <c r="J40" i="162" s="1"/>
  <c r="T28" i="196"/>
  <c r="I28" i="196" s="1"/>
  <c r="T28" i="197"/>
  <c r="I28" i="197" s="1"/>
  <c r="J40" i="197" s="1"/>
  <c r="T28" i="198"/>
  <c r="I28" i="198" s="1"/>
  <c r="J40" i="198" s="1"/>
  <c r="T28" i="74"/>
  <c r="I28" i="74" s="1"/>
  <c r="J40" i="74" s="1"/>
  <c r="S28" i="185"/>
  <c r="R28" i="185"/>
  <c r="Q28" i="185"/>
  <c r="F28" i="185" s="1"/>
  <c r="T28" i="181"/>
  <c r="I28" i="181" s="1"/>
  <c r="T28" i="183"/>
  <c r="I28" i="183" s="1"/>
  <c r="T28" i="184"/>
  <c r="I28" i="184" s="1"/>
  <c r="T28" i="200"/>
  <c r="I28" i="200" s="1"/>
  <c r="T28" i="280"/>
  <c r="I28" i="280" s="1"/>
  <c r="F28" i="195"/>
  <c r="T28" i="194"/>
  <c r="I28" i="194" s="1"/>
  <c r="J40" i="194" s="1"/>
  <c r="T28" i="193"/>
  <c r="I28" i="193" s="1"/>
  <c r="J40" i="193" s="1"/>
  <c r="S28" i="144"/>
  <c r="R28" i="144"/>
  <c r="Q28" i="144"/>
  <c r="F28" i="144" s="1"/>
  <c r="T28" i="27"/>
  <c r="I28" i="27" s="1"/>
  <c r="T28" i="143"/>
  <c r="I28" i="143" s="1"/>
  <c r="J40" i="143" s="1"/>
  <c r="T28" i="97"/>
  <c r="I28" i="97" s="1"/>
  <c r="J40" i="97" s="1"/>
  <c r="T28" i="45"/>
  <c r="I28" i="45" s="1"/>
  <c r="T28" i="104"/>
  <c r="I28" i="104" s="1"/>
  <c r="T28" i="268"/>
  <c r="I28" i="268" s="1"/>
  <c r="T28" i="263"/>
  <c r="I28" i="263" s="1"/>
  <c r="T28" i="209"/>
  <c r="I28" i="209" s="1"/>
  <c r="T28" i="192"/>
  <c r="I28" i="192" s="1"/>
  <c r="T28" i="48"/>
  <c r="I28" i="48" s="1"/>
  <c r="J40" i="48" s="1"/>
  <c r="T28" i="254"/>
  <c r="I28" i="254" s="1"/>
  <c r="T28" i="140"/>
  <c r="I28" i="140" s="1"/>
  <c r="T28" i="270"/>
  <c r="I28" i="270" s="1"/>
  <c r="T28" i="271"/>
  <c r="I28" i="271" s="1"/>
  <c r="S28" i="186"/>
  <c r="R28" i="186"/>
  <c r="Q28" i="186"/>
  <c r="F28" i="186" s="1"/>
  <c r="T28" i="159"/>
  <c r="I28" i="159" s="1"/>
  <c r="T28" i="160"/>
  <c r="I28" i="160" s="1"/>
  <c r="T28" i="107"/>
  <c r="I28" i="107" s="1"/>
  <c r="T28" i="176"/>
  <c r="I28" i="176" s="1"/>
  <c r="J40" i="176" s="1"/>
  <c r="T28" i="53"/>
  <c r="I28" i="53" s="1"/>
  <c r="J40" i="53" s="1"/>
  <c r="T28" i="52"/>
  <c r="I28" i="52" s="1"/>
  <c r="T28" i="281"/>
  <c r="I28" i="281" s="1"/>
  <c r="T28" i="332"/>
  <c r="I28" i="332" s="1"/>
  <c r="T28" i="25"/>
  <c r="I28" i="25" s="1"/>
  <c r="J40" i="25" s="1"/>
  <c r="T28" i="31"/>
  <c r="I28" i="31" s="1"/>
  <c r="T28" i="24"/>
  <c r="I28" i="24" s="1"/>
  <c r="S28" i="231"/>
  <c r="U28" i="231" s="1"/>
  <c r="R28" i="231"/>
  <c r="Q28" i="231"/>
  <c r="F28" i="231" s="1"/>
  <c r="T28" i="298"/>
  <c r="I28" i="298" s="1"/>
  <c r="J40" i="298" s="1"/>
  <c r="F28" i="321"/>
  <c r="T28" i="319"/>
  <c r="I28" i="319" s="1"/>
  <c r="J40" i="319" s="1"/>
  <c r="T28" i="320"/>
  <c r="I28" i="320" s="1"/>
  <c r="J40" i="320" s="1"/>
  <c r="L28" i="343"/>
  <c r="T28" i="229"/>
  <c r="I28" i="229" s="1"/>
  <c r="T28" i="230"/>
  <c r="I28" i="230" s="1"/>
  <c r="S28" i="44"/>
  <c r="T28" i="318"/>
  <c r="I28" i="318" s="1"/>
  <c r="J40" i="318" s="1"/>
  <c r="T28" i="116"/>
  <c r="I28" i="116" s="1"/>
  <c r="J40" i="116" s="1"/>
  <c r="T28" i="272"/>
  <c r="I28" i="272" s="1"/>
  <c r="J40" i="272" s="1"/>
  <c r="T28" i="276"/>
  <c r="I28" i="276" s="1"/>
  <c r="T28" i="287"/>
  <c r="I28" i="287" s="1"/>
  <c r="J40" i="287" s="1"/>
  <c r="T28" i="285"/>
  <c r="I28" i="285" s="1"/>
  <c r="T28" i="87"/>
  <c r="I28" i="87" s="1"/>
  <c r="T28" i="47"/>
  <c r="I28" i="47" s="1"/>
  <c r="T28" i="326"/>
  <c r="I28" i="326" s="1"/>
  <c r="T28" i="248"/>
  <c r="I28" i="248" s="1"/>
  <c r="T28" i="46"/>
  <c r="I28" i="46" s="1"/>
  <c r="T28" i="239"/>
  <c r="I28" i="239" s="1"/>
  <c r="T28" i="243"/>
  <c r="I28" i="243" s="1"/>
  <c r="S28" i="247"/>
  <c r="R28" i="247"/>
  <c r="Q28" i="247"/>
  <c r="F28" i="247" s="1"/>
  <c r="T28" i="244"/>
  <c r="I28" i="244" s="1"/>
  <c r="T28" i="246"/>
  <c r="I28" i="246" s="1"/>
  <c r="J40" i="246" s="1"/>
  <c r="T28" i="19"/>
  <c r="I28" i="19" s="1"/>
  <c r="F28" i="327"/>
  <c r="T28" i="328"/>
  <c r="I28" i="328" s="1"/>
  <c r="J40" i="328" s="1"/>
  <c r="T28" i="329"/>
  <c r="I28" i="329" s="1"/>
  <c r="S28" i="170"/>
  <c r="R28" i="170"/>
  <c r="Q28" i="170"/>
  <c r="F28" i="170" s="1"/>
  <c r="T28" i="168"/>
  <c r="I28" i="168" s="1"/>
  <c r="T28" i="169"/>
  <c r="I28" i="169" s="1"/>
  <c r="T28" i="336"/>
  <c r="I28" i="336" s="1"/>
  <c r="T28" i="293"/>
  <c r="I28" i="293" s="1"/>
  <c r="J40" i="230" l="1"/>
  <c r="J40" i="271"/>
  <c r="J40" i="181"/>
  <c r="J40" i="227"/>
  <c r="J40" i="288"/>
  <c r="J40" i="160"/>
  <c r="J40" i="314"/>
  <c r="J40" i="336"/>
  <c r="J40" i="248"/>
  <c r="J40" i="263"/>
  <c r="J40" i="47"/>
  <c r="J40" i="52"/>
  <c r="J40" i="254"/>
  <c r="J40" i="200"/>
  <c r="J40" i="249"/>
  <c r="J40" i="87"/>
  <c r="J40" i="24"/>
  <c r="J40" i="184"/>
  <c r="J40" i="16"/>
  <c r="J40" i="9"/>
  <c r="J40" i="334"/>
  <c r="J40" i="61"/>
  <c r="J40" i="105"/>
  <c r="J40" i="293"/>
  <c r="J40" i="244"/>
  <c r="J40" i="46"/>
  <c r="J40" i="107"/>
  <c r="J40" i="209"/>
  <c r="J40" i="325"/>
  <c r="J40" i="4"/>
  <c r="J40" i="299"/>
  <c r="J40" i="329"/>
  <c r="J40" i="276"/>
  <c r="J40" i="229"/>
  <c r="J40" i="332"/>
  <c r="J40" i="270"/>
  <c r="J40" i="27"/>
  <c r="J40" i="196"/>
  <c r="J40" i="187"/>
  <c r="J40" i="169"/>
  <c r="J40" i="326"/>
  <c r="J40" i="281"/>
  <c r="J40" i="159"/>
  <c r="J40" i="140"/>
  <c r="J40" i="268"/>
  <c r="J40" i="280"/>
  <c r="J40" i="283"/>
  <c r="J40" i="344"/>
  <c r="J40" i="8"/>
  <c r="J28" i="8"/>
  <c r="J40" i="168"/>
  <c r="J40" i="104"/>
  <c r="J40" i="19"/>
  <c r="J40" i="243"/>
  <c r="J40" i="45"/>
  <c r="J40" i="239"/>
  <c r="J40" i="285"/>
  <c r="J40" i="31"/>
  <c r="J40" i="192"/>
  <c r="J40" i="183"/>
  <c r="J40" i="32"/>
  <c r="J40" i="33"/>
  <c r="J40" i="290"/>
  <c r="J40" i="17"/>
  <c r="J40" i="204"/>
  <c r="J40" i="284"/>
  <c r="J40" i="294"/>
  <c r="J40" i="338"/>
  <c r="J40" i="297"/>
  <c r="L31" i="231"/>
  <c r="M40" i="231"/>
  <c r="G29" i="327"/>
  <c r="H40" i="327"/>
  <c r="G29" i="321"/>
  <c r="H40" i="321"/>
  <c r="G29" i="231"/>
  <c r="H40" i="231"/>
  <c r="G29" i="185"/>
  <c r="H40" i="185"/>
  <c r="G29" i="170"/>
  <c r="H40" i="170"/>
  <c r="G29" i="144"/>
  <c r="H40" i="144"/>
  <c r="G29" i="300"/>
  <c r="H40" i="300"/>
  <c r="G29" i="152"/>
  <c r="H40" i="152"/>
  <c r="G29" i="149"/>
  <c r="H40" i="149"/>
  <c r="G29" i="247"/>
  <c r="H40" i="247"/>
  <c r="G29" i="195"/>
  <c r="H40" i="195"/>
  <c r="G29" i="186"/>
  <c r="H40" i="186"/>
  <c r="G29" i="253"/>
  <c r="H40" i="253"/>
  <c r="T28" i="247"/>
  <c r="I28" i="247" s="1"/>
  <c r="T28" i="195"/>
  <c r="I28" i="195" s="1"/>
  <c r="J40" i="195" s="1"/>
  <c r="T28" i="253"/>
  <c r="I28" i="253" s="1"/>
  <c r="J40" i="253" s="1"/>
  <c r="T28" i="149"/>
  <c r="I28" i="149" s="1"/>
  <c r="T28" i="170"/>
  <c r="I28" i="170" s="1"/>
  <c r="J40" i="170" s="1"/>
  <c r="T28" i="327"/>
  <c r="I28" i="327" s="1"/>
  <c r="J40" i="327" s="1"/>
  <c r="T28" i="231"/>
  <c r="I28" i="231" s="1"/>
  <c r="T28" i="186"/>
  <c r="I28" i="186" s="1"/>
  <c r="T28" i="142"/>
  <c r="I28" i="142" s="1"/>
  <c r="J40" i="142" s="1"/>
  <c r="T28" i="152"/>
  <c r="I28" i="152" s="1"/>
  <c r="J40" i="152" s="1"/>
  <c r="T28" i="144"/>
  <c r="I28" i="144" s="1"/>
  <c r="T28" i="185"/>
  <c r="I28" i="185" s="1"/>
  <c r="T28" i="321"/>
  <c r="I28" i="321" s="1"/>
  <c r="J40" i="321" s="1"/>
  <c r="T28" i="300"/>
  <c r="I28" i="300" s="1"/>
  <c r="U27" i="202"/>
  <c r="J40" i="149" l="1"/>
  <c r="J40" i="300"/>
  <c r="J40" i="186"/>
  <c r="J40" i="231"/>
  <c r="J40" i="185"/>
  <c r="J40" i="247"/>
  <c r="J40" i="144"/>
  <c r="F27" i="191"/>
  <c r="F27" i="3"/>
  <c r="F27" i="293"/>
  <c r="F27" i="5"/>
  <c r="F27" i="207"/>
  <c r="F27" i="89"/>
  <c r="F27" i="88"/>
  <c r="F27" i="148"/>
  <c r="F27" i="1"/>
  <c r="F27" i="18"/>
  <c r="F27" i="20"/>
  <c r="F27" i="113"/>
  <c r="F27" i="322"/>
  <c r="F27" i="323"/>
  <c r="F27" i="233"/>
  <c r="F27" i="13"/>
  <c r="F27" i="261"/>
  <c r="F27" i="153"/>
  <c r="F27" i="257"/>
  <c r="F27" i="35"/>
  <c r="F27" i="202"/>
  <c r="F27" i="21"/>
  <c r="F27" i="23"/>
  <c r="E27" i="317"/>
  <c r="E27" i="316"/>
  <c r="F27" i="314"/>
  <c r="E27" i="315"/>
  <c r="F27" i="61"/>
  <c r="F27" i="338"/>
  <c r="F27" i="105"/>
  <c r="F27" i="299"/>
  <c r="F27" i="190"/>
  <c r="F27" i="340"/>
  <c r="F27" i="342"/>
  <c r="F27" i="206"/>
  <c r="F27" i="34"/>
  <c r="F27" i="174"/>
  <c r="F27" i="22"/>
  <c r="F27" i="301"/>
  <c r="F27" i="135"/>
  <c r="F27" i="344"/>
  <c r="F27" i="333"/>
  <c r="F27" i="295"/>
  <c r="F27" i="294"/>
  <c r="F27" i="334"/>
  <c r="E27" i="175"/>
  <c r="F28" i="175" s="1"/>
  <c r="F27" i="283"/>
  <c r="F27" i="187"/>
  <c r="F27" i="4"/>
  <c r="F27" i="284"/>
  <c r="F27" i="269"/>
  <c r="F27" i="11"/>
  <c r="F27" i="279"/>
  <c r="F27" i="339"/>
  <c r="F27" i="325"/>
  <c r="F27" i="204"/>
  <c r="F27" i="335"/>
  <c r="F27" i="28"/>
  <c r="F27" i="29"/>
  <c r="F27" i="9"/>
  <c r="F27" i="37"/>
  <c r="F27" i="54"/>
  <c r="F27" i="7"/>
  <c r="F27" i="288"/>
  <c r="F27" i="17"/>
  <c r="F27" i="16"/>
  <c r="F27" i="12"/>
  <c r="F27" i="303"/>
  <c r="F27" i="101"/>
  <c r="F27" i="102"/>
  <c r="F27" i="103"/>
  <c r="F27" i="265"/>
  <c r="F27" i="43"/>
  <c r="F27" i="296"/>
  <c r="F27" i="75"/>
  <c r="F27" i="262"/>
  <c r="F27" i="290"/>
  <c r="F27" i="289"/>
  <c r="F27" i="249"/>
  <c r="F27" i="201"/>
  <c r="F27" i="337"/>
  <c r="F27" i="227"/>
  <c r="F27" i="33"/>
  <c r="F27" i="112"/>
  <c r="F27" i="109"/>
  <c r="F27" i="2"/>
  <c r="F27" i="85"/>
  <c r="F27" i="324"/>
  <c r="F27" i="32"/>
  <c r="F27" i="203"/>
  <c r="F27" i="164"/>
  <c r="F27" i="162"/>
  <c r="F27" i="196"/>
  <c r="F27" i="197"/>
  <c r="F27" i="198"/>
  <c r="F27" i="74"/>
  <c r="F27" i="181"/>
  <c r="F27" i="183"/>
  <c r="F27" i="184"/>
  <c r="F27" i="200"/>
  <c r="F27" i="280"/>
  <c r="F27" i="114"/>
  <c r="F27" i="194"/>
  <c r="F27" i="193"/>
  <c r="F27" i="27"/>
  <c r="F27" i="143"/>
  <c r="F27" i="97"/>
  <c r="F27" i="45"/>
  <c r="F27" i="104"/>
  <c r="F27" i="268"/>
  <c r="F27" i="263"/>
  <c r="F27" i="209"/>
  <c r="F27" i="192"/>
  <c r="F27" i="48"/>
  <c r="F27" i="254"/>
  <c r="F27" i="140"/>
  <c r="F27" i="270"/>
  <c r="F27" i="271"/>
  <c r="F27" i="159"/>
  <c r="F27" i="160"/>
  <c r="F27" i="107"/>
  <c r="F27" i="176"/>
  <c r="F27" i="53"/>
  <c r="F27" i="52"/>
  <c r="F27" i="281"/>
  <c r="F27" i="332"/>
  <c r="F27" i="25"/>
  <c r="F27" i="31"/>
  <c r="F27" i="24"/>
  <c r="F27" i="229"/>
  <c r="F27" i="230"/>
  <c r="F27" i="44"/>
  <c r="F27" i="116"/>
  <c r="F27" i="272"/>
  <c r="F27" i="276"/>
  <c r="F27" i="287"/>
  <c r="F27" i="285"/>
  <c r="F27" i="297"/>
  <c r="F27" i="298"/>
  <c r="F27" i="318"/>
  <c r="F27" i="319"/>
  <c r="F27" i="320"/>
  <c r="E27" i="343"/>
  <c r="G39" i="343" s="1"/>
  <c r="F27" i="87"/>
  <c r="F27" i="47"/>
  <c r="F27" i="326"/>
  <c r="F27" i="248"/>
  <c r="F27" i="46"/>
  <c r="F27" i="239"/>
  <c r="F27" i="243"/>
  <c r="F27" i="244"/>
  <c r="F27" i="246"/>
  <c r="F27" i="19"/>
  <c r="F27" i="328"/>
  <c r="F27" i="329"/>
  <c r="F27" i="168"/>
  <c r="F27" i="169"/>
  <c r="F27" i="336"/>
  <c r="F27" i="8"/>
  <c r="H39" i="276" l="1"/>
  <c r="H39" i="230"/>
  <c r="H39" i="25"/>
  <c r="H39" i="53"/>
  <c r="H39" i="159"/>
  <c r="H39" i="254"/>
  <c r="H39" i="263"/>
  <c r="H39" i="45"/>
  <c r="H39" i="193"/>
  <c r="H39" i="200"/>
  <c r="H39" i="74"/>
  <c r="H39" i="162"/>
  <c r="H39" i="324"/>
  <c r="H39" i="112"/>
  <c r="H39" i="201"/>
  <c r="H39" i="262"/>
  <c r="H39" i="265"/>
  <c r="H39" i="303"/>
  <c r="H39" i="288"/>
  <c r="H39" i="9"/>
  <c r="H39" i="204"/>
  <c r="H39" i="11"/>
  <c r="H39" i="187"/>
  <c r="H39" i="294"/>
  <c r="H39" i="135"/>
  <c r="H39" i="34"/>
  <c r="H39" i="190"/>
  <c r="H39" i="61"/>
  <c r="H39" i="13"/>
  <c r="H39" i="113"/>
  <c r="H39" i="148"/>
  <c r="H39" i="5"/>
  <c r="H39" i="169"/>
  <c r="H39" i="248"/>
  <c r="H39" i="168"/>
  <c r="H39" i="328"/>
  <c r="H39" i="243"/>
  <c r="H39" i="326"/>
  <c r="H39" i="320"/>
  <c r="H39" i="297"/>
  <c r="H39" i="272"/>
  <c r="H39" i="229"/>
  <c r="H39" i="332"/>
  <c r="H39" i="176"/>
  <c r="H39" i="271"/>
  <c r="H39" i="48"/>
  <c r="H39" i="268"/>
  <c r="H39" i="97"/>
  <c r="H39" i="194"/>
  <c r="H39" i="184"/>
  <c r="H39" i="198"/>
  <c r="H39" i="164"/>
  <c r="H39" i="85"/>
  <c r="H39" i="33"/>
  <c r="H39" i="249"/>
  <c r="H39" i="75"/>
  <c r="H39" i="103"/>
  <c r="H39" i="12"/>
  <c r="H39" i="7"/>
  <c r="H39" i="29"/>
  <c r="H39" i="325"/>
  <c r="H39" i="269"/>
  <c r="H39" i="283"/>
  <c r="H39" i="295"/>
  <c r="H39" i="301"/>
  <c r="H39" i="206"/>
  <c r="H39" i="299"/>
  <c r="H39" i="257"/>
  <c r="H39" i="233"/>
  <c r="H39" i="20"/>
  <c r="H39" i="88"/>
  <c r="H39" i="293"/>
  <c r="H39" i="244"/>
  <c r="H39" i="8"/>
  <c r="H39" i="19"/>
  <c r="H39" i="239"/>
  <c r="H39" i="47"/>
  <c r="H39" i="319"/>
  <c r="H39" i="285"/>
  <c r="H39" i="116"/>
  <c r="H39" i="24"/>
  <c r="H39" i="281"/>
  <c r="H39" i="107"/>
  <c r="H39" i="270"/>
  <c r="H39" i="192"/>
  <c r="H39" i="104"/>
  <c r="H39" i="143"/>
  <c r="H39" i="114"/>
  <c r="H39" i="183"/>
  <c r="H39" i="197"/>
  <c r="H39" i="203"/>
  <c r="H39" i="2"/>
  <c r="H39" i="227"/>
  <c r="H39" i="289"/>
  <c r="H39" i="296"/>
  <c r="H39" i="102"/>
  <c r="H39" i="16"/>
  <c r="H39" i="54"/>
  <c r="H39" i="28"/>
  <c r="H39" i="339"/>
  <c r="H39" i="284"/>
  <c r="H39" i="333"/>
  <c r="H39" i="22"/>
  <c r="H39" i="342"/>
  <c r="H39" i="105"/>
  <c r="H39" i="314"/>
  <c r="H39" i="21"/>
  <c r="H39" i="153"/>
  <c r="H39" i="323"/>
  <c r="H39" i="18"/>
  <c r="H39" i="89"/>
  <c r="H39" i="3"/>
  <c r="H39" i="298"/>
  <c r="H39" i="336"/>
  <c r="H39" i="329"/>
  <c r="H39" i="246"/>
  <c r="H39" i="46"/>
  <c r="H39" i="87"/>
  <c r="H39" i="318"/>
  <c r="H39" i="287"/>
  <c r="H39" i="44"/>
  <c r="H39" i="31"/>
  <c r="H39" i="52"/>
  <c r="H39" i="160"/>
  <c r="H39" i="140"/>
  <c r="H39" i="209"/>
  <c r="H39" i="27"/>
  <c r="H39" i="280"/>
  <c r="H39" i="181"/>
  <c r="H39" i="196"/>
  <c r="H39" i="32"/>
  <c r="H39" i="109"/>
  <c r="H39" i="337"/>
  <c r="H39" i="290"/>
  <c r="H39" i="43"/>
  <c r="H39" i="101"/>
  <c r="H39" i="17"/>
  <c r="H39" i="37"/>
  <c r="H39" i="335"/>
  <c r="H39" i="279"/>
  <c r="H39" i="4"/>
  <c r="H39" i="334"/>
  <c r="H39" i="344"/>
  <c r="H39" i="174"/>
  <c r="H39" i="340"/>
  <c r="H39" i="338"/>
  <c r="H39" i="202"/>
  <c r="H39" i="261"/>
  <c r="H39" i="322"/>
  <c r="H39" i="1"/>
  <c r="H39" i="207"/>
  <c r="H39" i="191"/>
  <c r="H39" i="23"/>
  <c r="H39" i="35"/>
  <c r="H217" i="417"/>
  <c r="G28" i="248"/>
  <c r="G28" i="318"/>
  <c r="G28" i="44"/>
  <c r="G28" i="281"/>
  <c r="G28" i="192"/>
  <c r="G28" i="143"/>
  <c r="G28" i="183"/>
  <c r="G28" i="164"/>
  <c r="G28" i="33"/>
  <c r="G28" i="75"/>
  <c r="G28" i="303"/>
  <c r="G28" i="28"/>
  <c r="G28" i="292"/>
  <c r="G28" i="295"/>
  <c r="G28" i="206"/>
  <c r="F28" i="315"/>
  <c r="G28" i="257"/>
  <c r="G28" i="233"/>
  <c r="G28" i="20"/>
  <c r="G28" i="88"/>
  <c r="G28" i="328"/>
  <c r="G28" i="326"/>
  <c r="F28" i="343"/>
  <c r="G28" i="298"/>
  <c r="G28" i="276"/>
  <c r="G28" i="230"/>
  <c r="G28" i="25"/>
  <c r="G28" i="52"/>
  <c r="G28" i="160"/>
  <c r="G28" i="140"/>
  <c r="G28" i="209"/>
  <c r="G28" i="27"/>
  <c r="G28" i="280"/>
  <c r="G28" i="181"/>
  <c r="G28" i="197"/>
  <c r="G28" i="203"/>
  <c r="G28" i="2"/>
  <c r="G28" i="227"/>
  <c r="G28" i="289"/>
  <c r="G28" i="296"/>
  <c r="G28" i="102"/>
  <c r="G28" i="17"/>
  <c r="G28" i="37"/>
  <c r="G28" i="335"/>
  <c r="G28" i="279"/>
  <c r="G28" i="284"/>
  <c r="G28" i="333"/>
  <c r="G28" i="22"/>
  <c r="G28" i="342"/>
  <c r="G28" i="105"/>
  <c r="G28" i="314"/>
  <c r="G28" i="21"/>
  <c r="G28" i="153"/>
  <c r="G28" i="323"/>
  <c r="G28" i="18"/>
  <c r="G28" i="89"/>
  <c r="G28" i="293"/>
  <c r="G28" i="193"/>
  <c r="G28" i="200"/>
  <c r="G28" i="74"/>
  <c r="G28" i="196"/>
  <c r="G28" i="32"/>
  <c r="G28" i="109"/>
  <c r="G28" i="337"/>
  <c r="G28" i="290"/>
  <c r="G28" i="43"/>
  <c r="G28" i="101"/>
  <c r="G28" i="12"/>
  <c r="G28" i="288"/>
  <c r="G28" i="9"/>
  <c r="G28" i="204"/>
  <c r="G28" i="11"/>
  <c r="G28" i="4"/>
  <c r="G28" i="334"/>
  <c r="G28" i="344"/>
  <c r="G28" i="174"/>
  <c r="G28" i="340"/>
  <c r="G28" i="338"/>
  <c r="F28" i="316"/>
  <c r="G28" i="202"/>
  <c r="G28" i="261"/>
  <c r="G28" i="322"/>
  <c r="G28" i="1"/>
  <c r="G28" i="3"/>
  <c r="G28" i="169"/>
  <c r="G28" i="244"/>
  <c r="G28" i="87"/>
  <c r="G28" i="287"/>
  <c r="G28" i="31"/>
  <c r="G28" i="107"/>
  <c r="G28" i="270"/>
  <c r="G28" i="104"/>
  <c r="G28" i="114"/>
  <c r="G28" i="198"/>
  <c r="G28" i="85"/>
  <c r="G28" i="249"/>
  <c r="G28" i="103"/>
  <c r="G28" i="54"/>
  <c r="G28" i="339"/>
  <c r="G28" i="283"/>
  <c r="G28" i="301"/>
  <c r="G28" i="299"/>
  <c r="G28" i="23"/>
  <c r="G28" i="5"/>
  <c r="G28" i="168"/>
  <c r="G28" i="243"/>
  <c r="G28" i="8"/>
  <c r="G28" i="19"/>
  <c r="G28" i="239"/>
  <c r="G28" i="47"/>
  <c r="G28" i="320"/>
  <c r="G28" i="297"/>
  <c r="G28" i="272"/>
  <c r="G28" i="229"/>
  <c r="G28" i="159"/>
  <c r="G28" i="254"/>
  <c r="G28" i="45"/>
  <c r="G28" i="336"/>
  <c r="G28" i="329"/>
  <c r="G28" i="246"/>
  <c r="G28" i="46"/>
  <c r="G28" i="319"/>
  <c r="G28" i="285"/>
  <c r="G28" i="116"/>
  <c r="G28" i="24"/>
  <c r="G28" i="332"/>
  <c r="G28" i="176"/>
  <c r="G28" i="271"/>
  <c r="G28" i="48"/>
  <c r="G28" i="268"/>
  <c r="G28" i="97"/>
  <c r="G28" i="194"/>
  <c r="G28" i="184"/>
  <c r="G28" i="324"/>
  <c r="G28" i="112"/>
  <c r="G28" i="262"/>
  <c r="G28" i="265"/>
  <c r="G28" i="16"/>
  <c r="G28" i="7"/>
  <c r="G28" i="29"/>
  <c r="G28" i="325"/>
  <c r="G28" i="269"/>
  <c r="G28" i="187"/>
  <c r="G28" i="294"/>
  <c r="G28" i="135"/>
  <c r="G28" i="34"/>
  <c r="G28" i="190"/>
  <c r="G28" i="61"/>
  <c r="F28" i="317"/>
  <c r="G28" i="35"/>
  <c r="G28" i="13"/>
  <c r="G28" i="113"/>
  <c r="G28" i="148"/>
  <c r="G28" i="207"/>
  <c r="G28" i="191"/>
  <c r="G28" i="53"/>
  <c r="G28" i="263"/>
  <c r="G28" i="162"/>
  <c r="G28" i="201"/>
  <c r="K7" i="344"/>
  <c r="K10" i="344"/>
  <c r="K13" i="344"/>
  <c r="K16" i="344"/>
  <c r="K19" i="344"/>
  <c r="T27" i="344"/>
  <c r="I27" i="344" s="1"/>
  <c r="J39" i="344" s="1"/>
  <c r="T26" i="344"/>
  <c r="I26" i="344" s="1"/>
  <c r="T25" i="344"/>
  <c r="I25" i="344" s="1"/>
  <c r="J37" i="344" s="1"/>
  <c r="F25" i="344"/>
  <c r="T24" i="344"/>
  <c r="I24" i="344" s="1"/>
  <c r="F24" i="344"/>
  <c r="T23" i="344"/>
  <c r="I23" i="344" s="1"/>
  <c r="J35" i="344" s="1"/>
  <c r="F23" i="344"/>
  <c r="T22" i="344"/>
  <c r="I22" i="344" s="1"/>
  <c r="F22" i="344"/>
  <c r="T21" i="344"/>
  <c r="I21" i="344" s="1"/>
  <c r="J33" i="344" s="1"/>
  <c r="F21" i="344"/>
  <c r="T20" i="344"/>
  <c r="I20" i="344" s="1"/>
  <c r="F20" i="344"/>
  <c r="U19" i="344"/>
  <c r="T19" i="344"/>
  <c r="I19" i="344" s="1"/>
  <c r="J31" i="344" s="1"/>
  <c r="F19" i="344"/>
  <c r="T18" i="344"/>
  <c r="I18" i="344" s="1"/>
  <c r="F18" i="344"/>
  <c r="T17" i="344"/>
  <c r="I17" i="344" s="1"/>
  <c r="F17" i="344"/>
  <c r="U16" i="344"/>
  <c r="M28" i="344" s="1"/>
  <c r="T16" i="344"/>
  <c r="I16" i="344" s="1"/>
  <c r="J28" i="344" s="1"/>
  <c r="F16" i="344"/>
  <c r="T15" i="344"/>
  <c r="I15" i="344" s="1"/>
  <c r="F15" i="344"/>
  <c r="T14" i="344"/>
  <c r="I14" i="344" s="1"/>
  <c r="F14" i="344"/>
  <c r="U13" i="344"/>
  <c r="M25" i="344" s="1"/>
  <c r="T13" i="344"/>
  <c r="I13" i="344" s="1"/>
  <c r="F13" i="344"/>
  <c r="T12" i="344"/>
  <c r="I12" i="344" s="1"/>
  <c r="F12" i="344"/>
  <c r="T11" i="344"/>
  <c r="I11" i="344" s="1"/>
  <c r="F11" i="344"/>
  <c r="U10" i="344"/>
  <c r="T10" i="344"/>
  <c r="I10" i="344" s="1"/>
  <c r="F10" i="344"/>
  <c r="T9" i="344"/>
  <c r="I9" i="344" s="1"/>
  <c r="F9" i="344"/>
  <c r="T8" i="344"/>
  <c r="I8" i="344" s="1"/>
  <c r="F8" i="344"/>
  <c r="U7" i="344"/>
  <c r="T7" i="344"/>
  <c r="I7" i="344" s="1"/>
  <c r="F7" i="344"/>
  <c r="T6" i="344"/>
  <c r="I6" i="344" s="1"/>
  <c r="F6" i="344"/>
  <c r="T5" i="344"/>
  <c r="I5" i="344" s="1"/>
  <c r="F5" i="344"/>
  <c r="J23" i="344" l="1"/>
  <c r="J27" i="344"/>
  <c r="J24" i="344"/>
  <c r="J36" i="344"/>
  <c r="J22" i="344"/>
  <c r="J34" i="344"/>
  <c r="J29" i="344"/>
  <c r="J17" i="344"/>
  <c r="J20" i="344"/>
  <c r="J32" i="344"/>
  <c r="J21" i="344"/>
  <c r="J19" i="344"/>
  <c r="J26" i="344"/>
  <c r="J38" i="344"/>
  <c r="J25" i="344"/>
  <c r="J18" i="344"/>
  <c r="J30" i="344"/>
  <c r="H30" i="344"/>
  <c r="H32" i="344"/>
  <c r="H34" i="344"/>
  <c r="H36" i="344"/>
  <c r="H31" i="344"/>
  <c r="H28" i="344"/>
  <c r="H33" i="344"/>
  <c r="H35" i="344"/>
  <c r="H37" i="344"/>
  <c r="I229" i="417"/>
  <c r="I217" i="417"/>
  <c r="L22" i="344"/>
  <c r="M31" i="344"/>
  <c r="C7" i="344"/>
  <c r="C10" i="344"/>
  <c r="C22" i="344"/>
  <c r="E34" i="344" s="1"/>
  <c r="B28" i="344"/>
  <c r="C28" i="344"/>
  <c r="E40" i="344" s="1"/>
  <c r="H29" i="344"/>
  <c r="C19" i="344"/>
  <c r="E31" i="344" s="1"/>
  <c r="C16" i="344"/>
  <c r="C25" i="344"/>
  <c r="E37" i="344" s="1"/>
  <c r="C13" i="344"/>
  <c r="N22" i="344"/>
  <c r="N28" i="344"/>
  <c r="O31" i="344" s="1"/>
  <c r="L10" i="344"/>
  <c r="M22" i="344"/>
  <c r="N25" i="344"/>
  <c r="L16" i="344"/>
  <c r="L13" i="344"/>
  <c r="G9" i="344"/>
  <c r="N19" i="344"/>
  <c r="G21" i="344"/>
  <c r="G6" i="344"/>
  <c r="G11" i="344"/>
  <c r="G13" i="344"/>
  <c r="L19" i="344"/>
  <c r="N7" i="344"/>
  <c r="N13" i="344"/>
  <c r="N16" i="344"/>
  <c r="G10" i="344"/>
  <c r="G7" i="344"/>
  <c r="H22" i="344"/>
  <c r="G16" i="344"/>
  <c r="H24" i="344"/>
  <c r="H26" i="344"/>
  <c r="H18" i="344"/>
  <c r="B22" i="344"/>
  <c r="G22" i="344"/>
  <c r="H23" i="344"/>
  <c r="H25" i="344"/>
  <c r="H27" i="344"/>
  <c r="G8" i="344"/>
  <c r="B10" i="344"/>
  <c r="G12" i="344"/>
  <c r="H17" i="344"/>
  <c r="H19" i="344"/>
  <c r="H20" i="344"/>
  <c r="N10" i="344"/>
  <c r="M19" i="344"/>
  <c r="G20" i="344"/>
  <c r="G15" i="344"/>
  <c r="B13" i="344"/>
  <c r="G14" i="344"/>
  <c r="B19" i="344"/>
  <c r="H21" i="344"/>
  <c r="B25" i="344"/>
  <c r="B7" i="344"/>
  <c r="B16" i="344"/>
  <c r="G17" i="344"/>
  <c r="G18" i="344"/>
  <c r="G19" i="344"/>
  <c r="G23" i="344"/>
  <c r="G24" i="344"/>
  <c r="G25" i="344"/>
  <c r="G26" i="344"/>
  <c r="G27" i="344"/>
  <c r="D31" i="344" l="1"/>
  <c r="D13" i="344"/>
  <c r="D10" i="344"/>
  <c r="D16" i="344"/>
  <c r="E19" i="344"/>
  <c r="D19" i="344"/>
  <c r="E22" i="344"/>
  <c r="D22" i="344"/>
  <c r="E25" i="344"/>
  <c r="D25" i="344"/>
  <c r="E28" i="344"/>
  <c r="D28" i="344"/>
  <c r="O25" i="344"/>
  <c r="O22" i="344"/>
  <c r="O16" i="344"/>
  <c r="O10" i="344"/>
  <c r="O28" i="344"/>
  <c r="O13" i="344"/>
  <c r="O19" i="344"/>
  <c r="T27" i="1"/>
  <c r="I27" i="1" s="1"/>
  <c r="J39" i="1" s="1"/>
  <c r="F27" i="149"/>
  <c r="T27" i="88"/>
  <c r="I27" i="88" s="1"/>
  <c r="T27" i="148"/>
  <c r="I27" i="148" s="1"/>
  <c r="J39" i="148" s="1"/>
  <c r="F27" i="142"/>
  <c r="T27" i="18"/>
  <c r="I27" i="18" s="1"/>
  <c r="T27" i="20"/>
  <c r="I27" i="20" s="1"/>
  <c r="J39" i="20" s="1"/>
  <c r="T27" i="325"/>
  <c r="I27" i="325" s="1"/>
  <c r="T27" i="113"/>
  <c r="I27" i="113" s="1"/>
  <c r="T27" i="322"/>
  <c r="I27" i="322" s="1"/>
  <c r="T27" i="323"/>
  <c r="I27" i="323" s="1"/>
  <c r="J39" i="323" s="1"/>
  <c r="T27" i="233"/>
  <c r="I27" i="233" s="1"/>
  <c r="F27" i="152"/>
  <c r="T27" i="13"/>
  <c r="I27" i="13" s="1"/>
  <c r="T27" i="261"/>
  <c r="I27" i="261" s="1"/>
  <c r="J39" i="261" s="1"/>
  <c r="T27" i="153"/>
  <c r="I27" i="153" s="1"/>
  <c r="T27" i="257"/>
  <c r="I27" i="257" s="1"/>
  <c r="J39" i="257" s="1"/>
  <c r="T27" i="202"/>
  <c r="I27" i="202" s="1"/>
  <c r="J39" i="202" s="1"/>
  <c r="T27" i="21"/>
  <c r="I27" i="21" s="1"/>
  <c r="T27" i="23"/>
  <c r="I27" i="23" s="1"/>
  <c r="T27" i="8"/>
  <c r="I27" i="8" s="1"/>
  <c r="L27" i="317"/>
  <c r="L27" i="316"/>
  <c r="T27" i="314"/>
  <c r="I27" i="314" s="1"/>
  <c r="L27" i="315"/>
  <c r="T27" i="61"/>
  <c r="I27" i="61" s="1"/>
  <c r="J39" i="61" s="1"/>
  <c r="T27" i="338"/>
  <c r="I27" i="338" s="1"/>
  <c r="T27" i="105"/>
  <c r="I27" i="105" s="1"/>
  <c r="S27" i="300"/>
  <c r="R27" i="300"/>
  <c r="Q27" i="300"/>
  <c r="F27" i="300" s="1"/>
  <c r="T27" i="299"/>
  <c r="I27" i="299" s="1"/>
  <c r="T27" i="190"/>
  <c r="I27" i="190" s="1"/>
  <c r="T27" i="340"/>
  <c r="I27" i="340" s="1"/>
  <c r="T27" i="342"/>
  <c r="I27" i="342" s="1"/>
  <c r="T27" i="206"/>
  <c r="I27" i="206" s="1"/>
  <c r="T27" i="293"/>
  <c r="I27" i="293" s="1"/>
  <c r="T27" i="3"/>
  <c r="I27" i="3" s="1"/>
  <c r="T27" i="34"/>
  <c r="I27" i="34" s="1"/>
  <c r="J39" i="34" s="1"/>
  <c r="T27" i="174"/>
  <c r="I27" i="174" s="1"/>
  <c r="J39" i="174" s="1"/>
  <c r="T27" i="22"/>
  <c r="I27" i="22" s="1"/>
  <c r="J39" i="22" s="1"/>
  <c r="T27" i="301"/>
  <c r="I27" i="301" s="1"/>
  <c r="T27" i="135"/>
  <c r="I27" i="135" s="1"/>
  <c r="T27" i="333"/>
  <c r="I27" i="333" s="1"/>
  <c r="T27" i="295"/>
  <c r="I27" i="295" s="1"/>
  <c r="J39" i="295" s="1"/>
  <c r="T27" i="294"/>
  <c r="I27" i="294" s="1"/>
  <c r="J39" i="294" s="1"/>
  <c r="T27" i="334"/>
  <c r="I27" i="334" s="1"/>
  <c r="L27" i="175"/>
  <c r="T27" i="283"/>
  <c r="I27" i="283" s="1"/>
  <c r="I27" i="187"/>
  <c r="T27" i="4"/>
  <c r="I27" i="4" s="1"/>
  <c r="T27" i="284"/>
  <c r="I27" i="284" s="1"/>
  <c r="T27" i="292"/>
  <c r="I27" i="292" s="1"/>
  <c r="T27" i="269"/>
  <c r="I27" i="269" s="1"/>
  <c r="J39" i="269" s="1"/>
  <c r="T27" i="11"/>
  <c r="I27" i="11" s="1"/>
  <c r="S27" i="279"/>
  <c r="T27" i="204"/>
  <c r="I27" i="204" s="1"/>
  <c r="S27" i="335"/>
  <c r="S27" i="253"/>
  <c r="R27" i="253"/>
  <c r="Q27" i="253"/>
  <c r="F27" i="253" s="1"/>
  <c r="T27" i="28"/>
  <c r="I27" i="28" s="1"/>
  <c r="J39" i="28" s="1"/>
  <c r="T27" i="29"/>
  <c r="I27" i="29" s="1"/>
  <c r="T27" i="5"/>
  <c r="I27" i="5" s="1"/>
  <c r="J39" i="5" s="1"/>
  <c r="T27" i="207"/>
  <c r="I27" i="207" s="1"/>
  <c r="T27" i="9"/>
  <c r="I27" i="9" s="1"/>
  <c r="T27" i="37"/>
  <c r="I27" i="37" s="1"/>
  <c r="T27" i="54"/>
  <c r="I27" i="54" s="1"/>
  <c r="T27" i="7"/>
  <c r="I27" i="7" s="1"/>
  <c r="J39" i="7" s="1"/>
  <c r="T27" i="288"/>
  <c r="I27" i="288" s="1"/>
  <c r="T27" i="17"/>
  <c r="I27" i="17" s="1"/>
  <c r="J39" i="17" s="1"/>
  <c r="T27" i="16"/>
  <c r="I27" i="16" s="1"/>
  <c r="T27" i="12"/>
  <c r="I27" i="12" s="1"/>
  <c r="T27" i="303"/>
  <c r="I27" i="303" s="1"/>
  <c r="J39" i="303" s="1"/>
  <c r="T27" i="101"/>
  <c r="I27" i="101" s="1"/>
  <c r="J39" i="101" s="1"/>
  <c r="T27" i="102"/>
  <c r="I27" i="102" s="1"/>
  <c r="J39" i="102" s="1"/>
  <c r="T27" i="103"/>
  <c r="I27" i="103" s="1"/>
  <c r="T27" i="265"/>
  <c r="I27" i="265" s="1"/>
  <c r="T27" i="43"/>
  <c r="I27" i="43" s="1"/>
  <c r="J39" i="43" s="1"/>
  <c r="I27" i="296"/>
  <c r="J39" i="296" s="1"/>
  <c r="T27" i="75"/>
  <c r="I27" i="75" s="1"/>
  <c r="T27" i="262"/>
  <c r="I27" i="262" s="1"/>
  <c r="J39" i="262" s="1"/>
  <c r="T27" i="290"/>
  <c r="I27" i="290" s="1"/>
  <c r="T27" i="289"/>
  <c r="I27" i="289" s="1"/>
  <c r="T27" i="249"/>
  <c r="I27" i="249" s="1"/>
  <c r="T27" i="201"/>
  <c r="I27" i="201" s="1"/>
  <c r="T27" i="337"/>
  <c r="I27" i="337" s="1"/>
  <c r="T27" i="227"/>
  <c r="I27" i="227" s="1"/>
  <c r="T27" i="33"/>
  <c r="I27" i="33" s="1"/>
  <c r="T27" i="112"/>
  <c r="I27" i="112" s="1"/>
  <c r="T27" i="109"/>
  <c r="I27" i="109" s="1"/>
  <c r="T27" i="2"/>
  <c r="I27" i="2" s="1"/>
  <c r="T27" i="85"/>
  <c r="I27" i="85" s="1"/>
  <c r="T27" i="324"/>
  <c r="I27" i="324" s="1"/>
  <c r="T27" i="32"/>
  <c r="I27" i="32" s="1"/>
  <c r="T27" i="203"/>
  <c r="I27" i="203" s="1"/>
  <c r="T27" i="191"/>
  <c r="I27" i="191" s="1"/>
  <c r="T27" i="164"/>
  <c r="I27" i="164" s="1"/>
  <c r="T27" i="162"/>
  <c r="I27" i="162" s="1"/>
  <c r="T27" i="196"/>
  <c r="I27" i="196" s="1"/>
  <c r="J39" i="196" s="1"/>
  <c r="T27" i="197"/>
  <c r="I27" i="197" s="1"/>
  <c r="T27" i="198"/>
  <c r="I27" i="198" s="1"/>
  <c r="J39" i="198" s="1"/>
  <c r="T27" i="74"/>
  <c r="I27" i="74" s="1"/>
  <c r="S27" i="185"/>
  <c r="R27" i="185"/>
  <c r="Q27" i="185"/>
  <c r="F27" i="185" s="1"/>
  <c r="T27" i="181"/>
  <c r="I27" i="181" s="1"/>
  <c r="T27" i="183"/>
  <c r="I27" i="183" s="1"/>
  <c r="T27" i="184"/>
  <c r="I27" i="184" s="1"/>
  <c r="T27" i="200"/>
  <c r="I27" i="200" s="1"/>
  <c r="T27" i="280"/>
  <c r="I27" i="280" s="1"/>
  <c r="T27" i="114"/>
  <c r="I27" i="114" s="1"/>
  <c r="F27" i="195"/>
  <c r="T27" i="194"/>
  <c r="I27" i="194" s="1"/>
  <c r="T27" i="193"/>
  <c r="I27" i="193" s="1"/>
  <c r="J39" i="193" s="1"/>
  <c r="S27" i="144"/>
  <c r="R27" i="144"/>
  <c r="Q27" i="144"/>
  <c r="F27" i="144" s="1"/>
  <c r="T27" i="27"/>
  <c r="I27" i="27" s="1"/>
  <c r="J39" i="27" s="1"/>
  <c r="T27" i="143"/>
  <c r="I27" i="143" s="1"/>
  <c r="T27" i="97"/>
  <c r="I27" i="97" s="1"/>
  <c r="T27" i="45"/>
  <c r="I27" i="45" s="1"/>
  <c r="T27" i="104"/>
  <c r="I27" i="104" s="1"/>
  <c r="T27" i="268"/>
  <c r="I27" i="268" s="1"/>
  <c r="T27" i="263"/>
  <c r="I27" i="263" s="1"/>
  <c r="T27" i="209"/>
  <c r="I27" i="209" s="1"/>
  <c r="T27" i="192"/>
  <c r="I27" i="192" s="1"/>
  <c r="T27" i="48"/>
  <c r="I27" i="48" s="1"/>
  <c r="T27" i="254"/>
  <c r="I27" i="254" s="1"/>
  <c r="T27" i="140"/>
  <c r="I27" i="140" s="1"/>
  <c r="T27" i="270"/>
  <c r="I27" i="270" s="1"/>
  <c r="T27" i="271"/>
  <c r="I27" i="271" s="1"/>
  <c r="S27" i="186"/>
  <c r="R27" i="186"/>
  <c r="Q27" i="186"/>
  <c r="F27" i="186" s="1"/>
  <c r="T27" i="159"/>
  <c r="I27" i="159" s="1"/>
  <c r="T27" i="160"/>
  <c r="I27" i="160" s="1"/>
  <c r="T27" i="107"/>
  <c r="I27" i="107" s="1"/>
  <c r="J39" i="107" s="1"/>
  <c r="T27" i="176"/>
  <c r="I27" i="176" s="1"/>
  <c r="T27" i="53"/>
  <c r="I27" i="53" s="1"/>
  <c r="T27" i="52"/>
  <c r="I27" i="52" s="1"/>
  <c r="J39" i="52" s="1"/>
  <c r="T27" i="281"/>
  <c r="I27" i="281" s="1"/>
  <c r="T27" i="332"/>
  <c r="I27" i="332" s="1"/>
  <c r="T27" i="25"/>
  <c r="I27" i="25" s="1"/>
  <c r="T27" i="31"/>
  <c r="I27" i="31" s="1"/>
  <c r="T27" i="24"/>
  <c r="I27" i="24" s="1"/>
  <c r="J39" i="24" s="1"/>
  <c r="S27" i="231"/>
  <c r="U27" i="231" s="1"/>
  <c r="R27" i="231"/>
  <c r="Q27" i="231"/>
  <c r="F27" i="231" s="1"/>
  <c r="T27" i="229"/>
  <c r="I27" i="229" s="1"/>
  <c r="T27" i="230"/>
  <c r="I27" i="230" s="1"/>
  <c r="S27" i="44"/>
  <c r="T27" i="116"/>
  <c r="I27" i="116" s="1"/>
  <c r="T27" i="272"/>
  <c r="I27" i="272" s="1"/>
  <c r="T27" i="276"/>
  <c r="I27" i="276" s="1"/>
  <c r="J39" i="276" s="1"/>
  <c r="T27" i="287"/>
  <c r="I27" i="287" s="1"/>
  <c r="T27" i="285"/>
  <c r="I27" i="285" s="1"/>
  <c r="J39" i="285" s="1"/>
  <c r="T27" i="297"/>
  <c r="I27" i="297" s="1"/>
  <c r="T27" i="298"/>
  <c r="I27" i="298" s="1"/>
  <c r="J39" i="298" s="1"/>
  <c r="T27" i="318"/>
  <c r="I27" i="318" s="1"/>
  <c r="F27" i="321"/>
  <c r="T27" i="319"/>
  <c r="I27" i="319" s="1"/>
  <c r="T27" i="320"/>
  <c r="I27" i="320" s="1"/>
  <c r="L27" i="343"/>
  <c r="T27" i="87"/>
  <c r="I27" i="87" s="1"/>
  <c r="J39" i="87" s="1"/>
  <c r="T27" i="47"/>
  <c r="I27" i="47" s="1"/>
  <c r="T27" i="326"/>
  <c r="I27" i="326" s="1"/>
  <c r="T27" i="248"/>
  <c r="I27" i="248" s="1"/>
  <c r="T27" i="46"/>
  <c r="I27" i="46" s="1"/>
  <c r="T27" i="239"/>
  <c r="I27" i="239" s="1"/>
  <c r="T27" i="243"/>
  <c r="I27" i="243" s="1"/>
  <c r="S27" i="247"/>
  <c r="R27" i="247"/>
  <c r="Q27" i="247"/>
  <c r="F27" i="247" s="1"/>
  <c r="T27" i="244"/>
  <c r="I27" i="244" s="1"/>
  <c r="T27" i="246"/>
  <c r="I27" i="246" s="1"/>
  <c r="T27" i="19"/>
  <c r="I27" i="19" s="1"/>
  <c r="F27" i="327"/>
  <c r="T27" i="328"/>
  <c r="I27" i="328" s="1"/>
  <c r="T27" i="329"/>
  <c r="I27" i="329" s="1"/>
  <c r="S27" i="170"/>
  <c r="R27" i="170"/>
  <c r="Q27" i="170"/>
  <c r="F27" i="170" s="1"/>
  <c r="T27" i="168"/>
  <c r="I27" i="168" s="1"/>
  <c r="T27" i="169"/>
  <c r="I27" i="169" s="1"/>
  <c r="T27" i="336"/>
  <c r="I27" i="336" s="1"/>
  <c r="T27" i="89"/>
  <c r="I27" i="89" s="1"/>
  <c r="J39" i="47" l="1"/>
  <c r="J39" i="140"/>
  <c r="J39" i="227"/>
  <c r="J39" i="19"/>
  <c r="J39" i="254"/>
  <c r="J39" i="337"/>
  <c r="J39" i="204"/>
  <c r="J39" i="246"/>
  <c r="J39" i="48"/>
  <c r="J39" i="201"/>
  <c r="J39" i="169"/>
  <c r="J39" i="328"/>
  <c r="J39" i="326"/>
  <c r="J39" i="332"/>
  <c r="J39" i="160"/>
  <c r="J39" i="270"/>
  <c r="J39" i="263"/>
  <c r="J39" i="181"/>
  <c r="J39" i="197"/>
  <c r="J39" i="32"/>
  <c r="J39" i="33"/>
  <c r="J39" i="290"/>
  <c r="J39" i="103"/>
  <c r="J39" i="207"/>
  <c r="J39" i="292"/>
  <c r="J39" i="334"/>
  <c r="J39" i="342"/>
  <c r="J39" i="190"/>
  <c r="J39" i="338"/>
  <c r="J39" i="8"/>
  <c r="J39" i="113"/>
  <c r="J39" i="88"/>
  <c r="J39" i="3"/>
  <c r="J39" i="299"/>
  <c r="J39" i="23"/>
  <c r="J39" i="13"/>
  <c r="J39" i="325"/>
  <c r="J39" i="168"/>
  <c r="J39" i="272"/>
  <c r="J39" i="159"/>
  <c r="J39" i="288"/>
  <c r="J39" i="105"/>
  <c r="J39" i="322"/>
  <c r="J39" i="104"/>
  <c r="J39" i="162"/>
  <c r="J39" i="75"/>
  <c r="J39" i="239"/>
  <c r="J39" i="89"/>
  <c r="J39" i="184"/>
  <c r="J39" i="74"/>
  <c r="J39" i="191"/>
  <c r="J39" i="109"/>
  <c r="J39" i="249"/>
  <c r="J39" i="12"/>
  <c r="J39" i="37"/>
  <c r="J39" i="11"/>
  <c r="J39" i="283"/>
  <c r="J39" i="135"/>
  <c r="J39" i="293"/>
  <c r="J39" i="21"/>
  <c r="J39" i="318"/>
  <c r="J39" i="281"/>
  <c r="J39" i="268"/>
  <c r="J39" i="114"/>
  <c r="J39" i="324"/>
  <c r="J39" i="284"/>
  <c r="J39" i="340"/>
  <c r="J39" i="153"/>
  <c r="J39" i="243"/>
  <c r="J39" i="116"/>
  <c r="J39" i="280"/>
  <c r="J39" i="85"/>
  <c r="J39" i="29"/>
  <c r="J39" i="4"/>
  <c r="J39" i="297"/>
  <c r="J39" i="53"/>
  <c r="J39" i="45"/>
  <c r="J39" i="200"/>
  <c r="J39" i="164"/>
  <c r="J39" i="2"/>
  <c r="J39" i="54"/>
  <c r="J39" i="187"/>
  <c r="J39" i="333"/>
  <c r="J39" i="244"/>
  <c r="J39" i="46"/>
  <c r="J39" i="320"/>
  <c r="J39" i="230"/>
  <c r="J39" i="31"/>
  <c r="J39" i="176"/>
  <c r="J39" i="192"/>
  <c r="J39" i="97"/>
  <c r="J39" i="336"/>
  <c r="J39" i="329"/>
  <c r="J39" i="248"/>
  <c r="J39" i="319"/>
  <c r="J39" i="287"/>
  <c r="J39" i="229"/>
  <c r="J39" i="25"/>
  <c r="J39" i="271"/>
  <c r="J39" i="209"/>
  <c r="J39" i="143"/>
  <c r="J39" i="194"/>
  <c r="J39" i="183"/>
  <c r="J39" i="203"/>
  <c r="J39" i="112"/>
  <c r="J39" i="289"/>
  <c r="J39" i="265"/>
  <c r="J39" i="16"/>
  <c r="J39" i="9"/>
  <c r="J39" i="301"/>
  <c r="J39" i="206"/>
  <c r="J39" i="314"/>
  <c r="J39" i="233"/>
  <c r="J39" i="18"/>
  <c r="H39" i="300"/>
  <c r="H39" i="142"/>
  <c r="H39" i="321"/>
  <c r="H39" i="231"/>
  <c r="H39" i="144"/>
  <c r="H39" i="185"/>
  <c r="H39" i="327"/>
  <c r="H39" i="195"/>
  <c r="H39" i="253"/>
  <c r="H39" i="152"/>
  <c r="H39" i="247"/>
  <c r="H39" i="170"/>
  <c r="H39" i="186"/>
  <c r="H39" i="149"/>
  <c r="G28" i="186"/>
  <c r="G28" i="185"/>
  <c r="G28" i="142"/>
  <c r="G28" i="247"/>
  <c r="G28" i="253"/>
  <c r="G28" i="321"/>
  <c r="G28" i="144"/>
  <c r="G28" i="300"/>
  <c r="G28" i="152"/>
  <c r="G28" i="170"/>
  <c r="G28" i="231"/>
  <c r="G28" i="327"/>
  <c r="G28" i="195"/>
  <c r="G28" i="149"/>
  <c r="T27" i="253"/>
  <c r="I27" i="253" s="1"/>
  <c r="T27" i="170"/>
  <c r="I27" i="170" s="1"/>
  <c r="T27" i="327"/>
  <c r="I27" i="327" s="1"/>
  <c r="T27" i="247"/>
  <c r="I27" i="247" s="1"/>
  <c r="T27" i="321"/>
  <c r="I27" i="321" s="1"/>
  <c r="J39" i="321" s="1"/>
  <c r="T27" i="231"/>
  <c r="I27" i="231" s="1"/>
  <c r="T27" i="186"/>
  <c r="I27" i="186" s="1"/>
  <c r="T27" i="195"/>
  <c r="I27" i="195" s="1"/>
  <c r="J39" i="195" s="1"/>
  <c r="T27" i="142"/>
  <c r="I27" i="142" s="1"/>
  <c r="T27" i="185"/>
  <c r="I27" i="185" s="1"/>
  <c r="T27" i="152"/>
  <c r="I27" i="152" s="1"/>
  <c r="J39" i="152" s="1"/>
  <c r="T27" i="149"/>
  <c r="I27" i="149" s="1"/>
  <c r="J39" i="149" s="1"/>
  <c r="T27" i="144"/>
  <c r="I27" i="144" s="1"/>
  <c r="T27" i="300"/>
  <c r="I27" i="300" s="1"/>
  <c r="J39" i="300" l="1"/>
  <c r="J39" i="144"/>
  <c r="J39" i="186"/>
  <c r="J39" i="253"/>
  <c r="J39" i="170"/>
  <c r="J39" i="247"/>
  <c r="J39" i="231"/>
  <c r="J39" i="185"/>
  <c r="J39" i="142"/>
  <c r="J39" i="327"/>
  <c r="K28" i="321"/>
  <c r="L26" i="343"/>
  <c r="Q28" i="343" s="1"/>
  <c r="R31" i="343" s="1"/>
  <c r="L25" i="343"/>
  <c r="E25" i="343"/>
  <c r="G37" i="343" s="1"/>
  <c r="L24" i="343"/>
  <c r="E24" i="343"/>
  <c r="G36" i="343" s="1"/>
  <c r="L23" i="343"/>
  <c r="E23" i="343"/>
  <c r="G35" i="343" s="1"/>
  <c r="L22" i="343"/>
  <c r="E22" i="343"/>
  <c r="G34" i="343" s="1"/>
  <c r="L21" i="343"/>
  <c r="E21" i="343"/>
  <c r="G33" i="343" s="1"/>
  <c r="L20" i="343"/>
  <c r="E20" i="343"/>
  <c r="G32" i="343" s="1"/>
  <c r="M19" i="343"/>
  <c r="L19" i="343"/>
  <c r="E19" i="343"/>
  <c r="G31" i="343" s="1"/>
  <c r="L18" i="343"/>
  <c r="E18" i="343"/>
  <c r="G30" i="343" s="1"/>
  <c r="L17" i="343"/>
  <c r="E17" i="343"/>
  <c r="M16" i="343"/>
  <c r="P28" i="343" s="1"/>
  <c r="L16" i="343"/>
  <c r="E16" i="343"/>
  <c r="L15" i="343"/>
  <c r="E15" i="343"/>
  <c r="G27" i="343" s="1"/>
  <c r="L14" i="343"/>
  <c r="E14" i="343"/>
  <c r="M13" i="343"/>
  <c r="P25" i="343" s="1"/>
  <c r="L13" i="343"/>
  <c r="E13" i="343"/>
  <c r="L12" i="343"/>
  <c r="E12" i="343"/>
  <c r="L11" i="343"/>
  <c r="E11" i="343"/>
  <c r="M10" i="343"/>
  <c r="P22" i="343" s="1"/>
  <c r="L10" i="343"/>
  <c r="E10" i="343"/>
  <c r="L9" i="343"/>
  <c r="E9" i="343"/>
  <c r="L8" i="343"/>
  <c r="E8" i="343"/>
  <c r="O7" i="343"/>
  <c r="N7" i="343"/>
  <c r="M7" i="343"/>
  <c r="L7" i="343"/>
  <c r="E7" i="343"/>
  <c r="L6" i="343"/>
  <c r="E6" i="343"/>
  <c r="L5" i="343"/>
  <c r="E5" i="343"/>
  <c r="U28" i="321" l="1"/>
  <c r="F26" i="321"/>
  <c r="K10" i="321"/>
  <c r="K16" i="321"/>
  <c r="K22" i="321"/>
  <c r="K13" i="321"/>
  <c r="K19" i="321"/>
  <c r="K25" i="321"/>
  <c r="O22" i="343"/>
  <c r="P31" i="343"/>
  <c r="B22" i="343"/>
  <c r="D34" i="343" s="1"/>
  <c r="B7" i="343"/>
  <c r="B10" i="343"/>
  <c r="B13" i="343"/>
  <c r="B16" i="343"/>
  <c r="B25" i="343"/>
  <c r="D37" i="343" s="1"/>
  <c r="A28" i="343"/>
  <c r="B28" i="343"/>
  <c r="D40" i="343" s="1"/>
  <c r="G29" i="343"/>
  <c r="B19" i="343"/>
  <c r="D31" i="343" s="1"/>
  <c r="U25" i="321"/>
  <c r="M37" i="321" s="1"/>
  <c r="F14" i="343"/>
  <c r="F16" i="343"/>
  <c r="G28" i="343"/>
  <c r="Q22" i="343"/>
  <c r="Q25" i="343"/>
  <c r="U22" i="321"/>
  <c r="M34" i="321" s="1"/>
  <c r="F27" i="343"/>
  <c r="O10" i="343"/>
  <c r="F12" i="343"/>
  <c r="G20" i="343"/>
  <c r="G22" i="343"/>
  <c r="F21" i="343"/>
  <c r="O13" i="343"/>
  <c r="F15" i="343"/>
  <c r="G18" i="343"/>
  <c r="Q10" i="343"/>
  <c r="G23" i="343"/>
  <c r="G25" i="343"/>
  <c r="F19" i="343"/>
  <c r="F22" i="343"/>
  <c r="F6" i="343"/>
  <c r="Q13" i="343"/>
  <c r="O16" i="343"/>
  <c r="G24" i="343"/>
  <c r="G26" i="343"/>
  <c r="Q16" i="343"/>
  <c r="F9" i="343"/>
  <c r="Q7" i="343"/>
  <c r="F13" i="343"/>
  <c r="A16" i="343"/>
  <c r="O19" i="343"/>
  <c r="P19" i="343"/>
  <c r="Q19" i="343"/>
  <c r="G17" i="343"/>
  <c r="A22" i="343"/>
  <c r="G19" i="343"/>
  <c r="F18" i="343"/>
  <c r="F20" i="343"/>
  <c r="A25" i="343"/>
  <c r="F7" i="343"/>
  <c r="A10" i="343"/>
  <c r="F10" i="343"/>
  <c r="F11" i="343"/>
  <c r="G21" i="343"/>
  <c r="F23" i="343"/>
  <c r="F24" i="343"/>
  <c r="F25" i="343"/>
  <c r="F26" i="343"/>
  <c r="A7" i="343"/>
  <c r="A19" i="343"/>
  <c r="F8" i="343"/>
  <c r="A13" i="343"/>
  <c r="F17" i="343"/>
  <c r="H38" i="321" l="1"/>
  <c r="L31" i="321"/>
  <c r="M40" i="321"/>
  <c r="C31" i="343"/>
  <c r="L28" i="321"/>
  <c r="C10" i="343"/>
  <c r="C13" i="343"/>
  <c r="D28" i="343"/>
  <c r="C28" i="343"/>
  <c r="D19" i="343"/>
  <c r="C19" i="343"/>
  <c r="D25" i="343"/>
  <c r="C25" i="343"/>
  <c r="C16" i="343"/>
  <c r="D22" i="343"/>
  <c r="C22" i="343"/>
  <c r="R13" i="343"/>
  <c r="L25" i="321"/>
  <c r="R22" i="343"/>
  <c r="R25" i="343"/>
  <c r="R28" i="343"/>
  <c r="R10" i="343"/>
  <c r="R16" i="343"/>
  <c r="R19" i="343"/>
  <c r="U26" i="202"/>
  <c r="E26" i="317" l="1"/>
  <c r="E26" i="316"/>
  <c r="E26" i="315"/>
  <c r="E26" i="175"/>
  <c r="A28" i="175" s="1"/>
  <c r="C28" i="89"/>
  <c r="E40" i="89" s="1"/>
  <c r="D31" i="89" l="1"/>
  <c r="B28" i="168"/>
  <c r="C28" i="168"/>
  <c r="E40" i="168" s="1"/>
  <c r="B28" i="244"/>
  <c r="C28" i="244"/>
  <c r="E40" i="244" s="1"/>
  <c r="B28" i="320"/>
  <c r="C28" i="320"/>
  <c r="E40" i="320" s="1"/>
  <c r="B28" i="272"/>
  <c r="C28" i="272"/>
  <c r="E40" i="272" s="1"/>
  <c r="B28" i="52"/>
  <c r="C28" i="52"/>
  <c r="E40" i="52" s="1"/>
  <c r="B28" i="140"/>
  <c r="C28" i="140"/>
  <c r="E40" i="140" s="1"/>
  <c r="B28" i="280"/>
  <c r="C28" i="280"/>
  <c r="E40" i="280" s="1"/>
  <c r="B28" i="191"/>
  <c r="C28" i="191"/>
  <c r="E40" i="191" s="1"/>
  <c r="B28" i="112"/>
  <c r="C28" i="112"/>
  <c r="E40" i="112" s="1"/>
  <c r="B28" i="249"/>
  <c r="C28" i="249"/>
  <c r="E40" i="249" s="1"/>
  <c r="B28" i="103"/>
  <c r="C28" i="103"/>
  <c r="E40" i="103" s="1"/>
  <c r="B28" i="17"/>
  <c r="C28" i="17"/>
  <c r="E40" i="17" s="1"/>
  <c r="B28" i="29"/>
  <c r="C28" i="29"/>
  <c r="E40" i="29" s="1"/>
  <c r="B28" i="292"/>
  <c r="C28" i="292"/>
  <c r="E40" i="292" s="1"/>
  <c r="B28" i="135"/>
  <c r="C28" i="135"/>
  <c r="E40" i="135" s="1"/>
  <c r="B28" i="190"/>
  <c r="C28" i="190"/>
  <c r="E40" i="190" s="1"/>
  <c r="B28" i="61"/>
  <c r="C28" i="61"/>
  <c r="E40" i="61" s="1"/>
  <c r="A28" i="317"/>
  <c r="B28" i="317"/>
  <c r="C31" i="317" s="1"/>
  <c r="B28" i="21"/>
  <c r="C28" i="21"/>
  <c r="E40" i="21" s="1"/>
  <c r="B28" i="153"/>
  <c r="C28" i="153"/>
  <c r="E40" i="153" s="1"/>
  <c r="B28" i="20"/>
  <c r="C28" i="20"/>
  <c r="E40" i="20" s="1"/>
  <c r="B28" i="243"/>
  <c r="C28" i="243"/>
  <c r="E40" i="243" s="1"/>
  <c r="B28" i="319"/>
  <c r="C28" i="319"/>
  <c r="E40" i="319" s="1"/>
  <c r="B28" i="116"/>
  <c r="C28" i="116"/>
  <c r="E40" i="116" s="1"/>
  <c r="B28" i="159"/>
  <c r="C28" i="159"/>
  <c r="E40" i="159" s="1"/>
  <c r="B28" i="263"/>
  <c r="C28" i="263"/>
  <c r="E40" i="263" s="1"/>
  <c r="B28" i="193"/>
  <c r="C28" i="193"/>
  <c r="E40" i="193" s="1"/>
  <c r="B28" i="200"/>
  <c r="C28" i="200"/>
  <c r="E40" i="200" s="1"/>
  <c r="B28" i="196"/>
  <c r="C28" i="196"/>
  <c r="E40" i="196" s="1"/>
  <c r="B28" i="2"/>
  <c r="C28" i="2"/>
  <c r="E40" i="2" s="1"/>
  <c r="B28" i="289"/>
  <c r="C28" i="289"/>
  <c r="E40" i="289" s="1"/>
  <c r="B28" i="102"/>
  <c r="C28" i="102"/>
  <c r="E40" i="102" s="1"/>
  <c r="B28" i="288"/>
  <c r="C28" i="288"/>
  <c r="E40" i="288" s="1"/>
  <c r="B28" i="28"/>
  <c r="C28" i="28"/>
  <c r="E40" i="28" s="1"/>
  <c r="B28" i="3"/>
  <c r="C28" i="3"/>
  <c r="E40" i="3" s="1"/>
  <c r="B28" i="299"/>
  <c r="C28" i="299"/>
  <c r="E40" i="299" s="1"/>
  <c r="A28" i="315"/>
  <c r="B28" i="315"/>
  <c r="C31" i="315" s="1"/>
  <c r="B28" i="8"/>
  <c r="C28" i="8"/>
  <c r="E40" i="8" s="1"/>
  <c r="B28" i="202"/>
  <c r="C28" i="202"/>
  <c r="E40" i="202" s="1"/>
  <c r="B28" i="261"/>
  <c r="C28" i="261"/>
  <c r="E40" i="261" s="1"/>
  <c r="B28" i="322"/>
  <c r="C28" i="322"/>
  <c r="E40" i="322" s="1"/>
  <c r="B28" i="336"/>
  <c r="C28" i="336"/>
  <c r="E40" i="336" s="1"/>
  <c r="B28" i="329"/>
  <c r="C28" i="329"/>
  <c r="E40" i="329" s="1"/>
  <c r="B28" i="19"/>
  <c r="C28" i="19"/>
  <c r="E40" i="19" s="1"/>
  <c r="B28" i="239"/>
  <c r="C28" i="239"/>
  <c r="E40" i="239" s="1"/>
  <c r="B28" i="47"/>
  <c r="C28" i="47"/>
  <c r="E40" i="47" s="1"/>
  <c r="B28" i="318"/>
  <c r="C28" i="318"/>
  <c r="E40" i="318" s="1"/>
  <c r="B28" i="287"/>
  <c r="C28" i="287"/>
  <c r="E40" i="287" s="1"/>
  <c r="B28" i="44"/>
  <c r="C28" i="44"/>
  <c r="E40" i="44" s="1"/>
  <c r="B28" i="1"/>
  <c r="C28" i="1"/>
  <c r="E40" i="1" s="1"/>
  <c r="B28" i="332"/>
  <c r="C28" i="332"/>
  <c r="E40" i="332" s="1"/>
  <c r="B28" i="176"/>
  <c r="C28" i="176"/>
  <c r="E40" i="176" s="1"/>
  <c r="B28" i="271"/>
  <c r="C28" i="271"/>
  <c r="E40" i="271" s="1"/>
  <c r="B28" i="48"/>
  <c r="C28" i="48"/>
  <c r="E40" i="48" s="1"/>
  <c r="B28" i="268"/>
  <c r="C28" i="268"/>
  <c r="E40" i="268" s="1"/>
  <c r="B28" i="97"/>
  <c r="C28" i="97"/>
  <c r="E40" i="97" s="1"/>
  <c r="B28" i="194"/>
  <c r="C28" i="194"/>
  <c r="E40" i="194" s="1"/>
  <c r="B28" i="184"/>
  <c r="C28" i="184"/>
  <c r="E40" i="184" s="1"/>
  <c r="B28" i="162"/>
  <c r="C28" i="162"/>
  <c r="E40" i="162" s="1"/>
  <c r="B28" i="32"/>
  <c r="C28" i="32"/>
  <c r="E40" i="32" s="1"/>
  <c r="B28" i="33"/>
  <c r="C28" i="33"/>
  <c r="E40" i="33" s="1"/>
  <c r="B28" i="337"/>
  <c r="C28" i="337"/>
  <c r="E40" i="337" s="1"/>
  <c r="B28" i="290"/>
  <c r="C28" i="290"/>
  <c r="E40" i="290" s="1"/>
  <c r="B28" i="43"/>
  <c r="C28" i="43"/>
  <c r="E40" i="43" s="1"/>
  <c r="B28" i="101"/>
  <c r="C28" i="101"/>
  <c r="E40" i="101" s="1"/>
  <c r="B28" i="12"/>
  <c r="C28" i="12"/>
  <c r="E40" i="12" s="1"/>
  <c r="B28" i="7"/>
  <c r="C28" i="7"/>
  <c r="E40" i="7" s="1"/>
  <c r="B28" i="207"/>
  <c r="C28" i="207"/>
  <c r="E40" i="207" s="1"/>
  <c r="B28" i="335"/>
  <c r="C28" i="335"/>
  <c r="E40" i="335" s="1"/>
  <c r="B28" i="11"/>
  <c r="C28" i="11"/>
  <c r="E40" i="11" s="1"/>
  <c r="B28" i="4"/>
  <c r="C28" i="4"/>
  <c r="E40" i="4" s="1"/>
  <c r="B28" i="334"/>
  <c r="C28" i="334"/>
  <c r="E40" i="334" s="1"/>
  <c r="B28" i="333"/>
  <c r="C28" i="333"/>
  <c r="E40" i="333" s="1"/>
  <c r="B28" i="301"/>
  <c r="C28" i="301"/>
  <c r="E40" i="301" s="1"/>
  <c r="B28" i="206"/>
  <c r="C28" i="206"/>
  <c r="E40" i="206" s="1"/>
  <c r="B28" i="105"/>
  <c r="C28" i="105"/>
  <c r="E40" i="105" s="1"/>
  <c r="B28" i="314"/>
  <c r="C28" i="314"/>
  <c r="E40" i="314" s="1"/>
  <c r="B28" i="35"/>
  <c r="C28" i="35"/>
  <c r="E40" i="35" s="1"/>
  <c r="B28" i="13"/>
  <c r="C28" i="13"/>
  <c r="E40" i="13" s="1"/>
  <c r="B28" i="113"/>
  <c r="C28" i="113"/>
  <c r="E40" i="113" s="1"/>
  <c r="B28" i="148"/>
  <c r="C28" i="148"/>
  <c r="E40" i="148" s="1"/>
  <c r="B28" i="328"/>
  <c r="C28" i="328"/>
  <c r="E40" i="328" s="1"/>
  <c r="B28" i="248"/>
  <c r="C28" i="248"/>
  <c r="E40" i="248" s="1"/>
  <c r="B28" i="297"/>
  <c r="C28" i="297"/>
  <c r="E40" i="297" s="1"/>
  <c r="B28" i="229"/>
  <c r="C28" i="229"/>
  <c r="E40" i="229" s="1"/>
  <c r="B28" i="25"/>
  <c r="C28" i="25"/>
  <c r="E40" i="25" s="1"/>
  <c r="B28" i="160"/>
  <c r="C28" i="160"/>
  <c r="E40" i="160" s="1"/>
  <c r="B28" i="209"/>
  <c r="C28" i="209"/>
  <c r="E40" i="209" s="1"/>
  <c r="B28" i="27"/>
  <c r="C28" i="27"/>
  <c r="E40" i="27" s="1"/>
  <c r="B28" i="181"/>
  <c r="C28" i="181"/>
  <c r="E40" i="181" s="1"/>
  <c r="B28" i="197"/>
  <c r="C28" i="197"/>
  <c r="E40" i="197" s="1"/>
  <c r="B28" i="85"/>
  <c r="C28" i="85"/>
  <c r="E40" i="85" s="1"/>
  <c r="B28" i="75"/>
  <c r="C28" i="75"/>
  <c r="E40" i="75" s="1"/>
  <c r="B28" i="303"/>
  <c r="C28" i="303"/>
  <c r="E40" i="303" s="1"/>
  <c r="B28" i="37"/>
  <c r="C28" i="37"/>
  <c r="E40" i="37" s="1"/>
  <c r="B28" i="339"/>
  <c r="C28" i="339"/>
  <c r="E40" i="339" s="1"/>
  <c r="B28" i="283"/>
  <c r="C28" i="283"/>
  <c r="E40" i="283" s="1"/>
  <c r="B28" i="294"/>
  <c r="C28" i="294"/>
  <c r="E40" i="294" s="1"/>
  <c r="B28" i="174"/>
  <c r="C28" i="174"/>
  <c r="E40" i="174" s="1"/>
  <c r="B28" i="323"/>
  <c r="C28" i="323"/>
  <c r="E40" i="323" s="1"/>
  <c r="B28" i="326"/>
  <c r="C28" i="326"/>
  <c r="E40" i="326" s="1"/>
  <c r="B28" i="87"/>
  <c r="C28" i="87"/>
  <c r="E40" i="87" s="1"/>
  <c r="B28" i="285"/>
  <c r="C28" i="285"/>
  <c r="E40" i="285" s="1"/>
  <c r="B28" i="24"/>
  <c r="C28" i="24"/>
  <c r="E40" i="24" s="1"/>
  <c r="B28" i="53"/>
  <c r="C28" i="53"/>
  <c r="E40" i="53" s="1"/>
  <c r="B28" i="254"/>
  <c r="C28" i="254"/>
  <c r="E40" i="254" s="1"/>
  <c r="B28" i="45"/>
  <c r="C28" i="45"/>
  <c r="E40" i="45" s="1"/>
  <c r="B28" i="74"/>
  <c r="C28" i="74"/>
  <c r="E40" i="74" s="1"/>
  <c r="B28" i="203"/>
  <c r="C28" i="203"/>
  <c r="E40" i="203" s="1"/>
  <c r="B28" i="227"/>
  <c r="C28" i="227"/>
  <c r="E40" i="227" s="1"/>
  <c r="B28" i="296"/>
  <c r="C28" i="296"/>
  <c r="E40" i="296" s="1"/>
  <c r="B28" i="9"/>
  <c r="C28" i="9"/>
  <c r="E40" i="9" s="1"/>
  <c r="B28" i="279"/>
  <c r="C28" i="279"/>
  <c r="E40" i="279" s="1"/>
  <c r="B28" i="284"/>
  <c r="C28" i="284"/>
  <c r="E40" i="284" s="1"/>
  <c r="B28" i="295"/>
  <c r="C28" i="295"/>
  <c r="E40" i="295" s="1"/>
  <c r="B28" i="34"/>
  <c r="C28" i="34"/>
  <c r="E40" i="34" s="1"/>
  <c r="B28" i="18"/>
  <c r="C28" i="18"/>
  <c r="E40" i="18" s="1"/>
  <c r="B28" i="169"/>
  <c r="C28" i="169"/>
  <c r="E40" i="169" s="1"/>
  <c r="B28" i="246"/>
  <c r="C28" i="246"/>
  <c r="E40" i="246" s="1"/>
  <c r="B28" i="46"/>
  <c r="C28" i="46"/>
  <c r="E40" i="46" s="1"/>
  <c r="B28" i="298"/>
  <c r="C28" i="298"/>
  <c r="E40" i="298" s="1"/>
  <c r="B28" i="276"/>
  <c r="C28" i="276"/>
  <c r="E40" i="276" s="1"/>
  <c r="B28" i="230"/>
  <c r="C28" i="230"/>
  <c r="E40" i="230" s="1"/>
  <c r="B28" i="31"/>
  <c r="C28" i="31"/>
  <c r="E40" i="31" s="1"/>
  <c r="B28" i="281"/>
  <c r="C28" i="281"/>
  <c r="E40" i="281" s="1"/>
  <c r="B28" i="107"/>
  <c r="C28" i="107"/>
  <c r="E40" i="107" s="1"/>
  <c r="B28" i="270"/>
  <c r="C28" i="270"/>
  <c r="E40" i="270" s="1"/>
  <c r="B28" i="192"/>
  <c r="C28" i="192"/>
  <c r="E40" i="192" s="1"/>
  <c r="B28" i="104"/>
  <c r="C28" i="104"/>
  <c r="E40" i="104" s="1"/>
  <c r="B28" i="143"/>
  <c r="C28" i="143"/>
  <c r="E40" i="143" s="1"/>
  <c r="B28" i="114"/>
  <c r="C28" i="114"/>
  <c r="E40" i="114" s="1"/>
  <c r="B28" i="183"/>
  <c r="C28" i="183"/>
  <c r="E40" i="183" s="1"/>
  <c r="B28" i="198"/>
  <c r="C28" i="198"/>
  <c r="E40" i="198" s="1"/>
  <c r="B28" i="164"/>
  <c r="C28" i="164"/>
  <c r="E40" i="164" s="1"/>
  <c r="B28" i="324"/>
  <c r="C28" i="324"/>
  <c r="E40" i="324" s="1"/>
  <c r="B28" i="109"/>
  <c r="C28" i="109"/>
  <c r="E40" i="109" s="1"/>
  <c r="B28" i="201"/>
  <c r="C28" i="201"/>
  <c r="E40" i="201" s="1"/>
  <c r="B28" i="262"/>
  <c r="C28" i="262"/>
  <c r="E40" i="262" s="1"/>
  <c r="B28" i="265"/>
  <c r="C28" i="265"/>
  <c r="E40" i="265" s="1"/>
  <c r="B28" i="16"/>
  <c r="C28" i="16"/>
  <c r="E40" i="16" s="1"/>
  <c r="B28" i="54"/>
  <c r="C28" i="54"/>
  <c r="E40" i="54" s="1"/>
  <c r="B28" i="5"/>
  <c r="C28" i="5"/>
  <c r="E40" i="5" s="1"/>
  <c r="B28" i="204"/>
  <c r="C28" i="204"/>
  <c r="E40" i="204" s="1"/>
  <c r="B28" i="269"/>
  <c r="C28" i="269"/>
  <c r="E40" i="269" s="1"/>
  <c r="B28" i="187"/>
  <c r="C28" i="187"/>
  <c r="E40" i="187" s="1"/>
  <c r="B28" i="293"/>
  <c r="C28" i="293"/>
  <c r="E40" i="293" s="1"/>
  <c r="B28" i="342"/>
  <c r="C28" i="342"/>
  <c r="E40" i="342" s="1"/>
  <c r="B28" i="22"/>
  <c r="C28" i="22"/>
  <c r="E40" i="22" s="1"/>
  <c r="B28" i="340"/>
  <c r="C28" i="340"/>
  <c r="E40" i="340" s="1"/>
  <c r="B28" i="338"/>
  <c r="C28" i="338"/>
  <c r="E40" i="338" s="1"/>
  <c r="A28" i="316"/>
  <c r="B28" i="316"/>
  <c r="C31" i="316" s="1"/>
  <c r="B28" i="23"/>
  <c r="C28" i="23"/>
  <c r="E40" i="23" s="1"/>
  <c r="B28" i="257"/>
  <c r="C28" i="257"/>
  <c r="E40" i="257" s="1"/>
  <c r="B28" i="233"/>
  <c r="C28" i="233"/>
  <c r="E40" i="233" s="1"/>
  <c r="B28" i="325"/>
  <c r="C28" i="325"/>
  <c r="E40" i="325" s="1"/>
  <c r="B28" i="88"/>
  <c r="C28" i="88"/>
  <c r="E40" i="88" s="1"/>
  <c r="B28" i="89"/>
  <c r="G27" i="87"/>
  <c r="G27" i="319"/>
  <c r="G27" i="116"/>
  <c r="G27" i="53"/>
  <c r="G27" i="263"/>
  <c r="G27" i="200"/>
  <c r="G27" i="203"/>
  <c r="G27" i="227"/>
  <c r="G27" i="102"/>
  <c r="G27" i="29"/>
  <c r="G27" i="292"/>
  <c r="G27" i="294"/>
  <c r="G27" i="190"/>
  <c r="G27" i="21"/>
  <c r="G27" i="153"/>
  <c r="G27" i="336"/>
  <c r="G27" i="329"/>
  <c r="G27" i="19"/>
  <c r="G27" i="239"/>
  <c r="G27" i="47"/>
  <c r="G27" i="318"/>
  <c r="G27" i="287"/>
  <c r="G27" i="44"/>
  <c r="G27" i="1"/>
  <c r="G27" i="332"/>
  <c r="G27" i="176"/>
  <c r="G27" i="271"/>
  <c r="G27" i="48"/>
  <c r="G27" i="268"/>
  <c r="G27" i="97"/>
  <c r="G27" i="194"/>
  <c r="G27" i="184"/>
  <c r="G27" i="162"/>
  <c r="G27" i="32"/>
  <c r="G27" i="33"/>
  <c r="G27" i="337"/>
  <c r="G27" i="290"/>
  <c r="G27" i="43"/>
  <c r="G27" i="101"/>
  <c r="G27" i="12"/>
  <c r="G27" i="288"/>
  <c r="G27" i="9"/>
  <c r="G27" i="28"/>
  <c r="G27" i="279"/>
  <c r="G27" i="284"/>
  <c r="F27" i="175"/>
  <c r="B28" i="175"/>
  <c r="G27" i="295"/>
  <c r="G27" i="3"/>
  <c r="G27" i="34"/>
  <c r="G27" i="299"/>
  <c r="F27" i="315"/>
  <c r="G27" i="8"/>
  <c r="G27" i="202"/>
  <c r="G27" i="261"/>
  <c r="G27" i="322"/>
  <c r="G27" i="18"/>
  <c r="G27" i="326"/>
  <c r="G27" i="24"/>
  <c r="G27" i="159"/>
  <c r="G27" i="45"/>
  <c r="G27" i="74"/>
  <c r="G27" i="2"/>
  <c r="G27" i="296"/>
  <c r="G27" i="17"/>
  <c r="G27" i="339"/>
  <c r="G27" i="135"/>
  <c r="G27" i="61"/>
  <c r="G27" i="20"/>
  <c r="G27" i="169"/>
  <c r="G27" i="246"/>
  <c r="G27" i="46"/>
  <c r="G27" i="298"/>
  <c r="G27" i="276"/>
  <c r="G27" i="230"/>
  <c r="G27" i="31"/>
  <c r="G27" i="281"/>
  <c r="G27" i="107"/>
  <c r="G27" i="270"/>
  <c r="G27" i="192"/>
  <c r="G27" i="104"/>
  <c r="G27" i="143"/>
  <c r="G27" i="114"/>
  <c r="G27" i="183"/>
  <c r="G27" i="198"/>
  <c r="G27" i="164"/>
  <c r="G27" i="324"/>
  <c r="G27" i="109"/>
  <c r="G27" i="201"/>
  <c r="G27" i="262"/>
  <c r="G27" i="265"/>
  <c r="G27" i="16"/>
  <c r="G27" i="7"/>
  <c r="G27" i="207"/>
  <c r="G27" i="335"/>
  <c r="G27" i="11"/>
  <c r="G27" i="4"/>
  <c r="G27" i="334"/>
  <c r="G27" i="333"/>
  <c r="G27" i="301"/>
  <c r="G27" i="206"/>
  <c r="G27" i="105"/>
  <c r="G27" i="314"/>
  <c r="G27" i="35"/>
  <c r="G27" i="13"/>
  <c r="G27" i="113"/>
  <c r="G27" i="148"/>
  <c r="G27" i="243"/>
  <c r="G27" i="285"/>
  <c r="G27" i="254"/>
  <c r="G27" i="193"/>
  <c r="G27" i="196"/>
  <c r="G27" i="289"/>
  <c r="G27" i="37"/>
  <c r="G27" i="283"/>
  <c r="G27" i="174"/>
  <c r="F27" i="317"/>
  <c r="G27" i="323"/>
  <c r="G27" i="168"/>
  <c r="G27" i="328"/>
  <c r="G27" i="244"/>
  <c r="G27" i="248"/>
  <c r="G27" i="320"/>
  <c r="G27" i="297"/>
  <c r="G27" i="272"/>
  <c r="G27" i="229"/>
  <c r="G27" i="25"/>
  <c r="G27" i="52"/>
  <c r="G27" i="160"/>
  <c r="G27" i="140"/>
  <c r="G27" i="209"/>
  <c r="G27" i="27"/>
  <c r="G27" i="280"/>
  <c r="G27" i="181"/>
  <c r="G27" i="197"/>
  <c r="G27" i="191"/>
  <c r="G27" i="85"/>
  <c r="G27" i="112"/>
  <c r="G27" i="249"/>
  <c r="G27" i="75"/>
  <c r="G27" i="103"/>
  <c r="G27" i="303"/>
  <c r="G27" i="54"/>
  <c r="G27" i="5"/>
  <c r="G27" i="204"/>
  <c r="G27" i="269"/>
  <c r="G27" i="187"/>
  <c r="G27" i="293"/>
  <c r="G27" i="342"/>
  <c r="G27" i="22"/>
  <c r="G27" i="340"/>
  <c r="G27" i="338"/>
  <c r="F27" i="316"/>
  <c r="G27" i="23"/>
  <c r="G27" i="257"/>
  <c r="G27" i="233"/>
  <c r="G27" i="325"/>
  <c r="G27" i="88"/>
  <c r="G27" i="89"/>
  <c r="D31" i="338" l="1"/>
  <c r="D31" i="109"/>
  <c r="D31" i="31"/>
  <c r="D31" i="295"/>
  <c r="D31" i="285"/>
  <c r="D31" i="37"/>
  <c r="D31" i="248"/>
  <c r="D31" i="333"/>
  <c r="D31" i="290"/>
  <c r="D31" i="97"/>
  <c r="D31" i="287"/>
  <c r="D31" i="336"/>
  <c r="D31" i="102"/>
  <c r="D31" i="153"/>
  <c r="D31" i="190"/>
  <c r="D31" i="292"/>
  <c r="D31" i="17"/>
  <c r="D31" i="249"/>
  <c r="D31" i="191"/>
  <c r="D31" i="52"/>
  <c r="D31" i="233"/>
  <c r="D31" i="22"/>
  <c r="D31" i="269"/>
  <c r="D31" i="16"/>
  <c r="D31" i="164"/>
  <c r="D31" i="143"/>
  <c r="D31" i="107"/>
  <c r="D31" i="46"/>
  <c r="D31" i="18"/>
  <c r="D31" i="279"/>
  <c r="D31" i="203"/>
  <c r="D31" i="53"/>
  <c r="D31" i="174"/>
  <c r="D31" i="75"/>
  <c r="D31" i="27"/>
  <c r="D31" i="229"/>
  <c r="D31" i="13"/>
  <c r="D31" i="206"/>
  <c r="D31" i="4"/>
  <c r="D31" i="7"/>
  <c r="D31" i="33"/>
  <c r="D31" i="184"/>
  <c r="D31" i="176"/>
  <c r="D31" i="19"/>
  <c r="D31" i="261"/>
  <c r="D31" i="299"/>
  <c r="D31" i="2"/>
  <c r="D31" i="263"/>
  <c r="D31" i="319"/>
  <c r="D31" i="168"/>
  <c r="D31" i="88"/>
  <c r="D31" i="23"/>
  <c r="D31" i="293"/>
  <c r="D31" i="5"/>
  <c r="D31" i="262"/>
  <c r="D31" i="183"/>
  <c r="D31" i="192"/>
  <c r="D31" i="276"/>
  <c r="D31" i="296"/>
  <c r="D31" i="45"/>
  <c r="D31" i="326"/>
  <c r="D31" i="283"/>
  <c r="D31" i="197"/>
  <c r="D31" i="160"/>
  <c r="D31" i="148"/>
  <c r="D31" i="314"/>
  <c r="D31" i="335"/>
  <c r="D31" i="101"/>
  <c r="D31" i="162"/>
  <c r="D31" i="48"/>
  <c r="D31" i="1"/>
  <c r="D31" i="47"/>
  <c r="D31" i="8"/>
  <c r="D31" i="28"/>
  <c r="D31" i="200"/>
  <c r="D31" i="320"/>
  <c r="D31" i="325"/>
  <c r="D31" i="257"/>
  <c r="D31" i="340"/>
  <c r="D31" i="342"/>
  <c r="D31" i="187"/>
  <c r="D31" i="204"/>
  <c r="D31" i="54"/>
  <c r="D31" i="265"/>
  <c r="D31" i="201"/>
  <c r="D31" i="324"/>
  <c r="D31" i="198"/>
  <c r="D31" i="114"/>
  <c r="D31" i="104"/>
  <c r="D31" i="270"/>
  <c r="D31" i="281"/>
  <c r="D31" i="230"/>
  <c r="D31" i="298"/>
  <c r="D31" i="246"/>
  <c r="D31" i="169"/>
  <c r="D31" i="34"/>
  <c r="D31" i="284"/>
  <c r="D31" i="9"/>
  <c r="D31" i="227"/>
  <c r="D31" i="74"/>
  <c r="D31" i="254"/>
  <c r="D31" i="24"/>
  <c r="D31" i="87"/>
  <c r="D31" i="323"/>
  <c r="D31" i="294"/>
  <c r="D31" i="339"/>
  <c r="D31" i="303"/>
  <c r="D31" i="85"/>
  <c r="D31" i="181"/>
  <c r="D31" i="209"/>
  <c r="D31" i="25"/>
  <c r="D31" i="297"/>
  <c r="D31" i="328"/>
  <c r="D31" i="113"/>
  <c r="D31" i="35"/>
  <c r="D31" i="105"/>
  <c r="D31" i="301"/>
  <c r="D31" i="334"/>
  <c r="D31" i="11"/>
  <c r="D31" i="207"/>
  <c r="D31" i="12"/>
  <c r="D31" i="43"/>
  <c r="D31" i="337"/>
  <c r="D31" i="32"/>
  <c r="D31" i="194"/>
  <c r="D31" i="268"/>
  <c r="D31" i="271"/>
  <c r="D31" i="332"/>
  <c r="D31" i="44"/>
  <c r="D31" i="318"/>
  <c r="D31" i="239"/>
  <c r="D31" i="329"/>
  <c r="D31" i="322"/>
  <c r="D31" i="202"/>
  <c r="D31" i="3"/>
  <c r="D31" i="288"/>
  <c r="D31" i="289"/>
  <c r="D31" i="196"/>
  <c r="D31" i="193"/>
  <c r="D31" i="159"/>
  <c r="D31" i="116"/>
  <c r="D31" i="243"/>
  <c r="D31" i="20"/>
  <c r="D31" i="21"/>
  <c r="D31" i="61"/>
  <c r="D31" i="135"/>
  <c r="D31" i="29"/>
  <c r="D31" i="103"/>
  <c r="D31" i="112"/>
  <c r="D31" i="280"/>
  <c r="D31" i="140"/>
  <c r="D31" i="272"/>
  <c r="D31" i="244"/>
  <c r="T26" i="342"/>
  <c r="T25" i="342"/>
  <c r="I25" i="342" s="1"/>
  <c r="F25" i="342"/>
  <c r="T24" i="342"/>
  <c r="I24" i="342" s="1"/>
  <c r="J36" i="342" s="1"/>
  <c r="F24" i="342"/>
  <c r="T23" i="342"/>
  <c r="I23" i="342" s="1"/>
  <c r="F23" i="342"/>
  <c r="T22" i="342"/>
  <c r="I22" i="342" s="1"/>
  <c r="F22" i="342"/>
  <c r="T21" i="342"/>
  <c r="I21" i="342" s="1"/>
  <c r="F21" i="342"/>
  <c r="T20" i="342"/>
  <c r="I20" i="342" s="1"/>
  <c r="J32" i="342" s="1"/>
  <c r="F20" i="342"/>
  <c r="K19" i="342"/>
  <c r="U19" i="342"/>
  <c r="T19" i="342"/>
  <c r="I19" i="342" s="1"/>
  <c r="F19" i="342"/>
  <c r="T18" i="342"/>
  <c r="I18" i="342" s="1"/>
  <c r="F18" i="342"/>
  <c r="T17" i="342"/>
  <c r="I17" i="342" s="1"/>
  <c r="F17" i="342"/>
  <c r="K16" i="342"/>
  <c r="U16" i="342"/>
  <c r="M28" i="342" s="1"/>
  <c r="T16" i="342"/>
  <c r="I16" i="342" s="1"/>
  <c r="J28" i="342" s="1"/>
  <c r="F16" i="342"/>
  <c r="T15" i="342"/>
  <c r="I15" i="342" s="1"/>
  <c r="J27" i="342" s="1"/>
  <c r="F15" i="342"/>
  <c r="T14" i="342"/>
  <c r="I14" i="342" s="1"/>
  <c r="F14" i="342"/>
  <c r="K13" i="342"/>
  <c r="U13" i="342"/>
  <c r="M25" i="342" s="1"/>
  <c r="T13" i="342"/>
  <c r="I13" i="342" s="1"/>
  <c r="F13" i="342"/>
  <c r="T12" i="342"/>
  <c r="I12" i="342" s="1"/>
  <c r="F12" i="342"/>
  <c r="T11" i="342"/>
  <c r="I11" i="342" s="1"/>
  <c r="F11" i="342"/>
  <c r="K10" i="342"/>
  <c r="U10" i="342"/>
  <c r="M22" i="342" s="1"/>
  <c r="T10" i="342"/>
  <c r="I10" i="342" s="1"/>
  <c r="F10" i="342"/>
  <c r="T9" i="342"/>
  <c r="I9" i="342" s="1"/>
  <c r="F9" i="342"/>
  <c r="T8" i="342"/>
  <c r="I8" i="342" s="1"/>
  <c r="F8" i="342"/>
  <c r="K7" i="342"/>
  <c r="U7" i="342"/>
  <c r="T7" i="342"/>
  <c r="I7" i="342" s="1"/>
  <c r="F7" i="342"/>
  <c r="T6" i="342"/>
  <c r="I6" i="342" s="1"/>
  <c r="F6" i="342"/>
  <c r="T5" i="342"/>
  <c r="I5" i="342" s="1"/>
  <c r="F5" i="342"/>
  <c r="T26" i="340"/>
  <c r="T25" i="340"/>
  <c r="I25" i="340" s="1"/>
  <c r="F25" i="340"/>
  <c r="T24" i="340"/>
  <c r="I24" i="340" s="1"/>
  <c r="J36" i="340" s="1"/>
  <c r="F24" i="340"/>
  <c r="T23" i="340"/>
  <c r="I23" i="340" s="1"/>
  <c r="F23" i="340"/>
  <c r="T22" i="340"/>
  <c r="I22" i="340" s="1"/>
  <c r="J34" i="340" s="1"/>
  <c r="F22" i="340"/>
  <c r="T21" i="340"/>
  <c r="I21" i="340" s="1"/>
  <c r="F21" i="340"/>
  <c r="T20" i="340"/>
  <c r="I20" i="340" s="1"/>
  <c r="J32" i="340" s="1"/>
  <c r="F20" i="340"/>
  <c r="K19" i="340"/>
  <c r="U19" i="340"/>
  <c r="T19" i="340"/>
  <c r="I19" i="340" s="1"/>
  <c r="F19" i="340"/>
  <c r="T18" i="340"/>
  <c r="I18" i="340" s="1"/>
  <c r="J30" i="340" s="1"/>
  <c r="F18" i="340"/>
  <c r="T17" i="340"/>
  <c r="I17" i="340" s="1"/>
  <c r="F17" i="340"/>
  <c r="K16" i="340"/>
  <c r="U16" i="340"/>
  <c r="M28" i="340" s="1"/>
  <c r="T16" i="340"/>
  <c r="I16" i="340" s="1"/>
  <c r="J28" i="340" s="1"/>
  <c r="F16" i="340"/>
  <c r="T15" i="340"/>
  <c r="I15" i="340" s="1"/>
  <c r="J27" i="340" s="1"/>
  <c r="F15" i="340"/>
  <c r="T14" i="340"/>
  <c r="I14" i="340" s="1"/>
  <c r="F14" i="340"/>
  <c r="K13" i="340"/>
  <c r="U13" i="340"/>
  <c r="M25" i="340" s="1"/>
  <c r="T13" i="340"/>
  <c r="I13" i="340" s="1"/>
  <c r="F13" i="340"/>
  <c r="T12" i="340"/>
  <c r="I12" i="340" s="1"/>
  <c r="F12" i="340"/>
  <c r="T11" i="340"/>
  <c r="I11" i="340" s="1"/>
  <c r="F11" i="340"/>
  <c r="K10" i="340"/>
  <c r="U10" i="340"/>
  <c r="M22" i="340" s="1"/>
  <c r="T10" i="340"/>
  <c r="I10" i="340" s="1"/>
  <c r="F10" i="340"/>
  <c r="T9" i="340"/>
  <c r="I9" i="340" s="1"/>
  <c r="F9" i="340"/>
  <c r="T8" i="340"/>
  <c r="I8" i="340" s="1"/>
  <c r="F8" i="340"/>
  <c r="K7" i="340"/>
  <c r="U7" i="340"/>
  <c r="T7" i="340"/>
  <c r="I7" i="340" s="1"/>
  <c r="F7" i="340"/>
  <c r="T6" i="340"/>
  <c r="I6" i="340" s="1"/>
  <c r="F6" i="340"/>
  <c r="T5" i="340"/>
  <c r="I5" i="340" s="1"/>
  <c r="F5" i="340"/>
  <c r="N28" i="339"/>
  <c r="O31" i="339" s="1"/>
  <c r="F25" i="339"/>
  <c r="F24" i="339"/>
  <c r="F23" i="339"/>
  <c r="F22" i="339"/>
  <c r="F21" i="339"/>
  <c r="F20" i="339"/>
  <c r="K19" i="339"/>
  <c r="U19" i="339"/>
  <c r="F19" i="339"/>
  <c r="F18" i="339"/>
  <c r="F17" i="339"/>
  <c r="K16" i="339"/>
  <c r="U16" i="339"/>
  <c r="M28" i="339" s="1"/>
  <c r="F16" i="339"/>
  <c r="F15" i="339"/>
  <c r="F14" i="339"/>
  <c r="K13" i="339"/>
  <c r="U13" i="339"/>
  <c r="M25" i="339" s="1"/>
  <c r="F13" i="339"/>
  <c r="F12" i="339"/>
  <c r="T11" i="339"/>
  <c r="I11" i="339" s="1"/>
  <c r="J23" i="339" s="1"/>
  <c r="F11" i="339"/>
  <c r="K10" i="339"/>
  <c r="U10" i="339"/>
  <c r="M22" i="339" s="1"/>
  <c r="T10" i="339"/>
  <c r="I10" i="339" s="1"/>
  <c r="J22" i="339" s="1"/>
  <c r="F10" i="339"/>
  <c r="T9" i="339"/>
  <c r="I9" i="339" s="1"/>
  <c r="J21" i="339" s="1"/>
  <c r="F9" i="339"/>
  <c r="T8" i="339"/>
  <c r="I8" i="339" s="1"/>
  <c r="J20" i="339" s="1"/>
  <c r="F8" i="339"/>
  <c r="K7" i="339"/>
  <c r="U7" i="339"/>
  <c r="T7" i="339"/>
  <c r="I7" i="339" s="1"/>
  <c r="J19" i="339" s="1"/>
  <c r="F7" i="339"/>
  <c r="T6" i="339"/>
  <c r="I6" i="339" s="1"/>
  <c r="J18" i="339" s="1"/>
  <c r="F6" i="339"/>
  <c r="T5" i="339"/>
  <c r="I5" i="339" s="1"/>
  <c r="J17" i="339" s="1"/>
  <c r="F5" i="339"/>
  <c r="T26" i="338"/>
  <c r="T25" i="338"/>
  <c r="I25" i="338" s="1"/>
  <c r="F25" i="338"/>
  <c r="T24" i="338"/>
  <c r="I24" i="338" s="1"/>
  <c r="F24" i="338"/>
  <c r="T23" i="338"/>
  <c r="I23" i="338" s="1"/>
  <c r="F23" i="338"/>
  <c r="T22" i="338"/>
  <c r="I22" i="338" s="1"/>
  <c r="F22" i="338"/>
  <c r="T21" i="338"/>
  <c r="I21" i="338" s="1"/>
  <c r="F21" i="338"/>
  <c r="T20" i="338"/>
  <c r="I20" i="338" s="1"/>
  <c r="F20" i="338"/>
  <c r="K19" i="338"/>
  <c r="U19" i="338"/>
  <c r="T19" i="338"/>
  <c r="I19" i="338" s="1"/>
  <c r="F19" i="338"/>
  <c r="T18" i="338"/>
  <c r="I18" i="338" s="1"/>
  <c r="F18" i="338"/>
  <c r="T17" i="338"/>
  <c r="I17" i="338" s="1"/>
  <c r="F17" i="338"/>
  <c r="K16" i="338"/>
  <c r="U16" i="338"/>
  <c r="M28" i="338" s="1"/>
  <c r="T16" i="338"/>
  <c r="I16" i="338" s="1"/>
  <c r="J28" i="338" s="1"/>
  <c r="F16" i="338"/>
  <c r="T15" i="338"/>
  <c r="I15" i="338" s="1"/>
  <c r="J27" i="338" s="1"/>
  <c r="F15" i="338"/>
  <c r="T14" i="338"/>
  <c r="I14" i="338" s="1"/>
  <c r="F14" i="338"/>
  <c r="U13" i="338"/>
  <c r="T13" i="338"/>
  <c r="I13" i="338" s="1"/>
  <c r="F13" i="338"/>
  <c r="T12" i="338"/>
  <c r="I12" i="338" s="1"/>
  <c r="F12" i="338"/>
  <c r="T11" i="338"/>
  <c r="I11" i="338" s="1"/>
  <c r="F11" i="338"/>
  <c r="U10" i="338"/>
  <c r="T10" i="338"/>
  <c r="I10" i="338" s="1"/>
  <c r="F10" i="338"/>
  <c r="T9" i="338"/>
  <c r="I9" i="338" s="1"/>
  <c r="F9" i="338"/>
  <c r="T8" i="338"/>
  <c r="F8" i="338"/>
  <c r="U7" i="338"/>
  <c r="T7" i="338"/>
  <c r="I7" i="338" s="1"/>
  <c r="F7" i="338"/>
  <c r="T6" i="338"/>
  <c r="I6" i="338" s="1"/>
  <c r="F6" i="338"/>
  <c r="T5" i="338"/>
  <c r="I5" i="338" s="1"/>
  <c r="F5" i="338"/>
  <c r="T26" i="337"/>
  <c r="T25" i="337"/>
  <c r="I25" i="337" s="1"/>
  <c r="F25" i="337"/>
  <c r="T24" i="337"/>
  <c r="I24" i="337" s="1"/>
  <c r="J36" i="337" s="1"/>
  <c r="F24" i="337"/>
  <c r="T23" i="337"/>
  <c r="I23" i="337" s="1"/>
  <c r="F23" i="337"/>
  <c r="T22" i="337"/>
  <c r="I22" i="337" s="1"/>
  <c r="F22" i="337"/>
  <c r="T21" i="337"/>
  <c r="I21" i="337" s="1"/>
  <c r="F21" i="337"/>
  <c r="T20" i="337"/>
  <c r="I20" i="337" s="1"/>
  <c r="J32" i="337" s="1"/>
  <c r="F20" i="337"/>
  <c r="T19" i="337"/>
  <c r="I19" i="337" s="1"/>
  <c r="F19" i="337"/>
  <c r="T18" i="337"/>
  <c r="I18" i="337" s="1"/>
  <c r="F18" i="337"/>
  <c r="T17" i="337"/>
  <c r="I17" i="337" s="1"/>
  <c r="F17" i="337"/>
  <c r="K16" i="337"/>
  <c r="U16" i="337"/>
  <c r="T16" i="337"/>
  <c r="I16" i="337" s="1"/>
  <c r="J28" i="337" s="1"/>
  <c r="F16" i="337"/>
  <c r="T15" i="337"/>
  <c r="I15" i="337" s="1"/>
  <c r="J27" i="337" s="1"/>
  <c r="F15" i="337"/>
  <c r="T14" i="337"/>
  <c r="I14" i="337" s="1"/>
  <c r="F14" i="337"/>
  <c r="K13" i="337"/>
  <c r="U13" i="337"/>
  <c r="M25" i="337" s="1"/>
  <c r="T13" i="337"/>
  <c r="I13" i="337" s="1"/>
  <c r="F13" i="337"/>
  <c r="T12" i="337"/>
  <c r="I12" i="337" s="1"/>
  <c r="F12" i="337"/>
  <c r="T11" i="337"/>
  <c r="I11" i="337" s="1"/>
  <c r="F11" i="337"/>
  <c r="K10" i="337"/>
  <c r="U10" i="337"/>
  <c r="M22" i="337" s="1"/>
  <c r="T10" i="337"/>
  <c r="I10" i="337" s="1"/>
  <c r="F10" i="337"/>
  <c r="T9" i="337"/>
  <c r="I9" i="337" s="1"/>
  <c r="F9" i="337"/>
  <c r="T8" i="337"/>
  <c r="I8" i="337" s="1"/>
  <c r="F8" i="337"/>
  <c r="L7" i="337"/>
  <c r="K7" i="337"/>
  <c r="U7" i="337"/>
  <c r="M19" i="337" s="1"/>
  <c r="T7" i="337"/>
  <c r="I7" i="337" s="1"/>
  <c r="F7" i="337"/>
  <c r="T6" i="337"/>
  <c r="I6" i="337" s="1"/>
  <c r="F6" i="337"/>
  <c r="T5" i="337"/>
  <c r="I5" i="337" s="1"/>
  <c r="F5" i="337"/>
  <c r="S26" i="170"/>
  <c r="R26" i="170"/>
  <c r="K28" i="170" s="1"/>
  <c r="S25" i="170"/>
  <c r="R25" i="170"/>
  <c r="S24" i="170"/>
  <c r="R24" i="170"/>
  <c r="S23" i="170"/>
  <c r="R23" i="170"/>
  <c r="S22" i="170"/>
  <c r="R22" i="170"/>
  <c r="S21" i="170"/>
  <c r="R21" i="170"/>
  <c r="S20" i="170"/>
  <c r="R20" i="170"/>
  <c r="S19" i="170"/>
  <c r="R19" i="170"/>
  <c r="S18" i="170"/>
  <c r="R18" i="170"/>
  <c r="S17" i="170"/>
  <c r="R17" i="170"/>
  <c r="S16" i="170"/>
  <c r="R16" i="170"/>
  <c r="S15" i="170"/>
  <c r="R15" i="170"/>
  <c r="S14" i="170"/>
  <c r="R14" i="170"/>
  <c r="S13" i="170"/>
  <c r="R13" i="170"/>
  <c r="S12" i="170"/>
  <c r="R12" i="170"/>
  <c r="S11" i="170"/>
  <c r="R11" i="170"/>
  <c r="S10" i="170"/>
  <c r="R10" i="170"/>
  <c r="S9" i="170"/>
  <c r="R9" i="170"/>
  <c r="S8" i="170"/>
  <c r="R8" i="170"/>
  <c r="S7" i="170"/>
  <c r="R7" i="170"/>
  <c r="S6" i="170"/>
  <c r="R6" i="170"/>
  <c r="S5" i="170"/>
  <c r="R5" i="170"/>
  <c r="Q26" i="170"/>
  <c r="F26" i="170" s="1"/>
  <c r="Q25" i="170"/>
  <c r="Q24" i="170"/>
  <c r="Q23" i="170"/>
  <c r="Q22" i="170"/>
  <c r="Q21" i="170"/>
  <c r="Q20" i="170"/>
  <c r="Q19" i="170"/>
  <c r="Q18" i="170"/>
  <c r="Q17" i="170"/>
  <c r="Q16" i="170"/>
  <c r="Q15" i="170"/>
  <c r="Q14" i="170"/>
  <c r="Q13" i="170"/>
  <c r="Q12" i="170"/>
  <c r="Q11" i="170"/>
  <c r="Q10" i="170"/>
  <c r="Q9" i="170"/>
  <c r="Q8" i="170"/>
  <c r="Q7" i="170"/>
  <c r="Q6" i="170"/>
  <c r="Q5" i="170"/>
  <c r="T26" i="336"/>
  <c r="T25" i="336"/>
  <c r="I25" i="336" s="1"/>
  <c r="F25" i="336"/>
  <c r="T24" i="336"/>
  <c r="I24" i="336" s="1"/>
  <c r="F24" i="336"/>
  <c r="T23" i="336"/>
  <c r="I23" i="336" s="1"/>
  <c r="F23" i="336"/>
  <c r="T22" i="336"/>
  <c r="I22" i="336" s="1"/>
  <c r="F22" i="336"/>
  <c r="T21" i="336"/>
  <c r="I21" i="336" s="1"/>
  <c r="F21" i="336"/>
  <c r="T20" i="336"/>
  <c r="I20" i="336" s="1"/>
  <c r="F20" i="336"/>
  <c r="K19" i="336"/>
  <c r="U19" i="336"/>
  <c r="T19" i="336"/>
  <c r="I19" i="336" s="1"/>
  <c r="F19" i="336"/>
  <c r="T18" i="336"/>
  <c r="I18" i="336" s="1"/>
  <c r="F18" i="336"/>
  <c r="T17" i="336"/>
  <c r="I17" i="336" s="1"/>
  <c r="F17" i="336"/>
  <c r="K16" i="336"/>
  <c r="U16" i="336"/>
  <c r="M28" i="336" s="1"/>
  <c r="T16" i="336"/>
  <c r="I16" i="336" s="1"/>
  <c r="J28" i="336" s="1"/>
  <c r="F16" i="336"/>
  <c r="T15" i="336"/>
  <c r="I15" i="336" s="1"/>
  <c r="J27" i="336" s="1"/>
  <c r="F15" i="336"/>
  <c r="T14" i="336"/>
  <c r="I14" i="336" s="1"/>
  <c r="F14" i="336"/>
  <c r="K13" i="336"/>
  <c r="U13" i="336"/>
  <c r="M25" i="336" s="1"/>
  <c r="T13" i="336"/>
  <c r="I13" i="336" s="1"/>
  <c r="F13" i="336"/>
  <c r="T12" i="336"/>
  <c r="I12" i="336" s="1"/>
  <c r="F12" i="336"/>
  <c r="T11" i="336"/>
  <c r="I11" i="336" s="1"/>
  <c r="F11" i="336"/>
  <c r="K10" i="336"/>
  <c r="U10" i="336"/>
  <c r="M22" i="336" s="1"/>
  <c r="T10" i="336"/>
  <c r="I10" i="336" s="1"/>
  <c r="F10" i="336"/>
  <c r="T9" i="336"/>
  <c r="I9" i="336" s="1"/>
  <c r="F9" i="336"/>
  <c r="T8" i="336"/>
  <c r="I8" i="336" s="1"/>
  <c r="F8" i="336"/>
  <c r="K7" i="336"/>
  <c r="U7" i="336"/>
  <c r="T7" i="336"/>
  <c r="I7" i="336" s="1"/>
  <c r="F7" i="336"/>
  <c r="T6" i="336"/>
  <c r="I6" i="336" s="1"/>
  <c r="F6" i="336"/>
  <c r="T5" i="336"/>
  <c r="I5" i="336" s="1"/>
  <c r="F5" i="336"/>
  <c r="S26" i="335"/>
  <c r="M28" i="335" s="1"/>
  <c r="N31" i="335" s="1"/>
  <c r="S25" i="335"/>
  <c r="F25" i="335"/>
  <c r="S24" i="335"/>
  <c r="F24" i="335"/>
  <c r="S23" i="335"/>
  <c r="F23" i="335"/>
  <c r="S22" i="335"/>
  <c r="F22" i="335"/>
  <c r="S21" i="335"/>
  <c r="F21" i="335"/>
  <c r="S20" i="335"/>
  <c r="F20" i="335"/>
  <c r="J19" i="335"/>
  <c r="T19" i="335"/>
  <c r="S19" i="335"/>
  <c r="F19" i="335"/>
  <c r="S18" i="335"/>
  <c r="F18" i="335"/>
  <c r="S17" i="335"/>
  <c r="F17" i="335"/>
  <c r="J16" i="335"/>
  <c r="T16" i="335"/>
  <c r="L28" i="335" s="1"/>
  <c r="S16" i="335"/>
  <c r="F16" i="335"/>
  <c r="S15" i="335"/>
  <c r="F15" i="335"/>
  <c r="S14" i="335"/>
  <c r="F14" i="335"/>
  <c r="I14" i="335" s="1"/>
  <c r="J13" i="335"/>
  <c r="T13" i="335"/>
  <c r="L25" i="335" s="1"/>
  <c r="S13" i="335"/>
  <c r="F13" i="335"/>
  <c r="I13" i="335" s="1"/>
  <c r="S12" i="335"/>
  <c r="F12" i="335"/>
  <c r="I12" i="335" s="1"/>
  <c r="S11" i="335"/>
  <c r="F11" i="335"/>
  <c r="I11" i="335" s="1"/>
  <c r="J10" i="335"/>
  <c r="T10" i="335"/>
  <c r="L22" i="335" s="1"/>
  <c r="S10" i="335"/>
  <c r="F10" i="335"/>
  <c r="I10" i="335" s="1"/>
  <c r="S9" i="335"/>
  <c r="F9" i="335"/>
  <c r="I9" i="335" s="1"/>
  <c r="S8" i="335"/>
  <c r="F8" i="335"/>
  <c r="I8" i="335" s="1"/>
  <c r="J7" i="335"/>
  <c r="T7" i="335"/>
  <c r="S7" i="335"/>
  <c r="F7" i="335"/>
  <c r="I7" i="335" s="1"/>
  <c r="S6" i="335"/>
  <c r="F6" i="335"/>
  <c r="I6" i="335" s="1"/>
  <c r="S5" i="335"/>
  <c r="F5" i="335"/>
  <c r="I5" i="335" s="1"/>
  <c r="T26" i="334"/>
  <c r="T25" i="334"/>
  <c r="I25" i="334" s="1"/>
  <c r="F25" i="334"/>
  <c r="T24" i="334"/>
  <c r="I24" i="334" s="1"/>
  <c r="F24" i="334"/>
  <c r="T23" i="334"/>
  <c r="I23" i="334" s="1"/>
  <c r="F23" i="334"/>
  <c r="T22" i="334"/>
  <c r="I22" i="334" s="1"/>
  <c r="F22" i="334"/>
  <c r="T21" i="334"/>
  <c r="I21" i="334" s="1"/>
  <c r="F21" i="334"/>
  <c r="T20" i="334"/>
  <c r="I20" i="334" s="1"/>
  <c r="F20" i="334"/>
  <c r="K19" i="334"/>
  <c r="U19" i="334"/>
  <c r="T19" i="334"/>
  <c r="I19" i="334" s="1"/>
  <c r="F19" i="334"/>
  <c r="T18" i="334"/>
  <c r="I18" i="334" s="1"/>
  <c r="F18" i="334"/>
  <c r="T17" i="334"/>
  <c r="I17" i="334" s="1"/>
  <c r="F17" i="334"/>
  <c r="K16" i="334"/>
  <c r="U16" i="334"/>
  <c r="M28" i="334" s="1"/>
  <c r="T16" i="334"/>
  <c r="I16" i="334" s="1"/>
  <c r="J28" i="334" s="1"/>
  <c r="F16" i="334"/>
  <c r="T15" i="334"/>
  <c r="I15" i="334" s="1"/>
  <c r="J27" i="334" s="1"/>
  <c r="F15" i="334"/>
  <c r="T14" i="334"/>
  <c r="I14" i="334" s="1"/>
  <c r="F14" i="334"/>
  <c r="K13" i="334"/>
  <c r="U13" i="334"/>
  <c r="M25" i="334" s="1"/>
  <c r="T13" i="334"/>
  <c r="I13" i="334" s="1"/>
  <c r="F13" i="334"/>
  <c r="T12" i="334"/>
  <c r="I12" i="334" s="1"/>
  <c r="F12" i="334"/>
  <c r="T11" i="334"/>
  <c r="I11" i="334" s="1"/>
  <c r="F11" i="334"/>
  <c r="K10" i="334"/>
  <c r="U10" i="334"/>
  <c r="M22" i="334" s="1"/>
  <c r="T10" i="334"/>
  <c r="I10" i="334" s="1"/>
  <c r="F10" i="334"/>
  <c r="T9" i="334"/>
  <c r="I9" i="334" s="1"/>
  <c r="F9" i="334"/>
  <c r="T8" i="334"/>
  <c r="I8" i="334" s="1"/>
  <c r="F8" i="334"/>
  <c r="K7" i="334"/>
  <c r="U7" i="334"/>
  <c r="T7" i="334"/>
  <c r="I7" i="334" s="1"/>
  <c r="F7" i="334"/>
  <c r="T6" i="334"/>
  <c r="I6" i="334" s="1"/>
  <c r="F6" i="334"/>
  <c r="T5" i="334"/>
  <c r="I5" i="334" s="1"/>
  <c r="F5" i="334"/>
  <c r="T26" i="333"/>
  <c r="T25" i="333"/>
  <c r="I25" i="333" s="1"/>
  <c r="F25" i="333"/>
  <c r="T24" i="333"/>
  <c r="I24" i="333" s="1"/>
  <c r="J36" i="333" s="1"/>
  <c r="F24" i="333"/>
  <c r="T23" i="333"/>
  <c r="I23" i="333" s="1"/>
  <c r="F23" i="333"/>
  <c r="T22" i="333"/>
  <c r="I22" i="333" s="1"/>
  <c r="J34" i="333" s="1"/>
  <c r="F22" i="333"/>
  <c r="T21" i="333"/>
  <c r="I21" i="333" s="1"/>
  <c r="F21" i="333"/>
  <c r="T20" i="333"/>
  <c r="I20" i="333" s="1"/>
  <c r="J32" i="333" s="1"/>
  <c r="F20" i="333"/>
  <c r="K19" i="333"/>
  <c r="U19" i="333"/>
  <c r="T19" i="333"/>
  <c r="I19" i="333" s="1"/>
  <c r="F19" i="333"/>
  <c r="T18" i="333"/>
  <c r="I18" i="333" s="1"/>
  <c r="J30" i="333" s="1"/>
  <c r="F18" i="333"/>
  <c r="T17" i="333"/>
  <c r="I17" i="333" s="1"/>
  <c r="F17" i="333"/>
  <c r="K16" i="333"/>
  <c r="U16" i="333"/>
  <c r="M28" i="333" s="1"/>
  <c r="T16" i="333"/>
  <c r="I16" i="333" s="1"/>
  <c r="J28" i="333" s="1"/>
  <c r="F16" i="333"/>
  <c r="T15" i="333"/>
  <c r="I15" i="333" s="1"/>
  <c r="J27" i="333" s="1"/>
  <c r="F15" i="333"/>
  <c r="T14" i="333"/>
  <c r="I14" i="333" s="1"/>
  <c r="F14" i="333"/>
  <c r="K13" i="333"/>
  <c r="U13" i="333"/>
  <c r="M25" i="333" s="1"/>
  <c r="T13" i="333"/>
  <c r="I13" i="333" s="1"/>
  <c r="F13" i="333"/>
  <c r="T12" i="333"/>
  <c r="I12" i="333" s="1"/>
  <c r="F12" i="333"/>
  <c r="T11" i="333"/>
  <c r="I11" i="333" s="1"/>
  <c r="F11" i="333"/>
  <c r="K10" i="333"/>
  <c r="U10" i="333"/>
  <c r="M22" i="333" s="1"/>
  <c r="T10" i="333"/>
  <c r="I10" i="333" s="1"/>
  <c r="F10" i="333"/>
  <c r="T9" i="333"/>
  <c r="I9" i="333" s="1"/>
  <c r="F9" i="333"/>
  <c r="T8" i="333"/>
  <c r="I8" i="333" s="1"/>
  <c r="F8" i="333"/>
  <c r="K7" i="333"/>
  <c r="U7" i="333"/>
  <c r="T7" i="333"/>
  <c r="I7" i="333" s="1"/>
  <c r="F7" i="333"/>
  <c r="T6" i="333"/>
  <c r="I6" i="333" s="1"/>
  <c r="F6" i="333"/>
  <c r="T5" i="333"/>
  <c r="I5" i="333" s="1"/>
  <c r="F5" i="333"/>
  <c r="J24" i="342" l="1"/>
  <c r="J24" i="340"/>
  <c r="J20" i="337"/>
  <c r="J24" i="333"/>
  <c r="J18" i="333"/>
  <c r="J20" i="333"/>
  <c r="J22" i="333"/>
  <c r="J20" i="342"/>
  <c r="J24" i="337"/>
  <c r="J19" i="333"/>
  <c r="J31" i="333"/>
  <c r="N28" i="338"/>
  <c r="O31" i="338" s="1"/>
  <c r="I26" i="338"/>
  <c r="J20" i="334"/>
  <c r="J32" i="334"/>
  <c r="J23" i="334"/>
  <c r="J35" i="334"/>
  <c r="J21" i="336"/>
  <c r="J33" i="336"/>
  <c r="J25" i="337"/>
  <c r="J37" i="337"/>
  <c r="J19" i="338"/>
  <c r="J31" i="338"/>
  <c r="J24" i="338"/>
  <c r="J36" i="338"/>
  <c r="J19" i="334"/>
  <c r="J31" i="334"/>
  <c r="J21" i="334"/>
  <c r="J33" i="334"/>
  <c r="J24" i="334"/>
  <c r="J36" i="334"/>
  <c r="J17" i="336"/>
  <c r="J29" i="336"/>
  <c r="J22" i="336"/>
  <c r="J34" i="336"/>
  <c r="J25" i="336"/>
  <c r="J37" i="336"/>
  <c r="J17" i="337"/>
  <c r="J29" i="337"/>
  <c r="J23" i="337"/>
  <c r="J35" i="337"/>
  <c r="J17" i="338"/>
  <c r="J29" i="338"/>
  <c r="J22" i="338"/>
  <c r="J34" i="338"/>
  <c r="J25" i="338"/>
  <c r="J37" i="338"/>
  <c r="J22" i="340"/>
  <c r="J19" i="340"/>
  <c r="J31" i="340"/>
  <c r="J21" i="340"/>
  <c r="J33" i="340"/>
  <c r="J21" i="333"/>
  <c r="J33" i="333"/>
  <c r="J25" i="334"/>
  <c r="J37" i="334"/>
  <c r="J18" i="336"/>
  <c r="J30" i="336"/>
  <c r="J20" i="336"/>
  <c r="J32" i="336"/>
  <c r="J23" i="336"/>
  <c r="J35" i="336"/>
  <c r="J18" i="337"/>
  <c r="J30" i="337"/>
  <c r="J21" i="337"/>
  <c r="J33" i="337"/>
  <c r="N10" i="338"/>
  <c r="I8" i="338"/>
  <c r="J20" i="338" s="1"/>
  <c r="J18" i="338"/>
  <c r="J30" i="338"/>
  <c r="J32" i="338"/>
  <c r="J23" i="338"/>
  <c r="J35" i="338"/>
  <c r="J18" i="340"/>
  <c r="J20" i="340"/>
  <c r="J17" i="340"/>
  <c r="J29" i="340"/>
  <c r="J25" i="340"/>
  <c r="J37" i="340"/>
  <c r="N28" i="342"/>
  <c r="O31" i="342" s="1"/>
  <c r="I26" i="342"/>
  <c r="J17" i="342"/>
  <c r="J29" i="342"/>
  <c r="J25" i="342"/>
  <c r="J37" i="342"/>
  <c r="J17" i="334"/>
  <c r="J29" i="334"/>
  <c r="J22" i="334"/>
  <c r="J34" i="334"/>
  <c r="J17" i="333"/>
  <c r="J29" i="333"/>
  <c r="J25" i="333"/>
  <c r="J37" i="333"/>
  <c r="N28" i="334"/>
  <c r="O31" i="334" s="1"/>
  <c r="I26" i="334"/>
  <c r="N28" i="340"/>
  <c r="O31" i="340" s="1"/>
  <c r="I26" i="340"/>
  <c r="J38" i="340" s="1"/>
  <c r="J18" i="342"/>
  <c r="J30" i="342"/>
  <c r="J23" i="342"/>
  <c r="J35" i="342"/>
  <c r="N28" i="336"/>
  <c r="O31" i="336" s="1"/>
  <c r="I26" i="336"/>
  <c r="J22" i="342"/>
  <c r="J34" i="342"/>
  <c r="N28" i="333"/>
  <c r="O31" i="333" s="1"/>
  <c r="I26" i="333"/>
  <c r="J38" i="333" s="1"/>
  <c r="J18" i="334"/>
  <c r="J30" i="334"/>
  <c r="J19" i="336"/>
  <c r="J31" i="336"/>
  <c r="J24" i="336"/>
  <c r="J36" i="336"/>
  <c r="J19" i="337"/>
  <c r="J31" i="337"/>
  <c r="J22" i="337"/>
  <c r="J34" i="337"/>
  <c r="J21" i="338"/>
  <c r="J33" i="338"/>
  <c r="J23" i="340"/>
  <c r="J35" i="340"/>
  <c r="J23" i="333"/>
  <c r="J35" i="333"/>
  <c r="N28" i="337"/>
  <c r="O31" i="337" s="1"/>
  <c r="I26" i="337"/>
  <c r="J19" i="342"/>
  <c r="J31" i="342"/>
  <c r="J21" i="342"/>
  <c r="J33" i="342"/>
  <c r="N7" i="338"/>
  <c r="M22" i="338"/>
  <c r="L10" i="338"/>
  <c r="N13" i="338"/>
  <c r="M25" i="338"/>
  <c r="L13" i="338"/>
  <c r="H28" i="333"/>
  <c r="H31" i="333"/>
  <c r="H32" i="333"/>
  <c r="H34" i="333"/>
  <c r="H36" i="333"/>
  <c r="H27" i="335"/>
  <c r="I27" i="335" s="1"/>
  <c r="I15" i="335"/>
  <c r="H30" i="335"/>
  <c r="H33" i="335"/>
  <c r="H35" i="335"/>
  <c r="H37" i="335"/>
  <c r="H27" i="338"/>
  <c r="H30" i="338"/>
  <c r="H33" i="338"/>
  <c r="H35" i="338"/>
  <c r="H37" i="338"/>
  <c r="H31" i="339"/>
  <c r="H33" i="339"/>
  <c r="H37" i="339"/>
  <c r="H27" i="340"/>
  <c r="H30" i="340"/>
  <c r="H33" i="340"/>
  <c r="H35" i="340"/>
  <c r="H28" i="334"/>
  <c r="H31" i="334"/>
  <c r="H32" i="334"/>
  <c r="H34" i="334"/>
  <c r="H36" i="334"/>
  <c r="H27" i="336"/>
  <c r="H30" i="336"/>
  <c r="H33" i="336"/>
  <c r="H35" i="336"/>
  <c r="H37" i="336"/>
  <c r="H38" i="170"/>
  <c r="H27" i="337"/>
  <c r="H30" i="337"/>
  <c r="H32" i="337"/>
  <c r="H34" i="337"/>
  <c r="H36" i="337"/>
  <c r="H34" i="339"/>
  <c r="H27" i="342"/>
  <c r="H30" i="342"/>
  <c r="H33" i="342"/>
  <c r="H35" i="342"/>
  <c r="H37" i="342"/>
  <c r="H27" i="333"/>
  <c r="H30" i="333"/>
  <c r="H33" i="333"/>
  <c r="H35" i="333"/>
  <c r="H37" i="333"/>
  <c r="H28" i="335"/>
  <c r="I28" i="335" s="1"/>
  <c r="I16" i="335"/>
  <c r="H31" i="335"/>
  <c r="H32" i="335"/>
  <c r="H34" i="335"/>
  <c r="H36" i="335"/>
  <c r="H28" i="338"/>
  <c r="H31" i="338"/>
  <c r="H32" i="338"/>
  <c r="H34" i="338"/>
  <c r="H36" i="338"/>
  <c r="H27" i="339"/>
  <c r="H35" i="339"/>
  <c r="H28" i="340"/>
  <c r="H31" i="340"/>
  <c r="H32" i="340"/>
  <c r="H34" i="340"/>
  <c r="H36" i="340"/>
  <c r="H27" i="334"/>
  <c r="H30" i="334"/>
  <c r="H33" i="334"/>
  <c r="H35" i="334"/>
  <c r="H37" i="334"/>
  <c r="H28" i="336"/>
  <c r="H31" i="336"/>
  <c r="H32" i="336"/>
  <c r="H34" i="336"/>
  <c r="H36" i="336"/>
  <c r="H28" i="337"/>
  <c r="H31" i="337"/>
  <c r="H33" i="337"/>
  <c r="H35" i="337"/>
  <c r="H37" i="337"/>
  <c r="H28" i="339"/>
  <c r="H30" i="339"/>
  <c r="H32" i="339"/>
  <c r="H36" i="339"/>
  <c r="H28" i="342"/>
  <c r="H31" i="342"/>
  <c r="H32" i="342"/>
  <c r="H34" i="342"/>
  <c r="H36" i="342"/>
  <c r="N19" i="337"/>
  <c r="N25" i="337"/>
  <c r="N22" i="337"/>
  <c r="L19" i="337"/>
  <c r="M28" i="337"/>
  <c r="H19" i="335"/>
  <c r="I19" i="335" s="1"/>
  <c r="G26" i="340"/>
  <c r="H37" i="340"/>
  <c r="G11" i="342"/>
  <c r="L22" i="334"/>
  <c r="M31" i="334"/>
  <c r="L22" i="340"/>
  <c r="M31" i="340"/>
  <c r="K22" i="335"/>
  <c r="L31" i="335"/>
  <c r="L22" i="342"/>
  <c r="M31" i="342"/>
  <c r="L22" i="336"/>
  <c r="M31" i="336"/>
  <c r="L22" i="338"/>
  <c r="M31" i="338"/>
  <c r="L22" i="333"/>
  <c r="M31" i="333"/>
  <c r="L22" i="339"/>
  <c r="M31" i="339"/>
  <c r="C22" i="333"/>
  <c r="E34" i="333" s="1"/>
  <c r="C22" i="339"/>
  <c r="E34" i="339" s="1"/>
  <c r="C25" i="342"/>
  <c r="E37" i="342" s="1"/>
  <c r="C7" i="336"/>
  <c r="C10" i="336"/>
  <c r="C13" i="336"/>
  <c r="C16" i="336"/>
  <c r="C22" i="336"/>
  <c r="E34" i="336" s="1"/>
  <c r="C10" i="337"/>
  <c r="C13" i="337"/>
  <c r="C7" i="338"/>
  <c r="C13" i="338"/>
  <c r="C16" i="338"/>
  <c r="C22" i="338"/>
  <c r="E34" i="338" s="1"/>
  <c r="C25" i="340"/>
  <c r="E37" i="340" s="1"/>
  <c r="C16" i="337"/>
  <c r="C10" i="333"/>
  <c r="C16" i="333"/>
  <c r="C25" i="335"/>
  <c r="E37" i="335" s="1"/>
  <c r="C25" i="337"/>
  <c r="E37" i="337" s="1"/>
  <c r="C7" i="339"/>
  <c r="C10" i="339"/>
  <c r="C13" i="339"/>
  <c r="C16" i="339"/>
  <c r="C7" i="333"/>
  <c r="C13" i="333"/>
  <c r="C25" i="334"/>
  <c r="E37" i="334" s="1"/>
  <c r="C7" i="334"/>
  <c r="C10" i="334"/>
  <c r="C13" i="334"/>
  <c r="C16" i="334"/>
  <c r="H29" i="334"/>
  <c r="C19" i="334"/>
  <c r="E31" i="334" s="1"/>
  <c r="C22" i="334"/>
  <c r="E34" i="334" s="1"/>
  <c r="C25" i="336"/>
  <c r="E37" i="336" s="1"/>
  <c r="C25" i="338"/>
  <c r="E37" i="338" s="1"/>
  <c r="C7" i="340"/>
  <c r="C10" i="340"/>
  <c r="C13" i="340"/>
  <c r="C16" i="340"/>
  <c r="H29" i="340"/>
  <c r="C19" i="340"/>
  <c r="E31" i="340" s="1"/>
  <c r="C22" i="340"/>
  <c r="E34" i="340" s="1"/>
  <c r="H29" i="336"/>
  <c r="C19" i="336"/>
  <c r="E31" i="336" s="1"/>
  <c r="H29" i="337"/>
  <c r="C19" i="337"/>
  <c r="E31" i="337" s="1"/>
  <c r="H20" i="338"/>
  <c r="C10" i="338"/>
  <c r="H29" i="338"/>
  <c r="C19" i="338"/>
  <c r="E31" i="338" s="1"/>
  <c r="H29" i="333"/>
  <c r="C19" i="333"/>
  <c r="E31" i="333" s="1"/>
  <c r="H29" i="339"/>
  <c r="C19" i="339"/>
  <c r="E31" i="339" s="1"/>
  <c r="C25" i="333"/>
  <c r="E37" i="333" s="1"/>
  <c r="H17" i="335"/>
  <c r="I17" i="335" s="1"/>
  <c r="C7" i="335"/>
  <c r="C10" i="335"/>
  <c r="C13" i="335"/>
  <c r="C16" i="335"/>
  <c r="H29" i="335"/>
  <c r="C19" i="335"/>
  <c r="E31" i="335" s="1"/>
  <c r="C22" i="335"/>
  <c r="E34" i="335" s="1"/>
  <c r="C7" i="337"/>
  <c r="C22" i="337"/>
  <c r="E34" i="337" s="1"/>
  <c r="C25" i="339"/>
  <c r="E37" i="339" s="1"/>
  <c r="H17" i="342"/>
  <c r="C7" i="342"/>
  <c r="C10" i="342"/>
  <c r="C13" i="342"/>
  <c r="H26" i="342"/>
  <c r="C16" i="342"/>
  <c r="H29" i="342"/>
  <c r="C19" i="342"/>
  <c r="E31" i="342" s="1"/>
  <c r="C22" i="342"/>
  <c r="E34" i="342" s="1"/>
  <c r="N25" i="333"/>
  <c r="N25" i="339"/>
  <c r="O28" i="339" s="1"/>
  <c r="N22" i="342"/>
  <c r="M22" i="335"/>
  <c r="N22" i="334"/>
  <c r="N22" i="340"/>
  <c r="N25" i="338"/>
  <c r="N25" i="334"/>
  <c r="K22" i="170"/>
  <c r="N22" i="338"/>
  <c r="N25" i="340"/>
  <c r="N22" i="333"/>
  <c r="M25" i="335"/>
  <c r="N22" i="339"/>
  <c r="N25" i="342"/>
  <c r="N22" i="336"/>
  <c r="N25" i="336"/>
  <c r="U22" i="170"/>
  <c r="M34" i="170" s="1"/>
  <c r="U25" i="170"/>
  <c r="M37" i="170" s="1"/>
  <c r="K25" i="170"/>
  <c r="U28" i="170"/>
  <c r="N7" i="333"/>
  <c r="N10" i="333"/>
  <c r="N13" i="333"/>
  <c r="N16" i="333"/>
  <c r="N16" i="338"/>
  <c r="N19" i="333"/>
  <c r="N7" i="342"/>
  <c r="N10" i="342"/>
  <c r="N13" i="342"/>
  <c r="G20" i="338"/>
  <c r="N7" i="336"/>
  <c r="N10" i="336"/>
  <c r="N13" i="336"/>
  <c r="N16" i="336"/>
  <c r="N19" i="336"/>
  <c r="L10" i="337"/>
  <c r="N16" i="342"/>
  <c r="G22" i="342"/>
  <c r="G25" i="342"/>
  <c r="N19" i="342"/>
  <c r="L10" i="342"/>
  <c r="L13" i="342"/>
  <c r="L16" i="342"/>
  <c r="M19" i="342"/>
  <c r="L19" i="342"/>
  <c r="N7" i="334"/>
  <c r="N10" i="334"/>
  <c r="N13" i="334"/>
  <c r="N16" i="334"/>
  <c r="G9" i="336"/>
  <c r="L10" i="336"/>
  <c r="L13" i="336"/>
  <c r="L16" i="336"/>
  <c r="L19" i="336"/>
  <c r="M19" i="336"/>
  <c r="L13" i="337"/>
  <c r="N7" i="337"/>
  <c r="L16" i="337"/>
  <c r="N10" i="337"/>
  <c r="N13" i="337"/>
  <c r="N16" i="337"/>
  <c r="M7" i="335"/>
  <c r="M10" i="335"/>
  <c r="M13" i="335"/>
  <c r="M16" i="335"/>
  <c r="M19" i="335"/>
  <c r="K10" i="335"/>
  <c r="K13" i="335"/>
  <c r="K16" i="335"/>
  <c r="L19" i="335"/>
  <c r="K19" i="335"/>
  <c r="L10" i="339"/>
  <c r="L13" i="339"/>
  <c r="L16" i="339"/>
  <c r="N7" i="339"/>
  <c r="N10" i="339"/>
  <c r="N13" i="339"/>
  <c r="N16" i="339"/>
  <c r="M19" i="339"/>
  <c r="L19" i="339"/>
  <c r="N19" i="339"/>
  <c r="L10" i="334"/>
  <c r="L13" i="334"/>
  <c r="L16" i="334"/>
  <c r="N19" i="334"/>
  <c r="M19" i="334"/>
  <c r="L19" i="334"/>
  <c r="L10" i="333"/>
  <c r="L13" i="333"/>
  <c r="L16" i="333"/>
  <c r="L19" i="333"/>
  <c r="M19" i="333"/>
  <c r="N7" i="340"/>
  <c r="N10" i="340"/>
  <c r="N13" i="340"/>
  <c r="N16" i="340"/>
  <c r="N19" i="340"/>
  <c r="L10" i="340"/>
  <c r="L13" i="340"/>
  <c r="L16" i="340"/>
  <c r="H18" i="340"/>
  <c r="M19" i="340"/>
  <c r="L19" i="340"/>
  <c r="L16" i="338"/>
  <c r="L19" i="338"/>
  <c r="M19" i="338"/>
  <c r="N19" i="338"/>
  <c r="G15" i="337"/>
  <c r="H18" i="337"/>
  <c r="G10" i="338"/>
  <c r="G13" i="338"/>
  <c r="G16" i="338"/>
  <c r="B16" i="339"/>
  <c r="G16" i="339"/>
  <c r="G22" i="339"/>
  <c r="B7" i="340"/>
  <c r="G7" i="340"/>
  <c r="G10" i="340"/>
  <c r="G16" i="333"/>
  <c r="H23" i="333"/>
  <c r="G19" i="340"/>
  <c r="H25" i="340"/>
  <c r="G25" i="333"/>
  <c r="B7" i="334"/>
  <c r="G10" i="334"/>
  <c r="G13" i="334"/>
  <c r="G10" i="335"/>
  <c r="B13" i="335"/>
  <c r="G13" i="335"/>
  <c r="G13" i="340"/>
  <c r="G19" i="342"/>
  <c r="B22" i="342"/>
  <c r="G6" i="342"/>
  <c r="G9" i="342"/>
  <c r="G18" i="342"/>
  <c r="B7" i="342"/>
  <c r="G8" i="342"/>
  <c r="H18" i="342"/>
  <c r="G14" i="342"/>
  <c r="B19" i="342"/>
  <c r="H21" i="342"/>
  <c r="G24" i="342"/>
  <c r="H19" i="342"/>
  <c r="B10" i="342"/>
  <c r="G15" i="342"/>
  <c r="H22" i="342"/>
  <c r="H23" i="342"/>
  <c r="H25" i="342"/>
  <c r="G17" i="342"/>
  <c r="G21" i="342"/>
  <c r="B25" i="342"/>
  <c r="G26" i="342"/>
  <c r="H24" i="342"/>
  <c r="G20" i="342"/>
  <c r="G23" i="342"/>
  <c r="G10" i="342"/>
  <c r="G12" i="342"/>
  <c r="B16" i="342"/>
  <c r="G16" i="342"/>
  <c r="H20" i="342"/>
  <c r="G7" i="342"/>
  <c r="B13" i="342"/>
  <c r="G13" i="342"/>
  <c r="G14" i="340"/>
  <c r="G16" i="340"/>
  <c r="H23" i="340"/>
  <c r="G8" i="340"/>
  <c r="G24" i="340"/>
  <c r="G6" i="340"/>
  <c r="B13" i="340"/>
  <c r="G22" i="340"/>
  <c r="G18" i="340"/>
  <c r="H19" i="340"/>
  <c r="H24" i="340"/>
  <c r="G21" i="340"/>
  <c r="G25" i="340"/>
  <c r="H17" i="340"/>
  <c r="B10" i="340"/>
  <c r="G12" i="340"/>
  <c r="B16" i="340"/>
  <c r="B19" i="340"/>
  <c r="H20" i="340"/>
  <c r="H21" i="340"/>
  <c r="H22" i="340"/>
  <c r="B25" i="340"/>
  <c r="G11" i="340"/>
  <c r="G17" i="340"/>
  <c r="G23" i="340"/>
  <c r="G9" i="340"/>
  <c r="G15" i="340"/>
  <c r="B22" i="340"/>
  <c r="H26" i="340"/>
  <c r="G20" i="340"/>
  <c r="H25" i="339"/>
  <c r="G12" i="339"/>
  <c r="G9" i="339"/>
  <c r="B7" i="339"/>
  <c r="H18" i="339"/>
  <c r="H21" i="339"/>
  <c r="G7" i="339"/>
  <c r="G13" i="339"/>
  <c r="G10" i="339"/>
  <c r="G14" i="339"/>
  <c r="G8" i="339"/>
  <c r="B10" i="339"/>
  <c r="H24" i="339"/>
  <c r="H26" i="339"/>
  <c r="H23" i="339"/>
  <c r="G6" i="339"/>
  <c r="G15" i="339"/>
  <c r="H17" i="339"/>
  <c r="H19" i="339"/>
  <c r="G21" i="339"/>
  <c r="H22" i="339"/>
  <c r="H20" i="339"/>
  <c r="B19" i="339"/>
  <c r="B25" i="339"/>
  <c r="G11" i="339"/>
  <c r="G17" i="339"/>
  <c r="G18" i="339"/>
  <c r="G19" i="339"/>
  <c r="G23" i="339"/>
  <c r="G24" i="339"/>
  <c r="G25" i="339"/>
  <c r="G26" i="339"/>
  <c r="B13" i="339"/>
  <c r="B22" i="339"/>
  <c r="G20" i="339"/>
  <c r="G21" i="338"/>
  <c r="H24" i="338"/>
  <c r="H26" i="338"/>
  <c r="G6" i="338"/>
  <c r="G9" i="338"/>
  <c r="B7" i="338"/>
  <c r="H22" i="338"/>
  <c r="B25" i="338"/>
  <c r="H25" i="338"/>
  <c r="G7" i="338"/>
  <c r="G8" i="338"/>
  <c r="B10" i="338"/>
  <c r="G15" i="338"/>
  <c r="H17" i="338"/>
  <c r="H21" i="338"/>
  <c r="G14" i="338"/>
  <c r="B16" i="338"/>
  <c r="H18" i="338"/>
  <c r="B22" i="338"/>
  <c r="G22" i="338"/>
  <c r="G12" i="338"/>
  <c r="G11" i="338"/>
  <c r="G17" i="338"/>
  <c r="G18" i="338"/>
  <c r="G19" i="338"/>
  <c r="G23" i="338"/>
  <c r="G24" i="338"/>
  <c r="G25" i="338"/>
  <c r="G26" i="338"/>
  <c r="B19" i="338"/>
  <c r="B13" i="338"/>
  <c r="H19" i="338"/>
  <c r="H23" i="338"/>
  <c r="G25" i="337"/>
  <c r="G13" i="337"/>
  <c r="G22" i="337"/>
  <c r="G9" i="337"/>
  <c r="G14" i="337"/>
  <c r="G7" i="337"/>
  <c r="G16" i="337"/>
  <c r="H17" i="337"/>
  <c r="H19" i="337"/>
  <c r="H24" i="337"/>
  <c r="G6" i="337"/>
  <c r="B10" i="337"/>
  <c r="G10" i="337"/>
  <c r="H26" i="337"/>
  <c r="H20" i="337"/>
  <c r="B25" i="337"/>
  <c r="G24" i="337"/>
  <c r="G26" i="337"/>
  <c r="H22" i="337"/>
  <c r="G23" i="337"/>
  <c r="G21" i="337"/>
  <c r="G12" i="337"/>
  <c r="H21" i="337"/>
  <c r="B7" i="337"/>
  <c r="G11" i="337"/>
  <c r="B16" i="337"/>
  <c r="B19" i="337"/>
  <c r="H23" i="337"/>
  <c r="H25" i="337"/>
  <c r="G8" i="337"/>
  <c r="B13" i="337"/>
  <c r="G17" i="337"/>
  <c r="G18" i="337"/>
  <c r="G19" i="337"/>
  <c r="B22" i="337"/>
  <c r="G20" i="337"/>
  <c r="G8" i="336"/>
  <c r="B22" i="336"/>
  <c r="G10" i="336"/>
  <c r="B13" i="336"/>
  <c r="G13" i="336"/>
  <c r="G14" i="336"/>
  <c r="G16" i="336"/>
  <c r="H24" i="336"/>
  <c r="B7" i="336"/>
  <c r="H17" i="336"/>
  <c r="H19" i="336"/>
  <c r="H26" i="336"/>
  <c r="H23" i="336"/>
  <c r="H25" i="336"/>
  <c r="G6" i="336"/>
  <c r="G7" i="336"/>
  <c r="G15" i="336"/>
  <c r="H18" i="336"/>
  <c r="G22" i="336"/>
  <c r="G20" i="336"/>
  <c r="G21" i="336"/>
  <c r="H20" i="336"/>
  <c r="H21" i="336"/>
  <c r="B10" i="336"/>
  <c r="B16" i="336"/>
  <c r="B19" i="336"/>
  <c r="H22" i="336"/>
  <c r="B25" i="336"/>
  <c r="G11" i="336"/>
  <c r="G17" i="336"/>
  <c r="G18" i="336"/>
  <c r="G19" i="336"/>
  <c r="G23" i="336"/>
  <c r="G24" i="336"/>
  <c r="G25" i="336"/>
  <c r="G26" i="336"/>
  <c r="G12" i="336"/>
  <c r="G18" i="335"/>
  <c r="H25" i="335"/>
  <c r="I25" i="335" s="1"/>
  <c r="G6" i="335"/>
  <c r="G9" i="335"/>
  <c r="H21" i="335"/>
  <c r="I21" i="335" s="1"/>
  <c r="H24" i="335"/>
  <c r="I24" i="335" s="1"/>
  <c r="G15" i="335"/>
  <c r="G16" i="335"/>
  <c r="H26" i="335"/>
  <c r="I26" i="335" s="1"/>
  <c r="G11" i="335"/>
  <c r="G7" i="335"/>
  <c r="G19" i="335"/>
  <c r="G24" i="335"/>
  <c r="G22" i="335"/>
  <c r="H18" i="335"/>
  <c r="I18" i="335" s="1"/>
  <c r="H23" i="335"/>
  <c r="I23" i="335" s="1"/>
  <c r="G25" i="335"/>
  <c r="B7" i="335"/>
  <c r="G8" i="335"/>
  <c r="G14" i="335"/>
  <c r="G20" i="335"/>
  <c r="G21" i="335"/>
  <c r="B10" i="335"/>
  <c r="G12" i="335"/>
  <c r="B16" i="335"/>
  <c r="B19" i="335"/>
  <c r="H20" i="335"/>
  <c r="I20" i="335" s="1"/>
  <c r="H22" i="335"/>
  <c r="I22" i="335" s="1"/>
  <c r="B25" i="335"/>
  <c r="G17" i="335"/>
  <c r="G23" i="335"/>
  <c r="G26" i="335"/>
  <c r="B22" i="335"/>
  <c r="H25" i="334"/>
  <c r="H23" i="334"/>
  <c r="G16" i="334"/>
  <c r="H19" i="334"/>
  <c r="G7" i="334"/>
  <c r="G14" i="334"/>
  <c r="B16" i="334"/>
  <c r="H18" i="334"/>
  <c r="H24" i="334"/>
  <c r="H26" i="334"/>
  <c r="G8" i="334"/>
  <c r="B10" i="334"/>
  <c r="G22" i="334"/>
  <c r="G21" i="334"/>
  <c r="H22" i="334"/>
  <c r="B25" i="334"/>
  <c r="B19" i="334"/>
  <c r="H21" i="334"/>
  <c r="H20" i="334"/>
  <c r="G12" i="334"/>
  <c r="G6" i="334"/>
  <c r="G11" i="334"/>
  <c r="G17" i="334"/>
  <c r="G18" i="334"/>
  <c r="G19" i="334"/>
  <c r="G23" i="334"/>
  <c r="G24" i="334"/>
  <c r="G25" i="334"/>
  <c r="G26" i="334"/>
  <c r="G9" i="334"/>
  <c r="B13" i="334"/>
  <c r="G15" i="334"/>
  <c r="H17" i="334"/>
  <c r="B22" i="334"/>
  <c r="G20" i="334"/>
  <c r="G24" i="333"/>
  <c r="H18" i="333"/>
  <c r="B7" i="333"/>
  <c r="G7" i="333"/>
  <c r="G10" i="333"/>
  <c r="G13" i="333"/>
  <c r="G14" i="333"/>
  <c r="G21" i="333"/>
  <c r="G8" i="333"/>
  <c r="G26" i="333"/>
  <c r="G6" i="333"/>
  <c r="B13" i="333"/>
  <c r="G19" i="333"/>
  <c r="H25" i="333"/>
  <c r="G18" i="333"/>
  <c r="H19" i="333"/>
  <c r="G22" i="333"/>
  <c r="H24" i="333"/>
  <c r="G9" i="333"/>
  <c r="G15" i="333"/>
  <c r="H17" i="333"/>
  <c r="B10" i="333"/>
  <c r="G12" i="333"/>
  <c r="B16" i="333"/>
  <c r="B19" i="333"/>
  <c r="H20" i="333"/>
  <c r="H21" i="333"/>
  <c r="H22" i="333"/>
  <c r="B25" i="333"/>
  <c r="G11" i="333"/>
  <c r="G17" i="333"/>
  <c r="G23" i="333"/>
  <c r="B22" i="333"/>
  <c r="H26" i="333"/>
  <c r="G20" i="333"/>
  <c r="O10" i="338" l="1"/>
  <c r="O28" i="333"/>
  <c r="O28" i="336"/>
  <c r="O28" i="338"/>
  <c r="J26" i="340"/>
  <c r="J26" i="337"/>
  <c r="J38" i="337"/>
  <c r="O28" i="337"/>
  <c r="J26" i="338"/>
  <c r="J38" i="338"/>
  <c r="J26" i="342"/>
  <c r="J38" i="342"/>
  <c r="J26" i="334"/>
  <c r="J38" i="334"/>
  <c r="O13" i="338"/>
  <c r="J26" i="336"/>
  <c r="J38" i="336"/>
  <c r="J26" i="333"/>
  <c r="O19" i="337"/>
  <c r="O22" i="337"/>
  <c r="O25" i="337"/>
  <c r="L31" i="170"/>
  <c r="M40" i="170"/>
  <c r="D13" i="335"/>
  <c r="D10" i="342"/>
  <c r="D10" i="340"/>
  <c r="D13" i="334"/>
  <c r="D13" i="333"/>
  <c r="D10" i="339"/>
  <c r="D13" i="337"/>
  <c r="D13" i="336"/>
  <c r="D13" i="339"/>
  <c r="D13" i="342"/>
  <c r="D10" i="335"/>
  <c r="D13" i="340"/>
  <c r="D10" i="338"/>
  <c r="E22" i="342"/>
  <c r="D22" i="342"/>
  <c r="E22" i="335"/>
  <c r="D22" i="335"/>
  <c r="E25" i="333"/>
  <c r="D25" i="333"/>
  <c r="D28" i="333"/>
  <c r="D16" i="340"/>
  <c r="E28" i="340"/>
  <c r="E25" i="338"/>
  <c r="D25" i="338"/>
  <c r="D28" i="338"/>
  <c r="D16" i="339"/>
  <c r="E28" i="339"/>
  <c r="E25" i="337"/>
  <c r="D25" i="337"/>
  <c r="D28" i="337"/>
  <c r="D16" i="337"/>
  <c r="E28" i="337"/>
  <c r="D13" i="338"/>
  <c r="E22" i="336"/>
  <c r="D22" i="336"/>
  <c r="E19" i="342"/>
  <c r="D19" i="342"/>
  <c r="E25" i="339"/>
  <c r="D25" i="339"/>
  <c r="D28" i="339"/>
  <c r="E19" i="335"/>
  <c r="D19" i="335"/>
  <c r="E19" i="339"/>
  <c r="D19" i="339"/>
  <c r="E19" i="338"/>
  <c r="D19" i="338"/>
  <c r="E19" i="337"/>
  <c r="D19" i="337"/>
  <c r="E22" i="340"/>
  <c r="D22" i="340"/>
  <c r="E25" i="336"/>
  <c r="D25" i="336"/>
  <c r="D28" i="336"/>
  <c r="D16" i="334"/>
  <c r="E28" i="334"/>
  <c r="E25" i="334"/>
  <c r="D25" i="334"/>
  <c r="D28" i="334"/>
  <c r="E25" i="335"/>
  <c r="D25" i="335"/>
  <c r="D28" i="335"/>
  <c r="E25" i="340"/>
  <c r="D25" i="340"/>
  <c r="D28" i="340"/>
  <c r="D16" i="336"/>
  <c r="E28" i="336"/>
  <c r="E25" i="342"/>
  <c r="D25" i="342"/>
  <c r="D28" i="342"/>
  <c r="E22" i="337"/>
  <c r="D22" i="337"/>
  <c r="E19" i="340"/>
  <c r="D19" i="340"/>
  <c r="E22" i="334"/>
  <c r="D22" i="334"/>
  <c r="D16" i="333"/>
  <c r="E28" i="333"/>
  <c r="E22" i="338"/>
  <c r="D22" i="338"/>
  <c r="E22" i="339"/>
  <c r="D22" i="339"/>
  <c r="D16" i="342"/>
  <c r="E28" i="342"/>
  <c r="D16" i="335"/>
  <c r="E28" i="335"/>
  <c r="E19" i="333"/>
  <c r="D19" i="333"/>
  <c r="E19" i="336"/>
  <c r="D19" i="336"/>
  <c r="E19" i="334"/>
  <c r="D19" i="334"/>
  <c r="D10" i="334"/>
  <c r="D10" i="333"/>
  <c r="D16" i="338"/>
  <c r="E28" i="338"/>
  <c r="D10" i="337"/>
  <c r="D10" i="336"/>
  <c r="E22" i="333"/>
  <c r="D22" i="333"/>
  <c r="B28" i="170"/>
  <c r="C28" i="170"/>
  <c r="E40" i="170" s="1"/>
  <c r="O22" i="342"/>
  <c r="O22" i="334"/>
  <c r="O22" i="340"/>
  <c r="O25" i="334"/>
  <c r="N10" i="335"/>
  <c r="N25" i="335"/>
  <c r="N22" i="335"/>
  <c r="O25" i="342"/>
  <c r="O13" i="333"/>
  <c r="O25" i="340"/>
  <c r="O13" i="342"/>
  <c r="O10" i="333"/>
  <c r="O16" i="338"/>
  <c r="O10" i="336"/>
  <c r="O10" i="342"/>
  <c r="O25" i="336"/>
  <c r="L28" i="170"/>
  <c r="O16" i="336"/>
  <c r="O19" i="333"/>
  <c r="O28" i="342"/>
  <c r="N28" i="335"/>
  <c r="O28" i="340"/>
  <c r="O28" i="334"/>
  <c r="O22" i="339"/>
  <c r="O22" i="333"/>
  <c r="O22" i="338"/>
  <c r="O10" i="339"/>
  <c r="L25" i="170"/>
  <c r="O25" i="338"/>
  <c r="O25" i="333"/>
  <c r="O25" i="339"/>
  <c r="O22" i="336"/>
  <c r="G27" i="170"/>
  <c r="O13" i="340"/>
  <c r="O16" i="333"/>
  <c r="O19" i="338"/>
  <c r="O19" i="342"/>
  <c r="O19" i="334"/>
  <c r="O16" i="334"/>
  <c r="O16" i="340"/>
  <c r="O13" i="339"/>
  <c r="N13" i="335"/>
  <c r="O13" i="336"/>
  <c r="O19" i="336"/>
  <c r="O16" i="342"/>
  <c r="O10" i="340"/>
  <c r="O13" i="337"/>
  <c r="N16" i="335"/>
  <c r="O10" i="334"/>
  <c r="O16" i="339"/>
  <c r="O13" i="334"/>
  <c r="O16" i="337"/>
  <c r="O10" i="337"/>
  <c r="N19" i="335"/>
  <c r="O19" i="339"/>
  <c r="O19" i="340"/>
  <c r="D31" i="170" l="1"/>
  <c r="T26" i="332"/>
  <c r="T25" i="332"/>
  <c r="I25" i="332" s="1"/>
  <c r="F25" i="332"/>
  <c r="T24" i="332"/>
  <c r="I24" i="332" s="1"/>
  <c r="F24" i="332"/>
  <c r="T23" i="332"/>
  <c r="I23" i="332" s="1"/>
  <c r="F23" i="332"/>
  <c r="T22" i="332"/>
  <c r="I22" i="332" s="1"/>
  <c r="F22" i="332"/>
  <c r="T21" i="332"/>
  <c r="I21" i="332" s="1"/>
  <c r="F21" i="332"/>
  <c r="T20" i="332"/>
  <c r="I20" i="332" s="1"/>
  <c r="F20" i="332"/>
  <c r="K19" i="332"/>
  <c r="U19" i="332"/>
  <c r="T19" i="332"/>
  <c r="I19" i="332" s="1"/>
  <c r="F19" i="332"/>
  <c r="T18" i="332"/>
  <c r="I18" i="332" s="1"/>
  <c r="F18" i="332"/>
  <c r="T17" i="332"/>
  <c r="I17" i="332" s="1"/>
  <c r="F17" i="332"/>
  <c r="K16" i="332"/>
  <c r="U16" i="332"/>
  <c r="M28" i="332" s="1"/>
  <c r="T16" i="332"/>
  <c r="I16" i="332" s="1"/>
  <c r="J28" i="332" s="1"/>
  <c r="F16" i="332"/>
  <c r="T15" i="332"/>
  <c r="I15" i="332" s="1"/>
  <c r="J27" i="332" s="1"/>
  <c r="F15" i="332"/>
  <c r="T14" i="332"/>
  <c r="I14" i="332" s="1"/>
  <c r="F14" i="332"/>
  <c r="K13" i="332"/>
  <c r="U13" i="332"/>
  <c r="M25" i="332" s="1"/>
  <c r="T13" i="332"/>
  <c r="I13" i="332" s="1"/>
  <c r="F13" i="332"/>
  <c r="T12" i="332"/>
  <c r="I12" i="332" s="1"/>
  <c r="F12" i="332"/>
  <c r="T11" i="332"/>
  <c r="I11" i="332" s="1"/>
  <c r="F11" i="332"/>
  <c r="K10" i="332"/>
  <c r="U10" i="332"/>
  <c r="M22" i="332" s="1"/>
  <c r="T10" i="332"/>
  <c r="I10" i="332" s="1"/>
  <c r="F10" i="332"/>
  <c r="T9" i="332"/>
  <c r="I9" i="332" s="1"/>
  <c r="F9" i="332"/>
  <c r="T8" i="332"/>
  <c r="I8" i="332" s="1"/>
  <c r="F8" i="332"/>
  <c r="U7" i="332"/>
  <c r="T7" i="332"/>
  <c r="I7" i="332" s="1"/>
  <c r="F7" i="332"/>
  <c r="T6" i="332"/>
  <c r="I6" i="332" s="1"/>
  <c r="F6" i="332"/>
  <c r="T5" i="332"/>
  <c r="I5" i="332" s="1"/>
  <c r="F5" i="332"/>
  <c r="J19" i="332" l="1"/>
  <c r="J31" i="332"/>
  <c r="J21" i="332"/>
  <c r="J33" i="332"/>
  <c r="J17" i="332"/>
  <c r="J29" i="332"/>
  <c r="J22" i="332"/>
  <c r="J34" i="332"/>
  <c r="J25" i="332"/>
  <c r="J37" i="332"/>
  <c r="N28" i="332"/>
  <c r="O31" i="332" s="1"/>
  <c r="I26" i="332"/>
  <c r="J24" i="332"/>
  <c r="J36" i="332"/>
  <c r="J18" i="332"/>
  <c r="J30" i="332"/>
  <c r="J20" i="332"/>
  <c r="J32" i="332"/>
  <c r="J23" i="332"/>
  <c r="J35" i="332"/>
  <c r="H30" i="332"/>
  <c r="H33" i="332"/>
  <c r="H35" i="332"/>
  <c r="H37" i="332"/>
  <c r="H27" i="332"/>
  <c r="H31" i="332"/>
  <c r="H32" i="332"/>
  <c r="H34" i="332"/>
  <c r="H36" i="332"/>
  <c r="L22" i="332"/>
  <c r="M31" i="332"/>
  <c r="C25" i="332"/>
  <c r="E37" i="332" s="1"/>
  <c r="C7" i="332"/>
  <c r="C10" i="332"/>
  <c r="C13" i="332"/>
  <c r="C16" i="332"/>
  <c r="H29" i="332"/>
  <c r="C19" i="332"/>
  <c r="E31" i="332" s="1"/>
  <c r="C22" i="332"/>
  <c r="E34" i="332" s="1"/>
  <c r="N22" i="332"/>
  <c r="N25" i="332"/>
  <c r="G16" i="332"/>
  <c r="H28" i="332"/>
  <c r="G13" i="332"/>
  <c r="N10" i="332"/>
  <c r="N13" i="332"/>
  <c r="N16" i="332"/>
  <c r="N19" i="332"/>
  <c r="N7" i="332"/>
  <c r="L10" i="332"/>
  <c r="L13" i="332"/>
  <c r="L16" i="332"/>
  <c r="L19" i="332"/>
  <c r="M19" i="332"/>
  <c r="G7" i="332"/>
  <c r="B10" i="332"/>
  <c r="B13" i="332"/>
  <c r="B19" i="332"/>
  <c r="H20" i="332"/>
  <c r="H23" i="332"/>
  <c r="H25" i="332"/>
  <c r="G6" i="332"/>
  <c r="H21" i="332"/>
  <c r="H24" i="332"/>
  <c r="H19" i="332"/>
  <c r="G14" i="332"/>
  <c r="B16" i="332"/>
  <c r="H18" i="332"/>
  <c r="H26" i="332"/>
  <c r="B7" i="332"/>
  <c r="G12" i="332"/>
  <c r="G15" i="332"/>
  <c r="G17" i="332"/>
  <c r="G18" i="332"/>
  <c r="H22" i="332"/>
  <c r="G19" i="332"/>
  <c r="G9" i="332"/>
  <c r="B22" i="332"/>
  <c r="G22" i="332"/>
  <c r="G8" i="332"/>
  <c r="G10" i="332"/>
  <c r="H17" i="332"/>
  <c r="G20" i="332"/>
  <c r="G21" i="332"/>
  <c r="B25" i="332"/>
  <c r="G25" i="332"/>
  <c r="G26" i="332"/>
  <c r="G11" i="332"/>
  <c r="G23" i="332"/>
  <c r="G24" i="332"/>
  <c r="J26" i="332" l="1"/>
  <c r="J38" i="332"/>
  <c r="D10" i="332"/>
  <c r="D13" i="332"/>
  <c r="E22" i="332"/>
  <c r="D22" i="332"/>
  <c r="E19" i="332"/>
  <c r="D19" i="332"/>
  <c r="D16" i="332"/>
  <c r="E28" i="332"/>
  <c r="E25" i="332"/>
  <c r="D25" i="332"/>
  <c r="D28" i="332"/>
  <c r="O25" i="332"/>
  <c r="O28" i="332"/>
  <c r="O19" i="332"/>
  <c r="O13" i="332"/>
  <c r="O22" i="332"/>
  <c r="O16" i="332"/>
  <c r="O10" i="332"/>
  <c r="K28" i="327" l="1"/>
  <c r="F26" i="327"/>
  <c r="F23" i="327"/>
  <c r="F22" i="327"/>
  <c r="F21" i="327"/>
  <c r="F18" i="327"/>
  <c r="F17" i="327"/>
  <c r="F16" i="327"/>
  <c r="F14" i="327"/>
  <c r="F13" i="327"/>
  <c r="F12" i="327"/>
  <c r="F10" i="327"/>
  <c r="F9" i="327"/>
  <c r="F8" i="327"/>
  <c r="F6" i="327"/>
  <c r="F5" i="327"/>
  <c r="T26" i="329"/>
  <c r="T25" i="329"/>
  <c r="I25" i="329" s="1"/>
  <c r="F25" i="329"/>
  <c r="T24" i="329"/>
  <c r="I24" i="329" s="1"/>
  <c r="F24" i="329"/>
  <c r="T23" i="329"/>
  <c r="I23" i="329" s="1"/>
  <c r="F23" i="329"/>
  <c r="T22" i="329"/>
  <c r="I22" i="329" s="1"/>
  <c r="F22" i="329"/>
  <c r="T21" i="329"/>
  <c r="I21" i="329" s="1"/>
  <c r="F21" i="329"/>
  <c r="T20" i="329"/>
  <c r="I20" i="329" s="1"/>
  <c r="F20" i="329"/>
  <c r="K19" i="329"/>
  <c r="U19" i="329"/>
  <c r="T19" i="329"/>
  <c r="I19" i="329" s="1"/>
  <c r="F19" i="329"/>
  <c r="T18" i="329"/>
  <c r="I18" i="329" s="1"/>
  <c r="F18" i="329"/>
  <c r="T17" i="329"/>
  <c r="I17" i="329" s="1"/>
  <c r="F17" i="329"/>
  <c r="K16" i="329"/>
  <c r="U16" i="329"/>
  <c r="M28" i="329" s="1"/>
  <c r="T16" i="329"/>
  <c r="I16" i="329" s="1"/>
  <c r="J28" i="329" s="1"/>
  <c r="F16" i="329"/>
  <c r="T15" i="329"/>
  <c r="I15" i="329" s="1"/>
  <c r="J27" i="329" s="1"/>
  <c r="F15" i="329"/>
  <c r="T14" i="329"/>
  <c r="I14" i="329" s="1"/>
  <c r="F14" i="329"/>
  <c r="K13" i="329"/>
  <c r="U13" i="329"/>
  <c r="M25" i="329" s="1"/>
  <c r="T13" i="329"/>
  <c r="I13" i="329" s="1"/>
  <c r="F13" i="329"/>
  <c r="T12" i="329"/>
  <c r="I12" i="329" s="1"/>
  <c r="F12" i="329"/>
  <c r="T11" i="329"/>
  <c r="I11" i="329" s="1"/>
  <c r="F11" i="329"/>
  <c r="K10" i="329"/>
  <c r="U10" i="329"/>
  <c r="M22" i="329" s="1"/>
  <c r="T10" i="329"/>
  <c r="I10" i="329" s="1"/>
  <c r="F10" i="329"/>
  <c r="T9" i="329"/>
  <c r="I9" i="329" s="1"/>
  <c r="F9" i="329"/>
  <c r="T8" i="329"/>
  <c r="I8" i="329" s="1"/>
  <c r="F8" i="329"/>
  <c r="K7" i="329"/>
  <c r="U7" i="329"/>
  <c r="T7" i="329"/>
  <c r="I7" i="329" s="1"/>
  <c r="F7" i="329"/>
  <c r="T6" i="329"/>
  <c r="I6" i="329" s="1"/>
  <c r="F6" i="329"/>
  <c r="T5" i="329"/>
  <c r="I5" i="329" s="1"/>
  <c r="F5" i="329"/>
  <c r="T26" i="328"/>
  <c r="T25" i="328"/>
  <c r="I25" i="328" s="1"/>
  <c r="F25" i="328"/>
  <c r="T24" i="328"/>
  <c r="I24" i="328" s="1"/>
  <c r="J36" i="328" s="1"/>
  <c r="F24" i="328"/>
  <c r="T23" i="328"/>
  <c r="I23" i="328" s="1"/>
  <c r="F23" i="328"/>
  <c r="T22" i="328"/>
  <c r="I22" i="328" s="1"/>
  <c r="F22" i="328"/>
  <c r="T21" i="328"/>
  <c r="I21" i="328" s="1"/>
  <c r="F21" i="328"/>
  <c r="T20" i="328"/>
  <c r="I20" i="328" s="1"/>
  <c r="J32" i="328" s="1"/>
  <c r="F20" i="328"/>
  <c r="K19" i="328"/>
  <c r="U19" i="328"/>
  <c r="T19" i="328"/>
  <c r="I19" i="328" s="1"/>
  <c r="F19" i="328"/>
  <c r="T18" i="328"/>
  <c r="I18" i="328" s="1"/>
  <c r="F18" i="328"/>
  <c r="T17" i="328"/>
  <c r="I17" i="328" s="1"/>
  <c r="F17" i="328"/>
  <c r="K16" i="328"/>
  <c r="U16" i="328"/>
  <c r="M28" i="328" s="1"/>
  <c r="T16" i="328"/>
  <c r="I16" i="328" s="1"/>
  <c r="J28" i="328" s="1"/>
  <c r="F16" i="328"/>
  <c r="T15" i="328"/>
  <c r="I15" i="328" s="1"/>
  <c r="J27" i="328" s="1"/>
  <c r="F15" i="328"/>
  <c r="T14" i="328"/>
  <c r="I14" i="328" s="1"/>
  <c r="F14" i="328"/>
  <c r="K13" i="328"/>
  <c r="U13" i="328"/>
  <c r="M25" i="328" s="1"/>
  <c r="T13" i="328"/>
  <c r="I13" i="328" s="1"/>
  <c r="F13" i="328"/>
  <c r="T12" i="328"/>
  <c r="I12" i="328" s="1"/>
  <c r="F12" i="328"/>
  <c r="T11" i="328"/>
  <c r="I11" i="328" s="1"/>
  <c r="F11" i="328"/>
  <c r="K10" i="328"/>
  <c r="U10" i="328"/>
  <c r="M22" i="328" s="1"/>
  <c r="T10" i="328"/>
  <c r="I10" i="328" s="1"/>
  <c r="F10" i="328"/>
  <c r="T9" i="328"/>
  <c r="I9" i="328" s="1"/>
  <c r="F9" i="328"/>
  <c r="T8" i="328"/>
  <c r="I8" i="328" s="1"/>
  <c r="F8" i="328"/>
  <c r="K7" i="328"/>
  <c r="U7" i="328"/>
  <c r="T7" i="328"/>
  <c r="I7" i="328" s="1"/>
  <c r="F7" i="328"/>
  <c r="T6" i="328"/>
  <c r="I6" i="328" s="1"/>
  <c r="F6" i="328"/>
  <c r="T5" i="328"/>
  <c r="I5" i="328" s="1"/>
  <c r="F5" i="328"/>
  <c r="K16" i="327"/>
  <c r="K13" i="327"/>
  <c r="K10" i="327"/>
  <c r="K7" i="327"/>
  <c r="T26" i="326"/>
  <c r="T25" i="326"/>
  <c r="I25" i="326" s="1"/>
  <c r="F25" i="326"/>
  <c r="T24" i="326"/>
  <c r="I24" i="326" s="1"/>
  <c r="F24" i="326"/>
  <c r="T23" i="326"/>
  <c r="I23" i="326" s="1"/>
  <c r="F23" i="326"/>
  <c r="T22" i="326"/>
  <c r="I22" i="326" s="1"/>
  <c r="F22" i="326"/>
  <c r="T21" i="326"/>
  <c r="I21" i="326" s="1"/>
  <c r="F21" i="326"/>
  <c r="T20" i="326"/>
  <c r="I20" i="326" s="1"/>
  <c r="F20" i="326"/>
  <c r="K19" i="326"/>
  <c r="U19" i="326"/>
  <c r="T19" i="326"/>
  <c r="I19" i="326" s="1"/>
  <c r="F19" i="326"/>
  <c r="T18" i="326"/>
  <c r="I18" i="326" s="1"/>
  <c r="F18" i="326"/>
  <c r="T17" i="326"/>
  <c r="I17" i="326" s="1"/>
  <c r="F17" i="326"/>
  <c r="K16" i="326"/>
  <c r="U16" i="326"/>
  <c r="M28" i="326" s="1"/>
  <c r="T16" i="326"/>
  <c r="I16" i="326" s="1"/>
  <c r="J28" i="326" s="1"/>
  <c r="F16" i="326"/>
  <c r="T15" i="326"/>
  <c r="I15" i="326" s="1"/>
  <c r="J27" i="326" s="1"/>
  <c r="F15" i="326"/>
  <c r="T14" i="326"/>
  <c r="I14" i="326" s="1"/>
  <c r="F14" i="326"/>
  <c r="K13" i="326"/>
  <c r="U13" i="326"/>
  <c r="M25" i="326" s="1"/>
  <c r="T13" i="326"/>
  <c r="I13" i="326" s="1"/>
  <c r="F13" i="326"/>
  <c r="T12" i="326"/>
  <c r="I12" i="326" s="1"/>
  <c r="F12" i="326"/>
  <c r="T11" i="326"/>
  <c r="I11" i="326" s="1"/>
  <c r="F11" i="326"/>
  <c r="K10" i="326"/>
  <c r="U10" i="326"/>
  <c r="M22" i="326" s="1"/>
  <c r="T10" i="326"/>
  <c r="I10" i="326" s="1"/>
  <c r="F10" i="326"/>
  <c r="T9" i="326"/>
  <c r="I9" i="326" s="1"/>
  <c r="F9" i="326"/>
  <c r="T8" i="326"/>
  <c r="I8" i="326" s="1"/>
  <c r="F8" i="326"/>
  <c r="K7" i="326"/>
  <c r="U7" i="326"/>
  <c r="T7" i="326"/>
  <c r="I7" i="326" s="1"/>
  <c r="F7" i="326"/>
  <c r="T6" i="326"/>
  <c r="I6" i="326" s="1"/>
  <c r="F6" i="326"/>
  <c r="T5" i="326"/>
  <c r="I5" i="326" s="1"/>
  <c r="F5" i="326"/>
  <c r="J24" i="328" l="1"/>
  <c r="J20" i="328"/>
  <c r="J18" i="326"/>
  <c r="J30" i="326"/>
  <c r="J20" i="326"/>
  <c r="J32" i="326"/>
  <c r="J23" i="326"/>
  <c r="J35" i="326"/>
  <c r="J17" i="329"/>
  <c r="J29" i="329"/>
  <c r="J22" i="329"/>
  <c r="J34" i="329"/>
  <c r="J25" i="329"/>
  <c r="J37" i="329"/>
  <c r="J17" i="328"/>
  <c r="J29" i="328"/>
  <c r="J22" i="328"/>
  <c r="J34" i="328"/>
  <c r="J25" i="328"/>
  <c r="J37" i="328"/>
  <c r="N28" i="329"/>
  <c r="O31" i="329" s="1"/>
  <c r="I26" i="329"/>
  <c r="J20" i="329"/>
  <c r="J32" i="329"/>
  <c r="J23" i="329"/>
  <c r="J35" i="329"/>
  <c r="J21" i="326"/>
  <c r="J33" i="326"/>
  <c r="N28" i="328"/>
  <c r="O31" i="328" s="1"/>
  <c r="I26" i="328"/>
  <c r="J18" i="328"/>
  <c r="J30" i="328"/>
  <c r="J23" i="328"/>
  <c r="J35" i="328"/>
  <c r="J19" i="326"/>
  <c r="J31" i="326"/>
  <c r="J18" i="329"/>
  <c r="J30" i="329"/>
  <c r="J17" i="326"/>
  <c r="J29" i="326"/>
  <c r="J22" i="326"/>
  <c r="J34" i="326"/>
  <c r="J25" i="326"/>
  <c r="J37" i="326"/>
  <c r="J19" i="329"/>
  <c r="J31" i="329"/>
  <c r="J21" i="329"/>
  <c r="J33" i="329"/>
  <c r="J24" i="329"/>
  <c r="J36" i="329"/>
  <c r="J24" i="326"/>
  <c r="J36" i="326"/>
  <c r="N28" i="326"/>
  <c r="O31" i="326" s="1"/>
  <c r="I26" i="326"/>
  <c r="J19" i="328"/>
  <c r="J31" i="328"/>
  <c r="J21" i="328"/>
  <c r="J33" i="328"/>
  <c r="N7" i="328"/>
  <c r="N10" i="328"/>
  <c r="N25" i="328"/>
  <c r="N13" i="328"/>
  <c r="N19" i="328"/>
  <c r="N22" i="328"/>
  <c r="H27" i="328"/>
  <c r="H30" i="328"/>
  <c r="H33" i="328"/>
  <c r="H35" i="328"/>
  <c r="H37" i="328"/>
  <c r="H35" i="327"/>
  <c r="H28" i="326"/>
  <c r="H31" i="326"/>
  <c r="H32" i="326"/>
  <c r="H34" i="326"/>
  <c r="H36" i="326"/>
  <c r="H27" i="329"/>
  <c r="H30" i="329"/>
  <c r="H33" i="329"/>
  <c r="H35" i="329"/>
  <c r="H37" i="329"/>
  <c r="H28" i="327"/>
  <c r="H28" i="328"/>
  <c r="H31" i="328"/>
  <c r="H32" i="328"/>
  <c r="H34" i="328"/>
  <c r="H36" i="328"/>
  <c r="H33" i="327"/>
  <c r="H27" i="326"/>
  <c r="H30" i="326"/>
  <c r="H33" i="326"/>
  <c r="H35" i="326"/>
  <c r="H37" i="326"/>
  <c r="H31" i="329"/>
  <c r="H32" i="329"/>
  <c r="H34" i="329"/>
  <c r="H36" i="329"/>
  <c r="H30" i="327"/>
  <c r="H34" i="327"/>
  <c r="H38" i="327"/>
  <c r="H22" i="328"/>
  <c r="H19" i="326"/>
  <c r="L22" i="328"/>
  <c r="M31" i="328"/>
  <c r="L22" i="329"/>
  <c r="M31" i="329"/>
  <c r="L22" i="326"/>
  <c r="M31" i="326"/>
  <c r="C22" i="329"/>
  <c r="E34" i="329" s="1"/>
  <c r="C25" i="328"/>
  <c r="E37" i="328" s="1"/>
  <c r="C10" i="327"/>
  <c r="C22" i="326"/>
  <c r="E34" i="326" s="1"/>
  <c r="C25" i="326"/>
  <c r="E37" i="326" s="1"/>
  <c r="C10" i="326"/>
  <c r="C7" i="326"/>
  <c r="C13" i="326"/>
  <c r="C16" i="326"/>
  <c r="H29" i="326"/>
  <c r="C19" i="326"/>
  <c r="E31" i="326" s="1"/>
  <c r="C25" i="329"/>
  <c r="E37" i="329" s="1"/>
  <c r="C7" i="328"/>
  <c r="C10" i="328"/>
  <c r="C13" i="328"/>
  <c r="C16" i="328"/>
  <c r="H29" i="328"/>
  <c r="C19" i="328"/>
  <c r="E31" i="328" s="1"/>
  <c r="C22" i="328"/>
  <c r="E34" i="328" s="1"/>
  <c r="H29" i="327"/>
  <c r="C7" i="329"/>
  <c r="C10" i="329"/>
  <c r="C13" i="329"/>
  <c r="C16" i="329"/>
  <c r="H29" i="329"/>
  <c r="C19" i="329"/>
  <c r="E31" i="329" s="1"/>
  <c r="T26" i="327"/>
  <c r="T24" i="327"/>
  <c r="I24" i="327" s="1"/>
  <c r="J36" i="327" s="1"/>
  <c r="K22" i="327"/>
  <c r="N22" i="329"/>
  <c r="N22" i="326"/>
  <c r="N25" i="326"/>
  <c r="N25" i="329"/>
  <c r="K25" i="327"/>
  <c r="T20" i="327"/>
  <c r="I20" i="327" s="1"/>
  <c r="J32" i="327" s="1"/>
  <c r="U22" i="327"/>
  <c r="M34" i="327" s="1"/>
  <c r="G10" i="329"/>
  <c r="G16" i="329"/>
  <c r="H28" i="329"/>
  <c r="F25" i="327"/>
  <c r="U25" i="327"/>
  <c r="M37" i="327" s="1"/>
  <c r="U28" i="327"/>
  <c r="U13" i="327"/>
  <c r="L16" i="328"/>
  <c r="T12" i="327"/>
  <c r="I12" i="327" s="1"/>
  <c r="T6" i="327"/>
  <c r="I6" i="327" s="1"/>
  <c r="T14" i="327"/>
  <c r="I14" i="327" s="1"/>
  <c r="T18" i="327"/>
  <c r="I18" i="327" s="1"/>
  <c r="J30" i="327" s="1"/>
  <c r="T22" i="327"/>
  <c r="I22" i="327" s="1"/>
  <c r="J34" i="327" s="1"/>
  <c r="L10" i="328"/>
  <c r="M19" i="328"/>
  <c r="L19" i="328"/>
  <c r="L13" i="328"/>
  <c r="F20" i="327"/>
  <c r="N16" i="328"/>
  <c r="N7" i="329"/>
  <c r="N10" i="329"/>
  <c r="N13" i="329"/>
  <c r="N16" i="329"/>
  <c r="N19" i="329"/>
  <c r="L10" i="329"/>
  <c r="L13" i="329"/>
  <c r="L16" i="329"/>
  <c r="L19" i="329"/>
  <c r="M19" i="329"/>
  <c r="L10" i="326"/>
  <c r="L13" i="326"/>
  <c r="L16" i="326"/>
  <c r="N7" i="326"/>
  <c r="N10" i="326"/>
  <c r="N13" i="326"/>
  <c r="N16" i="326"/>
  <c r="N19" i="326"/>
  <c r="M19" i="326"/>
  <c r="L19" i="326"/>
  <c r="G7" i="329"/>
  <c r="T10" i="327"/>
  <c r="I10" i="327" s="1"/>
  <c r="F24" i="327"/>
  <c r="U10" i="327"/>
  <c r="U7" i="327"/>
  <c r="T5" i="327"/>
  <c r="I5" i="327" s="1"/>
  <c r="T9" i="327"/>
  <c r="I9" i="327" s="1"/>
  <c r="T13" i="327"/>
  <c r="I13" i="327" s="1"/>
  <c r="B7" i="329"/>
  <c r="B16" i="329"/>
  <c r="B10" i="329"/>
  <c r="U19" i="327"/>
  <c r="M31" i="327" s="1"/>
  <c r="T17" i="327"/>
  <c r="I17" i="327" s="1"/>
  <c r="T21" i="327"/>
  <c r="I21" i="327" s="1"/>
  <c r="T25" i="327"/>
  <c r="I25" i="327" s="1"/>
  <c r="K19" i="327"/>
  <c r="F19" i="327"/>
  <c r="G10" i="326"/>
  <c r="G13" i="326"/>
  <c r="G15" i="329"/>
  <c r="H21" i="329"/>
  <c r="G24" i="329"/>
  <c r="B7" i="326"/>
  <c r="B10" i="326"/>
  <c r="B16" i="326"/>
  <c r="G6" i="328"/>
  <c r="H25" i="329"/>
  <c r="F7" i="327"/>
  <c r="G11" i="329"/>
  <c r="B13" i="329"/>
  <c r="G17" i="329"/>
  <c r="B19" i="329"/>
  <c r="F11" i="327"/>
  <c r="G13" i="329"/>
  <c r="H20" i="329"/>
  <c r="G22" i="329"/>
  <c r="G23" i="329"/>
  <c r="H24" i="329"/>
  <c r="H26" i="329"/>
  <c r="G21" i="328"/>
  <c r="G6" i="329"/>
  <c r="G9" i="329"/>
  <c r="G12" i="329"/>
  <c r="G14" i="329"/>
  <c r="G19" i="329"/>
  <c r="H23" i="329"/>
  <c r="T8" i="327"/>
  <c r="I8" i="327" s="1"/>
  <c r="T16" i="327"/>
  <c r="I16" i="327" s="1"/>
  <c r="J28" i="327" s="1"/>
  <c r="T15" i="327"/>
  <c r="I15" i="327" s="1"/>
  <c r="J27" i="327" s="1"/>
  <c r="T23" i="327"/>
  <c r="I23" i="327" s="1"/>
  <c r="T7" i="327"/>
  <c r="I7" i="327" s="1"/>
  <c r="T11" i="327"/>
  <c r="I11" i="327" s="1"/>
  <c r="T19" i="327"/>
  <c r="I19" i="327" s="1"/>
  <c r="F15" i="327"/>
  <c r="U16" i="327"/>
  <c r="G7" i="328"/>
  <c r="B10" i="328"/>
  <c r="B13" i="328"/>
  <c r="G13" i="328"/>
  <c r="G14" i="328"/>
  <c r="B16" i="328"/>
  <c r="H24" i="328"/>
  <c r="G16" i="328"/>
  <c r="B7" i="328"/>
  <c r="G12" i="328"/>
  <c r="G15" i="328"/>
  <c r="G17" i="328"/>
  <c r="H23" i="328"/>
  <c r="G26" i="328"/>
  <c r="G25" i="328"/>
  <c r="G18" i="328"/>
  <c r="H18" i="328"/>
  <c r="G19" i="328"/>
  <c r="B19" i="328"/>
  <c r="H19" i="328"/>
  <c r="G20" i="328"/>
  <c r="G18" i="329"/>
  <c r="H19" i="329"/>
  <c r="G8" i="329"/>
  <c r="H17" i="329"/>
  <c r="H18" i="329"/>
  <c r="G20" i="329"/>
  <c r="G21" i="329"/>
  <c r="H22" i="329"/>
  <c r="B25" i="329"/>
  <c r="G25" i="329"/>
  <c r="G26" i="329"/>
  <c r="B22" i="329"/>
  <c r="H20" i="328"/>
  <c r="H21" i="328"/>
  <c r="G23" i="328"/>
  <c r="G24" i="328"/>
  <c r="H25" i="328"/>
  <c r="H26" i="328"/>
  <c r="G9" i="328"/>
  <c r="B22" i="328"/>
  <c r="G22" i="328"/>
  <c r="G8" i="328"/>
  <c r="G10" i="328"/>
  <c r="H17" i="328"/>
  <c r="B25" i="328"/>
  <c r="G11" i="328"/>
  <c r="G6" i="327"/>
  <c r="H18" i="327"/>
  <c r="B10" i="327"/>
  <c r="G13" i="327"/>
  <c r="G14" i="327"/>
  <c r="H21" i="327"/>
  <c r="G18" i="327"/>
  <c r="G17" i="327"/>
  <c r="H22" i="327"/>
  <c r="G9" i="327"/>
  <c r="G22" i="327"/>
  <c r="G10" i="327"/>
  <c r="H17" i="327"/>
  <c r="G23" i="327"/>
  <c r="H25" i="326"/>
  <c r="G15" i="326"/>
  <c r="G11" i="326"/>
  <c r="H17" i="326"/>
  <c r="H22" i="326"/>
  <c r="G6" i="326"/>
  <c r="G14" i="326"/>
  <c r="H18" i="326"/>
  <c r="H21" i="326"/>
  <c r="H26" i="326"/>
  <c r="B13" i="326"/>
  <c r="G16" i="326"/>
  <c r="H20" i="326"/>
  <c r="G9" i="326"/>
  <c r="G12" i="326"/>
  <c r="G24" i="326"/>
  <c r="G23" i="326"/>
  <c r="H24" i="326"/>
  <c r="H23" i="326"/>
  <c r="B19" i="326"/>
  <c r="G19" i="326"/>
  <c r="G7" i="326"/>
  <c r="G17" i="326"/>
  <c r="G18" i="326"/>
  <c r="B22" i="326"/>
  <c r="G22" i="326"/>
  <c r="G8" i="326"/>
  <c r="G20" i="326"/>
  <c r="G21" i="326"/>
  <c r="B25" i="326"/>
  <c r="G25" i="326"/>
  <c r="G26" i="326"/>
  <c r="T26" i="325"/>
  <c r="T25" i="325"/>
  <c r="I25" i="325" s="1"/>
  <c r="F25" i="325"/>
  <c r="T24" i="325"/>
  <c r="I24" i="325" s="1"/>
  <c r="F24" i="325"/>
  <c r="T23" i="325"/>
  <c r="I23" i="325" s="1"/>
  <c r="F23" i="325"/>
  <c r="T22" i="325"/>
  <c r="I22" i="325" s="1"/>
  <c r="F22" i="325"/>
  <c r="T21" i="325"/>
  <c r="I21" i="325" s="1"/>
  <c r="F21" i="325"/>
  <c r="T20" i="325"/>
  <c r="I20" i="325" s="1"/>
  <c r="J32" i="325" s="1"/>
  <c r="F20" i="325"/>
  <c r="K19" i="325"/>
  <c r="U19" i="325"/>
  <c r="T19" i="325"/>
  <c r="I19" i="325" s="1"/>
  <c r="F19" i="325"/>
  <c r="T18" i="325"/>
  <c r="I18" i="325" s="1"/>
  <c r="J30" i="325" s="1"/>
  <c r="F18" i="325"/>
  <c r="T17" i="325"/>
  <c r="I17" i="325" s="1"/>
  <c r="F17" i="325"/>
  <c r="K16" i="325"/>
  <c r="U16" i="325"/>
  <c r="M28" i="325" s="1"/>
  <c r="T16" i="325"/>
  <c r="I16" i="325" s="1"/>
  <c r="J28" i="325" s="1"/>
  <c r="F16" i="325"/>
  <c r="T15" i="325"/>
  <c r="I15" i="325" s="1"/>
  <c r="J27" i="325" s="1"/>
  <c r="F15" i="325"/>
  <c r="T14" i="325"/>
  <c r="I14" i="325" s="1"/>
  <c r="F14" i="325"/>
  <c r="K13" i="325"/>
  <c r="U13" i="325"/>
  <c r="M25" i="325" s="1"/>
  <c r="T13" i="325"/>
  <c r="I13" i="325" s="1"/>
  <c r="F13" i="325"/>
  <c r="T12" i="325"/>
  <c r="I12" i="325" s="1"/>
  <c r="F12" i="325"/>
  <c r="T11" i="325"/>
  <c r="I11" i="325" s="1"/>
  <c r="F11" i="325"/>
  <c r="K10" i="325"/>
  <c r="U10" i="325"/>
  <c r="M22" i="325" s="1"/>
  <c r="T10" i="325"/>
  <c r="I10" i="325" s="1"/>
  <c r="F10" i="325"/>
  <c r="T9" i="325"/>
  <c r="I9" i="325" s="1"/>
  <c r="F9" i="325"/>
  <c r="T8" i="325"/>
  <c r="I8" i="325" s="1"/>
  <c r="F8" i="325"/>
  <c r="K7" i="325"/>
  <c r="U7" i="325"/>
  <c r="T7" i="325"/>
  <c r="I7" i="325" s="1"/>
  <c r="F7" i="325"/>
  <c r="T6" i="325"/>
  <c r="I6" i="325" s="1"/>
  <c r="F6" i="325"/>
  <c r="T5" i="325"/>
  <c r="I5" i="325" s="1"/>
  <c r="F5" i="325"/>
  <c r="O10" i="328" l="1"/>
  <c r="J24" i="327"/>
  <c r="O28" i="328"/>
  <c r="O28" i="326"/>
  <c r="J20" i="327"/>
  <c r="O13" i="328"/>
  <c r="J20" i="325"/>
  <c r="J18" i="325"/>
  <c r="J22" i="327"/>
  <c r="J21" i="325"/>
  <c r="J33" i="325"/>
  <c r="J23" i="327"/>
  <c r="J35" i="327"/>
  <c r="J17" i="325"/>
  <c r="J29" i="325"/>
  <c r="J25" i="327"/>
  <c r="J37" i="327"/>
  <c r="N28" i="327"/>
  <c r="O31" i="327" s="1"/>
  <c r="I26" i="327"/>
  <c r="J38" i="327" s="1"/>
  <c r="J26" i="326"/>
  <c r="J38" i="326"/>
  <c r="J26" i="328"/>
  <c r="J38" i="328"/>
  <c r="J25" i="325"/>
  <c r="J37" i="325"/>
  <c r="J24" i="325"/>
  <c r="J36" i="325"/>
  <c r="J17" i="327"/>
  <c r="J29" i="327"/>
  <c r="J19" i="327"/>
  <c r="J31" i="327"/>
  <c r="J18" i="327"/>
  <c r="J26" i="329"/>
  <c r="J38" i="329"/>
  <c r="J19" i="325"/>
  <c r="J31" i="325"/>
  <c r="J21" i="327"/>
  <c r="J33" i="327"/>
  <c r="J22" i="325"/>
  <c r="J34" i="325"/>
  <c r="N28" i="325"/>
  <c r="O31" i="325" s="1"/>
  <c r="I26" i="325"/>
  <c r="J23" i="325"/>
  <c r="J35" i="325"/>
  <c r="O16" i="328"/>
  <c r="O22" i="328"/>
  <c r="O25" i="328"/>
  <c r="H28" i="325"/>
  <c r="H31" i="325"/>
  <c r="H32" i="325"/>
  <c r="H34" i="325"/>
  <c r="H36" i="325"/>
  <c r="H31" i="327"/>
  <c r="H27" i="325"/>
  <c r="H30" i="325"/>
  <c r="H33" i="325"/>
  <c r="H35" i="325"/>
  <c r="H37" i="325"/>
  <c r="C16" i="327"/>
  <c r="C7" i="327"/>
  <c r="D10" i="327" s="1"/>
  <c r="L31" i="327"/>
  <c r="M40" i="327"/>
  <c r="H25" i="327"/>
  <c r="H37" i="327"/>
  <c r="H24" i="327"/>
  <c r="H36" i="327"/>
  <c r="C22" i="327"/>
  <c r="E34" i="327" s="1"/>
  <c r="H32" i="327"/>
  <c r="L22" i="325"/>
  <c r="M31" i="325"/>
  <c r="C19" i="327"/>
  <c r="E31" i="327" s="1"/>
  <c r="D13" i="328"/>
  <c r="D13" i="329"/>
  <c r="D10" i="328"/>
  <c r="D16" i="328"/>
  <c r="E28" i="328"/>
  <c r="E19" i="326"/>
  <c r="D19" i="326"/>
  <c r="E22" i="326"/>
  <c r="D22" i="326"/>
  <c r="D16" i="329"/>
  <c r="E28" i="329"/>
  <c r="E22" i="328"/>
  <c r="D22" i="328"/>
  <c r="D10" i="326"/>
  <c r="E19" i="328"/>
  <c r="D19" i="328"/>
  <c r="D16" i="326"/>
  <c r="E28" i="326"/>
  <c r="E25" i="326"/>
  <c r="D25" i="326"/>
  <c r="D28" i="326"/>
  <c r="E25" i="328"/>
  <c r="D25" i="328"/>
  <c r="D28" i="328"/>
  <c r="E19" i="329"/>
  <c r="D19" i="329"/>
  <c r="D10" i="329"/>
  <c r="E25" i="329"/>
  <c r="D25" i="329"/>
  <c r="D28" i="329"/>
  <c r="D13" i="326"/>
  <c r="E22" i="329"/>
  <c r="D22" i="329"/>
  <c r="C25" i="325"/>
  <c r="E37" i="325" s="1"/>
  <c r="G11" i="327"/>
  <c r="C13" i="327"/>
  <c r="D13" i="327" s="1"/>
  <c r="B28" i="327"/>
  <c r="C28" i="327"/>
  <c r="E40" i="327" s="1"/>
  <c r="C7" i="325"/>
  <c r="C16" i="325"/>
  <c r="C22" i="325"/>
  <c r="E34" i="325" s="1"/>
  <c r="C10" i="325"/>
  <c r="C13" i="325"/>
  <c r="H29" i="325"/>
  <c r="C19" i="325"/>
  <c r="E31" i="325" s="1"/>
  <c r="C25" i="327"/>
  <c r="E37" i="327" s="1"/>
  <c r="O22" i="326"/>
  <c r="O22" i="329"/>
  <c r="O25" i="329"/>
  <c r="O28" i="329"/>
  <c r="O25" i="326"/>
  <c r="G24" i="327"/>
  <c r="N22" i="325"/>
  <c r="G26" i="327"/>
  <c r="N25" i="325"/>
  <c r="G21" i="327"/>
  <c r="B22" i="327"/>
  <c r="G27" i="327"/>
  <c r="N22" i="327"/>
  <c r="H26" i="327"/>
  <c r="H20" i="327"/>
  <c r="N25" i="327"/>
  <c r="M22" i="327"/>
  <c r="L22" i="327"/>
  <c r="L25" i="327"/>
  <c r="M25" i="327"/>
  <c r="M28" i="327"/>
  <c r="L28" i="327"/>
  <c r="G23" i="325"/>
  <c r="L16" i="327"/>
  <c r="O19" i="329"/>
  <c r="O10" i="326"/>
  <c r="O19" i="328"/>
  <c r="B25" i="327"/>
  <c r="G20" i="327"/>
  <c r="O13" i="329"/>
  <c r="B16" i="327"/>
  <c r="H27" i="327"/>
  <c r="N16" i="327"/>
  <c r="O16" i="326"/>
  <c r="N7" i="325"/>
  <c r="N10" i="325"/>
  <c r="N13" i="325"/>
  <c r="N16" i="325"/>
  <c r="N19" i="325"/>
  <c r="G25" i="327"/>
  <c r="O13" i="326"/>
  <c r="O16" i="329"/>
  <c r="N13" i="327"/>
  <c r="N10" i="327"/>
  <c r="L10" i="327"/>
  <c r="N19" i="327"/>
  <c r="N7" i="327"/>
  <c r="L13" i="327"/>
  <c r="L19" i="327"/>
  <c r="M19" i="327"/>
  <c r="O10" i="329"/>
  <c r="O19" i="326"/>
  <c r="L16" i="325"/>
  <c r="L10" i="325"/>
  <c r="L13" i="325"/>
  <c r="M19" i="325"/>
  <c r="L19" i="325"/>
  <c r="G7" i="327"/>
  <c r="G12" i="327"/>
  <c r="G8" i="327"/>
  <c r="B13" i="327"/>
  <c r="B7" i="327"/>
  <c r="H19" i="327"/>
  <c r="G19" i="327"/>
  <c r="B19" i="327"/>
  <c r="G15" i="327"/>
  <c r="H23" i="327"/>
  <c r="G16" i="327"/>
  <c r="G7" i="325"/>
  <c r="G10" i="325"/>
  <c r="B13" i="325"/>
  <c r="H26" i="325"/>
  <c r="G16" i="325"/>
  <c r="G25" i="325"/>
  <c r="G14" i="325"/>
  <c r="H17" i="325"/>
  <c r="G11" i="325"/>
  <c r="H19" i="325"/>
  <c r="B7" i="325"/>
  <c r="G12" i="325"/>
  <c r="G13" i="325"/>
  <c r="H18" i="325"/>
  <c r="G21" i="325"/>
  <c r="H24" i="325"/>
  <c r="H20" i="325"/>
  <c r="G20" i="325"/>
  <c r="B25" i="325"/>
  <c r="G24" i="325"/>
  <c r="H21" i="325"/>
  <c r="H25" i="325"/>
  <c r="H23" i="325"/>
  <c r="G26" i="325"/>
  <c r="B19" i="325"/>
  <c r="G6" i="325"/>
  <c r="G9" i="325"/>
  <c r="B16" i="325"/>
  <c r="G17" i="325"/>
  <c r="G18" i="325"/>
  <c r="B22" i="325"/>
  <c r="G22" i="325"/>
  <c r="G19" i="325"/>
  <c r="G8" i="325"/>
  <c r="H22" i="325"/>
  <c r="B10" i="325"/>
  <c r="G15" i="325"/>
  <c r="O28" i="325" l="1"/>
  <c r="J26" i="327"/>
  <c r="J26" i="325"/>
  <c r="J38" i="325"/>
  <c r="D31" i="327"/>
  <c r="E22" i="327"/>
  <c r="D22" i="327"/>
  <c r="D19" i="327"/>
  <c r="E19" i="327"/>
  <c r="D13" i="325"/>
  <c r="D16" i="325"/>
  <c r="E28" i="325"/>
  <c r="E25" i="327"/>
  <c r="D25" i="327"/>
  <c r="D10" i="325"/>
  <c r="E28" i="327"/>
  <c r="D28" i="327"/>
  <c r="E25" i="325"/>
  <c r="D25" i="325"/>
  <c r="D28" i="325"/>
  <c r="E19" i="325"/>
  <c r="D19" i="325"/>
  <c r="E22" i="325"/>
  <c r="D22" i="325"/>
  <c r="D16" i="327"/>
  <c r="O22" i="327"/>
  <c r="O22" i="325"/>
  <c r="O25" i="325"/>
  <c r="O25" i="327"/>
  <c r="O10" i="327"/>
  <c r="O28" i="327"/>
  <c r="O13" i="325"/>
  <c r="O19" i="325"/>
  <c r="O19" i="327"/>
  <c r="O16" i="325"/>
  <c r="O10" i="325"/>
  <c r="O13" i="327"/>
  <c r="O16" i="327"/>
  <c r="T26" i="324" l="1"/>
  <c r="T25" i="324"/>
  <c r="I25" i="324" s="1"/>
  <c r="F25" i="324"/>
  <c r="T24" i="324"/>
  <c r="I24" i="324" s="1"/>
  <c r="J36" i="324" s="1"/>
  <c r="F24" i="324"/>
  <c r="T23" i="324"/>
  <c r="I23" i="324" s="1"/>
  <c r="F23" i="324"/>
  <c r="T22" i="324"/>
  <c r="I22" i="324" s="1"/>
  <c r="F22" i="324"/>
  <c r="T21" i="324"/>
  <c r="I21" i="324" s="1"/>
  <c r="F21" i="324"/>
  <c r="T20" i="324"/>
  <c r="I20" i="324" s="1"/>
  <c r="J32" i="324" s="1"/>
  <c r="F20" i="324"/>
  <c r="K19" i="324"/>
  <c r="U19" i="324"/>
  <c r="T19" i="324"/>
  <c r="I19" i="324" s="1"/>
  <c r="F19" i="324"/>
  <c r="T18" i="324"/>
  <c r="I18" i="324" s="1"/>
  <c r="F18" i="324"/>
  <c r="T17" i="324"/>
  <c r="I17" i="324" s="1"/>
  <c r="F17" i="324"/>
  <c r="K16" i="324"/>
  <c r="U16" i="324"/>
  <c r="M28" i="324" s="1"/>
  <c r="T16" i="324"/>
  <c r="I16" i="324" s="1"/>
  <c r="J28" i="324" s="1"/>
  <c r="F16" i="324"/>
  <c r="T15" i="324"/>
  <c r="I15" i="324" s="1"/>
  <c r="J27" i="324" s="1"/>
  <c r="F15" i="324"/>
  <c r="T14" i="324"/>
  <c r="I14" i="324" s="1"/>
  <c r="F14" i="324"/>
  <c r="U13" i="324"/>
  <c r="T13" i="324"/>
  <c r="I13" i="324" s="1"/>
  <c r="F13" i="324"/>
  <c r="T12" i="324"/>
  <c r="I12" i="324" s="1"/>
  <c r="F12" i="324"/>
  <c r="T11" i="324"/>
  <c r="I11" i="324" s="1"/>
  <c r="F11" i="324"/>
  <c r="U10" i="324"/>
  <c r="T10" i="324"/>
  <c r="I10" i="324" s="1"/>
  <c r="F10" i="324"/>
  <c r="T9" i="324"/>
  <c r="I9" i="324" s="1"/>
  <c r="F9" i="324"/>
  <c r="T8" i="324"/>
  <c r="I8" i="324" s="1"/>
  <c r="F8" i="324"/>
  <c r="U7" i="324"/>
  <c r="T7" i="324"/>
  <c r="I7" i="324" s="1"/>
  <c r="F7" i="324"/>
  <c r="T6" i="324"/>
  <c r="I6" i="324" s="1"/>
  <c r="F6" i="324"/>
  <c r="T5" i="324"/>
  <c r="I5" i="324" s="1"/>
  <c r="F5" i="324"/>
  <c r="J20" i="324" l="1"/>
  <c r="J18" i="324"/>
  <c r="J30" i="324"/>
  <c r="J23" i="324"/>
  <c r="J35" i="324"/>
  <c r="J21" i="324"/>
  <c r="J33" i="324"/>
  <c r="J24" i="324"/>
  <c r="J19" i="324"/>
  <c r="J31" i="324"/>
  <c r="J17" i="324"/>
  <c r="J29" i="324"/>
  <c r="J25" i="324"/>
  <c r="J37" i="324"/>
  <c r="J22" i="324"/>
  <c r="J34" i="324"/>
  <c r="N28" i="324"/>
  <c r="O31" i="324" s="1"/>
  <c r="I26" i="324"/>
  <c r="N13" i="324"/>
  <c r="N10" i="324"/>
  <c r="M25" i="324"/>
  <c r="L13" i="324"/>
  <c r="N7" i="324"/>
  <c r="M22" i="324"/>
  <c r="L10" i="324"/>
  <c r="H27" i="324"/>
  <c r="H30" i="324"/>
  <c r="H33" i="324"/>
  <c r="H35" i="324"/>
  <c r="H37" i="324"/>
  <c r="H28" i="324"/>
  <c r="H31" i="324"/>
  <c r="H32" i="324"/>
  <c r="H34" i="324"/>
  <c r="H36" i="324"/>
  <c r="L22" i="324"/>
  <c r="M31" i="324"/>
  <c r="C25" i="324"/>
  <c r="E37" i="324" s="1"/>
  <c r="C7" i="324"/>
  <c r="C10" i="324"/>
  <c r="C13" i="324"/>
  <c r="C16" i="324"/>
  <c r="H29" i="324"/>
  <c r="C19" i="324"/>
  <c r="E31" i="324" s="1"/>
  <c r="C22" i="324"/>
  <c r="E34" i="324" s="1"/>
  <c r="N22" i="324"/>
  <c r="N25" i="324"/>
  <c r="N19" i="324"/>
  <c r="G7" i="324"/>
  <c r="G13" i="324"/>
  <c r="G16" i="324"/>
  <c r="N16" i="324"/>
  <c r="L16" i="324"/>
  <c r="M19" i="324"/>
  <c r="L19" i="324"/>
  <c r="B13" i="324"/>
  <c r="B10" i="324"/>
  <c r="B19" i="324"/>
  <c r="G14" i="324"/>
  <c r="H25" i="324"/>
  <c r="H20" i="324"/>
  <c r="H23" i="324"/>
  <c r="G6" i="324"/>
  <c r="H21" i="324"/>
  <c r="H24" i="324"/>
  <c r="B16" i="324"/>
  <c r="H26" i="324"/>
  <c r="H19" i="324"/>
  <c r="H18" i="324"/>
  <c r="B7" i="324"/>
  <c r="G12" i="324"/>
  <c r="G15" i="324"/>
  <c r="G18" i="324"/>
  <c r="G17" i="324"/>
  <c r="H22" i="324"/>
  <c r="G19" i="324"/>
  <c r="G9" i="324"/>
  <c r="B22" i="324"/>
  <c r="G22" i="324"/>
  <c r="G8" i="324"/>
  <c r="G10" i="324"/>
  <c r="H17" i="324"/>
  <c r="G20" i="324"/>
  <c r="G21" i="324"/>
  <c r="B25" i="324"/>
  <c r="G25" i="324"/>
  <c r="G26" i="324"/>
  <c r="G11" i="324"/>
  <c r="G23" i="324"/>
  <c r="G24" i="324"/>
  <c r="T26" i="89"/>
  <c r="N28" i="89" l="1"/>
  <c r="O31" i="89" s="1"/>
  <c r="I26" i="89"/>
  <c r="J38" i="89" s="1"/>
  <c r="J26" i="324"/>
  <c r="J38" i="324"/>
  <c r="O10" i="324"/>
  <c r="O13" i="324"/>
  <c r="D10" i="324"/>
  <c r="D13" i="324"/>
  <c r="E22" i="324"/>
  <c r="D22" i="324"/>
  <c r="E19" i="324"/>
  <c r="D19" i="324"/>
  <c r="D16" i="324"/>
  <c r="E28" i="324"/>
  <c r="E25" i="324"/>
  <c r="D25" i="324"/>
  <c r="D28" i="324"/>
  <c r="O25" i="324"/>
  <c r="O22" i="324"/>
  <c r="O28" i="324"/>
  <c r="O16" i="324"/>
  <c r="O19" i="324"/>
  <c r="K28" i="152" l="1"/>
  <c r="F26" i="152"/>
  <c r="T26" i="13"/>
  <c r="T26" i="261"/>
  <c r="T26" i="153"/>
  <c r="T26" i="257"/>
  <c r="T26" i="8"/>
  <c r="L26" i="317"/>
  <c r="Q28" i="317" s="1"/>
  <c r="R31" i="317" s="1"/>
  <c r="L26" i="316"/>
  <c r="Q28" i="316" s="1"/>
  <c r="R31" i="316" s="1"/>
  <c r="T26" i="314"/>
  <c r="L26" i="315"/>
  <c r="Q28" i="315" s="1"/>
  <c r="R31" i="315" s="1"/>
  <c r="K28" i="149"/>
  <c r="F26" i="149"/>
  <c r="T26" i="88"/>
  <c r="T26" i="148"/>
  <c r="T26" i="202"/>
  <c r="T26" i="61"/>
  <c r="T26" i="105"/>
  <c r="S26" i="300"/>
  <c r="R26" i="300"/>
  <c r="K28" i="300" s="1"/>
  <c r="Q26" i="300"/>
  <c r="F26" i="300" s="1"/>
  <c r="T26" i="299"/>
  <c r="T26" i="190"/>
  <c r="T26" i="206"/>
  <c r="T26" i="34"/>
  <c r="T26" i="174"/>
  <c r="T26" i="22"/>
  <c r="T26" i="301"/>
  <c r="T26" i="3"/>
  <c r="T26" i="135"/>
  <c r="T26" i="295"/>
  <c r="T26" i="294"/>
  <c r="T26" i="293"/>
  <c r="L26" i="175"/>
  <c r="Q28" i="175" s="1"/>
  <c r="T26" i="283"/>
  <c r="T26" i="4"/>
  <c r="T26" i="284"/>
  <c r="T26" i="292"/>
  <c r="T26" i="269"/>
  <c r="T26" i="288"/>
  <c r="T26" i="11"/>
  <c r="S26" i="279"/>
  <c r="M28" i="279" s="1"/>
  <c r="N31" i="279" s="1"/>
  <c r="T26" i="204"/>
  <c r="S26" i="253"/>
  <c r="R26" i="253"/>
  <c r="K28" i="253" s="1"/>
  <c r="Q26" i="253"/>
  <c r="F26" i="253" s="1"/>
  <c r="T26" i="28"/>
  <c r="T26" i="29"/>
  <c r="T26" i="23"/>
  <c r="T26" i="5"/>
  <c r="T26" i="207"/>
  <c r="T26" i="9"/>
  <c r="T26" i="37"/>
  <c r="T26" i="54"/>
  <c r="T26" i="303"/>
  <c r="T26" i="12"/>
  <c r="T26" i="101"/>
  <c r="T26" i="102"/>
  <c r="T26" i="103"/>
  <c r="T26" i="265"/>
  <c r="T26" i="7"/>
  <c r="T26" i="17"/>
  <c r="T26" i="43"/>
  <c r="T26" i="75"/>
  <c r="K28" i="142"/>
  <c r="T26" i="18"/>
  <c r="T26" i="20"/>
  <c r="T26" i="262"/>
  <c r="T26" i="290"/>
  <c r="T26" i="289"/>
  <c r="T26" i="249"/>
  <c r="T26" i="47"/>
  <c r="T26" i="87"/>
  <c r="T26" i="248"/>
  <c r="T26" i="46"/>
  <c r="T26" i="239"/>
  <c r="T26" i="243"/>
  <c r="S26" i="247"/>
  <c r="R26" i="247"/>
  <c r="K28" i="247" s="1"/>
  <c r="Q26" i="247"/>
  <c r="F26" i="247" s="1"/>
  <c r="T26" i="244"/>
  <c r="T26" i="246"/>
  <c r="T26" i="19"/>
  <c r="T26" i="16"/>
  <c r="T26" i="201"/>
  <c r="T26" i="227"/>
  <c r="T26" i="112"/>
  <c r="T26" i="109"/>
  <c r="T26" i="33"/>
  <c r="T26" i="85"/>
  <c r="T26" i="2"/>
  <c r="T26" i="32"/>
  <c r="T26" i="203"/>
  <c r="T26" i="191"/>
  <c r="T26" i="164"/>
  <c r="T26" i="162"/>
  <c r="T26" i="196"/>
  <c r="T26" i="197"/>
  <c r="T26" i="198"/>
  <c r="T26" i="74"/>
  <c r="S26" i="185"/>
  <c r="R26" i="185"/>
  <c r="K28" i="185" s="1"/>
  <c r="Q26" i="185"/>
  <c r="F26" i="185" s="1"/>
  <c r="T26" i="181"/>
  <c r="T26" i="183"/>
  <c r="T26" i="184"/>
  <c r="T26" i="200"/>
  <c r="T26" i="280"/>
  <c r="T26" i="114"/>
  <c r="T26" i="113"/>
  <c r="T26" i="322"/>
  <c r="T26" i="323"/>
  <c r="T26" i="233"/>
  <c r="K28" i="195"/>
  <c r="T26" i="194"/>
  <c r="T26" i="193"/>
  <c r="S26" i="144"/>
  <c r="R26" i="144"/>
  <c r="K28" i="144" s="1"/>
  <c r="Q26" i="144"/>
  <c r="F26" i="144" s="1"/>
  <c r="T26" i="27"/>
  <c r="T26" i="143"/>
  <c r="T26" i="97"/>
  <c r="T26" i="45"/>
  <c r="T26" i="104"/>
  <c r="T26" i="268"/>
  <c r="T26" i="263"/>
  <c r="T26" i="209"/>
  <c r="T26" i="192"/>
  <c r="T26" i="48"/>
  <c r="T26" i="254"/>
  <c r="T26" i="140"/>
  <c r="T26" i="270"/>
  <c r="T26" i="271"/>
  <c r="S26" i="186"/>
  <c r="R26" i="186"/>
  <c r="K28" i="186" s="1"/>
  <c r="Q26" i="186"/>
  <c r="F26" i="186" s="1"/>
  <c r="T26" i="159"/>
  <c r="T26" i="160"/>
  <c r="T26" i="107"/>
  <c r="T26" i="176"/>
  <c r="T26" i="53"/>
  <c r="T26" i="52"/>
  <c r="T26" i="21"/>
  <c r="T26" i="281"/>
  <c r="T26" i="25"/>
  <c r="T26" i="31"/>
  <c r="T26" i="1"/>
  <c r="T26" i="24"/>
  <c r="S26" i="231"/>
  <c r="U26" i="231" s="1"/>
  <c r="R26" i="231"/>
  <c r="Q26" i="231"/>
  <c r="F26" i="231" s="1"/>
  <c r="T26" i="229"/>
  <c r="T26" i="230"/>
  <c r="S26" i="44"/>
  <c r="M28" i="44" s="1"/>
  <c r="N31" i="44" s="1"/>
  <c r="T26" i="116"/>
  <c r="T26" i="272"/>
  <c r="T26" i="276"/>
  <c r="T26" i="287"/>
  <c r="T26" i="285"/>
  <c r="T26" i="169"/>
  <c r="T26" i="168"/>
  <c r="T26" i="297"/>
  <c r="T26" i="298"/>
  <c r="T26" i="318"/>
  <c r="T26" i="319"/>
  <c r="T26" i="320"/>
  <c r="N28" i="15"/>
  <c r="O31" i="15" s="1"/>
  <c r="N28" i="285" l="1"/>
  <c r="O31" i="285" s="1"/>
  <c r="I26" i="285"/>
  <c r="N28" i="1"/>
  <c r="O31" i="1" s="1"/>
  <c r="I26" i="1"/>
  <c r="N28" i="45"/>
  <c r="O31" i="45" s="1"/>
  <c r="I26" i="45"/>
  <c r="N28" i="198"/>
  <c r="O31" i="198" s="1"/>
  <c r="I26" i="198"/>
  <c r="N28" i="244"/>
  <c r="O31" i="244" s="1"/>
  <c r="I26" i="244"/>
  <c r="I26" i="296"/>
  <c r="N28" i="9"/>
  <c r="O31" i="9" s="1"/>
  <c r="I26" i="9"/>
  <c r="N28" i="3"/>
  <c r="O31" i="3" s="1"/>
  <c r="I26" i="3"/>
  <c r="N28" i="153"/>
  <c r="O31" i="153" s="1"/>
  <c r="I26" i="153"/>
  <c r="J38" i="153" s="1"/>
  <c r="N28" i="229"/>
  <c r="O31" i="229" s="1"/>
  <c r="I26" i="229"/>
  <c r="N28" i="97"/>
  <c r="O31" i="97" s="1"/>
  <c r="I26" i="97"/>
  <c r="J38" i="97" s="1"/>
  <c r="N28" i="181"/>
  <c r="O31" i="181" s="1"/>
  <c r="I26" i="181"/>
  <c r="N28" i="43"/>
  <c r="O31" i="43" s="1"/>
  <c r="I26" i="43"/>
  <c r="N28" i="207"/>
  <c r="O31" i="207" s="1"/>
  <c r="I26" i="207"/>
  <c r="J38" i="207" s="1"/>
  <c r="N28" i="269"/>
  <c r="O31" i="269" s="1"/>
  <c r="I26" i="269"/>
  <c r="N28" i="299"/>
  <c r="O31" i="299" s="1"/>
  <c r="I26" i="299"/>
  <c r="N28" i="202"/>
  <c r="O31" i="202" s="1"/>
  <c r="I26" i="202"/>
  <c r="N28" i="298"/>
  <c r="O31" i="298" s="1"/>
  <c r="I26" i="298"/>
  <c r="N28" i="25"/>
  <c r="O31" i="25" s="1"/>
  <c r="I26" i="25"/>
  <c r="J38" i="25" s="1"/>
  <c r="N28" i="209"/>
  <c r="O31" i="209" s="1"/>
  <c r="I26" i="209"/>
  <c r="N28" i="114"/>
  <c r="O31" i="114" s="1"/>
  <c r="I26" i="114"/>
  <c r="J38" i="114" s="1"/>
  <c r="N28" i="87"/>
  <c r="O31" i="87" s="1"/>
  <c r="I26" i="87"/>
  <c r="N28" i="320"/>
  <c r="O31" i="320" s="1"/>
  <c r="I26" i="320"/>
  <c r="N28" i="169"/>
  <c r="O31" i="169" s="1"/>
  <c r="I26" i="169"/>
  <c r="N28" i="24"/>
  <c r="O31" i="24" s="1"/>
  <c r="I26" i="24"/>
  <c r="N28" i="52"/>
  <c r="O31" i="52" s="1"/>
  <c r="I26" i="52"/>
  <c r="N28" i="254"/>
  <c r="O31" i="254" s="1"/>
  <c r="I26" i="254"/>
  <c r="N28" i="104"/>
  <c r="O31" i="104" s="1"/>
  <c r="I26" i="104"/>
  <c r="N28" i="323"/>
  <c r="O31" i="323" s="1"/>
  <c r="I26" i="323"/>
  <c r="N28" i="184"/>
  <c r="O31" i="184" s="1"/>
  <c r="I26" i="184"/>
  <c r="N28" i="74"/>
  <c r="O31" i="74" s="1"/>
  <c r="I26" i="74"/>
  <c r="J38" i="74" s="1"/>
  <c r="N28" i="191"/>
  <c r="O31" i="191" s="1"/>
  <c r="I26" i="191"/>
  <c r="J38" i="191" s="1"/>
  <c r="N28" i="109"/>
  <c r="O31" i="109" s="1"/>
  <c r="I26" i="109"/>
  <c r="N28" i="246"/>
  <c r="O31" i="246" s="1"/>
  <c r="I26" i="246"/>
  <c r="J38" i="246" s="1"/>
  <c r="N28" i="239"/>
  <c r="O31" i="239" s="1"/>
  <c r="I26" i="239"/>
  <c r="N28" i="289"/>
  <c r="O31" i="289" s="1"/>
  <c r="I26" i="289"/>
  <c r="N28" i="75"/>
  <c r="O31" i="75" s="1"/>
  <c r="I26" i="75"/>
  <c r="J38" i="75" s="1"/>
  <c r="N28" i="103"/>
  <c r="O31" i="103" s="1"/>
  <c r="I26" i="103"/>
  <c r="J38" i="103" s="1"/>
  <c r="N28" i="37"/>
  <c r="O31" i="37" s="1"/>
  <c r="I26" i="37"/>
  <c r="N28" i="28"/>
  <c r="O31" i="28" s="1"/>
  <c r="I26" i="28"/>
  <c r="N28" i="11"/>
  <c r="O31" i="11" s="1"/>
  <c r="I26" i="11"/>
  <c r="J38" i="11" s="1"/>
  <c r="I26" i="187"/>
  <c r="N28" i="135"/>
  <c r="O31" i="135" s="1"/>
  <c r="I26" i="135"/>
  <c r="J38" i="135" s="1"/>
  <c r="N28" i="206"/>
  <c r="O31" i="206" s="1"/>
  <c r="I26" i="206"/>
  <c r="J38" i="206" s="1"/>
  <c r="N28" i="105"/>
  <c r="O31" i="105" s="1"/>
  <c r="I26" i="105"/>
  <c r="N28" i="257"/>
  <c r="O31" i="257" s="1"/>
  <c r="I26" i="257"/>
  <c r="N28" i="53"/>
  <c r="O31" i="53" s="1"/>
  <c r="I26" i="53"/>
  <c r="N28" i="112"/>
  <c r="O31" i="112" s="1"/>
  <c r="I26" i="112"/>
  <c r="J38" i="112" s="1"/>
  <c r="N28" i="190"/>
  <c r="O31" i="190" s="1"/>
  <c r="I26" i="190"/>
  <c r="J38" i="190" s="1"/>
  <c r="N28" i="287"/>
  <c r="O31" i="287" s="1"/>
  <c r="I26" i="287"/>
  <c r="J38" i="287" s="1"/>
  <c r="N28" i="2"/>
  <c r="O31" i="2" s="1"/>
  <c r="I26" i="2"/>
  <c r="N28" i="20"/>
  <c r="O31" i="20" s="1"/>
  <c r="I26" i="20"/>
  <c r="N28" i="12"/>
  <c r="O31" i="12" s="1"/>
  <c r="I26" i="12"/>
  <c r="N28" i="5"/>
  <c r="O31" i="5" s="1"/>
  <c r="I26" i="5"/>
  <c r="N28" i="292"/>
  <c r="O31" i="292" s="1"/>
  <c r="I26" i="292"/>
  <c r="J38" i="292" s="1"/>
  <c r="N28" i="293"/>
  <c r="O31" i="293" s="1"/>
  <c r="I26" i="293"/>
  <c r="N28" i="22"/>
  <c r="O31" i="22" s="1"/>
  <c r="I26" i="22"/>
  <c r="N28" i="148"/>
  <c r="O31" i="148" s="1"/>
  <c r="I26" i="148"/>
  <c r="N28" i="13"/>
  <c r="O31" i="13" s="1"/>
  <c r="I26" i="13"/>
  <c r="J38" i="13" s="1"/>
  <c r="N28" i="319"/>
  <c r="O31" i="319" s="1"/>
  <c r="I26" i="319"/>
  <c r="J38" i="319" s="1"/>
  <c r="N28" i="322"/>
  <c r="O31" i="322" s="1"/>
  <c r="I26" i="322"/>
  <c r="J38" i="322" s="1"/>
  <c r="N28" i="183"/>
  <c r="O31" i="183" s="1"/>
  <c r="I26" i="183"/>
  <c r="N28" i="46"/>
  <c r="O31" i="46" s="1"/>
  <c r="I26" i="46"/>
  <c r="N28" i="102"/>
  <c r="O31" i="102" s="1"/>
  <c r="I26" i="102"/>
  <c r="N28" i="288"/>
  <c r="O31" i="288" s="1"/>
  <c r="I26" i="288"/>
  <c r="N28" i="31"/>
  <c r="O31" i="31" s="1"/>
  <c r="I26" i="31"/>
  <c r="N28" i="192"/>
  <c r="O31" i="192" s="1"/>
  <c r="I26" i="192"/>
  <c r="N28" i="113"/>
  <c r="O31" i="113" s="1"/>
  <c r="I26" i="113"/>
  <c r="J38" i="113" s="1"/>
  <c r="N28" i="32"/>
  <c r="O31" i="32" s="1"/>
  <c r="I26" i="32"/>
  <c r="N28" i="262"/>
  <c r="O31" i="262" s="1"/>
  <c r="I26" i="262"/>
  <c r="N28" i="301"/>
  <c r="O31" i="301" s="1"/>
  <c r="I26" i="301"/>
  <c r="J38" i="301" s="1"/>
  <c r="N28" i="314"/>
  <c r="O31" i="314" s="1"/>
  <c r="I26" i="314"/>
  <c r="J38" i="314" s="1"/>
  <c r="N28" i="276"/>
  <c r="O31" i="276" s="1"/>
  <c r="I26" i="276"/>
  <c r="N28" i="107"/>
  <c r="O31" i="107" s="1"/>
  <c r="I26" i="107"/>
  <c r="N28" i="143"/>
  <c r="O31" i="143" s="1"/>
  <c r="I26" i="143"/>
  <c r="J38" i="143" s="1"/>
  <c r="N28" i="196"/>
  <c r="O31" i="196" s="1"/>
  <c r="I26" i="196"/>
  <c r="N28" i="17"/>
  <c r="O31" i="17" s="1"/>
  <c r="I26" i="17"/>
  <c r="N28" i="297"/>
  <c r="O31" i="297" s="1"/>
  <c r="I26" i="297"/>
  <c r="N28" i="272"/>
  <c r="O31" i="272" s="1"/>
  <c r="I26" i="272"/>
  <c r="J38" i="272" s="1"/>
  <c r="N28" i="281"/>
  <c r="O31" i="281" s="1"/>
  <c r="I26" i="281"/>
  <c r="N28" i="160"/>
  <c r="O31" i="160" s="1"/>
  <c r="I26" i="160"/>
  <c r="N28" i="270"/>
  <c r="O31" i="270" s="1"/>
  <c r="I26" i="270"/>
  <c r="N28" i="263"/>
  <c r="O31" i="263" s="1"/>
  <c r="I26" i="263"/>
  <c r="N28" i="27"/>
  <c r="O31" i="27" s="1"/>
  <c r="I26" i="27"/>
  <c r="N28" i="280"/>
  <c r="O31" i="280" s="1"/>
  <c r="I26" i="280"/>
  <c r="N28" i="162"/>
  <c r="O31" i="162" s="1"/>
  <c r="I26" i="162"/>
  <c r="J38" i="162" s="1"/>
  <c r="N28" i="85"/>
  <c r="O31" i="85" s="1"/>
  <c r="I26" i="85"/>
  <c r="J38" i="85" s="1"/>
  <c r="N28" i="16"/>
  <c r="O31" i="16" s="1"/>
  <c r="I26" i="16"/>
  <c r="N28" i="47"/>
  <c r="O31" i="47" s="1"/>
  <c r="I26" i="47"/>
  <c r="N28" i="18"/>
  <c r="O31" i="18" s="1"/>
  <c r="I26" i="18"/>
  <c r="J38" i="18" s="1"/>
  <c r="N28" i="7"/>
  <c r="O31" i="7" s="1"/>
  <c r="I26" i="7"/>
  <c r="N28" i="303"/>
  <c r="O31" i="303" s="1"/>
  <c r="I26" i="303"/>
  <c r="N28" i="23"/>
  <c r="O31" i="23" s="1"/>
  <c r="I26" i="23"/>
  <c r="N28" i="204"/>
  <c r="O31" i="204" s="1"/>
  <c r="I26" i="204"/>
  <c r="N28" i="284"/>
  <c r="O31" i="284" s="1"/>
  <c r="I26" i="284"/>
  <c r="N28" i="294"/>
  <c r="O31" i="294" s="1"/>
  <c r="I26" i="294"/>
  <c r="N28" i="174"/>
  <c r="O31" i="174" s="1"/>
  <c r="I26" i="174"/>
  <c r="N28" i="88"/>
  <c r="O31" i="88" s="1"/>
  <c r="I26" i="88"/>
  <c r="J38" i="88" s="1"/>
  <c r="N28" i="230"/>
  <c r="O31" i="230" s="1"/>
  <c r="I26" i="230"/>
  <c r="N28" i="48"/>
  <c r="O31" i="48" s="1"/>
  <c r="I26" i="48"/>
  <c r="J38" i="48" s="1"/>
  <c r="N28" i="203"/>
  <c r="O31" i="203" s="1"/>
  <c r="I26" i="203"/>
  <c r="J38" i="203" s="1"/>
  <c r="N28" i="290"/>
  <c r="O31" i="290" s="1"/>
  <c r="I26" i="290"/>
  <c r="N28" i="283"/>
  <c r="O31" i="283" s="1"/>
  <c r="I26" i="283"/>
  <c r="N28" i="61"/>
  <c r="O31" i="61" s="1"/>
  <c r="I26" i="61"/>
  <c r="N28" i="318"/>
  <c r="O31" i="318" s="1"/>
  <c r="I26" i="318"/>
  <c r="N28" i="176"/>
  <c r="O31" i="176" s="1"/>
  <c r="I26" i="176"/>
  <c r="J38" i="176" s="1"/>
  <c r="N28" i="193"/>
  <c r="O31" i="193" s="1"/>
  <c r="I26" i="193"/>
  <c r="N28" i="197"/>
  <c r="O31" i="197" s="1"/>
  <c r="I26" i="197"/>
  <c r="J38" i="197" s="1"/>
  <c r="N28" i="227"/>
  <c r="O31" i="227" s="1"/>
  <c r="I26" i="227"/>
  <c r="N28" i="248"/>
  <c r="O31" i="248" s="1"/>
  <c r="I26" i="248"/>
  <c r="N28" i="101"/>
  <c r="O31" i="101" s="1"/>
  <c r="I26" i="101"/>
  <c r="N28" i="261"/>
  <c r="O31" i="261" s="1"/>
  <c r="I26" i="261"/>
  <c r="N28" i="271"/>
  <c r="O31" i="271" s="1"/>
  <c r="I26" i="271"/>
  <c r="N28" i="194"/>
  <c r="O31" i="194" s="1"/>
  <c r="I26" i="194"/>
  <c r="J38" i="194" s="1"/>
  <c r="N28" i="201"/>
  <c r="O31" i="201" s="1"/>
  <c r="I26" i="201"/>
  <c r="N28" i="168"/>
  <c r="O31" i="168" s="1"/>
  <c r="I26" i="168"/>
  <c r="N28" i="116"/>
  <c r="O31" i="116" s="1"/>
  <c r="I26" i="116"/>
  <c r="J38" i="116" s="1"/>
  <c r="N28" i="21"/>
  <c r="O31" i="21" s="1"/>
  <c r="I26" i="21"/>
  <c r="J38" i="21" s="1"/>
  <c r="N28" i="159"/>
  <c r="O31" i="159" s="1"/>
  <c r="I26" i="159"/>
  <c r="N28" i="140"/>
  <c r="O31" i="140" s="1"/>
  <c r="I26" i="140"/>
  <c r="N28" i="268"/>
  <c r="O31" i="268" s="1"/>
  <c r="I26" i="268"/>
  <c r="N28" i="233"/>
  <c r="O31" i="233" s="1"/>
  <c r="I26" i="233"/>
  <c r="J38" i="233" s="1"/>
  <c r="N28" i="200"/>
  <c r="O31" i="200" s="1"/>
  <c r="I26" i="200"/>
  <c r="N28" i="164"/>
  <c r="O31" i="164" s="1"/>
  <c r="I26" i="164"/>
  <c r="N28" i="33"/>
  <c r="O31" i="33" s="1"/>
  <c r="I26" i="33"/>
  <c r="N28" i="19"/>
  <c r="O31" i="19" s="1"/>
  <c r="I26" i="19"/>
  <c r="N28" i="243"/>
  <c r="O31" i="243" s="1"/>
  <c r="I26" i="243"/>
  <c r="N28" i="249"/>
  <c r="O31" i="249" s="1"/>
  <c r="I26" i="249"/>
  <c r="N28" i="265"/>
  <c r="O31" i="265" s="1"/>
  <c r="I26" i="265"/>
  <c r="J38" i="265" s="1"/>
  <c r="N28" i="54"/>
  <c r="O31" i="54" s="1"/>
  <c r="I26" i="54"/>
  <c r="N28" i="29"/>
  <c r="O31" i="29" s="1"/>
  <c r="I26" i="29"/>
  <c r="J38" i="29" s="1"/>
  <c r="N28" i="4"/>
  <c r="O31" i="4" s="1"/>
  <c r="I26" i="4"/>
  <c r="N28" i="295"/>
  <c r="O31" i="295" s="1"/>
  <c r="I26" i="295"/>
  <c r="N28" i="34"/>
  <c r="O31" i="34" s="1"/>
  <c r="I26" i="34"/>
  <c r="N28" i="8"/>
  <c r="O31" i="8" s="1"/>
  <c r="I26" i="8"/>
  <c r="H38" i="186"/>
  <c r="H38" i="253"/>
  <c r="H38" i="231"/>
  <c r="H38" i="247"/>
  <c r="H38" i="152"/>
  <c r="H38" i="144"/>
  <c r="H38" i="185"/>
  <c r="H38" i="300"/>
  <c r="H38" i="149"/>
  <c r="B28" i="321"/>
  <c r="C28" i="321"/>
  <c r="E40" i="321" s="1"/>
  <c r="U28" i="152"/>
  <c r="U28" i="253"/>
  <c r="U28" i="300"/>
  <c r="U28" i="142"/>
  <c r="U28" i="149"/>
  <c r="U28" i="247"/>
  <c r="K28" i="231"/>
  <c r="G27" i="186"/>
  <c r="U28" i="186"/>
  <c r="U28" i="144"/>
  <c r="U28" i="195"/>
  <c r="U28" i="185"/>
  <c r="G27" i="321"/>
  <c r="T26" i="195"/>
  <c r="T26" i="186"/>
  <c r="T26" i="247"/>
  <c r="T26" i="321"/>
  <c r="T26" i="170"/>
  <c r="T26" i="144"/>
  <c r="T26" i="185"/>
  <c r="T26" i="300"/>
  <c r="T26" i="152"/>
  <c r="T26" i="231"/>
  <c r="T26" i="149"/>
  <c r="T26" i="253"/>
  <c r="T26" i="142"/>
  <c r="J38" i="34" l="1"/>
  <c r="J38" i="249"/>
  <c r="J38" i="33"/>
  <c r="J38" i="159"/>
  <c r="J38" i="168"/>
  <c r="J38" i="271"/>
  <c r="J38" i="248"/>
  <c r="J38" i="193"/>
  <c r="J38" i="61"/>
  <c r="J38" i="284"/>
  <c r="J38" i="303"/>
  <c r="J38" i="47"/>
  <c r="J38" i="263"/>
  <c r="J38" i="281"/>
  <c r="J38" i="17"/>
  <c r="J38" i="107"/>
  <c r="J38" i="288"/>
  <c r="J38" i="183"/>
  <c r="J38" i="293"/>
  <c r="J38" i="12"/>
  <c r="J38" i="53"/>
  <c r="J38" i="239"/>
  <c r="J38" i="323"/>
  <c r="J38" i="52"/>
  <c r="J38" i="320"/>
  <c r="J38" i="209"/>
  <c r="J38" i="202"/>
  <c r="J38" i="3"/>
  <c r="J38" i="244"/>
  <c r="J38" i="1"/>
  <c r="N28" i="247"/>
  <c r="O31" i="247" s="1"/>
  <c r="I26" i="247"/>
  <c r="J38" i="4"/>
  <c r="J38" i="200"/>
  <c r="J38" i="318"/>
  <c r="J38" i="37"/>
  <c r="J38" i="109"/>
  <c r="J38" i="254"/>
  <c r="J38" i="298"/>
  <c r="J38" i="181"/>
  <c r="J38" i="45"/>
  <c r="N28" i="186"/>
  <c r="O31" i="186" s="1"/>
  <c r="I26" i="186"/>
  <c r="N28" i="195"/>
  <c r="O31" i="195" s="1"/>
  <c r="I26" i="195"/>
  <c r="N28" i="144"/>
  <c r="O31" i="144" s="1"/>
  <c r="I26" i="144"/>
  <c r="N28" i="152"/>
  <c r="O31" i="152" s="1"/>
  <c r="I26" i="152"/>
  <c r="J38" i="8"/>
  <c r="J38" i="19"/>
  <c r="J38" i="140"/>
  <c r="J38" i="230"/>
  <c r="J38" i="160"/>
  <c r="J38" i="297"/>
  <c r="J38" i="32"/>
  <c r="J38" i="46"/>
  <c r="J38" i="5"/>
  <c r="J38" i="105"/>
  <c r="J38" i="289"/>
  <c r="J38" i="269"/>
  <c r="J38" i="296"/>
  <c r="N28" i="142"/>
  <c r="O31" i="142" s="1"/>
  <c r="I26" i="142"/>
  <c r="N28" i="253"/>
  <c r="O31" i="253" s="1"/>
  <c r="I26" i="253"/>
  <c r="J38" i="253" s="1"/>
  <c r="N28" i="149"/>
  <c r="O31" i="149" s="1"/>
  <c r="I26" i="149"/>
  <c r="N28" i="170"/>
  <c r="O31" i="170" s="1"/>
  <c r="I26" i="170"/>
  <c r="J38" i="295"/>
  <c r="J38" i="54"/>
  <c r="J38" i="243"/>
  <c r="J38" i="164"/>
  <c r="J38" i="268"/>
  <c r="J38" i="201"/>
  <c r="J38" i="261"/>
  <c r="J38" i="227"/>
  <c r="J38" i="283"/>
  <c r="J38" i="174"/>
  <c r="J38" i="204"/>
  <c r="J38" i="7"/>
  <c r="J38" i="16"/>
  <c r="J38" i="280"/>
  <c r="J38" i="270"/>
  <c r="J38" i="196"/>
  <c r="J38" i="276"/>
  <c r="J38" i="262"/>
  <c r="J38" i="192"/>
  <c r="J38" i="102"/>
  <c r="J38" i="148"/>
  <c r="J38" i="20"/>
  <c r="J38" i="257"/>
  <c r="J38" i="28"/>
  <c r="J38" i="104"/>
  <c r="J38" i="24"/>
  <c r="J38" i="87"/>
  <c r="J38" i="299"/>
  <c r="J38" i="43"/>
  <c r="J38" i="229"/>
  <c r="J38" i="9"/>
  <c r="J38" i="198"/>
  <c r="J38" i="285"/>
  <c r="J38" i="101"/>
  <c r="J38" i="290"/>
  <c r="J38" i="294"/>
  <c r="J38" i="23"/>
  <c r="J38" i="27"/>
  <c r="J38" i="31"/>
  <c r="J38" i="22"/>
  <c r="J38" i="2"/>
  <c r="J38" i="187"/>
  <c r="J38" i="184"/>
  <c r="J38" i="169"/>
  <c r="N28" i="300"/>
  <c r="O31" i="300" s="1"/>
  <c r="I26" i="300"/>
  <c r="N28" i="185"/>
  <c r="O31" i="185" s="1"/>
  <c r="I26" i="185"/>
  <c r="N28" i="231"/>
  <c r="O31" i="231" s="1"/>
  <c r="I26" i="231"/>
  <c r="N28" i="321"/>
  <c r="O31" i="321" s="1"/>
  <c r="I26" i="321"/>
  <c r="L31" i="195"/>
  <c r="M40" i="195"/>
  <c r="L31" i="300"/>
  <c r="M40" i="300"/>
  <c r="L31" i="144"/>
  <c r="M40" i="144"/>
  <c r="L31" i="247"/>
  <c r="M40" i="247"/>
  <c r="L31" i="253"/>
  <c r="M40" i="253"/>
  <c r="L31" i="186"/>
  <c r="M40" i="186"/>
  <c r="L31" i="149"/>
  <c r="M40" i="149"/>
  <c r="L31" i="152"/>
  <c r="M40" i="152"/>
  <c r="L31" i="185"/>
  <c r="M40" i="185"/>
  <c r="L31" i="142"/>
  <c r="M40" i="142"/>
  <c r="D31" i="321"/>
  <c r="B28" i="195"/>
  <c r="C28" i="195"/>
  <c r="E40" i="195" s="1"/>
  <c r="B28" i="186"/>
  <c r="C28" i="186"/>
  <c r="E40" i="186" s="1"/>
  <c r="B28" i="247"/>
  <c r="C28" i="247"/>
  <c r="E40" i="247" s="1"/>
  <c r="B28" i="149"/>
  <c r="C28" i="149"/>
  <c r="E40" i="149" s="1"/>
  <c r="B28" i="300"/>
  <c r="C28" i="300"/>
  <c r="E40" i="300" s="1"/>
  <c r="B28" i="152"/>
  <c r="C28" i="152"/>
  <c r="E40" i="152" s="1"/>
  <c r="B28" i="185"/>
  <c r="C28" i="185"/>
  <c r="E40" i="185" s="1"/>
  <c r="B28" i="144"/>
  <c r="C28" i="144"/>
  <c r="E40" i="144" s="1"/>
  <c r="B28" i="231"/>
  <c r="C28" i="231"/>
  <c r="E40" i="231" s="1"/>
  <c r="B28" i="142"/>
  <c r="C28" i="142"/>
  <c r="E40" i="142" s="1"/>
  <c r="B28" i="253"/>
  <c r="C28" i="253"/>
  <c r="E40" i="253" s="1"/>
  <c r="G27" i="149"/>
  <c r="G27" i="300"/>
  <c r="G27" i="195"/>
  <c r="G27" i="152"/>
  <c r="G27" i="247"/>
  <c r="G27" i="253"/>
  <c r="G27" i="142"/>
  <c r="G27" i="231"/>
  <c r="G27" i="185"/>
  <c r="G27" i="144"/>
  <c r="T25" i="323"/>
  <c r="I25" i="323" s="1"/>
  <c r="F25" i="323"/>
  <c r="T24" i="323"/>
  <c r="I24" i="323" s="1"/>
  <c r="J36" i="323" s="1"/>
  <c r="F24" i="323"/>
  <c r="T23" i="323"/>
  <c r="I23" i="323" s="1"/>
  <c r="F23" i="323"/>
  <c r="T22" i="323"/>
  <c r="I22" i="323" s="1"/>
  <c r="F22" i="323"/>
  <c r="T21" i="323"/>
  <c r="I21" i="323" s="1"/>
  <c r="F21" i="323"/>
  <c r="T20" i="323"/>
  <c r="I20" i="323" s="1"/>
  <c r="J32" i="323" s="1"/>
  <c r="F20" i="323"/>
  <c r="K19" i="323"/>
  <c r="U19" i="323"/>
  <c r="T19" i="323"/>
  <c r="I19" i="323" s="1"/>
  <c r="F19" i="323"/>
  <c r="T18" i="323"/>
  <c r="I18" i="323" s="1"/>
  <c r="F18" i="323"/>
  <c r="T17" i="323"/>
  <c r="I17" i="323" s="1"/>
  <c r="F17" i="323"/>
  <c r="K16" i="323"/>
  <c r="U16" i="323"/>
  <c r="M28" i="323" s="1"/>
  <c r="T16" i="323"/>
  <c r="I16" i="323" s="1"/>
  <c r="J28" i="323" s="1"/>
  <c r="F16" i="323"/>
  <c r="T15" i="323"/>
  <c r="I15" i="323" s="1"/>
  <c r="J27" i="323" s="1"/>
  <c r="F15" i="323"/>
  <c r="T14" i="323"/>
  <c r="I14" i="323" s="1"/>
  <c r="J26" i="323" s="1"/>
  <c r="F14" i="323"/>
  <c r="K13" i="323"/>
  <c r="U13" i="323"/>
  <c r="M25" i="323" s="1"/>
  <c r="T13" i="323"/>
  <c r="I13" i="323" s="1"/>
  <c r="F13" i="323"/>
  <c r="T12" i="323"/>
  <c r="I12" i="323" s="1"/>
  <c r="F12" i="323"/>
  <c r="T11" i="323"/>
  <c r="I11" i="323" s="1"/>
  <c r="F11" i="323"/>
  <c r="K10" i="323"/>
  <c r="U10" i="323"/>
  <c r="M22" i="323" s="1"/>
  <c r="T10" i="323"/>
  <c r="I10" i="323" s="1"/>
  <c r="F10" i="323"/>
  <c r="T9" i="323"/>
  <c r="I9" i="323" s="1"/>
  <c r="F9" i="323"/>
  <c r="T8" i="323"/>
  <c r="I8" i="323" s="1"/>
  <c r="F8" i="323"/>
  <c r="K7" i="323"/>
  <c r="U7" i="323"/>
  <c r="T7" i="323"/>
  <c r="I7" i="323" s="1"/>
  <c r="F7" i="323"/>
  <c r="T6" i="323"/>
  <c r="I6" i="323" s="1"/>
  <c r="F6" i="323"/>
  <c r="T5" i="323"/>
  <c r="I5" i="323" s="1"/>
  <c r="F5" i="323"/>
  <c r="T25" i="322"/>
  <c r="I25" i="322" s="1"/>
  <c r="F25" i="322"/>
  <c r="T24" i="322"/>
  <c r="I24" i="322" s="1"/>
  <c r="J36" i="322" s="1"/>
  <c r="F24" i="322"/>
  <c r="T23" i="322"/>
  <c r="I23" i="322" s="1"/>
  <c r="F23" i="322"/>
  <c r="T22" i="322"/>
  <c r="I22" i="322" s="1"/>
  <c r="J34" i="322" s="1"/>
  <c r="F22" i="322"/>
  <c r="T21" i="322"/>
  <c r="I21" i="322" s="1"/>
  <c r="F21" i="322"/>
  <c r="T20" i="322"/>
  <c r="I20" i="322" s="1"/>
  <c r="J32" i="322" s="1"/>
  <c r="F20" i="322"/>
  <c r="K19" i="322"/>
  <c r="U19" i="322"/>
  <c r="T19" i="322"/>
  <c r="I19" i="322" s="1"/>
  <c r="F19" i="322"/>
  <c r="T18" i="322"/>
  <c r="I18" i="322" s="1"/>
  <c r="J30" i="322" s="1"/>
  <c r="F18" i="322"/>
  <c r="T17" i="322"/>
  <c r="I17" i="322" s="1"/>
  <c r="F17" i="322"/>
  <c r="K16" i="322"/>
  <c r="U16" i="322"/>
  <c r="M28" i="322" s="1"/>
  <c r="T16" i="322"/>
  <c r="I16" i="322" s="1"/>
  <c r="J28" i="322" s="1"/>
  <c r="F16" i="322"/>
  <c r="T15" i="322"/>
  <c r="I15" i="322" s="1"/>
  <c r="J27" i="322" s="1"/>
  <c r="F15" i="322"/>
  <c r="T14" i="322"/>
  <c r="I14" i="322" s="1"/>
  <c r="J26" i="322" s="1"/>
  <c r="F14" i="322"/>
  <c r="K13" i="322"/>
  <c r="U13" i="322"/>
  <c r="M25" i="322" s="1"/>
  <c r="T13" i="322"/>
  <c r="I13" i="322" s="1"/>
  <c r="F13" i="322"/>
  <c r="T12" i="322"/>
  <c r="I12" i="322" s="1"/>
  <c r="F12" i="322"/>
  <c r="T11" i="322"/>
  <c r="I11" i="322" s="1"/>
  <c r="F11" i="322"/>
  <c r="K10" i="322"/>
  <c r="U10" i="322"/>
  <c r="M22" i="322" s="1"/>
  <c r="T10" i="322"/>
  <c r="I10" i="322" s="1"/>
  <c r="F10" i="322"/>
  <c r="T9" i="322"/>
  <c r="I9" i="322" s="1"/>
  <c r="F9" i="322"/>
  <c r="T8" i="322"/>
  <c r="I8" i="322" s="1"/>
  <c r="F8" i="322"/>
  <c r="K7" i="322"/>
  <c r="U7" i="322"/>
  <c r="T7" i="322"/>
  <c r="I7" i="322" s="1"/>
  <c r="F7" i="322"/>
  <c r="T6" i="322"/>
  <c r="I6" i="322" s="1"/>
  <c r="F6" i="322"/>
  <c r="T5" i="322"/>
  <c r="I5" i="322" s="1"/>
  <c r="F5" i="322"/>
  <c r="J24" i="322" l="1"/>
  <c r="J24" i="323"/>
  <c r="J22" i="322"/>
  <c r="J20" i="323"/>
  <c r="J23" i="322"/>
  <c r="J35" i="322"/>
  <c r="J31" i="323"/>
  <c r="J19" i="323"/>
  <c r="J33" i="323"/>
  <c r="J21" i="323"/>
  <c r="J19" i="322"/>
  <c r="J31" i="322"/>
  <c r="J29" i="323"/>
  <c r="J17" i="323"/>
  <c r="J37" i="323"/>
  <c r="J25" i="323"/>
  <c r="J38" i="321"/>
  <c r="J38" i="170"/>
  <c r="J18" i="322"/>
  <c r="J20" i="322"/>
  <c r="J17" i="322"/>
  <c r="J29" i="322"/>
  <c r="J25" i="322"/>
  <c r="J37" i="322"/>
  <c r="J18" i="323"/>
  <c r="J30" i="323"/>
  <c r="J35" i="323"/>
  <c r="J23" i="323"/>
  <c r="J38" i="231"/>
  <c r="J38" i="149"/>
  <c r="J38" i="195"/>
  <c r="J38" i="152"/>
  <c r="J38" i="186"/>
  <c r="J38" i="185"/>
  <c r="J38" i="144"/>
  <c r="J38" i="247"/>
  <c r="J21" i="322"/>
  <c r="J33" i="322"/>
  <c r="J22" i="323"/>
  <c r="J34" i="323"/>
  <c r="J38" i="300"/>
  <c r="J38" i="142"/>
  <c r="H19" i="322"/>
  <c r="H27" i="322"/>
  <c r="H30" i="322"/>
  <c r="H33" i="322"/>
  <c r="H27" i="323"/>
  <c r="H30" i="323"/>
  <c r="H33" i="323"/>
  <c r="H35" i="323"/>
  <c r="H35" i="322"/>
  <c r="H28" i="322"/>
  <c r="H31" i="322"/>
  <c r="H32" i="322"/>
  <c r="H34" i="322"/>
  <c r="H36" i="322"/>
  <c r="H31" i="323"/>
  <c r="H32" i="323"/>
  <c r="H34" i="323"/>
  <c r="H36" i="323"/>
  <c r="D31" i="253"/>
  <c r="D31" i="185"/>
  <c r="D31" i="300"/>
  <c r="D31" i="231"/>
  <c r="D31" i="247"/>
  <c r="D31" i="142"/>
  <c r="D31" i="144"/>
  <c r="D31" i="152"/>
  <c r="D31" i="149"/>
  <c r="D31" i="186"/>
  <c r="D31" i="195"/>
  <c r="G26" i="322"/>
  <c r="H37" i="322"/>
  <c r="G26" i="323"/>
  <c r="H37" i="323"/>
  <c r="L22" i="322"/>
  <c r="M31" i="322"/>
  <c r="L22" i="323"/>
  <c r="M31" i="323"/>
  <c r="C25" i="322"/>
  <c r="E37" i="322" s="1"/>
  <c r="C25" i="323"/>
  <c r="E37" i="323" s="1"/>
  <c r="C10" i="322"/>
  <c r="C16" i="322"/>
  <c r="H29" i="322"/>
  <c r="C19" i="322"/>
  <c r="E31" i="322" s="1"/>
  <c r="C22" i="322"/>
  <c r="E34" i="322" s="1"/>
  <c r="C7" i="323"/>
  <c r="C10" i="323"/>
  <c r="C13" i="323"/>
  <c r="C16" i="323"/>
  <c r="H29" i="323"/>
  <c r="C19" i="323"/>
  <c r="E31" i="323" s="1"/>
  <c r="C22" i="323"/>
  <c r="E34" i="323" s="1"/>
  <c r="C7" i="322"/>
  <c r="C13" i="322"/>
  <c r="N7" i="322"/>
  <c r="N10" i="322"/>
  <c r="N16" i="322"/>
  <c r="N22" i="323"/>
  <c r="N19" i="322"/>
  <c r="N22" i="322"/>
  <c r="N25" i="322"/>
  <c r="N25" i="323"/>
  <c r="G23" i="323"/>
  <c r="G17" i="323"/>
  <c r="H28" i="323"/>
  <c r="N13" i="322"/>
  <c r="L16" i="323"/>
  <c r="L10" i="323"/>
  <c r="L13" i="323"/>
  <c r="N7" i="323"/>
  <c r="N10" i="323"/>
  <c r="N13" i="323"/>
  <c r="N16" i="323"/>
  <c r="L19" i="323"/>
  <c r="M19" i="323"/>
  <c r="N19" i="323"/>
  <c r="L10" i="322"/>
  <c r="L13" i="322"/>
  <c r="L16" i="322"/>
  <c r="M19" i="322"/>
  <c r="L19" i="322"/>
  <c r="H26" i="322"/>
  <c r="H26" i="323"/>
  <c r="G8" i="323"/>
  <c r="B10" i="323"/>
  <c r="H21" i="323"/>
  <c r="G20" i="323"/>
  <c r="G24" i="323"/>
  <c r="G10" i="323"/>
  <c r="H20" i="323"/>
  <c r="G7" i="323"/>
  <c r="G15" i="323"/>
  <c r="H18" i="323"/>
  <c r="G18" i="323"/>
  <c r="G6" i="323"/>
  <c r="G11" i="323"/>
  <c r="G13" i="323"/>
  <c r="B16" i="323"/>
  <c r="B19" i="323"/>
  <c r="H25" i="323"/>
  <c r="G9" i="323"/>
  <c r="G21" i="323"/>
  <c r="B25" i="323"/>
  <c r="H24" i="323"/>
  <c r="B22" i="323"/>
  <c r="B7" i="323"/>
  <c r="G19" i="323"/>
  <c r="G22" i="323"/>
  <c r="G25" i="323"/>
  <c r="B13" i="323"/>
  <c r="G14" i="323"/>
  <c r="G16" i="323"/>
  <c r="H19" i="323"/>
  <c r="H22" i="323"/>
  <c r="G12" i="323"/>
  <c r="H17" i="323"/>
  <c r="H23" i="323"/>
  <c r="B7" i="322"/>
  <c r="B10" i="322"/>
  <c r="G10" i="322"/>
  <c r="G13" i="322"/>
  <c r="B16" i="322"/>
  <c r="B19" i="322"/>
  <c r="G19" i="322"/>
  <c r="B25" i="322"/>
  <c r="H25" i="322"/>
  <c r="G15" i="322"/>
  <c r="G11" i="322"/>
  <c r="H22" i="322"/>
  <c r="G6" i="322"/>
  <c r="G9" i="322"/>
  <c r="G14" i="322"/>
  <c r="H18" i="322"/>
  <c r="H21" i="322"/>
  <c r="H24" i="322"/>
  <c r="B13" i="322"/>
  <c r="G16" i="322"/>
  <c r="G12" i="322"/>
  <c r="G18" i="322"/>
  <c r="G24" i="322"/>
  <c r="G17" i="322"/>
  <c r="G23" i="322"/>
  <c r="B22" i="322"/>
  <c r="G21" i="322"/>
  <c r="G20" i="322"/>
  <c r="G7" i="322"/>
  <c r="G8" i="322"/>
  <c r="H17" i="322"/>
  <c r="H20" i="322"/>
  <c r="H23" i="322"/>
  <c r="G22" i="322"/>
  <c r="G25" i="322"/>
  <c r="D13" i="323" l="1"/>
  <c r="D13" i="322"/>
  <c r="D16" i="322"/>
  <c r="E28" i="322"/>
  <c r="D16" i="323"/>
  <c r="E28" i="323"/>
  <c r="E22" i="322"/>
  <c r="D22" i="322"/>
  <c r="D10" i="322"/>
  <c r="E22" i="323"/>
  <c r="D22" i="323"/>
  <c r="E19" i="322"/>
  <c r="D19" i="322"/>
  <c r="E25" i="323"/>
  <c r="D25" i="323"/>
  <c r="D28" i="323"/>
  <c r="E19" i="323"/>
  <c r="D19" i="323"/>
  <c r="D10" i="323"/>
  <c r="E25" i="322"/>
  <c r="D25" i="322"/>
  <c r="D28" i="322"/>
  <c r="O19" i="322"/>
  <c r="O22" i="322"/>
  <c r="O10" i="322"/>
  <c r="O22" i="323"/>
  <c r="O13" i="322"/>
  <c r="O25" i="323"/>
  <c r="O28" i="323"/>
  <c r="O25" i="322"/>
  <c r="O28" i="322"/>
  <c r="O16" i="322"/>
  <c r="O16" i="323"/>
  <c r="O13" i="323"/>
  <c r="O19" i="323"/>
  <c r="O10" i="323"/>
  <c r="F25" i="319"/>
  <c r="F25" i="320"/>
  <c r="F25" i="318"/>
  <c r="F25" i="13"/>
  <c r="F25" i="261"/>
  <c r="F25" i="153"/>
  <c r="F25" i="257"/>
  <c r="F25" i="8"/>
  <c r="E25" i="317"/>
  <c r="F26" i="317" s="1"/>
  <c r="E25" i="316"/>
  <c r="F26" i="316" s="1"/>
  <c r="F25" i="314"/>
  <c r="E25" i="315"/>
  <c r="F26" i="315" s="1"/>
  <c r="F25" i="89"/>
  <c r="F25" i="88"/>
  <c r="F25" i="148"/>
  <c r="F25" i="61"/>
  <c r="F25" i="35"/>
  <c r="F25" i="202"/>
  <c r="F25" i="105"/>
  <c r="F25" i="190"/>
  <c r="F25" i="299"/>
  <c r="F25" i="206"/>
  <c r="F25" i="34"/>
  <c r="F25" i="174"/>
  <c r="F25" i="22"/>
  <c r="F25" i="301"/>
  <c r="F25" i="3"/>
  <c r="F25" i="135"/>
  <c r="F25" i="295"/>
  <c r="F25" i="294"/>
  <c r="F25" i="293"/>
  <c r="E25" i="175"/>
  <c r="F26" i="175" s="1"/>
  <c r="F25" i="283"/>
  <c r="F25" i="187"/>
  <c r="F25" i="4"/>
  <c r="F25" i="284"/>
  <c r="F25" i="292"/>
  <c r="F25" i="269"/>
  <c r="F25" i="288"/>
  <c r="F25" i="11"/>
  <c r="F25" i="279"/>
  <c r="F25" i="204"/>
  <c r="F25" i="28"/>
  <c r="F25" i="29"/>
  <c r="F25" i="23"/>
  <c r="F25" i="5"/>
  <c r="F25" i="207"/>
  <c r="F25" i="9"/>
  <c r="F25" i="37"/>
  <c r="F25" i="54"/>
  <c r="F25" i="303"/>
  <c r="F25" i="12"/>
  <c r="F25" i="101"/>
  <c r="F25" i="102"/>
  <c r="F25" i="265"/>
  <c r="F25" i="7"/>
  <c r="F25" i="17"/>
  <c r="F25" i="43"/>
  <c r="F25" i="296"/>
  <c r="F25" i="75"/>
  <c r="F25" i="18"/>
  <c r="F25" i="20"/>
  <c r="F25" i="262"/>
  <c r="F25" i="290"/>
  <c r="F25" i="289"/>
  <c r="F25" i="249"/>
  <c r="F25" i="47"/>
  <c r="F25" i="87"/>
  <c r="F25" i="248"/>
  <c r="F25" i="46"/>
  <c r="F25" i="239"/>
  <c r="F25" i="243"/>
  <c r="F25" i="244"/>
  <c r="F25" i="246"/>
  <c r="F25" i="19"/>
  <c r="F25" i="16"/>
  <c r="F25" i="201"/>
  <c r="F25" i="227"/>
  <c r="F25" i="112"/>
  <c r="F25" i="109"/>
  <c r="F25" i="33"/>
  <c r="F25" i="85"/>
  <c r="F25" i="2"/>
  <c r="F25" i="32"/>
  <c r="F25" i="203"/>
  <c r="F25" i="191"/>
  <c r="F25" i="164"/>
  <c r="F25" i="162"/>
  <c r="F25" i="196"/>
  <c r="F25" i="197"/>
  <c r="F25" i="198"/>
  <c r="F25" i="74"/>
  <c r="F25" i="181"/>
  <c r="F25" i="183"/>
  <c r="F25" i="184"/>
  <c r="F25" i="200"/>
  <c r="F25" i="280"/>
  <c r="F25" i="114"/>
  <c r="F25" i="113"/>
  <c r="F25" i="194"/>
  <c r="F25" i="193"/>
  <c r="F25" i="27"/>
  <c r="F25" i="143"/>
  <c r="F25" i="97"/>
  <c r="F25" i="45"/>
  <c r="F25" i="104"/>
  <c r="F25" i="268"/>
  <c r="F25" i="263"/>
  <c r="F25" i="103"/>
  <c r="F25" i="233"/>
  <c r="F25" i="209"/>
  <c r="F25" i="192"/>
  <c r="F25" i="48"/>
  <c r="F25" i="254"/>
  <c r="F25" i="140"/>
  <c r="F25" i="270"/>
  <c r="F25" i="271"/>
  <c r="F25" i="159"/>
  <c r="F25" i="160"/>
  <c r="F25" i="107"/>
  <c r="F25" i="176"/>
  <c r="F25" i="53"/>
  <c r="F25" i="52"/>
  <c r="F25" i="21"/>
  <c r="F25" i="281"/>
  <c r="F25" i="25"/>
  <c r="F25" i="31"/>
  <c r="F25" i="1"/>
  <c r="F25" i="24"/>
  <c r="F25" i="229"/>
  <c r="F25" i="230"/>
  <c r="F25" i="44"/>
  <c r="F25" i="116"/>
  <c r="F25" i="272"/>
  <c r="F25" i="276"/>
  <c r="F25" i="287"/>
  <c r="F25" i="285"/>
  <c r="F25" i="169"/>
  <c r="F25" i="168"/>
  <c r="F25" i="297"/>
  <c r="F25" i="298"/>
  <c r="H215" i="417" l="1"/>
  <c r="I215" i="417" s="1"/>
  <c r="G26" i="298"/>
  <c r="H37" i="298"/>
  <c r="G26" i="24"/>
  <c r="H37" i="24"/>
  <c r="G26" i="159"/>
  <c r="H37" i="159"/>
  <c r="G26" i="254"/>
  <c r="H37" i="254"/>
  <c r="G26" i="143"/>
  <c r="H37" i="143"/>
  <c r="G26" i="243"/>
  <c r="H37" i="243"/>
  <c r="G26" i="87"/>
  <c r="H37" i="87"/>
  <c r="G26" i="12"/>
  <c r="H37" i="12"/>
  <c r="G26" i="190"/>
  <c r="H37" i="190"/>
  <c r="G26" i="61"/>
  <c r="H37" i="61"/>
  <c r="G26" i="13"/>
  <c r="H37" i="13"/>
  <c r="G26" i="297"/>
  <c r="H37" i="297"/>
  <c r="G26" i="287"/>
  <c r="H37" i="287"/>
  <c r="G26" i="44"/>
  <c r="H37" i="44"/>
  <c r="G26" i="1"/>
  <c r="H37" i="1"/>
  <c r="G26" i="281"/>
  <c r="H37" i="281"/>
  <c r="G26" i="176"/>
  <c r="H37" i="176"/>
  <c r="G26" i="271"/>
  <c r="H37" i="271"/>
  <c r="G26" i="48"/>
  <c r="H37" i="48"/>
  <c r="G26" i="103"/>
  <c r="H37" i="103"/>
  <c r="G26" i="27"/>
  <c r="H37" i="27"/>
  <c r="G26" i="114"/>
  <c r="H37" i="114"/>
  <c r="G26" i="183"/>
  <c r="H37" i="183"/>
  <c r="G26" i="198"/>
  <c r="H37" i="198"/>
  <c r="G26" i="164"/>
  <c r="H37" i="164"/>
  <c r="G26" i="2"/>
  <c r="H37" i="2"/>
  <c r="G26" i="112"/>
  <c r="H37" i="112"/>
  <c r="G26" i="19"/>
  <c r="H37" i="19"/>
  <c r="G26" i="239"/>
  <c r="H37" i="239"/>
  <c r="G26" i="47"/>
  <c r="H37" i="47"/>
  <c r="G26" i="262"/>
  <c r="H37" i="262"/>
  <c r="G26" i="296"/>
  <c r="H37" i="296"/>
  <c r="G26" i="265"/>
  <c r="H37" i="265"/>
  <c r="G26" i="303"/>
  <c r="H37" i="303"/>
  <c r="G26" i="207"/>
  <c r="H37" i="207"/>
  <c r="G26" i="28"/>
  <c r="H37" i="28"/>
  <c r="G26" i="288"/>
  <c r="H37" i="288"/>
  <c r="G26" i="4"/>
  <c r="H37" i="4"/>
  <c r="G26" i="293"/>
  <c r="H37" i="293"/>
  <c r="G26" i="3"/>
  <c r="H37" i="3"/>
  <c r="G26" i="34"/>
  <c r="H37" i="34"/>
  <c r="G26" i="105"/>
  <c r="H37" i="105"/>
  <c r="G26" i="148"/>
  <c r="H37" i="148"/>
  <c r="G26" i="314"/>
  <c r="H37" i="314"/>
  <c r="G26" i="257"/>
  <c r="H37" i="257"/>
  <c r="G26" i="318"/>
  <c r="H37" i="318"/>
  <c r="G26" i="285"/>
  <c r="H37" i="285"/>
  <c r="G26" i="233"/>
  <c r="H37" i="233"/>
  <c r="G26" i="184"/>
  <c r="H37" i="184"/>
  <c r="G26" i="32"/>
  <c r="H37" i="32"/>
  <c r="G26" i="109"/>
  <c r="H37" i="109"/>
  <c r="G26" i="290"/>
  <c r="H37" i="290"/>
  <c r="G26" i="7"/>
  <c r="H37" i="7"/>
  <c r="G26" i="29"/>
  <c r="H37" i="29"/>
  <c r="G26" i="284"/>
  <c r="H37" i="284"/>
  <c r="G26" i="174"/>
  <c r="H37" i="174"/>
  <c r="G26" i="8"/>
  <c r="H37" i="8"/>
  <c r="G26" i="168"/>
  <c r="H37" i="168"/>
  <c r="G26" i="276"/>
  <c r="H37" i="276"/>
  <c r="G26" i="230"/>
  <c r="H37" i="230"/>
  <c r="G26" i="31"/>
  <c r="H37" i="31"/>
  <c r="G26" i="21"/>
  <c r="H37" i="21"/>
  <c r="G26" i="107"/>
  <c r="H37" i="107"/>
  <c r="G26" i="270"/>
  <c r="H37" i="270"/>
  <c r="G26" i="192"/>
  <c r="H37" i="192"/>
  <c r="G26" i="263"/>
  <c r="H37" i="263"/>
  <c r="G26" i="45"/>
  <c r="H37" i="45"/>
  <c r="G26" i="193"/>
  <c r="H37" i="193"/>
  <c r="G26" i="280"/>
  <c r="H37" i="280"/>
  <c r="G26" i="181"/>
  <c r="H37" i="181"/>
  <c r="G26" i="197"/>
  <c r="H37" i="197"/>
  <c r="G26" i="191"/>
  <c r="H37" i="191"/>
  <c r="G26" i="85"/>
  <c r="H37" i="85"/>
  <c r="G26" i="227"/>
  <c r="H37" i="227"/>
  <c r="G26" i="246"/>
  <c r="H37" i="246"/>
  <c r="G26" i="46"/>
  <c r="H37" i="46"/>
  <c r="G26" i="249"/>
  <c r="H37" i="249"/>
  <c r="G26" i="20"/>
  <c r="H37" i="20"/>
  <c r="G26" i="43"/>
  <c r="H37" i="43"/>
  <c r="G26" i="102"/>
  <c r="H37" i="102"/>
  <c r="G26" i="54"/>
  <c r="H37" i="54"/>
  <c r="G26" i="5"/>
  <c r="H37" i="5"/>
  <c r="G26" i="204"/>
  <c r="H37" i="204"/>
  <c r="G26" i="269"/>
  <c r="H37" i="269"/>
  <c r="G26" i="187"/>
  <c r="H37" i="187"/>
  <c r="G26" i="294"/>
  <c r="H37" i="294"/>
  <c r="G26" i="301"/>
  <c r="H37" i="301"/>
  <c r="G26" i="206"/>
  <c r="H37" i="206"/>
  <c r="G26" i="202"/>
  <c r="H37" i="202"/>
  <c r="G26" i="88"/>
  <c r="H37" i="88"/>
  <c r="G26" i="153"/>
  <c r="H37" i="153"/>
  <c r="G26" i="320"/>
  <c r="H37" i="320"/>
  <c r="G26" i="116"/>
  <c r="H37" i="116"/>
  <c r="G26" i="53"/>
  <c r="H37" i="53"/>
  <c r="G26" i="104"/>
  <c r="H37" i="104"/>
  <c r="G26" i="113"/>
  <c r="H37" i="113"/>
  <c r="G26" i="162"/>
  <c r="H37" i="162"/>
  <c r="G26" i="16"/>
  <c r="H37" i="16"/>
  <c r="G26" i="75"/>
  <c r="H37" i="75"/>
  <c r="G26" i="9"/>
  <c r="H37" i="9"/>
  <c r="G26" i="11"/>
  <c r="H37" i="11"/>
  <c r="G26" i="135"/>
  <c r="H37" i="135"/>
  <c r="G26" i="169"/>
  <c r="H37" i="169"/>
  <c r="G26" i="272"/>
  <c r="H37" i="272"/>
  <c r="G26" i="229"/>
  <c r="H37" i="229"/>
  <c r="G26" i="25"/>
  <c r="H37" i="25"/>
  <c r="G26" i="52"/>
  <c r="H37" i="52"/>
  <c r="G26" i="160"/>
  <c r="H37" i="160"/>
  <c r="G26" i="140"/>
  <c r="H37" i="140"/>
  <c r="G26" i="209"/>
  <c r="H37" i="209"/>
  <c r="G26" i="268"/>
  <c r="H37" i="268"/>
  <c r="G26" i="97"/>
  <c r="H37" i="97"/>
  <c r="G26" i="194"/>
  <c r="H37" i="194"/>
  <c r="G26" i="200"/>
  <c r="H37" i="200"/>
  <c r="G26" i="74"/>
  <c r="H37" i="74"/>
  <c r="G26" i="196"/>
  <c r="H37" i="196"/>
  <c r="G26" i="203"/>
  <c r="H37" i="203"/>
  <c r="G26" i="33"/>
  <c r="H37" i="33"/>
  <c r="G26" i="201"/>
  <c r="H37" i="201"/>
  <c r="G26" i="244"/>
  <c r="H37" i="244"/>
  <c r="G26" i="248"/>
  <c r="H37" i="248"/>
  <c r="G26" i="289"/>
  <c r="H37" i="289"/>
  <c r="G26" i="18"/>
  <c r="H37" i="18"/>
  <c r="G26" i="17"/>
  <c r="H37" i="17"/>
  <c r="G26" i="101"/>
  <c r="H37" i="101"/>
  <c r="G26" i="37"/>
  <c r="H37" i="37"/>
  <c r="G26" i="23"/>
  <c r="H37" i="23"/>
  <c r="G26" i="279"/>
  <c r="H37" i="279"/>
  <c r="G26" i="292"/>
  <c r="H37" i="292"/>
  <c r="G26" i="283"/>
  <c r="H37" i="283"/>
  <c r="G26" i="295"/>
  <c r="H37" i="295"/>
  <c r="G26" i="22"/>
  <c r="H37" i="22"/>
  <c r="G26" i="299"/>
  <c r="H37" i="299"/>
  <c r="G26" i="35"/>
  <c r="H37" i="35"/>
  <c r="G26" i="89"/>
  <c r="H37" i="89"/>
  <c r="G26" i="261"/>
  <c r="H37" i="261"/>
  <c r="G26" i="319"/>
  <c r="H37" i="319"/>
  <c r="F25" i="321"/>
  <c r="F23" i="321"/>
  <c r="F22" i="321"/>
  <c r="F21" i="321"/>
  <c r="T19" i="321"/>
  <c r="I19" i="321" s="1"/>
  <c r="J31" i="321" s="1"/>
  <c r="F17" i="321"/>
  <c r="F16" i="321"/>
  <c r="T15" i="321"/>
  <c r="I15" i="321" s="1"/>
  <c r="J27" i="321" s="1"/>
  <c r="F14" i="321"/>
  <c r="F13" i="321"/>
  <c r="T12" i="321"/>
  <c r="I12" i="321" s="1"/>
  <c r="F9" i="321"/>
  <c r="F8" i="321"/>
  <c r="T7" i="321"/>
  <c r="I7" i="321" s="1"/>
  <c r="F6" i="321"/>
  <c r="F5" i="321"/>
  <c r="F11" i="321"/>
  <c r="T25" i="320"/>
  <c r="I25" i="320" s="1"/>
  <c r="T24" i="320"/>
  <c r="I24" i="320" s="1"/>
  <c r="J36" i="320" s="1"/>
  <c r="F24" i="320"/>
  <c r="T23" i="320"/>
  <c r="I23" i="320" s="1"/>
  <c r="F23" i="320"/>
  <c r="T22" i="320"/>
  <c r="I22" i="320" s="1"/>
  <c r="F22" i="320"/>
  <c r="T21" i="320"/>
  <c r="I21" i="320" s="1"/>
  <c r="F21" i="320"/>
  <c r="T20" i="320"/>
  <c r="I20" i="320" s="1"/>
  <c r="J32" i="320" s="1"/>
  <c r="F20" i="320"/>
  <c r="U19" i="320"/>
  <c r="T19" i="320"/>
  <c r="I19" i="320" s="1"/>
  <c r="F19" i="320"/>
  <c r="T18" i="320"/>
  <c r="I18" i="320" s="1"/>
  <c r="F18" i="320"/>
  <c r="T17" i="320"/>
  <c r="I17" i="320" s="1"/>
  <c r="F17" i="320"/>
  <c r="U16" i="320"/>
  <c r="M28" i="320" s="1"/>
  <c r="T16" i="320"/>
  <c r="I16" i="320" s="1"/>
  <c r="J28" i="320" s="1"/>
  <c r="F16" i="320"/>
  <c r="T15" i="320"/>
  <c r="I15" i="320" s="1"/>
  <c r="J27" i="320" s="1"/>
  <c r="F15" i="320"/>
  <c r="T14" i="320"/>
  <c r="I14" i="320" s="1"/>
  <c r="J26" i="320" s="1"/>
  <c r="F14" i="320"/>
  <c r="U13" i="320"/>
  <c r="M25" i="320" s="1"/>
  <c r="T13" i="320"/>
  <c r="I13" i="320" s="1"/>
  <c r="F13" i="320"/>
  <c r="T12" i="320"/>
  <c r="I12" i="320" s="1"/>
  <c r="F12" i="320"/>
  <c r="T11" i="320"/>
  <c r="I11" i="320" s="1"/>
  <c r="F11" i="320"/>
  <c r="U10" i="320"/>
  <c r="M22" i="320" s="1"/>
  <c r="T10" i="320"/>
  <c r="I10" i="320" s="1"/>
  <c r="F10" i="320"/>
  <c r="T9" i="320"/>
  <c r="I9" i="320" s="1"/>
  <c r="F9" i="320"/>
  <c r="T8" i="320"/>
  <c r="I8" i="320" s="1"/>
  <c r="F8" i="320"/>
  <c r="L7" i="320"/>
  <c r="K7" i="320"/>
  <c r="U7" i="320"/>
  <c r="T7" i="320"/>
  <c r="I7" i="320" s="1"/>
  <c r="F7" i="320"/>
  <c r="T6" i="320"/>
  <c r="I6" i="320" s="1"/>
  <c r="F6" i="320"/>
  <c r="T5" i="320"/>
  <c r="I5" i="320" s="1"/>
  <c r="F5" i="320"/>
  <c r="J24" i="320" l="1"/>
  <c r="J25" i="320"/>
  <c r="J37" i="320"/>
  <c r="J20" i="320"/>
  <c r="J21" i="320"/>
  <c r="J33" i="320"/>
  <c r="J19" i="320"/>
  <c r="J31" i="320"/>
  <c r="J22" i="320"/>
  <c r="J34" i="320"/>
  <c r="J17" i="320"/>
  <c r="J29" i="320"/>
  <c r="J23" i="320"/>
  <c r="J35" i="320"/>
  <c r="J18" i="320"/>
  <c r="J30" i="320"/>
  <c r="J19" i="321"/>
  <c r="I227" i="417"/>
  <c r="H27" i="320"/>
  <c r="H34" i="320"/>
  <c r="H33" i="321"/>
  <c r="H32" i="320"/>
  <c r="H36" i="320"/>
  <c r="H31" i="320"/>
  <c r="H28" i="321"/>
  <c r="H34" i="321"/>
  <c r="H33" i="320"/>
  <c r="H35" i="321"/>
  <c r="H28" i="320"/>
  <c r="H35" i="320"/>
  <c r="H30" i="320"/>
  <c r="G26" i="321"/>
  <c r="H37" i="321"/>
  <c r="L22" i="320"/>
  <c r="M31" i="320"/>
  <c r="C22" i="320"/>
  <c r="E34" i="320" s="1"/>
  <c r="C7" i="320"/>
  <c r="C16" i="320"/>
  <c r="H29" i="320"/>
  <c r="C19" i="320"/>
  <c r="E31" i="320" s="1"/>
  <c r="C10" i="320"/>
  <c r="C13" i="320"/>
  <c r="C25" i="320"/>
  <c r="E37" i="320" s="1"/>
  <c r="H29" i="321"/>
  <c r="N22" i="320"/>
  <c r="N25" i="320"/>
  <c r="N7" i="320"/>
  <c r="N19" i="320"/>
  <c r="N10" i="320"/>
  <c r="N13" i="320"/>
  <c r="N16" i="320"/>
  <c r="L10" i="320"/>
  <c r="L13" i="320"/>
  <c r="L16" i="320"/>
  <c r="L19" i="320"/>
  <c r="M19" i="320"/>
  <c r="H26" i="320"/>
  <c r="H26" i="321"/>
  <c r="T20" i="321"/>
  <c r="I20" i="321" s="1"/>
  <c r="J32" i="321" s="1"/>
  <c r="T24" i="321"/>
  <c r="I24" i="321" s="1"/>
  <c r="J36" i="321" s="1"/>
  <c r="L7" i="321"/>
  <c r="F7" i="321"/>
  <c r="T23" i="321"/>
  <c r="I23" i="321" s="1"/>
  <c r="J35" i="321" s="1"/>
  <c r="T16" i="321"/>
  <c r="I16" i="321" s="1"/>
  <c r="J28" i="321" s="1"/>
  <c r="T10" i="321"/>
  <c r="I10" i="321" s="1"/>
  <c r="T18" i="321"/>
  <c r="I18" i="321" s="1"/>
  <c r="G10" i="320"/>
  <c r="T8" i="321"/>
  <c r="I8" i="321" s="1"/>
  <c r="U13" i="321"/>
  <c r="M25" i="321" s="1"/>
  <c r="T9" i="321"/>
  <c r="I9" i="321" s="1"/>
  <c r="T13" i="321"/>
  <c r="I13" i="321" s="1"/>
  <c r="T17" i="321"/>
  <c r="I17" i="321" s="1"/>
  <c r="J29" i="321" s="1"/>
  <c r="T21" i="321"/>
  <c r="I21" i="321" s="1"/>
  <c r="J33" i="321" s="1"/>
  <c r="T25" i="321"/>
  <c r="I25" i="321" s="1"/>
  <c r="J37" i="321" s="1"/>
  <c r="U19" i="321"/>
  <c r="K7" i="321"/>
  <c r="H19" i="320"/>
  <c r="T6" i="321"/>
  <c r="I6" i="321" s="1"/>
  <c r="F19" i="321"/>
  <c r="G17" i="320"/>
  <c r="T11" i="321"/>
  <c r="I11" i="321" s="1"/>
  <c r="F15" i="321"/>
  <c r="H17" i="321"/>
  <c r="F24" i="321"/>
  <c r="G21" i="320"/>
  <c r="F12" i="321"/>
  <c r="F20" i="321"/>
  <c r="U16" i="321"/>
  <c r="M28" i="321" s="1"/>
  <c r="H23" i="321"/>
  <c r="G9" i="321"/>
  <c r="F10" i="321"/>
  <c r="U10" i="321"/>
  <c r="M22" i="321" s="1"/>
  <c r="T14" i="321"/>
  <c r="I14" i="321" s="1"/>
  <c r="J26" i="321" s="1"/>
  <c r="G17" i="321"/>
  <c r="F18" i="321"/>
  <c r="H21" i="321"/>
  <c r="T22" i="321"/>
  <c r="I22" i="321" s="1"/>
  <c r="G23" i="321"/>
  <c r="H25" i="321"/>
  <c r="U7" i="321"/>
  <c r="T5" i="321"/>
  <c r="I5" i="321" s="1"/>
  <c r="G6" i="321"/>
  <c r="G22" i="321"/>
  <c r="G14" i="321"/>
  <c r="G13" i="320"/>
  <c r="G9" i="320"/>
  <c r="G12" i="320"/>
  <c r="G15" i="320"/>
  <c r="H23" i="320"/>
  <c r="H17" i="320"/>
  <c r="B22" i="320"/>
  <c r="H21" i="320"/>
  <c r="G23" i="320"/>
  <c r="B25" i="320"/>
  <c r="B19" i="320"/>
  <c r="G7" i="320"/>
  <c r="B10" i="320"/>
  <c r="G16" i="320"/>
  <c r="G11" i="320"/>
  <c r="B16" i="320"/>
  <c r="H22" i="320"/>
  <c r="G14" i="320"/>
  <c r="G25" i="320"/>
  <c r="B7" i="320"/>
  <c r="G18" i="320"/>
  <c r="G24" i="320"/>
  <c r="H25" i="320"/>
  <c r="G6" i="320"/>
  <c r="G8" i="320"/>
  <c r="B13" i="320"/>
  <c r="H18" i="320"/>
  <c r="G20" i="320"/>
  <c r="G22" i="320"/>
  <c r="H24" i="320"/>
  <c r="G19" i="320"/>
  <c r="H20" i="320"/>
  <c r="J23" i="321" l="1"/>
  <c r="J25" i="321"/>
  <c r="J17" i="321"/>
  <c r="J24" i="321"/>
  <c r="J21" i="321"/>
  <c r="J18" i="321"/>
  <c r="J30" i="321"/>
  <c r="J20" i="321"/>
  <c r="J22" i="321"/>
  <c r="J34" i="321"/>
  <c r="G13" i="321"/>
  <c r="B16" i="321"/>
  <c r="B7" i="321"/>
  <c r="G10" i="321"/>
  <c r="H31" i="321"/>
  <c r="G24" i="321"/>
  <c r="H36" i="321"/>
  <c r="G7" i="321"/>
  <c r="N13" i="321"/>
  <c r="C22" i="321"/>
  <c r="E34" i="321" s="1"/>
  <c r="H32" i="321"/>
  <c r="D10" i="320"/>
  <c r="L22" i="321"/>
  <c r="M31" i="321"/>
  <c r="D13" i="320"/>
  <c r="E25" i="320"/>
  <c r="D25" i="320"/>
  <c r="D28" i="320"/>
  <c r="D16" i="320"/>
  <c r="E28" i="320"/>
  <c r="E19" i="320"/>
  <c r="D19" i="320"/>
  <c r="E22" i="320"/>
  <c r="D22" i="320"/>
  <c r="C25" i="321"/>
  <c r="E37" i="321" s="1"/>
  <c r="O22" i="320"/>
  <c r="C16" i="321"/>
  <c r="G18" i="321"/>
  <c r="H30" i="321"/>
  <c r="C10" i="321"/>
  <c r="C19" i="321"/>
  <c r="E31" i="321" s="1"/>
  <c r="C13" i="321"/>
  <c r="C7" i="321"/>
  <c r="O10" i="320"/>
  <c r="N7" i="321"/>
  <c r="N25" i="321"/>
  <c r="O28" i="321" s="1"/>
  <c r="O25" i="320"/>
  <c r="O28" i="320"/>
  <c r="G8" i="321"/>
  <c r="N22" i="321"/>
  <c r="O16" i="320"/>
  <c r="O13" i="320"/>
  <c r="G15" i="321"/>
  <c r="H27" i="321"/>
  <c r="O19" i="320"/>
  <c r="L13" i="321"/>
  <c r="N10" i="321"/>
  <c r="N16" i="321"/>
  <c r="L16" i="321"/>
  <c r="L10" i="321"/>
  <c r="L19" i="321"/>
  <c r="M19" i="321"/>
  <c r="N19" i="321"/>
  <c r="G21" i="321"/>
  <c r="H19" i="321"/>
  <c r="G12" i="321"/>
  <c r="G25" i="321"/>
  <c r="B25" i="321"/>
  <c r="G16" i="321"/>
  <c r="B22" i="321"/>
  <c r="H20" i="321"/>
  <c r="G20" i="321"/>
  <c r="H18" i="321"/>
  <c r="B19" i="321"/>
  <c r="H24" i="321"/>
  <c r="B13" i="321"/>
  <c r="B10" i="321"/>
  <c r="G19" i="321"/>
  <c r="H22" i="321"/>
  <c r="G11" i="321"/>
  <c r="O16" i="321" l="1"/>
  <c r="D10" i="321"/>
  <c r="D13" i="321"/>
  <c r="E19" i="321"/>
  <c r="D19" i="321"/>
  <c r="D16" i="321"/>
  <c r="E28" i="321"/>
  <c r="D22" i="321"/>
  <c r="E22" i="321"/>
  <c r="E25" i="321"/>
  <c r="D25" i="321"/>
  <c r="D28" i="321"/>
  <c r="O10" i="321"/>
  <c r="O25" i="321"/>
  <c r="O22" i="321"/>
  <c r="O19" i="321"/>
  <c r="O13" i="321"/>
  <c r="T25" i="319" l="1"/>
  <c r="I25" i="319" s="1"/>
  <c r="T24" i="319"/>
  <c r="I24" i="319" s="1"/>
  <c r="J36" i="319" s="1"/>
  <c r="F24" i="319"/>
  <c r="T23" i="319"/>
  <c r="I23" i="319" s="1"/>
  <c r="F23" i="319"/>
  <c r="T22" i="319"/>
  <c r="I22" i="319" s="1"/>
  <c r="J34" i="319" s="1"/>
  <c r="F22" i="319"/>
  <c r="T21" i="319"/>
  <c r="I21" i="319" s="1"/>
  <c r="F21" i="319"/>
  <c r="T20" i="319"/>
  <c r="I20" i="319" s="1"/>
  <c r="J32" i="319" s="1"/>
  <c r="F20" i="319"/>
  <c r="U19" i="319"/>
  <c r="T19" i="319"/>
  <c r="I19" i="319" s="1"/>
  <c r="F19" i="319"/>
  <c r="T18" i="319"/>
  <c r="I18" i="319" s="1"/>
  <c r="J30" i="319" s="1"/>
  <c r="F18" i="319"/>
  <c r="T17" i="319"/>
  <c r="I17" i="319" s="1"/>
  <c r="F17" i="319"/>
  <c r="U16" i="319"/>
  <c r="M28" i="319" s="1"/>
  <c r="T16" i="319"/>
  <c r="I16" i="319" s="1"/>
  <c r="J28" i="319" s="1"/>
  <c r="F16" i="319"/>
  <c r="T15" i="319"/>
  <c r="I15" i="319" s="1"/>
  <c r="J27" i="319" s="1"/>
  <c r="F15" i="319"/>
  <c r="T14" i="319"/>
  <c r="I14" i="319" s="1"/>
  <c r="J26" i="319" s="1"/>
  <c r="F14" i="319"/>
  <c r="U13" i="319"/>
  <c r="M25" i="319" s="1"/>
  <c r="T13" i="319"/>
  <c r="I13" i="319" s="1"/>
  <c r="F13" i="319"/>
  <c r="T12" i="319"/>
  <c r="I12" i="319" s="1"/>
  <c r="F12" i="319"/>
  <c r="T11" i="319"/>
  <c r="I11" i="319" s="1"/>
  <c r="F11" i="319"/>
  <c r="U10" i="319"/>
  <c r="M22" i="319" s="1"/>
  <c r="T10" i="319"/>
  <c r="I10" i="319" s="1"/>
  <c r="F10" i="319"/>
  <c r="T9" i="319"/>
  <c r="I9" i="319" s="1"/>
  <c r="F9" i="319"/>
  <c r="T8" i="319"/>
  <c r="I8" i="319" s="1"/>
  <c r="F8" i="319"/>
  <c r="L7" i="319"/>
  <c r="K7" i="319"/>
  <c r="U7" i="319"/>
  <c r="T7" i="319"/>
  <c r="I7" i="319" s="1"/>
  <c r="F7" i="319"/>
  <c r="T6" i="319"/>
  <c r="I6" i="319" s="1"/>
  <c r="F6" i="319"/>
  <c r="T5" i="319"/>
  <c r="I5" i="319" s="1"/>
  <c r="F5" i="319"/>
  <c r="T25" i="318"/>
  <c r="I25" i="318" s="1"/>
  <c r="T24" i="318"/>
  <c r="I24" i="318" s="1"/>
  <c r="F24" i="318"/>
  <c r="T23" i="318"/>
  <c r="I23" i="318" s="1"/>
  <c r="F23" i="318"/>
  <c r="T22" i="318"/>
  <c r="I22" i="318" s="1"/>
  <c r="F22" i="318"/>
  <c r="T21" i="318"/>
  <c r="I21" i="318" s="1"/>
  <c r="F21" i="318"/>
  <c r="T20" i="318"/>
  <c r="I20" i="318" s="1"/>
  <c r="J32" i="318" s="1"/>
  <c r="F20" i="318"/>
  <c r="T19" i="318"/>
  <c r="I19" i="318" s="1"/>
  <c r="F19" i="318"/>
  <c r="T18" i="318"/>
  <c r="I18" i="318" s="1"/>
  <c r="F18" i="318"/>
  <c r="T17" i="318"/>
  <c r="I17" i="318" s="1"/>
  <c r="F17" i="318"/>
  <c r="T16" i="318"/>
  <c r="I16" i="318" s="1"/>
  <c r="J28" i="318" s="1"/>
  <c r="F16" i="318"/>
  <c r="T15" i="318"/>
  <c r="I15" i="318" s="1"/>
  <c r="J27" i="318" s="1"/>
  <c r="F15" i="318"/>
  <c r="T14" i="318"/>
  <c r="I14" i="318" s="1"/>
  <c r="J26" i="318" s="1"/>
  <c r="F14" i="318"/>
  <c r="T13" i="318"/>
  <c r="I13" i="318" s="1"/>
  <c r="F13" i="318"/>
  <c r="T12" i="318"/>
  <c r="I12" i="318" s="1"/>
  <c r="F12" i="318"/>
  <c r="T11" i="318"/>
  <c r="F11" i="318"/>
  <c r="T10" i="318"/>
  <c r="I10" i="318" s="1"/>
  <c r="F10" i="318"/>
  <c r="T9" i="318"/>
  <c r="I9" i="318" s="1"/>
  <c r="F9" i="318"/>
  <c r="T8" i="318"/>
  <c r="I8" i="318" s="1"/>
  <c r="F8" i="318"/>
  <c r="T7" i="318"/>
  <c r="I7" i="318" s="1"/>
  <c r="F7" i="318"/>
  <c r="T6" i="318"/>
  <c r="I6" i="318" s="1"/>
  <c r="F6" i="318"/>
  <c r="T5" i="318"/>
  <c r="F5" i="318"/>
  <c r="J18" i="319" l="1"/>
  <c r="J24" i="319"/>
  <c r="J20" i="318"/>
  <c r="J22" i="318"/>
  <c r="J34" i="318"/>
  <c r="N7" i="318"/>
  <c r="I5" i="318"/>
  <c r="J17" i="318" s="1"/>
  <c r="J19" i="318"/>
  <c r="J31" i="318"/>
  <c r="J22" i="319"/>
  <c r="J23" i="319"/>
  <c r="J35" i="319"/>
  <c r="J18" i="318"/>
  <c r="J30" i="318"/>
  <c r="J21" i="318"/>
  <c r="J33" i="318"/>
  <c r="J24" i="318"/>
  <c r="J36" i="318"/>
  <c r="J20" i="319"/>
  <c r="J21" i="319"/>
  <c r="J33" i="319"/>
  <c r="J17" i="319"/>
  <c r="J29" i="319"/>
  <c r="N13" i="318"/>
  <c r="I11" i="318"/>
  <c r="J23" i="318" s="1"/>
  <c r="J29" i="318"/>
  <c r="J35" i="318"/>
  <c r="J25" i="318"/>
  <c r="J37" i="318"/>
  <c r="J19" i="319"/>
  <c r="J31" i="319"/>
  <c r="J25" i="319"/>
  <c r="J37" i="319"/>
  <c r="N10" i="318"/>
  <c r="H30" i="319"/>
  <c r="H30" i="318"/>
  <c r="H27" i="319"/>
  <c r="H32" i="319"/>
  <c r="H34" i="319"/>
  <c r="H36" i="319"/>
  <c r="H25" i="319"/>
  <c r="H28" i="318"/>
  <c r="H32" i="318"/>
  <c r="H34" i="318"/>
  <c r="H31" i="319"/>
  <c r="H27" i="318"/>
  <c r="H31" i="318"/>
  <c r="H33" i="318"/>
  <c r="H35" i="318"/>
  <c r="H28" i="319"/>
  <c r="H33" i="319"/>
  <c r="H35" i="319"/>
  <c r="N19" i="318"/>
  <c r="N25" i="318"/>
  <c r="O28" i="318" s="1"/>
  <c r="N22" i="318"/>
  <c r="N16" i="318"/>
  <c r="G25" i="318"/>
  <c r="H36" i="318"/>
  <c r="L22" i="319"/>
  <c r="M31" i="319"/>
  <c r="C7" i="318"/>
  <c r="C10" i="318"/>
  <c r="C22" i="319"/>
  <c r="E34" i="319" s="1"/>
  <c r="C7" i="319"/>
  <c r="H29" i="318"/>
  <c r="C19" i="318"/>
  <c r="E31" i="318" s="1"/>
  <c r="C16" i="318"/>
  <c r="C22" i="318"/>
  <c r="E34" i="318" s="1"/>
  <c r="C25" i="318"/>
  <c r="E37" i="318" s="1"/>
  <c r="C10" i="319"/>
  <c r="C13" i="319"/>
  <c r="C16" i="319"/>
  <c r="H29" i="319"/>
  <c r="C19" i="319"/>
  <c r="E31" i="319" s="1"/>
  <c r="C13" i="318"/>
  <c r="C25" i="319"/>
  <c r="E37" i="319" s="1"/>
  <c r="N22" i="319"/>
  <c r="N25" i="319"/>
  <c r="O28" i="319" s="1"/>
  <c r="N7" i="319"/>
  <c r="N10" i="319"/>
  <c r="N13" i="319"/>
  <c r="N16" i="319"/>
  <c r="L10" i="319"/>
  <c r="L13" i="319"/>
  <c r="L16" i="319"/>
  <c r="N19" i="319"/>
  <c r="M19" i="319"/>
  <c r="L19" i="319"/>
  <c r="H26" i="319"/>
  <c r="H26" i="318"/>
  <c r="G12" i="319"/>
  <c r="G21" i="318"/>
  <c r="H17" i="319"/>
  <c r="G15" i="319"/>
  <c r="G14" i="319"/>
  <c r="G7" i="319"/>
  <c r="G16" i="319"/>
  <c r="G17" i="319"/>
  <c r="G8" i="319"/>
  <c r="G11" i="319"/>
  <c r="B16" i="319"/>
  <c r="H24" i="319"/>
  <c r="H19" i="319"/>
  <c r="H22" i="319"/>
  <c r="G9" i="319"/>
  <c r="G10" i="319"/>
  <c r="H21" i="319"/>
  <c r="B25" i="319"/>
  <c r="B22" i="319"/>
  <c r="G23" i="319"/>
  <c r="B19" i="319"/>
  <c r="G19" i="319"/>
  <c r="G25" i="319"/>
  <c r="B7" i="319"/>
  <c r="B10" i="319"/>
  <c r="G13" i="319"/>
  <c r="G18" i="319"/>
  <c r="H23" i="319"/>
  <c r="G24" i="319"/>
  <c r="G6" i="319"/>
  <c r="B13" i="319"/>
  <c r="H18" i="319"/>
  <c r="G20" i="319"/>
  <c r="G22" i="319"/>
  <c r="H20" i="319"/>
  <c r="G21" i="319"/>
  <c r="G6" i="318"/>
  <c r="G9" i="318"/>
  <c r="G12" i="318"/>
  <c r="G15" i="318"/>
  <c r="G7" i="318"/>
  <c r="G10" i="318"/>
  <c r="H19" i="318"/>
  <c r="B10" i="318"/>
  <c r="G16" i="318"/>
  <c r="G11" i="318"/>
  <c r="B16" i="318"/>
  <c r="G17" i="318"/>
  <c r="H22" i="318"/>
  <c r="H23" i="318"/>
  <c r="B22" i="318"/>
  <c r="H21" i="318"/>
  <c r="G23" i="318"/>
  <c r="H25" i="318"/>
  <c r="H17" i="318"/>
  <c r="G18" i="318"/>
  <c r="G24" i="318"/>
  <c r="G14" i="318"/>
  <c r="B19" i="318"/>
  <c r="B25" i="318"/>
  <c r="G8" i="318"/>
  <c r="H18" i="318"/>
  <c r="G20" i="318"/>
  <c r="G22" i="318"/>
  <c r="H24" i="318"/>
  <c r="G19" i="318"/>
  <c r="B7" i="318"/>
  <c r="G13" i="318"/>
  <c r="B13" i="318"/>
  <c r="H20" i="318"/>
  <c r="L25" i="317"/>
  <c r="L24" i="317"/>
  <c r="E24" i="317"/>
  <c r="L23" i="317"/>
  <c r="E23" i="317"/>
  <c r="L22" i="317"/>
  <c r="E22" i="317"/>
  <c r="L21" i="317"/>
  <c r="E21" i="317"/>
  <c r="L20" i="317"/>
  <c r="E20" i="317"/>
  <c r="G32" i="317" s="1"/>
  <c r="N19" i="317"/>
  <c r="M19" i="317"/>
  <c r="L19" i="317"/>
  <c r="E19" i="317"/>
  <c r="G31" i="317" s="1"/>
  <c r="L18" i="317"/>
  <c r="E18" i="317"/>
  <c r="G30" i="317" s="1"/>
  <c r="L17" i="317"/>
  <c r="E17" i="317"/>
  <c r="N16" i="317"/>
  <c r="M16" i="317"/>
  <c r="P28" i="317" s="1"/>
  <c r="L16" i="317"/>
  <c r="E16" i="317"/>
  <c r="G28" i="317" s="1"/>
  <c r="L15" i="317"/>
  <c r="E15" i="317"/>
  <c r="G27" i="317" s="1"/>
  <c r="L14" i="317"/>
  <c r="E14" i="317"/>
  <c r="N13" i="317"/>
  <c r="M13" i="317"/>
  <c r="P25" i="317" s="1"/>
  <c r="L13" i="317"/>
  <c r="E13" i="317"/>
  <c r="L12" i="317"/>
  <c r="E12" i="317"/>
  <c r="L11" i="317"/>
  <c r="E11" i="317"/>
  <c r="N10" i="317"/>
  <c r="M10" i="317"/>
  <c r="P22" i="317" s="1"/>
  <c r="L10" i="317"/>
  <c r="E10" i="317"/>
  <c r="L9" i="317"/>
  <c r="E9" i="317"/>
  <c r="L8" i="317"/>
  <c r="E8" i="317"/>
  <c r="N7" i="317"/>
  <c r="M7" i="317"/>
  <c r="L7" i="317"/>
  <c r="E7" i="317"/>
  <c r="L6" i="317"/>
  <c r="E6" i="317"/>
  <c r="L5" i="317"/>
  <c r="E5" i="317"/>
  <c r="L25" i="316"/>
  <c r="L24" i="316"/>
  <c r="E24" i="316"/>
  <c r="L23" i="316"/>
  <c r="E23" i="316"/>
  <c r="L22" i="316"/>
  <c r="E22" i="316"/>
  <c r="L21" i="316"/>
  <c r="E21" i="316"/>
  <c r="L20" i="316"/>
  <c r="E20" i="316"/>
  <c r="G32" i="316" s="1"/>
  <c r="N19" i="316"/>
  <c r="M19" i="316"/>
  <c r="L19" i="316"/>
  <c r="E19" i="316"/>
  <c r="G31" i="316" s="1"/>
  <c r="L18" i="316"/>
  <c r="E18" i="316"/>
  <c r="G30" i="316" s="1"/>
  <c r="L17" i="316"/>
  <c r="E17" i="316"/>
  <c r="N16" i="316"/>
  <c r="M16" i="316"/>
  <c r="P28" i="316" s="1"/>
  <c r="L16" i="316"/>
  <c r="E16" i="316"/>
  <c r="G28" i="316" s="1"/>
  <c r="L15" i="316"/>
  <c r="E15" i="316"/>
  <c r="G27" i="316" s="1"/>
  <c r="L14" i="316"/>
  <c r="E14" i="316"/>
  <c r="N13" i="316"/>
  <c r="M13" i="316"/>
  <c r="P25" i="316" s="1"/>
  <c r="L13" i="316"/>
  <c r="E13" i="316"/>
  <c r="L12" i="316"/>
  <c r="E12" i="316"/>
  <c r="L11" i="316"/>
  <c r="E11" i="316"/>
  <c r="N10" i="316"/>
  <c r="M10" i="316"/>
  <c r="P22" i="316" s="1"/>
  <c r="L10" i="316"/>
  <c r="E10" i="316"/>
  <c r="L9" i="316"/>
  <c r="E9" i="316"/>
  <c r="L8" i="316"/>
  <c r="E8" i="316"/>
  <c r="N7" i="316"/>
  <c r="M7" i="316"/>
  <c r="L7" i="316"/>
  <c r="E7" i="316"/>
  <c r="L6" i="316"/>
  <c r="E6" i="316"/>
  <c r="L5" i="316"/>
  <c r="E5" i="316"/>
  <c r="L25" i="315"/>
  <c r="L24" i="315"/>
  <c r="E24" i="315"/>
  <c r="L23" i="315"/>
  <c r="E23" i="315"/>
  <c r="L22" i="315"/>
  <c r="E22" i="315"/>
  <c r="L21" i="315"/>
  <c r="E21" i="315"/>
  <c r="L20" i="315"/>
  <c r="E20" i="315"/>
  <c r="G32" i="315" s="1"/>
  <c r="N19" i="315"/>
  <c r="M19" i="315"/>
  <c r="L19" i="315"/>
  <c r="E19" i="315"/>
  <c r="G31" i="315" s="1"/>
  <c r="L18" i="315"/>
  <c r="E18" i="315"/>
  <c r="G30" i="315" s="1"/>
  <c r="L17" i="315"/>
  <c r="E17" i="315"/>
  <c r="N16" i="315"/>
  <c r="M16" i="315"/>
  <c r="P28" i="315" s="1"/>
  <c r="L16" i="315"/>
  <c r="E16" i="315"/>
  <c r="G28" i="315" s="1"/>
  <c r="L15" i="315"/>
  <c r="E15" i="315"/>
  <c r="G27" i="315" s="1"/>
  <c r="L14" i="315"/>
  <c r="E14" i="315"/>
  <c r="N13" i="315"/>
  <c r="M13" i="315"/>
  <c r="P25" i="315" s="1"/>
  <c r="L13" i="315"/>
  <c r="E13" i="315"/>
  <c r="L12" i="315"/>
  <c r="E12" i="315"/>
  <c r="L11" i="315"/>
  <c r="E11" i="315"/>
  <c r="N10" i="315"/>
  <c r="M10" i="315"/>
  <c r="P22" i="315" s="1"/>
  <c r="L10" i="315"/>
  <c r="E10" i="315"/>
  <c r="L9" i="315"/>
  <c r="E9" i="315"/>
  <c r="L8" i="315"/>
  <c r="E8" i="315"/>
  <c r="N7" i="315"/>
  <c r="M7" i="315"/>
  <c r="L7" i="315"/>
  <c r="E7" i="315"/>
  <c r="L6" i="315"/>
  <c r="E6" i="315"/>
  <c r="L5" i="315"/>
  <c r="E5" i="315"/>
  <c r="T25" i="314"/>
  <c r="I25" i="314" s="1"/>
  <c r="T24" i="314"/>
  <c r="I24" i="314" s="1"/>
  <c r="J36" i="314" s="1"/>
  <c r="F24" i="314"/>
  <c r="T23" i="314"/>
  <c r="I23" i="314" s="1"/>
  <c r="F23" i="314"/>
  <c r="T22" i="314"/>
  <c r="I22" i="314" s="1"/>
  <c r="J34" i="314" s="1"/>
  <c r="F22" i="314"/>
  <c r="T21" i="314"/>
  <c r="I21" i="314" s="1"/>
  <c r="F21" i="314"/>
  <c r="T20" i="314"/>
  <c r="I20" i="314" s="1"/>
  <c r="J32" i="314" s="1"/>
  <c r="F20" i="314"/>
  <c r="K19" i="314"/>
  <c r="U19" i="314"/>
  <c r="T19" i="314"/>
  <c r="I19" i="314" s="1"/>
  <c r="F19" i="314"/>
  <c r="T18" i="314"/>
  <c r="I18" i="314" s="1"/>
  <c r="J30" i="314" s="1"/>
  <c r="F18" i="314"/>
  <c r="T17" i="314"/>
  <c r="I17" i="314" s="1"/>
  <c r="F17" i="314"/>
  <c r="K16" i="314"/>
  <c r="U16" i="314"/>
  <c r="M28" i="314" s="1"/>
  <c r="T16" i="314"/>
  <c r="I16" i="314" s="1"/>
  <c r="J28" i="314" s="1"/>
  <c r="F16" i="314"/>
  <c r="T15" i="314"/>
  <c r="I15" i="314" s="1"/>
  <c r="J27" i="314" s="1"/>
  <c r="F15" i="314"/>
  <c r="T14" i="314"/>
  <c r="I14" i="314" s="1"/>
  <c r="J26" i="314" s="1"/>
  <c r="F14" i="314"/>
  <c r="K13" i="314"/>
  <c r="U13" i="314"/>
  <c r="M25" i="314" s="1"/>
  <c r="T13" i="314"/>
  <c r="I13" i="314" s="1"/>
  <c r="F13" i="314"/>
  <c r="T12" i="314"/>
  <c r="I12" i="314" s="1"/>
  <c r="F12" i="314"/>
  <c r="T11" i="314"/>
  <c r="I11" i="314" s="1"/>
  <c r="F11" i="314"/>
  <c r="K10" i="314"/>
  <c r="U10" i="314"/>
  <c r="M22" i="314" s="1"/>
  <c r="T10" i="314"/>
  <c r="I10" i="314" s="1"/>
  <c r="F10" i="314"/>
  <c r="T9" i="314"/>
  <c r="I9" i="314" s="1"/>
  <c r="F9" i="314"/>
  <c r="T8" i="314"/>
  <c r="I8" i="314" s="1"/>
  <c r="F8" i="314"/>
  <c r="K7" i="314"/>
  <c r="U7" i="314"/>
  <c r="T7" i="314"/>
  <c r="I7" i="314" s="1"/>
  <c r="F7" i="314"/>
  <c r="T6" i="314"/>
  <c r="I6" i="314" s="1"/>
  <c r="F6" i="314"/>
  <c r="T5" i="314"/>
  <c r="I5" i="314" s="1"/>
  <c r="F5" i="314"/>
  <c r="J24" i="314" l="1"/>
  <c r="J20" i="314"/>
  <c r="J18" i="314"/>
  <c r="O10" i="318"/>
  <c r="J22" i="314"/>
  <c r="J19" i="314"/>
  <c r="J31" i="314"/>
  <c r="J21" i="314"/>
  <c r="J33" i="314"/>
  <c r="J17" i="314"/>
  <c r="J29" i="314"/>
  <c r="J23" i="314"/>
  <c r="J35" i="314"/>
  <c r="J25" i="314"/>
  <c r="J37" i="314"/>
  <c r="O13" i="318"/>
  <c r="H30" i="314"/>
  <c r="H33" i="314"/>
  <c r="H28" i="314"/>
  <c r="H31" i="314"/>
  <c r="H32" i="314"/>
  <c r="H34" i="314"/>
  <c r="H36" i="314"/>
  <c r="H27" i="314"/>
  <c r="H35" i="314"/>
  <c r="O19" i="318"/>
  <c r="O22" i="318"/>
  <c r="O16" i="318"/>
  <c r="O25" i="318"/>
  <c r="O22" i="316"/>
  <c r="P31" i="316"/>
  <c r="O22" i="315"/>
  <c r="P31" i="315"/>
  <c r="L22" i="314"/>
  <c r="M31" i="314"/>
  <c r="O22" i="317"/>
  <c r="P31" i="317"/>
  <c r="D10" i="318"/>
  <c r="D13" i="318"/>
  <c r="D13" i="319"/>
  <c r="E25" i="319"/>
  <c r="D25" i="319"/>
  <c r="D28" i="319"/>
  <c r="D16" i="319"/>
  <c r="E28" i="319"/>
  <c r="E22" i="318"/>
  <c r="D22" i="318"/>
  <c r="D16" i="318"/>
  <c r="E28" i="318"/>
  <c r="E22" i="319"/>
  <c r="D22" i="319"/>
  <c r="E19" i="319"/>
  <c r="D19" i="319"/>
  <c r="D10" i="319"/>
  <c r="E19" i="318"/>
  <c r="D19" i="318"/>
  <c r="E25" i="318"/>
  <c r="D25" i="318"/>
  <c r="D28" i="318"/>
  <c r="C7" i="314"/>
  <c r="B25" i="315"/>
  <c r="B7" i="317"/>
  <c r="B10" i="317"/>
  <c r="B13" i="317"/>
  <c r="B16" i="317"/>
  <c r="B22" i="317"/>
  <c r="C22" i="314"/>
  <c r="E34" i="314" s="1"/>
  <c r="B7" i="315"/>
  <c r="B10" i="315"/>
  <c r="B13" i="315"/>
  <c r="B22" i="315"/>
  <c r="C10" i="314"/>
  <c r="C13" i="314"/>
  <c r="C16" i="314"/>
  <c r="B25" i="316"/>
  <c r="H29" i="314"/>
  <c r="C19" i="314"/>
  <c r="E31" i="314" s="1"/>
  <c r="G29" i="317"/>
  <c r="B19" i="317"/>
  <c r="D31" i="317" s="1"/>
  <c r="C25" i="314"/>
  <c r="E37" i="314" s="1"/>
  <c r="B7" i="316"/>
  <c r="B10" i="316"/>
  <c r="B13" i="316"/>
  <c r="B16" i="316"/>
  <c r="G29" i="316"/>
  <c r="B19" i="316"/>
  <c r="D31" i="316" s="1"/>
  <c r="B22" i="316"/>
  <c r="B16" i="315"/>
  <c r="G29" i="315"/>
  <c r="B19" i="315"/>
  <c r="D31" i="315" s="1"/>
  <c r="B25" i="317"/>
  <c r="Q22" i="317"/>
  <c r="O25" i="319"/>
  <c r="Q22" i="316"/>
  <c r="Q25" i="315"/>
  <c r="R28" i="315" s="1"/>
  <c r="N25" i="314"/>
  <c r="Q22" i="315"/>
  <c r="Q25" i="317"/>
  <c r="N22" i="314"/>
  <c r="Q25" i="316"/>
  <c r="O19" i="319"/>
  <c r="O10" i="319"/>
  <c r="O22" i="319"/>
  <c r="Q7" i="316"/>
  <c r="Q10" i="316"/>
  <c r="Q13" i="316"/>
  <c r="Q16" i="316"/>
  <c r="N7" i="314"/>
  <c r="O16" i="319"/>
  <c r="Q19" i="316"/>
  <c r="Q7" i="317"/>
  <c r="Q10" i="317"/>
  <c r="Q13" i="317"/>
  <c r="Q16" i="317"/>
  <c r="Q19" i="317"/>
  <c r="O13" i="319"/>
  <c r="O10" i="315"/>
  <c r="O16" i="315"/>
  <c r="O13" i="315"/>
  <c r="Q7" i="315"/>
  <c r="Q10" i="315"/>
  <c r="Q13" i="315"/>
  <c r="Q16" i="315"/>
  <c r="O19" i="315"/>
  <c r="P19" i="315"/>
  <c r="Q19" i="315"/>
  <c r="N10" i="314"/>
  <c r="N13" i="314"/>
  <c r="N16" i="314"/>
  <c r="N19" i="314"/>
  <c r="L10" i="314"/>
  <c r="L13" i="314"/>
  <c r="L16" i="314"/>
  <c r="M19" i="314"/>
  <c r="L19" i="314"/>
  <c r="O10" i="316"/>
  <c r="O13" i="316"/>
  <c r="O16" i="316"/>
  <c r="O19" i="316"/>
  <c r="P19" i="316"/>
  <c r="O10" i="317"/>
  <c r="O13" i="317"/>
  <c r="O16" i="317"/>
  <c r="P19" i="317"/>
  <c r="O19" i="317"/>
  <c r="G26" i="316"/>
  <c r="G26" i="317"/>
  <c r="H26" i="314"/>
  <c r="G26" i="315"/>
  <c r="H24" i="314"/>
  <c r="A10" i="315"/>
  <c r="F8" i="315"/>
  <c r="F10" i="315"/>
  <c r="F6" i="316"/>
  <c r="F9" i="316"/>
  <c r="F18" i="316"/>
  <c r="F21" i="316"/>
  <c r="F24" i="316"/>
  <c r="G18" i="315"/>
  <c r="F8" i="317"/>
  <c r="F7" i="315"/>
  <c r="F15" i="315"/>
  <c r="F21" i="315"/>
  <c r="F24" i="315"/>
  <c r="F13" i="316"/>
  <c r="A16" i="316"/>
  <c r="F16" i="316"/>
  <c r="G22" i="316"/>
  <c r="F21" i="317"/>
  <c r="F24" i="317"/>
  <c r="B7" i="314"/>
  <c r="G7" i="314"/>
  <c r="B10" i="314"/>
  <c r="B13" i="314"/>
  <c r="G13" i="314"/>
  <c r="B16" i="314"/>
  <c r="G16" i="314"/>
  <c r="A10" i="317"/>
  <c r="F6" i="317"/>
  <c r="F20" i="317"/>
  <c r="F9" i="317"/>
  <c r="G20" i="317"/>
  <c r="F23" i="317"/>
  <c r="G24" i="317"/>
  <c r="F10" i="317"/>
  <c r="F15" i="317"/>
  <c r="F18" i="317"/>
  <c r="G18" i="317"/>
  <c r="G22" i="317"/>
  <c r="A13" i="317"/>
  <c r="F13" i="317"/>
  <c r="A16" i="317"/>
  <c r="F16" i="317"/>
  <c r="F17" i="317"/>
  <c r="G25" i="317"/>
  <c r="A7" i="317"/>
  <c r="F7" i="317"/>
  <c r="G19" i="317"/>
  <c r="G21" i="317"/>
  <c r="F12" i="317"/>
  <c r="G17" i="317"/>
  <c r="G23" i="317"/>
  <c r="F11" i="317"/>
  <c r="F19" i="317"/>
  <c r="F22" i="317"/>
  <c r="F25" i="317"/>
  <c r="F14" i="317"/>
  <c r="A19" i="317"/>
  <c r="A22" i="317"/>
  <c r="A25" i="317"/>
  <c r="F14" i="316"/>
  <c r="F17" i="316"/>
  <c r="G25" i="316"/>
  <c r="A7" i="316"/>
  <c r="F7" i="316"/>
  <c r="F11" i="316"/>
  <c r="A13" i="316"/>
  <c r="F15" i="316"/>
  <c r="F19" i="316"/>
  <c r="F20" i="316"/>
  <c r="F23" i="316"/>
  <c r="F8" i="316"/>
  <c r="F10" i="316"/>
  <c r="F12" i="316"/>
  <c r="G17" i="316"/>
  <c r="G18" i="316"/>
  <c r="G20" i="316"/>
  <c r="G21" i="316"/>
  <c r="G23" i="316"/>
  <c r="G24" i="316"/>
  <c r="A10" i="316"/>
  <c r="F22" i="316"/>
  <c r="F25" i="316"/>
  <c r="A19" i="316"/>
  <c r="G19" i="316"/>
  <c r="A22" i="316"/>
  <c r="A25" i="316"/>
  <c r="F20" i="315"/>
  <c r="G21" i="315"/>
  <c r="G20" i="315"/>
  <c r="F23" i="315"/>
  <c r="G24" i="315"/>
  <c r="F18" i="315"/>
  <c r="G22" i="315"/>
  <c r="F6" i="315"/>
  <c r="A13" i="315"/>
  <c r="F13" i="315"/>
  <c r="A16" i="315"/>
  <c r="F16" i="315"/>
  <c r="F17" i="315"/>
  <c r="G25" i="315"/>
  <c r="F9" i="315"/>
  <c r="G19" i="315"/>
  <c r="G23" i="315"/>
  <c r="F19" i="315"/>
  <c r="F22" i="315"/>
  <c r="F25" i="315"/>
  <c r="F12" i="315"/>
  <c r="F11" i="315"/>
  <c r="F14" i="315"/>
  <c r="A19" i="315"/>
  <c r="A22" i="315"/>
  <c r="A25" i="315"/>
  <c r="G17" i="315"/>
  <c r="A7" i="315"/>
  <c r="H19" i="314"/>
  <c r="H20" i="314"/>
  <c r="H22" i="314"/>
  <c r="G9" i="314"/>
  <c r="G10" i="314"/>
  <c r="G8" i="314"/>
  <c r="G15" i="314"/>
  <c r="G18" i="314"/>
  <c r="H25" i="314"/>
  <c r="G17" i="314"/>
  <c r="G6" i="314"/>
  <c r="G21" i="314"/>
  <c r="H18" i="314"/>
  <c r="G23" i="314"/>
  <c r="G20" i="314"/>
  <c r="H21" i="314"/>
  <c r="G24" i="314"/>
  <c r="G12" i="314"/>
  <c r="H17" i="314"/>
  <c r="H23" i="314"/>
  <c r="G11" i="314"/>
  <c r="G19" i="314"/>
  <c r="G22" i="314"/>
  <c r="G25" i="314"/>
  <c r="G14" i="314"/>
  <c r="B19" i="314"/>
  <c r="B22" i="314"/>
  <c r="B25" i="314"/>
  <c r="D10" i="314" l="1"/>
  <c r="C13" i="317"/>
  <c r="D13" i="314"/>
  <c r="C10" i="315"/>
  <c r="C10" i="316"/>
  <c r="C13" i="315"/>
  <c r="D19" i="315"/>
  <c r="C19" i="315"/>
  <c r="D19" i="316"/>
  <c r="C19" i="316"/>
  <c r="D16" i="314"/>
  <c r="E28" i="314"/>
  <c r="D22" i="317"/>
  <c r="C22" i="317"/>
  <c r="E19" i="314"/>
  <c r="D19" i="314"/>
  <c r="C16" i="317"/>
  <c r="D28" i="317"/>
  <c r="D25" i="315"/>
  <c r="C25" i="315"/>
  <c r="C28" i="315"/>
  <c r="C16" i="315"/>
  <c r="D28" i="315"/>
  <c r="C16" i="316"/>
  <c r="D28" i="316"/>
  <c r="E25" i="314"/>
  <c r="D25" i="314"/>
  <c r="D28" i="314"/>
  <c r="D25" i="317"/>
  <c r="C25" i="317"/>
  <c r="C28" i="317"/>
  <c r="D22" i="316"/>
  <c r="C22" i="316"/>
  <c r="C13" i="316"/>
  <c r="D19" i="317"/>
  <c r="C19" i="317"/>
  <c r="D25" i="316"/>
  <c r="C25" i="316"/>
  <c r="C28" i="316"/>
  <c r="D22" i="315"/>
  <c r="C22" i="315"/>
  <c r="E22" i="314"/>
  <c r="D22" i="314"/>
  <c r="C10" i="317"/>
  <c r="R22" i="316"/>
  <c r="R22" i="317"/>
  <c r="R10" i="315"/>
  <c r="R16" i="316"/>
  <c r="O19" i="314"/>
  <c r="R13" i="316"/>
  <c r="R16" i="315"/>
  <c r="O22" i="314"/>
  <c r="R10" i="316"/>
  <c r="O25" i="314"/>
  <c r="O28" i="314"/>
  <c r="R25" i="317"/>
  <c r="R28" i="317"/>
  <c r="R25" i="316"/>
  <c r="R28" i="316"/>
  <c r="R22" i="315"/>
  <c r="R25" i="315"/>
  <c r="O10" i="314"/>
  <c r="R19" i="316"/>
  <c r="R16" i="317"/>
  <c r="R19" i="317"/>
  <c r="R10" i="317"/>
  <c r="R13" i="315"/>
  <c r="O16" i="314"/>
  <c r="R13" i="317"/>
  <c r="R19" i="315"/>
  <c r="O13" i="314"/>
  <c r="S25" i="186" l="1"/>
  <c r="R25" i="186"/>
  <c r="Q25" i="186"/>
  <c r="F25" i="186" s="1"/>
  <c r="S25" i="231"/>
  <c r="U25" i="231" s="1"/>
  <c r="M37" i="231" s="1"/>
  <c r="R25" i="231"/>
  <c r="Q25" i="231"/>
  <c r="F25" i="231" s="1"/>
  <c r="F25" i="170"/>
  <c r="S25" i="144"/>
  <c r="R25" i="144"/>
  <c r="Q25" i="144"/>
  <c r="F25" i="144" s="1"/>
  <c r="F25" i="195"/>
  <c r="S25" i="185"/>
  <c r="R25" i="185"/>
  <c r="Q25" i="185"/>
  <c r="F25" i="185" s="1"/>
  <c r="S25" i="247"/>
  <c r="R25" i="247"/>
  <c r="Q25" i="247"/>
  <c r="F25" i="152"/>
  <c r="F25" i="142"/>
  <c r="S25" i="253"/>
  <c r="R25" i="253"/>
  <c r="Q25" i="253"/>
  <c r="F25" i="253" s="1"/>
  <c r="S25" i="300"/>
  <c r="R25" i="300"/>
  <c r="Q25" i="300"/>
  <c r="F25" i="300" s="1"/>
  <c r="S24" i="300"/>
  <c r="R24" i="300"/>
  <c r="Q24" i="300"/>
  <c r="F25" i="149"/>
  <c r="G26" i="253" l="1"/>
  <c r="H37" i="253"/>
  <c r="G26" i="152"/>
  <c r="H37" i="152"/>
  <c r="G26" i="300"/>
  <c r="H37" i="300"/>
  <c r="G26" i="195"/>
  <c r="H37" i="195"/>
  <c r="G26" i="170"/>
  <c r="H37" i="170"/>
  <c r="G26" i="186"/>
  <c r="H37" i="186"/>
  <c r="G26" i="185"/>
  <c r="H37" i="185"/>
  <c r="G26" i="144"/>
  <c r="H37" i="144"/>
  <c r="G26" i="231"/>
  <c r="H37" i="231"/>
  <c r="G26" i="149"/>
  <c r="H37" i="149"/>
  <c r="G26" i="142"/>
  <c r="H37" i="142"/>
  <c r="F25" i="247"/>
  <c r="L28" i="231"/>
  <c r="T25" i="253"/>
  <c r="I25" i="253" s="1"/>
  <c r="T25" i="3"/>
  <c r="I25" i="3" s="1"/>
  <c r="T25" i="135"/>
  <c r="I25" i="135" s="1"/>
  <c r="T25" i="295"/>
  <c r="I25" i="295" s="1"/>
  <c r="J37" i="295" s="1"/>
  <c r="T25" i="294"/>
  <c r="I25" i="294" s="1"/>
  <c r="J37" i="294" s="1"/>
  <c r="T25" i="293"/>
  <c r="I25" i="293" s="1"/>
  <c r="L25" i="175"/>
  <c r="T25" i="292"/>
  <c r="I25" i="292" s="1"/>
  <c r="T25" i="269"/>
  <c r="I25" i="269" s="1"/>
  <c r="J37" i="269" s="1"/>
  <c r="T25" i="288"/>
  <c r="I25" i="288" s="1"/>
  <c r="T25" i="11"/>
  <c r="I25" i="11" s="1"/>
  <c r="S25" i="279"/>
  <c r="T25" i="204"/>
  <c r="I25" i="204" s="1"/>
  <c r="T25" i="28"/>
  <c r="I25" i="28" s="1"/>
  <c r="T25" i="29"/>
  <c r="I25" i="29" s="1"/>
  <c r="T25" i="23"/>
  <c r="I25" i="23" s="1"/>
  <c r="T25" i="5"/>
  <c r="I25" i="5" s="1"/>
  <c r="J37" i="5" s="1"/>
  <c r="T25" i="207"/>
  <c r="I25" i="207" s="1"/>
  <c r="T25" i="9"/>
  <c r="I25" i="9" s="1"/>
  <c r="T25" i="202"/>
  <c r="I25" i="202" s="1"/>
  <c r="T25" i="300"/>
  <c r="I25" i="300" s="1"/>
  <c r="T25" i="190"/>
  <c r="I25" i="190" s="1"/>
  <c r="T25" i="299"/>
  <c r="I25" i="299" s="1"/>
  <c r="T25" i="283"/>
  <c r="I25" i="283" s="1"/>
  <c r="I25" i="187"/>
  <c r="T25" i="4"/>
  <c r="I25" i="4" s="1"/>
  <c r="T25" i="54"/>
  <c r="I25" i="54" s="1"/>
  <c r="T25" i="149"/>
  <c r="I25" i="149" s="1"/>
  <c r="J37" i="149" s="1"/>
  <c r="T25" i="88"/>
  <c r="I25" i="88" s="1"/>
  <c r="T25" i="148"/>
  <c r="I25" i="148" s="1"/>
  <c r="T25" i="303"/>
  <c r="I25" i="303" s="1"/>
  <c r="T25" i="89"/>
  <c r="I25" i="89" s="1"/>
  <c r="T25" i="12"/>
  <c r="I25" i="12" s="1"/>
  <c r="T25" i="284"/>
  <c r="I25" i="284" s="1"/>
  <c r="T25" i="101"/>
  <c r="I25" i="101" s="1"/>
  <c r="J37" i="101" s="1"/>
  <c r="T25" i="102"/>
  <c r="I25" i="102" s="1"/>
  <c r="J37" i="102" s="1"/>
  <c r="T25" i="174"/>
  <c r="I25" i="174" s="1"/>
  <c r="J37" i="174" s="1"/>
  <c r="T25" i="37"/>
  <c r="I25" i="37" s="1"/>
  <c r="T25" i="265"/>
  <c r="I25" i="265" s="1"/>
  <c r="T25" i="7"/>
  <c r="I25" i="7" s="1"/>
  <c r="T25" i="17"/>
  <c r="I25" i="17" s="1"/>
  <c r="J37" i="17" s="1"/>
  <c r="T25" i="43"/>
  <c r="I25" i="43" s="1"/>
  <c r="J37" i="43" s="1"/>
  <c r="I25" i="296"/>
  <c r="J37" i="296" s="1"/>
  <c r="T25" i="75"/>
  <c r="I25" i="75" s="1"/>
  <c r="T25" i="142"/>
  <c r="I25" i="142" s="1"/>
  <c r="T25" i="18"/>
  <c r="I25" i="18" s="1"/>
  <c r="T25" i="20"/>
  <c r="I25" i="20" s="1"/>
  <c r="J37" i="20" s="1"/>
  <c r="T25" i="262"/>
  <c r="I25" i="262" s="1"/>
  <c r="J37" i="262" s="1"/>
  <c r="T25" i="290"/>
  <c r="I25" i="290" s="1"/>
  <c r="T25" i="289"/>
  <c r="I25" i="289" s="1"/>
  <c r="T25" i="249"/>
  <c r="I25" i="249" s="1"/>
  <c r="T25" i="47"/>
  <c r="I25" i="47" s="1"/>
  <c r="T25" i="152"/>
  <c r="I25" i="152" s="1"/>
  <c r="J37" i="152" s="1"/>
  <c r="T25" i="13"/>
  <c r="I25" i="13" s="1"/>
  <c r="T25" i="261"/>
  <c r="I25" i="261" s="1"/>
  <c r="T25" i="153"/>
  <c r="I25" i="153" s="1"/>
  <c r="T25" i="257"/>
  <c r="I25" i="257" s="1"/>
  <c r="T25" i="46"/>
  <c r="I25" i="46" s="1"/>
  <c r="T25" i="239"/>
  <c r="I25" i="239" s="1"/>
  <c r="T25" i="248"/>
  <c r="I25" i="248" s="1"/>
  <c r="T25" i="243"/>
  <c r="I25" i="243" s="1"/>
  <c r="T25" i="247"/>
  <c r="I25" i="247" s="1"/>
  <c r="T25" i="244"/>
  <c r="I25" i="244" s="1"/>
  <c r="T25" i="246"/>
  <c r="I25" i="246" s="1"/>
  <c r="T25" i="16"/>
  <c r="I25" i="16" s="1"/>
  <c r="T25" i="201"/>
  <c r="I25" i="201" s="1"/>
  <c r="T25" i="227"/>
  <c r="I25" i="227" s="1"/>
  <c r="T25" i="112"/>
  <c r="I25" i="112" s="1"/>
  <c r="T25" i="109"/>
  <c r="I25" i="109" s="1"/>
  <c r="T25" i="33"/>
  <c r="I25" i="33" s="1"/>
  <c r="T25" i="85"/>
  <c r="I25" i="85" s="1"/>
  <c r="T25" i="2"/>
  <c r="I25" i="2" s="1"/>
  <c r="T25" i="32"/>
  <c r="I25" i="32" s="1"/>
  <c r="T25" i="8"/>
  <c r="I25" i="8" s="1"/>
  <c r="T25" i="203"/>
  <c r="I25" i="203" s="1"/>
  <c r="T25" i="191"/>
  <c r="I25" i="191" s="1"/>
  <c r="T25" i="164"/>
  <c r="I25" i="164" s="1"/>
  <c r="T25" i="162"/>
  <c r="I25" i="162" s="1"/>
  <c r="T25" i="196"/>
  <c r="I25" i="196" s="1"/>
  <c r="J37" i="196" s="1"/>
  <c r="T25" i="197"/>
  <c r="I25" i="197" s="1"/>
  <c r="T25" i="198"/>
  <c r="I25" i="198" s="1"/>
  <c r="J37" i="198" s="1"/>
  <c r="T25" i="74"/>
  <c r="I25" i="74" s="1"/>
  <c r="T25" i="105"/>
  <c r="I25" i="105" s="1"/>
  <c r="T25" i="185"/>
  <c r="I25" i="185" s="1"/>
  <c r="T25" i="181"/>
  <c r="I25" i="181" s="1"/>
  <c r="T25" i="183"/>
  <c r="I25" i="183" s="1"/>
  <c r="T25" i="184"/>
  <c r="I25" i="184" s="1"/>
  <c r="T25" i="61"/>
  <c r="I25" i="61" s="1"/>
  <c r="J37" i="61" s="1"/>
  <c r="T25" i="200"/>
  <c r="I25" i="200" s="1"/>
  <c r="T25" i="280"/>
  <c r="I25" i="280" s="1"/>
  <c r="T25" i="114"/>
  <c r="I25" i="114" s="1"/>
  <c r="T25" i="113"/>
  <c r="I25" i="113" s="1"/>
  <c r="T25" i="195"/>
  <c r="I25" i="195" s="1"/>
  <c r="J37" i="195" s="1"/>
  <c r="T25" i="194"/>
  <c r="I25" i="194" s="1"/>
  <c r="T25" i="193"/>
  <c r="I25" i="193" s="1"/>
  <c r="J37" i="193" s="1"/>
  <c r="T25" i="144"/>
  <c r="I25" i="144" s="1"/>
  <c r="T25" i="27"/>
  <c r="I25" i="27" s="1"/>
  <c r="J37" i="27" s="1"/>
  <c r="T25" i="143"/>
  <c r="I25" i="143" s="1"/>
  <c r="T25" i="97"/>
  <c r="I25" i="97" s="1"/>
  <c r="T25" i="45"/>
  <c r="I25" i="45" s="1"/>
  <c r="T25" i="104"/>
  <c r="I25" i="104" s="1"/>
  <c r="T25" i="268"/>
  <c r="I25" i="268" s="1"/>
  <c r="T25" i="87"/>
  <c r="I25" i="87" s="1"/>
  <c r="J37" i="87" s="1"/>
  <c r="T25" i="263"/>
  <c r="I25" i="263" s="1"/>
  <c r="T25" i="103"/>
  <c r="I25" i="103" s="1"/>
  <c r="T25" i="233"/>
  <c r="I25" i="233" s="1"/>
  <c r="T25" i="209"/>
  <c r="I25" i="209" s="1"/>
  <c r="T25" i="140"/>
  <c r="I25" i="140" s="1"/>
  <c r="T25" i="270"/>
  <c r="I25" i="270" s="1"/>
  <c r="T25" i="271"/>
  <c r="I25" i="271" s="1"/>
  <c r="T25" i="186"/>
  <c r="I25" i="186" s="1"/>
  <c r="T25" i="159"/>
  <c r="I25" i="159" s="1"/>
  <c r="T25" i="160"/>
  <c r="I25" i="160" s="1"/>
  <c r="T25" i="107"/>
  <c r="I25" i="107" s="1"/>
  <c r="J37" i="107" s="1"/>
  <c r="T25" i="176"/>
  <c r="I25" i="176" s="1"/>
  <c r="T25" i="48"/>
  <c r="I25" i="48" s="1"/>
  <c r="T25" i="22"/>
  <c r="I25" i="22" s="1"/>
  <c r="J37" i="22" s="1"/>
  <c r="T25" i="301"/>
  <c r="I25" i="301" s="1"/>
  <c r="T25" i="53"/>
  <c r="I25" i="53" s="1"/>
  <c r="T25" i="52"/>
  <c r="I25" i="52" s="1"/>
  <c r="J37" i="52" s="1"/>
  <c r="T25" i="19"/>
  <c r="I25" i="19" s="1"/>
  <c r="T25" i="254"/>
  <c r="I25" i="254" s="1"/>
  <c r="T25" i="192"/>
  <c r="I25" i="192" s="1"/>
  <c r="T25" i="34"/>
  <c r="I25" i="34" s="1"/>
  <c r="J37" i="34" s="1"/>
  <c r="T25" i="21"/>
  <c r="I25" i="21" s="1"/>
  <c r="T25" i="281"/>
  <c r="I25" i="281" s="1"/>
  <c r="T25" i="25"/>
  <c r="I25" i="25" s="1"/>
  <c r="T25" i="31"/>
  <c r="I25" i="31" s="1"/>
  <c r="T25" i="1"/>
  <c r="I25" i="1" s="1"/>
  <c r="T25" i="24"/>
  <c r="I25" i="24" s="1"/>
  <c r="J37" i="24" s="1"/>
  <c r="T25" i="229"/>
  <c r="I25" i="229" s="1"/>
  <c r="T25" i="230"/>
  <c r="I25" i="230" s="1"/>
  <c r="S25" i="44"/>
  <c r="T25" i="116"/>
  <c r="I25" i="116" s="1"/>
  <c r="T25" i="272"/>
  <c r="I25" i="272" s="1"/>
  <c r="T25" i="276"/>
  <c r="I25" i="276" s="1"/>
  <c r="J37" i="276" s="1"/>
  <c r="T25" i="287"/>
  <c r="I25" i="287" s="1"/>
  <c r="T25" i="285"/>
  <c r="I25" i="285" s="1"/>
  <c r="J37" i="285" s="1"/>
  <c r="T25" i="170"/>
  <c r="I25" i="170" s="1"/>
  <c r="T25" i="169"/>
  <c r="I25" i="169" s="1"/>
  <c r="T25" i="168"/>
  <c r="I25" i="168" s="1"/>
  <c r="T25" i="297"/>
  <c r="I25" i="297" s="1"/>
  <c r="T25" i="298"/>
  <c r="I25" i="298" s="1"/>
  <c r="T25" i="206"/>
  <c r="I25" i="206" s="1"/>
  <c r="T24" i="303"/>
  <c r="I24" i="303" s="1"/>
  <c r="J36" i="303" s="1"/>
  <c r="F24" i="303"/>
  <c r="T23" i="303"/>
  <c r="I23" i="303" s="1"/>
  <c r="F23" i="303"/>
  <c r="T22" i="303"/>
  <c r="I22" i="303" s="1"/>
  <c r="F22" i="303"/>
  <c r="T21" i="303"/>
  <c r="I21" i="303" s="1"/>
  <c r="J33" i="303" s="1"/>
  <c r="F21" i="303"/>
  <c r="T20" i="303"/>
  <c r="I20" i="303" s="1"/>
  <c r="J32" i="303" s="1"/>
  <c r="F20" i="303"/>
  <c r="K19" i="303"/>
  <c r="U19" i="303"/>
  <c r="T19" i="303"/>
  <c r="I19" i="303" s="1"/>
  <c r="F19" i="303"/>
  <c r="T18" i="303"/>
  <c r="I18" i="303" s="1"/>
  <c r="F18" i="303"/>
  <c r="T17" i="303"/>
  <c r="I17" i="303" s="1"/>
  <c r="F17" i="303"/>
  <c r="K16" i="303"/>
  <c r="U16" i="303"/>
  <c r="M28" i="303" s="1"/>
  <c r="T16" i="303"/>
  <c r="I16" i="303" s="1"/>
  <c r="J28" i="303" s="1"/>
  <c r="F16" i="303"/>
  <c r="T15" i="303"/>
  <c r="I15" i="303" s="1"/>
  <c r="J27" i="303" s="1"/>
  <c r="F15" i="303"/>
  <c r="T14" i="303"/>
  <c r="I14" i="303" s="1"/>
  <c r="J26" i="303" s="1"/>
  <c r="F14" i="303"/>
  <c r="K13" i="303"/>
  <c r="U13" i="303"/>
  <c r="M25" i="303" s="1"/>
  <c r="T13" i="303"/>
  <c r="I13" i="303" s="1"/>
  <c r="F13" i="303"/>
  <c r="T12" i="303"/>
  <c r="I12" i="303" s="1"/>
  <c r="F12" i="303"/>
  <c r="T11" i="303"/>
  <c r="I11" i="303" s="1"/>
  <c r="F11" i="303"/>
  <c r="K10" i="303"/>
  <c r="U10" i="303"/>
  <c r="M22" i="303" s="1"/>
  <c r="T10" i="303"/>
  <c r="I10" i="303" s="1"/>
  <c r="F10" i="303"/>
  <c r="T9" i="303"/>
  <c r="I9" i="303" s="1"/>
  <c r="F9" i="303"/>
  <c r="T8" i="303"/>
  <c r="I8" i="303" s="1"/>
  <c r="F8" i="303"/>
  <c r="K7" i="303"/>
  <c r="U7" i="303"/>
  <c r="T7" i="303"/>
  <c r="I7" i="303" s="1"/>
  <c r="F7" i="303"/>
  <c r="T6" i="303"/>
  <c r="I6" i="303" s="1"/>
  <c r="F6" i="303"/>
  <c r="T5" i="303"/>
  <c r="I5" i="303" s="1"/>
  <c r="F5" i="303"/>
  <c r="J24" i="303" l="1"/>
  <c r="J20" i="303"/>
  <c r="J21" i="303"/>
  <c r="J22" i="303"/>
  <c r="J34" i="303"/>
  <c r="J37" i="21"/>
  <c r="J37" i="164"/>
  <c r="J37" i="239"/>
  <c r="J37" i="299"/>
  <c r="J37" i="11"/>
  <c r="J37" i="159"/>
  <c r="J37" i="272"/>
  <c r="J37" i="192"/>
  <c r="J37" i="186"/>
  <c r="J37" i="97"/>
  <c r="J37" i="184"/>
  <c r="J37" i="109"/>
  <c r="J37" i="249"/>
  <c r="J37" i="12"/>
  <c r="J37" i="29"/>
  <c r="J37" i="206"/>
  <c r="J37" i="230"/>
  <c r="J37" i="281"/>
  <c r="J37" i="140"/>
  <c r="J37" i="268"/>
  <c r="J37" i="144"/>
  <c r="J37" i="280"/>
  <c r="J37" i="185"/>
  <c r="J37" i="162"/>
  <c r="J37" i="2"/>
  <c r="J37" i="201"/>
  <c r="J37" i="248"/>
  <c r="J37" i="13"/>
  <c r="J37" i="148"/>
  <c r="J37" i="283"/>
  <c r="J37" i="207"/>
  <c r="J37" i="293"/>
  <c r="J37" i="160"/>
  <c r="J37" i="16"/>
  <c r="J37" i="45"/>
  <c r="J37" i="194"/>
  <c r="J37" i="74"/>
  <c r="J37" i="191"/>
  <c r="J37" i="33"/>
  <c r="J37" i="246"/>
  <c r="J37" i="46"/>
  <c r="J37" i="47"/>
  <c r="J37" i="18"/>
  <c r="J37" i="7"/>
  <c r="J37" i="284"/>
  <c r="J37" i="190"/>
  <c r="J37" i="23"/>
  <c r="J37" i="288"/>
  <c r="J37" i="135"/>
  <c r="J37" i="298"/>
  <c r="J37" i="229"/>
  <c r="J37" i="209"/>
  <c r="J37" i="105"/>
  <c r="J37" i="233"/>
  <c r="J35" i="303"/>
  <c r="J23" i="303"/>
  <c r="J37" i="203"/>
  <c r="J37" i="257"/>
  <c r="J37" i="265"/>
  <c r="J37" i="54"/>
  <c r="J37" i="300"/>
  <c r="J37" i="169"/>
  <c r="J37" i="116"/>
  <c r="J37" i="31"/>
  <c r="J37" i="254"/>
  <c r="J37" i="48"/>
  <c r="J37" i="271"/>
  <c r="J37" i="263"/>
  <c r="J37" i="143"/>
  <c r="J37" i="113"/>
  <c r="J37" i="183"/>
  <c r="J37" i="197"/>
  <c r="J37" i="8"/>
  <c r="J37" i="112"/>
  <c r="J37" i="247"/>
  <c r="J37" i="153"/>
  <c r="J37" i="289"/>
  <c r="J37" i="75"/>
  <c r="J37" i="37"/>
  <c r="J37" i="89"/>
  <c r="J37" i="4"/>
  <c r="J37" i="202"/>
  <c r="J37" i="28"/>
  <c r="J37" i="292"/>
  <c r="J37" i="3"/>
  <c r="J29" i="303"/>
  <c r="J17" i="303"/>
  <c r="J37" i="287"/>
  <c r="J37" i="53"/>
  <c r="J37" i="104"/>
  <c r="J37" i="200"/>
  <c r="J37" i="85"/>
  <c r="J37" i="88"/>
  <c r="J37" i="297"/>
  <c r="J37" i="301"/>
  <c r="J18" i="303"/>
  <c r="J30" i="303"/>
  <c r="J37" i="168"/>
  <c r="J37" i="1"/>
  <c r="J37" i="103"/>
  <c r="J37" i="244"/>
  <c r="J37" i="142"/>
  <c r="J31" i="303"/>
  <c r="J19" i="303"/>
  <c r="J37" i="170"/>
  <c r="J37" i="25"/>
  <c r="J37" i="19"/>
  <c r="J37" i="176"/>
  <c r="J37" i="270"/>
  <c r="J37" i="114"/>
  <c r="J37" i="181"/>
  <c r="J37" i="32"/>
  <c r="J37" i="227"/>
  <c r="J37" i="243"/>
  <c r="J37" i="261"/>
  <c r="J37" i="290"/>
  <c r="J37" i="303"/>
  <c r="J25" i="303"/>
  <c r="J37" i="187"/>
  <c r="J37" i="9"/>
  <c r="J37" i="204"/>
  <c r="J37" i="253"/>
  <c r="H33" i="303"/>
  <c r="H27" i="303"/>
  <c r="H35" i="303"/>
  <c r="H25" i="303"/>
  <c r="H28" i="303"/>
  <c r="H31" i="303"/>
  <c r="H32" i="303"/>
  <c r="H34" i="303"/>
  <c r="H30" i="303"/>
  <c r="G26" i="247"/>
  <c r="H37" i="247"/>
  <c r="G25" i="303"/>
  <c r="H36" i="303"/>
  <c r="L22" i="303"/>
  <c r="M31" i="303"/>
  <c r="C25" i="303"/>
  <c r="E37" i="303" s="1"/>
  <c r="C7" i="303"/>
  <c r="C10" i="303"/>
  <c r="C13" i="303"/>
  <c r="C16" i="303"/>
  <c r="H29" i="303"/>
  <c r="C19" i="303"/>
  <c r="E31" i="303" s="1"/>
  <c r="C22" i="303"/>
  <c r="E34" i="303" s="1"/>
  <c r="H24" i="303"/>
  <c r="N22" i="303"/>
  <c r="N25" i="303"/>
  <c r="O28" i="303" s="1"/>
  <c r="N7" i="303"/>
  <c r="N10" i="303"/>
  <c r="N13" i="303"/>
  <c r="N16" i="303"/>
  <c r="N19" i="303"/>
  <c r="L10" i="303"/>
  <c r="L13" i="303"/>
  <c r="L16" i="303"/>
  <c r="M19" i="303"/>
  <c r="L19" i="303"/>
  <c r="H20" i="303"/>
  <c r="H26" i="303"/>
  <c r="B25" i="303"/>
  <c r="T25" i="231"/>
  <c r="I25" i="231" s="1"/>
  <c r="G15" i="303"/>
  <c r="G18" i="303"/>
  <c r="G21" i="303"/>
  <c r="H21" i="303"/>
  <c r="G24" i="303"/>
  <c r="G23" i="303"/>
  <c r="B7" i="303"/>
  <c r="G7" i="303"/>
  <c r="G20" i="303"/>
  <c r="G6" i="303"/>
  <c r="H18" i="303"/>
  <c r="H22" i="303"/>
  <c r="H19" i="303"/>
  <c r="G8" i="303"/>
  <c r="B10" i="303"/>
  <c r="G9" i="303"/>
  <c r="G10" i="303"/>
  <c r="B13" i="303"/>
  <c r="G13" i="303"/>
  <c r="B16" i="303"/>
  <c r="G16" i="303"/>
  <c r="G17" i="303"/>
  <c r="G12" i="303"/>
  <c r="H17" i="303"/>
  <c r="H23" i="303"/>
  <c r="G11" i="303"/>
  <c r="G19" i="303"/>
  <c r="G22" i="303"/>
  <c r="G14" i="303"/>
  <c r="B19" i="303"/>
  <c r="B22" i="303"/>
  <c r="U24" i="202"/>
  <c r="J37" i="231" l="1"/>
  <c r="D13" i="303"/>
  <c r="D10" i="303"/>
  <c r="E22" i="303"/>
  <c r="D22" i="303"/>
  <c r="E19" i="303"/>
  <c r="D19" i="303"/>
  <c r="D16" i="303"/>
  <c r="E28" i="303"/>
  <c r="E25" i="303"/>
  <c r="D25" i="303"/>
  <c r="D28" i="303"/>
  <c r="O25" i="303"/>
  <c r="O19" i="303"/>
  <c r="O10" i="303"/>
  <c r="O22" i="303"/>
  <c r="O16" i="303"/>
  <c r="O13" i="303"/>
  <c r="T24" i="301"/>
  <c r="I24" i="301" s="1"/>
  <c r="J36" i="301" s="1"/>
  <c r="F24" i="301"/>
  <c r="T23" i="301"/>
  <c r="I23" i="301" s="1"/>
  <c r="F23" i="301"/>
  <c r="T22" i="301"/>
  <c r="I22" i="301" s="1"/>
  <c r="J34" i="301" s="1"/>
  <c r="F22" i="301"/>
  <c r="T21" i="301"/>
  <c r="I21" i="301" s="1"/>
  <c r="F21" i="301"/>
  <c r="T20" i="301"/>
  <c r="I20" i="301" s="1"/>
  <c r="J32" i="301" s="1"/>
  <c r="F20" i="301"/>
  <c r="K19" i="301"/>
  <c r="U19" i="301"/>
  <c r="T19" i="301"/>
  <c r="I19" i="301" s="1"/>
  <c r="F19" i="301"/>
  <c r="T18" i="301"/>
  <c r="I18" i="301" s="1"/>
  <c r="J30" i="301" s="1"/>
  <c r="F18" i="301"/>
  <c r="T17" i="301"/>
  <c r="I17" i="301" s="1"/>
  <c r="F17" i="301"/>
  <c r="K16" i="301"/>
  <c r="U16" i="301"/>
  <c r="M28" i="301" s="1"/>
  <c r="T16" i="301"/>
  <c r="I16" i="301" s="1"/>
  <c r="J28" i="301" s="1"/>
  <c r="F16" i="301"/>
  <c r="T15" i="301"/>
  <c r="I15" i="301" s="1"/>
  <c r="J27" i="301" s="1"/>
  <c r="F15" i="301"/>
  <c r="T14" i="301"/>
  <c r="I14" i="301" s="1"/>
  <c r="J26" i="301" s="1"/>
  <c r="F14" i="301"/>
  <c r="K13" i="301"/>
  <c r="U13" i="301"/>
  <c r="M25" i="301" s="1"/>
  <c r="T13" i="301"/>
  <c r="I13" i="301" s="1"/>
  <c r="J25" i="301" s="1"/>
  <c r="F13" i="301"/>
  <c r="T12" i="301"/>
  <c r="I12" i="301" s="1"/>
  <c r="F12" i="301"/>
  <c r="T11" i="301"/>
  <c r="I11" i="301" s="1"/>
  <c r="F11" i="301"/>
  <c r="K10" i="301"/>
  <c r="U10" i="301"/>
  <c r="M22" i="301" s="1"/>
  <c r="T10" i="301"/>
  <c r="I10" i="301" s="1"/>
  <c r="F10" i="301"/>
  <c r="T9" i="301"/>
  <c r="I9" i="301" s="1"/>
  <c r="F9" i="301"/>
  <c r="T8" i="301"/>
  <c r="I8" i="301" s="1"/>
  <c r="F8" i="301"/>
  <c r="K7" i="301"/>
  <c r="U7" i="301"/>
  <c r="T7" i="301"/>
  <c r="I7" i="301" s="1"/>
  <c r="F7" i="301"/>
  <c r="T6" i="301"/>
  <c r="I6" i="301" s="1"/>
  <c r="F6" i="301"/>
  <c r="T5" i="301"/>
  <c r="I5" i="301" s="1"/>
  <c r="F5" i="301"/>
  <c r="S23" i="300"/>
  <c r="R23" i="300"/>
  <c r="K25" i="300" s="1"/>
  <c r="S22" i="300"/>
  <c r="R22" i="300"/>
  <c r="S21" i="300"/>
  <c r="R21" i="300"/>
  <c r="S20" i="300"/>
  <c r="R20" i="300"/>
  <c r="S19" i="300"/>
  <c r="R19" i="300"/>
  <c r="S18" i="300"/>
  <c r="R18" i="300"/>
  <c r="S17" i="300"/>
  <c r="R17" i="300"/>
  <c r="S16" i="300"/>
  <c r="R16" i="300"/>
  <c r="S15" i="300"/>
  <c r="R15" i="300"/>
  <c r="S14" i="300"/>
  <c r="R14" i="300"/>
  <c r="S13" i="300"/>
  <c r="R13" i="300"/>
  <c r="S12" i="300"/>
  <c r="R12" i="300"/>
  <c r="S11" i="300"/>
  <c r="R11" i="300"/>
  <c r="S10" i="300"/>
  <c r="R10" i="300"/>
  <c r="S9" i="300"/>
  <c r="R9" i="300"/>
  <c r="S8" i="300"/>
  <c r="R8" i="300"/>
  <c r="S7" i="300"/>
  <c r="R7" i="300"/>
  <c r="S6" i="300"/>
  <c r="R6" i="300"/>
  <c r="S5" i="300"/>
  <c r="R5" i="300"/>
  <c r="F24" i="300"/>
  <c r="Q23" i="300"/>
  <c r="Q22" i="300"/>
  <c r="F22" i="300" s="1"/>
  <c r="Q21" i="300"/>
  <c r="F21" i="300" s="1"/>
  <c r="Q20" i="300"/>
  <c r="Q19" i="300"/>
  <c r="F19" i="300" s="1"/>
  <c r="Q18" i="300"/>
  <c r="F18" i="300" s="1"/>
  <c r="Q17" i="300"/>
  <c r="F17" i="300" s="1"/>
  <c r="Q16" i="300"/>
  <c r="F16" i="300" s="1"/>
  <c r="Q15" i="300"/>
  <c r="Q14" i="300"/>
  <c r="Q13" i="300"/>
  <c r="Q12" i="300"/>
  <c r="F12" i="300" s="1"/>
  <c r="Q11" i="300"/>
  <c r="Q10" i="300"/>
  <c r="F10" i="300" s="1"/>
  <c r="Q9" i="300"/>
  <c r="Q8" i="300"/>
  <c r="F8" i="300" s="1"/>
  <c r="Q7" i="300"/>
  <c r="F7" i="300" s="1"/>
  <c r="Q6" i="300"/>
  <c r="F6" i="300" s="1"/>
  <c r="Q5" i="300"/>
  <c r="T24" i="300"/>
  <c r="I24" i="300" s="1"/>
  <c r="T24" i="299"/>
  <c r="I24" i="299" s="1"/>
  <c r="F24" i="299"/>
  <c r="T23" i="299"/>
  <c r="I23" i="299" s="1"/>
  <c r="F23" i="299"/>
  <c r="T22" i="299"/>
  <c r="I22" i="299" s="1"/>
  <c r="F22" i="299"/>
  <c r="T21" i="299"/>
  <c r="I21" i="299" s="1"/>
  <c r="F21" i="299"/>
  <c r="T20" i="299"/>
  <c r="I20" i="299" s="1"/>
  <c r="F20" i="299"/>
  <c r="U19" i="299"/>
  <c r="T19" i="299"/>
  <c r="I19" i="299" s="1"/>
  <c r="F19" i="299"/>
  <c r="T18" i="299"/>
  <c r="I18" i="299" s="1"/>
  <c r="F18" i="299"/>
  <c r="T17" i="299"/>
  <c r="I17" i="299" s="1"/>
  <c r="F17" i="299"/>
  <c r="K16" i="299"/>
  <c r="U16" i="299"/>
  <c r="M28" i="299" s="1"/>
  <c r="T16" i="299"/>
  <c r="I16" i="299" s="1"/>
  <c r="J28" i="299" s="1"/>
  <c r="F16" i="299"/>
  <c r="T15" i="299"/>
  <c r="I15" i="299" s="1"/>
  <c r="J27" i="299" s="1"/>
  <c r="F15" i="299"/>
  <c r="T14" i="299"/>
  <c r="I14" i="299" s="1"/>
  <c r="J26" i="299" s="1"/>
  <c r="F14" i="299"/>
  <c r="K13" i="299"/>
  <c r="U13" i="299"/>
  <c r="M25" i="299" s="1"/>
  <c r="T13" i="299"/>
  <c r="I13" i="299" s="1"/>
  <c r="J25" i="299" s="1"/>
  <c r="F13" i="299"/>
  <c r="T12" i="299"/>
  <c r="I12" i="299" s="1"/>
  <c r="F12" i="299"/>
  <c r="T11" i="299"/>
  <c r="I11" i="299" s="1"/>
  <c r="F11" i="299"/>
  <c r="K10" i="299"/>
  <c r="U10" i="299"/>
  <c r="M22" i="299" s="1"/>
  <c r="T10" i="299"/>
  <c r="I10" i="299" s="1"/>
  <c r="F10" i="299"/>
  <c r="T9" i="299"/>
  <c r="I9" i="299" s="1"/>
  <c r="F9" i="299"/>
  <c r="T8" i="299"/>
  <c r="I8" i="299" s="1"/>
  <c r="F8" i="299"/>
  <c r="L7" i="299"/>
  <c r="K7" i="299"/>
  <c r="U7" i="299"/>
  <c r="T7" i="299"/>
  <c r="I7" i="299" s="1"/>
  <c r="F7" i="299"/>
  <c r="T6" i="299"/>
  <c r="I6" i="299" s="1"/>
  <c r="F6" i="299"/>
  <c r="T5" i="299"/>
  <c r="I5" i="299" s="1"/>
  <c r="F5" i="299"/>
  <c r="F24" i="206"/>
  <c r="F24" i="3"/>
  <c r="F24" i="135"/>
  <c r="F24" i="295"/>
  <c r="F24" i="294"/>
  <c r="F24" i="293"/>
  <c r="E24" i="175"/>
  <c r="F25" i="175" s="1"/>
  <c r="F24" i="292"/>
  <c r="F24" i="269"/>
  <c r="F24" i="288"/>
  <c r="F24" i="11"/>
  <c r="F24" i="279"/>
  <c r="F24" i="28"/>
  <c r="F24" i="29"/>
  <c r="F24" i="23"/>
  <c r="F24" i="5"/>
  <c r="F24" i="207"/>
  <c r="F24" i="9"/>
  <c r="F24" i="35"/>
  <c r="F24" i="202"/>
  <c r="F24" i="283"/>
  <c r="F24" i="187"/>
  <c r="F24" i="4"/>
  <c r="F24" i="54"/>
  <c r="F24" i="88"/>
  <c r="F24" i="148"/>
  <c r="F24" i="89"/>
  <c r="F24" i="12"/>
  <c r="F24" i="284"/>
  <c r="F24" i="101"/>
  <c r="F24" i="102"/>
  <c r="F24" i="174"/>
  <c r="F24" i="37"/>
  <c r="F24" i="265"/>
  <c r="F24" i="7"/>
  <c r="F24" i="17"/>
  <c r="F24" i="43"/>
  <c r="F24" i="296"/>
  <c r="F24" i="75"/>
  <c r="F24" i="18"/>
  <c r="F24" i="20"/>
  <c r="F24" i="262"/>
  <c r="F24" i="290"/>
  <c r="F24" i="289"/>
  <c r="F24" i="249"/>
  <c r="F24" i="47"/>
  <c r="F24" i="190"/>
  <c r="F24" i="13"/>
  <c r="F24" i="261"/>
  <c r="F24" i="153"/>
  <c r="F24" i="257"/>
  <c r="F24" i="46"/>
  <c r="F24" i="239"/>
  <c r="F24" i="248"/>
  <c r="F24" i="243"/>
  <c r="F24" i="244"/>
  <c r="F24" i="246"/>
  <c r="F24" i="16"/>
  <c r="F24" i="201"/>
  <c r="F24" i="227"/>
  <c r="F24" i="112"/>
  <c r="F24" i="109"/>
  <c r="F24" i="33"/>
  <c r="F24" i="204"/>
  <c r="F24" i="85"/>
  <c r="F24" i="2"/>
  <c r="F24" i="32"/>
  <c r="F24" i="8"/>
  <c r="F24" i="203"/>
  <c r="F24" i="191"/>
  <c r="F24" i="164"/>
  <c r="F24" i="162"/>
  <c r="F24" i="196"/>
  <c r="F24" i="197"/>
  <c r="F24" i="198"/>
  <c r="F24" i="74"/>
  <c r="F24" i="105"/>
  <c r="F24" i="181"/>
  <c r="F24" i="183"/>
  <c r="F24" i="184"/>
  <c r="F24" i="61"/>
  <c r="F24" i="200"/>
  <c r="F24" i="280"/>
  <c r="F24" i="114"/>
  <c r="F24" i="113"/>
  <c r="F24" i="194"/>
  <c r="F24" i="193"/>
  <c r="F24" i="27"/>
  <c r="F24" i="143"/>
  <c r="F24" i="97"/>
  <c r="F24" i="45"/>
  <c r="F24" i="104"/>
  <c r="F24" i="268"/>
  <c r="F24" i="87"/>
  <c r="F24" i="263"/>
  <c r="F24" i="103"/>
  <c r="F24" i="233"/>
  <c r="F24" i="209"/>
  <c r="F24" i="140"/>
  <c r="F24" i="270"/>
  <c r="F24" i="271"/>
  <c r="F24" i="159"/>
  <c r="F24" i="160"/>
  <c r="F24" i="107"/>
  <c r="F24" i="176"/>
  <c r="F24" i="48"/>
  <c r="F24" i="22"/>
  <c r="F24" i="53"/>
  <c r="F24" i="52"/>
  <c r="F24" i="19"/>
  <c r="F24" i="254"/>
  <c r="F24" i="192"/>
  <c r="F24" i="34"/>
  <c r="F24" i="21"/>
  <c r="F24" i="281"/>
  <c r="F24" i="25"/>
  <c r="F24" i="31"/>
  <c r="F24" i="1"/>
  <c r="F24" i="24"/>
  <c r="F24" i="229"/>
  <c r="F24" i="230"/>
  <c r="F24" i="44"/>
  <c r="F24" i="116"/>
  <c r="F24" i="272"/>
  <c r="F24" i="276"/>
  <c r="F24" i="287"/>
  <c r="F24" i="285"/>
  <c r="F24" i="169"/>
  <c r="F24" i="168"/>
  <c r="F24" i="297"/>
  <c r="F24" i="298"/>
  <c r="J24" i="301" l="1"/>
  <c r="J22" i="301"/>
  <c r="J23" i="299"/>
  <c r="J35" i="299"/>
  <c r="J23" i="301"/>
  <c r="J35" i="301"/>
  <c r="J17" i="299"/>
  <c r="J29" i="299"/>
  <c r="J18" i="301"/>
  <c r="J20" i="301"/>
  <c r="J17" i="301"/>
  <c r="J29" i="301"/>
  <c r="J21" i="299"/>
  <c r="J33" i="299"/>
  <c r="J24" i="299"/>
  <c r="J36" i="299"/>
  <c r="J20" i="299"/>
  <c r="J32" i="299"/>
  <c r="J19" i="299"/>
  <c r="J31" i="299"/>
  <c r="J36" i="300"/>
  <c r="J19" i="301"/>
  <c r="J31" i="301"/>
  <c r="J21" i="301"/>
  <c r="J33" i="301"/>
  <c r="J18" i="299"/>
  <c r="J30" i="299"/>
  <c r="J22" i="299"/>
  <c r="J34" i="299"/>
  <c r="H32" i="299"/>
  <c r="H34" i="299"/>
  <c r="H30" i="300"/>
  <c r="H34" i="300"/>
  <c r="H214" i="417"/>
  <c r="I214" i="417" s="1"/>
  <c r="H25" i="299"/>
  <c r="H28" i="299"/>
  <c r="H31" i="299"/>
  <c r="H31" i="300"/>
  <c r="H28" i="301"/>
  <c r="H31" i="301"/>
  <c r="H32" i="301"/>
  <c r="H34" i="301"/>
  <c r="H33" i="299"/>
  <c r="H35" i="299"/>
  <c r="H28" i="300"/>
  <c r="H27" i="299"/>
  <c r="H30" i="299"/>
  <c r="H33" i="300"/>
  <c r="H27" i="301"/>
  <c r="H30" i="301"/>
  <c r="H33" i="301"/>
  <c r="H35" i="301"/>
  <c r="G25" i="298"/>
  <c r="H36" i="298"/>
  <c r="G25" i="116"/>
  <c r="H36" i="116"/>
  <c r="G25" i="53"/>
  <c r="H36" i="53"/>
  <c r="G25" i="270"/>
  <c r="H36" i="270"/>
  <c r="G25" i="287"/>
  <c r="H36" i="287"/>
  <c r="G25" i="281"/>
  <c r="H36" i="281"/>
  <c r="G25" i="254"/>
  <c r="H36" i="254"/>
  <c r="G25" i="160"/>
  <c r="H36" i="160"/>
  <c r="G25" i="263"/>
  <c r="H36" i="263"/>
  <c r="G25" i="27"/>
  <c r="H36" i="27"/>
  <c r="G25" i="184"/>
  <c r="H36" i="184"/>
  <c r="G25" i="74"/>
  <c r="H36" i="74"/>
  <c r="G25" i="203"/>
  <c r="H36" i="203"/>
  <c r="G25" i="112"/>
  <c r="H36" i="112"/>
  <c r="G25" i="239"/>
  <c r="H36" i="239"/>
  <c r="G25" i="249"/>
  <c r="H36" i="249"/>
  <c r="G25" i="43"/>
  <c r="H36" i="43"/>
  <c r="G25" i="284"/>
  <c r="H36" i="284"/>
  <c r="G25" i="283"/>
  <c r="H36" i="283"/>
  <c r="G25" i="28"/>
  <c r="H36" i="28"/>
  <c r="G25" i="206"/>
  <c r="H36" i="206"/>
  <c r="G25" i="168"/>
  <c r="H36" i="168"/>
  <c r="G25" i="276"/>
  <c r="H36" i="276"/>
  <c r="G25" i="230"/>
  <c r="H36" i="230"/>
  <c r="G25" i="31"/>
  <c r="H36" i="31"/>
  <c r="G25" i="21"/>
  <c r="H36" i="21"/>
  <c r="G25" i="19"/>
  <c r="H36" i="19"/>
  <c r="G25" i="48"/>
  <c r="H36" i="48"/>
  <c r="G25" i="159"/>
  <c r="H36" i="159"/>
  <c r="G25" i="209"/>
  <c r="H36" i="209"/>
  <c r="G25" i="87"/>
  <c r="H36" i="87"/>
  <c r="G25" i="45"/>
  <c r="H36" i="45"/>
  <c r="G25" i="193"/>
  <c r="H36" i="193"/>
  <c r="G25" i="280"/>
  <c r="H36" i="280"/>
  <c r="G25" i="183"/>
  <c r="H36" i="183"/>
  <c r="G25" i="162"/>
  <c r="H36" i="162"/>
  <c r="G25" i="8"/>
  <c r="H36" i="8"/>
  <c r="G25" i="204"/>
  <c r="H36" i="204"/>
  <c r="G25" i="227"/>
  <c r="H36" i="227"/>
  <c r="G25" i="244"/>
  <c r="H36" i="244"/>
  <c r="G25" i="46"/>
  <c r="H36" i="46"/>
  <c r="G25" i="13"/>
  <c r="H36" i="13"/>
  <c r="G25" i="289"/>
  <c r="H36" i="289"/>
  <c r="G25" i="17"/>
  <c r="H36" i="17"/>
  <c r="G25" i="174"/>
  <c r="H36" i="174"/>
  <c r="G25" i="12"/>
  <c r="H36" i="12"/>
  <c r="G25" i="54"/>
  <c r="H36" i="54"/>
  <c r="G25" i="202"/>
  <c r="H36" i="202"/>
  <c r="G25" i="5"/>
  <c r="H36" i="5"/>
  <c r="G25" i="279"/>
  <c r="H36" i="279"/>
  <c r="G25" i="292"/>
  <c r="H36" i="292"/>
  <c r="G25" i="295"/>
  <c r="H36" i="295"/>
  <c r="G25" i="299"/>
  <c r="H36" i="299"/>
  <c r="G25" i="285"/>
  <c r="H36" i="285"/>
  <c r="G25" i="24"/>
  <c r="H36" i="24"/>
  <c r="G25" i="192"/>
  <c r="H36" i="192"/>
  <c r="G25" i="107"/>
  <c r="H36" i="107"/>
  <c r="G25" i="297"/>
  <c r="H36" i="297"/>
  <c r="G25" i="44"/>
  <c r="H36" i="44"/>
  <c r="G25" i="1"/>
  <c r="H36" i="1"/>
  <c r="G25" i="22"/>
  <c r="H36" i="22"/>
  <c r="G25" i="140"/>
  <c r="H36" i="140"/>
  <c r="G25" i="114"/>
  <c r="H36" i="114"/>
  <c r="G25" i="196"/>
  <c r="H36" i="196"/>
  <c r="G25" i="85"/>
  <c r="H36" i="85"/>
  <c r="G25" i="246"/>
  <c r="H36" i="246"/>
  <c r="G25" i="261"/>
  <c r="H36" i="261"/>
  <c r="G25" i="37"/>
  <c r="H36" i="37"/>
  <c r="G25" i="88"/>
  <c r="H36" i="88"/>
  <c r="G25" i="207"/>
  <c r="H36" i="207"/>
  <c r="G25" i="269"/>
  <c r="H36" i="269"/>
  <c r="G25" i="294"/>
  <c r="H36" i="294"/>
  <c r="G25" i="169"/>
  <c r="H36" i="169"/>
  <c r="G25" i="272"/>
  <c r="H36" i="272"/>
  <c r="G25" i="229"/>
  <c r="H36" i="229"/>
  <c r="G25" i="25"/>
  <c r="H36" i="25"/>
  <c r="G25" i="34"/>
  <c r="H36" i="34"/>
  <c r="G25" i="52"/>
  <c r="H36" i="52"/>
  <c r="G25" i="176"/>
  <c r="H36" i="176"/>
  <c r="G25" i="271"/>
  <c r="H36" i="271"/>
  <c r="G25" i="233"/>
  <c r="H36" i="233"/>
  <c r="G25" i="268"/>
  <c r="H36" i="268"/>
  <c r="G25" i="97"/>
  <c r="H36" i="97"/>
  <c r="G25" i="194"/>
  <c r="H36" i="194"/>
  <c r="G25" i="200"/>
  <c r="H36" i="200"/>
  <c r="G25" i="181"/>
  <c r="H36" i="181"/>
  <c r="G25" i="198"/>
  <c r="H36" i="198"/>
  <c r="G25" i="164"/>
  <c r="H36" i="164"/>
  <c r="G25" i="32"/>
  <c r="H36" i="32"/>
  <c r="G25" i="33"/>
  <c r="H36" i="33"/>
  <c r="G25" i="201"/>
  <c r="H36" i="201"/>
  <c r="G25" i="243"/>
  <c r="H36" i="243"/>
  <c r="G25" i="257"/>
  <c r="H36" i="257"/>
  <c r="G25" i="190"/>
  <c r="H36" i="190"/>
  <c r="G25" i="290"/>
  <c r="H36" i="290"/>
  <c r="G25" i="75"/>
  <c r="H36" i="75"/>
  <c r="G25" i="7"/>
  <c r="H36" i="7"/>
  <c r="G25" i="102"/>
  <c r="H36" i="102"/>
  <c r="G25" i="89"/>
  <c r="H36" i="89"/>
  <c r="G25" i="4"/>
  <c r="H36" i="4"/>
  <c r="G25" i="35"/>
  <c r="H36" i="35"/>
  <c r="G25" i="23"/>
  <c r="H36" i="23"/>
  <c r="G25" i="11"/>
  <c r="H36" i="11"/>
  <c r="G25" i="135"/>
  <c r="H36" i="135"/>
  <c r="G25" i="301"/>
  <c r="H36" i="301"/>
  <c r="G25" i="103"/>
  <c r="H36" i="103"/>
  <c r="G25" i="104"/>
  <c r="H36" i="104"/>
  <c r="G25" i="143"/>
  <c r="H36" i="143"/>
  <c r="G25" i="113"/>
  <c r="H36" i="113"/>
  <c r="G25" i="61"/>
  <c r="H36" i="61"/>
  <c r="G25" i="105"/>
  <c r="H36" i="105"/>
  <c r="G25" i="197"/>
  <c r="H36" i="197"/>
  <c r="G25" i="191"/>
  <c r="H36" i="191"/>
  <c r="G25" i="2"/>
  <c r="H36" i="2"/>
  <c r="G25" i="109"/>
  <c r="H36" i="109"/>
  <c r="G25" i="16"/>
  <c r="H36" i="16"/>
  <c r="G25" i="248"/>
  <c r="H36" i="248"/>
  <c r="G25" i="153"/>
  <c r="H36" i="153"/>
  <c r="G25" i="47"/>
  <c r="H36" i="47"/>
  <c r="G25" i="262"/>
  <c r="H36" i="262"/>
  <c r="G25" i="296"/>
  <c r="H36" i="296"/>
  <c r="G25" i="265"/>
  <c r="H36" i="265"/>
  <c r="G25" i="101"/>
  <c r="H36" i="101"/>
  <c r="G25" i="148"/>
  <c r="H36" i="148"/>
  <c r="G25" i="187"/>
  <c r="H36" i="187"/>
  <c r="G25" i="9"/>
  <c r="H36" i="9"/>
  <c r="G25" i="29"/>
  <c r="H36" i="29"/>
  <c r="G25" i="288"/>
  <c r="H36" i="288"/>
  <c r="G25" i="293"/>
  <c r="H36" i="293"/>
  <c r="G25" i="3"/>
  <c r="H36" i="3"/>
  <c r="G25" i="300"/>
  <c r="H36" i="300"/>
  <c r="G25" i="20"/>
  <c r="H36" i="20"/>
  <c r="G25" i="18"/>
  <c r="H36" i="18"/>
  <c r="L22" i="299"/>
  <c r="M31" i="299"/>
  <c r="L22" i="301"/>
  <c r="M31" i="301"/>
  <c r="C7" i="299"/>
  <c r="C22" i="299"/>
  <c r="E34" i="299" s="1"/>
  <c r="C25" i="301"/>
  <c r="E37" i="301" s="1"/>
  <c r="C10" i="299"/>
  <c r="C13" i="299"/>
  <c r="C16" i="299"/>
  <c r="H29" i="299"/>
  <c r="C19" i="299"/>
  <c r="E31" i="299" s="1"/>
  <c r="C7" i="301"/>
  <c r="C10" i="301"/>
  <c r="C13" i="301"/>
  <c r="C16" i="301"/>
  <c r="H29" i="301"/>
  <c r="C19" i="301"/>
  <c r="E31" i="301" s="1"/>
  <c r="C22" i="301"/>
  <c r="E34" i="301" s="1"/>
  <c r="H29" i="300"/>
  <c r="C19" i="300"/>
  <c r="E31" i="300" s="1"/>
  <c r="C25" i="299"/>
  <c r="E37" i="299" s="1"/>
  <c r="N25" i="301"/>
  <c r="O28" i="301" s="1"/>
  <c r="N25" i="299"/>
  <c r="N22" i="299"/>
  <c r="K22" i="300"/>
  <c r="U25" i="195"/>
  <c r="M37" i="195" s="1"/>
  <c r="F23" i="300"/>
  <c r="U25" i="300"/>
  <c r="M37" i="300" s="1"/>
  <c r="K25" i="195"/>
  <c r="T20" i="300"/>
  <c r="I20" i="300" s="1"/>
  <c r="U22" i="300"/>
  <c r="M34" i="300" s="1"/>
  <c r="N22" i="301"/>
  <c r="K22" i="195"/>
  <c r="U22" i="195"/>
  <c r="M34" i="195" s="1"/>
  <c r="N19" i="301"/>
  <c r="N7" i="301"/>
  <c r="N10" i="301"/>
  <c r="N13" i="301"/>
  <c r="N16" i="301"/>
  <c r="N10" i="299"/>
  <c r="N13" i="299"/>
  <c r="N16" i="299"/>
  <c r="N19" i="299"/>
  <c r="L10" i="301"/>
  <c r="L13" i="301"/>
  <c r="L16" i="301"/>
  <c r="L19" i="301"/>
  <c r="M19" i="301"/>
  <c r="L10" i="299"/>
  <c r="L13" i="299"/>
  <c r="L16" i="299"/>
  <c r="N7" i="299"/>
  <c r="L19" i="299"/>
  <c r="M19" i="299"/>
  <c r="H26" i="301"/>
  <c r="H26" i="299"/>
  <c r="B10" i="301"/>
  <c r="G14" i="299"/>
  <c r="T9" i="300"/>
  <c r="I9" i="300" s="1"/>
  <c r="T13" i="300"/>
  <c r="I13" i="300" s="1"/>
  <c r="J25" i="300" s="1"/>
  <c r="F20" i="300"/>
  <c r="U16" i="300"/>
  <c r="M28" i="300" s="1"/>
  <c r="B25" i="299"/>
  <c r="F15" i="300"/>
  <c r="U7" i="300"/>
  <c r="K7" i="300"/>
  <c r="K13" i="300"/>
  <c r="K16" i="300"/>
  <c r="K19" i="300"/>
  <c r="B7" i="301"/>
  <c r="H22" i="300"/>
  <c r="T14" i="300"/>
  <c r="I14" i="300" s="1"/>
  <c r="J26" i="300" s="1"/>
  <c r="T18" i="300"/>
  <c r="I18" i="300" s="1"/>
  <c r="G12" i="301"/>
  <c r="G13" i="301"/>
  <c r="H25" i="301"/>
  <c r="G19" i="301"/>
  <c r="B25" i="301"/>
  <c r="G15" i="299"/>
  <c r="T7" i="300"/>
  <c r="I7" i="300" s="1"/>
  <c r="T11" i="300"/>
  <c r="I11" i="300" s="1"/>
  <c r="T15" i="300"/>
  <c r="I15" i="300" s="1"/>
  <c r="J27" i="300" s="1"/>
  <c r="K10" i="300"/>
  <c r="G8" i="300"/>
  <c r="H18" i="299"/>
  <c r="G11" i="299"/>
  <c r="H22" i="299"/>
  <c r="U10" i="300"/>
  <c r="T23" i="300"/>
  <c r="G10" i="299"/>
  <c r="G17" i="299"/>
  <c r="G12" i="299"/>
  <c r="T6" i="300"/>
  <c r="I6" i="300" s="1"/>
  <c r="T8" i="300"/>
  <c r="I8" i="300" s="1"/>
  <c r="T10" i="300"/>
  <c r="I10" i="300" s="1"/>
  <c r="T12" i="300"/>
  <c r="I12" i="300" s="1"/>
  <c r="J24" i="300" s="1"/>
  <c r="T16" i="300"/>
  <c r="I16" i="300" s="1"/>
  <c r="J28" i="300" s="1"/>
  <c r="T22" i="300"/>
  <c r="I22" i="300" s="1"/>
  <c r="G18" i="301"/>
  <c r="G6" i="301"/>
  <c r="G9" i="301"/>
  <c r="G11" i="301"/>
  <c r="B13" i="301"/>
  <c r="H22" i="301"/>
  <c r="G7" i="301"/>
  <c r="B16" i="301"/>
  <c r="G16" i="301"/>
  <c r="G17" i="301"/>
  <c r="G24" i="301"/>
  <c r="G20" i="301"/>
  <c r="B22" i="301"/>
  <c r="G21" i="301"/>
  <c r="G22" i="301"/>
  <c r="G23" i="301"/>
  <c r="G15" i="301"/>
  <c r="G14" i="301"/>
  <c r="B19" i="301"/>
  <c r="G8" i="301"/>
  <c r="G10" i="301"/>
  <c r="H17" i="301"/>
  <c r="H18" i="301"/>
  <c r="H20" i="301"/>
  <c r="H21" i="301"/>
  <c r="H23" i="301"/>
  <c r="H24" i="301"/>
  <c r="H19" i="301"/>
  <c r="F13" i="300"/>
  <c r="H18" i="300"/>
  <c r="G17" i="300"/>
  <c r="B19" i="300"/>
  <c r="G22" i="300"/>
  <c r="H24" i="300"/>
  <c r="G19" i="300"/>
  <c r="H19" i="300"/>
  <c r="G7" i="300"/>
  <c r="U19" i="300"/>
  <c r="M31" i="300" s="1"/>
  <c r="F5" i="300"/>
  <c r="T5" i="300"/>
  <c r="I5" i="300" s="1"/>
  <c r="F14" i="300"/>
  <c r="T17" i="300"/>
  <c r="I17" i="300" s="1"/>
  <c r="T19" i="300"/>
  <c r="I19" i="300" s="1"/>
  <c r="T21" i="300"/>
  <c r="I21" i="300" s="1"/>
  <c r="F9" i="300"/>
  <c r="F11" i="300"/>
  <c r="U13" i="300"/>
  <c r="G18" i="300"/>
  <c r="G18" i="299"/>
  <c r="B19" i="299"/>
  <c r="G23" i="299"/>
  <c r="G6" i="299"/>
  <c r="B10" i="299"/>
  <c r="B22" i="299"/>
  <c r="H21" i="299"/>
  <c r="G20" i="299"/>
  <c r="G24" i="299"/>
  <c r="G7" i="299"/>
  <c r="G19" i="299"/>
  <c r="G16" i="299"/>
  <c r="G9" i="299"/>
  <c r="B13" i="299"/>
  <c r="G22" i="299"/>
  <c r="B7" i="299"/>
  <c r="G13" i="299"/>
  <c r="H17" i="299"/>
  <c r="H19" i="299"/>
  <c r="H23" i="299"/>
  <c r="H24" i="299"/>
  <c r="G8" i="299"/>
  <c r="B16" i="299"/>
  <c r="H20" i="299"/>
  <c r="G21" i="299"/>
  <c r="F24" i="152"/>
  <c r="T24" i="298"/>
  <c r="I24" i="298" s="1"/>
  <c r="J36" i="298" s="1"/>
  <c r="T23" i="298"/>
  <c r="I23" i="298" s="1"/>
  <c r="F23" i="298"/>
  <c r="T22" i="298"/>
  <c r="I22" i="298" s="1"/>
  <c r="F22" i="298"/>
  <c r="T21" i="298"/>
  <c r="I21" i="298" s="1"/>
  <c r="F21" i="298"/>
  <c r="T20" i="298"/>
  <c r="I20" i="298" s="1"/>
  <c r="J32" i="298" s="1"/>
  <c r="F20" i="298"/>
  <c r="K19" i="298"/>
  <c r="U19" i="298"/>
  <c r="T19" i="298"/>
  <c r="I19" i="298" s="1"/>
  <c r="F19" i="298"/>
  <c r="T18" i="298"/>
  <c r="I18" i="298" s="1"/>
  <c r="F18" i="298"/>
  <c r="T17" i="298"/>
  <c r="I17" i="298" s="1"/>
  <c r="F17" i="298"/>
  <c r="K16" i="298"/>
  <c r="U16" i="298"/>
  <c r="M28" i="298" s="1"/>
  <c r="T16" i="298"/>
  <c r="I16" i="298" s="1"/>
  <c r="J28" i="298" s="1"/>
  <c r="F16" i="298"/>
  <c r="T15" i="298"/>
  <c r="I15" i="298" s="1"/>
  <c r="J27" i="298" s="1"/>
  <c r="F15" i="298"/>
  <c r="T14" i="298"/>
  <c r="I14" i="298" s="1"/>
  <c r="J26" i="298" s="1"/>
  <c r="F14" i="298"/>
  <c r="K13" i="298"/>
  <c r="U13" i="298"/>
  <c r="M25" i="298" s="1"/>
  <c r="T13" i="298"/>
  <c r="I13" i="298" s="1"/>
  <c r="J25" i="298" s="1"/>
  <c r="F13" i="298"/>
  <c r="T12" i="298"/>
  <c r="I12" i="298" s="1"/>
  <c r="F12" i="298"/>
  <c r="T11" i="298"/>
  <c r="I11" i="298" s="1"/>
  <c r="F11" i="298"/>
  <c r="K10" i="298"/>
  <c r="U10" i="298"/>
  <c r="M22" i="298" s="1"/>
  <c r="T10" i="298"/>
  <c r="I10" i="298" s="1"/>
  <c r="F10" i="298"/>
  <c r="T9" i="298"/>
  <c r="I9" i="298" s="1"/>
  <c r="F9" i="298"/>
  <c r="T8" i="298"/>
  <c r="I8" i="298" s="1"/>
  <c r="F8" i="298"/>
  <c r="K7" i="298"/>
  <c r="U7" i="298"/>
  <c r="T7" i="298"/>
  <c r="I7" i="298" s="1"/>
  <c r="F7" i="298"/>
  <c r="T6" i="298"/>
  <c r="I6" i="298" s="1"/>
  <c r="F6" i="298"/>
  <c r="T5" i="298"/>
  <c r="I5" i="298" s="1"/>
  <c r="F5" i="298"/>
  <c r="J20" i="298" l="1"/>
  <c r="J29" i="298"/>
  <c r="J17" i="298"/>
  <c r="J22" i="298"/>
  <c r="J34" i="298"/>
  <c r="J17" i="300"/>
  <c r="J29" i="300"/>
  <c r="J18" i="298"/>
  <c r="J30" i="298"/>
  <c r="J35" i="298"/>
  <c r="J23" i="298"/>
  <c r="J20" i="300"/>
  <c r="J32" i="300"/>
  <c r="J24" i="298"/>
  <c r="J31" i="298"/>
  <c r="J19" i="298"/>
  <c r="J33" i="298"/>
  <c r="J21" i="298"/>
  <c r="J21" i="300"/>
  <c r="J33" i="300"/>
  <c r="N25" i="300"/>
  <c r="O28" i="300" s="1"/>
  <c r="I23" i="300"/>
  <c r="J19" i="300"/>
  <c r="J31" i="300"/>
  <c r="J22" i="300"/>
  <c r="J34" i="300"/>
  <c r="J18" i="300"/>
  <c r="J30" i="300"/>
  <c r="I226" i="417"/>
  <c r="H25" i="298"/>
  <c r="H28" i="298"/>
  <c r="H31" i="298"/>
  <c r="H32" i="298"/>
  <c r="H34" i="298"/>
  <c r="G9" i="300"/>
  <c r="H35" i="300"/>
  <c r="H27" i="298"/>
  <c r="H30" i="298"/>
  <c r="H33" i="298"/>
  <c r="C7" i="300"/>
  <c r="E19" i="300" s="1"/>
  <c r="L28" i="195"/>
  <c r="G25" i="152"/>
  <c r="H36" i="152"/>
  <c r="C25" i="298"/>
  <c r="E37" i="298" s="1"/>
  <c r="H35" i="298"/>
  <c r="C22" i="300"/>
  <c r="E34" i="300" s="1"/>
  <c r="H32" i="300"/>
  <c r="L22" i="298"/>
  <c r="M31" i="298"/>
  <c r="D10" i="299"/>
  <c r="D13" i="301"/>
  <c r="D10" i="301"/>
  <c r="D16" i="301"/>
  <c r="E28" i="301"/>
  <c r="E19" i="299"/>
  <c r="D19" i="299"/>
  <c r="E22" i="301"/>
  <c r="D22" i="301"/>
  <c r="E25" i="301"/>
  <c r="D25" i="301"/>
  <c r="D28" i="301"/>
  <c r="E25" i="299"/>
  <c r="D25" i="299"/>
  <c r="D28" i="299"/>
  <c r="E19" i="301"/>
  <c r="D19" i="301"/>
  <c r="D16" i="299"/>
  <c r="E28" i="299"/>
  <c r="E22" i="299"/>
  <c r="D22" i="299"/>
  <c r="D13" i="299"/>
  <c r="C10" i="298"/>
  <c r="C13" i="298"/>
  <c r="C16" i="298"/>
  <c r="C22" i="298"/>
  <c r="E34" i="298" s="1"/>
  <c r="C7" i="298"/>
  <c r="C13" i="300"/>
  <c r="C10" i="300"/>
  <c r="H29" i="298"/>
  <c r="C19" i="298"/>
  <c r="E31" i="298" s="1"/>
  <c r="B25" i="300"/>
  <c r="C25" i="300"/>
  <c r="E37" i="300" s="1"/>
  <c r="C16" i="300"/>
  <c r="D19" i="300" s="1"/>
  <c r="O25" i="299"/>
  <c r="O28" i="299"/>
  <c r="O19" i="301"/>
  <c r="O10" i="301"/>
  <c r="L25" i="195"/>
  <c r="G23" i="300"/>
  <c r="G24" i="300"/>
  <c r="O19" i="299"/>
  <c r="N22" i="298"/>
  <c r="M22" i="300"/>
  <c r="L22" i="300"/>
  <c r="N22" i="300"/>
  <c r="O13" i="301"/>
  <c r="L25" i="300"/>
  <c r="M25" i="300"/>
  <c r="L28" i="300"/>
  <c r="N25" i="298"/>
  <c r="O28" i="298" s="1"/>
  <c r="O22" i="301"/>
  <c r="O25" i="301"/>
  <c r="O22" i="299"/>
  <c r="O16" i="301"/>
  <c r="O10" i="299"/>
  <c r="O13" i="299"/>
  <c r="N7" i="298"/>
  <c r="N10" i="298"/>
  <c r="N13" i="298"/>
  <c r="N16" i="298"/>
  <c r="N19" i="298"/>
  <c r="O16" i="299"/>
  <c r="G16" i="300"/>
  <c r="H27" i="300"/>
  <c r="L10" i="298"/>
  <c r="L13" i="298"/>
  <c r="L16" i="298"/>
  <c r="M19" i="298"/>
  <c r="L19" i="298"/>
  <c r="N7" i="300"/>
  <c r="L10" i="300"/>
  <c r="L13" i="300"/>
  <c r="L16" i="300"/>
  <c r="N19" i="300"/>
  <c r="N10" i="300"/>
  <c r="N16" i="300"/>
  <c r="N13" i="300"/>
  <c r="L19" i="300"/>
  <c r="M19" i="300"/>
  <c r="H26" i="298"/>
  <c r="B25" i="298"/>
  <c r="H26" i="300"/>
  <c r="B7" i="300"/>
  <c r="G20" i="300"/>
  <c r="G21" i="300"/>
  <c r="H20" i="300"/>
  <c r="B22" i="300"/>
  <c r="G15" i="300"/>
  <c r="G13" i="300"/>
  <c r="H25" i="300"/>
  <c r="G15" i="298"/>
  <c r="B10" i="300"/>
  <c r="H17" i="300"/>
  <c r="G6" i="300"/>
  <c r="G11" i="300"/>
  <c r="G12" i="300"/>
  <c r="B13" i="300"/>
  <c r="H23" i="300"/>
  <c r="G14" i="300"/>
  <c r="B16" i="300"/>
  <c r="H21" i="300"/>
  <c r="G10" i="300"/>
  <c r="H22" i="298"/>
  <c r="B16" i="298"/>
  <c r="H23" i="298"/>
  <c r="G14" i="298"/>
  <c r="G6" i="298"/>
  <c r="G9" i="298"/>
  <c r="G12" i="298"/>
  <c r="G16" i="298"/>
  <c r="B22" i="298"/>
  <c r="G19" i="298"/>
  <c r="G22" i="298"/>
  <c r="H21" i="298"/>
  <c r="G7" i="298"/>
  <c r="H17" i="298"/>
  <c r="H20" i="298"/>
  <c r="H24" i="298"/>
  <c r="H18" i="298"/>
  <c r="B7" i="298"/>
  <c r="B10" i="298"/>
  <c r="G10" i="298"/>
  <c r="G11" i="298"/>
  <c r="B13" i="298"/>
  <c r="G13" i="298"/>
  <c r="H19" i="298"/>
  <c r="G17" i="298"/>
  <c r="G18" i="298"/>
  <c r="G20" i="298"/>
  <c r="G21" i="298"/>
  <c r="G23" i="298"/>
  <c r="G24" i="298"/>
  <c r="B19" i="298"/>
  <c r="G8" i="298"/>
  <c r="J23" i="300" l="1"/>
  <c r="J35" i="300"/>
  <c r="D10" i="300"/>
  <c r="D28" i="298"/>
  <c r="D25" i="298"/>
  <c r="D22" i="300"/>
  <c r="D13" i="298"/>
  <c r="E25" i="300"/>
  <c r="D25" i="300"/>
  <c r="D28" i="300"/>
  <c r="D16" i="298"/>
  <c r="E28" i="298"/>
  <c r="D13" i="300"/>
  <c r="E25" i="298"/>
  <c r="E19" i="298"/>
  <c r="D19" i="298"/>
  <c r="D10" i="298"/>
  <c r="E22" i="300"/>
  <c r="D16" i="300"/>
  <c r="E28" i="300"/>
  <c r="E22" i="298"/>
  <c r="D22" i="298"/>
  <c r="O22" i="298"/>
  <c r="O10" i="300"/>
  <c r="O16" i="298"/>
  <c r="O25" i="298"/>
  <c r="O22" i="300"/>
  <c r="O25" i="300"/>
  <c r="O13" i="298"/>
  <c r="O10" i="298"/>
  <c r="O19" i="298"/>
  <c r="O16" i="300"/>
  <c r="O19" i="300"/>
  <c r="O13" i="300"/>
  <c r="T24" i="297" l="1"/>
  <c r="I24" i="297" s="1"/>
  <c r="T23" i="297"/>
  <c r="I23" i="297" s="1"/>
  <c r="F23" i="297"/>
  <c r="T22" i="297"/>
  <c r="I22" i="297" s="1"/>
  <c r="F22" i="297"/>
  <c r="T21" i="297"/>
  <c r="I21" i="297" s="1"/>
  <c r="F21" i="297"/>
  <c r="T20" i="297"/>
  <c r="I20" i="297" s="1"/>
  <c r="F20" i="297"/>
  <c r="K19" i="297"/>
  <c r="U19" i="297"/>
  <c r="T19" i="297"/>
  <c r="I19" i="297" s="1"/>
  <c r="F19" i="297"/>
  <c r="T18" i="297"/>
  <c r="I18" i="297" s="1"/>
  <c r="F18" i="297"/>
  <c r="T17" i="297"/>
  <c r="I17" i="297" s="1"/>
  <c r="F17" i="297"/>
  <c r="K16" i="297"/>
  <c r="U16" i="297"/>
  <c r="M28" i="297" s="1"/>
  <c r="T16" i="297"/>
  <c r="I16" i="297" s="1"/>
  <c r="J28" i="297" s="1"/>
  <c r="F16" i="297"/>
  <c r="T15" i="297"/>
  <c r="I15" i="297" s="1"/>
  <c r="J27" i="297" s="1"/>
  <c r="F15" i="297"/>
  <c r="T14" i="297"/>
  <c r="I14" i="297" s="1"/>
  <c r="J26" i="297" s="1"/>
  <c r="F14" i="297"/>
  <c r="K13" i="297"/>
  <c r="U13" i="297"/>
  <c r="T13" i="297"/>
  <c r="I13" i="297" s="1"/>
  <c r="J25" i="297" s="1"/>
  <c r="F13" i="297"/>
  <c r="T12" i="297"/>
  <c r="I12" i="297" s="1"/>
  <c r="F12" i="297"/>
  <c r="T11" i="297"/>
  <c r="F11" i="297"/>
  <c r="K10" i="297"/>
  <c r="U10" i="297"/>
  <c r="T10" i="297"/>
  <c r="I10" i="297" s="1"/>
  <c r="F10" i="297"/>
  <c r="T9" i="297"/>
  <c r="I9" i="297" s="1"/>
  <c r="F9" i="297"/>
  <c r="T8" i="297"/>
  <c r="F8" i="297"/>
  <c r="K7" i="297"/>
  <c r="U7" i="297"/>
  <c r="T7" i="297"/>
  <c r="I7" i="297" s="1"/>
  <c r="F7" i="297"/>
  <c r="T6" i="297"/>
  <c r="I6" i="297" s="1"/>
  <c r="F6" i="297"/>
  <c r="T5" i="297"/>
  <c r="F5" i="297"/>
  <c r="N7" i="297" l="1"/>
  <c r="I5" i="297"/>
  <c r="J17" i="297" s="1"/>
  <c r="J19" i="297"/>
  <c r="J31" i="297"/>
  <c r="J21" i="297"/>
  <c r="J33" i="297"/>
  <c r="N10" i="297"/>
  <c r="I8" i="297"/>
  <c r="J20" i="297" s="1"/>
  <c r="J29" i="297"/>
  <c r="J22" i="297"/>
  <c r="J34" i="297"/>
  <c r="N13" i="297"/>
  <c r="I11" i="297"/>
  <c r="J23" i="297" s="1"/>
  <c r="J18" i="297"/>
  <c r="J30" i="297"/>
  <c r="J32" i="297"/>
  <c r="J35" i="297"/>
  <c r="J24" i="297"/>
  <c r="J36" i="297"/>
  <c r="M25" i="297"/>
  <c r="L13" i="297"/>
  <c r="M22" i="297"/>
  <c r="L10" i="297"/>
  <c r="H30" i="297"/>
  <c r="H33" i="297"/>
  <c r="H27" i="297"/>
  <c r="H25" i="297"/>
  <c r="H28" i="297"/>
  <c r="H31" i="297"/>
  <c r="H32" i="297"/>
  <c r="H34" i="297"/>
  <c r="C25" i="297"/>
  <c r="E37" i="297" s="1"/>
  <c r="H35" i="297"/>
  <c r="L22" i="297"/>
  <c r="M31" i="297"/>
  <c r="C7" i="297"/>
  <c r="C10" i="297"/>
  <c r="C13" i="297"/>
  <c r="C16" i="297"/>
  <c r="H29" i="297"/>
  <c r="C19" i="297"/>
  <c r="E31" i="297" s="1"/>
  <c r="C22" i="297"/>
  <c r="E34" i="297" s="1"/>
  <c r="N22" i="297"/>
  <c r="N25" i="297"/>
  <c r="O28" i="297" s="1"/>
  <c r="N16" i="297"/>
  <c r="L16" i="297"/>
  <c r="N19" i="297"/>
  <c r="M19" i="297"/>
  <c r="L19" i="297"/>
  <c r="H26" i="297"/>
  <c r="B25" i="297"/>
  <c r="G6" i="297"/>
  <c r="G12" i="297"/>
  <c r="G9" i="297"/>
  <c r="G13" i="297"/>
  <c r="G14" i="297"/>
  <c r="G16" i="297"/>
  <c r="B16" i="297"/>
  <c r="H18" i="297"/>
  <c r="H21" i="297"/>
  <c r="H24" i="297"/>
  <c r="B7" i="297"/>
  <c r="G7" i="297"/>
  <c r="B10" i="297"/>
  <c r="G10" i="297"/>
  <c r="G11" i="297"/>
  <c r="B13" i="297"/>
  <c r="G15" i="297"/>
  <c r="H17" i="297"/>
  <c r="H20" i="297"/>
  <c r="H23" i="297"/>
  <c r="G19" i="297"/>
  <c r="G22" i="297"/>
  <c r="H22" i="297"/>
  <c r="B19" i="297"/>
  <c r="H19" i="297"/>
  <c r="B22" i="297"/>
  <c r="G17" i="297"/>
  <c r="G18" i="297"/>
  <c r="G20" i="297"/>
  <c r="G21" i="297"/>
  <c r="G23" i="297"/>
  <c r="G24" i="297"/>
  <c r="G8" i="297"/>
  <c r="O10" i="297" l="1"/>
  <c r="O13" i="297"/>
  <c r="D28" i="297"/>
  <c r="D13" i="297"/>
  <c r="D16" i="297"/>
  <c r="E28" i="297"/>
  <c r="E22" i="297"/>
  <c r="D22" i="297"/>
  <c r="D25" i="297"/>
  <c r="E19" i="297"/>
  <c r="D19" i="297"/>
  <c r="D10" i="297"/>
  <c r="E25" i="297"/>
  <c r="O25" i="297"/>
  <c r="O22" i="297"/>
  <c r="O16" i="297"/>
  <c r="O19" i="297"/>
  <c r="T23" i="206"/>
  <c r="I23" i="206" s="1"/>
  <c r="J35" i="206" l="1"/>
  <c r="F24" i="170"/>
  <c r="S24" i="231"/>
  <c r="U24" i="231" s="1"/>
  <c r="R24" i="231"/>
  <c r="Q24" i="231"/>
  <c r="F24" i="231" s="1"/>
  <c r="S24" i="186"/>
  <c r="R24" i="186"/>
  <c r="Q24" i="186"/>
  <c r="S24" i="144"/>
  <c r="R24" i="144"/>
  <c r="Q24" i="144"/>
  <c r="F24" i="144" s="1"/>
  <c r="F24" i="195"/>
  <c r="S24" i="185"/>
  <c r="R24" i="185"/>
  <c r="Q24" i="185"/>
  <c r="F24" i="185" s="1"/>
  <c r="S24" i="247"/>
  <c r="R24" i="247"/>
  <c r="Q24" i="247"/>
  <c r="F24" i="247" s="1"/>
  <c r="F24" i="142"/>
  <c r="F24" i="149"/>
  <c r="S24" i="253"/>
  <c r="R24" i="253"/>
  <c r="Q24" i="253"/>
  <c r="F24" i="253" s="1"/>
  <c r="T24" i="3"/>
  <c r="I24" i="3" s="1"/>
  <c r="J36" i="3" s="1"/>
  <c r="T24" i="135"/>
  <c r="I24" i="135" s="1"/>
  <c r="J36" i="135" s="1"/>
  <c r="T24" i="295"/>
  <c r="I24" i="295" s="1"/>
  <c r="J36" i="295" s="1"/>
  <c r="T24" i="294"/>
  <c r="I24" i="294" s="1"/>
  <c r="J36" i="294" s="1"/>
  <c r="T24" i="293"/>
  <c r="I24" i="293" s="1"/>
  <c r="T24" i="292"/>
  <c r="I24" i="292" s="1"/>
  <c r="J36" i="292" s="1"/>
  <c r="T24" i="269"/>
  <c r="I24" i="269" s="1"/>
  <c r="T24" i="288"/>
  <c r="I24" i="288" s="1"/>
  <c r="T24" i="11"/>
  <c r="I24" i="11" s="1"/>
  <c r="J36" i="11" s="1"/>
  <c r="S24" i="279"/>
  <c r="T24" i="28"/>
  <c r="I24" i="28" s="1"/>
  <c r="J36" i="28" s="1"/>
  <c r="T24" i="29"/>
  <c r="I24" i="29" s="1"/>
  <c r="J36" i="29" s="1"/>
  <c r="T24" i="23"/>
  <c r="I24" i="23" s="1"/>
  <c r="T24" i="5"/>
  <c r="I24" i="5" s="1"/>
  <c r="J36" i="5" s="1"/>
  <c r="T24" i="207"/>
  <c r="I24" i="207" s="1"/>
  <c r="J36" i="207" s="1"/>
  <c r="T24" i="9"/>
  <c r="I24" i="9" s="1"/>
  <c r="T24" i="202"/>
  <c r="I24" i="202" s="1"/>
  <c r="J36" i="202" s="1"/>
  <c r="T24" i="283"/>
  <c r="I24" i="283" s="1"/>
  <c r="I24" i="187"/>
  <c r="T24" i="4"/>
  <c r="I24" i="4" s="1"/>
  <c r="J36" i="4" s="1"/>
  <c r="T24" i="54"/>
  <c r="I24" i="54" s="1"/>
  <c r="T24" i="88"/>
  <c r="I24" i="88" s="1"/>
  <c r="J36" i="88" s="1"/>
  <c r="T24" i="148"/>
  <c r="I24" i="148" s="1"/>
  <c r="J36" i="148" s="1"/>
  <c r="T24" i="89"/>
  <c r="I24" i="89" s="1"/>
  <c r="J36" i="89" s="1"/>
  <c r="T24" i="12"/>
  <c r="I24" i="12" s="1"/>
  <c r="J36" i="12" s="1"/>
  <c r="T24" i="284"/>
  <c r="I24" i="284" s="1"/>
  <c r="J36" i="284" s="1"/>
  <c r="T24" i="101"/>
  <c r="I24" i="101" s="1"/>
  <c r="T24" i="102"/>
  <c r="I24" i="102" s="1"/>
  <c r="T24" i="174"/>
  <c r="I24" i="174" s="1"/>
  <c r="J36" i="174" s="1"/>
  <c r="T24" i="37"/>
  <c r="I24" i="37" s="1"/>
  <c r="J36" i="37" s="1"/>
  <c r="T24" i="265"/>
  <c r="I24" i="265" s="1"/>
  <c r="J36" i="265" s="1"/>
  <c r="T24" i="7"/>
  <c r="I24" i="7" s="1"/>
  <c r="J36" i="7" s="1"/>
  <c r="T24" i="17"/>
  <c r="I24" i="17" s="1"/>
  <c r="T24" i="43"/>
  <c r="I24" i="43" s="1"/>
  <c r="J36" i="43" s="1"/>
  <c r="I24" i="296"/>
  <c r="T24" i="75"/>
  <c r="I24" i="75" s="1"/>
  <c r="J36" i="75" s="1"/>
  <c r="T24" i="18"/>
  <c r="I24" i="18" s="1"/>
  <c r="J36" i="18" s="1"/>
  <c r="T24" i="20"/>
  <c r="I24" i="20" s="1"/>
  <c r="J36" i="20" s="1"/>
  <c r="T24" i="262"/>
  <c r="I24" i="262" s="1"/>
  <c r="T24" i="290"/>
  <c r="I24" i="290" s="1"/>
  <c r="T24" i="289"/>
  <c r="I24" i="289" s="1"/>
  <c r="J36" i="289" s="1"/>
  <c r="T24" i="249"/>
  <c r="I24" i="249" s="1"/>
  <c r="T24" i="47"/>
  <c r="I24" i="47" s="1"/>
  <c r="T24" i="190"/>
  <c r="I24" i="190" s="1"/>
  <c r="J36" i="190" s="1"/>
  <c r="T24" i="152"/>
  <c r="I24" i="152" s="1"/>
  <c r="J36" i="152" s="1"/>
  <c r="T24" i="13"/>
  <c r="I24" i="13" s="1"/>
  <c r="J36" i="13" s="1"/>
  <c r="T24" i="261"/>
  <c r="I24" i="261" s="1"/>
  <c r="J36" i="261" s="1"/>
  <c r="T24" i="153"/>
  <c r="I24" i="153" s="1"/>
  <c r="J36" i="153" s="1"/>
  <c r="T24" i="257"/>
  <c r="I24" i="257" s="1"/>
  <c r="J36" i="257" s="1"/>
  <c r="T24" i="46"/>
  <c r="I24" i="46" s="1"/>
  <c r="T24" i="239"/>
  <c r="I24" i="239" s="1"/>
  <c r="T24" i="248"/>
  <c r="I24" i="248" s="1"/>
  <c r="T24" i="243"/>
  <c r="I24" i="243" s="1"/>
  <c r="T24" i="244"/>
  <c r="I24" i="244" s="1"/>
  <c r="T24" i="246"/>
  <c r="I24" i="246" s="1"/>
  <c r="J36" i="246" s="1"/>
  <c r="T24" i="201"/>
  <c r="I24" i="201" s="1"/>
  <c r="J36" i="201" s="1"/>
  <c r="T24" i="16"/>
  <c r="I24" i="16" s="1"/>
  <c r="T24" i="227"/>
  <c r="I24" i="227" s="1"/>
  <c r="T24" i="112"/>
  <c r="I24" i="112" s="1"/>
  <c r="J36" i="112" s="1"/>
  <c r="T24" i="109"/>
  <c r="I24" i="109" s="1"/>
  <c r="J36" i="109" s="1"/>
  <c r="T24" i="33"/>
  <c r="I24" i="33" s="1"/>
  <c r="T24" i="204"/>
  <c r="I24" i="204" s="1"/>
  <c r="T24" i="85"/>
  <c r="I24" i="85" s="1"/>
  <c r="J36" i="85" s="1"/>
  <c r="T24" i="2"/>
  <c r="I24" i="2" s="1"/>
  <c r="J36" i="2" s="1"/>
  <c r="T24" i="32"/>
  <c r="I24" i="32" s="1"/>
  <c r="T24" i="203"/>
  <c r="I24" i="203" s="1"/>
  <c r="J36" i="203" s="1"/>
  <c r="T24" i="191"/>
  <c r="I24" i="191" s="1"/>
  <c r="J36" i="191" s="1"/>
  <c r="T24" i="164"/>
  <c r="I24" i="164" s="1"/>
  <c r="J36" i="164" s="1"/>
  <c r="T24" i="162"/>
  <c r="I24" i="162" s="1"/>
  <c r="J36" i="162" s="1"/>
  <c r="T24" i="196"/>
  <c r="I24" i="196" s="1"/>
  <c r="J36" i="196" s="1"/>
  <c r="T24" i="197"/>
  <c r="I24" i="197" s="1"/>
  <c r="J36" i="197" s="1"/>
  <c r="T24" i="198"/>
  <c r="I24" i="198" s="1"/>
  <c r="J36" i="198" s="1"/>
  <c r="T24" i="74"/>
  <c r="I24" i="74" s="1"/>
  <c r="J36" i="74" s="1"/>
  <c r="T24" i="105"/>
  <c r="I24" i="105" s="1"/>
  <c r="T24" i="181"/>
  <c r="I24" i="181" s="1"/>
  <c r="T24" i="183"/>
  <c r="I24" i="183" s="1"/>
  <c r="T24" i="184"/>
  <c r="I24" i="184" s="1"/>
  <c r="J36" i="184" s="1"/>
  <c r="T24" i="61"/>
  <c r="I24" i="61" s="1"/>
  <c r="T24" i="200"/>
  <c r="I24" i="200" s="1"/>
  <c r="J36" i="200" s="1"/>
  <c r="T24" i="280"/>
  <c r="I24" i="280" s="1"/>
  <c r="T24" i="114"/>
  <c r="I24" i="114" s="1"/>
  <c r="J36" i="114" s="1"/>
  <c r="T24" i="113"/>
  <c r="I24" i="113" s="1"/>
  <c r="J36" i="113" s="1"/>
  <c r="T24" i="194"/>
  <c r="I24" i="194" s="1"/>
  <c r="J36" i="194" s="1"/>
  <c r="T24" i="193"/>
  <c r="I24" i="193" s="1"/>
  <c r="J36" i="193" s="1"/>
  <c r="T24" i="27"/>
  <c r="I24" i="27" s="1"/>
  <c r="T24" i="143"/>
  <c r="I24" i="143" s="1"/>
  <c r="J36" i="143" s="1"/>
  <c r="T24" i="97"/>
  <c r="I24" i="97" s="1"/>
  <c r="J36" i="97" s="1"/>
  <c r="T24" i="45"/>
  <c r="I24" i="45" s="1"/>
  <c r="J36" i="45" s="1"/>
  <c r="T24" i="104"/>
  <c r="I24" i="104" s="1"/>
  <c r="T24" i="268"/>
  <c r="I24" i="268" s="1"/>
  <c r="T24" i="87"/>
  <c r="I24" i="87" s="1"/>
  <c r="T24" i="263"/>
  <c r="I24" i="263" s="1"/>
  <c r="T24" i="103"/>
  <c r="I24" i="103" s="1"/>
  <c r="J36" i="103" s="1"/>
  <c r="T24" i="233"/>
  <c r="I24" i="233" s="1"/>
  <c r="J36" i="233" s="1"/>
  <c r="T24" i="209"/>
  <c r="I24" i="209" s="1"/>
  <c r="L24" i="175"/>
  <c r="T24" i="140"/>
  <c r="I24" i="140" s="1"/>
  <c r="T24" i="270"/>
  <c r="I24" i="270" s="1"/>
  <c r="T24" i="271"/>
  <c r="I24" i="271" s="1"/>
  <c r="T24" i="159"/>
  <c r="I24" i="159" s="1"/>
  <c r="T24" i="160"/>
  <c r="I24" i="160" s="1"/>
  <c r="T24" i="107"/>
  <c r="I24" i="107" s="1"/>
  <c r="T24" i="176"/>
  <c r="I24" i="176" s="1"/>
  <c r="J36" i="176" s="1"/>
  <c r="T24" i="48"/>
  <c r="I24" i="48" s="1"/>
  <c r="J36" i="48" s="1"/>
  <c r="T24" i="22"/>
  <c r="I24" i="22" s="1"/>
  <c r="J36" i="22" s="1"/>
  <c r="T24" i="53"/>
  <c r="I24" i="53" s="1"/>
  <c r="J36" i="53" s="1"/>
  <c r="T24" i="52"/>
  <c r="I24" i="52" s="1"/>
  <c r="J36" i="52" s="1"/>
  <c r="T24" i="19"/>
  <c r="I24" i="19" s="1"/>
  <c r="J36" i="19" s="1"/>
  <c r="T24" i="254"/>
  <c r="I24" i="254" s="1"/>
  <c r="T24" i="192"/>
  <c r="I24" i="192" s="1"/>
  <c r="T24" i="34"/>
  <c r="I24" i="34" s="1"/>
  <c r="J36" i="34" s="1"/>
  <c r="T24" i="21"/>
  <c r="I24" i="21" s="1"/>
  <c r="J36" i="21" s="1"/>
  <c r="T24" i="281"/>
  <c r="I24" i="281" s="1"/>
  <c r="T24" i="25"/>
  <c r="I24" i="25" s="1"/>
  <c r="J36" i="25" s="1"/>
  <c r="T24" i="31"/>
  <c r="I24" i="31" s="1"/>
  <c r="T24" i="1"/>
  <c r="I24" i="1" s="1"/>
  <c r="J36" i="1" s="1"/>
  <c r="T24" i="24"/>
  <c r="I24" i="24" s="1"/>
  <c r="T24" i="229"/>
  <c r="I24" i="229" s="1"/>
  <c r="T24" i="230"/>
  <c r="I24" i="230" s="1"/>
  <c r="S24" i="44"/>
  <c r="T24" i="116"/>
  <c r="I24" i="116" s="1"/>
  <c r="J36" i="116" s="1"/>
  <c r="T24" i="272"/>
  <c r="I24" i="272" s="1"/>
  <c r="J36" i="272" s="1"/>
  <c r="T24" i="276"/>
  <c r="I24" i="276" s="1"/>
  <c r="T24" i="287"/>
  <c r="I24" i="287" s="1"/>
  <c r="J36" i="287" s="1"/>
  <c r="T24" i="285"/>
  <c r="I24" i="285" s="1"/>
  <c r="T24" i="169"/>
  <c r="I24" i="169" s="1"/>
  <c r="J36" i="169" s="1"/>
  <c r="T24" i="168"/>
  <c r="I24" i="168" s="1"/>
  <c r="T24" i="206"/>
  <c r="J36" i="32" l="1"/>
  <c r="J36" i="159"/>
  <c r="J36" i="183"/>
  <c r="J36" i="107"/>
  <c r="J36" i="268"/>
  <c r="J36" i="61"/>
  <c r="J36" i="244"/>
  <c r="J36" i="249"/>
  <c r="J36" i="283"/>
  <c r="J36" i="285"/>
  <c r="J36" i="104"/>
  <c r="J36" i="290"/>
  <c r="J36" i="262"/>
  <c r="J36" i="17"/>
  <c r="J36" i="101"/>
  <c r="J36" i="54"/>
  <c r="J36" i="230"/>
  <c r="J36" i="160"/>
  <c r="J36" i="293"/>
  <c r="J36" i="229"/>
  <c r="J36" i="227"/>
  <c r="J36" i="24"/>
  <c r="J36" i="271"/>
  <c r="J36" i="181"/>
  <c r="J36" i="16"/>
  <c r="J36" i="192"/>
  <c r="J36" i="46"/>
  <c r="J36" i="288"/>
  <c r="J36" i="281"/>
  <c r="J36" i="209"/>
  <c r="J36" i="243"/>
  <c r="J36" i="296"/>
  <c r="J36" i="248"/>
  <c r="J36" i="102"/>
  <c r="J36" i="9"/>
  <c r="J36" i="276"/>
  <c r="J36" i="239"/>
  <c r="N25" i="206"/>
  <c r="O28" i="206" s="1"/>
  <c r="I24" i="206"/>
  <c r="J36" i="206" s="1"/>
  <c r="J36" i="270"/>
  <c r="J36" i="263"/>
  <c r="J36" i="280"/>
  <c r="J36" i="105"/>
  <c r="J36" i="204"/>
  <c r="J36" i="168"/>
  <c r="J36" i="31"/>
  <c r="J36" i="254"/>
  <c r="J36" i="140"/>
  <c r="J36" i="87"/>
  <c r="J36" i="27"/>
  <c r="J36" i="33"/>
  <c r="J36" i="47"/>
  <c r="J36" i="187"/>
  <c r="J36" i="23"/>
  <c r="J36" i="269"/>
  <c r="G25" i="253"/>
  <c r="H36" i="253"/>
  <c r="G25" i="231"/>
  <c r="H36" i="231"/>
  <c r="G25" i="195"/>
  <c r="H36" i="195"/>
  <c r="G25" i="185"/>
  <c r="H36" i="185"/>
  <c r="G25" i="144"/>
  <c r="H36" i="144"/>
  <c r="G25" i="149"/>
  <c r="H36" i="149"/>
  <c r="G25" i="247"/>
  <c r="H36" i="247"/>
  <c r="G25" i="170"/>
  <c r="H36" i="170"/>
  <c r="G25" i="142"/>
  <c r="H36" i="142"/>
  <c r="F24" i="186"/>
  <c r="T24" i="170"/>
  <c r="I24" i="170" s="1"/>
  <c r="J36" i="170" s="1"/>
  <c r="T24" i="185"/>
  <c r="I24" i="185" s="1"/>
  <c r="T24" i="142"/>
  <c r="I24" i="142" s="1"/>
  <c r="J36" i="142" s="1"/>
  <c r="T24" i="195"/>
  <c r="I24" i="195" s="1"/>
  <c r="J36" i="195" s="1"/>
  <c r="T24" i="247"/>
  <c r="I24" i="247" s="1"/>
  <c r="T24" i="253"/>
  <c r="I24" i="253" s="1"/>
  <c r="J36" i="253" s="1"/>
  <c r="T24" i="144"/>
  <c r="I24" i="144" s="1"/>
  <c r="T24" i="149"/>
  <c r="I24" i="149" s="1"/>
  <c r="T24" i="186"/>
  <c r="I24" i="186" s="1"/>
  <c r="T24" i="231"/>
  <c r="I24" i="231" s="1"/>
  <c r="F23" i="296"/>
  <c r="I22" i="296"/>
  <c r="F22" i="296"/>
  <c r="I21" i="296"/>
  <c r="J33" i="296" s="1"/>
  <c r="F21" i="296"/>
  <c r="I20" i="296"/>
  <c r="J32" i="296" s="1"/>
  <c r="F20" i="296"/>
  <c r="I19" i="296"/>
  <c r="F19" i="296"/>
  <c r="I18" i="296"/>
  <c r="F18" i="296"/>
  <c r="I17" i="296"/>
  <c r="F17" i="296"/>
  <c r="I16" i="296"/>
  <c r="J28" i="296" s="1"/>
  <c r="F16" i="296"/>
  <c r="I15" i="296"/>
  <c r="J27" i="296" s="1"/>
  <c r="F15" i="296"/>
  <c r="I14" i="296"/>
  <c r="J26" i="296" s="1"/>
  <c r="F14" i="296"/>
  <c r="I13" i="296"/>
  <c r="J25" i="296" s="1"/>
  <c r="F13" i="296"/>
  <c r="I12" i="296"/>
  <c r="J24" i="296" s="1"/>
  <c r="F12" i="296"/>
  <c r="I11" i="296"/>
  <c r="F11" i="296"/>
  <c r="I10" i="296"/>
  <c r="F10" i="296"/>
  <c r="I9" i="296"/>
  <c r="F9" i="296"/>
  <c r="I8" i="296"/>
  <c r="F8" i="296"/>
  <c r="I7" i="296"/>
  <c r="F7" i="296"/>
  <c r="I6" i="296"/>
  <c r="F6" i="296"/>
  <c r="I5" i="296"/>
  <c r="F5" i="296"/>
  <c r="J20" i="296" l="1"/>
  <c r="J36" i="186"/>
  <c r="J36" i="149"/>
  <c r="J36" i="185"/>
  <c r="J31" i="296"/>
  <c r="J19" i="296"/>
  <c r="J36" i="231"/>
  <c r="J29" i="296"/>
  <c r="J17" i="296"/>
  <c r="J22" i="296"/>
  <c r="J34" i="296"/>
  <c r="J36" i="144"/>
  <c r="J21" i="296"/>
  <c r="J18" i="296"/>
  <c r="J30" i="296"/>
  <c r="I23" i="296"/>
  <c r="J35" i="296" s="1"/>
  <c r="J36" i="247"/>
  <c r="H25" i="296"/>
  <c r="H28" i="296"/>
  <c r="H31" i="296"/>
  <c r="H34" i="296"/>
  <c r="H32" i="296"/>
  <c r="H24" i="296"/>
  <c r="H27" i="296"/>
  <c r="H30" i="296"/>
  <c r="H33" i="296"/>
  <c r="G25" i="186"/>
  <c r="H36" i="186"/>
  <c r="C25" i="296"/>
  <c r="E37" i="296" s="1"/>
  <c r="H35" i="296"/>
  <c r="C7" i="296"/>
  <c r="C13" i="296"/>
  <c r="C16" i="296"/>
  <c r="C22" i="296"/>
  <c r="E34" i="296" s="1"/>
  <c r="C10" i="296"/>
  <c r="H29" i="296"/>
  <c r="C19" i="296"/>
  <c r="E31" i="296" s="1"/>
  <c r="H26" i="296"/>
  <c r="B25" i="296"/>
  <c r="G24" i="296"/>
  <c r="G15" i="296"/>
  <c r="G18" i="296"/>
  <c r="B16" i="296"/>
  <c r="G14" i="296"/>
  <c r="G6" i="296"/>
  <c r="G9" i="296"/>
  <c r="G12" i="296"/>
  <c r="G16" i="296"/>
  <c r="B7" i="296"/>
  <c r="G7" i="296"/>
  <c r="B10" i="296"/>
  <c r="G10" i="296"/>
  <c r="G11" i="296"/>
  <c r="B13" i="296"/>
  <c r="H17" i="296"/>
  <c r="G19" i="296"/>
  <c r="H22" i="296"/>
  <c r="H23" i="296"/>
  <c r="G13" i="296"/>
  <c r="G20" i="296"/>
  <c r="B22" i="296"/>
  <c r="G22" i="296"/>
  <c r="B19" i="296"/>
  <c r="G23" i="296"/>
  <c r="H19" i="296"/>
  <c r="G17" i="296"/>
  <c r="G21" i="296"/>
  <c r="G8" i="296"/>
  <c r="H18" i="296"/>
  <c r="H20" i="296"/>
  <c r="H21" i="296"/>
  <c r="U23" i="202"/>
  <c r="J23" i="296" l="1"/>
  <c r="D28" i="296"/>
  <c r="D10" i="296"/>
  <c r="E22" i="296"/>
  <c r="D22" i="296"/>
  <c r="E19" i="296"/>
  <c r="D19" i="296"/>
  <c r="D16" i="296"/>
  <c r="E28" i="296"/>
  <c r="D25" i="296"/>
  <c r="D13" i="296"/>
  <c r="E25" i="296"/>
  <c r="F23" i="293"/>
  <c r="F23" i="292"/>
  <c r="F23" i="269"/>
  <c r="F23" i="288"/>
  <c r="F23" i="11"/>
  <c r="F23" i="279"/>
  <c r="F23" i="28"/>
  <c r="F23" i="29"/>
  <c r="F23" i="5"/>
  <c r="F23" i="207"/>
  <c r="F23" i="23"/>
  <c r="F23" i="9"/>
  <c r="F23" i="35"/>
  <c r="F23" i="202"/>
  <c r="F23" i="283"/>
  <c r="F23" i="187"/>
  <c r="F23" i="4"/>
  <c r="F23" i="54"/>
  <c r="F23" i="88"/>
  <c r="F23" i="148"/>
  <c r="F23" i="89"/>
  <c r="F23" i="12"/>
  <c r="F23" i="284"/>
  <c r="F23" i="101"/>
  <c r="F23" i="102"/>
  <c r="F23" i="174"/>
  <c r="F23" i="37"/>
  <c r="F23" i="265"/>
  <c r="F23" i="7"/>
  <c r="F23" i="17"/>
  <c r="F23" i="43"/>
  <c r="F23" i="75"/>
  <c r="F23" i="18"/>
  <c r="F23" i="20"/>
  <c r="F23" i="262"/>
  <c r="F23" i="290"/>
  <c r="F23" i="289"/>
  <c r="F23" i="249"/>
  <c r="F23" i="47"/>
  <c r="F23" i="190"/>
  <c r="F23" i="13"/>
  <c r="F23" i="261"/>
  <c r="F23" i="153"/>
  <c r="F23" i="257"/>
  <c r="F23" i="46"/>
  <c r="F23" i="239"/>
  <c r="F23" i="248"/>
  <c r="F23" i="243"/>
  <c r="F23" i="244"/>
  <c r="F23" i="246"/>
  <c r="F23" i="201"/>
  <c r="F23" i="16"/>
  <c r="F23" i="227"/>
  <c r="F23" i="112"/>
  <c r="F23" i="109"/>
  <c r="F23" i="33"/>
  <c r="F23" i="204"/>
  <c r="F23" i="85"/>
  <c r="F23" i="2"/>
  <c r="F23" i="32"/>
  <c r="F23" i="8"/>
  <c r="F23" i="203"/>
  <c r="F23" i="191"/>
  <c r="F23" i="164"/>
  <c r="F23" i="196"/>
  <c r="F23" i="162"/>
  <c r="F23" i="197"/>
  <c r="F23" i="198"/>
  <c r="F23" i="74"/>
  <c r="F23" i="105"/>
  <c r="F23" i="181"/>
  <c r="F23" i="183"/>
  <c r="F23" i="184"/>
  <c r="F23" i="61"/>
  <c r="F23" i="200"/>
  <c r="F23" i="280"/>
  <c r="F23" i="114"/>
  <c r="F23" i="113"/>
  <c r="F23" i="194"/>
  <c r="F23" i="193"/>
  <c r="F23" i="27"/>
  <c r="F23" i="143"/>
  <c r="F23" i="97"/>
  <c r="F23" i="45"/>
  <c r="F23" i="104"/>
  <c r="F23" i="268"/>
  <c r="F23" i="87"/>
  <c r="F23" i="263"/>
  <c r="F23" i="103"/>
  <c r="F23" i="233"/>
  <c r="F23" i="209"/>
  <c r="E23" i="175"/>
  <c r="F23" i="140"/>
  <c r="F23" i="270"/>
  <c r="F23" i="271"/>
  <c r="F23" i="159"/>
  <c r="F23" i="160"/>
  <c r="F23" i="107"/>
  <c r="F23" i="176"/>
  <c r="F23" i="48"/>
  <c r="F23" i="3"/>
  <c r="F23" i="135"/>
  <c r="F23" i="22"/>
  <c r="F23" i="53"/>
  <c r="F23" i="52"/>
  <c r="F23" i="19"/>
  <c r="F23" i="254"/>
  <c r="F23" i="192"/>
  <c r="F23" i="34"/>
  <c r="F23" i="21"/>
  <c r="F23" i="281"/>
  <c r="F23" i="25"/>
  <c r="F23" i="206"/>
  <c r="F23" i="1"/>
  <c r="F23" i="24"/>
  <c r="F23" i="31"/>
  <c r="F23" i="229"/>
  <c r="F23" i="230"/>
  <c r="F23" i="44"/>
  <c r="F23" i="116"/>
  <c r="F23" i="272"/>
  <c r="F23" i="276"/>
  <c r="F23" i="287"/>
  <c r="F23" i="285"/>
  <c r="F23" i="169"/>
  <c r="F23" i="168"/>
  <c r="F23" i="294"/>
  <c r="F23" i="295"/>
  <c r="H213" i="417" l="1"/>
  <c r="I213" i="417" s="1"/>
  <c r="C25" i="18"/>
  <c r="E37" i="18" s="1"/>
  <c r="H35" i="18"/>
  <c r="C25" i="7"/>
  <c r="E37" i="7" s="1"/>
  <c r="H35" i="7"/>
  <c r="C25" i="102"/>
  <c r="E37" i="102" s="1"/>
  <c r="H35" i="102"/>
  <c r="C25" i="89"/>
  <c r="E37" i="89" s="1"/>
  <c r="H35" i="89"/>
  <c r="C25" i="4"/>
  <c r="E37" i="4" s="1"/>
  <c r="H35" i="4"/>
  <c r="C25" i="35"/>
  <c r="E37" i="35" s="1"/>
  <c r="H35" i="35"/>
  <c r="C25" i="5"/>
  <c r="E37" i="5" s="1"/>
  <c r="H35" i="5"/>
  <c r="C25" i="11"/>
  <c r="E37" i="11" s="1"/>
  <c r="H35" i="11"/>
  <c r="C25" i="293"/>
  <c r="E37" i="293" s="1"/>
  <c r="H35" i="293"/>
  <c r="C25" i="276"/>
  <c r="E37" i="276" s="1"/>
  <c r="H35" i="276"/>
  <c r="C25" i="281"/>
  <c r="E37" i="281" s="1"/>
  <c r="H35" i="281"/>
  <c r="C25" i="254"/>
  <c r="E37" i="254" s="1"/>
  <c r="H35" i="254"/>
  <c r="C25" i="176"/>
  <c r="E37" i="176" s="1"/>
  <c r="H35" i="176"/>
  <c r="C25" i="209"/>
  <c r="E37" i="209" s="1"/>
  <c r="H35" i="209"/>
  <c r="C25" i="45"/>
  <c r="E37" i="45" s="1"/>
  <c r="H35" i="45"/>
  <c r="C25" i="280"/>
  <c r="E37" i="280" s="1"/>
  <c r="H35" i="280"/>
  <c r="C25" i="183"/>
  <c r="E37" i="183" s="1"/>
  <c r="H35" i="183"/>
  <c r="C25" i="196"/>
  <c r="E37" i="196" s="1"/>
  <c r="H35" i="196"/>
  <c r="C25" i="204"/>
  <c r="E37" i="204" s="1"/>
  <c r="H35" i="204"/>
  <c r="C25" i="244"/>
  <c r="E37" i="244" s="1"/>
  <c r="H35" i="244"/>
  <c r="C25" i="13"/>
  <c r="E37" i="13" s="1"/>
  <c r="H35" i="13"/>
  <c r="C25" i="169"/>
  <c r="E37" i="169" s="1"/>
  <c r="H35" i="169"/>
  <c r="C25" i="229"/>
  <c r="E37" i="229" s="1"/>
  <c r="H35" i="229"/>
  <c r="C25" i="19"/>
  <c r="E37" i="19" s="1"/>
  <c r="H35" i="19"/>
  <c r="C25" i="270"/>
  <c r="E37" i="270" s="1"/>
  <c r="H35" i="270"/>
  <c r="C25" i="97"/>
  <c r="E37" i="97" s="1"/>
  <c r="H35" i="97"/>
  <c r="C25" i="200"/>
  <c r="E37" i="200" s="1"/>
  <c r="H35" i="200"/>
  <c r="C25" i="198"/>
  <c r="E37" i="198" s="1"/>
  <c r="H35" i="198"/>
  <c r="C25" i="32"/>
  <c r="E37" i="32" s="1"/>
  <c r="H35" i="32"/>
  <c r="C25" i="16"/>
  <c r="E37" i="16" s="1"/>
  <c r="H35" i="16"/>
  <c r="C25" i="257"/>
  <c r="E37" i="257" s="1"/>
  <c r="H35" i="257"/>
  <c r="C25" i="290"/>
  <c r="E37" i="290" s="1"/>
  <c r="H35" i="290"/>
  <c r="C25" i="265"/>
  <c r="E37" i="265" s="1"/>
  <c r="H35" i="265"/>
  <c r="C25" i="101"/>
  <c r="E37" i="101" s="1"/>
  <c r="H35" i="101"/>
  <c r="C25" i="148"/>
  <c r="E37" i="148" s="1"/>
  <c r="H35" i="148"/>
  <c r="C25" i="187"/>
  <c r="E37" i="187" s="1"/>
  <c r="H35" i="187"/>
  <c r="C25" i="29"/>
  <c r="E37" i="29" s="1"/>
  <c r="H35" i="29"/>
  <c r="C25" i="288"/>
  <c r="E37" i="288" s="1"/>
  <c r="H35" i="288"/>
  <c r="C25" i="295"/>
  <c r="E37" i="295" s="1"/>
  <c r="H35" i="295"/>
  <c r="C25" i="285"/>
  <c r="E37" i="285" s="1"/>
  <c r="H35" i="285"/>
  <c r="C25" i="116"/>
  <c r="E37" i="116" s="1"/>
  <c r="H35" i="116"/>
  <c r="C25" i="31"/>
  <c r="E37" i="31" s="1"/>
  <c r="H35" i="31"/>
  <c r="C25" i="25"/>
  <c r="E37" i="25" s="1"/>
  <c r="H35" i="25"/>
  <c r="C25" i="34"/>
  <c r="E37" i="34" s="1"/>
  <c r="H35" i="34"/>
  <c r="C25" i="52"/>
  <c r="E37" i="52" s="1"/>
  <c r="H35" i="52"/>
  <c r="C25" i="3"/>
  <c r="E37" i="3" s="1"/>
  <c r="H35" i="3"/>
  <c r="C25" i="160"/>
  <c r="E37" i="160" s="1"/>
  <c r="H35" i="160"/>
  <c r="C25" i="140"/>
  <c r="E37" i="140" s="1"/>
  <c r="H35" i="140"/>
  <c r="C25" i="103"/>
  <c r="E37" i="103" s="1"/>
  <c r="H35" i="103"/>
  <c r="C25" i="104"/>
  <c r="E37" i="104" s="1"/>
  <c r="H35" i="104"/>
  <c r="C25" i="143"/>
  <c r="E37" i="143" s="1"/>
  <c r="H35" i="143"/>
  <c r="C25" i="113"/>
  <c r="E37" i="113" s="1"/>
  <c r="H35" i="113"/>
  <c r="C25" i="61"/>
  <c r="E37" i="61" s="1"/>
  <c r="H35" i="61"/>
  <c r="C25" i="105"/>
  <c r="E37" i="105" s="1"/>
  <c r="H35" i="105"/>
  <c r="C25" i="197"/>
  <c r="E37" i="197" s="1"/>
  <c r="H35" i="197"/>
  <c r="C25" i="191"/>
  <c r="E37" i="191" s="1"/>
  <c r="H35" i="191"/>
  <c r="C25" i="2"/>
  <c r="E37" i="2" s="1"/>
  <c r="H35" i="2"/>
  <c r="C25" i="109"/>
  <c r="E37" i="109" s="1"/>
  <c r="H35" i="109"/>
  <c r="C25" i="201"/>
  <c r="E37" i="201" s="1"/>
  <c r="H35" i="201"/>
  <c r="C25" i="248"/>
  <c r="E37" i="248" s="1"/>
  <c r="H35" i="248"/>
  <c r="C25" i="153"/>
  <c r="E37" i="153" s="1"/>
  <c r="H35" i="153"/>
  <c r="C25" i="47"/>
  <c r="E37" i="47" s="1"/>
  <c r="H35" i="47"/>
  <c r="C25" i="262"/>
  <c r="E37" i="262" s="1"/>
  <c r="H35" i="262"/>
  <c r="C25" i="43"/>
  <c r="E37" i="43" s="1"/>
  <c r="H35" i="43"/>
  <c r="C25" i="37"/>
  <c r="E37" i="37" s="1"/>
  <c r="H35" i="37"/>
  <c r="C25" i="284"/>
  <c r="E37" i="284" s="1"/>
  <c r="H35" i="284"/>
  <c r="C25" i="88"/>
  <c r="E37" i="88" s="1"/>
  <c r="H35" i="88"/>
  <c r="C25" i="283"/>
  <c r="E37" i="283" s="1"/>
  <c r="H35" i="283"/>
  <c r="C25" i="23"/>
  <c r="E37" i="23" s="1"/>
  <c r="H35" i="23"/>
  <c r="C25" i="28"/>
  <c r="E37" i="28" s="1"/>
  <c r="H35" i="28"/>
  <c r="C25" i="269"/>
  <c r="E37" i="269" s="1"/>
  <c r="H35" i="269"/>
  <c r="C25" i="168"/>
  <c r="E37" i="168" s="1"/>
  <c r="H35" i="168"/>
  <c r="C25" i="230"/>
  <c r="E37" i="230" s="1"/>
  <c r="H35" i="230"/>
  <c r="C25" i="1"/>
  <c r="E37" i="1" s="1"/>
  <c r="H35" i="1"/>
  <c r="C25" i="22"/>
  <c r="E37" i="22" s="1"/>
  <c r="H35" i="22"/>
  <c r="C25" i="271"/>
  <c r="E37" i="271" s="1"/>
  <c r="H35" i="271"/>
  <c r="C25" i="87"/>
  <c r="E37" i="87" s="1"/>
  <c r="H35" i="87"/>
  <c r="C25" i="193"/>
  <c r="E37" i="193" s="1"/>
  <c r="H35" i="193"/>
  <c r="C25" i="8"/>
  <c r="E37" i="8" s="1"/>
  <c r="H35" i="8"/>
  <c r="C25" i="227"/>
  <c r="E37" i="227" s="1"/>
  <c r="H35" i="227"/>
  <c r="C25" i="46"/>
  <c r="E37" i="46" s="1"/>
  <c r="H35" i="46"/>
  <c r="C25" i="289"/>
  <c r="E37" i="289" s="1"/>
  <c r="H35" i="289"/>
  <c r="C25" i="272"/>
  <c r="E37" i="272" s="1"/>
  <c r="H35" i="272"/>
  <c r="C25" i="206"/>
  <c r="E37" i="206" s="1"/>
  <c r="H35" i="206"/>
  <c r="C25" i="21"/>
  <c r="E37" i="21" s="1"/>
  <c r="H35" i="21"/>
  <c r="C25" i="135"/>
  <c r="E37" i="135" s="1"/>
  <c r="H35" i="135"/>
  <c r="C25" i="107"/>
  <c r="E37" i="107" s="1"/>
  <c r="H35" i="107"/>
  <c r="C25" i="233"/>
  <c r="E37" i="233" s="1"/>
  <c r="H35" i="233"/>
  <c r="C25" i="268"/>
  <c r="E37" i="268" s="1"/>
  <c r="H35" i="268"/>
  <c r="C25" i="194"/>
  <c r="E37" i="194" s="1"/>
  <c r="H35" i="194"/>
  <c r="C25" i="181"/>
  <c r="E37" i="181" s="1"/>
  <c r="H35" i="181"/>
  <c r="C25" i="164"/>
  <c r="E37" i="164" s="1"/>
  <c r="H35" i="164"/>
  <c r="C25" i="33"/>
  <c r="E37" i="33" s="1"/>
  <c r="H35" i="33"/>
  <c r="C25" i="243"/>
  <c r="E37" i="243" s="1"/>
  <c r="H35" i="243"/>
  <c r="C25" i="190"/>
  <c r="E37" i="190" s="1"/>
  <c r="H35" i="190"/>
  <c r="C25" i="75"/>
  <c r="E37" i="75" s="1"/>
  <c r="H35" i="75"/>
  <c r="C25" i="9"/>
  <c r="E37" i="9" s="1"/>
  <c r="H35" i="9"/>
  <c r="C25" i="294"/>
  <c r="E37" i="294" s="1"/>
  <c r="H35" i="294"/>
  <c r="C25" i="287"/>
  <c r="E37" i="287" s="1"/>
  <c r="H35" i="287"/>
  <c r="C25" i="44"/>
  <c r="E37" i="44" s="1"/>
  <c r="H35" i="44"/>
  <c r="C25" i="24"/>
  <c r="E37" i="24" s="1"/>
  <c r="H35" i="24"/>
  <c r="C25" i="192"/>
  <c r="E37" i="192" s="1"/>
  <c r="H35" i="192"/>
  <c r="C25" i="53"/>
  <c r="E37" i="53" s="1"/>
  <c r="H35" i="53"/>
  <c r="C25" i="48"/>
  <c r="E37" i="48" s="1"/>
  <c r="H35" i="48"/>
  <c r="C25" i="159"/>
  <c r="E37" i="159" s="1"/>
  <c r="H35" i="159"/>
  <c r="C25" i="263"/>
  <c r="E37" i="263" s="1"/>
  <c r="H35" i="263"/>
  <c r="C25" i="27"/>
  <c r="E37" i="27" s="1"/>
  <c r="H35" i="27"/>
  <c r="C25" i="114"/>
  <c r="E37" i="114" s="1"/>
  <c r="H35" i="114"/>
  <c r="C25" i="184"/>
  <c r="E37" i="184" s="1"/>
  <c r="H35" i="184"/>
  <c r="C25" i="74"/>
  <c r="E37" i="74" s="1"/>
  <c r="H35" i="74"/>
  <c r="C25" i="162"/>
  <c r="E37" i="162" s="1"/>
  <c r="H35" i="162"/>
  <c r="C25" i="203"/>
  <c r="E37" i="203" s="1"/>
  <c r="H35" i="203"/>
  <c r="C25" i="85"/>
  <c r="E37" i="85" s="1"/>
  <c r="H35" i="85"/>
  <c r="C25" i="112"/>
  <c r="E37" i="112" s="1"/>
  <c r="H35" i="112"/>
  <c r="C25" i="246"/>
  <c r="E37" i="246" s="1"/>
  <c r="H35" i="246"/>
  <c r="C25" i="239"/>
  <c r="E37" i="239" s="1"/>
  <c r="H35" i="239"/>
  <c r="C25" i="261"/>
  <c r="E37" i="261" s="1"/>
  <c r="H35" i="261"/>
  <c r="C25" i="249"/>
  <c r="E37" i="249" s="1"/>
  <c r="H35" i="249"/>
  <c r="C25" i="20"/>
  <c r="E37" i="20" s="1"/>
  <c r="H35" i="20"/>
  <c r="C25" i="17"/>
  <c r="E37" i="17" s="1"/>
  <c r="H35" i="17"/>
  <c r="C25" i="174"/>
  <c r="E37" i="174" s="1"/>
  <c r="H35" i="174"/>
  <c r="C25" i="12"/>
  <c r="E37" i="12" s="1"/>
  <c r="H35" i="12"/>
  <c r="C25" i="54"/>
  <c r="E37" i="54" s="1"/>
  <c r="H35" i="54"/>
  <c r="C25" i="202"/>
  <c r="E37" i="202" s="1"/>
  <c r="H35" i="202"/>
  <c r="C25" i="207"/>
  <c r="E37" i="207" s="1"/>
  <c r="H35" i="207"/>
  <c r="C25" i="279"/>
  <c r="E37" i="279" s="1"/>
  <c r="H35" i="279"/>
  <c r="C25" i="292"/>
  <c r="E37" i="292" s="1"/>
  <c r="H35" i="292"/>
  <c r="B25" i="21"/>
  <c r="B25" i="23"/>
  <c r="B25" i="113"/>
  <c r="B25" i="257"/>
  <c r="B25" i="202"/>
  <c r="B25" i="153"/>
  <c r="B25" i="89"/>
  <c r="B25" i="35"/>
  <c r="B25" i="261"/>
  <c r="B25" i="20"/>
  <c r="B25" i="148"/>
  <c r="B25" i="8"/>
  <c r="B25" i="13"/>
  <c r="B25" i="18"/>
  <c r="B25" i="88"/>
  <c r="B25" i="47"/>
  <c r="B25" i="87"/>
  <c r="B25" i="248"/>
  <c r="B25" i="46"/>
  <c r="B25" i="239"/>
  <c r="B25" i="243"/>
  <c r="B25" i="244"/>
  <c r="B25" i="246"/>
  <c r="B25" i="19"/>
  <c r="B25" i="169"/>
  <c r="B25" i="168"/>
  <c r="B25" i="285"/>
  <c r="B25" i="287"/>
  <c r="B25" i="276"/>
  <c r="B25" i="272"/>
  <c r="B25" i="116"/>
  <c r="B25" i="44"/>
  <c r="B25" i="230"/>
  <c r="B25" i="229"/>
  <c r="B25" i="24"/>
  <c r="B25" i="1"/>
  <c r="B25" i="31"/>
  <c r="B25" i="25"/>
  <c r="B25" i="281"/>
  <c r="B25" i="52"/>
  <c r="B25" i="53"/>
  <c r="B25" i="176"/>
  <c r="B25" i="107"/>
  <c r="B25" i="160"/>
  <c r="B25" i="159"/>
  <c r="B25" i="271"/>
  <c r="B25" i="270"/>
  <c r="B25" i="140"/>
  <c r="B25" i="254"/>
  <c r="B25" i="48"/>
  <c r="B25" i="192"/>
  <c r="B25" i="209"/>
  <c r="B25" i="263"/>
  <c r="B25" i="268"/>
  <c r="B25" i="104"/>
  <c r="B25" i="45"/>
  <c r="B25" i="97"/>
  <c r="B25" i="143"/>
  <c r="B25" i="27"/>
  <c r="B25" i="193"/>
  <c r="B25" i="194"/>
  <c r="B25" i="233"/>
  <c r="B25" i="114"/>
  <c r="B25" i="280"/>
  <c r="B25" i="200"/>
  <c r="B25" i="184"/>
  <c r="B25" i="183"/>
  <c r="B25" i="181"/>
  <c r="B25" i="74"/>
  <c r="B25" i="198"/>
  <c r="B25" i="197"/>
  <c r="B25" i="196"/>
  <c r="B25" i="162"/>
  <c r="B25" i="164"/>
  <c r="B25" i="191"/>
  <c r="B25" i="203"/>
  <c r="B25" i="32"/>
  <c r="B25" i="85"/>
  <c r="B25" i="2"/>
  <c r="B25" i="33"/>
  <c r="B25" i="109"/>
  <c r="B25" i="112"/>
  <c r="B25" i="227"/>
  <c r="B25" i="201"/>
  <c r="B25" i="249"/>
  <c r="B25" i="289"/>
  <c r="B25" i="290"/>
  <c r="B25" i="262"/>
  <c r="B25" i="75"/>
  <c r="B25" i="43"/>
  <c r="B25" i="265"/>
  <c r="B25" i="103"/>
  <c r="B25" i="102"/>
  <c r="B25" i="101"/>
  <c r="B25" i="12"/>
  <c r="B25" i="16"/>
  <c r="B25" i="17"/>
  <c r="B25" i="288"/>
  <c r="B25" i="7"/>
  <c r="B25" i="54"/>
  <c r="B25" i="37"/>
  <c r="B25" i="9"/>
  <c r="B25" i="207"/>
  <c r="B25" i="5"/>
  <c r="B25" i="29"/>
  <c r="B25" i="28"/>
  <c r="B25" i="204"/>
  <c r="B25" i="279"/>
  <c r="B25" i="11"/>
  <c r="B25" i="269"/>
  <c r="B25" i="292"/>
  <c r="B25" i="284"/>
  <c r="B25" i="4"/>
  <c r="B25" i="187"/>
  <c r="B25" i="283"/>
  <c r="A25" i="175"/>
  <c r="C28" i="175" s="1"/>
  <c r="B25" i="175"/>
  <c r="B25" i="293"/>
  <c r="B25" i="294"/>
  <c r="B25" i="295"/>
  <c r="B25" i="135"/>
  <c r="B25" i="3"/>
  <c r="B25" i="22"/>
  <c r="B25" i="174"/>
  <c r="B25" i="34"/>
  <c r="B25" i="206"/>
  <c r="B25" i="190"/>
  <c r="B25" i="105"/>
  <c r="B25" i="61"/>
  <c r="G24" i="272"/>
  <c r="G24" i="230"/>
  <c r="G24" i="1"/>
  <c r="G24" i="281"/>
  <c r="G24" i="254"/>
  <c r="G24" i="22"/>
  <c r="G24" i="176"/>
  <c r="G24" i="271"/>
  <c r="G24" i="209"/>
  <c r="G24" i="87"/>
  <c r="G24" i="45"/>
  <c r="G24" i="193"/>
  <c r="G24" i="280"/>
  <c r="G24" i="183"/>
  <c r="G24" i="196"/>
  <c r="G24" i="8"/>
  <c r="G24" i="204"/>
  <c r="G24" i="227"/>
  <c r="G24" i="244"/>
  <c r="G24" i="46"/>
  <c r="G24" i="13"/>
  <c r="G24" i="47"/>
  <c r="G24" i="262"/>
  <c r="G24" i="43"/>
  <c r="G24" i="37"/>
  <c r="G24" i="101"/>
  <c r="G24" i="89"/>
  <c r="G24" i="4"/>
  <c r="G24" i="116"/>
  <c r="G24" i="206"/>
  <c r="G24" i="21"/>
  <c r="G24" i="19"/>
  <c r="G24" i="107"/>
  <c r="G24" i="270"/>
  <c r="G24" i="233"/>
  <c r="G24" i="268"/>
  <c r="G24" i="97"/>
  <c r="G24" i="194"/>
  <c r="G24" i="200"/>
  <c r="G24" i="181"/>
  <c r="G24" i="198"/>
  <c r="G24" i="164"/>
  <c r="G24" i="32"/>
  <c r="G24" i="33"/>
  <c r="G24" i="16"/>
  <c r="G24" i="243"/>
  <c r="G24" i="257"/>
  <c r="G24" i="249"/>
  <c r="G24" i="20"/>
  <c r="G24" i="17"/>
  <c r="G24" i="148"/>
  <c r="G24" i="187"/>
  <c r="G24" i="169"/>
  <c r="G24" i="44"/>
  <c r="G24" i="34"/>
  <c r="G24" i="160"/>
  <c r="G24" i="140"/>
  <c r="G24" i="103"/>
  <c r="G24" i="104"/>
  <c r="G24" i="143"/>
  <c r="G24" i="113"/>
  <c r="G24" i="61"/>
  <c r="G24" i="105"/>
  <c r="G24" i="197"/>
  <c r="G24" i="191"/>
  <c r="G24" i="2"/>
  <c r="G24" i="109"/>
  <c r="G24" i="201"/>
  <c r="G24" i="248"/>
  <c r="G24" i="153"/>
  <c r="G24" i="289"/>
  <c r="G24" i="18"/>
  <c r="G24" i="7"/>
  <c r="G24" i="174"/>
  <c r="G24" i="284"/>
  <c r="G24" i="88"/>
  <c r="G24" i="283"/>
  <c r="G24" i="285"/>
  <c r="G24" i="229"/>
  <c r="G24" i="287"/>
  <c r="G24" i="31"/>
  <c r="G24" i="25"/>
  <c r="G24" i="52"/>
  <c r="G24" i="168"/>
  <c r="G24" i="276"/>
  <c r="G24" i="24"/>
  <c r="G24" i="192"/>
  <c r="G24" i="53"/>
  <c r="G24" i="48"/>
  <c r="G24" i="159"/>
  <c r="G24" i="263"/>
  <c r="G24" i="27"/>
  <c r="G24" i="114"/>
  <c r="G24" i="184"/>
  <c r="G24" i="74"/>
  <c r="G24" i="162"/>
  <c r="G24" i="203"/>
  <c r="G24" i="85"/>
  <c r="G24" i="112"/>
  <c r="G24" i="246"/>
  <c r="G24" i="239"/>
  <c r="G24" i="261"/>
  <c r="G24" i="190"/>
  <c r="G24" i="290"/>
  <c r="G24" i="75"/>
  <c r="G24" i="265"/>
  <c r="G24" i="102"/>
  <c r="G24" i="12"/>
  <c r="G24" i="54"/>
  <c r="G24" i="202"/>
  <c r="G24" i="35"/>
  <c r="G24" i="9"/>
  <c r="G24" i="207"/>
  <c r="G24" i="5"/>
  <c r="G24" i="23"/>
  <c r="G24" i="29"/>
  <c r="G24" i="28"/>
  <c r="G24" i="279"/>
  <c r="G24" i="11"/>
  <c r="G24" i="288"/>
  <c r="G24" i="269"/>
  <c r="G24" i="292"/>
  <c r="F24" i="175"/>
  <c r="G24" i="293"/>
  <c r="G24" i="294"/>
  <c r="G24" i="295"/>
  <c r="G24" i="135"/>
  <c r="G24" i="3"/>
  <c r="T23" i="295"/>
  <c r="T22" i="295"/>
  <c r="I22" i="295" s="1"/>
  <c r="F22" i="295"/>
  <c r="T21" i="295"/>
  <c r="I21" i="295" s="1"/>
  <c r="J33" i="295" s="1"/>
  <c r="F21" i="295"/>
  <c r="T20" i="295"/>
  <c r="I20" i="295" s="1"/>
  <c r="J32" i="295" s="1"/>
  <c r="F20" i="295"/>
  <c r="K19" i="295"/>
  <c r="U19" i="295"/>
  <c r="T19" i="295"/>
  <c r="I19" i="295" s="1"/>
  <c r="J31" i="295" s="1"/>
  <c r="F19" i="295"/>
  <c r="T18" i="295"/>
  <c r="I18" i="295" s="1"/>
  <c r="F18" i="295"/>
  <c r="T17" i="295"/>
  <c r="I17" i="295" s="1"/>
  <c r="J29" i="295" s="1"/>
  <c r="F17" i="295"/>
  <c r="K16" i="295"/>
  <c r="U16" i="295"/>
  <c r="M28" i="295" s="1"/>
  <c r="T16" i="295"/>
  <c r="I16" i="295" s="1"/>
  <c r="J28" i="295" s="1"/>
  <c r="F16" i="295"/>
  <c r="T15" i="295"/>
  <c r="I15" i="295" s="1"/>
  <c r="J27" i="295" s="1"/>
  <c r="F15" i="295"/>
  <c r="T14" i="295"/>
  <c r="I14" i="295" s="1"/>
  <c r="J26" i="295" s="1"/>
  <c r="F14" i="295"/>
  <c r="K13" i="295"/>
  <c r="U13" i="295"/>
  <c r="M25" i="295" s="1"/>
  <c r="T13" i="295"/>
  <c r="I13" i="295" s="1"/>
  <c r="J25" i="295" s="1"/>
  <c r="F13" i="295"/>
  <c r="T12" i="295"/>
  <c r="I12" i="295" s="1"/>
  <c r="J24" i="295" s="1"/>
  <c r="F12" i="295"/>
  <c r="T11" i="295"/>
  <c r="I11" i="295" s="1"/>
  <c r="F11" i="295"/>
  <c r="K10" i="295"/>
  <c r="U10" i="295"/>
  <c r="M22" i="295" s="1"/>
  <c r="T10" i="295"/>
  <c r="I10" i="295" s="1"/>
  <c r="F10" i="295"/>
  <c r="T9" i="295"/>
  <c r="I9" i="295" s="1"/>
  <c r="F9" i="295"/>
  <c r="T8" i="295"/>
  <c r="I8" i="295" s="1"/>
  <c r="F8" i="295"/>
  <c r="K7" i="295"/>
  <c r="U7" i="295"/>
  <c r="T7" i="295"/>
  <c r="I7" i="295" s="1"/>
  <c r="F7" i="295"/>
  <c r="T6" i="295"/>
  <c r="I6" i="295" s="1"/>
  <c r="F6" i="295"/>
  <c r="T5" i="295"/>
  <c r="I5" i="295" s="1"/>
  <c r="F5" i="295"/>
  <c r="T23" i="294"/>
  <c r="T22" i="294"/>
  <c r="I22" i="294" s="1"/>
  <c r="F22" i="294"/>
  <c r="T21" i="294"/>
  <c r="I21" i="294" s="1"/>
  <c r="J33" i="294" s="1"/>
  <c r="F21" i="294"/>
  <c r="T20" i="294"/>
  <c r="I20" i="294" s="1"/>
  <c r="F20" i="294"/>
  <c r="K19" i="294"/>
  <c r="U19" i="294"/>
  <c r="T19" i="294"/>
  <c r="I19" i="294" s="1"/>
  <c r="J31" i="294" s="1"/>
  <c r="F19" i="294"/>
  <c r="T18" i="294"/>
  <c r="I18" i="294" s="1"/>
  <c r="F18" i="294"/>
  <c r="T17" i="294"/>
  <c r="I17" i="294" s="1"/>
  <c r="J29" i="294" s="1"/>
  <c r="F17" i="294"/>
  <c r="K16" i="294"/>
  <c r="U16" i="294"/>
  <c r="M28" i="294" s="1"/>
  <c r="T16" i="294"/>
  <c r="I16" i="294" s="1"/>
  <c r="J28" i="294" s="1"/>
  <c r="F16" i="294"/>
  <c r="T15" i="294"/>
  <c r="I15" i="294" s="1"/>
  <c r="J27" i="294" s="1"/>
  <c r="F15" i="294"/>
  <c r="T14" i="294"/>
  <c r="I14" i="294" s="1"/>
  <c r="J26" i="294" s="1"/>
  <c r="F14" i="294"/>
  <c r="K13" i="294"/>
  <c r="U13" i="294"/>
  <c r="M25" i="294" s="1"/>
  <c r="T13" i="294"/>
  <c r="I13" i="294" s="1"/>
  <c r="J25" i="294" s="1"/>
  <c r="F13" i="294"/>
  <c r="T12" i="294"/>
  <c r="I12" i="294" s="1"/>
  <c r="J24" i="294" s="1"/>
  <c r="F12" i="294"/>
  <c r="T11" i="294"/>
  <c r="I11" i="294" s="1"/>
  <c r="F11" i="294"/>
  <c r="K10" i="294"/>
  <c r="U10" i="294"/>
  <c r="M22" i="294" s="1"/>
  <c r="T10" i="294"/>
  <c r="I10" i="294" s="1"/>
  <c r="F10" i="294"/>
  <c r="T9" i="294"/>
  <c r="I9" i="294" s="1"/>
  <c r="F9" i="294"/>
  <c r="T8" i="294"/>
  <c r="I8" i="294" s="1"/>
  <c r="F8" i="294"/>
  <c r="K7" i="294"/>
  <c r="U7" i="294"/>
  <c r="T7" i="294"/>
  <c r="I7" i="294" s="1"/>
  <c r="F7" i="294"/>
  <c r="T6" i="294"/>
  <c r="I6" i="294" s="1"/>
  <c r="F6" i="294"/>
  <c r="T5" i="294"/>
  <c r="I5" i="294" s="1"/>
  <c r="F5" i="294"/>
  <c r="J20" i="295" l="1"/>
  <c r="J17" i="294"/>
  <c r="J17" i="295"/>
  <c r="J22" i="294"/>
  <c r="J34" i="294"/>
  <c r="N25" i="295"/>
  <c r="O28" i="295" s="1"/>
  <c r="I23" i="295"/>
  <c r="J35" i="295" s="1"/>
  <c r="J21" i="295"/>
  <c r="J18" i="295"/>
  <c r="J30" i="295"/>
  <c r="J22" i="295"/>
  <c r="J34" i="295"/>
  <c r="N25" i="294"/>
  <c r="O28" i="294" s="1"/>
  <c r="I23" i="294"/>
  <c r="J35" i="294" s="1"/>
  <c r="J19" i="295"/>
  <c r="J19" i="294"/>
  <c r="J21" i="294"/>
  <c r="J18" i="294"/>
  <c r="J30" i="294"/>
  <c r="J20" i="294"/>
  <c r="J32" i="294"/>
  <c r="H28" i="295"/>
  <c r="H32" i="295"/>
  <c r="H28" i="294"/>
  <c r="H31" i="294"/>
  <c r="H34" i="294"/>
  <c r="H24" i="295"/>
  <c r="H27" i="295"/>
  <c r="H30" i="295"/>
  <c r="H33" i="295"/>
  <c r="I225" i="417"/>
  <c r="H25" i="295"/>
  <c r="H31" i="295"/>
  <c r="H34" i="295"/>
  <c r="H25" i="294"/>
  <c r="H32" i="294"/>
  <c r="H24" i="294"/>
  <c r="H27" i="294"/>
  <c r="H30" i="294"/>
  <c r="H33" i="294"/>
  <c r="D28" i="18"/>
  <c r="D28" i="7"/>
  <c r="H22" i="295"/>
  <c r="D28" i="45"/>
  <c r="D28" i="295"/>
  <c r="D28" i="200"/>
  <c r="D28" i="102"/>
  <c r="D28" i="162"/>
  <c r="D28" i="88"/>
  <c r="D28" i="153"/>
  <c r="D28" i="290"/>
  <c r="D28" i="272"/>
  <c r="D28" i="209"/>
  <c r="D28" i="101"/>
  <c r="D28" i="97"/>
  <c r="D28" i="284"/>
  <c r="D28" i="187"/>
  <c r="D28" i="198"/>
  <c r="D28" i="169"/>
  <c r="D28" i="8"/>
  <c r="D28" i="276"/>
  <c r="D28" i="184"/>
  <c r="D28" i="3"/>
  <c r="D28" i="196"/>
  <c r="D28" i="11"/>
  <c r="D28" i="292"/>
  <c r="D28" i="207"/>
  <c r="D28" i="54"/>
  <c r="D28" i="174"/>
  <c r="D28" i="261"/>
  <c r="D28" i="246"/>
  <c r="D28" i="85"/>
  <c r="D28" i="27"/>
  <c r="D28" i="263"/>
  <c r="D28" i="48"/>
  <c r="D28" i="192"/>
  <c r="D28" i="24"/>
  <c r="D28" i="287"/>
  <c r="D28" i="9"/>
  <c r="D28" i="190"/>
  <c r="D28" i="33"/>
  <c r="D28" i="181"/>
  <c r="D28" i="268"/>
  <c r="D28" i="107"/>
  <c r="D28" i="21"/>
  <c r="D28" i="46"/>
  <c r="D28" i="193"/>
  <c r="D28" i="271"/>
  <c r="D28" i="1"/>
  <c r="D28" i="168"/>
  <c r="D28" i="28"/>
  <c r="D28" i="283"/>
  <c r="D28" i="43"/>
  <c r="D28" i="47"/>
  <c r="D28" i="248"/>
  <c r="D28" i="109"/>
  <c r="D28" i="191"/>
  <c r="D28" i="105"/>
  <c r="D28" i="113"/>
  <c r="D28" i="104"/>
  <c r="D28" i="140"/>
  <c r="D28" i="34"/>
  <c r="D28" i="31"/>
  <c r="D28" i="285"/>
  <c r="D28" i="288"/>
  <c r="D28" i="16"/>
  <c r="D28" i="19"/>
  <c r="D28" i="244"/>
  <c r="D28" i="280"/>
  <c r="D28" i="254"/>
  <c r="D28" i="35"/>
  <c r="D28" i="89"/>
  <c r="D28" i="279"/>
  <c r="D28" i="202"/>
  <c r="D28" i="12"/>
  <c r="D28" i="17"/>
  <c r="D28" i="249"/>
  <c r="D28" i="239"/>
  <c r="D28" i="112"/>
  <c r="D28" i="203"/>
  <c r="D28" i="74"/>
  <c r="D28" i="114"/>
  <c r="D28" i="159"/>
  <c r="D28" i="53"/>
  <c r="D28" i="44"/>
  <c r="D28" i="294"/>
  <c r="D28" i="75"/>
  <c r="D28" i="243"/>
  <c r="D28" i="164"/>
  <c r="D28" i="194"/>
  <c r="D28" i="233"/>
  <c r="D28" i="135"/>
  <c r="D28" i="206"/>
  <c r="D28" i="289"/>
  <c r="D28" i="227"/>
  <c r="D28" i="87"/>
  <c r="D28" i="22"/>
  <c r="D28" i="230"/>
  <c r="D28" i="269"/>
  <c r="D28" i="23"/>
  <c r="D28" i="37"/>
  <c r="D28" i="262"/>
  <c r="D28" i="201"/>
  <c r="D28" i="2"/>
  <c r="D28" i="197"/>
  <c r="D28" i="61"/>
  <c r="D28" i="143"/>
  <c r="D28" i="103"/>
  <c r="D28" i="160"/>
  <c r="D28" i="52"/>
  <c r="D28" i="25"/>
  <c r="D28" i="116"/>
  <c r="D28" i="29"/>
  <c r="D28" i="148"/>
  <c r="D28" i="265"/>
  <c r="D28" i="257"/>
  <c r="D28" i="32"/>
  <c r="D28" i="270"/>
  <c r="D28" i="229"/>
  <c r="D28" i="13"/>
  <c r="D28" i="204"/>
  <c r="D28" i="183"/>
  <c r="D28" i="176"/>
  <c r="D28" i="281"/>
  <c r="D28" i="293"/>
  <c r="D28" i="5"/>
  <c r="D28" i="4"/>
  <c r="D28" i="20"/>
  <c r="L22" i="295"/>
  <c r="M31" i="295"/>
  <c r="L22" i="294"/>
  <c r="M31" i="294"/>
  <c r="C13" i="295"/>
  <c r="C7" i="295"/>
  <c r="C10" i="295"/>
  <c r="C16" i="295"/>
  <c r="H29" i="295"/>
  <c r="C19" i="295"/>
  <c r="E31" i="295" s="1"/>
  <c r="C22" i="295"/>
  <c r="E34" i="295" s="1"/>
  <c r="C7" i="294"/>
  <c r="C10" i="294"/>
  <c r="C13" i="294"/>
  <c r="C16" i="294"/>
  <c r="H29" i="294"/>
  <c r="C19" i="294"/>
  <c r="E31" i="294" s="1"/>
  <c r="C22" i="294"/>
  <c r="E34" i="294" s="1"/>
  <c r="N22" i="295"/>
  <c r="N22" i="294"/>
  <c r="N7" i="294"/>
  <c r="N13" i="294"/>
  <c r="N16" i="294"/>
  <c r="N19" i="294"/>
  <c r="N10" i="294"/>
  <c r="L10" i="294"/>
  <c r="L13" i="294"/>
  <c r="L16" i="294"/>
  <c r="M19" i="294"/>
  <c r="L19" i="294"/>
  <c r="L10" i="295"/>
  <c r="L16" i="295"/>
  <c r="L13" i="295"/>
  <c r="N7" i="295"/>
  <c r="N10" i="295"/>
  <c r="N13" i="295"/>
  <c r="N16" i="295"/>
  <c r="N19" i="295"/>
  <c r="M19" i="295"/>
  <c r="L19" i="295"/>
  <c r="H17" i="294"/>
  <c r="H26" i="294"/>
  <c r="H20" i="294"/>
  <c r="H26" i="295"/>
  <c r="G18" i="294"/>
  <c r="G15" i="294"/>
  <c r="G21" i="294"/>
  <c r="G22" i="295"/>
  <c r="H23" i="295"/>
  <c r="G6" i="295"/>
  <c r="G9" i="295"/>
  <c r="G12" i="295"/>
  <c r="G13" i="295"/>
  <c r="B16" i="295"/>
  <c r="G16" i="295"/>
  <c r="B7" i="295"/>
  <c r="G7" i="295"/>
  <c r="B10" i="295"/>
  <c r="G10" i="295"/>
  <c r="G11" i="295"/>
  <c r="B13" i="295"/>
  <c r="G15" i="295"/>
  <c r="G17" i="295"/>
  <c r="G14" i="295"/>
  <c r="H18" i="295"/>
  <c r="G19" i="295"/>
  <c r="G20" i="295"/>
  <c r="B22" i="295"/>
  <c r="H19" i="295"/>
  <c r="G18" i="295"/>
  <c r="G21" i="295"/>
  <c r="G23" i="295"/>
  <c r="G8" i="295"/>
  <c r="H17" i="295"/>
  <c r="H20" i="295"/>
  <c r="H21" i="295"/>
  <c r="B19" i="295"/>
  <c r="H21" i="294"/>
  <c r="G7" i="294"/>
  <c r="G10" i="294"/>
  <c r="G19" i="294"/>
  <c r="G20" i="294"/>
  <c r="G22" i="294"/>
  <c r="G23" i="294"/>
  <c r="G8" i="294"/>
  <c r="B10" i="294"/>
  <c r="G6" i="294"/>
  <c r="H18" i="294"/>
  <c r="G9" i="294"/>
  <c r="G12" i="294"/>
  <c r="G13" i="294"/>
  <c r="B16" i="294"/>
  <c r="G16" i="294"/>
  <c r="G17" i="294"/>
  <c r="H23" i="294"/>
  <c r="B7" i="294"/>
  <c r="G11" i="294"/>
  <c r="B13" i="294"/>
  <c r="G14" i="294"/>
  <c r="B19" i="294"/>
  <c r="H19" i="294"/>
  <c r="B22" i="294"/>
  <c r="H22" i="294"/>
  <c r="T23" i="293"/>
  <c r="T22" i="293"/>
  <c r="I22" i="293" s="1"/>
  <c r="F22" i="293"/>
  <c r="T21" i="293"/>
  <c r="I21" i="293" s="1"/>
  <c r="F21" i="293"/>
  <c r="T20" i="293"/>
  <c r="I20" i="293" s="1"/>
  <c r="F20" i="293"/>
  <c r="K19" i="293"/>
  <c r="U19" i="293"/>
  <c r="T19" i="293"/>
  <c r="I19" i="293" s="1"/>
  <c r="F19" i="293"/>
  <c r="T18" i="293"/>
  <c r="I18" i="293" s="1"/>
  <c r="F18" i="293"/>
  <c r="T17" i="293"/>
  <c r="I17" i="293" s="1"/>
  <c r="F17" i="293"/>
  <c r="K16" i="293"/>
  <c r="U16" i="293"/>
  <c r="M28" i="293" s="1"/>
  <c r="T16" i="293"/>
  <c r="I16" i="293" s="1"/>
  <c r="J28" i="293" s="1"/>
  <c r="F16" i="293"/>
  <c r="T15" i="293"/>
  <c r="I15" i="293" s="1"/>
  <c r="J27" i="293" s="1"/>
  <c r="F15" i="293"/>
  <c r="T14" i="293"/>
  <c r="I14" i="293" s="1"/>
  <c r="J26" i="293" s="1"/>
  <c r="F14" i="293"/>
  <c r="K13" i="293"/>
  <c r="U13" i="293"/>
  <c r="M25" i="293" s="1"/>
  <c r="T13" i="293"/>
  <c r="I13" i="293" s="1"/>
  <c r="J25" i="293" s="1"/>
  <c r="F13" i="293"/>
  <c r="T12" i="293"/>
  <c r="I12" i="293" s="1"/>
  <c r="J24" i="293" s="1"/>
  <c r="F12" i="293"/>
  <c r="T11" i="293"/>
  <c r="I11" i="293" s="1"/>
  <c r="F11" i="293"/>
  <c r="K10" i="293"/>
  <c r="U10" i="293"/>
  <c r="M22" i="293" s="1"/>
  <c r="T10" i="293"/>
  <c r="I10" i="293" s="1"/>
  <c r="F10" i="293"/>
  <c r="T9" i="293"/>
  <c r="I9" i="293" s="1"/>
  <c r="F9" i="293"/>
  <c r="T8" i="293"/>
  <c r="I8" i="293" s="1"/>
  <c r="F8" i="293"/>
  <c r="K7" i="293"/>
  <c r="U7" i="293"/>
  <c r="T7" i="293"/>
  <c r="I7" i="293" s="1"/>
  <c r="F7" i="293"/>
  <c r="T6" i="293"/>
  <c r="I6" i="293" s="1"/>
  <c r="F6" i="293"/>
  <c r="T5" i="293"/>
  <c r="I5" i="293" s="1"/>
  <c r="F5" i="293"/>
  <c r="O25" i="295" l="1"/>
  <c r="J19" i="293"/>
  <c r="J31" i="293"/>
  <c r="J21" i="293"/>
  <c r="J33" i="293"/>
  <c r="J17" i="293"/>
  <c r="J29" i="293"/>
  <c r="J22" i="293"/>
  <c r="J34" i="293"/>
  <c r="J18" i="293"/>
  <c r="J30" i="293"/>
  <c r="J20" i="293"/>
  <c r="J32" i="293"/>
  <c r="J23" i="294"/>
  <c r="N25" i="293"/>
  <c r="O28" i="293" s="1"/>
  <c r="I23" i="293"/>
  <c r="O25" i="294"/>
  <c r="J23" i="295"/>
  <c r="H31" i="293"/>
  <c r="H34" i="293"/>
  <c r="H24" i="293"/>
  <c r="H27" i="293"/>
  <c r="H30" i="293"/>
  <c r="H33" i="293"/>
  <c r="H25" i="293"/>
  <c r="H28" i="293"/>
  <c r="H32" i="293"/>
  <c r="L22" i="293"/>
  <c r="M31" i="293"/>
  <c r="C22" i="293"/>
  <c r="E34" i="293" s="1"/>
  <c r="D10" i="295"/>
  <c r="C13" i="293"/>
  <c r="D16" i="295"/>
  <c r="E28" i="295"/>
  <c r="C7" i="293"/>
  <c r="D16" i="294"/>
  <c r="E28" i="294"/>
  <c r="E22" i="295"/>
  <c r="D22" i="295"/>
  <c r="D25" i="295"/>
  <c r="E22" i="294"/>
  <c r="D22" i="294"/>
  <c r="D25" i="294"/>
  <c r="D13" i="294"/>
  <c r="E25" i="294"/>
  <c r="E19" i="295"/>
  <c r="D19" i="295"/>
  <c r="E19" i="294"/>
  <c r="D19" i="294"/>
  <c r="D10" i="294"/>
  <c r="D13" i="295"/>
  <c r="E25" i="295"/>
  <c r="C16" i="293"/>
  <c r="C10" i="293"/>
  <c r="H29" i="293"/>
  <c r="C19" i="293"/>
  <c r="E31" i="293" s="1"/>
  <c r="O22" i="294"/>
  <c r="O22" i="295"/>
  <c r="O10" i="294"/>
  <c r="N22" i="293"/>
  <c r="O13" i="294"/>
  <c r="N7" i="293"/>
  <c r="N16" i="293"/>
  <c r="N10" i="293"/>
  <c r="N13" i="293"/>
  <c r="N19" i="293"/>
  <c r="O19" i="294"/>
  <c r="O13" i="295"/>
  <c r="O16" i="294"/>
  <c r="O10" i="295"/>
  <c r="O19" i="295"/>
  <c r="O16" i="295"/>
  <c r="L16" i="293"/>
  <c r="L10" i="293"/>
  <c r="L13" i="293"/>
  <c r="M19" i="293"/>
  <c r="L19" i="293"/>
  <c r="H26" i="293"/>
  <c r="G19" i="293"/>
  <c r="G15" i="293"/>
  <c r="G21" i="293"/>
  <c r="B10" i="293"/>
  <c r="G8" i="293"/>
  <c r="G9" i="293"/>
  <c r="G6" i="293"/>
  <c r="G10" i="293"/>
  <c r="B13" i="293"/>
  <c r="G13" i="293"/>
  <c r="B16" i="293"/>
  <c r="G16" i="293"/>
  <c r="G17" i="293"/>
  <c r="G7" i="293"/>
  <c r="G20" i="293"/>
  <c r="G18" i="293"/>
  <c r="H20" i="293"/>
  <c r="H17" i="293"/>
  <c r="H21" i="293"/>
  <c r="H18" i="293"/>
  <c r="G22" i="293"/>
  <c r="G23" i="293"/>
  <c r="G12" i="293"/>
  <c r="H23" i="293"/>
  <c r="B7" i="293"/>
  <c r="G11" i="293"/>
  <c r="G14" i="293"/>
  <c r="B19" i="293"/>
  <c r="H19" i="293"/>
  <c r="B22" i="293"/>
  <c r="H22" i="293"/>
  <c r="T23" i="292"/>
  <c r="T22" i="292"/>
  <c r="I22" i="292" s="1"/>
  <c r="J34" i="292" s="1"/>
  <c r="F22" i="292"/>
  <c r="T21" i="292"/>
  <c r="I21" i="292" s="1"/>
  <c r="F21" i="292"/>
  <c r="T20" i="292"/>
  <c r="I20" i="292" s="1"/>
  <c r="J32" i="292" s="1"/>
  <c r="F20" i="292"/>
  <c r="K19" i="292"/>
  <c r="U19" i="292"/>
  <c r="T19" i="292"/>
  <c r="I19" i="292" s="1"/>
  <c r="F19" i="292"/>
  <c r="T18" i="292"/>
  <c r="I18" i="292" s="1"/>
  <c r="J30" i="292" s="1"/>
  <c r="F18" i="292"/>
  <c r="T17" i="292"/>
  <c r="I17" i="292" s="1"/>
  <c r="F17" i="292"/>
  <c r="K16" i="292"/>
  <c r="U16" i="292"/>
  <c r="M28" i="292" s="1"/>
  <c r="T16" i="292"/>
  <c r="I16" i="292" s="1"/>
  <c r="J28" i="292" s="1"/>
  <c r="F16" i="292"/>
  <c r="T15" i="292"/>
  <c r="I15" i="292" s="1"/>
  <c r="J27" i="292" s="1"/>
  <c r="F15" i="292"/>
  <c r="T14" i="292"/>
  <c r="I14" i="292" s="1"/>
  <c r="J26" i="292" s="1"/>
  <c r="F14" i="292"/>
  <c r="K13" i="292"/>
  <c r="U13" i="292"/>
  <c r="M25" i="292" s="1"/>
  <c r="T13" i="292"/>
  <c r="I13" i="292" s="1"/>
  <c r="J25" i="292" s="1"/>
  <c r="F13" i="292"/>
  <c r="T12" i="292"/>
  <c r="I12" i="292" s="1"/>
  <c r="J24" i="292" s="1"/>
  <c r="F12" i="292"/>
  <c r="T11" i="292"/>
  <c r="I11" i="292" s="1"/>
  <c r="F11" i="292"/>
  <c r="K10" i="292"/>
  <c r="U10" i="292"/>
  <c r="M22" i="292" s="1"/>
  <c r="T10" i="292"/>
  <c r="I10" i="292" s="1"/>
  <c r="F10" i="292"/>
  <c r="T9" i="292"/>
  <c r="I9" i="292" s="1"/>
  <c r="F9" i="292"/>
  <c r="T8" i="292"/>
  <c r="I8" i="292" s="1"/>
  <c r="F8" i="292"/>
  <c r="K7" i="292"/>
  <c r="U7" i="292"/>
  <c r="T7" i="292"/>
  <c r="I7" i="292" s="1"/>
  <c r="F7" i="292"/>
  <c r="T6" i="292"/>
  <c r="I6" i="292" s="1"/>
  <c r="F6" i="292"/>
  <c r="T5" i="292"/>
  <c r="I5" i="292" s="1"/>
  <c r="F5" i="292"/>
  <c r="O25" i="293" l="1"/>
  <c r="J22" i="292"/>
  <c r="J23" i="293"/>
  <c r="J35" i="293"/>
  <c r="J19" i="292"/>
  <c r="J31" i="292"/>
  <c r="J18" i="292"/>
  <c r="J20" i="292"/>
  <c r="J17" i="292"/>
  <c r="J29" i="292"/>
  <c r="N25" i="292"/>
  <c r="O28" i="292" s="1"/>
  <c r="I23" i="292"/>
  <c r="J21" i="292"/>
  <c r="J33" i="292"/>
  <c r="H33" i="292"/>
  <c r="H24" i="292"/>
  <c r="H27" i="292"/>
  <c r="H30" i="292"/>
  <c r="H25" i="292"/>
  <c r="H28" i="292"/>
  <c r="H31" i="292"/>
  <c r="H32" i="292"/>
  <c r="H34" i="292"/>
  <c r="H19" i="292"/>
  <c r="D25" i="293"/>
  <c r="L22" i="292"/>
  <c r="M31" i="292"/>
  <c r="D22" i="293"/>
  <c r="D10" i="293"/>
  <c r="D16" i="293"/>
  <c r="E28" i="293"/>
  <c r="E19" i="293"/>
  <c r="D19" i="293"/>
  <c r="E22" i="293"/>
  <c r="D13" i="293"/>
  <c r="E25" i="293"/>
  <c r="C13" i="292"/>
  <c r="C22" i="292"/>
  <c r="E34" i="292" s="1"/>
  <c r="C7" i="292"/>
  <c r="C10" i="292"/>
  <c r="C16" i="292"/>
  <c r="H29" i="292"/>
  <c r="C19" i="292"/>
  <c r="E31" i="292" s="1"/>
  <c r="O22" i="293"/>
  <c r="N22" i="292"/>
  <c r="O19" i="293"/>
  <c r="O13" i="293"/>
  <c r="O10" i="293"/>
  <c r="O16" i="293"/>
  <c r="N7" i="292"/>
  <c r="N10" i="292"/>
  <c r="N13" i="292"/>
  <c r="N16" i="292"/>
  <c r="N19" i="292"/>
  <c r="L16" i="292"/>
  <c r="L10" i="292"/>
  <c r="L13" i="292"/>
  <c r="M19" i="292"/>
  <c r="L19" i="292"/>
  <c r="H26" i="292"/>
  <c r="B16" i="292"/>
  <c r="G14" i="292"/>
  <c r="B7" i="292"/>
  <c r="G9" i="292"/>
  <c r="G13" i="292"/>
  <c r="G16" i="292"/>
  <c r="B10" i="292"/>
  <c r="G10" i="292"/>
  <c r="G11" i="292"/>
  <c r="B13" i="292"/>
  <c r="G17" i="292"/>
  <c r="H23" i="292"/>
  <c r="H21" i="292"/>
  <c r="G15" i="292"/>
  <c r="G19" i="292"/>
  <c r="B22" i="292"/>
  <c r="G22" i="292"/>
  <c r="H22" i="292"/>
  <c r="G18" i="292"/>
  <c r="G6" i="292"/>
  <c r="G7" i="292"/>
  <c r="G20" i="292"/>
  <c r="G21" i="292"/>
  <c r="G23" i="292"/>
  <c r="G8" i="292"/>
  <c r="G12" i="292"/>
  <c r="H17" i="292"/>
  <c r="H18" i="292"/>
  <c r="H20" i="292"/>
  <c r="B19" i="292"/>
  <c r="J23" i="292" l="1"/>
  <c r="J35" i="292"/>
  <c r="O25" i="292"/>
  <c r="D10" i="292"/>
  <c r="E19" i="292"/>
  <c r="D19" i="292"/>
  <c r="E22" i="292"/>
  <c r="D22" i="292"/>
  <c r="D25" i="292"/>
  <c r="D16" i="292"/>
  <c r="E28" i="292"/>
  <c r="D13" i="292"/>
  <c r="E25" i="292"/>
  <c r="O13" i="292"/>
  <c r="O22" i="292"/>
  <c r="O19" i="292"/>
  <c r="O10" i="292"/>
  <c r="O16" i="292"/>
  <c r="F23" i="170" l="1"/>
  <c r="S23" i="231"/>
  <c r="U23" i="231" s="1"/>
  <c r="R23" i="231"/>
  <c r="Q23" i="231"/>
  <c r="S23" i="186"/>
  <c r="R23" i="186"/>
  <c r="K25" i="186" s="1"/>
  <c r="Q23" i="186"/>
  <c r="S23" i="144"/>
  <c r="R23" i="144"/>
  <c r="K25" i="144" s="1"/>
  <c r="Q23" i="144"/>
  <c r="F23" i="195"/>
  <c r="S23" i="185"/>
  <c r="R23" i="185"/>
  <c r="K25" i="185" s="1"/>
  <c r="Q23" i="185"/>
  <c r="S23" i="247"/>
  <c r="R23" i="247"/>
  <c r="K25" i="247" s="1"/>
  <c r="Q23" i="247"/>
  <c r="K25" i="152"/>
  <c r="K25" i="142"/>
  <c r="K25" i="149"/>
  <c r="U25" i="149"/>
  <c r="M37" i="149" s="1"/>
  <c r="S23" i="253"/>
  <c r="R23" i="253"/>
  <c r="K25" i="253" s="1"/>
  <c r="Q23" i="253"/>
  <c r="C25" i="195" l="1"/>
  <c r="E37" i="195" s="1"/>
  <c r="H35" i="195"/>
  <c r="C25" i="170"/>
  <c r="E37" i="170" s="1"/>
  <c r="H35" i="170"/>
  <c r="F23" i="142"/>
  <c r="U25" i="142"/>
  <c r="M37" i="142" s="1"/>
  <c r="F23" i="152"/>
  <c r="U25" i="152"/>
  <c r="M37" i="152" s="1"/>
  <c r="F23" i="253"/>
  <c r="U25" i="253"/>
  <c r="M37" i="253" s="1"/>
  <c r="L28" i="149"/>
  <c r="F23" i="247"/>
  <c r="U25" i="247"/>
  <c r="M37" i="247" s="1"/>
  <c r="F23" i="231"/>
  <c r="K25" i="231"/>
  <c r="F23" i="186"/>
  <c r="U25" i="186"/>
  <c r="M37" i="186" s="1"/>
  <c r="F23" i="144"/>
  <c r="U25" i="144"/>
  <c r="M37" i="144" s="1"/>
  <c r="F23" i="185"/>
  <c r="U25" i="185"/>
  <c r="M37" i="185" s="1"/>
  <c r="F23" i="149"/>
  <c r="B25" i="170"/>
  <c r="B25" i="195"/>
  <c r="G24" i="195"/>
  <c r="G24" i="170"/>
  <c r="T23" i="289"/>
  <c r="T23" i="288"/>
  <c r="T23" i="284"/>
  <c r="S23" i="279"/>
  <c r="M25" i="279" s="1"/>
  <c r="N25" i="15"/>
  <c r="T23" i="11"/>
  <c r="T23" i="253"/>
  <c r="T23" i="28"/>
  <c r="T23" i="29"/>
  <c r="T23" i="5"/>
  <c r="T23" i="207"/>
  <c r="T23" i="23"/>
  <c r="T23" i="249"/>
  <c r="T23" i="9"/>
  <c r="T23" i="202"/>
  <c r="T23" i="265"/>
  <c r="T23" i="54"/>
  <c r="T23" i="75"/>
  <c r="T23" i="149"/>
  <c r="T23" i="88"/>
  <c r="T23" i="148"/>
  <c r="T23" i="89"/>
  <c r="T23" i="47"/>
  <c r="T23" i="174"/>
  <c r="T23" i="4"/>
  <c r="T23" i="12"/>
  <c r="T23" i="262"/>
  <c r="T23" i="101"/>
  <c r="T23" i="102"/>
  <c r="T23" i="142"/>
  <c r="T23" i="18"/>
  <c r="T23" i="20"/>
  <c r="T23" i="43"/>
  <c r="T23" i="37"/>
  <c r="T23" i="7"/>
  <c r="T23" i="190"/>
  <c r="T23" i="152"/>
  <c r="T23" i="13"/>
  <c r="T23" i="261"/>
  <c r="T23" i="153"/>
  <c r="T23" i="257"/>
  <c r="T23" i="46"/>
  <c r="T23" i="239"/>
  <c r="T23" i="248"/>
  <c r="T23" i="243"/>
  <c r="T23" i="247"/>
  <c r="T23" i="244"/>
  <c r="T23" i="246"/>
  <c r="T23" i="201"/>
  <c r="T23" i="17"/>
  <c r="T23" i="112"/>
  <c r="T23" i="33"/>
  <c r="T23" i="185"/>
  <c r="T23" i="181"/>
  <c r="T23" i="183"/>
  <c r="T23" i="184"/>
  <c r="T23" i="227"/>
  <c r="T23" i="16"/>
  <c r="T23" i="203"/>
  <c r="T23" i="105"/>
  <c r="T23" i="74"/>
  <c r="T23" i="61"/>
  <c r="T23" i="200"/>
  <c r="T23" i="114"/>
  <c r="T23" i="113"/>
  <c r="T23" i="109"/>
  <c r="T23" i="195"/>
  <c r="T23" i="194"/>
  <c r="T23" i="193"/>
  <c r="T23" i="144"/>
  <c r="T23" i="27"/>
  <c r="T23" i="143"/>
  <c r="T23" i="45"/>
  <c r="T23" i="104"/>
  <c r="T23" i="97"/>
  <c r="T23" i="87"/>
  <c r="T23" i="263"/>
  <c r="T23" i="268"/>
  <c r="T23" i="233"/>
  <c r="T23" i="209"/>
  <c r="L23" i="175"/>
  <c r="Q25" i="175" s="1"/>
  <c r="T23" i="103"/>
  <c r="T23" i="140"/>
  <c r="T23" i="270"/>
  <c r="T23" i="271"/>
  <c r="T23" i="186"/>
  <c r="T23" i="159"/>
  <c r="T23" i="160"/>
  <c r="T23" i="107"/>
  <c r="T23" i="176"/>
  <c r="T23" i="162"/>
  <c r="T23" i="48"/>
  <c r="T23" i="135"/>
  <c r="T23" i="24"/>
  <c r="T23" i="198"/>
  <c r="T23" i="19"/>
  <c r="T23" i="21"/>
  <c r="T23" i="254"/>
  <c r="T23" i="52"/>
  <c r="T23" i="3"/>
  <c r="T23" i="204"/>
  <c r="T23" i="2"/>
  <c r="T23" i="31"/>
  <c r="T23" i="231"/>
  <c r="T23" i="229"/>
  <c r="T23" i="230"/>
  <c r="T23" i="192"/>
  <c r="T23" i="53"/>
  <c r="T23" i="22"/>
  <c r="N25" i="8"/>
  <c r="T23" i="191"/>
  <c r="T23" i="164"/>
  <c r="T23" i="196"/>
  <c r="T23" i="197"/>
  <c r="T23" i="170"/>
  <c r="T23" i="169"/>
  <c r="T23" i="168"/>
  <c r="T23" i="34"/>
  <c r="T23" i="32"/>
  <c r="T23" i="25"/>
  <c r="T23" i="1"/>
  <c r="S23" i="44"/>
  <c r="M25" i="44" s="1"/>
  <c r="T23" i="116"/>
  <c r="T23" i="85"/>
  <c r="T23" i="269"/>
  <c r="T23" i="272"/>
  <c r="T23" i="276"/>
  <c r="T23" i="281"/>
  <c r="T23" i="287"/>
  <c r="T23" i="285"/>
  <c r="T23" i="280"/>
  <c r="T23" i="283"/>
  <c r="T23" i="290"/>
  <c r="N25" i="3" l="1"/>
  <c r="I23" i="3"/>
  <c r="N25" i="153"/>
  <c r="O28" i="153" s="1"/>
  <c r="I23" i="153"/>
  <c r="N25" i="265"/>
  <c r="O28" i="265" s="1"/>
  <c r="I23" i="265"/>
  <c r="N25" i="262"/>
  <c r="O28" i="262" s="1"/>
  <c r="I23" i="262"/>
  <c r="J35" i="262" s="1"/>
  <c r="N25" i="29"/>
  <c r="O28" i="29" s="1"/>
  <c r="I23" i="29"/>
  <c r="N25" i="85"/>
  <c r="O28" i="85" s="1"/>
  <c r="I23" i="85"/>
  <c r="N25" i="230"/>
  <c r="I23" i="230"/>
  <c r="N25" i="103"/>
  <c r="O28" i="103" s="1"/>
  <c r="I23" i="103"/>
  <c r="N25" i="144"/>
  <c r="O28" i="144" s="1"/>
  <c r="I23" i="144"/>
  <c r="N25" i="33"/>
  <c r="O28" i="33" s="1"/>
  <c r="I23" i="33"/>
  <c r="N25" i="101"/>
  <c r="O28" i="101" s="1"/>
  <c r="I23" i="101"/>
  <c r="J35" i="101" s="1"/>
  <c r="N25" i="5"/>
  <c r="O28" i="5" s="1"/>
  <c r="I23" i="5"/>
  <c r="J35" i="5" s="1"/>
  <c r="N25" i="116"/>
  <c r="O28" i="116" s="1"/>
  <c r="I23" i="116"/>
  <c r="N25" i="52"/>
  <c r="O28" i="52" s="1"/>
  <c r="I23" i="52"/>
  <c r="J35" i="52" s="1"/>
  <c r="N25" i="97"/>
  <c r="O28" i="97" s="1"/>
  <c r="I23" i="97"/>
  <c r="N25" i="227"/>
  <c r="O28" i="227" s="1"/>
  <c r="I23" i="227"/>
  <c r="N25" i="43"/>
  <c r="O28" i="43" s="1"/>
  <c r="I23" i="43"/>
  <c r="J35" i="43" s="1"/>
  <c r="N25" i="290"/>
  <c r="O28" i="290" s="1"/>
  <c r="I23" i="290"/>
  <c r="N25" i="281"/>
  <c r="O28" i="281" s="1"/>
  <c r="I23" i="281"/>
  <c r="N25" i="169"/>
  <c r="O28" i="169" s="1"/>
  <c r="I23" i="169"/>
  <c r="N25" i="231"/>
  <c r="O28" i="231" s="1"/>
  <c r="I23" i="231"/>
  <c r="N25" i="254"/>
  <c r="O28" i="254" s="1"/>
  <c r="I23" i="254"/>
  <c r="N25" i="48"/>
  <c r="O28" i="48" s="1"/>
  <c r="I23" i="48"/>
  <c r="N25" i="186"/>
  <c r="O28" i="186" s="1"/>
  <c r="I23" i="186"/>
  <c r="N25" i="209"/>
  <c r="I23" i="209"/>
  <c r="N25" i="104"/>
  <c r="O28" i="104" s="1"/>
  <c r="I23" i="104"/>
  <c r="N25" i="194"/>
  <c r="O28" i="194" s="1"/>
  <c r="I23" i="194"/>
  <c r="N25" i="61"/>
  <c r="O28" i="61" s="1"/>
  <c r="I23" i="61"/>
  <c r="J35" i="61" s="1"/>
  <c r="N25" i="184"/>
  <c r="O28" i="184" s="1"/>
  <c r="I23" i="184"/>
  <c r="N25" i="17"/>
  <c r="O28" i="17" s="1"/>
  <c r="I23" i="17"/>
  <c r="J35" i="17" s="1"/>
  <c r="N25" i="248"/>
  <c r="O28" i="248" s="1"/>
  <c r="I23" i="248"/>
  <c r="N25" i="13"/>
  <c r="O28" i="13" s="1"/>
  <c r="I23" i="13"/>
  <c r="N25" i="20"/>
  <c r="O28" i="20" s="1"/>
  <c r="I23" i="20"/>
  <c r="N25" i="12"/>
  <c r="O28" i="12" s="1"/>
  <c r="I23" i="12"/>
  <c r="N25" i="88"/>
  <c r="O28" i="88" s="1"/>
  <c r="I23" i="88"/>
  <c r="N25" i="9"/>
  <c r="O28" i="9" s="1"/>
  <c r="I23" i="9"/>
  <c r="N25" i="28"/>
  <c r="I23" i="28"/>
  <c r="N25" i="288"/>
  <c r="O28" i="288" s="1"/>
  <c r="I23" i="288"/>
  <c r="N25" i="239"/>
  <c r="O28" i="239" s="1"/>
  <c r="I23" i="239"/>
  <c r="N25" i="4"/>
  <c r="O28" i="4" s="1"/>
  <c r="I23" i="4"/>
  <c r="N25" i="149"/>
  <c r="O28" i="149" s="1"/>
  <c r="I23" i="149"/>
  <c r="J35" i="149" s="1"/>
  <c r="N25" i="249"/>
  <c r="O28" i="249" s="1"/>
  <c r="I23" i="249"/>
  <c r="N25" i="253"/>
  <c r="O28" i="253" s="1"/>
  <c r="I23" i="253"/>
  <c r="N25" i="289"/>
  <c r="O28" i="289" s="1"/>
  <c r="I23" i="289"/>
  <c r="N25" i="285"/>
  <c r="O28" i="285" s="1"/>
  <c r="I23" i="285"/>
  <c r="J35" i="285" s="1"/>
  <c r="N25" i="34"/>
  <c r="O28" i="34" s="1"/>
  <c r="I23" i="34"/>
  <c r="J35" i="34" s="1"/>
  <c r="N25" i="24"/>
  <c r="O28" i="24" s="1"/>
  <c r="I23" i="24"/>
  <c r="J35" i="24" s="1"/>
  <c r="N25" i="87"/>
  <c r="O28" i="87" s="1"/>
  <c r="I23" i="87"/>
  <c r="J35" i="87" s="1"/>
  <c r="N25" i="16"/>
  <c r="O28" i="16" s="1"/>
  <c r="I23" i="16"/>
  <c r="N25" i="37"/>
  <c r="O28" i="37" s="1"/>
  <c r="I23" i="37"/>
  <c r="N25" i="89"/>
  <c r="O28" i="89" s="1"/>
  <c r="I23" i="89"/>
  <c r="N25" i="287"/>
  <c r="O28" i="287" s="1"/>
  <c r="I23" i="287"/>
  <c r="N25" i="191"/>
  <c r="O28" i="191" s="1"/>
  <c r="I23" i="191"/>
  <c r="N25" i="135"/>
  <c r="O28" i="135" s="1"/>
  <c r="I23" i="135"/>
  <c r="N25" i="193"/>
  <c r="O28" i="193" s="1"/>
  <c r="I23" i="193"/>
  <c r="N25" i="112"/>
  <c r="O28" i="112" s="1"/>
  <c r="I23" i="112"/>
  <c r="N25" i="261"/>
  <c r="O28" i="261" s="1"/>
  <c r="I23" i="261"/>
  <c r="N25" i="148"/>
  <c r="O28" i="148" s="1"/>
  <c r="I23" i="148"/>
  <c r="N25" i="284"/>
  <c r="O28" i="284" s="1"/>
  <c r="I23" i="284"/>
  <c r="N25" i="276"/>
  <c r="O28" i="276" s="1"/>
  <c r="I23" i="276"/>
  <c r="J35" i="276" s="1"/>
  <c r="N25" i="170"/>
  <c r="O28" i="170" s="1"/>
  <c r="I23" i="170"/>
  <c r="N25" i="31"/>
  <c r="O28" i="31" s="1"/>
  <c r="I23" i="31"/>
  <c r="N25" i="162"/>
  <c r="O28" i="162" s="1"/>
  <c r="I23" i="162"/>
  <c r="N25" i="233"/>
  <c r="O28" i="233" s="1"/>
  <c r="I23" i="233"/>
  <c r="N25" i="195"/>
  <c r="O28" i="195" s="1"/>
  <c r="I23" i="195"/>
  <c r="J35" i="195" s="1"/>
  <c r="N25" i="183"/>
  <c r="O28" i="183" s="1"/>
  <c r="I23" i="183"/>
  <c r="N25" i="18"/>
  <c r="O28" i="18" s="1"/>
  <c r="I23" i="18"/>
  <c r="I23" i="187"/>
  <c r="N25" i="272"/>
  <c r="O28" i="272" s="1"/>
  <c r="I23" i="272"/>
  <c r="N25" i="25"/>
  <c r="O28" i="25" s="1"/>
  <c r="I23" i="25"/>
  <c r="N25" i="197"/>
  <c r="O28" i="197" s="1"/>
  <c r="I23" i="197"/>
  <c r="N25" i="53"/>
  <c r="O28" i="53" s="1"/>
  <c r="I23" i="53"/>
  <c r="N25" i="2"/>
  <c r="O28" i="2" s="1"/>
  <c r="I23" i="2"/>
  <c r="N25" i="19"/>
  <c r="O28" i="19" s="1"/>
  <c r="I23" i="19"/>
  <c r="N25" i="176"/>
  <c r="O28" i="176" s="1"/>
  <c r="I23" i="176"/>
  <c r="N25" i="270"/>
  <c r="O28" i="270" s="1"/>
  <c r="I23" i="270"/>
  <c r="N25" i="268"/>
  <c r="O28" i="268" s="1"/>
  <c r="I23" i="268"/>
  <c r="N25" i="143"/>
  <c r="O28" i="143" s="1"/>
  <c r="I23" i="143"/>
  <c r="N25" i="109"/>
  <c r="O28" i="109" s="1"/>
  <c r="I23" i="109"/>
  <c r="N25" i="105"/>
  <c r="O28" i="105" s="1"/>
  <c r="I23" i="105"/>
  <c r="N25" i="181"/>
  <c r="O28" i="181" s="1"/>
  <c r="I23" i="181"/>
  <c r="N25" i="246"/>
  <c r="O28" i="246" s="1"/>
  <c r="I23" i="246"/>
  <c r="N25" i="46"/>
  <c r="O28" i="46" s="1"/>
  <c r="I23" i="46"/>
  <c r="N25" i="190"/>
  <c r="O28" i="190" s="1"/>
  <c r="I23" i="190"/>
  <c r="N25" i="142"/>
  <c r="O28" i="142" s="1"/>
  <c r="I23" i="142"/>
  <c r="N25" i="174"/>
  <c r="O28" i="174" s="1"/>
  <c r="I23" i="174"/>
  <c r="N25" i="75"/>
  <c r="O28" i="75" s="1"/>
  <c r="I23" i="75"/>
  <c r="N25" i="23"/>
  <c r="O28" i="23" s="1"/>
  <c r="I23" i="23"/>
  <c r="N25" i="11"/>
  <c r="O28" i="11" s="1"/>
  <c r="I23" i="11"/>
  <c r="N25" i="164"/>
  <c r="O28" i="164" s="1"/>
  <c r="I23" i="164"/>
  <c r="N25" i="160"/>
  <c r="O28" i="160" s="1"/>
  <c r="I23" i="160"/>
  <c r="N25" i="114"/>
  <c r="O28" i="114" s="1"/>
  <c r="I23" i="114"/>
  <c r="N25" i="247"/>
  <c r="O28" i="247" s="1"/>
  <c r="I23" i="247"/>
  <c r="N25" i="168"/>
  <c r="O28" i="168" s="1"/>
  <c r="I23" i="168"/>
  <c r="N25" i="229"/>
  <c r="O28" i="229" s="1"/>
  <c r="I23" i="229"/>
  <c r="N25" i="159"/>
  <c r="O28" i="159" s="1"/>
  <c r="I23" i="159"/>
  <c r="N25" i="200"/>
  <c r="O28" i="200" s="1"/>
  <c r="I23" i="200"/>
  <c r="J35" i="200" s="1"/>
  <c r="N25" i="243"/>
  <c r="O28" i="243" s="1"/>
  <c r="I23" i="243"/>
  <c r="N25" i="202"/>
  <c r="O28" i="202" s="1"/>
  <c r="I23" i="202"/>
  <c r="J35" i="202" s="1"/>
  <c r="N25" i="283"/>
  <c r="O28" i="283" s="1"/>
  <c r="I23" i="283"/>
  <c r="N25" i="1"/>
  <c r="O28" i="1" s="1"/>
  <c r="I23" i="1"/>
  <c r="N25" i="22"/>
  <c r="O28" i="22" s="1"/>
  <c r="I23" i="22"/>
  <c r="J35" i="22" s="1"/>
  <c r="N25" i="21"/>
  <c r="O28" i="21" s="1"/>
  <c r="I23" i="21"/>
  <c r="N25" i="271"/>
  <c r="O28" i="271" s="1"/>
  <c r="I23" i="271"/>
  <c r="N25" i="45"/>
  <c r="O28" i="45" s="1"/>
  <c r="I23" i="45"/>
  <c r="N25" i="74"/>
  <c r="O28" i="74" s="1"/>
  <c r="I23" i="74"/>
  <c r="N25" i="201"/>
  <c r="O28" i="201" s="1"/>
  <c r="I23" i="201"/>
  <c r="N25" i="152"/>
  <c r="O28" i="152" s="1"/>
  <c r="I23" i="152"/>
  <c r="J35" i="152" s="1"/>
  <c r="N25" i="280"/>
  <c r="O28" i="280" s="1"/>
  <c r="I23" i="280"/>
  <c r="N25" i="269"/>
  <c r="O28" i="269" s="1"/>
  <c r="I23" i="269"/>
  <c r="J35" i="269" s="1"/>
  <c r="N25" i="32"/>
  <c r="O28" i="32" s="1"/>
  <c r="I23" i="32"/>
  <c r="N25" i="196"/>
  <c r="O28" i="196" s="1"/>
  <c r="I23" i="196"/>
  <c r="J35" i="196" s="1"/>
  <c r="N25" i="192"/>
  <c r="O28" i="192" s="1"/>
  <c r="I23" i="192"/>
  <c r="N25" i="204"/>
  <c r="O28" i="204" s="1"/>
  <c r="I23" i="204"/>
  <c r="N25" i="198"/>
  <c r="O28" i="198" s="1"/>
  <c r="I23" i="198"/>
  <c r="J35" i="198" s="1"/>
  <c r="N25" i="107"/>
  <c r="O28" i="107" s="1"/>
  <c r="I23" i="107"/>
  <c r="J35" i="107" s="1"/>
  <c r="N25" i="140"/>
  <c r="O28" i="140" s="1"/>
  <c r="I23" i="140"/>
  <c r="N25" i="263"/>
  <c r="O28" i="263" s="1"/>
  <c r="I23" i="263"/>
  <c r="N25" i="27"/>
  <c r="O28" i="27" s="1"/>
  <c r="I23" i="27"/>
  <c r="J35" i="27" s="1"/>
  <c r="N25" i="113"/>
  <c r="O28" i="113" s="1"/>
  <c r="I23" i="113"/>
  <c r="N25" i="203"/>
  <c r="O28" i="203" s="1"/>
  <c r="I23" i="203"/>
  <c r="N25" i="185"/>
  <c r="O28" i="185" s="1"/>
  <c r="I23" i="185"/>
  <c r="N25" i="244"/>
  <c r="O28" i="244" s="1"/>
  <c r="I23" i="244"/>
  <c r="N25" i="257"/>
  <c r="O28" i="257" s="1"/>
  <c r="I23" i="257"/>
  <c r="N25" i="7"/>
  <c r="O28" i="7" s="1"/>
  <c r="I23" i="7"/>
  <c r="N25" i="102"/>
  <c r="O28" i="102" s="1"/>
  <c r="I23" i="102"/>
  <c r="J35" i="102" s="1"/>
  <c r="N25" i="47"/>
  <c r="O28" i="47" s="1"/>
  <c r="I23" i="47"/>
  <c r="N25" i="54"/>
  <c r="O28" i="54" s="1"/>
  <c r="I23" i="54"/>
  <c r="N25" i="207"/>
  <c r="O28" i="207" s="1"/>
  <c r="I23" i="207"/>
  <c r="H35" i="231"/>
  <c r="H35" i="186"/>
  <c r="H35" i="247"/>
  <c r="H35" i="152"/>
  <c r="D28" i="195"/>
  <c r="D28" i="170"/>
  <c r="C25" i="149"/>
  <c r="E37" i="149" s="1"/>
  <c r="H35" i="149"/>
  <c r="C25" i="253"/>
  <c r="E37" i="253" s="1"/>
  <c r="H35" i="253"/>
  <c r="C25" i="142"/>
  <c r="E37" i="142" s="1"/>
  <c r="H35" i="142"/>
  <c r="C25" i="185"/>
  <c r="E37" i="185" s="1"/>
  <c r="H35" i="185"/>
  <c r="C25" i="144"/>
  <c r="E37" i="144" s="1"/>
  <c r="H35" i="144"/>
  <c r="B25" i="186"/>
  <c r="C25" i="186"/>
  <c r="E37" i="186" s="1"/>
  <c r="B25" i="152"/>
  <c r="C25" i="152"/>
  <c r="E37" i="152" s="1"/>
  <c r="B25" i="247"/>
  <c r="C25" i="247"/>
  <c r="E37" i="247" s="1"/>
  <c r="B25" i="231"/>
  <c r="C25" i="231"/>
  <c r="E37" i="231" s="1"/>
  <c r="B25" i="253"/>
  <c r="B25" i="142"/>
  <c r="G24" i="253"/>
  <c r="O28" i="8"/>
  <c r="G24" i="231"/>
  <c r="G24" i="142"/>
  <c r="B25" i="144"/>
  <c r="G24" i="144"/>
  <c r="G24" i="152"/>
  <c r="B25" i="185"/>
  <c r="G24" i="247"/>
  <c r="G24" i="186"/>
  <c r="G24" i="185"/>
  <c r="O28" i="3"/>
  <c r="O28" i="28"/>
  <c r="N28" i="279"/>
  <c r="L28" i="152"/>
  <c r="L28" i="253"/>
  <c r="L28" i="142"/>
  <c r="R28" i="175"/>
  <c r="O28" i="15"/>
  <c r="L28" i="247"/>
  <c r="O28" i="230"/>
  <c r="N28" i="44"/>
  <c r="L28" i="186"/>
  <c r="O28" i="209"/>
  <c r="L28" i="144"/>
  <c r="L28" i="185"/>
  <c r="B25" i="149"/>
  <c r="G24" i="149"/>
  <c r="T22" i="290"/>
  <c r="I22" i="290" s="1"/>
  <c r="F22" i="290"/>
  <c r="T21" i="290"/>
  <c r="I21" i="290" s="1"/>
  <c r="F21" i="290"/>
  <c r="T20" i="290"/>
  <c r="I20" i="290" s="1"/>
  <c r="F20" i="290"/>
  <c r="K19" i="290"/>
  <c r="U19" i="290"/>
  <c r="T19" i="290"/>
  <c r="I19" i="290" s="1"/>
  <c r="F19" i="290"/>
  <c r="T18" i="290"/>
  <c r="I18" i="290" s="1"/>
  <c r="F18" i="290"/>
  <c r="T17" i="290"/>
  <c r="I17" i="290" s="1"/>
  <c r="F17" i="290"/>
  <c r="K16" i="290"/>
  <c r="U16" i="290"/>
  <c r="M28" i="290" s="1"/>
  <c r="T16" i="290"/>
  <c r="I16" i="290" s="1"/>
  <c r="J28" i="290" s="1"/>
  <c r="F16" i="290"/>
  <c r="T15" i="290"/>
  <c r="I15" i="290" s="1"/>
  <c r="J27" i="290" s="1"/>
  <c r="F15" i="290"/>
  <c r="T14" i="290"/>
  <c r="I14" i="290" s="1"/>
  <c r="J26" i="290" s="1"/>
  <c r="F14" i="290"/>
  <c r="U13" i="290"/>
  <c r="T13" i="290"/>
  <c r="I13" i="290" s="1"/>
  <c r="J25" i="290" s="1"/>
  <c r="F13" i="290"/>
  <c r="T12" i="290"/>
  <c r="I12" i="290" s="1"/>
  <c r="J24" i="290" s="1"/>
  <c r="F12" i="290"/>
  <c r="T11" i="290"/>
  <c r="I11" i="290" s="1"/>
  <c r="F11" i="290"/>
  <c r="U10" i="290"/>
  <c r="T10" i="290"/>
  <c r="I10" i="290" s="1"/>
  <c r="F10" i="290"/>
  <c r="T9" i="290"/>
  <c r="I9" i="290" s="1"/>
  <c r="F9" i="290"/>
  <c r="T8" i="290"/>
  <c r="I8" i="290" s="1"/>
  <c r="F8" i="290"/>
  <c r="U7" i="290"/>
  <c r="T7" i="290"/>
  <c r="I7" i="290" s="1"/>
  <c r="F7" i="290"/>
  <c r="T6" i="290"/>
  <c r="I6" i="290" s="1"/>
  <c r="F6" i="290"/>
  <c r="T5" i="290"/>
  <c r="I5" i="290" s="1"/>
  <c r="F5" i="290"/>
  <c r="T22" i="289"/>
  <c r="I22" i="289" s="1"/>
  <c r="F22" i="289"/>
  <c r="T21" i="289"/>
  <c r="I21" i="289" s="1"/>
  <c r="F21" i="289"/>
  <c r="T20" i="289"/>
  <c r="I20" i="289" s="1"/>
  <c r="J32" i="289" s="1"/>
  <c r="F20" i="289"/>
  <c r="K19" i="289"/>
  <c r="U19" i="289"/>
  <c r="T19" i="289"/>
  <c r="I19" i="289" s="1"/>
  <c r="F19" i="289"/>
  <c r="T18" i="289"/>
  <c r="I18" i="289" s="1"/>
  <c r="F18" i="289"/>
  <c r="T17" i="289"/>
  <c r="I17" i="289" s="1"/>
  <c r="F17" i="289"/>
  <c r="K16" i="289"/>
  <c r="U16" i="289"/>
  <c r="M28" i="289" s="1"/>
  <c r="T16" i="289"/>
  <c r="I16" i="289" s="1"/>
  <c r="J28" i="289" s="1"/>
  <c r="F16" i="289"/>
  <c r="T15" i="289"/>
  <c r="I15" i="289" s="1"/>
  <c r="J27" i="289" s="1"/>
  <c r="F15" i="289"/>
  <c r="T14" i="289"/>
  <c r="I14" i="289" s="1"/>
  <c r="J26" i="289" s="1"/>
  <c r="F14" i="289"/>
  <c r="K13" i="289"/>
  <c r="U13" i="289"/>
  <c r="M25" i="289" s="1"/>
  <c r="T13" i="289"/>
  <c r="I13" i="289" s="1"/>
  <c r="J25" i="289" s="1"/>
  <c r="F13" i="289"/>
  <c r="T12" i="289"/>
  <c r="I12" i="289" s="1"/>
  <c r="J24" i="289" s="1"/>
  <c r="F12" i="289"/>
  <c r="T11" i="289"/>
  <c r="I11" i="289" s="1"/>
  <c r="F11" i="289"/>
  <c r="K10" i="289"/>
  <c r="U10" i="289"/>
  <c r="M22" i="289" s="1"/>
  <c r="T10" i="289"/>
  <c r="I10" i="289" s="1"/>
  <c r="F10" i="289"/>
  <c r="T9" i="289"/>
  <c r="I9" i="289" s="1"/>
  <c r="F9" i="289"/>
  <c r="T8" i="289"/>
  <c r="I8" i="289" s="1"/>
  <c r="F8" i="289"/>
  <c r="U7" i="289"/>
  <c r="T7" i="289"/>
  <c r="I7" i="289" s="1"/>
  <c r="F7" i="289"/>
  <c r="T6" i="289"/>
  <c r="I6" i="289" s="1"/>
  <c r="F6" i="289"/>
  <c r="T5" i="289"/>
  <c r="I5" i="289" s="1"/>
  <c r="F5" i="289"/>
  <c r="J18" i="290" l="1"/>
  <c r="J30" i="290"/>
  <c r="J21" i="289"/>
  <c r="J33" i="289"/>
  <c r="J19" i="290"/>
  <c r="J31" i="290"/>
  <c r="J17" i="290"/>
  <c r="J29" i="290"/>
  <c r="J22" i="290"/>
  <c r="J34" i="290"/>
  <c r="J35" i="207"/>
  <c r="J35" i="244"/>
  <c r="J35" i="113"/>
  <c r="J35" i="140"/>
  <c r="J35" i="204"/>
  <c r="J35" i="32"/>
  <c r="J35" i="45"/>
  <c r="J35" i="159"/>
  <c r="J35" i="247"/>
  <c r="J35" i="164"/>
  <c r="J35" i="75"/>
  <c r="J35" i="190"/>
  <c r="J35" i="181"/>
  <c r="J35" i="143"/>
  <c r="J35" i="176"/>
  <c r="J35" i="53"/>
  <c r="J35" i="272"/>
  <c r="J35" i="183"/>
  <c r="J35" i="162"/>
  <c r="J35" i="261"/>
  <c r="J35" i="135"/>
  <c r="J35" i="89"/>
  <c r="J35" i="249"/>
  <c r="J35" i="239"/>
  <c r="J35" i="9"/>
  <c r="J35" i="20"/>
  <c r="J35" i="194"/>
  <c r="J35" i="186"/>
  <c r="J35" i="231"/>
  <c r="J23" i="290"/>
  <c r="J35" i="290"/>
  <c r="J35" i="97"/>
  <c r="J35" i="144"/>
  <c r="J35" i="85"/>
  <c r="J35" i="265"/>
  <c r="J20" i="290"/>
  <c r="J32" i="290"/>
  <c r="J35" i="54"/>
  <c r="J35" i="7"/>
  <c r="J35" i="185"/>
  <c r="J35" i="192"/>
  <c r="J35" i="201"/>
  <c r="J35" i="271"/>
  <c r="J35" i="1"/>
  <c r="J35" i="243"/>
  <c r="J35" i="229"/>
  <c r="J35" i="114"/>
  <c r="J35" i="11"/>
  <c r="J35" i="174"/>
  <c r="J35" i="46"/>
  <c r="J35" i="105"/>
  <c r="J35" i="268"/>
  <c r="J35" i="19"/>
  <c r="J35" i="197"/>
  <c r="J35" i="187"/>
  <c r="J35" i="31"/>
  <c r="J35" i="284"/>
  <c r="J35" i="112"/>
  <c r="J35" i="191"/>
  <c r="J35" i="37"/>
  <c r="J23" i="289"/>
  <c r="J35" i="289"/>
  <c r="J35" i="288"/>
  <c r="J35" i="88"/>
  <c r="J35" i="13"/>
  <c r="J35" i="184"/>
  <c r="J35" i="104"/>
  <c r="J35" i="48"/>
  <c r="J35" i="169"/>
  <c r="J35" i="103"/>
  <c r="J35" i="29"/>
  <c r="J35" i="153"/>
  <c r="J35" i="47"/>
  <c r="J35" i="257"/>
  <c r="J35" i="203"/>
  <c r="J35" i="263"/>
  <c r="J35" i="280"/>
  <c r="J35" i="74"/>
  <c r="J35" i="21"/>
  <c r="J35" i="283"/>
  <c r="J35" i="168"/>
  <c r="J35" i="160"/>
  <c r="J35" i="23"/>
  <c r="J35" i="142"/>
  <c r="J35" i="246"/>
  <c r="J35" i="109"/>
  <c r="J35" i="270"/>
  <c r="J35" i="2"/>
  <c r="J35" i="25"/>
  <c r="J35" i="18"/>
  <c r="J35" i="233"/>
  <c r="J35" i="170"/>
  <c r="J35" i="148"/>
  <c r="J35" i="193"/>
  <c r="J35" i="287"/>
  <c r="J35" i="16"/>
  <c r="J35" i="253"/>
  <c r="J35" i="4"/>
  <c r="J35" i="28"/>
  <c r="J35" i="12"/>
  <c r="J35" i="248"/>
  <c r="J35" i="209"/>
  <c r="J35" i="254"/>
  <c r="J35" i="281"/>
  <c r="J35" i="227"/>
  <c r="J35" i="116"/>
  <c r="J35" i="33"/>
  <c r="J35" i="230"/>
  <c r="J35" i="3"/>
  <c r="J18" i="289"/>
  <c r="J30" i="289"/>
  <c r="J19" i="289"/>
  <c r="J31" i="289"/>
  <c r="J21" i="290"/>
  <c r="J33" i="290"/>
  <c r="J20" i="289"/>
  <c r="J17" i="289"/>
  <c r="J29" i="289"/>
  <c r="J22" i="289"/>
  <c r="J34" i="289"/>
  <c r="N7" i="290"/>
  <c r="N10" i="290"/>
  <c r="M22" i="290"/>
  <c r="L10" i="290"/>
  <c r="N13" i="290"/>
  <c r="M25" i="290"/>
  <c r="L13" i="290"/>
  <c r="H25" i="289"/>
  <c r="H28" i="289"/>
  <c r="H32" i="289"/>
  <c r="H21" i="290"/>
  <c r="H24" i="290"/>
  <c r="H31" i="289"/>
  <c r="H27" i="290"/>
  <c r="H30" i="290"/>
  <c r="H33" i="290"/>
  <c r="H24" i="289"/>
  <c r="H27" i="289"/>
  <c r="H30" i="289"/>
  <c r="H33" i="289"/>
  <c r="H25" i="290"/>
  <c r="H31" i="290"/>
  <c r="H32" i="290"/>
  <c r="H34" i="290"/>
  <c r="D28" i="142"/>
  <c r="D28" i="144"/>
  <c r="D28" i="149"/>
  <c r="D28" i="185"/>
  <c r="D28" i="253"/>
  <c r="G23" i="289"/>
  <c r="H34" i="289"/>
  <c r="L22" i="290"/>
  <c r="M31" i="290"/>
  <c r="L22" i="289"/>
  <c r="M31" i="289"/>
  <c r="N7" i="289"/>
  <c r="D28" i="231"/>
  <c r="D28" i="152"/>
  <c r="D28" i="247"/>
  <c r="D28" i="186"/>
  <c r="C7" i="290"/>
  <c r="C10" i="290"/>
  <c r="C13" i="290"/>
  <c r="C16" i="290"/>
  <c r="C22" i="290"/>
  <c r="E34" i="290" s="1"/>
  <c r="C10" i="289"/>
  <c r="H29" i="290"/>
  <c r="C19" i="290"/>
  <c r="E31" i="290" s="1"/>
  <c r="C7" i="289"/>
  <c r="C13" i="289"/>
  <c r="C16" i="289"/>
  <c r="H29" i="289"/>
  <c r="C19" i="289"/>
  <c r="E31" i="289" s="1"/>
  <c r="C22" i="289"/>
  <c r="E34" i="289" s="1"/>
  <c r="N22" i="290"/>
  <c r="O25" i="290" s="1"/>
  <c r="N22" i="289"/>
  <c r="G17" i="290"/>
  <c r="H28" i="290"/>
  <c r="N10" i="289"/>
  <c r="N13" i="289"/>
  <c r="N16" i="289"/>
  <c r="N19" i="289"/>
  <c r="L10" i="289"/>
  <c r="L13" i="289"/>
  <c r="L16" i="289"/>
  <c r="M19" i="289"/>
  <c r="L19" i="289"/>
  <c r="N16" i="290"/>
  <c r="N19" i="290"/>
  <c r="L16" i="290"/>
  <c r="M19" i="290"/>
  <c r="L19" i="290"/>
  <c r="H23" i="289"/>
  <c r="H26" i="289"/>
  <c r="H26" i="290"/>
  <c r="G7" i="290"/>
  <c r="B10" i="290"/>
  <c r="G12" i="290"/>
  <c r="G13" i="290"/>
  <c r="B16" i="290"/>
  <c r="G19" i="290"/>
  <c r="G22" i="290"/>
  <c r="G23" i="290"/>
  <c r="H23" i="290"/>
  <c r="B16" i="289"/>
  <c r="G16" i="289"/>
  <c r="H17" i="290"/>
  <c r="G8" i="290"/>
  <c r="G15" i="290"/>
  <c r="B19" i="290"/>
  <c r="G10" i="290"/>
  <c r="H19" i="290"/>
  <c r="G20" i="290"/>
  <c r="G6" i="290"/>
  <c r="H20" i="290"/>
  <c r="G21" i="290"/>
  <c r="G18" i="290"/>
  <c r="B22" i="290"/>
  <c r="H22" i="290"/>
  <c r="H18" i="290"/>
  <c r="G11" i="290"/>
  <c r="B13" i="290"/>
  <c r="G14" i="290"/>
  <c r="G16" i="290"/>
  <c r="B7" i="290"/>
  <c r="G9" i="290"/>
  <c r="G6" i="289"/>
  <c r="G9" i="289"/>
  <c r="G12" i="289"/>
  <c r="G15" i="289"/>
  <c r="G14" i="289"/>
  <c r="H18" i="289"/>
  <c r="H21" i="289"/>
  <c r="B7" i="289"/>
  <c r="G7" i="289"/>
  <c r="B10" i="289"/>
  <c r="G10" i="289"/>
  <c r="G11" i="289"/>
  <c r="B13" i="289"/>
  <c r="H17" i="289"/>
  <c r="G19" i="289"/>
  <c r="H20" i="289"/>
  <c r="G22" i="289"/>
  <c r="G13" i="289"/>
  <c r="H22" i="289"/>
  <c r="B19" i="289"/>
  <c r="H19" i="289"/>
  <c r="B22" i="289"/>
  <c r="G17" i="289"/>
  <c r="G18" i="289"/>
  <c r="G20" i="289"/>
  <c r="G21" i="289"/>
  <c r="G8" i="289"/>
  <c r="O10" i="290" l="1"/>
  <c r="O13" i="290"/>
  <c r="D10" i="289"/>
  <c r="D10" i="290"/>
  <c r="E19" i="290"/>
  <c r="D19" i="290"/>
  <c r="D16" i="290"/>
  <c r="E28" i="290"/>
  <c r="D16" i="289"/>
  <c r="E28" i="289"/>
  <c r="D13" i="290"/>
  <c r="E25" i="290"/>
  <c r="E22" i="289"/>
  <c r="D22" i="289"/>
  <c r="D25" i="289"/>
  <c r="D13" i="289"/>
  <c r="E25" i="289"/>
  <c r="E19" i="289"/>
  <c r="D19" i="289"/>
  <c r="E22" i="290"/>
  <c r="D22" i="290"/>
  <c r="D25" i="290"/>
  <c r="O22" i="290"/>
  <c r="O22" i="289"/>
  <c r="O25" i="289"/>
  <c r="O10" i="289"/>
  <c r="O16" i="289"/>
  <c r="O16" i="290"/>
  <c r="O13" i="289"/>
  <c r="O19" i="289"/>
  <c r="O19" i="290"/>
  <c r="T22" i="288" l="1"/>
  <c r="I22" i="288" s="1"/>
  <c r="F22" i="288"/>
  <c r="T21" i="288"/>
  <c r="I21" i="288" s="1"/>
  <c r="F21" i="288"/>
  <c r="T20" i="288"/>
  <c r="I20" i="288" s="1"/>
  <c r="F20" i="288"/>
  <c r="K19" i="288"/>
  <c r="U19" i="288"/>
  <c r="T19" i="288"/>
  <c r="I19" i="288" s="1"/>
  <c r="F19" i="288"/>
  <c r="T18" i="288"/>
  <c r="I18" i="288" s="1"/>
  <c r="F18" i="288"/>
  <c r="T17" i="288"/>
  <c r="I17" i="288" s="1"/>
  <c r="F17" i="288"/>
  <c r="K16" i="288"/>
  <c r="U16" i="288"/>
  <c r="M28" i="288" s="1"/>
  <c r="T16" i="288"/>
  <c r="I16" i="288" s="1"/>
  <c r="J28" i="288" s="1"/>
  <c r="F16" i="288"/>
  <c r="T15" i="288"/>
  <c r="I15" i="288" s="1"/>
  <c r="J27" i="288" s="1"/>
  <c r="F15" i="288"/>
  <c r="T14" i="288"/>
  <c r="I14" i="288" s="1"/>
  <c r="J26" i="288" s="1"/>
  <c r="F14" i="288"/>
  <c r="K13" i="288"/>
  <c r="U13" i="288"/>
  <c r="M25" i="288" s="1"/>
  <c r="T13" i="288"/>
  <c r="I13" i="288" s="1"/>
  <c r="J25" i="288" s="1"/>
  <c r="F13" i="288"/>
  <c r="T12" i="288"/>
  <c r="I12" i="288" s="1"/>
  <c r="J24" i="288" s="1"/>
  <c r="F12" i="288"/>
  <c r="T11" i="288"/>
  <c r="I11" i="288" s="1"/>
  <c r="J23" i="288" s="1"/>
  <c r="F11" i="288"/>
  <c r="K10" i="288"/>
  <c r="U10" i="288"/>
  <c r="M22" i="288" s="1"/>
  <c r="T10" i="288"/>
  <c r="I10" i="288" s="1"/>
  <c r="F10" i="288"/>
  <c r="T9" i="288"/>
  <c r="I9" i="288" s="1"/>
  <c r="F9" i="288"/>
  <c r="T8" i="288"/>
  <c r="I8" i="288" s="1"/>
  <c r="F8" i="288"/>
  <c r="K7" i="288"/>
  <c r="U7" i="288"/>
  <c r="T7" i="288"/>
  <c r="I7" i="288" s="1"/>
  <c r="F7" i="288"/>
  <c r="T6" i="288"/>
  <c r="I6" i="288" s="1"/>
  <c r="F6" i="288"/>
  <c r="T5" i="288"/>
  <c r="I5" i="288" s="1"/>
  <c r="F5" i="288"/>
  <c r="J20" i="288" l="1"/>
  <c r="J32" i="288"/>
  <c r="J21" i="288"/>
  <c r="J33" i="288"/>
  <c r="J18" i="288"/>
  <c r="J30" i="288"/>
  <c r="J19" i="288"/>
  <c r="J31" i="288"/>
  <c r="J17" i="288"/>
  <c r="J29" i="288"/>
  <c r="J22" i="288"/>
  <c r="J34" i="288"/>
  <c r="H27" i="288"/>
  <c r="H30" i="288"/>
  <c r="H33" i="288"/>
  <c r="H25" i="288"/>
  <c r="H28" i="288"/>
  <c r="H32" i="288"/>
  <c r="H24" i="288"/>
  <c r="H31" i="288"/>
  <c r="G23" i="288"/>
  <c r="H34" i="288"/>
  <c r="L22" i="288"/>
  <c r="M31" i="288"/>
  <c r="C7" i="288"/>
  <c r="C10" i="288"/>
  <c r="C13" i="288"/>
  <c r="C16" i="288"/>
  <c r="H29" i="288"/>
  <c r="C19" i="288"/>
  <c r="E31" i="288" s="1"/>
  <c r="C22" i="288"/>
  <c r="E34" i="288" s="1"/>
  <c r="N7" i="288"/>
  <c r="N10" i="288"/>
  <c r="N13" i="288"/>
  <c r="N16" i="288"/>
  <c r="N19" i="288"/>
  <c r="N22" i="288"/>
  <c r="L10" i="288"/>
  <c r="L13" i="288"/>
  <c r="L16" i="288"/>
  <c r="L19" i="288"/>
  <c r="M19" i="288"/>
  <c r="H23" i="288"/>
  <c r="H26" i="288"/>
  <c r="H22" i="288"/>
  <c r="G13" i="288"/>
  <c r="B16" i="288"/>
  <c r="G6" i="288"/>
  <c r="G9" i="288"/>
  <c r="G12" i="288"/>
  <c r="H21" i="288"/>
  <c r="H18" i="288"/>
  <c r="G14" i="288"/>
  <c r="B7" i="288"/>
  <c r="G7" i="288"/>
  <c r="B10" i="288"/>
  <c r="G10" i="288"/>
  <c r="G11" i="288"/>
  <c r="B13" i="288"/>
  <c r="G15" i="288"/>
  <c r="G16" i="288"/>
  <c r="H17" i="288"/>
  <c r="H20" i="288"/>
  <c r="G19" i="288"/>
  <c r="G22" i="288"/>
  <c r="B19" i="288"/>
  <c r="H19" i="288"/>
  <c r="B22" i="288"/>
  <c r="G17" i="288"/>
  <c r="G18" i="288"/>
  <c r="G20" i="288"/>
  <c r="G21" i="288"/>
  <c r="G8" i="288"/>
  <c r="T22" i="287"/>
  <c r="I22" i="287" s="1"/>
  <c r="J34" i="287" s="1"/>
  <c r="F22" i="287"/>
  <c r="T21" i="287"/>
  <c r="I21" i="287" s="1"/>
  <c r="F21" i="287"/>
  <c r="T20" i="287"/>
  <c r="I20" i="287" s="1"/>
  <c r="J32" i="287" s="1"/>
  <c r="F20" i="287"/>
  <c r="K19" i="287"/>
  <c r="U19" i="287"/>
  <c r="T19" i="287"/>
  <c r="I19" i="287" s="1"/>
  <c r="F19" i="287"/>
  <c r="T18" i="287"/>
  <c r="I18" i="287" s="1"/>
  <c r="F18" i="287"/>
  <c r="T17" i="287"/>
  <c r="I17" i="287" s="1"/>
  <c r="F17" i="287"/>
  <c r="K16" i="287"/>
  <c r="U16" i="287"/>
  <c r="M28" i="287" s="1"/>
  <c r="T16" i="287"/>
  <c r="I16" i="287" s="1"/>
  <c r="J28" i="287" s="1"/>
  <c r="F16" i="287"/>
  <c r="T15" i="287"/>
  <c r="I15" i="287" s="1"/>
  <c r="J27" i="287" s="1"/>
  <c r="F15" i="287"/>
  <c r="T14" i="287"/>
  <c r="I14" i="287" s="1"/>
  <c r="J26" i="287" s="1"/>
  <c r="F14" i="287"/>
  <c r="K13" i="287"/>
  <c r="U13" i="287"/>
  <c r="M25" i="287" s="1"/>
  <c r="T13" i="287"/>
  <c r="I13" i="287" s="1"/>
  <c r="J25" i="287" s="1"/>
  <c r="F13" i="287"/>
  <c r="T12" i="287"/>
  <c r="I12" i="287" s="1"/>
  <c r="J24" i="287" s="1"/>
  <c r="F12" i="287"/>
  <c r="T11" i="287"/>
  <c r="I11" i="287" s="1"/>
  <c r="J23" i="287" s="1"/>
  <c r="F11" i="287"/>
  <c r="K10" i="287"/>
  <c r="U10" i="287"/>
  <c r="M22" i="287" s="1"/>
  <c r="T10" i="287"/>
  <c r="I10" i="287" s="1"/>
  <c r="F10" i="287"/>
  <c r="T9" i="287"/>
  <c r="I9" i="287" s="1"/>
  <c r="F9" i="287"/>
  <c r="T8" i="287"/>
  <c r="I8" i="287" s="1"/>
  <c r="F8" i="287"/>
  <c r="K7" i="287"/>
  <c r="U7" i="287"/>
  <c r="T7" i="287"/>
  <c r="I7" i="287" s="1"/>
  <c r="F7" i="287"/>
  <c r="T6" i="287"/>
  <c r="I6" i="287" s="1"/>
  <c r="F6" i="287"/>
  <c r="T5" i="287"/>
  <c r="I5" i="287" s="1"/>
  <c r="F5" i="287"/>
  <c r="T22" i="285"/>
  <c r="I22" i="285" s="1"/>
  <c r="F22" i="285"/>
  <c r="T21" i="285"/>
  <c r="I21" i="285" s="1"/>
  <c r="J33" i="285" s="1"/>
  <c r="F21" i="285"/>
  <c r="T20" i="285"/>
  <c r="I20" i="285" s="1"/>
  <c r="F20" i="285"/>
  <c r="K19" i="285"/>
  <c r="U19" i="285"/>
  <c r="T19" i="285"/>
  <c r="I19" i="285" s="1"/>
  <c r="J31" i="285" s="1"/>
  <c r="F19" i="285"/>
  <c r="T18" i="285"/>
  <c r="I18" i="285" s="1"/>
  <c r="F18" i="285"/>
  <c r="T17" i="285"/>
  <c r="I17" i="285" s="1"/>
  <c r="J29" i="285" s="1"/>
  <c r="F17" i="285"/>
  <c r="K16" i="285"/>
  <c r="U16" i="285"/>
  <c r="M28" i="285" s="1"/>
  <c r="T16" i="285"/>
  <c r="I16" i="285" s="1"/>
  <c r="J28" i="285" s="1"/>
  <c r="F16" i="285"/>
  <c r="T15" i="285"/>
  <c r="I15" i="285" s="1"/>
  <c r="J27" i="285" s="1"/>
  <c r="F15" i="285"/>
  <c r="T14" i="285"/>
  <c r="I14" i="285" s="1"/>
  <c r="J26" i="285" s="1"/>
  <c r="F14" i="285"/>
  <c r="K13" i="285"/>
  <c r="U13" i="285"/>
  <c r="M25" i="285" s="1"/>
  <c r="T13" i="285"/>
  <c r="I13" i="285" s="1"/>
  <c r="J25" i="285" s="1"/>
  <c r="F13" i="285"/>
  <c r="T12" i="285"/>
  <c r="I12" i="285" s="1"/>
  <c r="J24" i="285" s="1"/>
  <c r="F12" i="285"/>
  <c r="T11" i="285"/>
  <c r="I11" i="285" s="1"/>
  <c r="J23" i="285" s="1"/>
  <c r="F11" i="285"/>
  <c r="K10" i="285"/>
  <c r="U10" i="285"/>
  <c r="M22" i="285" s="1"/>
  <c r="T10" i="285"/>
  <c r="I10" i="285" s="1"/>
  <c r="F10" i="285"/>
  <c r="T9" i="285"/>
  <c r="I9" i="285" s="1"/>
  <c r="F9" i="285"/>
  <c r="T8" i="285"/>
  <c r="I8" i="285" s="1"/>
  <c r="F8" i="285"/>
  <c r="K7" i="285"/>
  <c r="U7" i="285"/>
  <c r="T7" i="285"/>
  <c r="I7" i="285" s="1"/>
  <c r="F7" i="285"/>
  <c r="T6" i="285"/>
  <c r="I6" i="285" s="1"/>
  <c r="F6" i="285"/>
  <c r="T5" i="285"/>
  <c r="I5" i="285" s="1"/>
  <c r="F5" i="285"/>
  <c r="T22" i="284"/>
  <c r="I22" i="284" s="1"/>
  <c r="F22" i="284"/>
  <c r="T21" i="284"/>
  <c r="I21" i="284" s="1"/>
  <c r="F21" i="284"/>
  <c r="T20" i="284"/>
  <c r="I20" i="284" s="1"/>
  <c r="F20" i="284"/>
  <c r="K19" i="284"/>
  <c r="U19" i="284"/>
  <c r="T19" i="284"/>
  <c r="I19" i="284" s="1"/>
  <c r="F19" i="284"/>
  <c r="T18" i="284"/>
  <c r="I18" i="284" s="1"/>
  <c r="F18" i="284"/>
  <c r="T17" i="284"/>
  <c r="I17" i="284" s="1"/>
  <c r="F17" i="284"/>
  <c r="K16" i="284"/>
  <c r="U16" i="284"/>
  <c r="M28" i="284" s="1"/>
  <c r="T16" i="284"/>
  <c r="I16" i="284" s="1"/>
  <c r="J28" i="284" s="1"/>
  <c r="F16" i="284"/>
  <c r="T15" i="284"/>
  <c r="I15" i="284" s="1"/>
  <c r="J27" i="284" s="1"/>
  <c r="F15" i="284"/>
  <c r="T14" i="284"/>
  <c r="I14" i="284" s="1"/>
  <c r="J26" i="284" s="1"/>
  <c r="F14" i="284"/>
  <c r="K13" i="284"/>
  <c r="U13" i="284"/>
  <c r="M25" i="284" s="1"/>
  <c r="T13" i="284"/>
  <c r="I13" i="284" s="1"/>
  <c r="J25" i="284" s="1"/>
  <c r="F13" i="284"/>
  <c r="T12" i="284"/>
  <c r="I12" i="284" s="1"/>
  <c r="J24" i="284" s="1"/>
  <c r="F12" i="284"/>
  <c r="T11" i="284"/>
  <c r="I11" i="284" s="1"/>
  <c r="J23" i="284" s="1"/>
  <c r="F11" i="284"/>
  <c r="K10" i="284"/>
  <c r="U10" i="284"/>
  <c r="M22" i="284" s="1"/>
  <c r="T10" i="284"/>
  <c r="I10" i="284" s="1"/>
  <c r="F10" i="284"/>
  <c r="T9" i="284"/>
  <c r="I9" i="284" s="1"/>
  <c r="F9" i="284"/>
  <c r="T8" i="284"/>
  <c r="I8" i="284" s="1"/>
  <c r="F8" i="284"/>
  <c r="K7" i="284"/>
  <c r="U7" i="284"/>
  <c r="T7" i="284"/>
  <c r="I7" i="284" s="1"/>
  <c r="F7" i="284"/>
  <c r="T6" i="284"/>
  <c r="I6" i="284" s="1"/>
  <c r="F6" i="284"/>
  <c r="T5" i="284"/>
  <c r="I5" i="284" s="1"/>
  <c r="F5" i="284"/>
  <c r="T22" i="283"/>
  <c r="I22" i="283" s="1"/>
  <c r="F22" i="283"/>
  <c r="T21" i="283"/>
  <c r="I21" i="283" s="1"/>
  <c r="F21" i="283"/>
  <c r="T20" i="283"/>
  <c r="I20" i="283" s="1"/>
  <c r="F20" i="283"/>
  <c r="K19" i="283"/>
  <c r="U19" i="283"/>
  <c r="T19" i="283"/>
  <c r="I19" i="283" s="1"/>
  <c r="F19" i="283"/>
  <c r="T18" i="283"/>
  <c r="I18" i="283" s="1"/>
  <c r="F18" i="283"/>
  <c r="T17" i="283"/>
  <c r="I17" i="283" s="1"/>
  <c r="F17" i="283"/>
  <c r="M28" i="283"/>
  <c r="T16" i="283"/>
  <c r="I16" i="283" s="1"/>
  <c r="J28" i="283" s="1"/>
  <c r="F16" i="283"/>
  <c r="T15" i="283"/>
  <c r="I15" i="283" s="1"/>
  <c r="J27" i="283" s="1"/>
  <c r="F15" i="283"/>
  <c r="T14" i="283"/>
  <c r="I14" i="283" s="1"/>
  <c r="J26" i="283" s="1"/>
  <c r="F14" i="283"/>
  <c r="M25" i="283"/>
  <c r="T13" i="283"/>
  <c r="I13" i="283" s="1"/>
  <c r="J25" i="283" s="1"/>
  <c r="F13" i="283"/>
  <c r="T12" i="283"/>
  <c r="I12" i="283" s="1"/>
  <c r="J24" i="283" s="1"/>
  <c r="F12" i="283"/>
  <c r="T11" i="283"/>
  <c r="I11" i="283" s="1"/>
  <c r="J23" i="283" s="1"/>
  <c r="F11" i="283"/>
  <c r="M22" i="283"/>
  <c r="T10" i="283"/>
  <c r="I10" i="283" s="1"/>
  <c r="F10" i="283"/>
  <c r="T9" i="283"/>
  <c r="I9" i="283" s="1"/>
  <c r="F9" i="283"/>
  <c r="T8" i="283"/>
  <c r="I8" i="283" s="1"/>
  <c r="F8" i="283"/>
  <c r="T7" i="283"/>
  <c r="I7" i="283" s="1"/>
  <c r="F7" i="283"/>
  <c r="T6" i="283"/>
  <c r="I6" i="283" s="1"/>
  <c r="F6" i="283"/>
  <c r="T5" i="283"/>
  <c r="I5" i="283" s="1"/>
  <c r="F5" i="283"/>
  <c r="J17" i="285" l="1"/>
  <c r="J20" i="287"/>
  <c r="J18" i="283"/>
  <c r="J30" i="283"/>
  <c r="J20" i="283"/>
  <c r="J32" i="283"/>
  <c r="J19" i="284"/>
  <c r="J31" i="284"/>
  <c r="J21" i="284"/>
  <c r="J33" i="284"/>
  <c r="J22" i="285"/>
  <c r="J34" i="285"/>
  <c r="J30" i="287"/>
  <c r="J18" i="287"/>
  <c r="J19" i="283"/>
  <c r="J31" i="283"/>
  <c r="J21" i="283"/>
  <c r="J33" i="283"/>
  <c r="J17" i="284"/>
  <c r="J29" i="284"/>
  <c r="J22" i="284"/>
  <c r="J34" i="284"/>
  <c r="J19" i="285"/>
  <c r="J21" i="285"/>
  <c r="J18" i="285"/>
  <c r="J30" i="285"/>
  <c r="J20" i="285"/>
  <c r="J32" i="285"/>
  <c r="J22" i="287"/>
  <c r="J19" i="287"/>
  <c r="J31" i="287"/>
  <c r="J21" i="287"/>
  <c r="J33" i="287"/>
  <c r="J17" i="283"/>
  <c r="J29" i="283"/>
  <c r="J22" i="283"/>
  <c r="J34" i="283"/>
  <c r="J18" i="284"/>
  <c r="J30" i="284"/>
  <c r="J20" i="284"/>
  <c r="J32" i="284"/>
  <c r="J17" i="287"/>
  <c r="J29" i="287"/>
  <c r="H27" i="283"/>
  <c r="H32" i="283"/>
  <c r="H27" i="284"/>
  <c r="H25" i="285"/>
  <c r="H27" i="287"/>
  <c r="H30" i="287"/>
  <c r="H33" i="287"/>
  <c r="H28" i="283"/>
  <c r="H24" i="283"/>
  <c r="H31" i="283"/>
  <c r="H24" i="284"/>
  <c r="H30" i="284"/>
  <c r="H33" i="284"/>
  <c r="H28" i="285"/>
  <c r="H31" i="285"/>
  <c r="H32" i="285"/>
  <c r="H24" i="287"/>
  <c r="H25" i="283"/>
  <c r="H30" i="283"/>
  <c r="H33" i="283"/>
  <c r="H25" i="284"/>
  <c r="H28" i="284"/>
  <c r="H31" i="284"/>
  <c r="H32" i="284"/>
  <c r="H24" i="285"/>
  <c r="H27" i="285"/>
  <c r="H30" i="285"/>
  <c r="H33" i="285"/>
  <c r="H25" i="287"/>
  <c r="H28" i="287"/>
  <c r="H31" i="287"/>
  <c r="H32" i="287"/>
  <c r="H22" i="285"/>
  <c r="N10" i="283"/>
  <c r="G23" i="284"/>
  <c r="H34" i="284"/>
  <c r="G23" i="287"/>
  <c r="H34" i="287"/>
  <c r="G23" i="283"/>
  <c r="H34" i="283"/>
  <c r="G23" i="285"/>
  <c r="H34" i="285"/>
  <c r="N7" i="283"/>
  <c r="L22" i="284"/>
  <c r="M31" i="284"/>
  <c r="L22" i="287"/>
  <c r="M31" i="287"/>
  <c r="L22" i="283"/>
  <c r="M31" i="283"/>
  <c r="L22" i="285"/>
  <c r="M31" i="285"/>
  <c r="D10" i="288"/>
  <c r="D16" i="288"/>
  <c r="E28" i="288"/>
  <c r="E22" i="288"/>
  <c r="D22" i="288"/>
  <c r="D25" i="288"/>
  <c r="D13" i="288"/>
  <c r="E25" i="288"/>
  <c r="E19" i="288"/>
  <c r="D19" i="288"/>
  <c r="C16" i="284"/>
  <c r="C22" i="284"/>
  <c r="E34" i="284" s="1"/>
  <c r="C7" i="284"/>
  <c r="C7" i="287"/>
  <c r="C10" i="287"/>
  <c r="C13" i="287"/>
  <c r="C16" i="287"/>
  <c r="C22" i="287"/>
  <c r="E34" i="287" s="1"/>
  <c r="C10" i="284"/>
  <c r="C13" i="284"/>
  <c r="H29" i="284"/>
  <c r="C19" i="284"/>
  <c r="E31" i="284" s="1"/>
  <c r="H29" i="287"/>
  <c r="C19" i="287"/>
  <c r="E31" i="287" s="1"/>
  <c r="C7" i="283"/>
  <c r="C10" i="283"/>
  <c r="C13" i="283"/>
  <c r="C16" i="283"/>
  <c r="H29" i="283"/>
  <c r="C19" i="283"/>
  <c r="E31" i="283" s="1"/>
  <c r="C22" i="283"/>
  <c r="E34" i="283" s="1"/>
  <c r="C7" i="285"/>
  <c r="C10" i="285"/>
  <c r="C13" i="285"/>
  <c r="C16" i="285"/>
  <c r="H29" i="285"/>
  <c r="C19" i="285"/>
  <c r="E31" i="285" s="1"/>
  <c r="C22" i="285"/>
  <c r="E34" i="285" s="1"/>
  <c r="O13" i="288"/>
  <c r="O10" i="288"/>
  <c r="O19" i="288"/>
  <c r="O16" i="288"/>
  <c r="N22" i="283"/>
  <c r="O25" i="283" s="1"/>
  <c r="N22" i="285"/>
  <c r="O25" i="285" s="1"/>
  <c r="N22" i="284"/>
  <c r="O25" i="284" s="1"/>
  <c r="O22" i="288"/>
  <c r="O25" i="288"/>
  <c r="N22" i="287"/>
  <c r="N19" i="285"/>
  <c r="N19" i="287"/>
  <c r="N7" i="284"/>
  <c r="N10" i="284"/>
  <c r="N13" i="284"/>
  <c r="N16" i="284"/>
  <c r="N19" i="284"/>
  <c r="N13" i="283"/>
  <c r="N16" i="283"/>
  <c r="L10" i="285"/>
  <c r="L16" i="285"/>
  <c r="L13" i="285"/>
  <c r="N7" i="285"/>
  <c r="N10" i="285"/>
  <c r="N13" i="285"/>
  <c r="N16" i="285"/>
  <c r="L19" i="285"/>
  <c r="M19" i="285"/>
  <c r="L10" i="287"/>
  <c r="L13" i="287"/>
  <c r="L16" i="287"/>
  <c r="N7" i="287"/>
  <c r="N10" i="287"/>
  <c r="N13" i="287"/>
  <c r="N16" i="287"/>
  <c r="M19" i="287"/>
  <c r="L19" i="287"/>
  <c r="L10" i="284"/>
  <c r="L13" i="284"/>
  <c r="L16" i="284"/>
  <c r="L19" i="284"/>
  <c r="M19" i="284"/>
  <c r="L13" i="283"/>
  <c r="L16" i="283"/>
  <c r="M19" i="283"/>
  <c r="L19" i="283"/>
  <c r="N19" i="283"/>
  <c r="H23" i="285"/>
  <c r="H26" i="285"/>
  <c r="H23" i="287"/>
  <c r="H26" i="287"/>
  <c r="H23" i="284"/>
  <c r="H26" i="284"/>
  <c r="H23" i="283"/>
  <c r="H26" i="283"/>
  <c r="G7" i="287"/>
  <c r="G16" i="287"/>
  <c r="G6" i="284"/>
  <c r="G9" i="284"/>
  <c r="G12" i="284"/>
  <c r="G6" i="285"/>
  <c r="G9" i="285"/>
  <c r="G18" i="285"/>
  <c r="G12" i="285"/>
  <c r="H22" i="284"/>
  <c r="G10" i="283"/>
  <c r="B13" i="283"/>
  <c r="G13" i="283"/>
  <c r="B7" i="283"/>
  <c r="G6" i="287"/>
  <c r="G12" i="287"/>
  <c r="G15" i="287"/>
  <c r="H18" i="287"/>
  <c r="H19" i="287"/>
  <c r="B7" i="287"/>
  <c r="G21" i="287"/>
  <c r="G8" i="287"/>
  <c r="G10" i="287"/>
  <c r="B13" i="287"/>
  <c r="G13" i="287"/>
  <c r="G14" i="287"/>
  <c r="B16" i="287"/>
  <c r="G22" i="287"/>
  <c r="B22" i="287"/>
  <c r="B19" i="287"/>
  <c r="G18" i="287"/>
  <c r="G20" i="287"/>
  <c r="H21" i="287"/>
  <c r="G17" i="287"/>
  <c r="H17" i="287"/>
  <c r="H20" i="287"/>
  <c r="B10" i="287"/>
  <c r="G11" i="287"/>
  <c r="G19" i="287"/>
  <c r="H22" i="287"/>
  <c r="G9" i="287"/>
  <c r="G13" i="285"/>
  <c r="G14" i="285"/>
  <c r="B16" i="285"/>
  <c r="H21" i="285"/>
  <c r="B7" i="285"/>
  <c r="G7" i="285"/>
  <c r="B10" i="285"/>
  <c r="G10" i="285"/>
  <c r="G11" i="285"/>
  <c r="B13" i="285"/>
  <c r="G15" i="285"/>
  <c r="G16" i="285"/>
  <c r="B19" i="285"/>
  <c r="H20" i="285"/>
  <c r="G19" i="285"/>
  <c r="G22" i="285"/>
  <c r="H19" i="285"/>
  <c r="B22" i="285"/>
  <c r="G17" i="285"/>
  <c r="G20" i="285"/>
  <c r="G21" i="285"/>
  <c r="G8" i="285"/>
  <c r="H17" i="285"/>
  <c r="H18" i="285"/>
  <c r="G13" i="284"/>
  <c r="B16" i="284"/>
  <c r="G14" i="284"/>
  <c r="H18" i="284"/>
  <c r="H21" i="284"/>
  <c r="B7" i="284"/>
  <c r="G7" i="284"/>
  <c r="B10" i="284"/>
  <c r="G10" i="284"/>
  <c r="G11" i="284"/>
  <c r="B13" i="284"/>
  <c r="G15" i="284"/>
  <c r="G16" i="284"/>
  <c r="H17" i="284"/>
  <c r="H20" i="284"/>
  <c r="G19" i="284"/>
  <c r="G22" i="284"/>
  <c r="B19" i="284"/>
  <c r="H19" i="284"/>
  <c r="B22" i="284"/>
  <c r="G17" i="284"/>
  <c r="G18" i="284"/>
  <c r="G20" i="284"/>
  <c r="G21" i="284"/>
  <c r="G8" i="284"/>
  <c r="G6" i="283"/>
  <c r="G9" i="283"/>
  <c r="H22" i="283"/>
  <c r="G11" i="283"/>
  <c r="H18" i="283"/>
  <c r="H21" i="283"/>
  <c r="G7" i="283"/>
  <c r="G8" i="283"/>
  <c r="B10" i="283"/>
  <c r="G12" i="283"/>
  <c r="B16" i="283"/>
  <c r="G16" i="283"/>
  <c r="H17" i="283"/>
  <c r="G19" i="283"/>
  <c r="H20" i="283"/>
  <c r="G22" i="283"/>
  <c r="G15" i="283"/>
  <c r="G14" i="283"/>
  <c r="B19" i="283"/>
  <c r="H19" i="283"/>
  <c r="B22" i="283"/>
  <c r="G17" i="283"/>
  <c r="G18" i="283"/>
  <c r="G20" i="283"/>
  <c r="G21" i="283"/>
  <c r="D10" i="284" l="1"/>
  <c r="D10" i="287"/>
  <c r="D16" i="283"/>
  <c r="E28" i="283"/>
  <c r="E19" i="287"/>
  <c r="D19" i="287"/>
  <c r="D13" i="284"/>
  <c r="E25" i="284"/>
  <c r="D13" i="287"/>
  <c r="E25" i="287"/>
  <c r="E22" i="284"/>
  <c r="D22" i="284"/>
  <c r="D25" i="284"/>
  <c r="D16" i="285"/>
  <c r="E28" i="285"/>
  <c r="E22" i="283"/>
  <c r="D22" i="283"/>
  <c r="D25" i="283"/>
  <c r="D13" i="283"/>
  <c r="E25" i="283"/>
  <c r="D16" i="284"/>
  <c r="E28" i="284"/>
  <c r="E22" i="285"/>
  <c r="D22" i="285"/>
  <c r="D25" i="285"/>
  <c r="D13" i="285"/>
  <c r="E25" i="285"/>
  <c r="E19" i="283"/>
  <c r="D19" i="283"/>
  <c r="D10" i="283"/>
  <c r="E19" i="284"/>
  <c r="D19" i="284"/>
  <c r="E22" i="287"/>
  <c r="D22" i="287"/>
  <c r="D25" i="287"/>
  <c r="E19" i="285"/>
  <c r="D19" i="285"/>
  <c r="D10" i="285"/>
  <c r="D16" i="287"/>
  <c r="E28" i="287"/>
  <c r="O10" i="284"/>
  <c r="O22" i="285"/>
  <c r="O16" i="284"/>
  <c r="O19" i="283"/>
  <c r="O10" i="283"/>
  <c r="O22" i="284"/>
  <c r="O19" i="284"/>
  <c r="O13" i="283"/>
  <c r="O16" i="283"/>
  <c r="O22" i="283"/>
  <c r="O22" i="287"/>
  <c r="O25" i="287"/>
  <c r="O13" i="285"/>
  <c r="O13" i="284"/>
  <c r="O13" i="287"/>
  <c r="O10" i="287"/>
  <c r="O16" i="285"/>
  <c r="O10" i="285"/>
  <c r="O19" i="285"/>
  <c r="O16" i="287"/>
  <c r="O19" i="287"/>
  <c r="T22" i="281" l="1"/>
  <c r="I22" i="281" s="1"/>
  <c r="F22" i="281"/>
  <c r="T21" i="281"/>
  <c r="I21" i="281" s="1"/>
  <c r="F21" i="281"/>
  <c r="T20" i="281"/>
  <c r="I20" i="281" s="1"/>
  <c r="F20" i="281"/>
  <c r="K19" i="281"/>
  <c r="U19" i="281"/>
  <c r="T19" i="281"/>
  <c r="I19" i="281" s="1"/>
  <c r="F19" i="281"/>
  <c r="T18" i="281"/>
  <c r="I18" i="281" s="1"/>
  <c r="F18" i="281"/>
  <c r="T17" i="281"/>
  <c r="I17" i="281" s="1"/>
  <c r="F17" i="281"/>
  <c r="K16" i="281"/>
  <c r="U16" i="281"/>
  <c r="M28" i="281" s="1"/>
  <c r="T16" i="281"/>
  <c r="I16" i="281" s="1"/>
  <c r="J28" i="281" s="1"/>
  <c r="F16" i="281"/>
  <c r="T15" i="281"/>
  <c r="I15" i="281" s="1"/>
  <c r="J27" i="281" s="1"/>
  <c r="F15" i="281"/>
  <c r="T14" i="281"/>
  <c r="I14" i="281" s="1"/>
  <c r="J26" i="281" s="1"/>
  <c r="F14" i="281"/>
  <c r="K13" i="281"/>
  <c r="U13" i="281"/>
  <c r="M25" i="281" s="1"/>
  <c r="T13" i="281"/>
  <c r="I13" i="281" s="1"/>
  <c r="J25" i="281" s="1"/>
  <c r="F13" i="281"/>
  <c r="T12" i="281"/>
  <c r="I12" i="281" s="1"/>
  <c r="J24" i="281" s="1"/>
  <c r="F12" i="281"/>
  <c r="T11" i="281"/>
  <c r="I11" i="281" s="1"/>
  <c r="J23" i="281" s="1"/>
  <c r="F11" i="281"/>
  <c r="K10" i="281"/>
  <c r="U10" i="281"/>
  <c r="M22" i="281" s="1"/>
  <c r="T10" i="281"/>
  <c r="I10" i="281" s="1"/>
  <c r="F10" i="281"/>
  <c r="T9" i="281"/>
  <c r="I9" i="281" s="1"/>
  <c r="F9" i="281"/>
  <c r="T8" i="281"/>
  <c r="I8" i="281" s="1"/>
  <c r="F8" i="281"/>
  <c r="K7" i="281"/>
  <c r="U7" i="281"/>
  <c r="T7" i="281"/>
  <c r="I7" i="281" s="1"/>
  <c r="F7" i="281"/>
  <c r="T6" i="281"/>
  <c r="I6" i="281" s="1"/>
  <c r="F6" i="281"/>
  <c r="T5" i="281"/>
  <c r="I5" i="281" s="1"/>
  <c r="F5" i="281"/>
  <c r="J20" i="281" l="1"/>
  <c r="J32" i="281"/>
  <c r="J19" i="281"/>
  <c r="J31" i="281"/>
  <c r="J18" i="281"/>
  <c r="J30" i="281"/>
  <c r="J21" i="281"/>
  <c r="J33" i="281"/>
  <c r="J17" i="281"/>
  <c r="J29" i="281"/>
  <c r="J22" i="281"/>
  <c r="J34" i="281"/>
  <c r="H24" i="281"/>
  <c r="H30" i="281"/>
  <c r="H33" i="281"/>
  <c r="H25" i="281"/>
  <c r="H31" i="281"/>
  <c r="H27" i="281"/>
  <c r="H28" i="281"/>
  <c r="H32" i="281"/>
  <c r="G23" i="281"/>
  <c r="H34" i="281"/>
  <c r="L22" i="281"/>
  <c r="M31" i="281"/>
  <c r="C22" i="281"/>
  <c r="E34" i="281" s="1"/>
  <c r="C7" i="281"/>
  <c r="C10" i="281"/>
  <c r="C13" i="281"/>
  <c r="C16" i="281"/>
  <c r="H29" i="281"/>
  <c r="C19" i="281"/>
  <c r="E31" i="281" s="1"/>
  <c r="N22" i="281"/>
  <c r="O25" i="281" s="1"/>
  <c r="N7" i="281"/>
  <c r="N10" i="281"/>
  <c r="N13" i="281"/>
  <c r="N16" i="281"/>
  <c r="L10" i="281"/>
  <c r="L13" i="281"/>
  <c r="N19" i="281"/>
  <c r="L16" i="281"/>
  <c r="M19" i="281"/>
  <c r="L19" i="281"/>
  <c r="H23" i="281"/>
  <c r="H26" i="281"/>
  <c r="G6" i="281"/>
  <c r="G9" i="281"/>
  <c r="G12" i="281"/>
  <c r="H22" i="281"/>
  <c r="G13" i="281"/>
  <c r="B16" i="281"/>
  <c r="G16" i="281"/>
  <c r="G19" i="281"/>
  <c r="G22" i="281"/>
  <c r="G14" i="281"/>
  <c r="H18" i="281"/>
  <c r="H21" i="281"/>
  <c r="B7" i="281"/>
  <c r="G7" i="281"/>
  <c r="B10" i="281"/>
  <c r="G10" i="281"/>
  <c r="G11" i="281"/>
  <c r="B13" i="281"/>
  <c r="G15" i="281"/>
  <c r="H17" i="281"/>
  <c r="H20" i="281"/>
  <c r="B19" i="281"/>
  <c r="H19" i="281"/>
  <c r="B22" i="281"/>
  <c r="G17" i="281"/>
  <c r="G18" i="281"/>
  <c r="G20" i="281"/>
  <c r="G21" i="281"/>
  <c r="G8" i="281"/>
  <c r="D25" i="281" l="1"/>
  <c r="D10" i="281"/>
  <c r="E22" i="281"/>
  <c r="E19" i="281"/>
  <c r="D19" i="281"/>
  <c r="D16" i="281"/>
  <c r="E28" i="281"/>
  <c r="D22" i="281"/>
  <c r="D13" i="281"/>
  <c r="E25" i="281"/>
  <c r="O22" i="281"/>
  <c r="O13" i="281"/>
  <c r="O10" i="281"/>
  <c r="O16" i="281"/>
  <c r="O19" i="281"/>
  <c r="T22" i="280" l="1"/>
  <c r="I22" i="280" s="1"/>
  <c r="F22" i="280"/>
  <c r="T21" i="280"/>
  <c r="I21" i="280" s="1"/>
  <c r="F21" i="280"/>
  <c r="T20" i="280"/>
  <c r="I20" i="280" s="1"/>
  <c r="F20" i="280"/>
  <c r="K19" i="280"/>
  <c r="U19" i="280"/>
  <c r="T19" i="280"/>
  <c r="I19" i="280" s="1"/>
  <c r="F19" i="280"/>
  <c r="T18" i="280"/>
  <c r="I18" i="280" s="1"/>
  <c r="F18" i="280"/>
  <c r="T17" i="280"/>
  <c r="I17" i="280" s="1"/>
  <c r="F17" i="280"/>
  <c r="K16" i="280"/>
  <c r="U16" i="280"/>
  <c r="M28" i="280" s="1"/>
  <c r="T16" i="280"/>
  <c r="I16" i="280" s="1"/>
  <c r="J28" i="280" s="1"/>
  <c r="F16" i="280"/>
  <c r="T15" i="280"/>
  <c r="I15" i="280" s="1"/>
  <c r="J27" i="280" s="1"/>
  <c r="F15" i="280"/>
  <c r="T14" i="280"/>
  <c r="I14" i="280" s="1"/>
  <c r="J26" i="280" s="1"/>
  <c r="F14" i="280"/>
  <c r="K13" i="280"/>
  <c r="U13" i="280"/>
  <c r="M25" i="280" s="1"/>
  <c r="T13" i="280"/>
  <c r="I13" i="280" s="1"/>
  <c r="J25" i="280" s="1"/>
  <c r="F13" i="280"/>
  <c r="T12" i="280"/>
  <c r="I12" i="280" s="1"/>
  <c r="J24" i="280" s="1"/>
  <c r="F12" i="280"/>
  <c r="T11" i="280"/>
  <c r="I11" i="280" s="1"/>
  <c r="J23" i="280" s="1"/>
  <c r="F11" i="280"/>
  <c r="K10" i="280"/>
  <c r="U10" i="280"/>
  <c r="M22" i="280" s="1"/>
  <c r="T10" i="280"/>
  <c r="I10" i="280" s="1"/>
  <c r="F10" i="280"/>
  <c r="T9" i="280"/>
  <c r="I9" i="280" s="1"/>
  <c r="F9" i="280"/>
  <c r="T8" i="280"/>
  <c r="I8" i="280" s="1"/>
  <c r="F8" i="280"/>
  <c r="K7" i="280"/>
  <c r="U7" i="280"/>
  <c r="T7" i="280"/>
  <c r="I7" i="280" s="1"/>
  <c r="F7" i="280"/>
  <c r="T6" i="280"/>
  <c r="I6" i="280" s="1"/>
  <c r="F6" i="280"/>
  <c r="T5" i="280"/>
  <c r="I5" i="280" s="1"/>
  <c r="F5" i="280"/>
  <c r="J20" i="280" l="1"/>
  <c r="J32" i="280"/>
  <c r="J19" i="280"/>
  <c r="J31" i="280"/>
  <c r="J21" i="280"/>
  <c r="J33" i="280"/>
  <c r="J18" i="280"/>
  <c r="J30" i="280"/>
  <c r="J17" i="280"/>
  <c r="J29" i="280"/>
  <c r="J22" i="280"/>
  <c r="J34" i="280"/>
  <c r="H27" i="280"/>
  <c r="H30" i="280"/>
  <c r="H24" i="280"/>
  <c r="H25" i="280"/>
  <c r="H33" i="280"/>
  <c r="H28" i="280"/>
  <c r="H31" i="280"/>
  <c r="H32" i="280"/>
  <c r="G23" i="280"/>
  <c r="H34" i="280"/>
  <c r="L22" i="280"/>
  <c r="M31" i="280"/>
  <c r="C7" i="280"/>
  <c r="H29" i="280"/>
  <c r="C19" i="280"/>
  <c r="E31" i="280" s="1"/>
  <c r="C22" i="280"/>
  <c r="E34" i="280" s="1"/>
  <c r="C10" i="280"/>
  <c r="C13" i="280"/>
  <c r="C16" i="280"/>
  <c r="N10" i="280"/>
  <c r="N13" i="280"/>
  <c r="N19" i="280"/>
  <c r="N22" i="280"/>
  <c r="N16" i="280"/>
  <c r="N7" i="280"/>
  <c r="L10" i="280"/>
  <c r="L13" i="280"/>
  <c r="L16" i="280"/>
  <c r="M19" i="280"/>
  <c r="L19" i="280"/>
  <c r="H26" i="280"/>
  <c r="G7" i="280"/>
  <c r="B10" i="280"/>
  <c r="B19" i="280"/>
  <c r="G11" i="280"/>
  <c r="B13" i="280"/>
  <c r="H23" i="280"/>
  <c r="G16" i="280"/>
  <c r="H22" i="280"/>
  <c r="G15" i="280"/>
  <c r="B7" i="280"/>
  <c r="G9" i="280"/>
  <c r="G13" i="280"/>
  <c r="G14" i="280"/>
  <c r="B16" i="280"/>
  <c r="H20" i="280"/>
  <c r="G19" i="280"/>
  <c r="G22" i="280"/>
  <c r="H19" i="280"/>
  <c r="B22" i="280"/>
  <c r="G17" i="280"/>
  <c r="G18" i="280"/>
  <c r="G20" i="280"/>
  <c r="G21" i="280"/>
  <c r="G8" i="280"/>
  <c r="G10" i="280"/>
  <c r="G12" i="280"/>
  <c r="H17" i="280"/>
  <c r="H18" i="280"/>
  <c r="H21" i="280"/>
  <c r="G6" i="280"/>
  <c r="S22" i="279"/>
  <c r="F22" i="279"/>
  <c r="S21" i="279"/>
  <c r="F21" i="279"/>
  <c r="S20" i="279"/>
  <c r="F20" i="279"/>
  <c r="J19" i="279"/>
  <c r="T19" i="279"/>
  <c r="S19" i="279"/>
  <c r="F19" i="279"/>
  <c r="S18" i="279"/>
  <c r="F18" i="279"/>
  <c r="S17" i="279"/>
  <c r="F17" i="279"/>
  <c r="J16" i="279"/>
  <c r="T16" i="279"/>
  <c r="L28" i="279" s="1"/>
  <c r="S16" i="279"/>
  <c r="F16" i="279"/>
  <c r="S15" i="279"/>
  <c r="F15" i="279"/>
  <c r="S14" i="279"/>
  <c r="F14" i="279"/>
  <c r="I14" i="279" s="1"/>
  <c r="J13" i="279"/>
  <c r="T13" i="279"/>
  <c r="L25" i="279" s="1"/>
  <c r="S13" i="279"/>
  <c r="F13" i="279"/>
  <c r="S12" i="279"/>
  <c r="F12" i="279"/>
  <c r="S11" i="279"/>
  <c r="F11" i="279"/>
  <c r="I11" i="279" s="1"/>
  <c r="J10" i="279"/>
  <c r="T10" i="279"/>
  <c r="L22" i="279" s="1"/>
  <c r="S10" i="279"/>
  <c r="F10" i="279"/>
  <c r="I10" i="279" s="1"/>
  <c r="S9" i="279"/>
  <c r="F9" i="279"/>
  <c r="I9" i="279" s="1"/>
  <c r="S8" i="279"/>
  <c r="F8" i="279"/>
  <c r="I8" i="279" s="1"/>
  <c r="J7" i="279"/>
  <c r="T7" i="279"/>
  <c r="S7" i="279"/>
  <c r="F7" i="279"/>
  <c r="I7" i="279" s="1"/>
  <c r="S6" i="279"/>
  <c r="F6" i="279"/>
  <c r="I6" i="279" s="1"/>
  <c r="S5" i="279"/>
  <c r="F5" i="279"/>
  <c r="I5" i="279" s="1"/>
  <c r="H24" i="279" l="1"/>
  <c r="I24" i="279" s="1"/>
  <c r="I12" i="279"/>
  <c r="H27" i="279"/>
  <c r="I27" i="279" s="1"/>
  <c r="I15" i="279"/>
  <c r="H30" i="279"/>
  <c r="H33" i="279"/>
  <c r="H25" i="279"/>
  <c r="I25" i="279" s="1"/>
  <c r="I13" i="279"/>
  <c r="H28" i="279"/>
  <c r="I28" i="279" s="1"/>
  <c r="I16" i="279"/>
  <c r="H31" i="279"/>
  <c r="H32" i="279"/>
  <c r="G23" i="279"/>
  <c r="H34" i="279"/>
  <c r="K22" i="279"/>
  <c r="L31" i="279"/>
  <c r="D10" i="280"/>
  <c r="E22" i="280"/>
  <c r="D22" i="280"/>
  <c r="D25" i="280"/>
  <c r="D16" i="280"/>
  <c r="E28" i="280"/>
  <c r="E19" i="280"/>
  <c r="D19" i="280"/>
  <c r="D13" i="280"/>
  <c r="E25" i="280"/>
  <c r="C7" i="279"/>
  <c r="C13" i="279"/>
  <c r="C16" i="279"/>
  <c r="C10" i="279"/>
  <c r="C22" i="279"/>
  <c r="E34" i="279" s="1"/>
  <c r="H29" i="279"/>
  <c r="C19" i="279"/>
  <c r="E31" i="279" s="1"/>
  <c r="O13" i="280"/>
  <c r="O16" i="280"/>
  <c r="O19" i="280"/>
  <c r="M22" i="279"/>
  <c r="O10" i="280"/>
  <c r="O22" i="280"/>
  <c r="O25" i="280"/>
  <c r="M7" i="279"/>
  <c r="M10" i="279"/>
  <c r="M13" i="279"/>
  <c r="K10" i="279"/>
  <c r="K16" i="279"/>
  <c r="K13" i="279"/>
  <c r="M16" i="279"/>
  <c r="M19" i="279"/>
  <c r="K19" i="279"/>
  <c r="L19" i="279"/>
  <c r="H23" i="279"/>
  <c r="I23" i="279" s="1"/>
  <c r="H26" i="279"/>
  <c r="I26" i="279" s="1"/>
  <c r="G7" i="279"/>
  <c r="B10" i="279"/>
  <c r="G10" i="279"/>
  <c r="G22" i="279"/>
  <c r="B7" i="279"/>
  <c r="G18" i="279"/>
  <c r="G15" i="279"/>
  <c r="H21" i="279"/>
  <c r="I21" i="279" s="1"/>
  <c r="H20" i="279"/>
  <c r="I20" i="279" s="1"/>
  <c r="G8" i="279"/>
  <c r="G6" i="279"/>
  <c r="G9" i="279"/>
  <c r="B13" i="279"/>
  <c r="G13" i="279"/>
  <c r="B16" i="279"/>
  <c r="G16" i="279"/>
  <c r="G17" i="279"/>
  <c r="H19" i="279"/>
  <c r="I19" i="279" s="1"/>
  <c r="H18" i="279"/>
  <c r="I18" i="279" s="1"/>
  <c r="H22" i="279"/>
  <c r="I22" i="279" s="1"/>
  <c r="G20" i="279"/>
  <c r="G12" i="279"/>
  <c r="H17" i="279"/>
  <c r="I17" i="279" s="1"/>
  <c r="G11" i="279"/>
  <c r="G19" i="279"/>
  <c r="G14" i="279"/>
  <c r="B19" i="279"/>
  <c r="B22" i="279"/>
  <c r="G21" i="279"/>
  <c r="D13" i="279" l="1"/>
  <c r="E25" i="279"/>
  <c r="E22" i="279"/>
  <c r="D22" i="279"/>
  <c r="D25" i="279"/>
  <c r="D10" i="279"/>
  <c r="E19" i="279"/>
  <c r="D19" i="279"/>
  <c r="D16" i="279"/>
  <c r="E28" i="279"/>
  <c r="N13" i="279"/>
  <c r="N10" i="279"/>
  <c r="N19" i="279"/>
  <c r="N22" i="279"/>
  <c r="N25" i="279"/>
  <c r="N16" i="279"/>
  <c r="U21" i="202" l="1"/>
  <c r="U20" i="202"/>
  <c r="U19" i="202"/>
  <c r="M31" i="202" s="1"/>
  <c r="U18" i="202"/>
  <c r="U17" i="202"/>
  <c r="U16" i="202"/>
  <c r="U15" i="202"/>
  <c r="U14" i="202"/>
  <c r="U13" i="202"/>
  <c r="M25" i="202" s="1"/>
  <c r="U12" i="202"/>
  <c r="U11" i="202"/>
  <c r="U10" i="202"/>
  <c r="M22" i="202" s="1"/>
  <c r="U9" i="202"/>
  <c r="U8" i="202"/>
  <c r="U7" i="202"/>
  <c r="U6" i="202"/>
  <c r="U5" i="202"/>
  <c r="M28" i="202" l="1"/>
  <c r="M19" i="202"/>
  <c r="T22" i="276"/>
  <c r="I22" i="276" s="1"/>
  <c r="F22" i="276"/>
  <c r="T21" i="276"/>
  <c r="I21" i="276" s="1"/>
  <c r="J33" i="276" s="1"/>
  <c r="F21" i="276"/>
  <c r="T20" i="276"/>
  <c r="I20" i="276" s="1"/>
  <c r="F20" i="276"/>
  <c r="K19" i="276"/>
  <c r="U19" i="276"/>
  <c r="T19" i="276"/>
  <c r="I19" i="276" s="1"/>
  <c r="J31" i="276" s="1"/>
  <c r="F19" i="276"/>
  <c r="T18" i="276"/>
  <c r="I18" i="276" s="1"/>
  <c r="F18" i="276"/>
  <c r="T17" i="276"/>
  <c r="I17" i="276" s="1"/>
  <c r="J29" i="276" s="1"/>
  <c r="F17" i="276"/>
  <c r="K16" i="276"/>
  <c r="U16" i="276"/>
  <c r="M28" i="276" s="1"/>
  <c r="T16" i="276"/>
  <c r="I16" i="276" s="1"/>
  <c r="J28" i="276" s="1"/>
  <c r="F16" i="276"/>
  <c r="T15" i="276"/>
  <c r="I15" i="276" s="1"/>
  <c r="J27" i="276" s="1"/>
  <c r="F15" i="276"/>
  <c r="T14" i="276"/>
  <c r="I14" i="276" s="1"/>
  <c r="J26" i="276" s="1"/>
  <c r="F14" i="276"/>
  <c r="K13" i="276"/>
  <c r="U13" i="276"/>
  <c r="M25" i="276" s="1"/>
  <c r="T13" i="276"/>
  <c r="I13" i="276" s="1"/>
  <c r="J25" i="276" s="1"/>
  <c r="F13" i="276"/>
  <c r="T12" i="276"/>
  <c r="I12" i="276" s="1"/>
  <c r="J24" i="276" s="1"/>
  <c r="F12" i="276"/>
  <c r="T11" i="276"/>
  <c r="I11" i="276" s="1"/>
  <c r="J23" i="276" s="1"/>
  <c r="F11" i="276"/>
  <c r="K10" i="276"/>
  <c r="U10" i="276"/>
  <c r="M22" i="276" s="1"/>
  <c r="T10" i="276"/>
  <c r="I10" i="276" s="1"/>
  <c r="F10" i="276"/>
  <c r="T9" i="276"/>
  <c r="I9" i="276" s="1"/>
  <c r="F9" i="276"/>
  <c r="T8" i="276"/>
  <c r="I8" i="276" s="1"/>
  <c r="F8" i="276"/>
  <c r="K7" i="276"/>
  <c r="U7" i="276"/>
  <c r="T7" i="276"/>
  <c r="I7" i="276" s="1"/>
  <c r="F7" i="276"/>
  <c r="T6" i="276"/>
  <c r="I6" i="276" s="1"/>
  <c r="F6" i="276"/>
  <c r="T5" i="276"/>
  <c r="I5" i="276" s="1"/>
  <c r="F5" i="276"/>
  <c r="F22" i="28"/>
  <c r="F22" i="29"/>
  <c r="F22" i="4"/>
  <c r="F22" i="5"/>
  <c r="F22" i="207"/>
  <c r="F22" i="23"/>
  <c r="F22" i="12"/>
  <c r="F22" i="54"/>
  <c r="F22" i="17"/>
  <c r="F22" i="89"/>
  <c r="F22" i="262"/>
  <c r="F22" i="9"/>
  <c r="F22" i="35"/>
  <c r="F22" i="18"/>
  <c r="F22" i="20"/>
  <c r="F22" i="201"/>
  <c r="F22" i="249"/>
  <c r="F22" i="202"/>
  <c r="F22" i="43"/>
  <c r="F22" i="265"/>
  <c r="F22" i="248"/>
  <c r="F22" i="239"/>
  <c r="F22" i="243"/>
  <c r="F22" i="244"/>
  <c r="F22" i="246"/>
  <c r="F22" i="33"/>
  <c r="F22" i="101"/>
  <c r="F22" i="112"/>
  <c r="F22" i="181"/>
  <c r="F22" i="183"/>
  <c r="F22" i="184"/>
  <c r="F22" i="227"/>
  <c r="F22" i="16"/>
  <c r="F22" i="203"/>
  <c r="F22" i="37"/>
  <c r="F22" i="7"/>
  <c r="F22" i="190"/>
  <c r="F22" i="105"/>
  <c r="F22" i="74"/>
  <c r="F22" i="61"/>
  <c r="F22" i="200"/>
  <c r="F22" i="114"/>
  <c r="F22" i="13"/>
  <c r="F22" i="261"/>
  <c r="F22" i="153"/>
  <c r="F22" i="257"/>
  <c r="F22" i="109"/>
  <c r="F22" i="194"/>
  <c r="F22" i="193"/>
  <c r="F22" i="27"/>
  <c r="F22" i="143"/>
  <c r="F22" i="75"/>
  <c r="F22" i="45"/>
  <c r="F22" i="97"/>
  <c r="F22" i="268"/>
  <c r="F22" i="233"/>
  <c r="F22" i="209"/>
  <c r="E22" i="175"/>
  <c r="F23" i="175" s="1"/>
  <c r="F22" i="103"/>
  <c r="F22" i="87"/>
  <c r="F22" i="104"/>
  <c r="F22" i="270"/>
  <c r="F22" i="271"/>
  <c r="F22" i="140"/>
  <c r="F22" i="159"/>
  <c r="F22" i="160"/>
  <c r="F22" i="107"/>
  <c r="F22" i="176"/>
  <c r="F22" i="162"/>
  <c r="F22" i="48"/>
  <c r="F22" i="135"/>
  <c r="F22" i="24"/>
  <c r="F22" i="88"/>
  <c r="F22" i="148"/>
  <c r="F22" i="47"/>
  <c r="F22" i="174"/>
  <c r="F22" i="198"/>
  <c r="F22" i="8"/>
  <c r="F22" i="263"/>
  <c r="F22" i="102"/>
  <c r="F22" i="113"/>
  <c r="F22" i="19"/>
  <c r="F22" i="21"/>
  <c r="F22" i="206"/>
  <c r="F22" i="254"/>
  <c r="F22" i="52"/>
  <c r="F22" i="3"/>
  <c r="F22" i="204"/>
  <c r="F22" i="2"/>
  <c r="F22" i="31"/>
  <c r="F22" i="229"/>
  <c r="F22" i="230"/>
  <c r="F22" i="46"/>
  <c r="F22" i="192"/>
  <c r="F22" i="53"/>
  <c r="F22" i="191"/>
  <c r="F22" i="22"/>
  <c r="F22" i="187"/>
  <c r="F22" i="164"/>
  <c r="F22" i="196"/>
  <c r="F22" i="197"/>
  <c r="F22" i="169"/>
  <c r="F22" i="168"/>
  <c r="F22" i="34"/>
  <c r="F22" i="32"/>
  <c r="F22" i="25"/>
  <c r="F22" i="1"/>
  <c r="F22" i="44"/>
  <c r="F22" i="116"/>
  <c r="F22" i="85"/>
  <c r="F22" i="269"/>
  <c r="F22" i="272"/>
  <c r="F22" i="11"/>
  <c r="J17" i="276" l="1"/>
  <c r="J22" i="276"/>
  <c r="J34" i="276"/>
  <c r="J19" i="276"/>
  <c r="J21" i="276"/>
  <c r="J18" i="276"/>
  <c r="J30" i="276"/>
  <c r="J20" i="276"/>
  <c r="J32" i="276"/>
  <c r="H34" i="244"/>
  <c r="H28" i="276"/>
  <c r="H34" i="276"/>
  <c r="H34" i="3"/>
  <c r="H25" i="276"/>
  <c r="H31" i="276"/>
  <c r="H27" i="276"/>
  <c r="H30" i="276"/>
  <c r="H33" i="276"/>
  <c r="H32" i="276"/>
  <c r="H212" i="417"/>
  <c r="I212" i="417" s="1"/>
  <c r="G23" i="47"/>
  <c r="H34" i="47"/>
  <c r="G23" i="103"/>
  <c r="H34" i="103"/>
  <c r="G23" i="261"/>
  <c r="H34" i="261"/>
  <c r="G23" i="61"/>
  <c r="H34" i="61"/>
  <c r="G23" i="227"/>
  <c r="H34" i="227"/>
  <c r="G23" i="9"/>
  <c r="H34" i="9"/>
  <c r="G23" i="11"/>
  <c r="H34" i="11"/>
  <c r="G23" i="116"/>
  <c r="H34" i="116"/>
  <c r="G23" i="32"/>
  <c r="H34" i="32"/>
  <c r="G23" i="197"/>
  <c r="H34" i="197"/>
  <c r="G23" i="187"/>
  <c r="H34" i="187"/>
  <c r="G23" i="192"/>
  <c r="H34" i="192"/>
  <c r="G23" i="31"/>
  <c r="H34" i="31"/>
  <c r="G23" i="52"/>
  <c r="H34" i="52"/>
  <c r="G23" i="19"/>
  <c r="H34" i="19"/>
  <c r="G23" i="8"/>
  <c r="H34" i="8"/>
  <c r="G23" i="148"/>
  <c r="H34" i="148"/>
  <c r="G23" i="48"/>
  <c r="H34" i="48"/>
  <c r="G23" i="160"/>
  <c r="H34" i="160"/>
  <c r="G23" i="270"/>
  <c r="H34" i="270"/>
  <c r="G23" i="97"/>
  <c r="H34" i="97"/>
  <c r="G23" i="143"/>
  <c r="H34" i="143"/>
  <c r="G23" i="109"/>
  <c r="H34" i="109"/>
  <c r="G23" i="13"/>
  <c r="H34" i="13"/>
  <c r="G23" i="74"/>
  <c r="H34" i="74"/>
  <c r="G23" i="37"/>
  <c r="H34" i="37"/>
  <c r="G23" i="184"/>
  <c r="H34" i="184"/>
  <c r="G23" i="101"/>
  <c r="H34" i="101"/>
  <c r="G23" i="243"/>
  <c r="H34" i="243"/>
  <c r="G23" i="43"/>
  <c r="H34" i="43"/>
  <c r="G23" i="20"/>
  <c r="H34" i="20"/>
  <c r="G23" i="262"/>
  <c r="H34" i="262"/>
  <c r="G23" i="12"/>
  <c r="H34" i="12"/>
  <c r="G23" i="4"/>
  <c r="H34" i="4"/>
  <c r="G23" i="25"/>
  <c r="H34" i="25"/>
  <c r="G23" i="169"/>
  <c r="H34" i="169"/>
  <c r="G23" i="53"/>
  <c r="H34" i="53"/>
  <c r="G23" i="263"/>
  <c r="H34" i="263"/>
  <c r="G23" i="107"/>
  <c r="H34" i="107"/>
  <c r="G23" i="268"/>
  <c r="H34" i="268"/>
  <c r="G23" i="75"/>
  <c r="H34" i="75"/>
  <c r="G23" i="7"/>
  <c r="H34" i="7"/>
  <c r="G23" i="112"/>
  <c r="H34" i="112"/>
  <c r="G23" i="265"/>
  <c r="H34" i="265"/>
  <c r="G23" i="5"/>
  <c r="H34" i="5"/>
  <c r="G23" i="272"/>
  <c r="H34" i="272"/>
  <c r="G23" i="44"/>
  <c r="H34" i="44"/>
  <c r="G23" i="34"/>
  <c r="H34" i="34"/>
  <c r="G23" i="196"/>
  <c r="H34" i="196"/>
  <c r="G23" i="22"/>
  <c r="H34" i="22"/>
  <c r="G23" i="46"/>
  <c r="H34" i="46"/>
  <c r="G23" i="2"/>
  <c r="H34" i="2"/>
  <c r="G23" i="254"/>
  <c r="H34" i="254"/>
  <c r="G23" i="113"/>
  <c r="H34" i="113"/>
  <c r="G23" i="198"/>
  <c r="H34" i="198"/>
  <c r="G23" i="88"/>
  <c r="H34" i="88"/>
  <c r="G23" i="162"/>
  <c r="H34" i="162"/>
  <c r="G23" i="159"/>
  <c r="H34" i="159"/>
  <c r="G23" i="104"/>
  <c r="H34" i="104"/>
  <c r="G23" i="209"/>
  <c r="H34" i="209"/>
  <c r="G23" i="27"/>
  <c r="H34" i="27"/>
  <c r="G23" i="257"/>
  <c r="H34" i="257"/>
  <c r="G23" i="114"/>
  <c r="H34" i="114"/>
  <c r="G23" i="105"/>
  <c r="H34" i="105"/>
  <c r="G23" i="203"/>
  <c r="H34" i="203"/>
  <c r="G23" i="183"/>
  <c r="H34" i="183"/>
  <c r="G23" i="33"/>
  <c r="H34" i="33"/>
  <c r="G23" i="239"/>
  <c r="H34" i="239"/>
  <c r="G23" i="202"/>
  <c r="H34" i="202"/>
  <c r="G23" i="18"/>
  <c r="H34" i="18"/>
  <c r="G23" i="89"/>
  <c r="H34" i="89"/>
  <c r="G23" i="23"/>
  <c r="H34" i="23"/>
  <c r="G23" i="29"/>
  <c r="H34" i="29"/>
  <c r="G23" i="85"/>
  <c r="H34" i="85"/>
  <c r="G23" i="164"/>
  <c r="H34" i="164"/>
  <c r="G23" i="229"/>
  <c r="H34" i="229"/>
  <c r="G23" i="21"/>
  <c r="H34" i="21"/>
  <c r="G23" i="135"/>
  <c r="H34" i="135"/>
  <c r="G23" i="271"/>
  <c r="H34" i="271"/>
  <c r="G23" i="194"/>
  <c r="H34" i="194"/>
  <c r="G23" i="201"/>
  <c r="H34" i="201"/>
  <c r="G23" i="54"/>
  <c r="H34" i="54"/>
  <c r="G23" i="269"/>
  <c r="H34" i="269"/>
  <c r="G23" i="1"/>
  <c r="H34" i="1"/>
  <c r="G23" i="168"/>
  <c r="H34" i="168"/>
  <c r="G23" i="191"/>
  <c r="H34" i="191"/>
  <c r="G23" i="230"/>
  <c r="H34" i="230"/>
  <c r="G23" i="204"/>
  <c r="H34" i="204"/>
  <c r="G23" i="206"/>
  <c r="H34" i="206"/>
  <c r="G23" i="102"/>
  <c r="H34" i="102"/>
  <c r="G23" i="174"/>
  <c r="H34" i="174"/>
  <c r="G23" i="24"/>
  <c r="H34" i="24"/>
  <c r="G23" i="176"/>
  <c r="H34" i="176"/>
  <c r="G23" i="140"/>
  <c r="H34" i="140"/>
  <c r="G23" i="87"/>
  <c r="H34" i="87"/>
  <c r="G23" i="233"/>
  <c r="H34" i="233"/>
  <c r="G23" i="45"/>
  <c r="H34" i="45"/>
  <c r="G23" i="193"/>
  <c r="H34" i="193"/>
  <c r="G23" i="153"/>
  <c r="H34" i="153"/>
  <c r="G23" i="200"/>
  <c r="H34" i="200"/>
  <c r="G23" i="190"/>
  <c r="H34" i="190"/>
  <c r="G23" i="16"/>
  <c r="H34" i="16"/>
  <c r="G23" i="181"/>
  <c r="H34" i="181"/>
  <c r="G23" i="246"/>
  <c r="H34" i="246"/>
  <c r="G23" i="248"/>
  <c r="H34" i="248"/>
  <c r="G23" i="249"/>
  <c r="H34" i="249"/>
  <c r="G23" i="35"/>
  <c r="H34" i="35"/>
  <c r="G23" i="17"/>
  <c r="H34" i="17"/>
  <c r="G23" i="207"/>
  <c r="H34" i="207"/>
  <c r="G23" i="28"/>
  <c r="H34" i="28"/>
  <c r="L22" i="276"/>
  <c r="M31" i="276"/>
  <c r="C10" i="276"/>
  <c r="C13" i="276"/>
  <c r="E25" i="276" s="1"/>
  <c r="C7" i="276"/>
  <c r="C16" i="276"/>
  <c r="H29" i="276"/>
  <c r="C19" i="276"/>
  <c r="E31" i="276" s="1"/>
  <c r="C22" i="276"/>
  <c r="E34" i="276" s="1"/>
  <c r="N22" i="276"/>
  <c r="N7" i="276"/>
  <c r="N10" i="276"/>
  <c r="N13" i="276"/>
  <c r="N16" i="276"/>
  <c r="N19" i="276"/>
  <c r="L10" i="276"/>
  <c r="L13" i="276"/>
  <c r="L16" i="276"/>
  <c r="M19" i="276"/>
  <c r="L19" i="276"/>
  <c r="G23" i="244"/>
  <c r="H23" i="276"/>
  <c r="H26" i="276"/>
  <c r="G23" i="3"/>
  <c r="G14" i="276"/>
  <c r="G12" i="276"/>
  <c r="H24" i="276"/>
  <c r="B19" i="276"/>
  <c r="G16" i="276"/>
  <c r="H22" i="276"/>
  <c r="G23" i="276"/>
  <c r="G22" i="276"/>
  <c r="H19" i="276"/>
  <c r="G10" i="276"/>
  <c r="B13" i="276"/>
  <c r="G15" i="276"/>
  <c r="B7" i="276"/>
  <c r="B10" i="276"/>
  <c r="G13" i="276"/>
  <c r="G8" i="276"/>
  <c r="G11" i="276"/>
  <c r="H20" i="276"/>
  <c r="G19" i="276"/>
  <c r="B22" i="276"/>
  <c r="G6" i="276"/>
  <c r="G7" i="276"/>
  <c r="G9" i="276"/>
  <c r="B16" i="276"/>
  <c r="G17" i="276"/>
  <c r="G18" i="276"/>
  <c r="G20" i="276"/>
  <c r="G21" i="276"/>
  <c r="H17" i="276"/>
  <c r="H18" i="276"/>
  <c r="H21" i="276"/>
  <c r="T22" i="272"/>
  <c r="I22" i="272" s="1"/>
  <c r="J34" i="272" s="1"/>
  <c r="T21" i="272"/>
  <c r="I21" i="272" s="1"/>
  <c r="F21" i="272"/>
  <c r="T20" i="272"/>
  <c r="I20" i="272" s="1"/>
  <c r="J32" i="272" s="1"/>
  <c r="F20" i="272"/>
  <c r="K19" i="272"/>
  <c r="U19" i="272"/>
  <c r="T19" i="272"/>
  <c r="I19" i="272" s="1"/>
  <c r="F19" i="272"/>
  <c r="T18" i="272"/>
  <c r="I18" i="272" s="1"/>
  <c r="F18" i="272"/>
  <c r="T17" i="272"/>
  <c r="I17" i="272" s="1"/>
  <c r="F17" i="272"/>
  <c r="K16" i="272"/>
  <c r="U16" i="272"/>
  <c r="M28" i="272" s="1"/>
  <c r="T16" i="272"/>
  <c r="I16" i="272" s="1"/>
  <c r="J28" i="272" s="1"/>
  <c r="F16" i="272"/>
  <c r="T15" i="272"/>
  <c r="I15" i="272" s="1"/>
  <c r="J27" i="272" s="1"/>
  <c r="F15" i="272"/>
  <c r="T14" i="272"/>
  <c r="I14" i="272" s="1"/>
  <c r="J26" i="272" s="1"/>
  <c r="F14" i="272"/>
  <c r="K13" i="272"/>
  <c r="U13" i="272"/>
  <c r="M25" i="272" s="1"/>
  <c r="T13" i="272"/>
  <c r="I13" i="272" s="1"/>
  <c r="J25" i="272" s="1"/>
  <c r="F13" i="272"/>
  <c r="T12" i="272"/>
  <c r="I12" i="272" s="1"/>
  <c r="J24" i="272" s="1"/>
  <c r="F12" i="272"/>
  <c r="T11" i="272"/>
  <c r="I11" i="272" s="1"/>
  <c r="J23" i="272" s="1"/>
  <c r="F11" i="272"/>
  <c r="K10" i="272"/>
  <c r="U10" i="272"/>
  <c r="M22" i="272" s="1"/>
  <c r="T10" i="272"/>
  <c r="I10" i="272" s="1"/>
  <c r="F10" i="272"/>
  <c r="T9" i="272"/>
  <c r="I9" i="272" s="1"/>
  <c r="F9" i="272"/>
  <c r="T8" i="272"/>
  <c r="I8" i="272" s="1"/>
  <c r="F8" i="272"/>
  <c r="K7" i="272"/>
  <c r="U7" i="272"/>
  <c r="T7" i="272"/>
  <c r="I7" i="272" s="1"/>
  <c r="F7" i="272"/>
  <c r="T6" i="272"/>
  <c r="I6" i="272" s="1"/>
  <c r="F6" i="272"/>
  <c r="T5" i="272"/>
  <c r="I5" i="272" s="1"/>
  <c r="F5" i="272"/>
  <c r="J20" i="272" l="1"/>
  <c r="J22" i="272"/>
  <c r="J17" i="272"/>
  <c r="J29" i="272"/>
  <c r="J19" i="272"/>
  <c r="J31" i="272"/>
  <c r="J21" i="272"/>
  <c r="J33" i="272"/>
  <c r="J30" i="272"/>
  <c r="J18" i="272"/>
  <c r="H31" i="272"/>
  <c r="H25" i="272"/>
  <c r="H28" i="272"/>
  <c r="H32" i="272"/>
  <c r="H27" i="272"/>
  <c r="I224" i="417"/>
  <c r="H24" i="272"/>
  <c r="H30" i="272"/>
  <c r="H33" i="272"/>
  <c r="L22" i="272"/>
  <c r="M31" i="272"/>
  <c r="D10" i="276"/>
  <c r="D13" i="276"/>
  <c r="E22" i="276"/>
  <c r="D22" i="276"/>
  <c r="D25" i="276"/>
  <c r="E19" i="276"/>
  <c r="D19" i="276"/>
  <c r="D16" i="276"/>
  <c r="E28" i="276"/>
  <c r="C7" i="272"/>
  <c r="C13" i="272"/>
  <c r="C16" i="272"/>
  <c r="H29" i="272"/>
  <c r="C19" i="272"/>
  <c r="E31" i="272" s="1"/>
  <c r="C22" i="272"/>
  <c r="E34" i="272" s="1"/>
  <c r="C10" i="272"/>
  <c r="O13" i="276"/>
  <c r="N22" i="272"/>
  <c r="O25" i="272" s="1"/>
  <c r="O10" i="276"/>
  <c r="O19" i="276"/>
  <c r="O22" i="276"/>
  <c r="O25" i="276"/>
  <c r="O16" i="276"/>
  <c r="N10" i="272"/>
  <c r="N13" i="272"/>
  <c r="N7" i="272"/>
  <c r="N16" i="272"/>
  <c r="N19" i="272"/>
  <c r="L13" i="272"/>
  <c r="L16" i="272"/>
  <c r="L19" i="272"/>
  <c r="M19" i="272"/>
  <c r="L10" i="272"/>
  <c r="H23" i="272"/>
  <c r="H26" i="272"/>
  <c r="G7" i="272"/>
  <c r="B16" i="272"/>
  <c r="G12" i="272"/>
  <c r="G19" i="272"/>
  <c r="G8" i="272"/>
  <c r="G13" i="272"/>
  <c r="B7" i="272"/>
  <c r="G10" i="272"/>
  <c r="G20" i="272"/>
  <c r="H19" i="272"/>
  <c r="H21" i="272"/>
  <c r="G15" i="272"/>
  <c r="G9" i="272"/>
  <c r="B13" i="272"/>
  <c r="H22" i="272"/>
  <c r="G11" i="272"/>
  <c r="G16" i="272"/>
  <c r="G18" i="272"/>
  <c r="B19" i="272"/>
  <c r="G14" i="272"/>
  <c r="H18" i="272"/>
  <c r="H20" i="272"/>
  <c r="B22" i="272"/>
  <c r="G17" i="272"/>
  <c r="H17" i="272"/>
  <c r="G21" i="272"/>
  <c r="G6" i="272"/>
  <c r="B10" i="272"/>
  <c r="G22" i="272"/>
  <c r="D10" i="272" l="1"/>
  <c r="D16" i="272"/>
  <c r="E28" i="272"/>
  <c r="E22" i="272"/>
  <c r="D22" i="272"/>
  <c r="D25" i="272"/>
  <c r="D13" i="272"/>
  <c r="E25" i="272"/>
  <c r="E19" i="272"/>
  <c r="D19" i="272"/>
  <c r="O22" i="272"/>
  <c r="O13" i="272"/>
  <c r="O10" i="272"/>
  <c r="O19" i="272"/>
  <c r="O16" i="272"/>
  <c r="T22" i="271"/>
  <c r="I22" i="271" s="1"/>
  <c r="T21" i="271"/>
  <c r="I21" i="271" s="1"/>
  <c r="F21" i="271"/>
  <c r="T20" i="271"/>
  <c r="I20" i="271" s="1"/>
  <c r="F20" i="271"/>
  <c r="K19" i="271"/>
  <c r="U19" i="271"/>
  <c r="T19" i="271"/>
  <c r="I19" i="271" s="1"/>
  <c r="F19" i="271"/>
  <c r="T18" i="271"/>
  <c r="I18" i="271" s="1"/>
  <c r="F18" i="271"/>
  <c r="T17" i="271"/>
  <c r="I17" i="271" s="1"/>
  <c r="F17" i="271"/>
  <c r="K16" i="271"/>
  <c r="U16" i="271"/>
  <c r="M28" i="271" s="1"/>
  <c r="T16" i="271"/>
  <c r="I16" i="271" s="1"/>
  <c r="J28" i="271" s="1"/>
  <c r="F16" i="271"/>
  <c r="T15" i="271"/>
  <c r="I15" i="271" s="1"/>
  <c r="J27" i="271" s="1"/>
  <c r="F15" i="271"/>
  <c r="T14" i="271"/>
  <c r="I14" i="271" s="1"/>
  <c r="J26" i="271" s="1"/>
  <c r="F14" i="271"/>
  <c r="K13" i="271"/>
  <c r="U13" i="271"/>
  <c r="M25" i="271" s="1"/>
  <c r="T13" i="271"/>
  <c r="I13" i="271" s="1"/>
  <c r="J25" i="271" s="1"/>
  <c r="F13" i="271"/>
  <c r="T12" i="271"/>
  <c r="I12" i="271" s="1"/>
  <c r="J24" i="271" s="1"/>
  <c r="F12" i="271"/>
  <c r="T11" i="271"/>
  <c r="I11" i="271" s="1"/>
  <c r="J23" i="271" s="1"/>
  <c r="F11" i="271"/>
  <c r="K10" i="271"/>
  <c r="U10" i="271"/>
  <c r="M22" i="271" s="1"/>
  <c r="T10" i="271"/>
  <c r="I10" i="271" s="1"/>
  <c r="F10" i="271"/>
  <c r="T9" i="271"/>
  <c r="I9" i="271" s="1"/>
  <c r="F9" i="271"/>
  <c r="T8" i="271"/>
  <c r="I8" i="271" s="1"/>
  <c r="F8" i="271"/>
  <c r="K7" i="271"/>
  <c r="U7" i="271"/>
  <c r="T7" i="271"/>
  <c r="I7" i="271" s="1"/>
  <c r="F7" i="271"/>
  <c r="T6" i="271"/>
  <c r="I6" i="271" s="1"/>
  <c r="F6" i="271"/>
  <c r="T5" i="271"/>
  <c r="I5" i="271" s="1"/>
  <c r="F5" i="271"/>
  <c r="T22" i="270"/>
  <c r="I22" i="270" s="1"/>
  <c r="T21" i="270"/>
  <c r="I21" i="270" s="1"/>
  <c r="F21" i="270"/>
  <c r="T20" i="270"/>
  <c r="I20" i="270" s="1"/>
  <c r="F20" i="270"/>
  <c r="K19" i="270"/>
  <c r="U19" i="270"/>
  <c r="T19" i="270"/>
  <c r="I19" i="270" s="1"/>
  <c r="F19" i="270"/>
  <c r="T18" i="270"/>
  <c r="I18" i="270" s="1"/>
  <c r="F18" i="270"/>
  <c r="T17" i="270"/>
  <c r="I17" i="270" s="1"/>
  <c r="F17" i="270"/>
  <c r="K16" i="270"/>
  <c r="U16" i="270"/>
  <c r="M28" i="270" s="1"/>
  <c r="T16" i="270"/>
  <c r="I16" i="270" s="1"/>
  <c r="J28" i="270" s="1"/>
  <c r="F16" i="270"/>
  <c r="T15" i="270"/>
  <c r="I15" i="270" s="1"/>
  <c r="J27" i="270" s="1"/>
  <c r="F15" i="270"/>
  <c r="T14" i="270"/>
  <c r="I14" i="270" s="1"/>
  <c r="J26" i="270" s="1"/>
  <c r="F14" i="270"/>
  <c r="K13" i="270"/>
  <c r="U13" i="270"/>
  <c r="M25" i="270" s="1"/>
  <c r="T13" i="270"/>
  <c r="I13" i="270" s="1"/>
  <c r="J25" i="270" s="1"/>
  <c r="F13" i="270"/>
  <c r="T12" i="270"/>
  <c r="I12" i="270" s="1"/>
  <c r="J24" i="270" s="1"/>
  <c r="F12" i="270"/>
  <c r="T11" i="270"/>
  <c r="I11" i="270" s="1"/>
  <c r="J23" i="270" s="1"/>
  <c r="F11" i="270"/>
  <c r="K10" i="270"/>
  <c r="U10" i="270"/>
  <c r="M22" i="270" s="1"/>
  <c r="T10" i="270"/>
  <c r="I10" i="270" s="1"/>
  <c r="F10" i="270"/>
  <c r="T9" i="270"/>
  <c r="I9" i="270" s="1"/>
  <c r="F9" i="270"/>
  <c r="T8" i="270"/>
  <c r="I8" i="270" s="1"/>
  <c r="F8" i="270"/>
  <c r="K7" i="270"/>
  <c r="U7" i="270"/>
  <c r="T7" i="270"/>
  <c r="I7" i="270" s="1"/>
  <c r="F7" i="270"/>
  <c r="T6" i="270"/>
  <c r="I6" i="270" s="1"/>
  <c r="F6" i="270"/>
  <c r="T5" i="270"/>
  <c r="I5" i="270" s="1"/>
  <c r="F5" i="270"/>
  <c r="J19" i="271" l="1"/>
  <c r="J31" i="271"/>
  <c r="J18" i="270"/>
  <c r="J30" i="270"/>
  <c r="J22" i="271"/>
  <c r="J34" i="271"/>
  <c r="J17" i="271"/>
  <c r="J29" i="271"/>
  <c r="J17" i="270"/>
  <c r="J29" i="270"/>
  <c r="J21" i="271"/>
  <c r="J33" i="271"/>
  <c r="J19" i="270"/>
  <c r="J31" i="270"/>
  <c r="J21" i="270"/>
  <c r="J33" i="270"/>
  <c r="J20" i="270"/>
  <c r="J32" i="270"/>
  <c r="J22" i="270"/>
  <c r="J34" i="270"/>
  <c r="J18" i="271"/>
  <c r="J30" i="271"/>
  <c r="J20" i="271"/>
  <c r="J32" i="271"/>
  <c r="H22" i="271"/>
  <c r="H32" i="271"/>
  <c r="H24" i="270"/>
  <c r="H27" i="270"/>
  <c r="H30" i="270"/>
  <c r="H33" i="270"/>
  <c r="H25" i="271"/>
  <c r="H28" i="271"/>
  <c r="H31" i="271"/>
  <c r="H24" i="271"/>
  <c r="H27" i="271"/>
  <c r="H30" i="271"/>
  <c r="H33" i="271"/>
  <c r="H25" i="270"/>
  <c r="H28" i="270"/>
  <c r="H31" i="270"/>
  <c r="H32" i="270"/>
  <c r="L22" i="270"/>
  <c r="M31" i="270"/>
  <c r="L22" i="271"/>
  <c r="M31" i="271"/>
  <c r="C7" i="270"/>
  <c r="C10" i="270"/>
  <c r="C16" i="270"/>
  <c r="H29" i="270"/>
  <c r="C19" i="270"/>
  <c r="E31" i="270" s="1"/>
  <c r="C22" i="270"/>
  <c r="E34" i="270" s="1"/>
  <c r="C13" i="270"/>
  <c r="C7" i="271"/>
  <c r="C10" i="271"/>
  <c r="C13" i="271"/>
  <c r="C16" i="271"/>
  <c r="H29" i="271"/>
  <c r="C19" i="271"/>
  <c r="E31" i="271" s="1"/>
  <c r="C22" i="271"/>
  <c r="E34" i="271" s="1"/>
  <c r="N22" i="270"/>
  <c r="O25" i="270" s="1"/>
  <c r="N22" i="271"/>
  <c r="N7" i="271"/>
  <c r="N10" i="271"/>
  <c r="N7" i="270"/>
  <c r="N10" i="270"/>
  <c r="N13" i="270"/>
  <c r="N16" i="270"/>
  <c r="N19" i="270"/>
  <c r="L16" i="270"/>
  <c r="N13" i="271"/>
  <c r="N16" i="271"/>
  <c r="L10" i="271"/>
  <c r="L13" i="271"/>
  <c r="L16" i="271"/>
  <c r="M19" i="271"/>
  <c r="L19" i="271"/>
  <c r="N19" i="271"/>
  <c r="L10" i="270"/>
  <c r="L13" i="270"/>
  <c r="L19" i="270"/>
  <c r="M19" i="270"/>
  <c r="H23" i="271"/>
  <c r="H26" i="271"/>
  <c r="G17" i="271"/>
  <c r="H23" i="270"/>
  <c r="H26" i="270"/>
  <c r="G9" i="271"/>
  <c r="G13" i="271"/>
  <c r="G18" i="271"/>
  <c r="G22" i="271"/>
  <c r="B16" i="271"/>
  <c r="G19" i="271"/>
  <c r="G21" i="271"/>
  <c r="H21" i="271"/>
  <c r="G20" i="271"/>
  <c r="B10" i="271"/>
  <c r="G14" i="271"/>
  <c r="G15" i="271"/>
  <c r="G7" i="271"/>
  <c r="G10" i="271"/>
  <c r="G11" i="271"/>
  <c r="B7" i="271"/>
  <c r="G8" i="271"/>
  <c r="B13" i="271"/>
  <c r="H18" i="271"/>
  <c r="H19" i="271"/>
  <c r="H20" i="271"/>
  <c r="B22" i="271"/>
  <c r="G6" i="271"/>
  <c r="G12" i="271"/>
  <c r="G16" i="271"/>
  <c r="H17" i="271"/>
  <c r="B19" i="271"/>
  <c r="G7" i="270"/>
  <c r="G9" i="270"/>
  <c r="G11" i="270"/>
  <c r="H18" i="270"/>
  <c r="G14" i="270"/>
  <c r="B7" i="270"/>
  <c r="G12" i="270"/>
  <c r="H19" i="270"/>
  <c r="G21" i="270"/>
  <c r="G10" i="270"/>
  <c r="G6" i="270"/>
  <c r="G8" i="270"/>
  <c r="G13" i="270"/>
  <c r="G15" i="270"/>
  <c r="G17" i="270"/>
  <c r="G22" i="270"/>
  <c r="B22" i="270"/>
  <c r="B19" i="270"/>
  <c r="H17" i="270"/>
  <c r="G16" i="270"/>
  <c r="B10" i="270"/>
  <c r="B13" i="270"/>
  <c r="H21" i="270"/>
  <c r="H22" i="270"/>
  <c r="B16" i="270"/>
  <c r="G18" i="270"/>
  <c r="G19" i="270"/>
  <c r="G20" i="270"/>
  <c r="H20" i="270"/>
  <c r="T22" i="269"/>
  <c r="I22" i="269" s="1"/>
  <c r="T21" i="269"/>
  <c r="I21" i="269" s="1"/>
  <c r="J33" i="269" s="1"/>
  <c r="F21" i="269"/>
  <c r="T20" i="269"/>
  <c r="I20" i="269" s="1"/>
  <c r="J32" i="269" s="1"/>
  <c r="F20" i="269"/>
  <c r="K19" i="269"/>
  <c r="U19" i="269"/>
  <c r="T19" i="269"/>
  <c r="I19" i="269" s="1"/>
  <c r="J31" i="269" s="1"/>
  <c r="F19" i="269"/>
  <c r="T18" i="269"/>
  <c r="I18" i="269" s="1"/>
  <c r="F18" i="269"/>
  <c r="T17" i="269"/>
  <c r="I17" i="269" s="1"/>
  <c r="F17" i="269"/>
  <c r="K16" i="269"/>
  <c r="U16" i="269"/>
  <c r="M28" i="269" s="1"/>
  <c r="T16" i="269"/>
  <c r="I16" i="269" s="1"/>
  <c r="J28" i="269" s="1"/>
  <c r="F16" i="269"/>
  <c r="T15" i="269"/>
  <c r="I15" i="269" s="1"/>
  <c r="J27" i="269" s="1"/>
  <c r="F15" i="269"/>
  <c r="T14" i="269"/>
  <c r="I14" i="269" s="1"/>
  <c r="J26" i="269" s="1"/>
  <c r="F14" i="269"/>
  <c r="K13" i="269"/>
  <c r="U13" i="269"/>
  <c r="M25" i="269" s="1"/>
  <c r="T13" i="269"/>
  <c r="I13" i="269" s="1"/>
  <c r="J25" i="269" s="1"/>
  <c r="F13" i="269"/>
  <c r="T12" i="269"/>
  <c r="I12" i="269" s="1"/>
  <c r="J24" i="269" s="1"/>
  <c r="F12" i="269"/>
  <c r="T11" i="269"/>
  <c r="I11" i="269" s="1"/>
  <c r="J23" i="269" s="1"/>
  <c r="F11" i="269"/>
  <c r="K10" i="269"/>
  <c r="U10" i="269"/>
  <c r="M22" i="269" s="1"/>
  <c r="T10" i="269"/>
  <c r="I10" i="269" s="1"/>
  <c r="F10" i="269"/>
  <c r="T9" i="269"/>
  <c r="I9" i="269" s="1"/>
  <c r="F9" i="269"/>
  <c r="T8" i="269"/>
  <c r="I8" i="269" s="1"/>
  <c r="F8" i="269"/>
  <c r="K7" i="269"/>
  <c r="U7" i="269"/>
  <c r="T7" i="269"/>
  <c r="I7" i="269" s="1"/>
  <c r="F7" i="269"/>
  <c r="T6" i="269"/>
  <c r="I6" i="269" s="1"/>
  <c r="F6" i="269"/>
  <c r="T5" i="269"/>
  <c r="I5" i="269" s="1"/>
  <c r="F5" i="269"/>
  <c r="T22" i="268"/>
  <c r="I22" i="268" s="1"/>
  <c r="T21" i="268"/>
  <c r="I21" i="268" s="1"/>
  <c r="F21" i="268"/>
  <c r="T20" i="268"/>
  <c r="I20" i="268" s="1"/>
  <c r="F20" i="268"/>
  <c r="K19" i="268"/>
  <c r="U19" i="268"/>
  <c r="T19" i="268"/>
  <c r="I19" i="268" s="1"/>
  <c r="F19" i="268"/>
  <c r="T18" i="268"/>
  <c r="I18" i="268" s="1"/>
  <c r="F18" i="268"/>
  <c r="T17" i="268"/>
  <c r="I17" i="268" s="1"/>
  <c r="F17" i="268"/>
  <c r="K16" i="268"/>
  <c r="U16" i="268"/>
  <c r="M28" i="268" s="1"/>
  <c r="T16" i="268"/>
  <c r="I16" i="268" s="1"/>
  <c r="J28" i="268" s="1"/>
  <c r="F16" i="268"/>
  <c r="T15" i="268"/>
  <c r="I15" i="268" s="1"/>
  <c r="J27" i="268" s="1"/>
  <c r="F15" i="268"/>
  <c r="T14" i="268"/>
  <c r="I14" i="268" s="1"/>
  <c r="J26" i="268" s="1"/>
  <c r="F14" i="268"/>
  <c r="K13" i="268"/>
  <c r="U13" i="268"/>
  <c r="M25" i="268" s="1"/>
  <c r="T13" i="268"/>
  <c r="I13" i="268" s="1"/>
  <c r="J25" i="268" s="1"/>
  <c r="F13" i="268"/>
  <c r="T12" i="268"/>
  <c r="I12" i="268" s="1"/>
  <c r="J24" i="268" s="1"/>
  <c r="F12" i="268"/>
  <c r="T11" i="268"/>
  <c r="I11" i="268" s="1"/>
  <c r="J23" i="268" s="1"/>
  <c r="F11" i="268"/>
  <c r="K10" i="268"/>
  <c r="U10" i="268"/>
  <c r="M22" i="268" s="1"/>
  <c r="T10" i="268"/>
  <c r="I10" i="268" s="1"/>
  <c r="F10" i="268"/>
  <c r="T9" i="268"/>
  <c r="I9" i="268" s="1"/>
  <c r="F9" i="268"/>
  <c r="T8" i="268"/>
  <c r="I8" i="268" s="1"/>
  <c r="F8" i="268"/>
  <c r="K7" i="268"/>
  <c r="U7" i="268"/>
  <c r="T7" i="268"/>
  <c r="I7" i="268" s="1"/>
  <c r="F7" i="268"/>
  <c r="T6" i="268"/>
  <c r="I6" i="268" s="1"/>
  <c r="F6" i="268"/>
  <c r="T5" i="268"/>
  <c r="I5" i="268" s="1"/>
  <c r="F5" i="268"/>
  <c r="J20" i="269" l="1"/>
  <c r="J19" i="269"/>
  <c r="J21" i="269"/>
  <c r="J18" i="268"/>
  <c r="J30" i="268"/>
  <c r="J29" i="269"/>
  <c r="J17" i="269"/>
  <c r="J20" i="268"/>
  <c r="J32" i="268"/>
  <c r="J19" i="268"/>
  <c r="J31" i="268"/>
  <c r="J22" i="268"/>
  <c r="J34" i="268"/>
  <c r="J18" i="269"/>
  <c r="J30" i="269"/>
  <c r="J22" i="269"/>
  <c r="J34" i="269"/>
  <c r="J21" i="268"/>
  <c r="J33" i="268"/>
  <c r="J17" i="268"/>
  <c r="J29" i="268"/>
  <c r="H33" i="269"/>
  <c r="H25" i="268"/>
  <c r="H28" i="268"/>
  <c r="H31" i="268"/>
  <c r="H32" i="268"/>
  <c r="H24" i="269"/>
  <c r="H27" i="269"/>
  <c r="H25" i="269"/>
  <c r="H28" i="269"/>
  <c r="H31" i="269"/>
  <c r="H32" i="269"/>
  <c r="H30" i="269"/>
  <c r="H24" i="268"/>
  <c r="H27" i="268"/>
  <c r="H30" i="268"/>
  <c r="H33" i="268"/>
  <c r="H19" i="268"/>
  <c r="G11" i="269"/>
  <c r="L22" i="269"/>
  <c r="M31" i="269"/>
  <c r="L22" i="268"/>
  <c r="M31" i="268"/>
  <c r="D10" i="270"/>
  <c r="D16" i="271"/>
  <c r="E28" i="271"/>
  <c r="D13" i="270"/>
  <c r="E25" i="270"/>
  <c r="D16" i="270"/>
  <c r="E28" i="270"/>
  <c r="E22" i="271"/>
  <c r="D22" i="271"/>
  <c r="D25" i="271"/>
  <c r="D13" i="271"/>
  <c r="E25" i="271"/>
  <c r="E22" i="270"/>
  <c r="D22" i="270"/>
  <c r="D25" i="270"/>
  <c r="E19" i="271"/>
  <c r="D19" i="271"/>
  <c r="D10" i="271"/>
  <c r="E19" i="270"/>
  <c r="D19" i="270"/>
  <c r="C13" i="268"/>
  <c r="C22" i="268"/>
  <c r="E34" i="268" s="1"/>
  <c r="C7" i="268"/>
  <c r="C10" i="268"/>
  <c r="C16" i="268"/>
  <c r="H29" i="268"/>
  <c r="C19" i="268"/>
  <c r="E31" i="268" s="1"/>
  <c r="C7" i="269"/>
  <c r="C10" i="269"/>
  <c r="C13" i="269"/>
  <c r="C16" i="269"/>
  <c r="H29" i="269"/>
  <c r="C19" i="269"/>
  <c r="E31" i="269" s="1"/>
  <c r="C22" i="269"/>
  <c r="E34" i="269" s="1"/>
  <c r="O22" i="270"/>
  <c r="O16" i="270"/>
  <c r="N22" i="269"/>
  <c r="O16" i="271"/>
  <c r="O22" i="271"/>
  <c r="O25" i="271"/>
  <c r="N22" i="268"/>
  <c r="N19" i="269"/>
  <c r="N7" i="269"/>
  <c r="N10" i="269"/>
  <c r="N16" i="269"/>
  <c r="O10" i="270"/>
  <c r="O19" i="270"/>
  <c r="O13" i="270"/>
  <c r="O13" i="271"/>
  <c r="O19" i="271"/>
  <c r="O10" i="271"/>
  <c r="N7" i="268"/>
  <c r="N10" i="268"/>
  <c r="N13" i="268"/>
  <c r="N16" i="268"/>
  <c r="N19" i="268"/>
  <c r="L13" i="268"/>
  <c r="L16" i="268"/>
  <c r="L10" i="268"/>
  <c r="M19" i="268"/>
  <c r="L19" i="268"/>
  <c r="N13" i="269"/>
  <c r="L10" i="269"/>
  <c r="L13" i="269"/>
  <c r="L16" i="269"/>
  <c r="M19" i="269"/>
  <c r="L19" i="269"/>
  <c r="H23" i="268"/>
  <c r="H26" i="268"/>
  <c r="H23" i="269"/>
  <c r="H26" i="269"/>
  <c r="G12" i="268"/>
  <c r="B16" i="269"/>
  <c r="G16" i="269"/>
  <c r="G21" i="268"/>
  <c r="H19" i="269"/>
  <c r="G18" i="268"/>
  <c r="B19" i="268"/>
  <c r="G20" i="268"/>
  <c r="G12" i="269"/>
  <c r="H21" i="269"/>
  <c r="G10" i="269"/>
  <c r="B13" i="269"/>
  <c r="H20" i="269"/>
  <c r="G7" i="269"/>
  <c r="G8" i="269"/>
  <c r="G13" i="269"/>
  <c r="G15" i="269"/>
  <c r="H22" i="269"/>
  <c r="G19" i="269"/>
  <c r="G18" i="269"/>
  <c r="B22" i="269"/>
  <c r="G20" i="269"/>
  <c r="H18" i="269"/>
  <c r="G9" i="269"/>
  <c r="G14" i="269"/>
  <c r="G17" i="269"/>
  <c r="H17" i="269"/>
  <c r="B19" i="269"/>
  <c r="G6" i="269"/>
  <c r="B7" i="269"/>
  <c r="B10" i="269"/>
  <c r="G21" i="269"/>
  <c r="G22" i="269"/>
  <c r="B16" i="268"/>
  <c r="G19" i="268"/>
  <c r="B10" i="268"/>
  <c r="G13" i="268"/>
  <c r="B7" i="268"/>
  <c r="G15" i="268"/>
  <c r="G9" i="268"/>
  <c r="G11" i="268"/>
  <c r="G16" i="268"/>
  <c r="H22" i="268"/>
  <c r="G7" i="268"/>
  <c r="H20" i="268"/>
  <c r="B22" i="268"/>
  <c r="G22" i="268"/>
  <c r="G10" i="268"/>
  <c r="G14" i="268"/>
  <c r="H18" i="268"/>
  <c r="G6" i="268"/>
  <c r="G17" i="268"/>
  <c r="H17" i="268"/>
  <c r="G8" i="268"/>
  <c r="B13" i="268"/>
  <c r="H21" i="268"/>
  <c r="D10" i="269" l="1"/>
  <c r="D16" i="269"/>
  <c r="E28" i="269"/>
  <c r="E19" i="268"/>
  <c r="D19" i="268"/>
  <c r="E22" i="269"/>
  <c r="D22" i="269"/>
  <c r="D25" i="269"/>
  <c r="D13" i="269"/>
  <c r="E25" i="269"/>
  <c r="E22" i="268"/>
  <c r="D22" i="268"/>
  <c r="D25" i="268"/>
  <c r="E19" i="269"/>
  <c r="D19" i="269"/>
  <c r="D16" i="268"/>
  <c r="E28" i="268"/>
  <c r="D13" i="268"/>
  <c r="E25" i="268"/>
  <c r="D10" i="268"/>
  <c r="O10" i="269"/>
  <c r="O19" i="269"/>
  <c r="O22" i="269"/>
  <c r="O25" i="269"/>
  <c r="O22" i="268"/>
  <c r="O25" i="268"/>
  <c r="O13" i="269"/>
  <c r="O10" i="268"/>
  <c r="O13" i="268"/>
  <c r="O16" i="269"/>
  <c r="O19" i="268"/>
  <c r="O16" i="268"/>
  <c r="T22" i="265" l="1"/>
  <c r="I22" i="265" s="1"/>
  <c r="J34" i="265" s="1"/>
  <c r="T21" i="265"/>
  <c r="I21" i="265" s="1"/>
  <c r="F21" i="265"/>
  <c r="T20" i="265"/>
  <c r="I20" i="265" s="1"/>
  <c r="J32" i="265" s="1"/>
  <c r="F20" i="265"/>
  <c r="K19" i="265"/>
  <c r="U19" i="265"/>
  <c r="T19" i="265"/>
  <c r="I19" i="265" s="1"/>
  <c r="F19" i="265"/>
  <c r="T18" i="265"/>
  <c r="I18" i="265" s="1"/>
  <c r="J30" i="265" s="1"/>
  <c r="F18" i="265"/>
  <c r="T17" i="265"/>
  <c r="I17" i="265" s="1"/>
  <c r="F17" i="265"/>
  <c r="K16" i="265"/>
  <c r="U16" i="265"/>
  <c r="M28" i="265" s="1"/>
  <c r="T16" i="265"/>
  <c r="I16" i="265" s="1"/>
  <c r="J28" i="265" s="1"/>
  <c r="F16" i="265"/>
  <c r="T15" i="265"/>
  <c r="I15" i="265" s="1"/>
  <c r="J27" i="265" s="1"/>
  <c r="F15" i="265"/>
  <c r="T14" i="265"/>
  <c r="I14" i="265" s="1"/>
  <c r="J26" i="265" s="1"/>
  <c r="F14" i="265"/>
  <c r="K13" i="265"/>
  <c r="U13" i="265"/>
  <c r="M25" i="265" s="1"/>
  <c r="T13" i="265"/>
  <c r="I13" i="265" s="1"/>
  <c r="J25" i="265" s="1"/>
  <c r="F13" i="265"/>
  <c r="T12" i="265"/>
  <c r="I12" i="265" s="1"/>
  <c r="J24" i="265" s="1"/>
  <c r="F12" i="265"/>
  <c r="T11" i="265"/>
  <c r="I11" i="265" s="1"/>
  <c r="J23" i="265" s="1"/>
  <c r="F11" i="265"/>
  <c r="K10" i="265"/>
  <c r="U10" i="265"/>
  <c r="M22" i="265" s="1"/>
  <c r="T10" i="265"/>
  <c r="I10" i="265" s="1"/>
  <c r="F10" i="265"/>
  <c r="T9" i="265"/>
  <c r="I9" i="265" s="1"/>
  <c r="F9" i="265"/>
  <c r="T8" i="265"/>
  <c r="I8" i="265" s="1"/>
  <c r="F8" i="265"/>
  <c r="K7" i="265"/>
  <c r="U7" i="265"/>
  <c r="T7" i="265"/>
  <c r="I7" i="265" s="1"/>
  <c r="F7" i="265"/>
  <c r="T6" i="265"/>
  <c r="I6" i="265" s="1"/>
  <c r="F6" i="265"/>
  <c r="T5" i="265"/>
  <c r="I5" i="265" s="1"/>
  <c r="F5" i="265"/>
  <c r="T22" i="263"/>
  <c r="I22" i="263" s="1"/>
  <c r="T21" i="263"/>
  <c r="I21" i="263" s="1"/>
  <c r="F21" i="263"/>
  <c r="T20" i="263"/>
  <c r="I20" i="263" s="1"/>
  <c r="F20" i="263"/>
  <c r="K19" i="263"/>
  <c r="U19" i="263"/>
  <c r="T19" i="263"/>
  <c r="I19" i="263" s="1"/>
  <c r="F19" i="263"/>
  <c r="T18" i="263"/>
  <c r="I18" i="263" s="1"/>
  <c r="F18" i="263"/>
  <c r="T17" i="263"/>
  <c r="I17" i="263" s="1"/>
  <c r="F17" i="263"/>
  <c r="K16" i="263"/>
  <c r="U16" i="263"/>
  <c r="M28" i="263" s="1"/>
  <c r="T16" i="263"/>
  <c r="I16" i="263" s="1"/>
  <c r="J28" i="263" s="1"/>
  <c r="F16" i="263"/>
  <c r="T15" i="263"/>
  <c r="I15" i="263" s="1"/>
  <c r="J27" i="263" s="1"/>
  <c r="F15" i="263"/>
  <c r="T14" i="263"/>
  <c r="I14" i="263" s="1"/>
  <c r="J26" i="263" s="1"/>
  <c r="F14" i="263"/>
  <c r="K13" i="263"/>
  <c r="U13" i="263"/>
  <c r="M25" i="263" s="1"/>
  <c r="T13" i="263"/>
  <c r="I13" i="263" s="1"/>
  <c r="J25" i="263" s="1"/>
  <c r="F13" i="263"/>
  <c r="T12" i="263"/>
  <c r="I12" i="263" s="1"/>
  <c r="J24" i="263" s="1"/>
  <c r="F12" i="263"/>
  <c r="T11" i="263"/>
  <c r="I11" i="263" s="1"/>
  <c r="J23" i="263" s="1"/>
  <c r="F11" i="263"/>
  <c r="K10" i="263"/>
  <c r="U10" i="263"/>
  <c r="M22" i="263" s="1"/>
  <c r="T10" i="263"/>
  <c r="I10" i="263" s="1"/>
  <c r="F10" i="263"/>
  <c r="T9" i="263"/>
  <c r="I9" i="263" s="1"/>
  <c r="F9" i="263"/>
  <c r="T8" i="263"/>
  <c r="I8" i="263" s="1"/>
  <c r="F8" i="263"/>
  <c r="K7" i="263"/>
  <c r="U7" i="263"/>
  <c r="T7" i="263"/>
  <c r="I7" i="263" s="1"/>
  <c r="F7" i="263"/>
  <c r="T6" i="263"/>
  <c r="I6" i="263" s="1"/>
  <c r="F6" i="263"/>
  <c r="T5" i="263"/>
  <c r="I5" i="263" s="1"/>
  <c r="F5" i="263"/>
  <c r="T22" i="262"/>
  <c r="I22" i="262" s="1"/>
  <c r="T21" i="262"/>
  <c r="I21" i="262" s="1"/>
  <c r="J33" i="262" s="1"/>
  <c r="F21" i="262"/>
  <c r="T20" i="262"/>
  <c r="I20" i="262" s="1"/>
  <c r="J32" i="262" s="1"/>
  <c r="F20" i="262"/>
  <c r="K19" i="262"/>
  <c r="U19" i="262"/>
  <c r="T19" i="262"/>
  <c r="I19" i="262" s="1"/>
  <c r="J31" i="262" s="1"/>
  <c r="F19" i="262"/>
  <c r="T18" i="262"/>
  <c r="I18" i="262" s="1"/>
  <c r="F18" i="262"/>
  <c r="T17" i="262"/>
  <c r="I17" i="262" s="1"/>
  <c r="F17" i="262"/>
  <c r="K16" i="262"/>
  <c r="U16" i="262"/>
  <c r="M28" i="262" s="1"/>
  <c r="T16" i="262"/>
  <c r="I16" i="262" s="1"/>
  <c r="J28" i="262" s="1"/>
  <c r="F16" i="262"/>
  <c r="T15" i="262"/>
  <c r="I15" i="262" s="1"/>
  <c r="J27" i="262" s="1"/>
  <c r="F15" i="262"/>
  <c r="T14" i="262"/>
  <c r="I14" i="262" s="1"/>
  <c r="J26" i="262" s="1"/>
  <c r="F14" i="262"/>
  <c r="K13" i="262"/>
  <c r="U13" i="262"/>
  <c r="M25" i="262" s="1"/>
  <c r="T13" i="262"/>
  <c r="I13" i="262" s="1"/>
  <c r="J25" i="262" s="1"/>
  <c r="F13" i="262"/>
  <c r="T12" i="262"/>
  <c r="I12" i="262" s="1"/>
  <c r="J24" i="262" s="1"/>
  <c r="F12" i="262"/>
  <c r="T11" i="262"/>
  <c r="I11" i="262" s="1"/>
  <c r="J23" i="262" s="1"/>
  <c r="F11" i="262"/>
  <c r="K10" i="262"/>
  <c r="U10" i="262"/>
  <c r="M22" i="262" s="1"/>
  <c r="T10" i="262"/>
  <c r="I10" i="262" s="1"/>
  <c r="F10" i="262"/>
  <c r="T9" i="262"/>
  <c r="I9" i="262" s="1"/>
  <c r="F9" i="262"/>
  <c r="T8" i="262"/>
  <c r="I8" i="262" s="1"/>
  <c r="F8" i="262"/>
  <c r="K7" i="262"/>
  <c r="U7" i="262"/>
  <c r="T7" i="262"/>
  <c r="I7" i="262" s="1"/>
  <c r="F7" i="262"/>
  <c r="T6" i="262"/>
  <c r="I6" i="262" s="1"/>
  <c r="F6" i="262"/>
  <c r="T5" i="262"/>
  <c r="I5" i="262" s="1"/>
  <c r="F5" i="262"/>
  <c r="J21" i="262" l="1"/>
  <c r="J19" i="262"/>
  <c r="J22" i="265"/>
  <c r="J21" i="263"/>
  <c r="J33" i="263"/>
  <c r="J18" i="262"/>
  <c r="J30" i="262"/>
  <c r="J20" i="262"/>
  <c r="J29" i="262"/>
  <c r="J17" i="262"/>
  <c r="J18" i="265"/>
  <c r="J20" i="265"/>
  <c r="J17" i="265"/>
  <c r="J29" i="265"/>
  <c r="J19" i="263"/>
  <c r="J31" i="263"/>
  <c r="J17" i="263"/>
  <c r="J29" i="263"/>
  <c r="J19" i="265"/>
  <c r="J31" i="265"/>
  <c r="J21" i="265"/>
  <c r="J33" i="265"/>
  <c r="J22" i="263"/>
  <c r="J34" i="263"/>
  <c r="J22" i="262"/>
  <c r="J34" i="262"/>
  <c r="J18" i="263"/>
  <c r="J30" i="263"/>
  <c r="J20" i="263"/>
  <c r="J32" i="263"/>
  <c r="H25" i="262"/>
  <c r="H28" i="262"/>
  <c r="H31" i="262"/>
  <c r="H32" i="262"/>
  <c r="H24" i="265"/>
  <c r="H27" i="265"/>
  <c r="H30" i="265"/>
  <c r="H33" i="265"/>
  <c r="H30" i="263"/>
  <c r="H25" i="263"/>
  <c r="H28" i="263"/>
  <c r="H31" i="263"/>
  <c r="H32" i="263"/>
  <c r="H24" i="263"/>
  <c r="H27" i="263"/>
  <c r="H33" i="263"/>
  <c r="H24" i="262"/>
  <c r="H27" i="262"/>
  <c r="H30" i="262"/>
  <c r="H33" i="262"/>
  <c r="H25" i="265"/>
  <c r="H28" i="265"/>
  <c r="H31" i="265"/>
  <c r="H32" i="265"/>
  <c r="L22" i="263"/>
  <c r="M31" i="263"/>
  <c r="L22" i="265"/>
  <c r="M31" i="265"/>
  <c r="L22" i="262"/>
  <c r="M31" i="262"/>
  <c r="C7" i="265"/>
  <c r="C10" i="265"/>
  <c r="C13" i="265"/>
  <c r="C16" i="265"/>
  <c r="C10" i="262"/>
  <c r="C16" i="262"/>
  <c r="H29" i="262"/>
  <c r="C19" i="262"/>
  <c r="E31" i="262" s="1"/>
  <c r="C22" i="262"/>
  <c r="E34" i="262" s="1"/>
  <c r="C7" i="262"/>
  <c r="C13" i="262"/>
  <c r="C7" i="263"/>
  <c r="C10" i="263"/>
  <c r="C13" i="263"/>
  <c r="C16" i="263"/>
  <c r="H29" i="263"/>
  <c r="C19" i="263"/>
  <c r="E31" i="263" s="1"/>
  <c r="C22" i="263"/>
  <c r="E34" i="263" s="1"/>
  <c r="H29" i="265"/>
  <c r="C19" i="265"/>
  <c r="E31" i="265" s="1"/>
  <c r="C22" i="265"/>
  <c r="E34" i="265" s="1"/>
  <c r="N22" i="265"/>
  <c r="O25" i="265" s="1"/>
  <c r="N22" i="263"/>
  <c r="N22" i="262"/>
  <c r="N7" i="265"/>
  <c r="N10" i="265"/>
  <c r="N13" i="265"/>
  <c r="N16" i="265"/>
  <c r="N19" i="265"/>
  <c r="L13" i="263"/>
  <c r="L10" i="263"/>
  <c r="L16" i="263"/>
  <c r="N7" i="263"/>
  <c r="N10" i="263"/>
  <c r="N13" i="263"/>
  <c r="N16" i="263"/>
  <c r="N19" i="263"/>
  <c r="M19" i="263"/>
  <c r="L19" i="263"/>
  <c r="N7" i="262"/>
  <c r="N10" i="262"/>
  <c r="N13" i="262"/>
  <c r="N16" i="262"/>
  <c r="L10" i="262"/>
  <c r="L13" i="262"/>
  <c r="L16" i="262"/>
  <c r="N19" i="262"/>
  <c r="M19" i="262"/>
  <c r="L19" i="262"/>
  <c r="L10" i="265"/>
  <c r="L16" i="265"/>
  <c r="L13" i="265"/>
  <c r="M19" i="265"/>
  <c r="L19" i="265"/>
  <c r="H26" i="263"/>
  <c r="H23" i="263"/>
  <c r="H23" i="262"/>
  <c r="H26" i="262"/>
  <c r="H23" i="265"/>
  <c r="H26" i="265"/>
  <c r="B22" i="263"/>
  <c r="B22" i="262"/>
  <c r="B22" i="265"/>
  <c r="G21" i="263"/>
  <c r="G12" i="262"/>
  <c r="H20" i="263"/>
  <c r="H22" i="265"/>
  <c r="G21" i="265"/>
  <c r="G8" i="265"/>
  <c r="G16" i="265"/>
  <c r="G13" i="265"/>
  <c r="G7" i="265"/>
  <c r="H21" i="265"/>
  <c r="G12" i="265"/>
  <c r="G6" i="265"/>
  <c r="H19" i="265"/>
  <c r="B7" i="265"/>
  <c r="G15" i="265"/>
  <c r="G17" i="265"/>
  <c r="H20" i="265"/>
  <c r="G9" i="265"/>
  <c r="G14" i="265"/>
  <c r="H17" i="265"/>
  <c r="B19" i="265"/>
  <c r="G22" i="265"/>
  <c r="B10" i="265"/>
  <c r="G11" i="265"/>
  <c r="B16" i="265"/>
  <c r="G18" i="265"/>
  <c r="G19" i="265"/>
  <c r="G20" i="265"/>
  <c r="G10" i="265"/>
  <c r="H18" i="265"/>
  <c r="B13" i="265"/>
  <c r="B7" i="263"/>
  <c r="G10" i="263"/>
  <c r="G12" i="263"/>
  <c r="B16" i="263"/>
  <c r="G6" i="263"/>
  <c r="B10" i="263"/>
  <c r="G13" i="263"/>
  <c r="G15" i="263"/>
  <c r="G17" i="263"/>
  <c r="G7" i="263"/>
  <c r="G9" i="263"/>
  <c r="G11" i="263"/>
  <c r="G16" i="263"/>
  <c r="G19" i="263"/>
  <c r="H19" i="263"/>
  <c r="G18" i="263"/>
  <c r="G22" i="263"/>
  <c r="G20" i="263"/>
  <c r="G8" i="263"/>
  <c r="B13" i="263"/>
  <c r="H21" i="263"/>
  <c r="H17" i="263"/>
  <c r="B19" i="263"/>
  <c r="H22" i="263"/>
  <c r="G14" i="263"/>
  <c r="H18" i="263"/>
  <c r="B10" i="262"/>
  <c r="B19" i="262"/>
  <c r="G14" i="262"/>
  <c r="H22" i="262"/>
  <c r="H18" i="262"/>
  <c r="G21" i="262"/>
  <c r="H21" i="262"/>
  <c r="H19" i="262"/>
  <c r="G15" i="262"/>
  <c r="G17" i="262"/>
  <c r="G7" i="262"/>
  <c r="G11" i="262"/>
  <c r="B7" i="262"/>
  <c r="G10" i="262"/>
  <c r="G13" i="262"/>
  <c r="G8" i="262"/>
  <c r="B13" i="262"/>
  <c r="B16" i="262"/>
  <c r="G18" i="262"/>
  <c r="G19" i="262"/>
  <c r="G20" i="262"/>
  <c r="H20" i="262"/>
  <c r="G6" i="262"/>
  <c r="G9" i="262"/>
  <c r="G22" i="262"/>
  <c r="G16" i="262"/>
  <c r="H17" i="262"/>
  <c r="D10" i="265" l="1"/>
  <c r="E19" i="265"/>
  <c r="D19" i="265"/>
  <c r="E19" i="262"/>
  <c r="D19" i="262"/>
  <c r="D16" i="265"/>
  <c r="E28" i="265"/>
  <c r="D16" i="263"/>
  <c r="E28" i="263"/>
  <c r="D13" i="262"/>
  <c r="E25" i="262"/>
  <c r="D13" i="265"/>
  <c r="E25" i="265"/>
  <c r="E22" i="263"/>
  <c r="D22" i="263"/>
  <c r="D25" i="263"/>
  <c r="D13" i="263"/>
  <c r="E25" i="263"/>
  <c r="D16" i="262"/>
  <c r="E28" i="262"/>
  <c r="E22" i="265"/>
  <c r="D22" i="265"/>
  <c r="D25" i="265"/>
  <c r="E19" i="263"/>
  <c r="D19" i="263"/>
  <c r="D10" i="263"/>
  <c r="E22" i="262"/>
  <c r="D22" i="262"/>
  <c r="D25" i="262"/>
  <c r="D10" i="262"/>
  <c r="O22" i="265"/>
  <c r="O13" i="262"/>
  <c r="O19" i="263"/>
  <c r="O16" i="262"/>
  <c r="O25" i="263"/>
  <c r="O22" i="263"/>
  <c r="O22" i="262"/>
  <c r="O25" i="262"/>
  <c r="O19" i="265"/>
  <c r="O13" i="265"/>
  <c r="O16" i="265"/>
  <c r="O10" i="262"/>
  <c r="O10" i="265"/>
  <c r="O19" i="262"/>
  <c r="O13" i="263"/>
  <c r="O10" i="263"/>
  <c r="O16" i="263"/>
  <c r="F22" i="152"/>
  <c r="T22" i="261"/>
  <c r="I22" i="261" s="1"/>
  <c r="T21" i="261"/>
  <c r="I21" i="261" s="1"/>
  <c r="F21" i="261"/>
  <c r="T20" i="261"/>
  <c r="I20" i="261" s="1"/>
  <c r="J32" i="261" s="1"/>
  <c r="F20" i="261"/>
  <c r="K19" i="261"/>
  <c r="U19" i="261"/>
  <c r="T19" i="261"/>
  <c r="I19" i="261" s="1"/>
  <c r="F19" i="261"/>
  <c r="T18" i="261"/>
  <c r="I18" i="261" s="1"/>
  <c r="F18" i="261"/>
  <c r="T17" i="261"/>
  <c r="I17" i="261" s="1"/>
  <c r="F17" i="261"/>
  <c r="K16" i="261"/>
  <c r="U16" i="261"/>
  <c r="M28" i="261" s="1"/>
  <c r="T16" i="261"/>
  <c r="I16" i="261" s="1"/>
  <c r="J28" i="261" s="1"/>
  <c r="F16" i="261"/>
  <c r="T15" i="261"/>
  <c r="I15" i="261" s="1"/>
  <c r="J27" i="261" s="1"/>
  <c r="F15" i="261"/>
  <c r="T14" i="261"/>
  <c r="I14" i="261" s="1"/>
  <c r="J26" i="261" s="1"/>
  <c r="F14" i="261"/>
  <c r="K13" i="261"/>
  <c r="U13" i="261"/>
  <c r="M25" i="261" s="1"/>
  <c r="T13" i="261"/>
  <c r="I13" i="261" s="1"/>
  <c r="J25" i="261" s="1"/>
  <c r="F13" i="261"/>
  <c r="T12" i="261"/>
  <c r="I12" i="261" s="1"/>
  <c r="J24" i="261" s="1"/>
  <c r="F12" i="261"/>
  <c r="T11" i="261"/>
  <c r="I11" i="261" s="1"/>
  <c r="J23" i="261" s="1"/>
  <c r="F11" i="261"/>
  <c r="K10" i="261"/>
  <c r="U10" i="261"/>
  <c r="M22" i="261" s="1"/>
  <c r="T10" i="261"/>
  <c r="I10" i="261" s="1"/>
  <c r="F10" i="261"/>
  <c r="T9" i="261"/>
  <c r="I9" i="261" s="1"/>
  <c r="F9" i="261"/>
  <c r="T8" i="261"/>
  <c r="I8" i="261" s="1"/>
  <c r="F8" i="261"/>
  <c r="K7" i="261"/>
  <c r="U7" i="261"/>
  <c r="T7" i="261"/>
  <c r="I7" i="261" s="1"/>
  <c r="F7" i="261"/>
  <c r="T6" i="261"/>
  <c r="I6" i="261" s="1"/>
  <c r="F6" i="261"/>
  <c r="T5" i="261"/>
  <c r="I5" i="261" s="1"/>
  <c r="F5" i="261"/>
  <c r="J20" i="261" l="1"/>
  <c r="J31" i="261"/>
  <c r="J19" i="261"/>
  <c r="J33" i="261"/>
  <c r="J21" i="261"/>
  <c r="J29" i="261"/>
  <c r="J17" i="261"/>
  <c r="J18" i="261"/>
  <c r="J30" i="261"/>
  <c r="J22" i="261"/>
  <c r="J34" i="261"/>
  <c r="H24" i="261"/>
  <c r="H21" i="261"/>
  <c r="H27" i="261"/>
  <c r="H30" i="261"/>
  <c r="H33" i="261"/>
  <c r="H25" i="261"/>
  <c r="H28" i="261"/>
  <c r="H31" i="261"/>
  <c r="H32" i="261"/>
  <c r="H19" i="261"/>
  <c r="G23" i="152"/>
  <c r="H34" i="152"/>
  <c r="L22" i="261"/>
  <c r="M31" i="261"/>
  <c r="C22" i="261"/>
  <c r="E34" i="261" s="1"/>
  <c r="C13" i="261"/>
  <c r="C7" i="261"/>
  <c r="C10" i="261"/>
  <c r="C16" i="261"/>
  <c r="H29" i="261"/>
  <c r="C19" i="261"/>
  <c r="E31" i="261" s="1"/>
  <c r="N22" i="261"/>
  <c r="O25" i="261" s="1"/>
  <c r="U22" i="152"/>
  <c r="M34" i="152" s="1"/>
  <c r="K22" i="152"/>
  <c r="N7" i="261"/>
  <c r="N10" i="261"/>
  <c r="N13" i="261"/>
  <c r="N16" i="261"/>
  <c r="L10" i="261"/>
  <c r="L13" i="261"/>
  <c r="L16" i="261"/>
  <c r="L19" i="261"/>
  <c r="M19" i="261"/>
  <c r="N19" i="261"/>
  <c r="H23" i="261"/>
  <c r="H26" i="261"/>
  <c r="B22" i="261"/>
  <c r="B7" i="261"/>
  <c r="B16" i="261"/>
  <c r="G16" i="261"/>
  <c r="G12" i="261"/>
  <c r="G18" i="261"/>
  <c r="H20" i="261"/>
  <c r="G21" i="261"/>
  <c r="B19" i="261"/>
  <c r="G19" i="261"/>
  <c r="H18" i="261"/>
  <c r="B10" i="261"/>
  <c r="G14" i="261"/>
  <c r="G15" i="261"/>
  <c r="H22" i="261"/>
  <c r="G7" i="261"/>
  <c r="G11" i="261"/>
  <c r="G10" i="261"/>
  <c r="G6" i="261"/>
  <c r="G9" i="261"/>
  <c r="G13" i="261"/>
  <c r="G8" i="261"/>
  <c r="B13" i="261"/>
  <c r="G20" i="261"/>
  <c r="G22" i="261"/>
  <c r="G17" i="261"/>
  <c r="H17" i="261"/>
  <c r="D25" i="261" l="1"/>
  <c r="D22" i="261"/>
  <c r="D10" i="261"/>
  <c r="D13" i="261"/>
  <c r="E25" i="261"/>
  <c r="D16" i="261"/>
  <c r="E28" i="261"/>
  <c r="E19" i="261"/>
  <c r="D19" i="261"/>
  <c r="E22" i="261"/>
  <c r="O22" i="261"/>
  <c r="O13" i="261"/>
  <c r="O16" i="261"/>
  <c r="L25" i="152"/>
  <c r="O10" i="261"/>
  <c r="O19" i="261"/>
  <c r="T22" i="54"/>
  <c r="I22" i="54" s="1"/>
  <c r="T22" i="17"/>
  <c r="I22" i="17" s="1"/>
  <c r="T22" i="4"/>
  <c r="I22" i="4" s="1"/>
  <c r="T22" i="5"/>
  <c r="I22" i="5" s="1"/>
  <c r="T22" i="207"/>
  <c r="I22" i="207" s="1"/>
  <c r="J34" i="207" s="1"/>
  <c r="T22" i="174"/>
  <c r="I22" i="174" s="1"/>
  <c r="T22" i="47"/>
  <c r="I22" i="47" s="1"/>
  <c r="T22" i="201"/>
  <c r="I22" i="201" s="1"/>
  <c r="T22" i="249"/>
  <c r="I22" i="249" s="1"/>
  <c r="T22" i="198"/>
  <c r="I22" i="198" s="1"/>
  <c r="T22" i="12"/>
  <c r="I22" i="12" s="1"/>
  <c r="S22" i="149"/>
  <c r="R22" i="149"/>
  <c r="Q22" i="149"/>
  <c r="F22" i="149" s="1"/>
  <c r="T22" i="88"/>
  <c r="I22" i="88" s="1"/>
  <c r="J34" i="88" s="1"/>
  <c r="T22" i="148"/>
  <c r="I22" i="148" s="1"/>
  <c r="T22" i="89"/>
  <c r="I22" i="89" s="1"/>
  <c r="J34" i="89" s="1"/>
  <c r="T22" i="11"/>
  <c r="I22" i="11" s="1"/>
  <c r="J34" i="11" s="1"/>
  <c r="T22" i="248"/>
  <c r="I22" i="248" s="1"/>
  <c r="T22" i="239"/>
  <c r="I22" i="239" s="1"/>
  <c r="T22" i="243"/>
  <c r="I22" i="243" s="1"/>
  <c r="S22" i="247"/>
  <c r="R22" i="247"/>
  <c r="Q22" i="247"/>
  <c r="F22" i="247" s="1"/>
  <c r="T22" i="244"/>
  <c r="I22" i="244" s="1"/>
  <c r="T22" i="246"/>
  <c r="I22" i="246" s="1"/>
  <c r="J34" i="246" s="1"/>
  <c r="T22" i="113"/>
  <c r="I22" i="113" s="1"/>
  <c r="J34" i="113" s="1"/>
  <c r="T22" i="33"/>
  <c r="I22" i="33" s="1"/>
  <c r="T22" i="43"/>
  <c r="I22" i="43" s="1"/>
  <c r="S22" i="185"/>
  <c r="R22" i="185"/>
  <c r="Q22" i="185"/>
  <c r="F22" i="185" s="1"/>
  <c r="T22" i="181"/>
  <c r="I22" i="181" s="1"/>
  <c r="T22" i="183"/>
  <c r="I22" i="183" s="1"/>
  <c r="T22" i="184"/>
  <c r="I22" i="184" s="1"/>
  <c r="T22" i="21"/>
  <c r="I22" i="21" s="1"/>
  <c r="J34" i="21" s="1"/>
  <c r="T22" i="19"/>
  <c r="I22" i="19" s="1"/>
  <c r="T22" i="206"/>
  <c r="I22" i="206" s="1"/>
  <c r="J34" i="206" s="1"/>
  <c r="T22" i="140"/>
  <c r="I22" i="140" s="1"/>
  <c r="T22" i="102"/>
  <c r="I22" i="102" s="1"/>
  <c r="T22" i="101"/>
  <c r="I22" i="101" s="1"/>
  <c r="T22" i="112"/>
  <c r="I22" i="112" s="1"/>
  <c r="J34" i="112" s="1"/>
  <c r="T22" i="227"/>
  <c r="I22" i="227" s="1"/>
  <c r="T22" i="9"/>
  <c r="I22" i="9" s="1"/>
  <c r="T22" i="254"/>
  <c r="I22" i="254" s="1"/>
  <c r="T22" i="52"/>
  <c r="I22" i="52" s="1"/>
  <c r="T22" i="16"/>
  <c r="I22" i="16" s="1"/>
  <c r="S22" i="231"/>
  <c r="U22" i="231" s="1"/>
  <c r="M34" i="231" s="1"/>
  <c r="R22" i="231"/>
  <c r="Q22" i="231"/>
  <c r="F22" i="231" s="1"/>
  <c r="T22" i="229"/>
  <c r="I22" i="229" s="1"/>
  <c r="T22" i="230"/>
  <c r="I22" i="230" s="1"/>
  <c r="F22" i="142"/>
  <c r="T22" i="18"/>
  <c r="I22" i="18" s="1"/>
  <c r="J34" i="18" s="1"/>
  <c r="T22" i="20"/>
  <c r="I22" i="20" s="1"/>
  <c r="T22" i="3"/>
  <c r="I22" i="3" s="1"/>
  <c r="T22" i="13"/>
  <c r="I22" i="13" s="1"/>
  <c r="J34" i="13" s="1"/>
  <c r="T22" i="257"/>
  <c r="I22" i="257" s="1"/>
  <c r="T22" i="153"/>
  <c r="I22" i="153" s="1"/>
  <c r="J34" i="153" s="1"/>
  <c r="T22" i="203"/>
  <c r="I22" i="203" s="1"/>
  <c r="J34" i="203" s="1"/>
  <c r="T22" i="2"/>
  <c r="I22" i="2" s="1"/>
  <c r="T22" i="204"/>
  <c r="I22" i="204" s="1"/>
  <c r="T22" i="37"/>
  <c r="I22" i="37" s="1"/>
  <c r="T22" i="31"/>
  <c r="I22" i="31" s="1"/>
  <c r="T22" i="202"/>
  <c r="I22" i="202" s="1"/>
  <c r="T22" i="7"/>
  <c r="I22" i="7" s="1"/>
  <c r="T22" i="190"/>
  <c r="I22" i="190" s="1"/>
  <c r="J34" i="190" s="1"/>
  <c r="T22" i="61"/>
  <c r="I22" i="61" s="1"/>
  <c r="T22" i="105"/>
  <c r="I22" i="105" s="1"/>
  <c r="T22" i="23"/>
  <c r="I22" i="23" s="1"/>
  <c r="T22" i="74"/>
  <c r="I22" i="74" s="1"/>
  <c r="J34" i="74" s="1"/>
  <c r="T22" i="200"/>
  <c r="I22" i="200" s="1"/>
  <c r="T22" i="46"/>
  <c r="I22" i="46" s="1"/>
  <c r="T22" i="109"/>
  <c r="I22" i="109" s="1"/>
  <c r="S22" i="253"/>
  <c r="R22" i="253"/>
  <c r="Q22" i="253"/>
  <c r="F22" i="253" s="1"/>
  <c r="T22" i="28"/>
  <c r="I22" i="28" s="1"/>
  <c r="T22" i="29"/>
  <c r="I22" i="29" s="1"/>
  <c r="J34" i="29" s="1"/>
  <c r="T22" i="114"/>
  <c r="I22" i="114" s="1"/>
  <c r="J34" i="114" s="1"/>
  <c r="F22" i="195"/>
  <c r="T22" i="194"/>
  <c r="I22" i="194" s="1"/>
  <c r="J34" i="194" s="1"/>
  <c r="T22" i="193"/>
  <c r="I22" i="193" s="1"/>
  <c r="T22" i="192"/>
  <c r="I22" i="192" s="1"/>
  <c r="S22" i="144"/>
  <c r="R22" i="144"/>
  <c r="Q22" i="144"/>
  <c r="F22" i="144" s="1"/>
  <c r="T22" i="27"/>
  <c r="I22" i="27" s="1"/>
  <c r="T22" i="143"/>
  <c r="I22" i="143" s="1"/>
  <c r="J34" i="143" s="1"/>
  <c r="T22" i="53"/>
  <c r="I22" i="53" s="1"/>
  <c r="T22" i="191"/>
  <c r="I22" i="191" s="1"/>
  <c r="J34" i="191" s="1"/>
  <c r="T22" i="233"/>
  <c r="I22" i="233" s="1"/>
  <c r="J34" i="233" s="1"/>
  <c r="T22" i="22"/>
  <c r="I22" i="22" s="1"/>
  <c r="T22" i="209"/>
  <c r="I22" i="209" s="1"/>
  <c r="L22" i="175"/>
  <c r="I22" i="187"/>
  <c r="T22" i="103"/>
  <c r="I22" i="103" s="1"/>
  <c r="J34" i="103" s="1"/>
  <c r="T22" i="97"/>
  <c r="I22" i="97" s="1"/>
  <c r="J34" i="97" s="1"/>
  <c r="T22" i="87"/>
  <c r="I22" i="87" s="1"/>
  <c r="T22" i="164"/>
  <c r="I22" i="164" s="1"/>
  <c r="T22" i="104"/>
  <c r="I22" i="104" s="1"/>
  <c r="T22" i="107"/>
  <c r="I22" i="107" s="1"/>
  <c r="S22" i="186"/>
  <c r="R22" i="186"/>
  <c r="Q22" i="186"/>
  <c r="F22" i="186" s="1"/>
  <c r="T22" i="159"/>
  <c r="I22" i="159" s="1"/>
  <c r="T22" i="160"/>
  <c r="I22" i="160" s="1"/>
  <c r="T22" i="196"/>
  <c r="I22" i="196" s="1"/>
  <c r="F22" i="170"/>
  <c r="T22" i="169"/>
  <c r="I22" i="169" s="1"/>
  <c r="T22" i="168"/>
  <c r="I22" i="168" s="1"/>
  <c r="T22" i="197"/>
  <c r="I22" i="197" s="1"/>
  <c r="J34" i="197" s="1"/>
  <c r="T22" i="34"/>
  <c r="I22" i="34" s="1"/>
  <c r="T22" i="32"/>
  <c r="I22" i="32" s="1"/>
  <c r="T22" i="75"/>
  <c r="I22" i="75" s="1"/>
  <c r="J34" i="75" s="1"/>
  <c r="T22" i="176"/>
  <c r="I22" i="176" s="1"/>
  <c r="J34" i="176" s="1"/>
  <c r="T22" i="25"/>
  <c r="I22" i="25" s="1"/>
  <c r="J34" i="25" s="1"/>
  <c r="T22" i="162"/>
  <c r="I22" i="162" s="1"/>
  <c r="J34" i="162" s="1"/>
  <c r="T22" i="1"/>
  <c r="I22" i="1" s="1"/>
  <c r="T22" i="48"/>
  <c r="I22" i="48" s="1"/>
  <c r="J34" i="48" s="1"/>
  <c r="T22" i="135"/>
  <c r="I22" i="135" s="1"/>
  <c r="J34" i="135" s="1"/>
  <c r="S22" i="44"/>
  <c r="T22" i="116"/>
  <c r="I22" i="116" s="1"/>
  <c r="J34" i="116" s="1"/>
  <c r="T22" i="85"/>
  <c r="I22" i="85" s="1"/>
  <c r="J34" i="85" s="1"/>
  <c r="T22" i="45"/>
  <c r="I22" i="45" s="1"/>
  <c r="T22" i="24"/>
  <c r="I22" i="24" s="1"/>
  <c r="J34" i="46" l="1"/>
  <c r="J34" i="20"/>
  <c r="J34" i="19"/>
  <c r="J34" i="248"/>
  <c r="J34" i="32"/>
  <c r="J34" i="164"/>
  <c r="J34" i="31"/>
  <c r="J34" i="169"/>
  <c r="J34" i="109"/>
  <c r="J34" i="61"/>
  <c r="J34" i="204"/>
  <c r="J34" i="3"/>
  <c r="J34" i="9"/>
  <c r="J34" i="239"/>
  <c r="J34" i="201"/>
  <c r="J34" i="17"/>
  <c r="J34" i="227"/>
  <c r="J34" i="192"/>
  <c r="J34" i="7"/>
  <c r="J34" i="174"/>
  <c r="J34" i="2"/>
  <c r="J34" i="47"/>
  <c r="J34" i="54"/>
  <c r="J34" i="107"/>
  <c r="J34" i="53"/>
  <c r="J34" i="28"/>
  <c r="J34" i="200"/>
  <c r="J34" i="45"/>
  <c r="J34" i="1"/>
  <c r="J34" i="34"/>
  <c r="J34" i="160"/>
  <c r="J34" i="104"/>
  <c r="J34" i="193"/>
  <c r="J34" i="202"/>
  <c r="J34" i="16"/>
  <c r="J34" i="101"/>
  <c r="J34" i="184"/>
  <c r="J34" i="43"/>
  <c r="J34" i="12"/>
  <c r="J34" i="257"/>
  <c r="J34" i="230"/>
  <c r="J34" i="52"/>
  <c r="J34" i="102"/>
  <c r="J34" i="183"/>
  <c r="J34" i="33"/>
  <c r="J34" i="148"/>
  <c r="J34" i="198"/>
  <c r="J34" i="5"/>
  <c r="J34" i="244"/>
  <c r="J34" i="24"/>
  <c r="J34" i="196"/>
  <c r="J34" i="187"/>
  <c r="J34" i="159"/>
  <c r="J34" i="209"/>
  <c r="J34" i="27"/>
  <c r="J34" i="23"/>
  <c r="J34" i="168"/>
  <c r="J34" i="87"/>
  <c r="J34" i="22"/>
  <c r="J34" i="105"/>
  <c r="J34" i="37"/>
  <c r="J34" i="229"/>
  <c r="J34" i="254"/>
  <c r="J34" i="140"/>
  <c r="J34" i="181"/>
  <c r="J34" i="243"/>
  <c r="J34" i="249"/>
  <c r="J34" i="4"/>
  <c r="G23" i="185"/>
  <c r="H34" i="185"/>
  <c r="G23" i="247"/>
  <c r="H34" i="247"/>
  <c r="G23" i="186"/>
  <c r="H34" i="186"/>
  <c r="G23" i="253"/>
  <c r="H34" i="253"/>
  <c r="G23" i="231"/>
  <c r="H34" i="231"/>
  <c r="G23" i="149"/>
  <c r="H34" i="149"/>
  <c r="G23" i="170"/>
  <c r="H34" i="170"/>
  <c r="G23" i="195"/>
  <c r="H34" i="195"/>
  <c r="G23" i="144"/>
  <c r="H34" i="144"/>
  <c r="G23" i="142"/>
  <c r="H34" i="142"/>
  <c r="L25" i="231"/>
  <c r="T22" i="170"/>
  <c r="I22" i="170" s="1"/>
  <c r="T22" i="253"/>
  <c r="I22" i="253" s="1"/>
  <c r="J34" i="253" s="1"/>
  <c r="T22" i="186"/>
  <c r="I22" i="186" s="1"/>
  <c r="T22" i="144"/>
  <c r="I22" i="144" s="1"/>
  <c r="T22" i="195"/>
  <c r="I22" i="195" s="1"/>
  <c r="T22" i="152"/>
  <c r="I22" i="152" s="1"/>
  <c r="T22" i="142"/>
  <c r="I22" i="142" s="1"/>
  <c r="T22" i="231"/>
  <c r="I22" i="231" s="1"/>
  <c r="T22" i="185"/>
  <c r="I22" i="185" s="1"/>
  <c r="T22" i="247"/>
  <c r="I22" i="247" s="1"/>
  <c r="T22" i="149"/>
  <c r="I22" i="149" s="1"/>
  <c r="J34" i="231" l="1"/>
  <c r="J34" i="142"/>
  <c r="J34" i="152"/>
  <c r="J34" i="149"/>
  <c r="J34" i="195"/>
  <c r="J34" i="144"/>
  <c r="J34" i="186"/>
  <c r="J34" i="247"/>
  <c r="J34" i="185"/>
  <c r="J34" i="170"/>
  <c r="F21" i="170"/>
  <c r="T21" i="257"/>
  <c r="I21" i="257" s="1"/>
  <c r="F21" i="257"/>
  <c r="T20" i="257"/>
  <c r="I20" i="257" s="1"/>
  <c r="J32" i="257" s="1"/>
  <c r="F20" i="257"/>
  <c r="K19" i="257"/>
  <c r="U19" i="257"/>
  <c r="T19" i="257"/>
  <c r="I19" i="257" s="1"/>
  <c r="F19" i="257"/>
  <c r="T18" i="257"/>
  <c r="I18" i="257" s="1"/>
  <c r="F18" i="257"/>
  <c r="T17" i="257"/>
  <c r="I17" i="257" s="1"/>
  <c r="F17" i="257"/>
  <c r="K16" i="257"/>
  <c r="U16" i="257"/>
  <c r="M28" i="257" s="1"/>
  <c r="T16" i="257"/>
  <c r="I16" i="257" s="1"/>
  <c r="J28" i="257" s="1"/>
  <c r="F16" i="257"/>
  <c r="T15" i="257"/>
  <c r="I15" i="257" s="1"/>
  <c r="J27" i="257" s="1"/>
  <c r="F15" i="257"/>
  <c r="T14" i="257"/>
  <c r="I14" i="257" s="1"/>
  <c r="J26" i="257" s="1"/>
  <c r="F14" i="257"/>
  <c r="K13" i="257"/>
  <c r="U13" i="257"/>
  <c r="M25" i="257" s="1"/>
  <c r="T13" i="257"/>
  <c r="I13" i="257" s="1"/>
  <c r="J25" i="257" s="1"/>
  <c r="F13" i="257"/>
  <c r="T12" i="257"/>
  <c r="I12" i="257" s="1"/>
  <c r="J24" i="257" s="1"/>
  <c r="F12" i="257"/>
  <c r="T11" i="257"/>
  <c r="I11" i="257" s="1"/>
  <c r="J23" i="257" s="1"/>
  <c r="F11" i="257"/>
  <c r="K10" i="257"/>
  <c r="U10" i="257"/>
  <c r="M22" i="257" s="1"/>
  <c r="T10" i="257"/>
  <c r="I10" i="257" s="1"/>
  <c r="J22" i="257" s="1"/>
  <c r="F10" i="257"/>
  <c r="T9" i="257"/>
  <c r="I9" i="257" s="1"/>
  <c r="F9" i="257"/>
  <c r="T8" i="257"/>
  <c r="I8" i="257" s="1"/>
  <c r="F8" i="257"/>
  <c r="K7" i="257"/>
  <c r="U7" i="257"/>
  <c r="T7" i="257"/>
  <c r="I7" i="257" s="1"/>
  <c r="F7" i="257"/>
  <c r="T6" i="257"/>
  <c r="I6" i="257" s="1"/>
  <c r="F6" i="257"/>
  <c r="T5" i="257"/>
  <c r="I5" i="257" s="1"/>
  <c r="F5" i="257"/>
  <c r="F21" i="204"/>
  <c r="F21" i="37"/>
  <c r="F21" i="201"/>
  <c r="F21" i="249"/>
  <c r="F21" i="31"/>
  <c r="F21" i="35"/>
  <c r="F21" i="190"/>
  <c r="F21" i="17"/>
  <c r="F21" i="4"/>
  <c r="F21" i="5"/>
  <c r="F21" i="207"/>
  <c r="F21" i="21"/>
  <c r="F21" i="174"/>
  <c r="F21" i="202"/>
  <c r="F21" i="7"/>
  <c r="F21" i="61"/>
  <c r="F21" i="206"/>
  <c r="F21" i="105"/>
  <c r="F21" i="101"/>
  <c r="F21" i="102"/>
  <c r="F21" i="140"/>
  <c r="F21" i="54"/>
  <c r="F21" i="239"/>
  <c r="F21" i="243"/>
  <c r="F21" i="244"/>
  <c r="F21" i="246"/>
  <c r="F21" i="248"/>
  <c r="F21" i="46"/>
  <c r="F21" i="19"/>
  <c r="F21" i="88"/>
  <c r="F21" i="148"/>
  <c r="F21" i="89"/>
  <c r="F21" i="23"/>
  <c r="F21" i="12"/>
  <c r="F21" i="33"/>
  <c r="F21" i="198"/>
  <c r="F21" i="109"/>
  <c r="F21" i="74"/>
  <c r="F21" i="200"/>
  <c r="F21" i="28"/>
  <c r="F21" i="29"/>
  <c r="F21" i="113"/>
  <c r="F21" i="114"/>
  <c r="F21" i="43"/>
  <c r="F21" i="181"/>
  <c r="F21" i="183"/>
  <c r="F21" i="184"/>
  <c r="F21" i="194"/>
  <c r="F21" i="193"/>
  <c r="F21" i="112"/>
  <c r="F21" i="52"/>
  <c r="F21" i="227"/>
  <c r="F21" i="254"/>
  <c r="F21" i="18"/>
  <c r="F21" i="20"/>
  <c r="F21" i="192"/>
  <c r="F21" i="27"/>
  <c r="F21" i="143"/>
  <c r="F21" i="53"/>
  <c r="F21" i="8"/>
  <c r="F21" i="203"/>
  <c r="F21" i="2"/>
  <c r="F21" i="191"/>
  <c r="F21" i="9"/>
  <c r="F21" i="13"/>
  <c r="F21" i="153"/>
  <c r="F21" i="233"/>
  <c r="F21" i="22"/>
  <c r="F21" i="47"/>
  <c r="F21" i="229"/>
  <c r="F21" i="230"/>
  <c r="F21" i="209"/>
  <c r="E21" i="175"/>
  <c r="F22" i="175" s="1"/>
  <c r="F21" i="187"/>
  <c r="F21" i="103"/>
  <c r="F21" i="97"/>
  <c r="F21" i="87"/>
  <c r="F21" i="164"/>
  <c r="F21" i="104"/>
  <c r="F21" i="107"/>
  <c r="F21" i="11"/>
  <c r="F21" i="159"/>
  <c r="F21" i="160"/>
  <c r="F21" i="16"/>
  <c r="F21" i="3"/>
  <c r="F21" i="196"/>
  <c r="F21" i="169"/>
  <c r="F21" i="168"/>
  <c r="F21" i="197"/>
  <c r="F21" i="34"/>
  <c r="F21" i="32"/>
  <c r="F21" i="75"/>
  <c r="F21" i="176"/>
  <c r="F21" i="25"/>
  <c r="F21" i="162"/>
  <c r="F21" i="1"/>
  <c r="F21" i="48"/>
  <c r="F21" i="135"/>
  <c r="F21" i="44"/>
  <c r="F21" i="116"/>
  <c r="F21" i="85"/>
  <c r="F21" i="45"/>
  <c r="F21" i="24"/>
  <c r="J20" i="257" l="1"/>
  <c r="J31" i="257"/>
  <c r="J19" i="257"/>
  <c r="J18" i="257"/>
  <c r="J30" i="257"/>
  <c r="J33" i="257"/>
  <c r="J21" i="257"/>
  <c r="J29" i="257"/>
  <c r="J17" i="257"/>
  <c r="H211" i="417"/>
  <c r="I223" i="417" s="1"/>
  <c r="H24" i="257"/>
  <c r="H27" i="257"/>
  <c r="H30" i="257"/>
  <c r="H25" i="257"/>
  <c r="H28" i="257"/>
  <c r="H31" i="257"/>
  <c r="H32" i="257"/>
  <c r="G22" i="85"/>
  <c r="H33" i="85"/>
  <c r="G22" i="176"/>
  <c r="H33" i="176"/>
  <c r="G22" i="197"/>
  <c r="H33" i="197"/>
  <c r="G22" i="159"/>
  <c r="H33" i="159"/>
  <c r="G22" i="164"/>
  <c r="H33" i="164"/>
  <c r="G22" i="187"/>
  <c r="H33" i="187"/>
  <c r="G22" i="229"/>
  <c r="H33" i="229"/>
  <c r="G22" i="2"/>
  <c r="H33" i="2"/>
  <c r="G22" i="143"/>
  <c r="H33" i="143"/>
  <c r="G22" i="18"/>
  <c r="H33" i="18"/>
  <c r="G22" i="112"/>
  <c r="H33" i="112"/>
  <c r="G22" i="183"/>
  <c r="H33" i="183"/>
  <c r="G22" i="74"/>
  <c r="H33" i="74"/>
  <c r="G22" i="246"/>
  <c r="H33" i="246"/>
  <c r="G22" i="54"/>
  <c r="H33" i="54"/>
  <c r="G22" i="105"/>
  <c r="H33" i="105"/>
  <c r="G22" i="116"/>
  <c r="H33" i="116"/>
  <c r="G22" i="1"/>
  <c r="H33" i="1"/>
  <c r="G22" i="75"/>
  <c r="H33" i="75"/>
  <c r="G22" i="11"/>
  <c r="H33" i="11"/>
  <c r="G22" i="87"/>
  <c r="H33" i="87"/>
  <c r="G22" i="47"/>
  <c r="H33" i="47"/>
  <c r="G22" i="203"/>
  <c r="H33" i="203"/>
  <c r="G22" i="27"/>
  <c r="H33" i="27"/>
  <c r="G22" i="254"/>
  <c r="H33" i="254"/>
  <c r="G22" i="193"/>
  <c r="H33" i="193"/>
  <c r="G22" i="181"/>
  <c r="H33" i="181"/>
  <c r="G22" i="109"/>
  <c r="H33" i="109"/>
  <c r="G22" i="244"/>
  <c r="H33" i="244"/>
  <c r="G22" i="140"/>
  <c r="H33" i="140"/>
  <c r="G22" i="206"/>
  <c r="H33" i="206"/>
  <c r="G22" i="174"/>
  <c r="H33" i="174"/>
  <c r="G22" i="24"/>
  <c r="H33" i="24"/>
  <c r="G22" i="44"/>
  <c r="H33" i="44"/>
  <c r="G22" i="162"/>
  <c r="H33" i="162"/>
  <c r="G22" i="32"/>
  <c r="H33" i="32"/>
  <c r="G22" i="107"/>
  <c r="H33" i="107"/>
  <c r="G22" i="97"/>
  <c r="H33" i="97"/>
  <c r="G22" i="209"/>
  <c r="H33" i="209"/>
  <c r="G22" i="22"/>
  <c r="H33" i="22"/>
  <c r="G22" i="192"/>
  <c r="H33" i="192"/>
  <c r="G22" i="227"/>
  <c r="H33" i="227"/>
  <c r="G22" i="194"/>
  <c r="H33" i="194"/>
  <c r="G22" i="43"/>
  <c r="H33" i="43"/>
  <c r="G22" i="198"/>
  <c r="H33" i="198"/>
  <c r="G22" i="46"/>
  <c r="H33" i="46"/>
  <c r="G22" i="243"/>
  <c r="H33" i="243"/>
  <c r="G22" i="102"/>
  <c r="H33" i="102"/>
  <c r="G22" i="61"/>
  <c r="H33" i="61"/>
  <c r="G22" i="249"/>
  <c r="H33" i="249"/>
  <c r="G22" i="45"/>
  <c r="H33" i="45"/>
  <c r="G22" i="135"/>
  <c r="H33" i="135"/>
  <c r="G22" i="25"/>
  <c r="H33" i="25"/>
  <c r="G22" i="34"/>
  <c r="H33" i="34"/>
  <c r="G22" i="196"/>
  <c r="H33" i="196"/>
  <c r="G22" i="160"/>
  <c r="H33" i="160"/>
  <c r="G22" i="104"/>
  <c r="H33" i="104"/>
  <c r="G22" i="103"/>
  <c r="H33" i="103"/>
  <c r="G22" i="230"/>
  <c r="H33" i="230"/>
  <c r="G22" i="233"/>
  <c r="H33" i="233"/>
  <c r="G22" i="191"/>
  <c r="H33" i="191"/>
  <c r="G22" i="53"/>
  <c r="H33" i="53"/>
  <c r="G22" i="20"/>
  <c r="H33" i="20"/>
  <c r="G22" i="52"/>
  <c r="H33" i="52"/>
  <c r="G22" i="184"/>
  <c r="H33" i="184"/>
  <c r="G22" i="114"/>
  <c r="H33" i="114"/>
  <c r="G22" i="200"/>
  <c r="H33" i="200"/>
  <c r="G22" i="33"/>
  <c r="H33" i="33"/>
  <c r="G22" i="248"/>
  <c r="H33" i="248"/>
  <c r="G22" i="239"/>
  <c r="H33" i="239"/>
  <c r="G22" i="101"/>
  <c r="H33" i="101"/>
  <c r="G22" i="201"/>
  <c r="H33" i="201"/>
  <c r="G22" i="29"/>
  <c r="H33" i="29"/>
  <c r="G22" i="28"/>
  <c r="H33" i="28"/>
  <c r="G22" i="169"/>
  <c r="H33" i="169"/>
  <c r="G22" i="168"/>
  <c r="H33" i="168"/>
  <c r="G22" i="170"/>
  <c r="H33" i="170"/>
  <c r="G22" i="204"/>
  <c r="H33" i="204"/>
  <c r="G22" i="31"/>
  <c r="H33" i="31"/>
  <c r="G22" i="21"/>
  <c r="H33" i="21"/>
  <c r="G22" i="37"/>
  <c r="H33" i="37"/>
  <c r="G22" i="23"/>
  <c r="H33" i="23"/>
  <c r="G22" i="7"/>
  <c r="H33" i="7"/>
  <c r="G22" i="48"/>
  <c r="H33" i="48"/>
  <c r="G22" i="19"/>
  <c r="H33" i="19"/>
  <c r="G22" i="3"/>
  <c r="H33" i="3"/>
  <c r="G22" i="8"/>
  <c r="H33" i="8"/>
  <c r="G22" i="257"/>
  <c r="H33" i="257"/>
  <c r="G22" i="153"/>
  <c r="H33" i="153"/>
  <c r="G22" i="13"/>
  <c r="H33" i="13"/>
  <c r="G22" i="17"/>
  <c r="H33" i="17"/>
  <c r="G22" i="12"/>
  <c r="H33" i="12"/>
  <c r="G22" i="16"/>
  <c r="H33" i="16"/>
  <c r="G22" i="9"/>
  <c r="H33" i="9"/>
  <c r="G22" i="207"/>
  <c r="H33" i="207"/>
  <c r="G22" i="5"/>
  <c r="H33" i="5"/>
  <c r="G22" i="190"/>
  <c r="H33" i="190"/>
  <c r="G22" i="4"/>
  <c r="H33" i="4"/>
  <c r="G22" i="202"/>
  <c r="H33" i="202"/>
  <c r="G22" i="35"/>
  <c r="H33" i="35"/>
  <c r="G22" i="113"/>
  <c r="H33" i="113"/>
  <c r="G22" i="148"/>
  <c r="H33" i="148"/>
  <c r="G22" i="88"/>
  <c r="H33" i="88"/>
  <c r="G22" i="89"/>
  <c r="H33" i="89"/>
  <c r="L22" i="257"/>
  <c r="M31" i="257"/>
  <c r="C7" i="257"/>
  <c r="C10" i="257"/>
  <c r="C13" i="257"/>
  <c r="C16" i="257"/>
  <c r="H29" i="257"/>
  <c r="C19" i="257"/>
  <c r="E31" i="257" s="1"/>
  <c r="C22" i="257"/>
  <c r="E34" i="257" s="1"/>
  <c r="N10" i="257"/>
  <c r="N16" i="257"/>
  <c r="N22" i="257"/>
  <c r="O25" i="257" s="1"/>
  <c r="N13" i="257"/>
  <c r="N7" i="257"/>
  <c r="N19" i="257"/>
  <c r="L10" i="257"/>
  <c r="L13" i="257"/>
  <c r="L16" i="257"/>
  <c r="L19" i="257"/>
  <c r="M19" i="257"/>
  <c r="H23" i="257"/>
  <c r="H26" i="257"/>
  <c r="B22" i="257"/>
  <c r="B10" i="257"/>
  <c r="G13" i="257"/>
  <c r="G7" i="257"/>
  <c r="G10" i="257"/>
  <c r="H22" i="257"/>
  <c r="G19" i="257"/>
  <c r="G11" i="257"/>
  <c r="G16" i="257"/>
  <c r="G15" i="257"/>
  <c r="B13" i="257"/>
  <c r="H17" i="257"/>
  <c r="B7" i="257"/>
  <c r="G9" i="257"/>
  <c r="G12" i="257"/>
  <c r="G14" i="257"/>
  <c r="B16" i="257"/>
  <c r="G18" i="257"/>
  <c r="H21" i="257"/>
  <c r="G20" i="257"/>
  <c r="B19" i="257"/>
  <c r="H19" i="257"/>
  <c r="G6" i="257"/>
  <c r="G17" i="257"/>
  <c r="G21" i="257"/>
  <c r="G8" i="257"/>
  <c r="H18" i="257"/>
  <c r="H20" i="257"/>
  <c r="I211" i="417" l="1"/>
  <c r="D10" i="257"/>
  <c r="D16" i="257"/>
  <c r="E28" i="257"/>
  <c r="E22" i="257"/>
  <c r="D22" i="257"/>
  <c r="D25" i="257"/>
  <c r="D13" i="257"/>
  <c r="E25" i="257"/>
  <c r="E19" i="257"/>
  <c r="D19" i="257"/>
  <c r="O10" i="257"/>
  <c r="O16" i="257"/>
  <c r="O13" i="257"/>
  <c r="O19" i="257"/>
  <c r="O22" i="257"/>
  <c r="T21" i="254"/>
  <c r="I21" i="254" s="1"/>
  <c r="J33" i="254" s="1"/>
  <c r="T20" i="254"/>
  <c r="I20" i="254" s="1"/>
  <c r="F20" i="254"/>
  <c r="K19" i="254"/>
  <c r="U19" i="254"/>
  <c r="T19" i="254"/>
  <c r="I19" i="254" s="1"/>
  <c r="F19" i="254"/>
  <c r="T18" i="254"/>
  <c r="I18" i="254" s="1"/>
  <c r="F18" i="254"/>
  <c r="T17" i="254"/>
  <c r="I17" i="254" s="1"/>
  <c r="J29" i="254" s="1"/>
  <c r="F17" i="254"/>
  <c r="K16" i="254"/>
  <c r="U16" i="254"/>
  <c r="M28" i="254" s="1"/>
  <c r="T16" i="254"/>
  <c r="I16" i="254" s="1"/>
  <c r="J28" i="254" s="1"/>
  <c r="F16" i="254"/>
  <c r="T15" i="254"/>
  <c r="I15" i="254" s="1"/>
  <c r="J27" i="254" s="1"/>
  <c r="F15" i="254"/>
  <c r="T14" i="254"/>
  <c r="I14" i="254" s="1"/>
  <c r="J26" i="254" s="1"/>
  <c r="F14" i="254"/>
  <c r="K13" i="254"/>
  <c r="U13" i="254"/>
  <c r="M25" i="254" s="1"/>
  <c r="T13" i="254"/>
  <c r="I13" i="254" s="1"/>
  <c r="J25" i="254" s="1"/>
  <c r="F13" i="254"/>
  <c r="T12" i="254"/>
  <c r="I12" i="254" s="1"/>
  <c r="J24" i="254" s="1"/>
  <c r="F12" i="254"/>
  <c r="T11" i="254"/>
  <c r="I11" i="254" s="1"/>
  <c r="J23" i="254" s="1"/>
  <c r="F11" i="254"/>
  <c r="K10" i="254"/>
  <c r="U10" i="254"/>
  <c r="M22" i="254" s="1"/>
  <c r="T10" i="254"/>
  <c r="I10" i="254" s="1"/>
  <c r="J22" i="254" s="1"/>
  <c r="F10" i="254"/>
  <c r="T9" i="254"/>
  <c r="I9" i="254" s="1"/>
  <c r="F9" i="254"/>
  <c r="T8" i="254"/>
  <c r="I8" i="254" s="1"/>
  <c r="F8" i="254"/>
  <c r="K7" i="254"/>
  <c r="U7" i="254"/>
  <c r="T7" i="254"/>
  <c r="I7" i="254" s="1"/>
  <c r="F7" i="254"/>
  <c r="T6" i="254"/>
  <c r="I6" i="254" s="1"/>
  <c r="F6" i="254"/>
  <c r="T5" i="254"/>
  <c r="I5" i="254" s="1"/>
  <c r="F5" i="254"/>
  <c r="J17" i="254" l="1"/>
  <c r="J19" i="254"/>
  <c r="J31" i="254"/>
  <c r="J21" i="254"/>
  <c r="J18" i="254"/>
  <c r="J30" i="254"/>
  <c r="J20" i="254"/>
  <c r="J32" i="254"/>
  <c r="H30" i="254"/>
  <c r="H22" i="254"/>
  <c r="H25" i="254"/>
  <c r="H28" i="254"/>
  <c r="H31" i="254"/>
  <c r="H24" i="254"/>
  <c r="H27" i="254"/>
  <c r="C22" i="254"/>
  <c r="E34" i="254" s="1"/>
  <c r="H32" i="254"/>
  <c r="L22" i="254"/>
  <c r="M31" i="254"/>
  <c r="C7" i="254"/>
  <c r="C10" i="254"/>
  <c r="C13" i="254"/>
  <c r="C16" i="254"/>
  <c r="C19" i="254"/>
  <c r="E31" i="254" s="1"/>
  <c r="N22" i="254"/>
  <c r="O25" i="254" s="1"/>
  <c r="H29" i="254"/>
  <c r="N7" i="254"/>
  <c r="N13" i="254"/>
  <c r="N16" i="254"/>
  <c r="N19" i="254"/>
  <c r="N10" i="254"/>
  <c r="L10" i="254"/>
  <c r="L13" i="254"/>
  <c r="L16" i="254"/>
  <c r="L19" i="254"/>
  <c r="M19" i="254"/>
  <c r="H23" i="254"/>
  <c r="H26" i="254"/>
  <c r="B22" i="254"/>
  <c r="B7" i="254"/>
  <c r="G9" i="254"/>
  <c r="G6" i="254"/>
  <c r="G16" i="254"/>
  <c r="G10" i="254"/>
  <c r="G13" i="254"/>
  <c r="G14" i="254"/>
  <c r="H19" i="254"/>
  <c r="H21" i="254"/>
  <c r="G8" i="254"/>
  <c r="G15" i="254"/>
  <c r="H17" i="254"/>
  <c r="G7" i="254"/>
  <c r="B19" i="254"/>
  <c r="H20" i="254"/>
  <c r="G11" i="254"/>
  <c r="G21" i="254"/>
  <c r="G12" i="254"/>
  <c r="B10" i="254"/>
  <c r="B13" i="254"/>
  <c r="B16" i="254"/>
  <c r="G18" i="254"/>
  <c r="G19" i="254"/>
  <c r="G20" i="254"/>
  <c r="H18" i="254"/>
  <c r="G17" i="254"/>
  <c r="S21" i="253"/>
  <c r="R21" i="253"/>
  <c r="S20" i="253"/>
  <c r="R20" i="253"/>
  <c r="S19" i="253"/>
  <c r="R19" i="253"/>
  <c r="S18" i="253"/>
  <c r="R18" i="253"/>
  <c r="S17" i="253"/>
  <c r="R17" i="253"/>
  <c r="S16" i="253"/>
  <c r="R16" i="253"/>
  <c r="S15" i="253"/>
  <c r="R15" i="253"/>
  <c r="S14" i="253"/>
  <c r="R14" i="253"/>
  <c r="S13" i="253"/>
  <c r="R13" i="253"/>
  <c r="S12" i="253"/>
  <c r="R12" i="253"/>
  <c r="S11" i="253"/>
  <c r="R11" i="253"/>
  <c r="S10" i="253"/>
  <c r="R10" i="253"/>
  <c r="S9" i="253"/>
  <c r="R9" i="253"/>
  <c r="S8" i="253"/>
  <c r="R8" i="253"/>
  <c r="S7" i="253"/>
  <c r="R7" i="253"/>
  <c r="S6" i="253"/>
  <c r="R6" i="253"/>
  <c r="S5" i="253"/>
  <c r="R5" i="253"/>
  <c r="Q21" i="253"/>
  <c r="Q20" i="253"/>
  <c r="Q19" i="253"/>
  <c r="F19" i="253" s="1"/>
  <c r="Q18" i="253"/>
  <c r="F18" i="253" s="1"/>
  <c r="Q17" i="253"/>
  <c r="Q16" i="253"/>
  <c r="Q15" i="253"/>
  <c r="Q14" i="253"/>
  <c r="Q13" i="253"/>
  <c r="Q12" i="253"/>
  <c r="F12" i="253" s="1"/>
  <c r="Q11" i="253"/>
  <c r="Q10" i="253"/>
  <c r="F10" i="253" s="1"/>
  <c r="Q9" i="253"/>
  <c r="Q8" i="253"/>
  <c r="F8" i="253" s="1"/>
  <c r="Q7" i="253"/>
  <c r="F7" i="253" s="1"/>
  <c r="Q6" i="253"/>
  <c r="Q5" i="253"/>
  <c r="H22" i="253" l="1"/>
  <c r="H24" i="253"/>
  <c r="H30" i="253"/>
  <c r="H31" i="253"/>
  <c r="T11" i="253"/>
  <c r="I11" i="253" s="1"/>
  <c r="J23" i="253" s="1"/>
  <c r="T15" i="253"/>
  <c r="I15" i="253" s="1"/>
  <c r="J27" i="253" s="1"/>
  <c r="D25" i="254"/>
  <c r="E19" i="254"/>
  <c r="D19" i="254"/>
  <c r="D16" i="254"/>
  <c r="E28" i="254"/>
  <c r="D13" i="254"/>
  <c r="E25" i="254"/>
  <c r="D22" i="254"/>
  <c r="D10" i="254"/>
  <c r="E22" i="254"/>
  <c r="U22" i="253"/>
  <c r="K22" i="253"/>
  <c r="O19" i="254"/>
  <c r="O16" i="254"/>
  <c r="O22" i="254"/>
  <c r="O10" i="254"/>
  <c r="O13" i="254"/>
  <c r="F20" i="253"/>
  <c r="F15" i="253"/>
  <c r="U7" i="253"/>
  <c r="T9" i="253"/>
  <c r="I9" i="253" s="1"/>
  <c r="T13" i="253"/>
  <c r="I13" i="253" s="1"/>
  <c r="J25" i="253" s="1"/>
  <c r="U16" i="253"/>
  <c r="M28" i="253" s="1"/>
  <c r="K7" i="253"/>
  <c r="K13" i="253"/>
  <c r="T8" i="253"/>
  <c r="I8" i="253" s="1"/>
  <c r="K10" i="253"/>
  <c r="K16" i="253"/>
  <c r="T12" i="253"/>
  <c r="I12" i="253" s="1"/>
  <c r="J24" i="253" s="1"/>
  <c r="F16" i="253"/>
  <c r="T16" i="253"/>
  <c r="I16" i="253" s="1"/>
  <c r="J28" i="253" s="1"/>
  <c r="K19" i="253"/>
  <c r="U19" i="253"/>
  <c r="M31" i="253" s="1"/>
  <c r="F5" i="253"/>
  <c r="T14" i="253"/>
  <c r="I14" i="253" s="1"/>
  <c r="J26" i="253" s="1"/>
  <c r="T10" i="253"/>
  <c r="I10" i="253" s="1"/>
  <c r="J22" i="253" s="1"/>
  <c r="T20" i="253"/>
  <c r="I20" i="253" s="1"/>
  <c r="J32" i="253" s="1"/>
  <c r="T21" i="253"/>
  <c r="I21" i="253" s="1"/>
  <c r="F21" i="253"/>
  <c r="T5" i="253"/>
  <c r="I5" i="253" s="1"/>
  <c r="U10" i="253"/>
  <c r="F13" i="253"/>
  <c r="T6" i="253"/>
  <c r="I6" i="253" s="1"/>
  <c r="F9" i="253"/>
  <c r="F14" i="253"/>
  <c r="T18" i="253"/>
  <c r="I18" i="253" s="1"/>
  <c r="J30" i="253" s="1"/>
  <c r="T19" i="253"/>
  <c r="I19" i="253" s="1"/>
  <c r="G19" i="253"/>
  <c r="F6" i="253"/>
  <c r="F17" i="253"/>
  <c r="F11" i="253"/>
  <c r="U13" i="253"/>
  <c r="M25" i="253" s="1"/>
  <c r="T17" i="253"/>
  <c r="I17" i="253" s="1"/>
  <c r="T7" i="253"/>
  <c r="I7" i="253" s="1"/>
  <c r="H19" i="253"/>
  <c r="G8" i="253"/>
  <c r="J20" i="253" l="1"/>
  <c r="J19" i="253"/>
  <c r="J31" i="253"/>
  <c r="J17" i="253"/>
  <c r="J29" i="253"/>
  <c r="J21" i="253"/>
  <c r="J33" i="253"/>
  <c r="J18" i="253"/>
  <c r="H25" i="253"/>
  <c r="H28" i="253"/>
  <c r="H32" i="253"/>
  <c r="G10" i="253"/>
  <c r="H27" i="253"/>
  <c r="L25" i="253"/>
  <c r="M34" i="253"/>
  <c r="G22" i="253"/>
  <c r="H33" i="253"/>
  <c r="C16" i="253"/>
  <c r="E28" i="253" s="1"/>
  <c r="C7" i="253"/>
  <c r="H29" i="253"/>
  <c r="C19" i="253"/>
  <c r="E31" i="253" s="1"/>
  <c r="C13" i="253"/>
  <c r="C22" i="253"/>
  <c r="E34" i="253" s="1"/>
  <c r="C10" i="253"/>
  <c r="M22" i="253"/>
  <c r="L22" i="253"/>
  <c r="N22" i="253"/>
  <c r="N13" i="253"/>
  <c r="L10" i="253"/>
  <c r="N10" i="253"/>
  <c r="L16" i="253"/>
  <c r="N7" i="253"/>
  <c r="L13" i="253"/>
  <c r="N19" i="253"/>
  <c r="N16" i="253"/>
  <c r="L19" i="253"/>
  <c r="M19" i="253"/>
  <c r="H26" i="253"/>
  <c r="H20" i="253"/>
  <c r="B19" i="253"/>
  <c r="G20" i="253"/>
  <c r="G11" i="253"/>
  <c r="H23" i="253"/>
  <c r="G16" i="253"/>
  <c r="B22" i="253"/>
  <c r="B7" i="253"/>
  <c r="B16" i="253"/>
  <c r="G21" i="253"/>
  <c r="B10" i="253"/>
  <c r="G15" i="253"/>
  <c r="G14" i="253"/>
  <c r="H21" i="253"/>
  <c r="G9" i="253"/>
  <c r="G17" i="253"/>
  <c r="G13" i="253"/>
  <c r="H18" i="253"/>
  <c r="B13" i="253"/>
  <c r="G12" i="253"/>
  <c r="G7" i="253"/>
  <c r="G6" i="253"/>
  <c r="G18" i="253"/>
  <c r="H17" i="253"/>
  <c r="T21" i="249"/>
  <c r="I21" i="249" s="1"/>
  <c r="T20" i="249"/>
  <c r="I20" i="249" s="1"/>
  <c r="F20" i="249"/>
  <c r="K19" i="249"/>
  <c r="U19" i="249"/>
  <c r="T19" i="249"/>
  <c r="I19" i="249" s="1"/>
  <c r="F19" i="249"/>
  <c r="T18" i="249"/>
  <c r="I18" i="249" s="1"/>
  <c r="F18" i="249"/>
  <c r="T17" i="249"/>
  <c r="I17" i="249" s="1"/>
  <c r="F17" i="249"/>
  <c r="K16" i="249"/>
  <c r="U16" i="249"/>
  <c r="M28" i="249" s="1"/>
  <c r="T16" i="249"/>
  <c r="I16" i="249" s="1"/>
  <c r="J28" i="249" s="1"/>
  <c r="F16" i="249"/>
  <c r="T15" i="249"/>
  <c r="I15" i="249" s="1"/>
  <c r="J27" i="249" s="1"/>
  <c r="F15" i="249"/>
  <c r="T14" i="249"/>
  <c r="I14" i="249" s="1"/>
  <c r="J26" i="249" s="1"/>
  <c r="F14" i="249"/>
  <c r="K13" i="249"/>
  <c r="U13" i="249"/>
  <c r="M25" i="249" s="1"/>
  <c r="T13" i="249"/>
  <c r="I13" i="249" s="1"/>
  <c r="J25" i="249" s="1"/>
  <c r="F13" i="249"/>
  <c r="T12" i="249"/>
  <c r="I12" i="249" s="1"/>
  <c r="J24" i="249" s="1"/>
  <c r="F12" i="249"/>
  <c r="T11" i="249"/>
  <c r="I11" i="249" s="1"/>
  <c r="J23" i="249" s="1"/>
  <c r="F11" i="249"/>
  <c r="K10" i="249"/>
  <c r="U10" i="249"/>
  <c r="M22" i="249" s="1"/>
  <c r="T10" i="249"/>
  <c r="I10" i="249" s="1"/>
  <c r="J22" i="249" s="1"/>
  <c r="F10" i="249"/>
  <c r="T9" i="249"/>
  <c r="I9" i="249" s="1"/>
  <c r="F9" i="249"/>
  <c r="T8" i="249"/>
  <c r="I8" i="249" s="1"/>
  <c r="F8" i="249"/>
  <c r="K7" i="249"/>
  <c r="U7" i="249"/>
  <c r="T7" i="249"/>
  <c r="I7" i="249" s="1"/>
  <c r="F7" i="249"/>
  <c r="T6" i="249"/>
  <c r="I6" i="249" s="1"/>
  <c r="F6" i="249"/>
  <c r="T5" i="249"/>
  <c r="I5" i="249" s="1"/>
  <c r="F5" i="249"/>
  <c r="J17" i="249" l="1"/>
  <c r="J29" i="249"/>
  <c r="J18" i="249"/>
  <c r="J30" i="249"/>
  <c r="J20" i="249"/>
  <c r="J32" i="249"/>
  <c r="J21" i="249"/>
  <c r="J33" i="249"/>
  <c r="J19" i="249"/>
  <c r="J31" i="249"/>
  <c r="H30" i="249"/>
  <c r="H21" i="249"/>
  <c r="H24" i="249"/>
  <c r="H27" i="249"/>
  <c r="H22" i="249"/>
  <c r="H28" i="249"/>
  <c r="H31" i="249"/>
  <c r="H25" i="249"/>
  <c r="C22" i="249"/>
  <c r="E34" i="249" s="1"/>
  <c r="H32" i="249"/>
  <c r="D16" i="253"/>
  <c r="L22" i="249"/>
  <c r="M31" i="249"/>
  <c r="E22" i="253"/>
  <c r="D22" i="253"/>
  <c r="D25" i="253"/>
  <c r="E19" i="253"/>
  <c r="D19" i="253"/>
  <c r="D13" i="253"/>
  <c r="E25" i="253"/>
  <c r="D10" i="253"/>
  <c r="C7" i="249"/>
  <c r="C10" i="249"/>
  <c r="C13" i="249"/>
  <c r="C16" i="249"/>
  <c r="H29" i="249"/>
  <c r="C19" i="249"/>
  <c r="E31" i="249" s="1"/>
  <c r="N22" i="249"/>
  <c r="O25" i="249" s="1"/>
  <c r="O13" i="253"/>
  <c r="O16" i="253"/>
  <c r="O22" i="253"/>
  <c r="O25" i="253"/>
  <c r="N7" i="249"/>
  <c r="N10" i="249"/>
  <c r="N13" i="249"/>
  <c r="N16" i="249"/>
  <c r="N19" i="249"/>
  <c r="L10" i="249"/>
  <c r="L13" i="249"/>
  <c r="L16" i="249"/>
  <c r="L19" i="249"/>
  <c r="M19" i="249"/>
  <c r="O10" i="253"/>
  <c r="O19" i="253"/>
  <c r="H23" i="249"/>
  <c r="H26" i="249"/>
  <c r="B22" i="249"/>
  <c r="G13" i="249"/>
  <c r="G18" i="249"/>
  <c r="G11" i="249"/>
  <c r="H20" i="249"/>
  <c r="G7" i="249"/>
  <c r="G15" i="249"/>
  <c r="G12" i="249"/>
  <c r="B13" i="249"/>
  <c r="G14" i="249"/>
  <c r="H19" i="249"/>
  <c r="B7" i="249"/>
  <c r="G16" i="249"/>
  <c r="G10" i="249"/>
  <c r="G6" i="249"/>
  <c r="G8" i="249"/>
  <c r="G19" i="249"/>
  <c r="G21" i="249"/>
  <c r="G20" i="249"/>
  <c r="B19" i="249"/>
  <c r="B16" i="249"/>
  <c r="H17" i="249"/>
  <c r="B10" i="249"/>
  <c r="H18" i="249"/>
  <c r="G9" i="249"/>
  <c r="G17" i="249"/>
  <c r="T21" i="248"/>
  <c r="I21" i="248" s="1"/>
  <c r="T20" i="248"/>
  <c r="I20" i="248" s="1"/>
  <c r="F20" i="248"/>
  <c r="K19" i="248"/>
  <c r="U19" i="248"/>
  <c r="T19" i="248"/>
  <c r="I19" i="248" s="1"/>
  <c r="F19" i="248"/>
  <c r="T18" i="248"/>
  <c r="I18" i="248" s="1"/>
  <c r="F18" i="248"/>
  <c r="T17" i="248"/>
  <c r="I17" i="248" s="1"/>
  <c r="F17" i="248"/>
  <c r="K16" i="248"/>
  <c r="U16" i="248"/>
  <c r="M28" i="248" s="1"/>
  <c r="T16" i="248"/>
  <c r="I16" i="248" s="1"/>
  <c r="J28" i="248" s="1"/>
  <c r="F16" i="248"/>
  <c r="T15" i="248"/>
  <c r="I15" i="248" s="1"/>
  <c r="J27" i="248" s="1"/>
  <c r="F15" i="248"/>
  <c r="T14" i="248"/>
  <c r="I14" i="248" s="1"/>
  <c r="J26" i="248" s="1"/>
  <c r="F14" i="248"/>
  <c r="K13" i="248"/>
  <c r="U13" i="248"/>
  <c r="M25" i="248" s="1"/>
  <c r="T13" i="248"/>
  <c r="I13" i="248" s="1"/>
  <c r="J25" i="248" s="1"/>
  <c r="F13" i="248"/>
  <c r="T12" i="248"/>
  <c r="I12" i="248" s="1"/>
  <c r="J24" i="248" s="1"/>
  <c r="F12" i="248"/>
  <c r="T11" i="248"/>
  <c r="I11" i="248" s="1"/>
  <c r="J23" i="248" s="1"/>
  <c r="F11" i="248"/>
  <c r="K10" i="248"/>
  <c r="U10" i="248"/>
  <c r="M22" i="248" s="1"/>
  <c r="T10" i="248"/>
  <c r="I10" i="248" s="1"/>
  <c r="J22" i="248" s="1"/>
  <c r="F10" i="248"/>
  <c r="T9" i="248"/>
  <c r="I9" i="248" s="1"/>
  <c r="F9" i="248"/>
  <c r="T8" i="248"/>
  <c r="I8" i="248" s="1"/>
  <c r="F8" i="248"/>
  <c r="K7" i="248"/>
  <c r="U7" i="248"/>
  <c r="T7" i="248"/>
  <c r="I7" i="248" s="1"/>
  <c r="F7" i="248"/>
  <c r="T6" i="248"/>
  <c r="I6" i="248" s="1"/>
  <c r="F6" i="248"/>
  <c r="T5" i="248"/>
  <c r="I5" i="248" s="1"/>
  <c r="F5" i="248"/>
  <c r="S21" i="247"/>
  <c r="S20" i="247"/>
  <c r="S19" i="247"/>
  <c r="S18" i="247"/>
  <c r="S17" i="247"/>
  <c r="S16" i="247"/>
  <c r="S15" i="247"/>
  <c r="S14" i="247"/>
  <c r="S13" i="247"/>
  <c r="S12" i="247"/>
  <c r="S11" i="247"/>
  <c r="S10" i="247"/>
  <c r="S9" i="247"/>
  <c r="S8" i="247"/>
  <c r="S7" i="247"/>
  <c r="S6" i="247"/>
  <c r="S5" i="247"/>
  <c r="R21" i="247"/>
  <c r="R20" i="247"/>
  <c r="R19" i="247"/>
  <c r="R18" i="247"/>
  <c r="R17" i="247"/>
  <c r="Q21" i="247"/>
  <c r="F21" i="247" s="1"/>
  <c r="Q20" i="247"/>
  <c r="Q19" i="247"/>
  <c r="F19" i="247" s="1"/>
  <c r="Q18" i="247"/>
  <c r="F18" i="247" s="1"/>
  <c r="Q17" i="247"/>
  <c r="F17" i="247" s="1"/>
  <c r="Q16" i="247"/>
  <c r="Q15" i="247"/>
  <c r="Q14" i="247"/>
  <c r="Q13" i="247"/>
  <c r="F13" i="247" s="1"/>
  <c r="Q12" i="247"/>
  <c r="Q11" i="247"/>
  <c r="F11" i="247" s="1"/>
  <c r="Q10" i="247"/>
  <c r="Q9" i="247"/>
  <c r="F9" i="247" s="1"/>
  <c r="Q8" i="247"/>
  <c r="F8" i="247" s="1"/>
  <c r="Q7" i="247"/>
  <c r="F7" i="247" s="1"/>
  <c r="Q6" i="247"/>
  <c r="F6" i="247" s="1"/>
  <c r="Q5" i="247"/>
  <c r="K16" i="247"/>
  <c r="K13" i="247"/>
  <c r="K10" i="247"/>
  <c r="K7" i="247"/>
  <c r="T21" i="246"/>
  <c r="I21" i="246" s="1"/>
  <c r="T20" i="246"/>
  <c r="I20" i="246" s="1"/>
  <c r="J32" i="246" s="1"/>
  <c r="F20" i="246"/>
  <c r="U19" i="246"/>
  <c r="M31" i="246" s="1"/>
  <c r="T19" i="246"/>
  <c r="I19" i="246" s="1"/>
  <c r="F19" i="246"/>
  <c r="T18" i="246"/>
  <c r="I18" i="246" s="1"/>
  <c r="J30" i="246" s="1"/>
  <c r="F18" i="246"/>
  <c r="T17" i="246"/>
  <c r="I17" i="246" s="1"/>
  <c r="F17" i="246"/>
  <c r="U16" i="246"/>
  <c r="T16" i="246"/>
  <c r="I16" i="246" s="1"/>
  <c r="J28" i="246" s="1"/>
  <c r="F16" i="246"/>
  <c r="T15" i="246"/>
  <c r="I15" i="246" s="1"/>
  <c r="J27" i="246" s="1"/>
  <c r="F15" i="246"/>
  <c r="T14" i="246"/>
  <c r="I14" i="246" s="1"/>
  <c r="J26" i="246" s="1"/>
  <c r="F14" i="246"/>
  <c r="U13" i="246"/>
  <c r="T13" i="246"/>
  <c r="I13" i="246" s="1"/>
  <c r="J25" i="246" s="1"/>
  <c r="F13" i="246"/>
  <c r="T12" i="246"/>
  <c r="I12" i="246" s="1"/>
  <c r="J24" i="246" s="1"/>
  <c r="F12" i="246"/>
  <c r="T11" i="246"/>
  <c r="I11" i="246" s="1"/>
  <c r="J23" i="246" s="1"/>
  <c r="F11" i="246"/>
  <c r="U10" i="246"/>
  <c r="T10" i="246"/>
  <c r="I10" i="246" s="1"/>
  <c r="J22" i="246" s="1"/>
  <c r="F10" i="246"/>
  <c r="T9" i="246"/>
  <c r="I9" i="246" s="1"/>
  <c r="F9" i="246"/>
  <c r="T8" i="246"/>
  <c r="I8" i="246" s="1"/>
  <c r="F8" i="246"/>
  <c r="U7" i="246"/>
  <c r="T7" i="246"/>
  <c r="I7" i="246" s="1"/>
  <c r="F7" i="246"/>
  <c r="T6" i="246"/>
  <c r="I6" i="246" s="1"/>
  <c r="F6" i="246"/>
  <c r="T5" i="246"/>
  <c r="I5" i="246" s="1"/>
  <c r="F5" i="246"/>
  <c r="T21" i="244"/>
  <c r="I21" i="244" s="1"/>
  <c r="T20" i="244"/>
  <c r="I20" i="244" s="1"/>
  <c r="F20" i="244"/>
  <c r="U19" i="244"/>
  <c r="M31" i="244" s="1"/>
  <c r="T19" i="244"/>
  <c r="I19" i="244" s="1"/>
  <c r="F19" i="244"/>
  <c r="T18" i="244"/>
  <c r="I18" i="244" s="1"/>
  <c r="F18" i="244"/>
  <c r="T17" i="244"/>
  <c r="I17" i="244" s="1"/>
  <c r="F17" i="244"/>
  <c r="U16" i="244"/>
  <c r="T16" i="244"/>
  <c r="I16" i="244" s="1"/>
  <c r="J28" i="244" s="1"/>
  <c r="F16" i="244"/>
  <c r="T15" i="244"/>
  <c r="I15" i="244" s="1"/>
  <c r="J27" i="244" s="1"/>
  <c r="F15" i="244"/>
  <c r="T14" i="244"/>
  <c r="I14" i="244" s="1"/>
  <c r="J26" i="244" s="1"/>
  <c r="F14" i="244"/>
  <c r="U13" i="244"/>
  <c r="T13" i="244"/>
  <c r="I13" i="244" s="1"/>
  <c r="J25" i="244" s="1"/>
  <c r="F13" i="244"/>
  <c r="T12" i="244"/>
  <c r="I12" i="244" s="1"/>
  <c r="J24" i="244" s="1"/>
  <c r="F12" i="244"/>
  <c r="T11" i="244"/>
  <c r="I11" i="244" s="1"/>
  <c r="J23" i="244" s="1"/>
  <c r="F11" i="244"/>
  <c r="U10" i="244"/>
  <c r="T10" i="244"/>
  <c r="I10" i="244" s="1"/>
  <c r="J22" i="244" s="1"/>
  <c r="F10" i="244"/>
  <c r="T9" i="244"/>
  <c r="I9" i="244" s="1"/>
  <c r="F9" i="244"/>
  <c r="T8" i="244"/>
  <c r="I8" i="244" s="1"/>
  <c r="F8" i="244"/>
  <c r="U7" i="244"/>
  <c r="T7" i="244"/>
  <c r="I7" i="244" s="1"/>
  <c r="F7" i="244"/>
  <c r="T6" i="244"/>
  <c r="I6" i="244" s="1"/>
  <c r="F6" i="244"/>
  <c r="T5" i="244"/>
  <c r="I5" i="244" s="1"/>
  <c r="F5" i="244"/>
  <c r="T21" i="243"/>
  <c r="I21" i="243" s="1"/>
  <c r="T20" i="243"/>
  <c r="I20" i="243" s="1"/>
  <c r="F20" i="243"/>
  <c r="K19" i="243"/>
  <c r="U19" i="243"/>
  <c r="T19" i="243"/>
  <c r="I19" i="243" s="1"/>
  <c r="F19" i="243"/>
  <c r="T18" i="243"/>
  <c r="I18" i="243" s="1"/>
  <c r="F18" i="243"/>
  <c r="T17" i="243"/>
  <c r="I17" i="243" s="1"/>
  <c r="F17" i="243"/>
  <c r="K16" i="243"/>
  <c r="U16" i="243"/>
  <c r="M28" i="243" s="1"/>
  <c r="T16" i="243"/>
  <c r="I16" i="243" s="1"/>
  <c r="J28" i="243" s="1"/>
  <c r="F16" i="243"/>
  <c r="T15" i="243"/>
  <c r="I15" i="243" s="1"/>
  <c r="J27" i="243" s="1"/>
  <c r="F15" i="243"/>
  <c r="T14" i="243"/>
  <c r="I14" i="243" s="1"/>
  <c r="J26" i="243" s="1"/>
  <c r="F14" i="243"/>
  <c r="K13" i="243"/>
  <c r="U13" i="243"/>
  <c r="M25" i="243" s="1"/>
  <c r="T13" i="243"/>
  <c r="I13" i="243" s="1"/>
  <c r="J25" i="243" s="1"/>
  <c r="F13" i="243"/>
  <c r="T12" i="243"/>
  <c r="I12" i="243" s="1"/>
  <c r="J24" i="243" s="1"/>
  <c r="F12" i="243"/>
  <c r="T11" i="243"/>
  <c r="I11" i="243" s="1"/>
  <c r="J23" i="243" s="1"/>
  <c r="F11" i="243"/>
  <c r="K10" i="243"/>
  <c r="U10" i="243"/>
  <c r="M22" i="243" s="1"/>
  <c r="T10" i="243"/>
  <c r="I10" i="243" s="1"/>
  <c r="J22" i="243" s="1"/>
  <c r="F10" i="243"/>
  <c r="T9" i="243"/>
  <c r="I9" i="243" s="1"/>
  <c r="F9" i="243"/>
  <c r="T8" i="243"/>
  <c r="I8" i="243" s="1"/>
  <c r="F8" i="243"/>
  <c r="K7" i="243"/>
  <c r="U7" i="243"/>
  <c r="T7" i="243"/>
  <c r="I7" i="243" s="1"/>
  <c r="F7" i="243"/>
  <c r="T6" i="243"/>
  <c r="I6" i="243" s="1"/>
  <c r="F6" i="243"/>
  <c r="T5" i="243"/>
  <c r="I5" i="243" s="1"/>
  <c r="F5" i="243"/>
  <c r="J18" i="246" l="1"/>
  <c r="J20" i="246"/>
  <c r="J21" i="248"/>
  <c r="J33" i="248"/>
  <c r="J21" i="244"/>
  <c r="J33" i="244"/>
  <c r="J17" i="246"/>
  <c r="J29" i="246"/>
  <c r="J18" i="243"/>
  <c r="J30" i="243"/>
  <c r="J20" i="243"/>
  <c r="J32" i="243"/>
  <c r="J18" i="248"/>
  <c r="J30" i="248"/>
  <c r="J20" i="248"/>
  <c r="J32" i="248"/>
  <c r="J32" i="244"/>
  <c r="J20" i="244"/>
  <c r="J19" i="248"/>
  <c r="J31" i="248"/>
  <c r="J19" i="246"/>
  <c r="J31" i="246"/>
  <c r="J17" i="243"/>
  <c r="J29" i="243"/>
  <c r="J17" i="248"/>
  <c r="J29" i="248"/>
  <c r="J21" i="243"/>
  <c r="J33" i="243"/>
  <c r="J17" i="244"/>
  <c r="J29" i="244"/>
  <c r="J19" i="243"/>
  <c r="J31" i="243"/>
  <c r="J30" i="244"/>
  <c r="J18" i="244"/>
  <c r="J19" i="244"/>
  <c r="J31" i="244"/>
  <c r="J21" i="246"/>
  <c r="J33" i="246"/>
  <c r="H24" i="243"/>
  <c r="H30" i="243"/>
  <c r="H22" i="248"/>
  <c r="H25" i="248"/>
  <c r="H24" i="244"/>
  <c r="H31" i="244"/>
  <c r="H25" i="246"/>
  <c r="H30" i="246"/>
  <c r="H25" i="247"/>
  <c r="H27" i="243"/>
  <c r="H22" i="244"/>
  <c r="H28" i="248"/>
  <c r="H31" i="248"/>
  <c r="H22" i="243"/>
  <c r="H25" i="243"/>
  <c r="H28" i="243"/>
  <c r="H31" i="243"/>
  <c r="H28" i="244"/>
  <c r="H22" i="246"/>
  <c r="H27" i="246"/>
  <c r="H30" i="247"/>
  <c r="H21" i="248"/>
  <c r="H24" i="248"/>
  <c r="H27" i="248"/>
  <c r="H30" i="248"/>
  <c r="H27" i="244"/>
  <c r="H28" i="246"/>
  <c r="H25" i="244"/>
  <c r="H30" i="244"/>
  <c r="H24" i="246"/>
  <c r="H31" i="246"/>
  <c r="H31" i="247"/>
  <c r="D25" i="249"/>
  <c r="G22" i="247"/>
  <c r="H33" i="247"/>
  <c r="C22" i="243"/>
  <c r="E34" i="243" s="1"/>
  <c r="H32" i="243"/>
  <c r="C22" i="244"/>
  <c r="E34" i="244" s="1"/>
  <c r="H32" i="244"/>
  <c r="C22" i="248"/>
  <c r="E34" i="248" s="1"/>
  <c r="H32" i="248"/>
  <c r="C22" i="246"/>
  <c r="E34" i="246" s="1"/>
  <c r="H32" i="246"/>
  <c r="L22" i="243"/>
  <c r="M31" i="243"/>
  <c r="L22" i="248"/>
  <c r="M31" i="248"/>
  <c r="C13" i="244"/>
  <c r="E25" i="244" s="1"/>
  <c r="C16" i="244"/>
  <c r="C10" i="246"/>
  <c r="D10" i="249"/>
  <c r="D13" i="249"/>
  <c r="E25" i="249"/>
  <c r="E19" i="249"/>
  <c r="D19" i="249"/>
  <c r="D22" i="249"/>
  <c r="D16" i="249"/>
  <c r="E28" i="249"/>
  <c r="E22" i="249"/>
  <c r="C7" i="243"/>
  <c r="C13" i="243"/>
  <c r="C16" i="243"/>
  <c r="C10" i="243"/>
  <c r="C13" i="246"/>
  <c r="C7" i="246"/>
  <c r="H29" i="246"/>
  <c r="C19" i="246"/>
  <c r="C10" i="244"/>
  <c r="C16" i="246"/>
  <c r="C7" i="248"/>
  <c r="C10" i="248"/>
  <c r="C13" i="248"/>
  <c r="C16" i="248"/>
  <c r="H29" i="248"/>
  <c r="C19" i="248"/>
  <c r="E31" i="248" s="1"/>
  <c r="H29" i="243"/>
  <c r="C19" i="243"/>
  <c r="E31" i="243" s="1"/>
  <c r="C7" i="244"/>
  <c r="H29" i="244"/>
  <c r="C19" i="244"/>
  <c r="E31" i="244" s="1"/>
  <c r="H29" i="247"/>
  <c r="C19" i="247"/>
  <c r="E31" i="247" s="1"/>
  <c r="O22" i="249"/>
  <c r="U22" i="247"/>
  <c r="N13" i="244"/>
  <c r="N22" i="244"/>
  <c r="O25" i="244" s="1"/>
  <c r="N13" i="246"/>
  <c r="N16" i="244"/>
  <c r="N10" i="246"/>
  <c r="O13" i="249"/>
  <c r="N22" i="246"/>
  <c r="N7" i="246"/>
  <c r="N19" i="246"/>
  <c r="N16" i="246"/>
  <c r="L10" i="246"/>
  <c r="M22" i="246"/>
  <c r="L13" i="246"/>
  <c r="M25" i="246"/>
  <c r="L16" i="246"/>
  <c r="M28" i="246"/>
  <c r="L19" i="246"/>
  <c r="M19" i="246"/>
  <c r="L22" i="246"/>
  <c r="M19" i="244"/>
  <c r="L22" i="244"/>
  <c r="L19" i="244"/>
  <c r="L16" i="244"/>
  <c r="M28" i="244"/>
  <c r="N10" i="244"/>
  <c r="L13" i="244"/>
  <c r="M25" i="244"/>
  <c r="N7" i="244"/>
  <c r="M22" i="244"/>
  <c r="L10" i="244"/>
  <c r="N19" i="244"/>
  <c r="K22" i="247"/>
  <c r="N22" i="243"/>
  <c r="N22" i="248"/>
  <c r="O19" i="249"/>
  <c r="O10" i="249"/>
  <c r="N10" i="243"/>
  <c r="N7" i="243"/>
  <c r="O16" i="249"/>
  <c r="N7" i="248"/>
  <c r="N10" i="248"/>
  <c r="N13" i="248"/>
  <c r="N16" i="248"/>
  <c r="N19" i="248"/>
  <c r="N13" i="243"/>
  <c r="N16" i="243"/>
  <c r="N19" i="243"/>
  <c r="L10" i="243"/>
  <c r="L13" i="243"/>
  <c r="L16" i="243"/>
  <c r="L19" i="243"/>
  <c r="M19" i="243"/>
  <c r="L13" i="248"/>
  <c r="M19" i="248"/>
  <c r="L19" i="248"/>
  <c r="L10" i="248"/>
  <c r="L16" i="248"/>
  <c r="H23" i="248"/>
  <c r="H26" i="248"/>
  <c r="H23" i="243"/>
  <c r="H26" i="243"/>
  <c r="B22" i="243"/>
  <c r="H23" i="244"/>
  <c r="H26" i="244"/>
  <c r="B22" i="244"/>
  <c r="H23" i="247"/>
  <c r="H23" i="246"/>
  <c r="H26" i="246"/>
  <c r="B22" i="246"/>
  <c r="G21" i="248"/>
  <c r="B22" i="248"/>
  <c r="T13" i="247"/>
  <c r="I13" i="247" s="1"/>
  <c r="J25" i="247" s="1"/>
  <c r="T16" i="247"/>
  <c r="I16" i="247" s="1"/>
  <c r="J28" i="247" s="1"/>
  <c r="T6" i="247"/>
  <c r="I6" i="247" s="1"/>
  <c r="G12" i="248"/>
  <c r="T12" i="247"/>
  <c r="I12" i="247" s="1"/>
  <c r="J24" i="247" s="1"/>
  <c r="T15" i="247"/>
  <c r="I15" i="247" s="1"/>
  <c r="J27" i="247" s="1"/>
  <c r="T7" i="247"/>
  <c r="I7" i="247" s="1"/>
  <c r="T21" i="247"/>
  <c r="I21" i="247" s="1"/>
  <c r="G8" i="247"/>
  <c r="F12" i="247"/>
  <c r="F15" i="247"/>
  <c r="U7" i="247"/>
  <c r="T10" i="247"/>
  <c r="I10" i="247" s="1"/>
  <c r="J22" i="247" s="1"/>
  <c r="K19" i="247"/>
  <c r="G9" i="247"/>
  <c r="U13" i="247"/>
  <c r="M25" i="247" s="1"/>
  <c r="G14" i="246"/>
  <c r="G15" i="246"/>
  <c r="G20" i="246"/>
  <c r="T18" i="247"/>
  <c r="I18" i="247" s="1"/>
  <c r="G18" i="246"/>
  <c r="H19" i="247"/>
  <c r="G19" i="246"/>
  <c r="F10" i="247"/>
  <c r="F16" i="247"/>
  <c r="T19" i="247"/>
  <c r="I19" i="247" s="1"/>
  <c r="G8" i="244"/>
  <c r="G10" i="244"/>
  <c r="T9" i="247"/>
  <c r="I9" i="247" s="1"/>
  <c r="G19" i="247"/>
  <c r="T11" i="247"/>
  <c r="I11" i="247" s="1"/>
  <c r="J23" i="247" s="1"/>
  <c r="G20" i="244"/>
  <c r="U19" i="247"/>
  <c r="M31" i="247" s="1"/>
  <c r="T17" i="247"/>
  <c r="I17" i="247" s="1"/>
  <c r="B13" i="243"/>
  <c r="H18" i="243"/>
  <c r="G9" i="243"/>
  <c r="G8" i="248"/>
  <c r="G17" i="248"/>
  <c r="B19" i="248"/>
  <c r="B7" i="248"/>
  <c r="G10" i="248"/>
  <c r="G13" i="248"/>
  <c r="G15" i="248"/>
  <c r="H19" i="248"/>
  <c r="B10" i="248"/>
  <c r="G16" i="248"/>
  <c r="B13" i="248"/>
  <c r="G19" i="248"/>
  <c r="G14" i="248"/>
  <c r="H18" i="248"/>
  <c r="H20" i="248"/>
  <c r="G11" i="248"/>
  <c r="B16" i="248"/>
  <c r="G18" i="248"/>
  <c r="G6" i="248"/>
  <c r="G9" i="248"/>
  <c r="G7" i="248"/>
  <c r="G20" i="248"/>
  <c r="H17" i="248"/>
  <c r="T8" i="247"/>
  <c r="I8" i="247" s="1"/>
  <c r="T14" i="247"/>
  <c r="I14" i="247" s="1"/>
  <c r="J26" i="247" s="1"/>
  <c r="T20" i="247"/>
  <c r="I20" i="247" s="1"/>
  <c r="F14" i="247"/>
  <c r="U16" i="247"/>
  <c r="F20" i="247"/>
  <c r="U10" i="247"/>
  <c r="G18" i="247"/>
  <c r="G7" i="247"/>
  <c r="H21" i="247"/>
  <c r="F5" i="247"/>
  <c r="T5" i="247"/>
  <c r="I5" i="247" s="1"/>
  <c r="B19" i="247"/>
  <c r="H18" i="247"/>
  <c r="H19" i="246"/>
  <c r="G9" i="246"/>
  <c r="H20" i="246"/>
  <c r="G7" i="246"/>
  <c r="B13" i="246"/>
  <c r="G16" i="246"/>
  <c r="B7" i="246"/>
  <c r="B19" i="246"/>
  <c r="G10" i="246"/>
  <c r="G17" i="246"/>
  <c r="G11" i="246"/>
  <c r="G13" i="246"/>
  <c r="B16" i="246"/>
  <c r="H17" i="246"/>
  <c r="G6" i="246"/>
  <c r="G8" i="246"/>
  <c r="H21" i="246"/>
  <c r="H18" i="246"/>
  <c r="G12" i="246"/>
  <c r="B10" i="246"/>
  <c r="G21" i="246"/>
  <c r="G14" i="244"/>
  <c r="G15" i="244"/>
  <c r="G18" i="244"/>
  <c r="G9" i="244"/>
  <c r="B7" i="244"/>
  <c r="G19" i="244"/>
  <c r="B10" i="244"/>
  <c r="B13" i="244"/>
  <c r="G7" i="244"/>
  <c r="G11" i="244"/>
  <c r="G13" i="244"/>
  <c r="B16" i="244"/>
  <c r="H21" i="244"/>
  <c r="G6" i="244"/>
  <c r="G17" i="244"/>
  <c r="H18" i="244"/>
  <c r="H19" i="244"/>
  <c r="H20" i="244"/>
  <c r="G12" i="244"/>
  <c r="G16" i="244"/>
  <c r="H17" i="244"/>
  <c r="B19" i="244"/>
  <c r="G21" i="244"/>
  <c r="B16" i="243"/>
  <c r="H19" i="243"/>
  <c r="H21" i="243"/>
  <c r="G6" i="243"/>
  <c r="B10" i="243"/>
  <c r="G12" i="243"/>
  <c r="G8" i="243"/>
  <c r="B7" i="243"/>
  <c r="G7" i="243"/>
  <c r="G15" i="243"/>
  <c r="H17" i="243"/>
  <c r="H20" i="243"/>
  <c r="G11" i="243"/>
  <c r="G13" i="243"/>
  <c r="B19" i="243"/>
  <c r="G20" i="243"/>
  <c r="G17" i="243"/>
  <c r="G19" i="243"/>
  <c r="G18" i="243"/>
  <c r="G10" i="243"/>
  <c r="G14" i="243"/>
  <c r="G16" i="243"/>
  <c r="G21" i="243"/>
  <c r="T21" i="239"/>
  <c r="I21" i="239" s="1"/>
  <c r="T20" i="239"/>
  <c r="I20" i="239" s="1"/>
  <c r="F20" i="239"/>
  <c r="K19" i="239"/>
  <c r="U19" i="239"/>
  <c r="T19" i="239"/>
  <c r="I19" i="239" s="1"/>
  <c r="F19" i="239"/>
  <c r="T18" i="239"/>
  <c r="I18" i="239" s="1"/>
  <c r="F18" i="239"/>
  <c r="T17" i="239"/>
  <c r="I17" i="239" s="1"/>
  <c r="F17" i="239"/>
  <c r="K16" i="239"/>
  <c r="U16" i="239"/>
  <c r="M28" i="239" s="1"/>
  <c r="T16" i="239"/>
  <c r="I16" i="239" s="1"/>
  <c r="J28" i="239" s="1"/>
  <c r="F16" i="239"/>
  <c r="T15" i="239"/>
  <c r="I15" i="239" s="1"/>
  <c r="J27" i="239" s="1"/>
  <c r="F15" i="239"/>
  <c r="T14" i="239"/>
  <c r="I14" i="239" s="1"/>
  <c r="J26" i="239" s="1"/>
  <c r="F14" i="239"/>
  <c r="K13" i="239"/>
  <c r="U13" i="239"/>
  <c r="M25" i="239" s="1"/>
  <c r="T13" i="239"/>
  <c r="I13" i="239" s="1"/>
  <c r="J25" i="239" s="1"/>
  <c r="F13" i="239"/>
  <c r="T12" i="239"/>
  <c r="I12" i="239" s="1"/>
  <c r="J24" i="239" s="1"/>
  <c r="F12" i="239"/>
  <c r="T11" i="239"/>
  <c r="I11" i="239" s="1"/>
  <c r="J23" i="239" s="1"/>
  <c r="F11" i="239"/>
  <c r="K10" i="239"/>
  <c r="U10" i="239"/>
  <c r="M22" i="239" s="1"/>
  <c r="T10" i="239"/>
  <c r="I10" i="239" s="1"/>
  <c r="J22" i="239" s="1"/>
  <c r="F10" i="239"/>
  <c r="T9" i="239"/>
  <c r="I9" i="239" s="1"/>
  <c r="F9" i="239"/>
  <c r="T8" i="239"/>
  <c r="I8" i="239" s="1"/>
  <c r="F8" i="239"/>
  <c r="K7" i="239"/>
  <c r="U7" i="239"/>
  <c r="T7" i="239"/>
  <c r="I7" i="239" s="1"/>
  <c r="F7" i="239"/>
  <c r="T6" i="239"/>
  <c r="I6" i="239" s="1"/>
  <c r="F6" i="239"/>
  <c r="T5" i="239"/>
  <c r="I5" i="239" s="1"/>
  <c r="F5" i="239"/>
  <c r="J21" i="239" l="1"/>
  <c r="J33" i="239"/>
  <c r="J17" i="239"/>
  <c r="J29" i="239"/>
  <c r="J18" i="239"/>
  <c r="J30" i="239"/>
  <c r="J17" i="247"/>
  <c r="J29" i="247"/>
  <c r="J19" i="239"/>
  <c r="J31" i="239"/>
  <c r="J20" i="247"/>
  <c r="J32" i="247"/>
  <c r="J20" i="239"/>
  <c r="J32" i="239"/>
  <c r="J19" i="247"/>
  <c r="J31" i="247"/>
  <c r="J18" i="247"/>
  <c r="J30" i="247"/>
  <c r="J21" i="247"/>
  <c r="J33" i="247"/>
  <c r="C13" i="247"/>
  <c r="E25" i="247" s="1"/>
  <c r="H27" i="247"/>
  <c r="H24" i="239"/>
  <c r="H27" i="239"/>
  <c r="H28" i="247"/>
  <c r="C7" i="247"/>
  <c r="E19" i="247" s="1"/>
  <c r="H30" i="239"/>
  <c r="H22" i="239"/>
  <c r="H25" i="239"/>
  <c r="H28" i="239"/>
  <c r="H31" i="239"/>
  <c r="C10" i="247"/>
  <c r="L25" i="247"/>
  <c r="M34" i="247"/>
  <c r="D25" i="248"/>
  <c r="D25" i="246"/>
  <c r="D25" i="244"/>
  <c r="D25" i="243"/>
  <c r="E22" i="246"/>
  <c r="C22" i="239"/>
  <c r="E34" i="239" s="1"/>
  <c r="H32" i="239"/>
  <c r="C22" i="247"/>
  <c r="E34" i="247" s="1"/>
  <c r="H32" i="247"/>
  <c r="L22" i="239"/>
  <c r="M31" i="239"/>
  <c r="D22" i="246"/>
  <c r="E31" i="246"/>
  <c r="D10" i="246"/>
  <c r="D16" i="244"/>
  <c r="E28" i="244"/>
  <c r="N7" i="247"/>
  <c r="D10" i="248"/>
  <c r="D10" i="244"/>
  <c r="D10" i="243"/>
  <c r="E19" i="243"/>
  <c r="D19" i="243"/>
  <c r="D16" i="248"/>
  <c r="E28" i="248"/>
  <c r="D16" i="246"/>
  <c r="E28" i="246"/>
  <c r="D13" i="243"/>
  <c r="E25" i="243"/>
  <c r="E22" i="243"/>
  <c r="E22" i="248"/>
  <c r="E19" i="244"/>
  <c r="D19" i="244"/>
  <c r="D13" i="248"/>
  <c r="E25" i="248"/>
  <c r="D13" i="246"/>
  <c r="E25" i="246"/>
  <c r="E19" i="248"/>
  <c r="D19" i="248"/>
  <c r="E19" i="246"/>
  <c r="D19" i="246"/>
  <c r="D13" i="244"/>
  <c r="D22" i="244"/>
  <c r="D16" i="243"/>
  <c r="E28" i="243"/>
  <c r="D22" i="243"/>
  <c r="D22" i="248"/>
  <c r="E22" i="244"/>
  <c r="C16" i="239"/>
  <c r="H29" i="239"/>
  <c r="C19" i="239"/>
  <c r="E31" i="239" s="1"/>
  <c r="C16" i="247"/>
  <c r="C7" i="239"/>
  <c r="C10" i="239"/>
  <c r="C13" i="239"/>
  <c r="O19" i="248"/>
  <c r="O10" i="248"/>
  <c r="O10" i="243"/>
  <c r="O13" i="244"/>
  <c r="M22" i="247"/>
  <c r="L22" i="247"/>
  <c r="O16" i="244"/>
  <c r="O19" i="244"/>
  <c r="N22" i="239"/>
  <c r="O25" i="239" s="1"/>
  <c r="N22" i="247"/>
  <c r="O25" i="247" s="1"/>
  <c r="O22" i="246"/>
  <c r="O25" i="246"/>
  <c r="O10" i="244"/>
  <c r="L16" i="247"/>
  <c r="M28" i="247"/>
  <c r="O22" i="244"/>
  <c r="O13" i="243"/>
  <c r="O22" i="243"/>
  <c r="O25" i="243"/>
  <c r="O22" i="248"/>
  <c r="O25" i="248"/>
  <c r="O13" i="246"/>
  <c r="O13" i="248"/>
  <c r="N10" i="239"/>
  <c r="N13" i="239"/>
  <c r="N16" i="239"/>
  <c r="N19" i="239"/>
  <c r="L10" i="247"/>
  <c r="N7" i="239"/>
  <c r="O16" i="248"/>
  <c r="O19" i="243"/>
  <c r="O10" i="246"/>
  <c r="O16" i="246"/>
  <c r="O16" i="243"/>
  <c r="N16" i="247"/>
  <c r="N13" i="247"/>
  <c r="N19" i="247"/>
  <c r="L19" i="247"/>
  <c r="M19" i="247"/>
  <c r="N10" i="247"/>
  <c r="L13" i="247"/>
  <c r="O19" i="246"/>
  <c r="L10" i="239"/>
  <c r="L16" i="239"/>
  <c r="L13" i="239"/>
  <c r="M19" i="239"/>
  <c r="L19" i="239"/>
  <c r="H23" i="239"/>
  <c r="H26" i="239"/>
  <c r="B22" i="239"/>
  <c r="H26" i="247"/>
  <c r="H17" i="247"/>
  <c r="G13" i="247"/>
  <c r="H24" i="247"/>
  <c r="G21" i="247"/>
  <c r="B22" i="247"/>
  <c r="B16" i="247"/>
  <c r="G11" i="247"/>
  <c r="H22" i="247"/>
  <c r="G16" i="247"/>
  <c r="G10" i="247"/>
  <c r="B10" i="247"/>
  <c r="B13" i="247"/>
  <c r="G12" i="247"/>
  <c r="G6" i="247"/>
  <c r="G17" i="247"/>
  <c r="B7" i="247"/>
  <c r="G14" i="247"/>
  <c r="H19" i="239"/>
  <c r="G15" i="247"/>
  <c r="H20" i="247"/>
  <c r="G20" i="247"/>
  <c r="G8" i="239"/>
  <c r="G13" i="239"/>
  <c r="G18" i="239"/>
  <c r="G7" i="239"/>
  <c r="G19" i="239"/>
  <c r="G20" i="239"/>
  <c r="H21" i="239"/>
  <c r="G15" i="239"/>
  <c r="H20" i="239"/>
  <c r="G11" i="239"/>
  <c r="G12" i="239"/>
  <c r="B16" i="239"/>
  <c r="G9" i="239"/>
  <c r="B13" i="239"/>
  <c r="G16" i="239"/>
  <c r="G10" i="239"/>
  <c r="H18" i="239"/>
  <c r="G17" i="239"/>
  <c r="B19" i="239"/>
  <c r="G6" i="239"/>
  <c r="G21" i="239"/>
  <c r="G14" i="239"/>
  <c r="H17" i="239"/>
  <c r="B7" i="239"/>
  <c r="B10" i="239"/>
  <c r="C20" i="78"/>
  <c r="C20" i="119"/>
  <c r="I20" i="78"/>
  <c r="I20" i="119"/>
  <c r="D13" i="247" l="1"/>
  <c r="D10" i="247"/>
  <c r="D25" i="239"/>
  <c r="D22" i="247"/>
  <c r="E22" i="239"/>
  <c r="E22" i="247"/>
  <c r="D25" i="247"/>
  <c r="O10" i="247"/>
  <c r="D16" i="239"/>
  <c r="E28" i="239"/>
  <c r="D16" i="247"/>
  <c r="E28" i="247"/>
  <c r="D13" i="239"/>
  <c r="E25" i="239"/>
  <c r="E19" i="239"/>
  <c r="D19" i="239"/>
  <c r="D10" i="239"/>
  <c r="D19" i="247"/>
  <c r="D22" i="239"/>
  <c r="O16" i="239"/>
  <c r="O22" i="247"/>
  <c r="O10" i="239"/>
  <c r="O19" i="239"/>
  <c r="O22" i="239"/>
  <c r="O13" i="239"/>
  <c r="O16" i="247"/>
  <c r="O19" i="247"/>
  <c r="O13" i="247"/>
  <c r="S21" i="185" l="1"/>
  <c r="R21" i="185"/>
  <c r="Q21" i="185"/>
  <c r="F21" i="185" s="1"/>
  <c r="S20" i="185"/>
  <c r="R20" i="185"/>
  <c r="Q20" i="185"/>
  <c r="S19" i="185"/>
  <c r="R19" i="185"/>
  <c r="Q19" i="185"/>
  <c r="S21" i="144"/>
  <c r="R21" i="144"/>
  <c r="Q21" i="144"/>
  <c r="F21" i="144" s="1"/>
  <c r="G22" i="144" l="1"/>
  <c r="H33" i="144"/>
  <c r="G22" i="185"/>
  <c r="H33" i="185"/>
  <c r="U22" i="185"/>
  <c r="K22" i="185"/>
  <c r="T21" i="233"/>
  <c r="I21" i="233" s="1"/>
  <c r="T20" i="233"/>
  <c r="I20" i="233" s="1"/>
  <c r="J32" i="233" s="1"/>
  <c r="F20" i="233"/>
  <c r="K19" i="233"/>
  <c r="U19" i="233"/>
  <c r="T19" i="233"/>
  <c r="I19" i="233" s="1"/>
  <c r="F19" i="233"/>
  <c r="T18" i="233"/>
  <c r="I18" i="233" s="1"/>
  <c r="J30" i="233" s="1"/>
  <c r="F18" i="233"/>
  <c r="T17" i="233"/>
  <c r="I17" i="233" s="1"/>
  <c r="F17" i="233"/>
  <c r="K16" i="233"/>
  <c r="U16" i="233"/>
  <c r="M28" i="233" s="1"/>
  <c r="T16" i="233"/>
  <c r="I16" i="233" s="1"/>
  <c r="J28" i="233" s="1"/>
  <c r="F16" i="233"/>
  <c r="T15" i="233"/>
  <c r="I15" i="233" s="1"/>
  <c r="J27" i="233" s="1"/>
  <c r="F15" i="233"/>
  <c r="T14" i="233"/>
  <c r="I14" i="233" s="1"/>
  <c r="J26" i="233" s="1"/>
  <c r="F14" i="233"/>
  <c r="K13" i="233"/>
  <c r="U13" i="233"/>
  <c r="M25" i="233" s="1"/>
  <c r="T13" i="233"/>
  <c r="I13" i="233" s="1"/>
  <c r="J25" i="233" s="1"/>
  <c r="F13" i="233"/>
  <c r="T12" i="233"/>
  <c r="I12" i="233" s="1"/>
  <c r="J24" i="233" s="1"/>
  <c r="F12" i="233"/>
  <c r="T11" i="233"/>
  <c r="I11" i="233" s="1"/>
  <c r="J23" i="233" s="1"/>
  <c r="F11" i="233"/>
  <c r="K10" i="233"/>
  <c r="U10" i="233"/>
  <c r="M22" i="233" s="1"/>
  <c r="T10" i="233"/>
  <c r="I10" i="233" s="1"/>
  <c r="J22" i="233" s="1"/>
  <c r="F10" i="233"/>
  <c r="T9" i="233"/>
  <c r="I9" i="233" s="1"/>
  <c r="F9" i="233"/>
  <c r="T8" i="233"/>
  <c r="I8" i="233" s="1"/>
  <c r="F8" i="233"/>
  <c r="K7" i="233"/>
  <c r="U7" i="233"/>
  <c r="T7" i="233"/>
  <c r="I7" i="233" s="1"/>
  <c r="F7" i="233"/>
  <c r="T6" i="233"/>
  <c r="I6" i="233" s="1"/>
  <c r="F6" i="233"/>
  <c r="T5" i="233"/>
  <c r="I5" i="233" s="1"/>
  <c r="F5" i="233"/>
  <c r="J18" i="233" l="1"/>
  <c r="J20" i="233"/>
  <c r="J19" i="233"/>
  <c r="J31" i="233"/>
  <c r="J17" i="233"/>
  <c r="J29" i="233"/>
  <c r="J21" i="233"/>
  <c r="J33" i="233"/>
  <c r="H28" i="233"/>
  <c r="H31" i="233"/>
  <c r="H22" i="233"/>
  <c r="H25" i="233"/>
  <c r="H21" i="233"/>
  <c r="H24" i="233"/>
  <c r="H27" i="233"/>
  <c r="H30" i="233"/>
  <c r="L25" i="185"/>
  <c r="M34" i="185"/>
  <c r="C22" i="233"/>
  <c r="E34" i="233" s="1"/>
  <c r="H32" i="233"/>
  <c r="L22" i="233"/>
  <c r="M31" i="233"/>
  <c r="C7" i="233"/>
  <c r="C10" i="233"/>
  <c r="C13" i="233"/>
  <c r="C16" i="233"/>
  <c r="H29" i="233"/>
  <c r="C19" i="233"/>
  <c r="N10" i="233"/>
  <c r="N13" i="233"/>
  <c r="N16" i="233"/>
  <c r="N19" i="233"/>
  <c r="N22" i="233"/>
  <c r="N7" i="233"/>
  <c r="L16" i="233"/>
  <c r="L10" i="233"/>
  <c r="L13" i="233"/>
  <c r="M19" i="233"/>
  <c r="L19" i="233"/>
  <c r="H23" i="233"/>
  <c r="H26" i="233"/>
  <c r="B22" i="233"/>
  <c r="B7" i="233"/>
  <c r="G7" i="233"/>
  <c r="B10" i="233"/>
  <c r="B13" i="233"/>
  <c r="G13" i="233"/>
  <c r="B16" i="233"/>
  <c r="G16" i="233"/>
  <c r="G21" i="233"/>
  <c r="H19" i="233"/>
  <c r="G9" i="233"/>
  <c r="G10" i="233"/>
  <c r="G17" i="233"/>
  <c r="G8" i="233"/>
  <c r="G15" i="233"/>
  <c r="G6" i="233"/>
  <c r="G18" i="233"/>
  <c r="H18" i="233"/>
  <c r="G20" i="233"/>
  <c r="H20" i="233"/>
  <c r="G12" i="233"/>
  <c r="H17" i="233"/>
  <c r="G11" i="233"/>
  <c r="G19" i="233"/>
  <c r="G14" i="233"/>
  <c r="B19" i="23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1" i="231"/>
  <c r="U21" i="231" s="1"/>
  <c r="R21" i="231"/>
  <c r="Q21" i="231"/>
  <c r="F21" i="231" s="1"/>
  <c r="U21" i="229"/>
  <c r="T21" i="229"/>
  <c r="I21" i="229" s="1"/>
  <c r="U21" i="230"/>
  <c r="T21" i="230"/>
  <c r="I21" i="230" s="1"/>
  <c r="T21" i="204"/>
  <c r="I21" i="204" s="1"/>
  <c r="T21" i="37"/>
  <c r="I21" i="37" s="1"/>
  <c r="T21" i="22"/>
  <c r="I21" i="22" s="1"/>
  <c r="J33" i="22" s="1"/>
  <c r="S21" i="149"/>
  <c r="R21" i="149"/>
  <c r="Q21" i="149"/>
  <c r="F21" i="149" s="1"/>
  <c r="T21" i="88"/>
  <c r="I21" i="88" s="1"/>
  <c r="T21" i="148"/>
  <c r="I21" i="148" s="1"/>
  <c r="T21" i="89"/>
  <c r="I21" i="89" s="1"/>
  <c r="T21" i="47"/>
  <c r="I21" i="47" s="1"/>
  <c r="T21" i="209"/>
  <c r="I21" i="209" s="1"/>
  <c r="F21" i="152"/>
  <c r="T21" i="13"/>
  <c r="I21" i="13" s="1"/>
  <c r="T21" i="153"/>
  <c r="I21" i="153" s="1"/>
  <c r="T21" i="191"/>
  <c r="I21" i="191" s="1"/>
  <c r="T21" i="54"/>
  <c r="I21" i="54" s="1"/>
  <c r="T21" i="31"/>
  <c r="I21" i="31" s="1"/>
  <c r="T21" i="23"/>
  <c r="I21" i="23" s="1"/>
  <c r="I21" i="187"/>
  <c r="T21" i="164"/>
  <c r="I21" i="164" s="1"/>
  <c r="L21" i="175"/>
  <c r="T21" i="114"/>
  <c r="I21" i="114" s="1"/>
  <c r="T21" i="102"/>
  <c r="I21" i="102" s="1"/>
  <c r="J33" i="102" s="1"/>
  <c r="T21" i="103"/>
  <c r="I21" i="103" s="1"/>
  <c r="T21" i="53"/>
  <c r="I21" i="53" s="1"/>
  <c r="T21" i="46"/>
  <c r="I21" i="46" s="1"/>
  <c r="T21" i="97"/>
  <c r="I21" i="97" s="1"/>
  <c r="T21" i="87"/>
  <c r="I21" i="87" s="1"/>
  <c r="J33" i="87" s="1"/>
  <c r="T21" i="112"/>
  <c r="I21" i="112" s="1"/>
  <c r="T21" i="9"/>
  <c r="I21" i="9" s="1"/>
  <c r="T21" i="203"/>
  <c r="I21" i="203" s="1"/>
  <c r="F21" i="142"/>
  <c r="T21" i="18"/>
  <c r="I21" i="18" s="1"/>
  <c r="T21" i="20"/>
  <c r="I21" i="20" s="1"/>
  <c r="T21" i="27"/>
  <c r="I21" i="27" s="1"/>
  <c r="J33" i="27" s="1"/>
  <c r="T21" i="143"/>
  <c r="I21" i="143" s="1"/>
  <c r="T21" i="2"/>
  <c r="I21" i="2" s="1"/>
  <c r="T21" i="12"/>
  <c r="I21" i="12" s="1"/>
  <c r="T21" i="7"/>
  <c r="I21" i="7" s="1"/>
  <c r="T21" i="104"/>
  <c r="I21" i="104" s="1"/>
  <c r="T21" i="107"/>
  <c r="I21" i="107" s="1"/>
  <c r="J33" i="107" s="1"/>
  <c r="T21" i="202"/>
  <c r="I21" i="202" s="1"/>
  <c r="T21" i="11"/>
  <c r="I21" i="11" s="1"/>
  <c r="T21" i="174"/>
  <c r="I21" i="174" s="1"/>
  <c r="T21" i="201"/>
  <c r="I21" i="201" s="1"/>
  <c r="S21" i="186"/>
  <c r="R21" i="186"/>
  <c r="Q21" i="186"/>
  <c r="F21" i="186" s="1"/>
  <c r="T21" i="159"/>
  <c r="I21" i="159" s="1"/>
  <c r="T21" i="160"/>
  <c r="I21" i="160" s="1"/>
  <c r="F21" i="195"/>
  <c r="T21" i="194"/>
  <c r="I21" i="194" s="1"/>
  <c r="T21" i="193"/>
  <c r="I21" i="193" s="1"/>
  <c r="T21" i="16"/>
  <c r="I21" i="16" s="1"/>
  <c r="T21" i="3"/>
  <c r="I21" i="3" s="1"/>
  <c r="T21" i="4"/>
  <c r="I21" i="4" s="1"/>
  <c r="T21" i="19"/>
  <c r="I21" i="19" s="1"/>
  <c r="T21" i="140"/>
  <c r="I21" i="140" s="1"/>
  <c r="T21" i="196"/>
  <c r="I21" i="196" s="1"/>
  <c r="J33" i="196" s="1"/>
  <c r="T21" i="170"/>
  <c r="I21" i="170" s="1"/>
  <c r="T21" i="169"/>
  <c r="I21" i="169" s="1"/>
  <c r="T21" i="168"/>
  <c r="I21" i="168" s="1"/>
  <c r="T21" i="181"/>
  <c r="I21" i="181" s="1"/>
  <c r="T21" i="183"/>
  <c r="I21" i="183" s="1"/>
  <c r="T21" i="184"/>
  <c r="I21" i="184" s="1"/>
  <c r="T21" i="101"/>
  <c r="I21" i="101" s="1"/>
  <c r="J33" i="101" s="1"/>
  <c r="T21" i="33"/>
  <c r="I21" i="33" s="1"/>
  <c r="T21" i="200"/>
  <c r="I21" i="200" s="1"/>
  <c r="J33" i="200" s="1"/>
  <c r="T21" i="192"/>
  <c r="I21" i="192" s="1"/>
  <c r="T21" i="34"/>
  <c r="I21" i="34" s="1"/>
  <c r="J33" i="34" s="1"/>
  <c r="T21" i="198"/>
  <c r="I21" i="198" s="1"/>
  <c r="T21" i="197"/>
  <c r="I21" i="197" s="1"/>
  <c r="T21" i="32"/>
  <c r="I21" i="32" s="1"/>
  <c r="T21" i="17"/>
  <c r="I21" i="17" s="1"/>
  <c r="J33" i="17" s="1"/>
  <c r="T21" i="190"/>
  <c r="I21" i="190" s="1"/>
  <c r="T21" i="21"/>
  <c r="I21" i="21" s="1"/>
  <c r="T21" i="43"/>
  <c r="I21" i="43" s="1"/>
  <c r="J33" i="43" s="1"/>
  <c r="T21" i="113"/>
  <c r="I21" i="113" s="1"/>
  <c r="T21" i="75"/>
  <c r="I21" i="75" s="1"/>
  <c r="T21" i="176"/>
  <c r="I21" i="176" s="1"/>
  <c r="T21" i="61"/>
  <c r="I21" i="61" s="1"/>
  <c r="J33" i="61" s="1"/>
  <c r="T21" i="25"/>
  <c r="I21" i="25" s="1"/>
  <c r="T21" i="5"/>
  <c r="I21" i="5" s="1"/>
  <c r="J33" i="5" s="1"/>
  <c r="T21" i="162"/>
  <c r="I21" i="162" s="1"/>
  <c r="T21" i="1"/>
  <c r="I21" i="1" s="1"/>
  <c r="T21" i="52"/>
  <c r="I21" i="52" s="1"/>
  <c r="J33" i="52" s="1"/>
  <c r="T21" i="74"/>
  <c r="I21" i="74" s="1"/>
  <c r="T21" i="105"/>
  <c r="I21" i="105" s="1"/>
  <c r="T21" i="48"/>
  <c r="I21" i="48" s="1"/>
  <c r="T21" i="206"/>
  <c r="I21" i="206" s="1"/>
  <c r="T21" i="207"/>
  <c r="I21" i="207" s="1"/>
  <c r="T21" i="135"/>
  <c r="I21" i="135" s="1"/>
  <c r="T21" i="109"/>
  <c r="I21" i="109" s="1"/>
  <c r="T21" i="227"/>
  <c r="I21" i="227" s="1"/>
  <c r="S21" i="44"/>
  <c r="T21" i="85"/>
  <c r="I21" i="85" s="1"/>
  <c r="T21" i="116"/>
  <c r="I21" i="116" s="1"/>
  <c r="T21" i="45"/>
  <c r="I21" i="45" s="1"/>
  <c r="T21" i="28"/>
  <c r="I21" i="28" s="1"/>
  <c r="T21" i="29"/>
  <c r="I21" i="29" s="1"/>
  <c r="T21" i="24"/>
  <c r="I21" i="24" s="1"/>
  <c r="J33" i="24" s="1"/>
  <c r="J33" i="207" l="1"/>
  <c r="J33" i="32"/>
  <c r="J33" i="3"/>
  <c r="J33" i="203"/>
  <c r="J33" i="53"/>
  <c r="J33" i="88"/>
  <c r="J33" i="85"/>
  <c r="J33" i="113"/>
  <c r="J33" i="170"/>
  <c r="J33" i="202"/>
  <c r="J33" i="143"/>
  <c r="J33" i="184"/>
  <c r="J33" i="112"/>
  <c r="J33" i="209"/>
  <c r="J33" i="29"/>
  <c r="J33" i="105"/>
  <c r="J33" i="45"/>
  <c r="J33" i="135"/>
  <c r="J33" i="176"/>
  <c r="J33" i="168"/>
  <c r="J33" i="4"/>
  <c r="J33" i="160"/>
  <c r="J33" i="174"/>
  <c r="J33" i="12"/>
  <c r="J33" i="46"/>
  <c r="J33" i="164"/>
  <c r="J33" i="153"/>
  <c r="J33" i="148"/>
  <c r="J33" i="37"/>
  <c r="J33" i="33"/>
  <c r="J33" i="11"/>
  <c r="J33" i="103"/>
  <c r="J33" i="23"/>
  <c r="J33" i="230"/>
  <c r="J33" i="1"/>
  <c r="J33" i="159"/>
  <c r="J33" i="13"/>
  <c r="J33" i="162"/>
  <c r="J33" i="197"/>
  <c r="J33" i="16"/>
  <c r="J33" i="9"/>
  <c r="J33" i="48"/>
  <c r="J33" i="198"/>
  <c r="J33" i="193"/>
  <c r="J33" i="183"/>
  <c r="J33" i="114"/>
  <c r="J33" i="54"/>
  <c r="J33" i="47"/>
  <c r="J33" i="229"/>
  <c r="J33" i="116"/>
  <c r="J33" i="75"/>
  <c r="J33" i="169"/>
  <c r="J33" i="2"/>
  <c r="J33" i="187"/>
  <c r="J33" i="204"/>
  <c r="J33" i="206"/>
  <c r="J33" i="31"/>
  <c r="J33" i="227"/>
  <c r="J33" i="25"/>
  <c r="J33" i="21"/>
  <c r="J33" i="140"/>
  <c r="J33" i="194"/>
  <c r="J33" i="104"/>
  <c r="J33" i="20"/>
  <c r="J33" i="28"/>
  <c r="J33" i="109"/>
  <c r="J33" i="74"/>
  <c r="J33" i="190"/>
  <c r="J33" i="192"/>
  <c r="J33" i="181"/>
  <c r="J33" i="19"/>
  <c r="J33" i="201"/>
  <c r="J33" i="7"/>
  <c r="J33" i="18"/>
  <c r="J33" i="97"/>
  <c r="J33" i="191"/>
  <c r="J33" i="89"/>
  <c r="H30" i="4"/>
  <c r="H27" i="4"/>
  <c r="H31" i="4"/>
  <c r="H24" i="4"/>
  <c r="H28" i="4"/>
  <c r="H22" i="4"/>
  <c r="H21" i="4"/>
  <c r="H25" i="4"/>
  <c r="D25" i="233"/>
  <c r="G22" i="186"/>
  <c r="H33" i="186"/>
  <c r="G22" i="142"/>
  <c r="H33" i="142"/>
  <c r="G22" i="195"/>
  <c r="H33" i="195"/>
  <c r="G22" i="231"/>
  <c r="H33" i="231"/>
  <c r="G22" i="152"/>
  <c r="H33" i="152"/>
  <c r="G22" i="149"/>
  <c r="H33" i="149"/>
  <c r="C22" i="4"/>
  <c r="E34" i="4" s="1"/>
  <c r="H32" i="4"/>
  <c r="D22" i="233"/>
  <c r="E31" i="233"/>
  <c r="D16" i="233"/>
  <c r="E28" i="233"/>
  <c r="D13" i="233"/>
  <c r="E25" i="233"/>
  <c r="E19" i="233"/>
  <c r="D19" i="233"/>
  <c r="D10" i="233"/>
  <c r="E22" i="233"/>
  <c r="C16" i="4"/>
  <c r="C13" i="4"/>
  <c r="C10" i="4"/>
  <c r="C7" i="4"/>
  <c r="H29" i="4"/>
  <c r="C19" i="4"/>
  <c r="E31" i="4" s="1"/>
  <c r="O13" i="233"/>
  <c r="O10" i="233"/>
  <c r="O16" i="233"/>
  <c r="O19" i="233"/>
  <c r="O22" i="233"/>
  <c r="O25" i="233"/>
  <c r="H23" i="4"/>
  <c r="H26" i="4"/>
  <c r="G21" i="4"/>
  <c r="B22" i="4"/>
  <c r="T21" i="152"/>
  <c r="I21" i="152" s="1"/>
  <c r="T21" i="195"/>
  <c r="I21" i="195" s="1"/>
  <c r="J33" i="195" s="1"/>
  <c r="T21" i="186"/>
  <c r="I21" i="186" s="1"/>
  <c r="T21" i="142"/>
  <c r="I21" i="142" s="1"/>
  <c r="T21" i="185"/>
  <c r="I21" i="185" s="1"/>
  <c r="T21" i="144"/>
  <c r="I21" i="144" s="1"/>
  <c r="T21" i="231"/>
  <c r="I21" i="231" s="1"/>
  <c r="T21" i="149"/>
  <c r="I21" i="149" s="1"/>
  <c r="J33" i="149" s="1"/>
  <c r="S20" i="231"/>
  <c r="U20" i="231" s="1"/>
  <c r="S19" i="231"/>
  <c r="U19" i="231" s="1"/>
  <c r="S18" i="231"/>
  <c r="U18" i="231" s="1"/>
  <c r="S17" i="231"/>
  <c r="U17" i="231" s="1"/>
  <c r="S16" i="231"/>
  <c r="U16" i="231" s="1"/>
  <c r="M28" i="231" s="1"/>
  <c r="S15" i="231"/>
  <c r="U15" i="231" s="1"/>
  <c r="S14" i="231"/>
  <c r="U14" i="231" s="1"/>
  <c r="S13" i="231"/>
  <c r="U13" i="231" s="1"/>
  <c r="M25" i="231" s="1"/>
  <c r="S12" i="231"/>
  <c r="U12" i="231" s="1"/>
  <c r="S11" i="231"/>
  <c r="S10" i="231"/>
  <c r="S9" i="231"/>
  <c r="U9" i="231" s="1"/>
  <c r="S8" i="231"/>
  <c r="U8" i="231" s="1"/>
  <c r="S7" i="231"/>
  <c r="U7" i="231" s="1"/>
  <c r="S6" i="231"/>
  <c r="U6" i="231" s="1"/>
  <c r="S5" i="231"/>
  <c r="U5" i="231" s="1"/>
  <c r="R20" i="231"/>
  <c r="R19" i="231"/>
  <c r="R18" i="231"/>
  <c r="R17" i="231"/>
  <c r="Q20" i="231"/>
  <c r="K22" i="231" s="1"/>
  <c r="Q19" i="231"/>
  <c r="F19" i="231" s="1"/>
  <c r="Q18" i="231"/>
  <c r="F18" i="231" s="1"/>
  <c r="Q17" i="231"/>
  <c r="Q16" i="231"/>
  <c r="F16" i="231" s="1"/>
  <c r="Q15" i="231"/>
  <c r="Q14" i="231"/>
  <c r="Q13" i="231"/>
  <c r="Q12" i="231"/>
  <c r="Q11" i="231"/>
  <c r="F11" i="231" s="1"/>
  <c r="Q10" i="231"/>
  <c r="F10" i="231" s="1"/>
  <c r="Q9" i="231"/>
  <c r="Q8" i="231"/>
  <c r="Q7" i="231"/>
  <c r="Q6" i="231"/>
  <c r="Q5" i="231"/>
  <c r="L7" i="231"/>
  <c r="U20" i="230"/>
  <c r="T20" i="230"/>
  <c r="F20" i="230"/>
  <c r="K19" i="230"/>
  <c r="U19" i="230"/>
  <c r="T19" i="230"/>
  <c r="I19" i="230" s="1"/>
  <c r="F19" i="230"/>
  <c r="U18" i="230"/>
  <c r="T18" i="230"/>
  <c r="I18" i="230" s="1"/>
  <c r="F18" i="230"/>
  <c r="U17" i="230"/>
  <c r="T17" i="230"/>
  <c r="I17" i="230" s="1"/>
  <c r="F17" i="230"/>
  <c r="K16" i="230"/>
  <c r="U16" i="230"/>
  <c r="M28" i="230" s="1"/>
  <c r="T16" i="230"/>
  <c r="I16" i="230" s="1"/>
  <c r="J28" i="230" s="1"/>
  <c r="F16" i="230"/>
  <c r="U15" i="230"/>
  <c r="T15" i="230"/>
  <c r="I15" i="230" s="1"/>
  <c r="J27" i="230" s="1"/>
  <c r="F15" i="230"/>
  <c r="U14" i="230"/>
  <c r="T14" i="230"/>
  <c r="I14" i="230" s="1"/>
  <c r="J26" i="230" s="1"/>
  <c r="F14" i="230"/>
  <c r="M13" i="230"/>
  <c r="K13" i="230"/>
  <c r="U13" i="230"/>
  <c r="M25" i="230" s="1"/>
  <c r="T13" i="230"/>
  <c r="I13" i="230" s="1"/>
  <c r="J25" i="230" s="1"/>
  <c r="F13" i="230"/>
  <c r="U12" i="230"/>
  <c r="T12" i="230"/>
  <c r="I12" i="230" s="1"/>
  <c r="J24" i="230" s="1"/>
  <c r="F12" i="230"/>
  <c r="U11" i="230"/>
  <c r="T11" i="230"/>
  <c r="I11" i="230" s="1"/>
  <c r="J23" i="230" s="1"/>
  <c r="F11" i="230"/>
  <c r="M10" i="230"/>
  <c r="K10" i="230"/>
  <c r="U10" i="230"/>
  <c r="M22" i="230" s="1"/>
  <c r="T10" i="230"/>
  <c r="I10" i="230" s="1"/>
  <c r="J22" i="230" s="1"/>
  <c r="F10" i="230"/>
  <c r="U9" i="230"/>
  <c r="T9" i="230"/>
  <c r="I9" i="230" s="1"/>
  <c r="J21" i="230" s="1"/>
  <c r="F9" i="230"/>
  <c r="U8" i="230"/>
  <c r="T8" i="230"/>
  <c r="I8" i="230" s="1"/>
  <c r="F8" i="230"/>
  <c r="M7" i="230"/>
  <c r="L7" i="230"/>
  <c r="K7" i="230"/>
  <c r="U7" i="230"/>
  <c r="T7" i="230"/>
  <c r="I7" i="230" s="1"/>
  <c r="F7" i="230"/>
  <c r="U6" i="230"/>
  <c r="T6" i="230"/>
  <c r="I6" i="230" s="1"/>
  <c r="F6" i="230"/>
  <c r="U5" i="230"/>
  <c r="T5" i="230"/>
  <c r="I5" i="230" s="1"/>
  <c r="F5" i="230"/>
  <c r="U20" i="229"/>
  <c r="T20" i="229"/>
  <c r="F20" i="229"/>
  <c r="K19" i="229"/>
  <c r="U19" i="229"/>
  <c r="T19" i="229"/>
  <c r="I19" i="229" s="1"/>
  <c r="F19" i="229"/>
  <c r="U18" i="229"/>
  <c r="T18" i="229"/>
  <c r="I18" i="229" s="1"/>
  <c r="F18" i="229"/>
  <c r="U17" i="229"/>
  <c r="T17" i="229"/>
  <c r="I17" i="229" s="1"/>
  <c r="F17" i="229"/>
  <c r="K16" i="229"/>
  <c r="U16" i="229"/>
  <c r="M28" i="229" s="1"/>
  <c r="T16" i="229"/>
  <c r="I16" i="229" s="1"/>
  <c r="J28" i="229" s="1"/>
  <c r="F16" i="229"/>
  <c r="U15" i="229"/>
  <c r="T15" i="229"/>
  <c r="I15" i="229" s="1"/>
  <c r="J27" i="229" s="1"/>
  <c r="F15" i="229"/>
  <c r="U14" i="229"/>
  <c r="T14" i="229"/>
  <c r="I14" i="229" s="1"/>
  <c r="J26" i="229" s="1"/>
  <c r="F14" i="229"/>
  <c r="M13" i="229"/>
  <c r="K13" i="229"/>
  <c r="U13" i="229"/>
  <c r="M25" i="229" s="1"/>
  <c r="T13" i="229"/>
  <c r="I13" i="229" s="1"/>
  <c r="J25" i="229" s="1"/>
  <c r="F13" i="229"/>
  <c r="U12" i="229"/>
  <c r="T12" i="229"/>
  <c r="I12" i="229" s="1"/>
  <c r="J24" i="229" s="1"/>
  <c r="F12" i="229"/>
  <c r="U11" i="229"/>
  <c r="T11" i="229"/>
  <c r="I11" i="229" s="1"/>
  <c r="J23" i="229" s="1"/>
  <c r="F11" i="229"/>
  <c r="K10" i="229"/>
  <c r="U10" i="229"/>
  <c r="T10" i="229"/>
  <c r="I10" i="229" s="1"/>
  <c r="J22" i="229" s="1"/>
  <c r="F10" i="229"/>
  <c r="U9" i="229"/>
  <c r="T9" i="229"/>
  <c r="I9" i="229" s="1"/>
  <c r="J21" i="229" s="1"/>
  <c r="F9" i="229"/>
  <c r="U8" i="229"/>
  <c r="T8" i="229"/>
  <c r="F8" i="229"/>
  <c r="K7" i="229"/>
  <c r="U7" i="229"/>
  <c r="T7" i="229"/>
  <c r="I7" i="229" s="1"/>
  <c r="F7" i="229"/>
  <c r="U6" i="229"/>
  <c r="T6" i="229"/>
  <c r="I6" i="229" s="1"/>
  <c r="F6" i="229"/>
  <c r="U5" i="229"/>
  <c r="T5" i="229"/>
  <c r="F5" i="229"/>
  <c r="M22" i="229" l="1"/>
  <c r="L10" i="229"/>
  <c r="I8" i="229"/>
  <c r="N10" i="229"/>
  <c r="I5" i="229"/>
  <c r="J17" i="229" s="1"/>
  <c r="N7" i="229"/>
  <c r="J33" i="144"/>
  <c r="N22" i="230"/>
  <c r="O25" i="230" s="1"/>
  <c r="I20" i="230"/>
  <c r="J33" i="142"/>
  <c r="J33" i="231"/>
  <c r="J33" i="152"/>
  <c r="J19" i="229"/>
  <c r="J31" i="229"/>
  <c r="J33" i="185"/>
  <c r="J18" i="229"/>
  <c r="J30" i="229"/>
  <c r="J17" i="230"/>
  <c r="J29" i="230"/>
  <c r="J19" i="230"/>
  <c r="J31" i="230"/>
  <c r="J33" i="186"/>
  <c r="J29" i="229"/>
  <c r="J18" i="230"/>
  <c r="J30" i="230"/>
  <c r="N22" i="229"/>
  <c r="O25" i="229" s="1"/>
  <c r="I20" i="229"/>
  <c r="D25" i="4"/>
  <c r="H27" i="229"/>
  <c r="H28" i="230"/>
  <c r="H22" i="229"/>
  <c r="H24" i="229"/>
  <c r="H31" i="229"/>
  <c r="H25" i="230"/>
  <c r="H27" i="230"/>
  <c r="H28" i="231"/>
  <c r="H25" i="229"/>
  <c r="H31" i="231"/>
  <c r="H21" i="229"/>
  <c r="H30" i="229"/>
  <c r="H22" i="230"/>
  <c r="H24" i="230"/>
  <c r="H31" i="230"/>
  <c r="H28" i="229"/>
  <c r="H21" i="230"/>
  <c r="H30" i="230"/>
  <c r="H22" i="231"/>
  <c r="H30" i="231"/>
  <c r="T12" i="231"/>
  <c r="I12" i="231" s="1"/>
  <c r="J24" i="231" s="1"/>
  <c r="T7" i="231"/>
  <c r="I7" i="231" s="1"/>
  <c r="C22" i="229"/>
  <c r="E34" i="229" s="1"/>
  <c r="H32" i="229"/>
  <c r="C22" i="230"/>
  <c r="E34" i="230" s="1"/>
  <c r="H32" i="230"/>
  <c r="L22" i="229"/>
  <c r="M31" i="229"/>
  <c r="L22" i="230"/>
  <c r="M31" i="230"/>
  <c r="L22" i="231"/>
  <c r="M31" i="231"/>
  <c r="D10" i="4"/>
  <c r="E19" i="4"/>
  <c r="D19" i="4"/>
  <c r="D13" i="4"/>
  <c r="E25" i="4"/>
  <c r="D22" i="4"/>
  <c r="D16" i="4"/>
  <c r="E28" i="4"/>
  <c r="E22" i="4"/>
  <c r="C10" i="229"/>
  <c r="C13" i="230"/>
  <c r="C7" i="229"/>
  <c r="C10" i="230"/>
  <c r="H29" i="230"/>
  <c r="C19" i="230"/>
  <c r="C16" i="229"/>
  <c r="H29" i="229"/>
  <c r="C19" i="229"/>
  <c r="E31" i="229" s="1"/>
  <c r="C7" i="230"/>
  <c r="C13" i="229"/>
  <c r="C16" i="230"/>
  <c r="L16" i="231"/>
  <c r="T6" i="231"/>
  <c r="I6" i="231" s="1"/>
  <c r="N16" i="229"/>
  <c r="L16" i="230"/>
  <c r="L13" i="230"/>
  <c r="N16" i="230"/>
  <c r="L10" i="230"/>
  <c r="N13" i="230"/>
  <c r="N7" i="230"/>
  <c r="N10" i="230"/>
  <c r="M19" i="230"/>
  <c r="L19" i="230"/>
  <c r="N19" i="230"/>
  <c r="N13" i="229"/>
  <c r="L13" i="229"/>
  <c r="L16" i="229"/>
  <c r="N19" i="229"/>
  <c r="L19" i="231"/>
  <c r="M19" i="231"/>
  <c r="M19" i="229"/>
  <c r="L19" i="229"/>
  <c r="H23" i="230"/>
  <c r="H26" i="230"/>
  <c r="H23" i="229"/>
  <c r="H26" i="229"/>
  <c r="H23" i="231"/>
  <c r="G15" i="229"/>
  <c r="G21" i="229"/>
  <c r="B22" i="229"/>
  <c r="G21" i="230"/>
  <c r="B22" i="230"/>
  <c r="T8" i="231"/>
  <c r="I8" i="231" s="1"/>
  <c r="T14" i="231"/>
  <c r="I14" i="231" s="1"/>
  <c r="J26" i="231" s="1"/>
  <c r="T9" i="231"/>
  <c r="I9" i="231" s="1"/>
  <c r="J21" i="231" s="1"/>
  <c r="T15" i="231"/>
  <c r="I15" i="231" s="1"/>
  <c r="J27" i="231" s="1"/>
  <c r="T5" i="231"/>
  <c r="I5" i="231" s="1"/>
  <c r="T11" i="231"/>
  <c r="I11" i="231" s="1"/>
  <c r="J23" i="231" s="1"/>
  <c r="T20" i="231"/>
  <c r="F12" i="231"/>
  <c r="T17" i="231"/>
  <c r="I17" i="231" s="1"/>
  <c r="F8" i="231"/>
  <c r="G14" i="230"/>
  <c r="M10" i="231"/>
  <c r="F14" i="231"/>
  <c r="F20" i="231"/>
  <c r="F6" i="231"/>
  <c r="G7" i="229"/>
  <c r="G10" i="229"/>
  <c r="F7" i="231"/>
  <c r="K13" i="231"/>
  <c r="T18" i="231"/>
  <c r="I18" i="231" s="1"/>
  <c r="G18" i="229"/>
  <c r="G17" i="229"/>
  <c r="B19" i="230"/>
  <c r="F9" i="231"/>
  <c r="G19" i="231"/>
  <c r="M13" i="231"/>
  <c r="B16" i="229"/>
  <c r="F15" i="231"/>
  <c r="F17" i="231"/>
  <c r="K16" i="231"/>
  <c r="T13" i="231"/>
  <c r="I13" i="231" s="1"/>
  <c r="J25" i="231" s="1"/>
  <c r="K19" i="231"/>
  <c r="M7" i="231"/>
  <c r="T16" i="231"/>
  <c r="I16" i="231" s="1"/>
  <c r="J28" i="231" s="1"/>
  <c r="T19" i="231"/>
  <c r="I19" i="231" s="1"/>
  <c r="T10" i="231"/>
  <c r="I10" i="231" s="1"/>
  <c r="J22" i="231" s="1"/>
  <c r="U11" i="231"/>
  <c r="U10" i="231"/>
  <c r="G11" i="231"/>
  <c r="K10" i="231"/>
  <c r="F13" i="231"/>
  <c r="K7" i="231"/>
  <c r="F5" i="231"/>
  <c r="G11" i="230"/>
  <c r="G10" i="230"/>
  <c r="G16" i="230"/>
  <c r="G6" i="230"/>
  <c r="B7" i="230"/>
  <c r="G9" i="230"/>
  <c r="G12" i="230"/>
  <c r="B16" i="230"/>
  <c r="H20" i="230"/>
  <c r="H18" i="230"/>
  <c r="B10" i="230"/>
  <c r="H19" i="230"/>
  <c r="G7" i="230"/>
  <c r="G8" i="230"/>
  <c r="B13" i="230"/>
  <c r="G15" i="230"/>
  <c r="G17" i="230"/>
  <c r="G19" i="230"/>
  <c r="G20" i="230"/>
  <c r="G13" i="230"/>
  <c r="H17" i="230"/>
  <c r="G18" i="230"/>
  <c r="H17" i="229"/>
  <c r="G13" i="229"/>
  <c r="G20" i="229"/>
  <c r="G8" i="229"/>
  <c r="G16" i="229"/>
  <c r="G11" i="229"/>
  <c r="G9" i="229"/>
  <c r="G12" i="229"/>
  <c r="H19" i="229"/>
  <c r="G19" i="229"/>
  <c r="H18" i="229"/>
  <c r="H20" i="229"/>
  <c r="B19" i="229"/>
  <c r="G6" i="229"/>
  <c r="B13" i="229"/>
  <c r="B10" i="229"/>
  <c r="B7" i="229"/>
  <c r="G14" i="229"/>
  <c r="T20" i="227"/>
  <c r="F20" i="227"/>
  <c r="U19" i="227"/>
  <c r="T19" i="227"/>
  <c r="I19" i="227" s="1"/>
  <c r="F19" i="227"/>
  <c r="T18" i="227"/>
  <c r="I18" i="227" s="1"/>
  <c r="F18" i="227"/>
  <c r="T17" i="227"/>
  <c r="I17" i="227" s="1"/>
  <c r="F17" i="227"/>
  <c r="K16" i="227"/>
  <c r="U16" i="227"/>
  <c r="M28" i="227" s="1"/>
  <c r="T16" i="227"/>
  <c r="I16" i="227" s="1"/>
  <c r="J28" i="227" s="1"/>
  <c r="F16" i="227"/>
  <c r="T15" i="227"/>
  <c r="I15" i="227" s="1"/>
  <c r="J27" i="227" s="1"/>
  <c r="F15" i="227"/>
  <c r="T14" i="227"/>
  <c r="I14" i="227" s="1"/>
  <c r="J26" i="227" s="1"/>
  <c r="F14" i="227"/>
  <c r="K13" i="227"/>
  <c r="U13" i="227"/>
  <c r="M25" i="227" s="1"/>
  <c r="T13" i="227"/>
  <c r="I13" i="227" s="1"/>
  <c r="J25" i="227" s="1"/>
  <c r="F13" i="227"/>
  <c r="T12" i="227"/>
  <c r="I12" i="227" s="1"/>
  <c r="J24" i="227" s="1"/>
  <c r="F12" i="227"/>
  <c r="T11" i="227"/>
  <c r="I11" i="227" s="1"/>
  <c r="J23" i="227" s="1"/>
  <c r="F11" i="227"/>
  <c r="K10" i="227"/>
  <c r="U10" i="227"/>
  <c r="M22" i="227" s="1"/>
  <c r="T10" i="227"/>
  <c r="I10" i="227" s="1"/>
  <c r="J22" i="227" s="1"/>
  <c r="F10" i="227"/>
  <c r="T9" i="227"/>
  <c r="I9" i="227" s="1"/>
  <c r="J21" i="227" s="1"/>
  <c r="F9" i="227"/>
  <c r="T8" i="227"/>
  <c r="I8" i="227" s="1"/>
  <c r="F8" i="227"/>
  <c r="L7" i="227"/>
  <c r="K7" i="227"/>
  <c r="U7" i="227"/>
  <c r="T7" i="227"/>
  <c r="I7" i="227" s="1"/>
  <c r="F7" i="227"/>
  <c r="T6" i="227"/>
  <c r="I6" i="227" s="1"/>
  <c r="F6" i="227"/>
  <c r="T5" i="227"/>
  <c r="I5" i="227" s="1"/>
  <c r="F5" i="227"/>
  <c r="O10" i="229" l="1"/>
  <c r="J20" i="230"/>
  <c r="J32" i="230"/>
  <c r="J18" i="231"/>
  <c r="J30" i="231"/>
  <c r="J17" i="227"/>
  <c r="J29" i="227"/>
  <c r="J20" i="229"/>
  <c r="J32" i="229"/>
  <c r="N22" i="231"/>
  <c r="O25" i="231" s="1"/>
  <c r="I20" i="231"/>
  <c r="N22" i="227"/>
  <c r="O25" i="227" s="1"/>
  <c r="I20" i="227"/>
  <c r="J18" i="227"/>
  <c r="J30" i="227"/>
  <c r="J19" i="231"/>
  <c r="J31" i="231"/>
  <c r="J19" i="227"/>
  <c r="J31" i="227"/>
  <c r="J17" i="231"/>
  <c r="J29" i="231"/>
  <c r="O22" i="230"/>
  <c r="H27" i="227"/>
  <c r="H30" i="227"/>
  <c r="H19" i="231"/>
  <c r="H18" i="231"/>
  <c r="H21" i="227"/>
  <c r="H24" i="227"/>
  <c r="H25" i="231"/>
  <c r="H22" i="227"/>
  <c r="H25" i="227"/>
  <c r="H28" i="227"/>
  <c r="H31" i="227"/>
  <c r="H27" i="231"/>
  <c r="D25" i="230"/>
  <c r="D25" i="229"/>
  <c r="C22" i="231"/>
  <c r="E34" i="231" s="1"/>
  <c r="H32" i="231"/>
  <c r="C22" i="227"/>
  <c r="E34" i="227" s="1"/>
  <c r="H32" i="227"/>
  <c r="L22" i="227"/>
  <c r="M31" i="227"/>
  <c r="D22" i="230"/>
  <c r="E31" i="230"/>
  <c r="D10" i="229"/>
  <c r="D10" i="230"/>
  <c r="E19" i="229"/>
  <c r="D19" i="229"/>
  <c r="D16" i="230"/>
  <c r="E28" i="230"/>
  <c r="D22" i="229"/>
  <c r="D13" i="229"/>
  <c r="E25" i="229"/>
  <c r="D16" i="229"/>
  <c r="E28" i="229"/>
  <c r="E22" i="229"/>
  <c r="E19" i="230"/>
  <c r="D19" i="230"/>
  <c r="D13" i="230"/>
  <c r="E25" i="230"/>
  <c r="E22" i="230"/>
  <c r="C7" i="227"/>
  <c r="C16" i="231"/>
  <c r="N7" i="231"/>
  <c r="C16" i="227"/>
  <c r="C10" i="227"/>
  <c r="C13" i="227"/>
  <c r="C7" i="231"/>
  <c r="H29" i="231"/>
  <c r="C19" i="231"/>
  <c r="E31" i="231" s="1"/>
  <c r="C13" i="231"/>
  <c r="H29" i="227"/>
  <c r="C19" i="227"/>
  <c r="E31" i="227" s="1"/>
  <c r="C10" i="231"/>
  <c r="O19" i="229"/>
  <c r="L13" i="231"/>
  <c r="M22" i="231"/>
  <c r="O22" i="229"/>
  <c r="O19" i="230"/>
  <c r="N10" i="227"/>
  <c r="N13" i="227"/>
  <c r="N16" i="227"/>
  <c r="O16" i="229"/>
  <c r="O13" i="230"/>
  <c r="O10" i="230"/>
  <c r="N19" i="227"/>
  <c r="O13" i="229"/>
  <c r="O16" i="230"/>
  <c r="N10" i="231"/>
  <c r="N19" i="231"/>
  <c r="L10" i="231"/>
  <c r="N13" i="231"/>
  <c r="N16" i="231"/>
  <c r="L10" i="227"/>
  <c r="L13" i="227"/>
  <c r="L16" i="227"/>
  <c r="N7" i="227"/>
  <c r="M19" i="227"/>
  <c r="L19" i="227"/>
  <c r="H26" i="231"/>
  <c r="G17" i="231"/>
  <c r="H23" i="227"/>
  <c r="H26" i="227"/>
  <c r="G12" i="231"/>
  <c r="H24" i="231"/>
  <c r="G21" i="231"/>
  <c r="B22" i="231"/>
  <c r="G21" i="227"/>
  <c r="B22" i="227"/>
  <c r="G13" i="231"/>
  <c r="B16" i="231"/>
  <c r="G8" i="231"/>
  <c r="B10" i="231"/>
  <c r="H20" i="231"/>
  <c r="G20" i="231"/>
  <c r="G13" i="227"/>
  <c r="H19" i="227"/>
  <c r="G11" i="227"/>
  <c r="G14" i="231"/>
  <c r="G15" i="231"/>
  <c r="G7" i="231"/>
  <c r="G9" i="231"/>
  <c r="H21" i="231"/>
  <c r="B13" i="231"/>
  <c r="B19" i="231"/>
  <c r="G14" i="227"/>
  <c r="G7" i="227"/>
  <c r="G12" i="227"/>
  <c r="H17" i="231"/>
  <c r="G10" i="231"/>
  <c r="G18" i="231"/>
  <c r="G16" i="231"/>
  <c r="B7" i="231"/>
  <c r="G6" i="231"/>
  <c r="G9" i="227"/>
  <c r="G15" i="227"/>
  <c r="G8" i="227"/>
  <c r="B7" i="227"/>
  <c r="G10" i="227"/>
  <c r="H20" i="227"/>
  <c r="G6" i="227"/>
  <c r="G16" i="227"/>
  <c r="H18" i="227"/>
  <c r="B19" i="227"/>
  <c r="H17" i="227"/>
  <c r="G20" i="227"/>
  <c r="B10" i="227"/>
  <c r="G17" i="227"/>
  <c r="B13" i="227"/>
  <c r="B16" i="227"/>
  <c r="G18" i="227"/>
  <c r="G19" i="227"/>
  <c r="J20" i="231" l="1"/>
  <c r="J32" i="231"/>
  <c r="J20" i="227"/>
  <c r="J32" i="227"/>
  <c r="O22" i="227"/>
  <c r="O22" i="231"/>
  <c r="D25" i="231"/>
  <c r="D25" i="227"/>
  <c r="D10" i="227"/>
  <c r="D10" i="231"/>
  <c r="E19" i="231"/>
  <c r="D19" i="231"/>
  <c r="D22" i="231"/>
  <c r="E19" i="227"/>
  <c r="D19" i="227"/>
  <c r="D16" i="227"/>
  <c r="E28" i="227"/>
  <c r="E22" i="231"/>
  <c r="D22" i="227"/>
  <c r="D13" i="231"/>
  <c r="E25" i="231"/>
  <c r="D13" i="227"/>
  <c r="E25" i="227"/>
  <c r="D16" i="231"/>
  <c r="E28" i="231"/>
  <c r="E22" i="227"/>
  <c r="O10" i="231"/>
  <c r="O16" i="227"/>
  <c r="O10" i="227"/>
  <c r="O13" i="227"/>
  <c r="O19" i="227"/>
  <c r="O13" i="231"/>
  <c r="O16" i="231"/>
  <c r="O19" i="231"/>
  <c r="F20" i="204" l="1"/>
  <c r="F20" i="35"/>
  <c r="F20" i="191"/>
  <c r="F20" i="54"/>
  <c r="F20" i="88"/>
  <c r="F20" i="148"/>
  <c r="F20" i="31"/>
  <c r="F20" i="23"/>
  <c r="F20" i="114"/>
  <c r="F20" i="187"/>
  <c r="E20" i="175"/>
  <c r="B22" i="175" s="1"/>
  <c r="F20" i="164"/>
  <c r="F20" i="102"/>
  <c r="F20" i="103"/>
  <c r="F20" i="53"/>
  <c r="F20" i="89"/>
  <c r="F20" i="46"/>
  <c r="F20" i="97"/>
  <c r="F20" i="87"/>
  <c r="F20" i="112"/>
  <c r="F20" i="104"/>
  <c r="F20" i="9"/>
  <c r="F20" i="12"/>
  <c r="F20" i="7"/>
  <c r="F20" i="107"/>
  <c r="F20" i="2"/>
  <c r="F20" i="18"/>
  <c r="F20" i="20"/>
  <c r="F20" i="202"/>
  <c r="F20" i="37"/>
  <c r="F20" i="203"/>
  <c r="F20" i="11"/>
  <c r="F20" i="27"/>
  <c r="F20" i="143"/>
  <c r="F20" i="174"/>
  <c r="F20" i="201"/>
  <c r="F20" i="159"/>
  <c r="F20" i="160"/>
  <c r="F20" i="194"/>
  <c r="F20" i="193"/>
  <c r="F20" i="16"/>
  <c r="F20" i="209"/>
  <c r="F20" i="3"/>
  <c r="F20" i="19"/>
  <c r="F20" i="140"/>
  <c r="F20" i="196"/>
  <c r="F20" i="47"/>
  <c r="F20" i="169"/>
  <c r="F20" i="168"/>
  <c r="F20" i="181"/>
  <c r="F20" i="183"/>
  <c r="F20" i="184"/>
  <c r="F20" i="101"/>
  <c r="F20" i="33"/>
  <c r="F20" i="200"/>
  <c r="F20" i="192"/>
  <c r="F20" i="34"/>
  <c r="F20" i="198"/>
  <c r="F20" i="197"/>
  <c r="F20" i="32"/>
  <c r="F20" i="17"/>
  <c r="F20" i="190"/>
  <c r="F20" i="21"/>
  <c r="F20" i="43"/>
  <c r="F20" i="113"/>
  <c r="F20" i="75"/>
  <c r="F20" i="176"/>
  <c r="F20" i="61"/>
  <c r="F20" i="25"/>
  <c r="F20" i="5"/>
  <c r="F20" i="162"/>
  <c r="F20" i="13"/>
  <c r="F20" i="153"/>
  <c r="F20" i="52"/>
  <c r="F20" i="74"/>
  <c r="F20" i="105"/>
  <c r="F20" i="48"/>
  <c r="F20" i="206"/>
  <c r="F20" i="1"/>
  <c r="F20" i="207"/>
  <c r="F20" i="135"/>
  <c r="F20" i="109"/>
  <c r="F20" i="44"/>
  <c r="F20" i="85"/>
  <c r="F20" i="116"/>
  <c r="F20" i="45"/>
  <c r="F20" i="28"/>
  <c r="F20" i="29"/>
  <c r="F20" i="24"/>
  <c r="F20" i="22"/>
  <c r="H210" i="417" l="1"/>
  <c r="I210" i="417" s="1"/>
  <c r="C22" i="207"/>
  <c r="E34" i="207" s="1"/>
  <c r="H32" i="207"/>
  <c r="C22" i="61"/>
  <c r="E34" i="61" s="1"/>
  <c r="H32" i="61"/>
  <c r="C22" i="32"/>
  <c r="E34" i="32" s="1"/>
  <c r="H32" i="32"/>
  <c r="C22" i="184"/>
  <c r="E34" i="184" s="1"/>
  <c r="H32" i="184"/>
  <c r="C22" i="16"/>
  <c r="E34" i="16" s="1"/>
  <c r="H32" i="16"/>
  <c r="C22" i="46"/>
  <c r="E34" i="46" s="1"/>
  <c r="H32" i="46"/>
  <c r="C22" i="102"/>
  <c r="E34" i="102" s="1"/>
  <c r="H32" i="102"/>
  <c r="C22" i="28"/>
  <c r="E34" i="28" s="1"/>
  <c r="H32" i="28"/>
  <c r="C22" i="44"/>
  <c r="E34" i="44" s="1"/>
  <c r="H32" i="44"/>
  <c r="C22" i="1"/>
  <c r="E34" i="1" s="1"/>
  <c r="H32" i="1"/>
  <c r="C22" i="74"/>
  <c r="E34" i="74" s="1"/>
  <c r="H32" i="74"/>
  <c r="C22" i="162"/>
  <c r="E34" i="162" s="1"/>
  <c r="H32" i="162"/>
  <c r="C22" i="176"/>
  <c r="E34" i="176" s="1"/>
  <c r="H32" i="176"/>
  <c r="C22" i="21"/>
  <c r="E34" i="21" s="1"/>
  <c r="H32" i="21"/>
  <c r="C22" i="197"/>
  <c r="E34" i="197" s="1"/>
  <c r="H32" i="197"/>
  <c r="C22" i="200"/>
  <c r="E34" i="200" s="1"/>
  <c r="H32" i="200"/>
  <c r="C22" i="183"/>
  <c r="E34" i="183" s="1"/>
  <c r="H32" i="183"/>
  <c r="C22" i="47"/>
  <c r="E34" i="47" s="1"/>
  <c r="H32" i="47"/>
  <c r="C22" i="19"/>
  <c r="E34" i="19" s="1"/>
  <c r="H32" i="19"/>
  <c r="C22" i="193"/>
  <c r="E34" i="193" s="1"/>
  <c r="H32" i="193"/>
  <c r="C22" i="201"/>
  <c r="E34" i="201" s="1"/>
  <c r="H32" i="201"/>
  <c r="C22" i="11"/>
  <c r="E34" i="11" s="1"/>
  <c r="H32" i="11"/>
  <c r="C22" i="20"/>
  <c r="E34" i="20" s="1"/>
  <c r="H32" i="20"/>
  <c r="C22" i="112"/>
  <c r="E34" i="112" s="1"/>
  <c r="H32" i="112"/>
  <c r="C22" i="89"/>
  <c r="E34" i="89" s="1"/>
  <c r="H32" i="89"/>
  <c r="C22" i="164"/>
  <c r="E34" i="164" s="1"/>
  <c r="H32" i="164"/>
  <c r="C22" i="23"/>
  <c r="E34" i="23" s="1"/>
  <c r="H32" i="23"/>
  <c r="C22" i="54"/>
  <c r="E34" i="54" s="1"/>
  <c r="H32" i="54"/>
  <c r="C22" i="85"/>
  <c r="E34" i="85" s="1"/>
  <c r="H32" i="85"/>
  <c r="C22" i="13"/>
  <c r="E34" i="13" s="1"/>
  <c r="H32" i="13"/>
  <c r="C22" i="192"/>
  <c r="E34" i="192" s="1"/>
  <c r="H32" i="192"/>
  <c r="C22" i="140"/>
  <c r="E34" i="140" s="1"/>
  <c r="H32" i="140"/>
  <c r="C22" i="27"/>
  <c r="E34" i="27" s="1"/>
  <c r="H32" i="27"/>
  <c r="C22" i="104"/>
  <c r="E34" i="104" s="1"/>
  <c r="H32" i="104"/>
  <c r="C22" i="88"/>
  <c r="E34" i="88" s="1"/>
  <c r="H32" i="88"/>
  <c r="C22" i="22"/>
  <c r="E34" i="22" s="1"/>
  <c r="H32" i="22"/>
  <c r="C22" i="45"/>
  <c r="E34" i="45" s="1"/>
  <c r="H32" i="45"/>
  <c r="C22" i="109"/>
  <c r="E34" i="109" s="1"/>
  <c r="H32" i="109"/>
  <c r="C22" i="206"/>
  <c r="E34" i="206" s="1"/>
  <c r="H32" i="206"/>
  <c r="C22" i="52"/>
  <c r="E34" i="52" s="1"/>
  <c r="H32" i="52"/>
  <c r="C22" i="5"/>
  <c r="E34" i="5" s="1"/>
  <c r="H32" i="5"/>
  <c r="C22" i="75"/>
  <c r="E34" i="75" s="1"/>
  <c r="H32" i="75"/>
  <c r="C22" i="190"/>
  <c r="E34" i="190" s="1"/>
  <c r="H32" i="190"/>
  <c r="C22" i="198"/>
  <c r="E34" i="198" s="1"/>
  <c r="H32" i="198"/>
  <c r="C22" i="33"/>
  <c r="E34" i="33" s="1"/>
  <c r="H32" i="33"/>
  <c r="C22" i="181"/>
  <c r="E34" i="181" s="1"/>
  <c r="H32" i="181"/>
  <c r="C22" i="196"/>
  <c r="E34" i="196" s="1"/>
  <c r="H32" i="196"/>
  <c r="C22" i="194"/>
  <c r="E34" i="194" s="1"/>
  <c r="H32" i="194"/>
  <c r="C22" i="174"/>
  <c r="E34" i="174" s="1"/>
  <c r="H32" i="174"/>
  <c r="C22" i="203"/>
  <c r="E34" i="203" s="1"/>
  <c r="H32" i="203"/>
  <c r="C22" i="18"/>
  <c r="E34" i="18" s="1"/>
  <c r="H32" i="18"/>
  <c r="C22" i="12"/>
  <c r="E34" i="12" s="1"/>
  <c r="H32" i="12"/>
  <c r="C22" i="87"/>
  <c r="E34" i="87" s="1"/>
  <c r="H32" i="87"/>
  <c r="C22" i="53"/>
  <c r="E34" i="53" s="1"/>
  <c r="H32" i="53"/>
  <c r="C22" i="31"/>
  <c r="E34" i="31" s="1"/>
  <c r="H32" i="31"/>
  <c r="C22" i="191"/>
  <c r="E34" i="191" s="1"/>
  <c r="H32" i="191"/>
  <c r="C22" i="204"/>
  <c r="E34" i="204" s="1"/>
  <c r="H32" i="204"/>
  <c r="C22" i="29"/>
  <c r="E34" i="29" s="1"/>
  <c r="H32" i="29"/>
  <c r="C22" i="105"/>
  <c r="E34" i="105" s="1"/>
  <c r="H32" i="105"/>
  <c r="C22" i="43"/>
  <c r="E34" i="43" s="1"/>
  <c r="H32" i="43"/>
  <c r="C22" i="169"/>
  <c r="E34" i="169" s="1"/>
  <c r="H32" i="169"/>
  <c r="C22" i="159"/>
  <c r="E34" i="159" s="1"/>
  <c r="H32" i="159"/>
  <c r="C22" i="107"/>
  <c r="E34" i="107" s="1"/>
  <c r="H32" i="107"/>
  <c r="C22" i="114"/>
  <c r="E34" i="114" s="1"/>
  <c r="H32" i="114"/>
  <c r="C22" i="24"/>
  <c r="E34" i="24" s="1"/>
  <c r="H32" i="24"/>
  <c r="C22" i="116"/>
  <c r="E34" i="116" s="1"/>
  <c r="H32" i="116"/>
  <c r="C22" i="135"/>
  <c r="E34" i="135" s="1"/>
  <c r="H32" i="135"/>
  <c r="C22" i="153"/>
  <c r="E34" i="153" s="1"/>
  <c r="H32" i="153"/>
  <c r="C22" i="25"/>
  <c r="E34" i="25" s="1"/>
  <c r="H32" i="25"/>
  <c r="C22" i="113"/>
  <c r="E34" i="113" s="1"/>
  <c r="H32" i="113"/>
  <c r="C22" i="17"/>
  <c r="E34" i="17" s="1"/>
  <c r="H32" i="17"/>
  <c r="C22" i="34"/>
  <c r="E34" i="34" s="1"/>
  <c r="H32" i="34"/>
  <c r="C22" i="101"/>
  <c r="E34" i="101" s="1"/>
  <c r="H32" i="101"/>
  <c r="C22" i="168"/>
  <c r="E34" i="168" s="1"/>
  <c r="H32" i="168"/>
  <c r="C22" i="209"/>
  <c r="E34" i="209" s="1"/>
  <c r="H32" i="209"/>
  <c r="C22" i="160"/>
  <c r="E34" i="160" s="1"/>
  <c r="H32" i="160"/>
  <c r="C22" i="143"/>
  <c r="E34" i="143" s="1"/>
  <c r="H32" i="143"/>
  <c r="C22" i="37"/>
  <c r="E34" i="37" s="1"/>
  <c r="H32" i="37"/>
  <c r="C22" i="2"/>
  <c r="E34" i="2" s="1"/>
  <c r="H32" i="2"/>
  <c r="C22" i="9"/>
  <c r="E34" i="9" s="1"/>
  <c r="H32" i="9"/>
  <c r="C22" i="97"/>
  <c r="E34" i="97" s="1"/>
  <c r="H32" i="97"/>
  <c r="C22" i="103"/>
  <c r="E34" i="103" s="1"/>
  <c r="H32" i="103"/>
  <c r="C22" i="187"/>
  <c r="E34" i="187" s="1"/>
  <c r="H32" i="187"/>
  <c r="C22" i="148"/>
  <c r="E34" i="148" s="1"/>
  <c r="H32" i="148"/>
  <c r="C22" i="8"/>
  <c r="E34" i="8" s="1"/>
  <c r="H32" i="8"/>
  <c r="C22" i="7"/>
  <c r="E34" i="7" s="1"/>
  <c r="H32" i="7"/>
  <c r="C22" i="48"/>
  <c r="E34" i="48" s="1"/>
  <c r="H32" i="48"/>
  <c r="C22" i="3"/>
  <c r="E34" i="3" s="1"/>
  <c r="H32" i="3"/>
  <c r="C22" i="202"/>
  <c r="E34" i="202" s="1"/>
  <c r="H32" i="202"/>
  <c r="C22" i="35"/>
  <c r="E34" i="35" s="1"/>
  <c r="H32" i="35"/>
  <c r="G21" i="207"/>
  <c r="B22" i="207"/>
  <c r="G21" i="105"/>
  <c r="B22" i="105"/>
  <c r="G21" i="13"/>
  <c r="B22" i="13"/>
  <c r="G21" i="61"/>
  <c r="B22" i="61"/>
  <c r="G21" i="43"/>
  <c r="B22" i="43"/>
  <c r="G21" i="32"/>
  <c r="B22" i="32"/>
  <c r="G21" i="192"/>
  <c r="B22" i="192"/>
  <c r="G21" i="184"/>
  <c r="B22" i="184"/>
  <c r="G21" i="169"/>
  <c r="B22" i="169"/>
  <c r="G21" i="209"/>
  <c r="B22" i="209"/>
  <c r="G21" i="160"/>
  <c r="B22" i="160"/>
  <c r="G21" i="143"/>
  <c r="B22" i="143"/>
  <c r="G21" i="37"/>
  <c r="B22" i="37"/>
  <c r="G21" i="2"/>
  <c r="B22" i="2"/>
  <c r="G21" i="9"/>
  <c r="B22" i="9"/>
  <c r="G21" i="97"/>
  <c r="B22" i="97"/>
  <c r="G21" i="103"/>
  <c r="B22" i="103"/>
  <c r="G21" i="187"/>
  <c r="B22" i="187"/>
  <c r="G21" i="148"/>
  <c r="B22" i="148"/>
  <c r="G21" i="8"/>
  <c r="B22" i="8"/>
  <c r="G21" i="204"/>
  <c r="B22" i="204"/>
  <c r="G21" i="22"/>
  <c r="B22" i="22"/>
  <c r="G21" i="45"/>
  <c r="B22" i="45"/>
  <c r="G21" i="109"/>
  <c r="B22" i="109"/>
  <c r="G21" i="1"/>
  <c r="B22" i="1"/>
  <c r="G21" i="74"/>
  <c r="B22" i="74"/>
  <c r="G21" i="162"/>
  <c r="B22" i="162"/>
  <c r="G21" i="176"/>
  <c r="B22" i="176"/>
  <c r="G21" i="21"/>
  <c r="B22" i="21"/>
  <c r="G21" i="197"/>
  <c r="B22" i="197"/>
  <c r="G21" i="200"/>
  <c r="B22" i="200"/>
  <c r="G21" i="183"/>
  <c r="B22" i="183"/>
  <c r="G21" i="47"/>
  <c r="B22" i="47"/>
  <c r="G21" i="140"/>
  <c r="B22" i="140"/>
  <c r="G21" i="16"/>
  <c r="B22" i="16"/>
  <c r="G21" i="159"/>
  <c r="B22" i="159"/>
  <c r="G21" i="27"/>
  <c r="B22" i="27"/>
  <c r="G21" i="202"/>
  <c r="B22" i="202"/>
  <c r="G21" i="107"/>
  <c r="B22" i="107"/>
  <c r="G21" i="104"/>
  <c r="B22" i="104"/>
  <c r="G21" i="46"/>
  <c r="B22" i="46"/>
  <c r="G21" i="102"/>
  <c r="B22" i="102"/>
  <c r="G21" i="114"/>
  <c r="B22" i="114"/>
  <c r="G21" i="88"/>
  <c r="B22" i="88"/>
  <c r="G21" i="35"/>
  <c r="B22" i="35"/>
  <c r="G21" i="28"/>
  <c r="B22" i="28"/>
  <c r="G21" i="24"/>
  <c r="B22" i="24"/>
  <c r="G21" i="116"/>
  <c r="B22" i="116"/>
  <c r="G21" i="206"/>
  <c r="B22" i="206"/>
  <c r="G21" i="52"/>
  <c r="B22" i="52"/>
  <c r="G21" i="5"/>
  <c r="B22" i="5"/>
  <c r="G21" i="75"/>
  <c r="B22" i="75"/>
  <c r="G21" i="190"/>
  <c r="B22" i="190"/>
  <c r="G21" i="198"/>
  <c r="B22" i="198"/>
  <c r="G21" i="33"/>
  <c r="B22" i="33"/>
  <c r="G21" i="181"/>
  <c r="B22" i="181"/>
  <c r="G21" i="196"/>
  <c r="B22" i="196"/>
  <c r="G21" i="19"/>
  <c r="B22" i="19"/>
  <c r="G21" i="193"/>
  <c r="B22" i="193"/>
  <c r="G21" i="201"/>
  <c r="B22" i="201"/>
  <c r="G21" i="11"/>
  <c r="B22" i="11"/>
  <c r="G21" i="20"/>
  <c r="B22" i="20"/>
  <c r="G21" i="7"/>
  <c r="B22" i="7"/>
  <c r="G21" i="112"/>
  <c r="B22" i="112"/>
  <c r="G21" i="89"/>
  <c r="B22" i="89"/>
  <c r="G21" i="164"/>
  <c r="B22" i="164"/>
  <c r="G21" i="23"/>
  <c r="B22" i="23"/>
  <c r="G21" i="54"/>
  <c r="B22" i="54"/>
  <c r="G21" i="44"/>
  <c r="B22" i="44"/>
  <c r="G21" i="29"/>
  <c r="B22" i="29"/>
  <c r="G21" i="85"/>
  <c r="B22" i="85"/>
  <c r="G21" i="135"/>
  <c r="B22" i="135"/>
  <c r="G21" i="48"/>
  <c r="B22" i="48"/>
  <c r="G21" i="153"/>
  <c r="B22" i="153"/>
  <c r="G21" i="25"/>
  <c r="B22" i="25"/>
  <c r="G21" i="113"/>
  <c r="B22" i="113"/>
  <c r="G21" i="17"/>
  <c r="B22" i="17"/>
  <c r="G21" i="34"/>
  <c r="B22" i="34"/>
  <c r="G21" i="101"/>
  <c r="B22" i="101"/>
  <c r="G21" i="168"/>
  <c r="B22" i="168"/>
  <c r="G21" i="3"/>
  <c r="B22" i="3"/>
  <c r="G21" i="194"/>
  <c r="B22" i="194"/>
  <c r="G21" i="174"/>
  <c r="B22" i="174"/>
  <c r="G21" i="203"/>
  <c r="B22" i="203"/>
  <c r="G21" i="18"/>
  <c r="B22" i="18"/>
  <c r="G21" i="12"/>
  <c r="B22" i="12"/>
  <c r="G21" i="87"/>
  <c r="B22" i="87"/>
  <c r="G21" i="53"/>
  <c r="B22" i="53"/>
  <c r="F21" i="175"/>
  <c r="A22" i="175"/>
  <c r="G21" i="31"/>
  <c r="B22" i="31"/>
  <c r="G21" i="191"/>
  <c r="B22" i="191"/>
  <c r="I222" i="417" l="1"/>
  <c r="D25" i="207"/>
  <c r="D25" i="16"/>
  <c r="D25" i="22"/>
  <c r="D25" i="201"/>
  <c r="D25" i="109"/>
  <c r="D25" i="35"/>
  <c r="D25" i="3"/>
  <c r="D25" i="7"/>
  <c r="D25" i="148"/>
  <c r="D25" i="103"/>
  <c r="D25" i="9"/>
  <c r="D25" i="37"/>
  <c r="D25" i="160"/>
  <c r="D25" i="101"/>
  <c r="D25" i="17"/>
  <c r="D25" i="25"/>
  <c r="D25" i="135"/>
  <c r="D25" i="24"/>
  <c r="D25" i="107"/>
  <c r="D25" i="169"/>
  <c r="D25" i="105"/>
  <c r="D25" i="204"/>
  <c r="D25" i="31"/>
  <c r="D25" i="87"/>
  <c r="D25" i="18"/>
  <c r="D25" i="174"/>
  <c r="D25" i="196"/>
  <c r="D25" i="33"/>
  <c r="D25" i="190"/>
  <c r="D25" i="5"/>
  <c r="D25" i="206"/>
  <c r="D25" i="45"/>
  <c r="D25" i="88"/>
  <c r="D25" i="27"/>
  <c r="D25" i="192"/>
  <c r="D25" i="85"/>
  <c r="D25" i="54"/>
  <c r="D25" i="164"/>
  <c r="D25" i="112"/>
  <c r="D25" i="11"/>
  <c r="D25" i="193"/>
  <c r="D25" i="47"/>
  <c r="D25" i="200"/>
  <c r="D25" i="21"/>
  <c r="D25" i="162"/>
  <c r="D25" i="1"/>
  <c r="D25" i="28"/>
  <c r="D25" i="46"/>
  <c r="D25" i="184"/>
  <c r="D25" i="61"/>
  <c r="D25" i="202"/>
  <c r="D25" i="48"/>
  <c r="D25" i="8"/>
  <c r="D25" i="187"/>
  <c r="D25" i="97"/>
  <c r="D25" i="2"/>
  <c r="D25" i="143"/>
  <c r="D25" i="209"/>
  <c r="D25" i="168"/>
  <c r="D25" i="34"/>
  <c r="D25" i="113"/>
  <c r="D25" i="153"/>
  <c r="D25" i="116"/>
  <c r="D25" i="114"/>
  <c r="D25" i="159"/>
  <c r="D25" i="43"/>
  <c r="D25" i="29"/>
  <c r="D25" i="191"/>
  <c r="D25" i="53"/>
  <c r="D25" i="12"/>
  <c r="D25" i="203"/>
  <c r="D25" i="194"/>
  <c r="D25" i="181"/>
  <c r="D25" i="198"/>
  <c r="D25" i="75"/>
  <c r="D25" i="52"/>
  <c r="D25" i="104"/>
  <c r="D25" i="140"/>
  <c r="D25" i="13"/>
  <c r="D25" i="23"/>
  <c r="D25" i="89"/>
  <c r="D25" i="20"/>
  <c r="D25" i="19"/>
  <c r="D25" i="183"/>
  <c r="D25" i="197"/>
  <c r="D25" i="176"/>
  <c r="D25" i="74"/>
  <c r="D25" i="44"/>
  <c r="D25" i="102"/>
  <c r="D25" i="32"/>
  <c r="C25" i="175"/>
  <c r="S20" i="144"/>
  <c r="R20" i="144"/>
  <c r="K22" i="144" s="1"/>
  <c r="Q20" i="144"/>
  <c r="U22" i="144" s="1"/>
  <c r="M34" i="144" s="1"/>
  <c r="L25" i="144" l="1"/>
  <c r="F20" i="144"/>
  <c r="F20" i="170"/>
  <c r="J19" i="78"/>
  <c r="I19" i="78"/>
  <c r="C19" i="78"/>
  <c r="D20" i="78" s="1"/>
  <c r="J19" i="119"/>
  <c r="I19" i="119"/>
  <c r="C19" i="119"/>
  <c r="D20" i="119" s="1"/>
  <c r="C22" i="170" l="1"/>
  <c r="E34" i="170" s="1"/>
  <c r="H32" i="170"/>
  <c r="C22" i="144"/>
  <c r="E34" i="144" s="1"/>
  <c r="H32" i="144"/>
  <c r="G21" i="170"/>
  <c r="B22" i="144"/>
  <c r="G21" i="144"/>
  <c r="B22" i="170"/>
  <c r="T20" i="209"/>
  <c r="K19" i="209"/>
  <c r="U19" i="209"/>
  <c r="T19" i="209"/>
  <c r="I19" i="209" s="1"/>
  <c r="F19" i="209"/>
  <c r="T18" i="209"/>
  <c r="I18" i="209" s="1"/>
  <c r="F18" i="209"/>
  <c r="T17" i="209"/>
  <c r="I17" i="209" s="1"/>
  <c r="F17" i="209"/>
  <c r="K16" i="209"/>
  <c r="U16" i="209"/>
  <c r="M28" i="209" s="1"/>
  <c r="T16" i="209"/>
  <c r="I16" i="209" s="1"/>
  <c r="J28" i="209" s="1"/>
  <c r="F16" i="209"/>
  <c r="T15" i="209"/>
  <c r="I15" i="209" s="1"/>
  <c r="J27" i="209" s="1"/>
  <c r="F15" i="209"/>
  <c r="T14" i="209"/>
  <c r="I14" i="209" s="1"/>
  <c r="J26" i="209" s="1"/>
  <c r="F14" i="209"/>
  <c r="K13" i="209"/>
  <c r="U13" i="209"/>
  <c r="M25" i="209" s="1"/>
  <c r="T13" i="209"/>
  <c r="I13" i="209" s="1"/>
  <c r="J25" i="209" s="1"/>
  <c r="F13" i="209"/>
  <c r="T12" i="209"/>
  <c r="I12" i="209" s="1"/>
  <c r="J24" i="209" s="1"/>
  <c r="F12" i="209"/>
  <c r="T11" i="209"/>
  <c r="I11" i="209" s="1"/>
  <c r="J23" i="209" s="1"/>
  <c r="F11" i="209"/>
  <c r="K10" i="209"/>
  <c r="U10" i="209"/>
  <c r="M22" i="209" s="1"/>
  <c r="T10" i="209"/>
  <c r="I10" i="209" s="1"/>
  <c r="J22" i="209" s="1"/>
  <c r="F10" i="209"/>
  <c r="T9" i="209"/>
  <c r="I9" i="209" s="1"/>
  <c r="J21" i="209" s="1"/>
  <c r="F9" i="209"/>
  <c r="T8" i="209"/>
  <c r="I8" i="209" s="1"/>
  <c r="F8" i="209"/>
  <c r="K7" i="209"/>
  <c r="U7" i="209"/>
  <c r="T7" i="209"/>
  <c r="I7" i="209" s="1"/>
  <c r="F7" i="209"/>
  <c r="T6" i="209"/>
  <c r="I6" i="209" s="1"/>
  <c r="F6" i="209"/>
  <c r="T5" i="209"/>
  <c r="I5" i="209" s="1"/>
  <c r="F5" i="209"/>
  <c r="J17" i="209" l="1"/>
  <c r="J29" i="209"/>
  <c r="N22" i="209"/>
  <c r="O25" i="209" s="1"/>
  <c r="I20" i="209"/>
  <c r="J19" i="209"/>
  <c r="J31" i="209"/>
  <c r="J18" i="209"/>
  <c r="J30" i="209"/>
  <c r="H25" i="209"/>
  <c r="H22" i="209"/>
  <c r="H28" i="209"/>
  <c r="H31" i="209"/>
  <c r="H21" i="209"/>
  <c r="H24" i="209"/>
  <c r="H27" i="209"/>
  <c r="H30" i="209"/>
  <c r="D25" i="144"/>
  <c r="D25" i="170"/>
  <c r="L22" i="209"/>
  <c r="M31" i="209"/>
  <c r="C7" i="209"/>
  <c r="C10" i="209"/>
  <c r="C13" i="209"/>
  <c r="C16" i="209"/>
  <c r="H29" i="209"/>
  <c r="C19" i="209"/>
  <c r="E31" i="209" s="1"/>
  <c r="N10" i="209"/>
  <c r="N13" i="209"/>
  <c r="N16" i="209"/>
  <c r="N19" i="209"/>
  <c r="N7" i="209"/>
  <c r="L13" i="209"/>
  <c r="L16" i="209"/>
  <c r="M19" i="209"/>
  <c r="L19" i="209"/>
  <c r="L10" i="209"/>
  <c r="H23" i="209"/>
  <c r="H26" i="209"/>
  <c r="G8" i="209"/>
  <c r="B19" i="209"/>
  <c r="G9" i="209"/>
  <c r="G13" i="209"/>
  <c r="B16" i="209"/>
  <c r="H20" i="209"/>
  <c r="G11" i="209"/>
  <c r="G12" i="209"/>
  <c r="G16" i="209"/>
  <c r="G6" i="209"/>
  <c r="B10" i="209"/>
  <c r="B13" i="209"/>
  <c r="G19" i="209"/>
  <c r="B7" i="209"/>
  <c r="G10" i="209"/>
  <c r="G14" i="209"/>
  <c r="G18" i="209"/>
  <c r="G7" i="209"/>
  <c r="H18" i="209"/>
  <c r="H19" i="209"/>
  <c r="G17" i="209"/>
  <c r="H17" i="209"/>
  <c r="G15" i="209"/>
  <c r="G20" i="209"/>
  <c r="T20" i="207"/>
  <c r="K19" i="207"/>
  <c r="U19" i="207"/>
  <c r="T19" i="207"/>
  <c r="I19" i="207" s="1"/>
  <c r="F19" i="207"/>
  <c r="T18" i="207"/>
  <c r="I18" i="207" s="1"/>
  <c r="J30" i="207" s="1"/>
  <c r="F18" i="207"/>
  <c r="T17" i="207"/>
  <c r="I17" i="207" s="1"/>
  <c r="F17" i="207"/>
  <c r="K16" i="207"/>
  <c r="U16" i="207"/>
  <c r="M28" i="207" s="1"/>
  <c r="T16" i="207"/>
  <c r="I16" i="207" s="1"/>
  <c r="J28" i="207" s="1"/>
  <c r="F16" i="207"/>
  <c r="T15" i="207"/>
  <c r="I15" i="207" s="1"/>
  <c r="J27" i="207" s="1"/>
  <c r="F15" i="207"/>
  <c r="T14" i="207"/>
  <c r="I14" i="207" s="1"/>
  <c r="J26" i="207" s="1"/>
  <c r="F14" i="207"/>
  <c r="K13" i="207"/>
  <c r="U13" i="207"/>
  <c r="M25" i="207" s="1"/>
  <c r="T13" i="207"/>
  <c r="I13" i="207" s="1"/>
  <c r="J25" i="207" s="1"/>
  <c r="F13" i="207"/>
  <c r="T12" i="207"/>
  <c r="I12" i="207" s="1"/>
  <c r="J24" i="207" s="1"/>
  <c r="F12" i="207"/>
  <c r="T11" i="207"/>
  <c r="I11" i="207" s="1"/>
  <c r="J23" i="207" s="1"/>
  <c r="F11" i="207"/>
  <c r="K10" i="207"/>
  <c r="U10" i="207"/>
  <c r="M22" i="207" s="1"/>
  <c r="T10" i="207"/>
  <c r="I10" i="207" s="1"/>
  <c r="J22" i="207" s="1"/>
  <c r="F10" i="207"/>
  <c r="T9" i="207"/>
  <c r="I9" i="207" s="1"/>
  <c r="J21" i="207" s="1"/>
  <c r="F9" i="207"/>
  <c r="T8" i="207"/>
  <c r="I8" i="207" s="1"/>
  <c r="F8" i="207"/>
  <c r="K7" i="207"/>
  <c r="U7" i="207"/>
  <c r="T7" i="207"/>
  <c r="I7" i="207" s="1"/>
  <c r="F7" i="207"/>
  <c r="T6" i="207"/>
  <c r="I6" i="207" s="1"/>
  <c r="F6" i="207"/>
  <c r="T5" i="207"/>
  <c r="I5" i="207" s="1"/>
  <c r="F5" i="207"/>
  <c r="J18" i="207" l="1"/>
  <c r="B7" i="207"/>
  <c r="C7" i="207"/>
  <c r="B10" i="207"/>
  <c r="C10" i="207"/>
  <c r="B13" i="207"/>
  <c r="C13" i="207"/>
  <c r="J20" i="209"/>
  <c r="J32" i="209"/>
  <c r="J17" i="207"/>
  <c r="J29" i="207"/>
  <c r="N22" i="207"/>
  <c r="O25" i="207" s="1"/>
  <c r="I20" i="207"/>
  <c r="J32" i="207" s="1"/>
  <c r="J19" i="207"/>
  <c r="J31" i="207"/>
  <c r="O22" i="209"/>
  <c r="H21" i="207"/>
  <c r="H24" i="207"/>
  <c r="H27" i="207"/>
  <c r="H30" i="207"/>
  <c r="H22" i="207"/>
  <c r="H25" i="207"/>
  <c r="H28" i="207"/>
  <c r="H31" i="207"/>
  <c r="L22" i="207"/>
  <c r="M31" i="207"/>
  <c r="D16" i="209"/>
  <c r="E28" i="209"/>
  <c r="D13" i="209"/>
  <c r="E25" i="209"/>
  <c r="E19" i="209"/>
  <c r="D19" i="209"/>
  <c r="D22" i="209"/>
  <c r="D10" i="209"/>
  <c r="E22" i="209"/>
  <c r="C16" i="207"/>
  <c r="H29" i="207"/>
  <c r="C19" i="207"/>
  <c r="E31" i="207" s="1"/>
  <c r="O13" i="209"/>
  <c r="O10" i="209"/>
  <c r="O16" i="209"/>
  <c r="O19" i="209"/>
  <c r="N7" i="207"/>
  <c r="N10" i="207"/>
  <c r="N13" i="207"/>
  <c r="N16" i="207"/>
  <c r="N19" i="207"/>
  <c r="M19" i="207"/>
  <c r="L19" i="207"/>
  <c r="L10" i="207"/>
  <c r="L16" i="207"/>
  <c r="L13" i="207"/>
  <c r="H23" i="207"/>
  <c r="H26" i="207"/>
  <c r="G15" i="207"/>
  <c r="G12" i="207"/>
  <c r="G18" i="207"/>
  <c r="G9" i="207"/>
  <c r="G10" i="207"/>
  <c r="G7" i="207"/>
  <c r="G13" i="207"/>
  <c r="B16" i="207"/>
  <c r="G16" i="207"/>
  <c r="G17" i="207"/>
  <c r="G6" i="207"/>
  <c r="H17" i="207"/>
  <c r="G19" i="207"/>
  <c r="G20" i="207"/>
  <c r="H20" i="207"/>
  <c r="H18" i="207"/>
  <c r="G14" i="207"/>
  <c r="B19" i="207"/>
  <c r="H19" i="207"/>
  <c r="G11" i="207"/>
  <c r="G8" i="207"/>
  <c r="T20" i="206"/>
  <c r="U19" i="206"/>
  <c r="M31" i="206" s="1"/>
  <c r="T19" i="206"/>
  <c r="I19" i="206" s="1"/>
  <c r="F19" i="206"/>
  <c r="T18" i="206"/>
  <c r="I18" i="206" s="1"/>
  <c r="J30" i="206" s="1"/>
  <c r="F18" i="206"/>
  <c r="T17" i="206"/>
  <c r="I17" i="206" s="1"/>
  <c r="F17" i="206"/>
  <c r="U16" i="206"/>
  <c r="T16" i="206"/>
  <c r="I16" i="206" s="1"/>
  <c r="J28" i="206" s="1"/>
  <c r="F16" i="206"/>
  <c r="T15" i="206"/>
  <c r="I15" i="206" s="1"/>
  <c r="J27" i="206" s="1"/>
  <c r="F15" i="206"/>
  <c r="T14" i="206"/>
  <c r="I14" i="206" s="1"/>
  <c r="J26" i="206" s="1"/>
  <c r="F14" i="206"/>
  <c r="U13" i="206"/>
  <c r="T13" i="206"/>
  <c r="I13" i="206" s="1"/>
  <c r="J25" i="206" s="1"/>
  <c r="F13" i="206"/>
  <c r="T12" i="206"/>
  <c r="I12" i="206" s="1"/>
  <c r="J24" i="206" s="1"/>
  <c r="F12" i="206"/>
  <c r="T11" i="206"/>
  <c r="I11" i="206" s="1"/>
  <c r="J23" i="206" s="1"/>
  <c r="F11" i="206"/>
  <c r="U10" i="206"/>
  <c r="T10" i="206"/>
  <c r="I10" i="206" s="1"/>
  <c r="J22" i="206" s="1"/>
  <c r="F10" i="206"/>
  <c r="T9" i="206"/>
  <c r="I9" i="206" s="1"/>
  <c r="J21" i="206" s="1"/>
  <c r="F9" i="206"/>
  <c r="T8" i="206"/>
  <c r="I8" i="206" s="1"/>
  <c r="F8" i="206"/>
  <c r="U7" i="206"/>
  <c r="T7" i="206"/>
  <c r="I7" i="206" s="1"/>
  <c r="F7" i="206"/>
  <c r="T6" i="206"/>
  <c r="I6" i="206" s="1"/>
  <c r="F6" i="206"/>
  <c r="T5" i="206"/>
  <c r="I5" i="206" s="1"/>
  <c r="F5" i="206"/>
  <c r="S20" i="149"/>
  <c r="S19" i="149"/>
  <c r="S18" i="149"/>
  <c r="S17" i="149"/>
  <c r="S16" i="149"/>
  <c r="S15" i="149"/>
  <c r="S14" i="149"/>
  <c r="S13" i="149"/>
  <c r="S12" i="149"/>
  <c r="S11" i="149"/>
  <c r="S10" i="149"/>
  <c r="S9" i="149"/>
  <c r="S8" i="149"/>
  <c r="S7" i="149"/>
  <c r="S6" i="149"/>
  <c r="S5" i="149"/>
  <c r="J20" i="207" l="1"/>
  <c r="N22" i="206"/>
  <c r="O25" i="206" s="1"/>
  <c r="I20" i="206"/>
  <c r="J32" i="206" s="1"/>
  <c r="J17" i="206"/>
  <c r="J29" i="206"/>
  <c r="J18" i="206"/>
  <c r="J19" i="206"/>
  <c r="J31" i="206"/>
  <c r="H27" i="206"/>
  <c r="H24" i="206"/>
  <c r="H31" i="206"/>
  <c r="H22" i="206"/>
  <c r="H21" i="206"/>
  <c r="H28" i="206"/>
  <c r="H25" i="206"/>
  <c r="H30" i="206"/>
  <c r="E19" i="207"/>
  <c r="D19" i="207"/>
  <c r="D22" i="207"/>
  <c r="D10" i="207"/>
  <c r="E22" i="207"/>
  <c r="D16" i="207"/>
  <c r="E28" i="207"/>
  <c r="D13" i="207"/>
  <c r="E25" i="207"/>
  <c r="N7" i="206"/>
  <c r="C16" i="206"/>
  <c r="N19" i="206"/>
  <c r="C13" i="206"/>
  <c r="C10" i="206"/>
  <c r="C7" i="206"/>
  <c r="N10" i="206"/>
  <c r="H29" i="206"/>
  <c r="C19" i="206"/>
  <c r="E31" i="206" s="1"/>
  <c r="L10" i="206"/>
  <c r="L13" i="206"/>
  <c r="N16" i="206"/>
  <c r="M19" i="206"/>
  <c r="L19" i="206"/>
  <c r="N13" i="206"/>
  <c r="L16" i="206"/>
  <c r="O13" i="207"/>
  <c r="M28" i="206"/>
  <c r="M22" i="206"/>
  <c r="M25" i="206"/>
  <c r="L22" i="206"/>
  <c r="O10" i="207"/>
  <c r="O16" i="207"/>
  <c r="O19" i="207"/>
  <c r="O22" i="207"/>
  <c r="H23" i="206"/>
  <c r="H26" i="206"/>
  <c r="G6" i="206"/>
  <c r="H18" i="206"/>
  <c r="G7" i="206"/>
  <c r="B10" i="206"/>
  <c r="G10" i="206"/>
  <c r="B13" i="206"/>
  <c r="G13" i="206"/>
  <c r="G16" i="206"/>
  <c r="H19" i="206"/>
  <c r="G20" i="206"/>
  <c r="G14" i="206"/>
  <c r="B16" i="206"/>
  <c r="B7" i="206"/>
  <c r="G12" i="206"/>
  <c r="G15" i="206"/>
  <c r="B19" i="206"/>
  <c r="G18" i="206"/>
  <c r="G17" i="206"/>
  <c r="G9" i="206"/>
  <c r="G8" i="206"/>
  <c r="H17" i="206"/>
  <c r="H20" i="206"/>
  <c r="G11" i="206"/>
  <c r="G19" i="206"/>
  <c r="S20" i="186"/>
  <c r="R20" i="186"/>
  <c r="K22" i="186" s="1"/>
  <c r="Q20" i="186"/>
  <c r="U22" i="186" s="1"/>
  <c r="M34" i="186" s="1"/>
  <c r="K22" i="142"/>
  <c r="U22" i="142"/>
  <c r="M34" i="142" s="1"/>
  <c r="F20" i="185"/>
  <c r="F20" i="152"/>
  <c r="R20" i="149"/>
  <c r="K22" i="149" s="1"/>
  <c r="Q20" i="149"/>
  <c r="U22" i="149" s="1"/>
  <c r="M34" i="149" s="1"/>
  <c r="O22" i="206" l="1"/>
  <c r="J20" i="206"/>
  <c r="C22" i="152"/>
  <c r="E34" i="152" s="1"/>
  <c r="H32" i="152"/>
  <c r="C22" i="185"/>
  <c r="E34" i="185" s="1"/>
  <c r="H32" i="185"/>
  <c r="D16" i="206"/>
  <c r="E28" i="206"/>
  <c r="E19" i="206"/>
  <c r="D19" i="206"/>
  <c r="D22" i="206"/>
  <c r="D10" i="206"/>
  <c r="E22" i="206"/>
  <c r="D13" i="206"/>
  <c r="E25" i="206"/>
  <c r="L25" i="142"/>
  <c r="L25" i="149"/>
  <c r="L25" i="186"/>
  <c r="O10" i="206"/>
  <c r="O19" i="206"/>
  <c r="O13" i="206"/>
  <c r="O16" i="206"/>
  <c r="F20" i="195"/>
  <c r="F20" i="186"/>
  <c r="F20" i="149"/>
  <c r="F20" i="142"/>
  <c r="G21" i="152"/>
  <c r="B22" i="152"/>
  <c r="G21" i="185"/>
  <c r="B22" i="185"/>
  <c r="K19" i="204"/>
  <c r="U19" i="204"/>
  <c r="K19" i="2"/>
  <c r="U19" i="2"/>
  <c r="U19" i="191"/>
  <c r="U19" i="8"/>
  <c r="M31" i="8" s="1"/>
  <c r="K19" i="203"/>
  <c r="U19" i="203"/>
  <c r="K19" i="198"/>
  <c r="U19" i="198"/>
  <c r="K19" i="197"/>
  <c r="U19" i="197"/>
  <c r="K19" i="32"/>
  <c r="U19" i="32"/>
  <c r="K19" i="35"/>
  <c r="K19" i="202"/>
  <c r="K19" i="7"/>
  <c r="U19" i="7"/>
  <c r="K19" i="54"/>
  <c r="U19" i="54"/>
  <c r="K19" i="17"/>
  <c r="U19" i="17"/>
  <c r="U19" i="190"/>
  <c r="K19" i="12"/>
  <c r="U19" i="12"/>
  <c r="K19" i="43"/>
  <c r="U19" i="43"/>
  <c r="K19" i="15"/>
  <c r="U19" i="15"/>
  <c r="K19" i="11"/>
  <c r="U19" i="11"/>
  <c r="K19" i="88"/>
  <c r="U19" i="88"/>
  <c r="K19" i="148"/>
  <c r="U19" i="148"/>
  <c r="K19" i="13"/>
  <c r="U19" i="13"/>
  <c r="K19" i="153"/>
  <c r="U19" i="153"/>
  <c r="K19" i="31"/>
  <c r="U19" i="31"/>
  <c r="K19" i="113"/>
  <c r="U19" i="113"/>
  <c r="K19" i="114"/>
  <c r="U19" i="114"/>
  <c r="K19" i="75"/>
  <c r="U19" i="75"/>
  <c r="K19" i="176"/>
  <c r="U19" i="176"/>
  <c r="K19" i="22"/>
  <c r="U19" i="22"/>
  <c r="K19" i="61"/>
  <c r="U19" i="61"/>
  <c r="K19" i="162"/>
  <c r="U19" i="162"/>
  <c r="K19" i="164"/>
  <c r="U19" i="164"/>
  <c r="K19" i="25"/>
  <c r="U19" i="25"/>
  <c r="K19" i="5"/>
  <c r="U19" i="5"/>
  <c r="K19" i="23"/>
  <c r="U19" i="23"/>
  <c r="K19" i="174"/>
  <c r="U19" i="174"/>
  <c r="K19" i="47"/>
  <c r="U19" i="47"/>
  <c r="K19" i="102"/>
  <c r="U19" i="102"/>
  <c r="K19" i="181"/>
  <c r="U19" i="181"/>
  <c r="K19" i="183"/>
  <c r="U19" i="183"/>
  <c r="K19" i="107"/>
  <c r="U19" i="107"/>
  <c r="K19" i="184"/>
  <c r="U19" i="184"/>
  <c r="N19" i="175"/>
  <c r="M19" i="175"/>
  <c r="O22" i="175" s="1"/>
  <c r="K19" i="101"/>
  <c r="U19" i="101"/>
  <c r="K19" i="33"/>
  <c r="U19" i="33"/>
  <c r="K19" i="53"/>
  <c r="U19" i="53"/>
  <c r="K19" i="16"/>
  <c r="U19" i="16"/>
  <c r="K19" i="4"/>
  <c r="U19" i="4"/>
  <c r="K19" i="3"/>
  <c r="U19" i="3"/>
  <c r="K19" i="103"/>
  <c r="U19" i="103"/>
  <c r="K19" i="19"/>
  <c r="U19" i="19"/>
  <c r="K19" i="104"/>
  <c r="U19" i="104"/>
  <c r="K19" i="140"/>
  <c r="U19" i="140"/>
  <c r="K19" i="169"/>
  <c r="U19" i="169"/>
  <c r="K19" i="168"/>
  <c r="U19" i="168"/>
  <c r="K19" i="201"/>
  <c r="U19" i="201"/>
  <c r="K19" i="9"/>
  <c r="U19" i="9"/>
  <c r="K19" i="196"/>
  <c r="U19" i="196"/>
  <c r="K19" i="200"/>
  <c r="U19" i="200"/>
  <c r="K19" i="192"/>
  <c r="U19" i="192"/>
  <c r="K19" i="27"/>
  <c r="U19" i="27"/>
  <c r="K19" i="143"/>
  <c r="U19" i="143"/>
  <c r="K19" i="89"/>
  <c r="U19" i="89"/>
  <c r="K19" i="46"/>
  <c r="U19" i="46"/>
  <c r="K19" i="34"/>
  <c r="U19" i="34"/>
  <c r="K19" i="87"/>
  <c r="U19" i="87"/>
  <c r="K19" i="97"/>
  <c r="U19" i="97"/>
  <c r="K19" i="52"/>
  <c r="U19" i="52"/>
  <c r="K19" i="18"/>
  <c r="U19" i="18"/>
  <c r="K19" i="20"/>
  <c r="U19" i="20"/>
  <c r="K19" i="112"/>
  <c r="U19" i="112"/>
  <c r="K19" i="74"/>
  <c r="U19" i="74"/>
  <c r="K19" i="159"/>
  <c r="U19" i="159"/>
  <c r="K19" i="160"/>
  <c r="U19" i="160"/>
  <c r="U19" i="105"/>
  <c r="M31" i="105" s="1"/>
  <c r="K19" i="1"/>
  <c r="U19" i="1"/>
  <c r="K19" i="48"/>
  <c r="U19" i="48"/>
  <c r="K19" i="193"/>
  <c r="U19" i="193"/>
  <c r="K19" i="194"/>
  <c r="U19" i="194"/>
  <c r="K19" i="109"/>
  <c r="U19" i="109"/>
  <c r="K19" i="135"/>
  <c r="U19" i="135"/>
  <c r="J19" i="44"/>
  <c r="T19" i="44"/>
  <c r="K19" i="85"/>
  <c r="U19" i="85"/>
  <c r="K19" i="28"/>
  <c r="U19" i="28"/>
  <c r="K19" i="29"/>
  <c r="U19" i="29"/>
  <c r="K19" i="45"/>
  <c r="U19" i="45"/>
  <c r="K19" i="116"/>
  <c r="U19" i="116"/>
  <c r="K19" i="24"/>
  <c r="U19" i="24"/>
  <c r="K19" i="37"/>
  <c r="U19" i="37"/>
  <c r="T20" i="204"/>
  <c r="T20" i="2"/>
  <c r="T20" i="191"/>
  <c r="N22" i="8"/>
  <c r="T20" i="203"/>
  <c r="T20" i="198"/>
  <c r="T20" i="197"/>
  <c r="T20" i="32"/>
  <c r="T20" i="202"/>
  <c r="T20" i="7"/>
  <c r="T20" i="54"/>
  <c r="T20" i="17"/>
  <c r="T20" i="190"/>
  <c r="T20" i="21"/>
  <c r="T20" i="12"/>
  <c r="T20" i="43"/>
  <c r="N22" i="15"/>
  <c r="T20" i="11"/>
  <c r="T20" i="88"/>
  <c r="T20" i="148"/>
  <c r="T20" i="152"/>
  <c r="T20" i="13"/>
  <c r="T20" i="153"/>
  <c r="T20" i="31"/>
  <c r="T20" i="113"/>
  <c r="T20" i="114"/>
  <c r="T20" i="75"/>
  <c r="T20" i="176"/>
  <c r="T20" i="22"/>
  <c r="T20" i="61"/>
  <c r="T20" i="162"/>
  <c r="T20" i="164"/>
  <c r="T20" i="25"/>
  <c r="T20" i="5"/>
  <c r="T20" i="23"/>
  <c r="T20" i="174"/>
  <c r="T20" i="47"/>
  <c r="T20" i="102"/>
  <c r="T20" i="185"/>
  <c r="T20" i="181"/>
  <c r="T20" i="183"/>
  <c r="T20" i="107"/>
  <c r="T20" i="184"/>
  <c r="L20" i="175"/>
  <c r="Q22" i="175" s="1"/>
  <c r="T20" i="101"/>
  <c r="T20" i="33"/>
  <c r="T20" i="53"/>
  <c r="T20" i="16"/>
  <c r="T20" i="4"/>
  <c r="T20" i="3"/>
  <c r="T20" i="103"/>
  <c r="T20" i="19"/>
  <c r="T20" i="104"/>
  <c r="T20" i="140"/>
  <c r="T20" i="170"/>
  <c r="T20" i="169"/>
  <c r="T20" i="168"/>
  <c r="T20" i="201"/>
  <c r="T20" i="9"/>
  <c r="T20" i="196"/>
  <c r="T20" i="200"/>
  <c r="T20" i="192"/>
  <c r="T20" i="144"/>
  <c r="T20" i="27"/>
  <c r="T20" i="143"/>
  <c r="T20" i="89"/>
  <c r="T20" i="46"/>
  <c r="T20" i="34"/>
  <c r="T20" i="87"/>
  <c r="T20" i="97"/>
  <c r="T20" i="52"/>
  <c r="T20" i="142"/>
  <c r="T20" i="18"/>
  <c r="T20" i="20"/>
  <c r="T20" i="112"/>
  <c r="T20" i="74"/>
  <c r="T20" i="186"/>
  <c r="T20" i="159"/>
  <c r="T20" i="160"/>
  <c r="T20" i="105"/>
  <c r="T20" i="1"/>
  <c r="T20" i="48"/>
  <c r="T20" i="195"/>
  <c r="T20" i="193"/>
  <c r="T20" i="194"/>
  <c r="T20" i="109"/>
  <c r="T20" i="135"/>
  <c r="S20" i="44"/>
  <c r="M22" i="44" s="1"/>
  <c r="T20" i="85"/>
  <c r="T20" i="28"/>
  <c r="T20" i="29"/>
  <c r="T20" i="45"/>
  <c r="T20" i="116"/>
  <c r="T20" i="24"/>
  <c r="T20" i="37"/>
  <c r="N22" i="1" l="1"/>
  <c r="I20" i="1"/>
  <c r="J32" i="1" s="1"/>
  <c r="N22" i="103"/>
  <c r="O25" i="103" s="1"/>
  <c r="I20" i="103"/>
  <c r="J32" i="103" s="1"/>
  <c r="N22" i="5"/>
  <c r="O25" i="5" s="1"/>
  <c r="I20" i="5"/>
  <c r="J32" i="5" s="1"/>
  <c r="N22" i="45"/>
  <c r="O25" i="45" s="1"/>
  <c r="I20" i="45"/>
  <c r="N22" i="20"/>
  <c r="O25" i="20" s="1"/>
  <c r="I20" i="20"/>
  <c r="J32" i="20" s="1"/>
  <c r="N22" i="192"/>
  <c r="O25" i="192" s="1"/>
  <c r="I20" i="192"/>
  <c r="N22" i="169"/>
  <c r="I20" i="169"/>
  <c r="N22" i="102"/>
  <c r="O25" i="102" s="1"/>
  <c r="I20" i="102"/>
  <c r="J32" i="102" s="1"/>
  <c r="N22" i="202"/>
  <c r="O25" i="202" s="1"/>
  <c r="I20" i="202"/>
  <c r="J32" i="202" s="1"/>
  <c r="N22" i="29"/>
  <c r="I20" i="29"/>
  <c r="J32" i="29" s="1"/>
  <c r="N22" i="160"/>
  <c r="O25" i="160" s="1"/>
  <c r="I20" i="160"/>
  <c r="N22" i="200"/>
  <c r="O25" i="200" s="1"/>
  <c r="I20" i="200"/>
  <c r="N22" i="184"/>
  <c r="I20" i="184"/>
  <c r="N22" i="114"/>
  <c r="O25" i="114" s="1"/>
  <c r="I20" i="114"/>
  <c r="J32" i="114" s="1"/>
  <c r="N22" i="24"/>
  <c r="O25" i="24" s="1"/>
  <c r="I20" i="24"/>
  <c r="N22" i="48"/>
  <c r="O25" i="48" s="1"/>
  <c r="I20" i="48"/>
  <c r="J32" i="48" s="1"/>
  <c r="N22" i="74"/>
  <c r="O25" i="74" s="1"/>
  <c r="I20" i="74"/>
  <c r="J32" i="74" s="1"/>
  <c r="N22" i="97"/>
  <c r="O25" i="97" s="1"/>
  <c r="I20" i="97"/>
  <c r="J32" i="97" s="1"/>
  <c r="N22" i="27"/>
  <c r="O25" i="27" s="1"/>
  <c r="I20" i="27"/>
  <c r="N22" i="201"/>
  <c r="O25" i="201" s="1"/>
  <c r="I20" i="201"/>
  <c r="J32" i="201" s="1"/>
  <c r="N22" i="19"/>
  <c r="O25" i="19" s="1"/>
  <c r="I20" i="19"/>
  <c r="N22" i="33"/>
  <c r="O25" i="33" s="1"/>
  <c r="I20" i="33"/>
  <c r="N22" i="181"/>
  <c r="O25" i="181" s="1"/>
  <c r="I20" i="181"/>
  <c r="I20" i="187"/>
  <c r="N22" i="22"/>
  <c r="O25" i="22" s="1"/>
  <c r="I20" i="22"/>
  <c r="J32" i="22" s="1"/>
  <c r="N22" i="153"/>
  <c r="O25" i="153" s="1"/>
  <c r="I20" i="153"/>
  <c r="J32" i="153" s="1"/>
  <c r="N22" i="54"/>
  <c r="O25" i="54" s="1"/>
  <c r="I20" i="54"/>
  <c r="J32" i="54" s="1"/>
  <c r="N22" i="203"/>
  <c r="O25" i="203" s="1"/>
  <c r="I20" i="203"/>
  <c r="J32" i="203" s="1"/>
  <c r="N22" i="87"/>
  <c r="O25" i="87" s="1"/>
  <c r="I20" i="87"/>
  <c r="N22" i="13"/>
  <c r="O25" i="13" s="1"/>
  <c r="I20" i="13"/>
  <c r="J32" i="13" s="1"/>
  <c r="N22" i="152"/>
  <c r="O25" i="152" s="1"/>
  <c r="I20" i="152"/>
  <c r="J32" i="152" s="1"/>
  <c r="N22" i="47"/>
  <c r="O25" i="47" s="1"/>
  <c r="I20" i="47"/>
  <c r="N22" i="2"/>
  <c r="O25" i="2" s="1"/>
  <c r="I20" i="2"/>
  <c r="J32" i="2" s="1"/>
  <c r="N22" i="116"/>
  <c r="O25" i="116" s="1"/>
  <c r="I20" i="116"/>
  <c r="J32" i="116" s="1"/>
  <c r="N22" i="112"/>
  <c r="O25" i="112" s="1"/>
  <c r="I20" i="112"/>
  <c r="J32" i="112" s="1"/>
  <c r="N22" i="168"/>
  <c r="O25" i="168" s="1"/>
  <c r="I20" i="168"/>
  <c r="N22" i="101"/>
  <c r="O25" i="101" s="1"/>
  <c r="I20" i="101"/>
  <c r="J32" i="101" s="1"/>
  <c r="N22" i="176"/>
  <c r="O25" i="176" s="1"/>
  <c r="I20" i="176"/>
  <c r="J32" i="176" s="1"/>
  <c r="N22" i="7"/>
  <c r="O25" i="7" s="1"/>
  <c r="I20" i="7"/>
  <c r="J32" i="7" s="1"/>
  <c r="N22" i="109"/>
  <c r="O25" i="109" s="1"/>
  <c r="I20" i="109"/>
  <c r="J32" i="109" s="1"/>
  <c r="N22" i="34"/>
  <c r="O25" i="34" s="1"/>
  <c r="I20" i="34"/>
  <c r="J32" i="34" s="1"/>
  <c r="N22" i="3"/>
  <c r="O25" i="3" s="1"/>
  <c r="I20" i="3"/>
  <c r="J32" i="3" s="1"/>
  <c r="N22" i="25"/>
  <c r="O25" i="25" s="1"/>
  <c r="I20" i="25"/>
  <c r="J32" i="25" s="1"/>
  <c r="N22" i="12"/>
  <c r="O25" i="12" s="1"/>
  <c r="I20" i="12"/>
  <c r="J32" i="12" s="1"/>
  <c r="N22" i="18"/>
  <c r="O25" i="18" s="1"/>
  <c r="I20" i="18"/>
  <c r="J32" i="18" s="1"/>
  <c r="N22" i="170"/>
  <c r="O25" i="170" s="1"/>
  <c r="I20" i="170"/>
  <c r="J32" i="170" s="1"/>
  <c r="N22" i="164"/>
  <c r="O25" i="164" s="1"/>
  <c r="I20" i="164"/>
  <c r="J32" i="164" s="1"/>
  <c r="N22" i="21"/>
  <c r="O25" i="21" s="1"/>
  <c r="I20" i="21"/>
  <c r="J32" i="21" s="1"/>
  <c r="N22" i="32"/>
  <c r="O25" i="32" s="1"/>
  <c r="I20" i="32"/>
  <c r="N22" i="28"/>
  <c r="O25" i="28" s="1"/>
  <c r="I20" i="28"/>
  <c r="J32" i="28" s="1"/>
  <c r="N22" i="159"/>
  <c r="O25" i="159" s="1"/>
  <c r="I20" i="159"/>
  <c r="N22" i="142"/>
  <c r="O25" i="142" s="1"/>
  <c r="I20" i="142"/>
  <c r="J32" i="142" s="1"/>
  <c r="N22" i="89"/>
  <c r="O25" i="89" s="1"/>
  <c r="I20" i="89"/>
  <c r="J32" i="89" s="1"/>
  <c r="N22" i="196"/>
  <c r="O25" i="196" s="1"/>
  <c r="I20" i="196"/>
  <c r="N22" i="140"/>
  <c r="O25" i="140" s="1"/>
  <c r="I20" i="140"/>
  <c r="N22" i="16"/>
  <c r="O25" i="16" s="1"/>
  <c r="I20" i="16"/>
  <c r="N22" i="107"/>
  <c r="O25" i="107" s="1"/>
  <c r="I20" i="107"/>
  <c r="N22" i="174"/>
  <c r="O25" i="174" s="1"/>
  <c r="I20" i="174"/>
  <c r="J32" i="174" s="1"/>
  <c r="N22" i="162"/>
  <c r="O25" i="162" s="1"/>
  <c r="I20" i="162"/>
  <c r="J32" i="162" s="1"/>
  <c r="N22" i="113"/>
  <c r="O25" i="113" s="1"/>
  <c r="I20" i="113"/>
  <c r="J32" i="113" s="1"/>
  <c r="N22" i="88"/>
  <c r="O25" i="88" s="1"/>
  <c r="I20" i="88"/>
  <c r="J32" i="88" s="1"/>
  <c r="N22" i="190"/>
  <c r="O25" i="190" s="1"/>
  <c r="I20" i="190"/>
  <c r="J32" i="190" s="1"/>
  <c r="N22" i="197"/>
  <c r="O25" i="197" s="1"/>
  <c r="I20" i="197"/>
  <c r="J32" i="197" s="1"/>
  <c r="N22" i="204"/>
  <c r="O25" i="204" s="1"/>
  <c r="I20" i="204"/>
  <c r="N22" i="135"/>
  <c r="O25" i="135" s="1"/>
  <c r="I20" i="135"/>
  <c r="J32" i="135" s="1"/>
  <c r="N22" i="144"/>
  <c r="O25" i="144" s="1"/>
  <c r="I20" i="144"/>
  <c r="N22" i="185"/>
  <c r="O25" i="185" s="1"/>
  <c r="I20" i="185"/>
  <c r="N22" i="43"/>
  <c r="O25" i="43" s="1"/>
  <c r="I20" i="43"/>
  <c r="J32" i="43" s="1"/>
  <c r="N22" i="105"/>
  <c r="O25" i="105" s="1"/>
  <c r="I20" i="105"/>
  <c r="N22" i="75"/>
  <c r="O25" i="75" s="1"/>
  <c r="I20" i="75"/>
  <c r="J32" i="75" s="1"/>
  <c r="N22" i="191"/>
  <c r="O25" i="191" s="1"/>
  <c r="I20" i="191"/>
  <c r="J32" i="191" s="1"/>
  <c r="N22" i="194"/>
  <c r="O25" i="194" s="1"/>
  <c r="I20" i="194"/>
  <c r="J32" i="194" s="1"/>
  <c r="N22" i="46"/>
  <c r="O25" i="46" s="1"/>
  <c r="I20" i="46"/>
  <c r="N22" i="4"/>
  <c r="O25" i="4" s="1"/>
  <c r="I20" i="4"/>
  <c r="N22" i="148"/>
  <c r="O25" i="148" s="1"/>
  <c r="I20" i="148"/>
  <c r="J32" i="148" s="1"/>
  <c r="N22" i="193"/>
  <c r="O25" i="193" s="1"/>
  <c r="I20" i="193"/>
  <c r="J32" i="193" s="1"/>
  <c r="N22" i="37"/>
  <c r="O25" i="37" s="1"/>
  <c r="I20" i="37"/>
  <c r="J32" i="37" s="1"/>
  <c r="N22" i="85"/>
  <c r="O25" i="85" s="1"/>
  <c r="I20" i="85"/>
  <c r="J32" i="85" s="1"/>
  <c r="N22" i="195"/>
  <c r="O25" i="195" s="1"/>
  <c r="I20" i="195"/>
  <c r="J32" i="195" s="1"/>
  <c r="N22" i="186"/>
  <c r="O25" i="186" s="1"/>
  <c r="I20" i="186"/>
  <c r="N22" i="52"/>
  <c r="O25" i="52" s="1"/>
  <c r="I20" i="52"/>
  <c r="N22" i="143"/>
  <c r="O25" i="143" s="1"/>
  <c r="I20" i="143"/>
  <c r="J32" i="143" s="1"/>
  <c r="N22" i="9"/>
  <c r="O25" i="9" s="1"/>
  <c r="I20" i="9"/>
  <c r="N22" i="104"/>
  <c r="O25" i="104" s="1"/>
  <c r="I20" i="104"/>
  <c r="N22" i="53"/>
  <c r="O25" i="53" s="1"/>
  <c r="I20" i="53"/>
  <c r="J32" i="53" s="1"/>
  <c r="N22" i="183"/>
  <c r="O25" i="183" s="1"/>
  <c r="I20" i="183"/>
  <c r="N22" i="23"/>
  <c r="O25" i="23" s="1"/>
  <c r="I20" i="23"/>
  <c r="J32" i="23" s="1"/>
  <c r="N22" i="61"/>
  <c r="O25" i="61" s="1"/>
  <c r="I20" i="61"/>
  <c r="N22" i="31"/>
  <c r="O25" i="31" s="1"/>
  <c r="I20" i="31"/>
  <c r="N22" i="11"/>
  <c r="O25" i="11" s="1"/>
  <c r="I20" i="11"/>
  <c r="J32" i="11" s="1"/>
  <c r="N22" i="17"/>
  <c r="O25" i="17" s="1"/>
  <c r="I20" i="17"/>
  <c r="N22" i="198"/>
  <c r="O25" i="198" s="1"/>
  <c r="I20" i="198"/>
  <c r="J32" i="198" s="1"/>
  <c r="H32" i="195"/>
  <c r="L22" i="35"/>
  <c r="D25" i="185"/>
  <c r="D25" i="152"/>
  <c r="C22" i="186"/>
  <c r="E34" i="186" s="1"/>
  <c r="H32" i="186"/>
  <c r="C22" i="142"/>
  <c r="E34" i="142" s="1"/>
  <c r="H32" i="142"/>
  <c r="C22" i="149"/>
  <c r="E34" i="149" s="1"/>
  <c r="H32" i="149"/>
  <c r="L22" i="159"/>
  <c r="M31" i="159"/>
  <c r="L22" i="112"/>
  <c r="M31" i="112"/>
  <c r="L22" i="18"/>
  <c r="M31" i="18"/>
  <c r="L22" i="97"/>
  <c r="M31" i="97"/>
  <c r="L22" i="34"/>
  <c r="M31" i="34"/>
  <c r="L22" i="89"/>
  <c r="M31" i="89"/>
  <c r="L22" i="27"/>
  <c r="M31" i="27"/>
  <c r="L22" i="200"/>
  <c r="M31" i="200"/>
  <c r="L22" i="9"/>
  <c r="M31" i="9"/>
  <c r="L22" i="168"/>
  <c r="M31" i="168"/>
  <c r="L22" i="104"/>
  <c r="M31" i="104"/>
  <c r="L22" i="103"/>
  <c r="M31" i="103"/>
  <c r="L22" i="4"/>
  <c r="M31" i="4"/>
  <c r="L22" i="53"/>
  <c r="M31" i="53"/>
  <c r="L22" i="101"/>
  <c r="M31" i="101"/>
  <c r="L22" i="184"/>
  <c r="M31" i="184"/>
  <c r="L22" i="183"/>
  <c r="M31" i="183"/>
  <c r="L22" i="102"/>
  <c r="M31" i="102"/>
  <c r="L22" i="174"/>
  <c r="M31" i="174"/>
  <c r="L22" i="23"/>
  <c r="M31" i="23"/>
  <c r="L22" i="32"/>
  <c r="M31" i="32"/>
  <c r="L22" i="198"/>
  <c r="M31" i="198"/>
  <c r="L22" i="204"/>
  <c r="M31" i="204"/>
  <c r="L22" i="37"/>
  <c r="M31" i="37"/>
  <c r="L22" i="116"/>
  <c r="M31" i="116"/>
  <c r="L22" i="29"/>
  <c r="M31" i="29"/>
  <c r="L22" i="85"/>
  <c r="M31" i="85"/>
  <c r="L22" i="135"/>
  <c r="M31" i="135"/>
  <c r="L22" i="194"/>
  <c r="M31" i="194"/>
  <c r="L22" i="48"/>
  <c r="M31" i="48"/>
  <c r="L22" i="25"/>
  <c r="M31" i="25"/>
  <c r="L22" i="162"/>
  <c r="M31" i="162"/>
  <c r="L22" i="22"/>
  <c r="M31" i="22"/>
  <c r="L22" i="75"/>
  <c r="M31" i="75"/>
  <c r="L22" i="113"/>
  <c r="M31" i="113"/>
  <c r="L22" i="153"/>
  <c r="M31" i="153"/>
  <c r="L22" i="148"/>
  <c r="M31" i="148"/>
  <c r="L22" i="11"/>
  <c r="M31" i="11"/>
  <c r="L22" i="43"/>
  <c r="M31" i="43"/>
  <c r="L22" i="54"/>
  <c r="M31" i="54"/>
  <c r="L22" i="191"/>
  <c r="M31" i="191"/>
  <c r="L22" i="160"/>
  <c r="M31" i="160"/>
  <c r="L22" i="74"/>
  <c r="M31" i="74"/>
  <c r="L22" i="20"/>
  <c r="M31" i="20"/>
  <c r="L22" i="52"/>
  <c r="M31" i="52"/>
  <c r="L22" i="87"/>
  <c r="M31" i="87"/>
  <c r="L22" i="46"/>
  <c r="M31" i="46"/>
  <c r="L22" i="143"/>
  <c r="M31" i="143"/>
  <c r="L22" i="192"/>
  <c r="M31" i="192"/>
  <c r="L22" i="196"/>
  <c r="M31" i="196"/>
  <c r="L22" i="201"/>
  <c r="M31" i="201"/>
  <c r="L22" i="169"/>
  <c r="M31" i="169"/>
  <c r="L22" i="140"/>
  <c r="M31" i="140"/>
  <c r="L22" i="19"/>
  <c r="M31" i="19"/>
  <c r="L22" i="3"/>
  <c r="M31" i="3"/>
  <c r="L22" i="16"/>
  <c r="M31" i="16"/>
  <c r="L22" i="33"/>
  <c r="M31" i="33"/>
  <c r="L22" i="107"/>
  <c r="M31" i="107"/>
  <c r="L22" i="181"/>
  <c r="M31" i="181"/>
  <c r="L22" i="47"/>
  <c r="M31" i="47"/>
  <c r="L22" i="190"/>
  <c r="M31" i="190"/>
  <c r="L22" i="197"/>
  <c r="M31" i="197"/>
  <c r="L22" i="203"/>
  <c r="M31" i="203"/>
  <c r="L22" i="2"/>
  <c r="M31" i="2"/>
  <c r="L22" i="24"/>
  <c r="M31" i="24"/>
  <c r="L22" i="45"/>
  <c r="M31" i="45"/>
  <c r="L22" i="28"/>
  <c r="M31" i="28"/>
  <c r="K22" i="44"/>
  <c r="L31" i="44"/>
  <c r="L22" i="109"/>
  <c r="M31" i="109"/>
  <c r="L22" i="193"/>
  <c r="M31" i="193"/>
  <c r="L22" i="1"/>
  <c r="M31" i="1"/>
  <c r="L22" i="5"/>
  <c r="M31" i="5"/>
  <c r="L22" i="164"/>
  <c r="M31" i="164"/>
  <c r="L22" i="61"/>
  <c r="M31" i="61"/>
  <c r="L22" i="176"/>
  <c r="M31" i="176"/>
  <c r="L22" i="114"/>
  <c r="M31" i="114"/>
  <c r="L22" i="31"/>
  <c r="M31" i="31"/>
  <c r="L22" i="13"/>
  <c r="M31" i="13"/>
  <c r="L22" i="88"/>
  <c r="M31" i="88"/>
  <c r="L22" i="15"/>
  <c r="M31" i="15"/>
  <c r="L22" i="12"/>
  <c r="M31" i="12"/>
  <c r="L22" i="17"/>
  <c r="M31" i="17"/>
  <c r="L22" i="7"/>
  <c r="M31" i="7"/>
  <c r="G21" i="195"/>
  <c r="C22" i="195"/>
  <c r="E34" i="195" s="1"/>
  <c r="L22" i="105"/>
  <c r="O25" i="8"/>
  <c r="L22" i="8"/>
  <c r="L22" i="202"/>
  <c r="O25" i="1"/>
  <c r="O25" i="29"/>
  <c r="R25" i="175"/>
  <c r="O25" i="15"/>
  <c r="O25" i="169"/>
  <c r="N25" i="44"/>
  <c r="O25" i="184"/>
  <c r="G21" i="149"/>
  <c r="G21" i="142"/>
  <c r="G21" i="186"/>
  <c r="B22" i="195"/>
  <c r="B22" i="149"/>
  <c r="B22" i="186"/>
  <c r="B22" i="142"/>
  <c r="T20" i="149"/>
  <c r="J32" i="104" l="1"/>
  <c r="J32" i="24"/>
  <c r="J32" i="200"/>
  <c r="J32" i="192"/>
  <c r="J32" i="31"/>
  <c r="J32" i="183"/>
  <c r="J32" i="9"/>
  <c r="J32" i="186"/>
  <c r="J32" i="4"/>
  <c r="J32" i="16"/>
  <c r="J32" i="47"/>
  <c r="J32" i="87"/>
  <c r="J32" i="181"/>
  <c r="J32" i="160"/>
  <c r="J32" i="17"/>
  <c r="J32" i="61"/>
  <c r="J32" i="46"/>
  <c r="J32" i="185"/>
  <c r="J32" i="204"/>
  <c r="J32" i="140"/>
  <c r="J32" i="32"/>
  <c r="J32" i="33"/>
  <c r="J32" i="27"/>
  <c r="J32" i="184"/>
  <c r="J32" i="169"/>
  <c r="J32" i="45"/>
  <c r="J32" i="52"/>
  <c r="J32" i="105"/>
  <c r="J32" i="144"/>
  <c r="J32" i="107"/>
  <c r="J32" i="196"/>
  <c r="J32" i="159"/>
  <c r="J32" i="168"/>
  <c r="J32" i="187"/>
  <c r="J32" i="19"/>
  <c r="N22" i="149"/>
  <c r="O25" i="149" s="1"/>
  <c r="I20" i="149"/>
  <c r="D25" i="142"/>
  <c r="D25" i="186"/>
  <c r="D25" i="149"/>
  <c r="D25" i="195"/>
  <c r="T19" i="204"/>
  <c r="I19" i="204" s="1"/>
  <c r="F19" i="204"/>
  <c r="T18" i="204"/>
  <c r="I18" i="204" s="1"/>
  <c r="F18" i="204"/>
  <c r="T17" i="204"/>
  <c r="I17" i="204" s="1"/>
  <c r="F17" i="204"/>
  <c r="K16" i="204"/>
  <c r="U16" i="204"/>
  <c r="M28" i="204" s="1"/>
  <c r="T16" i="204"/>
  <c r="I16" i="204" s="1"/>
  <c r="J28" i="204" s="1"/>
  <c r="F16" i="204"/>
  <c r="T15" i="204"/>
  <c r="I15" i="204" s="1"/>
  <c r="J27" i="204" s="1"/>
  <c r="F15" i="204"/>
  <c r="T14" i="204"/>
  <c r="I14" i="204" s="1"/>
  <c r="J26" i="204" s="1"/>
  <c r="F14" i="204"/>
  <c r="K13" i="204"/>
  <c r="U13" i="204"/>
  <c r="M25" i="204" s="1"/>
  <c r="T13" i="204"/>
  <c r="I13" i="204" s="1"/>
  <c r="J25" i="204" s="1"/>
  <c r="F13" i="204"/>
  <c r="T12" i="204"/>
  <c r="I12" i="204" s="1"/>
  <c r="J24" i="204" s="1"/>
  <c r="F12" i="204"/>
  <c r="T11" i="204"/>
  <c r="I11" i="204" s="1"/>
  <c r="J23" i="204" s="1"/>
  <c r="F11" i="204"/>
  <c r="K10" i="204"/>
  <c r="U10" i="204"/>
  <c r="M22" i="204" s="1"/>
  <c r="T10" i="204"/>
  <c r="I10" i="204" s="1"/>
  <c r="J22" i="204" s="1"/>
  <c r="F10" i="204"/>
  <c r="T9" i="204"/>
  <c r="I9" i="204" s="1"/>
  <c r="J21" i="204" s="1"/>
  <c r="F9" i="204"/>
  <c r="T8" i="204"/>
  <c r="I8" i="204" s="1"/>
  <c r="J20" i="204" s="1"/>
  <c r="F8" i="204"/>
  <c r="K7" i="204"/>
  <c r="U7" i="204"/>
  <c r="M19" i="204" s="1"/>
  <c r="T7" i="204"/>
  <c r="I7" i="204" s="1"/>
  <c r="F7" i="204"/>
  <c r="T6" i="204"/>
  <c r="I6" i="204" s="1"/>
  <c r="F6" i="204"/>
  <c r="T5" i="204"/>
  <c r="I5" i="204" s="1"/>
  <c r="F5" i="204"/>
  <c r="J19" i="204" l="1"/>
  <c r="J31" i="204"/>
  <c r="J32" i="149"/>
  <c r="J17" i="204"/>
  <c r="J29" i="204"/>
  <c r="J18" i="204"/>
  <c r="J30" i="204"/>
  <c r="H28" i="204"/>
  <c r="H22" i="204"/>
  <c r="H25" i="204"/>
  <c r="H21" i="204"/>
  <c r="H24" i="204"/>
  <c r="H27" i="204"/>
  <c r="H30" i="204"/>
  <c r="G20" i="204"/>
  <c r="H31" i="204"/>
  <c r="C7" i="204"/>
  <c r="C10" i="204"/>
  <c r="C16" i="204"/>
  <c r="H29" i="204"/>
  <c r="C19" i="204"/>
  <c r="E31" i="204" s="1"/>
  <c r="C13" i="204"/>
  <c r="N7" i="204"/>
  <c r="L13" i="204"/>
  <c r="L16" i="204"/>
  <c r="L19" i="204"/>
  <c r="L10" i="204"/>
  <c r="N10" i="204"/>
  <c r="N13" i="204"/>
  <c r="N16" i="204"/>
  <c r="N19" i="204"/>
  <c r="O22" i="204" s="1"/>
  <c r="H26" i="204"/>
  <c r="H20" i="204"/>
  <c r="H23" i="204"/>
  <c r="G14" i="204"/>
  <c r="G15" i="204"/>
  <c r="G9" i="204"/>
  <c r="G16" i="204"/>
  <c r="H18" i="204"/>
  <c r="G7" i="204"/>
  <c r="G13" i="204"/>
  <c r="B7" i="204"/>
  <c r="G11" i="204"/>
  <c r="G17" i="204"/>
  <c r="G12" i="204"/>
  <c r="B16" i="204"/>
  <c r="G6" i="204"/>
  <c r="B10" i="204"/>
  <c r="H19" i="204"/>
  <c r="B19" i="204"/>
  <c r="H17" i="204"/>
  <c r="B13" i="204"/>
  <c r="G8" i="204"/>
  <c r="G18" i="204"/>
  <c r="G19" i="204"/>
  <c r="G10" i="204"/>
  <c r="T19" i="203"/>
  <c r="I19" i="203" s="1"/>
  <c r="F19" i="203"/>
  <c r="T18" i="203"/>
  <c r="I18" i="203" s="1"/>
  <c r="J30" i="203" s="1"/>
  <c r="F18" i="203"/>
  <c r="T17" i="203"/>
  <c r="I17" i="203" s="1"/>
  <c r="F17" i="203"/>
  <c r="K16" i="203"/>
  <c r="U16" i="203"/>
  <c r="M28" i="203" s="1"/>
  <c r="T16" i="203"/>
  <c r="I16" i="203" s="1"/>
  <c r="J28" i="203" s="1"/>
  <c r="F16" i="203"/>
  <c r="T15" i="203"/>
  <c r="I15" i="203" s="1"/>
  <c r="J27" i="203" s="1"/>
  <c r="F15" i="203"/>
  <c r="T14" i="203"/>
  <c r="I14" i="203" s="1"/>
  <c r="J26" i="203" s="1"/>
  <c r="F14" i="203"/>
  <c r="K13" i="203"/>
  <c r="U13" i="203"/>
  <c r="M25" i="203" s="1"/>
  <c r="T13" i="203"/>
  <c r="I13" i="203" s="1"/>
  <c r="J25" i="203" s="1"/>
  <c r="F13" i="203"/>
  <c r="T12" i="203"/>
  <c r="I12" i="203" s="1"/>
  <c r="J24" i="203" s="1"/>
  <c r="F12" i="203"/>
  <c r="T11" i="203"/>
  <c r="I11" i="203" s="1"/>
  <c r="J23" i="203" s="1"/>
  <c r="F11" i="203"/>
  <c r="K10" i="203"/>
  <c r="U10" i="203"/>
  <c r="M22" i="203" s="1"/>
  <c r="T10" i="203"/>
  <c r="I10" i="203" s="1"/>
  <c r="J22" i="203" s="1"/>
  <c r="F10" i="203"/>
  <c r="T9" i="203"/>
  <c r="I9" i="203" s="1"/>
  <c r="J21" i="203" s="1"/>
  <c r="F9" i="203"/>
  <c r="T8" i="203"/>
  <c r="I8" i="203" s="1"/>
  <c r="J20" i="203" s="1"/>
  <c r="F8" i="203"/>
  <c r="K7" i="203"/>
  <c r="U7" i="203"/>
  <c r="M19" i="203" s="1"/>
  <c r="T7" i="203"/>
  <c r="I7" i="203" s="1"/>
  <c r="F7" i="203"/>
  <c r="T6" i="203"/>
  <c r="I6" i="203" s="1"/>
  <c r="F6" i="203"/>
  <c r="T5" i="203"/>
  <c r="I5" i="203" s="1"/>
  <c r="F5" i="203"/>
  <c r="J19" i="203" l="1"/>
  <c r="J31" i="203"/>
  <c r="J18" i="203"/>
  <c r="J17" i="203"/>
  <c r="J29" i="203"/>
  <c r="H22" i="203"/>
  <c r="H25" i="203"/>
  <c r="H31" i="203"/>
  <c r="H27" i="203"/>
  <c r="H30" i="203"/>
  <c r="H28" i="203"/>
  <c r="H21" i="203"/>
  <c r="H24" i="203"/>
  <c r="D16" i="204"/>
  <c r="E28" i="204"/>
  <c r="D13" i="204"/>
  <c r="E25" i="204"/>
  <c r="D10" i="204"/>
  <c r="E22" i="204"/>
  <c r="E19" i="204"/>
  <c r="D19" i="204"/>
  <c r="D22" i="204"/>
  <c r="C7" i="203"/>
  <c r="C13" i="203"/>
  <c r="C16" i="203"/>
  <c r="H29" i="203"/>
  <c r="C19" i="203"/>
  <c r="E31" i="203" s="1"/>
  <c r="C10" i="203"/>
  <c r="O10" i="204"/>
  <c r="O13" i="204"/>
  <c r="L10" i="203"/>
  <c r="L13" i="203"/>
  <c r="L16" i="203"/>
  <c r="L19" i="203"/>
  <c r="N7" i="203"/>
  <c r="N10" i="203"/>
  <c r="N13" i="203"/>
  <c r="N16" i="203"/>
  <c r="N19" i="203"/>
  <c r="O22" i="203" s="1"/>
  <c r="O16" i="204"/>
  <c r="O19" i="204"/>
  <c r="H20" i="203"/>
  <c r="H23" i="203"/>
  <c r="H26" i="203"/>
  <c r="H18" i="203"/>
  <c r="B7" i="203"/>
  <c r="G19" i="203"/>
  <c r="G20" i="203"/>
  <c r="G15" i="203"/>
  <c r="G9" i="203"/>
  <c r="G17" i="203"/>
  <c r="G11" i="203"/>
  <c r="G13" i="203"/>
  <c r="G14" i="203"/>
  <c r="G6" i="203"/>
  <c r="G10" i="203"/>
  <c r="G8" i="203"/>
  <c r="G12" i="203"/>
  <c r="H19" i="203"/>
  <c r="H17" i="203"/>
  <c r="B19" i="203"/>
  <c r="B13" i="203"/>
  <c r="G16" i="203"/>
  <c r="B10" i="203"/>
  <c r="G7" i="203"/>
  <c r="B16" i="203"/>
  <c r="G18" i="203"/>
  <c r="F19" i="9"/>
  <c r="G20" i="9" l="1"/>
  <c r="H31" i="9"/>
  <c r="D10" i="203"/>
  <c r="E22" i="203"/>
  <c r="D13" i="203"/>
  <c r="E25" i="203"/>
  <c r="E19" i="203"/>
  <c r="D19" i="203"/>
  <c r="D22" i="203"/>
  <c r="D16" i="203"/>
  <c r="E28" i="203"/>
  <c r="O16" i="203"/>
  <c r="O13" i="203"/>
  <c r="O19" i="203"/>
  <c r="O10" i="203"/>
  <c r="T19" i="202"/>
  <c r="I19" i="202" s="1"/>
  <c r="J31" i="202" s="1"/>
  <c r="F19" i="202"/>
  <c r="T18" i="202"/>
  <c r="I18" i="202" s="1"/>
  <c r="F18" i="202"/>
  <c r="T17" i="202"/>
  <c r="I17" i="202" s="1"/>
  <c r="F17" i="202"/>
  <c r="K16" i="202"/>
  <c r="T16" i="202"/>
  <c r="I16" i="202" s="1"/>
  <c r="J28" i="202" s="1"/>
  <c r="F16" i="202"/>
  <c r="T15" i="202"/>
  <c r="I15" i="202" s="1"/>
  <c r="J27" i="202" s="1"/>
  <c r="F15" i="202"/>
  <c r="T14" i="202"/>
  <c r="I14" i="202" s="1"/>
  <c r="J26" i="202" s="1"/>
  <c r="F14" i="202"/>
  <c r="M13" i="202"/>
  <c r="K13" i="202"/>
  <c r="T13" i="202"/>
  <c r="I13" i="202" s="1"/>
  <c r="J25" i="202" s="1"/>
  <c r="F13" i="202"/>
  <c r="T12" i="202"/>
  <c r="I12" i="202" s="1"/>
  <c r="J24" i="202" s="1"/>
  <c r="F12" i="202"/>
  <c r="T11" i="202"/>
  <c r="I11" i="202" s="1"/>
  <c r="J23" i="202" s="1"/>
  <c r="F11" i="202"/>
  <c r="M10" i="202"/>
  <c r="K10" i="202"/>
  <c r="T10" i="202"/>
  <c r="I10" i="202" s="1"/>
  <c r="J22" i="202" s="1"/>
  <c r="F10" i="202"/>
  <c r="T9" i="202"/>
  <c r="I9" i="202" s="1"/>
  <c r="J21" i="202" s="1"/>
  <c r="F9" i="202"/>
  <c r="T8" i="202"/>
  <c r="I8" i="202" s="1"/>
  <c r="J20" i="202" s="1"/>
  <c r="F8" i="202"/>
  <c r="M7" i="202"/>
  <c r="K7" i="202"/>
  <c r="T7" i="202"/>
  <c r="I7" i="202" s="1"/>
  <c r="F7" i="202"/>
  <c r="T6" i="202"/>
  <c r="I6" i="202" s="1"/>
  <c r="F6" i="202"/>
  <c r="T5" i="202"/>
  <c r="I5" i="202" s="1"/>
  <c r="F5" i="202"/>
  <c r="J19" i="202" l="1"/>
  <c r="J18" i="202"/>
  <c r="J30" i="202"/>
  <c r="J17" i="202"/>
  <c r="J29" i="202"/>
  <c r="H27" i="202"/>
  <c r="H31" i="202"/>
  <c r="H30" i="202"/>
  <c r="H21" i="202"/>
  <c r="H24" i="202"/>
  <c r="H22" i="202"/>
  <c r="H25" i="202"/>
  <c r="H28" i="202"/>
  <c r="C10" i="202"/>
  <c r="E22" i="202" s="1"/>
  <c r="C13" i="202"/>
  <c r="E25" i="202" s="1"/>
  <c r="C16" i="202"/>
  <c r="C7" i="202"/>
  <c r="H29" i="202"/>
  <c r="C19" i="202"/>
  <c r="E31" i="202" s="1"/>
  <c r="N19" i="202"/>
  <c r="O22" i="202" s="1"/>
  <c r="L10" i="202"/>
  <c r="L13" i="202"/>
  <c r="L16" i="202"/>
  <c r="L19" i="202"/>
  <c r="N7" i="202"/>
  <c r="N10" i="202"/>
  <c r="N16" i="202"/>
  <c r="N13" i="202"/>
  <c r="H20" i="202"/>
  <c r="H26" i="202"/>
  <c r="H23" i="202"/>
  <c r="G13" i="202"/>
  <c r="G16" i="202"/>
  <c r="G6" i="202"/>
  <c r="G11" i="202"/>
  <c r="B16" i="202"/>
  <c r="B10" i="202"/>
  <c r="H19" i="202"/>
  <c r="G20" i="202"/>
  <c r="G9" i="202"/>
  <c r="G10" i="202"/>
  <c r="G8" i="202"/>
  <c r="B19" i="202"/>
  <c r="G15" i="202"/>
  <c r="G12" i="202"/>
  <c r="B13" i="202"/>
  <c r="G7" i="202"/>
  <c r="H17" i="202"/>
  <c r="G19" i="202"/>
  <c r="G17" i="202"/>
  <c r="G18" i="202"/>
  <c r="H18" i="202"/>
  <c r="B7" i="202"/>
  <c r="G14" i="202"/>
  <c r="G20" i="4"/>
  <c r="D10" i="202" l="1"/>
  <c r="D13" i="202"/>
  <c r="D16" i="202"/>
  <c r="E28" i="202"/>
  <c r="E19" i="202"/>
  <c r="D19" i="202"/>
  <c r="D22" i="202"/>
  <c r="O13" i="202"/>
  <c r="O10" i="202"/>
  <c r="O16" i="202"/>
  <c r="O19" i="202"/>
  <c r="F19" i="35"/>
  <c r="F19" i="7"/>
  <c r="F19" i="12"/>
  <c r="F19" i="54"/>
  <c r="F19" i="17"/>
  <c r="F19" i="31"/>
  <c r="F19" i="13"/>
  <c r="F19" i="153"/>
  <c r="F19" i="198"/>
  <c r="F19" i="88"/>
  <c r="F19" i="148"/>
  <c r="F19" i="19"/>
  <c r="F19" i="21"/>
  <c r="F19" i="114"/>
  <c r="F19" i="113"/>
  <c r="F19" i="75"/>
  <c r="F19" i="37"/>
  <c r="F19" i="176"/>
  <c r="F19" i="162"/>
  <c r="F19" i="104"/>
  <c r="F19" i="174"/>
  <c r="F19" i="23"/>
  <c r="F19" i="47"/>
  <c r="F19" i="102"/>
  <c r="F19" i="140"/>
  <c r="F19" i="107"/>
  <c r="F19" i="181"/>
  <c r="F19" i="183"/>
  <c r="F19" i="184"/>
  <c r="E19" i="175"/>
  <c r="F20" i="175" s="1"/>
  <c r="F19" i="101"/>
  <c r="F19" i="53"/>
  <c r="F19" i="16"/>
  <c r="F19" i="43"/>
  <c r="F19" i="22"/>
  <c r="F19" i="61"/>
  <c r="F19" i="3"/>
  <c r="F19" i="169"/>
  <c r="F19" i="168"/>
  <c r="F19" i="201"/>
  <c r="F19" i="103"/>
  <c r="F19" i="190"/>
  <c r="F19" i="197"/>
  <c r="F19" i="196"/>
  <c r="F19" i="2"/>
  <c r="F19" i="200"/>
  <c r="F19" i="192"/>
  <c r="F19" i="32"/>
  <c r="F19" i="164"/>
  <c r="F19" i="27"/>
  <c r="F19" i="143"/>
  <c r="F19" i="89"/>
  <c r="F19" i="46"/>
  <c r="F19" i="34"/>
  <c r="F19" i="87"/>
  <c r="F19" i="33"/>
  <c r="F19" i="97"/>
  <c r="F19" i="52"/>
  <c r="F19" i="18"/>
  <c r="F19" i="20"/>
  <c r="F19" i="112"/>
  <c r="F19" i="74"/>
  <c r="F19" i="25"/>
  <c r="F19" i="187"/>
  <c r="F19" i="159"/>
  <c r="F19" i="160"/>
  <c r="F19" i="105"/>
  <c r="F19" i="11"/>
  <c r="F19" i="1"/>
  <c r="F19" i="193"/>
  <c r="F19" i="194"/>
  <c r="F19" i="109"/>
  <c r="F19" i="48"/>
  <c r="F19" i="5"/>
  <c r="F19" i="135"/>
  <c r="F19" i="24"/>
  <c r="F19" i="44"/>
  <c r="F19" i="116"/>
  <c r="F19" i="45"/>
  <c r="F19" i="28"/>
  <c r="F19" i="29"/>
  <c r="F19" i="85"/>
  <c r="F19" i="191"/>
  <c r="F19" i="8"/>
  <c r="H31" i="33" l="1"/>
  <c r="H209" i="417"/>
  <c r="I209" i="417" s="1"/>
  <c r="H31" i="29"/>
  <c r="G20" i="45"/>
  <c r="H31" i="45"/>
  <c r="G20" i="89"/>
  <c r="H31" i="89"/>
  <c r="G20" i="32"/>
  <c r="H31" i="32"/>
  <c r="G20" i="61"/>
  <c r="H31" i="61"/>
  <c r="G20" i="104"/>
  <c r="H31" i="104"/>
  <c r="G20" i="198"/>
  <c r="H31" i="198"/>
  <c r="G20" i="17"/>
  <c r="H31" i="17"/>
  <c r="G20" i="116"/>
  <c r="H31" i="116"/>
  <c r="G20" i="5"/>
  <c r="H31" i="5"/>
  <c r="G20" i="193"/>
  <c r="H31" i="193"/>
  <c r="G20" i="105"/>
  <c r="H31" i="105"/>
  <c r="G20" i="25"/>
  <c r="H31" i="25"/>
  <c r="G20" i="18"/>
  <c r="H31" i="18"/>
  <c r="G20" i="87"/>
  <c r="H31" i="87"/>
  <c r="G20" i="143"/>
  <c r="H31" i="143"/>
  <c r="G20" i="192"/>
  <c r="H31" i="192"/>
  <c r="G20" i="197"/>
  <c r="H31" i="197"/>
  <c r="G20" i="168"/>
  <c r="H31" i="168"/>
  <c r="G20" i="22"/>
  <c r="H31" i="22"/>
  <c r="G20" i="101"/>
  <c r="H31" i="101"/>
  <c r="G20" i="181"/>
  <c r="H31" i="181"/>
  <c r="G20" i="47"/>
  <c r="H31" i="47"/>
  <c r="G20" i="75"/>
  <c r="H31" i="75"/>
  <c r="G20" i="19"/>
  <c r="H31" i="19"/>
  <c r="G20" i="153"/>
  <c r="H31" i="153"/>
  <c r="G20" i="54"/>
  <c r="H31" i="54"/>
  <c r="G20" i="135"/>
  <c r="H31" i="135"/>
  <c r="G20" i="201"/>
  <c r="H31" i="201"/>
  <c r="G20" i="183"/>
  <c r="H31" i="183"/>
  <c r="G20" i="21"/>
  <c r="H31" i="21"/>
  <c r="G20" i="44"/>
  <c r="H31" i="44"/>
  <c r="G20" i="48"/>
  <c r="H31" i="48"/>
  <c r="G20" i="1"/>
  <c r="H31" i="1"/>
  <c r="G20" i="160"/>
  <c r="H31" i="160"/>
  <c r="G20" i="74"/>
  <c r="H31" i="74"/>
  <c r="G20" i="52"/>
  <c r="H31" i="52"/>
  <c r="G20" i="34"/>
  <c r="H31" i="34"/>
  <c r="G20" i="27"/>
  <c r="H31" i="27"/>
  <c r="G20" i="200"/>
  <c r="H31" i="200"/>
  <c r="G20" i="190"/>
  <c r="H31" i="190"/>
  <c r="G20" i="169"/>
  <c r="H31" i="169"/>
  <c r="G20" i="43"/>
  <c r="H31" i="43"/>
  <c r="G20" i="107"/>
  <c r="H31" i="107"/>
  <c r="G20" i="23"/>
  <c r="H31" i="23"/>
  <c r="G20" i="162"/>
  <c r="H31" i="162"/>
  <c r="G20" i="113"/>
  <c r="H31" i="113"/>
  <c r="G20" i="148"/>
  <c r="H31" i="148"/>
  <c r="G20" i="13"/>
  <c r="H31" i="13"/>
  <c r="G20" i="12"/>
  <c r="H31" i="12"/>
  <c r="G20" i="191"/>
  <c r="H31" i="191"/>
  <c r="G20" i="194"/>
  <c r="H31" i="194"/>
  <c r="G20" i="187"/>
  <c r="H31" i="187"/>
  <c r="G20" i="20"/>
  <c r="H31" i="20"/>
  <c r="G20" i="196"/>
  <c r="H31" i="196"/>
  <c r="G20" i="53"/>
  <c r="H31" i="53"/>
  <c r="G20" i="102"/>
  <c r="H31" i="102"/>
  <c r="G20" i="37"/>
  <c r="H31" i="37"/>
  <c r="G20" i="35"/>
  <c r="H31" i="35"/>
  <c r="G20" i="85"/>
  <c r="H31" i="85"/>
  <c r="G20" i="8"/>
  <c r="H31" i="8"/>
  <c r="G20" i="28"/>
  <c r="H31" i="28"/>
  <c r="G20" i="24"/>
  <c r="H31" i="24"/>
  <c r="G20" i="109"/>
  <c r="H31" i="109"/>
  <c r="G20" i="11"/>
  <c r="H31" i="11"/>
  <c r="G20" i="159"/>
  <c r="H31" i="159"/>
  <c r="G20" i="112"/>
  <c r="H31" i="112"/>
  <c r="G20" i="97"/>
  <c r="H31" i="97"/>
  <c r="G20" i="46"/>
  <c r="H31" i="46"/>
  <c r="G20" i="164"/>
  <c r="H31" i="164"/>
  <c r="G20" i="2"/>
  <c r="H31" i="2"/>
  <c r="G20" i="103"/>
  <c r="H31" i="103"/>
  <c r="G20" i="3"/>
  <c r="H31" i="3"/>
  <c r="G20" i="16"/>
  <c r="H31" i="16"/>
  <c r="G20" i="184"/>
  <c r="H31" i="184"/>
  <c r="G20" i="140"/>
  <c r="H31" i="140"/>
  <c r="G20" i="174"/>
  <c r="H31" i="174"/>
  <c r="G20" i="176"/>
  <c r="H31" i="176"/>
  <c r="G20" i="114"/>
  <c r="H31" i="114"/>
  <c r="G20" i="88"/>
  <c r="H31" i="88"/>
  <c r="G20" i="31"/>
  <c r="H31" i="31"/>
  <c r="G20" i="7"/>
  <c r="H31" i="7"/>
  <c r="G20" i="29"/>
  <c r="G20" i="33"/>
  <c r="F9" i="191"/>
  <c r="I221" i="417" l="1"/>
  <c r="H21" i="191"/>
  <c r="T19" i="201"/>
  <c r="I19" i="201" s="1"/>
  <c r="T18" i="201"/>
  <c r="I18" i="201" s="1"/>
  <c r="F18" i="201"/>
  <c r="T17" i="201"/>
  <c r="I17" i="201" s="1"/>
  <c r="F17" i="201"/>
  <c r="K16" i="201"/>
  <c r="U16" i="201"/>
  <c r="M28" i="201" s="1"/>
  <c r="T16" i="201"/>
  <c r="I16" i="201" s="1"/>
  <c r="J28" i="201" s="1"/>
  <c r="F16" i="201"/>
  <c r="T15" i="201"/>
  <c r="I15" i="201" s="1"/>
  <c r="J27" i="201" s="1"/>
  <c r="F15" i="201"/>
  <c r="T14" i="201"/>
  <c r="I14" i="201" s="1"/>
  <c r="J26" i="201" s="1"/>
  <c r="F14" i="201"/>
  <c r="K13" i="201"/>
  <c r="U13" i="201"/>
  <c r="M25" i="201" s="1"/>
  <c r="T13" i="201"/>
  <c r="I13" i="201" s="1"/>
  <c r="J25" i="201" s="1"/>
  <c r="F13" i="201"/>
  <c r="T12" i="201"/>
  <c r="I12" i="201" s="1"/>
  <c r="J24" i="201" s="1"/>
  <c r="F12" i="201"/>
  <c r="T11" i="201"/>
  <c r="I11" i="201" s="1"/>
  <c r="J23" i="201" s="1"/>
  <c r="F11" i="201"/>
  <c r="K10" i="201"/>
  <c r="U10" i="201"/>
  <c r="M22" i="201" s="1"/>
  <c r="T10" i="201"/>
  <c r="I10" i="201" s="1"/>
  <c r="J22" i="201" s="1"/>
  <c r="F10" i="201"/>
  <c r="T9" i="201"/>
  <c r="I9" i="201" s="1"/>
  <c r="J21" i="201" s="1"/>
  <c r="F9" i="201"/>
  <c r="T8" i="201"/>
  <c r="I8" i="201" s="1"/>
  <c r="J20" i="201" s="1"/>
  <c r="F8" i="201"/>
  <c r="K7" i="201"/>
  <c r="U7" i="201"/>
  <c r="M19" i="201" s="1"/>
  <c r="T7" i="201"/>
  <c r="I7" i="201" s="1"/>
  <c r="F7" i="201"/>
  <c r="T6" i="201"/>
  <c r="I6" i="201" s="1"/>
  <c r="F6" i="201"/>
  <c r="T5" i="201"/>
  <c r="I5" i="201" s="1"/>
  <c r="F5" i="201"/>
  <c r="J18" i="201" l="1"/>
  <c r="J30" i="201"/>
  <c r="J17" i="201"/>
  <c r="J29" i="201"/>
  <c r="J19" i="201"/>
  <c r="J31" i="201"/>
  <c r="H22" i="201"/>
  <c r="H25" i="201"/>
  <c r="H28" i="201"/>
  <c r="H21" i="201"/>
  <c r="H24" i="201"/>
  <c r="H27" i="201"/>
  <c r="H30" i="201"/>
  <c r="C7" i="201"/>
  <c r="C10" i="201"/>
  <c r="C13" i="201"/>
  <c r="C16" i="201"/>
  <c r="H29" i="201"/>
  <c r="C19" i="201"/>
  <c r="E31" i="201" s="1"/>
  <c r="N7" i="201"/>
  <c r="N10" i="201"/>
  <c r="N13" i="201"/>
  <c r="N16" i="201"/>
  <c r="N19" i="201"/>
  <c r="O22" i="201" s="1"/>
  <c r="L13" i="201"/>
  <c r="L16" i="201"/>
  <c r="L19" i="201"/>
  <c r="L10" i="201"/>
  <c r="H20" i="201"/>
  <c r="H23" i="201"/>
  <c r="H26" i="201"/>
  <c r="G12" i="201"/>
  <c r="G10" i="201"/>
  <c r="G9" i="201"/>
  <c r="G16" i="201"/>
  <c r="G18" i="201"/>
  <c r="G7" i="201"/>
  <c r="G14" i="201"/>
  <c r="B13" i="201"/>
  <c r="B7" i="201"/>
  <c r="H19" i="201"/>
  <c r="G8" i="201"/>
  <c r="G13" i="201"/>
  <c r="G15" i="201"/>
  <c r="B19" i="201"/>
  <c r="G19" i="201"/>
  <c r="G11" i="201"/>
  <c r="B16" i="201"/>
  <c r="H18" i="201"/>
  <c r="G6" i="201"/>
  <c r="G17" i="201"/>
  <c r="H17" i="201"/>
  <c r="B10" i="201"/>
  <c r="D16" i="201" l="1"/>
  <c r="E28" i="201"/>
  <c r="D13" i="201"/>
  <c r="E25" i="201"/>
  <c r="E19" i="201"/>
  <c r="D19" i="201"/>
  <c r="D22" i="201"/>
  <c r="D10" i="201"/>
  <c r="E22" i="201"/>
  <c r="O10" i="201"/>
  <c r="O16" i="201"/>
  <c r="O19" i="201"/>
  <c r="O13" i="201"/>
  <c r="T19" i="200" l="1"/>
  <c r="I19" i="200" s="1"/>
  <c r="J31" i="200" s="1"/>
  <c r="T18" i="200"/>
  <c r="I18" i="200" s="1"/>
  <c r="F18" i="200"/>
  <c r="T17" i="200"/>
  <c r="I17" i="200" s="1"/>
  <c r="J29" i="200" s="1"/>
  <c r="F17" i="200"/>
  <c r="K16" i="200"/>
  <c r="U16" i="200"/>
  <c r="M28" i="200" s="1"/>
  <c r="T16" i="200"/>
  <c r="I16" i="200" s="1"/>
  <c r="J28" i="200" s="1"/>
  <c r="F16" i="200"/>
  <c r="T15" i="200"/>
  <c r="I15" i="200" s="1"/>
  <c r="J27" i="200" s="1"/>
  <c r="F15" i="200"/>
  <c r="T14" i="200"/>
  <c r="I14" i="200" s="1"/>
  <c r="J26" i="200" s="1"/>
  <c r="F14" i="200"/>
  <c r="K13" i="200"/>
  <c r="U13" i="200"/>
  <c r="M25" i="200" s="1"/>
  <c r="T13" i="200"/>
  <c r="I13" i="200" s="1"/>
  <c r="J25" i="200" s="1"/>
  <c r="F13" i="200"/>
  <c r="T12" i="200"/>
  <c r="I12" i="200" s="1"/>
  <c r="J24" i="200" s="1"/>
  <c r="F12" i="200"/>
  <c r="T11" i="200"/>
  <c r="I11" i="200" s="1"/>
  <c r="J23" i="200" s="1"/>
  <c r="F11" i="200"/>
  <c r="K10" i="200"/>
  <c r="U10" i="200"/>
  <c r="M22" i="200" s="1"/>
  <c r="T10" i="200"/>
  <c r="I10" i="200" s="1"/>
  <c r="J22" i="200" s="1"/>
  <c r="F10" i="200"/>
  <c r="T9" i="200"/>
  <c r="I9" i="200" s="1"/>
  <c r="J21" i="200" s="1"/>
  <c r="F9" i="200"/>
  <c r="T8" i="200"/>
  <c r="I8" i="200" s="1"/>
  <c r="J20" i="200" s="1"/>
  <c r="F8" i="200"/>
  <c r="K7" i="200"/>
  <c r="U7" i="200"/>
  <c r="M19" i="200" s="1"/>
  <c r="T7" i="200"/>
  <c r="I7" i="200" s="1"/>
  <c r="F7" i="200"/>
  <c r="T6" i="200"/>
  <c r="I6" i="200" s="1"/>
  <c r="F6" i="200"/>
  <c r="T5" i="200"/>
  <c r="I5" i="200" s="1"/>
  <c r="F5" i="200"/>
  <c r="T19" i="198"/>
  <c r="I19" i="198" s="1"/>
  <c r="T18" i="198"/>
  <c r="I18" i="198" s="1"/>
  <c r="F18" i="198"/>
  <c r="T17" i="198"/>
  <c r="I17" i="198" s="1"/>
  <c r="F17" i="198"/>
  <c r="K16" i="198"/>
  <c r="U16" i="198"/>
  <c r="M28" i="198" s="1"/>
  <c r="T16" i="198"/>
  <c r="I16" i="198" s="1"/>
  <c r="J28" i="198" s="1"/>
  <c r="F16" i="198"/>
  <c r="T15" i="198"/>
  <c r="I15" i="198" s="1"/>
  <c r="J27" i="198" s="1"/>
  <c r="F15" i="198"/>
  <c r="T14" i="198"/>
  <c r="I14" i="198" s="1"/>
  <c r="J26" i="198" s="1"/>
  <c r="F14" i="198"/>
  <c r="K13" i="198"/>
  <c r="U13" i="198"/>
  <c r="M25" i="198" s="1"/>
  <c r="T13" i="198"/>
  <c r="I13" i="198" s="1"/>
  <c r="J25" i="198" s="1"/>
  <c r="F13" i="198"/>
  <c r="T12" i="198"/>
  <c r="I12" i="198" s="1"/>
  <c r="J24" i="198" s="1"/>
  <c r="F12" i="198"/>
  <c r="T11" i="198"/>
  <c r="I11" i="198" s="1"/>
  <c r="J23" i="198" s="1"/>
  <c r="F11" i="198"/>
  <c r="K10" i="198"/>
  <c r="U10" i="198"/>
  <c r="M22" i="198" s="1"/>
  <c r="T10" i="198"/>
  <c r="I10" i="198" s="1"/>
  <c r="J22" i="198" s="1"/>
  <c r="F10" i="198"/>
  <c r="T9" i="198"/>
  <c r="I9" i="198" s="1"/>
  <c r="J21" i="198" s="1"/>
  <c r="F9" i="198"/>
  <c r="T8" i="198"/>
  <c r="I8" i="198" s="1"/>
  <c r="J20" i="198" s="1"/>
  <c r="F8" i="198"/>
  <c r="K7" i="198"/>
  <c r="U7" i="198"/>
  <c r="M19" i="198" s="1"/>
  <c r="T7" i="198"/>
  <c r="I7" i="198" s="1"/>
  <c r="F7" i="198"/>
  <c r="T6" i="198"/>
  <c r="I6" i="198" s="1"/>
  <c r="F6" i="198"/>
  <c r="T5" i="198"/>
  <c r="I5" i="198" s="1"/>
  <c r="F5" i="198"/>
  <c r="T19" i="197"/>
  <c r="I19" i="197" s="1"/>
  <c r="T18" i="197"/>
  <c r="I18" i="197" s="1"/>
  <c r="J30" i="197" s="1"/>
  <c r="F18" i="197"/>
  <c r="T17" i="197"/>
  <c r="I17" i="197" s="1"/>
  <c r="F17" i="197"/>
  <c r="K16" i="197"/>
  <c r="U16" i="197"/>
  <c r="M28" i="197" s="1"/>
  <c r="T16" i="197"/>
  <c r="I16" i="197" s="1"/>
  <c r="J28" i="197" s="1"/>
  <c r="F16" i="197"/>
  <c r="T15" i="197"/>
  <c r="I15" i="197" s="1"/>
  <c r="J27" i="197" s="1"/>
  <c r="F15" i="197"/>
  <c r="T14" i="197"/>
  <c r="I14" i="197" s="1"/>
  <c r="J26" i="197" s="1"/>
  <c r="F14" i="197"/>
  <c r="K13" i="197"/>
  <c r="U13" i="197"/>
  <c r="M25" i="197" s="1"/>
  <c r="T13" i="197"/>
  <c r="I13" i="197" s="1"/>
  <c r="J25" i="197" s="1"/>
  <c r="F13" i="197"/>
  <c r="T12" i="197"/>
  <c r="I12" i="197" s="1"/>
  <c r="J24" i="197" s="1"/>
  <c r="F12" i="197"/>
  <c r="T11" i="197"/>
  <c r="I11" i="197" s="1"/>
  <c r="J23" i="197" s="1"/>
  <c r="F11" i="197"/>
  <c r="K10" i="197"/>
  <c r="U10" i="197"/>
  <c r="M22" i="197" s="1"/>
  <c r="T10" i="197"/>
  <c r="I10" i="197" s="1"/>
  <c r="J22" i="197" s="1"/>
  <c r="F10" i="197"/>
  <c r="T9" i="197"/>
  <c r="I9" i="197" s="1"/>
  <c r="J21" i="197" s="1"/>
  <c r="F9" i="197"/>
  <c r="T8" i="197"/>
  <c r="I8" i="197" s="1"/>
  <c r="J20" i="197" s="1"/>
  <c r="F8" i="197"/>
  <c r="K7" i="197"/>
  <c r="U7" i="197"/>
  <c r="M19" i="197" s="1"/>
  <c r="T7" i="197"/>
  <c r="I7" i="197" s="1"/>
  <c r="F7" i="197"/>
  <c r="T6" i="197"/>
  <c r="I6" i="197" s="1"/>
  <c r="F6" i="197"/>
  <c r="T5" i="197"/>
  <c r="I5" i="197" s="1"/>
  <c r="F5" i="197"/>
  <c r="T19" i="196"/>
  <c r="I19" i="196" s="1"/>
  <c r="J31" i="196" s="1"/>
  <c r="T18" i="196"/>
  <c r="I18" i="196" s="1"/>
  <c r="F18" i="196"/>
  <c r="T17" i="196"/>
  <c r="I17" i="196" s="1"/>
  <c r="J29" i="196" s="1"/>
  <c r="F17" i="196"/>
  <c r="K16" i="196"/>
  <c r="U16" i="196"/>
  <c r="M28" i="196" s="1"/>
  <c r="T16" i="196"/>
  <c r="I16" i="196" s="1"/>
  <c r="J28" i="196" s="1"/>
  <c r="F16" i="196"/>
  <c r="T15" i="196"/>
  <c r="I15" i="196" s="1"/>
  <c r="J27" i="196" s="1"/>
  <c r="F15" i="196"/>
  <c r="T14" i="196"/>
  <c r="I14" i="196" s="1"/>
  <c r="J26" i="196" s="1"/>
  <c r="F14" i="196"/>
  <c r="K13" i="196"/>
  <c r="U13" i="196"/>
  <c r="M25" i="196" s="1"/>
  <c r="T13" i="196"/>
  <c r="I13" i="196" s="1"/>
  <c r="J25" i="196" s="1"/>
  <c r="F13" i="196"/>
  <c r="T12" i="196"/>
  <c r="I12" i="196" s="1"/>
  <c r="J24" i="196" s="1"/>
  <c r="F12" i="196"/>
  <c r="T11" i="196"/>
  <c r="I11" i="196" s="1"/>
  <c r="J23" i="196" s="1"/>
  <c r="F11" i="196"/>
  <c r="K10" i="196"/>
  <c r="U10" i="196"/>
  <c r="M22" i="196" s="1"/>
  <c r="T10" i="196"/>
  <c r="I10" i="196" s="1"/>
  <c r="J22" i="196" s="1"/>
  <c r="F10" i="196"/>
  <c r="T9" i="196"/>
  <c r="I9" i="196" s="1"/>
  <c r="J21" i="196" s="1"/>
  <c r="F9" i="196"/>
  <c r="T8" i="196"/>
  <c r="I8" i="196" s="1"/>
  <c r="J20" i="196" s="1"/>
  <c r="F8" i="196"/>
  <c r="K7" i="196"/>
  <c r="U7" i="196"/>
  <c r="M19" i="196" s="1"/>
  <c r="T7" i="196"/>
  <c r="I7" i="196" s="1"/>
  <c r="F7" i="196"/>
  <c r="T6" i="196"/>
  <c r="I6" i="196" s="1"/>
  <c r="F6" i="196"/>
  <c r="T5" i="196"/>
  <c r="I5" i="196" s="1"/>
  <c r="F5" i="196"/>
  <c r="J17" i="196" l="1"/>
  <c r="J19" i="200"/>
  <c r="J18" i="197"/>
  <c r="J17" i="200"/>
  <c r="J19" i="196"/>
  <c r="J29" i="198"/>
  <c r="J17" i="198"/>
  <c r="J18" i="196"/>
  <c r="J30" i="196"/>
  <c r="J19" i="197"/>
  <c r="J31" i="197"/>
  <c r="J18" i="198"/>
  <c r="J30" i="198"/>
  <c r="J31" i="198"/>
  <c r="J19" i="198"/>
  <c r="J18" i="200"/>
  <c r="J30" i="200"/>
  <c r="J17" i="197"/>
  <c r="J29" i="197"/>
  <c r="H22" i="196"/>
  <c r="H25" i="196"/>
  <c r="H28" i="196"/>
  <c r="H27" i="198"/>
  <c r="H30" i="198"/>
  <c r="H19" i="197"/>
  <c r="H22" i="197"/>
  <c r="H25" i="197"/>
  <c r="H28" i="197"/>
  <c r="H21" i="200"/>
  <c r="H24" i="200"/>
  <c r="H27" i="200"/>
  <c r="H30" i="200"/>
  <c r="H21" i="196"/>
  <c r="H24" i="196"/>
  <c r="H27" i="196"/>
  <c r="H30" i="196"/>
  <c r="H19" i="198"/>
  <c r="H22" i="198"/>
  <c r="H25" i="198"/>
  <c r="H28" i="198"/>
  <c r="H21" i="198"/>
  <c r="H24" i="198"/>
  <c r="H21" i="197"/>
  <c r="H24" i="197"/>
  <c r="H27" i="197"/>
  <c r="H30" i="197"/>
  <c r="H22" i="200"/>
  <c r="H25" i="200"/>
  <c r="H28" i="200"/>
  <c r="C16" i="198"/>
  <c r="E28" i="198" s="1"/>
  <c r="C19" i="198"/>
  <c r="E31" i="198" s="1"/>
  <c r="C7" i="198"/>
  <c r="C10" i="198"/>
  <c r="C13" i="197"/>
  <c r="C19" i="197"/>
  <c r="E31" i="197" s="1"/>
  <c r="C13" i="198"/>
  <c r="C7" i="197"/>
  <c r="C10" i="197"/>
  <c r="C16" i="197"/>
  <c r="C7" i="196"/>
  <c r="C10" i="196"/>
  <c r="C16" i="196"/>
  <c r="C13" i="196"/>
  <c r="H29" i="196"/>
  <c r="C19" i="196"/>
  <c r="E31" i="196" s="1"/>
  <c r="C7" i="200"/>
  <c r="C10" i="200"/>
  <c r="C13" i="200"/>
  <c r="C16" i="200"/>
  <c r="H29" i="200"/>
  <c r="C19" i="200"/>
  <c r="E31" i="200" s="1"/>
  <c r="N10" i="200"/>
  <c r="N13" i="200"/>
  <c r="N19" i="200"/>
  <c r="O22" i="200" s="1"/>
  <c r="N10" i="197"/>
  <c r="N13" i="197"/>
  <c r="N16" i="197"/>
  <c r="N7" i="197"/>
  <c r="H29" i="197"/>
  <c r="H29" i="198"/>
  <c r="N16" i="200"/>
  <c r="N7" i="200"/>
  <c r="N7" i="196"/>
  <c r="N10" i="196"/>
  <c r="N13" i="196"/>
  <c r="N16" i="196"/>
  <c r="N19" i="196"/>
  <c r="O22" i="196" s="1"/>
  <c r="L10" i="200"/>
  <c r="L16" i="200"/>
  <c r="L19" i="200"/>
  <c r="L13" i="200"/>
  <c r="N7" i="198"/>
  <c r="N10" i="198"/>
  <c r="N13" i="198"/>
  <c r="N16" i="198"/>
  <c r="N19" i="198"/>
  <c r="O22" i="198" s="1"/>
  <c r="L10" i="198"/>
  <c r="L13" i="198"/>
  <c r="L16" i="198"/>
  <c r="L19" i="198"/>
  <c r="L10" i="197"/>
  <c r="L13" i="197"/>
  <c r="L16" i="197"/>
  <c r="L19" i="197"/>
  <c r="N19" i="197"/>
  <c r="O22" i="197" s="1"/>
  <c r="L10" i="196"/>
  <c r="L13" i="196"/>
  <c r="L16" i="196"/>
  <c r="L19" i="196"/>
  <c r="H20" i="200"/>
  <c r="H23" i="200"/>
  <c r="H26" i="200"/>
  <c r="H23" i="198"/>
  <c r="H26" i="198"/>
  <c r="H20" i="198"/>
  <c r="H20" i="197"/>
  <c r="H23" i="197"/>
  <c r="H26" i="197"/>
  <c r="H20" i="196"/>
  <c r="H23" i="196"/>
  <c r="H26" i="196"/>
  <c r="G15" i="200"/>
  <c r="H18" i="197"/>
  <c r="G9" i="197"/>
  <c r="G12" i="197"/>
  <c r="G18" i="197"/>
  <c r="B7" i="197"/>
  <c r="G19" i="197"/>
  <c r="G17" i="200"/>
  <c r="G16" i="200"/>
  <c r="G10" i="200"/>
  <c r="G15" i="197"/>
  <c r="G11" i="200"/>
  <c r="G18" i="200"/>
  <c r="B16" i="200"/>
  <c r="B7" i="200"/>
  <c r="B10" i="200"/>
  <c r="G19" i="200"/>
  <c r="G12" i="200"/>
  <c r="G14" i="200"/>
  <c r="G13" i="200"/>
  <c r="G7" i="200"/>
  <c r="G9" i="200"/>
  <c r="H19" i="200"/>
  <c r="H18" i="200"/>
  <c r="G6" i="200"/>
  <c r="H17" i="200"/>
  <c r="B19" i="200"/>
  <c r="G8" i="200"/>
  <c r="B13" i="200"/>
  <c r="B7" i="198"/>
  <c r="B10" i="198"/>
  <c r="G13" i="198"/>
  <c r="G16" i="198"/>
  <c r="G11" i="198"/>
  <c r="G15" i="198"/>
  <c r="G17" i="198"/>
  <c r="G9" i="198"/>
  <c r="B16" i="198"/>
  <c r="G6" i="198"/>
  <c r="G18" i="198"/>
  <c r="G19" i="198"/>
  <c r="G14" i="198"/>
  <c r="H18" i="198"/>
  <c r="G12" i="198"/>
  <c r="H17" i="198"/>
  <c r="B19" i="198"/>
  <c r="G8" i="198"/>
  <c r="B13" i="198"/>
  <c r="G7" i="198"/>
  <c r="G10" i="198"/>
  <c r="B19" i="197"/>
  <c r="G11" i="197"/>
  <c r="B16" i="197"/>
  <c r="G16" i="197"/>
  <c r="G14" i="197"/>
  <c r="G8" i="197"/>
  <c r="G13" i="197"/>
  <c r="G14" i="196"/>
  <c r="G7" i="196"/>
  <c r="G9" i="196"/>
  <c r="G16" i="196"/>
  <c r="B10" i="197"/>
  <c r="G10" i="197"/>
  <c r="G6" i="197"/>
  <c r="G17" i="197"/>
  <c r="H17" i="197"/>
  <c r="B13" i="197"/>
  <c r="G7" i="197"/>
  <c r="B7" i="196"/>
  <c r="G8" i="196"/>
  <c r="B13" i="196"/>
  <c r="G12" i="196"/>
  <c r="H19" i="196"/>
  <c r="G13" i="196"/>
  <c r="G15" i="196"/>
  <c r="G17" i="196"/>
  <c r="G11" i="196"/>
  <c r="G19" i="196"/>
  <c r="G10" i="196"/>
  <c r="B19" i="196"/>
  <c r="B16" i="196"/>
  <c r="H18" i="196"/>
  <c r="G6" i="196"/>
  <c r="H17" i="196"/>
  <c r="B10" i="196"/>
  <c r="G18" i="196"/>
  <c r="F17" i="191"/>
  <c r="F18" i="191"/>
  <c r="S16" i="195"/>
  <c r="S15" i="195"/>
  <c r="S14" i="195"/>
  <c r="S13" i="195"/>
  <c r="S12" i="195"/>
  <c r="S11" i="195"/>
  <c r="S10" i="195"/>
  <c r="S9" i="195"/>
  <c r="S8" i="195"/>
  <c r="S7" i="195"/>
  <c r="S6" i="195"/>
  <c r="S5" i="195"/>
  <c r="F19" i="195"/>
  <c r="F18" i="195"/>
  <c r="Q16" i="195"/>
  <c r="F16" i="195" s="1"/>
  <c r="Q15" i="195"/>
  <c r="F15" i="195" s="1"/>
  <c r="Q14" i="195"/>
  <c r="F14" i="195" s="1"/>
  <c r="Q13" i="195"/>
  <c r="F13" i="195" s="1"/>
  <c r="Q12" i="195"/>
  <c r="F12" i="195" s="1"/>
  <c r="Q11" i="195"/>
  <c r="Q10" i="195"/>
  <c r="Q9" i="195"/>
  <c r="F9" i="195" s="1"/>
  <c r="Q8" i="195"/>
  <c r="Q7" i="195"/>
  <c r="F7" i="195" s="1"/>
  <c r="Q6" i="195"/>
  <c r="F6" i="195" s="1"/>
  <c r="Q5" i="195"/>
  <c r="K16" i="195"/>
  <c r="K13" i="195"/>
  <c r="K10" i="195"/>
  <c r="K7" i="195"/>
  <c r="T19" i="194"/>
  <c r="I19" i="194" s="1"/>
  <c r="T18" i="194"/>
  <c r="I18" i="194" s="1"/>
  <c r="J30" i="194" s="1"/>
  <c r="F18" i="194"/>
  <c r="T17" i="194"/>
  <c r="I17" i="194" s="1"/>
  <c r="F17" i="194"/>
  <c r="K16" i="194"/>
  <c r="U16" i="194"/>
  <c r="M28" i="194" s="1"/>
  <c r="T16" i="194"/>
  <c r="I16" i="194" s="1"/>
  <c r="J28" i="194" s="1"/>
  <c r="F16" i="194"/>
  <c r="T15" i="194"/>
  <c r="I15" i="194" s="1"/>
  <c r="J27" i="194" s="1"/>
  <c r="F15" i="194"/>
  <c r="T14" i="194"/>
  <c r="I14" i="194" s="1"/>
  <c r="J26" i="194" s="1"/>
  <c r="F14" i="194"/>
  <c r="K13" i="194"/>
  <c r="U13" i="194"/>
  <c r="M25" i="194" s="1"/>
  <c r="T13" i="194"/>
  <c r="I13" i="194" s="1"/>
  <c r="J25" i="194" s="1"/>
  <c r="F13" i="194"/>
  <c r="T12" i="194"/>
  <c r="I12" i="194" s="1"/>
  <c r="J24" i="194" s="1"/>
  <c r="F12" i="194"/>
  <c r="T11" i="194"/>
  <c r="I11" i="194" s="1"/>
  <c r="J23" i="194" s="1"/>
  <c r="F11" i="194"/>
  <c r="K10" i="194"/>
  <c r="U10" i="194"/>
  <c r="M22" i="194" s="1"/>
  <c r="T10" i="194"/>
  <c r="I10" i="194" s="1"/>
  <c r="J22" i="194" s="1"/>
  <c r="F10" i="194"/>
  <c r="T9" i="194"/>
  <c r="I9" i="194" s="1"/>
  <c r="J21" i="194" s="1"/>
  <c r="F9" i="194"/>
  <c r="T8" i="194"/>
  <c r="I8" i="194" s="1"/>
  <c r="J20" i="194" s="1"/>
  <c r="F8" i="194"/>
  <c r="K7" i="194"/>
  <c r="U7" i="194"/>
  <c r="M19" i="194" s="1"/>
  <c r="T7" i="194"/>
  <c r="I7" i="194" s="1"/>
  <c r="F7" i="194"/>
  <c r="T6" i="194"/>
  <c r="I6" i="194" s="1"/>
  <c r="F6" i="194"/>
  <c r="T5" i="194"/>
  <c r="I5" i="194" s="1"/>
  <c r="F5" i="194"/>
  <c r="T19" i="193"/>
  <c r="I19" i="193" s="1"/>
  <c r="T18" i="193"/>
  <c r="I18" i="193" s="1"/>
  <c r="F18" i="193"/>
  <c r="T17" i="193"/>
  <c r="I17" i="193" s="1"/>
  <c r="F17" i="193"/>
  <c r="K16" i="193"/>
  <c r="U16" i="193"/>
  <c r="M28" i="193" s="1"/>
  <c r="T16" i="193"/>
  <c r="I16" i="193" s="1"/>
  <c r="J28" i="193" s="1"/>
  <c r="F16" i="193"/>
  <c r="T15" i="193"/>
  <c r="I15" i="193" s="1"/>
  <c r="J27" i="193" s="1"/>
  <c r="F15" i="193"/>
  <c r="T14" i="193"/>
  <c r="I14" i="193" s="1"/>
  <c r="J26" i="193" s="1"/>
  <c r="F14" i="193"/>
  <c r="K13" i="193"/>
  <c r="U13" i="193"/>
  <c r="T13" i="193"/>
  <c r="I13" i="193" s="1"/>
  <c r="J25" i="193" s="1"/>
  <c r="F13" i="193"/>
  <c r="T12" i="193"/>
  <c r="I12" i="193" s="1"/>
  <c r="J24" i="193" s="1"/>
  <c r="F12" i="193"/>
  <c r="T11" i="193"/>
  <c r="I11" i="193" s="1"/>
  <c r="J23" i="193" s="1"/>
  <c r="F11" i="193"/>
  <c r="K10" i="193"/>
  <c r="U10" i="193"/>
  <c r="T10" i="193"/>
  <c r="I10" i="193" s="1"/>
  <c r="J22" i="193" s="1"/>
  <c r="F10" i="193"/>
  <c r="T9" i="193"/>
  <c r="I9" i="193" s="1"/>
  <c r="J21" i="193" s="1"/>
  <c r="F9" i="193"/>
  <c r="T8" i="193"/>
  <c r="I8" i="193" s="1"/>
  <c r="J20" i="193" s="1"/>
  <c r="F8" i="193"/>
  <c r="K7" i="193"/>
  <c r="U7" i="193"/>
  <c r="M19" i="193" s="1"/>
  <c r="T7" i="193"/>
  <c r="I7" i="193" s="1"/>
  <c r="F7" i="193"/>
  <c r="T6" i="193"/>
  <c r="I6" i="193" s="1"/>
  <c r="F6" i="193"/>
  <c r="T5" i="193"/>
  <c r="I5" i="193" s="1"/>
  <c r="F5" i="193"/>
  <c r="J18" i="194" l="1"/>
  <c r="J17" i="194"/>
  <c r="J29" i="194"/>
  <c r="J18" i="193"/>
  <c r="J30" i="193"/>
  <c r="J31" i="193"/>
  <c r="J19" i="193"/>
  <c r="J29" i="193"/>
  <c r="J17" i="193"/>
  <c r="J19" i="194"/>
  <c r="J31" i="194"/>
  <c r="N7" i="193"/>
  <c r="N10" i="193"/>
  <c r="N13" i="193"/>
  <c r="M25" i="193"/>
  <c r="L13" i="193"/>
  <c r="L10" i="193"/>
  <c r="H30" i="191"/>
  <c r="H22" i="194"/>
  <c r="H25" i="194"/>
  <c r="H28" i="194"/>
  <c r="H24" i="195"/>
  <c r="H28" i="195"/>
  <c r="H25" i="193"/>
  <c r="H28" i="193"/>
  <c r="H27" i="195"/>
  <c r="H21" i="193"/>
  <c r="H24" i="193"/>
  <c r="H27" i="193"/>
  <c r="H21" i="195"/>
  <c r="H25" i="195"/>
  <c r="H30" i="195"/>
  <c r="H22" i="193"/>
  <c r="H21" i="194"/>
  <c r="H24" i="194"/>
  <c r="H27" i="194"/>
  <c r="H30" i="194"/>
  <c r="M22" i="193"/>
  <c r="G20" i="195"/>
  <c r="H31" i="195"/>
  <c r="E19" i="198"/>
  <c r="D22" i="198"/>
  <c r="D19" i="198"/>
  <c r="D13" i="200"/>
  <c r="E25" i="200"/>
  <c r="D16" i="196"/>
  <c r="E28" i="196"/>
  <c r="D10" i="197"/>
  <c r="E22" i="197"/>
  <c r="D13" i="197"/>
  <c r="E25" i="197"/>
  <c r="E19" i="200"/>
  <c r="D19" i="200"/>
  <c r="D22" i="200"/>
  <c r="D10" i="200"/>
  <c r="E22" i="200"/>
  <c r="D13" i="196"/>
  <c r="E25" i="196"/>
  <c r="D10" i="196"/>
  <c r="E22" i="196"/>
  <c r="D10" i="198"/>
  <c r="E22" i="198"/>
  <c r="D13" i="198"/>
  <c r="E25" i="198"/>
  <c r="D16" i="200"/>
  <c r="E28" i="200"/>
  <c r="E19" i="196"/>
  <c r="D19" i="196"/>
  <c r="D22" i="196"/>
  <c r="D16" i="197"/>
  <c r="E28" i="197"/>
  <c r="E19" i="197"/>
  <c r="D19" i="197"/>
  <c r="D22" i="197"/>
  <c r="D16" i="198"/>
  <c r="C16" i="195"/>
  <c r="O16" i="197"/>
  <c r="C7" i="193"/>
  <c r="C13" i="193"/>
  <c r="C16" i="193"/>
  <c r="C10" i="193"/>
  <c r="C16" i="194"/>
  <c r="H29" i="193"/>
  <c r="C19" i="193"/>
  <c r="E31" i="193" s="1"/>
  <c r="C7" i="194"/>
  <c r="C10" i="194"/>
  <c r="C13" i="194"/>
  <c r="H29" i="194"/>
  <c r="C19" i="194"/>
  <c r="E31" i="194" s="1"/>
  <c r="H29" i="191"/>
  <c r="C19" i="191"/>
  <c r="E31" i="191" s="1"/>
  <c r="G19" i="193"/>
  <c r="H30" i="193"/>
  <c r="O10" i="200"/>
  <c r="O13" i="200"/>
  <c r="O13" i="197"/>
  <c r="O10" i="197"/>
  <c r="O19" i="200"/>
  <c r="O16" i="200"/>
  <c r="O10" i="196"/>
  <c r="O13" i="196"/>
  <c r="O13" i="198"/>
  <c r="O16" i="196"/>
  <c r="N16" i="193"/>
  <c r="N19" i="193"/>
  <c r="O22" i="193" s="1"/>
  <c r="N7" i="194"/>
  <c r="N10" i="194"/>
  <c r="N13" i="194"/>
  <c r="N16" i="194"/>
  <c r="O19" i="196"/>
  <c r="O16" i="198"/>
  <c r="L16" i="193"/>
  <c r="L19" i="193"/>
  <c r="L10" i="194"/>
  <c r="L13" i="194"/>
  <c r="L16" i="194"/>
  <c r="L19" i="194"/>
  <c r="N19" i="194"/>
  <c r="O22" i="194" s="1"/>
  <c r="O10" i="198"/>
  <c r="O19" i="198"/>
  <c r="O19" i="197"/>
  <c r="H20" i="193"/>
  <c r="H23" i="193"/>
  <c r="H26" i="193"/>
  <c r="H26" i="195"/>
  <c r="H17" i="194"/>
  <c r="H20" i="194"/>
  <c r="H23" i="194"/>
  <c r="H26" i="194"/>
  <c r="T7" i="195"/>
  <c r="I7" i="195" s="1"/>
  <c r="T15" i="195"/>
  <c r="I15" i="195" s="1"/>
  <c r="J27" i="195" s="1"/>
  <c r="T11" i="195"/>
  <c r="I11" i="195" s="1"/>
  <c r="J23" i="195" s="1"/>
  <c r="T12" i="195"/>
  <c r="I12" i="195" s="1"/>
  <c r="J24" i="195" s="1"/>
  <c r="G7" i="194"/>
  <c r="U7" i="195"/>
  <c r="U19" i="195"/>
  <c r="T6" i="195"/>
  <c r="I6" i="195" s="1"/>
  <c r="T10" i="195"/>
  <c r="I10" i="195" s="1"/>
  <c r="J22" i="195" s="1"/>
  <c r="H18" i="194"/>
  <c r="U13" i="195"/>
  <c r="M25" i="195" s="1"/>
  <c r="K19" i="195"/>
  <c r="T18" i="195"/>
  <c r="I18" i="195" s="1"/>
  <c r="G16" i="195"/>
  <c r="T13" i="195"/>
  <c r="I13" i="195" s="1"/>
  <c r="J25" i="195" s="1"/>
  <c r="F10" i="195"/>
  <c r="U16" i="195"/>
  <c r="M28" i="195" s="1"/>
  <c r="U10" i="195"/>
  <c r="M22" i="195" s="1"/>
  <c r="T17" i="195"/>
  <c r="I17" i="195" s="1"/>
  <c r="F8" i="195"/>
  <c r="T9" i="195"/>
  <c r="I9" i="195" s="1"/>
  <c r="J21" i="195" s="1"/>
  <c r="G15" i="195"/>
  <c r="T16" i="195"/>
  <c r="I16" i="195" s="1"/>
  <c r="J28" i="195" s="1"/>
  <c r="F5" i="195"/>
  <c r="T8" i="195"/>
  <c r="I8" i="195" s="1"/>
  <c r="J20" i="195" s="1"/>
  <c r="F11" i="195"/>
  <c r="H18" i="195"/>
  <c r="T14" i="195"/>
  <c r="I14" i="195" s="1"/>
  <c r="J26" i="195" s="1"/>
  <c r="F17" i="195"/>
  <c r="T19" i="195"/>
  <c r="I19" i="195" s="1"/>
  <c r="J31" i="195" s="1"/>
  <c r="G19" i="191"/>
  <c r="B16" i="195"/>
  <c r="H19" i="195"/>
  <c r="G13" i="195"/>
  <c r="G7" i="195"/>
  <c r="T5" i="195"/>
  <c r="I5" i="195" s="1"/>
  <c r="G19" i="195"/>
  <c r="G14" i="195"/>
  <c r="G17" i="194"/>
  <c r="G6" i="194"/>
  <c r="G15" i="194"/>
  <c r="B13" i="194"/>
  <c r="G8" i="194"/>
  <c r="B7" i="194"/>
  <c r="G10" i="194"/>
  <c r="G12" i="194"/>
  <c r="G14" i="194"/>
  <c r="H19" i="194"/>
  <c r="G9" i="194"/>
  <c r="G13" i="194"/>
  <c r="G16" i="194"/>
  <c r="B19" i="194"/>
  <c r="B10" i="194"/>
  <c r="G11" i="194"/>
  <c r="B16" i="194"/>
  <c r="G18" i="194"/>
  <c r="G19" i="194"/>
  <c r="G18" i="193"/>
  <c r="G17" i="193"/>
  <c r="G7" i="193"/>
  <c r="G10" i="193"/>
  <c r="G12" i="193"/>
  <c r="G15" i="193"/>
  <c r="G9" i="193"/>
  <c r="B13" i="193"/>
  <c r="G16" i="193"/>
  <c r="B7" i="193"/>
  <c r="H19" i="193"/>
  <c r="G8" i="193"/>
  <c r="G13" i="193"/>
  <c r="G6" i="193"/>
  <c r="H17" i="193"/>
  <c r="B19" i="193"/>
  <c r="H18" i="193"/>
  <c r="G11" i="193"/>
  <c r="B16" i="193"/>
  <c r="G14" i="193"/>
  <c r="B10" i="193"/>
  <c r="O10" i="193" l="1"/>
  <c r="J19" i="195"/>
  <c r="J18" i="195"/>
  <c r="J30" i="195"/>
  <c r="J29" i="195"/>
  <c r="J17" i="195"/>
  <c r="O13" i="193"/>
  <c r="C7" i="195"/>
  <c r="C13" i="195"/>
  <c r="E25" i="195" s="1"/>
  <c r="L22" i="195"/>
  <c r="M31" i="195"/>
  <c r="D10" i="194"/>
  <c r="E22" i="194"/>
  <c r="D16" i="194"/>
  <c r="E28" i="194"/>
  <c r="E19" i="194"/>
  <c r="D19" i="194"/>
  <c r="D22" i="194"/>
  <c r="D10" i="193"/>
  <c r="E22" i="193"/>
  <c r="E19" i="193"/>
  <c r="D19" i="193"/>
  <c r="D22" i="193"/>
  <c r="D16" i="193"/>
  <c r="E28" i="193"/>
  <c r="E28" i="195"/>
  <c r="D22" i="191"/>
  <c r="D13" i="194"/>
  <c r="E25" i="194"/>
  <c r="D13" i="193"/>
  <c r="E25" i="193"/>
  <c r="C10" i="195"/>
  <c r="H29" i="195"/>
  <c r="C19" i="195"/>
  <c r="E31" i="195" s="1"/>
  <c r="O13" i="194"/>
  <c r="O16" i="193"/>
  <c r="O10" i="194"/>
  <c r="O16" i="194"/>
  <c r="O19" i="193"/>
  <c r="N10" i="195"/>
  <c r="N7" i="195"/>
  <c r="L10" i="195"/>
  <c r="L13" i="195"/>
  <c r="L16" i="195"/>
  <c r="N13" i="195"/>
  <c r="N16" i="195"/>
  <c r="M19" i="195"/>
  <c r="L19" i="195"/>
  <c r="N19" i="195"/>
  <c r="O22" i="195" s="1"/>
  <c r="O19" i="194"/>
  <c r="B7" i="195"/>
  <c r="G17" i="195"/>
  <c r="B13" i="195"/>
  <c r="H23" i="195"/>
  <c r="G10" i="195"/>
  <c r="H22" i="195"/>
  <c r="B10" i="195"/>
  <c r="G11" i="195"/>
  <c r="G18" i="195"/>
  <c r="G8" i="195"/>
  <c r="H20" i="195"/>
  <c r="G6" i="195"/>
  <c r="B19" i="195"/>
  <c r="G12" i="195"/>
  <c r="G9" i="195"/>
  <c r="H17" i="195"/>
  <c r="D16" i="195" l="1"/>
  <c r="D13" i="195"/>
  <c r="E19" i="195"/>
  <c r="D19" i="195"/>
  <c r="D22" i="195"/>
  <c r="D10" i="195"/>
  <c r="E22" i="195"/>
  <c r="O10" i="195"/>
  <c r="O13" i="195"/>
  <c r="O16" i="195"/>
  <c r="O19" i="195"/>
  <c r="T19" i="192"/>
  <c r="I19" i="192" s="1"/>
  <c r="T18" i="192"/>
  <c r="I18" i="192" s="1"/>
  <c r="F18" i="192"/>
  <c r="T17" i="192"/>
  <c r="I17" i="192" s="1"/>
  <c r="F17" i="192"/>
  <c r="K16" i="192"/>
  <c r="U16" i="192"/>
  <c r="M28" i="192" s="1"/>
  <c r="T16" i="192"/>
  <c r="I16" i="192" s="1"/>
  <c r="J28" i="192" s="1"/>
  <c r="F16" i="192"/>
  <c r="T15" i="192"/>
  <c r="I15" i="192" s="1"/>
  <c r="J27" i="192" s="1"/>
  <c r="F15" i="192"/>
  <c r="T14" i="192"/>
  <c r="I14" i="192" s="1"/>
  <c r="J26" i="192" s="1"/>
  <c r="F14" i="192"/>
  <c r="K13" i="192"/>
  <c r="U13" i="192"/>
  <c r="M25" i="192" s="1"/>
  <c r="T13" i="192"/>
  <c r="I13" i="192" s="1"/>
  <c r="J25" i="192" s="1"/>
  <c r="F13" i="192"/>
  <c r="T12" i="192"/>
  <c r="I12" i="192" s="1"/>
  <c r="J24" i="192" s="1"/>
  <c r="F12" i="192"/>
  <c r="T11" i="192"/>
  <c r="I11" i="192" s="1"/>
  <c r="J23" i="192" s="1"/>
  <c r="F11" i="192"/>
  <c r="K10" i="192"/>
  <c r="U10" i="192"/>
  <c r="M22" i="192" s="1"/>
  <c r="T10" i="192"/>
  <c r="I10" i="192" s="1"/>
  <c r="J22" i="192" s="1"/>
  <c r="F10" i="192"/>
  <c r="T9" i="192"/>
  <c r="I9" i="192" s="1"/>
  <c r="J21" i="192" s="1"/>
  <c r="F9" i="192"/>
  <c r="T8" i="192"/>
  <c r="I8" i="192" s="1"/>
  <c r="J20" i="192" s="1"/>
  <c r="F8" i="192"/>
  <c r="K7" i="192"/>
  <c r="U7" i="192"/>
  <c r="M19" i="192" s="1"/>
  <c r="T7" i="192"/>
  <c r="I7" i="192" s="1"/>
  <c r="F7" i="192"/>
  <c r="T6" i="192"/>
  <c r="I6" i="192" s="1"/>
  <c r="F6" i="192"/>
  <c r="T5" i="192"/>
  <c r="I5" i="192" s="1"/>
  <c r="F5" i="192"/>
  <c r="T19" i="191"/>
  <c r="I19" i="191" s="1"/>
  <c r="T18" i="191"/>
  <c r="I18" i="191" s="1"/>
  <c r="J30" i="191" s="1"/>
  <c r="T17" i="191"/>
  <c r="I17" i="191" s="1"/>
  <c r="B19" i="191"/>
  <c r="K16" i="191"/>
  <c r="U16" i="191"/>
  <c r="M28" i="191" s="1"/>
  <c r="T16" i="191"/>
  <c r="I16" i="191" s="1"/>
  <c r="J28" i="191" s="1"/>
  <c r="F16" i="191"/>
  <c r="T15" i="191"/>
  <c r="I15" i="191" s="1"/>
  <c r="J27" i="191" s="1"/>
  <c r="F15" i="191"/>
  <c r="T14" i="191"/>
  <c r="I14" i="191" s="1"/>
  <c r="J26" i="191" s="1"/>
  <c r="F14" i="191"/>
  <c r="K13" i="191"/>
  <c r="U13" i="191"/>
  <c r="M25" i="191" s="1"/>
  <c r="T13" i="191"/>
  <c r="I13" i="191" s="1"/>
  <c r="J25" i="191" s="1"/>
  <c r="F13" i="191"/>
  <c r="T12" i="191"/>
  <c r="I12" i="191" s="1"/>
  <c r="J24" i="191" s="1"/>
  <c r="F12" i="191"/>
  <c r="T11" i="191"/>
  <c r="I11" i="191" s="1"/>
  <c r="J23" i="191" s="1"/>
  <c r="F11" i="191"/>
  <c r="K10" i="191"/>
  <c r="U10" i="191"/>
  <c r="M22" i="191" s="1"/>
  <c r="T10" i="191"/>
  <c r="I10" i="191" s="1"/>
  <c r="J22" i="191" s="1"/>
  <c r="F10" i="191"/>
  <c r="T9" i="191"/>
  <c r="I9" i="191" s="1"/>
  <c r="J21" i="191" s="1"/>
  <c r="T8" i="191"/>
  <c r="I8" i="191" s="1"/>
  <c r="J20" i="191" s="1"/>
  <c r="F8" i="191"/>
  <c r="U7" i="191"/>
  <c r="M19" i="191" s="1"/>
  <c r="T7" i="191"/>
  <c r="I7" i="191" s="1"/>
  <c r="F7" i="191"/>
  <c r="T6" i="191"/>
  <c r="I6" i="191" s="1"/>
  <c r="F6" i="191"/>
  <c r="T5" i="191"/>
  <c r="I5" i="191" s="1"/>
  <c r="F5" i="191"/>
  <c r="J18" i="191" l="1"/>
  <c r="J17" i="191"/>
  <c r="J29" i="191"/>
  <c r="J19" i="192"/>
  <c r="J31" i="192"/>
  <c r="J17" i="192"/>
  <c r="J29" i="192"/>
  <c r="J19" i="191"/>
  <c r="J31" i="191"/>
  <c r="J18" i="192"/>
  <c r="J30" i="192"/>
  <c r="H28" i="191"/>
  <c r="H22" i="192"/>
  <c r="H25" i="192"/>
  <c r="H28" i="192"/>
  <c r="H25" i="191"/>
  <c r="H24" i="191"/>
  <c r="H27" i="191"/>
  <c r="H21" i="192"/>
  <c r="H24" i="192"/>
  <c r="H27" i="192"/>
  <c r="H30" i="192"/>
  <c r="C7" i="191"/>
  <c r="E19" i="191" s="1"/>
  <c r="C13" i="191"/>
  <c r="C16" i="191"/>
  <c r="C10" i="192"/>
  <c r="C13" i="192"/>
  <c r="C10" i="191"/>
  <c r="C7" i="192"/>
  <c r="C16" i="192"/>
  <c r="H29" i="192"/>
  <c r="C19" i="192"/>
  <c r="E31" i="192" s="1"/>
  <c r="N7" i="192"/>
  <c r="N10" i="192"/>
  <c r="N13" i="192"/>
  <c r="N16" i="192"/>
  <c r="N13" i="191"/>
  <c r="N16" i="191"/>
  <c r="N19" i="191"/>
  <c r="O22" i="191" s="1"/>
  <c r="L10" i="192"/>
  <c r="L13" i="192"/>
  <c r="L16" i="192"/>
  <c r="L19" i="192"/>
  <c r="N19" i="192"/>
  <c r="O22" i="192" s="1"/>
  <c r="N7" i="191"/>
  <c r="N10" i="191"/>
  <c r="L10" i="191"/>
  <c r="L13" i="191"/>
  <c r="L16" i="191"/>
  <c r="L19" i="191"/>
  <c r="H20" i="192"/>
  <c r="H23" i="192"/>
  <c r="H26" i="192"/>
  <c r="H23" i="191"/>
  <c r="H26" i="191"/>
  <c r="H20" i="191"/>
  <c r="B7" i="192"/>
  <c r="G15" i="192"/>
  <c r="G10" i="191"/>
  <c r="H22" i="191"/>
  <c r="G9" i="191"/>
  <c r="G12" i="191"/>
  <c r="B7" i="191"/>
  <c r="G16" i="191"/>
  <c r="G11" i="192"/>
  <c r="B19" i="192"/>
  <c r="G7" i="192"/>
  <c r="G16" i="192"/>
  <c r="G9" i="192"/>
  <c r="G14" i="192"/>
  <c r="G14" i="191"/>
  <c r="H18" i="192"/>
  <c r="G10" i="192"/>
  <c r="G6" i="192"/>
  <c r="H19" i="192"/>
  <c r="G12" i="192"/>
  <c r="G8" i="192"/>
  <c r="G13" i="192"/>
  <c r="B10" i="192"/>
  <c r="B13" i="192"/>
  <c r="B16" i="192"/>
  <c r="G18" i="192"/>
  <c r="G19" i="192"/>
  <c r="G17" i="192"/>
  <c r="H17" i="192"/>
  <c r="G15" i="191"/>
  <c r="G7" i="191"/>
  <c r="G11" i="191"/>
  <c r="H18" i="191"/>
  <c r="G6" i="191"/>
  <c r="H19" i="191"/>
  <c r="G8" i="191"/>
  <c r="G13" i="191"/>
  <c r="B10" i="191"/>
  <c r="B13" i="191"/>
  <c r="B16" i="191"/>
  <c r="G18" i="191"/>
  <c r="G17" i="191"/>
  <c r="H17" i="191"/>
  <c r="D10" i="192" l="1"/>
  <c r="E22" i="192"/>
  <c r="D16" i="191"/>
  <c r="E28" i="191"/>
  <c r="D19" i="191"/>
  <c r="D16" i="192"/>
  <c r="E28" i="192"/>
  <c r="E19" i="192"/>
  <c r="D19" i="192"/>
  <c r="D22" i="192"/>
  <c r="D10" i="191"/>
  <c r="E22" i="191"/>
  <c r="D13" i="191"/>
  <c r="E25" i="191"/>
  <c r="D13" i="192"/>
  <c r="E25" i="192"/>
  <c r="O16" i="192"/>
  <c r="O10" i="192"/>
  <c r="O16" i="191"/>
  <c r="O13" i="192"/>
  <c r="O10" i="191"/>
  <c r="O19" i="191"/>
  <c r="O19" i="192"/>
  <c r="O13" i="191"/>
  <c r="F19" i="152" l="1"/>
  <c r="G20" i="152" l="1"/>
  <c r="H31" i="152"/>
  <c r="T19" i="190"/>
  <c r="I19" i="190" s="1"/>
  <c r="T18" i="190"/>
  <c r="I18" i="190" s="1"/>
  <c r="J30" i="190" s="1"/>
  <c r="F18" i="190"/>
  <c r="T17" i="190"/>
  <c r="I17" i="190" s="1"/>
  <c r="F17" i="190"/>
  <c r="K16" i="190"/>
  <c r="U16" i="190"/>
  <c r="M28" i="190" s="1"/>
  <c r="T16" i="190"/>
  <c r="I16" i="190" s="1"/>
  <c r="J28" i="190" s="1"/>
  <c r="F16" i="190"/>
  <c r="T15" i="190"/>
  <c r="I15" i="190" s="1"/>
  <c r="J27" i="190" s="1"/>
  <c r="F15" i="190"/>
  <c r="T14" i="190"/>
  <c r="I14" i="190" s="1"/>
  <c r="J26" i="190" s="1"/>
  <c r="F14" i="190"/>
  <c r="K13" i="190"/>
  <c r="U13" i="190"/>
  <c r="M25" i="190" s="1"/>
  <c r="T13" i="190"/>
  <c r="I13" i="190" s="1"/>
  <c r="J25" i="190" s="1"/>
  <c r="F13" i="190"/>
  <c r="T12" i="190"/>
  <c r="I12" i="190" s="1"/>
  <c r="J24" i="190" s="1"/>
  <c r="F12" i="190"/>
  <c r="T11" i="190"/>
  <c r="I11" i="190" s="1"/>
  <c r="J23" i="190" s="1"/>
  <c r="F11" i="190"/>
  <c r="K10" i="190"/>
  <c r="U10" i="190"/>
  <c r="M22" i="190" s="1"/>
  <c r="T10" i="190"/>
  <c r="I10" i="190" s="1"/>
  <c r="J22" i="190" s="1"/>
  <c r="F10" i="190"/>
  <c r="T9" i="190"/>
  <c r="I9" i="190" s="1"/>
  <c r="J21" i="190" s="1"/>
  <c r="F9" i="190"/>
  <c r="T8" i="190"/>
  <c r="I8" i="190" s="1"/>
  <c r="J20" i="190" s="1"/>
  <c r="F8" i="190"/>
  <c r="L7" i="190"/>
  <c r="K7" i="190"/>
  <c r="U7" i="190"/>
  <c r="M19" i="190" s="1"/>
  <c r="T7" i="190"/>
  <c r="I7" i="190" s="1"/>
  <c r="F7" i="190"/>
  <c r="T6" i="190"/>
  <c r="I6" i="190" s="1"/>
  <c r="F6" i="190"/>
  <c r="T5" i="190"/>
  <c r="I5" i="190" s="1"/>
  <c r="F5" i="190"/>
  <c r="J17" i="190" l="1"/>
  <c r="J29" i="190"/>
  <c r="J19" i="190"/>
  <c r="J31" i="190"/>
  <c r="J18" i="190"/>
  <c r="H22" i="190"/>
  <c r="H25" i="190"/>
  <c r="H28" i="190"/>
  <c r="H21" i="190"/>
  <c r="H24" i="190"/>
  <c r="H27" i="190"/>
  <c r="H30" i="190"/>
  <c r="H19" i="190"/>
  <c r="C7" i="190"/>
  <c r="C10" i="190"/>
  <c r="C13" i="190"/>
  <c r="C16" i="190"/>
  <c r="H29" i="190"/>
  <c r="C19" i="190"/>
  <c r="E31" i="190" s="1"/>
  <c r="N13" i="190"/>
  <c r="N16" i="190"/>
  <c r="N19" i="190"/>
  <c r="N10" i="190"/>
  <c r="L10" i="190"/>
  <c r="L13" i="190"/>
  <c r="L16" i="190"/>
  <c r="L19" i="190"/>
  <c r="N7" i="190"/>
  <c r="H20" i="190"/>
  <c r="H23" i="190"/>
  <c r="H26" i="190"/>
  <c r="G11" i="190"/>
  <c r="B19" i="190"/>
  <c r="G17" i="190"/>
  <c r="G19" i="190"/>
  <c r="G7" i="190"/>
  <c r="G9" i="190"/>
  <c r="B13" i="190"/>
  <c r="G15" i="190"/>
  <c r="G16" i="190"/>
  <c r="B7" i="190"/>
  <c r="G8" i="190"/>
  <c r="G13" i="190"/>
  <c r="B16" i="190"/>
  <c r="H18" i="190"/>
  <c r="G12" i="190"/>
  <c r="H17" i="190"/>
  <c r="G6" i="190"/>
  <c r="B10" i="190"/>
  <c r="G18" i="190"/>
  <c r="G10" i="190"/>
  <c r="G14" i="190"/>
  <c r="D13" i="190" l="1"/>
  <c r="E25" i="190"/>
  <c r="E19" i="190"/>
  <c r="D19" i="190"/>
  <c r="D22" i="190"/>
  <c r="D10" i="190"/>
  <c r="E22" i="190"/>
  <c r="D16" i="190"/>
  <c r="E28" i="190"/>
  <c r="O19" i="190"/>
  <c r="O22" i="190"/>
  <c r="O16" i="190"/>
  <c r="O13" i="190"/>
  <c r="O10" i="190"/>
  <c r="I19" i="187"/>
  <c r="I18" i="187"/>
  <c r="I17" i="187"/>
  <c r="I18" i="78"/>
  <c r="C18" i="78"/>
  <c r="D19" i="78" s="1"/>
  <c r="I18" i="119"/>
  <c r="C18" i="119"/>
  <c r="D19" i="119" s="1"/>
  <c r="J29" i="187" l="1"/>
  <c r="J30" i="187"/>
  <c r="J31" i="187"/>
  <c r="F19" i="170"/>
  <c r="S19" i="186"/>
  <c r="R19" i="186"/>
  <c r="Q19" i="186"/>
  <c r="F19" i="186" s="1"/>
  <c r="R19" i="149"/>
  <c r="Q19" i="149"/>
  <c r="F19" i="149" s="1"/>
  <c r="F19" i="142"/>
  <c r="S19" i="144"/>
  <c r="R19" i="144"/>
  <c r="Q19" i="144"/>
  <c r="F19" i="144" s="1"/>
  <c r="F19" i="185"/>
  <c r="T19" i="2"/>
  <c r="I19" i="2" s="1"/>
  <c r="T19" i="12"/>
  <c r="I19" i="12" s="1"/>
  <c r="T19" i="102"/>
  <c r="I19" i="102" s="1"/>
  <c r="J31" i="102" s="1"/>
  <c r="T19" i="104"/>
  <c r="I19" i="104" s="1"/>
  <c r="T19" i="32"/>
  <c r="I19" i="32" s="1"/>
  <c r="T19" i="19"/>
  <c r="I19" i="19" s="1"/>
  <c r="T19" i="46"/>
  <c r="I19" i="46" s="1"/>
  <c r="T19" i="47"/>
  <c r="I19" i="47" s="1"/>
  <c r="T19" i="87"/>
  <c r="I19" i="87" s="1"/>
  <c r="J31" i="87" s="1"/>
  <c r="T19" i="34"/>
  <c r="I19" i="34" s="1"/>
  <c r="J31" i="34" s="1"/>
  <c r="T19" i="9"/>
  <c r="I19" i="9" s="1"/>
  <c r="T19" i="113"/>
  <c r="I19" i="113" s="1"/>
  <c r="T19" i="140"/>
  <c r="I19" i="140" s="1"/>
  <c r="T19" i="107"/>
  <c r="I19" i="107" s="1"/>
  <c r="J31" i="107" s="1"/>
  <c r="T19" i="181"/>
  <c r="I19" i="181" s="1"/>
  <c r="T19" i="183"/>
  <c r="I19" i="183" s="1"/>
  <c r="T19" i="184"/>
  <c r="I19" i="184" s="1"/>
  <c r="T19" i="33"/>
  <c r="I19" i="33" s="1"/>
  <c r="T19" i="97"/>
  <c r="I19" i="97" s="1"/>
  <c r="T19" i="162"/>
  <c r="I19" i="162" s="1"/>
  <c r="T19" i="164"/>
  <c r="I19" i="164" s="1"/>
  <c r="T19" i="52"/>
  <c r="I19" i="52" s="1"/>
  <c r="J31" i="52" s="1"/>
  <c r="T19" i="18"/>
  <c r="I19" i="18" s="1"/>
  <c r="T19" i="20"/>
  <c r="I19" i="20" s="1"/>
  <c r="T19" i="23"/>
  <c r="I19" i="23" s="1"/>
  <c r="T19" i="75"/>
  <c r="I19" i="75" s="1"/>
  <c r="T19" i="174"/>
  <c r="I19" i="174" s="1"/>
  <c r="L19" i="175"/>
  <c r="T19" i="176"/>
  <c r="I19" i="176" s="1"/>
  <c r="T19" i="27"/>
  <c r="I19" i="27" s="1"/>
  <c r="J31" i="27" s="1"/>
  <c r="T19" i="143"/>
  <c r="I19" i="143" s="1"/>
  <c r="T19" i="88"/>
  <c r="I19" i="88" s="1"/>
  <c r="T19" i="148"/>
  <c r="I19" i="148" s="1"/>
  <c r="T19" i="89"/>
  <c r="I19" i="89" s="1"/>
  <c r="T19" i="112"/>
  <c r="I19" i="112" s="1"/>
  <c r="T19" i="74"/>
  <c r="I19" i="74" s="1"/>
  <c r="T19" i="25"/>
  <c r="I19" i="25" s="1"/>
  <c r="T19" i="103"/>
  <c r="I19" i="103" s="1"/>
  <c r="T19" i="159"/>
  <c r="I19" i="159" s="1"/>
  <c r="T19" i="160"/>
  <c r="I19" i="160" s="1"/>
  <c r="T19" i="37"/>
  <c r="I19" i="37" s="1"/>
  <c r="T19" i="4"/>
  <c r="I19" i="4" s="1"/>
  <c r="T19" i="101"/>
  <c r="I19" i="101" s="1"/>
  <c r="J31" i="101" s="1"/>
  <c r="T19" i="31"/>
  <c r="I19" i="31" s="1"/>
  <c r="T19" i="17"/>
  <c r="I19" i="17" s="1"/>
  <c r="J31" i="17" s="1"/>
  <c r="T19" i="152"/>
  <c r="I19" i="152" s="1"/>
  <c r="T19" i="13"/>
  <c r="I19" i="13" s="1"/>
  <c r="T19" i="153"/>
  <c r="I19" i="153" s="1"/>
  <c r="T19" i="53"/>
  <c r="I19" i="53" s="1"/>
  <c r="T19" i="16"/>
  <c r="I19" i="16" s="1"/>
  <c r="T19" i="22"/>
  <c r="I19" i="22" s="1"/>
  <c r="J31" i="22" s="1"/>
  <c r="T19" i="61"/>
  <c r="I19" i="61" s="1"/>
  <c r="J31" i="61" s="1"/>
  <c r="T19" i="105"/>
  <c r="I19" i="105" s="1"/>
  <c r="T19" i="3"/>
  <c r="I19" i="3" s="1"/>
  <c r="T19" i="11"/>
  <c r="I19" i="11" s="1"/>
  <c r="T19" i="7"/>
  <c r="I19" i="7" s="1"/>
  <c r="T19" i="1"/>
  <c r="I19" i="1" s="1"/>
  <c r="T19" i="24"/>
  <c r="I19" i="24" s="1"/>
  <c r="J31" i="24" s="1"/>
  <c r="T19" i="43"/>
  <c r="I19" i="43" s="1"/>
  <c r="J31" i="43" s="1"/>
  <c r="T19" i="109"/>
  <c r="I19" i="109" s="1"/>
  <c r="T19" i="48"/>
  <c r="I19" i="48" s="1"/>
  <c r="T19" i="5"/>
  <c r="I19" i="5" s="1"/>
  <c r="T19" i="135"/>
  <c r="I19" i="135" s="1"/>
  <c r="T19" i="54"/>
  <c r="I19" i="54" s="1"/>
  <c r="T19" i="21"/>
  <c r="I19" i="21" s="1"/>
  <c r="S19" i="44"/>
  <c r="T19" i="116"/>
  <c r="I19" i="116" s="1"/>
  <c r="T19" i="114"/>
  <c r="I19" i="114" s="1"/>
  <c r="T19" i="45"/>
  <c r="I19" i="45" s="1"/>
  <c r="T19" i="28"/>
  <c r="I19" i="28" s="1"/>
  <c r="T19" i="29"/>
  <c r="I19" i="29" s="1"/>
  <c r="T19" i="85"/>
  <c r="I19" i="85" s="1"/>
  <c r="T19" i="169"/>
  <c r="I19" i="169" s="1"/>
  <c r="T19" i="168"/>
  <c r="I19" i="168" s="1"/>
  <c r="T19" i="8"/>
  <c r="I19" i="8" s="1"/>
  <c r="J31" i="29" l="1"/>
  <c r="J31" i="105"/>
  <c r="J31" i="112"/>
  <c r="J31" i="184"/>
  <c r="J31" i="28"/>
  <c r="J31" i="54"/>
  <c r="J31" i="152"/>
  <c r="J31" i="104"/>
  <c r="J31" i="45"/>
  <c r="J31" i="1"/>
  <c r="J31" i="174"/>
  <c r="J31" i="85"/>
  <c r="J31" i="109"/>
  <c r="J31" i="3"/>
  <c r="J31" i="153"/>
  <c r="J31" i="4"/>
  <c r="J31" i="74"/>
  <c r="J31" i="20"/>
  <c r="J31" i="33"/>
  <c r="J31" i="113"/>
  <c r="J31" i="19"/>
  <c r="J31" i="37"/>
  <c r="J31" i="18"/>
  <c r="J31" i="32"/>
  <c r="J31" i="89"/>
  <c r="J31" i="135"/>
  <c r="J31" i="148"/>
  <c r="J31" i="181"/>
  <c r="J31" i="168"/>
  <c r="J31" i="114"/>
  <c r="J31" i="5"/>
  <c r="J31" i="7"/>
  <c r="J31" i="16"/>
  <c r="J31" i="31"/>
  <c r="J31" i="103"/>
  <c r="J31" i="88"/>
  <c r="J31" i="75"/>
  <c r="J31" i="162"/>
  <c r="J31" i="47"/>
  <c r="J31" i="12"/>
  <c r="J31" i="21"/>
  <c r="J31" i="13"/>
  <c r="J31" i="176"/>
  <c r="J31" i="9"/>
  <c r="J31" i="160"/>
  <c r="J31" i="183"/>
  <c r="J31" i="8"/>
  <c r="J31" i="159"/>
  <c r="J31" i="164"/>
  <c r="J31" i="169"/>
  <c r="J31" i="116"/>
  <c r="J31" i="48"/>
  <c r="J31" i="11"/>
  <c r="J31" i="53"/>
  <c r="J31" i="25"/>
  <c r="J31" i="143"/>
  <c r="J31" i="23"/>
  <c r="J31" i="97"/>
  <c r="J31" i="140"/>
  <c r="J31" i="46"/>
  <c r="J31" i="2"/>
  <c r="H31" i="170"/>
  <c r="G20" i="185"/>
  <c r="H31" i="185"/>
  <c r="G20" i="142"/>
  <c r="H31" i="142"/>
  <c r="G20" i="144"/>
  <c r="H31" i="144"/>
  <c r="G20" i="149"/>
  <c r="H31" i="149"/>
  <c r="G20" i="170"/>
  <c r="G20" i="186"/>
  <c r="H31" i="186"/>
  <c r="T19" i="185"/>
  <c r="I19" i="185" s="1"/>
  <c r="T19" i="149"/>
  <c r="I19" i="149" s="1"/>
  <c r="J31" i="149" s="1"/>
  <c r="T19" i="170"/>
  <c r="I19" i="170" s="1"/>
  <c r="T19" i="144"/>
  <c r="I19" i="144" s="1"/>
  <c r="T19" i="186"/>
  <c r="I19" i="186" s="1"/>
  <c r="T19" i="142"/>
  <c r="I19" i="142" s="1"/>
  <c r="G19" i="4"/>
  <c r="J31" i="170" l="1"/>
  <c r="J31" i="144"/>
  <c r="J31" i="185"/>
  <c r="J31" i="142"/>
  <c r="J31" i="186"/>
  <c r="T7" i="5"/>
  <c r="I7" i="5" s="1"/>
  <c r="J19" i="5" s="1"/>
  <c r="F18" i="187" l="1"/>
  <c r="F17" i="187"/>
  <c r="I16" i="187"/>
  <c r="J28" i="187" s="1"/>
  <c r="F16" i="187"/>
  <c r="I15" i="187"/>
  <c r="J27" i="187" s="1"/>
  <c r="F15" i="187"/>
  <c r="I14" i="187"/>
  <c r="J26" i="187" s="1"/>
  <c r="F14" i="187"/>
  <c r="I13" i="187"/>
  <c r="J25" i="187" s="1"/>
  <c r="F13" i="187"/>
  <c r="I12" i="187"/>
  <c r="J24" i="187" s="1"/>
  <c r="F12" i="187"/>
  <c r="I11" i="187"/>
  <c r="J23" i="187" s="1"/>
  <c r="F11" i="187"/>
  <c r="I10" i="187"/>
  <c r="J22" i="187" s="1"/>
  <c r="F10" i="187"/>
  <c r="I9" i="187"/>
  <c r="J21" i="187" s="1"/>
  <c r="F9" i="187"/>
  <c r="I8" i="187"/>
  <c r="J20" i="187" s="1"/>
  <c r="F8" i="187"/>
  <c r="I7" i="187"/>
  <c r="J19" i="187" s="1"/>
  <c r="F7" i="187"/>
  <c r="I6" i="187"/>
  <c r="J18" i="187" s="1"/>
  <c r="F6" i="187"/>
  <c r="I5" i="187"/>
  <c r="J17" i="187" s="1"/>
  <c r="F5" i="187"/>
  <c r="H22" i="187" l="1"/>
  <c r="H27" i="187"/>
  <c r="H25" i="187"/>
  <c r="H19" i="187"/>
  <c r="H24" i="187"/>
  <c r="H21" i="187"/>
  <c r="H28" i="187"/>
  <c r="C10" i="187"/>
  <c r="C13" i="187"/>
  <c r="C7" i="187"/>
  <c r="C16" i="187"/>
  <c r="H29" i="187"/>
  <c r="C19" i="187"/>
  <c r="E31" i="187" s="1"/>
  <c r="G19" i="187"/>
  <c r="H30" i="187"/>
  <c r="H20" i="187"/>
  <c r="H23" i="187"/>
  <c r="H26" i="187"/>
  <c r="G13" i="187"/>
  <c r="G17" i="187"/>
  <c r="B16" i="187"/>
  <c r="G15" i="187"/>
  <c r="G11" i="187"/>
  <c r="G10" i="187"/>
  <c r="B10" i="187"/>
  <c r="G12" i="187"/>
  <c r="G8" i="187"/>
  <c r="G7" i="187"/>
  <c r="B7" i="187"/>
  <c r="H18" i="187"/>
  <c r="B19" i="187"/>
  <c r="B13" i="187"/>
  <c r="G18" i="187"/>
  <c r="G14" i="187"/>
  <c r="G6" i="187"/>
  <c r="G9" i="187"/>
  <c r="G16" i="187"/>
  <c r="H17" i="187"/>
  <c r="B19" i="4"/>
  <c r="S18" i="186"/>
  <c r="R18" i="186"/>
  <c r="S17" i="186"/>
  <c r="R17" i="186"/>
  <c r="S16" i="186"/>
  <c r="R16" i="186"/>
  <c r="S15" i="186"/>
  <c r="R15" i="186"/>
  <c r="S14" i="186"/>
  <c r="R14" i="186"/>
  <c r="S13" i="186"/>
  <c r="R13" i="186"/>
  <c r="S12" i="186"/>
  <c r="R12" i="186"/>
  <c r="S11" i="186"/>
  <c r="R11" i="186"/>
  <c r="S10" i="186"/>
  <c r="R10" i="186"/>
  <c r="S9" i="186"/>
  <c r="R9" i="186"/>
  <c r="S8" i="186"/>
  <c r="R8" i="186"/>
  <c r="S7" i="186"/>
  <c r="R7" i="186"/>
  <c r="S6" i="186"/>
  <c r="R6" i="186"/>
  <c r="S5" i="186"/>
  <c r="R5" i="186"/>
  <c r="Q18" i="186"/>
  <c r="Q17" i="186"/>
  <c r="Q16" i="186"/>
  <c r="F16" i="186" s="1"/>
  <c r="Q15" i="186"/>
  <c r="Q14" i="186"/>
  <c r="Q13" i="186"/>
  <c r="F13" i="186" s="1"/>
  <c r="Q12" i="186"/>
  <c r="Q11" i="186"/>
  <c r="F11" i="186" s="1"/>
  <c r="Q10" i="186"/>
  <c r="F10" i="186" s="1"/>
  <c r="Q9" i="186"/>
  <c r="F9" i="186" s="1"/>
  <c r="Q8" i="186"/>
  <c r="F8" i="186" s="1"/>
  <c r="Q7" i="186"/>
  <c r="F7" i="186" s="1"/>
  <c r="Q6" i="186"/>
  <c r="F6" i="186" s="1"/>
  <c r="Q5" i="186"/>
  <c r="F18" i="12"/>
  <c r="F18" i="102"/>
  <c r="F18" i="104"/>
  <c r="F18" i="32"/>
  <c r="F18" i="19"/>
  <c r="F18" i="46"/>
  <c r="F18" i="47"/>
  <c r="F18" i="87"/>
  <c r="F18" i="34"/>
  <c r="F18" i="181"/>
  <c r="F18" i="183"/>
  <c r="F18" i="184"/>
  <c r="F18" i="9"/>
  <c r="F18" i="113"/>
  <c r="F18" i="140"/>
  <c r="F18" i="107"/>
  <c r="F18" i="35"/>
  <c r="F18" i="162"/>
  <c r="F18" i="164"/>
  <c r="F18" i="52"/>
  <c r="F18" i="33"/>
  <c r="F18" i="18"/>
  <c r="F18" i="20"/>
  <c r="F18" i="23"/>
  <c r="F18" i="75"/>
  <c r="E18" i="175"/>
  <c r="F19" i="175" s="1"/>
  <c r="F18" i="176"/>
  <c r="F18" i="27"/>
  <c r="F18" i="143"/>
  <c r="F18" i="88"/>
  <c r="F18" i="148"/>
  <c r="F18" i="89"/>
  <c r="F18" i="112"/>
  <c r="F18" i="74"/>
  <c r="F18" i="97"/>
  <c r="F18" i="25"/>
  <c r="F18" i="174"/>
  <c r="F18" i="101"/>
  <c r="F18" i="31"/>
  <c r="F18" i="17"/>
  <c r="F18" i="13"/>
  <c r="F18" i="153"/>
  <c r="F18" i="16"/>
  <c r="F18" i="22"/>
  <c r="F18" i="61"/>
  <c r="F18" i="24"/>
  <c r="F18" i="53"/>
  <c r="F18" i="105"/>
  <c r="F18" i="103"/>
  <c r="F18" i="7"/>
  <c r="F18" i="43"/>
  <c r="F18" i="3"/>
  <c r="F18" i="11"/>
  <c r="F18" i="159"/>
  <c r="F18" i="160"/>
  <c r="F18" i="1"/>
  <c r="F18" i="109"/>
  <c r="F18" i="48"/>
  <c r="F18" i="5"/>
  <c r="F18" i="135"/>
  <c r="F18" i="37"/>
  <c r="F18" i="54"/>
  <c r="F18" i="21"/>
  <c r="F18" i="44"/>
  <c r="F18" i="28"/>
  <c r="F18" i="29"/>
  <c r="F18" i="45"/>
  <c r="F18" i="116"/>
  <c r="F18" i="114"/>
  <c r="F18" i="85"/>
  <c r="F18" i="169"/>
  <c r="F18" i="168"/>
  <c r="F18" i="2"/>
  <c r="F18" i="8"/>
  <c r="H19" i="186" l="1"/>
  <c r="H30" i="43"/>
  <c r="H208" i="417"/>
  <c r="I208" i="417" s="1"/>
  <c r="H28" i="186"/>
  <c r="H22" i="186"/>
  <c r="H21" i="186"/>
  <c r="H25" i="186"/>
  <c r="D16" i="187"/>
  <c r="E28" i="187"/>
  <c r="E19" i="187"/>
  <c r="D19" i="187"/>
  <c r="D22" i="187"/>
  <c r="D13" i="187"/>
  <c r="E25" i="187"/>
  <c r="D10" i="187"/>
  <c r="E22" i="187"/>
  <c r="C10" i="186"/>
  <c r="G19" i="8"/>
  <c r="H30" i="8"/>
  <c r="G19" i="85"/>
  <c r="H30" i="85"/>
  <c r="G19" i="29"/>
  <c r="H30" i="29"/>
  <c r="G19" i="54"/>
  <c r="H30" i="54"/>
  <c r="G19" i="48"/>
  <c r="H30" i="48"/>
  <c r="G19" i="159"/>
  <c r="H30" i="159"/>
  <c r="G19" i="7"/>
  <c r="H30" i="7"/>
  <c r="G19" i="53"/>
  <c r="H30" i="53"/>
  <c r="G19" i="16"/>
  <c r="H30" i="16"/>
  <c r="G19" i="31"/>
  <c r="H30" i="31"/>
  <c r="G19" i="97"/>
  <c r="H30" i="97"/>
  <c r="G19" i="148"/>
  <c r="H30" i="148"/>
  <c r="G19" i="176"/>
  <c r="H30" i="176"/>
  <c r="G19" i="20"/>
  <c r="H30" i="20"/>
  <c r="G19" i="164"/>
  <c r="H30" i="164"/>
  <c r="G19" i="140"/>
  <c r="H30" i="140"/>
  <c r="G19" i="183"/>
  <c r="H30" i="183"/>
  <c r="G19" i="87"/>
  <c r="H30" i="87"/>
  <c r="G19" i="32"/>
  <c r="H30" i="32"/>
  <c r="G19" i="2"/>
  <c r="H30" i="2"/>
  <c r="G19" i="114"/>
  <c r="H30" i="114"/>
  <c r="G19" i="28"/>
  <c r="H30" i="28"/>
  <c r="G19" i="37"/>
  <c r="H30" i="37"/>
  <c r="G19" i="109"/>
  <c r="H30" i="109"/>
  <c r="G19" i="11"/>
  <c r="H30" i="11"/>
  <c r="G19" i="103"/>
  <c r="H30" i="103"/>
  <c r="G19" i="24"/>
  <c r="H30" i="24"/>
  <c r="G19" i="153"/>
  <c r="H30" i="153"/>
  <c r="G19" i="101"/>
  <c r="H30" i="101"/>
  <c r="G19" i="74"/>
  <c r="H30" i="74"/>
  <c r="G19" i="88"/>
  <c r="H30" i="88"/>
  <c r="G19" i="18"/>
  <c r="H30" i="18"/>
  <c r="G19" i="162"/>
  <c r="H30" i="162"/>
  <c r="G19" i="113"/>
  <c r="H30" i="113"/>
  <c r="G19" i="181"/>
  <c r="H30" i="181"/>
  <c r="G19" i="47"/>
  <c r="H30" i="47"/>
  <c r="G19" i="104"/>
  <c r="H30" i="104"/>
  <c r="G19" i="168"/>
  <c r="H30" i="168"/>
  <c r="G19" i="116"/>
  <c r="H30" i="116"/>
  <c r="G19" i="44"/>
  <c r="H30" i="44"/>
  <c r="G19" i="135"/>
  <c r="H30" i="135"/>
  <c r="G19" i="1"/>
  <c r="H30" i="1"/>
  <c r="G19" i="3"/>
  <c r="H30" i="3"/>
  <c r="G19" i="61"/>
  <c r="H30" i="61"/>
  <c r="G19" i="13"/>
  <c r="H30" i="13"/>
  <c r="G19" i="174"/>
  <c r="H30" i="174"/>
  <c r="G19" i="112"/>
  <c r="H30" i="112"/>
  <c r="G19" i="143"/>
  <c r="H30" i="143"/>
  <c r="G19" i="75"/>
  <c r="H30" i="75"/>
  <c r="G19" i="33"/>
  <c r="H30" i="33"/>
  <c r="G19" i="35"/>
  <c r="H30" i="35"/>
  <c r="G19" i="9"/>
  <c r="H30" i="9"/>
  <c r="G19" i="46"/>
  <c r="H30" i="46"/>
  <c r="G19" i="102"/>
  <c r="H30" i="102"/>
  <c r="G19" i="169"/>
  <c r="H30" i="169"/>
  <c r="G19" i="45"/>
  <c r="H30" i="45"/>
  <c r="G19" i="21"/>
  <c r="H30" i="21"/>
  <c r="G19" i="5"/>
  <c r="H30" i="5"/>
  <c r="G19" i="160"/>
  <c r="H30" i="160"/>
  <c r="G19" i="105"/>
  <c r="H30" i="105"/>
  <c r="G19" i="22"/>
  <c r="H30" i="22"/>
  <c r="G19" i="17"/>
  <c r="H30" i="17"/>
  <c r="G19" i="25"/>
  <c r="H30" i="25"/>
  <c r="G19" i="89"/>
  <c r="H30" i="89"/>
  <c r="G19" i="27"/>
  <c r="H30" i="27"/>
  <c r="G19" i="23"/>
  <c r="H30" i="23"/>
  <c r="G19" i="52"/>
  <c r="H30" i="52"/>
  <c r="G19" i="107"/>
  <c r="H30" i="107"/>
  <c r="G19" i="184"/>
  <c r="H30" i="184"/>
  <c r="G19" i="34"/>
  <c r="H30" i="34"/>
  <c r="G19" i="19"/>
  <c r="H30" i="19"/>
  <c r="G19" i="12"/>
  <c r="H30" i="12"/>
  <c r="T14" i="186"/>
  <c r="I14" i="186" s="1"/>
  <c r="J26" i="186" s="1"/>
  <c r="H20" i="186"/>
  <c r="H23" i="186"/>
  <c r="G19" i="43"/>
  <c r="T15" i="186"/>
  <c r="I15" i="186" s="1"/>
  <c r="J27" i="186" s="1"/>
  <c r="K7" i="186"/>
  <c r="K13" i="186"/>
  <c r="K19" i="186"/>
  <c r="F17" i="186"/>
  <c r="U19" i="186"/>
  <c r="T6" i="186"/>
  <c r="I6" i="186" s="1"/>
  <c r="T9" i="186"/>
  <c r="I9" i="186" s="1"/>
  <c r="J21" i="186" s="1"/>
  <c r="F15" i="186"/>
  <c r="K10" i="186"/>
  <c r="K16" i="186"/>
  <c r="U10" i="186"/>
  <c r="M22" i="186" s="1"/>
  <c r="T12" i="186"/>
  <c r="I12" i="186" s="1"/>
  <c r="J24" i="186" s="1"/>
  <c r="T18" i="186"/>
  <c r="I18" i="186" s="1"/>
  <c r="T7" i="186"/>
  <c r="I7" i="186" s="1"/>
  <c r="J19" i="186" s="1"/>
  <c r="T10" i="186"/>
  <c r="I10" i="186" s="1"/>
  <c r="J22" i="186" s="1"/>
  <c r="T13" i="186"/>
  <c r="I13" i="186" s="1"/>
  <c r="J25" i="186" s="1"/>
  <c r="T16" i="186"/>
  <c r="I16" i="186" s="1"/>
  <c r="J28" i="186" s="1"/>
  <c r="U13" i="186"/>
  <c r="M25" i="186" s="1"/>
  <c r="T8" i="186"/>
  <c r="I8" i="186" s="1"/>
  <c r="J20" i="186" s="1"/>
  <c r="F14" i="186"/>
  <c r="U16" i="186"/>
  <c r="M28" i="186" s="1"/>
  <c r="F12" i="186"/>
  <c r="F18" i="186"/>
  <c r="U7" i="186"/>
  <c r="T17" i="186"/>
  <c r="I17" i="186" s="1"/>
  <c r="T11" i="186"/>
  <c r="I11" i="186" s="1"/>
  <c r="J23" i="186" s="1"/>
  <c r="B10" i="186"/>
  <c r="G7" i="186"/>
  <c r="G10" i="186"/>
  <c r="T5" i="186"/>
  <c r="I5" i="186" s="1"/>
  <c r="F5" i="186"/>
  <c r="G8" i="186"/>
  <c r="G11" i="186"/>
  <c r="G9" i="186"/>
  <c r="J17" i="186" l="1"/>
  <c r="J29" i="186"/>
  <c r="J18" i="186"/>
  <c r="J30" i="186"/>
  <c r="C13" i="186"/>
  <c r="E25" i="186" s="1"/>
  <c r="C7" i="186"/>
  <c r="D10" i="186" s="1"/>
  <c r="I220" i="417"/>
  <c r="C16" i="186"/>
  <c r="E28" i="186" s="1"/>
  <c r="L22" i="186"/>
  <c r="M31" i="186"/>
  <c r="E22" i="186"/>
  <c r="G19" i="186"/>
  <c r="H30" i="186"/>
  <c r="H29" i="186"/>
  <c r="C19" i="186"/>
  <c r="E31" i="186" s="1"/>
  <c r="N10" i="186"/>
  <c r="N16" i="186"/>
  <c r="N19" i="186"/>
  <c r="O22" i="186" s="1"/>
  <c r="G16" i="186"/>
  <c r="H27" i="186"/>
  <c r="N13" i="186"/>
  <c r="L10" i="186"/>
  <c r="L13" i="186"/>
  <c r="N7" i="186"/>
  <c r="L16" i="186"/>
  <c r="L19" i="186"/>
  <c r="M19" i="186"/>
  <c r="B7" i="186"/>
  <c r="G17" i="186"/>
  <c r="G14" i="186"/>
  <c r="H26" i="186"/>
  <c r="G13" i="186"/>
  <c r="H24" i="186"/>
  <c r="H18" i="186"/>
  <c r="G12" i="186"/>
  <c r="B16" i="186"/>
  <c r="G18" i="186"/>
  <c r="B19" i="186"/>
  <c r="B13" i="186"/>
  <c r="G15" i="186"/>
  <c r="G6" i="186"/>
  <c r="H17" i="186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H20" i="4"/>
  <c r="H19" i="4"/>
  <c r="D16" i="186" l="1"/>
  <c r="D13" i="186"/>
  <c r="H27" i="35"/>
  <c r="H19" i="35"/>
  <c r="H22" i="35"/>
  <c r="H28" i="35"/>
  <c r="H24" i="35"/>
  <c r="H207" i="417"/>
  <c r="I207" i="417" s="1"/>
  <c r="H25" i="35"/>
  <c r="H21" i="35"/>
  <c r="E19" i="186"/>
  <c r="D19" i="186"/>
  <c r="D22" i="186"/>
  <c r="C7" i="35"/>
  <c r="H29" i="35"/>
  <c r="C19" i="35"/>
  <c r="E31" i="35" s="1"/>
  <c r="C10" i="35"/>
  <c r="C13" i="35"/>
  <c r="C16" i="35"/>
  <c r="O10" i="186"/>
  <c r="O19" i="186"/>
  <c r="O16" i="186"/>
  <c r="O13" i="186"/>
  <c r="H23" i="35"/>
  <c r="H26" i="35"/>
  <c r="B19" i="35"/>
  <c r="H20" i="35"/>
  <c r="R18" i="185"/>
  <c r="R17" i="185"/>
  <c r="S18" i="185"/>
  <c r="S17" i="185"/>
  <c r="S16" i="185"/>
  <c r="S15" i="185"/>
  <c r="S14" i="185"/>
  <c r="S13" i="185"/>
  <c r="S12" i="185"/>
  <c r="S11" i="185"/>
  <c r="S10" i="185"/>
  <c r="S9" i="185"/>
  <c r="S8" i="185"/>
  <c r="S7" i="185"/>
  <c r="S6" i="185"/>
  <c r="S5" i="185"/>
  <c r="Q18" i="185"/>
  <c r="F18" i="185" s="1"/>
  <c r="Q17" i="185"/>
  <c r="Q16" i="185"/>
  <c r="F16" i="185" s="1"/>
  <c r="Q15" i="185"/>
  <c r="Q14" i="185"/>
  <c r="Q13" i="185"/>
  <c r="F13" i="185" s="1"/>
  <c r="Q12" i="185"/>
  <c r="Q11" i="185"/>
  <c r="Q10" i="185"/>
  <c r="F10" i="185" s="1"/>
  <c r="Q9" i="185"/>
  <c r="Q8" i="185"/>
  <c r="F8" i="185" s="1"/>
  <c r="Q7" i="185"/>
  <c r="F7" i="185" s="1"/>
  <c r="Q6" i="185"/>
  <c r="Q5" i="185"/>
  <c r="K16" i="185"/>
  <c r="K13" i="185"/>
  <c r="K10" i="185"/>
  <c r="K7" i="185"/>
  <c r="T18" i="184"/>
  <c r="I18" i="184" s="1"/>
  <c r="T17" i="184"/>
  <c r="I17" i="184" s="1"/>
  <c r="F17" i="184"/>
  <c r="K16" i="184"/>
  <c r="U16" i="184"/>
  <c r="M28" i="184" s="1"/>
  <c r="T16" i="184"/>
  <c r="I16" i="184" s="1"/>
  <c r="J28" i="184" s="1"/>
  <c r="F16" i="184"/>
  <c r="T15" i="184"/>
  <c r="I15" i="184" s="1"/>
  <c r="J27" i="184" s="1"/>
  <c r="F15" i="184"/>
  <c r="T14" i="184"/>
  <c r="I14" i="184" s="1"/>
  <c r="J26" i="184" s="1"/>
  <c r="F14" i="184"/>
  <c r="K13" i="184"/>
  <c r="U13" i="184"/>
  <c r="M25" i="184" s="1"/>
  <c r="T13" i="184"/>
  <c r="I13" i="184" s="1"/>
  <c r="J25" i="184" s="1"/>
  <c r="F13" i="184"/>
  <c r="T12" i="184"/>
  <c r="I12" i="184" s="1"/>
  <c r="J24" i="184" s="1"/>
  <c r="F12" i="184"/>
  <c r="T11" i="184"/>
  <c r="I11" i="184" s="1"/>
  <c r="J23" i="184" s="1"/>
  <c r="F11" i="184"/>
  <c r="K10" i="184"/>
  <c r="U10" i="184"/>
  <c r="M22" i="184" s="1"/>
  <c r="T10" i="184"/>
  <c r="I10" i="184" s="1"/>
  <c r="J22" i="184" s="1"/>
  <c r="F10" i="184"/>
  <c r="T9" i="184"/>
  <c r="I9" i="184" s="1"/>
  <c r="J21" i="184" s="1"/>
  <c r="F9" i="184"/>
  <c r="T8" i="184"/>
  <c r="I8" i="184" s="1"/>
  <c r="J20" i="184" s="1"/>
  <c r="F8" i="184"/>
  <c r="K7" i="184"/>
  <c r="U7" i="184"/>
  <c r="M19" i="184" s="1"/>
  <c r="T7" i="184"/>
  <c r="I7" i="184" s="1"/>
  <c r="J19" i="184" s="1"/>
  <c r="F7" i="184"/>
  <c r="T6" i="184"/>
  <c r="I6" i="184" s="1"/>
  <c r="F6" i="184"/>
  <c r="T5" i="184"/>
  <c r="I5" i="184" s="1"/>
  <c r="F5" i="184"/>
  <c r="T18" i="183"/>
  <c r="I18" i="183" s="1"/>
  <c r="T17" i="183"/>
  <c r="I17" i="183" s="1"/>
  <c r="F17" i="183"/>
  <c r="K16" i="183"/>
  <c r="U16" i="183"/>
  <c r="M28" i="183" s="1"/>
  <c r="T16" i="183"/>
  <c r="I16" i="183" s="1"/>
  <c r="J28" i="183" s="1"/>
  <c r="F16" i="183"/>
  <c r="T15" i="183"/>
  <c r="I15" i="183" s="1"/>
  <c r="J27" i="183" s="1"/>
  <c r="F15" i="183"/>
  <c r="T14" i="183"/>
  <c r="I14" i="183" s="1"/>
  <c r="J26" i="183" s="1"/>
  <c r="F14" i="183"/>
  <c r="K13" i="183"/>
  <c r="U13" i="183"/>
  <c r="M25" i="183" s="1"/>
  <c r="T13" i="183"/>
  <c r="I13" i="183" s="1"/>
  <c r="J25" i="183" s="1"/>
  <c r="F13" i="183"/>
  <c r="T12" i="183"/>
  <c r="I12" i="183" s="1"/>
  <c r="J24" i="183" s="1"/>
  <c r="F12" i="183"/>
  <c r="T11" i="183"/>
  <c r="I11" i="183" s="1"/>
  <c r="J23" i="183" s="1"/>
  <c r="F11" i="183"/>
  <c r="K10" i="183"/>
  <c r="U10" i="183"/>
  <c r="M22" i="183" s="1"/>
  <c r="T10" i="183"/>
  <c r="I10" i="183" s="1"/>
  <c r="J22" i="183" s="1"/>
  <c r="F10" i="183"/>
  <c r="T9" i="183"/>
  <c r="I9" i="183" s="1"/>
  <c r="J21" i="183" s="1"/>
  <c r="F9" i="183"/>
  <c r="T8" i="183"/>
  <c r="I8" i="183" s="1"/>
  <c r="J20" i="183" s="1"/>
  <c r="F8" i="183"/>
  <c r="K7" i="183"/>
  <c r="U7" i="183"/>
  <c r="M19" i="183" s="1"/>
  <c r="T7" i="183"/>
  <c r="I7" i="183" s="1"/>
  <c r="J19" i="183" s="1"/>
  <c r="F7" i="183"/>
  <c r="T6" i="183"/>
  <c r="I6" i="183" s="1"/>
  <c r="F6" i="183"/>
  <c r="T5" i="183"/>
  <c r="I5" i="183" s="1"/>
  <c r="F5" i="183"/>
  <c r="T18" i="181"/>
  <c r="I18" i="181" s="1"/>
  <c r="T17" i="181"/>
  <c r="I17" i="181" s="1"/>
  <c r="F17" i="181"/>
  <c r="K16" i="181"/>
  <c r="U16" i="181"/>
  <c r="M28" i="181" s="1"/>
  <c r="T16" i="181"/>
  <c r="I16" i="181" s="1"/>
  <c r="J28" i="181" s="1"/>
  <c r="F16" i="181"/>
  <c r="T15" i="181"/>
  <c r="I15" i="181" s="1"/>
  <c r="J27" i="181" s="1"/>
  <c r="F15" i="181"/>
  <c r="T14" i="181"/>
  <c r="I14" i="181" s="1"/>
  <c r="J26" i="181" s="1"/>
  <c r="F14" i="181"/>
  <c r="K13" i="181"/>
  <c r="U13" i="181"/>
  <c r="M25" i="181" s="1"/>
  <c r="T13" i="181"/>
  <c r="I13" i="181" s="1"/>
  <c r="J25" i="181" s="1"/>
  <c r="F13" i="181"/>
  <c r="T12" i="181"/>
  <c r="I12" i="181" s="1"/>
  <c r="J24" i="181" s="1"/>
  <c r="F12" i="181"/>
  <c r="T11" i="181"/>
  <c r="I11" i="181" s="1"/>
  <c r="J23" i="181" s="1"/>
  <c r="F11" i="181"/>
  <c r="K10" i="181"/>
  <c r="U10" i="181"/>
  <c r="M22" i="181" s="1"/>
  <c r="T10" i="181"/>
  <c r="I10" i="181" s="1"/>
  <c r="J22" i="181" s="1"/>
  <c r="F10" i="181"/>
  <c r="T9" i="181"/>
  <c r="I9" i="181" s="1"/>
  <c r="J21" i="181" s="1"/>
  <c r="F9" i="181"/>
  <c r="T8" i="181"/>
  <c r="I8" i="181" s="1"/>
  <c r="J20" i="181" s="1"/>
  <c r="F8" i="181"/>
  <c r="K7" i="181"/>
  <c r="U7" i="181"/>
  <c r="M19" i="181" s="1"/>
  <c r="T7" i="181"/>
  <c r="I7" i="181" s="1"/>
  <c r="J19" i="181" s="1"/>
  <c r="F7" i="181"/>
  <c r="T6" i="181"/>
  <c r="I6" i="181" s="1"/>
  <c r="F6" i="181"/>
  <c r="T5" i="181"/>
  <c r="I5" i="181" s="1"/>
  <c r="F5" i="181"/>
  <c r="R18" i="149"/>
  <c r="Q18" i="149"/>
  <c r="F18" i="149" s="1"/>
  <c r="R17" i="149"/>
  <c r="Q17" i="149"/>
  <c r="R16" i="149"/>
  <c r="Q16" i="149"/>
  <c r="J30" i="181" l="1"/>
  <c r="J18" i="181"/>
  <c r="J17" i="184"/>
  <c r="J29" i="184"/>
  <c r="J17" i="183"/>
  <c r="J29" i="183"/>
  <c r="J18" i="184"/>
  <c r="J30" i="184"/>
  <c r="J17" i="181"/>
  <c r="J29" i="181"/>
  <c r="J18" i="183"/>
  <c r="J30" i="183"/>
  <c r="H24" i="181"/>
  <c r="H27" i="181"/>
  <c r="H25" i="184"/>
  <c r="H22" i="185"/>
  <c r="H19" i="183"/>
  <c r="H22" i="183"/>
  <c r="H25" i="183"/>
  <c r="H28" i="183"/>
  <c r="H19" i="185"/>
  <c r="H19" i="184"/>
  <c r="H22" i="181"/>
  <c r="H25" i="181"/>
  <c r="H28" i="181"/>
  <c r="H21" i="184"/>
  <c r="H24" i="184"/>
  <c r="H27" i="184"/>
  <c r="H28" i="185"/>
  <c r="I219" i="417"/>
  <c r="H21" i="181"/>
  <c r="H28" i="184"/>
  <c r="H21" i="183"/>
  <c r="H24" i="183"/>
  <c r="H27" i="183"/>
  <c r="H25" i="185"/>
  <c r="D10" i="35"/>
  <c r="E22" i="35"/>
  <c r="E19" i="35"/>
  <c r="D19" i="35"/>
  <c r="D22" i="35"/>
  <c r="C10" i="183"/>
  <c r="C13" i="183"/>
  <c r="D16" i="35"/>
  <c r="E28" i="35"/>
  <c r="D13" i="35"/>
  <c r="E25" i="35"/>
  <c r="C16" i="183"/>
  <c r="C7" i="183"/>
  <c r="C7" i="184"/>
  <c r="C10" i="184"/>
  <c r="C16" i="184"/>
  <c r="G19" i="149"/>
  <c r="H30" i="149"/>
  <c r="H29" i="184"/>
  <c r="C19" i="184"/>
  <c r="E31" i="184" s="1"/>
  <c r="G19" i="185"/>
  <c r="H30" i="185"/>
  <c r="C13" i="184"/>
  <c r="H29" i="183"/>
  <c r="C19" i="183"/>
  <c r="E31" i="183" s="1"/>
  <c r="C7" i="181"/>
  <c r="C10" i="181"/>
  <c r="C13" i="181"/>
  <c r="C16" i="181"/>
  <c r="H29" i="181"/>
  <c r="C19" i="181"/>
  <c r="E31" i="181" s="1"/>
  <c r="N19" i="184"/>
  <c r="O22" i="184" s="1"/>
  <c r="N7" i="184"/>
  <c r="N10" i="184"/>
  <c r="N13" i="184"/>
  <c r="N16" i="184"/>
  <c r="N19" i="183"/>
  <c r="O22" i="183" s="1"/>
  <c r="L10" i="184"/>
  <c r="L13" i="184"/>
  <c r="L16" i="184"/>
  <c r="L19" i="184"/>
  <c r="N7" i="183"/>
  <c r="N10" i="183"/>
  <c r="N13" i="183"/>
  <c r="N16" i="183"/>
  <c r="L10" i="183"/>
  <c r="L13" i="183"/>
  <c r="L16" i="183"/>
  <c r="L19" i="183"/>
  <c r="L13" i="181"/>
  <c r="L10" i="181"/>
  <c r="L16" i="181"/>
  <c r="L19" i="181"/>
  <c r="N7" i="181"/>
  <c r="N10" i="181"/>
  <c r="N13" i="181"/>
  <c r="N16" i="181"/>
  <c r="N19" i="181"/>
  <c r="O22" i="181" s="1"/>
  <c r="H20" i="184"/>
  <c r="H23" i="184"/>
  <c r="H26" i="184"/>
  <c r="B19" i="184"/>
  <c r="H20" i="183"/>
  <c r="H23" i="183"/>
  <c r="H26" i="183"/>
  <c r="B19" i="183"/>
  <c r="H23" i="181"/>
  <c r="H26" i="181"/>
  <c r="H20" i="185"/>
  <c r="H20" i="181"/>
  <c r="B19" i="181"/>
  <c r="G10" i="184"/>
  <c r="H22" i="184"/>
  <c r="K19" i="185"/>
  <c r="G13" i="184"/>
  <c r="K19" i="149"/>
  <c r="F17" i="185"/>
  <c r="U19" i="185"/>
  <c r="U19" i="149"/>
  <c r="T6" i="185"/>
  <c r="I6" i="185" s="1"/>
  <c r="T14" i="185"/>
  <c r="I14" i="185" s="1"/>
  <c r="J26" i="185" s="1"/>
  <c r="F14" i="185"/>
  <c r="B7" i="181"/>
  <c r="B16" i="181"/>
  <c r="G16" i="181"/>
  <c r="T12" i="185"/>
  <c r="I12" i="185" s="1"/>
  <c r="J24" i="185" s="1"/>
  <c r="T10" i="185"/>
  <c r="I10" i="185" s="1"/>
  <c r="J22" i="185" s="1"/>
  <c r="G7" i="181"/>
  <c r="H19" i="181"/>
  <c r="G7" i="184"/>
  <c r="B7" i="184"/>
  <c r="B16" i="184"/>
  <c r="T8" i="185"/>
  <c r="I8" i="185" s="1"/>
  <c r="J20" i="185" s="1"/>
  <c r="G7" i="183"/>
  <c r="F6" i="185"/>
  <c r="T16" i="185"/>
  <c r="I16" i="185" s="1"/>
  <c r="J28" i="185" s="1"/>
  <c r="F12" i="185"/>
  <c r="U16" i="185"/>
  <c r="M28" i="185" s="1"/>
  <c r="U10" i="185"/>
  <c r="M22" i="185" s="1"/>
  <c r="B16" i="183"/>
  <c r="T17" i="185"/>
  <c r="I17" i="185" s="1"/>
  <c r="G13" i="181"/>
  <c r="F9" i="185"/>
  <c r="T9" i="185"/>
  <c r="I9" i="185" s="1"/>
  <c r="J21" i="185" s="1"/>
  <c r="B13" i="181"/>
  <c r="T18" i="185"/>
  <c r="I18" i="185" s="1"/>
  <c r="G10" i="181"/>
  <c r="T7" i="185"/>
  <c r="I7" i="185" s="1"/>
  <c r="J19" i="185" s="1"/>
  <c r="T13" i="185"/>
  <c r="I13" i="185" s="1"/>
  <c r="J25" i="185" s="1"/>
  <c r="T11" i="185"/>
  <c r="I11" i="185" s="1"/>
  <c r="J23" i="185" s="1"/>
  <c r="T15" i="185"/>
  <c r="I15" i="185" s="1"/>
  <c r="J27" i="185" s="1"/>
  <c r="U13" i="185"/>
  <c r="M25" i="185" s="1"/>
  <c r="F11" i="185"/>
  <c r="F15" i="185"/>
  <c r="U7" i="185"/>
  <c r="T5" i="185"/>
  <c r="I5" i="185" s="1"/>
  <c r="F5" i="185"/>
  <c r="G8" i="185"/>
  <c r="B10" i="184"/>
  <c r="G15" i="184"/>
  <c r="G11" i="184"/>
  <c r="B13" i="184"/>
  <c r="H17" i="184"/>
  <c r="G16" i="184"/>
  <c r="G6" i="184"/>
  <c r="G9" i="184"/>
  <c r="G12" i="184"/>
  <c r="G14" i="184"/>
  <c r="H18" i="184"/>
  <c r="G17" i="184"/>
  <c r="G18" i="184"/>
  <c r="G8" i="184"/>
  <c r="G6" i="183"/>
  <c r="G12" i="183"/>
  <c r="G15" i="183"/>
  <c r="B7" i="183"/>
  <c r="G17" i="183"/>
  <c r="H18" i="183"/>
  <c r="B10" i="183"/>
  <c r="G10" i="183"/>
  <c r="G11" i="183"/>
  <c r="G13" i="183"/>
  <c r="G18" i="183"/>
  <c r="G8" i="183"/>
  <c r="H17" i="183"/>
  <c r="B13" i="183"/>
  <c r="G14" i="183"/>
  <c r="G16" i="183"/>
  <c r="G9" i="183"/>
  <c r="G12" i="181"/>
  <c r="G8" i="181"/>
  <c r="B10" i="181"/>
  <c r="H17" i="181"/>
  <c r="G6" i="181"/>
  <c r="G9" i="181"/>
  <c r="G11" i="181"/>
  <c r="H18" i="181"/>
  <c r="G15" i="181"/>
  <c r="G14" i="181"/>
  <c r="G17" i="181"/>
  <c r="G18" i="181"/>
  <c r="T18" i="176"/>
  <c r="I18" i="176" s="1"/>
  <c r="J30" i="176" s="1"/>
  <c r="T17" i="176"/>
  <c r="I17" i="176" s="1"/>
  <c r="F17" i="176"/>
  <c r="K16" i="176"/>
  <c r="U16" i="176"/>
  <c r="M28" i="176" s="1"/>
  <c r="T16" i="176"/>
  <c r="I16" i="176" s="1"/>
  <c r="J28" i="176" s="1"/>
  <c r="F16" i="176"/>
  <c r="T15" i="176"/>
  <c r="I15" i="176" s="1"/>
  <c r="J27" i="176" s="1"/>
  <c r="F15" i="176"/>
  <c r="T14" i="176"/>
  <c r="I14" i="176" s="1"/>
  <c r="J26" i="176" s="1"/>
  <c r="F14" i="176"/>
  <c r="U13" i="176"/>
  <c r="T13" i="176"/>
  <c r="I13" i="176" s="1"/>
  <c r="J25" i="176" s="1"/>
  <c r="F13" i="176"/>
  <c r="T12" i="176"/>
  <c r="I12" i="176" s="1"/>
  <c r="J24" i="176" s="1"/>
  <c r="F12" i="176"/>
  <c r="T11" i="176"/>
  <c r="I11" i="176" s="1"/>
  <c r="J23" i="176" s="1"/>
  <c r="F11" i="176"/>
  <c r="U10" i="176"/>
  <c r="T10" i="176"/>
  <c r="I10" i="176" s="1"/>
  <c r="J22" i="176" s="1"/>
  <c r="F10" i="176"/>
  <c r="T9" i="176"/>
  <c r="I9" i="176" s="1"/>
  <c r="J21" i="176" s="1"/>
  <c r="F9" i="176"/>
  <c r="T8" i="176"/>
  <c r="F8" i="176"/>
  <c r="U7" i="176"/>
  <c r="M19" i="176" s="1"/>
  <c r="T7" i="176"/>
  <c r="I7" i="176" s="1"/>
  <c r="J19" i="176" s="1"/>
  <c r="F7" i="176"/>
  <c r="T6" i="176"/>
  <c r="I6" i="176" s="1"/>
  <c r="F6" i="176"/>
  <c r="T5" i="176"/>
  <c r="F5" i="176"/>
  <c r="L18" i="175"/>
  <c r="L17" i="175"/>
  <c r="E17" i="175"/>
  <c r="N16" i="175"/>
  <c r="M16" i="175"/>
  <c r="P28" i="175" s="1"/>
  <c r="L16" i="175"/>
  <c r="E16" i="175"/>
  <c r="G28" i="175" s="1"/>
  <c r="L15" i="175"/>
  <c r="E15" i="175"/>
  <c r="G27" i="175" s="1"/>
  <c r="L14" i="175"/>
  <c r="E14" i="175"/>
  <c r="N13" i="175"/>
  <c r="M13" i="175"/>
  <c r="P25" i="175" s="1"/>
  <c r="L13" i="175"/>
  <c r="E13" i="175"/>
  <c r="G25" i="175" s="1"/>
  <c r="L12" i="175"/>
  <c r="E12" i="175"/>
  <c r="G24" i="175" s="1"/>
  <c r="L11" i="175"/>
  <c r="E11" i="175"/>
  <c r="N10" i="175"/>
  <c r="M10" i="175"/>
  <c r="P22" i="175" s="1"/>
  <c r="L10" i="175"/>
  <c r="E10" i="175"/>
  <c r="G22" i="175" s="1"/>
  <c r="L9" i="175"/>
  <c r="E9" i="175"/>
  <c r="G21" i="175" s="1"/>
  <c r="L8" i="175"/>
  <c r="E8" i="175"/>
  <c r="N7" i="175"/>
  <c r="M7" i="175"/>
  <c r="P19" i="175" s="1"/>
  <c r="L7" i="175"/>
  <c r="E7" i="175"/>
  <c r="G19" i="175" s="1"/>
  <c r="L6" i="175"/>
  <c r="E6" i="175"/>
  <c r="L5" i="175"/>
  <c r="E5" i="175"/>
  <c r="T18" i="174"/>
  <c r="I18" i="174" s="1"/>
  <c r="T17" i="174"/>
  <c r="I17" i="174" s="1"/>
  <c r="F17" i="174"/>
  <c r="K16" i="174"/>
  <c r="U16" i="174"/>
  <c r="M28" i="174" s="1"/>
  <c r="T16" i="174"/>
  <c r="I16" i="174" s="1"/>
  <c r="J28" i="174" s="1"/>
  <c r="F16" i="174"/>
  <c r="T15" i="174"/>
  <c r="I15" i="174" s="1"/>
  <c r="J27" i="174" s="1"/>
  <c r="F15" i="174"/>
  <c r="T14" i="174"/>
  <c r="I14" i="174" s="1"/>
  <c r="J26" i="174" s="1"/>
  <c r="F14" i="174"/>
  <c r="K13" i="174"/>
  <c r="U13" i="174"/>
  <c r="M25" i="174" s="1"/>
  <c r="T13" i="174"/>
  <c r="I13" i="174" s="1"/>
  <c r="J25" i="174" s="1"/>
  <c r="F13" i="174"/>
  <c r="T12" i="174"/>
  <c r="I12" i="174" s="1"/>
  <c r="J24" i="174" s="1"/>
  <c r="F12" i="174"/>
  <c r="T11" i="174"/>
  <c r="I11" i="174" s="1"/>
  <c r="J23" i="174" s="1"/>
  <c r="F11" i="174"/>
  <c r="K10" i="174"/>
  <c r="U10" i="174"/>
  <c r="M22" i="174" s="1"/>
  <c r="T10" i="174"/>
  <c r="I10" i="174" s="1"/>
  <c r="J22" i="174" s="1"/>
  <c r="F10" i="174"/>
  <c r="T9" i="174"/>
  <c r="I9" i="174" s="1"/>
  <c r="J21" i="174" s="1"/>
  <c r="F9" i="174"/>
  <c r="T8" i="174"/>
  <c r="I8" i="174" s="1"/>
  <c r="J20" i="174" s="1"/>
  <c r="F8" i="174"/>
  <c r="K7" i="174"/>
  <c r="U7" i="174"/>
  <c r="M19" i="174" s="1"/>
  <c r="T7" i="174"/>
  <c r="I7" i="174" s="1"/>
  <c r="J19" i="174" s="1"/>
  <c r="F7" i="174"/>
  <c r="T6" i="174"/>
  <c r="I6" i="174" s="1"/>
  <c r="F6" i="174"/>
  <c r="T5" i="174"/>
  <c r="I5" i="174" s="1"/>
  <c r="F5" i="174"/>
  <c r="J18" i="176" l="1"/>
  <c r="J18" i="185"/>
  <c r="J30" i="185"/>
  <c r="J17" i="185"/>
  <c r="J29" i="185"/>
  <c r="J29" i="174"/>
  <c r="J17" i="174"/>
  <c r="N7" i="176"/>
  <c r="I5" i="176"/>
  <c r="J17" i="176" s="1"/>
  <c r="N10" i="176"/>
  <c r="I8" i="176"/>
  <c r="J20" i="176" s="1"/>
  <c r="J18" i="174"/>
  <c r="J30" i="174"/>
  <c r="J29" i="176"/>
  <c r="M25" i="176"/>
  <c r="L13" i="176"/>
  <c r="M22" i="176"/>
  <c r="L10" i="176"/>
  <c r="N13" i="176"/>
  <c r="H19" i="174"/>
  <c r="H22" i="174"/>
  <c r="H27" i="185"/>
  <c r="H24" i="174"/>
  <c r="H27" i="174"/>
  <c r="H19" i="176"/>
  <c r="H22" i="176"/>
  <c r="H25" i="176"/>
  <c r="H28" i="176"/>
  <c r="H21" i="176"/>
  <c r="H21" i="174"/>
  <c r="C10" i="185"/>
  <c r="E22" i="185" s="1"/>
  <c r="H18" i="185"/>
  <c r="H25" i="174"/>
  <c r="H28" i="174"/>
  <c r="H24" i="176"/>
  <c r="H27" i="176"/>
  <c r="H24" i="185"/>
  <c r="C13" i="185"/>
  <c r="N7" i="185"/>
  <c r="L22" i="149"/>
  <c r="M31" i="149"/>
  <c r="L22" i="185"/>
  <c r="M31" i="185"/>
  <c r="O19" i="184"/>
  <c r="E19" i="181"/>
  <c r="D19" i="181"/>
  <c r="D22" i="181"/>
  <c r="D10" i="181"/>
  <c r="E22" i="181"/>
  <c r="D13" i="184"/>
  <c r="E25" i="184"/>
  <c r="D10" i="184"/>
  <c r="E22" i="184"/>
  <c r="D13" i="183"/>
  <c r="E25" i="183"/>
  <c r="D10" i="183"/>
  <c r="E22" i="183"/>
  <c r="D16" i="181"/>
  <c r="E28" i="181"/>
  <c r="E19" i="183"/>
  <c r="D19" i="183"/>
  <c r="D22" i="183"/>
  <c r="D13" i="181"/>
  <c r="E25" i="181"/>
  <c r="E19" i="184"/>
  <c r="D19" i="184"/>
  <c r="D22" i="184"/>
  <c r="D16" i="184"/>
  <c r="E28" i="184"/>
  <c r="D16" i="183"/>
  <c r="E28" i="183"/>
  <c r="C16" i="174"/>
  <c r="C10" i="174"/>
  <c r="C13" i="174"/>
  <c r="H29" i="174"/>
  <c r="C19" i="174"/>
  <c r="E31" i="174" s="1"/>
  <c r="C16" i="185"/>
  <c r="C7" i="174"/>
  <c r="C7" i="185"/>
  <c r="H29" i="185"/>
  <c r="C19" i="185"/>
  <c r="E31" i="185" s="1"/>
  <c r="C7" i="176"/>
  <c r="C10" i="176"/>
  <c r="C13" i="176"/>
  <c r="C16" i="176"/>
  <c r="H29" i="176"/>
  <c r="C19" i="176"/>
  <c r="E31" i="176" s="1"/>
  <c r="Q19" i="175"/>
  <c r="R22" i="175" s="1"/>
  <c r="O10" i="184"/>
  <c r="N19" i="176"/>
  <c r="O22" i="176" s="1"/>
  <c r="O13" i="184"/>
  <c r="O10" i="183"/>
  <c r="O16" i="184"/>
  <c r="N19" i="174"/>
  <c r="O22" i="174" s="1"/>
  <c r="O16" i="183"/>
  <c r="O10" i="181"/>
  <c r="O13" i="183"/>
  <c r="N13" i="185"/>
  <c r="O16" i="181"/>
  <c r="L16" i="176"/>
  <c r="L19" i="176"/>
  <c r="N16" i="176"/>
  <c r="L16" i="185"/>
  <c r="O19" i="183"/>
  <c r="L13" i="185"/>
  <c r="L10" i="185"/>
  <c r="N10" i="185"/>
  <c r="N16" i="185"/>
  <c r="O13" i="181"/>
  <c r="N19" i="185"/>
  <c r="O22" i="185" s="1"/>
  <c r="L19" i="185"/>
  <c r="M19" i="185"/>
  <c r="O19" i="181"/>
  <c r="Q7" i="175"/>
  <c r="Q13" i="175"/>
  <c r="Q10" i="175"/>
  <c r="Q16" i="175"/>
  <c r="O10" i="175"/>
  <c r="O13" i="175"/>
  <c r="O16" i="175"/>
  <c r="O19" i="175"/>
  <c r="N10" i="174"/>
  <c r="N13" i="174"/>
  <c r="N16" i="174"/>
  <c r="N7" i="174"/>
  <c r="L10" i="174"/>
  <c r="L13" i="174"/>
  <c r="L16" i="174"/>
  <c r="L19" i="174"/>
  <c r="B7" i="175"/>
  <c r="H20" i="176"/>
  <c r="H23" i="176"/>
  <c r="H26" i="176"/>
  <c r="B19" i="176"/>
  <c r="H23" i="185"/>
  <c r="G18" i="185"/>
  <c r="G26" i="175"/>
  <c r="B16" i="175"/>
  <c r="G20" i="175"/>
  <c r="B10" i="175"/>
  <c r="G23" i="175"/>
  <c r="B13" i="175"/>
  <c r="A19" i="175"/>
  <c r="C22" i="175" s="1"/>
  <c r="B19" i="175"/>
  <c r="H20" i="174"/>
  <c r="H23" i="174"/>
  <c r="H26" i="174"/>
  <c r="B19" i="174"/>
  <c r="G14" i="185"/>
  <c r="H26" i="185"/>
  <c r="G9" i="185"/>
  <c r="H21" i="185"/>
  <c r="G17" i="185"/>
  <c r="B19" i="185"/>
  <c r="H17" i="185"/>
  <c r="B16" i="185"/>
  <c r="B10" i="185"/>
  <c r="G7" i="185"/>
  <c r="B13" i="185"/>
  <c r="G12" i="185"/>
  <c r="G13" i="185"/>
  <c r="G11" i="185"/>
  <c r="G10" i="185"/>
  <c r="G15" i="185"/>
  <c r="B7" i="185"/>
  <c r="G6" i="185"/>
  <c r="G16" i="185"/>
  <c r="G11" i="174"/>
  <c r="G8" i="176"/>
  <c r="G6" i="176"/>
  <c r="G13" i="176"/>
  <c r="G15" i="176"/>
  <c r="H17" i="176"/>
  <c r="G11" i="176"/>
  <c r="G9" i="176"/>
  <c r="H18" i="176"/>
  <c r="G7" i="176"/>
  <c r="G16" i="176"/>
  <c r="G10" i="176"/>
  <c r="G12" i="176"/>
  <c r="G14" i="176"/>
  <c r="B7" i="176"/>
  <c r="B10" i="176"/>
  <c r="B13" i="176"/>
  <c r="B16" i="176"/>
  <c r="G18" i="176"/>
  <c r="G17" i="176"/>
  <c r="F9" i="175"/>
  <c r="F15" i="175"/>
  <c r="A10" i="175"/>
  <c r="D22" i="175" s="1"/>
  <c r="F11" i="175"/>
  <c r="F17" i="175"/>
  <c r="F10" i="175"/>
  <c r="F13" i="175"/>
  <c r="F14" i="175"/>
  <c r="F7" i="175"/>
  <c r="G18" i="175"/>
  <c r="A7" i="175"/>
  <c r="F6" i="175"/>
  <c r="F12" i="175"/>
  <c r="F16" i="175"/>
  <c r="G17" i="175"/>
  <c r="A13" i="175"/>
  <c r="D25" i="175" s="1"/>
  <c r="F8" i="175"/>
  <c r="A16" i="175"/>
  <c r="D28" i="175" s="1"/>
  <c r="F18" i="175"/>
  <c r="G9" i="174"/>
  <c r="G16" i="174"/>
  <c r="B7" i="174"/>
  <c r="G7" i="174"/>
  <c r="H18" i="174"/>
  <c r="B16" i="174"/>
  <c r="G6" i="174"/>
  <c r="G10" i="174"/>
  <c r="G8" i="174"/>
  <c r="G13" i="174"/>
  <c r="G12" i="174"/>
  <c r="G15" i="174"/>
  <c r="G17" i="174"/>
  <c r="B10" i="174"/>
  <c r="B13" i="174"/>
  <c r="G18" i="174"/>
  <c r="G14" i="174"/>
  <c r="H17" i="174"/>
  <c r="O10" i="176" l="1"/>
  <c r="O13" i="176"/>
  <c r="D10" i="185"/>
  <c r="D13" i="185"/>
  <c r="O10" i="185"/>
  <c r="E25" i="185"/>
  <c r="D16" i="176"/>
  <c r="E28" i="176"/>
  <c r="E19" i="185"/>
  <c r="D19" i="185"/>
  <c r="D22" i="185"/>
  <c r="D16" i="185"/>
  <c r="E28" i="185"/>
  <c r="D10" i="174"/>
  <c r="E22" i="174"/>
  <c r="D13" i="176"/>
  <c r="E25" i="176"/>
  <c r="E19" i="174"/>
  <c r="D19" i="174"/>
  <c r="D22" i="174"/>
  <c r="D16" i="174"/>
  <c r="E28" i="174"/>
  <c r="E19" i="176"/>
  <c r="D19" i="176"/>
  <c r="D22" i="176"/>
  <c r="D10" i="176"/>
  <c r="E22" i="176"/>
  <c r="D13" i="174"/>
  <c r="E25" i="174"/>
  <c r="C19" i="175"/>
  <c r="O19" i="174"/>
  <c r="R10" i="175"/>
  <c r="O16" i="174"/>
  <c r="O16" i="176"/>
  <c r="O16" i="185"/>
  <c r="O13" i="174"/>
  <c r="R13" i="175"/>
  <c r="O19" i="176"/>
  <c r="O13" i="185"/>
  <c r="O19" i="185"/>
  <c r="R16" i="175"/>
  <c r="R19" i="175"/>
  <c r="O10" i="174"/>
  <c r="D19" i="175"/>
  <c r="C13" i="175"/>
  <c r="C10" i="175"/>
  <c r="C16" i="175"/>
  <c r="C17" i="78" l="1"/>
  <c r="C17" i="119"/>
  <c r="I17" i="78"/>
  <c r="I17" i="119"/>
  <c r="D18" i="119" l="1"/>
  <c r="A19" i="119"/>
  <c r="D18" i="78"/>
  <c r="A19" i="78"/>
  <c r="F18" i="170"/>
  <c r="F15" i="170"/>
  <c r="F14" i="170"/>
  <c r="F13" i="170"/>
  <c r="F11" i="170"/>
  <c r="F10" i="170"/>
  <c r="F9" i="170"/>
  <c r="F8" i="170"/>
  <c r="F7" i="170"/>
  <c r="F5" i="170"/>
  <c r="T18" i="169"/>
  <c r="I18" i="169" s="1"/>
  <c r="T17" i="169"/>
  <c r="I17" i="169" s="1"/>
  <c r="F17" i="169"/>
  <c r="K16" i="169"/>
  <c r="U16" i="169"/>
  <c r="M28" i="169" s="1"/>
  <c r="T16" i="169"/>
  <c r="I16" i="169" s="1"/>
  <c r="J28" i="169" s="1"/>
  <c r="F16" i="169"/>
  <c r="T15" i="169"/>
  <c r="I15" i="169" s="1"/>
  <c r="J27" i="169" s="1"/>
  <c r="F15" i="169"/>
  <c r="T14" i="169"/>
  <c r="I14" i="169" s="1"/>
  <c r="J26" i="169" s="1"/>
  <c r="F14" i="169"/>
  <c r="K13" i="169"/>
  <c r="U13" i="169"/>
  <c r="M25" i="169" s="1"/>
  <c r="T13" i="169"/>
  <c r="I13" i="169" s="1"/>
  <c r="J25" i="169" s="1"/>
  <c r="F13" i="169"/>
  <c r="T12" i="169"/>
  <c r="I12" i="169" s="1"/>
  <c r="J24" i="169" s="1"/>
  <c r="F12" i="169"/>
  <c r="T11" i="169"/>
  <c r="I11" i="169" s="1"/>
  <c r="J23" i="169" s="1"/>
  <c r="F11" i="169"/>
  <c r="K10" i="169"/>
  <c r="U10" i="169"/>
  <c r="M22" i="169" s="1"/>
  <c r="T10" i="169"/>
  <c r="I10" i="169" s="1"/>
  <c r="J22" i="169" s="1"/>
  <c r="F10" i="169"/>
  <c r="T9" i="169"/>
  <c r="I9" i="169" s="1"/>
  <c r="J21" i="169" s="1"/>
  <c r="F9" i="169"/>
  <c r="T8" i="169"/>
  <c r="I8" i="169" s="1"/>
  <c r="J20" i="169" s="1"/>
  <c r="F8" i="169"/>
  <c r="K7" i="169"/>
  <c r="U7" i="169"/>
  <c r="M19" i="169" s="1"/>
  <c r="T7" i="169"/>
  <c r="I7" i="169" s="1"/>
  <c r="J19" i="169" s="1"/>
  <c r="F7" i="169"/>
  <c r="T6" i="169"/>
  <c r="I6" i="169" s="1"/>
  <c r="F6" i="169"/>
  <c r="T5" i="169"/>
  <c r="I5" i="169" s="1"/>
  <c r="F5" i="169"/>
  <c r="T18" i="168"/>
  <c r="I18" i="168" s="1"/>
  <c r="T17" i="168"/>
  <c r="I17" i="168" s="1"/>
  <c r="F17" i="168"/>
  <c r="K16" i="168"/>
  <c r="U16" i="168"/>
  <c r="M28" i="168" s="1"/>
  <c r="T16" i="168"/>
  <c r="I16" i="168" s="1"/>
  <c r="J28" i="168" s="1"/>
  <c r="F16" i="168"/>
  <c r="T15" i="168"/>
  <c r="I15" i="168" s="1"/>
  <c r="J27" i="168" s="1"/>
  <c r="F15" i="168"/>
  <c r="T14" i="168"/>
  <c r="I14" i="168" s="1"/>
  <c r="J26" i="168" s="1"/>
  <c r="F14" i="168"/>
  <c r="K13" i="168"/>
  <c r="U13" i="168"/>
  <c r="M25" i="168" s="1"/>
  <c r="T13" i="168"/>
  <c r="I13" i="168" s="1"/>
  <c r="J25" i="168" s="1"/>
  <c r="F13" i="168"/>
  <c r="T12" i="168"/>
  <c r="I12" i="168" s="1"/>
  <c r="J24" i="168" s="1"/>
  <c r="F12" i="168"/>
  <c r="T11" i="168"/>
  <c r="I11" i="168" s="1"/>
  <c r="J23" i="168" s="1"/>
  <c r="F11" i="168"/>
  <c r="K10" i="168"/>
  <c r="U10" i="168"/>
  <c r="M22" i="168" s="1"/>
  <c r="T10" i="168"/>
  <c r="I10" i="168" s="1"/>
  <c r="J22" i="168" s="1"/>
  <c r="F10" i="168"/>
  <c r="T9" i="168"/>
  <c r="I9" i="168" s="1"/>
  <c r="J21" i="168" s="1"/>
  <c r="F9" i="168"/>
  <c r="T8" i="168"/>
  <c r="I8" i="168" s="1"/>
  <c r="J20" i="168" s="1"/>
  <c r="F8" i="168"/>
  <c r="K7" i="168"/>
  <c r="U7" i="168"/>
  <c r="M19" i="168" s="1"/>
  <c r="T7" i="168"/>
  <c r="I7" i="168" s="1"/>
  <c r="J19" i="168" s="1"/>
  <c r="F7" i="168"/>
  <c r="T6" i="168"/>
  <c r="I6" i="168" s="1"/>
  <c r="F6" i="168"/>
  <c r="T5" i="168"/>
  <c r="I5" i="168" s="1"/>
  <c r="F5" i="168"/>
  <c r="J17" i="169" l="1"/>
  <c r="J29" i="169"/>
  <c r="J17" i="168"/>
  <c r="J29" i="168"/>
  <c r="J18" i="169"/>
  <c r="J30" i="169"/>
  <c r="J18" i="168"/>
  <c r="J30" i="168"/>
  <c r="H22" i="168"/>
  <c r="H25" i="170"/>
  <c r="H21" i="169"/>
  <c r="H24" i="169"/>
  <c r="H27" i="169"/>
  <c r="H21" i="170"/>
  <c r="H19" i="168"/>
  <c r="H21" i="168"/>
  <c r="H24" i="168"/>
  <c r="H27" i="168"/>
  <c r="H22" i="170"/>
  <c r="H27" i="170"/>
  <c r="H25" i="168"/>
  <c r="H28" i="168"/>
  <c r="H19" i="169"/>
  <c r="H22" i="169"/>
  <c r="H25" i="169"/>
  <c r="H28" i="169"/>
  <c r="H19" i="170"/>
  <c r="C7" i="168"/>
  <c r="C13" i="168"/>
  <c r="C16" i="168"/>
  <c r="N19" i="169"/>
  <c r="O22" i="169" s="1"/>
  <c r="C10" i="170"/>
  <c r="C10" i="168"/>
  <c r="H29" i="168"/>
  <c r="C19" i="168"/>
  <c r="E31" i="168" s="1"/>
  <c r="C7" i="169"/>
  <c r="C10" i="169"/>
  <c r="C13" i="169"/>
  <c r="C16" i="169"/>
  <c r="H29" i="169"/>
  <c r="C19" i="169"/>
  <c r="E31" i="169" s="1"/>
  <c r="G19" i="170"/>
  <c r="H30" i="170"/>
  <c r="N7" i="168"/>
  <c r="N10" i="168"/>
  <c r="N13" i="168"/>
  <c r="N16" i="168"/>
  <c r="N7" i="169"/>
  <c r="N10" i="169"/>
  <c r="N13" i="169"/>
  <c r="N16" i="169"/>
  <c r="L10" i="169"/>
  <c r="L13" i="169"/>
  <c r="L16" i="169"/>
  <c r="L19" i="169"/>
  <c r="L10" i="168"/>
  <c r="N19" i="168"/>
  <c r="L13" i="168"/>
  <c r="L16" i="168"/>
  <c r="L19" i="168"/>
  <c r="H20" i="169"/>
  <c r="H23" i="169"/>
  <c r="H26" i="169"/>
  <c r="B19" i="169"/>
  <c r="H23" i="170"/>
  <c r="H20" i="170"/>
  <c r="H20" i="168"/>
  <c r="H23" i="168"/>
  <c r="H26" i="168"/>
  <c r="H26" i="170"/>
  <c r="B19" i="168"/>
  <c r="K19" i="170"/>
  <c r="T17" i="170"/>
  <c r="I17" i="170" s="1"/>
  <c r="U19" i="170"/>
  <c r="T11" i="170"/>
  <c r="I11" i="170" s="1"/>
  <c r="J23" i="170" s="1"/>
  <c r="T6" i="170"/>
  <c r="I6" i="170" s="1"/>
  <c r="T12" i="170"/>
  <c r="I12" i="170" s="1"/>
  <c r="J24" i="170" s="1"/>
  <c r="G10" i="169"/>
  <c r="F6" i="170"/>
  <c r="K13" i="170"/>
  <c r="T10" i="170"/>
  <c r="I10" i="170" s="1"/>
  <c r="J22" i="170" s="1"/>
  <c r="B7" i="169"/>
  <c r="G7" i="169"/>
  <c r="G17" i="169"/>
  <c r="T16" i="170"/>
  <c r="I16" i="170" s="1"/>
  <c r="J28" i="170" s="1"/>
  <c r="T18" i="170"/>
  <c r="I18" i="170" s="1"/>
  <c r="K7" i="170"/>
  <c r="K16" i="170"/>
  <c r="T8" i="170"/>
  <c r="I8" i="170" s="1"/>
  <c r="J20" i="170" s="1"/>
  <c r="G15" i="170"/>
  <c r="U13" i="170"/>
  <c r="M25" i="170" s="1"/>
  <c r="F16" i="170"/>
  <c r="G9" i="170"/>
  <c r="F12" i="170"/>
  <c r="U10" i="170"/>
  <c r="M22" i="170" s="1"/>
  <c r="G15" i="168"/>
  <c r="G9" i="169"/>
  <c r="G12" i="169"/>
  <c r="H18" i="169"/>
  <c r="F17" i="170"/>
  <c r="T14" i="170"/>
  <c r="I14" i="170" s="1"/>
  <c r="J26" i="170" s="1"/>
  <c r="G14" i="169"/>
  <c r="U16" i="170"/>
  <c r="M28" i="170" s="1"/>
  <c r="K10" i="170"/>
  <c r="T7" i="170"/>
  <c r="I7" i="170" s="1"/>
  <c r="J19" i="170" s="1"/>
  <c r="T13" i="170"/>
  <c r="I13" i="170" s="1"/>
  <c r="J25" i="170" s="1"/>
  <c r="G11" i="170"/>
  <c r="T9" i="170"/>
  <c r="I9" i="170" s="1"/>
  <c r="J21" i="170" s="1"/>
  <c r="T15" i="170"/>
  <c r="I15" i="170" s="1"/>
  <c r="J27" i="170" s="1"/>
  <c r="G10" i="170"/>
  <c r="G14" i="170"/>
  <c r="B10" i="170"/>
  <c r="G8" i="170"/>
  <c r="T5" i="170"/>
  <c r="I5" i="170" s="1"/>
  <c r="U7" i="170"/>
  <c r="G6" i="169"/>
  <c r="B10" i="169"/>
  <c r="G15" i="169"/>
  <c r="H17" i="169"/>
  <c r="B13" i="169"/>
  <c r="G18" i="169"/>
  <c r="G7" i="168"/>
  <c r="G9" i="168"/>
  <c r="G16" i="168"/>
  <c r="B7" i="168"/>
  <c r="G12" i="168"/>
  <c r="G8" i="168"/>
  <c r="G13" i="168"/>
  <c r="H17" i="168"/>
  <c r="G11" i="168"/>
  <c r="H18" i="168"/>
  <c r="G10" i="168"/>
  <c r="G14" i="168"/>
  <c r="G6" i="168"/>
  <c r="G13" i="169"/>
  <c r="G16" i="169"/>
  <c r="B16" i="169"/>
  <c r="G8" i="169"/>
  <c r="G11" i="169"/>
  <c r="B10" i="168"/>
  <c r="B13" i="168"/>
  <c r="B16" i="168"/>
  <c r="G18" i="168"/>
  <c r="G17" i="168"/>
  <c r="Q5" i="149"/>
  <c r="R5" i="149"/>
  <c r="Q6" i="149"/>
  <c r="R6" i="149"/>
  <c r="Q7" i="149"/>
  <c r="R7" i="149"/>
  <c r="Q8" i="149"/>
  <c r="R8" i="149"/>
  <c r="Q9" i="149"/>
  <c r="R9" i="149"/>
  <c r="Q10" i="149"/>
  <c r="R10" i="149"/>
  <c r="Q11" i="149"/>
  <c r="R11" i="149"/>
  <c r="Q12" i="149"/>
  <c r="R12" i="149"/>
  <c r="Q13" i="149"/>
  <c r="R13" i="149"/>
  <c r="Q14" i="149"/>
  <c r="R14" i="149"/>
  <c r="Q15" i="149"/>
  <c r="R15" i="149"/>
  <c r="T18" i="162"/>
  <c r="I18" i="162" s="1"/>
  <c r="J30" i="162" s="1"/>
  <c r="T18" i="164"/>
  <c r="I18" i="164" s="1"/>
  <c r="T18" i="101"/>
  <c r="I18" i="101" s="1"/>
  <c r="T18" i="31"/>
  <c r="I18" i="31" s="1"/>
  <c r="T18" i="17"/>
  <c r="I18" i="17" s="1"/>
  <c r="T18" i="140"/>
  <c r="I18" i="140" s="1"/>
  <c r="F18" i="152"/>
  <c r="T18" i="13"/>
  <c r="I18" i="13" s="1"/>
  <c r="J30" i="13" s="1"/>
  <c r="T18" i="153"/>
  <c r="I18" i="153" s="1"/>
  <c r="J30" i="153" s="1"/>
  <c r="T18" i="16"/>
  <c r="I18" i="16" s="1"/>
  <c r="T18" i="22"/>
  <c r="I18" i="22" s="1"/>
  <c r="S18" i="144"/>
  <c r="R18" i="144"/>
  <c r="Q18" i="144"/>
  <c r="F18" i="144" s="1"/>
  <c r="T18" i="27"/>
  <c r="I18" i="27" s="1"/>
  <c r="T18" i="143"/>
  <c r="I18" i="143" s="1"/>
  <c r="J30" i="143" s="1"/>
  <c r="T18" i="61"/>
  <c r="I18" i="61" s="1"/>
  <c r="T18" i="23"/>
  <c r="I18" i="23" s="1"/>
  <c r="T18" i="87"/>
  <c r="I18" i="87" s="1"/>
  <c r="T18" i="24"/>
  <c r="I18" i="24" s="1"/>
  <c r="T18" i="53"/>
  <c r="I18" i="53" s="1"/>
  <c r="T18" i="4"/>
  <c r="I18" i="4" s="1"/>
  <c r="T18" i="104"/>
  <c r="I18" i="104" s="1"/>
  <c r="T18" i="105"/>
  <c r="I18" i="105" s="1"/>
  <c r="T18" i="102"/>
  <c r="I18" i="102" s="1"/>
  <c r="T18" i="12"/>
  <c r="I18" i="12" s="1"/>
  <c r="T18" i="88"/>
  <c r="I18" i="88" s="1"/>
  <c r="J30" i="88" s="1"/>
  <c r="T18" i="148"/>
  <c r="I18" i="148" s="1"/>
  <c r="T18" i="2"/>
  <c r="I18" i="2" s="1"/>
  <c r="T18" i="52"/>
  <c r="I18" i="52" s="1"/>
  <c r="T18" i="89"/>
  <c r="I18" i="89" s="1"/>
  <c r="J30" i="89" s="1"/>
  <c r="T18" i="103"/>
  <c r="I18" i="103" s="1"/>
  <c r="J30" i="103" s="1"/>
  <c r="T18" i="7"/>
  <c r="I18" i="7" s="1"/>
  <c r="F18" i="142"/>
  <c r="T18" i="18"/>
  <c r="I18" i="18" s="1"/>
  <c r="J30" i="18" s="1"/>
  <c r="T18" i="20"/>
  <c r="I18" i="20" s="1"/>
  <c r="T18" i="43"/>
  <c r="I18" i="43" s="1"/>
  <c r="T18" i="46"/>
  <c r="I18" i="46" s="1"/>
  <c r="T18" i="3"/>
  <c r="I18" i="3" s="1"/>
  <c r="T18" i="74"/>
  <c r="I18" i="74" s="1"/>
  <c r="J30" i="74" s="1"/>
  <c r="T18" i="9"/>
  <c r="I18" i="9" s="1"/>
  <c r="T18" i="11"/>
  <c r="I18" i="11" s="1"/>
  <c r="J30" i="11" s="1"/>
  <c r="T18" i="159"/>
  <c r="I18" i="159" s="1"/>
  <c r="T18" i="160"/>
  <c r="I18" i="160" s="1"/>
  <c r="T18" i="33"/>
  <c r="I18" i="33" s="1"/>
  <c r="T18" i="97"/>
  <c r="I18" i="97" s="1"/>
  <c r="J30" i="97" s="1"/>
  <c r="T18" i="1"/>
  <c r="I18" i="1" s="1"/>
  <c r="T18" i="112"/>
  <c r="I18" i="112" s="1"/>
  <c r="J30" i="112" s="1"/>
  <c r="T18" i="109"/>
  <c r="I18" i="109" s="1"/>
  <c r="T18" i="19"/>
  <c r="I18" i="19" s="1"/>
  <c r="T18" i="48"/>
  <c r="I18" i="48" s="1"/>
  <c r="J30" i="48" s="1"/>
  <c r="T18" i="32"/>
  <c r="I18" i="32" s="1"/>
  <c r="T18" i="34"/>
  <c r="I18" i="34" s="1"/>
  <c r="T18" i="113"/>
  <c r="I18" i="113" s="1"/>
  <c r="J30" i="113" s="1"/>
  <c r="T18" i="114"/>
  <c r="I18" i="114" s="1"/>
  <c r="J30" i="114" s="1"/>
  <c r="T18" i="5"/>
  <c r="I18" i="5" s="1"/>
  <c r="T18" i="107"/>
  <c r="I18" i="107" s="1"/>
  <c r="T18" i="135"/>
  <c r="I18" i="135" s="1"/>
  <c r="J30" i="135" s="1"/>
  <c r="T18" i="37"/>
  <c r="I18" i="37" s="1"/>
  <c r="T18" i="54"/>
  <c r="I18" i="54" s="1"/>
  <c r="T18" i="25"/>
  <c r="I18" i="25" s="1"/>
  <c r="J30" i="25" s="1"/>
  <c r="T18" i="21"/>
  <c r="I18" i="21" s="1"/>
  <c r="J30" i="21" s="1"/>
  <c r="T18" i="28"/>
  <c r="I18" i="28" s="1"/>
  <c r="T18" i="29"/>
  <c r="I18" i="29" s="1"/>
  <c r="J30" i="29" s="1"/>
  <c r="S18" i="44"/>
  <c r="T18" i="45"/>
  <c r="I18" i="45" s="1"/>
  <c r="T18" i="47"/>
  <c r="I18" i="47" s="1"/>
  <c r="T18" i="75"/>
  <c r="I18" i="75" s="1"/>
  <c r="J30" i="75" s="1"/>
  <c r="T18" i="85"/>
  <c r="I18" i="85" s="1"/>
  <c r="J30" i="85" s="1"/>
  <c r="T18" i="116"/>
  <c r="I18" i="116" s="1"/>
  <c r="J30" i="5" l="1"/>
  <c r="J30" i="19"/>
  <c r="J30" i="160"/>
  <c r="J30" i="46"/>
  <c r="J30" i="12"/>
  <c r="J30" i="24"/>
  <c r="J30" i="164"/>
  <c r="J30" i="43"/>
  <c r="J30" i="45"/>
  <c r="J30" i="54"/>
  <c r="J30" i="20"/>
  <c r="J30" i="52"/>
  <c r="J30" i="105"/>
  <c r="J30" i="23"/>
  <c r="J30" i="140"/>
  <c r="J30" i="34"/>
  <c r="J30" i="1"/>
  <c r="J30" i="9"/>
  <c r="J30" i="2"/>
  <c r="J30" i="104"/>
  <c r="J30" i="61"/>
  <c r="J30" i="22"/>
  <c r="J30" i="17"/>
  <c r="J30" i="47"/>
  <c r="J30" i="159"/>
  <c r="J30" i="102"/>
  <c r="J30" i="148"/>
  <c r="J30" i="16"/>
  <c r="J18" i="170"/>
  <c r="J30" i="170"/>
  <c r="J30" i="109"/>
  <c r="J30" i="87"/>
  <c r="J30" i="37"/>
  <c r="J30" i="116"/>
  <c r="J30" i="32"/>
  <c r="J30" i="4"/>
  <c r="J30" i="31"/>
  <c r="J30" i="28"/>
  <c r="J30" i="107"/>
  <c r="J30" i="33"/>
  <c r="J30" i="3"/>
  <c r="J30" i="7"/>
  <c r="J30" i="53"/>
  <c r="J30" i="27"/>
  <c r="J30" i="101"/>
  <c r="J17" i="170"/>
  <c r="J29" i="170"/>
  <c r="H18" i="170"/>
  <c r="C13" i="170"/>
  <c r="C16" i="170"/>
  <c r="E28" i="170" s="1"/>
  <c r="L22" i="170"/>
  <c r="M31" i="170"/>
  <c r="E22" i="170"/>
  <c r="D16" i="169"/>
  <c r="E28" i="169"/>
  <c r="E19" i="168"/>
  <c r="D19" i="168"/>
  <c r="D22" i="168"/>
  <c r="D13" i="169"/>
  <c r="E25" i="169"/>
  <c r="D16" i="168"/>
  <c r="E28" i="168"/>
  <c r="E19" i="169"/>
  <c r="D19" i="169"/>
  <c r="D22" i="169"/>
  <c r="D10" i="169"/>
  <c r="E22" i="169"/>
  <c r="D10" i="168"/>
  <c r="E22" i="168"/>
  <c r="D13" i="168"/>
  <c r="E25" i="168"/>
  <c r="G19" i="144"/>
  <c r="H30" i="144"/>
  <c r="H29" i="170"/>
  <c r="C19" i="170"/>
  <c r="E31" i="170" s="1"/>
  <c r="G19" i="142"/>
  <c r="H30" i="142"/>
  <c r="G19" i="152"/>
  <c r="H30" i="152"/>
  <c r="C7" i="170"/>
  <c r="D10" i="170" s="1"/>
  <c r="O10" i="168"/>
  <c r="O10" i="169"/>
  <c r="O13" i="169"/>
  <c r="O16" i="168"/>
  <c r="O13" i="168"/>
  <c r="G16" i="170"/>
  <c r="H28" i="170"/>
  <c r="O19" i="168"/>
  <c r="O22" i="168"/>
  <c r="L16" i="170"/>
  <c r="O16" i="169"/>
  <c r="O19" i="169"/>
  <c r="N19" i="170"/>
  <c r="O22" i="170" s="1"/>
  <c r="N7" i="170"/>
  <c r="N10" i="170"/>
  <c r="N16" i="170"/>
  <c r="L10" i="170"/>
  <c r="L13" i="170"/>
  <c r="N13" i="170"/>
  <c r="M19" i="170"/>
  <c r="L19" i="170"/>
  <c r="B19" i="170"/>
  <c r="B13" i="170"/>
  <c r="H24" i="170"/>
  <c r="G6" i="170"/>
  <c r="B7" i="170"/>
  <c r="G12" i="170"/>
  <c r="G7" i="170"/>
  <c r="B16" i="170"/>
  <c r="G13" i="170"/>
  <c r="G17" i="170"/>
  <c r="H17" i="170"/>
  <c r="T18" i="152"/>
  <c r="I18" i="152" s="1"/>
  <c r="G18" i="170"/>
  <c r="T18" i="142"/>
  <c r="I18" i="142" s="1"/>
  <c r="T18" i="149"/>
  <c r="I18" i="149" s="1"/>
  <c r="T18" i="144"/>
  <c r="I18" i="144" s="1"/>
  <c r="T17" i="164"/>
  <c r="F17" i="164"/>
  <c r="K16" i="164"/>
  <c r="U16" i="164"/>
  <c r="M28" i="164" s="1"/>
  <c r="T16" i="164"/>
  <c r="I16" i="164" s="1"/>
  <c r="J28" i="164" s="1"/>
  <c r="F16" i="164"/>
  <c r="T15" i="164"/>
  <c r="I15" i="164" s="1"/>
  <c r="J27" i="164" s="1"/>
  <c r="F15" i="164"/>
  <c r="T14" i="164"/>
  <c r="I14" i="164" s="1"/>
  <c r="J26" i="164" s="1"/>
  <c r="F14" i="164"/>
  <c r="K13" i="164"/>
  <c r="U13" i="164"/>
  <c r="M25" i="164" s="1"/>
  <c r="T13" i="164"/>
  <c r="I13" i="164" s="1"/>
  <c r="J25" i="164" s="1"/>
  <c r="F13" i="164"/>
  <c r="T12" i="164"/>
  <c r="I12" i="164" s="1"/>
  <c r="J24" i="164" s="1"/>
  <c r="F12" i="164"/>
  <c r="T11" i="164"/>
  <c r="I11" i="164" s="1"/>
  <c r="J23" i="164" s="1"/>
  <c r="F11" i="164"/>
  <c r="K10" i="164"/>
  <c r="U10" i="164"/>
  <c r="M22" i="164" s="1"/>
  <c r="T10" i="164"/>
  <c r="I10" i="164" s="1"/>
  <c r="J22" i="164" s="1"/>
  <c r="F10" i="164"/>
  <c r="T9" i="164"/>
  <c r="I9" i="164" s="1"/>
  <c r="J21" i="164" s="1"/>
  <c r="F9" i="164"/>
  <c r="T8" i="164"/>
  <c r="I8" i="164" s="1"/>
  <c r="J20" i="164" s="1"/>
  <c r="F8" i="164"/>
  <c r="K7" i="164"/>
  <c r="U7" i="164"/>
  <c r="M19" i="164" s="1"/>
  <c r="T7" i="164"/>
  <c r="I7" i="164" s="1"/>
  <c r="J19" i="164" s="1"/>
  <c r="F7" i="164"/>
  <c r="T6" i="164"/>
  <c r="I6" i="164" s="1"/>
  <c r="J18" i="164" s="1"/>
  <c r="F6" i="164"/>
  <c r="T5" i="164"/>
  <c r="I5" i="164" s="1"/>
  <c r="F5" i="164"/>
  <c r="J30" i="149" l="1"/>
  <c r="N19" i="164"/>
  <c r="O22" i="164" s="1"/>
  <c r="I17" i="164"/>
  <c r="J30" i="142"/>
  <c r="J30" i="144"/>
  <c r="J30" i="152"/>
  <c r="D16" i="170"/>
  <c r="E25" i="170"/>
  <c r="H19" i="164"/>
  <c r="H22" i="164"/>
  <c r="H25" i="164"/>
  <c r="H28" i="164"/>
  <c r="H21" i="164"/>
  <c r="H24" i="164"/>
  <c r="H27" i="164"/>
  <c r="D13" i="170"/>
  <c r="E19" i="170"/>
  <c r="D19" i="170"/>
  <c r="D22" i="170"/>
  <c r="C16" i="164"/>
  <c r="H29" i="164"/>
  <c r="C19" i="164"/>
  <c r="E31" i="164" s="1"/>
  <c r="C7" i="164"/>
  <c r="C10" i="164"/>
  <c r="C13" i="164"/>
  <c r="O19" i="170"/>
  <c r="O10" i="170"/>
  <c r="O13" i="170"/>
  <c r="O16" i="170"/>
  <c r="N7" i="164"/>
  <c r="N13" i="164"/>
  <c r="N10" i="164"/>
  <c r="N16" i="164"/>
  <c r="L10" i="164"/>
  <c r="L13" i="164"/>
  <c r="L16" i="164"/>
  <c r="L19" i="164"/>
  <c r="H20" i="164"/>
  <c r="H23" i="164"/>
  <c r="H26" i="164"/>
  <c r="B19" i="164"/>
  <c r="G18" i="164"/>
  <c r="G12" i="164"/>
  <c r="B16" i="164"/>
  <c r="B7" i="164"/>
  <c r="G6" i="164"/>
  <c r="H18" i="164"/>
  <c r="B10" i="164"/>
  <c r="G7" i="164"/>
  <c r="G9" i="164"/>
  <c r="G16" i="164"/>
  <c r="G11" i="164"/>
  <c r="G13" i="164"/>
  <c r="H17" i="164"/>
  <c r="G15" i="164"/>
  <c r="G10" i="164"/>
  <c r="G14" i="164"/>
  <c r="G17" i="164"/>
  <c r="G8" i="164"/>
  <c r="B13" i="164"/>
  <c r="T17" i="162"/>
  <c r="F17" i="162"/>
  <c r="K16" i="162"/>
  <c r="U16" i="162"/>
  <c r="M28" i="162" s="1"/>
  <c r="T16" i="162"/>
  <c r="I16" i="162" s="1"/>
  <c r="J28" i="162" s="1"/>
  <c r="F16" i="162"/>
  <c r="T15" i="162"/>
  <c r="I15" i="162" s="1"/>
  <c r="J27" i="162" s="1"/>
  <c r="F15" i="162"/>
  <c r="T14" i="162"/>
  <c r="I14" i="162" s="1"/>
  <c r="J26" i="162" s="1"/>
  <c r="F14" i="162"/>
  <c r="K13" i="162"/>
  <c r="U13" i="162"/>
  <c r="M25" i="162" s="1"/>
  <c r="T13" i="162"/>
  <c r="I13" i="162" s="1"/>
  <c r="J25" i="162" s="1"/>
  <c r="F13" i="162"/>
  <c r="T12" i="162"/>
  <c r="I12" i="162" s="1"/>
  <c r="J24" i="162" s="1"/>
  <c r="F12" i="162"/>
  <c r="T11" i="162"/>
  <c r="I11" i="162" s="1"/>
  <c r="J23" i="162" s="1"/>
  <c r="F11" i="162"/>
  <c r="K10" i="162"/>
  <c r="U10" i="162"/>
  <c r="M22" i="162" s="1"/>
  <c r="T10" i="162"/>
  <c r="I10" i="162" s="1"/>
  <c r="J22" i="162" s="1"/>
  <c r="F10" i="162"/>
  <c r="T9" i="162"/>
  <c r="I9" i="162" s="1"/>
  <c r="J21" i="162" s="1"/>
  <c r="F9" i="162"/>
  <c r="T8" i="162"/>
  <c r="I8" i="162" s="1"/>
  <c r="J20" i="162" s="1"/>
  <c r="F8" i="162"/>
  <c r="K7" i="162"/>
  <c r="U7" i="162"/>
  <c r="M19" i="162" s="1"/>
  <c r="T7" i="162"/>
  <c r="I7" i="162" s="1"/>
  <c r="J19" i="162" s="1"/>
  <c r="F7" i="162"/>
  <c r="T6" i="162"/>
  <c r="I6" i="162" s="1"/>
  <c r="J18" i="162" s="1"/>
  <c r="F6" i="162"/>
  <c r="T5" i="162"/>
  <c r="I5" i="162" s="1"/>
  <c r="F5" i="162"/>
  <c r="N19" i="162" l="1"/>
  <c r="O22" i="162" s="1"/>
  <c r="I17" i="162"/>
  <c r="J17" i="164"/>
  <c r="J29" i="164"/>
  <c r="H22" i="162"/>
  <c r="H19" i="162"/>
  <c r="H25" i="162"/>
  <c r="H28" i="162"/>
  <c r="H21" i="162"/>
  <c r="H24" i="162"/>
  <c r="H27" i="162"/>
  <c r="C13" i="162"/>
  <c r="E25" i="162" s="1"/>
  <c r="C7" i="162"/>
  <c r="E19" i="164"/>
  <c r="D19" i="164"/>
  <c r="D22" i="164"/>
  <c r="D13" i="164"/>
  <c r="E25" i="164"/>
  <c r="D10" i="164"/>
  <c r="E22" i="164"/>
  <c r="D16" i="164"/>
  <c r="E28" i="164"/>
  <c r="C10" i="162"/>
  <c r="C16" i="162"/>
  <c r="H29" i="162"/>
  <c r="C19" i="162"/>
  <c r="E31" i="162" s="1"/>
  <c r="O13" i="164"/>
  <c r="O10" i="164"/>
  <c r="O16" i="164"/>
  <c r="O19" i="164"/>
  <c r="N10" i="162"/>
  <c r="N16" i="162"/>
  <c r="N7" i="162"/>
  <c r="N13" i="162"/>
  <c r="L10" i="162"/>
  <c r="L13" i="162"/>
  <c r="L16" i="162"/>
  <c r="L19" i="162"/>
  <c r="H20" i="162"/>
  <c r="H26" i="162"/>
  <c r="H23" i="162"/>
  <c r="B19" i="162"/>
  <c r="G18" i="162"/>
  <c r="G17" i="162"/>
  <c r="H17" i="162"/>
  <c r="G6" i="162"/>
  <c r="H18" i="162"/>
  <c r="G10" i="162"/>
  <c r="G13" i="162"/>
  <c r="G7" i="162"/>
  <c r="G8" i="162"/>
  <c r="G14" i="162"/>
  <c r="B7" i="162"/>
  <c r="G15" i="162"/>
  <c r="G9" i="162"/>
  <c r="G11" i="162"/>
  <c r="G12" i="162"/>
  <c r="G16" i="162"/>
  <c r="B10" i="162"/>
  <c r="B13" i="162"/>
  <c r="B16" i="162"/>
  <c r="O19" i="162" l="1"/>
  <c r="J17" i="162"/>
  <c r="J29" i="162"/>
  <c r="E19" i="162"/>
  <c r="D19" i="162"/>
  <c r="D22" i="162"/>
  <c r="D16" i="162"/>
  <c r="E28" i="162"/>
  <c r="D10" i="162"/>
  <c r="E22" i="162"/>
  <c r="D13" i="162"/>
  <c r="O13" i="162"/>
  <c r="O16" i="162"/>
  <c r="O10" i="162"/>
  <c r="F17" i="31" l="1"/>
  <c r="F17" i="140"/>
  <c r="F17" i="13"/>
  <c r="F17" i="153"/>
  <c r="F17" i="8"/>
  <c r="F17" i="27"/>
  <c r="F17" i="143"/>
  <c r="F17" i="23"/>
  <c r="F17" i="87"/>
  <c r="F17" i="24"/>
  <c r="F17" i="53"/>
  <c r="F17" i="22"/>
  <c r="F17" i="104"/>
  <c r="F17" i="105"/>
  <c r="F17" i="16"/>
  <c r="F17" i="102"/>
  <c r="F17" i="9"/>
  <c r="F17" i="12"/>
  <c r="F17" i="149"/>
  <c r="F17" i="88"/>
  <c r="F17" i="148"/>
  <c r="F17" i="17"/>
  <c r="F17" i="11"/>
  <c r="F17" i="2"/>
  <c r="F17" i="74"/>
  <c r="F17" i="52"/>
  <c r="F17" i="61"/>
  <c r="F17" i="89"/>
  <c r="F17" i="103"/>
  <c r="F17" i="7"/>
  <c r="F17" i="18"/>
  <c r="F17" i="20"/>
  <c r="F17" i="43"/>
  <c r="F17" i="46"/>
  <c r="F17" i="159"/>
  <c r="F17" i="160"/>
  <c r="F17" i="33"/>
  <c r="F17" i="97"/>
  <c r="F17" i="1"/>
  <c r="F17" i="112"/>
  <c r="F17" i="109"/>
  <c r="F17" i="3"/>
  <c r="F17" i="19"/>
  <c r="F17" i="48"/>
  <c r="F17" i="32"/>
  <c r="F17" i="34"/>
  <c r="F17" i="113"/>
  <c r="F17" i="114"/>
  <c r="F17" i="5"/>
  <c r="F17" i="107"/>
  <c r="F17" i="135"/>
  <c r="F17" i="37"/>
  <c r="F17" i="54"/>
  <c r="F17" i="25"/>
  <c r="G18" i="35"/>
  <c r="F17" i="21"/>
  <c r="F17" i="28"/>
  <c r="F17" i="29"/>
  <c r="F17" i="44"/>
  <c r="F17" i="45"/>
  <c r="F17" i="47"/>
  <c r="F17" i="75"/>
  <c r="F17" i="85"/>
  <c r="F17" i="116"/>
  <c r="F17" i="101"/>
  <c r="T5" i="101"/>
  <c r="I5" i="101" s="1"/>
  <c r="T6" i="101"/>
  <c r="I6" i="101" s="1"/>
  <c r="J18" i="101" s="1"/>
  <c r="T7" i="101"/>
  <c r="I7" i="101" s="1"/>
  <c r="J19" i="101" s="1"/>
  <c r="T8" i="101"/>
  <c r="I8" i="101" s="1"/>
  <c r="J20" i="101" s="1"/>
  <c r="T9" i="101"/>
  <c r="I9" i="101" s="1"/>
  <c r="J21" i="101" s="1"/>
  <c r="T10" i="101"/>
  <c r="I10" i="101" s="1"/>
  <c r="J22" i="101" s="1"/>
  <c r="T11" i="101"/>
  <c r="I11" i="101" s="1"/>
  <c r="J23" i="101" s="1"/>
  <c r="T12" i="101"/>
  <c r="I12" i="101" s="1"/>
  <c r="J24" i="101" s="1"/>
  <c r="T13" i="101"/>
  <c r="I13" i="101" s="1"/>
  <c r="J25" i="101" s="1"/>
  <c r="T14" i="101"/>
  <c r="I14" i="101" s="1"/>
  <c r="J26" i="101" s="1"/>
  <c r="T15" i="101"/>
  <c r="I15" i="101" s="1"/>
  <c r="J27" i="101" s="1"/>
  <c r="T16" i="101"/>
  <c r="I16" i="101" s="1"/>
  <c r="J28" i="101" s="1"/>
  <c r="T17" i="101"/>
  <c r="T17" i="160"/>
  <c r="K16" i="160"/>
  <c r="U16" i="160"/>
  <c r="M28" i="160" s="1"/>
  <c r="T16" i="160"/>
  <c r="I16" i="160" s="1"/>
  <c r="J28" i="160" s="1"/>
  <c r="F16" i="160"/>
  <c r="T15" i="160"/>
  <c r="I15" i="160" s="1"/>
  <c r="J27" i="160" s="1"/>
  <c r="F15" i="160"/>
  <c r="T14" i="160"/>
  <c r="I14" i="160" s="1"/>
  <c r="J26" i="160" s="1"/>
  <c r="F14" i="160"/>
  <c r="K13" i="160"/>
  <c r="U13" i="160"/>
  <c r="M25" i="160" s="1"/>
  <c r="T13" i="160"/>
  <c r="I13" i="160" s="1"/>
  <c r="J25" i="160" s="1"/>
  <c r="F13" i="160"/>
  <c r="T12" i="160"/>
  <c r="I12" i="160" s="1"/>
  <c r="J24" i="160" s="1"/>
  <c r="F12" i="160"/>
  <c r="T11" i="160"/>
  <c r="I11" i="160" s="1"/>
  <c r="J23" i="160" s="1"/>
  <c r="F11" i="160"/>
  <c r="K10" i="160"/>
  <c r="U10" i="160"/>
  <c r="M22" i="160" s="1"/>
  <c r="T10" i="160"/>
  <c r="I10" i="160" s="1"/>
  <c r="J22" i="160" s="1"/>
  <c r="F10" i="160"/>
  <c r="T9" i="160"/>
  <c r="I9" i="160" s="1"/>
  <c r="J21" i="160" s="1"/>
  <c r="F9" i="160"/>
  <c r="T8" i="160"/>
  <c r="I8" i="160" s="1"/>
  <c r="J20" i="160" s="1"/>
  <c r="F8" i="160"/>
  <c r="K7" i="160"/>
  <c r="U7" i="160"/>
  <c r="M19" i="160" s="1"/>
  <c r="T7" i="160"/>
  <c r="I7" i="160" s="1"/>
  <c r="J19" i="160" s="1"/>
  <c r="F7" i="160"/>
  <c r="T6" i="160"/>
  <c r="I6" i="160" s="1"/>
  <c r="J18" i="160" s="1"/>
  <c r="F6" i="160"/>
  <c r="T5" i="160"/>
  <c r="I5" i="160" s="1"/>
  <c r="F5" i="160"/>
  <c r="T17" i="159"/>
  <c r="K16" i="159"/>
  <c r="U16" i="159"/>
  <c r="M28" i="159" s="1"/>
  <c r="T16" i="159"/>
  <c r="I16" i="159" s="1"/>
  <c r="J28" i="159" s="1"/>
  <c r="F16" i="159"/>
  <c r="T15" i="159"/>
  <c r="I15" i="159" s="1"/>
  <c r="J27" i="159" s="1"/>
  <c r="F15" i="159"/>
  <c r="T14" i="159"/>
  <c r="I14" i="159" s="1"/>
  <c r="J26" i="159" s="1"/>
  <c r="F14" i="159"/>
  <c r="K13" i="159"/>
  <c r="U13" i="159"/>
  <c r="M25" i="159" s="1"/>
  <c r="T13" i="159"/>
  <c r="I13" i="159" s="1"/>
  <c r="J25" i="159" s="1"/>
  <c r="F13" i="159"/>
  <c r="T12" i="159"/>
  <c r="I12" i="159" s="1"/>
  <c r="J24" i="159" s="1"/>
  <c r="F12" i="159"/>
  <c r="T11" i="159"/>
  <c r="I11" i="159" s="1"/>
  <c r="J23" i="159" s="1"/>
  <c r="F11" i="159"/>
  <c r="K10" i="159"/>
  <c r="U10" i="159"/>
  <c r="M22" i="159" s="1"/>
  <c r="T10" i="159"/>
  <c r="I10" i="159" s="1"/>
  <c r="J22" i="159" s="1"/>
  <c r="F10" i="159"/>
  <c r="T9" i="159"/>
  <c r="I9" i="159" s="1"/>
  <c r="J21" i="159" s="1"/>
  <c r="F9" i="159"/>
  <c r="T8" i="159"/>
  <c r="I8" i="159" s="1"/>
  <c r="J20" i="159" s="1"/>
  <c r="F8" i="159"/>
  <c r="K7" i="159"/>
  <c r="U7" i="159"/>
  <c r="M19" i="159" s="1"/>
  <c r="T7" i="159"/>
  <c r="I7" i="159" s="1"/>
  <c r="J19" i="159" s="1"/>
  <c r="F7" i="159"/>
  <c r="T6" i="159"/>
  <c r="I6" i="159" s="1"/>
  <c r="J18" i="159" s="1"/>
  <c r="F6" i="159"/>
  <c r="T5" i="159"/>
  <c r="I5" i="159" s="1"/>
  <c r="F5" i="159"/>
  <c r="N19" i="159" l="1"/>
  <c r="O22" i="159" s="1"/>
  <c r="I17" i="159"/>
  <c r="N19" i="101"/>
  <c r="O22" i="101" s="1"/>
  <c r="I17" i="101"/>
  <c r="N19" i="160"/>
  <c r="O22" i="160" s="1"/>
  <c r="I17" i="160"/>
  <c r="H19" i="159"/>
  <c r="H22" i="159"/>
  <c r="H25" i="159"/>
  <c r="H28" i="159"/>
  <c r="H19" i="160"/>
  <c r="H22" i="160"/>
  <c r="H25" i="160"/>
  <c r="H28" i="160"/>
  <c r="H21" i="159"/>
  <c r="H24" i="159"/>
  <c r="H27" i="159"/>
  <c r="H18" i="160"/>
  <c r="H21" i="160"/>
  <c r="H24" i="160"/>
  <c r="H27" i="160"/>
  <c r="C7" i="160"/>
  <c r="C10" i="160"/>
  <c r="C13" i="160"/>
  <c r="C16" i="160"/>
  <c r="C7" i="159"/>
  <c r="C10" i="159"/>
  <c r="C13" i="159"/>
  <c r="C16" i="159"/>
  <c r="H29" i="75"/>
  <c r="C19" i="75"/>
  <c r="E31" i="75" s="1"/>
  <c r="H29" i="44"/>
  <c r="C19" i="44"/>
  <c r="E31" i="44" s="1"/>
  <c r="H29" i="135"/>
  <c r="C19" i="135"/>
  <c r="E31" i="135" s="1"/>
  <c r="H29" i="113"/>
  <c r="C19" i="113"/>
  <c r="E31" i="113" s="1"/>
  <c r="H29" i="19"/>
  <c r="C19" i="19"/>
  <c r="E31" i="19" s="1"/>
  <c r="H29" i="1"/>
  <c r="C19" i="1"/>
  <c r="E31" i="1" s="1"/>
  <c r="H29" i="159"/>
  <c r="C19" i="159"/>
  <c r="E31" i="159" s="1"/>
  <c r="H29" i="18"/>
  <c r="C19" i="18"/>
  <c r="E31" i="18" s="1"/>
  <c r="H29" i="61"/>
  <c r="C19" i="61"/>
  <c r="E31" i="61" s="1"/>
  <c r="H29" i="11"/>
  <c r="C19" i="11"/>
  <c r="E31" i="11" s="1"/>
  <c r="H29" i="149"/>
  <c r="C19" i="149"/>
  <c r="E31" i="149" s="1"/>
  <c r="H29" i="102"/>
  <c r="C19" i="102"/>
  <c r="E31" i="102" s="1"/>
  <c r="H29" i="22"/>
  <c r="C19" i="22"/>
  <c r="E31" i="22" s="1"/>
  <c r="H29" i="23"/>
  <c r="C19" i="23"/>
  <c r="E31" i="23" s="1"/>
  <c r="H29" i="153"/>
  <c r="C19" i="153"/>
  <c r="E31" i="153" s="1"/>
  <c r="H29" i="101"/>
  <c r="C19" i="101"/>
  <c r="E31" i="101" s="1"/>
  <c r="H29" i="29"/>
  <c r="C19" i="29"/>
  <c r="E31" i="29" s="1"/>
  <c r="H29" i="25"/>
  <c r="C19" i="25"/>
  <c r="E31" i="25" s="1"/>
  <c r="H29" i="107"/>
  <c r="C19" i="107"/>
  <c r="E31" i="107" s="1"/>
  <c r="H29" i="34"/>
  <c r="C19" i="34"/>
  <c r="E31" i="34" s="1"/>
  <c r="H29" i="3"/>
  <c r="C19" i="3"/>
  <c r="E31" i="3" s="1"/>
  <c r="H29" i="97"/>
  <c r="C19" i="97"/>
  <c r="E31" i="97" s="1"/>
  <c r="H29" i="46"/>
  <c r="C19" i="46"/>
  <c r="E31" i="46" s="1"/>
  <c r="H29" i="7"/>
  <c r="C19" i="7"/>
  <c r="E31" i="7" s="1"/>
  <c r="H29" i="52"/>
  <c r="C19" i="52"/>
  <c r="E31" i="52" s="1"/>
  <c r="H29" i="17"/>
  <c r="C19" i="17"/>
  <c r="E31" i="17" s="1"/>
  <c r="H29" i="12"/>
  <c r="C19" i="12"/>
  <c r="E31" i="12" s="1"/>
  <c r="H29" i="16"/>
  <c r="C19" i="16"/>
  <c r="E31" i="16" s="1"/>
  <c r="H29" i="53"/>
  <c r="C19" i="53"/>
  <c r="E31" i="53" s="1"/>
  <c r="H29" i="143"/>
  <c r="C19" i="143"/>
  <c r="E31" i="143" s="1"/>
  <c r="H29" i="13"/>
  <c r="C19" i="13"/>
  <c r="E31" i="13" s="1"/>
  <c r="H29" i="116"/>
  <c r="C19" i="116"/>
  <c r="E31" i="116" s="1"/>
  <c r="H29" i="47"/>
  <c r="C19" i="47"/>
  <c r="E31" i="47" s="1"/>
  <c r="H29" i="28"/>
  <c r="C19" i="28"/>
  <c r="E31" i="28" s="1"/>
  <c r="H29" i="54"/>
  <c r="C19" i="54"/>
  <c r="E31" i="54" s="1"/>
  <c r="H29" i="5"/>
  <c r="C19" i="5"/>
  <c r="E31" i="5" s="1"/>
  <c r="H29" i="32"/>
  <c r="C19" i="32"/>
  <c r="E31" i="32" s="1"/>
  <c r="H29" i="109"/>
  <c r="C19" i="109"/>
  <c r="E31" i="109" s="1"/>
  <c r="H29" i="33"/>
  <c r="C19" i="33"/>
  <c r="E31" i="33" s="1"/>
  <c r="H29" i="43"/>
  <c r="C19" i="43"/>
  <c r="E31" i="43" s="1"/>
  <c r="H29" i="103"/>
  <c r="C19" i="103"/>
  <c r="E31" i="103" s="1"/>
  <c r="H29" i="74"/>
  <c r="C19" i="74"/>
  <c r="E31" i="74" s="1"/>
  <c r="H29" i="148"/>
  <c r="C19" i="148"/>
  <c r="E31" i="148" s="1"/>
  <c r="H29" i="105"/>
  <c r="C19" i="105"/>
  <c r="E31" i="105" s="1"/>
  <c r="H29" i="24"/>
  <c r="C19" i="24"/>
  <c r="E31" i="24" s="1"/>
  <c r="H29" i="27"/>
  <c r="C19" i="27"/>
  <c r="E31" i="27" s="1"/>
  <c r="H29" i="140"/>
  <c r="C19" i="140"/>
  <c r="E31" i="140" s="1"/>
  <c r="H29" i="85"/>
  <c r="C19" i="85"/>
  <c r="E31" i="85" s="1"/>
  <c r="H29" i="45"/>
  <c r="C19" i="45"/>
  <c r="E31" i="45" s="1"/>
  <c r="H29" i="21"/>
  <c r="C19" i="21"/>
  <c r="E31" i="21" s="1"/>
  <c r="H29" i="37"/>
  <c r="C19" i="37"/>
  <c r="E31" i="37" s="1"/>
  <c r="H29" i="114"/>
  <c r="C19" i="114"/>
  <c r="E31" i="114" s="1"/>
  <c r="H29" i="48"/>
  <c r="C19" i="48"/>
  <c r="E31" i="48" s="1"/>
  <c r="H29" i="112"/>
  <c r="C19" i="112"/>
  <c r="E31" i="112" s="1"/>
  <c r="H29" i="160"/>
  <c r="C19" i="160"/>
  <c r="E31" i="160" s="1"/>
  <c r="H29" i="20"/>
  <c r="C19" i="20"/>
  <c r="E31" i="20" s="1"/>
  <c r="H29" i="89"/>
  <c r="C19" i="89"/>
  <c r="E31" i="89" s="1"/>
  <c r="H29" i="2"/>
  <c r="C19" i="2"/>
  <c r="E31" i="2" s="1"/>
  <c r="H29" i="88"/>
  <c r="C19" i="88"/>
  <c r="E31" i="88" s="1"/>
  <c r="H29" i="9"/>
  <c r="C19" i="9"/>
  <c r="E31" i="9" s="1"/>
  <c r="H29" i="104"/>
  <c r="C19" i="104"/>
  <c r="E31" i="104" s="1"/>
  <c r="H29" i="87"/>
  <c r="C19" i="87"/>
  <c r="E31" i="87" s="1"/>
  <c r="H29" i="8"/>
  <c r="C19" i="8"/>
  <c r="E31" i="8" s="1"/>
  <c r="H29" i="31"/>
  <c r="C19" i="31"/>
  <c r="E31" i="31" s="1"/>
  <c r="N7" i="160"/>
  <c r="N10" i="160"/>
  <c r="N13" i="160"/>
  <c r="N16" i="160"/>
  <c r="N7" i="101"/>
  <c r="L10" i="160"/>
  <c r="L13" i="160"/>
  <c r="L16" i="160"/>
  <c r="L19" i="160"/>
  <c r="L10" i="159"/>
  <c r="L13" i="159"/>
  <c r="L16" i="159"/>
  <c r="L19" i="159"/>
  <c r="N7" i="159"/>
  <c r="N10" i="159"/>
  <c r="N13" i="159"/>
  <c r="N16" i="159"/>
  <c r="N10" i="101"/>
  <c r="N13" i="101"/>
  <c r="N16" i="101"/>
  <c r="B19" i="113"/>
  <c r="B19" i="18"/>
  <c r="B19" i="149"/>
  <c r="B19" i="23"/>
  <c r="B19" i="153"/>
  <c r="B19" i="13"/>
  <c r="B19" i="148"/>
  <c r="B19" i="21"/>
  <c r="B19" i="20"/>
  <c r="B19" i="89"/>
  <c r="B19" i="88"/>
  <c r="B19" i="8"/>
  <c r="B19" i="47"/>
  <c r="B19" i="87"/>
  <c r="B19" i="46"/>
  <c r="B19" i="19"/>
  <c r="B19" i="116"/>
  <c r="B19" i="44"/>
  <c r="B19" i="24"/>
  <c r="B19" i="1"/>
  <c r="B19" i="31"/>
  <c r="B19" i="25"/>
  <c r="B19" i="52"/>
  <c r="B19" i="53"/>
  <c r="B19" i="107"/>
  <c r="H20" i="160"/>
  <c r="H23" i="160"/>
  <c r="H26" i="160"/>
  <c r="B19" i="160"/>
  <c r="H20" i="159"/>
  <c r="H23" i="159"/>
  <c r="H26" i="159"/>
  <c r="B19" i="159"/>
  <c r="B19" i="140"/>
  <c r="B19" i="48"/>
  <c r="B19" i="104"/>
  <c r="B19" i="45"/>
  <c r="B19" i="97"/>
  <c r="B19" i="143"/>
  <c r="B19" i="27"/>
  <c r="B19" i="114"/>
  <c r="B19" i="74"/>
  <c r="B19" i="32"/>
  <c r="B19" i="85"/>
  <c r="B19" i="2"/>
  <c r="B19" i="33"/>
  <c r="B19" i="109"/>
  <c r="B19" i="112"/>
  <c r="B19" i="75"/>
  <c r="B19" i="43"/>
  <c r="B19" i="103"/>
  <c r="B19" i="102"/>
  <c r="B19" i="101"/>
  <c r="B19" i="12"/>
  <c r="B19" i="16"/>
  <c r="B19" i="17"/>
  <c r="B19" i="7"/>
  <c r="B19" i="54"/>
  <c r="B19" i="37"/>
  <c r="B19" i="9"/>
  <c r="B19" i="5"/>
  <c r="B19" i="29"/>
  <c r="B19" i="28"/>
  <c r="B19" i="11"/>
  <c r="B19" i="135"/>
  <c r="B19" i="3"/>
  <c r="B19" i="22"/>
  <c r="B19" i="34"/>
  <c r="B19" i="105"/>
  <c r="B19" i="61"/>
  <c r="G17" i="159"/>
  <c r="G18" i="85"/>
  <c r="G18" i="29"/>
  <c r="G18" i="28"/>
  <c r="G18" i="45"/>
  <c r="G18" i="114"/>
  <c r="G18" i="116"/>
  <c r="G18" i="44"/>
  <c r="G18" i="21"/>
  <c r="G18" i="54"/>
  <c r="G18" i="37"/>
  <c r="G18" i="135"/>
  <c r="G18" i="5"/>
  <c r="G18" i="48"/>
  <c r="G18" i="109"/>
  <c r="G18" i="1"/>
  <c r="G13" i="160"/>
  <c r="G18" i="160"/>
  <c r="G18" i="159"/>
  <c r="G18" i="43"/>
  <c r="G18" i="24"/>
  <c r="G18" i="11"/>
  <c r="G18" i="3"/>
  <c r="G18" i="7"/>
  <c r="G18" i="103"/>
  <c r="G18" i="105"/>
  <c r="G18" i="53"/>
  <c r="G18" i="61"/>
  <c r="G18" i="22"/>
  <c r="G18" i="16"/>
  <c r="G18" i="153"/>
  <c r="G18" i="13"/>
  <c r="G18" i="17"/>
  <c r="G18" i="31"/>
  <c r="G18" i="101"/>
  <c r="G18" i="52"/>
  <c r="G18" i="33"/>
  <c r="G18" i="18"/>
  <c r="G18" i="20"/>
  <c r="G18" i="23"/>
  <c r="G18" i="75"/>
  <c r="G18" i="27"/>
  <c r="G18" i="143"/>
  <c r="G18" i="88"/>
  <c r="G18" i="148"/>
  <c r="G18" i="149"/>
  <c r="G18" i="89"/>
  <c r="G18" i="112"/>
  <c r="G18" i="74"/>
  <c r="G18" i="25"/>
  <c r="G18" i="97"/>
  <c r="G18" i="107"/>
  <c r="G18" i="140"/>
  <c r="G18" i="113"/>
  <c r="G18" i="9"/>
  <c r="G18" i="34"/>
  <c r="G18" i="87"/>
  <c r="G18" i="47"/>
  <c r="G18" i="46"/>
  <c r="G18" i="19"/>
  <c r="G18" i="32"/>
  <c r="G18" i="104"/>
  <c r="G18" i="102"/>
  <c r="G18" i="12"/>
  <c r="G18" i="2"/>
  <c r="G18" i="8"/>
  <c r="G8" i="159"/>
  <c r="G13" i="159"/>
  <c r="G15" i="159"/>
  <c r="G6" i="160"/>
  <c r="G7" i="160"/>
  <c r="G14" i="160"/>
  <c r="G7" i="159"/>
  <c r="H18" i="159"/>
  <c r="G11" i="159"/>
  <c r="G12" i="159"/>
  <c r="G9" i="160"/>
  <c r="G16" i="160"/>
  <c r="H17" i="160"/>
  <c r="B7" i="160"/>
  <c r="G10" i="160"/>
  <c r="B10" i="160"/>
  <c r="G15" i="160"/>
  <c r="B13" i="160"/>
  <c r="G12" i="160"/>
  <c r="G8" i="160"/>
  <c r="G11" i="160"/>
  <c r="B16" i="160"/>
  <c r="G17" i="160"/>
  <c r="G9" i="159"/>
  <c r="B13" i="159"/>
  <c r="G16" i="159"/>
  <c r="B16" i="159"/>
  <c r="G6" i="159"/>
  <c r="H17" i="159"/>
  <c r="B7" i="159"/>
  <c r="B10" i="159"/>
  <c r="G10" i="159"/>
  <c r="G14" i="159"/>
  <c r="O19" i="101" l="1"/>
  <c r="J17" i="160"/>
  <c r="J29" i="160"/>
  <c r="J17" i="159"/>
  <c r="J29" i="159"/>
  <c r="J29" i="101"/>
  <c r="J17" i="101"/>
  <c r="D22" i="31"/>
  <c r="D22" i="87"/>
  <c r="D22" i="9"/>
  <c r="D22" i="2"/>
  <c r="D22" i="20"/>
  <c r="D22" i="112"/>
  <c r="D22" i="114"/>
  <c r="D22" i="21"/>
  <c r="D22" i="85"/>
  <c r="D22" i="27"/>
  <c r="D22" i="105"/>
  <c r="D22" i="148"/>
  <c r="D22" i="103"/>
  <c r="D22" i="33"/>
  <c r="D22" i="32"/>
  <c r="D22" i="54"/>
  <c r="D22" i="47"/>
  <c r="D22" i="13"/>
  <c r="D22" i="53"/>
  <c r="D22" i="12"/>
  <c r="D22" i="52"/>
  <c r="D22" i="46"/>
  <c r="D22" i="3"/>
  <c r="D22" i="107"/>
  <c r="D22" i="29"/>
  <c r="D22" i="101"/>
  <c r="D22" i="23"/>
  <c r="D22" i="102"/>
  <c r="D22" i="11"/>
  <c r="D22" i="18"/>
  <c r="D22" i="1"/>
  <c r="D22" i="113"/>
  <c r="D22" i="44"/>
  <c r="D16" i="159"/>
  <c r="E28" i="159"/>
  <c r="D16" i="160"/>
  <c r="E28" i="160"/>
  <c r="D13" i="159"/>
  <c r="E25" i="159"/>
  <c r="D13" i="160"/>
  <c r="E25" i="160"/>
  <c r="D22" i="8"/>
  <c r="D22" i="104"/>
  <c r="D22" i="88"/>
  <c r="D22" i="89"/>
  <c r="E19" i="160"/>
  <c r="D19" i="160"/>
  <c r="D22" i="160"/>
  <c r="D22" i="48"/>
  <c r="D22" i="37"/>
  <c r="D22" i="45"/>
  <c r="D22" i="140"/>
  <c r="D22" i="24"/>
  <c r="D22" i="74"/>
  <c r="D22" i="43"/>
  <c r="D22" i="109"/>
  <c r="D22" i="5"/>
  <c r="D22" i="28"/>
  <c r="D22" i="116"/>
  <c r="D22" i="143"/>
  <c r="D22" i="16"/>
  <c r="D22" i="17"/>
  <c r="D22" i="7"/>
  <c r="D22" i="97"/>
  <c r="D22" i="34"/>
  <c r="D22" i="25"/>
  <c r="D22" i="153"/>
  <c r="D22" i="22"/>
  <c r="D22" i="149"/>
  <c r="D22" i="61"/>
  <c r="E19" i="159"/>
  <c r="D19" i="159"/>
  <c r="D22" i="159"/>
  <c r="D22" i="19"/>
  <c r="D22" i="135"/>
  <c r="D22" i="75"/>
  <c r="D10" i="159"/>
  <c r="E22" i="159"/>
  <c r="D10" i="160"/>
  <c r="E22" i="160"/>
  <c r="O13" i="101"/>
  <c r="O10" i="159"/>
  <c r="O16" i="160"/>
  <c r="O13" i="160"/>
  <c r="O10" i="101"/>
  <c r="O16" i="159"/>
  <c r="O19" i="160"/>
  <c r="O10" i="160"/>
  <c r="O16" i="101"/>
  <c r="O13" i="159"/>
  <c r="O19" i="159"/>
  <c r="K19" i="152" l="1"/>
  <c r="U19" i="152"/>
  <c r="T16" i="152"/>
  <c r="I16" i="152" s="1"/>
  <c r="J28" i="152" s="1"/>
  <c r="F15" i="152"/>
  <c r="T13" i="152"/>
  <c r="I13" i="152" s="1"/>
  <c r="J25" i="152" s="1"/>
  <c r="F12" i="152"/>
  <c r="T11" i="152"/>
  <c r="I11" i="152" s="1"/>
  <c r="J23" i="152" s="1"/>
  <c r="F10" i="152"/>
  <c r="T9" i="152"/>
  <c r="I9" i="152" s="1"/>
  <c r="J21" i="152" s="1"/>
  <c r="T8" i="152"/>
  <c r="I8" i="152" s="1"/>
  <c r="J20" i="152" s="1"/>
  <c r="T7" i="152"/>
  <c r="I7" i="152" s="1"/>
  <c r="J19" i="152" s="1"/>
  <c r="T6" i="152"/>
  <c r="I6" i="152" s="1"/>
  <c r="J18" i="152" s="1"/>
  <c r="F5" i="152"/>
  <c r="T17" i="153"/>
  <c r="K16" i="153"/>
  <c r="U16" i="153"/>
  <c r="M28" i="153" s="1"/>
  <c r="T16" i="153"/>
  <c r="I16" i="153" s="1"/>
  <c r="J28" i="153" s="1"/>
  <c r="F16" i="153"/>
  <c r="T15" i="153"/>
  <c r="I15" i="153" s="1"/>
  <c r="J27" i="153" s="1"/>
  <c r="F15" i="153"/>
  <c r="T14" i="153"/>
  <c r="I14" i="153" s="1"/>
  <c r="J26" i="153" s="1"/>
  <c r="F14" i="153"/>
  <c r="K13" i="153"/>
  <c r="U13" i="153"/>
  <c r="M25" i="153" s="1"/>
  <c r="T13" i="153"/>
  <c r="I13" i="153" s="1"/>
  <c r="J25" i="153" s="1"/>
  <c r="F13" i="153"/>
  <c r="T12" i="153"/>
  <c r="I12" i="153" s="1"/>
  <c r="J24" i="153" s="1"/>
  <c r="F12" i="153"/>
  <c r="T11" i="153"/>
  <c r="I11" i="153" s="1"/>
  <c r="J23" i="153" s="1"/>
  <c r="F11" i="153"/>
  <c r="K10" i="153"/>
  <c r="U10" i="153"/>
  <c r="M22" i="153" s="1"/>
  <c r="T10" i="153"/>
  <c r="I10" i="153" s="1"/>
  <c r="J22" i="153" s="1"/>
  <c r="F10" i="153"/>
  <c r="T9" i="153"/>
  <c r="I9" i="153" s="1"/>
  <c r="J21" i="153" s="1"/>
  <c r="F9" i="153"/>
  <c r="T8" i="153"/>
  <c r="I8" i="153" s="1"/>
  <c r="J20" i="153" s="1"/>
  <c r="F8" i="153"/>
  <c r="K7" i="153"/>
  <c r="U7" i="153"/>
  <c r="M19" i="153" s="1"/>
  <c r="T7" i="153"/>
  <c r="I7" i="153" s="1"/>
  <c r="J19" i="153" s="1"/>
  <c r="F7" i="153"/>
  <c r="T6" i="153"/>
  <c r="I6" i="153" s="1"/>
  <c r="J18" i="153" s="1"/>
  <c r="F6" i="153"/>
  <c r="T5" i="153"/>
  <c r="I5" i="153" s="1"/>
  <c r="F5" i="153"/>
  <c r="N19" i="153" l="1"/>
  <c r="O22" i="153" s="1"/>
  <c r="I17" i="153"/>
  <c r="H24" i="153"/>
  <c r="H18" i="153"/>
  <c r="H27" i="153"/>
  <c r="H27" i="152"/>
  <c r="H19" i="153"/>
  <c r="H24" i="152"/>
  <c r="H21" i="153"/>
  <c r="H22" i="152"/>
  <c r="H22" i="153"/>
  <c r="H25" i="153"/>
  <c r="L22" i="152"/>
  <c r="M31" i="152"/>
  <c r="C7" i="153"/>
  <c r="E19" i="153" s="1"/>
  <c r="C13" i="153"/>
  <c r="C16" i="153"/>
  <c r="C10" i="153"/>
  <c r="G17" i="153"/>
  <c r="H28" i="153"/>
  <c r="L10" i="153"/>
  <c r="L13" i="153"/>
  <c r="L16" i="153"/>
  <c r="L19" i="153"/>
  <c r="N7" i="153"/>
  <c r="N10" i="153"/>
  <c r="N13" i="153"/>
  <c r="N16" i="153"/>
  <c r="H20" i="153"/>
  <c r="H23" i="153"/>
  <c r="H26" i="153"/>
  <c r="F6" i="152"/>
  <c r="F16" i="152"/>
  <c r="T12" i="152"/>
  <c r="T10" i="152"/>
  <c r="K10" i="152"/>
  <c r="G6" i="153"/>
  <c r="G13" i="153"/>
  <c r="B10" i="153"/>
  <c r="T17" i="152"/>
  <c r="F17" i="152"/>
  <c r="T15" i="152"/>
  <c r="I15" i="152" s="1"/>
  <c r="J27" i="152" s="1"/>
  <c r="F11" i="152"/>
  <c r="T5" i="152"/>
  <c r="U7" i="152"/>
  <c r="M19" i="152" s="1"/>
  <c r="B7" i="153"/>
  <c r="B13" i="153"/>
  <c r="B16" i="153"/>
  <c r="K7" i="152"/>
  <c r="F9" i="152"/>
  <c r="U16" i="152"/>
  <c r="M28" i="152" s="1"/>
  <c r="G15" i="153"/>
  <c r="G8" i="153"/>
  <c r="G9" i="153"/>
  <c r="G12" i="153"/>
  <c r="K16" i="152"/>
  <c r="K13" i="152"/>
  <c r="F14" i="152"/>
  <c r="F7" i="152"/>
  <c r="U13" i="152"/>
  <c r="M25" i="152" s="1"/>
  <c r="F8" i="152"/>
  <c r="T14" i="152"/>
  <c r="I14" i="152" s="1"/>
  <c r="J26" i="152" s="1"/>
  <c r="U10" i="152"/>
  <c r="M22" i="152" s="1"/>
  <c r="F13" i="152"/>
  <c r="G7" i="153"/>
  <c r="G11" i="153"/>
  <c r="G10" i="153"/>
  <c r="G14" i="153"/>
  <c r="H17" i="153"/>
  <c r="G16" i="153"/>
  <c r="N10" i="152" l="1"/>
  <c r="I10" i="152"/>
  <c r="J22" i="152" s="1"/>
  <c r="N19" i="152"/>
  <c r="O22" i="152" s="1"/>
  <c r="I17" i="152"/>
  <c r="N13" i="152"/>
  <c r="I12" i="152"/>
  <c r="J24" i="152" s="1"/>
  <c r="N7" i="152"/>
  <c r="I5" i="152"/>
  <c r="J17" i="153"/>
  <c r="J29" i="153"/>
  <c r="H18" i="152"/>
  <c r="N16" i="152"/>
  <c r="D10" i="153"/>
  <c r="E22" i="153"/>
  <c r="D16" i="153"/>
  <c r="E28" i="153"/>
  <c r="D19" i="153"/>
  <c r="D13" i="153"/>
  <c r="E25" i="153"/>
  <c r="C16" i="152"/>
  <c r="C7" i="152"/>
  <c r="C10" i="152"/>
  <c r="C13" i="152"/>
  <c r="H29" i="152"/>
  <c r="C19" i="152"/>
  <c r="E31" i="152" s="1"/>
  <c r="O16" i="153"/>
  <c r="G16" i="152"/>
  <c r="H28" i="152"/>
  <c r="O19" i="153"/>
  <c r="O10" i="153"/>
  <c r="O13" i="153"/>
  <c r="L16" i="152"/>
  <c r="L10" i="152"/>
  <c r="L19" i="152"/>
  <c r="L13" i="152"/>
  <c r="H26" i="152"/>
  <c r="H20" i="152"/>
  <c r="B19" i="152"/>
  <c r="G13" i="152"/>
  <c r="H25" i="152"/>
  <c r="G12" i="152"/>
  <c r="H23" i="152"/>
  <c r="B16" i="152"/>
  <c r="G6" i="152"/>
  <c r="G10" i="152"/>
  <c r="H21" i="152"/>
  <c r="G7" i="152"/>
  <c r="H19" i="152"/>
  <c r="G11" i="152"/>
  <c r="G17" i="152"/>
  <c r="G18" i="152"/>
  <c r="H17" i="152"/>
  <c r="B7" i="152"/>
  <c r="B13" i="152"/>
  <c r="G9" i="152"/>
  <c r="G15" i="152"/>
  <c r="G14" i="152"/>
  <c r="B10" i="152"/>
  <c r="G8" i="152"/>
  <c r="O13" i="152" l="1"/>
  <c r="O19" i="152"/>
  <c r="O10" i="152"/>
  <c r="O16" i="152"/>
  <c r="J29" i="152"/>
  <c r="J17" i="152"/>
  <c r="D16" i="152"/>
  <c r="E28" i="152"/>
  <c r="D13" i="152"/>
  <c r="E25" i="152"/>
  <c r="D10" i="152"/>
  <c r="E22" i="152"/>
  <c r="E19" i="152"/>
  <c r="D19" i="152"/>
  <c r="D22" i="152"/>
  <c r="K13" i="149"/>
  <c r="T17" i="149"/>
  <c r="T15" i="149"/>
  <c r="I15" i="149" s="1"/>
  <c r="J27" i="149" s="1"/>
  <c r="U16" i="149"/>
  <c r="M28" i="149" s="1"/>
  <c r="T12" i="149"/>
  <c r="I12" i="149" s="1"/>
  <c r="J24" i="149" s="1"/>
  <c r="T6" i="149"/>
  <c r="I6" i="149" s="1"/>
  <c r="J18" i="149" s="1"/>
  <c r="T5" i="149"/>
  <c r="I5" i="149" s="1"/>
  <c r="K16" i="149"/>
  <c r="T16" i="149"/>
  <c r="I16" i="149" s="1"/>
  <c r="J28" i="149" s="1"/>
  <c r="F16" i="149"/>
  <c r="F15" i="149"/>
  <c r="T14" i="149"/>
  <c r="I14" i="149" s="1"/>
  <c r="J26" i="149" s="1"/>
  <c r="F14" i="149"/>
  <c r="U13" i="149"/>
  <c r="M25" i="149" s="1"/>
  <c r="T13" i="149"/>
  <c r="I13" i="149" s="1"/>
  <c r="J25" i="149" s="1"/>
  <c r="F13" i="149"/>
  <c r="T11" i="149"/>
  <c r="I11" i="149" s="1"/>
  <c r="J23" i="149" s="1"/>
  <c r="F11" i="149"/>
  <c r="K10" i="149"/>
  <c r="U10" i="149"/>
  <c r="M22" i="149" s="1"/>
  <c r="T10" i="149"/>
  <c r="I10" i="149" s="1"/>
  <c r="J22" i="149" s="1"/>
  <c r="F10" i="149"/>
  <c r="T9" i="149"/>
  <c r="I9" i="149" s="1"/>
  <c r="J21" i="149" s="1"/>
  <c r="F9" i="149"/>
  <c r="T8" i="149"/>
  <c r="I8" i="149" s="1"/>
  <c r="J20" i="149" s="1"/>
  <c r="F8" i="149"/>
  <c r="K7" i="149"/>
  <c r="T7" i="149"/>
  <c r="I7" i="149" s="1"/>
  <c r="J19" i="149" s="1"/>
  <c r="F7" i="149"/>
  <c r="F6" i="149"/>
  <c r="T17" i="148"/>
  <c r="K16" i="148"/>
  <c r="U16" i="148"/>
  <c r="M28" i="148" s="1"/>
  <c r="T16" i="148"/>
  <c r="I16" i="148" s="1"/>
  <c r="J28" i="148" s="1"/>
  <c r="F16" i="148"/>
  <c r="T15" i="148"/>
  <c r="I15" i="148" s="1"/>
  <c r="J27" i="148" s="1"/>
  <c r="F15" i="148"/>
  <c r="T14" i="148"/>
  <c r="I14" i="148" s="1"/>
  <c r="J26" i="148" s="1"/>
  <c r="F14" i="148"/>
  <c r="K13" i="148"/>
  <c r="U13" i="148"/>
  <c r="M25" i="148" s="1"/>
  <c r="T13" i="148"/>
  <c r="I13" i="148" s="1"/>
  <c r="J25" i="148" s="1"/>
  <c r="F13" i="148"/>
  <c r="T12" i="148"/>
  <c r="I12" i="148" s="1"/>
  <c r="J24" i="148" s="1"/>
  <c r="F12" i="148"/>
  <c r="T11" i="148"/>
  <c r="I11" i="148" s="1"/>
  <c r="J23" i="148" s="1"/>
  <c r="F11" i="148"/>
  <c r="K10" i="148"/>
  <c r="U10" i="148"/>
  <c r="M22" i="148" s="1"/>
  <c r="T10" i="148"/>
  <c r="I10" i="148" s="1"/>
  <c r="J22" i="148" s="1"/>
  <c r="F10" i="148"/>
  <c r="T9" i="148"/>
  <c r="I9" i="148" s="1"/>
  <c r="J21" i="148" s="1"/>
  <c r="F9" i="148"/>
  <c r="T8" i="148"/>
  <c r="I8" i="148" s="1"/>
  <c r="J20" i="148" s="1"/>
  <c r="F8" i="148"/>
  <c r="K7" i="148"/>
  <c r="U7" i="148"/>
  <c r="M19" i="148" s="1"/>
  <c r="T7" i="148"/>
  <c r="I7" i="148" s="1"/>
  <c r="J19" i="148" s="1"/>
  <c r="F7" i="148"/>
  <c r="T6" i="148"/>
  <c r="I6" i="148" s="1"/>
  <c r="J18" i="148" s="1"/>
  <c r="F6" i="148"/>
  <c r="T5" i="148"/>
  <c r="I5" i="148" s="1"/>
  <c r="F5" i="148"/>
  <c r="N19" i="148" l="1"/>
  <c r="O22" i="148" s="1"/>
  <c r="I17" i="148"/>
  <c r="N19" i="149"/>
  <c r="O22" i="149" s="1"/>
  <c r="I17" i="149"/>
  <c r="H19" i="148"/>
  <c r="H28" i="148"/>
  <c r="H27" i="149"/>
  <c r="H18" i="149"/>
  <c r="H28" i="149"/>
  <c r="H22" i="148"/>
  <c r="H25" i="148"/>
  <c r="H22" i="149"/>
  <c r="H18" i="148"/>
  <c r="H19" i="149"/>
  <c r="H21" i="148"/>
  <c r="H24" i="148"/>
  <c r="H27" i="148"/>
  <c r="H21" i="149"/>
  <c r="H25" i="149"/>
  <c r="C13" i="148"/>
  <c r="E25" i="148" s="1"/>
  <c r="C16" i="148"/>
  <c r="E28" i="148" s="1"/>
  <c r="C10" i="148"/>
  <c r="C7" i="148"/>
  <c r="E19" i="148" s="1"/>
  <c r="C10" i="149"/>
  <c r="C16" i="149"/>
  <c r="N13" i="149"/>
  <c r="L13" i="148"/>
  <c r="N10" i="149"/>
  <c r="L10" i="148"/>
  <c r="L16" i="148"/>
  <c r="L19" i="148"/>
  <c r="N7" i="148"/>
  <c r="N10" i="148"/>
  <c r="N13" i="148"/>
  <c r="N16" i="148"/>
  <c r="N16" i="149"/>
  <c r="L16" i="149"/>
  <c r="L19" i="149"/>
  <c r="N7" i="149"/>
  <c r="L13" i="149"/>
  <c r="H26" i="149"/>
  <c r="H23" i="148"/>
  <c r="H20" i="148"/>
  <c r="H26" i="148"/>
  <c r="H20" i="149"/>
  <c r="H23" i="149"/>
  <c r="G7" i="148"/>
  <c r="G9" i="148"/>
  <c r="G12" i="148"/>
  <c r="G16" i="148"/>
  <c r="G15" i="148"/>
  <c r="G15" i="149"/>
  <c r="G8" i="149"/>
  <c r="G9" i="149"/>
  <c r="F12" i="149"/>
  <c r="B16" i="149"/>
  <c r="G7" i="149"/>
  <c r="B10" i="149"/>
  <c r="G16" i="149"/>
  <c r="F5" i="149"/>
  <c r="U7" i="149"/>
  <c r="M19" i="149" s="1"/>
  <c r="G11" i="149"/>
  <c r="G10" i="149"/>
  <c r="G14" i="149"/>
  <c r="G17" i="149"/>
  <c r="B7" i="148"/>
  <c r="G10" i="148"/>
  <c r="G6" i="148"/>
  <c r="B10" i="148"/>
  <c r="G13" i="148"/>
  <c r="H17" i="148"/>
  <c r="B13" i="148"/>
  <c r="B16" i="148"/>
  <c r="G11" i="148"/>
  <c r="G14" i="148"/>
  <c r="G8" i="148"/>
  <c r="G17" i="148"/>
  <c r="J29" i="149" l="1"/>
  <c r="J17" i="149"/>
  <c r="J29" i="148"/>
  <c r="J17" i="148"/>
  <c r="C7" i="149"/>
  <c r="E19" i="149" s="1"/>
  <c r="C13" i="149"/>
  <c r="D13" i="149" s="1"/>
  <c r="D16" i="148"/>
  <c r="D19" i="148"/>
  <c r="E22" i="149"/>
  <c r="D10" i="148"/>
  <c r="E22" i="148"/>
  <c r="E28" i="149"/>
  <c r="D19" i="149"/>
  <c r="D13" i="148"/>
  <c r="O16" i="148"/>
  <c r="O13" i="149"/>
  <c r="O16" i="149"/>
  <c r="O10" i="149"/>
  <c r="O19" i="148"/>
  <c r="O13" i="148"/>
  <c r="O10" i="148"/>
  <c r="L10" i="149"/>
  <c r="O19" i="149"/>
  <c r="B7" i="149"/>
  <c r="G12" i="149"/>
  <c r="H24" i="149"/>
  <c r="G13" i="149"/>
  <c r="B13" i="149"/>
  <c r="G6" i="149"/>
  <c r="H17" i="149"/>
  <c r="S17" i="144"/>
  <c r="R17" i="144"/>
  <c r="K19" i="144" s="1"/>
  <c r="Q17" i="144"/>
  <c r="S16" i="144"/>
  <c r="R16" i="144"/>
  <c r="Q16" i="144"/>
  <c r="S15" i="144"/>
  <c r="R15" i="144"/>
  <c r="Q15" i="144"/>
  <c r="F15" i="144" s="1"/>
  <c r="S14" i="144"/>
  <c r="R14" i="144"/>
  <c r="Q14" i="144"/>
  <c r="S13" i="144"/>
  <c r="R13" i="144"/>
  <c r="Q13" i="144"/>
  <c r="F13" i="144" s="1"/>
  <c r="S12" i="144"/>
  <c r="R12" i="144"/>
  <c r="Q12" i="144"/>
  <c r="F12" i="144" s="1"/>
  <c r="S11" i="144"/>
  <c r="R11" i="144"/>
  <c r="Q11" i="144"/>
  <c r="F11" i="144" s="1"/>
  <c r="S10" i="144"/>
  <c r="R10" i="144"/>
  <c r="Q10" i="144"/>
  <c r="F10" i="144" s="1"/>
  <c r="S9" i="144"/>
  <c r="R9" i="144"/>
  <c r="Q9" i="144"/>
  <c r="F9" i="144" s="1"/>
  <c r="S8" i="144"/>
  <c r="R8" i="144"/>
  <c r="Q8" i="144"/>
  <c r="F8" i="144" s="1"/>
  <c r="S7" i="144"/>
  <c r="R7" i="144"/>
  <c r="Q7" i="144"/>
  <c r="F7" i="144" s="1"/>
  <c r="S6" i="144"/>
  <c r="R6" i="144"/>
  <c r="Q6" i="144"/>
  <c r="S5" i="144"/>
  <c r="R5" i="144"/>
  <c r="Q5" i="144"/>
  <c r="T17" i="143"/>
  <c r="K16" i="143"/>
  <c r="U16" i="143"/>
  <c r="M28" i="143" s="1"/>
  <c r="T16" i="143"/>
  <c r="I16" i="143" s="1"/>
  <c r="J28" i="143" s="1"/>
  <c r="F16" i="143"/>
  <c r="T15" i="143"/>
  <c r="I15" i="143" s="1"/>
  <c r="J27" i="143" s="1"/>
  <c r="F15" i="143"/>
  <c r="T14" i="143"/>
  <c r="I14" i="143" s="1"/>
  <c r="J26" i="143" s="1"/>
  <c r="F14" i="143"/>
  <c r="K13" i="143"/>
  <c r="U13" i="143"/>
  <c r="M25" i="143" s="1"/>
  <c r="T13" i="143"/>
  <c r="I13" i="143" s="1"/>
  <c r="J25" i="143" s="1"/>
  <c r="F13" i="143"/>
  <c r="T12" i="143"/>
  <c r="I12" i="143" s="1"/>
  <c r="J24" i="143" s="1"/>
  <c r="F12" i="143"/>
  <c r="T11" i="143"/>
  <c r="I11" i="143" s="1"/>
  <c r="J23" i="143" s="1"/>
  <c r="F11" i="143"/>
  <c r="K10" i="143"/>
  <c r="U10" i="143"/>
  <c r="M22" i="143" s="1"/>
  <c r="T10" i="143"/>
  <c r="I10" i="143" s="1"/>
  <c r="J22" i="143" s="1"/>
  <c r="F10" i="143"/>
  <c r="T9" i="143"/>
  <c r="I9" i="143" s="1"/>
  <c r="J21" i="143" s="1"/>
  <c r="F9" i="143"/>
  <c r="T8" i="143"/>
  <c r="I8" i="143" s="1"/>
  <c r="J20" i="143" s="1"/>
  <c r="F8" i="143"/>
  <c r="K7" i="143"/>
  <c r="U7" i="143"/>
  <c r="M19" i="143" s="1"/>
  <c r="T7" i="143"/>
  <c r="I7" i="143" s="1"/>
  <c r="J19" i="143" s="1"/>
  <c r="F7" i="143"/>
  <c r="T6" i="143"/>
  <c r="I6" i="143" s="1"/>
  <c r="J18" i="143" s="1"/>
  <c r="F6" i="143"/>
  <c r="T5" i="143"/>
  <c r="I5" i="143" s="1"/>
  <c r="F5" i="143"/>
  <c r="K19" i="142"/>
  <c r="U19" i="142"/>
  <c r="S16" i="142"/>
  <c r="R16" i="142"/>
  <c r="Q16" i="142"/>
  <c r="F16" i="142" s="1"/>
  <c r="S15" i="142"/>
  <c r="R15" i="142"/>
  <c r="Q15" i="142"/>
  <c r="S14" i="142"/>
  <c r="R14" i="142"/>
  <c r="Q14" i="142"/>
  <c r="F14" i="142" s="1"/>
  <c r="S13" i="142"/>
  <c r="R13" i="142"/>
  <c r="Q13" i="142"/>
  <c r="S12" i="142"/>
  <c r="R12" i="142"/>
  <c r="Q12" i="142"/>
  <c r="S11" i="142"/>
  <c r="R11" i="142"/>
  <c r="Q11" i="142"/>
  <c r="S10" i="142"/>
  <c r="R10" i="142"/>
  <c r="Q10" i="142"/>
  <c r="F10" i="142" s="1"/>
  <c r="S9" i="142"/>
  <c r="R9" i="142"/>
  <c r="Q9" i="142"/>
  <c r="S8" i="142"/>
  <c r="R8" i="142"/>
  <c r="Q8" i="142"/>
  <c r="F8" i="142" s="1"/>
  <c r="S7" i="142"/>
  <c r="R7" i="142"/>
  <c r="Q7" i="142"/>
  <c r="F7" i="142" s="1"/>
  <c r="S6" i="142"/>
  <c r="R6" i="142"/>
  <c r="Q6" i="142"/>
  <c r="F6" i="142" s="1"/>
  <c r="S5" i="142"/>
  <c r="R5" i="142"/>
  <c r="Q5" i="142"/>
  <c r="N19" i="143" l="1"/>
  <c r="O22" i="143" s="1"/>
  <c r="I17" i="143"/>
  <c r="D10" i="149"/>
  <c r="H22" i="144"/>
  <c r="H18" i="142"/>
  <c r="H22" i="142"/>
  <c r="H21" i="144"/>
  <c r="H25" i="144"/>
  <c r="H19" i="143"/>
  <c r="H22" i="143"/>
  <c r="H25" i="143"/>
  <c r="H18" i="143"/>
  <c r="H21" i="143"/>
  <c r="H24" i="143"/>
  <c r="H27" i="143"/>
  <c r="H24" i="144"/>
  <c r="E25" i="149"/>
  <c r="H19" i="142"/>
  <c r="H28" i="142"/>
  <c r="H19" i="144"/>
  <c r="H27" i="144"/>
  <c r="D16" i="149"/>
  <c r="L22" i="142"/>
  <c r="M31" i="142"/>
  <c r="C10" i="144"/>
  <c r="E22" i="144" s="1"/>
  <c r="C13" i="144"/>
  <c r="C16" i="143"/>
  <c r="C7" i="143"/>
  <c r="E19" i="143" s="1"/>
  <c r="C10" i="143"/>
  <c r="C13" i="143"/>
  <c r="N7" i="143"/>
  <c r="N10" i="143"/>
  <c r="N13" i="143"/>
  <c r="G17" i="143"/>
  <c r="H28" i="143"/>
  <c r="N16" i="143"/>
  <c r="L10" i="143"/>
  <c r="L13" i="143"/>
  <c r="L16" i="143"/>
  <c r="L19" i="143"/>
  <c r="H20" i="142"/>
  <c r="H26" i="142"/>
  <c r="H20" i="143"/>
  <c r="H23" i="143"/>
  <c r="H26" i="143"/>
  <c r="H23" i="144"/>
  <c r="H20" i="144"/>
  <c r="F17" i="144"/>
  <c r="U19" i="144"/>
  <c r="U7" i="144"/>
  <c r="T7" i="144"/>
  <c r="I7" i="144" s="1"/>
  <c r="J19" i="144" s="1"/>
  <c r="K16" i="142"/>
  <c r="T9" i="144"/>
  <c r="I9" i="144" s="1"/>
  <c r="J21" i="144" s="1"/>
  <c r="T13" i="144"/>
  <c r="I13" i="144" s="1"/>
  <c r="J25" i="144" s="1"/>
  <c r="T17" i="144"/>
  <c r="U13" i="142"/>
  <c r="M25" i="142" s="1"/>
  <c r="K13" i="142"/>
  <c r="T5" i="142"/>
  <c r="I5" i="142" s="1"/>
  <c r="T9" i="142"/>
  <c r="I9" i="142" s="1"/>
  <c r="J21" i="142" s="1"/>
  <c r="T11" i="142"/>
  <c r="I11" i="142" s="1"/>
  <c r="J23" i="142" s="1"/>
  <c r="T13" i="142"/>
  <c r="I13" i="142" s="1"/>
  <c r="J25" i="142" s="1"/>
  <c r="T15" i="142"/>
  <c r="I15" i="142" s="1"/>
  <c r="J27" i="142" s="1"/>
  <c r="G12" i="143"/>
  <c r="G16" i="143"/>
  <c r="B16" i="143"/>
  <c r="U16" i="144"/>
  <c r="M28" i="144" s="1"/>
  <c r="G13" i="143"/>
  <c r="T5" i="144"/>
  <c r="I5" i="144" s="1"/>
  <c r="K7" i="144"/>
  <c r="T16" i="142"/>
  <c r="I16" i="142" s="1"/>
  <c r="J28" i="142" s="1"/>
  <c r="T10" i="142"/>
  <c r="I10" i="142" s="1"/>
  <c r="J22" i="142" s="1"/>
  <c r="T12" i="142"/>
  <c r="I12" i="142" s="1"/>
  <c r="J24" i="142" s="1"/>
  <c r="T14" i="142"/>
  <c r="I14" i="142" s="1"/>
  <c r="J26" i="142" s="1"/>
  <c r="F12" i="142"/>
  <c r="K7" i="142"/>
  <c r="F9" i="142"/>
  <c r="G7" i="142"/>
  <c r="F11" i="142"/>
  <c r="T6" i="142"/>
  <c r="I6" i="142" s="1"/>
  <c r="J18" i="142" s="1"/>
  <c r="T8" i="142"/>
  <c r="I8" i="142" s="1"/>
  <c r="J20" i="142" s="1"/>
  <c r="T17" i="142"/>
  <c r="F17" i="142"/>
  <c r="T7" i="142"/>
  <c r="I7" i="142" s="1"/>
  <c r="J19" i="142" s="1"/>
  <c r="K10" i="142"/>
  <c r="F5" i="142"/>
  <c r="G6" i="143"/>
  <c r="B10" i="143"/>
  <c r="T15" i="144"/>
  <c r="I15" i="144" s="1"/>
  <c r="J27" i="144" s="1"/>
  <c r="G9" i="143"/>
  <c r="T14" i="144"/>
  <c r="I14" i="144" s="1"/>
  <c r="J26" i="144" s="1"/>
  <c r="F5" i="144"/>
  <c r="T11" i="144"/>
  <c r="I11" i="144" s="1"/>
  <c r="J23" i="144" s="1"/>
  <c r="G11" i="143"/>
  <c r="T10" i="144"/>
  <c r="I10" i="144" s="1"/>
  <c r="J22" i="144" s="1"/>
  <c r="K16" i="144"/>
  <c r="T12" i="144"/>
  <c r="I12" i="144" s="1"/>
  <c r="J24" i="144" s="1"/>
  <c r="B10" i="144"/>
  <c r="G12" i="144"/>
  <c r="T16" i="144"/>
  <c r="I16" i="144" s="1"/>
  <c r="J28" i="144" s="1"/>
  <c r="K10" i="144"/>
  <c r="K13" i="144"/>
  <c r="F6" i="144"/>
  <c r="U10" i="144"/>
  <c r="M22" i="144" s="1"/>
  <c r="T6" i="144"/>
  <c r="I6" i="144" s="1"/>
  <c r="J18" i="144" s="1"/>
  <c r="T8" i="144"/>
  <c r="I8" i="144" s="1"/>
  <c r="J20" i="144" s="1"/>
  <c r="G9" i="144"/>
  <c r="G11" i="144"/>
  <c r="U13" i="144"/>
  <c r="M25" i="144" s="1"/>
  <c r="F16" i="144"/>
  <c r="G13" i="144"/>
  <c r="F14" i="144"/>
  <c r="G8" i="144"/>
  <c r="B13" i="144"/>
  <c r="G10" i="144"/>
  <c r="B7" i="143"/>
  <c r="H17" i="143"/>
  <c r="G7" i="143"/>
  <c r="G15" i="143"/>
  <c r="G8" i="143"/>
  <c r="B13" i="143"/>
  <c r="G10" i="143"/>
  <c r="G14" i="143"/>
  <c r="U7" i="142"/>
  <c r="M19" i="142" s="1"/>
  <c r="U16" i="142"/>
  <c r="G8" i="142"/>
  <c r="U10" i="142"/>
  <c r="M22" i="142" s="1"/>
  <c r="F13" i="142"/>
  <c r="F15" i="142"/>
  <c r="N19" i="142" l="1"/>
  <c r="O22" i="142" s="1"/>
  <c r="I17" i="142"/>
  <c r="J17" i="143"/>
  <c r="J29" i="143"/>
  <c r="N19" i="144"/>
  <c r="O22" i="144" s="1"/>
  <c r="I17" i="144"/>
  <c r="H24" i="142"/>
  <c r="C7" i="142"/>
  <c r="C16" i="142"/>
  <c r="E28" i="142" s="1"/>
  <c r="C10" i="142"/>
  <c r="H25" i="142"/>
  <c r="L22" i="144"/>
  <c r="M31" i="144"/>
  <c r="D16" i="143"/>
  <c r="E28" i="143"/>
  <c r="D19" i="143"/>
  <c r="D13" i="143"/>
  <c r="E25" i="143"/>
  <c r="D13" i="144"/>
  <c r="E25" i="144"/>
  <c r="D10" i="143"/>
  <c r="E22" i="143"/>
  <c r="H29" i="142"/>
  <c r="C19" i="142"/>
  <c r="E31" i="142" s="1"/>
  <c r="C13" i="142"/>
  <c r="C16" i="144"/>
  <c r="H29" i="144"/>
  <c r="C19" i="144"/>
  <c r="E31" i="144" s="1"/>
  <c r="C7" i="144"/>
  <c r="D10" i="144" s="1"/>
  <c r="O13" i="143"/>
  <c r="O10" i="143"/>
  <c r="O16" i="143"/>
  <c r="L16" i="142"/>
  <c r="M28" i="142"/>
  <c r="O19" i="143"/>
  <c r="N10" i="144"/>
  <c r="G16" i="144"/>
  <c r="H28" i="144"/>
  <c r="G15" i="142"/>
  <c r="H27" i="142"/>
  <c r="N10" i="142"/>
  <c r="L16" i="144"/>
  <c r="N7" i="142"/>
  <c r="N16" i="144"/>
  <c r="L10" i="144"/>
  <c r="L13" i="144"/>
  <c r="N13" i="144"/>
  <c r="N7" i="144"/>
  <c r="L19" i="144"/>
  <c r="M19" i="144"/>
  <c r="N13" i="142"/>
  <c r="L13" i="142"/>
  <c r="L10" i="142"/>
  <c r="N16" i="142"/>
  <c r="L19" i="142"/>
  <c r="B19" i="142"/>
  <c r="B7" i="142"/>
  <c r="B19" i="144"/>
  <c r="G15" i="144"/>
  <c r="H26" i="144"/>
  <c r="G11" i="142"/>
  <c r="H23" i="142"/>
  <c r="B10" i="142"/>
  <c r="H21" i="142"/>
  <c r="H17" i="144"/>
  <c r="G18" i="144"/>
  <c r="G18" i="142"/>
  <c r="G10" i="142"/>
  <c r="G6" i="144"/>
  <c r="H18" i="144"/>
  <c r="G13" i="142"/>
  <c r="G12" i="142"/>
  <c r="H17" i="142"/>
  <c r="G9" i="142"/>
  <c r="G17" i="142"/>
  <c r="G14" i="142"/>
  <c r="G6" i="142"/>
  <c r="B13" i="142"/>
  <c r="G14" i="144"/>
  <c r="B7" i="144"/>
  <c r="G7" i="144"/>
  <c r="G17" i="144"/>
  <c r="B16" i="144"/>
  <c r="B16" i="142"/>
  <c r="G16" i="142"/>
  <c r="T17" i="140"/>
  <c r="K16" i="140"/>
  <c r="U16" i="140"/>
  <c r="M28" i="140" s="1"/>
  <c r="T16" i="140"/>
  <c r="I16" i="140" s="1"/>
  <c r="J28" i="140" s="1"/>
  <c r="F16" i="140"/>
  <c r="T15" i="140"/>
  <c r="I15" i="140" s="1"/>
  <c r="J27" i="140" s="1"/>
  <c r="F15" i="140"/>
  <c r="T14" i="140"/>
  <c r="I14" i="140" s="1"/>
  <c r="J26" i="140" s="1"/>
  <c r="F14" i="140"/>
  <c r="K13" i="140"/>
  <c r="U13" i="140"/>
  <c r="M25" i="140" s="1"/>
  <c r="T13" i="140"/>
  <c r="I13" i="140" s="1"/>
  <c r="J25" i="140" s="1"/>
  <c r="F13" i="140"/>
  <c r="T12" i="140"/>
  <c r="I12" i="140" s="1"/>
  <c r="J24" i="140" s="1"/>
  <c r="F12" i="140"/>
  <c r="T11" i="140"/>
  <c r="I11" i="140" s="1"/>
  <c r="J23" i="140" s="1"/>
  <c r="F11" i="140"/>
  <c r="K10" i="140"/>
  <c r="U10" i="140"/>
  <c r="M22" i="140" s="1"/>
  <c r="T10" i="140"/>
  <c r="I10" i="140" s="1"/>
  <c r="J22" i="140" s="1"/>
  <c r="F10" i="140"/>
  <c r="T9" i="140"/>
  <c r="I9" i="140" s="1"/>
  <c r="J21" i="140" s="1"/>
  <c r="F9" i="140"/>
  <c r="T8" i="140"/>
  <c r="I8" i="140" s="1"/>
  <c r="J20" i="140" s="1"/>
  <c r="F8" i="140"/>
  <c r="K7" i="140"/>
  <c r="U7" i="140"/>
  <c r="M19" i="140" s="1"/>
  <c r="T7" i="140"/>
  <c r="I7" i="140" s="1"/>
  <c r="J19" i="140" s="1"/>
  <c r="F7" i="140"/>
  <c r="T6" i="140"/>
  <c r="I6" i="140" s="1"/>
  <c r="J18" i="140" s="1"/>
  <c r="F6" i="140"/>
  <c r="T5" i="140"/>
  <c r="I5" i="140" s="1"/>
  <c r="F5" i="140"/>
  <c r="J17" i="144" l="1"/>
  <c r="J29" i="144"/>
  <c r="N19" i="140"/>
  <c r="O22" i="140" s="1"/>
  <c r="I17" i="140"/>
  <c r="J17" i="142"/>
  <c r="J29" i="142"/>
  <c r="D10" i="142"/>
  <c r="H21" i="140"/>
  <c r="H24" i="140"/>
  <c r="H27" i="140"/>
  <c r="H19" i="140"/>
  <c r="H22" i="140"/>
  <c r="H25" i="140"/>
  <c r="H28" i="140"/>
  <c r="E22" i="142"/>
  <c r="H18" i="140"/>
  <c r="O10" i="144"/>
  <c r="D13" i="142"/>
  <c r="E25" i="142"/>
  <c r="E19" i="144"/>
  <c r="D19" i="144"/>
  <c r="D22" i="144"/>
  <c r="E19" i="142"/>
  <c r="D19" i="142"/>
  <c r="D22" i="142"/>
  <c r="D16" i="142"/>
  <c r="D16" i="144"/>
  <c r="E28" i="144"/>
  <c r="C7" i="140"/>
  <c r="E19" i="140" s="1"/>
  <c r="C10" i="140"/>
  <c r="C13" i="140"/>
  <c r="C16" i="140"/>
  <c r="O10" i="142"/>
  <c r="O16" i="142"/>
  <c r="O13" i="144"/>
  <c r="O16" i="144"/>
  <c r="O13" i="142"/>
  <c r="O19" i="144"/>
  <c r="N10" i="140"/>
  <c r="N13" i="140"/>
  <c r="N16" i="140"/>
  <c r="L10" i="140"/>
  <c r="L16" i="140"/>
  <c r="L19" i="140"/>
  <c r="N7" i="140"/>
  <c r="L13" i="140"/>
  <c r="O19" i="142"/>
  <c r="H17" i="140"/>
  <c r="H20" i="140"/>
  <c r="H23" i="140"/>
  <c r="H26" i="140"/>
  <c r="G10" i="140"/>
  <c r="G12" i="140"/>
  <c r="G14" i="140"/>
  <c r="B7" i="140"/>
  <c r="G8" i="140"/>
  <c r="G6" i="140"/>
  <c r="G7" i="140"/>
  <c r="G9" i="140"/>
  <c r="G16" i="140"/>
  <c r="G15" i="140"/>
  <c r="G11" i="140"/>
  <c r="G13" i="140"/>
  <c r="G17" i="140"/>
  <c r="B10" i="140"/>
  <c r="B13" i="140"/>
  <c r="B16" i="140"/>
  <c r="O19" i="140" l="1"/>
  <c r="J17" i="140"/>
  <c r="J29" i="140"/>
  <c r="D13" i="140"/>
  <c r="E25" i="140"/>
  <c r="D10" i="140"/>
  <c r="E22" i="140"/>
  <c r="D16" i="140"/>
  <c r="E28" i="140"/>
  <c r="D19" i="140"/>
  <c r="O10" i="140"/>
  <c r="O13" i="140"/>
  <c r="O16" i="140"/>
  <c r="T17" i="135" l="1"/>
  <c r="K16" i="135"/>
  <c r="U16" i="135"/>
  <c r="M28" i="135" s="1"/>
  <c r="T16" i="135"/>
  <c r="I16" i="135" s="1"/>
  <c r="J28" i="135" s="1"/>
  <c r="F16" i="135"/>
  <c r="T15" i="135"/>
  <c r="I15" i="135" s="1"/>
  <c r="J27" i="135" s="1"/>
  <c r="F15" i="135"/>
  <c r="T14" i="135"/>
  <c r="I14" i="135" s="1"/>
  <c r="J26" i="135" s="1"/>
  <c r="F14" i="135"/>
  <c r="K13" i="135"/>
  <c r="U13" i="135"/>
  <c r="M25" i="135" s="1"/>
  <c r="T13" i="135"/>
  <c r="I13" i="135" s="1"/>
  <c r="J25" i="135" s="1"/>
  <c r="F13" i="135"/>
  <c r="T12" i="135"/>
  <c r="I12" i="135" s="1"/>
  <c r="J24" i="135" s="1"/>
  <c r="F12" i="135"/>
  <c r="T11" i="135"/>
  <c r="I11" i="135" s="1"/>
  <c r="J23" i="135" s="1"/>
  <c r="F11" i="135"/>
  <c r="K10" i="135"/>
  <c r="U10" i="135"/>
  <c r="M22" i="135" s="1"/>
  <c r="T10" i="135"/>
  <c r="I10" i="135" s="1"/>
  <c r="J22" i="135" s="1"/>
  <c r="F10" i="135"/>
  <c r="T9" i="135"/>
  <c r="I9" i="135" s="1"/>
  <c r="J21" i="135" s="1"/>
  <c r="F9" i="135"/>
  <c r="T8" i="135"/>
  <c r="I8" i="135" s="1"/>
  <c r="J20" i="135" s="1"/>
  <c r="F8" i="135"/>
  <c r="U7" i="135"/>
  <c r="M19" i="135" s="1"/>
  <c r="T7" i="135"/>
  <c r="I7" i="135" s="1"/>
  <c r="J19" i="135" s="1"/>
  <c r="F7" i="135"/>
  <c r="T6" i="135"/>
  <c r="I6" i="135" s="1"/>
  <c r="J18" i="135" s="1"/>
  <c r="F6" i="135"/>
  <c r="T5" i="135"/>
  <c r="I5" i="135" s="1"/>
  <c r="F5" i="135"/>
  <c r="N19" i="135" l="1"/>
  <c r="O22" i="135" s="1"/>
  <c r="I17" i="135"/>
  <c r="H18" i="135"/>
  <c r="H21" i="135"/>
  <c r="H24" i="135"/>
  <c r="H27" i="135"/>
  <c r="H19" i="135"/>
  <c r="H22" i="135"/>
  <c r="H25" i="135"/>
  <c r="H28" i="135"/>
  <c r="C7" i="135"/>
  <c r="E19" i="135" s="1"/>
  <c r="C10" i="135"/>
  <c r="C13" i="135"/>
  <c r="C16" i="135"/>
  <c r="N7" i="135"/>
  <c r="N10" i="135"/>
  <c r="N13" i="135"/>
  <c r="N16" i="135"/>
  <c r="L13" i="135"/>
  <c r="L16" i="135"/>
  <c r="L19" i="135"/>
  <c r="L10" i="135"/>
  <c r="H20" i="135"/>
  <c r="H23" i="135"/>
  <c r="H26" i="135"/>
  <c r="G12" i="135"/>
  <c r="G10" i="135"/>
  <c r="B7" i="135"/>
  <c r="G14" i="135"/>
  <c r="G7" i="135"/>
  <c r="G9" i="135"/>
  <c r="B13" i="135"/>
  <c r="G16" i="135"/>
  <c r="G6" i="135"/>
  <c r="B10" i="135"/>
  <c r="G13" i="135"/>
  <c r="G15" i="135"/>
  <c r="H17" i="135"/>
  <c r="G8" i="135"/>
  <c r="G11" i="135"/>
  <c r="B16" i="135"/>
  <c r="G17" i="135"/>
  <c r="J17" i="135" l="1"/>
  <c r="J29" i="135"/>
  <c r="D16" i="135"/>
  <c r="E28" i="135"/>
  <c r="D19" i="135"/>
  <c r="D13" i="135"/>
  <c r="E25" i="135"/>
  <c r="D10" i="135"/>
  <c r="E22" i="135"/>
  <c r="O10" i="135"/>
  <c r="O16" i="135"/>
  <c r="O19" i="135"/>
  <c r="O13" i="135"/>
  <c r="C16" i="78" l="1"/>
  <c r="C15" i="78"/>
  <c r="C14" i="78"/>
  <c r="C13" i="78"/>
  <c r="C12" i="78"/>
  <c r="C11" i="78"/>
  <c r="C10" i="78"/>
  <c r="C9" i="78"/>
  <c r="C8" i="78"/>
  <c r="E20" i="78" s="1"/>
  <c r="C7" i="78"/>
  <c r="E19" i="78" s="1"/>
  <c r="C6" i="78"/>
  <c r="E18" i="78" s="1"/>
  <c r="C5" i="78"/>
  <c r="C16" i="119"/>
  <c r="C15" i="119"/>
  <c r="C14" i="119"/>
  <c r="C13" i="119"/>
  <c r="C12" i="119"/>
  <c r="C11" i="119"/>
  <c r="C10" i="119"/>
  <c r="C9" i="119"/>
  <c r="C8" i="119"/>
  <c r="E20" i="119" s="1"/>
  <c r="C7" i="119"/>
  <c r="E19" i="119" s="1"/>
  <c r="C6" i="119"/>
  <c r="E18" i="119" s="1"/>
  <c r="C5" i="119"/>
  <c r="E17" i="119" s="1"/>
  <c r="J16" i="119"/>
  <c r="I16" i="119"/>
  <c r="I15" i="119"/>
  <c r="I14" i="119"/>
  <c r="J13" i="119"/>
  <c r="I13" i="119"/>
  <c r="I12" i="119"/>
  <c r="I11" i="119"/>
  <c r="J10" i="119"/>
  <c r="I10" i="119"/>
  <c r="I9" i="119"/>
  <c r="I8" i="119"/>
  <c r="J7" i="119"/>
  <c r="L19" i="119" s="1"/>
  <c r="I7" i="119"/>
  <c r="I6" i="119"/>
  <c r="I5" i="119"/>
  <c r="I16" i="78"/>
  <c r="J16" i="78"/>
  <c r="D10" i="78" l="1"/>
  <c r="K10" i="119"/>
  <c r="K13" i="119"/>
  <c r="K16" i="119"/>
  <c r="K19" i="119"/>
  <c r="K19" i="78"/>
  <c r="D15" i="119"/>
  <c r="D7" i="78"/>
  <c r="D10" i="119"/>
  <c r="A13" i="119"/>
  <c r="A13" i="78"/>
  <c r="D13" i="119"/>
  <c r="D12" i="78"/>
  <c r="D7" i="119"/>
  <c r="D13" i="78"/>
  <c r="D11" i="119"/>
  <c r="A10" i="119"/>
  <c r="D12" i="119"/>
  <c r="D16" i="119"/>
  <c r="D9" i="119"/>
  <c r="D6" i="119"/>
  <c r="A7" i="119"/>
  <c r="A16" i="119"/>
  <c r="B19" i="119" s="1"/>
  <c r="A7" i="78"/>
  <c r="D17" i="119"/>
  <c r="D8" i="78"/>
  <c r="A10" i="78"/>
  <c r="D9" i="78"/>
  <c r="D14" i="78"/>
  <c r="A16" i="78"/>
  <c r="B19" i="78" s="1"/>
  <c r="D8" i="119"/>
  <c r="D15" i="78"/>
  <c r="D6" i="78"/>
  <c r="D11" i="78"/>
  <c r="D16" i="78"/>
  <c r="E17" i="78"/>
  <c r="D17" i="78"/>
  <c r="D14" i="119"/>
  <c r="B13" i="119" l="1"/>
  <c r="B16" i="119"/>
  <c r="B10" i="119"/>
  <c r="B16" i="78"/>
  <c r="B10" i="78"/>
  <c r="B13" i="78"/>
  <c r="T17" i="53"/>
  <c r="T17" i="61"/>
  <c r="T17" i="48"/>
  <c r="T17" i="13"/>
  <c r="T17" i="24"/>
  <c r="T17" i="22"/>
  <c r="T17" i="17"/>
  <c r="T17" i="113"/>
  <c r="T17" i="114"/>
  <c r="T17" i="5"/>
  <c r="T17" i="19"/>
  <c r="T17" i="2"/>
  <c r="N19" i="8"/>
  <c r="T17" i="3"/>
  <c r="T17" i="88"/>
  <c r="T17" i="89"/>
  <c r="T17" i="107"/>
  <c r="T17" i="32"/>
  <c r="T17" i="103"/>
  <c r="T17" i="104"/>
  <c r="T17" i="37"/>
  <c r="T17" i="7"/>
  <c r="T17" i="87"/>
  <c r="T17" i="27"/>
  <c r="T17" i="23"/>
  <c r="T17" i="16"/>
  <c r="T17" i="54"/>
  <c r="T17" i="25"/>
  <c r="T17" i="4"/>
  <c r="I17" i="4" s="1"/>
  <c r="T17" i="31"/>
  <c r="T17" i="21"/>
  <c r="T17" i="18"/>
  <c r="T17" i="20"/>
  <c r="T17" i="28"/>
  <c r="T17" i="29"/>
  <c r="T17" i="43"/>
  <c r="S17" i="44"/>
  <c r="M19" i="44" s="1"/>
  <c r="N22" i="44" s="1"/>
  <c r="T17" i="45"/>
  <c r="T17" i="46"/>
  <c r="T17" i="47"/>
  <c r="T17" i="75"/>
  <c r="T17" i="85"/>
  <c r="T17" i="116"/>
  <c r="T17" i="52"/>
  <c r="T17" i="34"/>
  <c r="T17" i="74"/>
  <c r="T17" i="105"/>
  <c r="I17" i="105" s="1"/>
  <c r="T17" i="102"/>
  <c r="T17" i="33"/>
  <c r="T17" i="12"/>
  <c r="T17" i="97"/>
  <c r="T17" i="109"/>
  <c r="T17" i="112"/>
  <c r="T17" i="11"/>
  <c r="T17" i="9"/>
  <c r="N19" i="15"/>
  <c r="O22" i="15" s="1"/>
  <c r="T17" i="1"/>
  <c r="N19" i="112" l="1"/>
  <c r="O22" i="112" s="1"/>
  <c r="I17" i="112"/>
  <c r="N19" i="75"/>
  <c r="O22" i="75" s="1"/>
  <c r="I17" i="75"/>
  <c r="J29" i="4"/>
  <c r="N19" i="19"/>
  <c r="O22" i="19" s="1"/>
  <c r="I17" i="19"/>
  <c r="N19" i="11"/>
  <c r="O22" i="11" s="1"/>
  <c r="I17" i="11"/>
  <c r="N19" i="102"/>
  <c r="O22" i="102" s="1"/>
  <c r="I17" i="102"/>
  <c r="N19" i="85"/>
  <c r="O22" i="85" s="1"/>
  <c r="I17" i="85"/>
  <c r="N19" i="43"/>
  <c r="O22" i="43" s="1"/>
  <c r="I17" i="43"/>
  <c r="N19" i="31"/>
  <c r="O22" i="31" s="1"/>
  <c r="I17" i="31"/>
  <c r="N19" i="27"/>
  <c r="O22" i="27" s="1"/>
  <c r="I17" i="27"/>
  <c r="N19" i="32"/>
  <c r="O22" i="32" s="1"/>
  <c r="I17" i="32"/>
  <c r="N19" i="2"/>
  <c r="O22" i="2" s="1"/>
  <c r="I17" i="2"/>
  <c r="N19" i="22"/>
  <c r="O22" i="22" s="1"/>
  <c r="I17" i="22"/>
  <c r="J29" i="22" s="1"/>
  <c r="N19" i="89"/>
  <c r="O22" i="89" s="1"/>
  <c r="I17" i="89"/>
  <c r="N19" i="13"/>
  <c r="O22" i="13" s="1"/>
  <c r="I17" i="13"/>
  <c r="N19" i="1"/>
  <c r="O22" i="1" s="1"/>
  <c r="I17" i="1"/>
  <c r="N19" i="34"/>
  <c r="O22" i="34" s="1"/>
  <c r="I17" i="34"/>
  <c r="J29" i="34" s="1"/>
  <c r="N19" i="20"/>
  <c r="O22" i="20" s="1"/>
  <c r="I17" i="20"/>
  <c r="N19" i="37"/>
  <c r="O22" i="37" s="1"/>
  <c r="I17" i="37"/>
  <c r="N19" i="88"/>
  <c r="O22" i="88" s="1"/>
  <c r="I17" i="88"/>
  <c r="N19" i="48"/>
  <c r="O22" i="48" s="1"/>
  <c r="I17" i="48"/>
  <c r="N19" i="12"/>
  <c r="O22" i="12" s="1"/>
  <c r="I17" i="12"/>
  <c r="N19" i="52"/>
  <c r="O22" i="52" s="1"/>
  <c r="I17" i="52"/>
  <c r="J29" i="52" s="1"/>
  <c r="N19" i="45"/>
  <c r="O22" i="45" s="1"/>
  <c r="I17" i="45"/>
  <c r="N19" i="18"/>
  <c r="O22" i="18" s="1"/>
  <c r="I17" i="18"/>
  <c r="N19" i="16"/>
  <c r="O22" i="16" s="1"/>
  <c r="I17" i="16"/>
  <c r="N19" i="104"/>
  <c r="O22" i="104" s="1"/>
  <c r="I17" i="104"/>
  <c r="J29" i="104" s="1"/>
  <c r="N19" i="3"/>
  <c r="O22" i="3" s="1"/>
  <c r="I17" i="3"/>
  <c r="N19" i="113"/>
  <c r="O22" i="113" s="1"/>
  <c r="I17" i="113"/>
  <c r="N19" i="61"/>
  <c r="O22" i="61" s="1"/>
  <c r="I17" i="61"/>
  <c r="J29" i="105"/>
  <c r="N19" i="29"/>
  <c r="O22" i="29" s="1"/>
  <c r="I17" i="29"/>
  <c r="N19" i="87"/>
  <c r="O22" i="87" s="1"/>
  <c r="I17" i="87"/>
  <c r="J29" i="87" s="1"/>
  <c r="N19" i="107"/>
  <c r="O22" i="107" s="1"/>
  <c r="I17" i="107"/>
  <c r="J29" i="107" s="1"/>
  <c r="N19" i="24"/>
  <c r="O22" i="24" s="1"/>
  <c r="I17" i="24"/>
  <c r="J29" i="24" s="1"/>
  <c r="N19" i="109"/>
  <c r="O22" i="109" s="1"/>
  <c r="I17" i="109"/>
  <c r="N19" i="74"/>
  <c r="O22" i="74" s="1"/>
  <c r="I17" i="74"/>
  <c r="N19" i="47"/>
  <c r="O22" i="47" s="1"/>
  <c r="I17" i="47"/>
  <c r="N19" i="28"/>
  <c r="O22" i="28" s="1"/>
  <c r="I17" i="28"/>
  <c r="N19" i="25"/>
  <c r="O22" i="25" s="1"/>
  <c r="I17" i="25"/>
  <c r="N19" i="7"/>
  <c r="O22" i="7" s="1"/>
  <c r="I17" i="7"/>
  <c r="N19" i="5"/>
  <c r="O22" i="5" s="1"/>
  <c r="I17" i="5"/>
  <c r="N19" i="97"/>
  <c r="O22" i="97" s="1"/>
  <c r="I17" i="97"/>
  <c r="N19" i="46"/>
  <c r="O22" i="46" s="1"/>
  <c r="I17" i="46"/>
  <c r="N19" i="54"/>
  <c r="O22" i="54" s="1"/>
  <c r="I17" i="54"/>
  <c r="N19" i="114"/>
  <c r="O22" i="114" s="1"/>
  <c r="I17" i="114"/>
  <c r="N19" i="9"/>
  <c r="O22" i="9" s="1"/>
  <c r="I17" i="9"/>
  <c r="N19" i="33"/>
  <c r="O22" i="33" s="1"/>
  <c r="I17" i="33"/>
  <c r="N19" i="116"/>
  <c r="O22" i="116" s="1"/>
  <c r="I17" i="116"/>
  <c r="N19" i="21"/>
  <c r="O22" i="21" s="1"/>
  <c r="I17" i="21"/>
  <c r="N19" i="23"/>
  <c r="O22" i="23" s="1"/>
  <c r="I17" i="23"/>
  <c r="N19" i="103"/>
  <c r="O22" i="103" s="1"/>
  <c r="I17" i="103"/>
  <c r="N19" i="17"/>
  <c r="O22" i="17" s="1"/>
  <c r="I17" i="17"/>
  <c r="J29" i="17" s="1"/>
  <c r="N19" i="53"/>
  <c r="O22" i="53" s="1"/>
  <c r="I17" i="53"/>
  <c r="N19" i="105"/>
  <c r="O22" i="105" s="1"/>
  <c r="O22" i="8"/>
  <c r="G18" i="4"/>
  <c r="N19" i="4"/>
  <c r="O22" i="4" s="1"/>
  <c r="K16" i="116"/>
  <c r="U16" i="116"/>
  <c r="M28" i="116" s="1"/>
  <c r="T16" i="116"/>
  <c r="I16" i="116" s="1"/>
  <c r="J28" i="116" s="1"/>
  <c r="F16" i="116"/>
  <c r="T15" i="116"/>
  <c r="I15" i="116" s="1"/>
  <c r="J27" i="116" s="1"/>
  <c r="F15" i="116"/>
  <c r="T14" i="116"/>
  <c r="I14" i="116" s="1"/>
  <c r="J26" i="116" s="1"/>
  <c r="F14" i="116"/>
  <c r="K13" i="116"/>
  <c r="U13" i="116"/>
  <c r="M25" i="116" s="1"/>
  <c r="T13" i="116"/>
  <c r="I13" i="116" s="1"/>
  <c r="J25" i="116" s="1"/>
  <c r="F13" i="116"/>
  <c r="T12" i="116"/>
  <c r="I12" i="116" s="1"/>
  <c r="J24" i="116" s="1"/>
  <c r="F12" i="116"/>
  <c r="T11" i="116"/>
  <c r="I11" i="116" s="1"/>
  <c r="J23" i="116" s="1"/>
  <c r="F11" i="116"/>
  <c r="K10" i="116"/>
  <c r="U10" i="116"/>
  <c r="M22" i="116" s="1"/>
  <c r="T10" i="116"/>
  <c r="I10" i="116" s="1"/>
  <c r="J22" i="116" s="1"/>
  <c r="F10" i="116"/>
  <c r="T9" i="116"/>
  <c r="I9" i="116" s="1"/>
  <c r="J21" i="116" s="1"/>
  <c r="F9" i="116"/>
  <c r="T8" i="116"/>
  <c r="I8" i="116" s="1"/>
  <c r="J20" i="116" s="1"/>
  <c r="F8" i="116"/>
  <c r="K7" i="116"/>
  <c r="U7" i="116"/>
  <c r="M19" i="116" s="1"/>
  <c r="T7" i="116"/>
  <c r="I7" i="116" s="1"/>
  <c r="J19" i="116" s="1"/>
  <c r="F7" i="116"/>
  <c r="T6" i="116"/>
  <c r="I6" i="116" s="1"/>
  <c r="J18" i="116" s="1"/>
  <c r="F6" i="116"/>
  <c r="T5" i="116"/>
  <c r="I5" i="116" s="1"/>
  <c r="F5" i="116"/>
  <c r="J29" i="53" l="1"/>
  <c r="J29" i="23"/>
  <c r="J29" i="33"/>
  <c r="J29" i="54"/>
  <c r="J29" i="5"/>
  <c r="J29" i="28"/>
  <c r="J29" i="109"/>
  <c r="J29" i="61"/>
  <c r="J29" i="45"/>
  <c r="J29" i="48"/>
  <c r="J29" i="20"/>
  <c r="J29" i="13"/>
  <c r="J29" i="2"/>
  <c r="J29" i="31"/>
  <c r="J29" i="102"/>
  <c r="J29" i="32"/>
  <c r="J29" i="43"/>
  <c r="J29" i="11"/>
  <c r="J29" i="75"/>
  <c r="J29" i="9"/>
  <c r="J29" i="7"/>
  <c r="J29" i="47"/>
  <c r="J29" i="29"/>
  <c r="J29" i="16"/>
  <c r="J29" i="89"/>
  <c r="J29" i="74"/>
  <c r="J29" i="3"/>
  <c r="J29" i="18"/>
  <c r="J29" i="12"/>
  <c r="J29" i="37"/>
  <c r="J29" i="1"/>
  <c r="J29" i="27"/>
  <c r="J29" i="85"/>
  <c r="J29" i="19"/>
  <c r="J29" i="112"/>
  <c r="J29" i="21"/>
  <c r="J29" i="46"/>
  <c r="J29" i="113"/>
  <c r="J29" i="88"/>
  <c r="J29" i="103"/>
  <c r="J17" i="116"/>
  <c r="J29" i="116"/>
  <c r="J29" i="114"/>
  <c r="J29" i="97"/>
  <c r="J29" i="25"/>
  <c r="H24" i="116"/>
  <c r="H18" i="116"/>
  <c r="H21" i="116"/>
  <c r="H27" i="116"/>
  <c r="H19" i="116"/>
  <c r="H22" i="116"/>
  <c r="H25" i="116"/>
  <c r="H28" i="116"/>
  <c r="C10" i="116"/>
  <c r="E22" i="116" s="1"/>
  <c r="C13" i="116"/>
  <c r="E25" i="116" s="1"/>
  <c r="C16" i="116"/>
  <c r="D19" i="116" s="1"/>
  <c r="C7" i="116"/>
  <c r="E19" i="116" s="1"/>
  <c r="N7" i="116"/>
  <c r="N10" i="116"/>
  <c r="N13" i="116"/>
  <c r="N16" i="116"/>
  <c r="L13" i="116"/>
  <c r="L16" i="116"/>
  <c r="L19" i="116"/>
  <c r="L10" i="116"/>
  <c r="H20" i="116"/>
  <c r="H23" i="116"/>
  <c r="H26" i="116"/>
  <c r="H17" i="116"/>
  <c r="G14" i="116"/>
  <c r="G7" i="116"/>
  <c r="G9" i="116"/>
  <c r="G11" i="116"/>
  <c r="G10" i="116"/>
  <c r="G16" i="116"/>
  <c r="G17" i="116"/>
  <c r="G12" i="116"/>
  <c r="G6" i="116"/>
  <c r="G8" i="116"/>
  <c r="G13" i="116"/>
  <c r="G15" i="116"/>
  <c r="B13" i="116"/>
  <c r="B7" i="116"/>
  <c r="B10" i="116"/>
  <c r="B16" i="116"/>
  <c r="D13" i="116" l="1"/>
  <c r="E28" i="116"/>
  <c r="D16" i="116"/>
  <c r="D10" i="116"/>
  <c r="O16" i="116"/>
  <c r="O10" i="116"/>
  <c r="O13" i="116"/>
  <c r="O19" i="116"/>
  <c r="F16" i="9" l="1"/>
  <c r="F16" i="11"/>
  <c r="F16" i="112"/>
  <c r="F16" i="109"/>
  <c r="F16" i="97"/>
  <c r="F16" i="12"/>
  <c r="F16" i="33"/>
  <c r="F16" i="34"/>
  <c r="F16" i="105"/>
  <c r="F16" i="52"/>
  <c r="F16" i="53"/>
  <c r="F16" i="61"/>
  <c r="F16" i="48"/>
  <c r="F16" i="13"/>
  <c r="F16" i="22"/>
  <c r="F16" i="24"/>
  <c r="F16" i="101"/>
  <c r="F16" i="102"/>
  <c r="F16" i="113"/>
  <c r="F16" i="114"/>
  <c r="F16" i="5"/>
  <c r="F16" i="19"/>
  <c r="F16" i="2"/>
  <c r="F16" i="3"/>
  <c r="F16" i="8"/>
  <c r="F16" i="107"/>
  <c r="F16" i="32"/>
  <c r="F16" i="103"/>
  <c r="F16" i="104"/>
  <c r="F16" i="74"/>
  <c r="F16" i="88"/>
  <c r="F16" i="89"/>
  <c r="F16" i="37"/>
  <c r="F16" i="7"/>
  <c r="F16" i="87"/>
  <c r="F16" i="27"/>
  <c r="F16" i="23"/>
  <c r="F16" i="16"/>
  <c r="F16" i="54"/>
  <c r="F16" i="18"/>
  <c r="F16" i="20"/>
  <c r="F16" i="25"/>
  <c r="F16" i="31"/>
  <c r="F16" i="17"/>
  <c r="F16" i="21"/>
  <c r="F16" i="28"/>
  <c r="F16" i="29"/>
  <c r="F16" i="43"/>
  <c r="F16" i="44"/>
  <c r="F16" i="45"/>
  <c r="F16" i="46"/>
  <c r="F16" i="47"/>
  <c r="F16" i="75"/>
  <c r="F16" i="85"/>
  <c r="F16" i="1"/>
  <c r="H28" i="43" l="1"/>
  <c r="H28" i="89"/>
  <c r="H28" i="114"/>
  <c r="H28" i="34"/>
  <c r="H28" i="1"/>
  <c r="H28" i="46"/>
  <c r="H28" i="29"/>
  <c r="H28" i="31"/>
  <c r="H28" i="54"/>
  <c r="H28" i="87"/>
  <c r="H28" i="88"/>
  <c r="H28" i="32"/>
  <c r="H28" i="2"/>
  <c r="H28" i="113"/>
  <c r="H28" i="22"/>
  <c r="H28" i="53"/>
  <c r="H28" i="33"/>
  <c r="H28" i="112"/>
  <c r="H28" i="17"/>
  <c r="H28" i="27"/>
  <c r="H28" i="103"/>
  <c r="H28" i="24"/>
  <c r="H28" i="85"/>
  <c r="H28" i="45"/>
  <c r="H28" i="28"/>
  <c r="H28" i="25"/>
  <c r="H28" i="16"/>
  <c r="H28" i="7"/>
  <c r="H28" i="74"/>
  <c r="H28" i="107"/>
  <c r="H28" i="19"/>
  <c r="H28" i="102"/>
  <c r="H28" i="13"/>
  <c r="H28" i="52"/>
  <c r="H28" i="12"/>
  <c r="H28" i="11"/>
  <c r="H28" i="47"/>
  <c r="H28" i="18"/>
  <c r="H28" i="3"/>
  <c r="H28" i="61"/>
  <c r="H28" i="109"/>
  <c r="H28" i="75"/>
  <c r="H28" i="44"/>
  <c r="I28" i="44" s="1"/>
  <c r="I16" i="44"/>
  <c r="H28" i="21"/>
  <c r="H28" i="20"/>
  <c r="H28" i="37"/>
  <c r="H28" i="104"/>
  <c r="H28" i="8"/>
  <c r="H28" i="5"/>
  <c r="H28" i="101"/>
  <c r="H28" i="48"/>
  <c r="H28" i="105"/>
  <c r="H28" i="97"/>
  <c r="H28" i="9"/>
  <c r="H28" i="23"/>
  <c r="G17" i="85"/>
  <c r="G17" i="75"/>
  <c r="G17" i="47"/>
  <c r="G17" i="46"/>
  <c r="G17" i="45"/>
  <c r="G17" i="44"/>
  <c r="G17" i="43"/>
  <c r="G17" i="29"/>
  <c r="G17" i="28"/>
  <c r="G17" i="20"/>
  <c r="G17" i="18"/>
  <c r="G17" i="21"/>
  <c r="G17" i="35"/>
  <c r="G17" i="25"/>
  <c r="G17" i="54"/>
  <c r="G17" i="23"/>
  <c r="G17" i="27"/>
  <c r="G17" i="7"/>
  <c r="G17" i="37"/>
  <c r="G17" i="103"/>
  <c r="G17" i="107"/>
  <c r="G17" i="89"/>
  <c r="G17" i="8"/>
  <c r="G17" i="5"/>
  <c r="G17" i="114"/>
  <c r="G17" i="113"/>
  <c r="G17" i="13"/>
  <c r="G17" i="61"/>
  <c r="G17" i="52"/>
  <c r="G17" i="34"/>
  <c r="G17" i="74"/>
  <c r="G17" i="101"/>
  <c r="G17" i="12"/>
  <c r="G17" i="97"/>
  <c r="G17" i="22"/>
  <c r="G17" i="102"/>
  <c r="G17" i="9"/>
  <c r="G17" i="112"/>
  <c r="G17" i="32"/>
  <c r="G17" i="88"/>
  <c r="G17" i="2"/>
  <c r="G17" i="48"/>
  <c r="G17" i="104"/>
  <c r="G17" i="33"/>
  <c r="G17" i="11"/>
  <c r="G17" i="1"/>
  <c r="G17" i="53"/>
  <c r="G17" i="19"/>
  <c r="G17" i="24"/>
  <c r="G17" i="87"/>
  <c r="G17" i="3"/>
  <c r="G17" i="16"/>
  <c r="G17" i="105"/>
  <c r="G17" i="109"/>
  <c r="G17" i="17"/>
  <c r="G17" i="31"/>
  <c r="K16" i="114"/>
  <c r="U16" i="114"/>
  <c r="M28" i="114" s="1"/>
  <c r="T16" i="114"/>
  <c r="I16" i="114" s="1"/>
  <c r="J28" i="114" s="1"/>
  <c r="T15" i="114"/>
  <c r="I15" i="114" s="1"/>
  <c r="J27" i="114" s="1"/>
  <c r="F15" i="114"/>
  <c r="T14" i="114"/>
  <c r="I14" i="114" s="1"/>
  <c r="J26" i="114" s="1"/>
  <c r="F14" i="114"/>
  <c r="K13" i="114"/>
  <c r="U13" i="114"/>
  <c r="M25" i="114" s="1"/>
  <c r="T13" i="114"/>
  <c r="I13" i="114" s="1"/>
  <c r="J25" i="114" s="1"/>
  <c r="F13" i="114"/>
  <c r="T12" i="114"/>
  <c r="I12" i="114" s="1"/>
  <c r="J24" i="114" s="1"/>
  <c r="F12" i="114"/>
  <c r="T11" i="114"/>
  <c r="I11" i="114" s="1"/>
  <c r="J23" i="114" s="1"/>
  <c r="F11" i="114"/>
  <c r="K10" i="114"/>
  <c r="U10" i="114"/>
  <c r="M22" i="114" s="1"/>
  <c r="T10" i="114"/>
  <c r="I10" i="114" s="1"/>
  <c r="J22" i="114" s="1"/>
  <c r="F10" i="114"/>
  <c r="T9" i="114"/>
  <c r="I9" i="114" s="1"/>
  <c r="J21" i="114" s="1"/>
  <c r="F9" i="114"/>
  <c r="T8" i="114"/>
  <c r="I8" i="114" s="1"/>
  <c r="J20" i="114" s="1"/>
  <c r="F8" i="114"/>
  <c r="K7" i="114"/>
  <c r="U7" i="114"/>
  <c r="M19" i="114" s="1"/>
  <c r="T7" i="114"/>
  <c r="I7" i="114" s="1"/>
  <c r="J19" i="114" s="1"/>
  <c r="F7" i="114"/>
  <c r="T6" i="114"/>
  <c r="I6" i="114" s="1"/>
  <c r="J18" i="114" s="1"/>
  <c r="F6" i="114"/>
  <c r="T5" i="114"/>
  <c r="I5" i="114" s="1"/>
  <c r="J17" i="114" s="1"/>
  <c r="F5" i="114"/>
  <c r="K16" i="113"/>
  <c r="U16" i="113"/>
  <c r="M28" i="113" s="1"/>
  <c r="T16" i="113"/>
  <c r="I16" i="113" s="1"/>
  <c r="J28" i="113" s="1"/>
  <c r="T15" i="113"/>
  <c r="I15" i="113" s="1"/>
  <c r="J27" i="113" s="1"/>
  <c r="F15" i="113"/>
  <c r="T14" i="113"/>
  <c r="I14" i="113" s="1"/>
  <c r="J26" i="113" s="1"/>
  <c r="F14" i="113"/>
  <c r="K13" i="113"/>
  <c r="U13" i="113"/>
  <c r="M25" i="113" s="1"/>
  <c r="T13" i="113"/>
  <c r="I13" i="113" s="1"/>
  <c r="J25" i="113" s="1"/>
  <c r="F13" i="113"/>
  <c r="T12" i="113"/>
  <c r="I12" i="113" s="1"/>
  <c r="J24" i="113" s="1"/>
  <c r="F12" i="113"/>
  <c r="T11" i="113"/>
  <c r="I11" i="113" s="1"/>
  <c r="J23" i="113" s="1"/>
  <c r="F11" i="113"/>
  <c r="K10" i="113"/>
  <c r="U10" i="113"/>
  <c r="M22" i="113" s="1"/>
  <c r="T10" i="113"/>
  <c r="I10" i="113" s="1"/>
  <c r="J22" i="113" s="1"/>
  <c r="F10" i="113"/>
  <c r="T9" i="113"/>
  <c r="I9" i="113" s="1"/>
  <c r="J21" i="113" s="1"/>
  <c r="F9" i="113"/>
  <c r="T8" i="113"/>
  <c r="I8" i="113" s="1"/>
  <c r="J20" i="113" s="1"/>
  <c r="F8" i="113"/>
  <c r="K7" i="113"/>
  <c r="U7" i="113"/>
  <c r="M19" i="113" s="1"/>
  <c r="T7" i="113"/>
  <c r="I7" i="113" s="1"/>
  <c r="J19" i="113" s="1"/>
  <c r="F7" i="113"/>
  <c r="T6" i="113"/>
  <c r="I6" i="113" s="1"/>
  <c r="J18" i="113" s="1"/>
  <c r="F6" i="113"/>
  <c r="T5" i="113"/>
  <c r="I5" i="113" s="1"/>
  <c r="J17" i="113" s="1"/>
  <c r="F5" i="113"/>
  <c r="H19" i="113" l="1"/>
  <c r="H22" i="113"/>
  <c r="H25" i="113"/>
  <c r="H18" i="114"/>
  <c r="H21" i="114"/>
  <c r="H24" i="114"/>
  <c r="H27" i="114"/>
  <c r="H18" i="113"/>
  <c r="H21" i="113"/>
  <c r="H24" i="113"/>
  <c r="H27" i="113"/>
  <c r="H19" i="114"/>
  <c r="H22" i="114"/>
  <c r="H25" i="114"/>
  <c r="C7" i="113"/>
  <c r="E19" i="113" s="1"/>
  <c r="C10" i="113"/>
  <c r="C13" i="113"/>
  <c r="C16" i="113"/>
  <c r="C7" i="114"/>
  <c r="E19" i="114" s="1"/>
  <c r="C10" i="114"/>
  <c r="C13" i="114"/>
  <c r="C16" i="114"/>
  <c r="N10" i="113"/>
  <c r="N13" i="113"/>
  <c r="N7" i="113"/>
  <c r="N7" i="114"/>
  <c r="N10" i="114"/>
  <c r="N13" i="114"/>
  <c r="N16" i="114"/>
  <c r="O19" i="114" s="1"/>
  <c r="L16" i="114"/>
  <c r="L19" i="114"/>
  <c r="L13" i="114"/>
  <c r="L10" i="114"/>
  <c r="N16" i="113"/>
  <c r="L16" i="113"/>
  <c r="L19" i="113"/>
  <c r="L10" i="113"/>
  <c r="L13" i="113"/>
  <c r="H26" i="113"/>
  <c r="H23" i="113"/>
  <c r="H20" i="113"/>
  <c r="H23" i="114"/>
  <c r="H26" i="114"/>
  <c r="H17" i="114"/>
  <c r="H20" i="114"/>
  <c r="G10" i="113"/>
  <c r="G12" i="113"/>
  <c r="G14" i="113"/>
  <c r="G12" i="114"/>
  <c r="G10" i="114"/>
  <c r="G8" i="114"/>
  <c r="G13" i="114"/>
  <c r="G15" i="114"/>
  <c r="G6" i="114"/>
  <c r="G14" i="114"/>
  <c r="G7" i="114"/>
  <c r="G9" i="114"/>
  <c r="G11" i="114"/>
  <c r="G16" i="114"/>
  <c r="G6" i="113"/>
  <c r="G8" i="113"/>
  <c r="G13" i="113"/>
  <c r="G15" i="113"/>
  <c r="B7" i="113"/>
  <c r="H17" i="113"/>
  <c r="G7" i="113"/>
  <c r="G9" i="113"/>
  <c r="G11" i="113"/>
  <c r="G16" i="113"/>
  <c r="B10" i="114"/>
  <c r="B16" i="114"/>
  <c r="B13" i="114"/>
  <c r="B7" i="114"/>
  <c r="B16" i="113"/>
  <c r="B10" i="113"/>
  <c r="B13" i="113"/>
  <c r="K16" i="112"/>
  <c r="U16" i="112"/>
  <c r="M28" i="112" s="1"/>
  <c r="T16" i="112"/>
  <c r="I16" i="112" s="1"/>
  <c r="J28" i="112" s="1"/>
  <c r="T15" i="112"/>
  <c r="I15" i="112" s="1"/>
  <c r="J27" i="112" s="1"/>
  <c r="F15" i="112"/>
  <c r="T14" i="112"/>
  <c r="I14" i="112" s="1"/>
  <c r="J26" i="112" s="1"/>
  <c r="F14" i="112"/>
  <c r="K13" i="112"/>
  <c r="U13" i="112"/>
  <c r="M25" i="112" s="1"/>
  <c r="T13" i="112"/>
  <c r="I13" i="112" s="1"/>
  <c r="J25" i="112" s="1"/>
  <c r="F13" i="112"/>
  <c r="T12" i="112"/>
  <c r="I12" i="112" s="1"/>
  <c r="J24" i="112" s="1"/>
  <c r="F12" i="112"/>
  <c r="T11" i="112"/>
  <c r="I11" i="112" s="1"/>
  <c r="J23" i="112" s="1"/>
  <c r="F11" i="112"/>
  <c r="K10" i="112"/>
  <c r="U10" i="112"/>
  <c r="M22" i="112" s="1"/>
  <c r="T10" i="112"/>
  <c r="I10" i="112" s="1"/>
  <c r="J22" i="112" s="1"/>
  <c r="F10" i="112"/>
  <c r="T9" i="112"/>
  <c r="I9" i="112" s="1"/>
  <c r="J21" i="112" s="1"/>
  <c r="F9" i="112"/>
  <c r="T8" i="112"/>
  <c r="I8" i="112" s="1"/>
  <c r="J20" i="112" s="1"/>
  <c r="F8" i="112"/>
  <c r="K7" i="112"/>
  <c r="U7" i="112"/>
  <c r="M19" i="112" s="1"/>
  <c r="T7" i="112"/>
  <c r="I7" i="112" s="1"/>
  <c r="J19" i="112" s="1"/>
  <c r="F7" i="112"/>
  <c r="T6" i="112"/>
  <c r="I6" i="112" s="1"/>
  <c r="J18" i="112" s="1"/>
  <c r="F6" i="112"/>
  <c r="T5" i="112"/>
  <c r="I5" i="112" s="1"/>
  <c r="J17" i="112" s="1"/>
  <c r="F5" i="112"/>
  <c r="H21" i="112" l="1"/>
  <c r="H24" i="112"/>
  <c r="H27" i="112"/>
  <c r="H18" i="112"/>
  <c r="H19" i="112"/>
  <c r="H22" i="112"/>
  <c r="H25" i="112"/>
  <c r="D16" i="114"/>
  <c r="E28" i="114"/>
  <c r="D19" i="114"/>
  <c r="D16" i="113"/>
  <c r="E28" i="113"/>
  <c r="D19" i="113"/>
  <c r="D13" i="114"/>
  <c r="E25" i="114"/>
  <c r="D13" i="113"/>
  <c r="E25" i="113"/>
  <c r="D10" i="114"/>
  <c r="E22" i="114"/>
  <c r="D10" i="113"/>
  <c r="E22" i="113"/>
  <c r="C7" i="112"/>
  <c r="E19" i="112" s="1"/>
  <c r="C10" i="112"/>
  <c r="C13" i="112"/>
  <c r="C16" i="112"/>
  <c r="O10" i="113"/>
  <c r="O13" i="113"/>
  <c r="O13" i="114"/>
  <c r="O10" i="114"/>
  <c r="O16" i="114"/>
  <c r="N7" i="112"/>
  <c r="N10" i="112"/>
  <c r="N13" i="112"/>
  <c r="N16" i="112"/>
  <c r="L10" i="112"/>
  <c r="L13" i="112"/>
  <c r="L16" i="112"/>
  <c r="L19" i="112"/>
  <c r="O16" i="113"/>
  <c r="O19" i="113"/>
  <c r="H17" i="112"/>
  <c r="H23" i="112"/>
  <c r="H26" i="112"/>
  <c r="H20" i="112"/>
  <c r="G8" i="112"/>
  <c r="G13" i="112"/>
  <c r="G6" i="112"/>
  <c r="G11" i="112"/>
  <c r="G15" i="112"/>
  <c r="G16" i="112"/>
  <c r="G7" i="112"/>
  <c r="G9" i="112"/>
  <c r="G10" i="112"/>
  <c r="G14" i="112"/>
  <c r="G12" i="112"/>
  <c r="B13" i="112"/>
  <c r="B16" i="112"/>
  <c r="B7" i="112"/>
  <c r="B10" i="112"/>
  <c r="D10" i="112" l="1"/>
  <c r="E22" i="112"/>
  <c r="D16" i="112"/>
  <c r="E28" i="112"/>
  <c r="D19" i="112"/>
  <c r="D13" i="112"/>
  <c r="E25" i="112"/>
  <c r="O16" i="112"/>
  <c r="O10" i="112"/>
  <c r="O13" i="112"/>
  <c r="O19" i="112"/>
  <c r="K16" i="109"/>
  <c r="U16" i="109"/>
  <c r="M28" i="109" s="1"/>
  <c r="T16" i="109"/>
  <c r="I16" i="109" s="1"/>
  <c r="J28" i="109" s="1"/>
  <c r="T15" i="109"/>
  <c r="I15" i="109" s="1"/>
  <c r="J27" i="109" s="1"/>
  <c r="F15" i="109"/>
  <c r="T14" i="109"/>
  <c r="I14" i="109" s="1"/>
  <c r="J26" i="109" s="1"/>
  <c r="F14" i="109"/>
  <c r="K13" i="109"/>
  <c r="U13" i="109"/>
  <c r="M25" i="109" s="1"/>
  <c r="T13" i="109"/>
  <c r="I13" i="109" s="1"/>
  <c r="J25" i="109" s="1"/>
  <c r="F13" i="109"/>
  <c r="T12" i="109"/>
  <c r="I12" i="109" s="1"/>
  <c r="J24" i="109" s="1"/>
  <c r="F12" i="109"/>
  <c r="T11" i="109"/>
  <c r="I11" i="109" s="1"/>
  <c r="J23" i="109" s="1"/>
  <c r="F11" i="109"/>
  <c r="K10" i="109"/>
  <c r="U10" i="109"/>
  <c r="M22" i="109" s="1"/>
  <c r="T10" i="109"/>
  <c r="I10" i="109" s="1"/>
  <c r="J22" i="109" s="1"/>
  <c r="F10" i="109"/>
  <c r="T9" i="109"/>
  <c r="I9" i="109" s="1"/>
  <c r="J21" i="109" s="1"/>
  <c r="F9" i="109"/>
  <c r="T8" i="109"/>
  <c r="I8" i="109" s="1"/>
  <c r="J20" i="109" s="1"/>
  <c r="F8" i="109"/>
  <c r="U7" i="109"/>
  <c r="M19" i="109" s="1"/>
  <c r="T7" i="109"/>
  <c r="I7" i="109" s="1"/>
  <c r="J19" i="109" s="1"/>
  <c r="F7" i="109"/>
  <c r="T6" i="109"/>
  <c r="I6" i="109" s="1"/>
  <c r="J18" i="109" s="1"/>
  <c r="F6" i="109"/>
  <c r="T5" i="109"/>
  <c r="I5" i="109" s="1"/>
  <c r="J17" i="109" s="1"/>
  <c r="F5" i="109"/>
  <c r="H18" i="109" l="1"/>
  <c r="H21" i="109"/>
  <c r="H24" i="109"/>
  <c r="H25" i="109"/>
  <c r="H27" i="109"/>
  <c r="H19" i="109"/>
  <c r="H22" i="109"/>
  <c r="C10" i="109"/>
  <c r="E22" i="109" s="1"/>
  <c r="C13" i="109"/>
  <c r="E25" i="109" s="1"/>
  <c r="C16" i="109"/>
  <c r="D19" i="109" s="1"/>
  <c r="C7" i="109"/>
  <c r="E19" i="109" s="1"/>
  <c r="L10" i="109"/>
  <c r="L13" i="109"/>
  <c r="N7" i="109"/>
  <c r="N10" i="109"/>
  <c r="N13" i="109"/>
  <c r="N16" i="109"/>
  <c r="L16" i="109"/>
  <c r="L19" i="109"/>
  <c r="H17" i="109"/>
  <c r="H23" i="109"/>
  <c r="H26" i="109"/>
  <c r="H20" i="109"/>
  <c r="G6" i="109"/>
  <c r="G8" i="109"/>
  <c r="G13" i="109"/>
  <c r="G11" i="109"/>
  <c r="G7" i="109"/>
  <c r="G15" i="109"/>
  <c r="G16" i="109"/>
  <c r="G9" i="109"/>
  <c r="G10" i="109"/>
  <c r="G12" i="109"/>
  <c r="G14" i="109"/>
  <c r="B16" i="109"/>
  <c r="B10" i="109"/>
  <c r="B13" i="109"/>
  <c r="B7" i="109"/>
  <c r="E28" i="109" l="1"/>
  <c r="D13" i="109"/>
  <c r="D16" i="109"/>
  <c r="D10" i="109"/>
  <c r="O13" i="109"/>
  <c r="O10" i="109"/>
  <c r="O16" i="109"/>
  <c r="O19" i="109"/>
  <c r="I15" i="78" l="1"/>
  <c r="U16" i="2" l="1"/>
  <c r="M28" i="2" s="1"/>
  <c r="L19" i="2" l="1"/>
  <c r="K16" i="1"/>
  <c r="U16" i="1"/>
  <c r="M28" i="1" s="1"/>
  <c r="K16" i="15"/>
  <c r="U16" i="15"/>
  <c r="M28" i="15" s="1"/>
  <c r="K16" i="101"/>
  <c r="U16" i="101"/>
  <c r="M28" i="101" s="1"/>
  <c r="K16" i="102"/>
  <c r="U16" i="102"/>
  <c r="M28" i="102" s="1"/>
  <c r="K16" i="37"/>
  <c r="U16" i="37"/>
  <c r="M28" i="37" s="1"/>
  <c r="K16" i="9"/>
  <c r="U16" i="9"/>
  <c r="M28" i="9" s="1"/>
  <c r="K16" i="61"/>
  <c r="U16" i="61"/>
  <c r="M28" i="61" s="1"/>
  <c r="K16" i="48"/>
  <c r="U16" i="48"/>
  <c r="M28" i="48" s="1"/>
  <c r="K16" i="89"/>
  <c r="U16" i="89"/>
  <c r="M28" i="89" s="1"/>
  <c r="U16" i="8"/>
  <c r="K16" i="88"/>
  <c r="U16" i="88"/>
  <c r="M28" i="88" s="1"/>
  <c r="K16" i="104"/>
  <c r="U16" i="104"/>
  <c r="M28" i="104" s="1"/>
  <c r="K16" i="7"/>
  <c r="U16" i="7"/>
  <c r="M28" i="7" s="1"/>
  <c r="K16" i="5"/>
  <c r="U16" i="5"/>
  <c r="M28" i="5" s="1"/>
  <c r="K16" i="53"/>
  <c r="U16" i="53"/>
  <c r="M28" i="53" s="1"/>
  <c r="K16" i="52"/>
  <c r="U16" i="52"/>
  <c r="M28" i="52" s="1"/>
  <c r="K16" i="74"/>
  <c r="U16" i="74"/>
  <c r="M28" i="74" s="1"/>
  <c r="K16" i="87"/>
  <c r="U16" i="87"/>
  <c r="M28" i="87" s="1"/>
  <c r="K16" i="3"/>
  <c r="U16" i="3"/>
  <c r="M28" i="3" s="1"/>
  <c r="K16" i="19"/>
  <c r="U16" i="19"/>
  <c r="M28" i="19" s="1"/>
  <c r="K16" i="13"/>
  <c r="U16" i="13"/>
  <c r="M28" i="13" s="1"/>
  <c r="K16" i="27"/>
  <c r="U16" i="27"/>
  <c r="M28" i="27" s="1"/>
  <c r="K16" i="103"/>
  <c r="U16" i="103"/>
  <c r="M28" i="103" s="1"/>
  <c r="K16" i="2"/>
  <c r="K16" i="23"/>
  <c r="U16" i="23"/>
  <c r="M28" i="23" s="1"/>
  <c r="K16" i="24"/>
  <c r="U16" i="24"/>
  <c r="M28" i="24" s="1"/>
  <c r="K16" i="33"/>
  <c r="U16" i="33"/>
  <c r="M28" i="33" s="1"/>
  <c r="K16" i="16"/>
  <c r="U16" i="16"/>
  <c r="M28" i="16" s="1"/>
  <c r="K16" i="11"/>
  <c r="U16" i="11"/>
  <c r="M28" i="11" s="1"/>
  <c r="K16" i="54"/>
  <c r="U16" i="54"/>
  <c r="M28" i="54" s="1"/>
  <c r="K16" i="12"/>
  <c r="U16" i="12"/>
  <c r="M28" i="12" s="1"/>
  <c r="K16" i="18"/>
  <c r="U16" i="18"/>
  <c r="M28" i="18" s="1"/>
  <c r="K16" i="20"/>
  <c r="U16" i="20"/>
  <c r="M28" i="20" s="1"/>
  <c r="K16" i="25"/>
  <c r="U16" i="25"/>
  <c r="M28" i="25" s="1"/>
  <c r="K16" i="4"/>
  <c r="U16" i="4"/>
  <c r="M28" i="4" s="1"/>
  <c r="K16" i="107"/>
  <c r="U16" i="107"/>
  <c r="M28" i="107" s="1"/>
  <c r="K16" i="31"/>
  <c r="U16" i="31"/>
  <c r="M28" i="31" s="1"/>
  <c r="K16" i="17"/>
  <c r="U16" i="17"/>
  <c r="M28" i="17" s="1"/>
  <c r="K16" i="35"/>
  <c r="K16" i="32"/>
  <c r="U16" i="32"/>
  <c r="M28" i="32" s="1"/>
  <c r="K16" i="22"/>
  <c r="U16" i="22"/>
  <c r="M28" i="22" s="1"/>
  <c r="K16" i="28"/>
  <c r="U16" i="28"/>
  <c r="M28" i="28" s="1"/>
  <c r="K16" i="29"/>
  <c r="U16" i="29"/>
  <c r="M28" i="29" s="1"/>
  <c r="K16" i="34"/>
  <c r="U16" i="34"/>
  <c r="M28" i="34" s="1"/>
  <c r="K16" i="43"/>
  <c r="U16" i="43"/>
  <c r="M28" i="43" s="1"/>
  <c r="J16" i="44"/>
  <c r="T16" i="44"/>
  <c r="L28" i="44" s="1"/>
  <c r="K16" i="45"/>
  <c r="U16" i="45"/>
  <c r="M28" i="45" s="1"/>
  <c r="K16" i="46"/>
  <c r="U16" i="46"/>
  <c r="M28" i="46" s="1"/>
  <c r="K16" i="47"/>
  <c r="U16" i="47"/>
  <c r="M28" i="47" s="1"/>
  <c r="K16" i="97"/>
  <c r="U16" i="97"/>
  <c r="M28" i="97" s="1"/>
  <c r="K16" i="75"/>
  <c r="U16" i="75"/>
  <c r="M28" i="75" s="1"/>
  <c r="K16" i="85"/>
  <c r="U16" i="85"/>
  <c r="M28" i="85" s="1"/>
  <c r="U16" i="105"/>
  <c r="T15" i="8"/>
  <c r="I15" i="8" s="1"/>
  <c r="J27" i="8" s="1"/>
  <c r="T15" i="88"/>
  <c r="I15" i="88" s="1"/>
  <c r="J27" i="88" s="1"/>
  <c r="T16" i="88"/>
  <c r="I16" i="88" s="1"/>
  <c r="J28" i="88" s="1"/>
  <c r="T15" i="89"/>
  <c r="I15" i="89" s="1"/>
  <c r="J27" i="89" s="1"/>
  <c r="T16" i="89"/>
  <c r="I16" i="89" s="1"/>
  <c r="J28" i="89" s="1"/>
  <c r="T15" i="102"/>
  <c r="I15" i="102" s="1"/>
  <c r="J27" i="102" s="1"/>
  <c r="T16" i="102"/>
  <c r="I16" i="102" s="1"/>
  <c r="J28" i="102" s="1"/>
  <c r="T15" i="48"/>
  <c r="I15" i="48" s="1"/>
  <c r="J27" i="48" s="1"/>
  <c r="T16" i="48"/>
  <c r="I16" i="48" s="1"/>
  <c r="J28" i="48" s="1"/>
  <c r="T15" i="104"/>
  <c r="I15" i="104" s="1"/>
  <c r="J27" i="104" s="1"/>
  <c r="T16" i="104"/>
  <c r="I16" i="104" s="1"/>
  <c r="J28" i="104" s="1"/>
  <c r="T15" i="37"/>
  <c r="I15" i="37" s="1"/>
  <c r="J27" i="37" s="1"/>
  <c r="T16" i="37"/>
  <c r="I16" i="37" s="1"/>
  <c r="J28" i="37" s="1"/>
  <c r="T15" i="7"/>
  <c r="I15" i="7" s="1"/>
  <c r="J27" i="7" s="1"/>
  <c r="T16" i="7"/>
  <c r="I16" i="7" s="1"/>
  <c r="J28" i="7" s="1"/>
  <c r="T15" i="9"/>
  <c r="I15" i="9" s="1"/>
  <c r="J27" i="9" s="1"/>
  <c r="T16" i="9"/>
  <c r="I16" i="9" s="1"/>
  <c r="J28" i="9" s="1"/>
  <c r="T15" i="61"/>
  <c r="I15" i="61" s="1"/>
  <c r="J27" i="61" s="1"/>
  <c r="T16" i="61"/>
  <c r="I16" i="61" s="1"/>
  <c r="J28" i="61" s="1"/>
  <c r="T15" i="5"/>
  <c r="I15" i="5" s="1"/>
  <c r="J27" i="5" s="1"/>
  <c r="T16" i="5"/>
  <c r="I16" i="5" s="1"/>
  <c r="J28" i="5" s="1"/>
  <c r="T15" i="52"/>
  <c r="I15" i="52" s="1"/>
  <c r="J27" i="52" s="1"/>
  <c r="T16" i="52"/>
  <c r="I16" i="52" s="1"/>
  <c r="J28" i="52" s="1"/>
  <c r="T15" i="53"/>
  <c r="I15" i="53" s="1"/>
  <c r="J27" i="53" s="1"/>
  <c r="T16" i="53"/>
  <c r="I16" i="53" s="1"/>
  <c r="J28" i="53" s="1"/>
  <c r="T15" i="74"/>
  <c r="I15" i="74" s="1"/>
  <c r="J27" i="74" s="1"/>
  <c r="T16" i="74"/>
  <c r="I16" i="74" s="1"/>
  <c r="J28" i="74" s="1"/>
  <c r="T15" i="87"/>
  <c r="I15" i="87" s="1"/>
  <c r="J27" i="87" s="1"/>
  <c r="T16" i="87"/>
  <c r="I16" i="87" s="1"/>
  <c r="J28" i="87" s="1"/>
  <c r="T15" i="3"/>
  <c r="I15" i="3" s="1"/>
  <c r="J27" i="3" s="1"/>
  <c r="T16" i="3"/>
  <c r="I16" i="3" s="1"/>
  <c r="J28" i="3" s="1"/>
  <c r="T15" i="19"/>
  <c r="I15" i="19" s="1"/>
  <c r="J27" i="19" s="1"/>
  <c r="T16" i="19"/>
  <c r="I16" i="19" s="1"/>
  <c r="J28" i="19" s="1"/>
  <c r="T15" i="13"/>
  <c r="I15" i="13" s="1"/>
  <c r="J27" i="13" s="1"/>
  <c r="T16" i="13"/>
  <c r="I16" i="13" s="1"/>
  <c r="J28" i="13" s="1"/>
  <c r="T15" i="27"/>
  <c r="I15" i="27" s="1"/>
  <c r="J27" i="27" s="1"/>
  <c r="T16" i="27"/>
  <c r="I16" i="27" s="1"/>
  <c r="J28" i="27" s="1"/>
  <c r="T15" i="103"/>
  <c r="I15" i="103" s="1"/>
  <c r="J27" i="103" s="1"/>
  <c r="T16" i="103"/>
  <c r="I16" i="103" s="1"/>
  <c r="J28" i="103" s="1"/>
  <c r="T15" i="2"/>
  <c r="I15" i="2" s="1"/>
  <c r="J27" i="2" s="1"/>
  <c r="T16" i="2"/>
  <c r="I16" i="2" s="1"/>
  <c r="J28" i="2" s="1"/>
  <c r="T15" i="23"/>
  <c r="I15" i="23" s="1"/>
  <c r="J27" i="23" s="1"/>
  <c r="T16" i="23"/>
  <c r="I16" i="23" s="1"/>
  <c r="J28" i="23" s="1"/>
  <c r="T15" i="24"/>
  <c r="I15" i="24" s="1"/>
  <c r="J27" i="24" s="1"/>
  <c r="T16" i="24"/>
  <c r="I16" i="24" s="1"/>
  <c r="J28" i="24" s="1"/>
  <c r="T15" i="33"/>
  <c r="I15" i="33" s="1"/>
  <c r="J27" i="33" s="1"/>
  <c r="T16" i="33"/>
  <c r="I16" i="33" s="1"/>
  <c r="J28" i="33" s="1"/>
  <c r="T15" i="16"/>
  <c r="I15" i="16" s="1"/>
  <c r="J27" i="16" s="1"/>
  <c r="T16" i="16"/>
  <c r="I16" i="16" s="1"/>
  <c r="J28" i="16" s="1"/>
  <c r="T15" i="11"/>
  <c r="I15" i="11" s="1"/>
  <c r="J27" i="11" s="1"/>
  <c r="T16" i="11"/>
  <c r="I16" i="11" s="1"/>
  <c r="J28" i="11" s="1"/>
  <c r="T15" i="54"/>
  <c r="I15" i="54" s="1"/>
  <c r="J27" i="54" s="1"/>
  <c r="T16" i="54"/>
  <c r="I16" i="54" s="1"/>
  <c r="J28" i="54" s="1"/>
  <c r="T15" i="12"/>
  <c r="I15" i="12" s="1"/>
  <c r="J27" i="12" s="1"/>
  <c r="T16" i="12"/>
  <c r="I16" i="12" s="1"/>
  <c r="J28" i="12" s="1"/>
  <c r="T15" i="18"/>
  <c r="I15" i="18" s="1"/>
  <c r="J27" i="18" s="1"/>
  <c r="T16" i="18"/>
  <c r="I16" i="18" s="1"/>
  <c r="J28" i="18" s="1"/>
  <c r="T15" i="20"/>
  <c r="I15" i="20" s="1"/>
  <c r="J27" i="20" s="1"/>
  <c r="T16" i="20"/>
  <c r="I16" i="20" s="1"/>
  <c r="J28" i="20" s="1"/>
  <c r="T15" i="25"/>
  <c r="I15" i="25" s="1"/>
  <c r="J27" i="25" s="1"/>
  <c r="T16" i="25"/>
  <c r="I16" i="25" s="1"/>
  <c r="J28" i="25" s="1"/>
  <c r="T15" i="4"/>
  <c r="I15" i="4" s="1"/>
  <c r="J27" i="4" s="1"/>
  <c r="T16" i="4"/>
  <c r="T15" i="107"/>
  <c r="I15" i="107" s="1"/>
  <c r="J27" i="107" s="1"/>
  <c r="T16" i="107"/>
  <c r="I16" i="107" s="1"/>
  <c r="J28" i="107" s="1"/>
  <c r="T15" i="31"/>
  <c r="I15" i="31" s="1"/>
  <c r="J27" i="31" s="1"/>
  <c r="T16" i="31"/>
  <c r="I16" i="31" s="1"/>
  <c r="J28" i="31" s="1"/>
  <c r="T15" i="17"/>
  <c r="I15" i="17" s="1"/>
  <c r="J27" i="17" s="1"/>
  <c r="T16" i="17"/>
  <c r="I16" i="17" s="1"/>
  <c r="J28" i="17" s="1"/>
  <c r="T15" i="32"/>
  <c r="I15" i="32" s="1"/>
  <c r="J27" i="32" s="1"/>
  <c r="T16" i="32"/>
  <c r="I16" i="32" s="1"/>
  <c r="J28" i="32" s="1"/>
  <c r="T15" i="21"/>
  <c r="I15" i="21" s="1"/>
  <c r="J27" i="21" s="1"/>
  <c r="T16" i="21"/>
  <c r="I16" i="21" s="1"/>
  <c r="J28" i="21" s="1"/>
  <c r="T15" i="22"/>
  <c r="I15" i="22" s="1"/>
  <c r="J27" i="22" s="1"/>
  <c r="T16" i="22"/>
  <c r="I16" i="22" s="1"/>
  <c r="J28" i="22" s="1"/>
  <c r="T15" i="28"/>
  <c r="I15" i="28" s="1"/>
  <c r="J27" i="28" s="1"/>
  <c r="T16" i="28"/>
  <c r="I16" i="28" s="1"/>
  <c r="J28" i="28" s="1"/>
  <c r="T15" i="29"/>
  <c r="I15" i="29" s="1"/>
  <c r="J27" i="29" s="1"/>
  <c r="T16" i="29"/>
  <c r="I16" i="29" s="1"/>
  <c r="J28" i="29" s="1"/>
  <c r="T15" i="34"/>
  <c r="I15" i="34" s="1"/>
  <c r="J27" i="34" s="1"/>
  <c r="T16" i="34"/>
  <c r="I16" i="34" s="1"/>
  <c r="J28" i="34" s="1"/>
  <c r="T15" i="43"/>
  <c r="I15" i="43" s="1"/>
  <c r="J27" i="43" s="1"/>
  <c r="T16" i="43"/>
  <c r="I16" i="43" s="1"/>
  <c r="J28" i="43" s="1"/>
  <c r="S15" i="44"/>
  <c r="S16" i="44"/>
  <c r="T15" i="45"/>
  <c r="I15" i="45" s="1"/>
  <c r="J27" i="45" s="1"/>
  <c r="T16" i="45"/>
  <c r="I16" i="45" s="1"/>
  <c r="J28" i="45" s="1"/>
  <c r="T15" i="46"/>
  <c r="I15" i="46" s="1"/>
  <c r="J27" i="46" s="1"/>
  <c r="T16" i="46"/>
  <c r="I16" i="46" s="1"/>
  <c r="J28" i="46" s="1"/>
  <c r="T15" i="47"/>
  <c r="I15" i="47" s="1"/>
  <c r="J27" i="47" s="1"/>
  <c r="T16" i="47"/>
  <c r="I16" i="47" s="1"/>
  <c r="J28" i="47" s="1"/>
  <c r="T15" i="97"/>
  <c r="I15" i="97" s="1"/>
  <c r="J27" i="97" s="1"/>
  <c r="T16" i="97"/>
  <c r="I16" i="97" s="1"/>
  <c r="J28" i="97" s="1"/>
  <c r="T15" i="75"/>
  <c r="I15" i="75" s="1"/>
  <c r="J27" i="75" s="1"/>
  <c r="T16" i="75"/>
  <c r="I16" i="75" s="1"/>
  <c r="J28" i="75" s="1"/>
  <c r="T15" i="85"/>
  <c r="I15" i="85" s="1"/>
  <c r="J27" i="85" s="1"/>
  <c r="T16" i="85"/>
  <c r="I16" i="85" s="1"/>
  <c r="J28" i="85" s="1"/>
  <c r="T15" i="105"/>
  <c r="I15" i="105" s="1"/>
  <c r="J27" i="105" s="1"/>
  <c r="T16" i="105"/>
  <c r="I16" i="105" s="1"/>
  <c r="J28" i="105" s="1"/>
  <c r="T15" i="1"/>
  <c r="I15" i="1" s="1"/>
  <c r="J27" i="1" s="1"/>
  <c r="T16" i="1"/>
  <c r="I16" i="1" s="1"/>
  <c r="J28" i="1" s="1"/>
  <c r="F15" i="1"/>
  <c r="F15" i="105"/>
  <c r="F15" i="85"/>
  <c r="F15" i="75"/>
  <c r="F15" i="97"/>
  <c r="F15" i="47"/>
  <c r="F15" i="46"/>
  <c r="F15" i="45"/>
  <c r="F15" i="44"/>
  <c r="F15" i="43"/>
  <c r="F15" i="34"/>
  <c r="F15" i="29"/>
  <c r="F15" i="28"/>
  <c r="F15" i="22"/>
  <c r="F15" i="21"/>
  <c r="F15" i="32"/>
  <c r="F15" i="17"/>
  <c r="F15" i="31"/>
  <c r="F15" i="107"/>
  <c r="F15" i="25"/>
  <c r="F15" i="20"/>
  <c r="F15" i="18"/>
  <c r="F15" i="12"/>
  <c r="F15" i="54"/>
  <c r="F15" i="11"/>
  <c r="F15" i="16"/>
  <c r="F15" i="33"/>
  <c r="F15" i="24"/>
  <c r="F15" i="23"/>
  <c r="F15" i="2"/>
  <c r="F15" i="103"/>
  <c r="F15" i="27"/>
  <c r="F15" i="13"/>
  <c r="F15" i="19"/>
  <c r="F15" i="3"/>
  <c r="F15" i="87"/>
  <c r="F15" i="74"/>
  <c r="F15" i="53"/>
  <c r="F15" i="52"/>
  <c r="F15" i="5"/>
  <c r="F15" i="61"/>
  <c r="F15" i="9"/>
  <c r="F15" i="7"/>
  <c r="F15" i="37"/>
  <c r="F15" i="104"/>
  <c r="F15" i="48"/>
  <c r="F15" i="102"/>
  <c r="F15" i="101"/>
  <c r="F15" i="89"/>
  <c r="F15" i="88"/>
  <c r="F15" i="8"/>
  <c r="G17" i="4" l="1"/>
  <c r="I16" i="4"/>
  <c r="J28" i="4" s="1"/>
  <c r="H27" i="101"/>
  <c r="H27" i="87"/>
  <c r="H27" i="24"/>
  <c r="H27" i="32"/>
  <c r="H27" i="75"/>
  <c r="H27" i="8"/>
  <c r="H27" i="102"/>
  <c r="H27" i="7"/>
  <c r="H27" i="52"/>
  <c r="H27" i="3"/>
  <c r="H27" i="103"/>
  <c r="H27" i="33"/>
  <c r="H27" i="12"/>
  <c r="H27" i="107"/>
  <c r="H27" i="21"/>
  <c r="H27" i="34"/>
  <c r="H27" i="46"/>
  <c r="H27" i="85"/>
  <c r="H27" i="37"/>
  <c r="H27" i="27"/>
  <c r="H27" i="25"/>
  <c r="H27" i="45"/>
  <c r="H27" i="88"/>
  <c r="H27" i="48"/>
  <c r="H27" i="9"/>
  <c r="H27" i="53"/>
  <c r="H27" i="19"/>
  <c r="H27" i="2"/>
  <c r="H27" i="16"/>
  <c r="H27" i="18"/>
  <c r="H27" i="31"/>
  <c r="H27" i="22"/>
  <c r="H27" i="43"/>
  <c r="H27" i="47"/>
  <c r="H27" i="105"/>
  <c r="H27" i="5"/>
  <c r="H27" i="54"/>
  <c r="H27" i="29"/>
  <c r="H27" i="89"/>
  <c r="H27" i="104"/>
  <c r="H27" i="61"/>
  <c r="H27" i="74"/>
  <c r="H27" i="13"/>
  <c r="H27" i="11"/>
  <c r="H27" i="20"/>
  <c r="H27" i="17"/>
  <c r="H27" i="28"/>
  <c r="H27" i="44"/>
  <c r="I27" i="44" s="1"/>
  <c r="I15" i="44"/>
  <c r="H27" i="97"/>
  <c r="H27" i="1"/>
  <c r="H27" i="23"/>
  <c r="L19" i="35"/>
  <c r="M28" i="105"/>
  <c r="L19" i="105"/>
  <c r="M28" i="8"/>
  <c r="L19" i="8"/>
  <c r="L19" i="19"/>
  <c r="L19" i="46"/>
  <c r="L19" i="47"/>
  <c r="L19" i="87"/>
  <c r="K19" i="44"/>
  <c r="L19" i="24"/>
  <c r="L19" i="31"/>
  <c r="L19" i="25"/>
  <c r="L19" i="52"/>
  <c r="L19" i="53"/>
  <c r="L19" i="107"/>
  <c r="L19" i="48"/>
  <c r="L19" i="104"/>
  <c r="L19" i="45"/>
  <c r="L19" i="97"/>
  <c r="L19" i="27"/>
  <c r="L19" i="74"/>
  <c r="L19" i="32"/>
  <c r="L19" i="85"/>
  <c r="L19" i="33"/>
  <c r="L19" i="75"/>
  <c r="L19" i="43"/>
  <c r="L19" i="103"/>
  <c r="L19" i="102"/>
  <c r="L19" i="101"/>
  <c r="L19" i="12"/>
  <c r="L19" i="16"/>
  <c r="L19" i="17"/>
  <c r="L19" i="7"/>
  <c r="L19" i="54"/>
  <c r="L19" i="37"/>
  <c r="L19" i="9"/>
  <c r="L19" i="5"/>
  <c r="L19" i="29"/>
  <c r="L19" i="28"/>
  <c r="L19" i="11"/>
  <c r="L19" i="4"/>
  <c r="L19" i="22"/>
  <c r="L19" i="34"/>
  <c r="L19" i="3"/>
  <c r="L19" i="61"/>
  <c r="L19" i="15"/>
  <c r="L19" i="23"/>
  <c r="L19" i="13"/>
  <c r="L19" i="20"/>
  <c r="L19" i="18"/>
  <c r="L19" i="88"/>
  <c r="L19" i="89"/>
  <c r="L19" i="1"/>
  <c r="G16" i="85"/>
  <c r="G16" i="75"/>
  <c r="G16" i="47"/>
  <c r="G16" i="46"/>
  <c r="G16" i="45"/>
  <c r="G16" i="44"/>
  <c r="G16" i="43"/>
  <c r="G16" i="29"/>
  <c r="G16" i="28"/>
  <c r="G16" i="20"/>
  <c r="G16" i="18"/>
  <c r="G16" i="21"/>
  <c r="G16" i="35"/>
  <c r="G16" i="4"/>
  <c r="G16" i="25"/>
  <c r="G16" i="54"/>
  <c r="G16" i="23"/>
  <c r="G16" i="27"/>
  <c r="G16" i="7"/>
  <c r="G16" i="37"/>
  <c r="G16" i="103"/>
  <c r="G16" i="107"/>
  <c r="G16" i="89"/>
  <c r="G16" i="8"/>
  <c r="G16" i="5"/>
  <c r="G16" i="13"/>
  <c r="G16" i="61"/>
  <c r="G16" i="52"/>
  <c r="G16" i="34"/>
  <c r="G16" i="74"/>
  <c r="G16" i="101"/>
  <c r="G16" i="12"/>
  <c r="G16" i="97"/>
  <c r="G16" i="22"/>
  <c r="G16" i="102"/>
  <c r="G16" i="9"/>
  <c r="G16" i="32"/>
  <c r="G16" i="88"/>
  <c r="G16" i="2"/>
  <c r="G16" i="48"/>
  <c r="G16" i="104"/>
  <c r="G16" i="33"/>
  <c r="G16" i="11"/>
  <c r="G16" i="1"/>
  <c r="G16" i="53"/>
  <c r="G16" i="19"/>
  <c r="G16" i="24"/>
  <c r="G16" i="87"/>
  <c r="G16" i="3"/>
  <c r="G16" i="16"/>
  <c r="G16" i="105"/>
  <c r="G16" i="17"/>
  <c r="G16" i="31"/>
  <c r="T14" i="107"/>
  <c r="F14" i="107"/>
  <c r="K13" i="107"/>
  <c r="U13" i="107"/>
  <c r="M25" i="107" s="1"/>
  <c r="T13" i="107"/>
  <c r="I13" i="107" s="1"/>
  <c r="J25" i="107" s="1"/>
  <c r="F13" i="107"/>
  <c r="T12" i="107"/>
  <c r="I12" i="107" s="1"/>
  <c r="J24" i="107" s="1"/>
  <c r="F12" i="107"/>
  <c r="T11" i="107"/>
  <c r="I11" i="107" s="1"/>
  <c r="J23" i="107" s="1"/>
  <c r="F11" i="107"/>
  <c r="K10" i="107"/>
  <c r="U10" i="107"/>
  <c r="M22" i="107" s="1"/>
  <c r="T10" i="107"/>
  <c r="I10" i="107" s="1"/>
  <c r="J22" i="107" s="1"/>
  <c r="F10" i="107"/>
  <c r="T9" i="107"/>
  <c r="I9" i="107" s="1"/>
  <c r="J21" i="107" s="1"/>
  <c r="F9" i="107"/>
  <c r="T8" i="107"/>
  <c r="I8" i="107" s="1"/>
  <c r="J20" i="107" s="1"/>
  <c r="F8" i="107"/>
  <c r="K7" i="107"/>
  <c r="U7" i="107"/>
  <c r="M19" i="107" s="1"/>
  <c r="T7" i="107"/>
  <c r="I7" i="107" s="1"/>
  <c r="J19" i="107" s="1"/>
  <c r="F7" i="107"/>
  <c r="T6" i="107"/>
  <c r="I6" i="107" s="1"/>
  <c r="J18" i="107" s="1"/>
  <c r="F6" i="107"/>
  <c r="T5" i="107"/>
  <c r="I5" i="107" s="1"/>
  <c r="J17" i="107" s="1"/>
  <c r="F5" i="107"/>
  <c r="N16" i="107" l="1"/>
  <c r="O19" i="107" s="1"/>
  <c r="I14" i="107"/>
  <c r="J26" i="107" s="1"/>
  <c r="H19" i="107"/>
  <c r="H25" i="107"/>
  <c r="H22" i="107"/>
  <c r="C16" i="107"/>
  <c r="D19" i="107" s="1"/>
  <c r="H18" i="107"/>
  <c r="H21" i="107"/>
  <c r="H24" i="107"/>
  <c r="C7" i="107"/>
  <c r="E19" i="107" s="1"/>
  <c r="C10" i="107"/>
  <c r="C13" i="107"/>
  <c r="N7" i="107"/>
  <c r="N13" i="107"/>
  <c r="N10" i="107"/>
  <c r="L10" i="107"/>
  <c r="L13" i="107"/>
  <c r="L16" i="107"/>
  <c r="H17" i="107"/>
  <c r="H23" i="107"/>
  <c r="H20" i="107"/>
  <c r="G15" i="107"/>
  <c r="H26" i="107"/>
  <c r="G11" i="107"/>
  <c r="G6" i="107"/>
  <c r="G8" i="107"/>
  <c r="G13" i="107"/>
  <c r="G10" i="107"/>
  <c r="G12" i="107"/>
  <c r="B16" i="107"/>
  <c r="G14" i="107"/>
  <c r="G9" i="107"/>
  <c r="G7" i="107"/>
  <c r="B13" i="107"/>
  <c r="B10" i="107"/>
  <c r="B7" i="107"/>
  <c r="T14" i="105"/>
  <c r="F14" i="105"/>
  <c r="U13" i="105"/>
  <c r="T13" i="105"/>
  <c r="I13" i="105" s="1"/>
  <c r="J25" i="105" s="1"/>
  <c r="F13" i="105"/>
  <c r="T12" i="105"/>
  <c r="I12" i="105" s="1"/>
  <c r="J24" i="105" s="1"/>
  <c r="F12" i="105"/>
  <c r="T11" i="105"/>
  <c r="I11" i="105" s="1"/>
  <c r="J23" i="105" s="1"/>
  <c r="F11" i="105"/>
  <c r="U10" i="105"/>
  <c r="T10" i="105"/>
  <c r="I10" i="105" s="1"/>
  <c r="J22" i="105" s="1"/>
  <c r="F10" i="105"/>
  <c r="T9" i="105"/>
  <c r="I9" i="105" s="1"/>
  <c r="J21" i="105" s="1"/>
  <c r="F9" i="105"/>
  <c r="T8" i="105"/>
  <c r="I8" i="105" s="1"/>
  <c r="J20" i="105" s="1"/>
  <c r="F8" i="105"/>
  <c r="U7" i="105"/>
  <c r="M19" i="105" s="1"/>
  <c r="T7" i="105"/>
  <c r="I7" i="105" s="1"/>
  <c r="J19" i="105" s="1"/>
  <c r="F7" i="105"/>
  <c r="T6" i="105"/>
  <c r="I6" i="105" s="1"/>
  <c r="J18" i="105" s="1"/>
  <c r="F6" i="105"/>
  <c r="T5" i="105"/>
  <c r="I5" i="105" s="1"/>
  <c r="J17" i="105" s="1"/>
  <c r="F5" i="105"/>
  <c r="O16" i="107" l="1"/>
  <c r="N16" i="105"/>
  <c r="O19" i="105" s="1"/>
  <c r="I14" i="105"/>
  <c r="J26" i="105" s="1"/>
  <c r="E28" i="107"/>
  <c r="H18" i="105"/>
  <c r="H22" i="105"/>
  <c r="H24" i="105"/>
  <c r="H19" i="105"/>
  <c r="H21" i="105"/>
  <c r="C16" i="105"/>
  <c r="E28" i="105" s="1"/>
  <c r="H25" i="105"/>
  <c r="D13" i="107"/>
  <c r="E25" i="107"/>
  <c r="D10" i="107"/>
  <c r="E22" i="107"/>
  <c r="D16" i="107"/>
  <c r="C7" i="105"/>
  <c r="E19" i="105" s="1"/>
  <c r="O10" i="107"/>
  <c r="C13" i="105"/>
  <c r="C10" i="105"/>
  <c r="N13" i="105"/>
  <c r="N10" i="105"/>
  <c r="M25" i="105"/>
  <c r="L13" i="105"/>
  <c r="L16" i="105"/>
  <c r="N7" i="105"/>
  <c r="M22" i="105"/>
  <c r="L10" i="105"/>
  <c r="O13" i="107"/>
  <c r="H20" i="105"/>
  <c r="H23" i="105"/>
  <c r="H26" i="105"/>
  <c r="G10" i="105"/>
  <c r="G12" i="105"/>
  <c r="G8" i="105"/>
  <c r="B16" i="105"/>
  <c r="G14" i="105"/>
  <c r="G15" i="105"/>
  <c r="G6" i="105"/>
  <c r="G9" i="105"/>
  <c r="G11" i="105"/>
  <c r="B7" i="105"/>
  <c r="H17" i="105"/>
  <c r="G13" i="105"/>
  <c r="G7" i="105"/>
  <c r="B13" i="105"/>
  <c r="B10" i="105"/>
  <c r="T14" i="104"/>
  <c r="F14" i="104"/>
  <c r="K13" i="104"/>
  <c r="U13" i="104"/>
  <c r="M25" i="104" s="1"/>
  <c r="T13" i="104"/>
  <c r="I13" i="104" s="1"/>
  <c r="J25" i="104" s="1"/>
  <c r="F13" i="104"/>
  <c r="T12" i="104"/>
  <c r="I12" i="104" s="1"/>
  <c r="J24" i="104" s="1"/>
  <c r="F12" i="104"/>
  <c r="T11" i="104"/>
  <c r="I11" i="104" s="1"/>
  <c r="J23" i="104" s="1"/>
  <c r="F11" i="104"/>
  <c r="K10" i="104"/>
  <c r="U10" i="104"/>
  <c r="M22" i="104" s="1"/>
  <c r="T10" i="104"/>
  <c r="I10" i="104" s="1"/>
  <c r="J22" i="104" s="1"/>
  <c r="F10" i="104"/>
  <c r="T9" i="104"/>
  <c r="I9" i="104" s="1"/>
  <c r="J21" i="104" s="1"/>
  <c r="F9" i="104"/>
  <c r="T8" i="104"/>
  <c r="I8" i="104" s="1"/>
  <c r="J20" i="104" s="1"/>
  <c r="F8" i="104"/>
  <c r="K7" i="104"/>
  <c r="U7" i="104"/>
  <c r="M19" i="104" s="1"/>
  <c r="T7" i="104"/>
  <c r="I7" i="104" s="1"/>
  <c r="J19" i="104" s="1"/>
  <c r="F7" i="104"/>
  <c r="T6" i="104"/>
  <c r="I6" i="104" s="1"/>
  <c r="J18" i="104" s="1"/>
  <c r="F6" i="104"/>
  <c r="T5" i="104"/>
  <c r="I5" i="104" s="1"/>
  <c r="J17" i="104" s="1"/>
  <c r="F5" i="104"/>
  <c r="T14" i="103"/>
  <c r="F14" i="103"/>
  <c r="K13" i="103"/>
  <c r="U13" i="103"/>
  <c r="M25" i="103" s="1"/>
  <c r="T13" i="103"/>
  <c r="I13" i="103" s="1"/>
  <c r="J25" i="103" s="1"/>
  <c r="F13" i="103"/>
  <c r="T12" i="103"/>
  <c r="I12" i="103" s="1"/>
  <c r="J24" i="103" s="1"/>
  <c r="F12" i="103"/>
  <c r="T11" i="103"/>
  <c r="I11" i="103" s="1"/>
  <c r="J23" i="103" s="1"/>
  <c r="F11" i="103"/>
  <c r="K10" i="103"/>
  <c r="U10" i="103"/>
  <c r="M22" i="103" s="1"/>
  <c r="T10" i="103"/>
  <c r="I10" i="103" s="1"/>
  <c r="J22" i="103" s="1"/>
  <c r="F10" i="103"/>
  <c r="T9" i="103"/>
  <c r="I9" i="103" s="1"/>
  <c r="J21" i="103" s="1"/>
  <c r="F9" i="103"/>
  <c r="T8" i="103"/>
  <c r="I8" i="103" s="1"/>
  <c r="J20" i="103" s="1"/>
  <c r="F8" i="103"/>
  <c r="K7" i="103"/>
  <c r="U7" i="103"/>
  <c r="M19" i="103" s="1"/>
  <c r="T7" i="103"/>
  <c r="I7" i="103" s="1"/>
  <c r="J19" i="103" s="1"/>
  <c r="F7" i="103"/>
  <c r="T6" i="103"/>
  <c r="I6" i="103" s="1"/>
  <c r="J18" i="103" s="1"/>
  <c r="F6" i="103"/>
  <c r="T5" i="103"/>
  <c r="I5" i="103" s="1"/>
  <c r="J17" i="103" s="1"/>
  <c r="F5" i="103"/>
  <c r="T14" i="102"/>
  <c r="F14" i="102"/>
  <c r="K13" i="102"/>
  <c r="U13" i="102"/>
  <c r="M25" i="102" s="1"/>
  <c r="T13" i="102"/>
  <c r="I13" i="102" s="1"/>
  <c r="J25" i="102" s="1"/>
  <c r="F13" i="102"/>
  <c r="T12" i="102"/>
  <c r="I12" i="102" s="1"/>
  <c r="J24" i="102" s="1"/>
  <c r="F12" i="102"/>
  <c r="T11" i="102"/>
  <c r="I11" i="102" s="1"/>
  <c r="J23" i="102" s="1"/>
  <c r="F11" i="102"/>
  <c r="K10" i="102"/>
  <c r="U10" i="102"/>
  <c r="M22" i="102" s="1"/>
  <c r="T10" i="102"/>
  <c r="I10" i="102" s="1"/>
  <c r="J22" i="102" s="1"/>
  <c r="F10" i="102"/>
  <c r="T9" i="102"/>
  <c r="I9" i="102" s="1"/>
  <c r="J21" i="102" s="1"/>
  <c r="F9" i="102"/>
  <c r="T8" i="102"/>
  <c r="I8" i="102" s="1"/>
  <c r="J20" i="102" s="1"/>
  <c r="F8" i="102"/>
  <c r="K7" i="102"/>
  <c r="U7" i="102"/>
  <c r="M19" i="102" s="1"/>
  <c r="T7" i="102"/>
  <c r="I7" i="102" s="1"/>
  <c r="J19" i="102" s="1"/>
  <c r="F7" i="102"/>
  <c r="T6" i="102"/>
  <c r="I6" i="102" s="1"/>
  <c r="J18" i="102" s="1"/>
  <c r="F6" i="102"/>
  <c r="T5" i="102"/>
  <c r="I5" i="102" s="1"/>
  <c r="J17" i="102" s="1"/>
  <c r="F5" i="102"/>
  <c r="U13" i="101"/>
  <c r="M25" i="101" s="1"/>
  <c r="K7" i="101"/>
  <c r="K10" i="101"/>
  <c r="K13" i="101"/>
  <c r="F14" i="101"/>
  <c r="F13" i="101"/>
  <c r="F12" i="101"/>
  <c r="F11" i="101"/>
  <c r="U10" i="101"/>
  <c r="M22" i="101" s="1"/>
  <c r="F10" i="101"/>
  <c r="F9" i="101"/>
  <c r="F8" i="101"/>
  <c r="U7" i="101"/>
  <c r="M19" i="101" s="1"/>
  <c r="F7" i="101"/>
  <c r="F6" i="101"/>
  <c r="F5" i="101"/>
  <c r="O16" i="105" l="1"/>
  <c r="N16" i="102"/>
  <c r="O19" i="102" s="1"/>
  <c r="I14" i="102"/>
  <c r="J26" i="102" s="1"/>
  <c r="N16" i="104"/>
  <c r="O19" i="104" s="1"/>
  <c r="I14" i="104"/>
  <c r="J26" i="104" s="1"/>
  <c r="N16" i="103"/>
  <c r="O19" i="103" s="1"/>
  <c r="I14" i="103"/>
  <c r="J26" i="103" s="1"/>
  <c r="C16" i="101"/>
  <c r="E28" i="101" s="1"/>
  <c r="H25" i="102"/>
  <c r="C16" i="102"/>
  <c r="E28" i="102" s="1"/>
  <c r="H18" i="103"/>
  <c r="H21" i="103"/>
  <c r="H24" i="103"/>
  <c r="H19" i="104"/>
  <c r="H22" i="104"/>
  <c r="H25" i="104"/>
  <c r="C16" i="104"/>
  <c r="E28" i="104" s="1"/>
  <c r="H19" i="102"/>
  <c r="H18" i="101"/>
  <c r="H21" i="101"/>
  <c r="H24" i="101"/>
  <c r="D19" i="105"/>
  <c r="H22" i="102"/>
  <c r="H19" i="101"/>
  <c r="H22" i="101"/>
  <c r="H25" i="101"/>
  <c r="H18" i="102"/>
  <c r="H21" i="102"/>
  <c r="H24" i="102"/>
  <c r="H19" i="103"/>
  <c r="H22" i="103"/>
  <c r="H25" i="103"/>
  <c r="C16" i="103"/>
  <c r="D19" i="103" s="1"/>
  <c r="H18" i="104"/>
  <c r="H21" i="104"/>
  <c r="H24" i="104"/>
  <c r="D10" i="105"/>
  <c r="E22" i="105"/>
  <c r="D13" i="105"/>
  <c r="E25" i="105"/>
  <c r="D16" i="105"/>
  <c r="C10" i="103"/>
  <c r="C13" i="103"/>
  <c r="C7" i="103"/>
  <c r="E19" i="103" s="1"/>
  <c r="C10" i="101"/>
  <c r="C13" i="102"/>
  <c r="C7" i="104"/>
  <c r="E19" i="104" s="1"/>
  <c r="C10" i="104"/>
  <c r="C13" i="104"/>
  <c r="C7" i="101"/>
  <c r="E19" i="101" s="1"/>
  <c r="C13" i="101"/>
  <c r="C7" i="102"/>
  <c r="E19" i="102" s="1"/>
  <c r="C10" i="102"/>
  <c r="N7" i="102"/>
  <c r="N10" i="102"/>
  <c r="N13" i="102"/>
  <c r="N7" i="104"/>
  <c r="N10" i="104"/>
  <c r="N13" i="104"/>
  <c r="O13" i="105"/>
  <c r="O10" i="105"/>
  <c r="L10" i="104"/>
  <c r="L13" i="104"/>
  <c r="L16" i="104"/>
  <c r="N10" i="103"/>
  <c r="N13" i="103"/>
  <c r="N7" i="103"/>
  <c r="L10" i="103"/>
  <c r="L13" i="103"/>
  <c r="L16" i="103"/>
  <c r="L13" i="102"/>
  <c r="L16" i="102"/>
  <c r="L10" i="102"/>
  <c r="L10" i="101"/>
  <c r="L13" i="101"/>
  <c r="L16" i="101"/>
  <c r="H23" i="104"/>
  <c r="H26" i="104"/>
  <c r="H17" i="104"/>
  <c r="H20" i="104"/>
  <c r="H17" i="103"/>
  <c r="H20" i="103"/>
  <c r="H23" i="103"/>
  <c r="H26" i="103"/>
  <c r="H26" i="102"/>
  <c r="H17" i="102"/>
  <c r="H20" i="102"/>
  <c r="H23" i="102"/>
  <c r="H26" i="101"/>
  <c r="H17" i="101"/>
  <c r="H20" i="101"/>
  <c r="H23" i="101"/>
  <c r="G10" i="102"/>
  <c r="G12" i="102"/>
  <c r="G8" i="102"/>
  <c r="G10" i="103"/>
  <c r="G12" i="103"/>
  <c r="G8" i="103"/>
  <c r="G11" i="104"/>
  <c r="G6" i="104"/>
  <c r="G8" i="104"/>
  <c r="G13" i="104"/>
  <c r="G7" i="101"/>
  <c r="G9" i="101"/>
  <c r="G6" i="101"/>
  <c r="G12" i="101"/>
  <c r="G13" i="103"/>
  <c r="G7" i="103"/>
  <c r="G9" i="103"/>
  <c r="G11" i="103"/>
  <c r="B16" i="103"/>
  <c r="G14" i="103"/>
  <c r="G15" i="103"/>
  <c r="G6" i="103"/>
  <c r="G10" i="101"/>
  <c r="G11" i="101"/>
  <c r="B16" i="101"/>
  <c r="G14" i="101"/>
  <c r="G15" i="101"/>
  <c r="G13" i="101"/>
  <c r="G8" i="101"/>
  <c r="B16" i="102"/>
  <c r="G14" i="102"/>
  <c r="G15" i="102"/>
  <c r="G6" i="102"/>
  <c r="G13" i="102"/>
  <c r="G7" i="102"/>
  <c r="G9" i="102"/>
  <c r="G11" i="102"/>
  <c r="G7" i="104"/>
  <c r="G10" i="104"/>
  <c r="G12" i="104"/>
  <c r="B16" i="104"/>
  <c r="G14" i="104"/>
  <c r="G15" i="104"/>
  <c r="G9" i="104"/>
  <c r="B13" i="104"/>
  <c r="B13" i="103"/>
  <c r="B7" i="104"/>
  <c r="B10" i="104"/>
  <c r="B7" i="103"/>
  <c r="B10" i="103"/>
  <c r="B7" i="102"/>
  <c r="B7" i="101"/>
  <c r="B10" i="102"/>
  <c r="B13" i="102"/>
  <c r="B13" i="101"/>
  <c r="B10" i="101"/>
  <c r="I14" i="78"/>
  <c r="I13" i="78"/>
  <c r="I12" i="78"/>
  <c r="I11" i="78"/>
  <c r="I10" i="78"/>
  <c r="I9" i="78"/>
  <c r="I8" i="78"/>
  <c r="I7" i="78"/>
  <c r="I6" i="78"/>
  <c r="I5" i="78"/>
  <c r="O16" i="102" l="1"/>
  <c r="D19" i="101"/>
  <c r="D16" i="104"/>
  <c r="D19" i="102"/>
  <c r="E28" i="103"/>
  <c r="D16" i="102"/>
  <c r="D19" i="104"/>
  <c r="D10" i="104"/>
  <c r="E22" i="104"/>
  <c r="D13" i="101"/>
  <c r="E25" i="101"/>
  <c r="D13" i="103"/>
  <c r="E25" i="103"/>
  <c r="D13" i="102"/>
  <c r="E25" i="102"/>
  <c r="D10" i="103"/>
  <c r="E22" i="103"/>
  <c r="D16" i="101"/>
  <c r="D10" i="102"/>
  <c r="E22" i="102"/>
  <c r="D13" i="104"/>
  <c r="E25" i="104"/>
  <c r="D10" i="101"/>
  <c r="E22" i="101"/>
  <c r="D16" i="103"/>
  <c r="O13" i="104"/>
  <c r="O10" i="102"/>
  <c r="O10" i="104"/>
  <c r="O16" i="104"/>
  <c r="O13" i="102"/>
  <c r="O13" i="103"/>
  <c r="O16" i="103"/>
  <c r="O10" i="103"/>
  <c r="T14" i="97" l="1"/>
  <c r="F14" i="97"/>
  <c r="K13" i="97"/>
  <c r="U13" i="97"/>
  <c r="M25" i="97" s="1"/>
  <c r="T13" i="97"/>
  <c r="I13" i="97" s="1"/>
  <c r="J25" i="97" s="1"/>
  <c r="F13" i="97"/>
  <c r="T12" i="97"/>
  <c r="I12" i="97" s="1"/>
  <c r="J24" i="97" s="1"/>
  <c r="F12" i="97"/>
  <c r="T11" i="97"/>
  <c r="I11" i="97" s="1"/>
  <c r="J23" i="97" s="1"/>
  <c r="F11" i="97"/>
  <c r="K10" i="97"/>
  <c r="U10" i="97"/>
  <c r="M22" i="97" s="1"/>
  <c r="T10" i="97"/>
  <c r="I10" i="97" s="1"/>
  <c r="J22" i="97" s="1"/>
  <c r="F10" i="97"/>
  <c r="T9" i="97"/>
  <c r="I9" i="97" s="1"/>
  <c r="J21" i="97" s="1"/>
  <c r="F9" i="97"/>
  <c r="T8" i="97"/>
  <c r="I8" i="97" s="1"/>
  <c r="J20" i="97" s="1"/>
  <c r="F8" i="97"/>
  <c r="K7" i="97"/>
  <c r="U7" i="97"/>
  <c r="M19" i="97" s="1"/>
  <c r="T7" i="97"/>
  <c r="I7" i="97" s="1"/>
  <c r="J19" i="97" s="1"/>
  <c r="F7" i="97"/>
  <c r="T6" i="97"/>
  <c r="I6" i="97" s="1"/>
  <c r="J18" i="97" s="1"/>
  <c r="F6" i="97"/>
  <c r="T5" i="97"/>
  <c r="I5" i="97" s="1"/>
  <c r="J17" i="97" s="1"/>
  <c r="F5" i="97"/>
  <c r="N16" i="97" l="1"/>
  <c r="O19" i="97" s="1"/>
  <c r="I14" i="97"/>
  <c r="J26" i="97" s="1"/>
  <c r="H21" i="97"/>
  <c r="H18" i="97"/>
  <c r="H24" i="97"/>
  <c r="H25" i="97"/>
  <c r="C16" i="97"/>
  <c r="E28" i="97" s="1"/>
  <c r="H19" i="97"/>
  <c r="H22" i="97"/>
  <c r="C7" i="97"/>
  <c r="E19" i="97" s="1"/>
  <c r="C13" i="97"/>
  <c r="C10" i="97"/>
  <c r="L10" i="97"/>
  <c r="L13" i="97"/>
  <c r="L16" i="97"/>
  <c r="N7" i="97"/>
  <c r="N10" i="97"/>
  <c r="N13" i="97"/>
  <c r="H17" i="97"/>
  <c r="H20" i="97"/>
  <c r="H23" i="97"/>
  <c r="H26" i="97"/>
  <c r="G12" i="97"/>
  <c r="G10" i="97"/>
  <c r="G8" i="97"/>
  <c r="G6" i="97"/>
  <c r="B16" i="97"/>
  <c r="G14" i="97"/>
  <c r="G15" i="97"/>
  <c r="G13" i="97"/>
  <c r="G7" i="97"/>
  <c r="G9" i="97"/>
  <c r="G11" i="97"/>
  <c r="B10" i="97"/>
  <c r="B13" i="97"/>
  <c r="B7" i="97"/>
  <c r="F14" i="87"/>
  <c r="F14" i="23"/>
  <c r="F14" i="27"/>
  <c r="F14" i="33"/>
  <c r="F14" i="24"/>
  <c r="F14" i="88"/>
  <c r="F14" i="13"/>
  <c r="F14" i="74"/>
  <c r="F14" i="9"/>
  <c r="F14" i="2"/>
  <c r="F14" i="5"/>
  <c r="F14" i="16"/>
  <c r="F14" i="89"/>
  <c r="F14" i="8"/>
  <c r="F14" i="11"/>
  <c r="F14" i="52"/>
  <c r="F14" i="54"/>
  <c r="F14" i="3"/>
  <c r="F14" i="12"/>
  <c r="F14" i="18"/>
  <c r="F14" i="20"/>
  <c r="F14" i="25"/>
  <c r="F14" i="37"/>
  <c r="F14" i="7"/>
  <c r="F14" i="19"/>
  <c r="F14" i="31"/>
  <c r="F14" i="17"/>
  <c r="F14" i="32"/>
  <c r="F14" i="21"/>
  <c r="F14" i="22"/>
  <c r="F14" i="28"/>
  <c r="F14" i="29"/>
  <c r="F14" i="34"/>
  <c r="F14" i="43"/>
  <c r="F14" i="44"/>
  <c r="F14" i="45"/>
  <c r="F14" i="46"/>
  <c r="F14" i="47"/>
  <c r="F14" i="48"/>
  <c r="F14" i="53"/>
  <c r="F14" i="61"/>
  <c r="F14" i="75"/>
  <c r="F14" i="85"/>
  <c r="F14" i="1"/>
  <c r="D19" i="97" l="1"/>
  <c r="C16" i="29"/>
  <c r="E28" i="29" s="1"/>
  <c r="C16" i="52"/>
  <c r="D19" i="52" s="1"/>
  <c r="C16" i="33"/>
  <c r="D19" i="33" s="1"/>
  <c r="C16" i="17"/>
  <c r="E28" i="17" s="1"/>
  <c r="C16" i="11"/>
  <c r="E28" i="11" s="1"/>
  <c r="C16" i="5"/>
  <c r="D19" i="5" s="1"/>
  <c r="C16" i="13"/>
  <c r="D19" i="13" s="1"/>
  <c r="C16" i="27"/>
  <c r="E28" i="27" s="1"/>
  <c r="C16" i="53"/>
  <c r="E28" i="53" s="1"/>
  <c r="C16" i="32"/>
  <c r="D19" i="32" s="1"/>
  <c r="C16" i="18"/>
  <c r="E28" i="18" s="1"/>
  <c r="C16" i="74"/>
  <c r="E28" i="74" s="1"/>
  <c r="C16" i="48"/>
  <c r="E28" i="48" s="1"/>
  <c r="C16" i="44"/>
  <c r="E28" i="44" s="1"/>
  <c r="I14" i="44"/>
  <c r="C16" i="12"/>
  <c r="E28" i="12" s="1"/>
  <c r="C16" i="75"/>
  <c r="E28" i="75" s="1"/>
  <c r="C16" i="47"/>
  <c r="E28" i="47" s="1"/>
  <c r="C16" i="43"/>
  <c r="E28" i="43" s="1"/>
  <c r="C16" i="22"/>
  <c r="E28" i="22" s="1"/>
  <c r="C16" i="31"/>
  <c r="E28" i="31" s="1"/>
  <c r="C16" i="25"/>
  <c r="E28" i="25" s="1"/>
  <c r="C16" i="3"/>
  <c r="E28" i="3" s="1"/>
  <c r="C16" i="8"/>
  <c r="D19" i="8" s="1"/>
  <c r="C16" i="2"/>
  <c r="E28" i="2" s="1"/>
  <c r="C16" i="88"/>
  <c r="D19" i="88" s="1"/>
  <c r="C16" i="1"/>
  <c r="E28" i="1" s="1"/>
  <c r="C16" i="45"/>
  <c r="D19" i="45" s="1"/>
  <c r="C16" i="7"/>
  <c r="E28" i="7" s="1"/>
  <c r="C16" i="16"/>
  <c r="E28" i="16" s="1"/>
  <c r="C16" i="85"/>
  <c r="E28" i="85" s="1"/>
  <c r="C16" i="28"/>
  <c r="E28" i="28" s="1"/>
  <c r="C16" i="37"/>
  <c r="E28" i="37" s="1"/>
  <c r="C16" i="61"/>
  <c r="D19" i="61" s="1"/>
  <c r="C16" i="46"/>
  <c r="E28" i="46" s="1"/>
  <c r="C16" i="34"/>
  <c r="D19" i="34" s="1"/>
  <c r="C16" i="21"/>
  <c r="E28" i="21" s="1"/>
  <c r="C16" i="19"/>
  <c r="D19" i="19" s="1"/>
  <c r="C16" i="20"/>
  <c r="E28" i="20" s="1"/>
  <c r="C16" i="54"/>
  <c r="D19" i="54" s="1"/>
  <c r="C16" i="9"/>
  <c r="E28" i="9" s="1"/>
  <c r="C16" i="24"/>
  <c r="E28" i="24" s="1"/>
  <c r="C16" i="87"/>
  <c r="E28" i="87" s="1"/>
  <c r="C16" i="23"/>
  <c r="D19" i="23" s="1"/>
  <c r="D10" i="97"/>
  <c r="E22" i="97"/>
  <c r="D13" i="97"/>
  <c r="E25" i="97"/>
  <c r="D16" i="97"/>
  <c r="H26" i="89"/>
  <c r="C16" i="89"/>
  <c r="O13" i="97"/>
  <c r="O10" i="97"/>
  <c r="O16" i="97"/>
  <c r="H26" i="18"/>
  <c r="H26" i="21"/>
  <c r="H26" i="23"/>
  <c r="H26" i="20"/>
  <c r="H26" i="88"/>
  <c r="H26" i="8"/>
  <c r="H26" i="13"/>
  <c r="H26" i="47"/>
  <c r="H26" i="87"/>
  <c r="H26" i="46"/>
  <c r="H26" i="19"/>
  <c r="H26" i="44"/>
  <c r="I26" i="44" s="1"/>
  <c r="H26" i="24"/>
  <c r="H26" i="1"/>
  <c r="H26" i="31"/>
  <c r="H26" i="25"/>
  <c r="H26" i="52"/>
  <c r="H26" i="53"/>
  <c r="H26" i="48"/>
  <c r="H26" i="45"/>
  <c r="H26" i="27"/>
  <c r="H26" i="74"/>
  <c r="H26" i="32"/>
  <c r="H26" i="85"/>
  <c r="H26" i="2"/>
  <c r="H26" i="33"/>
  <c r="H26" i="75"/>
  <c r="H26" i="43"/>
  <c r="H26" i="12"/>
  <c r="H26" i="16"/>
  <c r="H26" i="17"/>
  <c r="H26" i="7"/>
  <c r="H26" i="54"/>
  <c r="H26" i="37"/>
  <c r="H26" i="9"/>
  <c r="H26" i="5"/>
  <c r="H26" i="29"/>
  <c r="H26" i="28"/>
  <c r="H26" i="11"/>
  <c r="H26" i="3"/>
  <c r="H26" i="22"/>
  <c r="H26" i="34"/>
  <c r="H26" i="61"/>
  <c r="B16" i="85"/>
  <c r="G15" i="85"/>
  <c r="B16" i="75"/>
  <c r="G15" i="75"/>
  <c r="B16" i="47"/>
  <c r="G15" i="47"/>
  <c r="B16" i="46"/>
  <c r="G15" i="46"/>
  <c r="B16" i="45"/>
  <c r="G15" i="45"/>
  <c r="B16" i="44"/>
  <c r="G15" i="44"/>
  <c r="B16" i="43"/>
  <c r="G15" i="43"/>
  <c r="B16" i="29"/>
  <c r="G15" i="29"/>
  <c r="B16" i="28"/>
  <c r="G15" i="28"/>
  <c r="B16" i="20"/>
  <c r="G15" i="20"/>
  <c r="B16" i="18"/>
  <c r="G15" i="18"/>
  <c r="B16" i="21"/>
  <c r="G15" i="21"/>
  <c r="B16" i="35"/>
  <c r="G15" i="35"/>
  <c r="B16" i="25"/>
  <c r="G15" i="25"/>
  <c r="B16" i="54"/>
  <c r="G15" i="54"/>
  <c r="B16" i="23"/>
  <c r="G15" i="23"/>
  <c r="B16" i="27"/>
  <c r="G15" i="27"/>
  <c r="B16" i="7"/>
  <c r="G15" i="7"/>
  <c r="B16" i="37"/>
  <c r="G15" i="37"/>
  <c r="B16" i="89"/>
  <c r="G15" i="89"/>
  <c r="B16" i="8"/>
  <c r="G15" i="8"/>
  <c r="B16" i="5"/>
  <c r="G15" i="5"/>
  <c r="B16" i="13"/>
  <c r="G15" i="13"/>
  <c r="B16" i="61"/>
  <c r="G15" i="61"/>
  <c r="B16" i="52"/>
  <c r="G15" i="52"/>
  <c r="B16" i="34"/>
  <c r="G15" i="34"/>
  <c r="B16" i="74"/>
  <c r="G15" i="74"/>
  <c r="B16" i="12"/>
  <c r="G15" i="12"/>
  <c r="B16" i="22"/>
  <c r="G15" i="22"/>
  <c r="B16" i="9"/>
  <c r="G15" i="9"/>
  <c r="B16" i="32"/>
  <c r="G15" i="32"/>
  <c r="B16" i="88"/>
  <c r="G15" i="88"/>
  <c r="B16" i="2"/>
  <c r="G15" i="2"/>
  <c r="B16" i="48"/>
  <c r="G15" i="48"/>
  <c r="B16" i="33"/>
  <c r="G15" i="33"/>
  <c r="B16" i="11"/>
  <c r="G15" i="11"/>
  <c r="B16" i="1"/>
  <c r="G15" i="1"/>
  <c r="B16" i="53"/>
  <c r="G15" i="53"/>
  <c r="B16" i="19"/>
  <c r="G15" i="19"/>
  <c r="B16" i="24"/>
  <c r="G15" i="24"/>
  <c r="B16" i="87"/>
  <c r="G15" i="87"/>
  <c r="B16" i="3"/>
  <c r="G15" i="3"/>
  <c r="B16" i="16"/>
  <c r="G15" i="16"/>
  <c r="B16" i="17"/>
  <c r="G15" i="17"/>
  <c r="B16" i="31"/>
  <c r="G15" i="31"/>
  <c r="D19" i="29" l="1"/>
  <c r="D19" i="47"/>
  <c r="D19" i="48"/>
  <c r="E28" i="13"/>
  <c r="E28" i="33"/>
  <c r="E28" i="8"/>
  <c r="D19" i="53"/>
  <c r="D19" i="12"/>
  <c r="D19" i="16"/>
  <c r="E28" i="45"/>
  <c r="D19" i="22"/>
  <c r="D19" i="18"/>
  <c r="D19" i="11"/>
  <c r="E28" i="34"/>
  <c r="D19" i="28"/>
  <c r="D19" i="25"/>
  <c r="E28" i="88"/>
  <c r="E28" i="23"/>
  <c r="E28" i="54"/>
  <c r="E28" i="19"/>
  <c r="E28" i="61"/>
  <c r="D19" i="24"/>
  <c r="E28" i="32"/>
  <c r="D19" i="3"/>
  <c r="E28" i="52"/>
  <c r="D19" i="44"/>
  <c r="E28" i="5"/>
  <c r="D19" i="17"/>
  <c r="D19" i="31"/>
  <c r="D19" i="27"/>
  <c r="D19" i="2"/>
  <c r="D19" i="74"/>
  <c r="D19" i="1"/>
  <c r="D19" i="43"/>
  <c r="D19" i="20"/>
  <c r="D19" i="21"/>
  <c r="D19" i="46"/>
  <c r="D19" i="75"/>
  <c r="D19" i="37"/>
  <c r="D19" i="85"/>
  <c r="D19" i="87"/>
  <c r="D19" i="9"/>
  <c r="D19" i="7"/>
  <c r="E28" i="89"/>
  <c r="D19" i="89"/>
  <c r="F5" i="33"/>
  <c r="H17" i="33" l="1"/>
  <c r="F13" i="23"/>
  <c r="F12" i="23"/>
  <c r="F11" i="23"/>
  <c r="F10" i="23"/>
  <c r="F9" i="23"/>
  <c r="F8" i="23"/>
  <c r="F7" i="23"/>
  <c r="F6" i="23"/>
  <c r="F5" i="23"/>
  <c r="F13" i="27"/>
  <c r="F12" i="27"/>
  <c r="F11" i="27"/>
  <c r="F10" i="27"/>
  <c r="F9" i="27"/>
  <c r="F8" i="27"/>
  <c r="F7" i="27"/>
  <c r="F6" i="27"/>
  <c r="F5" i="27"/>
  <c r="F13" i="33"/>
  <c r="F12" i="33"/>
  <c r="F11" i="33"/>
  <c r="F10" i="33"/>
  <c r="F9" i="33"/>
  <c r="F8" i="33"/>
  <c r="F7" i="33"/>
  <c r="F6" i="33"/>
  <c r="F13" i="24"/>
  <c r="F12" i="24"/>
  <c r="F11" i="24"/>
  <c r="F10" i="24"/>
  <c r="F9" i="24"/>
  <c r="F8" i="24"/>
  <c r="F7" i="24"/>
  <c r="F6" i="24"/>
  <c r="F5" i="24"/>
  <c r="F13" i="88"/>
  <c r="F12" i="88"/>
  <c r="F11" i="88"/>
  <c r="F10" i="88"/>
  <c r="F9" i="88"/>
  <c r="F8" i="88"/>
  <c r="F7" i="88"/>
  <c r="F6" i="88"/>
  <c r="F5" i="88"/>
  <c r="F13" i="13"/>
  <c r="F12" i="13"/>
  <c r="F11" i="13"/>
  <c r="F10" i="13"/>
  <c r="F9" i="13"/>
  <c r="F8" i="13"/>
  <c r="F7" i="13"/>
  <c r="F6" i="13"/>
  <c r="F5" i="13"/>
  <c r="F13" i="74"/>
  <c r="F12" i="74"/>
  <c r="F11" i="74"/>
  <c r="F10" i="74"/>
  <c r="F9" i="74"/>
  <c r="F8" i="74"/>
  <c r="F7" i="74"/>
  <c r="F6" i="74"/>
  <c r="F5" i="74"/>
  <c r="F13" i="9"/>
  <c r="F12" i="9"/>
  <c r="F11" i="9"/>
  <c r="F10" i="9"/>
  <c r="F9" i="9"/>
  <c r="F8" i="9"/>
  <c r="F7" i="9"/>
  <c r="F6" i="9"/>
  <c r="F5" i="9"/>
  <c r="F13" i="5"/>
  <c r="F12" i="5"/>
  <c r="F11" i="5"/>
  <c r="F10" i="5"/>
  <c r="F9" i="5"/>
  <c r="F8" i="5"/>
  <c r="F7" i="5"/>
  <c r="F6" i="5"/>
  <c r="F5" i="5"/>
  <c r="F13" i="16"/>
  <c r="F12" i="16"/>
  <c r="F11" i="16"/>
  <c r="F10" i="16"/>
  <c r="F9" i="16"/>
  <c r="F8" i="16"/>
  <c r="F7" i="16"/>
  <c r="F6" i="16"/>
  <c r="F5" i="16"/>
  <c r="F13" i="89"/>
  <c r="F12" i="89"/>
  <c r="F11" i="89"/>
  <c r="F10" i="89"/>
  <c r="F9" i="89"/>
  <c r="F8" i="89"/>
  <c r="F7" i="89"/>
  <c r="F6" i="89"/>
  <c r="F5" i="89"/>
  <c r="F13" i="2"/>
  <c r="F12" i="2"/>
  <c r="F11" i="2"/>
  <c r="F10" i="2"/>
  <c r="F9" i="2"/>
  <c r="F8" i="2"/>
  <c r="F7" i="2"/>
  <c r="F6" i="2"/>
  <c r="F5" i="2"/>
  <c r="F13" i="8"/>
  <c r="F12" i="8"/>
  <c r="F11" i="8"/>
  <c r="F10" i="8"/>
  <c r="F9" i="8"/>
  <c r="F8" i="8"/>
  <c r="F7" i="8"/>
  <c r="F6" i="8"/>
  <c r="F5" i="8"/>
  <c r="F13" i="11"/>
  <c r="F12" i="11"/>
  <c r="F11" i="11"/>
  <c r="F10" i="11"/>
  <c r="F9" i="11"/>
  <c r="F8" i="11"/>
  <c r="F7" i="11"/>
  <c r="F6" i="11"/>
  <c r="F5" i="11"/>
  <c r="F13" i="52"/>
  <c r="F12" i="52"/>
  <c r="F11" i="52"/>
  <c r="F10" i="52"/>
  <c r="F9" i="52"/>
  <c r="F8" i="52"/>
  <c r="F7" i="52"/>
  <c r="F6" i="52"/>
  <c r="F5" i="52"/>
  <c r="F13" i="54"/>
  <c r="F12" i="54"/>
  <c r="F11" i="54"/>
  <c r="F10" i="54"/>
  <c r="F9" i="54"/>
  <c r="F8" i="54"/>
  <c r="F7" i="54"/>
  <c r="F6" i="54"/>
  <c r="F5" i="54"/>
  <c r="F13" i="3"/>
  <c r="F12" i="3"/>
  <c r="F11" i="3"/>
  <c r="F10" i="3"/>
  <c r="F9" i="3"/>
  <c r="F8" i="3"/>
  <c r="F7" i="3"/>
  <c r="F6" i="3"/>
  <c r="F5" i="3"/>
  <c r="F13" i="12"/>
  <c r="F12" i="12"/>
  <c r="F11" i="12"/>
  <c r="F10" i="12"/>
  <c r="F9" i="12"/>
  <c r="F8" i="12"/>
  <c r="F7" i="12"/>
  <c r="F6" i="12"/>
  <c r="F5" i="12"/>
  <c r="F13" i="18"/>
  <c r="F12" i="18"/>
  <c r="F11" i="18"/>
  <c r="F10" i="18"/>
  <c r="F9" i="18"/>
  <c r="F8" i="18"/>
  <c r="F7" i="18"/>
  <c r="F6" i="18"/>
  <c r="F5" i="18"/>
  <c r="F13" i="20"/>
  <c r="F12" i="20"/>
  <c r="F11" i="20"/>
  <c r="F10" i="20"/>
  <c r="F9" i="20"/>
  <c r="F8" i="20"/>
  <c r="F7" i="20"/>
  <c r="F6" i="20"/>
  <c r="F5" i="20"/>
  <c r="F13" i="25"/>
  <c r="F12" i="25"/>
  <c r="F11" i="25"/>
  <c r="F10" i="25"/>
  <c r="F9" i="25"/>
  <c r="F8" i="25"/>
  <c r="F7" i="25"/>
  <c r="F6" i="25"/>
  <c r="F5" i="25"/>
  <c r="F13" i="37"/>
  <c r="F12" i="37"/>
  <c r="F11" i="37"/>
  <c r="F10" i="37"/>
  <c r="F9" i="37"/>
  <c r="F8" i="37"/>
  <c r="F7" i="37"/>
  <c r="F6" i="37"/>
  <c r="F5" i="37"/>
  <c r="F13" i="7"/>
  <c r="F12" i="7"/>
  <c r="F11" i="7"/>
  <c r="F10" i="7"/>
  <c r="F9" i="7"/>
  <c r="F8" i="7"/>
  <c r="F7" i="7"/>
  <c r="F6" i="7"/>
  <c r="F5" i="7"/>
  <c r="F13" i="19"/>
  <c r="F12" i="19"/>
  <c r="F11" i="19"/>
  <c r="F10" i="19"/>
  <c r="F9" i="19"/>
  <c r="F8" i="19"/>
  <c r="F7" i="19"/>
  <c r="F6" i="19"/>
  <c r="F5" i="19"/>
  <c r="F13" i="31"/>
  <c r="F12" i="31"/>
  <c r="F11" i="31"/>
  <c r="F10" i="31"/>
  <c r="F9" i="31"/>
  <c r="F8" i="31"/>
  <c r="F7" i="31"/>
  <c r="F6" i="31"/>
  <c r="F5" i="31"/>
  <c r="F13" i="17"/>
  <c r="F12" i="17"/>
  <c r="F11" i="17"/>
  <c r="F10" i="17"/>
  <c r="F9" i="17"/>
  <c r="F8" i="17"/>
  <c r="F7" i="17"/>
  <c r="F6" i="17"/>
  <c r="F5" i="17"/>
  <c r="H18" i="35"/>
  <c r="H17" i="35"/>
  <c r="F13" i="32"/>
  <c r="F12" i="32"/>
  <c r="F11" i="32"/>
  <c r="F10" i="32"/>
  <c r="F9" i="32"/>
  <c r="F8" i="32"/>
  <c r="F7" i="32"/>
  <c r="F6" i="32"/>
  <c r="F5" i="32"/>
  <c r="F13" i="21"/>
  <c r="F12" i="21"/>
  <c r="F11" i="21"/>
  <c r="F10" i="21"/>
  <c r="F9" i="21"/>
  <c r="F8" i="21"/>
  <c r="F7" i="21"/>
  <c r="F6" i="21"/>
  <c r="F5" i="21"/>
  <c r="F13" i="22"/>
  <c r="F12" i="22"/>
  <c r="F11" i="22"/>
  <c r="F10" i="22"/>
  <c r="F9" i="22"/>
  <c r="F8" i="22"/>
  <c r="F7" i="22"/>
  <c r="F6" i="22"/>
  <c r="F5" i="22"/>
  <c r="F13" i="28"/>
  <c r="F12" i="28"/>
  <c r="F11" i="28"/>
  <c r="F10" i="28"/>
  <c r="F9" i="28"/>
  <c r="F8" i="28"/>
  <c r="F7" i="28"/>
  <c r="F6" i="28"/>
  <c r="F5" i="28"/>
  <c r="F13" i="29"/>
  <c r="F12" i="29"/>
  <c r="F11" i="29"/>
  <c r="F10" i="29"/>
  <c r="F9" i="29"/>
  <c r="F8" i="29"/>
  <c r="F7" i="29"/>
  <c r="F6" i="29"/>
  <c r="F5" i="29"/>
  <c r="F13" i="34"/>
  <c r="F12" i="34"/>
  <c r="F11" i="34"/>
  <c r="F10" i="34"/>
  <c r="F9" i="34"/>
  <c r="F8" i="34"/>
  <c r="F7" i="34"/>
  <c r="F6" i="34"/>
  <c r="F5" i="34"/>
  <c r="F13" i="43"/>
  <c r="F12" i="43"/>
  <c r="F11" i="43"/>
  <c r="F10" i="43"/>
  <c r="F9" i="43"/>
  <c r="F8" i="43"/>
  <c r="F7" i="43"/>
  <c r="F6" i="43"/>
  <c r="F5" i="43"/>
  <c r="F13" i="44"/>
  <c r="F12" i="44"/>
  <c r="F11" i="44"/>
  <c r="I11" i="44" s="1"/>
  <c r="F10" i="44"/>
  <c r="F9" i="44"/>
  <c r="F8" i="44"/>
  <c r="I8" i="44" s="1"/>
  <c r="F7" i="44"/>
  <c r="F6" i="44"/>
  <c r="F5" i="44"/>
  <c r="I5" i="44" s="1"/>
  <c r="F13" i="45"/>
  <c r="F12" i="45"/>
  <c r="F11" i="45"/>
  <c r="F10" i="45"/>
  <c r="F9" i="45"/>
  <c r="F8" i="45"/>
  <c r="F7" i="45"/>
  <c r="F6" i="45"/>
  <c r="F5" i="45"/>
  <c r="F13" i="46"/>
  <c r="F12" i="46"/>
  <c r="F11" i="46"/>
  <c r="F10" i="46"/>
  <c r="F9" i="46"/>
  <c r="F8" i="46"/>
  <c r="F7" i="46"/>
  <c r="F6" i="46"/>
  <c r="F5" i="46"/>
  <c r="F13" i="47"/>
  <c r="F12" i="47"/>
  <c r="F11" i="47"/>
  <c r="F10" i="47"/>
  <c r="F9" i="47"/>
  <c r="F8" i="47"/>
  <c r="F7" i="47"/>
  <c r="F6" i="47"/>
  <c r="F5" i="47"/>
  <c r="F13" i="48"/>
  <c r="F12" i="48"/>
  <c r="F11" i="48"/>
  <c r="F10" i="48"/>
  <c r="F9" i="48"/>
  <c r="F8" i="48"/>
  <c r="F7" i="48"/>
  <c r="F6" i="48"/>
  <c r="F5" i="48"/>
  <c r="F13" i="53"/>
  <c r="F12" i="53"/>
  <c r="F11" i="53"/>
  <c r="F10" i="53"/>
  <c r="F9" i="53"/>
  <c r="F8" i="53"/>
  <c r="F7" i="53"/>
  <c r="F6" i="53"/>
  <c r="F5" i="53"/>
  <c r="F13" i="61"/>
  <c r="F12" i="61"/>
  <c r="F11" i="61"/>
  <c r="F10" i="61"/>
  <c r="F9" i="61"/>
  <c r="F8" i="61"/>
  <c r="F7" i="61"/>
  <c r="F6" i="61"/>
  <c r="F5" i="61"/>
  <c r="F13" i="75"/>
  <c r="F12" i="75"/>
  <c r="F11" i="75"/>
  <c r="F10" i="75"/>
  <c r="F9" i="75"/>
  <c r="F8" i="75"/>
  <c r="F7" i="75"/>
  <c r="F6" i="75"/>
  <c r="F5" i="75"/>
  <c r="F13" i="85"/>
  <c r="F12" i="85"/>
  <c r="F11" i="85"/>
  <c r="F10" i="85"/>
  <c r="F9" i="85"/>
  <c r="F8" i="85"/>
  <c r="F7" i="85"/>
  <c r="F6" i="85"/>
  <c r="F5" i="85"/>
  <c r="F13" i="87"/>
  <c r="F12" i="87"/>
  <c r="F11" i="87"/>
  <c r="F10" i="87"/>
  <c r="F9" i="87"/>
  <c r="F8" i="87"/>
  <c r="F7" i="87"/>
  <c r="F6" i="87"/>
  <c r="F5" i="87"/>
  <c r="F12" i="1"/>
  <c r="F11" i="1"/>
  <c r="F10" i="1"/>
  <c r="F9" i="1"/>
  <c r="F8" i="1"/>
  <c r="F7" i="1"/>
  <c r="F6" i="1"/>
  <c r="F5" i="1"/>
  <c r="B13" i="2" l="1"/>
  <c r="C13" i="2"/>
  <c r="B10" i="2"/>
  <c r="C10" i="2"/>
  <c r="B7" i="2"/>
  <c r="C7" i="2"/>
  <c r="E19" i="2" s="1"/>
  <c r="H18" i="87"/>
  <c r="H19" i="61"/>
  <c r="H18" i="53"/>
  <c r="H19" i="46"/>
  <c r="H18" i="29"/>
  <c r="H22" i="29"/>
  <c r="H21" i="28"/>
  <c r="H24" i="22"/>
  <c r="H22" i="32"/>
  <c r="H18" i="31"/>
  <c r="H22" i="25"/>
  <c r="H21" i="20"/>
  <c r="H25" i="20"/>
  <c r="H24" i="18"/>
  <c r="H25" i="54"/>
  <c r="H24" i="89"/>
  <c r="H25" i="9"/>
  <c r="H18" i="88"/>
  <c r="H25" i="24"/>
  <c r="H25" i="33"/>
  <c r="H19" i="1"/>
  <c r="H19" i="87"/>
  <c r="H18" i="85"/>
  <c r="H22" i="85"/>
  <c r="H21" i="75"/>
  <c r="H25" i="75"/>
  <c r="H24" i="61"/>
  <c r="H19" i="53"/>
  <c r="H18" i="48"/>
  <c r="H22" i="48"/>
  <c r="H21" i="47"/>
  <c r="H25" i="47"/>
  <c r="H24" i="46"/>
  <c r="H19" i="45"/>
  <c r="H18" i="44"/>
  <c r="I18" i="44" s="1"/>
  <c r="I6" i="44"/>
  <c r="H22" i="44"/>
  <c r="I22" i="44" s="1"/>
  <c r="I10" i="44"/>
  <c r="H21" i="43"/>
  <c r="H25" i="43"/>
  <c r="H24" i="34"/>
  <c r="H19" i="29"/>
  <c r="H18" i="28"/>
  <c r="H22" i="28"/>
  <c r="H21" i="22"/>
  <c r="H25" i="22"/>
  <c r="H24" i="21"/>
  <c r="H19" i="32"/>
  <c r="H24" i="17"/>
  <c r="H18" i="19"/>
  <c r="H22" i="19"/>
  <c r="H21" i="7"/>
  <c r="H25" i="7"/>
  <c r="H24" i="37"/>
  <c r="H19" i="25"/>
  <c r="H18" i="20"/>
  <c r="H22" i="20"/>
  <c r="H21" i="18"/>
  <c r="H25" i="18"/>
  <c r="H24" i="12"/>
  <c r="H19" i="3"/>
  <c r="H18" i="54"/>
  <c r="H22" i="54"/>
  <c r="H21" i="52"/>
  <c r="H25" i="52"/>
  <c r="H24" i="11"/>
  <c r="H19" i="8"/>
  <c r="H18" i="2"/>
  <c r="H22" i="2"/>
  <c r="H21" i="89"/>
  <c r="H25" i="89"/>
  <c r="H24" i="16"/>
  <c r="H19" i="5"/>
  <c r="H18" i="9"/>
  <c r="H22" i="9"/>
  <c r="H21" i="74"/>
  <c r="H25" i="74"/>
  <c r="H24" i="13"/>
  <c r="H19" i="88"/>
  <c r="H18" i="24"/>
  <c r="H22" i="24"/>
  <c r="H22" i="33"/>
  <c r="H21" i="27"/>
  <c r="H25" i="27"/>
  <c r="H22" i="1"/>
  <c r="H22" i="87"/>
  <c r="H21" i="85"/>
  <c r="H25" i="85"/>
  <c r="H24" i="75"/>
  <c r="H22" i="53"/>
  <c r="H21" i="48"/>
  <c r="H22" i="45"/>
  <c r="H25" i="44"/>
  <c r="I25" i="44" s="1"/>
  <c r="I13" i="44"/>
  <c r="H24" i="43"/>
  <c r="H22" i="31"/>
  <c r="H21" i="19"/>
  <c r="H24" i="7"/>
  <c r="H19" i="37"/>
  <c r="H18" i="25"/>
  <c r="H19" i="12"/>
  <c r="H18" i="3"/>
  <c r="H21" i="54"/>
  <c r="H24" i="52"/>
  <c r="H18" i="8"/>
  <c r="H21" i="2"/>
  <c r="H18" i="5"/>
  <c r="H22" i="5"/>
  <c r="H21" i="33"/>
  <c r="H24" i="1"/>
  <c r="H24" i="87"/>
  <c r="H19" i="85"/>
  <c r="H18" i="75"/>
  <c r="H22" i="75"/>
  <c r="H21" i="61"/>
  <c r="H25" i="61"/>
  <c r="H24" i="53"/>
  <c r="H19" i="48"/>
  <c r="H18" i="47"/>
  <c r="H22" i="47"/>
  <c r="H21" i="46"/>
  <c r="H25" i="46"/>
  <c r="H24" i="45"/>
  <c r="H19" i="44"/>
  <c r="I19" i="44" s="1"/>
  <c r="I7" i="44"/>
  <c r="H18" i="43"/>
  <c r="H22" i="43"/>
  <c r="H21" i="34"/>
  <c r="H25" i="34"/>
  <c r="H24" i="29"/>
  <c r="H19" i="28"/>
  <c r="H18" i="22"/>
  <c r="H22" i="22"/>
  <c r="H21" i="21"/>
  <c r="H25" i="21"/>
  <c r="H24" i="32"/>
  <c r="H21" i="17"/>
  <c r="H25" i="17"/>
  <c r="H24" i="31"/>
  <c r="H19" i="19"/>
  <c r="H18" i="7"/>
  <c r="H22" i="7"/>
  <c r="H21" i="37"/>
  <c r="H25" i="37"/>
  <c r="H24" i="25"/>
  <c r="H19" i="20"/>
  <c r="H18" i="18"/>
  <c r="H22" i="18"/>
  <c r="H21" i="12"/>
  <c r="H25" i="12"/>
  <c r="H24" i="3"/>
  <c r="H19" i="54"/>
  <c r="H18" i="52"/>
  <c r="H22" i="52"/>
  <c r="H21" i="11"/>
  <c r="H25" i="11"/>
  <c r="H24" i="8"/>
  <c r="H19" i="2"/>
  <c r="H18" i="89"/>
  <c r="H22" i="89"/>
  <c r="H21" i="16"/>
  <c r="H25" i="16"/>
  <c r="H24" i="5"/>
  <c r="H19" i="9"/>
  <c r="H18" i="74"/>
  <c r="H22" i="74"/>
  <c r="H21" i="13"/>
  <c r="H25" i="13"/>
  <c r="H24" i="88"/>
  <c r="H19" i="24"/>
  <c r="H19" i="33"/>
  <c r="H18" i="27"/>
  <c r="H22" i="27"/>
  <c r="H25" i="48"/>
  <c r="H24" i="47"/>
  <c r="H18" i="45"/>
  <c r="H21" i="44"/>
  <c r="I21" i="44" s="1"/>
  <c r="I9" i="44"/>
  <c r="H19" i="34"/>
  <c r="H25" i="28"/>
  <c r="H19" i="21"/>
  <c r="H18" i="32"/>
  <c r="H19" i="17"/>
  <c r="H25" i="19"/>
  <c r="H22" i="3"/>
  <c r="H22" i="8"/>
  <c r="H25" i="2"/>
  <c r="H21" i="9"/>
  <c r="H24" i="74"/>
  <c r="H19" i="13"/>
  <c r="H22" i="88"/>
  <c r="H21" i="24"/>
  <c r="H24" i="27"/>
  <c r="H21" i="1"/>
  <c r="H21" i="87"/>
  <c r="H25" i="87"/>
  <c r="H24" i="85"/>
  <c r="H19" i="75"/>
  <c r="H18" i="61"/>
  <c r="H22" i="61"/>
  <c r="H21" i="53"/>
  <c r="H25" i="53"/>
  <c r="H24" i="48"/>
  <c r="H19" i="47"/>
  <c r="H18" i="46"/>
  <c r="H22" i="46"/>
  <c r="H21" i="45"/>
  <c r="H25" i="45"/>
  <c r="H24" i="44"/>
  <c r="I24" i="44" s="1"/>
  <c r="I12" i="44"/>
  <c r="H19" i="43"/>
  <c r="H18" i="34"/>
  <c r="H22" i="34"/>
  <c r="H21" i="29"/>
  <c r="H25" i="29"/>
  <c r="H24" i="28"/>
  <c r="H19" i="22"/>
  <c r="H18" i="21"/>
  <c r="H22" i="21"/>
  <c r="H21" i="32"/>
  <c r="H25" i="32"/>
  <c r="H18" i="17"/>
  <c r="H22" i="17"/>
  <c r="H21" i="31"/>
  <c r="H25" i="31"/>
  <c r="H24" i="19"/>
  <c r="H19" i="7"/>
  <c r="H18" i="37"/>
  <c r="H22" i="37"/>
  <c r="H21" i="25"/>
  <c r="H25" i="25"/>
  <c r="H24" i="20"/>
  <c r="H19" i="18"/>
  <c r="H22" i="12"/>
  <c r="H21" i="3"/>
  <c r="H25" i="3"/>
  <c r="H24" i="54"/>
  <c r="H19" i="52"/>
  <c r="H18" i="11"/>
  <c r="H22" i="11"/>
  <c r="H21" i="8"/>
  <c r="H25" i="8"/>
  <c r="H24" i="2"/>
  <c r="H19" i="89"/>
  <c r="H18" i="16"/>
  <c r="H22" i="16"/>
  <c r="H21" i="5"/>
  <c r="H25" i="5"/>
  <c r="H24" i="9"/>
  <c r="H19" i="74"/>
  <c r="H18" i="13"/>
  <c r="H22" i="13"/>
  <c r="H21" i="88"/>
  <c r="H25" i="88"/>
  <c r="H24" i="24"/>
  <c r="H24" i="33"/>
  <c r="H19" i="27"/>
  <c r="H24" i="23"/>
  <c r="H21" i="23"/>
  <c r="H25" i="23"/>
  <c r="H19" i="23"/>
  <c r="H18" i="23"/>
  <c r="H22" i="23"/>
  <c r="C13" i="88"/>
  <c r="E25" i="88" s="1"/>
  <c r="C7" i="27"/>
  <c r="E19" i="27" s="1"/>
  <c r="C10" i="23"/>
  <c r="E22" i="23" s="1"/>
  <c r="C7" i="1"/>
  <c r="E19" i="1" s="1"/>
  <c r="C10" i="85"/>
  <c r="C13" i="75"/>
  <c r="C7" i="61"/>
  <c r="E19" i="61" s="1"/>
  <c r="C10" i="53"/>
  <c r="C13" i="48"/>
  <c r="C7" i="46"/>
  <c r="E19" i="46" s="1"/>
  <c r="C10" i="45"/>
  <c r="C7" i="34"/>
  <c r="E19" i="34" s="1"/>
  <c r="C7" i="37"/>
  <c r="E19" i="37" s="1"/>
  <c r="C10" i="25"/>
  <c r="C13" i="20"/>
  <c r="C7" i="12"/>
  <c r="E19" i="12" s="1"/>
  <c r="C10" i="3"/>
  <c r="C13" i="54"/>
  <c r="C7" i="11"/>
  <c r="E19" i="11" s="1"/>
  <c r="C10" i="8"/>
  <c r="C7" i="16"/>
  <c r="E19" i="16" s="1"/>
  <c r="C10" i="5"/>
  <c r="C7" i="74"/>
  <c r="E19" i="74" s="1"/>
  <c r="C10" i="1"/>
  <c r="C13" i="85"/>
  <c r="C10" i="61"/>
  <c r="C13" i="53"/>
  <c r="C13" i="45"/>
  <c r="C7" i="43"/>
  <c r="E19" i="43" s="1"/>
  <c r="C13" i="29"/>
  <c r="C7" i="22"/>
  <c r="E19" i="22" s="1"/>
  <c r="C10" i="21"/>
  <c r="C13" i="32"/>
  <c r="C10" i="17"/>
  <c r="C13" i="31"/>
  <c r="C7" i="7"/>
  <c r="E19" i="7" s="1"/>
  <c r="C10" i="37"/>
  <c r="C13" i="25"/>
  <c r="C7" i="18"/>
  <c r="E19" i="18" s="1"/>
  <c r="C10" i="12"/>
  <c r="C13" i="3"/>
  <c r="C10" i="34"/>
  <c r="C10" i="32"/>
  <c r="C7" i="47"/>
  <c r="E19" i="47" s="1"/>
  <c r="C10" i="46"/>
  <c r="C10" i="11"/>
  <c r="C13" i="8"/>
  <c r="C7" i="89"/>
  <c r="E19" i="89" s="1"/>
  <c r="C10" i="16"/>
  <c r="C13" i="5"/>
  <c r="C7" i="9"/>
  <c r="E19" i="9" s="1"/>
  <c r="C10" i="87"/>
  <c r="C7" i="87"/>
  <c r="E19" i="87" s="1"/>
  <c r="C13" i="44"/>
  <c r="C7" i="52"/>
  <c r="E19" i="52" s="1"/>
  <c r="C10" i="13"/>
  <c r="C10" i="29"/>
  <c r="C13" i="28"/>
  <c r="C7" i="21"/>
  <c r="E19" i="21" s="1"/>
  <c r="C7" i="17"/>
  <c r="E19" i="17" s="1"/>
  <c r="C10" i="31"/>
  <c r="C13" i="19"/>
  <c r="C7" i="85"/>
  <c r="E19" i="85" s="1"/>
  <c r="C10" i="75"/>
  <c r="C7" i="53"/>
  <c r="E19" i="53" s="1"/>
  <c r="C10" i="48"/>
  <c r="C13" i="47"/>
  <c r="C7" i="45"/>
  <c r="E19" i="45" s="1"/>
  <c r="C10" i="44"/>
  <c r="C13" i="43"/>
  <c r="C10" i="28"/>
  <c r="C13" i="22"/>
  <c r="C7" i="32"/>
  <c r="E19" i="32" s="1"/>
  <c r="C7" i="31"/>
  <c r="E19" i="31" s="1"/>
  <c r="C10" i="19"/>
  <c r="C13" i="7"/>
  <c r="C7" i="25"/>
  <c r="E19" i="25" s="1"/>
  <c r="C13" i="18"/>
  <c r="C7" i="3"/>
  <c r="E19" i="3" s="1"/>
  <c r="C10" i="54"/>
  <c r="C13" i="52"/>
  <c r="C7" i="8"/>
  <c r="E19" i="8" s="1"/>
  <c r="C7" i="5"/>
  <c r="E19" i="5" s="1"/>
  <c r="C13" i="9"/>
  <c r="C7" i="13"/>
  <c r="E19" i="13" s="1"/>
  <c r="C13" i="24"/>
  <c r="C7" i="23"/>
  <c r="E19" i="23" s="1"/>
  <c r="C13" i="87"/>
  <c r="C7" i="75"/>
  <c r="E19" i="75" s="1"/>
  <c r="C13" i="61"/>
  <c r="C7" i="48"/>
  <c r="E19" i="48" s="1"/>
  <c r="C10" i="47"/>
  <c r="C13" i="46"/>
  <c r="C7" i="44"/>
  <c r="E19" i="44" s="1"/>
  <c r="C10" i="43"/>
  <c r="C13" i="34"/>
  <c r="C7" i="28"/>
  <c r="E19" i="28" s="1"/>
  <c r="C10" i="22"/>
  <c r="C13" i="21"/>
  <c r="C13" i="17"/>
  <c r="C7" i="19"/>
  <c r="E19" i="19" s="1"/>
  <c r="C10" i="7"/>
  <c r="C13" i="37"/>
  <c r="C10" i="18"/>
  <c r="C13" i="12"/>
  <c r="C7" i="54"/>
  <c r="E19" i="54" s="1"/>
  <c r="C10" i="52"/>
  <c r="C13" i="11"/>
  <c r="C13" i="16"/>
  <c r="C10" i="9"/>
  <c r="C7" i="33"/>
  <c r="E19" i="33" s="1"/>
  <c r="C13" i="33"/>
  <c r="C10" i="88"/>
  <c r="C13" i="89"/>
  <c r="C10" i="89"/>
  <c r="C7" i="29"/>
  <c r="E19" i="29" s="1"/>
  <c r="C10" i="20"/>
  <c r="C7" i="20"/>
  <c r="E19" i="20" s="1"/>
  <c r="C13" i="74"/>
  <c r="C7" i="88"/>
  <c r="E19" i="88" s="1"/>
  <c r="C10" i="24"/>
  <c r="C10" i="33"/>
  <c r="C13" i="27"/>
  <c r="C10" i="74"/>
  <c r="C13" i="13"/>
  <c r="C7" i="24"/>
  <c r="E19" i="24" s="1"/>
  <c r="C10" i="27"/>
  <c r="C13" i="23"/>
  <c r="H17" i="21"/>
  <c r="H23" i="20"/>
  <c r="H20" i="8"/>
  <c r="H20" i="13"/>
  <c r="H23" i="88"/>
  <c r="H20" i="23"/>
  <c r="H20" i="20"/>
  <c r="H23" i="18"/>
  <c r="H23" i="89"/>
  <c r="H17" i="13"/>
  <c r="H20" i="88"/>
  <c r="H17" i="23"/>
  <c r="H23" i="21"/>
  <c r="H17" i="20"/>
  <c r="H20" i="18"/>
  <c r="H20" i="89"/>
  <c r="H17" i="88"/>
  <c r="H20" i="21"/>
  <c r="H17" i="18"/>
  <c r="H23" i="8"/>
  <c r="H17" i="89"/>
  <c r="H23" i="13"/>
  <c r="H23" i="23"/>
  <c r="H23" i="47"/>
  <c r="H20" i="47"/>
  <c r="H17" i="47"/>
  <c r="H23" i="87"/>
  <c r="H20" i="87"/>
  <c r="H17" i="46"/>
  <c r="H23" i="46"/>
  <c r="H20" i="46"/>
  <c r="H23" i="19"/>
  <c r="H20" i="19"/>
  <c r="H17" i="19"/>
  <c r="H23" i="44"/>
  <c r="I23" i="44" s="1"/>
  <c r="H20" i="44"/>
  <c r="I20" i="44" s="1"/>
  <c r="H17" i="44"/>
  <c r="I17" i="44" s="1"/>
  <c r="H23" i="24"/>
  <c r="H20" i="24"/>
  <c r="H17" i="24"/>
  <c r="H20" i="1"/>
  <c r="H23" i="1"/>
  <c r="H17" i="1"/>
  <c r="H17" i="31"/>
  <c r="H23" i="31"/>
  <c r="H20" i="31"/>
  <c r="H20" i="25"/>
  <c r="H23" i="25"/>
  <c r="H23" i="52"/>
  <c r="H20" i="52"/>
  <c r="H17" i="52"/>
  <c r="H17" i="53"/>
  <c r="H23" i="53"/>
  <c r="H20" i="53"/>
  <c r="H20" i="48"/>
  <c r="H17" i="48"/>
  <c r="H23" i="48"/>
  <c r="H23" i="45"/>
  <c r="H20" i="45"/>
  <c r="H17" i="27"/>
  <c r="H23" i="27"/>
  <c r="H20" i="27"/>
  <c r="H17" i="74"/>
  <c r="H23" i="74"/>
  <c r="H20" i="74"/>
  <c r="H23" i="32"/>
  <c r="H20" i="32"/>
  <c r="H17" i="85"/>
  <c r="H23" i="85"/>
  <c r="H20" i="85"/>
  <c r="H23" i="2"/>
  <c r="H20" i="2"/>
  <c r="H17" i="2"/>
  <c r="H23" i="33"/>
  <c r="H23" i="75"/>
  <c r="H20" i="75"/>
  <c r="H17" i="75"/>
  <c r="H17" i="43"/>
  <c r="H23" i="43"/>
  <c r="H20" i="43"/>
  <c r="H23" i="12"/>
  <c r="H20" i="12"/>
  <c r="H17" i="12"/>
  <c r="H20" i="16"/>
  <c r="H23" i="16"/>
  <c r="H17" i="16"/>
  <c r="H20" i="17"/>
  <c r="H17" i="17"/>
  <c r="H23" i="17"/>
  <c r="H20" i="7"/>
  <c r="H17" i="7"/>
  <c r="H23" i="7"/>
  <c r="H17" i="54"/>
  <c r="H23" i="54"/>
  <c r="H20" i="54"/>
  <c r="H23" i="37"/>
  <c r="H20" i="37"/>
  <c r="H17" i="37"/>
  <c r="H20" i="9"/>
  <c r="H17" i="9"/>
  <c r="H23" i="9"/>
  <c r="H23" i="5"/>
  <c r="H20" i="5"/>
  <c r="H23" i="29"/>
  <c r="H17" i="29"/>
  <c r="H20" i="29"/>
  <c r="H23" i="28"/>
  <c r="H20" i="28"/>
  <c r="H17" i="28"/>
  <c r="H23" i="11"/>
  <c r="H20" i="11"/>
  <c r="H17" i="11"/>
  <c r="H23" i="3"/>
  <c r="H20" i="3"/>
  <c r="H17" i="22"/>
  <c r="H23" i="22"/>
  <c r="H20" i="22"/>
  <c r="H20" i="34"/>
  <c r="H17" i="34"/>
  <c r="H23" i="34"/>
  <c r="H20" i="61"/>
  <c r="H17" i="61"/>
  <c r="H23" i="61"/>
  <c r="G10" i="5"/>
  <c r="G11" i="27"/>
  <c r="G10" i="25"/>
  <c r="G10" i="3"/>
  <c r="G8" i="33"/>
  <c r="H20" i="33"/>
  <c r="G7" i="11"/>
  <c r="H19" i="11"/>
  <c r="G7" i="16"/>
  <c r="H19" i="16"/>
  <c r="G7" i="31"/>
  <c r="H19" i="31"/>
  <c r="G10" i="75"/>
  <c r="G10" i="29"/>
  <c r="G10" i="17"/>
  <c r="G10" i="7"/>
  <c r="G7" i="20"/>
  <c r="G10" i="18"/>
  <c r="G7" i="54"/>
  <c r="G10" i="52"/>
  <c r="G10" i="89"/>
  <c r="G7" i="88"/>
  <c r="G8" i="23"/>
  <c r="G10" i="87"/>
  <c r="G11" i="28"/>
  <c r="G10" i="22"/>
  <c r="G10" i="45"/>
  <c r="G11" i="44"/>
  <c r="G11" i="54"/>
  <c r="G12" i="37"/>
  <c r="G12" i="1"/>
  <c r="G6" i="1"/>
  <c r="H18" i="1"/>
  <c r="G6" i="33"/>
  <c r="H18" i="33"/>
  <c r="G10" i="43"/>
  <c r="G6" i="12"/>
  <c r="H18" i="12"/>
  <c r="G10" i="53"/>
  <c r="G12" i="61"/>
  <c r="G6" i="85"/>
  <c r="G12" i="85"/>
  <c r="G9" i="75"/>
  <c r="G9" i="45"/>
  <c r="G12" i="44"/>
  <c r="G9" i="29"/>
  <c r="G12" i="21"/>
  <c r="G8" i="25"/>
  <c r="G11" i="25"/>
  <c r="G7" i="37"/>
  <c r="G9" i="5"/>
  <c r="G11" i="1"/>
  <c r="G11" i="43"/>
  <c r="G11" i="20"/>
  <c r="G9" i="18"/>
  <c r="G11" i="7"/>
  <c r="G9" i="7"/>
  <c r="G11" i="89"/>
  <c r="G11" i="61"/>
  <c r="G6" i="61"/>
  <c r="G6" i="52"/>
  <c r="G7" i="74"/>
  <c r="G12" i="74"/>
  <c r="G12" i="11"/>
  <c r="G12" i="12"/>
  <c r="G10" i="9"/>
  <c r="G11" i="16"/>
  <c r="G8" i="16"/>
  <c r="G9" i="53"/>
  <c r="G10" i="24"/>
  <c r="G10" i="8"/>
  <c r="G9" i="8"/>
  <c r="G10" i="13"/>
  <c r="G11" i="13"/>
  <c r="G8" i="85"/>
  <c r="G7" i="85"/>
  <c r="G13" i="85"/>
  <c r="G14" i="85"/>
  <c r="G10" i="85"/>
  <c r="G11" i="85"/>
  <c r="G9" i="85"/>
  <c r="G11" i="75"/>
  <c r="G7" i="75"/>
  <c r="G6" i="75"/>
  <c r="G13" i="75"/>
  <c r="G14" i="75"/>
  <c r="G8" i="75"/>
  <c r="G12" i="75"/>
  <c r="G12" i="47"/>
  <c r="G6" i="47"/>
  <c r="G7" i="47"/>
  <c r="G13" i="47"/>
  <c r="G14" i="47"/>
  <c r="G8" i="47"/>
  <c r="G9" i="47"/>
  <c r="G10" i="47"/>
  <c r="G11" i="47"/>
  <c r="G11" i="46"/>
  <c r="B10" i="46"/>
  <c r="G8" i="46"/>
  <c r="G7" i="46"/>
  <c r="G13" i="46"/>
  <c r="G14" i="46"/>
  <c r="G10" i="46"/>
  <c r="G9" i="46"/>
  <c r="G6" i="46"/>
  <c r="G12" i="46"/>
  <c r="G11" i="45"/>
  <c r="G12" i="45"/>
  <c r="G7" i="45"/>
  <c r="G13" i="45"/>
  <c r="G14" i="45"/>
  <c r="G6" i="45"/>
  <c r="G8" i="45"/>
  <c r="B7" i="45"/>
  <c r="H17" i="45"/>
  <c r="G6" i="44"/>
  <c r="G13" i="44"/>
  <c r="G14" i="44"/>
  <c r="G7" i="44"/>
  <c r="G10" i="44"/>
  <c r="G8" i="44"/>
  <c r="G9" i="44"/>
  <c r="G12" i="43"/>
  <c r="G7" i="43"/>
  <c r="G13" i="43"/>
  <c r="G14" i="43"/>
  <c r="G8" i="43"/>
  <c r="G6" i="43"/>
  <c r="G9" i="43"/>
  <c r="G8" i="29"/>
  <c r="G11" i="29"/>
  <c r="G7" i="29"/>
  <c r="G13" i="29"/>
  <c r="G14" i="29"/>
  <c r="G6" i="29"/>
  <c r="G12" i="29"/>
  <c r="G8" i="28"/>
  <c r="G7" i="28"/>
  <c r="G13" i="28"/>
  <c r="G14" i="28"/>
  <c r="G10" i="28"/>
  <c r="G9" i="28"/>
  <c r="G6" i="28"/>
  <c r="G12" i="28"/>
  <c r="G8" i="20"/>
  <c r="G9" i="20"/>
  <c r="G10" i="20"/>
  <c r="G13" i="20"/>
  <c r="G14" i="20"/>
  <c r="G6" i="20"/>
  <c r="G12" i="20"/>
  <c r="G8" i="18"/>
  <c r="G6" i="18"/>
  <c r="G12" i="18"/>
  <c r="G11" i="18"/>
  <c r="G7" i="18"/>
  <c r="G13" i="18"/>
  <c r="G14" i="18"/>
  <c r="G8" i="21"/>
  <c r="G7" i="21"/>
  <c r="G13" i="21"/>
  <c r="G14" i="21"/>
  <c r="G10" i="21"/>
  <c r="G11" i="21"/>
  <c r="G9" i="21"/>
  <c r="G6" i="21"/>
  <c r="G8" i="35"/>
  <c r="G10" i="35"/>
  <c r="G11" i="35"/>
  <c r="G7" i="35"/>
  <c r="G13" i="35"/>
  <c r="G14" i="35"/>
  <c r="G6" i="35"/>
  <c r="G12" i="35"/>
  <c r="G9" i="35"/>
  <c r="G12" i="25"/>
  <c r="B7" i="25"/>
  <c r="H17" i="25"/>
  <c r="G6" i="25"/>
  <c r="G7" i="25"/>
  <c r="G13" i="25"/>
  <c r="G14" i="25"/>
  <c r="G9" i="25"/>
  <c r="G8" i="54"/>
  <c r="G13" i="54"/>
  <c r="G14" i="54"/>
  <c r="G10" i="54"/>
  <c r="G9" i="54"/>
  <c r="G6" i="54"/>
  <c r="G12" i="54"/>
  <c r="G11" i="23"/>
  <c r="G10" i="23"/>
  <c r="G9" i="23"/>
  <c r="G6" i="23"/>
  <c r="G12" i="23"/>
  <c r="G7" i="23"/>
  <c r="G13" i="23"/>
  <c r="G14" i="23"/>
  <c r="G8" i="27"/>
  <c r="G7" i="27"/>
  <c r="G13" i="27"/>
  <c r="G14" i="27"/>
  <c r="G12" i="27"/>
  <c r="G9" i="27"/>
  <c r="G6" i="27"/>
  <c r="G10" i="27"/>
  <c r="G7" i="7"/>
  <c r="G13" i="7"/>
  <c r="G14" i="7"/>
  <c r="G12" i="7"/>
  <c r="G8" i="7"/>
  <c r="G6" i="7"/>
  <c r="G8" i="37"/>
  <c r="G9" i="37"/>
  <c r="G11" i="37"/>
  <c r="G13" i="37"/>
  <c r="G14" i="37"/>
  <c r="G10" i="37"/>
  <c r="G6" i="37"/>
  <c r="G8" i="89"/>
  <c r="G6" i="89"/>
  <c r="G12" i="89"/>
  <c r="G7" i="89"/>
  <c r="G13" i="89"/>
  <c r="G14" i="89"/>
  <c r="G9" i="89"/>
  <c r="G8" i="8"/>
  <c r="B7" i="8"/>
  <c r="H17" i="8"/>
  <c r="G12" i="8"/>
  <c r="G7" i="8"/>
  <c r="G13" i="8"/>
  <c r="G14" i="8"/>
  <c r="B13" i="8"/>
  <c r="G11" i="8"/>
  <c r="G6" i="8"/>
  <c r="G7" i="5"/>
  <c r="G6" i="5"/>
  <c r="G12" i="5"/>
  <c r="B13" i="5"/>
  <c r="G11" i="5"/>
  <c r="G13" i="5"/>
  <c r="G14" i="5"/>
  <c r="G8" i="5"/>
  <c r="B7" i="5"/>
  <c r="H17" i="5"/>
  <c r="G12" i="13"/>
  <c r="G7" i="13"/>
  <c r="G13" i="13"/>
  <c r="G14" i="13"/>
  <c r="G8" i="13"/>
  <c r="G6" i="13"/>
  <c r="G9" i="13"/>
  <c r="G7" i="61"/>
  <c r="B10" i="61"/>
  <c r="G8" i="61"/>
  <c r="G10" i="61"/>
  <c r="G13" i="61"/>
  <c r="G14" i="61"/>
  <c r="G9" i="61"/>
  <c r="G7" i="52"/>
  <c r="G9" i="52"/>
  <c r="G11" i="52"/>
  <c r="G12" i="52"/>
  <c r="G13" i="52"/>
  <c r="G14" i="52"/>
  <c r="G8" i="52"/>
  <c r="G8" i="34"/>
  <c r="G7" i="34"/>
  <c r="G13" i="34"/>
  <c r="G14" i="34"/>
  <c r="G10" i="34"/>
  <c r="G11" i="34"/>
  <c r="G9" i="34"/>
  <c r="G6" i="34"/>
  <c r="G12" i="34"/>
  <c r="G9" i="74"/>
  <c r="G10" i="74"/>
  <c r="G13" i="74"/>
  <c r="G14" i="74"/>
  <c r="G8" i="74"/>
  <c r="G11" i="74"/>
  <c r="G6" i="74"/>
  <c r="G8" i="12"/>
  <c r="G7" i="12"/>
  <c r="G13" i="12"/>
  <c r="G14" i="12"/>
  <c r="G10" i="12"/>
  <c r="G9" i="12"/>
  <c r="G11" i="12"/>
  <c r="G9" i="22"/>
  <c r="G12" i="22"/>
  <c r="G7" i="22"/>
  <c r="G8" i="22"/>
  <c r="G11" i="22"/>
  <c r="G6" i="22"/>
  <c r="G13" i="22"/>
  <c r="G14" i="22"/>
  <c r="G6" i="9"/>
  <c r="G12" i="9"/>
  <c r="G9" i="9"/>
  <c r="G11" i="9"/>
  <c r="G7" i="9"/>
  <c r="G13" i="9"/>
  <c r="G14" i="9"/>
  <c r="G8" i="9"/>
  <c r="G9" i="32"/>
  <c r="G10" i="32"/>
  <c r="G8" i="32"/>
  <c r="G11" i="32"/>
  <c r="G7" i="32"/>
  <c r="G13" i="32"/>
  <c r="G14" i="32"/>
  <c r="B7" i="32"/>
  <c r="H17" i="32"/>
  <c r="G12" i="32"/>
  <c r="G6" i="32"/>
  <c r="G11" i="88"/>
  <c r="G6" i="88"/>
  <c r="G12" i="88"/>
  <c r="G9" i="88"/>
  <c r="G10" i="88"/>
  <c r="G13" i="88"/>
  <c r="G14" i="88"/>
  <c r="G8" i="88"/>
  <c r="G7" i="2"/>
  <c r="G10" i="2"/>
  <c r="G6" i="2"/>
  <c r="G12" i="2"/>
  <c r="G13" i="2"/>
  <c r="G14" i="2"/>
  <c r="G9" i="2"/>
  <c r="G8" i="2"/>
  <c r="G11" i="2"/>
  <c r="G11" i="48"/>
  <c r="G6" i="48"/>
  <c r="G7" i="48"/>
  <c r="G13" i="48"/>
  <c r="G14" i="48"/>
  <c r="B10" i="48"/>
  <c r="G8" i="48"/>
  <c r="G10" i="48"/>
  <c r="G9" i="48"/>
  <c r="G12" i="48"/>
  <c r="G11" i="33"/>
  <c r="G10" i="33"/>
  <c r="G9" i="33"/>
  <c r="G12" i="33"/>
  <c r="G7" i="33"/>
  <c r="G13" i="33"/>
  <c r="G14" i="33"/>
  <c r="G11" i="11"/>
  <c r="G6" i="11"/>
  <c r="B10" i="11"/>
  <c r="G8" i="11"/>
  <c r="G13" i="11"/>
  <c r="G14" i="11"/>
  <c r="G9" i="11"/>
  <c r="G10" i="11"/>
  <c r="G7" i="1"/>
  <c r="G8" i="1"/>
  <c r="G10" i="1"/>
  <c r="G9" i="1"/>
  <c r="G11" i="53"/>
  <c r="G6" i="53"/>
  <c r="G7" i="53"/>
  <c r="G13" i="53"/>
  <c r="G14" i="53"/>
  <c r="G12" i="53"/>
  <c r="G8" i="53"/>
  <c r="G8" i="19"/>
  <c r="G10" i="19"/>
  <c r="G7" i="19"/>
  <c r="G13" i="19"/>
  <c r="G14" i="19"/>
  <c r="G9" i="19"/>
  <c r="G11" i="19"/>
  <c r="G6" i="19"/>
  <c r="G12" i="19"/>
  <c r="G11" i="24"/>
  <c r="G7" i="24"/>
  <c r="G13" i="24"/>
  <c r="G14" i="24"/>
  <c r="G6" i="24"/>
  <c r="G12" i="24"/>
  <c r="G8" i="24"/>
  <c r="G9" i="24"/>
  <c r="B7" i="87"/>
  <c r="H17" i="87"/>
  <c r="B13" i="87"/>
  <c r="G11" i="87"/>
  <c r="G6" i="87"/>
  <c r="G12" i="87"/>
  <c r="G7" i="87"/>
  <c r="G13" i="87"/>
  <c r="G14" i="87"/>
  <c r="G8" i="87"/>
  <c r="G9" i="87"/>
  <c r="G7" i="3"/>
  <c r="G9" i="3"/>
  <c r="G6" i="3"/>
  <c r="G12" i="3"/>
  <c r="B7" i="3"/>
  <c r="H17" i="3"/>
  <c r="G11" i="3"/>
  <c r="G13" i="3"/>
  <c r="G14" i="3"/>
  <c r="G8" i="3"/>
  <c r="G13" i="16"/>
  <c r="G14" i="16"/>
  <c r="G10" i="16"/>
  <c r="G9" i="16"/>
  <c r="G6" i="16"/>
  <c r="G12" i="16"/>
  <c r="G9" i="17"/>
  <c r="G8" i="17"/>
  <c r="G6" i="17"/>
  <c r="G12" i="17"/>
  <c r="G11" i="17"/>
  <c r="G7" i="17"/>
  <c r="G13" i="17"/>
  <c r="G14" i="17"/>
  <c r="G10" i="31"/>
  <c r="G11" i="31"/>
  <c r="G13" i="31"/>
  <c r="G14" i="31"/>
  <c r="G8" i="31"/>
  <c r="G9" i="31"/>
  <c r="G6" i="31"/>
  <c r="G12" i="31"/>
  <c r="B7" i="21"/>
  <c r="B7" i="16"/>
  <c r="B10" i="37"/>
  <c r="B10" i="88"/>
  <c r="B13" i="3"/>
  <c r="B10" i="22"/>
  <c r="B7" i="53"/>
  <c r="B7" i="9"/>
  <c r="B13" i="9"/>
  <c r="B10" i="75"/>
  <c r="B7" i="75"/>
  <c r="B13" i="75"/>
  <c r="B7" i="47"/>
  <c r="B13" i="47"/>
  <c r="B10" i="45"/>
  <c r="B7" i="43"/>
  <c r="B10" i="43"/>
  <c r="B13" i="43"/>
  <c r="B7" i="28"/>
  <c r="B7" i="20"/>
  <c r="B13" i="20"/>
  <c r="B10" i="21"/>
  <c r="B7" i="17"/>
  <c r="B13" i="17"/>
  <c r="B10" i="17"/>
  <c r="B7" i="27"/>
  <c r="B13" i="27"/>
  <c r="B7" i="7"/>
  <c r="B13" i="7"/>
  <c r="B10" i="89"/>
  <c r="B10" i="24"/>
  <c r="B10" i="52"/>
  <c r="B10" i="34"/>
  <c r="B7" i="12"/>
  <c r="B13" i="12"/>
  <c r="B7" i="11"/>
  <c r="B13" i="11"/>
  <c r="B10" i="85"/>
  <c r="B7" i="85"/>
  <c r="B13" i="85"/>
  <c r="B10" i="47"/>
  <c r="B7" i="46"/>
  <c r="B13" i="46"/>
  <c r="B13" i="45"/>
  <c r="B10" i="44"/>
  <c r="B7" i="44"/>
  <c r="B13" i="44"/>
  <c r="B10" i="29"/>
  <c r="B7" i="29"/>
  <c r="B13" i="29"/>
  <c r="B10" i="28"/>
  <c r="B13" i="28"/>
  <c r="B13" i="21"/>
  <c r="B10" i="35"/>
  <c r="B7" i="35"/>
  <c r="B13" i="35"/>
  <c r="B10" i="31"/>
  <c r="B7" i="31"/>
  <c r="B13" i="31"/>
  <c r="B13" i="25"/>
  <c r="B10" i="25"/>
  <c r="B10" i="20"/>
  <c r="B7" i="18"/>
  <c r="B13" i="18"/>
  <c r="B10" i="18"/>
  <c r="B10" i="54"/>
  <c r="B7" i="54"/>
  <c r="B13" i="54"/>
  <c r="B10" i="16"/>
  <c r="B13" i="16"/>
  <c r="B10" i="23"/>
  <c r="B7" i="23"/>
  <c r="B13" i="23"/>
  <c r="B10" i="27"/>
  <c r="B10" i="87"/>
  <c r="B10" i="12"/>
  <c r="B10" i="7"/>
  <c r="B7" i="37"/>
  <c r="B13" i="37"/>
  <c r="B7" i="89"/>
  <c r="B13" i="89"/>
  <c r="B7" i="88"/>
  <c r="B13" i="88"/>
  <c r="B10" i="74"/>
  <c r="B7" i="74"/>
  <c r="B13" i="74"/>
  <c r="B13" i="32"/>
  <c r="B10" i="32"/>
  <c r="B7" i="22"/>
  <c r="B13" i="22"/>
  <c r="B7" i="24"/>
  <c r="B13" i="24"/>
  <c r="B10" i="19"/>
  <c r="B7" i="19"/>
  <c r="B13" i="19"/>
  <c r="B10" i="5"/>
  <c r="B7" i="13"/>
  <c r="B13" i="13"/>
  <c r="B10" i="13"/>
  <c r="B7" i="48"/>
  <c r="B13" i="48"/>
  <c r="B7" i="61"/>
  <c r="B13" i="61"/>
  <c r="B13" i="53"/>
  <c r="B10" i="53"/>
  <c r="B7" i="52"/>
  <c r="B13" i="52"/>
  <c r="B13" i="34"/>
  <c r="B7" i="34"/>
  <c r="B10" i="8"/>
  <c r="B10" i="3"/>
  <c r="B10" i="33"/>
  <c r="B13" i="33"/>
  <c r="B7" i="33"/>
  <c r="B10" i="9"/>
  <c r="B10" i="1"/>
  <c r="B7" i="1"/>
  <c r="F13" i="1"/>
  <c r="H25" i="1" l="1"/>
  <c r="D16" i="88"/>
  <c r="D13" i="13"/>
  <c r="E25" i="13"/>
  <c r="D16" i="13"/>
  <c r="D10" i="24"/>
  <c r="E22" i="24"/>
  <c r="D10" i="20"/>
  <c r="E22" i="20"/>
  <c r="D10" i="88"/>
  <c r="E22" i="88"/>
  <c r="D10" i="52"/>
  <c r="E22" i="52"/>
  <c r="D13" i="37"/>
  <c r="E25" i="37"/>
  <c r="D16" i="37"/>
  <c r="D13" i="21"/>
  <c r="E25" i="21"/>
  <c r="D16" i="21"/>
  <c r="D10" i="43"/>
  <c r="E22" i="43"/>
  <c r="D13" i="87"/>
  <c r="E25" i="87"/>
  <c r="D16" i="87"/>
  <c r="D13" i="9"/>
  <c r="E25" i="9"/>
  <c r="D16" i="9"/>
  <c r="D13" i="18"/>
  <c r="E25" i="18"/>
  <c r="D16" i="18"/>
  <c r="D13" i="43"/>
  <c r="E25" i="43"/>
  <c r="D16" i="43"/>
  <c r="D10" i="48"/>
  <c r="E22" i="48"/>
  <c r="D13" i="8"/>
  <c r="E25" i="8"/>
  <c r="D16" i="8"/>
  <c r="D10" i="32"/>
  <c r="E22" i="32"/>
  <c r="D13" i="31"/>
  <c r="E25" i="31"/>
  <c r="D16" i="31"/>
  <c r="D13" i="53"/>
  <c r="E25" i="53"/>
  <c r="D16" i="53"/>
  <c r="D10" i="1"/>
  <c r="E22" i="1"/>
  <c r="D13" i="54"/>
  <c r="E25" i="54"/>
  <c r="D16" i="54"/>
  <c r="D10" i="25"/>
  <c r="E22" i="25"/>
  <c r="D13" i="75"/>
  <c r="E25" i="75"/>
  <c r="D16" i="75"/>
  <c r="D10" i="23"/>
  <c r="D13" i="23"/>
  <c r="E25" i="23"/>
  <c r="D16" i="23"/>
  <c r="D10" i="74"/>
  <c r="E22" i="74"/>
  <c r="D13" i="33"/>
  <c r="E25" i="33"/>
  <c r="D16" i="33"/>
  <c r="D13" i="16"/>
  <c r="E25" i="16"/>
  <c r="D16" i="16"/>
  <c r="D10" i="7"/>
  <c r="E22" i="7"/>
  <c r="D10" i="22"/>
  <c r="E22" i="22"/>
  <c r="D13" i="61"/>
  <c r="E25" i="61"/>
  <c r="D16" i="61"/>
  <c r="D13" i="52"/>
  <c r="E25" i="52"/>
  <c r="D16" i="52"/>
  <c r="D10" i="44"/>
  <c r="E22" i="44"/>
  <c r="D13" i="19"/>
  <c r="E25" i="19"/>
  <c r="D16" i="19"/>
  <c r="D13" i="28"/>
  <c r="E25" i="28"/>
  <c r="D16" i="28"/>
  <c r="D13" i="44"/>
  <c r="E25" i="44"/>
  <c r="D16" i="44"/>
  <c r="D13" i="5"/>
  <c r="E25" i="5"/>
  <c r="D16" i="5"/>
  <c r="D10" i="11"/>
  <c r="E22" i="11"/>
  <c r="D10" i="34"/>
  <c r="E22" i="34"/>
  <c r="D13" i="25"/>
  <c r="E25" i="25"/>
  <c r="D16" i="25"/>
  <c r="D10" i="17"/>
  <c r="E22" i="17"/>
  <c r="D13" i="29"/>
  <c r="E25" i="29"/>
  <c r="D16" i="29"/>
  <c r="D10" i="61"/>
  <c r="E22" i="61"/>
  <c r="D13" i="2"/>
  <c r="E25" i="2"/>
  <c r="D16" i="2"/>
  <c r="D10" i="3"/>
  <c r="E22" i="3"/>
  <c r="D13" i="48"/>
  <c r="E25" i="48"/>
  <c r="D16" i="48"/>
  <c r="D10" i="85"/>
  <c r="E22" i="85"/>
  <c r="D10" i="27"/>
  <c r="E22" i="27"/>
  <c r="D13" i="27"/>
  <c r="E25" i="27"/>
  <c r="D16" i="27"/>
  <c r="D13" i="74"/>
  <c r="E25" i="74"/>
  <c r="D16" i="74"/>
  <c r="D10" i="89"/>
  <c r="E22" i="89"/>
  <c r="D13" i="12"/>
  <c r="E25" i="12"/>
  <c r="D16" i="12"/>
  <c r="D13" i="46"/>
  <c r="E25" i="46"/>
  <c r="D16" i="46"/>
  <c r="D13" i="24"/>
  <c r="E25" i="24"/>
  <c r="D16" i="24"/>
  <c r="D10" i="54"/>
  <c r="E22" i="54"/>
  <c r="D13" i="7"/>
  <c r="E25" i="7"/>
  <c r="D16" i="7"/>
  <c r="D13" i="22"/>
  <c r="E25" i="22"/>
  <c r="D16" i="22"/>
  <c r="D10" i="31"/>
  <c r="E22" i="31"/>
  <c r="D10" i="29"/>
  <c r="E22" i="29"/>
  <c r="D10" i="16"/>
  <c r="E22" i="16"/>
  <c r="D10" i="46"/>
  <c r="E22" i="46"/>
  <c r="D13" i="3"/>
  <c r="E25" i="3"/>
  <c r="D16" i="3"/>
  <c r="D10" i="37"/>
  <c r="E22" i="37"/>
  <c r="D13" i="32"/>
  <c r="E25" i="32"/>
  <c r="D16" i="32"/>
  <c r="D10" i="8"/>
  <c r="E22" i="8"/>
  <c r="D10" i="53"/>
  <c r="E22" i="53"/>
  <c r="D10" i="33"/>
  <c r="E22" i="33"/>
  <c r="D13" i="89"/>
  <c r="E25" i="89"/>
  <c r="D16" i="89"/>
  <c r="D10" i="9"/>
  <c r="E22" i="9"/>
  <c r="D13" i="11"/>
  <c r="E25" i="11"/>
  <c r="D16" i="11"/>
  <c r="D10" i="18"/>
  <c r="E22" i="18"/>
  <c r="D13" i="17"/>
  <c r="E25" i="17"/>
  <c r="D16" i="17"/>
  <c r="D13" i="34"/>
  <c r="E25" i="34"/>
  <c r="D16" i="34"/>
  <c r="D10" i="47"/>
  <c r="E22" i="47"/>
  <c r="D10" i="2"/>
  <c r="E22" i="2"/>
  <c r="D10" i="19"/>
  <c r="E22" i="19"/>
  <c r="D10" i="28"/>
  <c r="E22" i="28"/>
  <c r="D13" i="47"/>
  <c r="E25" i="47"/>
  <c r="D16" i="47"/>
  <c r="D10" i="75"/>
  <c r="E22" i="75"/>
  <c r="D10" i="13"/>
  <c r="E22" i="13"/>
  <c r="D10" i="87"/>
  <c r="E22" i="87"/>
  <c r="D10" i="12"/>
  <c r="E22" i="12"/>
  <c r="D10" i="21"/>
  <c r="E22" i="21"/>
  <c r="D13" i="45"/>
  <c r="E25" i="45"/>
  <c r="D16" i="45"/>
  <c r="D13" i="85"/>
  <c r="E25" i="85"/>
  <c r="D16" i="85"/>
  <c r="D10" i="5"/>
  <c r="E22" i="5"/>
  <c r="D13" i="20"/>
  <c r="E25" i="20"/>
  <c r="D16" i="20"/>
  <c r="D10" i="45"/>
  <c r="E22" i="45"/>
  <c r="D13" i="88"/>
  <c r="C13" i="1"/>
  <c r="B13" i="1"/>
  <c r="G13" i="1"/>
  <c r="G14" i="1"/>
  <c r="T14" i="89"/>
  <c r="K13" i="89"/>
  <c r="U13" i="89"/>
  <c r="M25" i="89" s="1"/>
  <c r="T13" i="89"/>
  <c r="I13" i="89" s="1"/>
  <c r="J25" i="89" s="1"/>
  <c r="T12" i="89"/>
  <c r="I12" i="89" s="1"/>
  <c r="J24" i="89" s="1"/>
  <c r="T11" i="89"/>
  <c r="I11" i="89" s="1"/>
  <c r="J23" i="89" s="1"/>
  <c r="K10" i="89"/>
  <c r="U10" i="89"/>
  <c r="M22" i="89" s="1"/>
  <c r="T10" i="89"/>
  <c r="I10" i="89" s="1"/>
  <c r="J22" i="89" s="1"/>
  <c r="T9" i="89"/>
  <c r="I9" i="89" s="1"/>
  <c r="J21" i="89" s="1"/>
  <c r="T8" i="89"/>
  <c r="I8" i="89" s="1"/>
  <c r="J20" i="89" s="1"/>
  <c r="K7" i="89"/>
  <c r="U7" i="89"/>
  <c r="M19" i="89" s="1"/>
  <c r="T7" i="89"/>
  <c r="I7" i="89" s="1"/>
  <c r="J19" i="89" s="1"/>
  <c r="T6" i="89"/>
  <c r="I6" i="89" s="1"/>
  <c r="J18" i="89" s="1"/>
  <c r="T5" i="89"/>
  <c r="I5" i="89" s="1"/>
  <c r="J17" i="89" s="1"/>
  <c r="T14" i="88"/>
  <c r="K13" i="88"/>
  <c r="U13" i="88"/>
  <c r="M25" i="88" s="1"/>
  <c r="T13" i="88"/>
  <c r="I13" i="88" s="1"/>
  <c r="J25" i="88" s="1"/>
  <c r="T12" i="88"/>
  <c r="I12" i="88" s="1"/>
  <c r="J24" i="88" s="1"/>
  <c r="T11" i="88"/>
  <c r="I11" i="88" s="1"/>
  <c r="J23" i="88" s="1"/>
  <c r="K10" i="88"/>
  <c r="U10" i="88"/>
  <c r="M22" i="88" s="1"/>
  <c r="T10" i="88"/>
  <c r="I10" i="88" s="1"/>
  <c r="J22" i="88" s="1"/>
  <c r="T9" i="88"/>
  <c r="I9" i="88" s="1"/>
  <c r="J21" i="88" s="1"/>
  <c r="T8" i="88"/>
  <c r="I8" i="88" s="1"/>
  <c r="J20" i="88" s="1"/>
  <c r="K7" i="88"/>
  <c r="U7" i="88"/>
  <c r="M19" i="88" s="1"/>
  <c r="T7" i="88"/>
  <c r="I7" i="88" s="1"/>
  <c r="J19" i="88" s="1"/>
  <c r="T6" i="88"/>
  <c r="I6" i="88" s="1"/>
  <c r="J18" i="88" s="1"/>
  <c r="T5" i="88"/>
  <c r="I5" i="88" s="1"/>
  <c r="J17" i="88" s="1"/>
  <c r="N16" i="89" l="1"/>
  <c r="O19" i="89" s="1"/>
  <c r="I14" i="89"/>
  <c r="J26" i="89" s="1"/>
  <c r="N16" i="88"/>
  <c r="O19" i="88" s="1"/>
  <c r="I14" i="88"/>
  <c r="J26" i="88" s="1"/>
  <c r="D13" i="1"/>
  <c r="E25" i="1"/>
  <c r="D16" i="1"/>
  <c r="N7" i="88"/>
  <c r="N7" i="89"/>
  <c r="N10" i="88"/>
  <c r="L13" i="88"/>
  <c r="L16" i="88"/>
  <c r="L10" i="88"/>
  <c r="N13" i="88"/>
  <c r="N10" i="89"/>
  <c r="L13" i="89"/>
  <c r="L16" i="89"/>
  <c r="L10" i="89"/>
  <c r="N13" i="89"/>
  <c r="T14" i="43"/>
  <c r="T13" i="43"/>
  <c r="I13" i="43" s="1"/>
  <c r="J25" i="43" s="1"/>
  <c r="T12" i="43"/>
  <c r="I12" i="43" s="1"/>
  <c r="J24" i="43" s="1"/>
  <c r="T11" i="43"/>
  <c r="I11" i="43" s="1"/>
  <c r="J23" i="43" s="1"/>
  <c r="T10" i="43"/>
  <c r="I10" i="43" s="1"/>
  <c r="J22" i="43" s="1"/>
  <c r="T9" i="43"/>
  <c r="I9" i="43" s="1"/>
  <c r="J21" i="43" s="1"/>
  <c r="N16" i="43" l="1"/>
  <c r="O19" i="43" s="1"/>
  <c r="I14" i="43"/>
  <c r="J26" i="43" s="1"/>
  <c r="O10" i="88"/>
  <c r="O10" i="89"/>
  <c r="O13" i="89"/>
  <c r="O13" i="88"/>
  <c r="N13" i="43"/>
  <c r="O16" i="88"/>
  <c r="O16" i="89"/>
  <c r="T14" i="87"/>
  <c r="T14" i="85"/>
  <c r="T14" i="75"/>
  <c r="T14" i="61"/>
  <c r="T14" i="53"/>
  <c r="T14" i="48"/>
  <c r="T14" i="47"/>
  <c r="T14" i="46"/>
  <c r="T14" i="45"/>
  <c r="S14" i="44"/>
  <c r="M16" i="44" s="1"/>
  <c r="T14" i="34"/>
  <c r="T14" i="33"/>
  <c r="T14" i="29"/>
  <c r="T14" i="28"/>
  <c r="T14" i="27"/>
  <c r="T14" i="23"/>
  <c r="T14" i="22"/>
  <c r="T14" i="21"/>
  <c r="T14" i="32"/>
  <c r="T14" i="17"/>
  <c r="T14" i="31"/>
  <c r="T14" i="16"/>
  <c r="T14" i="24"/>
  <c r="T14" i="19"/>
  <c r="T14" i="5"/>
  <c r="T14" i="7"/>
  <c r="N16" i="15"/>
  <c r="T14" i="9"/>
  <c r="T14" i="4"/>
  <c r="T14" i="37"/>
  <c r="T14" i="74"/>
  <c r="T14" i="25"/>
  <c r="T14" i="20"/>
  <c r="T14" i="18"/>
  <c r="T14" i="12"/>
  <c r="T14" i="3"/>
  <c r="T14" i="54"/>
  <c r="T14" i="52"/>
  <c r="T14" i="13"/>
  <c r="T14" i="2"/>
  <c r="T14" i="8"/>
  <c r="T14" i="11"/>
  <c r="T14" i="1"/>
  <c r="O16" i="43" l="1"/>
  <c r="N16" i="54"/>
  <c r="O19" i="54" s="1"/>
  <c r="I14" i="54"/>
  <c r="J26" i="54" s="1"/>
  <c r="N16" i="32"/>
  <c r="O19" i="32" s="1"/>
  <c r="I14" i="32"/>
  <c r="J26" i="32" s="1"/>
  <c r="N16" i="21"/>
  <c r="O19" i="21" s="1"/>
  <c r="I14" i="21"/>
  <c r="J26" i="21" s="1"/>
  <c r="N16" i="4"/>
  <c r="O19" i="4" s="1"/>
  <c r="I14" i="4"/>
  <c r="J26" i="4" s="1"/>
  <c r="N16" i="52"/>
  <c r="O19" i="52" s="1"/>
  <c r="I14" i="52"/>
  <c r="J26" i="52" s="1"/>
  <c r="N16" i="25"/>
  <c r="O19" i="25" s="1"/>
  <c r="I14" i="25"/>
  <c r="J26" i="25" s="1"/>
  <c r="N16" i="7"/>
  <c r="O19" i="7" s="1"/>
  <c r="I14" i="7"/>
  <c r="J26" i="7" s="1"/>
  <c r="N16" i="17"/>
  <c r="O19" i="17" s="1"/>
  <c r="I14" i="17"/>
  <c r="J26" i="17" s="1"/>
  <c r="N16" i="28"/>
  <c r="O19" i="28" s="1"/>
  <c r="I14" i="28"/>
  <c r="J26" i="28" s="1"/>
  <c r="N16" i="46"/>
  <c r="O19" i="46" s="1"/>
  <c r="I14" i="46"/>
  <c r="J26" i="46" s="1"/>
  <c r="N16" i="85"/>
  <c r="O19" i="85" s="1"/>
  <c r="I14" i="85"/>
  <c r="J26" i="85" s="1"/>
  <c r="N16" i="33"/>
  <c r="O19" i="33" s="1"/>
  <c r="I14" i="33"/>
  <c r="J26" i="33" s="1"/>
  <c r="N16" i="48"/>
  <c r="O19" i="48" s="1"/>
  <c r="I14" i="48"/>
  <c r="J26" i="48" s="1"/>
  <c r="N16" i="34"/>
  <c r="O19" i="34" s="1"/>
  <c r="I14" i="34"/>
  <c r="J26" i="34" s="1"/>
  <c r="N16" i="53"/>
  <c r="O19" i="53" s="1"/>
  <c r="I14" i="53"/>
  <c r="J26" i="53" s="1"/>
  <c r="N16" i="74"/>
  <c r="O19" i="74" s="1"/>
  <c r="I14" i="74"/>
  <c r="J26" i="74" s="1"/>
  <c r="N16" i="29"/>
  <c r="O19" i="29" s="1"/>
  <c r="I14" i="29"/>
  <c r="J26" i="29" s="1"/>
  <c r="N16" i="47"/>
  <c r="O19" i="47" s="1"/>
  <c r="I14" i="47"/>
  <c r="J26" i="47" s="1"/>
  <c r="N16" i="11"/>
  <c r="O19" i="11" s="1"/>
  <c r="I14" i="11"/>
  <c r="J26" i="11" s="1"/>
  <c r="N16" i="19"/>
  <c r="O19" i="19" s="1"/>
  <c r="I14" i="19"/>
  <c r="J26" i="19" s="1"/>
  <c r="N16" i="8"/>
  <c r="O19" i="8" s="1"/>
  <c r="I14" i="8"/>
  <c r="J26" i="8" s="1"/>
  <c r="N16" i="18"/>
  <c r="O19" i="18" s="1"/>
  <c r="I14" i="18"/>
  <c r="J26" i="18" s="1"/>
  <c r="N16" i="23"/>
  <c r="O19" i="23" s="1"/>
  <c r="I14" i="23"/>
  <c r="J26" i="23" s="1"/>
  <c r="N16" i="61"/>
  <c r="O19" i="61" s="1"/>
  <c r="I14" i="61"/>
  <c r="J26" i="61" s="1"/>
  <c r="N16" i="1"/>
  <c r="O19" i="1" s="1"/>
  <c r="I14" i="1"/>
  <c r="J26" i="1" s="1"/>
  <c r="N16" i="5"/>
  <c r="O19" i="5" s="1"/>
  <c r="I14" i="5"/>
  <c r="J26" i="5" s="1"/>
  <c r="N16" i="87"/>
  <c r="O19" i="87" s="1"/>
  <c r="I14" i="87"/>
  <c r="J26" i="87" s="1"/>
  <c r="N16" i="3"/>
  <c r="O19" i="3" s="1"/>
  <c r="I14" i="3"/>
  <c r="J26" i="3" s="1"/>
  <c r="N16" i="37"/>
  <c r="O19" i="37" s="1"/>
  <c r="I14" i="37"/>
  <c r="J26" i="37" s="1"/>
  <c r="N16" i="12"/>
  <c r="O19" i="12" s="1"/>
  <c r="I14" i="12"/>
  <c r="J26" i="12" s="1"/>
  <c r="N16" i="24"/>
  <c r="O19" i="24" s="1"/>
  <c r="I14" i="24"/>
  <c r="J26" i="24" s="1"/>
  <c r="N16" i="22"/>
  <c r="O19" i="22" s="1"/>
  <c r="I14" i="22"/>
  <c r="J26" i="22" s="1"/>
  <c r="N16" i="2"/>
  <c r="O19" i="2" s="1"/>
  <c r="I14" i="2"/>
  <c r="J26" i="2" s="1"/>
  <c r="N16" i="9"/>
  <c r="O19" i="9" s="1"/>
  <c r="I14" i="9"/>
  <c r="J26" i="9" s="1"/>
  <c r="N16" i="16"/>
  <c r="O19" i="16" s="1"/>
  <c r="I14" i="16"/>
  <c r="J26" i="16" s="1"/>
  <c r="N16" i="13"/>
  <c r="O19" i="13" s="1"/>
  <c r="I14" i="13"/>
  <c r="J26" i="13" s="1"/>
  <c r="N16" i="20"/>
  <c r="O19" i="20" s="1"/>
  <c r="I14" i="20"/>
  <c r="J26" i="20" s="1"/>
  <c r="N16" i="31"/>
  <c r="O19" i="31" s="1"/>
  <c r="I14" i="31"/>
  <c r="J26" i="31" s="1"/>
  <c r="N16" i="27"/>
  <c r="O19" i="27" s="1"/>
  <c r="I14" i="27"/>
  <c r="J26" i="27" s="1"/>
  <c r="N16" i="45"/>
  <c r="O19" i="45" s="1"/>
  <c r="I14" i="45"/>
  <c r="J26" i="45" s="1"/>
  <c r="N16" i="75"/>
  <c r="O19" i="75" s="1"/>
  <c r="I14" i="75"/>
  <c r="J26" i="75" s="1"/>
  <c r="N19" i="44"/>
  <c r="O19" i="15"/>
  <c r="K13" i="87"/>
  <c r="U13" i="87"/>
  <c r="M25" i="87" s="1"/>
  <c r="T13" i="87"/>
  <c r="I13" i="87" s="1"/>
  <c r="J25" i="87" s="1"/>
  <c r="T12" i="87"/>
  <c r="I12" i="87" s="1"/>
  <c r="J24" i="87" s="1"/>
  <c r="T11" i="87"/>
  <c r="I11" i="87" s="1"/>
  <c r="J23" i="87" s="1"/>
  <c r="U10" i="87"/>
  <c r="T10" i="87"/>
  <c r="I10" i="87" s="1"/>
  <c r="J22" i="87" s="1"/>
  <c r="T9" i="87"/>
  <c r="I9" i="87" s="1"/>
  <c r="J21" i="87" s="1"/>
  <c r="T8" i="87"/>
  <c r="I8" i="87" s="1"/>
  <c r="J20" i="87" s="1"/>
  <c r="U7" i="87"/>
  <c r="M19" i="87" s="1"/>
  <c r="T7" i="87"/>
  <c r="I7" i="87" s="1"/>
  <c r="J19" i="87" s="1"/>
  <c r="T6" i="87"/>
  <c r="I6" i="87" s="1"/>
  <c r="J18" i="87" s="1"/>
  <c r="T5" i="87"/>
  <c r="I5" i="87" s="1"/>
  <c r="J17" i="87" s="1"/>
  <c r="N7" i="87" l="1"/>
  <c r="N10" i="87"/>
  <c r="M22" i="87"/>
  <c r="L10" i="87"/>
  <c r="N13" i="87"/>
  <c r="O16" i="87" s="1"/>
  <c r="L13" i="87"/>
  <c r="L16" i="87"/>
  <c r="B16" i="4"/>
  <c r="G15" i="4"/>
  <c r="K13" i="85"/>
  <c r="U13" i="85"/>
  <c r="M25" i="85" s="1"/>
  <c r="T13" i="85"/>
  <c r="I13" i="85" s="1"/>
  <c r="J25" i="85" s="1"/>
  <c r="T12" i="85"/>
  <c r="I12" i="85" s="1"/>
  <c r="J24" i="85" s="1"/>
  <c r="T11" i="85"/>
  <c r="I11" i="85" s="1"/>
  <c r="J23" i="85" s="1"/>
  <c r="K10" i="85"/>
  <c r="U10" i="85"/>
  <c r="M22" i="85" s="1"/>
  <c r="T10" i="85"/>
  <c r="I10" i="85" s="1"/>
  <c r="J22" i="85" s="1"/>
  <c r="T9" i="85"/>
  <c r="I9" i="85" s="1"/>
  <c r="J21" i="85" s="1"/>
  <c r="T8" i="85"/>
  <c r="I8" i="85" s="1"/>
  <c r="J20" i="85" s="1"/>
  <c r="K7" i="85"/>
  <c r="U7" i="85"/>
  <c r="M19" i="85" s="1"/>
  <c r="T7" i="85"/>
  <c r="I7" i="85" s="1"/>
  <c r="J19" i="85" s="1"/>
  <c r="T6" i="85"/>
  <c r="I6" i="85" s="1"/>
  <c r="J18" i="85" s="1"/>
  <c r="T5" i="85"/>
  <c r="I5" i="85" s="1"/>
  <c r="J17" i="85" s="1"/>
  <c r="O10" i="87" l="1"/>
  <c r="N7" i="85"/>
  <c r="O13" i="87"/>
  <c r="L10" i="85"/>
  <c r="N10" i="85"/>
  <c r="L13" i="85"/>
  <c r="L16" i="85"/>
  <c r="N13" i="85"/>
  <c r="K13" i="11"/>
  <c r="K13" i="2"/>
  <c r="K13" i="13"/>
  <c r="K13" i="54"/>
  <c r="K13" i="37"/>
  <c r="K13" i="4"/>
  <c r="K13" i="9"/>
  <c r="K13" i="15"/>
  <c r="K13" i="3"/>
  <c r="K13" i="7"/>
  <c r="K13" i="12"/>
  <c r="K13" i="5"/>
  <c r="K13" i="19"/>
  <c r="K13" i="24"/>
  <c r="K13" i="16"/>
  <c r="K13" i="31"/>
  <c r="K13" i="17"/>
  <c r="K13" i="32"/>
  <c r="K13" i="18"/>
  <c r="K13" i="20"/>
  <c r="K13" i="22"/>
  <c r="K13" i="23"/>
  <c r="K13" i="25"/>
  <c r="K13" i="27"/>
  <c r="K13" i="28"/>
  <c r="M13" i="360" s="1"/>
  <c r="K13" i="29"/>
  <c r="K13" i="33"/>
  <c r="K13" i="34"/>
  <c r="K13" i="43"/>
  <c r="J13" i="44"/>
  <c r="K13" i="45"/>
  <c r="K13" i="46"/>
  <c r="K13" i="47"/>
  <c r="K13" i="48"/>
  <c r="K13" i="52"/>
  <c r="K13" i="53"/>
  <c r="K13" i="61"/>
  <c r="K13" i="74"/>
  <c r="K13" i="75"/>
  <c r="K13" i="1"/>
  <c r="K10" i="11"/>
  <c r="K10" i="2"/>
  <c r="K10" i="13"/>
  <c r="K10" i="37"/>
  <c r="K10" i="4"/>
  <c r="K10" i="9"/>
  <c r="K10" i="15"/>
  <c r="K10" i="3"/>
  <c r="K10" i="7"/>
  <c r="K10" i="12"/>
  <c r="K10" i="5"/>
  <c r="K10" i="19"/>
  <c r="K10" i="24"/>
  <c r="K10" i="16"/>
  <c r="K10" i="31"/>
  <c r="K10" i="17"/>
  <c r="K10" i="32"/>
  <c r="K10" i="18"/>
  <c r="K10" i="20"/>
  <c r="K10" i="22"/>
  <c r="K10" i="23"/>
  <c r="K10" i="25"/>
  <c r="K10" i="27"/>
  <c r="K10" i="28"/>
  <c r="M10" i="360" s="1"/>
  <c r="K10" i="29"/>
  <c r="K10" i="33"/>
  <c r="K10" i="34"/>
  <c r="K10" i="43"/>
  <c r="J10" i="44"/>
  <c r="K10" i="45"/>
  <c r="K10" i="46"/>
  <c r="K10" i="47"/>
  <c r="K10" i="48"/>
  <c r="K10" i="52"/>
  <c r="K10" i="53"/>
  <c r="K10" i="61"/>
  <c r="K10" i="74"/>
  <c r="K10" i="75"/>
  <c r="K10" i="1"/>
  <c r="K7" i="11"/>
  <c r="K7" i="2"/>
  <c r="K7" i="13"/>
  <c r="K7" i="37"/>
  <c r="K7" i="4"/>
  <c r="K7" i="9"/>
  <c r="K7" i="15"/>
  <c r="K7" i="3"/>
  <c r="K7" i="7"/>
  <c r="K7" i="12"/>
  <c r="K7" i="5"/>
  <c r="K7" i="19"/>
  <c r="K7" i="24"/>
  <c r="K7" i="16"/>
  <c r="K7" i="31"/>
  <c r="K7" i="17"/>
  <c r="K7" i="32"/>
  <c r="K7" i="18"/>
  <c r="K7" i="20"/>
  <c r="K7" i="22"/>
  <c r="K7" i="23"/>
  <c r="K7" i="25"/>
  <c r="K7" i="27"/>
  <c r="K7" i="28"/>
  <c r="M7" i="360" s="1"/>
  <c r="K7" i="29"/>
  <c r="K7" i="33"/>
  <c r="K7" i="34"/>
  <c r="K7" i="43"/>
  <c r="J7" i="44"/>
  <c r="K7" i="45"/>
  <c r="K7" i="46"/>
  <c r="K7" i="47"/>
  <c r="K7" i="48"/>
  <c r="K7" i="52"/>
  <c r="K7" i="53"/>
  <c r="K7" i="61"/>
  <c r="K7" i="74"/>
  <c r="K7" i="75"/>
  <c r="K7" i="1"/>
  <c r="U13" i="11"/>
  <c r="M25" i="11" s="1"/>
  <c r="U13" i="8"/>
  <c r="U13" i="2"/>
  <c r="M25" i="2" s="1"/>
  <c r="U13" i="37"/>
  <c r="M25" i="37" s="1"/>
  <c r="U13" i="13"/>
  <c r="M25" i="13" s="1"/>
  <c r="U13" i="54"/>
  <c r="M25" i="54" s="1"/>
  <c r="U13" i="4"/>
  <c r="M25" i="4" s="1"/>
  <c r="U13" i="9"/>
  <c r="M25" i="9" s="1"/>
  <c r="U13" i="15"/>
  <c r="M25" i="15" s="1"/>
  <c r="U13" i="3"/>
  <c r="M25" i="3" s="1"/>
  <c r="U13" i="7"/>
  <c r="M25" i="7" s="1"/>
  <c r="U13" i="12"/>
  <c r="M25" i="12" s="1"/>
  <c r="U13" i="5"/>
  <c r="M25" i="5" s="1"/>
  <c r="U13" i="19"/>
  <c r="M25" i="19" s="1"/>
  <c r="U13" i="24"/>
  <c r="M25" i="24" s="1"/>
  <c r="U13" i="16"/>
  <c r="M25" i="16" s="1"/>
  <c r="U13" i="31"/>
  <c r="M25" i="31" s="1"/>
  <c r="U13" i="17"/>
  <c r="M25" i="17" s="1"/>
  <c r="K13" i="35"/>
  <c r="U13" i="32"/>
  <c r="M25" i="32" s="1"/>
  <c r="U13" i="18"/>
  <c r="M25" i="18" s="1"/>
  <c r="U13" i="20"/>
  <c r="M25" i="20" s="1"/>
  <c r="U13" i="22"/>
  <c r="M25" i="22" s="1"/>
  <c r="U13" i="23"/>
  <c r="M25" i="23" s="1"/>
  <c r="U13" i="25"/>
  <c r="M25" i="25" s="1"/>
  <c r="U13" i="27"/>
  <c r="M25" i="27" s="1"/>
  <c r="U13" i="28"/>
  <c r="M25" i="28" s="1"/>
  <c r="U13" i="29"/>
  <c r="M25" i="29" s="1"/>
  <c r="U13" i="33"/>
  <c r="M25" i="33" s="1"/>
  <c r="U13" i="34"/>
  <c r="M25" i="34" s="1"/>
  <c r="U13" i="43"/>
  <c r="M25" i="43" s="1"/>
  <c r="T13" i="44"/>
  <c r="L25" i="44" s="1"/>
  <c r="U13" i="45"/>
  <c r="M25" i="45" s="1"/>
  <c r="U13" i="46"/>
  <c r="M25" i="46" s="1"/>
  <c r="U13" i="47"/>
  <c r="M25" i="47" s="1"/>
  <c r="U13" i="48"/>
  <c r="M25" i="48" s="1"/>
  <c r="U13" i="52"/>
  <c r="M25" i="52" s="1"/>
  <c r="U13" i="53"/>
  <c r="M25" i="53" s="1"/>
  <c r="U13" i="61"/>
  <c r="M25" i="61" s="1"/>
  <c r="U13" i="74"/>
  <c r="M25" i="74" s="1"/>
  <c r="U13" i="75"/>
  <c r="M25" i="75" s="1"/>
  <c r="U13" i="1"/>
  <c r="M25" i="1" s="1"/>
  <c r="L16" i="35" l="1"/>
  <c r="M25" i="8"/>
  <c r="L16" i="8"/>
  <c r="O10" i="85"/>
  <c r="L16" i="19"/>
  <c r="L16" i="46"/>
  <c r="L16" i="47"/>
  <c r="K16" i="44"/>
  <c r="L16" i="24"/>
  <c r="L16" i="31"/>
  <c r="L16" i="25"/>
  <c r="L16" i="52"/>
  <c r="L16" i="53"/>
  <c r="L16" i="48"/>
  <c r="L16" i="45"/>
  <c r="L16" i="27"/>
  <c r="L16" i="74"/>
  <c r="L16" i="32"/>
  <c r="O13" i="85"/>
  <c r="O16" i="85"/>
  <c r="L16" i="2"/>
  <c r="L16" i="33"/>
  <c r="L16" i="75"/>
  <c r="L16" i="43"/>
  <c r="L16" i="12"/>
  <c r="L16" i="16"/>
  <c r="L16" i="17"/>
  <c r="L16" i="7"/>
  <c r="L16" i="54"/>
  <c r="L16" i="37"/>
  <c r="L16" i="9"/>
  <c r="L16" i="5"/>
  <c r="L16" i="29"/>
  <c r="L16" i="28"/>
  <c r="L16" i="11"/>
  <c r="L16" i="4"/>
  <c r="L16" i="22"/>
  <c r="L16" i="34"/>
  <c r="L16" i="3"/>
  <c r="L16" i="61"/>
  <c r="L16" i="15"/>
  <c r="L16" i="23"/>
  <c r="L16" i="13"/>
  <c r="L16" i="20"/>
  <c r="L16" i="18"/>
  <c r="L16" i="1"/>
  <c r="M7" i="20"/>
  <c r="M10" i="29"/>
  <c r="M13" i="20"/>
  <c r="M7" i="29"/>
  <c r="M13" i="29"/>
  <c r="M10" i="20"/>
  <c r="J13" i="78"/>
  <c r="J10" i="78"/>
  <c r="J7" i="78"/>
  <c r="L19" i="78" s="1"/>
  <c r="K10" i="78" l="1"/>
  <c r="K13" i="78"/>
  <c r="K16" i="78"/>
  <c r="T13" i="75"/>
  <c r="I13" i="75" s="1"/>
  <c r="J25" i="75" s="1"/>
  <c r="T12" i="75"/>
  <c r="I12" i="75" s="1"/>
  <c r="J24" i="75" s="1"/>
  <c r="T11" i="75"/>
  <c r="I11" i="75" s="1"/>
  <c r="J23" i="75" s="1"/>
  <c r="U10" i="75"/>
  <c r="M22" i="75" s="1"/>
  <c r="T10" i="75"/>
  <c r="I10" i="75" s="1"/>
  <c r="J22" i="75" s="1"/>
  <c r="T9" i="75"/>
  <c r="I9" i="75" s="1"/>
  <c r="J21" i="75" s="1"/>
  <c r="T8" i="75"/>
  <c r="I8" i="75" s="1"/>
  <c r="J20" i="75" s="1"/>
  <c r="U7" i="75"/>
  <c r="M19" i="75" s="1"/>
  <c r="T7" i="75"/>
  <c r="I7" i="75" s="1"/>
  <c r="J19" i="75" s="1"/>
  <c r="T6" i="75"/>
  <c r="I6" i="75" s="1"/>
  <c r="J18" i="75" s="1"/>
  <c r="T5" i="75"/>
  <c r="I5" i="75" s="1"/>
  <c r="J17" i="75" s="1"/>
  <c r="T13" i="74"/>
  <c r="I13" i="74" s="1"/>
  <c r="J25" i="74" s="1"/>
  <c r="T12" i="74"/>
  <c r="I12" i="74" s="1"/>
  <c r="J24" i="74" s="1"/>
  <c r="T11" i="74"/>
  <c r="I11" i="74" s="1"/>
  <c r="J23" i="74" s="1"/>
  <c r="U10" i="74"/>
  <c r="M22" i="74" s="1"/>
  <c r="T10" i="74"/>
  <c r="I10" i="74" s="1"/>
  <c r="J22" i="74" s="1"/>
  <c r="T9" i="74"/>
  <c r="I9" i="74" s="1"/>
  <c r="J21" i="74" s="1"/>
  <c r="T8" i="74"/>
  <c r="I8" i="74" s="1"/>
  <c r="J20" i="74" s="1"/>
  <c r="U7" i="74"/>
  <c r="M19" i="74" s="1"/>
  <c r="T7" i="74"/>
  <c r="I7" i="74" s="1"/>
  <c r="J19" i="74" s="1"/>
  <c r="T6" i="74"/>
  <c r="I6" i="74" s="1"/>
  <c r="J18" i="74" s="1"/>
  <c r="T5" i="74"/>
  <c r="I5" i="74" s="1"/>
  <c r="J17" i="74" s="1"/>
  <c r="N7" i="75" l="1"/>
  <c r="N10" i="75"/>
  <c r="N13" i="75"/>
  <c r="L10" i="74"/>
  <c r="L13" i="74"/>
  <c r="N7" i="74"/>
  <c r="N10" i="74"/>
  <c r="N13" i="74"/>
  <c r="L10" i="75"/>
  <c r="L13" i="75"/>
  <c r="T13" i="45"/>
  <c r="I13" i="45" s="1"/>
  <c r="J25" i="45" s="1"/>
  <c r="T13" i="17"/>
  <c r="I13" i="17" s="1"/>
  <c r="J25" i="17" s="1"/>
  <c r="O13" i="75" l="1"/>
  <c r="O16" i="75"/>
  <c r="O10" i="75"/>
  <c r="O13" i="74"/>
  <c r="O16" i="74"/>
  <c r="O10" i="74"/>
  <c r="T13" i="61"/>
  <c r="I13" i="61" s="1"/>
  <c r="J25" i="61" s="1"/>
  <c r="T12" i="61"/>
  <c r="I12" i="61" s="1"/>
  <c r="J24" i="61" s="1"/>
  <c r="T11" i="61"/>
  <c r="I11" i="61" s="1"/>
  <c r="J23" i="61" s="1"/>
  <c r="U10" i="61"/>
  <c r="M22" i="61" s="1"/>
  <c r="T10" i="61"/>
  <c r="I10" i="61" s="1"/>
  <c r="J22" i="61" s="1"/>
  <c r="T9" i="61"/>
  <c r="I9" i="61" s="1"/>
  <c r="J21" i="61" s="1"/>
  <c r="T8" i="61"/>
  <c r="I8" i="61" s="1"/>
  <c r="J20" i="61" s="1"/>
  <c r="U7" i="61"/>
  <c r="M19" i="61" s="1"/>
  <c r="T7" i="61"/>
  <c r="I7" i="61" s="1"/>
  <c r="J19" i="61" s="1"/>
  <c r="T6" i="61"/>
  <c r="I6" i="61" s="1"/>
  <c r="J18" i="61" s="1"/>
  <c r="T5" i="61"/>
  <c r="I5" i="61" s="1"/>
  <c r="J17" i="61" s="1"/>
  <c r="N10" i="61" l="1"/>
  <c r="L10" i="61"/>
  <c r="L13" i="61"/>
  <c r="N7" i="61"/>
  <c r="N13" i="61"/>
  <c r="T13" i="53"/>
  <c r="I13" i="53" s="1"/>
  <c r="J25" i="53" s="1"/>
  <c r="T13" i="52"/>
  <c r="I13" i="52" s="1"/>
  <c r="J25" i="52" s="1"/>
  <c r="T13" i="48"/>
  <c r="I13" i="48" s="1"/>
  <c r="J25" i="48" s="1"/>
  <c r="T13" i="47"/>
  <c r="I13" i="47" s="1"/>
  <c r="J25" i="47" s="1"/>
  <c r="T13" i="46"/>
  <c r="I13" i="46" s="1"/>
  <c r="J25" i="46" s="1"/>
  <c r="S13" i="44"/>
  <c r="T13" i="37"/>
  <c r="I13" i="37" s="1"/>
  <c r="J25" i="37" s="1"/>
  <c r="T13" i="34"/>
  <c r="I13" i="34" s="1"/>
  <c r="J25" i="34" s="1"/>
  <c r="T13" i="29"/>
  <c r="I13" i="29" s="1"/>
  <c r="J25" i="29" s="1"/>
  <c r="T13" i="33"/>
  <c r="I13" i="33" s="1"/>
  <c r="J25" i="33" s="1"/>
  <c r="T13" i="28"/>
  <c r="I13" i="28" s="1"/>
  <c r="J25" i="28" s="1"/>
  <c r="T13" i="27"/>
  <c r="I13" i="27" s="1"/>
  <c r="J25" i="27" s="1"/>
  <c r="T13" i="25"/>
  <c r="I13" i="25" s="1"/>
  <c r="J25" i="25" s="1"/>
  <c r="T13" i="23"/>
  <c r="I13" i="23" s="1"/>
  <c r="J25" i="23" s="1"/>
  <c r="T13" i="22"/>
  <c r="I13" i="22" s="1"/>
  <c r="J25" i="22" s="1"/>
  <c r="T13" i="21"/>
  <c r="I13" i="21" s="1"/>
  <c r="J25" i="21" s="1"/>
  <c r="T13" i="20"/>
  <c r="I13" i="20" s="1"/>
  <c r="J25" i="20" s="1"/>
  <c r="T13" i="18"/>
  <c r="I13" i="18" s="1"/>
  <c r="J25" i="18" s="1"/>
  <c r="T13" i="12"/>
  <c r="I13" i="12" s="1"/>
  <c r="J25" i="12" s="1"/>
  <c r="T13" i="32"/>
  <c r="I13" i="32" s="1"/>
  <c r="J25" i="32" s="1"/>
  <c r="T13" i="31"/>
  <c r="I13" i="31" s="1"/>
  <c r="J25" i="31" s="1"/>
  <c r="T13" i="16"/>
  <c r="I13" i="16" s="1"/>
  <c r="J25" i="16" s="1"/>
  <c r="T13" i="11"/>
  <c r="I13" i="11" s="1"/>
  <c r="J25" i="11" s="1"/>
  <c r="T13" i="24"/>
  <c r="I13" i="24" s="1"/>
  <c r="J25" i="24" s="1"/>
  <c r="T13" i="19"/>
  <c r="I13" i="19" s="1"/>
  <c r="J25" i="19" s="1"/>
  <c r="T13" i="4"/>
  <c r="I13" i="4" s="1"/>
  <c r="J25" i="4" s="1"/>
  <c r="T13" i="13"/>
  <c r="I13" i="13" s="1"/>
  <c r="J25" i="13" s="1"/>
  <c r="T13" i="5"/>
  <c r="I13" i="5" s="1"/>
  <c r="J25" i="5" s="1"/>
  <c r="T13" i="2"/>
  <c r="I13" i="2" s="1"/>
  <c r="J25" i="2" s="1"/>
  <c r="T13" i="7"/>
  <c r="I13" i="7" s="1"/>
  <c r="J25" i="7" s="1"/>
  <c r="T13" i="3"/>
  <c r="I13" i="3" s="1"/>
  <c r="J25" i="3" s="1"/>
  <c r="T13" i="9"/>
  <c r="I13" i="9" s="1"/>
  <c r="J25" i="9" s="1"/>
  <c r="T13" i="54"/>
  <c r="I13" i="54" s="1"/>
  <c r="J25" i="54" s="1"/>
  <c r="T13" i="8"/>
  <c r="I13" i="8" s="1"/>
  <c r="J25" i="8" s="1"/>
  <c r="T13" i="1"/>
  <c r="I13" i="1" s="1"/>
  <c r="J25" i="1" s="1"/>
  <c r="O13" i="61" l="1"/>
  <c r="O16" i="61"/>
  <c r="O10" i="61"/>
  <c r="G14" i="4"/>
  <c r="T12" i="8"/>
  <c r="I12" i="8" s="1"/>
  <c r="J24" i="8" s="1"/>
  <c r="T8" i="1"/>
  <c r="I8" i="1" s="1"/>
  <c r="J20" i="1" s="1"/>
  <c r="T12" i="54" l="1"/>
  <c r="I12" i="54" s="1"/>
  <c r="J24" i="54" s="1"/>
  <c r="T11" i="54"/>
  <c r="I11" i="54" s="1"/>
  <c r="J23" i="54" s="1"/>
  <c r="U10" i="54"/>
  <c r="T10" i="54"/>
  <c r="I10" i="54" s="1"/>
  <c r="J22" i="54" s="1"/>
  <c r="T9" i="54"/>
  <c r="I9" i="54" s="1"/>
  <c r="J21" i="54" s="1"/>
  <c r="T8" i="54"/>
  <c r="I8" i="54" s="1"/>
  <c r="J20" i="54" s="1"/>
  <c r="U7" i="54"/>
  <c r="M19" i="54" s="1"/>
  <c r="T7" i="54"/>
  <c r="I7" i="54" s="1"/>
  <c r="J19" i="54" s="1"/>
  <c r="T6" i="54"/>
  <c r="I6" i="54" s="1"/>
  <c r="J18" i="54" s="1"/>
  <c r="T5" i="54"/>
  <c r="I5" i="54" s="1"/>
  <c r="J17" i="54" s="1"/>
  <c r="T12" i="53"/>
  <c r="I12" i="53" s="1"/>
  <c r="J24" i="53" s="1"/>
  <c r="T11" i="53"/>
  <c r="I11" i="53" s="1"/>
  <c r="J23" i="53" s="1"/>
  <c r="U10" i="53"/>
  <c r="M22" i="53" s="1"/>
  <c r="T10" i="53"/>
  <c r="I10" i="53" s="1"/>
  <c r="J22" i="53" s="1"/>
  <c r="T9" i="53"/>
  <c r="I9" i="53" s="1"/>
  <c r="J21" i="53" s="1"/>
  <c r="T8" i="53"/>
  <c r="I8" i="53" s="1"/>
  <c r="J20" i="53" s="1"/>
  <c r="U7" i="53"/>
  <c r="M19" i="53" s="1"/>
  <c r="T7" i="53"/>
  <c r="I7" i="53" s="1"/>
  <c r="J19" i="53" s="1"/>
  <c r="T6" i="53"/>
  <c r="I6" i="53" s="1"/>
  <c r="J18" i="53" s="1"/>
  <c r="T5" i="53"/>
  <c r="I5" i="53" s="1"/>
  <c r="J17" i="53" s="1"/>
  <c r="T12" i="52"/>
  <c r="I12" i="52" s="1"/>
  <c r="J24" i="52" s="1"/>
  <c r="T11" i="52"/>
  <c r="I11" i="52" s="1"/>
  <c r="J23" i="52" s="1"/>
  <c r="U10" i="52"/>
  <c r="M22" i="52" s="1"/>
  <c r="T10" i="52"/>
  <c r="I10" i="52" s="1"/>
  <c r="J22" i="52" s="1"/>
  <c r="T9" i="52"/>
  <c r="I9" i="52" s="1"/>
  <c r="J21" i="52" s="1"/>
  <c r="T8" i="52"/>
  <c r="I8" i="52" s="1"/>
  <c r="J20" i="52" s="1"/>
  <c r="U7" i="52"/>
  <c r="M19" i="52" s="1"/>
  <c r="T7" i="52"/>
  <c r="I7" i="52" s="1"/>
  <c r="J19" i="52" s="1"/>
  <c r="T6" i="52"/>
  <c r="I6" i="52" s="1"/>
  <c r="J18" i="52" s="1"/>
  <c r="T5" i="52"/>
  <c r="I5" i="52" s="1"/>
  <c r="J17" i="52" s="1"/>
  <c r="M22" i="54" l="1"/>
  <c r="L10" i="54"/>
  <c r="N7" i="54"/>
  <c r="N10" i="54"/>
  <c r="N7" i="53"/>
  <c r="N10" i="53"/>
  <c r="N13" i="53"/>
  <c r="N13" i="54"/>
  <c r="O16" i="54" s="1"/>
  <c r="N13" i="52"/>
  <c r="O16" i="52" s="1"/>
  <c r="N10" i="52"/>
  <c r="L10" i="52"/>
  <c r="L13" i="52"/>
  <c r="N7" i="52"/>
  <c r="L10" i="53"/>
  <c r="L13" i="53"/>
  <c r="L13" i="54"/>
  <c r="O10" i="53" l="1"/>
  <c r="O13" i="53"/>
  <c r="O13" i="54"/>
  <c r="O16" i="53"/>
  <c r="O13" i="52"/>
  <c r="N13" i="15"/>
  <c r="O16" i="15" s="1"/>
  <c r="O10" i="52"/>
  <c r="O10" i="54"/>
  <c r="N10" i="15"/>
  <c r="U7" i="1"/>
  <c r="M19" i="1" s="1"/>
  <c r="T5" i="1"/>
  <c r="I5" i="1" s="1"/>
  <c r="J17" i="1" s="1"/>
  <c r="O13" i="15" l="1"/>
  <c r="T12" i="48"/>
  <c r="I12" i="48" s="1"/>
  <c r="J24" i="48" s="1"/>
  <c r="T11" i="48"/>
  <c r="I11" i="48" s="1"/>
  <c r="J23" i="48" s="1"/>
  <c r="U10" i="48"/>
  <c r="M22" i="48" s="1"/>
  <c r="T10" i="48"/>
  <c r="I10" i="48" s="1"/>
  <c r="J22" i="48" s="1"/>
  <c r="T9" i="48"/>
  <c r="I9" i="48" s="1"/>
  <c r="J21" i="48" s="1"/>
  <c r="T8" i="48"/>
  <c r="I8" i="48" s="1"/>
  <c r="J20" i="48" s="1"/>
  <c r="U7" i="48"/>
  <c r="M19" i="48" s="1"/>
  <c r="T7" i="48"/>
  <c r="I7" i="48" s="1"/>
  <c r="J19" i="48" s="1"/>
  <c r="T6" i="48"/>
  <c r="I6" i="48" s="1"/>
  <c r="J18" i="48" s="1"/>
  <c r="T5" i="48"/>
  <c r="I5" i="48" s="1"/>
  <c r="J17" i="48" s="1"/>
  <c r="T12" i="47"/>
  <c r="I12" i="47" s="1"/>
  <c r="J24" i="47" s="1"/>
  <c r="T11" i="47"/>
  <c r="I11" i="47" s="1"/>
  <c r="J23" i="47" s="1"/>
  <c r="U10" i="47"/>
  <c r="M22" i="47" s="1"/>
  <c r="T10" i="47"/>
  <c r="I10" i="47" s="1"/>
  <c r="J22" i="47" s="1"/>
  <c r="T9" i="47"/>
  <c r="I9" i="47" s="1"/>
  <c r="J21" i="47" s="1"/>
  <c r="T8" i="47"/>
  <c r="I8" i="47" s="1"/>
  <c r="J20" i="47" s="1"/>
  <c r="U7" i="47"/>
  <c r="M19" i="47" s="1"/>
  <c r="T7" i="47"/>
  <c r="I7" i="47" s="1"/>
  <c r="J19" i="47" s="1"/>
  <c r="T6" i="47"/>
  <c r="I6" i="47" s="1"/>
  <c r="J18" i="47" s="1"/>
  <c r="T5" i="47"/>
  <c r="I5" i="47" s="1"/>
  <c r="J17" i="47" s="1"/>
  <c r="T12" i="46"/>
  <c r="I12" i="46" s="1"/>
  <c r="J24" i="46" s="1"/>
  <c r="T11" i="46"/>
  <c r="I11" i="46" s="1"/>
  <c r="J23" i="46" s="1"/>
  <c r="U10" i="46"/>
  <c r="M22" i="46" s="1"/>
  <c r="T10" i="46"/>
  <c r="I10" i="46" s="1"/>
  <c r="J22" i="46" s="1"/>
  <c r="T9" i="46"/>
  <c r="I9" i="46" s="1"/>
  <c r="J21" i="46" s="1"/>
  <c r="T8" i="46"/>
  <c r="I8" i="46" s="1"/>
  <c r="J20" i="46" s="1"/>
  <c r="U7" i="46"/>
  <c r="M19" i="46" s="1"/>
  <c r="T7" i="46"/>
  <c r="I7" i="46" s="1"/>
  <c r="J19" i="46" s="1"/>
  <c r="T6" i="46"/>
  <c r="I6" i="46" s="1"/>
  <c r="J18" i="46" s="1"/>
  <c r="T5" i="46"/>
  <c r="I5" i="46" s="1"/>
  <c r="J17" i="46" s="1"/>
  <c r="T12" i="45"/>
  <c r="I12" i="45" s="1"/>
  <c r="J24" i="45" s="1"/>
  <c r="T11" i="45"/>
  <c r="I11" i="45" s="1"/>
  <c r="J23" i="45" s="1"/>
  <c r="U10" i="45"/>
  <c r="M22" i="45" s="1"/>
  <c r="T10" i="45"/>
  <c r="I10" i="45" s="1"/>
  <c r="J22" i="45" s="1"/>
  <c r="T9" i="45"/>
  <c r="I9" i="45" s="1"/>
  <c r="J21" i="45" s="1"/>
  <c r="T8" i="45"/>
  <c r="I8" i="45" s="1"/>
  <c r="J20" i="45" s="1"/>
  <c r="U7" i="45"/>
  <c r="M19" i="45" s="1"/>
  <c r="T7" i="45"/>
  <c r="I7" i="45" s="1"/>
  <c r="J19" i="45" s="1"/>
  <c r="T6" i="45"/>
  <c r="I6" i="45" s="1"/>
  <c r="J18" i="45" s="1"/>
  <c r="T5" i="45"/>
  <c r="I5" i="45" s="1"/>
  <c r="J17" i="45" s="1"/>
  <c r="N7" i="45" l="1"/>
  <c r="N10" i="45"/>
  <c r="N7" i="47"/>
  <c r="N10" i="47"/>
  <c r="N13" i="47"/>
  <c r="O16" i="47" s="1"/>
  <c r="N13" i="45"/>
  <c r="O16" i="45" s="1"/>
  <c r="N13" i="46"/>
  <c r="O16" i="46" s="1"/>
  <c r="N13" i="48"/>
  <c r="O16" i="48" s="1"/>
  <c r="N10" i="46"/>
  <c r="L10" i="46"/>
  <c r="L13" i="46"/>
  <c r="N7" i="46"/>
  <c r="L10" i="47"/>
  <c r="L13" i="47"/>
  <c r="N7" i="48"/>
  <c r="L10" i="48"/>
  <c r="L13" i="48"/>
  <c r="N10" i="48"/>
  <c r="L10" i="45"/>
  <c r="L13" i="45"/>
  <c r="S12" i="44"/>
  <c r="S11" i="44"/>
  <c r="T10" i="44"/>
  <c r="L22" i="44" s="1"/>
  <c r="S10" i="44"/>
  <c r="S9" i="44"/>
  <c r="S8" i="44"/>
  <c r="T7" i="44"/>
  <c r="L19" i="44" s="1"/>
  <c r="S7" i="44"/>
  <c r="S6" i="44"/>
  <c r="S5" i="44"/>
  <c r="U10" i="43"/>
  <c r="M22" i="43" s="1"/>
  <c r="T8" i="43"/>
  <c r="U7" i="43"/>
  <c r="M19" i="43" s="1"/>
  <c r="T7" i="43"/>
  <c r="I7" i="43" s="1"/>
  <c r="J19" i="43" s="1"/>
  <c r="T6" i="43"/>
  <c r="I6" i="43" s="1"/>
  <c r="J18" i="43" s="1"/>
  <c r="T5" i="43"/>
  <c r="I5" i="43" s="1"/>
  <c r="J17" i="43" s="1"/>
  <c r="N10" i="43" l="1"/>
  <c r="O13" i="43" s="1"/>
  <c r="I8" i="43"/>
  <c r="J20" i="43" s="1"/>
  <c r="O10" i="47"/>
  <c r="O13" i="45"/>
  <c r="O10" i="45"/>
  <c r="O13" i="47"/>
  <c r="O13" i="46"/>
  <c r="O10" i="48"/>
  <c r="N7" i="43"/>
  <c r="O10" i="46"/>
  <c r="K10" i="44"/>
  <c r="K13" i="44"/>
  <c r="M7" i="44"/>
  <c r="M10" i="44"/>
  <c r="M13" i="44"/>
  <c r="O13" i="48"/>
  <c r="L10" i="43"/>
  <c r="L13" i="43"/>
  <c r="T12" i="37"/>
  <c r="I12" i="37" s="1"/>
  <c r="J24" i="37" s="1"/>
  <c r="T11" i="37"/>
  <c r="I11" i="37" s="1"/>
  <c r="J23" i="37" s="1"/>
  <c r="U10" i="37"/>
  <c r="M22" i="37" s="1"/>
  <c r="T10" i="37"/>
  <c r="I10" i="37" s="1"/>
  <c r="J22" i="37" s="1"/>
  <c r="T9" i="37"/>
  <c r="I9" i="37" s="1"/>
  <c r="J21" i="37" s="1"/>
  <c r="T8" i="37"/>
  <c r="I8" i="37" s="1"/>
  <c r="J20" i="37" s="1"/>
  <c r="U7" i="37"/>
  <c r="M19" i="37" s="1"/>
  <c r="T7" i="37"/>
  <c r="I7" i="37" s="1"/>
  <c r="J19" i="37" s="1"/>
  <c r="T6" i="37"/>
  <c r="I6" i="37" s="1"/>
  <c r="J18" i="37" s="1"/>
  <c r="T5" i="37"/>
  <c r="I5" i="37" s="1"/>
  <c r="J17" i="37" s="1"/>
  <c r="O10" i="43" l="1"/>
  <c r="N13" i="37"/>
  <c r="O16" i="37" s="1"/>
  <c r="N13" i="44"/>
  <c r="N16" i="44"/>
  <c r="N10" i="44"/>
  <c r="L10" i="37"/>
  <c r="L13" i="37"/>
  <c r="N7" i="37"/>
  <c r="N10" i="37"/>
  <c r="K7" i="35"/>
  <c r="O13" i="37" l="1"/>
  <c r="O10" i="37"/>
  <c r="U10" i="1"/>
  <c r="M22" i="1" s="1"/>
  <c r="U10" i="3"/>
  <c r="M22" i="3" s="1"/>
  <c r="U10" i="7"/>
  <c r="M22" i="7" s="1"/>
  <c r="U10" i="2"/>
  <c r="M22" i="2" s="1"/>
  <c r="U10" i="8"/>
  <c r="U10" i="9"/>
  <c r="M22" i="9" s="1"/>
  <c r="U10" i="4"/>
  <c r="M22" i="4" s="1"/>
  <c r="U10" i="5"/>
  <c r="M22" i="5" s="1"/>
  <c r="U10" i="13"/>
  <c r="M22" i="13" s="1"/>
  <c r="U10" i="11"/>
  <c r="M22" i="11" s="1"/>
  <c r="U10" i="16"/>
  <c r="M22" i="16" s="1"/>
  <c r="U10" i="15"/>
  <c r="M22" i="15" s="1"/>
  <c r="U10" i="31"/>
  <c r="M22" i="31" s="1"/>
  <c r="K10" i="35"/>
  <c r="U10" i="32"/>
  <c r="M22" i="32" s="1"/>
  <c r="U10" i="12"/>
  <c r="M22" i="12" s="1"/>
  <c r="U10" i="17"/>
  <c r="M22" i="17" s="1"/>
  <c r="U10" i="18"/>
  <c r="M22" i="18" s="1"/>
  <c r="U10" i="20"/>
  <c r="M22" i="20" s="1"/>
  <c r="U10" i="19"/>
  <c r="M22" i="19" s="1"/>
  <c r="U10" i="22"/>
  <c r="M22" i="22" s="1"/>
  <c r="U10" i="23"/>
  <c r="M22" i="23" s="1"/>
  <c r="U10" i="24"/>
  <c r="M22" i="24" s="1"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r="M22" i="34" s="1"/>
  <c r="U7" i="3"/>
  <c r="M19" i="3" s="1"/>
  <c r="U7" i="7"/>
  <c r="M19" i="7" s="1"/>
  <c r="U7" i="2"/>
  <c r="M19" i="2" s="1"/>
  <c r="U7" i="8"/>
  <c r="M19" i="8" s="1"/>
  <c r="U7" i="9"/>
  <c r="M19" i="9" s="1"/>
  <c r="U7" i="4"/>
  <c r="M19" i="4" s="1"/>
  <c r="U7" i="5"/>
  <c r="M19" i="5" s="1"/>
  <c r="U7" i="13"/>
  <c r="M19" i="13" s="1"/>
  <c r="U7" i="11"/>
  <c r="M19" i="11" s="1"/>
  <c r="U7" i="16"/>
  <c r="M19" i="16" s="1"/>
  <c r="U7" i="15"/>
  <c r="M19" i="15" s="1"/>
  <c r="U7" i="31"/>
  <c r="M19" i="31" s="1"/>
  <c r="U7" i="32"/>
  <c r="M19" i="32" s="1"/>
  <c r="U7" i="12"/>
  <c r="M19" i="12" s="1"/>
  <c r="U7" i="17"/>
  <c r="M19" i="17" s="1"/>
  <c r="U7" i="18"/>
  <c r="M19" i="18" s="1"/>
  <c r="U7" i="20"/>
  <c r="M19" i="20" s="1"/>
  <c r="U7" i="19"/>
  <c r="M19" i="19" s="1"/>
  <c r="U7" i="22"/>
  <c r="M19" i="22" s="1"/>
  <c r="U7" i="23"/>
  <c r="M19" i="23" s="1"/>
  <c r="U7" i="24"/>
  <c r="M19" i="24" s="1"/>
  <c r="U7" i="25"/>
  <c r="M19" i="25" s="1"/>
  <c r="U7" i="27"/>
  <c r="M19" i="27" s="1"/>
  <c r="U7" i="28"/>
  <c r="U7" i="29"/>
  <c r="M19" i="29" s="1"/>
  <c r="U7" i="33"/>
  <c r="M19" i="33" s="1"/>
  <c r="U7" i="34"/>
  <c r="M19" i="34" s="1"/>
  <c r="L10" i="35" l="1"/>
  <c r="L13" i="35"/>
  <c r="L10" i="8"/>
  <c r="M22" i="8"/>
  <c r="L13" i="8"/>
  <c r="M19" i="28"/>
  <c r="L7" i="360"/>
  <c r="L10" i="19"/>
  <c r="L13" i="19"/>
  <c r="L10" i="24"/>
  <c r="L13" i="24"/>
  <c r="L10" i="31"/>
  <c r="L13" i="31"/>
  <c r="L10" i="25"/>
  <c r="L13" i="25"/>
  <c r="L10" i="27"/>
  <c r="L13" i="27"/>
  <c r="L10" i="32"/>
  <c r="L13" i="32"/>
  <c r="L10" i="2"/>
  <c r="L13" i="2"/>
  <c r="L10" i="33"/>
  <c r="L13" i="33"/>
  <c r="L10" i="12"/>
  <c r="L13" i="12"/>
  <c r="L10" i="16"/>
  <c r="L13" i="16"/>
  <c r="L10" i="17"/>
  <c r="L13" i="17"/>
  <c r="L10" i="7"/>
  <c r="L13" i="7"/>
  <c r="L10" i="9"/>
  <c r="L13" i="9"/>
  <c r="L10" i="5"/>
  <c r="L13" i="5"/>
  <c r="L10" i="29"/>
  <c r="L13" i="29"/>
  <c r="L10" i="28"/>
  <c r="L13" i="28"/>
  <c r="L10" i="11"/>
  <c r="L13" i="11"/>
  <c r="L10" i="4"/>
  <c r="L13" i="4"/>
  <c r="L10" i="22"/>
  <c r="L13" i="22"/>
  <c r="L10" i="34"/>
  <c r="L13" i="34"/>
  <c r="L10" i="3"/>
  <c r="L13" i="3"/>
  <c r="L10" i="15"/>
  <c r="L13" i="15"/>
  <c r="L10" i="23"/>
  <c r="L13" i="23"/>
  <c r="L10" i="13"/>
  <c r="L13" i="13"/>
  <c r="L10" i="20"/>
  <c r="L13" i="20"/>
  <c r="L10" i="18"/>
  <c r="L13" i="18"/>
  <c r="L10" i="1"/>
  <c r="L13" i="1"/>
  <c r="L7" i="29"/>
  <c r="L7" i="20"/>
  <c r="T12" i="11"/>
  <c r="I12" i="11" s="1"/>
  <c r="J24" i="11" s="1"/>
  <c r="T12" i="16"/>
  <c r="I12" i="16" s="1"/>
  <c r="J24" i="16" s="1"/>
  <c r="T12" i="13"/>
  <c r="I12" i="13" s="1"/>
  <c r="J24" i="13" s="1"/>
  <c r="T12" i="31"/>
  <c r="I12" i="31" s="1"/>
  <c r="J24" i="31" s="1"/>
  <c r="T12" i="9"/>
  <c r="I12" i="9" s="1"/>
  <c r="J24" i="9" s="1"/>
  <c r="T12" i="2"/>
  <c r="I12" i="2" s="1"/>
  <c r="J24" i="2" s="1"/>
  <c r="T12" i="4"/>
  <c r="I12" i="4" s="1"/>
  <c r="J24" i="4" s="1"/>
  <c r="T12" i="3"/>
  <c r="I12" i="3" s="1"/>
  <c r="J24" i="3" s="1"/>
  <c r="T12" i="1"/>
  <c r="I12" i="1" s="1"/>
  <c r="J24" i="1" s="1"/>
  <c r="G13" i="4" l="1"/>
  <c r="T12" i="5"/>
  <c r="I12" i="5" s="1"/>
  <c r="J24" i="5" s="1"/>
  <c r="T12" i="7"/>
  <c r="I12" i="7" s="1"/>
  <c r="J24" i="7" s="1"/>
  <c r="T12" i="32"/>
  <c r="I12" i="32" s="1"/>
  <c r="J24" i="32" s="1"/>
  <c r="T12" i="12"/>
  <c r="I12" i="12" s="1"/>
  <c r="J24" i="12" s="1"/>
  <c r="T12" i="17"/>
  <c r="I12" i="17" s="1"/>
  <c r="J24" i="17" s="1"/>
  <c r="T12" i="18"/>
  <c r="I12" i="18" s="1"/>
  <c r="J24" i="18" s="1"/>
  <c r="T12" i="20"/>
  <c r="I12" i="20" s="1"/>
  <c r="J24" i="20" s="1"/>
  <c r="T12" i="19"/>
  <c r="I12" i="19" s="1"/>
  <c r="J24" i="19" s="1"/>
  <c r="T12" i="21"/>
  <c r="I12" i="21" s="1"/>
  <c r="J24" i="21" s="1"/>
  <c r="T12" i="22"/>
  <c r="I12" i="22" s="1"/>
  <c r="J24" i="22" s="1"/>
  <c r="T12" i="23"/>
  <c r="I12" i="23" s="1"/>
  <c r="J24" i="23" s="1"/>
  <c r="T12" i="24"/>
  <c r="I12" i="24" s="1"/>
  <c r="J24" i="24" s="1"/>
  <c r="T12" i="25"/>
  <c r="I12" i="25" s="1"/>
  <c r="J24" i="25" s="1"/>
  <c r="T12" i="27"/>
  <c r="I12" i="27" s="1"/>
  <c r="J24" i="27" s="1"/>
  <c r="T12" i="28"/>
  <c r="I12" i="28" s="1"/>
  <c r="J24" i="28" s="1"/>
  <c r="T12" i="29"/>
  <c r="I12" i="29" s="1"/>
  <c r="J24" i="29" s="1"/>
  <c r="T12" i="33"/>
  <c r="I12" i="33" s="1"/>
  <c r="J24" i="33" s="1"/>
  <c r="T12" i="34"/>
  <c r="I12" i="34" s="1"/>
  <c r="J24" i="34" s="1"/>
  <c r="T11" i="1"/>
  <c r="T11" i="3"/>
  <c r="T11" i="4"/>
  <c r="T11" i="5"/>
  <c r="I11" i="5" s="1"/>
  <c r="J23" i="5" s="1"/>
  <c r="T11" i="7"/>
  <c r="I11" i="7" s="1"/>
  <c r="J23" i="7" s="1"/>
  <c r="T11" i="2"/>
  <c r="T11" i="8"/>
  <c r="T11" i="32"/>
  <c r="I11" i="32" s="1"/>
  <c r="J23" i="32" s="1"/>
  <c r="T11" i="9"/>
  <c r="T11" i="11"/>
  <c r="T11" i="12"/>
  <c r="I11" i="12" s="1"/>
  <c r="J23" i="12" s="1"/>
  <c r="T11" i="13"/>
  <c r="T11" i="16"/>
  <c r="T11" i="17"/>
  <c r="I11" i="17" s="1"/>
  <c r="J23" i="17" s="1"/>
  <c r="T11" i="18"/>
  <c r="I11" i="18" s="1"/>
  <c r="J23" i="18" s="1"/>
  <c r="T11" i="20"/>
  <c r="I11" i="20" s="1"/>
  <c r="J23" i="20" s="1"/>
  <c r="T11" i="19"/>
  <c r="I11" i="19" s="1"/>
  <c r="J23" i="19" s="1"/>
  <c r="T11" i="21"/>
  <c r="I11" i="21" s="1"/>
  <c r="J23" i="21" s="1"/>
  <c r="T11" i="22"/>
  <c r="I11" i="22" s="1"/>
  <c r="J23" i="22" s="1"/>
  <c r="T11" i="23"/>
  <c r="I11" i="23" s="1"/>
  <c r="J23" i="23" s="1"/>
  <c r="T11" i="24"/>
  <c r="I11" i="24" s="1"/>
  <c r="J23" i="24" s="1"/>
  <c r="T11" i="25"/>
  <c r="I11" i="25" s="1"/>
  <c r="J23" i="25" s="1"/>
  <c r="T11" i="27"/>
  <c r="I11" i="27" s="1"/>
  <c r="J23" i="27" s="1"/>
  <c r="T11" i="28"/>
  <c r="I11" i="28" s="1"/>
  <c r="J23" i="28" s="1"/>
  <c r="T11" i="29"/>
  <c r="I11" i="29" s="1"/>
  <c r="J23" i="29" s="1"/>
  <c r="T11" i="33"/>
  <c r="I11" i="33" s="1"/>
  <c r="J23" i="33" s="1"/>
  <c r="T11" i="34"/>
  <c r="I11" i="34" s="1"/>
  <c r="J23" i="34" s="1"/>
  <c r="T11" i="31"/>
  <c r="T10" i="1"/>
  <c r="I10" i="1" s="1"/>
  <c r="J22" i="1" s="1"/>
  <c r="T10" i="3"/>
  <c r="I10" i="3" s="1"/>
  <c r="J22" i="3" s="1"/>
  <c r="T10" i="4"/>
  <c r="I10" i="4" s="1"/>
  <c r="J22" i="4" s="1"/>
  <c r="T10" i="5"/>
  <c r="I10" i="5" s="1"/>
  <c r="J22" i="5" s="1"/>
  <c r="T10" i="7"/>
  <c r="I10" i="7" s="1"/>
  <c r="J22" i="7" s="1"/>
  <c r="T10" i="2"/>
  <c r="I10" i="2" s="1"/>
  <c r="J22" i="2" s="1"/>
  <c r="T10" i="8"/>
  <c r="I10" i="8" s="1"/>
  <c r="J22" i="8" s="1"/>
  <c r="T10" i="32"/>
  <c r="I10" i="32" s="1"/>
  <c r="J22" i="32" s="1"/>
  <c r="T10" i="9"/>
  <c r="I10" i="9" s="1"/>
  <c r="J22" i="9" s="1"/>
  <c r="T10" i="11"/>
  <c r="I10" i="11" s="1"/>
  <c r="J22" i="11" s="1"/>
  <c r="T10" i="12"/>
  <c r="I10" i="12" s="1"/>
  <c r="J22" i="12" s="1"/>
  <c r="T10" i="13"/>
  <c r="I10" i="13" s="1"/>
  <c r="J22" i="13" s="1"/>
  <c r="T10" i="16"/>
  <c r="I10" i="16" s="1"/>
  <c r="J22" i="16" s="1"/>
  <c r="T10" i="17"/>
  <c r="I10" i="17" s="1"/>
  <c r="J22" i="17" s="1"/>
  <c r="T10" i="18"/>
  <c r="I10" i="18" s="1"/>
  <c r="J22" i="18" s="1"/>
  <c r="T10" i="20"/>
  <c r="I10" i="20" s="1"/>
  <c r="J22" i="20" s="1"/>
  <c r="T10" i="19"/>
  <c r="I10" i="19" s="1"/>
  <c r="J22" i="19" s="1"/>
  <c r="T10" i="21"/>
  <c r="I10" i="21" s="1"/>
  <c r="J22" i="21" s="1"/>
  <c r="T10" i="22"/>
  <c r="I10" i="22" s="1"/>
  <c r="J22" i="22" s="1"/>
  <c r="T10" i="23"/>
  <c r="I10" i="23" s="1"/>
  <c r="J22" i="23" s="1"/>
  <c r="T10" i="24"/>
  <c r="I10" i="24" s="1"/>
  <c r="J22" i="24" s="1"/>
  <c r="T10" i="25"/>
  <c r="I10" i="25" s="1"/>
  <c r="J22" i="25" s="1"/>
  <c r="T10" i="27"/>
  <c r="I10" i="27" s="1"/>
  <c r="J22" i="27" s="1"/>
  <c r="T10" i="28"/>
  <c r="I10" i="28" s="1"/>
  <c r="J22" i="28" s="1"/>
  <c r="T10" i="29"/>
  <c r="I10" i="29" s="1"/>
  <c r="J22" i="29" s="1"/>
  <c r="T10" i="33"/>
  <c r="I10" i="33" s="1"/>
  <c r="J22" i="33" s="1"/>
  <c r="T10" i="34"/>
  <c r="I10" i="34" s="1"/>
  <c r="J22" i="34" s="1"/>
  <c r="T10" i="31"/>
  <c r="I10" i="31" s="1"/>
  <c r="J22" i="31" s="1"/>
  <c r="T9" i="1"/>
  <c r="I9" i="1" s="1"/>
  <c r="J21" i="1" s="1"/>
  <c r="T9" i="3"/>
  <c r="I9" i="3" s="1"/>
  <c r="J21" i="3" s="1"/>
  <c r="T9" i="4"/>
  <c r="I9" i="4" s="1"/>
  <c r="J21" i="4" s="1"/>
  <c r="T9" i="5"/>
  <c r="I9" i="5" s="1"/>
  <c r="J21" i="5" s="1"/>
  <c r="T9" i="7"/>
  <c r="I9" i="7" s="1"/>
  <c r="J21" i="7" s="1"/>
  <c r="T9" i="2"/>
  <c r="I9" i="2" s="1"/>
  <c r="J21" i="2" s="1"/>
  <c r="T9" i="8"/>
  <c r="I9" i="8" s="1"/>
  <c r="J21" i="8" s="1"/>
  <c r="T9" i="32"/>
  <c r="I9" i="32" s="1"/>
  <c r="J21" i="32" s="1"/>
  <c r="T9" i="9"/>
  <c r="I9" i="9" s="1"/>
  <c r="J21" i="9" s="1"/>
  <c r="T9" i="11"/>
  <c r="I9" i="11" s="1"/>
  <c r="J21" i="11" s="1"/>
  <c r="T9" i="12"/>
  <c r="I9" i="12" s="1"/>
  <c r="J21" i="12" s="1"/>
  <c r="T9" i="13"/>
  <c r="I9" i="13" s="1"/>
  <c r="J21" i="13" s="1"/>
  <c r="T9" i="16"/>
  <c r="I9" i="16" s="1"/>
  <c r="J21" i="16" s="1"/>
  <c r="T9" i="17"/>
  <c r="I9" i="17" s="1"/>
  <c r="J21" i="17" s="1"/>
  <c r="T9" i="18"/>
  <c r="I9" i="18" s="1"/>
  <c r="J21" i="18" s="1"/>
  <c r="T9" i="20"/>
  <c r="I9" i="20" s="1"/>
  <c r="J21" i="20" s="1"/>
  <c r="T9" i="19"/>
  <c r="I9" i="19" s="1"/>
  <c r="J21" i="19" s="1"/>
  <c r="T9" i="21"/>
  <c r="I9" i="21" s="1"/>
  <c r="J21" i="21" s="1"/>
  <c r="T9" i="22"/>
  <c r="I9" i="22" s="1"/>
  <c r="J21" i="22" s="1"/>
  <c r="T9" i="23"/>
  <c r="I9" i="23" s="1"/>
  <c r="J21" i="23" s="1"/>
  <c r="T9" i="24"/>
  <c r="I9" i="24" s="1"/>
  <c r="J21" i="24" s="1"/>
  <c r="T9" i="25"/>
  <c r="I9" i="25" s="1"/>
  <c r="J21" i="25" s="1"/>
  <c r="T9" i="27"/>
  <c r="I9" i="27" s="1"/>
  <c r="J21" i="27" s="1"/>
  <c r="T9" i="28"/>
  <c r="I9" i="28" s="1"/>
  <c r="J21" i="28" s="1"/>
  <c r="T9" i="29"/>
  <c r="I9" i="29" s="1"/>
  <c r="J21" i="29" s="1"/>
  <c r="T9" i="33"/>
  <c r="I9" i="33" s="1"/>
  <c r="J21" i="33" s="1"/>
  <c r="T9" i="34"/>
  <c r="I9" i="34" s="1"/>
  <c r="J21" i="34" s="1"/>
  <c r="T9" i="31"/>
  <c r="I9" i="31" s="1"/>
  <c r="J21" i="31" s="1"/>
  <c r="T8" i="3"/>
  <c r="I8" i="3" s="1"/>
  <c r="J20" i="3" s="1"/>
  <c r="T8" i="4"/>
  <c r="I8" i="4" s="1"/>
  <c r="J20" i="4" s="1"/>
  <c r="T8" i="5"/>
  <c r="I8" i="5" s="1"/>
  <c r="J20" i="5" s="1"/>
  <c r="T8" i="7"/>
  <c r="I8" i="7" s="1"/>
  <c r="J20" i="7" s="1"/>
  <c r="T8" i="2"/>
  <c r="I8" i="2" s="1"/>
  <c r="J20" i="2" s="1"/>
  <c r="T8" i="8"/>
  <c r="I8" i="8" s="1"/>
  <c r="J20" i="8" s="1"/>
  <c r="T8" i="32"/>
  <c r="I8" i="32" s="1"/>
  <c r="J20" i="32" s="1"/>
  <c r="T8" i="9"/>
  <c r="I8" i="9" s="1"/>
  <c r="J20" i="9" s="1"/>
  <c r="T8" i="11"/>
  <c r="I8" i="11" s="1"/>
  <c r="J20" i="11" s="1"/>
  <c r="T8" i="12"/>
  <c r="I8" i="12" s="1"/>
  <c r="J20" i="12" s="1"/>
  <c r="T8" i="13"/>
  <c r="I8" i="13" s="1"/>
  <c r="J20" i="13" s="1"/>
  <c r="T8" i="16"/>
  <c r="I8" i="16" s="1"/>
  <c r="J20" i="16" s="1"/>
  <c r="T8" i="17"/>
  <c r="I8" i="17" s="1"/>
  <c r="J20" i="17" s="1"/>
  <c r="T8" i="18"/>
  <c r="I8" i="18" s="1"/>
  <c r="J20" i="18" s="1"/>
  <c r="T8" i="20"/>
  <c r="I8" i="20" s="1"/>
  <c r="J20" i="20" s="1"/>
  <c r="T8" i="19"/>
  <c r="I8" i="19" s="1"/>
  <c r="J20" i="19" s="1"/>
  <c r="T8" i="21"/>
  <c r="I8" i="21" s="1"/>
  <c r="J20" i="21" s="1"/>
  <c r="T8" i="22"/>
  <c r="I8" i="22" s="1"/>
  <c r="J20" i="22" s="1"/>
  <c r="T8" i="23"/>
  <c r="I8" i="23" s="1"/>
  <c r="J20" i="23" s="1"/>
  <c r="T8" i="24"/>
  <c r="I8" i="24" s="1"/>
  <c r="J20" i="24" s="1"/>
  <c r="T8" i="25"/>
  <c r="I8" i="25" s="1"/>
  <c r="J20" i="25" s="1"/>
  <c r="T8" i="27"/>
  <c r="I8" i="27" s="1"/>
  <c r="J20" i="27" s="1"/>
  <c r="T8" i="28"/>
  <c r="I8" i="28" s="1"/>
  <c r="J20" i="28" s="1"/>
  <c r="T8" i="29"/>
  <c r="I8" i="29" s="1"/>
  <c r="J20" i="29" s="1"/>
  <c r="T8" i="33"/>
  <c r="I8" i="33" s="1"/>
  <c r="J20" i="33" s="1"/>
  <c r="T8" i="34"/>
  <c r="I8" i="34" s="1"/>
  <c r="J20" i="34" s="1"/>
  <c r="T8" i="31"/>
  <c r="I8" i="31" s="1"/>
  <c r="J20" i="31" s="1"/>
  <c r="T7" i="1"/>
  <c r="I7" i="1" s="1"/>
  <c r="J19" i="1" s="1"/>
  <c r="T7" i="3"/>
  <c r="I7" i="3" s="1"/>
  <c r="J19" i="3" s="1"/>
  <c r="T7" i="4"/>
  <c r="I7" i="4" s="1"/>
  <c r="J19" i="4" s="1"/>
  <c r="T7" i="7"/>
  <c r="I7" i="7" s="1"/>
  <c r="J19" i="7" s="1"/>
  <c r="T7" i="2"/>
  <c r="I7" i="2" s="1"/>
  <c r="J19" i="2" s="1"/>
  <c r="T7" i="8"/>
  <c r="I7" i="8" s="1"/>
  <c r="J19" i="8" s="1"/>
  <c r="T7" i="32"/>
  <c r="I7" i="32" s="1"/>
  <c r="J19" i="32" s="1"/>
  <c r="T7" i="9"/>
  <c r="I7" i="9" s="1"/>
  <c r="J19" i="9" s="1"/>
  <c r="T7" i="11"/>
  <c r="I7" i="11" s="1"/>
  <c r="J19" i="11" s="1"/>
  <c r="T7" i="12"/>
  <c r="I7" i="12" s="1"/>
  <c r="J19" i="12" s="1"/>
  <c r="T7" i="13"/>
  <c r="I7" i="13" s="1"/>
  <c r="J19" i="13" s="1"/>
  <c r="T7" i="16"/>
  <c r="I7" i="16" s="1"/>
  <c r="J19" i="16" s="1"/>
  <c r="T7" i="17"/>
  <c r="I7" i="17" s="1"/>
  <c r="J19" i="17" s="1"/>
  <c r="T7" i="18"/>
  <c r="I7" i="18" s="1"/>
  <c r="J19" i="18" s="1"/>
  <c r="T7" i="20"/>
  <c r="I7" i="20" s="1"/>
  <c r="J19" i="20" s="1"/>
  <c r="T7" i="19"/>
  <c r="I7" i="19" s="1"/>
  <c r="J19" i="19" s="1"/>
  <c r="T7" i="21"/>
  <c r="I7" i="21" s="1"/>
  <c r="J19" i="21" s="1"/>
  <c r="T7" i="22"/>
  <c r="I7" i="22" s="1"/>
  <c r="J19" i="22" s="1"/>
  <c r="T7" i="23"/>
  <c r="I7" i="23" s="1"/>
  <c r="J19" i="23" s="1"/>
  <c r="T7" i="24"/>
  <c r="I7" i="24" s="1"/>
  <c r="J19" i="24" s="1"/>
  <c r="T7" i="25"/>
  <c r="I7" i="25" s="1"/>
  <c r="J19" i="25" s="1"/>
  <c r="T7" i="27"/>
  <c r="I7" i="27" s="1"/>
  <c r="J19" i="27" s="1"/>
  <c r="T7" i="28"/>
  <c r="I7" i="28" s="1"/>
  <c r="J19" i="28" s="1"/>
  <c r="T7" i="29"/>
  <c r="I7" i="29" s="1"/>
  <c r="J19" i="29" s="1"/>
  <c r="T7" i="33"/>
  <c r="I7" i="33" s="1"/>
  <c r="J19" i="33" s="1"/>
  <c r="T7" i="34"/>
  <c r="I7" i="34" s="1"/>
  <c r="J19" i="34" s="1"/>
  <c r="T7" i="31"/>
  <c r="I7" i="31" s="1"/>
  <c r="J19" i="31" s="1"/>
  <c r="T6" i="1"/>
  <c r="I6" i="1" s="1"/>
  <c r="J18" i="1" s="1"/>
  <c r="T6" i="3"/>
  <c r="I6" i="3" s="1"/>
  <c r="J18" i="3" s="1"/>
  <c r="T6" i="4"/>
  <c r="T6" i="5"/>
  <c r="I6" i="5" s="1"/>
  <c r="J18" i="5" s="1"/>
  <c r="T6" i="7"/>
  <c r="I6" i="7" s="1"/>
  <c r="J18" i="7" s="1"/>
  <c r="T6" i="2"/>
  <c r="I6" i="2" s="1"/>
  <c r="J18" i="2" s="1"/>
  <c r="T6" i="8"/>
  <c r="I6" i="8" s="1"/>
  <c r="J18" i="8" s="1"/>
  <c r="T6" i="32"/>
  <c r="I6" i="32" s="1"/>
  <c r="J18" i="32" s="1"/>
  <c r="T6" i="9"/>
  <c r="I6" i="9" s="1"/>
  <c r="J18" i="9" s="1"/>
  <c r="T6" i="11"/>
  <c r="I6" i="11" s="1"/>
  <c r="J18" i="11" s="1"/>
  <c r="T6" i="12"/>
  <c r="I6" i="12" s="1"/>
  <c r="J18" i="12" s="1"/>
  <c r="T6" i="13"/>
  <c r="I6" i="13" s="1"/>
  <c r="J18" i="13" s="1"/>
  <c r="T6" i="16"/>
  <c r="I6" i="16" s="1"/>
  <c r="J18" i="16" s="1"/>
  <c r="T6" i="17"/>
  <c r="I6" i="17" s="1"/>
  <c r="J18" i="17" s="1"/>
  <c r="T6" i="18"/>
  <c r="I6" i="18" s="1"/>
  <c r="J18" i="18" s="1"/>
  <c r="T6" i="20"/>
  <c r="I6" i="20" s="1"/>
  <c r="J18" i="20" s="1"/>
  <c r="T6" i="19"/>
  <c r="I6" i="19" s="1"/>
  <c r="J18" i="19" s="1"/>
  <c r="T6" i="21"/>
  <c r="I6" i="21" s="1"/>
  <c r="J18" i="21" s="1"/>
  <c r="T6" i="22"/>
  <c r="I6" i="22" s="1"/>
  <c r="J18" i="22" s="1"/>
  <c r="T6" i="23"/>
  <c r="I6" i="23" s="1"/>
  <c r="J18" i="23" s="1"/>
  <c r="T6" i="24"/>
  <c r="I6" i="24" s="1"/>
  <c r="J18" i="24" s="1"/>
  <c r="T6" i="25"/>
  <c r="I6" i="25" s="1"/>
  <c r="J18" i="25" s="1"/>
  <c r="T6" i="27"/>
  <c r="I6" i="27" s="1"/>
  <c r="J18" i="27" s="1"/>
  <c r="T6" i="28"/>
  <c r="I6" i="28" s="1"/>
  <c r="J18" i="28" s="1"/>
  <c r="T6" i="29"/>
  <c r="I6" i="29" s="1"/>
  <c r="J18" i="29" s="1"/>
  <c r="T6" i="33"/>
  <c r="I6" i="33" s="1"/>
  <c r="J18" i="33" s="1"/>
  <c r="T6" i="34"/>
  <c r="I6" i="34" s="1"/>
  <c r="J18" i="34" s="1"/>
  <c r="T6" i="31"/>
  <c r="I6" i="31" s="1"/>
  <c r="J18" i="31" s="1"/>
  <c r="T5" i="3"/>
  <c r="I5" i="3" s="1"/>
  <c r="J17" i="3" s="1"/>
  <c r="T5" i="4"/>
  <c r="I5" i="4" s="1"/>
  <c r="J17" i="4" s="1"/>
  <c r="T5" i="5"/>
  <c r="I5" i="5" s="1"/>
  <c r="J17" i="5" s="1"/>
  <c r="T5" i="7"/>
  <c r="I5" i="7" s="1"/>
  <c r="J17" i="7" s="1"/>
  <c r="T5" i="2"/>
  <c r="I5" i="2" s="1"/>
  <c r="J17" i="2" s="1"/>
  <c r="T5" i="8"/>
  <c r="I5" i="8" s="1"/>
  <c r="J17" i="8" s="1"/>
  <c r="T5" i="32"/>
  <c r="I5" i="32" s="1"/>
  <c r="J17" i="32" s="1"/>
  <c r="T5" i="9"/>
  <c r="I5" i="9" s="1"/>
  <c r="J17" i="9" s="1"/>
  <c r="T5" i="11"/>
  <c r="I5" i="11" s="1"/>
  <c r="J17" i="11" s="1"/>
  <c r="T5" i="12"/>
  <c r="I5" i="12" s="1"/>
  <c r="J17" i="12" s="1"/>
  <c r="T5" i="13"/>
  <c r="I5" i="13" s="1"/>
  <c r="J17" i="13" s="1"/>
  <c r="N7" i="15"/>
  <c r="O10" i="15" s="1"/>
  <c r="T5" i="16"/>
  <c r="I5" i="16" s="1"/>
  <c r="J17" i="16" s="1"/>
  <c r="T5" i="17"/>
  <c r="I5" i="17" s="1"/>
  <c r="J17" i="17" s="1"/>
  <c r="T5" i="18"/>
  <c r="I5" i="18" s="1"/>
  <c r="J17" i="18" s="1"/>
  <c r="T5" i="20"/>
  <c r="I5" i="20" s="1"/>
  <c r="J17" i="20" s="1"/>
  <c r="T5" i="19"/>
  <c r="I5" i="19" s="1"/>
  <c r="J17" i="19" s="1"/>
  <c r="T5" i="21"/>
  <c r="I5" i="21" s="1"/>
  <c r="J17" i="21" s="1"/>
  <c r="T5" i="22"/>
  <c r="I5" i="22" s="1"/>
  <c r="J17" i="22" s="1"/>
  <c r="T5" i="23"/>
  <c r="I5" i="23" s="1"/>
  <c r="J17" i="23" s="1"/>
  <c r="T5" i="24"/>
  <c r="I5" i="24" s="1"/>
  <c r="J17" i="24" s="1"/>
  <c r="T5" i="25"/>
  <c r="I5" i="25" s="1"/>
  <c r="J17" i="25" s="1"/>
  <c r="T5" i="27"/>
  <c r="I5" i="27" s="1"/>
  <c r="J17" i="27" s="1"/>
  <c r="T5" i="28"/>
  <c r="I5" i="28" s="1"/>
  <c r="J17" i="28" s="1"/>
  <c r="T5" i="29"/>
  <c r="I5" i="29" s="1"/>
  <c r="J17" i="29" s="1"/>
  <c r="T5" i="33"/>
  <c r="I5" i="33" s="1"/>
  <c r="J17" i="33" s="1"/>
  <c r="T5" i="34"/>
  <c r="I5" i="34" s="1"/>
  <c r="J17" i="34" s="1"/>
  <c r="T5" i="31"/>
  <c r="I5" i="31" s="1"/>
  <c r="J17" i="31" s="1"/>
  <c r="N13" i="31" l="1"/>
  <c r="O16" i="31" s="1"/>
  <c r="I11" i="31"/>
  <c r="J23" i="31" s="1"/>
  <c r="N13" i="11"/>
  <c r="O16" i="11" s="1"/>
  <c r="I11" i="11"/>
  <c r="J23" i="11" s="1"/>
  <c r="H18" i="4"/>
  <c r="I6" i="4"/>
  <c r="J18" i="4" s="1"/>
  <c r="N13" i="9"/>
  <c r="O16" i="9" s="1"/>
  <c r="I11" i="9"/>
  <c r="J23" i="9" s="1"/>
  <c r="N13" i="4"/>
  <c r="O16" i="4" s="1"/>
  <c r="I11" i="4"/>
  <c r="J23" i="4" s="1"/>
  <c r="N13" i="3"/>
  <c r="O16" i="3" s="1"/>
  <c r="I11" i="3"/>
  <c r="J23" i="3" s="1"/>
  <c r="N13" i="16"/>
  <c r="O16" i="16" s="1"/>
  <c r="I11" i="16"/>
  <c r="J23" i="16" s="1"/>
  <c r="N13" i="8"/>
  <c r="O16" i="8" s="1"/>
  <c r="I11" i="8"/>
  <c r="J23" i="8" s="1"/>
  <c r="N13" i="1"/>
  <c r="O16" i="1" s="1"/>
  <c r="I11" i="1"/>
  <c r="J23" i="1" s="1"/>
  <c r="N13" i="13"/>
  <c r="O16" i="13" s="1"/>
  <c r="I11" i="13"/>
  <c r="J23" i="13" s="1"/>
  <c r="N13" i="2"/>
  <c r="O16" i="2" s="1"/>
  <c r="I11" i="2"/>
  <c r="J23" i="2" s="1"/>
  <c r="N10" i="21"/>
  <c r="N7" i="5"/>
  <c r="N13" i="21"/>
  <c r="N7" i="21"/>
  <c r="N7" i="1"/>
  <c r="N7" i="24"/>
  <c r="N7" i="19"/>
  <c r="N7" i="16"/>
  <c r="N7" i="11"/>
  <c r="N10" i="34"/>
  <c r="N10" i="27"/>
  <c r="N10" i="22"/>
  <c r="N10" i="18"/>
  <c r="N10" i="8"/>
  <c r="N10" i="4"/>
  <c r="N13" i="29"/>
  <c r="O16" i="29" s="1"/>
  <c r="N13" i="24"/>
  <c r="O16" i="24" s="1"/>
  <c r="N13" i="19"/>
  <c r="O16" i="19" s="1"/>
  <c r="N13" i="12"/>
  <c r="O16" i="12" s="1"/>
  <c r="N13" i="7"/>
  <c r="O16" i="7" s="1"/>
  <c r="N7" i="8"/>
  <c r="N10" i="29"/>
  <c r="N10" i="24"/>
  <c r="N10" i="19"/>
  <c r="N10" i="16"/>
  <c r="N10" i="7"/>
  <c r="N10" i="1"/>
  <c r="N7" i="23"/>
  <c r="N7" i="20"/>
  <c r="N7" i="9"/>
  <c r="N7" i="7"/>
  <c r="N10" i="25"/>
  <c r="N10" i="2"/>
  <c r="N7" i="2"/>
  <c r="N13" i="5"/>
  <c r="O16" i="5" s="1"/>
  <c r="N13" i="25"/>
  <c r="O16" i="25" s="1"/>
  <c r="N7" i="32"/>
  <c r="N10" i="17"/>
  <c r="N10" i="11"/>
  <c r="N13" i="22"/>
  <c r="O16" i="22" s="1"/>
  <c r="N7" i="13"/>
  <c r="N13" i="18"/>
  <c r="N7" i="3"/>
  <c r="N7" i="31"/>
  <c r="N10" i="33"/>
  <c r="N10" i="12"/>
  <c r="N10" i="9"/>
  <c r="N7" i="29"/>
  <c r="N10" i="3"/>
  <c r="N10" i="31"/>
  <c r="N7" i="25"/>
  <c r="N7" i="27"/>
  <c r="N13" i="27"/>
  <c r="N13" i="32"/>
  <c r="N10" i="32"/>
  <c r="N7" i="33"/>
  <c r="N13" i="33"/>
  <c r="N7" i="12"/>
  <c r="N7" i="17"/>
  <c r="N13" i="17"/>
  <c r="N10" i="5"/>
  <c r="N13" i="28"/>
  <c r="N7" i="28"/>
  <c r="N10" i="28"/>
  <c r="H17" i="4"/>
  <c r="N7" i="4"/>
  <c r="N7" i="22"/>
  <c r="N7" i="34"/>
  <c r="N13" i="34"/>
  <c r="N13" i="23"/>
  <c r="N10" i="23"/>
  <c r="N10" i="13"/>
  <c r="N13" i="20"/>
  <c r="N10" i="20"/>
  <c r="N7" i="18"/>
  <c r="G9" i="4"/>
  <c r="G6" i="4"/>
  <c r="G10" i="4"/>
  <c r="G7" i="4"/>
  <c r="B13" i="4"/>
  <c r="G11" i="4"/>
  <c r="B10" i="4"/>
  <c r="G8" i="4"/>
  <c r="G12" i="4"/>
  <c r="B7" i="4"/>
  <c r="O13" i="16" l="1"/>
  <c r="O13" i="11"/>
  <c r="O13" i="3"/>
  <c r="O13" i="8"/>
  <c r="O13" i="1"/>
  <c r="O13" i="4"/>
  <c r="O13" i="21"/>
  <c r="O10" i="5"/>
  <c r="O10" i="21"/>
  <c r="O16" i="21"/>
  <c r="O10" i="34"/>
  <c r="O13" i="7"/>
  <c r="O13" i="29"/>
  <c r="O10" i="27"/>
  <c r="O13" i="12"/>
  <c r="O10" i="29"/>
  <c r="O10" i="4"/>
  <c r="O13" i="18"/>
  <c r="O10" i="18"/>
  <c r="O10" i="22"/>
  <c r="O10" i="8"/>
  <c r="O13" i="19"/>
  <c r="O10" i="7"/>
  <c r="O13" i="24"/>
  <c r="O10" i="1"/>
  <c r="O10" i="2"/>
  <c r="O10" i="20"/>
  <c r="O13" i="2"/>
  <c r="O10" i="16"/>
  <c r="O10" i="24"/>
  <c r="O10" i="23"/>
  <c r="O10" i="19"/>
  <c r="O10" i="25"/>
  <c r="O10" i="9"/>
  <c r="O13" i="22"/>
  <c r="O10" i="33"/>
  <c r="O10" i="3"/>
  <c r="O10" i="11"/>
  <c r="O10" i="13"/>
  <c r="O16" i="18"/>
  <c r="O13" i="25"/>
  <c r="O10" i="17"/>
  <c r="O10" i="32"/>
  <c r="O10" i="28"/>
  <c r="O10" i="31"/>
  <c r="O10" i="12"/>
  <c r="O13" i="9"/>
  <c r="O13" i="31"/>
  <c r="O13" i="27"/>
  <c r="O16" i="27"/>
  <c r="O13" i="32"/>
  <c r="O16" i="32"/>
  <c r="O13" i="33"/>
  <c r="O16" i="33"/>
  <c r="O13" i="17"/>
  <c r="O16" i="17"/>
  <c r="O13" i="5"/>
  <c r="O13" i="28"/>
  <c r="O16" i="28"/>
  <c r="O13" i="34"/>
  <c r="O16" i="34"/>
  <c r="O13" i="23"/>
  <c r="O16" i="23"/>
  <c r="O13" i="13"/>
  <c r="O13" i="20"/>
  <c r="O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0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<sst xmlns="http://schemas.openxmlformats.org/spreadsheetml/2006/main" count="35470" uniqueCount="1544">
  <si>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</si>
  <si>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</si>
  <si>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</si>
  <si>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</si>
  <si>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</si>
  <si>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</si>
  <si>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</si>
  <si>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</si>
  <si>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년월</t>
  </si>
  <si>
    <t>금액(달러)</t>
  </si>
  <si>
    <t>금액(원화)</t>
  </si>
  <si>
    <t>중량(Kg)</t>
  </si>
  <si>
    <t>덕산네오룩스</t>
    <phoneticPr fontId="1" type="noConversion"/>
  </si>
  <si>
    <t>대웅제약</t>
    <phoneticPr fontId="1" type="noConversion"/>
  </si>
  <si>
    <t>메디톡스</t>
    <phoneticPr fontId="1" type="noConversion"/>
  </si>
  <si>
    <t>삼성전기</t>
    <phoneticPr fontId="1" type="noConversion"/>
  </si>
  <si>
    <t>해성디에스</t>
    <phoneticPr fontId="1" type="noConversion"/>
  </si>
  <si>
    <t>오스템임플란트, 덴티움</t>
    <phoneticPr fontId="1" type="noConversion"/>
  </si>
  <si>
    <t>제이시스메디칼, 루트로닉</t>
    <phoneticPr fontId="1" type="noConversion"/>
  </si>
  <si>
    <t>티앤엘</t>
    <phoneticPr fontId="1" type="noConversion"/>
  </si>
  <si>
    <t>비츠로셀</t>
    <phoneticPr fontId="1" type="noConversion"/>
  </si>
  <si>
    <t>삼양식품</t>
    <phoneticPr fontId="1" type="noConversion"/>
  </si>
  <si>
    <t>엘앤에프, 에코프로비엠</t>
    <phoneticPr fontId="1" type="noConversion"/>
  </si>
  <si>
    <t>동진쎄미켐</t>
    <phoneticPr fontId="1" type="noConversion"/>
  </si>
  <si>
    <t>이오테크닉스</t>
    <phoneticPr fontId="1" type="noConversion"/>
  </si>
  <si>
    <t>이엠텍(수입)</t>
    <phoneticPr fontId="1" type="noConversion"/>
  </si>
  <si>
    <t>에스엠, 제와피, 하이브, 와이지</t>
    <phoneticPr fontId="1" type="noConversion"/>
  </si>
  <si>
    <t>인터로조</t>
    <phoneticPr fontId="1" type="noConversion"/>
  </si>
  <si>
    <t>휴비츠</t>
    <phoneticPr fontId="1" type="noConversion"/>
  </si>
  <si>
    <t>경동나비엔</t>
    <phoneticPr fontId="1" type="noConversion"/>
  </si>
  <si>
    <t>제이브이엠</t>
    <phoneticPr fontId="1" type="noConversion"/>
  </si>
  <si>
    <t>파크시스템스</t>
    <phoneticPr fontId="1" type="noConversion"/>
  </si>
  <si>
    <t>삼성전자, 하이닉스</t>
    <phoneticPr fontId="1" type="noConversion"/>
  </si>
  <si>
    <t>9021.29-0000</t>
    <phoneticPr fontId="1" type="noConversion"/>
  </si>
  <si>
    <t>인바디</t>
    <phoneticPr fontId="1" type="noConversion"/>
  </si>
  <si>
    <t>2022년09월</t>
    <phoneticPr fontId="1" type="noConversion"/>
  </si>
  <si>
    <t>2022년10월</t>
    <phoneticPr fontId="1" type="noConversion"/>
  </si>
  <si>
    <t>2022년11월</t>
    <phoneticPr fontId="1" type="noConversion"/>
  </si>
  <si>
    <t>2022년12월</t>
    <phoneticPr fontId="1" type="noConversion"/>
  </si>
  <si>
    <t>중량</t>
    <phoneticPr fontId="1" type="noConversion"/>
  </si>
  <si>
    <t>에스엘</t>
    <phoneticPr fontId="1" type="noConversion"/>
  </si>
  <si>
    <t>대양전기공업</t>
    <phoneticPr fontId="1" type="noConversion"/>
  </si>
  <si>
    <t>LG디스플레이 및 OLED 업황</t>
    <phoneticPr fontId="1" type="noConversion"/>
  </si>
  <si>
    <t>이녹스첨단소재</t>
    <phoneticPr fontId="1" type="noConversion"/>
  </si>
  <si>
    <t>에스티팜</t>
    <phoneticPr fontId="1" type="noConversion"/>
  </si>
  <si>
    <t>금액(달러)/중량</t>
    <phoneticPr fontId="1" type="noConversion"/>
  </si>
  <si>
    <t>비에이치</t>
    <phoneticPr fontId="1" type="noConversion"/>
  </si>
  <si>
    <t xml:space="preserve"> 비엠티, 하이록코리아, 성광벤드</t>
    <phoneticPr fontId="1" type="noConversion"/>
  </si>
  <si>
    <t xml:space="preserve"> 비엠티</t>
    <phoneticPr fontId="1" type="noConversion"/>
  </si>
  <si>
    <t>금액(달러)/중량</t>
    <phoneticPr fontId="1" type="noConversion"/>
  </si>
  <si>
    <t>lg에너지솔루션, 삼성SDI</t>
    <phoneticPr fontId="1" type="noConversion"/>
  </si>
  <si>
    <t>제룡전기</t>
    <phoneticPr fontId="1" type="noConversion"/>
  </si>
  <si>
    <t>에스앤에스텍</t>
    <phoneticPr fontId="1" type="noConversion"/>
  </si>
  <si>
    <t>금액(달러)/중량</t>
    <phoneticPr fontId="1" type="noConversion"/>
  </si>
  <si>
    <t>pi첨단소재</t>
    <phoneticPr fontId="1" type="noConversion"/>
  </si>
  <si>
    <t>2022년08월</t>
    <phoneticPr fontId="1" type="noConversion"/>
  </si>
  <si>
    <t>대한광통신</t>
    <phoneticPr fontId="1" type="noConversion"/>
  </si>
  <si>
    <t>금액(달러)/중량</t>
    <phoneticPr fontId="1" type="noConversion"/>
  </si>
  <si>
    <t>오스템임플란트</t>
    <phoneticPr fontId="1" type="noConversion"/>
  </si>
  <si>
    <t>한화솔루션, 현대에너지솔루션, 에스에너지</t>
    <phoneticPr fontId="1" type="noConversion"/>
  </si>
  <si>
    <t>2022년09월</t>
    <phoneticPr fontId="1" type="noConversion"/>
  </si>
  <si>
    <t>분기 달러매출</t>
    <phoneticPr fontId="1" type="noConversion"/>
  </si>
  <si>
    <t>분기 달러매출</t>
    <phoneticPr fontId="1" type="noConversion"/>
  </si>
  <si>
    <t>원화매출</t>
    <phoneticPr fontId="1" type="noConversion"/>
  </si>
  <si>
    <t>원화매출</t>
    <phoneticPr fontId="1" type="noConversion"/>
  </si>
  <si>
    <t>삼아알미늄 등</t>
    <phoneticPr fontId="1" type="noConversion"/>
  </si>
  <si>
    <t>코텍, 토비스</t>
    <phoneticPr fontId="1" type="noConversion"/>
  </si>
  <si>
    <t>일평균수출데이터 샘플</t>
    <phoneticPr fontId="1" type="noConversion"/>
  </si>
  <si>
    <t>변압기 100킬로볼트암페어 이하</t>
    <phoneticPr fontId="1" type="noConversion"/>
  </si>
  <si>
    <t>제룡전기</t>
    <phoneticPr fontId="1" type="noConversion"/>
  </si>
  <si>
    <t>용량이 10,000킬로볼트 초과 하는 것</t>
    <phoneticPr fontId="1" type="noConversion"/>
  </si>
  <si>
    <t>현대일렉트릭</t>
    <phoneticPr fontId="1" type="noConversion"/>
  </si>
  <si>
    <t>일평균수출</t>
    <phoneticPr fontId="1" type="noConversion"/>
  </si>
  <si>
    <t>일평균수출</t>
    <phoneticPr fontId="1" type="noConversion"/>
  </si>
  <si>
    <t>tym, 대동</t>
    <phoneticPr fontId="1" type="noConversion"/>
  </si>
  <si>
    <t>현대건설기계, 현대두산인프라코어</t>
    <phoneticPr fontId="1" type="noConversion"/>
  </si>
  <si>
    <t>디와이파워</t>
    <phoneticPr fontId="1" type="noConversion"/>
  </si>
  <si>
    <t>진성티이씨</t>
    <phoneticPr fontId="1" type="noConversion"/>
  </si>
  <si>
    <t>효성티앤씨</t>
    <phoneticPr fontId="1" type="noConversion"/>
  </si>
  <si>
    <t>8431.49-9000</t>
    <phoneticPr fontId="1" type="noConversion"/>
  </si>
  <si>
    <t>국도화학</t>
    <phoneticPr fontId="1" type="noConversion"/>
  </si>
  <si>
    <t>분기(일평균)</t>
    <phoneticPr fontId="1" type="noConversion"/>
  </si>
  <si>
    <t>이노와이어리스</t>
    <phoneticPr fontId="1" type="noConversion"/>
  </si>
  <si>
    <t>기지국 부분품</t>
    <phoneticPr fontId="1" type="noConversion"/>
  </si>
  <si>
    <t>케어젠 등</t>
    <phoneticPr fontId="1" type="noConversion"/>
  </si>
  <si>
    <t>2023년01월</t>
    <phoneticPr fontId="1" type="noConversion"/>
  </si>
  <si>
    <t>2023년01월</t>
    <phoneticPr fontId="1" type="noConversion"/>
  </si>
  <si>
    <t>2023년01월</t>
    <phoneticPr fontId="1" type="noConversion"/>
  </si>
  <si>
    <t>yoy</t>
    <phoneticPr fontId="1" type="noConversion"/>
  </si>
  <si>
    <t>QoQ</t>
    <phoneticPr fontId="1" type="noConversion"/>
  </si>
  <si>
    <t>mom</t>
    <phoneticPr fontId="1" type="noConversion"/>
  </si>
  <si>
    <t>9021290000 + 서울 금천구</t>
    <phoneticPr fontId="1" type="noConversion"/>
  </si>
  <si>
    <t>피에스케이 등</t>
    <phoneticPr fontId="1" type="noConversion"/>
  </si>
  <si>
    <t>한국타이어 등</t>
    <phoneticPr fontId="1" type="noConversion"/>
  </si>
  <si>
    <t>변압기 100킬로~650</t>
    <phoneticPr fontId="1" type="noConversion"/>
  </si>
  <si>
    <t>효성첨단소재</t>
    <phoneticPr fontId="1" type="noConversion"/>
  </si>
  <si>
    <t>2022년09월</t>
  </si>
  <si>
    <t>2022년10월</t>
  </si>
  <si>
    <t>2022년11월</t>
  </si>
  <si>
    <t>2022년12월</t>
  </si>
  <si>
    <t>2023년01월</t>
  </si>
  <si>
    <t>폴리에스테르로만든것</t>
    <phoneticPr fontId="1" type="noConversion"/>
  </si>
  <si>
    <t>9018501010/9018501090</t>
    <phoneticPr fontId="1" type="noConversion"/>
  </si>
  <si>
    <t>수산화리튬 수입</t>
    <phoneticPr fontId="1" type="noConversion"/>
  </si>
  <si>
    <t>탄산리튬 수입</t>
    <phoneticPr fontId="1" type="noConversion"/>
  </si>
  <si>
    <t>일평균수입</t>
    <phoneticPr fontId="1" type="noConversion"/>
  </si>
  <si>
    <t>2023년02월</t>
  </si>
  <si>
    <t>2023년02월</t>
    <phoneticPr fontId="1" type="noConversion"/>
  </si>
  <si>
    <t>https://dream.kotra.or.kr/kotranews/cms/news/actionKotraBoardDetail.do?SITE_NO=3&amp;MENU_ID=90&amp;CONTENTS_NO=1&amp;bbsGbn=244&amp;bbsSn=244&amp;pNttSn=174251</t>
  </si>
  <si>
    <t>2023년 1월</t>
    <phoneticPr fontId="1" type="noConversion"/>
  </si>
  <si>
    <t>산화방지조제품</t>
    <phoneticPr fontId="1" type="noConversion"/>
  </si>
  <si>
    <t>송원산업</t>
    <phoneticPr fontId="1" type="noConversion"/>
  </si>
  <si>
    <t>2023년02월</t>
    <phoneticPr fontId="1" type="noConversion"/>
  </si>
  <si>
    <t>2023년02월</t>
    <phoneticPr fontId="1" type="noConversion"/>
  </si>
  <si>
    <t>2023년03월</t>
    <phoneticPr fontId="1" type="noConversion"/>
  </si>
  <si>
    <t>2023년03월</t>
    <phoneticPr fontId="1" type="noConversion"/>
  </si>
  <si>
    <t>2023년02월</t>
    <phoneticPr fontId="1" type="noConversion"/>
  </si>
  <si>
    <t>한솔케미칼, 금호석유</t>
    <phoneticPr fontId="1" type="noConversion"/>
  </si>
  <si>
    <t>일평균수출중량</t>
    <phoneticPr fontId="1" type="noConversion"/>
  </si>
  <si>
    <t>2023년 2월</t>
    <phoneticPr fontId="1" type="noConversion"/>
  </si>
  <si>
    <t>전구체</t>
    <phoneticPr fontId="1" type="noConversion"/>
  </si>
  <si>
    <t>일평균수입</t>
    <phoneticPr fontId="1" type="noConversion"/>
  </si>
  <si>
    <t>인텔리안테크</t>
    <phoneticPr fontId="1" type="noConversion"/>
  </si>
  <si>
    <t>이동체용위성방송수신안테나</t>
  </si>
  <si>
    <t>이동체용위성통신송수신안테나시스템</t>
  </si>
  <si>
    <t>실리콘음극재</t>
    <phoneticPr fontId="1" type="noConversion"/>
  </si>
  <si>
    <t>cnt분말</t>
    <phoneticPr fontId="1" type="noConversion"/>
  </si>
  <si>
    <t>탈철기(대보마그네틱)</t>
    <phoneticPr fontId="1" type="noConversion"/>
  </si>
  <si>
    <t>lg이노텍</t>
    <phoneticPr fontId="1" type="noConversion"/>
  </si>
  <si>
    <t>일평균수출</t>
    <phoneticPr fontId="1" type="noConversion"/>
  </si>
  <si>
    <t>셀트리온, 삼성바이오로직스</t>
    <phoneticPr fontId="1" type="noConversion"/>
  </si>
  <si>
    <t>2023년04월</t>
    <phoneticPr fontId="1" type="noConversion"/>
  </si>
  <si>
    <t>2023년04월</t>
    <phoneticPr fontId="1" type="noConversion"/>
  </si>
  <si>
    <t>일평균 수입중량</t>
    <phoneticPr fontId="1" type="noConversion"/>
  </si>
  <si>
    <t>리노공업</t>
    <phoneticPr fontId="1" type="noConversion"/>
  </si>
  <si>
    <t>바텍, 레이</t>
    <phoneticPr fontId="1" type="noConversion"/>
  </si>
  <si>
    <t>화천기공</t>
    <phoneticPr fontId="1" type="noConversion"/>
  </si>
  <si>
    <t>2023년 3월</t>
    <phoneticPr fontId="1" type="noConversion"/>
  </si>
  <si>
    <t>9021290000 + 서울시 강서구</t>
    <phoneticPr fontId="1" type="noConversion"/>
  </si>
  <si>
    <t>아이센스</t>
    <phoneticPr fontId="1" type="noConversion"/>
  </si>
  <si>
    <t>진시스템</t>
    <phoneticPr fontId="1" type="noConversion"/>
  </si>
  <si>
    <t>2023년05월</t>
    <phoneticPr fontId="1" type="noConversion"/>
  </si>
  <si>
    <t>2023년05월</t>
    <phoneticPr fontId="1" type="noConversion"/>
  </si>
  <si>
    <t>마스크팩</t>
    <phoneticPr fontId="1" type="noConversion"/>
  </si>
  <si>
    <t>화장품 튜브(펌텍코리아)</t>
    <phoneticPr fontId="1" type="noConversion"/>
  </si>
  <si>
    <t>2023년 4월</t>
    <phoneticPr fontId="1" type="noConversion"/>
  </si>
  <si>
    <t>휴대용 자동자료 처리기계 10키로 미만</t>
    <phoneticPr fontId="1" type="noConversion"/>
  </si>
  <si>
    <t>유선무선통신기기용</t>
    <phoneticPr fontId="1" type="noConversion"/>
  </si>
  <si>
    <t>OLED패널</t>
    <phoneticPr fontId="1" type="noConversion"/>
  </si>
  <si>
    <t>TV</t>
    <phoneticPr fontId="1" type="noConversion"/>
  </si>
  <si>
    <t>OLED패널 및 스마트폰 부품</t>
    <phoneticPr fontId="1" type="noConversion"/>
  </si>
  <si>
    <t>엘지이노텍, 자화전자</t>
    <phoneticPr fontId="1" type="noConversion"/>
  </si>
  <si>
    <t>내수비중이 크므로 판가만 보자</t>
    <phoneticPr fontId="1" type="noConversion"/>
  </si>
  <si>
    <t>8419110000, 8403103000</t>
    <phoneticPr fontId="1" type="noConversion"/>
  </si>
  <si>
    <t>하이비젼시스템</t>
    <phoneticPr fontId="1" type="noConversion"/>
  </si>
  <si>
    <t>2023년06월</t>
    <phoneticPr fontId="1" type="noConversion"/>
  </si>
  <si>
    <t>2023년06월</t>
    <phoneticPr fontId="1" type="noConversion"/>
  </si>
  <si>
    <t>루트로닉(레이저장비)</t>
    <phoneticPr fontId="1" type="noConversion"/>
  </si>
  <si>
    <t>클래시스</t>
    <phoneticPr fontId="1" type="noConversion"/>
  </si>
  <si>
    <t>hifu 기기</t>
    <phoneticPr fontId="1" type="noConversion"/>
  </si>
  <si>
    <t>아모그린텍</t>
    <phoneticPr fontId="1" type="noConversion"/>
  </si>
  <si>
    <t xml:space="preserve">빅솔론 </t>
    <phoneticPr fontId="1" type="noConversion"/>
  </si>
  <si>
    <t>jw생명과학</t>
    <phoneticPr fontId="1" type="noConversion"/>
  </si>
  <si>
    <t>원익큐엔씨(수출)</t>
    <phoneticPr fontId="1" type="noConversion"/>
  </si>
  <si>
    <t>화장품 미백(리쥬란도 포함)</t>
    <phoneticPr fontId="1" type="noConversion"/>
  </si>
  <si>
    <t>엘앤케이바이오</t>
    <phoneticPr fontId="1" type="noConversion"/>
  </si>
  <si>
    <t>효성첨단소재</t>
    <phoneticPr fontId="1" type="noConversion"/>
  </si>
  <si>
    <t>효성첨단소재, 코오롱인더, 태광산업</t>
    <phoneticPr fontId="1" type="noConversion"/>
  </si>
  <si>
    <t>효성첨단소재, 코오롱인더</t>
    <phoneticPr fontId="1" type="noConversion"/>
  </si>
  <si>
    <t>이녹스첨단소재는 OLED 봉지재 말고도 사업 있음</t>
    <phoneticPr fontId="1" type="noConversion"/>
  </si>
  <si>
    <t>씨에스베어링(국내 공장없음 신라정밀로 크로스 체크)</t>
    <phoneticPr fontId="1" type="noConversion"/>
  </si>
  <si>
    <t>대웅제약, 메디톡스</t>
    <phoneticPr fontId="1" type="noConversion"/>
  </si>
  <si>
    <t>수주잔고 같이 봐야함</t>
    <phoneticPr fontId="1" type="noConversion"/>
  </si>
  <si>
    <t xml:space="preserve">티에스이, 샘씨엔에스 </t>
    <phoneticPr fontId="1" type="noConversion"/>
  </si>
  <si>
    <t>와이엠텍</t>
    <phoneticPr fontId="1" type="noConversion"/>
  </si>
  <si>
    <t>한스바이오메드</t>
    <phoneticPr fontId="1" type="noConversion"/>
  </si>
  <si>
    <t>Kci</t>
    <phoneticPr fontId="1" type="noConversion"/>
  </si>
  <si>
    <t>오스테오닉</t>
    <phoneticPr fontId="1" type="noConversion"/>
  </si>
  <si>
    <t>의료용기기</t>
    <phoneticPr fontId="1" type="noConversion"/>
  </si>
  <si>
    <t>CMF 시스템</t>
    <phoneticPr fontId="1" type="noConversion"/>
  </si>
  <si>
    <t>샘씨엔에스</t>
    <phoneticPr fontId="1" type="noConversion"/>
  </si>
  <si>
    <t>오로스테크놀로지</t>
    <phoneticPr fontId="1" type="noConversion"/>
  </si>
  <si>
    <t>반도체오버레이계측장비</t>
    <phoneticPr fontId="1" type="noConversion"/>
  </si>
  <si>
    <t>공업용다이아몬드</t>
    <phoneticPr fontId="1" type="noConversion"/>
  </si>
  <si>
    <t>일진다이아</t>
    <phoneticPr fontId="1" type="noConversion"/>
  </si>
  <si>
    <t>루닛</t>
    <phoneticPr fontId="1" type="noConversion"/>
  </si>
  <si>
    <t>기타 컴퓨터 주변기기</t>
    <phoneticPr fontId="1" type="noConversion"/>
  </si>
  <si>
    <t>충전재 치과용</t>
    <phoneticPr fontId="1" type="noConversion"/>
  </si>
  <si>
    <t>메타바이오메드</t>
    <phoneticPr fontId="1" type="noConversion"/>
  </si>
  <si>
    <t>2023년07월</t>
    <phoneticPr fontId="1" type="noConversion"/>
  </si>
  <si>
    <t>2023년07월</t>
    <phoneticPr fontId="1" type="noConversion"/>
  </si>
  <si>
    <t>2023년07월</t>
    <phoneticPr fontId="1" type="noConversion"/>
  </si>
  <si>
    <t>봉합재</t>
    <phoneticPr fontId="1" type="noConversion"/>
  </si>
  <si>
    <t>한솔케미칼, oci</t>
    <phoneticPr fontId="1" type="noConversion"/>
  </si>
  <si>
    <t>oci 홀딩스</t>
    <phoneticPr fontId="1" type="noConversion"/>
  </si>
  <si>
    <t>OCI</t>
    <phoneticPr fontId="1" type="noConversion"/>
  </si>
  <si>
    <t>수입판가</t>
    <phoneticPr fontId="1" type="noConversion"/>
  </si>
  <si>
    <t>테크윙</t>
    <phoneticPr fontId="1" type="noConversion"/>
  </si>
  <si>
    <t>넥스틴, 인텍플러스</t>
    <phoneticPr fontId="1" type="noConversion"/>
  </si>
  <si>
    <t>2023년03월</t>
  </si>
  <si>
    <t>2023년04월</t>
  </si>
  <si>
    <t>2023년05월</t>
  </si>
  <si>
    <t>2023년06월</t>
  </si>
  <si>
    <t>2023년07월</t>
  </si>
  <si>
    <t>2023년08월</t>
    <phoneticPr fontId="1" type="noConversion"/>
  </si>
  <si>
    <t>2023년08월</t>
    <phoneticPr fontId="1" type="noConversion"/>
  </si>
  <si>
    <t>2023년08월</t>
    <phoneticPr fontId="1" type="noConversion"/>
  </si>
  <si>
    <t>우양</t>
    <phoneticPr fontId="1" type="noConversion"/>
  </si>
  <si>
    <t>핫도그등</t>
    <phoneticPr fontId="1" type="noConversion"/>
  </si>
  <si>
    <t>노바렉스, 에이치피오, 서흥 등</t>
    <phoneticPr fontId="1" type="noConversion"/>
  </si>
  <si>
    <t>뷰웍스, 디알텍</t>
    <phoneticPr fontId="1" type="noConversion"/>
  </si>
  <si>
    <t>cvd 포커스링</t>
    <phoneticPr fontId="1" type="noConversion"/>
  </si>
  <si>
    <t>도포 현장 증착 식각용</t>
    <phoneticPr fontId="1" type="noConversion"/>
  </si>
  <si>
    <t>티씨케이, 하나머티리얼즈, 케이엔제이, 월덱스 등</t>
    <phoneticPr fontId="1" type="noConversion"/>
  </si>
  <si>
    <t>고영, 펨트론</t>
    <phoneticPr fontId="1" type="noConversion"/>
  </si>
  <si>
    <t>실리콘파츠</t>
    <phoneticPr fontId="1" type="noConversion"/>
  </si>
  <si>
    <t>전선기타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</si>
  <si>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</si>
  <si>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</si>
  <si>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</si>
  <si>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</si>
  <si>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</si>
  <si>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</si>
  <si>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</si>
  <si>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</si>
  <si>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</si>
  <si>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</si>
  <si>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</si>
  <si>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</si>
  <si>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</si>
  <si>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</si>
  <si>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</si>
  <si>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</si>
  <si>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</si>
  <si>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</si>
  <si>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</si>
  <si>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</si>
  <si>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</si>
  <si>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</si>
  <si>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</si>
  <si>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</si>
  <si>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</si>
  <si>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</si>
  <si>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</si>
  <si>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</si>
  <si>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</si>
  <si>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</si>
  <si>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</si>
  <si>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제룡전기, 일진전기</t>
    <phoneticPr fontId="1" type="noConversion"/>
  </si>
  <si>
    <t>ls일렉트릭</t>
    <phoneticPr fontId="1" type="noConversion"/>
  </si>
  <si>
    <t>PLC</t>
    <phoneticPr fontId="1" type="noConversion"/>
  </si>
  <si>
    <t>배전반</t>
    <phoneticPr fontId="1" type="noConversion"/>
  </si>
  <si>
    <t>Variable Frequency Drive</t>
    <phoneticPr fontId="1" type="noConversion"/>
  </si>
  <si>
    <t>Human Machine Interface</t>
  </si>
  <si>
    <t>kt&amp;g</t>
    <phoneticPr fontId="1" type="noConversion"/>
  </si>
  <si>
    <t xml:space="preserve"> cj제일제당</t>
    <phoneticPr fontId="1" type="noConversion"/>
  </si>
  <si>
    <t>화장품 메이크업용</t>
    <phoneticPr fontId="1" type="noConversion"/>
  </si>
  <si>
    <t>화장품 기타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</si>
  <si>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</si>
  <si>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</si>
  <si>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</si>
  <si>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</si>
  <si>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</si>
  <si>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</si>
  <si>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</si>
  <si>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</si>
  <si>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</si>
  <si>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</si>
  <si>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</si>
  <si>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</si>
  <si>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</si>
  <si>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</si>
  <si>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</si>
  <si>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</si>
  <si>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</si>
  <si>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</si>
  <si>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</si>
  <si>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</si>
  <si>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</si>
  <si>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</si>
  <si>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</si>
  <si>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</si>
  <si>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</si>
  <si>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</si>
  <si>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</si>
  <si>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</si>
  <si>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</si>
  <si>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</si>
  <si>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</si>
  <si>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</si>
  <si>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</si>
  <si>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</si>
  <si>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</si>
  <si>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</si>
  <si>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</si>
  <si>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</si>
  <si>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</si>
  <si>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</si>
  <si>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</si>
  <si>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</si>
  <si>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</si>
  <si>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</si>
  <si>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</si>
  <si>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</si>
  <si>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</si>
  <si>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</si>
  <si>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</si>
  <si>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</si>
  <si>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</si>
  <si>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</si>
  <si>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</si>
  <si>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</si>
  <si>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2023년10월</t>
    <phoneticPr fontId="1" type="noConversion"/>
  </si>
  <si>
    <t>2023년10월</t>
    <phoneticPr fontId="1" type="noConversion"/>
  </si>
  <si>
    <t>TCC스틸</t>
    <phoneticPr fontId="1" type="noConversion"/>
  </si>
  <si>
    <t>바디텍메드 등</t>
    <phoneticPr fontId="1" type="noConversion"/>
  </si>
  <si>
    <t>백산</t>
    <phoneticPr fontId="1" type="noConversion"/>
  </si>
  <si>
    <t>한국항공우주</t>
    <phoneticPr fontId="1" type="noConversion"/>
  </si>
  <si>
    <t>비행기의 부품</t>
    <phoneticPr fontId="1" type="noConversion"/>
  </si>
  <si>
    <t>오스테오닉 트라우마</t>
    <phoneticPr fontId="1" type="noConversion"/>
  </si>
  <si>
    <t>2022년06월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</si>
  <si>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</si>
  <si>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</si>
  <si>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</si>
  <si>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</si>
  <si>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</si>
  <si>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</si>
  <si>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</si>
  <si>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</si>
  <si>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</si>
  <si>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</si>
  <si>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</si>
  <si>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</si>
  <si>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</si>
  <si>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</si>
  <si>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</si>
  <si>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</si>
  <si>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</si>
  <si>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</si>
  <si>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</si>
  <si>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</si>
  <si>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</si>
  <si>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</si>
  <si>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</si>
  <si>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</si>
  <si>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</si>
  <si>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</si>
  <si>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</si>
  <si>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</si>
  <si>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</si>
  <si>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</si>
  <si>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</si>
  <si>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</si>
  <si>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분기(평균)</t>
    <phoneticPr fontId="1" type="noConversion"/>
  </si>
  <si>
    <t>한솔케미칼, 디엔에프, 솔브레인</t>
    <phoneticPr fontId="1" type="noConversion"/>
  </si>
  <si>
    <t>고압수소 HPSP</t>
    <phoneticPr fontId="1" type="noConversion"/>
  </si>
  <si>
    <t>메디트, 휴비츠?</t>
    <phoneticPr fontId="1" type="noConversion"/>
  </si>
  <si>
    <t>9018.49-8000</t>
  </si>
  <si>
    <t>무연 솔더볼</t>
    <phoneticPr fontId="1" type="noConversion"/>
  </si>
  <si>
    <t>에스에프티, 에스앤에스텍</t>
    <phoneticPr fontId="1" type="noConversion"/>
  </si>
  <si>
    <t>반도체제조용장비부품</t>
    <phoneticPr fontId="1" type="noConversion"/>
  </si>
  <si>
    <t>태웅</t>
    <phoneticPr fontId="1" type="noConversion"/>
  </si>
  <si>
    <t>풍력발전용타워플랜지</t>
    <phoneticPr fontId="1" type="noConversion"/>
  </si>
  <si>
    <t>테스</t>
    <phoneticPr fontId="1" type="noConversion"/>
  </si>
  <si>
    <t>주성엔지니어링, 유진테크, 원익ips, 테스</t>
    <phoneticPr fontId="1" type="noConversion"/>
  </si>
  <si>
    <t>케이씨텍</t>
    <phoneticPr fontId="1" type="noConversion"/>
  </si>
  <si>
    <t>시스템반도체(이미지센서, 모바일 a p, ddi 등)</t>
    <phoneticPr fontId="1" type="noConversion"/>
  </si>
  <si>
    <t>QOQ</t>
    <phoneticPr fontId="1" type="noConversion"/>
  </si>
  <si>
    <t>YOY</t>
    <phoneticPr fontId="1" type="noConversion"/>
  </si>
  <si>
    <t>판가</t>
    <phoneticPr fontId="1" type="noConversion"/>
  </si>
  <si>
    <t>판가</t>
    <phoneticPr fontId="1" type="noConversion"/>
  </si>
  <si>
    <t>2922.41-1000 / 2922.41-3000</t>
    <phoneticPr fontId="1" type="noConversion"/>
  </si>
  <si>
    <t>2922.50-9000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</si>
  <si>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</si>
  <si>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</si>
  <si>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</si>
  <si>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</si>
  <si>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</si>
  <si>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</si>
  <si>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</si>
  <si>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</si>
  <si>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</si>
  <si>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</si>
  <si>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</si>
  <si>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</si>
  <si>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</si>
  <si>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</si>
  <si>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</si>
  <si>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</si>
  <si>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</si>
  <si>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</si>
  <si>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</si>
  <si>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</si>
  <si>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</si>
  <si>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</si>
  <si>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</si>
  <si>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</si>
  <si>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</si>
  <si>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</si>
  <si>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</si>
  <si>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</si>
  <si>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</si>
  <si>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</si>
  <si>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</si>
  <si>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</si>
  <si>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</si>
  <si>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</si>
  <si>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</si>
  <si>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제우스 등</t>
    <phoneticPr fontId="1" type="noConversion"/>
  </si>
  <si>
    <t>반도체웨이퍼를 습식 식각 세척 등</t>
    <phoneticPr fontId="1" type="noConversion"/>
  </si>
  <si>
    <t>반도체웨이퍼를 스트리핑하거나 세척하는 기기</t>
    <phoneticPr fontId="1" type="noConversion"/>
  </si>
  <si>
    <t>반도체 웨이퍼가공용의 연마기ᆞ광택기(래핑기를 포함한다)</t>
    <phoneticPr fontId="1" type="noConversion"/>
  </si>
  <si>
    <t>반도체재료의 건식식각 패턴용의 것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</si>
  <si>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</si>
  <si>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</si>
  <si>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</si>
  <si>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</si>
  <si>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</si>
  <si>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</si>
  <si>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분리막(pe)</t>
    <phoneticPr fontId="1" type="noConversion"/>
  </si>
  <si>
    <t>분리막(pp등)</t>
    <phoneticPr fontId="1" type="noConversion"/>
  </si>
  <si>
    <t>oled유기재료 수입</t>
    <phoneticPr fontId="1" type="noConversion"/>
  </si>
  <si>
    <t>QoQ</t>
  </si>
  <si>
    <t>YoY</t>
  </si>
  <si>
    <t>신규 3002.49.1000, 3002.90.9000</t>
    <phoneticPr fontId="1" type="noConversion"/>
  </si>
  <si>
    <t>한양디지텍</t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</si>
  <si>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</si>
  <si>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</si>
  <si>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</si>
  <si>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</si>
  <si>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</si>
  <si>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</si>
  <si>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</si>
  <si>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</si>
  <si>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</si>
  <si>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</si>
  <si>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</si>
  <si>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</si>
  <si>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</si>
  <si>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</si>
  <si>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</si>
  <si>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</si>
  <si>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</si>
  <si>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</si>
  <si>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</si>
  <si>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</si>
  <si>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</si>
  <si>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</si>
  <si>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</si>
  <si>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</si>
  <si>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</si>
  <si>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</si>
  <si>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</si>
  <si>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</si>
  <si>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</si>
  <si>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</si>
  <si>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</si>
  <si>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</si>
  <si>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미국</t>
    <phoneticPr fontId="1" type="noConversion"/>
  </si>
  <si>
    <t>일본</t>
    <phoneticPr fontId="1" type="noConversion"/>
  </si>
  <si>
    <t>중국향</t>
    <phoneticPr fontId="1" type="noConversion"/>
  </si>
  <si>
    <t>큐렉소</t>
    <phoneticPr fontId="1" type="noConversion"/>
  </si>
  <si>
    <t>큐비스</t>
    <phoneticPr fontId="1" type="noConversion"/>
  </si>
  <si>
    <t>중국</t>
    <phoneticPr fontId="1" type="noConversion"/>
  </si>
  <si>
    <t>중국</t>
    <phoneticPr fontId="1" type="noConversion"/>
  </si>
  <si>
    <t>피에스케이홀딩스, 에스티아이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</si>
  <si>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</si>
  <si>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</si>
  <si>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</si>
  <si>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</si>
  <si>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</si>
  <si>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</si>
  <si>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</si>
  <si>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</si>
  <si>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</si>
  <si>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</si>
  <si>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</si>
  <si>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</si>
  <si>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</si>
  <si>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</si>
  <si>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</si>
  <si>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</si>
  <si>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</si>
  <si>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</si>
  <si>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</si>
  <si>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</si>
  <si>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</si>
  <si>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</si>
  <si>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</si>
  <si>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</si>
  <si>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</si>
  <si>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</si>
  <si>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</si>
  <si>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</si>
  <si>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</si>
  <si>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</si>
  <si>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</si>
  <si>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</si>
  <si>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</si>
  <si>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</si>
  <si>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</si>
  <si>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</si>
  <si>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미국</t>
    <phoneticPr fontId="1" type="noConversion"/>
  </si>
  <si>
    <t>에이피알</t>
    <phoneticPr fontId="1" type="noConversion"/>
  </si>
  <si>
    <t>한화에어로스페이스 등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</si>
  <si>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</si>
  <si>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</si>
  <si>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</si>
  <si>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</si>
  <si>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</si>
  <si>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</si>
  <si>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</si>
  <si>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</si>
  <si>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</si>
  <si>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</si>
  <si>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</si>
  <si>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</si>
  <si>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</si>
  <si>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</si>
  <si>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</si>
  <si>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</si>
  <si>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</si>
  <si>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</si>
  <si>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</si>
  <si>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</si>
  <si>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</si>
  <si>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</si>
  <si>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</si>
  <si>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</si>
  <si>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</si>
  <si>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</si>
  <si>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</si>
  <si>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</si>
  <si>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</si>
  <si>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</si>
  <si>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</si>
  <si>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</si>
  <si>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ls일렉트릭, HD현대일렉트릭</t>
    <phoneticPr fontId="1" type="noConversion"/>
  </si>
  <si>
    <t>7304~6</t>
    <phoneticPr fontId="1" type="noConversion"/>
  </si>
  <si>
    <t>자동차</t>
    <phoneticPr fontId="1" type="noConversion"/>
  </si>
  <si>
    <t>분기(평균)</t>
    <phoneticPr fontId="1" type="noConversion"/>
  </si>
  <si>
    <t>QoQ</t>
    <phoneticPr fontId="1" type="noConversion"/>
  </si>
  <si>
    <t>YoY</t>
    <phoneticPr fontId="1" type="noConversion"/>
  </si>
  <si>
    <t>일평균수출</t>
    <phoneticPr fontId="1" type="noConversion"/>
  </si>
  <si>
    <t>MoM</t>
    <phoneticPr fontId="1" type="noConversion"/>
  </si>
  <si>
    <t>원화매출</t>
    <phoneticPr fontId="1" type="noConversion"/>
  </si>
  <si>
    <t>판가</t>
    <phoneticPr fontId="1" type="noConversion"/>
  </si>
  <si>
    <t>2023년03월</t>
    <phoneticPr fontId="1" type="noConversion"/>
  </si>
  <si>
    <t>2023년04월</t>
    <phoneticPr fontId="1" type="noConversion"/>
  </si>
  <si>
    <t>2023년05월</t>
    <phoneticPr fontId="1" type="noConversion"/>
  </si>
  <si>
    <t>2023년07월</t>
    <phoneticPr fontId="1" type="noConversion"/>
  </si>
  <si>
    <t>2023년09월</t>
    <phoneticPr fontId="1" type="noConversion"/>
  </si>
  <si>
    <t>2023년10월</t>
    <phoneticPr fontId="1" type="noConversion"/>
  </si>
  <si>
    <t>2023년11월</t>
    <phoneticPr fontId="1" type="noConversion"/>
  </si>
  <si>
    <t>2023년12월</t>
    <phoneticPr fontId="1" type="noConversion"/>
  </si>
  <si>
    <t>2024년01월</t>
    <phoneticPr fontId="1" type="noConversion"/>
  </si>
  <si>
    <t>2024년02월</t>
    <phoneticPr fontId="1" type="noConversion"/>
  </si>
  <si>
    <t>2024년03월</t>
    <phoneticPr fontId="1" type="noConversion"/>
  </si>
  <si>
    <t>현대건설기계, 현대두산인프라코어, 두산밥캣</t>
    <phoneticPr fontId="1" type="noConversion"/>
  </si>
  <si>
    <t>미국</t>
    <phoneticPr fontId="1" type="noConversion"/>
  </si>
  <si>
    <t>미국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</si>
  <si>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</si>
  <si>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</si>
  <si>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</si>
  <si>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</si>
  <si>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</si>
  <si>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</si>
  <si>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</si>
  <si>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</si>
  <si>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</si>
  <si>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</si>
  <si>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</si>
  <si>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</si>
  <si>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</si>
  <si>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</si>
  <si>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</si>
  <si>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</si>
  <si>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</si>
  <si>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</si>
  <si>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</si>
  <si>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</si>
  <si>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</si>
  <si>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</si>
  <si>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</si>
  <si>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</si>
  <si>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</si>
  <si>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</si>
  <si>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</si>
  <si>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</si>
  <si>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</si>
  <si>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</si>
  <si>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</si>
  <si>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</si>
  <si>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</si>
  <si>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</si>
  <si>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</si>
  <si>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ISC, 티에스이, 리노공업</t>
    <phoneticPr fontId="1" type="noConversion"/>
  </si>
  <si>
    <t>전선 + 미국</t>
    <phoneticPr fontId="1" type="noConversion"/>
  </si>
  <si>
    <t>8537+미국</t>
    <phoneticPr fontId="1" type="noConversion"/>
  </si>
  <si>
    <t>디스컴 장비</t>
    <phoneticPr fontId="1" type="noConversion"/>
  </si>
  <si>
    <t>변압기</t>
    <phoneticPr fontId="1" type="noConversion"/>
  </si>
  <si>
    <t>8504+미국</t>
    <phoneticPr fontId="1" type="noConversion"/>
  </si>
  <si>
    <t>전기회로</t>
    <phoneticPr fontId="1" type="noConversion"/>
  </si>
  <si>
    <t>전기회로 + 미국</t>
    <phoneticPr fontId="1" type="noConversion"/>
  </si>
  <si>
    <t>하이닉스 에폭시몰딩컴파운드 수입 일본</t>
    <phoneticPr fontId="1" type="noConversion"/>
  </si>
  <si>
    <t>삼성전자 NCF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</si>
  <si>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</si>
  <si>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</si>
  <si>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</si>
  <si>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</si>
  <si>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</si>
  <si>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</si>
  <si>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</si>
  <si>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</si>
  <si>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</si>
  <si>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</si>
  <si>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</si>
  <si>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</si>
  <si>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</si>
  <si>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</si>
  <si>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</si>
  <si>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</si>
  <si>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</si>
  <si>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</si>
  <si>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</si>
  <si>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</si>
  <si>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</si>
  <si>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</si>
  <si>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</si>
  <si>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</si>
  <si>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</si>
  <si>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</si>
  <si>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</si>
  <si>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</si>
  <si>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</si>
  <si>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</si>
  <si>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</si>
  <si>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</si>
  <si>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</si>
  <si>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</si>
  <si>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</si>
  <si>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</si>
  <si>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</si>
  <si>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</si>
  <si>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t>빙그레</t>
    <phoneticPr fontId="1" type="noConversion"/>
  </si>
  <si>
    <t>CJ 씨푸드</t>
    <phoneticPr fontId="1" type="noConversion"/>
  </si>
  <si>
    <t>삼성전자, 삼성전기</t>
    <phoneticPr fontId="1" type="noConversion"/>
  </si>
  <si>
    <t>제이오, 나노신소재</t>
    <phoneticPr fontId="1" type="noConversion"/>
  </si>
  <si>
    <t>판가만 봐야함</t>
    <phoneticPr fontId="1" type="noConversion"/>
  </si>
  <si>
    <t>주요선박들</t>
    <phoneticPr fontId="1" type="noConversion"/>
  </si>
  <si>
    <t>와이씨, 디아이 등</t>
    <phoneticPr fontId="1" type="noConversion"/>
  </si>
  <si>
    <t>카본캐니스터</t>
    <phoneticPr fontId="1" type="noConversion"/>
  </si>
  <si>
    <t>2024년06월</t>
    <phoneticPr fontId="1" type="noConversion"/>
  </si>
  <si>
    <t>2024년06월</t>
    <phoneticPr fontId="1" type="noConversion"/>
  </si>
  <si>
    <t>2024년06월</t>
    <phoneticPr fontId="1" type="noConversion"/>
  </si>
  <si>
    <t>맥주</t>
    <phoneticPr fontId="1" type="noConversion"/>
  </si>
  <si>
    <t>자동차부품</t>
    <phoneticPr fontId="1" type="noConversion"/>
  </si>
  <si>
    <t>대상</t>
    <phoneticPr fontId="1" type="noConversion"/>
  </si>
  <si>
    <t>한성기업</t>
    <phoneticPr fontId="1" type="noConversion"/>
  </si>
  <si>
    <t>2024년07월</t>
    <phoneticPr fontId="1" type="noConversion"/>
  </si>
  <si>
    <t>2024년07월</t>
    <phoneticPr fontId="1" type="noConversion"/>
  </si>
  <si>
    <t>2024년07월</t>
    <phoneticPr fontId="1" type="noConversion"/>
  </si>
  <si>
    <t>녹십자</t>
    <phoneticPr fontId="1" type="noConversion"/>
  </si>
  <si>
    <t>알리글로 + 미국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</si>
  <si>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</si>
  <si>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</si>
  <si>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</si>
  <si>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</si>
  <si>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</si>
  <si>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</si>
  <si>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</si>
  <si>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</si>
  <si>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</si>
  <si>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</si>
  <si>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</si>
  <si>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</si>
  <si>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</si>
  <si>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</si>
  <si>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</si>
  <si>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</si>
  <si>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</si>
  <si>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</si>
  <si>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</si>
  <si>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</si>
  <si>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</si>
  <si>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</si>
  <si>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</si>
  <si>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</si>
  <si>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</si>
  <si>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</si>
  <si>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</si>
  <si>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</si>
  <si>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</si>
  <si>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</si>
  <si>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</si>
  <si>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</si>
  <si>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일평균수입중량</t>
    <phoneticPr fontId="1" type="noConversion"/>
  </si>
  <si>
    <t>코리아에프티 + 미국</t>
    <phoneticPr fontId="1" type="noConversion"/>
  </si>
  <si>
    <t>지혈제</t>
    <phoneticPr fontId="1" type="noConversion"/>
  </si>
  <si>
    <t>넥스트바이오메디컬</t>
    <phoneticPr fontId="1" type="noConversion"/>
  </si>
  <si>
    <t>삼화전기 업황</t>
    <phoneticPr fontId="1" type="noConversion"/>
  </si>
  <si>
    <t>파마리서치(화장품)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</si>
  <si>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</si>
  <si>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</si>
  <si>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</si>
  <si>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</si>
  <si>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 xml:space="preserve">     Refresh     </t>
  </si>
  <si>
    <t>Time Series (Company)</t>
  </si>
  <si>
    <t>M</t>
  </si>
  <si>
    <t>Ascending</t>
  </si>
  <si>
    <t>Korean</t>
  </si>
  <si>
    <t>A005930</t>
  </si>
  <si>
    <t>S300910</t>
  </si>
  <si>
    <t>Local/Shares</t>
  </si>
  <si>
    <t>Frequency</t>
  </si>
  <si>
    <t>Period(From)</t>
  </si>
  <si>
    <t>Period(To)</t>
  </si>
  <si>
    <t>디램판가</t>
    <phoneticPr fontId="1" type="noConversion"/>
  </si>
  <si>
    <t>디램판가 yoy</t>
    <phoneticPr fontId="1" type="noConversion"/>
  </si>
  <si>
    <t>디램수출 yoy</t>
    <phoneticPr fontId="1" type="noConversion"/>
  </si>
  <si>
    <t>키트 : 3822.19-2019</t>
    <phoneticPr fontId="1" type="noConversion"/>
  </si>
  <si>
    <t>HVAC</t>
    <phoneticPr fontId="1" type="noConversion"/>
  </si>
  <si>
    <t>미국</t>
    <phoneticPr fontId="1" type="noConversion"/>
  </si>
  <si>
    <t>스텐트</t>
    <phoneticPr fontId="1" type="noConversion"/>
  </si>
  <si>
    <t>엠아이텍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</si>
  <si>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</si>
  <si>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</si>
  <si>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</si>
  <si>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</si>
  <si>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</si>
  <si>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</si>
  <si>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</si>
  <si>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</si>
  <si>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</si>
  <si>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</si>
  <si>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</si>
  <si>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</si>
  <si>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</si>
  <si>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</si>
  <si>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</si>
  <si>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</si>
  <si>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</si>
  <si>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</si>
  <si>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</si>
  <si>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</si>
  <si>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</si>
  <si>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</si>
  <si>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</si>
  <si>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</si>
  <si>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</si>
  <si>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</si>
  <si>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</si>
  <si>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</si>
  <si>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</si>
  <si>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</si>
  <si>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</si>
  <si>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</si>
  <si>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</si>
  <si>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</si>
  <si>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</si>
  <si>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미용기기</t>
    <phoneticPr fontId="1" type="noConversion"/>
  </si>
  <si>
    <t>미국</t>
    <phoneticPr fontId="1" type="noConversion"/>
  </si>
  <si>
    <t>2024년11월</t>
    <phoneticPr fontId="1" type="noConversion"/>
  </si>
  <si>
    <t>2024년11월</t>
    <phoneticPr fontId="1" type="noConversion"/>
  </si>
  <si>
    <t>    이용 안내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</si>
  <si>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</si>
  <si>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</si>
  <si>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</si>
  <si>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</si>
  <si>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</si>
  <si>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</si>
  <si>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</si>
  <si>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</si>
  <si>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</si>
  <si>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</si>
  <si>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</si>
  <si>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</si>
  <si>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</si>
  <si>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</si>
  <si>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</si>
  <si>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</si>
  <si>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두산</t>
    <phoneticPr fontId="1" type="noConversion"/>
  </si>
  <si>
    <t>오리온</t>
    <phoneticPr fontId="1" type="noConversion"/>
  </si>
  <si>
    <t>중국</t>
    <phoneticPr fontId="1" type="noConversion"/>
  </si>
  <si>
    <t>네일 관련 화장품 수출</t>
    <phoneticPr fontId="1" type="noConversion"/>
  </si>
  <si>
    <t>대웅제약, 메디톡스, 휴젤</t>
    <phoneticPr fontId="1" type="noConversion"/>
  </si>
  <si>
    <t xml:space="preserve"> ccl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</si>
  <si>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</si>
  <si>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</si>
  <si>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</si>
  <si>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</si>
  <si>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</si>
  <si>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</si>
  <si>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</si>
  <si>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</si>
  <si>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</si>
  <si>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</si>
  <si>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</si>
  <si>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</si>
  <si>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</si>
  <si>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</si>
  <si>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</si>
  <si>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</si>
  <si>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</si>
  <si>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</si>
  <si>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</si>
  <si>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</si>
  <si>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</si>
  <si>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</si>
  <si>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</si>
  <si>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</si>
  <si>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</si>
  <si>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</si>
  <si>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</si>
  <si>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</si>
  <si>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</si>
  <si>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</si>
  <si>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</si>
  <si>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</si>
  <si>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</si>
  <si>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</si>
  <si>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</si>
  <si>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</si>
  <si>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</si>
  <si>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</si>
  <si>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미국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</si>
  <si>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</si>
  <si>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</si>
  <si>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</si>
  <si>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</si>
  <si>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버티브홀딩스</t>
    <phoneticPr fontId="1" type="noConversion"/>
  </si>
  <si>
    <t>LG전자는 매출비중 적음</t>
    <phoneticPr fontId="1" type="noConversion"/>
  </si>
  <si>
    <t>SKC, 롯데에너지머티리얼즈</t>
    <phoneticPr fontId="1" type="noConversion"/>
  </si>
  <si>
    <t xml:space="preserve"> cj제일제당, 대상</t>
    <phoneticPr fontId="1" type="noConversion"/>
  </si>
  <si>
    <t>2025년03월</t>
    <phoneticPr fontId="1" type="noConversion"/>
  </si>
  <si>
    <t>2025년03월</t>
    <phoneticPr fontId="1" type="noConversion"/>
  </si>
  <si>
    <t>중국</t>
    <phoneticPr fontId="1" type="noConversion"/>
  </si>
  <si>
    <t>`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</si>
  <si>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</si>
  <si>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</si>
  <si>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</si>
  <si>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</si>
  <si>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</si>
  <si>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</si>
  <si>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</si>
  <si>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</si>
  <si>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842952+미국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</si>
  <si>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</si>
  <si>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</si>
  <si>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</si>
  <si>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</si>
  <si>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</si>
  <si>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</si>
  <si>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</si>
  <si>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</si>
  <si>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</si>
  <si>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</si>
  <si>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</si>
  <si>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</si>
  <si>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</si>
  <si>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</si>
  <si>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</si>
  <si>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</si>
  <si>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</si>
  <si>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</si>
  <si>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</si>
  <si>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</si>
  <si>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</si>
  <si>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</si>
  <si>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</si>
  <si>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</si>
  <si>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</si>
  <si>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</si>
  <si>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</si>
  <si>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</si>
  <si>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</si>
  <si>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</si>
  <si>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</si>
  <si>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</si>
  <si>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</si>
  <si>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</si>
  <si>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</si>
  <si>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</si>
  <si>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</si>
  <si>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</si>
  <si>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</si>
  <si>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</si>
  <si>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</si>
  <si>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</si>
  <si>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</si>
  <si>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</si>
  <si>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</si>
  <si>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</si>
  <si>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</si>
  <si>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</si>
  <si>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</si>
  <si>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</si>
  <si>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</si>
  <si>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</si>
  <si>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</si>
  <si>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</si>
  <si>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</si>
  <si>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</si>
  <si>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</si>
  <si>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</si>
  <si>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</si>
  <si>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</si>
  <si>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</si>
  <si>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</si>
  <si>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</si>
  <si>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</si>
  <si>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</si>
  <si>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</si>
  <si>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</si>
  <si>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</si>
  <si>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</si>
  <si>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</si>
  <si>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</si>
  <si>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</si>
  <si>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</si>
  <si>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</si>
  <si>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</si>
  <si>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</si>
  <si>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</si>
  <si>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</si>
  <si>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</si>
  <si>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</si>
  <si>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</si>
  <si>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</si>
  <si>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</si>
  <si>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</si>
  <si>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</si>
  <si>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</si>
  <si>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</si>
  <si>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</si>
  <si>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</si>
  <si>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</si>
  <si>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</si>
  <si>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</si>
  <si>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</si>
  <si>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</si>
  <si>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</si>
  <si>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</si>
  <si>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</si>
  <si>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</si>
  <si>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</si>
  <si>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</si>
  <si>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</si>
  <si>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</si>
  <si>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</si>
  <si>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</si>
  <si>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</si>
  <si>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</si>
  <si>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</si>
  <si>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</si>
  <si>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</si>
  <si>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</si>
  <si>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</si>
  <si>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</si>
  <si>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</si>
  <si>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</si>
  <si>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</si>
  <si>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</si>
  <si>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</si>
  <si>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</si>
  <si>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</si>
  <si>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</si>
  <si>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</si>
  <si>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</si>
  <si>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중량 15,000 킬로그램 초과 비행기</t>
    <phoneticPr fontId="1" type="noConversion"/>
  </si>
  <si>
    <t>8523511000+미국</t>
    <phoneticPr fontId="1" type="noConversion"/>
  </si>
  <si>
    <t>기간</t>
  </si>
  <si>
    <t>중량</t>
  </si>
  <si>
    <t>국내 업체 수</t>
  </si>
  <si>
    <t>해외거래처 수</t>
  </si>
  <si>
    <t> 2025년</t>
  </si>
  <si>
    <t>01월</t>
  </si>
  <si>
    <t>02월</t>
  </si>
  <si>
    <t>03월</t>
  </si>
  <si>
    <t>04월</t>
  </si>
  <si>
    <t>05월</t>
  </si>
  <si>
    <t>06월</t>
  </si>
  <si>
    <t> 2024년</t>
  </si>
  <si>
    <t>폴란드</t>
    <phoneticPr fontId="1" type="noConversion"/>
  </si>
  <si>
    <t>14,887,</t>
  </si>
  <si>
    <t>8542321010 + 베트남 수출</t>
    <phoneticPr fontId="1" type="noConversion"/>
  </si>
  <si>
    <t>생물현미경</t>
    <phoneticPr fontId="1" type="noConversion"/>
  </si>
  <si>
    <t>토모큐브</t>
    <phoneticPr fontId="1" type="noConversion"/>
  </si>
  <si>
    <t>장비 : 9027.89-2090 / 키트 : 3822.19-2019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</si>
  <si>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</si>
  <si>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</si>
  <si>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</si>
  <si>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</si>
  <si>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</si>
  <si>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</si>
  <si>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</si>
  <si>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</si>
  <si>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</si>
  <si>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</si>
  <si>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</si>
  <si>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</si>
  <si>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</si>
  <si>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</si>
  <si>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</si>
  <si>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</si>
  <si>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</si>
  <si>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</si>
  <si>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</si>
  <si>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</si>
  <si>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</si>
  <si>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</si>
  <si>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</si>
  <si>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</si>
  <si>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</si>
  <si>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</si>
  <si>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</si>
  <si>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</si>
  <si>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</si>
  <si>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</si>
  <si>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</si>
  <si>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</si>
  <si>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</si>
  <si>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</si>
  <si>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</si>
  <si>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</si>
  <si>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</si>
  <si>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</si>
  <si>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</si>
  <si>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</si>
  <si>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</si>
  <si>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</si>
  <si>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</si>
  <si>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</si>
  <si>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</si>
  <si>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</si>
  <si>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</si>
  <si>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</si>
  <si>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</si>
  <si>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</si>
  <si>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</si>
  <si>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</si>
  <si>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</si>
  <si>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</si>
  <si>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</si>
  <si>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</si>
  <si>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</si>
  <si>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</si>
  <si>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</si>
  <si>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</si>
  <si>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</si>
  <si>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</si>
  <si>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</si>
  <si>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</si>
  <si>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</si>
  <si>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</si>
  <si>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</si>
  <si>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</si>
  <si>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</si>
  <si>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에스앤디</t>
    <phoneticPr fontId="1" type="noConversion"/>
  </si>
  <si>
    <t>비이에치아이, SNT에너지 등</t>
    <phoneticPr fontId="1" type="noConversion"/>
  </si>
  <si>
    <t>SNT에너지</t>
    <phoneticPr fontId="1" type="noConversion"/>
  </si>
  <si>
    <t>한국카본, 동성화인텍</t>
    <phoneticPr fontId="1" type="noConversion"/>
  </si>
  <si>
    <t>중국</t>
    <phoneticPr fontId="1" type="noConversion"/>
  </si>
  <si>
    <t>두산에너빌리티</t>
    <phoneticPr fontId="1" type="noConversion"/>
  </si>
  <si>
    <t>HD현대마린엔진, 한화엔진</t>
    <phoneticPr fontId="1" type="noConversion"/>
  </si>
  <si>
    <t>0402</t>
    <phoneticPr fontId="1" type="noConversion"/>
  </si>
  <si>
    <t>코웨이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</si>
  <si>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</si>
  <si>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</si>
  <si>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</si>
  <si>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</si>
  <si>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</si>
  <si>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</si>
  <si>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</si>
  <si>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</si>
  <si>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</si>
  <si>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</si>
  <si>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</si>
  <si>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</si>
  <si>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</si>
  <si>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</si>
  <si>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</si>
  <si>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</si>
  <si>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</si>
  <si>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</si>
  <si>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</si>
  <si>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</si>
  <si>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</si>
  <si>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</si>
  <si>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</si>
  <si>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</si>
  <si>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</si>
  <si>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</si>
  <si>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</si>
  <si>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</si>
  <si>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</si>
  <si>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</si>
  <si>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</si>
  <si>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</si>
  <si>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</si>
  <si>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</si>
  <si>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</si>
  <si>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</si>
  <si>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</si>
  <si>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</si>
  <si>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</si>
  <si>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</si>
  <si>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</si>
  <si>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</si>
  <si>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</si>
  <si>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</si>
  <si>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</si>
  <si>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</si>
  <si>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</si>
  <si>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</si>
  <si>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</si>
  <si>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</si>
  <si>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</si>
  <si>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</si>
  <si>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</si>
  <si>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</si>
  <si>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</si>
  <si>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</si>
  <si>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</si>
  <si>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</si>
  <si>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</si>
  <si>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</si>
  <si>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</si>
  <si>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</si>
  <si>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</si>
  <si>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</si>
  <si>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</si>
  <si>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</si>
  <si>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</si>
  <si>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</si>
  <si>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</si>
  <si>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</si>
  <si>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</si>
  <si>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</si>
  <si>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</si>
  <si>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</si>
  <si>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</si>
  <si>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</si>
  <si>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</si>
  <si>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</si>
  <si>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</si>
  <si>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</si>
  <si>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</si>
  <si>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</si>
  <si>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</si>
  <si>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</si>
  <si>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</si>
  <si>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</si>
  <si>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</si>
  <si>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</si>
  <si>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ess + 미국</t>
    <phoneticPr fontId="1" type="noConversion"/>
  </si>
  <si>
    <t>년월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</si>
  <si>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</si>
  <si>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</si>
  <si>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</si>
  <si>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</si>
  <si>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</si>
  <si>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</si>
  <si>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</si>
  <si>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</si>
  <si>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</si>
  <si>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</si>
  <si>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</si>
  <si>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</si>
  <si>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</si>
  <si>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</si>
  <si>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</si>
  <si>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</si>
  <si>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</si>
  <si>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</si>
  <si>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</si>
  <si>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</si>
  <si>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</si>
  <si>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</si>
  <si>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</si>
  <si>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</si>
  <si>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</si>
  <si>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</si>
  <si>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</si>
  <si>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</si>
  <si>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</si>
  <si>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</si>
  <si>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</si>
  <si>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</si>
  <si>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</si>
  <si>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</si>
  <si>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</si>
  <si>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</si>
  <si>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</si>
  <si>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</si>
  <si>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</si>
  <si>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</si>
  <si>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</si>
  <si>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</si>
  <si>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</si>
  <si>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</si>
  <si>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</si>
  <si>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</si>
  <si>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</si>
  <si>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</si>
  <si>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</si>
  <si>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</si>
  <si>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</si>
  <si>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</si>
  <si>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</si>
  <si>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</si>
  <si>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</si>
  <si>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</si>
  <si>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</si>
  <si>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</si>
  <si>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</si>
  <si>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</si>
  <si>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</si>
  <si>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</si>
  <si>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</si>
  <si>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</si>
  <si>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</si>
  <si>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</si>
  <si>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</si>
  <si>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</si>
  <si>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</si>
  <si>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</si>
  <si>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</si>
  <si>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</si>
  <si>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</si>
  <si>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</si>
  <si>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</si>
  <si>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</si>
  <si>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</si>
  <si>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</si>
  <si>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</si>
  <si>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</si>
  <si>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</si>
  <si>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</si>
  <si>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</si>
  <si>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</si>
  <si>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</si>
  <si>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</si>
  <si>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</si>
  <si>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</si>
  <si>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</si>
  <si>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</si>
  <si>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</si>
  <si>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</si>
  <si>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</si>
  <si>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</si>
  <si>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</si>
  <si>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</si>
  <si>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</si>
  <si>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</si>
  <si>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</si>
  <si>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</si>
  <si>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</si>
  <si>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</si>
  <si>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</si>
  <si>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</si>
  <si>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</si>
  <si>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</si>
  <si>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</si>
  <si>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</si>
  <si>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</si>
  <si>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</si>
  <si>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</si>
  <si>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</si>
  <si>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</si>
  <si>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</si>
  <si>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</si>
  <si>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</si>
  <si>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</si>
  <si>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</si>
  <si>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</si>
  <si>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</si>
  <si>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</si>
  <si>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</si>
  <si>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</si>
  <si>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</si>
  <si>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</si>
  <si>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</si>
  <si>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</si>
  <si>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</si>
  <si>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</si>
  <si>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</si>
  <si>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</si>
  <si>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</si>
  <si>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</si>
  <si>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</si>
  <si>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</si>
  <si>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</si>
  <si>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</si>
  <si>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</si>
  <si>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</si>
  <si>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</si>
  <si>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</si>
  <si>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</si>
  <si>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</si>
  <si>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</si>
  <si>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</si>
  <si>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</si>
  <si>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</si>
  <si>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</si>
  <si>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</si>
  <si>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</si>
  <si>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</si>
  <si>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</si>
  <si>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</si>
  <si>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</si>
  <si>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</si>
  <si>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</si>
  <si>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</si>
  <si>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</si>
  <si>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</si>
  <si>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</si>
  <si>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</si>
  <si>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</si>
  <si>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</si>
  <si>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</si>
  <si>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</si>
  <si>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</si>
  <si>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</si>
  <si>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</si>
  <si>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</si>
  <si>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</si>
  <si>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</si>
  <si>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</si>
  <si>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</si>
  <si>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</si>
  <si>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</si>
  <si>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</si>
  <si>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</si>
  <si>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</si>
  <si>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</si>
  <si>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</si>
  <si>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</si>
  <si>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</si>
  <si>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</si>
  <si>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</si>
  <si>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</si>
  <si>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</si>
  <si>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</si>
  <si>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</si>
  <si>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</si>
  <si>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</si>
  <si>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</si>
  <si>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</si>
  <si>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</si>
  <si>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</si>
  <si>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</si>
  <si>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</si>
  <si>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</si>
  <si>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</si>
  <si>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</si>
  <si>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</si>
  <si>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</si>
  <si>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</si>
  <si>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</si>
  <si>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</si>
  <si>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</si>
  <si>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</si>
  <si>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</si>
  <si>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</si>
  <si>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</si>
  <si>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</si>
  <si>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</si>
  <si>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</si>
  <si>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</si>
  <si>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</si>
  <si>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</si>
  <si>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</si>
  <si>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</si>
  <si>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</si>
  <si>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</si>
  <si>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</si>
  <si>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</si>
  <si>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</si>
  <si>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</si>
  <si>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</si>
  <si>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</si>
  <si>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07월</t>
  </si>
  <si>
    <t>08월</t>
  </si>
  <si>
    <t>09월</t>
  </si>
  <si>
    <t>10월</t>
  </si>
  <si>
    <t> 2023년</t>
  </si>
  <si>
    <t> 2022년</t>
  </si>
  <si>
    <t>중량(KG)</t>
  </si>
  <si>
    <t>6,990,476,9</t>
  </si>
  <si>
    <t>75,61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</si>
  <si>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</si>
  <si>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</si>
  <si>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</si>
  <si>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</si>
  <si>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</si>
  <si>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</si>
  <si>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</si>
  <si>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월간수정주가</t>
    <phoneticPr fontId="1" type="noConversion"/>
  </si>
  <si>
    <t>9,7</t>
  </si>
  <si>
    <t>8543409000(수입) 21년까지 85437040(수입)</t>
    <phoneticPr fontId="1" type="noConversion"/>
  </si>
  <si>
    <t>휴젤, 바이오플러스, 휴메딕스</t>
    <phoneticPr fontId="1" type="noConversion"/>
  </si>
  <si>
    <t>2025년11월</t>
    <phoneticPr fontId="1" type="noConversion"/>
  </si>
  <si>
    <t>2025년12월</t>
    <phoneticPr fontId="1" type="noConversion"/>
  </si>
  <si>
    <t>대덕전자, 심텍, 이수페타시스, 코리아써키트</t>
    <phoneticPr fontId="1" type="noConversion"/>
  </si>
  <si>
    <t>티씨케이, 하나머티리얼즈, 케이엔제이, 월덱스, 씨엠티엑스 등</t>
    <phoneticPr fontId="1" type="noConversion"/>
  </si>
  <si>
    <t>수출데이터는 한달에 3번 매월 1일, 11일, 21일 발표합니다.</t>
    <phoneticPr fontId="1" type="noConversion"/>
  </si>
  <si>
    <t>확정수출데이터는 매월 15일에 발표하고 전월 확정을 발표합니다.</t>
    <phoneticPr fontId="1" type="noConversion"/>
  </si>
  <si>
    <t>수출데이터는 변동성 모멘텀, 상대강도 등 강한 섹터에서 수출데이터</t>
    <phoneticPr fontId="1" type="noConversion"/>
  </si>
  <si>
    <t>발표를 위주로 살피는게 중요하고, 약한 섹터에서는 수출데이터가 크게</t>
    <phoneticPr fontId="1" type="noConversion"/>
  </si>
  <si>
    <t xml:space="preserve">급변하지 않는 이상 시장의 관심이 약합니다. </t>
    <phoneticPr fontId="1" type="noConversion"/>
  </si>
  <si>
    <t>rs 및 변동성 모멘텀 + 기관 유동성 + 주요 거래대금 을 기둥으로 하고</t>
    <phoneticPr fontId="1" type="noConversion"/>
  </si>
  <si>
    <t>거기에 조금더 확률을 높이기 위해 수출데이터를 보는 방법을 선호합니다.</t>
    <phoneticPr fontId="1" type="noConversion"/>
  </si>
  <si>
    <t xml:space="preserve">수출데이터를 주력 지표로 보고 있진 않습니다. </t>
    <phoneticPr fontId="1" type="noConversion"/>
  </si>
  <si>
    <t>2026년01월</t>
    <phoneticPr fontId="1" type="noConversion"/>
  </si>
  <si>
    <t> 2026년</t>
  </si>
  <si>
    <t>840790+미국</t>
    <phoneticPr fontId="1" type="noConversion"/>
  </si>
  <si>
    <t>2026년02월</t>
    <phoneticPr fontId="1" type="noConversion"/>
  </si>
  <si>
    <t>2026년03월</t>
    <phoneticPr fontId="1" type="noConversion"/>
  </si>
  <si>
    <t>해외 반도체 장비 수입</t>
    <phoneticPr fontId="1" type="noConversion"/>
  </si>
  <si>
    <t>2026년04월</t>
    <phoneticPr fontId="1" type="noConversion"/>
  </si>
  <si>
    <t>＃</t>
  </si>
  <si>
    <t>장비</t>
    <phoneticPr fontId="1" type="noConversion"/>
  </si>
  <si>
    <t>1,415,856,28</t>
  </si>
  <si>
    <t>1,17</t>
  </si>
  <si>
    <t>708,73</t>
  </si>
  <si>
    <t>덕산하이메탈, 엠케이전자</t>
    <phoneticPr fontId="1" type="noConversion"/>
  </si>
  <si>
    <t>kg케미칼, 남해화학</t>
    <phoneticPr fontId="1" type="noConversion"/>
  </si>
  <si>
    <t>와이지원</t>
    <phoneticPr fontId="1" type="noConversion"/>
  </si>
  <si>
    <t>11월</t>
  </si>
  <si>
    <t>12월</t>
  </si>
  <si>
    <t> 2021년</t>
  </si>
  <si>
    <t> 2020년</t>
  </si>
  <si>
    <t> 2019년</t>
  </si>
  <si>
    <t> 2018년</t>
  </si>
  <si>
    <t>1,650,</t>
  </si>
  <si>
    <t>2026년05월</t>
    <phoneticPr fontId="1" type="noConversion"/>
  </si>
  <si>
    <t>37,129,534,</t>
  </si>
  <si>
    <t>1,</t>
  </si>
  <si>
    <t>268,769,76</t>
  </si>
  <si>
    <t>4,285,2</t>
  </si>
  <si>
    <t>175,186,27</t>
  </si>
  <si>
    <t>946,252,5</t>
  </si>
  <si>
    <t>335,8</t>
  </si>
  <si>
    <t>22,8</t>
  </si>
  <si>
    <t>2,415,76</t>
  </si>
  <si>
    <t>2,0</t>
  </si>
  <si>
    <t>779,38</t>
  </si>
  <si>
    <t>389,92</t>
  </si>
  <si>
    <t>247,499,8</t>
  </si>
  <si>
    <t>53,176,</t>
  </si>
  <si>
    <t>238,27</t>
  </si>
  <si>
    <t>1,276,6</t>
  </si>
  <si>
    <t>83,409,8</t>
  </si>
  <si>
    <t>31,269,77</t>
  </si>
  <si>
    <t>28,7</t>
  </si>
  <si>
    <t>44,596,</t>
  </si>
  <si>
    <t>Last Update : 2026-05-21 08:15:52</t>
    <phoneticPr fontId="1" type="noConversion"/>
  </si>
  <si>
    <t>CPD [20260521]</t>
    <phoneticPr fontId="1" type="noConversion"/>
  </si>
  <si>
    <t>30,537,883,60</t>
  </si>
  <si>
    <t>6월</t>
    <phoneticPr fontId="1" type="noConversion"/>
  </si>
  <si>
    <t>7,603,</t>
  </si>
  <si>
    <t>785,331,6</t>
  </si>
  <si>
    <t>259,85</t>
  </si>
  <si>
    <t>1,652,099,75</t>
  </si>
  <si>
    <t>1,169,523,</t>
  </si>
  <si>
    <t>1,755,5</t>
  </si>
  <si>
    <t>176,0</t>
  </si>
  <si>
    <t>1,280,815,</t>
  </si>
  <si>
    <t>3,5</t>
  </si>
  <si>
    <t>369,286,78</t>
  </si>
  <si>
    <t>18,660,076,</t>
  </si>
  <si>
    <t>2,759,84</t>
  </si>
  <si>
    <t>361,615,12</t>
  </si>
  <si>
    <t>85,529,</t>
  </si>
  <si>
    <t>39,5</t>
  </si>
  <si>
    <t>1,78</t>
  </si>
  <si>
    <t>1,248,</t>
  </si>
  <si>
    <t>231,944,2</t>
  </si>
  <si>
    <t>828,056,43</t>
  </si>
  <si>
    <t>26,290,66</t>
  </si>
  <si>
    <t>1,278,463,95</t>
  </si>
  <si>
    <t>300,082,</t>
  </si>
  <si>
    <t>49,63</t>
  </si>
  <si>
    <t>928,7</t>
  </si>
  <si>
    <t>81,962,14</t>
  </si>
  <si>
    <t>27,020,32</t>
  </si>
  <si>
    <t>365,8</t>
  </si>
  <si>
    <t>1,847,27</t>
  </si>
  <si>
    <t>123,934,8</t>
  </si>
  <si>
    <t>475,232,0</t>
  </si>
  <si>
    <t>2,906,911,4</t>
  </si>
  <si>
    <t>4,545,832,2</t>
  </si>
  <si>
    <t>57,736,9</t>
  </si>
  <si>
    <t>157,479,00</t>
  </si>
  <si>
    <t>149,40</t>
  </si>
  <si>
    <t>159,359,81</t>
  </si>
  <si>
    <t>11,266,</t>
  </si>
  <si>
    <t>17,340,7</t>
  </si>
  <si>
    <t>774,1</t>
  </si>
  <si>
    <t>789,068,</t>
  </si>
  <si>
    <t>359,316,9</t>
  </si>
  <si>
    <t>68,261,2</t>
  </si>
  <si>
    <t>1,182,650,</t>
  </si>
  <si>
    <t>320,513,4</t>
  </si>
  <si>
    <t>161,993,39</t>
  </si>
  <si>
    <t>109,1</t>
  </si>
  <si>
    <t>404,1</t>
  </si>
  <si>
    <t>416,583,</t>
  </si>
  <si>
    <t>192,</t>
  </si>
  <si>
    <t>987,499,56</t>
  </si>
  <si>
    <t>1,607,3</t>
  </si>
  <si>
    <t>146,208,</t>
  </si>
  <si>
    <t>2,090,834,0</t>
  </si>
  <si>
    <t>6,223,</t>
  </si>
  <si>
    <t>342,8</t>
  </si>
  <si>
    <t>419,263,</t>
  </si>
  <si>
    <t>3,332,</t>
  </si>
  <si>
    <t>4,8</t>
  </si>
  <si>
    <t>48,252,4</t>
  </si>
  <si>
    <t>77,18</t>
  </si>
  <si>
    <t>276,521,</t>
  </si>
  <si>
    <t>164,45</t>
  </si>
  <si>
    <t>147,99</t>
  </si>
  <si>
    <t>162,685,4</t>
  </si>
  <si>
    <t>218,584,</t>
  </si>
  <si>
    <t>23,47</t>
  </si>
  <si>
    <t>61,70</t>
  </si>
  <si>
    <t>258,4</t>
  </si>
  <si>
    <t>58,05</t>
  </si>
  <si>
    <t>152,76</t>
  </si>
  <si>
    <t>580,109,96</t>
  </si>
  <si>
    <t>42,563,26</t>
  </si>
  <si>
    <t>144,</t>
  </si>
  <si>
    <t>64,882,1</t>
  </si>
  <si>
    <t>1,01</t>
  </si>
  <si>
    <t>28,328,57</t>
  </si>
  <si>
    <t>2,831,062,5</t>
  </si>
  <si>
    <t>857,</t>
  </si>
  <si>
    <t>721,57</t>
  </si>
  <si>
    <t>629,614,4</t>
  </si>
  <si>
    <t>299,669,2</t>
  </si>
  <si>
    <t>217,606,</t>
  </si>
  <si>
    <t>57,182,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</si>
</sst>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 "/>
    <numFmt numFmtId="178" formatCode="_-* #,##0.0_-;\-* #,##0.0_-;_-* &quot;-&quot;_-;_-@_-"/>
    <numFmt numFmtId="179" formatCode="0.0%"/>
    <numFmt numFmtId="180" formatCode="_-* #,##0.000_-;\-* #,##0.000_-;_-* &quot;-&quot;_-;_-@_-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63636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Noto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676A6C"/>
      <name val="Noto"/>
      <family val="3"/>
      <charset val="129"/>
    </font>
    <font>
      <b/>
      <sz val="11"/>
      <color theme="1"/>
      <name val="Verdana"/>
      <family val="2"/>
    </font>
    <font>
      <b/>
      <sz val="11"/>
      <color rgb="FF676A6C"/>
      <name val="Verdana"/>
      <family val="2"/>
    </font>
    <font>
      <sz val="11"/>
      <color theme="1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  <font>
      <sz val="7"/>
      <color rgb="FF222222"/>
      <name val="Verdana"/>
      <family val="2"/>
    </font>
    <font>
      <b/>
      <sz val="9"/>
      <color rgb="FFFF0000"/>
      <name val="맑은 고딕"/>
      <family val="3"/>
      <charset val="129"/>
      <scheme val="minor"/>
    </font>
    <font>
      <sz val="7"/>
      <color rgb="FF363636"/>
      <name val="Verdana"/>
      <family val="2"/>
    </font>
    <font>
      <sz val="7"/>
      <color rgb="FF21212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474747"/>
      <name val="Arial"/>
      <family val="2"/>
    </font>
    <font>
      <b/>
      <sz val="9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3" fillId="0" borderId="1" xfId="2" applyNumberFormat="1" applyFont="1" applyFill="1" applyBorder="1">
      <alignment vertical="center"/>
    </xf>
    <xf numFmtId="41" fontId="2" fillId="0" borderId="0" xfId="2" applyFont="1" applyFill="1">
      <alignment vertical="center"/>
    </xf>
    <xf numFmtId="41" fontId="3" fillId="0" borderId="0" xfId="2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>
      <alignment vertical="center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41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9" fillId="0" borderId="0" xfId="2" applyFont="1">
      <alignment vertical="center"/>
    </xf>
    <xf numFmtId="0" fontId="9" fillId="0" borderId="0" xfId="4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76" fontId="11" fillId="0" borderId="1" xfId="2" applyNumberFormat="1" applyFont="1" applyFill="1" applyBorder="1" applyAlignment="1">
      <alignment horizontal="right" vertical="center" wrapText="1"/>
    </xf>
    <xf numFmtId="41" fontId="9" fillId="0" borderId="0" xfId="0" applyNumberFormat="1" applyFont="1">
      <alignment vertical="center"/>
    </xf>
    <xf numFmtId="41" fontId="9" fillId="0" borderId="0" xfId="2" applyFont="1" applyFill="1">
      <alignment vertical="center"/>
    </xf>
    <xf numFmtId="0" fontId="9" fillId="0" borderId="0" xfId="4" applyFont="1" applyFill="1">
      <alignment vertical="center"/>
    </xf>
    <xf numFmtId="41" fontId="10" fillId="0" borderId="0" xfId="2" applyFont="1" applyFill="1">
      <alignment vertical="center"/>
    </xf>
    <xf numFmtId="0" fontId="10" fillId="0" borderId="0" xfId="4" applyFont="1" applyFill="1">
      <alignment vertical="center"/>
    </xf>
    <xf numFmtId="0" fontId="12" fillId="0" borderId="0" xfId="1" applyFont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4" applyFont="1" applyFill="1" applyBorder="1">
      <alignment vertical="center"/>
    </xf>
    <xf numFmtId="0" fontId="14" fillId="0" borderId="0" xfId="4" applyFont="1" applyFill="1">
      <alignment vertical="center"/>
    </xf>
    <xf numFmtId="0" fontId="13" fillId="0" borderId="0" xfId="4" applyFont="1" applyFill="1">
      <alignment vertical="center"/>
    </xf>
    <xf numFmtId="176" fontId="3" fillId="3" borderId="1" xfId="2" applyNumberFormat="1" applyFont="1" applyFill="1" applyBorder="1">
      <alignment vertical="center"/>
    </xf>
    <xf numFmtId="41" fontId="2" fillId="3" borderId="0" xfId="2" applyFont="1" applyFill="1">
      <alignment vertical="center"/>
    </xf>
    <xf numFmtId="41" fontId="3" fillId="3" borderId="0" xfId="0" applyNumberFormat="1" applyFont="1" applyFill="1">
      <alignment vertical="center"/>
    </xf>
    <xf numFmtId="179" fontId="3" fillId="0" borderId="0" xfId="4" applyNumberFormat="1" applyFont="1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176" fontId="3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9" fontId="10" fillId="0" borderId="0" xfId="4" applyNumberFormat="1" applyFont="1">
      <alignment vertical="center"/>
    </xf>
    <xf numFmtId="41" fontId="9" fillId="0" borderId="0" xfId="2" applyFont="1" applyFill="1" applyBorder="1">
      <alignment vertical="center"/>
    </xf>
    <xf numFmtId="9" fontId="9" fillId="0" borderId="0" xfId="4" applyNumberFormat="1" applyFont="1" applyFill="1">
      <alignment vertical="center"/>
    </xf>
    <xf numFmtId="9" fontId="15" fillId="0" borderId="0" xfId="4" applyNumberFormat="1" applyFont="1" applyFill="1">
      <alignment vertical="center"/>
    </xf>
    <xf numFmtId="41" fontId="10" fillId="0" borderId="0" xfId="2" applyFont="1">
      <alignment vertical="center"/>
    </xf>
    <xf numFmtId="9" fontId="9" fillId="0" borderId="0" xfId="0" applyNumberFormat="1" applyFont="1">
      <alignment vertical="center"/>
    </xf>
    <xf numFmtId="9" fontId="9" fillId="0" borderId="0" xfId="4" applyNumberFormat="1" applyFont="1">
      <alignment vertical="center"/>
    </xf>
    <xf numFmtId="9" fontId="9" fillId="0" borderId="0" xfId="4" applyNumberFormat="1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4" applyNumberFormat="1" applyFont="1" applyAlignment="1">
      <alignment horizontal="center" vertical="center"/>
    </xf>
    <xf numFmtId="41" fontId="9" fillId="0" borderId="0" xfId="2" applyFont="1" applyFill="1" applyAlignment="1">
      <alignment horizontal="center" vertical="center"/>
    </xf>
    <xf numFmtId="9" fontId="9" fillId="0" borderId="0" xfId="4" applyNumberFormat="1" applyFont="1" applyBorder="1" applyAlignment="1">
      <alignment horizontal="center" vertical="center"/>
    </xf>
    <xf numFmtId="176" fontId="9" fillId="0" borderId="1" xfId="2" applyNumberFormat="1" applyFont="1" applyFill="1" applyBorder="1">
      <alignment vertical="center"/>
    </xf>
    <xf numFmtId="176" fontId="9" fillId="0" borderId="0" xfId="0" applyNumberFormat="1" applyFont="1">
      <alignment vertical="center"/>
    </xf>
    <xf numFmtId="179" fontId="9" fillId="0" borderId="0" xfId="4" applyNumberFormat="1" applyFont="1">
      <alignment vertical="center"/>
    </xf>
    <xf numFmtId="179" fontId="9" fillId="0" borderId="0" xfId="4" applyNumberFormat="1" applyFont="1" applyFill="1">
      <alignment vertical="center"/>
    </xf>
    <xf numFmtId="0" fontId="16" fillId="0" borderId="0" xfId="0" applyFont="1">
      <alignment vertical="center"/>
    </xf>
    <xf numFmtId="0" fontId="9" fillId="0" borderId="0" xfId="4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41" fontId="9" fillId="0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9" fillId="0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1" fontId="9" fillId="0" borderId="3" xfId="2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right" vertical="center" wrapText="1"/>
    </xf>
    <xf numFmtId="41" fontId="17" fillId="0" borderId="0" xfId="2" applyFont="1" applyFill="1">
      <alignment vertical="center"/>
    </xf>
    <xf numFmtId="0" fontId="17" fillId="0" borderId="0" xfId="0" applyFont="1">
      <alignment vertical="center"/>
    </xf>
    <xf numFmtId="9" fontId="17" fillId="0" borderId="0" xfId="4" applyNumberFormat="1" applyFont="1" applyBorder="1">
      <alignment vertical="center"/>
    </xf>
    <xf numFmtId="41" fontId="17" fillId="0" borderId="0" xfId="2" applyFont="1" applyFill="1" applyAlignment="1">
      <alignment horizontal="center" vertical="center"/>
    </xf>
    <xf numFmtId="41" fontId="17" fillId="0" borderId="0" xfId="2" applyFont="1" applyBorder="1" applyAlignment="1">
      <alignment horizontal="center" vertical="center"/>
    </xf>
    <xf numFmtId="9" fontId="17" fillId="0" borderId="0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0" xfId="2" applyFont="1" applyFill="1" applyBorder="1">
      <alignment vertical="center"/>
    </xf>
    <xf numFmtId="41" fontId="17" fillId="0" borderId="0" xfId="2" applyFont="1" applyBorder="1">
      <alignment vertical="center"/>
    </xf>
    <xf numFmtId="9" fontId="17" fillId="0" borderId="0" xfId="4" applyNumberFormat="1" applyFont="1">
      <alignment vertical="center"/>
    </xf>
    <xf numFmtId="176" fontId="17" fillId="0" borderId="0" xfId="0" applyNumberFormat="1" applyFont="1">
      <alignment vertical="center"/>
    </xf>
    <xf numFmtId="179" fontId="17" fillId="0" borderId="0" xfId="4" applyNumberFormat="1" applyFont="1">
      <alignment vertical="center"/>
    </xf>
    <xf numFmtId="9" fontId="17" fillId="0" borderId="0" xfId="4" applyNumberFormat="1" applyFont="1" applyFill="1">
      <alignment vertical="center"/>
    </xf>
    <xf numFmtId="179" fontId="17" fillId="0" borderId="0" xfId="4" applyNumberFormat="1" applyFont="1" applyFill="1">
      <alignment vertical="center"/>
    </xf>
    <xf numFmtId="0" fontId="18" fillId="0" borderId="0" xfId="0" applyFont="1">
      <alignment vertical="center"/>
    </xf>
    <xf numFmtId="41" fontId="18" fillId="0" borderId="0" xfId="2" applyFont="1">
      <alignment vertical="center"/>
    </xf>
    <xf numFmtId="9" fontId="18" fillId="0" borderId="0" xfId="4" applyNumberFormat="1" applyFo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0" xfId="4" applyFont="1" applyBorder="1">
      <alignment vertical="center"/>
    </xf>
    <xf numFmtId="0" fontId="17" fillId="0" borderId="0" xfId="0" applyFont="1" applyAlignment="1">
      <alignment horizontal="left" vertical="center"/>
    </xf>
    <xf numFmtId="41" fontId="17" fillId="0" borderId="0" xfId="2" applyFont="1">
      <alignment vertical="center"/>
    </xf>
    <xf numFmtId="0" fontId="17" fillId="0" borderId="0" xfId="0" applyFont="1" applyAlignment="1">
      <alignment horizontal="center" vertical="center" shrinkToFit="1"/>
    </xf>
    <xf numFmtId="0" fontId="19" fillId="0" borderId="0" xfId="0" applyFont="1">
      <alignment vertical="center"/>
    </xf>
    <xf numFmtId="0" fontId="17" fillId="0" borderId="0" xfId="4" applyFont="1" applyFill="1" applyBorder="1" applyAlignment="1">
      <alignment horizontal="center" vertical="center" shrinkToFit="1"/>
    </xf>
    <xf numFmtId="9" fontId="17" fillId="0" borderId="0" xfId="4" applyNumberFormat="1" applyFont="1" applyFill="1" applyBorder="1">
      <alignment vertical="center"/>
    </xf>
    <xf numFmtId="0" fontId="17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  <xf numFmtId="0" fontId="21" fillId="0" borderId="0" xfId="4" applyFont="1">
      <alignment vertical="center"/>
    </xf>
    <xf numFmtId="0" fontId="22" fillId="0" borderId="0" xfId="0" applyFont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9" fontId="17" fillId="2" borderId="0" xfId="4" applyNumberFormat="1" applyFont="1" applyFill="1">
      <alignment vertical="center"/>
    </xf>
    <xf numFmtId="0" fontId="17" fillId="0" borderId="5" xfId="1" applyFont="1" applyBorder="1" applyAlignment="1">
      <alignment horizontal="center" vertical="center" shrinkToFit="1"/>
    </xf>
    <xf numFmtId="0" fontId="17" fillId="0" borderId="5" xfId="4" applyFont="1" applyFill="1" applyBorder="1" applyAlignment="1">
      <alignment horizontal="center" vertical="center" shrinkToFit="1"/>
    </xf>
    <xf numFmtId="9" fontId="17" fillId="0" borderId="0" xfId="4" applyNumberFormat="1" applyFont="1" applyAlignment="1">
      <alignment horizontal="center" vertical="center"/>
    </xf>
    <xf numFmtId="0" fontId="17" fillId="0" borderId="0" xfId="2" applyNumberFormat="1" applyFont="1" applyBorder="1">
      <alignment vertical="center"/>
    </xf>
    <xf numFmtId="0" fontId="22" fillId="0" borderId="0" xfId="1" applyFont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41" fontId="17" fillId="0" borderId="1" xfId="2" applyFont="1" applyFill="1" applyBorder="1" applyAlignment="1">
      <alignment horizontal="right" vertical="center" wrapText="1"/>
    </xf>
    <xf numFmtId="9" fontId="17" fillId="0" borderId="0" xfId="0" applyNumberFormat="1" applyFont="1">
      <alignment vertical="center"/>
    </xf>
    <xf numFmtId="9" fontId="17" fillId="0" borderId="0" xfId="0" applyNumberFormat="1" applyFont="1" applyAlignment="1">
      <alignment horizontal="center" vertical="center"/>
    </xf>
    <xf numFmtId="9" fontId="18" fillId="0" borderId="0" xfId="0" applyNumberFormat="1" applyFont="1">
      <alignment vertical="center"/>
    </xf>
    <xf numFmtId="9" fontId="17" fillId="0" borderId="0" xfId="4" applyNumberFormat="1" applyFont="1" applyFill="1" applyBorder="1" applyAlignment="1">
      <alignment horizontal="center" vertical="center" shrinkToFit="1"/>
    </xf>
    <xf numFmtId="43" fontId="17" fillId="0" borderId="0" xfId="2" applyNumberFormat="1" applyFont="1" applyFill="1">
      <alignment vertical="center"/>
    </xf>
    <xf numFmtId="41" fontId="23" fillId="0" borderId="0" xfId="2" applyFont="1" applyFill="1">
      <alignment vertical="center"/>
    </xf>
    <xf numFmtId="0" fontId="17" fillId="0" borderId="2" xfId="0" applyFont="1" applyBorder="1" applyAlignment="1">
      <alignment horizontal="center" vertical="center" wrapText="1"/>
    </xf>
    <xf numFmtId="41" fontId="17" fillId="0" borderId="2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1" fontId="17" fillId="0" borderId="3" xfId="2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41" fontId="17" fillId="0" borderId="3" xfId="2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76" fontId="17" fillId="0" borderId="1" xfId="2" applyNumberFormat="1" applyFont="1" applyFill="1" applyBorder="1">
      <alignment vertical="center"/>
    </xf>
    <xf numFmtId="41" fontId="17" fillId="0" borderId="0" xfId="0" applyNumberFormat="1" applyFont="1">
      <alignment vertical="center"/>
    </xf>
    <xf numFmtId="9" fontId="23" fillId="0" borderId="0" xfId="4" applyNumberFormat="1" applyFont="1" applyFill="1">
      <alignment vertical="center"/>
    </xf>
    <xf numFmtId="41" fontId="17" fillId="0" borderId="2" xfId="2" applyFont="1" applyFill="1" applyBorder="1" applyAlignment="1">
      <alignment horizontal="right" vertical="center" wrapText="1"/>
    </xf>
    <xf numFmtId="176" fontId="17" fillId="0" borderId="2" xfId="2" applyNumberFormat="1" applyFont="1" applyFill="1" applyBorder="1">
      <alignment vertical="center"/>
    </xf>
    <xf numFmtId="176" fontId="23" fillId="0" borderId="1" xfId="2" applyNumberFormat="1" applyFont="1" applyFill="1" applyBorder="1">
      <alignment vertical="center"/>
    </xf>
    <xf numFmtId="41" fontId="17" fillId="0" borderId="1" xfId="2" applyFont="1" applyFill="1" applyBorder="1">
      <alignment vertical="center"/>
    </xf>
    <xf numFmtId="0" fontId="17" fillId="0" borderId="0" xfId="4" applyFont="1" applyFill="1">
      <alignment vertical="center"/>
    </xf>
    <xf numFmtId="41" fontId="23" fillId="0" borderId="0" xfId="0" applyNumberFormat="1" applyFont="1">
      <alignment vertical="center"/>
    </xf>
    <xf numFmtId="9" fontId="17" fillId="0" borderId="0" xfId="2" applyNumberFormat="1" applyFont="1" applyFill="1">
      <alignment vertical="center"/>
    </xf>
    <xf numFmtId="178" fontId="17" fillId="0" borderId="0" xfId="0" applyNumberFormat="1" applyFont="1">
      <alignment vertical="center"/>
    </xf>
    <xf numFmtId="0" fontId="17" fillId="0" borderId="0" xfId="0" quotePrefix="1" applyFont="1">
      <alignment vertical="center"/>
    </xf>
    <xf numFmtId="43" fontId="23" fillId="0" borderId="0" xfId="2" applyNumberFormat="1" applyFont="1" applyFill="1">
      <alignment vertical="center"/>
    </xf>
    <xf numFmtId="41" fontId="17" fillId="2" borderId="0" xfId="2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41" fontId="17" fillId="2" borderId="1" xfId="2" applyFont="1" applyFill="1" applyBorder="1" applyAlignment="1">
      <alignment horizontal="right" vertical="center" wrapText="1"/>
    </xf>
    <xf numFmtId="176" fontId="17" fillId="2" borderId="1" xfId="2" applyNumberFormat="1" applyFont="1" applyFill="1" applyBorder="1">
      <alignment vertical="center"/>
    </xf>
    <xf numFmtId="41" fontId="17" fillId="2" borderId="1" xfId="2" applyFont="1" applyFill="1" applyBorder="1">
      <alignment vertical="center"/>
    </xf>
    <xf numFmtId="176" fontId="24" fillId="0" borderId="1" xfId="2" applyNumberFormat="1" applyFont="1" applyFill="1" applyBorder="1">
      <alignment vertical="center"/>
    </xf>
    <xf numFmtId="0" fontId="26" fillId="7" borderId="0" xfId="5" applyFont="1" applyFill="1" applyAlignment="1">
      <alignment horizontal="center" vertical="center"/>
    </xf>
    <xf numFmtId="0" fontId="27" fillId="0" borderId="0" xfId="0" applyFont="1">
      <alignment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0" fillId="0" borderId="10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30" fillId="0" borderId="8" xfId="0" applyFont="1" applyBorder="1" applyAlignment="1">
      <alignment horizontal="right"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3" fontId="6" fillId="6" borderId="7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center"/>
    </xf>
    <xf numFmtId="43" fontId="0" fillId="0" borderId="0" xfId="0" applyNumberFormat="1">
      <alignment vertical="center"/>
    </xf>
    <xf numFmtId="176" fontId="0" fillId="5" borderId="0" xfId="2" applyNumberFormat="1" applyFont="1" applyFill="1">
      <alignment vertical="center"/>
    </xf>
    <xf numFmtId="41" fontId="17" fillId="8" borderId="0" xfId="0" applyNumberFormat="1" applyFont="1" applyFill="1">
      <alignment vertical="center"/>
    </xf>
    <xf numFmtId="9" fontId="17" fillId="0" borderId="0" xfId="4" applyNumberFormat="1" applyFont="1" applyFill="1" applyAlignment="1">
      <alignment horizontal="center" vertical="center"/>
    </xf>
    <xf numFmtId="176" fontId="31" fillId="0" borderId="1" xfId="2" applyNumberFormat="1" applyFont="1" applyFill="1" applyBorder="1">
      <alignment vertical="center"/>
    </xf>
    <xf numFmtId="9" fontId="18" fillId="0" borderId="0" xfId="4" applyNumberFormat="1" applyFont="1" applyFill="1">
      <alignment vertical="center"/>
    </xf>
    <xf numFmtId="41" fontId="18" fillId="0" borderId="0" xfId="2" applyFont="1" applyFill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6" fillId="6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right" vertical="center" wrapText="1"/>
    </xf>
    <xf numFmtId="4" fontId="36" fillId="6" borderId="7" xfId="0" applyNumberFormat="1" applyFont="1" applyFill="1" applyBorder="1" applyAlignment="1">
      <alignment horizontal="right" vertical="center" wrapText="1"/>
    </xf>
    <xf numFmtId="0" fontId="17" fillId="2" borderId="0" xfId="0" applyFont="1" applyFill="1">
      <alignment vertical="center"/>
    </xf>
    <xf numFmtId="9" fontId="17" fillId="2" borderId="0" xfId="0" applyNumberFormat="1" applyFont="1" applyFill="1">
      <alignment vertical="center"/>
    </xf>
    <xf numFmtId="41" fontId="18" fillId="2" borderId="0" xfId="2" applyFont="1" applyFill="1">
      <alignment vertical="center"/>
    </xf>
    <xf numFmtId="9" fontId="18" fillId="2" borderId="0" xfId="4" applyNumberFormat="1" applyFont="1" applyFill="1">
      <alignment vertical="center"/>
    </xf>
    <xf numFmtId="41" fontId="17" fillId="2" borderId="0" xfId="2" applyFont="1" applyFill="1" applyBorder="1">
      <alignment vertical="center"/>
    </xf>
    <xf numFmtId="41" fontId="17" fillId="0" borderId="1" xfId="0" applyNumberFormat="1" applyFont="1" applyBorder="1">
      <alignment vertical="center"/>
    </xf>
    <xf numFmtId="9" fontId="23" fillId="0" borderId="1" xfId="4" applyNumberFormat="1" applyFont="1" applyFill="1" applyBorder="1">
      <alignment vertical="center"/>
    </xf>
    <xf numFmtId="9" fontId="17" fillId="0" borderId="1" xfId="4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9" fontId="17" fillId="0" borderId="1" xfId="4" applyNumberFormat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9" fontId="17" fillId="0" borderId="1" xfId="0" applyNumberFormat="1" applyFont="1" applyBorder="1">
      <alignment vertical="center"/>
    </xf>
    <xf numFmtId="41" fontId="17" fillId="2" borderId="1" xfId="0" applyNumberFormat="1" applyFont="1" applyFill="1" applyBorder="1">
      <alignment vertical="center"/>
    </xf>
    <xf numFmtId="9" fontId="17" fillId="2" borderId="1" xfId="4" applyNumberFormat="1" applyFont="1" applyFill="1" applyBorder="1">
      <alignment vertical="center"/>
    </xf>
    <xf numFmtId="176" fontId="17" fillId="2" borderId="1" xfId="0" applyNumberFormat="1" applyFont="1" applyFill="1" applyBorder="1">
      <alignment vertical="center"/>
    </xf>
    <xf numFmtId="179" fontId="17" fillId="2" borderId="1" xfId="4" applyNumberFormat="1" applyFont="1" applyFill="1" applyBorder="1">
      <alignment vertical="center"/>
    </xf>
    <xf numFmtId="41" fontId="23" fillId="0" borderId="1" xfId="2" applyFont="1" applyFill="1" applyBorder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4" applyNumberFormat="1" applyFont="1" applyFill="1" applyBorder="1">
      <alignment vertical="center"/>
    </xf>
    <xf numFmtId="180" fontId="17" fillId="0" borderId="1" xfId="2" applyNumberFormat="1" applyFont="1" applyFill="1" applyBorder="1">
      <alignment vertical="center"/>
    </xf>
    <xf numFmtId="41" fontId="17" fillId="5" borderId="1" xfId="2" applyFont="1" applyFill="1" applyBorder="1">
      <alignment vertical="center"/>
    </xf>
    <xf numFmtId="9" fontId="24" fillId="0" borderId="1" xfId="4" applyNumberFormat="1" applyFont="1" applyFill="1" applyBorder="1">
      <alignment vertical="center"/>
    </xf>
    <xf numFmtId="179" fontId="24" fillId="0" borderId="1" xfId="4" applyNumberFormat="1" applyFont="1" applyFill="1" applyBorder="1">
      <alignment vertical="center"/>
    </xf>
    <xf numFmtId="9" fontId="17" fillId="10" borderId="1" xfId="4" applyNumberFormat="1" applyFont="1" applyFill="1" applyBorder="1">
      <alignment vertical="center"/>
    </xf>
    <xf numFmtId="0" fontId="17" fillId="0" borderId="0" xfId="4" applyFont="1" applyFill="1" applyBorder="1">
      <alignment vertical="center"/>
    </xf>
    <xf numFmtId="9" fontId="17" fillId="0" borderId="0" xfId="4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center" vertical="center" wrapText="1"/>
    </xf>
    <xf numFmtId="3" fontId="37" fillId="11" borderId="16" xfId="0" applyNumberFormat="1" applyFont="1" applyFill="1" applyBorder="1" applyAlignment="1">
      <alignment horizontal="right" vertical="center" wrapText="1"/>
    </xf>
    <xf numFmtId="4" fontId="37" fillId="11" borderId="16" xfId="0" applyNumberFormat="1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179" fontId="23" fillId="0" borderId="1" xfId="4" applyNumberFormat="1" applyFont="1" applyFill="1" applyBorder="1">
      <alignment vertical="center"/>
    </xf>
    <xf numFmtId="176" fontId="40" fillId="2" borderId="1" xfId="2" applyNumberFormat="1" applyFont="1" applyFill="1" applyBorder="1">
      <alignment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39" fillId="6" borderId="14" xfId="0" applyFont="1" applyFill="1" applyBorder="1" applyAlignment="1">
      <alignment vertical="center" wrapText="1"/>
    </xf>
    <xf numFmtId="0" fontId="41" fillId="11" borderId="16" xfId="0" applyFont="1" applyFill="1" applyBorder="1" applyAlignment="1">
      <alignment horizontal="center" vertical="center" wrapText="1"/>
    </xf>
    <xf numFmtId="3" fontId="41" fillId="11" borderId="16" xfId="0" applyNumberFormat="1" applyFont="1" applyFill="1" applyBorder="1" applyAlignment="1">
      <alignment horizontal="right" vertical="center" wrapText="1"/>
    </xf>
    <xf numFmtId="4" fontId="41" fillId="11" borderId="16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center" vertical="center" wrapText="1"/>
    </xf>
    <xf numFmtId="3" fontId="39" fillId="6" borderId="7" xfId="0" applyNumberFormat="1" applyFont="1" applyFill="1" applyBorder="1" applyAlignment="1">
      <alignment horizontal="right" vertical="center" wrapText="1"/>
    </xf>
    <xf numFmtId="4" fontId="39" fillId="6" borderId="7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right" vertical="center" wrapText="1"/>
    </xf>
    <xf numFmtId="41" fontId="40" fillId="2" borderId="1" xfId="2" applyFont="1" applyFill="1" applyBorder="1">
      <alignment vertical="center"/>
    </xf>
    <xf numFmtId="9" fontId="40" fillId="2" borderId="1" xfId="4" applyNumberFormat="1" applyFont="1" applyFill="1" applyBorder="1">
      <alignment vertical="center"/>
    </xf>
    <xf numFmtId="179" fontId="40" fillId="2" borderId="1" xfId="4" applyNumberFormat="1" applyFont="1" applyFill="1" applyBorder="1">
      <alignment vertical="center"/>
    </xf>
    <xf numFmtId="0" fontId="40" fillId="2" borderId="1" xfId="0" applyFont="1" applyFill="1" applyBorder="1" applyAlignment="1">
      <alignment horizontal="center" vertical="center" wrapText="1"/>
    </xf>
    <xf numFmtId="41" fontId="40" fillId="2" borderId="1" xfId="0" applyNumberFormat="1" applyFont="1" applyFill="1" applyBorder="1">
      <alignment vertical="center"/>
    </xf>
    <xf numFmtId="176" fontId="40" fillId="2" borderId="1" xfId="0" applyNumberFormat="1" applyFont="1" applyFill="1" applyBorder="1">
      <alignment vertical="center"/>
    </xf>
    <xf numFmtId="41" fontId="40" fillId="2" borderId="1" xfId="2" applyFont="1" applyFill="1" applyBorder="1" applyAlignment="1">
      <alignment horizontal="right" vertical="center" wrapText="1"/>
    </xf>
    <xf numFmtId="0" fontId="40" fillId="2" borderId="0" xfId="0" applyFont="1" applyFill="1">
      <alignment vertical="center"/>
    </xf>
    <xf numFmtId="41" fontId="40" fillId="2" borderId="0" xfId="2" applyFont="1" applyFill="1" applyBorder="1">
      <alignment vertical="center"/>
    </xf>
    <xf numFmtId="179" fontId="24" fillId="2" borderId="1" xfId="4" applyNumberFormat="1" applyFont="1" applyFill="1" applyBorder="1">
      <alignment vertical="center"/>
    </xf>
    <xf numFmtId="176" fontId="24" fillId="2" borderId="1" xfId="2" applyNumberFormat="1" applyFont="1" applyFill="1" applyBorder="1">
      <alignment vertical="center"/>
    </xf>
    <xf numFmtId="9" fontId="24" fillId="2" borderId="1" xfId="4" applyNumberFormat="1" applyFont="1" applyFill="1" applyBorder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41" fontId="24" fillId="2" borderId="1" xfId="0" applyNumberFormat="1" applyFont="1" applyFill="1" applyBorder="1">
      <alignment vertical="center"/>
    </xf>
    <xf numFmtId="41" fontId="24" fillId="2" borderId="1" xfId="2" applyFont="1" applyFill="1" applyBorder="1">
      <alignment vertical="center"/>
    </xf>
    <xf numFmtId="176" fontId="24" fillId="2" borderId="1" xfId="0" applyNumberFormat="1" applyFont="1" applyFill="1" applyBorder="1">
      <alignment vertical="center"/>
    </xf>
    <xf numFmtId="41" fontId="24" fillId="2" borderId="1" xfId="2" applyFont="1" applyFill="1" applyBorder="1" applyAlignment="1">
      <alignment horizontal="right" vertical="center" wrapText="1"/>
    </xf>
    <xf numFmtId="0" fontId="24" fillId="2" borderId="0" xfId="0" applyFont="1" applyFill="1">
      <alignment vertical="center"/>
    </xf>
    <xf numFmtId="43" fontId="24" fillId="2" borderId="0" xfId="2" applyNumberFormat="1" applyFont="1" applyFill="1">
      <alignment vertical="center"/>
    </xf>
    <xf numFmtId="176" fontId="0" fillId="0" borderId="0" xfId="2" applyNumberFormat="1" applyFont="1" applyFill="1">
      <alignment vertical="center"/>
    </xf>
    <xf numFmtId="0" fontId="41" fillId="11" borderId="16" xfId="0" applyFont="1" applyFill="1" applyBorder="1" applyAlignment="1">
      <alignment horizontal="right" vertical="center" wrapText="1"/>
    </xf>
    <xf numFmtId="41" fontId="17" fillId="5" borderId="1" xfId="0" applyNumberFormat="1" applyFont="1" applyFill="1" applyBorder="1">
      <alignment vertical="center"/>
    </xf>
    <xf numFmtId="9" fontId="17" fillId="5" borderId="1" xfId="4" applyNumberFormat="1" applyFont="1" applyFill="1" applyBorder="1">
      <alignment vertical="center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right" vertical="center" wrapText="1"/>
    </xf>
    <xf numFmtId="176" fontId="17" fillId="5" borderId="1" xfId="0" applyNumberFormat="1" applyFont="1" applyFill="1" applyBorder="1">
      <alignment vertical="center"/>
    </xf>
    <xf numFmtId="179" fontId="17" fillId="5" borderId="1" xfId="4" applyNumberFormat="1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43" fillId="13" borderId="0" xfId="0" applyFont="1" applyFill="1">
      <alignment vertical="center"/>
    </xf>
    <xf numFmtId="176" fontId="44" fillId="13" borderId="0" xfId="2" applyNumberFormat="1" applyFont="1" applyFill="1">
      <alignment vertical="center"/>
    </xf>
    <xf numFmtId="0" fontId="43" fillId="13" borderId="0" xfId="0" applyFont="1" applyFill="1" applyAlignment="1">
      <alignment horizontal="center" vertical="center"/>
    </xf>
    <xf numFmtId="0" fontId="45" fillId="0" borderId="0" xfId="0" applyFont="1">
      <alignment vertical="center"/>
    </xf>
    <xf numFmtId="0" fontId="44" fillId="13" borderId="0" xfId="0" applyFont="1" applyFill="1">
      <alignment vertical="center"/>
    </xf>
    <xf numFmtId="0" fontId="44" fillId="0" borderId="0" xfId="0" applyFont="1">
      <alignment vertical="center"/>
    </xf>
    <xf numFmtId="0" fontId="34" fillId="9" borderId="14" xfId="0" applyFont="1" applyFill="1" applyBorder="1" applyAlignment="1">
      <alignment horizontal="center" vertical="center"/>
    </xf>
    <xf numFmtId="176" fontId="31" fillId="0" borderId="0" xfId="2" applyNumberFormat="1" applyFont="1" applyFill="1">
      <alignment vertical="center"/>
    </xf>
    <xf numFmtId="0" fontId="43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44" fillId="14" borderId="0" xfId="0" applyFont="1" applyFill="1">
      <alignment vertical="center"/>
    </xf>
    <xf numFmtId="176" fontId="0" fillId="14" borderId="0" xfId="2" applyNumberFormat="1" applyFont="1" applyFill="1">
      <alignment vertical="center"/>
    </xf>
    <xf numFmtId="4" fontId="38" fillId="12" borderId="17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176" fontId="17" fillId="5" borderId="1" xfId="2" applyNumberFormat="1" applyFont="1" applyFill="1" applyBorder="1">
      <alignment vertical="center"/>
    </xf>
    <xf numFmtId="0" fontId="23" fillId="5" borderId="1" xfId="0" applyFont="1" applyFill="1" applyBorder="1" applyAlignment="1">
      <alignment horizontal="center" vertical="center" wrapText="1"/>
    </xf>
    <xf numFmtId="41" fontId="23" fillId="5" borderId="1" xfId="2" applyFont="1" applyFill="1" applyBorder="1">
      <alignment vertical="center"/>
    </xf>
    <xf numFmtId="9" fontId="23" fillId="5" borderId="1" xfId="4" applyNumberFormat="1" applyFont="1" applyFill="1" applyBorder="1">
      <alignment vertical="center"/>
    </xf>
    <xf numFmtId="176" fontId="23" fillId="5" borderId="1" xfId="2" applyNumberFormat="1" applyFont="1" applyFill="1" applyBorder="1">
      <alignment vertical="center"/>
    </xf>
    <xf numFmtId="176" fontId="46" fillId="5" borderId="1" xfId="2" applyNumberFormat="1" applyFont="1" applyFill="1" applyBorder="1">
      <alignment vertical="center"/>
    </xf>
    <xf numFmtId="41" fontId="46" fillId="5" borderId="1" xfId="2" applyFont="1" applyFill="1" applyBorder="1">
      <alignment vertical="center"/>
    </xf>
    <xf numFmtId="9" fontId="40" fillId="0" borderId="0" xfId="0" applyNumberFormat="1" applyFont="1">
      <alignment vertical="center"/>
    </xf>
    <xf numFmtId="9" fontId="40" fillId="0" borderId="0" xfId="0" applyNumberFormat="1" applyFont="1" applyAlignment="1">
      <alignment horizontal="center" vertical="center"/>
    </xf>
    <xf numFmtId="9" fontId="40" fillId="0" borderId="0" xfId="4" applyNumberFormat="1" applyFont="1" applyFill="1">
      <alignment vertical="center"/>
    </xf>
    <xf numFmtId="9" fontId="40" fillId="0" borderId="1" xfId="4" applyNumberFormat="1" applyFont="1" applyFill="1" applyBorder="1">
      <alignment vertical="center"/>
    </xf>
    <xf numFmtId="9" fontId="40" fillId="0" borderId="1" xfId="0" applyNumberFormat="1" applyFont="1" applyBorder="1">
      <alignment vertical="center"/>
    </xf>
    <xf numFmtId="9" fontId="40" fillId="5" borderId="1" xfId="4" applyNumberFormat="1" applyFont="1" applyFill="1" applyBorder="1">
      <alignment vertical="center"/>
    </xf>
    <xf numFmtId="41" fontId="18" fillId="0" borderId="1" xfId="2" applyFont="1" applyFill="1" applyBorder="1">
      <alignment vertical="center"/>
    </xf>
    <xf numFmtId="176" fontId="18" fillId="0" borderId="1" xfId="2" applyNumberFormat="1" applyFont="1" applyFill="1" applyBorder="1">
      <alignment vertical="center"/>
    </xf>
    <xf numFmtId="14" fontId="43" fillId="13" borderId="0" xfId="0" applyNumberFormat="1" applyFont="1" applyFill="1" applyAlignment="1">
      <alignment horizontal="center" vertical="center"/>
    </xf>
    <xf numFmtId="3" fontId="43" fillId="13" borderId="0" xfId="0" applyNumberFormat="1" applyFont="1" applyFill="1">
      <alignment vertical="center"/>
    </xf>
    <xf numFmtId="3" fontId="43" fillId="0" borderId="0" xfId="0" applyNumberFormat="1" applyFont="1">
      <alignment vertical="center"/>
    </xf>
    <xf numFmtId="176" fontId="44" fillId="0" borderId="0" xfId="2" applyNumberFormat="1" applyFont="1" applyFill="1">
      <alignment vertical="center"/>
    </xf>
    <xf numFmtId="0" fontId="30" fillId="0" borderId="0" xfId="0" applyFont="1" applyBorder="1" applyAlignment="1">
      <alignment horizontal="right" vertical="center"/>
    </xf>
  </cellXfs>
  <cellStyles count="6">
    <cellStyle name="백분율" xfId="4" builtinId="5"/>
    <cellStyle name="쉼표 [0]" xfId="2" builtinId="6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반도체 수출 판가 증가율 </a:t>
            </a:r>
            <a:r>
              <a:rPr lang="en-US" altLang="ko-KR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'반도체 수출 판가 증가율'!$B$9</c:f>
              <c:strCache>
                <c:ptCount val="1"/>
                <c:pt idx="0">
                  <c:v>삼성전자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46162</c:v>
                </c:pt>
              </c:numCache>
            </c:numRef>
          </c:cat>
          <c:val>
            <c:numRef>
              <c:f>'반도체 수출 판가 증가율'!$B$27:$B$247</c:f>
              <c:numCache>
                <c:formatCode>#,##0</c:formatCode>
                <c:ptCount val="221"/>
                <c:pt idx="0">
                  <c:v>11900</c:v>
                </c:pt>
                <c:pt idx="1">
                  <c:v>11200</c:v>
                </c:pt>
                <c:pt idx="2">
                  <c:v>12460</c:v>
                </c:pt>
                <c:pt idx="3">
                  <c:v>14220</c:v>
                </c:pt>
                <c:pt idx="4">
                  <c:v>14820</c:v>
                </c:pt>
                <c:pt idx="5">
                  <c:v>12500</c:v>
                </c:pt>
                <c:pt idx="6">
                  <c:v>11280</c:v>
                </c:pt>
                <c:pt idx="7">
                  <c:v>10320</c:v>
                </c:pt>
                <c:pt idx="8">
                  <c:v>10780</c:v>
                </c:pt>
                <c:pt idx="9">
                  <c:v>10700</c:v>
                </c:pt>
                <c:pt idx="10">
                  <c:v>9720</c:v>
                </c:pt>
                <c:pt idx="11">
                  <c:v>9020</c:v>
                </c:pt>
                <c:pt idx="12">
                  <c:v>9760</c:v>
                </c:pt>
                <c:pt idx="13">
                  <c:v>9540</c:v>
                </c:pt>
                <c:pt idx="14">
                  <c:v>11360</c:v>
                </c:pt>
                <c:pt idx="15">
                  <c:v>11840</c:v>
                </c:pt>
                <c:pt idx="16">
                  <c:v>11160</c:v>
                </c:pt>
                <c:pt idx="17">
                  <c:v>11840</c:v>
                </c:pt>
                <c:pt idx="18">
                  <c:v>14480</c:v>
                </c:pt>
                <c:pt idx="19">
                  <c:v>15420</c:v>
                </c:pt>
                <c:pt idx="20">
                  <c:v>16300</c:v>
                </c:pt>
                <c:pt idx="21">
                  <c:v>14460</c:v>
                </c:pt>
                <c:pt idx="22">
                  <c:v>14400</c:v>
                </c:pt>
                <c:pt idx="23">
                  <c:v>15980</c:v>
                </c:pt>
                <c:pt idx="24">
                  <c:v>15680</c:v>
                </c:pt>
                <c:pt idx="25">
                  <c:v>14880</c:v>
                </c:pt>
                <c:pt idx="26">
                  <c:v>16360</c:v>
                </c:pt>
                <c:pt idx="27">
                  <c:v>16980</c:v>
                </c:pt>
                <c:pt idx="28">
                  <c:v>15520</c:v>
                </c:pt>
                <c:pt idx="29">
                  <c:v>15480</c:v>
                </c:pt>
                <c:pt idx="30">
                  <c:v>16200</c:v>
                </c:pt>
                <c:pt idx="31">
                  <c:v>15120</c:v>
                </c:pt>
                <c:pt idx="32">
                  <c:v>15540</c:v>
                </c:pt>
                <c:pt idx="33">
                  <c:v>14900</c:v>
                </c:pt>
                <c:pt idx="34">
                  <c:v>16520</c:v>
                </c:pt>
                <c:pt idx="35">
                  <c:v>18980</c:v>
                </c:pt>
                <c:pt idx="36">
                  <c:v>19620</c:v>
                </c:pt>
                <c:pt idx="37">
                  <c:v>18460</c:v>
                </c:pt>
                <c:pt idx="38">
                  <c:v>18640</c:v>
                </c:pt>
                <c:pt idx="39">
                  <c:v>17860</c:v>
                </c:pt>
                <c:pt idx="40">
                  <c:v>18040</c:v>
                </c:pt>
                <c:pt idx="41">
                  <c:v>16520</c:v>
                </c:pt>
                <c:pt idx="42">
                  <c:v>16880</c:v>
                </c:pt>
                <c:pt idx="43">
                  <c:v>14880</c:v>
                </c:pt>
                <c:pt idx="44">
                  <c:v>16800</c:v>
                </c:pt>
                <c:pt idx="45">
                  <c:v>19360</c:v>
                </c:pt>
                <c:pt idx="46">
                  <c:v>20080</c:v>
                </c:pt>
                <c:pt idx="47">
                  <c:v>21160</c:v>
                </c:pt>
                <c:pt idx="48">
                  <c:v>22140</c:v>
                </c:pt>
                <c:pt idx="49">
                  <c:v>24120</c:v>
                </c:pt>
                <c:pt idx="50">
                  <c:v>25500</c:v>
                </c:pt>
                <c:pt idx="51">
                  <c:v>27800</c:v>
                </c:pt>
                <c:pt idx="52">
                  <c:v>24220</c:v>
                </c:pt>
                <c:pt idx="53">
                  <c:v>24020</c:v>
                </c:pt>
                <c:pt idx="54">
                  <c:v>26180</c:v>
                </c:pt>
                <c:pt idx="55">
                  <c:v>24660</c:v>
                </c:pt>
                <c:pt idx="56">
                  <c:v>26920</c:v>
                </c:pt>
                <c:pt idx="57">
                  <c:v>26200</c:v>
                </c:pt>
                <c:pt idx="58">
                  <c:v>28120</c:v>
                </c:pt>
                <c:pt idx="59">
                  <c:v>30440</c:v>
                </c:pt>
                <c:pt idx="60">
                  <c:v>28960</c:v>
                </c:pt>
                <c:pt idx="61">
                  <c:v>30880</c:v>
                </c:pt>
                <c:pt idx="62">
                  <c:v>30540</c:v>
                </c:pt>
                <c:pt idx="63">
                  <c:v>30400</c:v>
                </c:pt>
                <c:pt idx="64">
                  <c:v>30760</c:v>
                </c:pt>
                <c:pt idx="65">
                  <c:v>26840</c:v>
                </c:pt>
                <c:pt idx="66">
                  <c:v>25600</c:v>
                </c:pt>
                <c:pt idx="67">
                  <c:v>27360</c:v>
                </c:pt>
                <c:pt idx="68">
                  <c:v>27340</c:v>
                </c:pt>
                <c:pt idx="69">
                  <c:v>29300</c:v>
                </c:pt>
                <c:pt idx="70">
                  <c:v>29880</c:v>
                </c:pt>
                <c:pt idx="71">
                  <c:v>27440</c:v>
                </c:pt>
                <c:pt idx="72">
                  <c:v>25600</c:v>
                </c:pt>
                <c:pt idx="73">
                  <c:v>26980</c:v>
                </c:pt>
                <c:pt idx="74">
                  <c:v>26860</c:v>
                </c:pt>
                <c:pt idx="75">
                  <c:v>26860</c:v>
                </c:pt>
                <c:pt idx="76">
                  <c:v>28860</c:v>
                </c:pt>
                <c:pt idx="77">
                  <c:v>26440</c:v>
                </c:pt>
                <c:pt idx="78">
                  <c:v>26860</c:v>
                </c:pt>
                <c:pt idx="79">
                  <c:v>24680</c:v>
                </c:pt>
                <c:pt idx="80">
                  <c:v>23680</c:v>
                </c:pt>
                <c:pt idx="81">
                  <c:v>24880</c:v>
                </c:pt>
                <c:pt idx="82">
                  <c:v>25740</c:v>
                </c:pt>
                <c:pt idx="83">
                  <c:v>26540</c:v>
                </c:pt>
                <c:pt idx="84">
                  <c:v>27300</c:v>
                </c:pt>
                <c:pt idx="85">
                  <c:v>27140</c:v>
                </c:pt>
                <c:pt idx="86">
                  <c:v>28820</c:v>
                </c:pt>
                <c:pt idx="87">
                  <c:v>28200</c:v>
                </c:pt>
                <c:pt idx="88">
                  <c:v>26140</c:v>
                </c:pt>
                <c:pt idx="89">
                  <c:v>25360</c:v>
                </c:pt>
                <c:pt idx="90">
                  <c:v>23700</c:v>
                </c:pt>
                <c:pt idx="91">
                  <c:v>21780</c:v>
                </c:pt>
                <c:pt idx="92">
                  <c:v>22680</c:v>
                </c:pt>
                <c:pt idx="93">
                  <c:v>27440</c:v>
                </c:pt>
                <c:pt idx="94">
                  <c:v>25680</c:v>
                </c:pt>
                <c:pt idx="95">
                  <c:v>25200</c:v>
                </c:pt>
                <c:pt idx="96">
                  <c:v>23000</c:v>
                </c:pt>
                <c:pt idx="97">
                  <c:v>23560</c:v>
                </c:pt>
                <c:pt idx="98">
                  <c:v>26240</c:v>
                </c:pt>
                <c:pt idx="99">
                  <c:v>24900</c:v>
                </c:pt>
                <c:pt idx="100">
                  <c:v>25840</c:v>
                </c:pt>
                <c:pt idx="101">
                  <c:v>28500</c:v>
                </c:pt>
                <c:pt idx="102">
                  <c:v>30780</c:v>
                </c:pt>
                <c:pt idx="103">
                  <c:v>32400</c:v>
                </c:pt>
                <c:pt idx="104">
                  <c:v>31960</c:v>
                </c:pt>
                <c:pt idx="105">
                  <c:v>32780</c:v>
                </c:pt>
                <c:pt idx="106">
                  <c:v>34920</c:v>
                </c:pt>
                <c:pt idx="107">
                  <c:v>36040</c:v>
                </c:pt>
                <c:pt idx="108">
                  <c:v>39460</c:v>
                </c:pt>
                <c:pt idx="109">
                  <c:v>38440</c:v>
                </c:pt>
                <c:pt idx="110">
                  <c:v>41200</c:v>
                </c:pt>
                <c:pt idx="111">
                  <c:v>44620</c:v>
                </c:pt>
                <c:pt idx="112">
                  <c:v>44700</c:v>
                </c:pt>
                <c:pt idx="113">
                  <c:v>47540</c:v>
                </c:pt>
                <c:pt idx="114">
                  <c:v>48200</c:v>
                </c:pt>
                <c:pt idx="115">
                  <c:v>46320</c:v>
                </c:pt>
                <c:pt idx="116">
                  <c:v>51280</c:v>
                </c:pt>
                <c:pt idx="117">
                  <c:v>55080</c:v>
                </c:pt>
                <c:pt idx="118">
                  <c:v>50800</c:v>
                </c:pt>
                <c:pt idx="119">
                  <c:v>50960</c:v>
                </c:pt>
                <c:pt idx="120">
                  <c:v>49900</c:v>
                </c:pt>
                <c:pt idx="121">
                  <c:v>47060</c:v>
                </c:pt>
                <c:pt idx="122">
                  <c:v>49220</c:v>
                </c:pt>
                <c:pt idx="123">
                  <c:v>53000</c:v>
                </c:pt>
                <c:pt idx="124">
                  <c:v>50700</c:v>
                </c:pt>
                <c:pt idx="125">
                  <c:v>46650</c:v>
                </c:pt>
                <c:pt idx="126">
                  <c:v>46250</c:v>
                </c:pt>
                <c:pt idx="127">
                  <c:v>48450</c:v>
                </c:pt>
                <c:pt idx="128">
                  <c:v>46450</c:v>
                </c:pt>
                <c:pt idx="129">
                  <c:v>42400</c:v>
                </c:pt>
                <c:pt idx="130">
                  <c:v>41850</c:v>
                </c:pt>
                <c:pt idx="131">
                  <c:v>38700</c:v>
                </c:pt>
                <c:pt idx="132">
                  <c:v>46150</c:v>
                </c:pt>
                <c:pt idx="133">
                  <c:v>45100</c:v>
                </c:pt>
                <c:pt idx="134">
                  <c:v>44650</c:v>
                </c:pt>
                <c:pt idx="135">
                  <c:v>45850</c:v>
                </c:pt>
                <c:pt idx="136">
                  <c:v>42500</c:v>
                </c:pt>
                <c:pt idx="137">
                  <c:v>47000</c:v>
                </c:pt>
                <c:pt idx="138">
                  <c:v>45350</c:v>
                </c:pt>
                <c:pt idx="139">
                  <c:v>44000</c:v>
                </c:pt>
                <c:pt idx="140">
                  <c:v>49050</c:v>
                </c:pt>
                <c:pt idx="141">
                  <c:v>50400</c:v>
                </c:pt>
                <c:pt idx="142">
                  <c:v>50300</c:v>
                </c:pt>
                <c:pt idx="143">
                  <c:v>55800</c:v>
                </c:pt>
                <c:pt idx="144">
                  <c:v>56400</c:v>
                </c:pt>
                <c:pt idx="145">
                  <c:v>54200</c:v>
                </c:pt>
                <c:pt idx="146">
                  <c:v>47750</c:v>
                </c:pt>
                <c:pt idx="147">
                  <c:v>50000</c:v>
                </c:pt>
                <c:pt idx="148">
                  <c:v>50700</c:v>
                </c:pt>
                <c:pt idx="149">
                  <c:v>52800</c:v>
                </c:pt>
                <c:pt idx="150">
                  <c:v>57900</c:v>
                </c:pt>
                <c:pt idx="151">
                  <c:v>54000</c:v>
                </c:pt>
                <c:pt idx="152">
                  <c:v>58200</c:v>
                </c:pt>
                <c:pt idx="153">
                  <c:v>56600</c:v>
                </c:pt>
                <c:pt idx="154">
                  <c:v>66700</c:v>
                </c:pt>
                <c:pt idx="155">
                  <c:v>81000</c:v>
                </c:pt>
                <c:pt idx="156">
                  <c:v>82000</c:v>
                </c:pt>
                <c:pt idx="157">
                  <c:v>82500</c:v>
                </c:pt>
                <c:pt idx="158">
                  <c:v>81400</c:v>
                </c:pt>
                <c:pt idx="159">
                  <c:v>81500</c:v>
                </c:pt>
                <c:pt idx="160">
                  <c:v>80500</c:v>
                </c:pt>
                <c:pt idx="161">
                  <c:v>80700</c:v>
                </c:pt>
                <c:pt idx="162">
                  <c:v>78500</c:v>
                </c:pt>
                <c:pt idx="163">
                  <c:v>76700</c:v>
                </c:pt>
                <c:pt idx="164">
                  <c:v>74100</c:v>
                </c:pt>
                <c:pt idx="165">
                  <c:v>69800</c:v>
                </c:pt>
                <c:pt idx="166">
                  <c:v>71300</c:v>
                </c:pt>
                <c:pt idx="167">
                  <c:v>78300</c:v>
                </c:pt>
                <c:pt idx="168">
                  <c:v>73300</c:v>
                </c:pt>
                <c:pt idx="169">
                  <c:v>72100</c:v>
                </c:pt>
                <c:pt idx="170">
                  <c:v>69600</c:v>
                </c:pt>
                <c:pt idx="171">
                  <c:v>67400</c:v>
                </c:pt>
                <c:pt idx="172">
                  <c:v>67400</c:v>
                </c:pt>
                <c:pt idx="173">
                  <c:v>57000</c:v>
                </c:pt>
                <c:pt idx="174">
                  <c:v>61400</c:v>
                </c:pt>
                <c:pt idx="175">
                  <c:v>59700</c:v>
                </c:pt>
                <c:pt idx="176">
                  <c:v>53100</c:v>
                </c:pt>
                <c:pt idx="177">
                  <c:v>59400</c:v>
                </c:pt>
                <c:pt idx="178">
                  <c:v>62200</c:v>
                </c:pt>
                <c:pt idx="179">
                  <c:v>55300</c:v>
                </c:pt>
                <c:pt idx="180">
                  <c:v>61000</c:v>
                </c:pt>
                <c:pt idx="181">
                  <c:v>60600</c:v>
                </c:pt>
                <c:pt idx="182">
                  <c:v>64000</c:v>
                </c:pt>
                <c:pt idx="183">
                  <c:v>65500</c:v>
                </c:pt>
                <c:pt idx="184">
                  <c:v>71400</c:v>
                </c:pt>
                <c:pt idx="185">
                  <c:v>72200</c:v>
                </c:pt>
                <c:pt idx="186">
                  <c:v>69800</c:v>
                </c:pt>
                <c:pt idx="187">
                  <c:v>66900</c:v>
                </c:pt>
                <c:pt idx="188">
                  <c:v>68400</c:v>
                </c:pt>
                <c:pt idx="189">
                  <c:v>66900</c:v>
                </c:pt>
                <c:pt idx="190">
                  <c:v>72800</c:v>
                </c:pt>
                <c:pt idx="191">
                  <c:v>78500</c:v>
                </c:pt>
                <c:pt idx="192">
                  <c:v>72700</c:v>
                </c:pt>
                <c:pt idx="193">
                  <c:v>73400</c:v>
                </c:pt>
                <c:pt idx="194">
                  <c:v>82400</c:v>
                </c:pt>
                <c:pt idx="195">
                  <c:v>77500</c:v>
                </c:pt>
                <c:pt idx="196">
                  <c:v>73500</c:v>
                </c:pt>
                <c:pt idx="197">
                  <c:v>81500</c:v>
                </c:pt>
                <c:pt idx="198">
                  <c:v>83900</c:v>
                </c:pt>
                <c:pt idx="199">
                  <c:v>74300</c:v>
                </c:pt>
                <c:pt idx="200">
                  <c:v>61500</c:v>
                </c:pt>
                <c:pt idx="201">
                  <c:v>59200</c:v>
                </c:pt>
                <c:pt idx="202">
                  <c:v>54200</c:v>
                </c:pt>
                <c:pt idx="203">
                  <c:v>53200</c:v>
                </c:pt>
                <c:pt idx="204">
                  <c:v>52400</c:v>
                </c:pt>
                <c:pt idx="205">
                  <c:v>54500</c:v>
                </c:pt>
                <c:pt idx="206">
                  <c:v>57800</c:v>
                </c:pt>
                <c:pt idx="207">
                  <c:v>55500</c:v>
                </c:pt>
                <c:pt idx="208">
                  <c:v>56200</c:v>
                </c:pt>
                <c:pt idx="209">
                  <c:v>59800</c:v>
                </c:pt>
                <c:pt idx="210">
                  <c:v>71400</c:v>
                </c:pt>
                <c:pt idx="211">
                  <c:v>69700</c:v>
                </c:pt>
                <c:pt idx="212">
                  <c:v>83900</c:v>
                </c:pt>
                <c:pt idx="213">
                  <c:v>107500</c:v>
                </c:pt>
                <c:pt idx="214">
                  <c:v>100500</c:v>
                </c:pt>
                <c:pt idx="215">
                  <c:v>119900</c:v>
                </c:pt>
                <c:pt idx="216">
                  <c:v>160500</c:v>
                </c:pt>
                <c:pt idx="217">
                  <c:v>216500</c:v>
                </c:pt>
                <c:pt idx="218">
                  <c:v>167200</c:v>
                </c:pt>
                <c:pt idx="219">
                  <c:v>220500</c:v>
                </c:pt>
                <c:pt idx="220">
                  <c:v>276000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3824"/>
        <c:axId val="-919096672"/>
      </c:lineChart>
      <c:lineChart>
        <c:grouping val="standard"/>
        <c:varyColors val="0"/>
        <c:ser>
          <c:idx val="1"/>
          <c:order val="1"/>
          <c:tx>
            <c:strRef>
              <c:f>'반도체 수출 판가 증가율'!$D$14</c:f>
              <c:strCache>
                <c:ptCount val="1"/>
                <c:pt idx="0">
                  <c:v>디램판가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증가율'!$A$27:$A$247</c:f>
              <c:numCache>
                <c:formatCode>m/d/yyyy</c:formatCode>
                <c:ptCount val="221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46162</c:v>
                </c:pt>
              </c:numCache>
            </c:numRef>
          </c:cat>
          <c:val>
            <c:numRef>
              <c:f>'반도체 수출 판가 증가율'!$D$27:$D$247</c:f>
              <c:numCache>
                <c:formatCode>_-* #,##0.00_-;\-* #,##0.00_-;_-* "-"_-;_-@_-</c:formatCode>
                <c:ptCount val="221"/>
                <c:pt idx="0">
                  <c:v>-0.54786738689219372</c:v>
                </c:pt>
                <c:pt idx="1">
                  <c:v>-0.45272813011656909</c:v>
                </c:pt>
                <c:pt idx="2">
                  <c:v>-8.3913503819679547E-2</c:v>
                </c:pt>
                <c:pt idx="3">
                  <c:v>7.8771603804939083E-4</c:v>
                </c:pt>
                <c:pt idx="4">
                  <c:v>6.3362220146118142E-2</c:v>
                </c:pt>
                <c:pt idx="5">
                  <c:v>4.8564178383940337E-2</c:v>
                </c:pt>
                <c:pt idx="6">
                  <c:v>8.0205128215369292E-2</c:v>
                </c:pt>
                <c:pt idx="7">
                  <c:v>-9.4066394489510041E-2</c:v>
                </c:pt>
                <c:pt idx="8">
                  <c:v>-0.24556132639893258</c:v>
                </c:pt>
                <c:pt idx="9">
                  <c:v>-0.34110145729501384</c:v>
                </c:pt>
                <c:pt idx="10">
                  <c:v>-0.45623272192953146</c:v>
                </c:pt>
                <c:pt idx="11">
                  <c:v>-0.2767446458348195</c:v>
                </c:pt>
                <c:pt idx="12">
                  <c:v>-0.28370449765209849</c:v>
                </c:pt>
                <c:pt idx="13">
                  <c:v>-0.33306334465973042</c:v>
                </c:pt>
                <c:pt idx="14">
                  <c:v>-0.33563339638334921</c:v>
                </c:pt>
                <c:pt idx="15">
                  <c:v>-0.30217034407367749</c:v>
                </c:pt>
                <c:pt idx="16">
                  <c:v>-0.23302502931879321</c:v>
                </c:pt>
                <c:pt idx="17">
                  <c:v>-0.28706144472833106</c:v>
                </c:pt>
                <c:pt idx="18">
                  <c:v>-0.20164670711969179</c:v>
                </c:pt>
                <c:pt idx="19">
                  <c:v>-3.3825280587358231E-2</c:v>
                </c:pt>
                <c:pt idx="20">
                  <c:v>0.20305992313010401</c:v>
                </c:pt>
                <c:pt idx="21">
                  <c:v>0.89225610325670002</c:v>
                </c:pt>
                <c:pt idx="22">
                  <c:v>1.197382509381939</c:v>
                </c:pt>
                <c:pt idx="23">
                  <c:v>2.2174255080120995</c:v>
                </c:pt>
                <c:pt idx="24">
                  <c:v>2.7732630429790555</c:v>
                </c:pt>
                <c:pt idx="25">
                  <c:v>2.4972053243216048</c:v>
                </c:pt>
                <c:pt idx="26">
                  <c:v>2.2983247172537222</c:v>
                </c:pt>
                <c:pt idx="27">
                  <c:v>3.0498763739604744</c:v>
                </c:pt>
                <c:pt idx="28">
                  <c:v>2.748694722991289</c:v>
                </c:pt>
                <c:pt idx="29">
                  <c:v>2.7838458234728756</c:v>
                </c:pt>
                <c:pt idx="30">
                  <c:v>2.3508734210301254</c:v>
                </c:pt>
                <c:pt idx="31">
                  <c:v>2.3085357526102896</c:v>
                </c:pt>
                <c:pt idx="32">
                  <c:v>1.6826193018915294</c:v>
                </c:pt>
                <c:pt idx="33">
                  <c:v>1.1153062796384918</c:v>
                </c:pt>
                <c:pt idx="34">
                  <c:v>0.62421949736279236</c:v>
                </c:pt>
                <c:pt idx="35">
                  <c:v>-0.18058649831142715</c:v>
                </c:pt>
                <c:pt idx="36">
                  <c:v>-0.3690439994732273</c:v>
                </c:pt>
                <c:pt idx="37">
                  <c:v>-0.17347521243863673</c:v>
                </c:pt>
                <c:pt idx="38">
                  <c:v>-0.11672481150400849</c:v>
                </c:pt>
                <c:pt idx="39">
                  <c:v>-0.27926735353390542</c:v>
                </c:pt>
                <c:pt idx="40">
                  <c:v>-0.29217027425359876</c:v>
                </c:pt>
                <c:pt idx="41">
                  <c:v>-0.25889488955719242</c:v>
                </c:pt>
                <c:pt idx="42">
                  <c:v>-0.29959481554617817</c:v>
                </c:pt>
                <c:pt idx="43">
                  <c:v>-0.39754897569131453</c:v>
                </c:pt>
                <c:pt idx="44">
                  <c:v>-0.35314909343669743</c:v>
                </c:pt>
                <c:pt idx="45">
                  <c:v>-0.30443462441298419</c:v>
                </c:pt>
                <c:pt idx="46">
                  <c:v>-0.26601053687475829</c:v>
                </c:pt>
                <c:pt idx="47">
                  <c:v>-0.13082787458626521</c:v>
                </c:pt>
                <c:pt idx="48">
                  <c:v>0.13819290153741193</c:v>
                </c:pt>
                <c:pt idx="49">
                  <c:v>-0.11326412022043308</c:v>
                </c:pt>
                <c:pt idx="50">
                  <c:v>-0.19463964169400749</c:v>
                </c:pt>
                <c:pt idx="51">
                  <c:v>-0.16763477809125293</c:v>
                </c:pt>
                <c:pt idx="52">
                  <c:v>-0.13904756986157074</c:v>
                </c:pt>
                <c:pt idx="53">
                  <c:v>-0.11041629177075485</c:v>
                </c:pt>
                <c:pt idx="54">
                  <c:v>-7.0937889555467981E-3</c:v>
                </c:pt>
                <c:pt idx="55">
                  <c:v>4.8140773623903899E-2</c:v>
                </c:pt>
                <c:pt idx="56">
                  <c:v>7.6916388210830577E-2</c:v>
                </c:pt>
                <c:pt idx="57">
                  <c:v>-1.3154643995203386E-2</c:v>
                </c:pt>
                <c:pt idx="58">
                  <c:v>8.7812519582709081E-2</c:v>
                </c:pt>
                <c:pt idx="59">
                  <c:v>0.10525240138999714</c:v>
                </c:pt>
                <c:pt idx="60">
                  <c:v>0.16017250750529399</c:v>
                </c:pt>
                <c:pt idx="61">
                  <c:v>0.30376249179069204</c:v>
                </c:pt>
                <c:pt idx="62">
                  <c:v>0.40353731290296557</c:v>
                </c:pt>
                <c:pt idx="63">
                  <c:v>0.39322433229775489</c:v>
                </c:pt>
                <c:pt idx="64">
                  <c:v>0.51197716934102422</c:v>
                </c:pt>
                <c:pt idx="65">
                  <c:v>0.43007184372971419</c:v>
                </c:pt>
                <c:pt idx="66">
                  <c:v>0.67224409453316691</c:v>
                </c:pt>
                <c:pt idx="67">
                  <c:v>1.278001628193254</c:v>
                </c:pt>
                <c:pt idx="68">
                  <c:v>1.6250351644358543</c:v>
                </c:pt>
                <c:pt idx="69">
                  <c:v>1.7819076078857217</c:v>
                </c:pt>
                <c:pt idx="70">
                  <c:v>2.1387048905631882</c:v>
                </c:pt>
                <c:pt idx="71">
                  <c:v>2.4962004336473611</c:v>
                </c:pt>
                <c:pt idx="72">
                  <c:v>1.8157552855111585</c:v>
                </c:pt>
                <c:pt idx="73">
                  <c:v>1.5561722957441551</c:v>
                </c:pt>
                <c:pt idx="74">
                  <c:v>1.3347382899843123</c:v>
                </c:pt>
                <c:pt idx="75">
                  <c:v>1.159301248798918</c:v>
                </c:pt>
                <c:pt idx="76">
                  <c:v>1.2608187626407776</c:v>
                </c:pt>
                <c:pt idx="77">
                  <c:v>1.0355868450693753</c:v>
                </c:pt>
                <c:pt idx="78">
                  <c:v>0.49276579942226784</c:v>
                </c:pt>
                <c:pt idx="79">
                  <c:v>0.73966293891935164</c:v>
                </c:pt>
                <c:pt idx="80">
                  <c:v>0.63860531093122508</c:v>
                </c:pt>
                <c:pt idx="81">
                  <c:v>0.82126108945562604</c:v>
                </c:pt>
                <c:pt idx="82">
                  <c:v>0.94530225897647524</c:v>
                </c:pt>
                <c:pt idx="83">
                  <c:v>1.0618395519749932</c:v>
                </c:pt>
                <c:pt idx="84">
                  <c:v>1.2104605646214992</c:v>
                </c:pt>
                <c:pt idx="85">
                  <c:v>0.92856028180354522</c:v>
                </c:pt>
                <c:pt idx="86">
                  <c:v>0.97194914021755285</c:v>
                </c:pt>
                <c:pt idx="87">
                  <c:v>0.94944754202087478</c:v>
                </c:pt>
                <c:pt idx="88">
                  <c:v>-3.3670165465460422E-2</c:v>
                </c:pt>
                <c:pt idx="89">
                  <c:v>9.3697172935861772E-2</c:v>
                </c:pt>
                <c:pt idx="90">
                  <c:v>0.21803945076667208</c:v>
                </c:pt>
                <c:pt idx="91">
                  <c:v>7.4291865879730468E-2</c:v>
                </c:pt>
                <c:pt idx="92">
                  <c:v>0.1441863295461363</c:v>
                </c:pt>
                <c:pt idx="93">
                  <c:v>-9.6321575698029127E-2</c:v>
                </c:pt>
                <c:pt idx="94">
                  <c:v>-0.19645745752389487</c:v>
                </c:pt>
                <c:pt idx="95">
                  <c:v>-0.30107491845487844</c:v>
                </c:pt>
                <c:pt idx="96">
                  <c:v>-0.38079227566739993</c:v>
                </c:pt>
                <c:pt idx="97">
                  <c:v>-0.2196973905588252</c:v>
                </c:pt>
                <c:pt idx="98">
                  <c:v>-0.25334958016336517</c:v>
                </c:pt>
                <c:pt idx="99">
                  <c:v>-0.15165438017840338</c:v>
                </c:pt>
                <c:pt idx="100">
                  <c:v>0.38693371498509488</c:v>
                </c:pt>
                <c:pt idx="101">
                  <c:v>0.90300260180782832</c:v>
                </c:pt>
                <c:pt idx="102">
                  <c:v>0.62906960348303453</c:v>
                </c:pt>
                <c:pt idx="103">
                  <c:v>0.34820072368343835</c:v>
                </c:pt>
                <c:pt idx="104">
                  <c:v>0.19204283864830818</c:v>
                </c:pt>
                <c:pt idx="105">
                  <c:v>0.24802229855070568</c:v>
                </c:pt>
                <c:pt idx="106">
                  <c:v>0.45389525873217407</c:v>
                </c:pt>
                <c:pt idx="107">
                  <c:v>0.47119752697957318</c:v>
                </c:pt>
                <c:pt idx="108">
                  <c:v>0.81752930526709799</c:v>
                </c:pt>
                <c:pt idx="109">
                  <c:v>0.81120698384044809</c:v>
                </c:pt>
                <c:pt idx="110">
                  <c:v>1.0415396361810383</c:v>
                </c:pt>
                <c:pt idx="111">
                  <c:v>1.0807921637157305</c:v>
                </c:pt>
                <c:pt idx="112">
                  <c:v>1.2199243588658768</c:v>
                </c:pt>
                <c:pt idx="113">
                  <c:v>0.53958694002081176</c:v>
                </c:pt>
                <c:pt idx="114">
                  <c:v>0.9931502170169284</c:v>
                </c:pt>
                <c:pt idx="115">
                  <c:v>0.73529229665605578</c:v>
                </c:pt>
                <c:pt idx="116">
                  <c:v>0.87384614028979701</c:v>
                </c:pt>
                <c:pt idx="117">
                  <c:v>1.2797328488014394</c:v>
                </c:pt>
                <c:pt idx="118">
                  <c:v>0.8597075030835768</c:v>
                </c:pt>
                <c:pt idx="119">
                  <c:v>1.2179082102515508</c:v>
                </c:pt>
                <c:pt idx="120">
                  <c:v>1.1290211908958274</c:v>
                </c:pt>
                <c:pt idx="121">
                  <c:v>0.89510855512188425</c:v>
                </c:pt>
                <c:pt idx="122">
                  <c:v>0.70890247606291878</c:v>
                </c:pt>
                <c:pt idx="123">
                  <c:v>0.61518243174961285</c:v>
                </c:pt>
                <c:pt idx="124">
                  <c:v>0.42427264137299336</c:v>
                </c:pt>
                <c:pt idx="125">
                  <c:v>0.45253306009966754</c:v>
                </c:pt>
                <c:pt idx="126">
                  <c:v>0.28760265267608287</c:v>
                </c:pt>
                <c:pt idx="127">
                  <c:v>0.54122477886440223</c:v>
                </c:pt>
                <c:pt idx="128">
                  <c:v>0.4833989354668593</c:v>
                </c:pt>
                <c:pt idx="129">
                  <c:v>0.23715230924741837</c:v>
                </c:pt>
                <c:pt idx="130">
                  <c:v>0.24802042750878184</c:v>
                </c:pt>
                <c:pt idx="131">
                  <c:v>-0.1876071713261005</c:v>
                </c:pt>
                <c:pt idx="132">
                  <c:v>-0.26467441835361438</c:v>
                </c:pt>
                <c:pt idx="133">
                  <c:v>-0.3675936242037614</c:v>
                </c:pt>
                <c:pt idx="134">
                  <c:v>-0.33308368087513474</c:v>
                </c:pt>
                <c:pt idx="135">
                  <c:v>-0.32042613134895859</c:v>
                </c:pt>
                <c:pt idx="136">
                  <c:v>-0.44311401173038112</c:v>
                </c:pt>
                <c:pt idx="137">
                  <c:v>-0.45511642169851119</c:v>
                </c:pt>
                <c:pt idx="138">
                  <c:v>-0.46997767687289227</c:v>
                </c:pt>
                <c:pt idx="139">
                  <c:v>-0.56084688824280593</c:v>
                </c:pt>
                <c:pt idx="140">
                  <c:v>-0.59236721167556072</c:v>
                </c:pt>
                <c:pt idx="141">
                  <c:v>-0.63172772790769616</c:v>
                </c:pt>
                <c:pt idx="142">
                  <c:v>-0.59287280696124101</c:v>
                </c:pt>
                <c:pt idx="143">
                  <c:v>-0.41062678132794128</c:v>
                </c:pt>
                <c:pt idx="144">
                  <c:v>-0.3930977263108868</c:v>
                </c:pt>
                <c:pt idx="145">
                  <c:v>-0.18720774259297268</c:v>
                </c:pt>
                <c:pt idx="146">
                  <c:v>-0.24676875764051653</c:v>
                </c:pt>
                <c:pt idx="147">
                  <c:v>-0.19329129709346782</c:v>
                </c:pt>
                <c:pt idx="148">
                  <c:v>-0.10842546349670834</c:v>
                </c:pt>
                <c:pt idx="149">
                  <c:v>-0.25736709861615459</c:v>
                </c:pt>
                <c:pt idx="150">
                  <c:v>-0.27461163538131117</c:v>
                </c:pt>
                <c:pt idx="151">
                  <c:v>-0.32631052169406849</c:v>
                </c:pt>
                <c:pt idx="152">
                  <c:v>-0.37655671432745341</c:v>
                </c:pt>
                <c:pt idx="153">
                  <c:v>-0.26447309179009526</c:v>
                </c:pt>
                <c:pt idx="154">
                  <c:v>-0.4335584132301431</c:v>
                </c:pt>
                <c:pt idx="155">
                  <c:v>-0.25105673470020051</c:v>
                </c:pt>
                <c:pt idx="156">
                  <c:v>-0.14026926539481999</c:v>
                </c:pt>
                <c:pt idx="157">
                  <c:v>-0.42580748140737501</c:v>
                </c:pt>
                <c:pt idx="158">
                  <c:v>-0.39508621652603793</c:v>
                </c:pt>
                <c:pt idx="159">
                  <c:v>-0.38506448020694639</c:v>
                </c:pt>
                <c:pt idx="160">
                  <c:v>-0.28244833590800045</c:v>
                </c:pt>
                <c:pt idx="161">
                  <c:v>0.25128224009154176</c:v>
                </c:pt>
                <c:pt idx="162">
                  <c:v>0.40059949564365005</c:v>
                </c:pt>
                <c:pt idx="163">
                  <c:v>0.55059949501685246</c:v>
                </c:pt>
                <c:pt idx="164">
                  <c:v>0.89107955278534123</c:v>
                </c:pt>
                <c:pt idx="165">
                  <c:v>0.68796372570134467</c:v>
                </c:pt>
                <c:pt idx="166">
                  <c:v>1.299254830448846</c:v>
                </c:pt>
                <c:pt idx="167">
                  <c:v>0.48132604189009998</c:v>
                </c:pt>
                <c:pt idx="168">
                  <c:v>0.15369425148981097</c:v>
                </c:pt>
                <c:pt idx="169">
                  <c:v>0.60693912593626065</c:v>
                </c:pt>
                <c:pt idx="170">
                  <c:v>0.44787733957572673</c:v>
                </c:pt>
                <c:pt idx="171">
                  <c:v>0.34757077059766162</c:v>
                </c:pt>
                <c:pt idx="172">
                  <c:v>0.77090082149430583</c:v>
                </c:pt>
                <c:pt idx="173">
                  <c:v>-1.1161477300456135E-2</c:v>
                </c:pt>
                <c:pt idx="174">
                  <c:v>-0.31124411632913818</c:v>
                </c:pt>
                <c:pt idx="175">
                  <c:v>-0.15417910156279169</c:v>
                </c:pt>
                <c:pt idx="176">
                  <c:v>-0.28046678641236589</c:v>
                </c:pt>
                <c:pt idx="177">
                  <c:v>-0.48127171756702647</c:v>
                </c:pt>
                <c:pt idx="178">
                  <c:v>-0.55764922036890652</c:v>
                </c:pt>
                <c:pt idx="179">
                  <c:v>-0.57859318376035929</c:v>
                </c:pt>
                <c:pt idx="180">
                  <c:v>-0.50703119965976162</c:v>
                </c:pt>
                <c:pt idx="181">
                  <c:v>-0.47462971304036283</c:v>
                </c:pt>
                <c:pt idx="182">
                  <c:v>-0.43703771347607734</c:v>
                </c:pt>
                <c:pt idx="183">
                  <c:v>-0.50722718545625434</c:v>
                </c:pt>
                <c:pt idx="184">
                  <c:v>-0.64627911046578057</c:v>
                </c:pt>
                <c:pt idx="185">
                  <c:v>-0.54531375553285644</c:v>
                </c:pt>
                <c:pt idx="186">
                  <c:v>-0.13258243174254336</c:v>
                </c:pt>
                <c:pt idx="187">
                  <c:v>-0.34198374098997741</c:v>
                </c:pt>
                <c:pt idx="188">
                  <c:v>-0.35616037559571301</c:v>
                </c:pt>
                <c:pt idx="189">
                  <c:v>0.13611779615694575</c:v>
                </c:pt>
                <c:pt idx="190">
                  <c:v>0.20795933184693816</c:v>
                </c:pt>
                <c:pt idx="191">
                  <c:v>0.23131912443774683</c:v>
                </c:pt>
                <c:pt idx="192">
                  <c:v>0.44409469629619491</c:v>
                </c:pt>
                <c:pt idx="193">
                  <c:v>0.53861499893337572</c:v>
                </c:pt>
                <c:pt idx="194">
                  <c:v>0.68828218879506387</c:v>
                </c:pt>
                <c:pt idx="195">
                  <c:v>0.88422640423023435</c:v>
                </c:pt>
                <c:pt idx="196">
                  <c:v>1.0426961479530008</c:v>
                </c:pt>
                <c:pt idx="197">
                  <c:v>1.1065664045777597</c:v>
                </c:pt>
                <c:pt idx="198">
                  <c:v>0.7340846857086456</c:v>
                </c:pt>
                <c:pt idx="199">
                  <c:v>0.88345906713070588</c:v>
                </c:pt>
                <c:pt idx="200">
                  <c:v>0.74510152990611878</c:v>
                </c:pt>
                <c:pt idx="201">
                  <c:v>0.97119036472752107</c:v>
                </c:pt>
                <c:pt idx="202">
                  <c:v>0.64371246377690983</c:v>
                </c:pt>
                <c:pt idx="203">
                  <c:v>0.70261037695199891</c:v>
                </c:pt>
                <c:pt idx="204">
                  <c:v>0.34528104878244115</c:v>
                </c:pt>
                <c:pt idx="205">
                  <c:v>4.3172257986958451E-2</c:v>
                </c:pt>
                <c:pt idx="206">
                  <c:v>-1.6056976747738538E-2</c:v>
                </c:pt>
                <c:pt idx="207">
                  <c:v>4.6506201549324722E-2</c:v>
                </c:pt>
                <c:pt idx="208">
                  <c:v>-9.29970474336268E-2</c:v>
                </c:pt>
                <c:pt idx="209">
                  <c:v>-0.25119025429669095</c:v>
                </c:pt>
                <c:pt idx="210">
                  <c:v>-0.20937560177065728</c:v>
                </c:pt>
                <c:pt idx="211">
                  <c:v>-5.8886679605304915E-2</c:v>
                </c:pt>
                <c:pt idx="212">
                  <c:v>6.7393207812673772E-2</c:v>
                </c:pt>
                <c:pt idx="213">
                  <c:v>3.4866080780670661E-2</c:v>
                </c:pt>
                <c:pt idx="214">
                  <c:v>0.42196423356228752</c:v>
                </c:pt>
                <c:pt idx="215">
                  <c:v>0.53411909920329537</c:v>
                </c:pt>
                <c:pt idx="216">
                  <c:v>1.4183049678125967</c:v>
                </c:pt>
                <c:pt idx="217">
                  <c:v>2.5955143025879823</c:v>
                </c:pt>
                <c:pt idx="218">
                  <c:v>2.8829904775606692</c:v>
                </c:pt>
                <c:pt idx="219">
                  <c:v>3.2356447856119175</c:v>
                </c:pt>
                <c:pt idx="220">
                  <c:v>4.9069376671878429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2736"/>
        <c:axId val="-919073280"/>
      </c:lineChart>
      <c:dateAx>
        <c:axId val="-9190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96672"/>
        <c:crosses val="autoZero"/>
        <c:auto val="1"/>
        <c:lblOffset val="100"/>
        <c:baseTimeUnit val="days"/>
      </c:dateAx>
      <c:valAx>
        <c:axId val="-919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3824"/>
        <c:crosses val="autoZero"/>
        <c:crossBetween val="between"/>
      </c:valAx>
      <c:valAx>
        <c:axId val="-919073280"/>
        <c:scaling>
          <c:orientation val="minMax"/>
        </c:scaling>
        <c:delete val="0"/>
        <c:axPos val="r"/>
        <c:numFmt formatCode="_-* #,##0.00_-;\-* #,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2736"/>
        <c:crosses val="max"/>
        <c:crossBetween val="between"/>
      </c:valAx>
      <c:dateAx>
        <c:axId val="-919072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91907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76116</xdr:colOff>
      <xdr:row>0</xdr:row>
      <xdr:rowOff>97901</xdr:rowOff>
    </xdr:from>
    <xdr:to>
      <xdr:col>8</xdr:col>
      <xdr:colOff>770365</xdr:colOff>
      <xdr:row>13</xdr:row>
      <xdr:rowOff>136001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783641</xdr:colOff>
      <xdr:row>219</xdr:row>
      <xdr:rowOff>91017</xdr:rowOff>
    </xdr:from>
    <xdr:to>
      <xdr:col>16</xdr:col>
      <xdr:colOff>1296</xdr:colOff>
      <xdr:row>231</xdr:row>
      <xdr:rowOff>115924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FAC6A8-2F7F-A8CC-BB37-C3728F1A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49" y="49708940"/>
          <a:ext cx="4698193" cy="2750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535524</xdr:colOff>
      <xdr:row>51</xdr:row>
      <xdr:rowOff>42333</xdr:rowOff>
    </xdr:from>
    <xdr:to>
      <xdr:col>32</xdr:col>
      <xdr:colOff>855284</xdr:colOff>
      <xdr:row>77</xdr:row>
      <xdr:rowOff>110244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3524" y="4766733"/>
          <a:ext cx="8685673" cy="5448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35341</xdr:colOff>
      <xdr:row>32</xdr:row>
      <xdr:rowOff>133350</xdr:rowOff>
    </xdr:from>
    <xdr:to>
      <xdr:col>34</xdr:col>
      <xdr:colOff>475816</xdr:colOff>
      <xdr:row>69</xdr:row>
      <xdr:rowOff>227272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2716" y="1504950"/>
          <a:ext cx="8736750" cy="5343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10702</xdr:colOff>
      <xdr:row>28</xdr:row>
      <xdr:rowOff>32106</xdr:rowOff>
    </xdr:from>
    <xdr:to>
      <xdr:col>32</xdr:col>
      <xdr:colOff>284491</xdr:colOff>
      <xdr:row>69</xdr:row>
      <xdr:rowOff>47798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3118" y="802668"/>
          <a:ext cx="8695280" cy="5220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85618</xdr:colOff>
      <xdr:row>39</xdr:row>
      <xdr:rowOff>128427</xdr:rowOff>
    </xdr:from>
    <xdr:to>
      <xdr:col>32</xdr:col>
      <xdr:colOff>323556</xdr:colOff>
      <xdr:row>57</xdr:row>
      <xdr:rowOff>96899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9747" y="2547135"/>
          <a:ext cx="5559588" cy="2740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417635</xdr:colOff>
      <xdr:row>14</xdr:row>
      <xdr:rowOff>2314</xdr:rowOff>
    </xdr:from>
    <xdr:to>
      <xdr:col>29</xdr:col>
      <xdr:colOff>480008</xdr:colOff>
      <xdr:row>50</xdr:row>
      <xdr:rowOff>44388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3577" y="1526314"/>
          <a:ext cx="8737450" cy="53124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567218</xdr:colOff>
      <xdr:row>3</xdr:row>
      <xdr:rowOff>128428</xdr:rowOff>
    </xdr:from>
    <xdr:to>
      <xdr:col>33</xdr:col>
      <xdr:colOff>206757</xdr:colOff>
      <xdr:row>69</xdr:row>
      <xdr:rowOff>22284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9634" y="706349"/>
          <a:ext cx="8703614" cy="5218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458120</xdr:colOff>
      <xdr:row>50</xdr:row>
      <xdr:rowOff>193077</xdr:rowOff>
    </xdr:from>
    <xdr:to>
      <xdr:col>48</xdr:col>
      <xdr:colOff>474105</xdr:colOff>
      <xdr:row>76</xdr:row>
      <xdr:rowOff>38089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1453" y="4697344"/>
          <a:ext cx="7944595" cy="5213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610028</xdr:colOff>
      <xdr:row>3</xdr:row>
      <xdr:rowOff>85619</xdr:rowOff>
    </xdr:from>
    <xdr:to>
      <xdr:col>32</xdr:col>
      <xdr:colOff>151096</xdr:colOff>
      <xdr:row>66</xdr:row>
      <xdr:rowOff>77296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6124" y="663540"/>
          <a:ext cx="7953034" cy="4729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824074</xdr:colOff>
      <xdr:row>3</xdr:row>
      <xdr:rowOff>149832</xdr:rowOff>
    </xdr:from>
    <xdr:to>
      <xdr:col>30</xdr:col>
      <xdr:colOff>594219</xdr:colOff>
      <xdr:row>67</xdr:row>
      <xdr:rowOff>36051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6" y="727753"/>
          <a:ext cx="7956187" cy="4729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652838</xdr:colOff>
      <xdr:row>2</xdr:row>
      <xdr:rowOff>53512</xdr:rowOff>
    </xdr:from>
    <xdr:to>
      <xdr:col>33</xdr:col>
      <xdr:colOff>627361</xdr:colOff>
      <xdr:row>65</xdr:row>
      <xdr:rowOff>163325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714" y="438793"/>
          <a:ext cx="7950330" cy="472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428089</xdr:colOff>
      <xdr:row>34</xdr:row>
      <xdr:rowOff>74916</xdr:rowOff>
    </xdr:from>
    <xdr:to>
      <xdr:col>33</xdr:col>
      <xdr:colOff>53579</xdr:colOff>
      <xdr:row>69</xdr:row>
      <xdr:rowOff>39844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5" y="1744467"/>
          <a:ext cx="8695280" cy="52559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74916</xdr:colOff>
      <xdr:row>31</xdr:row>
      <xdr:rowOff>74916</xdr:rowOff>
    </xdr:from>
    <xdr:to>
      <xdr:col>34</xdr:col>
      <xdr:colOff>136011</xdr:colOff>
      <xdr:row>69</xdr:row>
      <xdr:rowOff>17728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9832" y="1294972"/>
          <a:ext cx="8696631" cy="5216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288960</xdr:colOff>
      <xdr:row>31</xdr:row>
      <xdr:rowOff>0</xdr:rowOff>
    </xdr:from>
    <xdr:to>
      <xdr:col>34</xdr:col>
      <xdr:colOff>362039</xdr:colOff>
      <xdr:row>69</xdr:row>
      <xdr:rowOff>63736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8089" y="1220056"/>
          <a:ext cx="8695280" cy="52559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336177</xdr:colOff>
      <xdr:row>33</xdr:row>
      <xdr:rowOff>89647</xdr:rowOff>
    </xdr:from>
    <xdr:to>
      <xdr:col>32</xdr:col>
      <xdr:colOff>590295</xdr:colOff>
      <xdr:row>69</xdr:row>
      <xdr:rowOff>25711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1" y="1636059"/>
          <a:ext cx="8767002" cy="52842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524411</xdr:colOff>
      <xdr:row>30</xdr:row>
      <xdr:rowOff>64213</xdr:rowOff>
    </xdr:from>
    <xdr:to>
      <xdr:col>36</xdr:col>
      <xdr:colOff>593411</xdr:colOff>
      <xdr:row>68</xdr:row>
      <xdr:rowOff>136056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467" y="1134438"/>
          <a:ext cx="8691201" cy="51150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385281</xdr:colOff>
      <xdr:row>31</xdr:row>
      <xdr:rowOff>117725</xdr:rowOff>
    </xdr:from>
    <xdr:to>
      <xdr:col>31</xdr:col>
      <xdr:colOff>229779</xdr:colOff>
      <xdr:row>69</xdr:row>
      <xdr:rowOff>22314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343" y="1337781"/>
          <a:ext cx="8673852" cy="517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7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8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9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zoomScale="130" zoomScaleNormal="130" workbookViewId="0">
      <pane xSplit="1" ySplit="14" topLeftCell="B243" activePane="bottomRight" state="frozen"/>
      <selection activeCell="G236" sqref="G236"/>
      <selection pane="topRight" activeCell="G236" sqref="G236"/>
      <selection pane="bottomLeft" activeCell="G236" sqref="G236"/>
      <selection pane="bottomRight" activeCell="A246" sqref="A246:D251"/>
    </sheetView>
  </sheetViews>
  <sheetFormatPr defaultRowHeight="17.399999999999999"/>
  <cols>
    <col min="1" max="2" width="14.59765625" customWidth="1"/>
    <col min="4" max="4" width="12.19921875" bestFit="1" customWidth="1"/>
    <col min="5" max="5" width="17.19921875" bestFit="1" customWidth="1"/>
    <col min="6" max="7" width="10.59765625" customWidth="1"/>
    <col min="8" max="8" width="15.59765625" bestFit="1" customWidth="1"/>
    <col min="9" max="9" width="10.59765625" customWidth="1"/>
  </cols>
  <sheetData>
    <row r="1" spans="1:12" ht="15" customHeight="1">
      <c r="A1" s="149" t="s">
        <v>706</v>
      </c>
      <c r="B1" t="s">
        <v>1457</v>
      </c>
      <c r="L1" t="s">
        <v>1406</v>
      </c>
    </row>
    <row r="2" spans="1:12">
      <c r="A2" s="150">
        <v>0</v>
      </c>
      <c r="L2" t="s">
        <v>1407</v>
      </c>
    </row>
    <row r="3" spans="1:12">
      <c r="A3" s="152" t="s">
        <v>707</v>
      </c>
    </row>
    <row r="4" spans="1:12">
      <c r="A4" s="154" t="s">
        <v>714</v>
      </c>
      <c r="B4" s="154" t="s">
        <v>708</v>
      </c>
      <c r="C4" s="154" t="s">
        <v>709</v>
      </c>
      <c r="D4" s="154">
        <v>0</v>
      </c>
      <c r="E4" s="153"/>
      <c r="F4" s="153"/>
      <c r="G4" s="153"/>
      <c r="H4" s="153"/>
      <c r="I4" s="153"/>
      <c r="L4" t="s">
        <v>1408</v>
      </c>
    </row>
    <row r="5" spans="1:12">
      <c r="A5" s="153" t="s">
        <v>715</v>
      </c>
      <c r="B5" s="153">
        <v>20070131</v>
      </c>
      <c r="C5" s="153" t="s">
        <v>710</v>
      </c>
      <c r="D5" s="153">
        <v>0</v>
      </c>
      <c r="E5" s="153"/>
      <c r="F5" s="153"/>
      <c r="G5" s="153"/>
      <c r="H5" s="153"/>
      <c r="I5" s="153"/>
      <c r="L5" t="s">
        <v>1409</v>
      </c>
    </row>
    <row r="6" spans="1:12">
      <c r="A6" s="155" t="s">
        <v>716</v>
      </c>
      <c r="B6" s="155" t="s">
        <v>1458</v>
      </c>
      <c r="C6" s="155"/>
      <c r="D6" s="155"/>
      <c r="E6" s="153"/>
      <c r="F6" s="153"/>
      <c r="G6" s="153"/>
      <c r="H6" s="153"/>
      <c r="I6" s="153"/>
      <c r="L6" t="s">
        <v>1410</v>
      </c>
    </row>
    <row r="8" spans="1:12">
      <c r="A8" s="159" t="s">
        <v>1392</v>
      </c>
      <c r="B8" s="160" t="s">
        <v>711</v>
      </c>
      <c r="L8" t="s">
        <v>1411</v>
      </c>
    </row>
    <row r="9" spans="1:12">
      <c r="A9" s="296" t="s">
        <v>1393</v>
      </c>
      <c r="B9" s="161" t="s">
        <v>1397</v>
      </c>
      <c r="L9" t="s">
        <v>1412</v>
      </c>
    </row>
    <row r="10" spans="1:12">
      <c r="A10" s="156" t="s">
        <v>1394</v>
      </c>
      <c r="B10" s="151" t="s">
        <v>712</v>
      </c>
      <c r="L10" t="s">
        <v>1413</v>
      </c>
    </row>
    <row r="11" spans="1:12">
      <c r="A11" s="156" t="s">
        <v>1395</v>
      </c>
      <c r="B11" s="151" t="s">
        <v>713</v>
      </c>
    </row>
    <row r="12" spans="1:12">
      <c r="A12" s="156" t="s">
        <v>1396</v>
      </c>
      <c r="B12" s="151"/>
    </row>
    <row r="13" spans="1:12">
      <c r="A13" s="296"/>
      <c r="B13" s="162"/>
    </row>
    <row r="14" spans="1:12" ht="18" thickBot="1">
      <c r="A14" s="163" t="s">
        <v>1391</v>
      </c>
      <c r="B14" s="164" t="s">
        <v>1398</v>
      </c>
      <c r="C14" t="s">
        <v>717</v>
      </c>
      <c r="D14" t="s">
        <v>718</v>
      </c>
      <c r="E14" t="s">
        <v>719</v>
      </c>
    </row>
    <row r="15" spans="1:12" ht="18" thickBot="1">
      <c r="A15" s="157">
        <v>39113</v>
      </c>
      <c r="B15" s="158">
        <v>11580</v>
      </c>
      <c r="C15">
        <v>2282.1671195329859</v>
      </c>
      <c r="E15" s="167">
        <v>673429633</v>
      </c>
      <c r="G15" s="165">
        <v>22</v>
      </c>
      <c r="H15" s="169">
        <f>E15/G15</f>
        <v>30610437.863636363</v>
      </c>
    </row>
    <row r="16" spans="1:12" ht="18" thickBot="1">
      <c r="A16" s="157">
        <v>39141</v>
      </c>
      <c r="B16" s="158">
        <v>11340</v>
      </c>
      <c r="C16">
        <v>2080.0801069688991</v>
      </c>
      <c r="E16" s="167">
        <v>521299068</v>
      </c>
      <c r="G16" s="165">
        <v>20</v>
      </c>
      <c r="H16" s="169">
        <f t="shared" ref="H16:H79" si="0">E16/G16</f>
        <v>26064953.399999999</v>
      </c>
    </row>
    <row r="17" spans="1:9" ht="18" thickBot="1">
      <c r="A17" s="157">
        <v>39171</v>
      </c>
      <c r="B17" s="158">
        <v>11260</v>
      </c>
      <c r="C17">
        <v>1436.0642863504213</v>
      </c>
      <c r="E17" s="167">
        <v>545020575</v>
      </c>
      <c r="G17" s="165">
        <v>21</v>
      </c>
      <c r="H17" s="169">
        <f t="shared" si="0"/>
        <v>25953360.714285713</v>
      </c>
    </row>
    <row r="18" spans="1:9" ht="18" thickBot="1">
      <c r="A18" s="157">
        <v>39202</v>
      </c>
      <c r="B18" s="158">
        <v>11480</v>
      </c>
      <c r="C18">
        <v>1253.1915586333237</v>
      </c>
      <c r="E18" s="167">
        <v>517709975</v>
      </c>
      <c r="G18" s="165">
        <v>21</v>
      </c>
      <c r="H18" s="169">
        <f t="shared" si="0"/>
        <v>24652855.952380951</v>
      </c>
    </row>
    <row r="19" spans="1:9" ht="18" thickBot="1">
      <c r="A19" s="157">
        <v>39233</v>
      </c>
      <c r="B19" s="158">
        <v>10700</v>
      </c>
      <c r="C19">
        <v>1256.4750186400738</v>
      </c>
      <c r="E19" s="167">
        <v>411857936</v>
      </c>
      <c r="G19" s="165">
        <v>23</v>
      </c>
      <c r="H19" s="169">
        <f t="shared" si="0"/>
        <v>17906866.782608695</v>
      </c>
    </row>
    <row r="20" spans="1:9" ht="18" thickBot="1">
      <c r="A20" s="157">
        <v>39262</v>
      </c>
      <c r="B20" s="158">
        <v>11320</v>
      </c>
      <c r="C20">
        <v>1340.1394387403361</v>
      </c>
      <c r="E20" s="167">
        <v>464977996</v>
      </c>
      <c r="G20" s="165">
        <v>20</v>
      </c>
      <c r="H20" s="169">
        <f t="shared" si="0"/>
        <v>23248899.800000001</v>
      </c>
    </row>
    <row r="21" spans="1:9" ht="18" thickBot="1">
      <c r="A21" s="157">
        <v>39294</v>
      </c>
      <c r="B21" s="158">
        <v>12280</v>
      </c>
      <c r="C21">
        <v>1321.8146585173688</v>
      </c>
      <c r="E21" s="167">
        <v>468238435</v>
      </c>
      <c r="G21" s="165">
        <v>22</v>
      </c>
      <c r="H21" s="169">
        <f t="shared" si="0"/>
        <v>21283565.227272727</v>
      </c>
    </row>
    <row r="22" spans="1:9" ht="18" thickBot="1">
      <c r="A22" s="157">
        <v>39325</v>
      </c>
      <c r="B22" s="158">
        <v>11820</v>
      </c>
      <c r="C22">
        <v>1391.3241090244705</v>
      </c>
      <c r="E22" s="167">
        <v>524072000</v>
      </c>
      <c r="G22" s="165">
        <v>22</v>
      </c>
      <c r="H22" s="169">
        <f t="shared" si="0"/>
        <v>23821454.545454547</v>
      </c>
    </row>
    <row r="23" spans="1:9" ht="18" thickBot="1">
      <c r="A23" s="157">
        <v>39353</v>
      </c>
      <c r="B23" s="158">
        <v>11500</v>
      </c>
      <c r="C23">
        <v>1447.5452776626728</v>
      </c>
      <c r="E23" s="167">
        <v>472642496</v>
      </c>
      <c r="G23" s="165">
        <v>20</v>
      </c>
      <c r="H23" s="169">
        <f t="shared" si="0"/>
        <v>23632124.800000001</v>
      </c>
    </row>
    <row r="24" spans="1:9" ht="18" thickBot="1">
      <c r="A24" s="157">
        <v>39386</v>
      </c>
      <c r="B24" s="158">
        <v>11000</v>
      </c>
      <c r="C24">
        <v>1291.1539436692597</v>
      </c>
      <c r="E24" s="167">
        <v>449158887</v>
      </c>
      <c r="G24" s="165">
        <v>21</v>
      </c>
      <c r="H24" s="169">
        <f t="shared" si="0"/>
        <v>21388518.428571429</v>
      </c>
    </row>
    <row r="25" spans="1:9" ht="18" thickBot="1">
      <c r="A25" s="157">
        <v>39416</v>
      </c>
      <c r="B25" s="158">
        <v>11300</v>
      </c>
      <c r="C25">
        <v>1428.4300750258894</v>
      </c>
      <c r="E25" s="167">
        <v>429390223</v>
      </c>
      <c r="G25" s="165">
        <v>22</v>
      </c>
      <c r="H25" s="169">
        <f t="shared" si="0"/>
        <v>19517737.40909091</v>
      </c>
    </row>
    <row r="26" spans="1:9" ht="18" thickBot="1">
      <c r="A26" s="157">
        <v>39444</v>
      </c>
      <c r="B26" s="158">
        <v>11120</v>
      </c>
      <c r="C26">
        <v>1094.2401352678844</v>
      </c>
      <c r="E26" s="167">
        <v>377614611</v>
      </c>
      <c r="G26" s="165">
        <v>19</v>
      </c>
      <c r="H26" s="169">
        <f t="shared" si="0"/>
        <v>19874453.210526317</v>
      </c>
    </row>
    <row r="27" spans="1:9" ht="18" thickBot="1">
      <c r="A27" s="157">
        <v>39478</v>
      </c>
      <c r="B27" s="158">
        <v>11900</v>
      </c>
      <c r="C27">
        <v>1031.8421833031643</v>
      </c>
      <c r="D27" s="166">
        <f>C27/C15-1</f>
        <v>-0.54786738689219372</v>
      </c>
      <c r="E27" s="167">
        <v>388308216</v>
      </c>
      <c r="F27" s="166">
        <f>E27/E15-1</f>
        <v>-0.42338709648079886</v>
      </c>
      <c r="G27" s="165">
        <v>22</v>
      </c>
      <c r="H27" s="169">
        <f t="shared" si="0"/>
        <v>17650373.454545453</v>
      </c>
      <c r="I27" s="166">
        <f>H27/H15-1</f>
        <v>-0.42338709648079897</v>
      </c>
    </row>
    <row r="28" spans="1:9" ht="18" thickBot="1">
      <c r="A28" s="157">
        <v>39507</v>
      </c>
      <c r="B28" s="158">
        <v>11200</v>
      </c>
      <c r="C28">
        <v>1138.3693296481963</v>
      </c>
      <c r="D28" s="166">
        <f t="shared" ref="D28:F91" si="1">C28/C16-1</f>
        <v>-0.45272813011656909</v>
      </c>
      <c r="E28" s="167">
        <v>404505084</v>
      </c>
      <c r="F28" s="166">
        <f t="shared" si="1"/>
        <v>-0.2240441066739064</v>
      </c>
      <c r="G28" s="165">
        <v>21</v>
      </c>
      <c r="H28" s="169">
        <f t="shared" si="0"/>
        <v>19262146.857142858</v>
      </c>
      <c r="I28" s="166">
        <f t="shared" ref="I28:I91" si="2">H28/H16-1</f>
        <v>-0.26099438730848223</v>
      </c>
    </row>
    <row r="29" spans="1:9" ht="18" thickBot="1">
      <c r="A29" s="157">
        <v>39538</v>
      </c>
      <c r="B29" s="158">
        <v>12460</v>
      </c>
      <c r="C29">
        <v>1315.5591003724498</v>
      </c>
      <c r="D29" s="166">
        <f t="shared" si="1"/>
        <v>-8.3913503819679547E-2</v>
      </c>
      <c r="E29" s="167">
        <v>476066897</v>
      </c>
      <c r="F29" s="166">
        <f t="shared" si="1"/>
        <v>-0.12651573383261727</v>
      </c>
      <c r="G29" s="165">
        <v>21</v>
      </c>
      <c r="H29" s="169">
        <f t="shared" si="0"/>
        <v>22669852.238095239</v>
      </c>
      <c r="I29" s="166">
        <f t="shared" si="2"/>
        <v>-0.12651573383261716</v>
      </c>
    </row>
    <row r="30" spans="1:9" ht="18" thickBot="1">
      <c r="A30" s="157">
        <v>39568</v>
      </c>
      <c r="B30" s="158">
        <v>14220</v>
      </c>
      <c r="C30">
        <v>1254.1787177228073</v>
      </c>
      <c r="D30" s="166">
        <f t="shared" si="1"/>
        <v>7.8771603804939083E-4</v>
      </c>
      <c r="E30" s="167">
        <v>425342672</v>
      </c>
      <c r="F30" s="166">
        <f t="shared" si="1"/>
        <v>-0.17841515029722965</v>
      </c>
      <c r="G30" s="165">
        <v>22</v>
      </c>
      <c r="H30" s="169">
        <f t="shared" si="0"/>
        <v>19333757.818181816</v>
      </c>
      <c r="I30" s="166">
        <f t="shared" si="2"/>
        <v>-0.2157599161928101</v>
      </c>
    </row>
    <row r="31" spans="1:9" ht="18" thickBot="1">
      <c r="A31" s="157">
        <v>39598</v>
      </c>
      <c r="B31" s="158">
        <v>14820</v>
      </c>
      <c r="C31">
        <v>1336.0880653792442</v>
      </c>
      <c r="D31" s="166">
        <f t="shared" si="1"/>
        <v>6.3362220146118142E-2</v>
      </c>
      <c r="E31" s="167">
        <v>457504077</v>
      </c>
      <c r="F31" s="166">
        <f t="shared" si="1"/>
        <v>0.11082982021256971</v>
      </c>
      <c r="G31" s="165">
        <v>21</v>
      </c>
      <c r="H31" s="169">
        <f t="shared" si="0"/>
        <v>21785908.428571429</v>
      </c>
      <c r="I31" s="166">
        <f t="shared" si="2"/>
        <v>0.21662313642329067</v>
      </c>
    </row>
    <row r="32" spans="1:9" ht="18" thickBot="1">
      <c r="A32" s="157">
        <v>39629</v>
      </c>
      <c r="B32" s="158">
        <v>12500</v>
      </c>
      <c r="C32">
        <v>1405.2222095026755</v>
      </c>
      <c r="D32" s="166">
        <f t="shared" si="1"/>
        <v>4.8564178383940337E-2</v>
      </c>
      <c r="E32" s="167">
        <v>478735318</v>
      </c>
      <c r="F32" s="166">
        <f t="shared" si="1"/>
        <v>2.9587038781078157E-2</v>
      </c>
      <c r="G32" s="165">
        <v>20</v>
      </c>
      <c r="H32" s="169">
        <f t="shared" si="0"/>
        <v>23936765.899999999</v>
      </c>
      <c r="I32" s="166">
        <f t="shared" si="2"/>
        <v>2.9587038781078157E-2</v>
      </c>
    </row>
    <row r="33" spans="1:9" ht="18" thickBot="1">
      <c r="A33" s="157">
        <v>39660</v>
      </c>
      <c r="B33" s="158">
        <v>11280</v>
      </c>
      <c r="C33">
        <v>1427.830972680709</v>
      </c>
      <c r="D33" s="166">
        <f t="shared" si="1"/>
        <v>8.0205128215369292E-2</v>
      </c>
      <c r="E33" s="167">
        <v>547325021</v>
      </c>
      <c r="F33" s="166">
        <f t="shared" si="1"/>
        <v>0.16890237983133538</v>
      </c>
      <c r="G33" s="165">
        <v>23</v>
      </c>
      <c r="H33" s="169">
        <f t="shared" si="0"/>
        <v>23796740.043478262</v>
      </c>
      <c r="I33" s="166">
        <f t="shared" si="2"/>
        <v>0.11808053722997292</v>
      </c>
    </row>
    <row r="34" spans="1:9" ht="18" thickBot="1">
      <c r="A34" s="157">
        <v>39689</v>
      </c>
      <c r="B34" s="158">
        <v>10320</v>
      </c>
      <c r="C34">
        <v>1260.4472665222086</v>
      </c>
      <c r="D34" s="166">
        <f t="shared" si="1"/>
        <v>-9.4066394489510041E-2</v>
      </c>
      <c r="E34" s="167">
        <v>568252609</v>
      </c>
      <c r="F34" s="166">
        <f t="shared" si="1"/>
        <v>8.4302555755697783E-2</v>
      </c>
      <c r="G34" s="165">
        <v>20</v>
      </c>
      <c r="H34" s="169">
        <f t="shared" si="0"/>
        <v>28412630.449999999</v>
      </c>
      <c r="I34" s="166">
        <f t="shared" si="2"/>
        <v>0.19273281133126741</v>
      </c>
    </row>
    <row r="35" spans="1:9" ht="18" thickBot="1">
      <c r="A35" s="157">
        <v>39721</v>
      </c>
      <c r="B35" s="158">
        <v>10780</v>
      </c>
      <c r="C35">
        <v>1092.0841392573157</v>
      </c>
      <c r="D35" s="166">
        <f t="shared" si="1"/>
        <v>-0.24556132639893258</v>
      </c>
      <c r="E35" s="167">
        <v>481671245</v>
      </c>
      <c r="F35" s="166">
        <f t="shared" si="1"/>
        <v>1.9102702521273107E-2</v>
      </c>
      <c r="G35" s="165">
        <v>22</v>
      </c>
      <c r="H35" s="169">
        <f t="shared" si="0"/>
        <v>21894147.5</v>
      </c>
      <c r="I35" s="166">
        <f t="shared" si="2"/>
        <v>-7.3542997707933599E-2</v>
      </c>
    </row>
    <row r="36" spans="1:9" ht="18" thickBot="1">
      <c r="A36" s="157">
        <v>39752</v>
      </c>
      <c r="B36" s="158">
        <v>10700</v>
      </c>
      <c r="C36">
        <v>850.73945189147094</v>
      </c>
      <c r="D36" s="166">
        <f t="shared" si="1"/>
        <v>-0.34110145729501384</v>
      </c>
      <c r="E36" s="167">
        <v>368762884</v>
      </c>
      <c r="F36" s="166">
        <f t="shared" si="1"/>
        <v>-0.17899234619841775</v>
      </c>
      <c r="G36" s="165">
        <v>21</v>
      </c>
      <c r="H36" s="169">
        <f t="shared" si="0"/>
        <v>17560137.333333332</v>
      </c>
      <c r="I36" s="166">
        <f t="shared" si="2"/>
        <v>-0.17899234619841786</v>
      </c>
    </row>
    <row r="37" spans="1:9" ht="18" thickBot="1">
      <c r="A37" s="157">
        <v>39780</v>
      </c>
      <c r="B37" s="158">
        <v>9720</v>
      </c>
      <c r="C37">
        <v>776.73353381082302</v>
      </c>
      <c r="D37" s="166">
        <f t="shared" si="1"/>
        <v>-0.45623272192953146</v>
      </c>
      <c r="E37" s="167">
        <v>317521445</v>
      </c>
      <c r="F37" s="166">
        <f t="shared" si="1"/>
        <v>-0.26052940194681606</v>
      </c>
      <c r="G37" s="165">
        <v>20</v>
      </c>
      <c r="H37" s="169">
        <f t="shared" si="0"/>
        <v>15876072.25</v>
      </c>
      <c r="I37" s="166">
        <f t="shared" si="2"/>
        <v>-0.18658234214149771</v>
      </c>
    </row>
    <row r="38" spans="1:9" ht="18" thickBot="1">
      <c r="A38" s="157">
        <v>39812</v>
      </c>
      <c r="B38" s="158">
        <v>9020</v>
      </c>
      <c r="C38">
        <v>791.41503657492876</v>
      </c>
      <c r="D38" s="166">
        <f t="shared" si="1"/>
        <v>-0.2767446458348195</v>
      </c>
      <c r="E38" s="167">
        <v>273625655</v>
      </c>
      <c r="F38" s="166">
        <f t="shared" si="1"/>
        <v>-0.27538382512428794</v>
      </c>
      <c r="G38" s="165">
        <v>21</v>
      </c>
      <c r="H38" s="169">
        <f t="shared" si="0"/>
        <v>13029793.095238095</v>
      </c>
      <c r="I38" s="166">
        <f t="shared" si="2"/>
        <v>-0.34439488939816532</v>
      </c>
    </row>
    <row r="39" spans="1:9" ht="18" thickBot="1">
      <c r="A39" s="157">
        <v>39843</v>
      </c>
      <c r="B39" s="158">
        <v>9760</v>
      </c>
      <c r="C39">
        <v>739.10391503289554</v>
      </c>
      <c r="D39" s="166">
        <f t="shared" si="1"/>
        <v>-0.28370449765209849</v>
      </c>
      <c r="E39" s="167">
        <v>239499750</v>
      </c>
      <c r="F39" s="166">
        <f t="shared" si="1"/>
        <v>-0.38322255329256283</v>
      </c>
      <c r="G39" s="165">
        <v>21</v>
      </c>
      <c r="H39" s="169">
        <f t="shared" si="0"/>
        <v>11404750</v>
      </c>
      <c r="I39" s="166">
        <f t="shared" si="2"/>
        <v>-0.35385219868744677</v>
      </c>
    </row>
    <row r="40" spans="1:9" ht="18" thickBot="1">
      <c r="A40" s="157">
        <v>39871</v>
      </c>
      <c r="B40" s="158">
        <v>9540</v>
      </c>
      <c r="C40">
        <v>759.22023325751286</v>
      </c>
      <c r="D40" s="166">
        <f t="shared" si="1"/>
        <v>-0.33306334465973042</v>
      </c>
      <c r="E40" s="167">
        <v>259880934</v>
      </c>
      <c r="F40" s="166">
        <f t="shared" si="1"/>
        <v>-0.35753357799577123</v>
      </c>
      <c r="G40" s="165">
        <v>20</v>
      </c>
      <c r="H40" s="169">
        <f t="shared" si="0"/>
        <v>12994046.699999999</v>
      </c>
      <c r="I40" s="166">
        <f t="shared" si="2"/>
        <v>-0.32541025689555991</v>
      </c>
    </row>
    <row r="41" spans="1:9" ht="18" thickBot="1">
      <c r="A41" s="157">
        <v>39903</v>
      </c>
      <c r="B41" s="158">
        <v>11360</v>
      </c>
      <c r="C41">
        <v>874.0135313714211</v>
      </c>
      <c r="D41" s="166">
        <f t="shared" si="1"/>
        <v>-0.33563339638334921</v>
      </c>
      <c r="E41" s="167">
        <v>285520905</v>
      </c>
      <c r="F41" s="166">
        <f t="shared" si="1"/>
        <v>-0.40025045471708154</v>
      </c>
      <c r="G41" s="165">
        <v>22</v>
      </c>
      <c r="H41" s="169">
        <f t="shared" si="0"/>
        <v>12978222.954545455</v>
      </c>
      <c r="I41" s="166">
        <f t="shared" si="2"/>
        <v>-0.42751179768448688</v>
      </c>
    </row>
    <row r="42" spans="1:9" ht="18" thickBot="1">
      <c r="A42" s="157">
        <v>39933</v>
      </c>
      <c r="B42" s="158">
        <v>11840</v>
      </c>
      <c r="C42">
        <v>875.20310305862301</v>
      </c>
      <c r="D42" s="166">
        <f t="shared" si="1"/>
        <v>-0.30217034407367749</v>
      </c>
      <c r="E42" s="167">
        <v>334438036</v>
      </c>
      <c r="F42" s="166">
        <f t="shared" si="1"/>
        <v>-0.21372094074774606</v>
      </c>
      <c r="G42" s="165">
        <v>22</v>
      </c>
      <c r="H42" s="169">
        <f t="shared" si="0"/>
        <v>15201728.909090908</v>
      </c>
      <c r="I42" s="166">
        <f t="shared" si="2"/>
        <v>-0.21372094074774606</v>
      </c>
    </row>
    <row r="43" spans="1:9" ht="18" thickBot="1">
      <c r="A43" s="157">
        <v>39962</v>
      </c>
      <c r="B43" s="158">
        <v>11160</v>
      </c>
      <c r="C43">
        <v>1024.7461047717561</v>
      </c>
      <c r="D43" s="166">
        <f t="shared" si="1"/>
        <v>-0.23302502931879321</v>
      </c>
      <c r="E43" s="167">
        <v>378436687</v>
      </c>
      <c r="F43" s="166">
        <f t="shared" si="1"/>
        <v>-0.17282335606377563</v>
      </c>
      <c r="G43" s="165">
        <v>20</v>
      </c>
      <c r="H43" s="169">
        <f t="shared" si="0"/>
        <v>18921834.350000001</v>
      </c>
      <c r="I43" s="166">
        <f t="shared" si="2"/>
        <v>-0.13146452386696428</v>
      </c>
    </row>
    <row r="44" spans="1:9" ht="18" thickBot="1">
      <c r="A44" s="157">
        <v>39994</v>
      </c>
      <c r="B44" s="158">
        <v>11840</v>
      </c>
      <c r="C44">
        <v>1001.8370918784999</v>
      </c>
      <c r="D44" s="166">
        <f t="shared" si="1"/>
        <v>-0.28706144472833106</v>
      </c>
      <c r="E44" s="167">
        <v>414883782</v>
      </c>
      <c r="F44" s="166">
        <f t="shared" si="1"/>
        <v>-0.13337544484236274</v>
      </c>
      <c r="G44" s="165">
        <v>22</v>
      </c>
      <c r="H44" s="169">
        <f t="shared" si="0"/>
        <v>18858353.727272727</v>
      </c>
      <c r="I44" s="166">
        <f t="shared" si="2"/>
        <v>-0.2121594953112389</v>
      </c>
    </row>
    <row r="45" spans="1:9" ht="18" thickBot="1">
      <c r="A45" s="157">
        <v>40025</v>
      </c>
      <c r="B45" s="158">
        <v>14480</v>
      </c>
      <c r="C45">
        <v>1139.9135587161375</v>
      </c>
      <c r="D45" s="166">
        <f t="shared" si="1"/>
        <v>-0.20164670711969179</v>
      </c>
      <c r="E45" s="167">
        <v>488517707</v>
      </c>
      <c r="F45" s="166">
        <f t="shared" si="1"/>
        <v>-0.10744495819422806</v>
      </c>
      <c r="G45" s="165">
        <v>23</v>
      </c>
      <c r="H45" s="169">
        <f t="shared" si="0"/>
        <v>21239900.304347824</v>
      </c>
      <c r="I45" s="166">
        <f t="shared" si="2"/>
        <v>-0.10744495819422817</v>
      </c>
    </row>
    <row r="46" spans="1:9" ht="18" thickBot="1">
      <c r="A46" s="157">
        <v>40056</v>
      </c>
      <c r="B46" s="158">
        <v>15420</v>
      </c>
      <c r="C46">
        <v>1217.8122840665262</v>
      </c>
      <c r="D46" s="166">
        <f t="shared" si="1"/>
        <v>-3.3825280587358231E-2</v>
      </c>
      <c r="E46" s="167">
        <v>508988054</v>
      </c>
      <c r="F46" s="166">
        <f t="shared" si="1"/>
        <v>-0.10429262279022811</v>
      </c>
      <c r="G46" s="165">
        <v>21</v>
      </c>
      <c r="H46" s="169">
        <f t="shared" si="0"/>
        <v>24237526.380952381</v>
      </c>
      <c r="I46" s="166">
        <f t="shared" si="2"/>
        <v>-0.14694535503831252</v>
      </c>
    </row>
    <row r="47" spans="1:9" ht="18" thickBot="1">
      <c r="A47" s="157">
        <v>40086</v>
      </c>
      <c r="B47" s="158">
        <v>16300</v>
      </c>
      <c r="C47">
        <v>1313.842660626512</v>
      </c>
      <c r="D47" s="166">
        <f t="shared" si="1"/>
        <v>0.20305992313010401</v>
      </c>
      <c r="E47" s="167">
        <v>534108311</v>
      </c>
      <c r="F47" s="166">
        <f t="shared" si="1"/>
        <v>0.10886484618777681</v>
      </c>
      <c r="G47" s="165">
        <v>22</v>
      </c>
      <c r="H47" s="169">
        <f t="shared" si="0"/>
        <v>24277650.5</v>
      </c>
      <c r="I47" s="166">
        <f t="shared" si="2"/>
        <v>0.10886484618777681</v>
      </c>
    </row>
    <row r="48" spans="1:9" ht="18" thickBot="1">
      <c r="A48" s="157">
        <v>40116</v>
      </c>
      <c r="B48" s="158">
        <v>14460</v>
      </c>
      <c r="C48">
        <v>1609.8169201228957</v>
      </c>
      <c r="D48" s="166">
        <f t="shared" si="1"/>
        <v>0.89225610325670002</v>
      </c>
      <c r="E48" s="167">
        <v>633155805</v>
      </c>
      <c r="F48" s="166">
        <f t="shared" si="1"/>
        <v>0.71697270108127253</v>
      </c>
      <c r="G48" s="165">
        <v>21</v>
      </c>
      <c r="H48" s="169">
        <f t="shared" si="0"/>
        <v>30150276.428571429</v>
      </c>
      <c r="I48" s="166">
        <f t="shared" si="2"/>
        <v>0.71697270108127276</v>
      </c>
    </row>
    <row r="49" spans="1:9" ht="18" thickBot="1">
      <c r="A49" s="157">
        <v>40147</v>
      </c>
      <c r="B49" s="158">
        <v>14400</v>
      </c>
      <c r="C49">
        <v>1706.7806816463274</v>
      </c>
      <c r="D49" s="166">
        <f t="shared" si="1"/>
        <v>1.197382509381939</v>
      </c>
      <c r="E49" s="167">
        <v>687308121</v>
      </c>
      <c r="F49" s="166">
        <f t="shared" si="1"/>
        <v>1.1646037829035452</v>
      </c>
      <c r="G49" s="165">
        <v>21</v>
      </c>
      <c r="H49" s="169">
        <f t="shared" si="0"/>
        <v>32728958.142857142</v>
      </c>
      <c r="I49" s="166">
        <f t="shared" si="2"/>
        <v>1.0615274122890908</v>
      </c>
    </row>
    <row r="50" spans="1:9" ht="18" thickBot="1">
      <c r="A50" s="157">
        <v>40177</v>
      </c>
      <c r="B50" s="158">
        <v>15980</v>
      </c>
      <c r="C50">
        <v>2546.3189261005045</v>
      </c>
      <c r="D50" s="166">
        <f t="shared" si="1"/>
        <v>2.2174255080120995</v>
      </c>
      <c r="E50" s="167">
        <v>807443588</v>
      </c>
      <c r="F50" s="166">
        <f t="shared" si="1"/>
        <v>1.9509060033131762</v>
      </c>
      <c r="G50" s="165">
        <v>21</v>
      </c>
      <c r="H50" s="169">
        <f t="shared" si="0"/>
        <v>38449694.666666664</v>
      </c>
      <c r="I50" s="166">
        <f t="shared" si="2"/>
        <v>1.9509060033131762</v>
      </c>
    </row>
    <row r="51" spans="1:9" ht="18" thickBot="1">
      <c r="A51" s="157">
        <v>40207</v>
      </c>
      <c r="B51" s="158">
        <v>15680</v>
      </c>
      <c r="C51">
        <v>2788.8334875147566</v>
      </c>
      <c r="D51" s="166">
        <f t="shared" si="1"/>
        <v>2.7732630429790555</v>
      </c>
      <c r="E51" s="167">
        <v>807930639</v>
      </c>
      <c r="F51" s="166">
        <f t="shared" si="1"/>
        <v>2.3734091121180709</v>
      </c>
      <c r="G51" s="165">
        <v>20</v>
      </c>
      <c r="H51" s="169">
        <f t="shared" si="0"/>
        <v>40396531.950000003</v>
      </c>
      <c r="I51" s="166">
        <f t="shared" si="2"/>
        <v>2.5420795677239751</v>
      </c>
    </row>
    <row r="52" spans="1:9" ht="18" thickBot="1">
      <c r="A52" s="157">
        <v>40235</v>
      </c>
      <c r="B52" s="158">
        <v>14880</v>
      </c>
      <c r="C52">
        <v>2655.1490420808645</v>
      </c>
      <c r="D52" s="166">
        <f t="shared" si="1"/>
        <v>2.4972053243216048</v>
      </c>
      <c r="E52" s="167">
        <v>768519880</v>
      </c>
      <c r="F52" s="166">
        <f t="shared" si="1"/>
        <v>1.957199930642084</v>
      </c>
      <c r="G52" s="165">
        <v>20</v>
      </c>
      <c r="H52" s="169">
        <f t="shared" si="0"/>
        <v>38425994</v>
      </c>
      <c r="I52" s="166">
        <f t="shared" si="2"/>
        <v>1.957199930642084</v>
      </c>
    </row>
    <row r="53" spans="1:9" ht="18" thickBot="1">
      <c r="A53" s="157">
        <v>40268</v>
      </c>
      <c r="B53" s="158">
        <v>16360</v>
      </c>
      <c r="C53">
        <v>2882.7804337365696</v>
      </c>
      <c r="D53" s="166">
        <f t="shared" si="1"/>
        <v>2.2983247172537222</v>
      </c>
      <c r="E53" s="167">
        <v>937605598</v>
      </c>
      <c r="F53" s="166">
        <f t="shared" si="1"/>
        <v>2.2838422041286259</v>
      </c>
      <c r="G53" s="165">
        <v>22</v>
      </c>
      <c r="H53" s="169">
        <f t="shared" si="0"/>
        <v>42618436.272727273</v>
      </c>
      <c r="I53" s="166">
        <f t="shared" si="2"/>
        <v>2.2838422041286259</v>
      </c>
    </row>
    <row r="54" spans="1:9" ht="18" thickBot="1">
      <c r="A54" s="157">
        <v>40298</v>
      </c>
      <c r="B54" s="158">
        <v>16980</v>
      </c>
      <c r="C54">
        <v>3544.4643694940119</v>
      </c>
      <c r="D54" s="166">
        <f t="shared" si="1"/>
        <v>3.0498763739604744</v>
      </c>
      <c r="E54" s="167">
        <v>976081687</v>
      </c>
      <c r="F54" s="166">
        <f t="shared" si="1"/>
        <v>1.9185725962103186</v>
      </c>
      <c r="G54" s="165">
        <v>22</v>
      </c>
      <c r="H54" s="169">
        <f t="shared" si="0"/>
        <v>44367349.409090906</v>
      </c>
      <c r="I54" s="166">
        <f t="shared" si="2"/>
        <v>1.9185725962103186</v>
      </c>
    </row>
    <row r="55" spans="1:9" ht="18" thickBot="1">
      <c r="A55" s="157">
        <v>40329</v>
      </c>
      <c r="B55" s="158">
        <v>15520</v>
      </c>
      <c r="C55">
        <v>3841.4603153637609</v>
      </c>
      <c r="D55" s="166">
        <f t="shared" si="1"/>
        <v>2.748694722991289</v>
      </c>
      <c r="E55" s="167">
        <v>1122629515</v>
      </c>
      <c r="F55" s="166">
        <f t="shared" si="1"/>
        <v>1.9664922920118473</v>
      </c>
      <c r="G55" s="165">
        <v>20</v>
      </c>
      <c r="H55" s="169">
        <f t="shared" si="0"/>
        <v>56131475.75</v>
      </c>
      <c r="I55" s="166">
        <f t="shared" si="2"/>
        <v>1.9664922920118468</v>
      </c>
    </row>
    <row r="56" spans="1:9" ht="18" thickBot="1">
      <c r="A56" s="157">
        <v>40359</v>
      </c>
      <c r="B56" s="158">
        <v>15480</v>
      </c>
      <c r="C56">
        <v>3790.7970959046734</v>
      </c>
      <c r="D56" s="166">
        <f t="shared" si="1"/>
        <v>2.7838458234728756</v>
      </c>
      <c r="E56" s="167">
        <v>1084988677</v>
      </c>
      <c r="F56" s="166">
        <f t="shared" si="1"/>
        <v>1.6151629060303927</v>
      </c>
      <c r="G56" s="165">
        <v>22</v>
      </c>
      <c r="H56" s="169">
        <f t="shared" si="0"/>
        <v>49317667.136363633</v>
      </c>
      <c r="I56" s="166">
        <f t="shared" si="2"/>
        <v>1.6151629060303927</v>
      </c>
    </row>
    <row r="57" spans="1:9" ht="18" thickBot="1">
      <c r="A57" s="157">
        <v>40389</v>
      </c>
      <c r="B57" s="158">
        <v>16200</v>
      </c>
      <c r="C57">
        <v>3819.7060461737683</v>
      </c>
      <c r="D57" s="166">
        <f t="shared" si="1"/>
        <v>2.3508734210301254</v>
      </c>
      <c r="E57" s="167">
        <v>1190506118</v>
      </c>
      <c r="F57" s="166">
        <f t="shared" si="1"/>
        <v>1.436976389885495</v>
      </c>
      <c r="G57" s="165">
        <v>22</v>
      </c>
      <c r="H57" s="169">
        <f t="shared" si="0"/>
        <v>54113914.454545453</v>
      </c>
      <c r="I57" s="166">
        <f t="shared" si="2"/>
        <v>1.5477480439711995</v>
      </c>
    </row>
    <row r="58" spans="1:9" ht="18" thickBot="1">
      <c r="A58" s="157">
        <v>40421</v>
      </c>
      <c r="B58" s="158">
        <v>15120</v>
      </c>
      <c r="C58">
        <v>4029.1754818021004</v>
      </c>
      <c r="D58" s="166">
        <f t="shared" si="1"/>
        <v>2.3085357526102896</v>
      </c>
      <c r="E58" s="167">
        <v>1299691941</v>
      </c>
      <c r="F58" s="166">
        <f t="shared" si="1"/>
        <v>1.5534822100166616</v>
      </c>
      <c r="G58" s="165">
        <v>22</v>
      </c>
      <c r="H58" s="169">
        <f t="shared" si="0"/>
        <v>59076906.409090906</v>
      </c>
      <c r="I58" s="166">
        <f t="shared" si="2"/>
        <v>1.437414836834086</v>
      </c>
    </row>
    <row r="59" spans="1:9" ht="18" thickBot="1">
      <c r="A59" s="157">
        <v>40451</v>
      </c>
      <c r="B59" s="158">
        <v>15540</v>
      </c>
      <c r="C59">
        <v>3524.5396810452035</v>
      </c>
      <c r="D59" s="166">
        <f t="shared" si="1"/>
        <v>1.6826193018915294</v>
      </c>
      <c r="E59" s="167">
        <v>1115547825</v>
      </c>
      <c r="F59" s="166">
        <f t="shared" si="1"/>
        <v>1.0886172374127314</v>
      </c>
      <c r="G59" s="165">
        <v>22</v>
      </c>
      <c r="H59" s="169">
        <f t="shared" si="0"/>
        <v>50706719.31818182</v>
      </c>
      <c r="I59" s="166">
        <f t="shared" si="2"/>
        <v>1.0886172374127314</v>
      </c>
    </row>
    <row r="60" spans="1:9" ht="18" thickBot="1">
      <c r="A60" s="157">
        <v>40480</v>
      </c>
      <c r="B60" s="158">
        <v>14900</v>
      </c>
      <c r="C60">
        <v>3405.2558402042573</v>
      </c>
      <c r="D60" s="166">
        <f t="shared" si="1"/>
        <v>1.1153062796384918</v>
      </c>
      <c r="E60" s="167">
        <v>1050432209</v>
      </c>
      <c r="F60" s="166">
        <f t="shared" si="1"/>
        <v>0.65904221473575531</v>
      </c>
      <c r="G60" s="165">
        <v>21</v>
      </c>
      <c r="H60" s="169">
        <f t="shared" si="0"/>
        <v>50020581.380952381</v>
      </c>
      <c r="I60" s="166">
        <f t="shared" si="2"/>
        <v>0.65904221473575531</v>
      </c>
    </row>
    <row r="61" spans="1:9" ht="18" thickBot="1">
      <c r="A61" s="157">
        <v>40512</v>
      </c>
      <c r="B61" s="158">
        <v>16520</v>
      </c>
      <c r="C61">
        <v>2772.1864608521219</v>
      </c>
      <c r="D61" s="166">
        <f t="shared" si="1"/>
        <v>0.62421949736279236</v>
      </c>
      <c r="E61" s="167">
        <v>806077251</v>
      </c>
      <c r="F61" s="166">
        <f t="shared" si="1"/>
        <v>0.17280332702485257</v>
      </c>
      <c r="G61" s="165">
        <v>22</v>
      </c>
      <c r="H61" s="169">
        <f t="shared" si="0"/>
        <v>36639875.045454547</v>
      </c>
      <c r="I61" s="166">
        <f t="shared" si="2"/>
        <v>0.11949408488735935</v>
      </c>
    </row>
    <row r="62" spans="1:9" ht="18" thickBot="1">
      <c r="A62" s="157">
        <v>40542</v>
      </c>
      <c r="B62" s="158">
        <v>18980</v>
      </c>
      <c r="C62">
        <v>2086.4881076519009</v>
      </c>
      <c r="D62" s="166">
        <f t="shared" si="1"/>
        <v>-0.18058649831142715</v>
      </c>
      <c r="E62" s="167">
        <v>768356757</v>
      </c>
      <c r="F62" s="166">
        <f t="shared" si="1"/>
        <v>-4.8408126067130297E-2</v>
      </c>
      <c r="G62" s="165">
        <v>22</v>
      </c>
      <c r="H62" s="169">
        <f t="shared" si="0"/>
        <v>34925307.136363633</v>
      </c>
      <c r="I62" s="166">
        <f t="shared" si="2"/>
        <v>-9.1662302154988051E-2</v>
      </c>
    </row>
    <row r="63" spans="1:9" ht="18" thickBot="1">
      <c r="A63" s="157">
        <v>40574</v>
      </c>
      <c r="B63" s="158">
        <v>19620</v>
      </c>
      <c r="C63">
        <v>1759.6312234174422</v>
      </c>
      <c r="D63" s="166">
        <f t="shared" si="1"/>
        <v>-0.3690439994732273</v>
      </c>
      <c r="E63" s="167">
        <v>728227253</v>
      </c>
      <c r="F63" s="166">
        <f t="shared" si="1"/>
        <v>-9.8651272959088709E-2</v>
      </c>
      <c r="G63" s="165">
        <v>21</v>
      </c>
      <c r="H63" s="169">
        <f t="shared" si="0"/>
        <v>34677488.238095239</v>
      </c>
      <c r="I63" s="166">
        <f t="shared" si="2"/>
        <v>-0.14157264091341792</v>
      </c>
    </row>
    <row r="64" spans="1:9" ht="18" thickBot="1">
      <c r="A64" s="157">
        <v>40602</v>
      </c>
      <c r="B64" s="158">
        <v>18460</v>
      </c>
      <c r="C64">
        <v>2194.5464979496437</v>
      </c>
      <c r="D64" s="166">
        <f t="shared" si="1"/>
        <v>-0.17347521243863673</v>
      </c>
      <c r="E64" s="167">
        <v>713959932</v>
      </c>
      <c r="F64" s="166">
        <f t="shared" si="1"/>
        <v>-7.099354150734527E-2</v>
      </c>
      <c r="G64" s="165">
        <v>20</v>
      </c>
      <c r="H64" s="169">
        <f t="shared" si="0"/>
        <v>35697996.600000001</v>
      </c>
      <c r="I64" s="166">
        <f t="shared" si="2"/>
        <v>-7.099354150734527E-2</v>
      </c>
    </row>
    <row r="65" spans="1:9" ht="18" thickBot="1">
      <c r="A65" s="157">
        <v>40633</v>
      </c>
      <c r="B65" s="158">
        <v>18640</v>
      </c>
      <c r="C65">
        <v>2546.2884310012246</v>
      </c>
      <c r="D65" s="166">
        <f t="shared" si="1"/>
        <v>-0.11672481150400849</v>
      </c>
      <c r="E65" s="167">
        <v>852591834</v>
      </c>
      <c r="F65" s="166">
        <f t="shared" si="1"/>
        <v>-9.0671135263422298E-2</v>
      </c>
      <c r="G65" s="165">
        <v>22</v>
      </c>
      <c r="H65" s="169">
        <f t="shared" si="0"/>
        <v>38754174.272727273</v>
      </c>
      <c r="I65" s="166">
        <f t="shared" si="2"/>
        <v>-9.0671135263422298E-2</v>
      </c>
    </row>
    <row r="66" spans="1:9" ht="18" thickBot="1">
      <c r="A66" s="157">
        <v>40662</v>
      </c>
      <c r="B66" s="158">
        <v>17860</v>
      </c>
      <c r="C66">
        <v>2554.6111853301963</v>
      </c>
      <c r="D66" s="166">
        <f t="shared" si="1"/>
        <v>-0.27926735353390542</v>
      </c>
      <c r="E66" s="167">
        <v>853039088</v>
      </c>
      <c r="F66" s="166">
        <f t="shared" si="1"/>
        <v>-0.12605768619445479</v>
      </c>
      <c r="G66" s="165">
        <v>21</v>
      </c>
      <c r="H66" s="169">
        <f t="shared" si="0"/>
        <v>40620908.952380955</v>
      </c>
      <c r="I66" s="166">
        <f t="shared" si="2"/>
        <v>-8.444138553704772E-2</v>
      </c>
    </row>
    <row r="67" spans="1:9" ht="18" thickBot="1">
      <c r="A67" s="157">
        <v>40694</v>
      </c>
      <c r="B67" s="158">
        <v>18040</v>
      </c>
      <c r="C67">
        <v>2719.0998014896149</v>
      </c>
      <c r="D67" s="166">
        <f t="shared" si="1"/>
        <v>-0.29217027425359876</v>
      </c>
      <c r="E67" s="167">
        <v>846643658</v>
      </c>
      <c r="F67" s="166">
        <f t="shared" si="1"/>
        <v>-0.24583876809973237</v>
      </c>
      <c r="G67" s="165">
        <v>21</v>
      </c>
      <c r="H67" s="169">
        <f t="shared" si="0"/>
        <v>40316364.666666664</v>
      </c>
      <c r="I67" s="166">
        <f t="shared" si="2"/>
        <v>-0.28175120771403084</v>
      </c>
    </row>
    <row r="68" spans="1:9" ht="18" thickBot="1">
      <c r="A68" s="157">
        <v>40724</v>
      </c>
      <c r="B68" s="158">
        <v>16520</v>
      </c>
      <c r="C68">
        <v>2809.3791004267073</v>
      </c>
      <c r="D68" s="166">
        <f t="shared" si="1"/>
        <v>-0.25889488955719242</v>
      </c>
      <c r="E68" s="167">
        <v>823113802</v>
      </c>
      <c r="F68" s="166">
        <f t="shared" si="1"/>
        <v>-0.24136185063616111</v>
      </c>
      <c r="G68" s="165">
        <v>21</v>
      </c>
      <c r="H68" s="169">
        <f t="shared" si="0"/>
        <v>39195895.333333336</v>
      </c>
      <c r="I68" s="166">
        <f t="shared" si="2"/>
        <v>-0.20523622447597811</v>
      </c>
    </row>
    <row r="69" spans="1:9" ht="18" thickBot="1">
      <c r="A69" s="157">
        <v>40753</v>
      </c>
      <c r="B69" s="158">
        <v>16880</v>
      </c>
      <c r="C69">
        <v>2675.3419178297167</v>
      </c>
      <c r="D69" s="166">
        <f t="shared" si="1"/>
        <v>-0.29959481554617817</v>
      </c>
      <c r="E69" s="167">
        <v>702371693</v>
      </c>
      <c r="F69" s="166">
        <f t="shared" si="1"/>
        <v>-0.41002260939241975</v>
      </c>
      <c r="G69" s="165">
        <v>21</v>
      </c>
      <c r="H69" s="169">
        <f t="shared" si="0"/>
        <v>33446271.095238097</v>
      </c>
      <c r="I69" s="166">
        <f t="shared" si="2"/>
        <v>-0.38192844793491587</v>
      </c>
    </row>
    <row r="70" spans="1:9" ht="18" thickBot="1">
      <c r="A70" s="157">
        <v>40786</v>
      </c>
      <c r="B70" s="158">
        <v>14880</v>
      </c>
      <c r="C70">
        <v>2427.3808961311165</v>
      </c>
      <c r="D70" s="166">
        <f t="shared" si="1"/>
        <v>-0.39754897569131453</v>
      </c>
      <c r="E70" s="167">
        <v>705869014</v>
      </c>
      <c r="F70" s="166">
        <f t="shared" si="1"/>
        <v>-0.45689513666069581</v>
      </c>
      <c r="G70" s="165">
        <v>22</v>
      </c>
      <c r="H70" s="169">
        <f t="shared" si="0"/>
        <v>32084955.181818184</v>
      </c>
      <c r="I70" s="166">
        <f t="shared" si="2"/>
        <v>-0.45689513666069581</v>
      </c>
    </row>
    <row r="71" spans="1:9" ht="18" thickBot="1">
      <c r="A71" s="157">
        <v>40816</v>
      </c>
      <c r="B71" s="158">
        <v>16800</v>
      </c>
      <c r="C71">
        <v>2279.8516879024232</v>
      </c>
      <c r="D71" s="166">
        <f t="shared" si="1"/>
        <v>-0.35314909343669743</v>
      </c>
      <c r="E71" s="167">
        <v>655015753</v>
      </c>
      <c r="F71" s="166">
        <f t="shared" si="1"/>
        <v>-0.41283041540599119</v>
      </c>
      <c r="G71" s="165">
        <v>22</v>
      </c>
      <c r="H71" s="169">
        <f t="shared" si="0"/>
        <v>29773443.318181816</v>
      </c>
      <c r="I71" s="166">
        <f t="shared" si="2"/>
        <v>-0.4128304154059913</v>
      </c>
    </row>
    <row r="72" spans="1:9" ht="18" thickBot="1">
      <c r="A72" s="157">
        <v>40847</v>
      </c>
      <c r="B72" s="158">
        <v>19360</v>
      </c>
      <c r="C72">
        <v>2368.5780574615533</v>
      </c>
      <c r="D72" s="166">
        <f t="shared" si="1"/>
        <v>-0.30443462441298419</v>
      </c>
      <c r="E72" s="167">
        <v>638056084</v>
      </c>
      <c r="F72" s="166">
        <f t="shared" si="1"/>
        <v>-0.39257757089586731</v>
      </c>
      <c r="G72" s="165">
        <v>20</v>
      </c>
      <c r="H72" s="169">
        <f t="shared" si="0"/>
        <v>31902804.199999999</v>
      </c>
      <c r="I72" s="166">
        <f t="shared" si="2"/>
        <v>-0.36220644944066072</v>
      </c>
    </row>
    <row r="73" spans="1:9" ht="18" thickBot="1">
      <c r="A73" s="157">
        <v>40877</v>
      </c>
      <c r="B73" s="158">
        <v>20080</v>
      </c>
      <c r="C73">
        <v>2034.7556520839128</v>
      </c>
      <c r="D73" s="166">
        <f t="shared" si="1"/>
        <v>-0.26601053687475829</v>
      </c>
      <c r="E73" s="167">
        <v>629101683</v>
      </c>
      <c r="F73" s="166">
        <f t="shared" si="1"/>
        <v>-0.2195516221062539</v>
      </c>
      <c r="G73" s="165">
        <v>22</v>
      </c>
      <c r="H73" s="169">
        <f t="shared" si="0"/>
        <v>28595531.045454547</v>
      </c>
      <c r="I73" s="166">
        <f t="shared" si="2"/>
        <v>-0.2195516221062539</v>
      </c>
    </row>
    <row r="74" spans="1:9" ht="18" thickBot="1">
      <c r="A74" s="157">
        <v>40906</v>
      </c>
      <c r="B74" s="158">
        <v>21160</v>
      </c>
      <c r="C74">
        <v>1813.5173031782842</v>
      </c>
      <c r="D74" s="166">
        <f t="shared" si="1"/>
        <v>-0.13082787458626521</v>
      </c>
      <c r="E74" s="167">
        <v>643575580</v>
      </c>
      <c r="F74" s="166">
        <f t="shared" si="1"/>
        <v>-0.16240005162081239</v>
      </c>
      <c r="G74" s="165">
        <v>21</v>
      </c>
      <c r="H74" s="169">
        <f t="shared" si="0"/>
        <v>30646456.19047619</v>
      </c>
      <c r="I74" s="166">
        <f t="shared" si="2"/>
        <v>-0.1225143397932319</v>
      </c>
    </row>
    <row r="75" spans="1:9" ht="18" thickBot="1">
      <c r="A75" s="157">
        <v>40939</v>
      </c>
      <c r="B75" s="158">
        <v>22140</v>
      </c>
      <c r="C75">
        <v>2002.7997678173244</v>
      </c>
      <c r="D75" s="166">
        <f t="shared" si="1"/>
        <v>0.13819290153741193</v>
      </c>
      <c r="E75" s="167">
        <v>568278612</v>
      </c>
      <c r="F75" s="166">
        <f t="shared" si="1"/>
        <v>-0.21964110837801887</v>
      </c>
      <c r="G75" s="165">
        <v>22</v>
      </c>
      <c r="H75" s="169">
        <f t="shared" si="0"/>
        <v>25830846</v>
      </c>
      <c r="I75" s="166">
        <f t="shared" si="2"/>
        <v>-0.25511196708810902</v>
      </c>
    </row>
    <row r="76" spans="1:9" ht="18" thickBot="1">
      <c r="A76" s="157">
        <v>40968</v>
      </c>
      <c r="B76" s="158">
        <v>24120</v>
      </c>
      <c r="C76">
        <v>1945.9831195765448</v>
      </c>
      <c r="D76" s="166">
        <f t="shared" si="1"/>
        <v>-0.11326412022043308</v>
      </c>
      <c r="E76" s="167">
        <v>565796538</v>
      </c>
      <c r="F76" s="166">
        <f t="shared" si="1"/>
        <v>-0.20752340202755248</v>
      </c>
      <c r="G76" s="165">
        <v>21</v>
      </c>
      <c r="H76" s="169">
        <f t="shared" si="0"/>
        <v>26942692.285714287</v>
      </c>
      <c r="I76" s="166">
        <f t="shared" si="2"/>
        <v>-0.24526038288338325</v>
      </c>
    </row>
    <row r="77" spans="1:9" ht="18" thickBot="1">
      <c r="A77" s="157">
        <v>40998</v>
      </c>
      <c r="B77" s="158">
        <v>25500</v>
      </c>
      <c r="C77">
        <v>2050.6797631415498</v>
      </c>
      <c r="D77" s="166">
        <f t="shared" si="1"/>
        <v>-0.19463964169400749</v>
      </c>
      <c r="E77" s="167">
        <v>664609521</v>
      </c>
      <c r="F77" s="166">
        <f t="shared" si="1"/>
        <v>-0.22048336085752374</v>
      </c>
      <c r="G77" s="165">
        <v>21</v>
      </c>
      <c r="H77" s="169">
        <f t="shared" si="0"/>
        <v>31648072.428571429</v>
      </c>
      <c r="I77" s="166">
        <f t="shared" si="2"/>
        <v>-0.18336352089835828</v>
      </c>
    </row>
    <row r="78" spans="1:9" ht="18" thickBot="1">
      <c r="A78" s="157">
        <v>41029</v>
      </c>
      <c r="B78" s="158">
        <v>27800</v>
      </c>
      <c r="C78">
        <v>2126.3695061679364</v>
      </c>
      <c r="D78" s="166">
        <f t="shared" si="1"/>
        <v>-0.16763477809125293</v>
      </c>
      <c r="E78" s="167">
        <v>637141744</v>
      </c>
      <c r="F78" s="166">
        <f t="shared" si="1"/>
        <v>-0.25309197085702595</v>
      </c>
      <c r="G78" s="165">
        <v>21</v>
      </c>
      <c r="H78" s="169">
        <f t="shared" si="0"/>
        <v>30340083.047619049</v>
      </c>
      <c r="I78" s="166">
        <f t="shared" si="2"/>
        <v>-0.25309197085702595</v>
      </c>
    </row>
    <row r="79" spans="1:9" ht="18" thickBot="1">
      <c r="A79" s="157">
        <v>41060</v>
      </c>
      <c r="B79" s="158">
        <v>24220</v>
      </c>
      <c r="C79">
        <v>2341.0155818814046</v>
      </c>
      <c r="D79" s="166">
        <f t="shared" si="1"/>
        <v>-0.13904756986157074</v>
      </c>
      <c r="E79" s="167">
        <v>710468030</v>
      </c>
      <c r="F79" s="166">
        <f t="shared" si="1"/>
        <v>-0.16084172687442488</v>
      </c>
      <c r="G79" s="165">
        <v>23</v>
      </c>
      <c r="H79" s="169">
        <f t="shared" si="0"/>
        <v>30889914.347826086</v>
      </c>
      <c r="I79" s="166">
        <f t="shared" si="2"/>
        <v>-0.23381201149404007</v>
      </c>
    </row>
    <row r="80" spans="1:9" ht="18" thickBot="1">
      <c r="A80" s="157">
        <v>41089</v>
      </c>
      <c r="B80" s="158">
        <v>24020</v>
      </c>
      <c r="C80">
        <v>2499.1778779793312</v>
      </c>
      <c r="D80" s="166">
        <f t="shared" si="1"/>
        <v>-0.11041629177075485</v>
      </c>
      <c r="E80" s="167">
        <v>719534804</v>
      </c>
      <c r="F80" s="166">
        <f t="shared" si="1"/>
        <v>-0.12583800411112533</v>
      </c>
      <c r="G80" s="165">
        <v>20</v>
      </c>
      <c r="H80" s="169">
        <f t="shared" ref="H80:H143" si="3">E80/G80</f>
        <v>35976740.200000003</v>
      </c>
      <c r="I80" s="166">
        <f t="shared" si="2"/>
        <v>-8.2129904316681546E-2</v>
      </c>
    </row>
    <row r="81" spans="1:9" ht="18" thickBot="1">
      <c r="A81" s="157">
        <v>41121</v>
      </c>
      <c r="B81" s="158">
        <v>26180</v>
      </c>
      <c r="C81">
        <v>2656.363606880705</v>
      </c>
      <c r="D81" s="166">
        <f t="shared" si="1"/>
        <v>-7.0937889555467981E-3</v>
      </c>
      <c r="E81" s="167">
        <v>663451515</v>
      </c>
      <c r="F81" s="166">
        <f t="shared" si="1"/>
        <v>-5.5412509342115501E-2</v>
      </c>
      <c r="G81" s="165">
        <v>22</v>
      </c>
      <c r="H81" s="169">
        <f t="shared" si="3"/>
        <v>30156887.045454547</v>
      </c>
      <c r="I81" s="166">
        <f t="shared" si="2"/>
        <v>-9.8348304372019357E-2</v>
      </c>
    </row>
    <row r="82" spans="1:9" ht="18" thickBot="1">
      <c r="A82" s="157">
        <v>41152</v>
      </c>
      <c r="B82" s="158">
        <v>24660</v>
      </c>
      <c r="C82">
        <v>2544.2368903507536</v>
      </c>
      <c r="D82" s="166">
        <f t="shared" si="1"/>
        <v>4.8140773623903899E-2</v>
      </c>
      <c r="E82" s="167">
        <v>641010562</v>
      </c>
      <c r="F82" s="166">
        <f t="shared" si="1"/>
        <v>-9.1884543326901102E-2</v>
      </c>
      <c r="G82" s="165">
        <v>22</v>
      </c>
      <c r="H82" s="169">
        <f t="shared" si="3"/>
        <v>29136843.727272727</v>
      </c>
      <c r="I82" s="166">
        <f t="shared" si="2"/>
        <v>-9.1884543326901214E-2</v>
      </c>
    </row>
    <row r="83" spans="1:9" ht="18" thickBot="1">
      <c r="A83" s="157">
        <v>41180</v>
      </c>
      <c r="B83" s="158">
        <v>26920</v>
      </c>
      <c r="C83">
        <v>2455.2096453922436</v>
      </c>
      <c r="D83" s="166">
        <f t="shared" si="1"/>
        <v>7.6916388210830577E-2</v>
      </c>
      <c r="E83" s="167">
        <v>641103115</v>
      </c>
      <c r="F83" s="166">
        <f t="shared" si="1"/>
        <v>-2.12401578683864E-2</v>
      </c>
      <c r="G83" s="165">
        <v>20</v>
      </c>
      <c r="H83" s="169">
        <f t="shared" si="3"/>
        <v>32055155.75</v>
      </c>
      <c r="I83" s="166">
        <f t="shared" si="2"/>
        <v>7.663582634477506E-2</v>
      </c>
    </row>
    <row r="84" spans="1:9" ht="18" thickBot="1">
      <c r="A84" s="157">
        <v>41213</v>
      </c>
      <c r="B84" s="158">
        <v>26200</v>
      </c>
      <c r="C84">
        <v>2337.4202563407962</v>
      </c>
      <c r="D84" s="166">
        <f t="shared" si="1"/>
        <v>-1.3154643995203386E-2</v>
      </c>
      <c r="E84" s="167">
        <v>627291838</v>
      </c>
      <c r="F84" s="166">
        <f t="shared" si="1"/>
        <v>-1.68703759276434E-2</v>
      </c>
      <c r="G84" s="165">
        <v>21</v>
      </c>
      <c r="H84" s="169">
        <f t="shared" si="3"/>
        <v>29871039.904761903</v>
      </c>
      <c r="I84" s="166">
        <f t="shared" si="2"/>
        <v>-6.3686072312041375E-2</v>
      </c>
    </row>
    <row r="85" spans="1:9" ht="18" thickBot="1">
      <c r="A85" s="157">
        <v>41243</v>
      </c>
      <c r="B85" s="158">
        <v>28120</v>
      </c>
      <c r="C85">
        <v>2213.4326726285594</v>
      </c>
      <c r="D85" s="166">
        <f t="shared" si="1"/>
        <v>8.7812519582709081E-2</v>
      </c>
      <c r="E85" s="167">
        <v>557513888</v>
      </c>
      <c r="F85" s="166">
        <f t="shared" si="1"/>
        <v>-0.11379367904186644</v>
      </c>
      <c r="G85" s="165">
        <v>22</v>
      </c>
      <c r="H85" s="169">
        <f t="shared" si="3"/>
        <v>25341540.363636363</v>
      </c>
      <c r="I85" s="166">
        <f t="shared" si="2"/>
        <v>-0.11379367904186644</v>
      </c>
    </row>
    <row r="86" spans="1:9" ht="18" thickBot="1">
      <c r="A86" s="157">
        <v>41271</v>
      </c>
      <c r="B86" s="158">
        <v>30440</v>
      </c>
      <c r="C86">
        <v>2004.3943543001101</v>
      </c>
      <c r="D86" s="166">
        <f t="shared" si="1"/>
        <v>0.10525240138999714</v>
      </c>
      <c r="E86" s="167">
        <v>569028315</v>
      </c>
      <c r="F86" s="166">
        <f t="shared" si="1"/>
        <v>-0.11583296090880268</v>
      </c>
      <c r="G86" s="165">
        <v>19</v>
      </c>
      <c r="H86" s="169">
        <f t="shared" si="3"/>
        <v>29948858.684210528</v>
      </c>
      <c r="I86" s="166">
        <f t="shared" si="2"/>
        <v>-2.2762746267623979E-2</v>
      </c>
    </row>
    <row r="87" spans="1:9" ht="18" thickBot="1">
      <c r="A87" s="157">
        <v>41305</v>
      </c>
      <c r="B87" s="158">
        <v>28960</v>
      </c>
      <c r="C87">
        <v>2323.5932286596458</v>
      </c>
      <c r="D87" s="166">
        <f t="shared" si="1"/>
        <v>0.16017250750529399</v>
      </c>
      <c r="E87" s="167">
        <v>528219428</v>
      </c>
      <c r="F87" s="166">
        <f t="shared" si="1"/>
        <v>-7.0492154999491685E-2</v>
      </c>
      <c r="G87" s="165">
        <v>22</v>
      </c>
      <c r="H87" s="169">
        <f t="shared" si="3"/>
        <v>24009974</v>
      </c>
      <c r="I87" s="166">
        <f t="shared" si="2"/>
        <v>-7.0492154999491685E-2</v>
      </c>
    </row>
    <row r="88" spans="1:9" ht="18" thickBot="1">
      <c r="A88" s="157">
        <v>41333</v>
      </c>
      <c r="B88" s="158">
        <v>30880</v>
      </c>
      <c r="C88">
        <v>2537.0998009617401</v>
      </c>
      <c r="D88" s="166">
        <f t="shared" si="1"/>
        <v>0.30376249179069204</v>
      </c>
      <c r="E88" s="167">
        <v>577939664</v>
      </c>
      <c r="F88" s="166">
        <f t="shared" si="1"/>
        <v>2.1462001239745954E-2</v>
      </c>
      <c r="G88" s="165">
        <v>20</v>
      </c>
      <c r="H88" s="169">
        <f t="shared" si="3"/>
        <v>28896983.199999999</v>
      </c>
      <c r="I88" s="166">
        <f t="shared" si="2"/>
        <v>7.253510130173324E-2</v>
      </c>
    </row>
    <row r="89" spans="1:9" ht="18" thickBot="1">
      <c r="A89" s="157">
        <v>41362</v>
      </c>
      <c r="B89" s="158">
        <v>30540</v>
      </c>
      <c r="C89">
        <v>2878.2055643841804</v>
      </c>
      <c r="D89" s="166">
        <f t="shared" si="1"/>
        <v>0.40353731290296557</v>
      </c>
      <c r="E89" s="167">
        <v>722470755</v>
      </c>
      <c r="F89" s="166">
        <f t="shared" si="1"/>
        <v>8.7060495180597997E-2</v>
      </c>
      <c r="G89" s="165">
        <v>20</v>
      </c>
      <c r="H89" s="169">
        <f t="shared" si="3"/>
        <v>36123537.75</v>
      </c>
      <c r="I89" s="166">
        <f t="shared" si="2"/>
        <v>0.14141351993962781</v>
      </c>
    </row>
    <row r="90" spans="1:9" ht="18" thickBot="1">
      <c r="A90" s="157">
        <v>41394</v>
      </c>
      <c r="B90" s="158">
        <v>30400</v>
      </c>
      <c r="C90">
        <v>2962.5097354491299</v>
      </c>
      <c r="D90" s="166">
        <f t="shared" si="1"/>
        <v>0.39322433229775489</v>
      </c>
      <c r="E90" s="167">
        <v>724997825</v>
      </c>
      <c r="F90" s="166">
        <f t="shared" si="1"/>
        <v>0.13789095099692594</v>
      </c>
      <c r="G90" s="165">
        <v>22</v>
      </c>
      <c r="H90" s="169">
        <f t="shared" si="3"/>
        <v>32954446.59090909</v>
      </c>
      <c r="I90" s="166">
        <f t="shared" si="2"/>
        <v>8.6168635042520147E-2</v>
      </c>
    </row>
    <row r="91" spans="1:9" ht="18" thickBot="1">
      <c r="A91" s="157">
        <v>41425</v>
      </c>
      <c r="B91" s="158">
        <v>30760</v>
      </c>
      <c r="C91">
        <v>3539.5621128762768</v>
      </c>
      <c r="D91" s="166">
        <f t="shared" si="1"/>
        <v>0.51197716934102422</v>
      </c>
      <c r="E91" s="167">
        <v>776500429</v>
      </c>
      <c r="F91" s="166">
        <f t="shared" si="1"/>
        <v>9.294211169501887E-2</v>
      </c>
      <c r="G91" s="165">
        <v>23</v>
      </c>
      <c r="H91" s="169">
        <f t="shared" si="3"/>
        <v>33760888.217391305</v>
      </c>
      <c r="I91" s="166">
        <f t="shared" si="2"/>
        <v>9.294211169501887E-2</v>
      </c>
    </row>
    <row r="92" spans="1:9" ht="18" thickBot="1">
      <c r="A92" s="157">
        <v>41453</v>
      </c>
      <c r="B92" s="158">
        <v>26840</v>
      </c>
      <c r="C92">
        <v>3574.0039157704168</v>
      </c>
      <c r="D92" s="166">
        <f t="shared" ref="D92:F155" si="4">C92/C80-1</f>
        <v>0.43007184372971419</v>
      </c>
      <c r="E92" s="167">
        <v>882053087</v>
      </c>
      <c r="F92" s="166">
        <f t="shared" si="4"/>
        <v>0.22586577062921331</v>
      </c>
      <c r="G92" s="165">
        <v>19</v>
      </c>
      <c r="H92" s="169">
        <f t="shared" si="3"/>
        <v>46423846.684210524</v>
      </c>
      <c r="I92" s="166">
        <f t="shared" ref="I92:I155" si="5">H92/H80-1</f>
        <v>0.29038502171496128</v>
      </c>
    </row>
    <row r="93" spans="1:9" ht="18" thickBot="1">
      <c r="A93" s="157">
        <v>41486</v>
      </c>
      <c r="B93" s="158">
        <v>25600</v>
      </c>
      <c r="C93">
        <v>4442.0883545390816</v>
      </c>
      <c r="D93" s="166">
        <f t="shared" si="4"/>
        <v>0.67224409453316691</v>
      </c>
      <c r="E93" s="167">
        <v>935239059</v>
      </c>
      <c r="F93" s="166">
        <f t="shared" si="4"/>
        <v>0.4096569799829306</v>
      </c>
      <c r="G93" s="165">
        <v>23</v>
      </c>
      <c r="H93" s="169">
        <f t="shared" si="3"/>
        <v>40662567.782608695</v>
      </c>
      <c r="I93" s="166">
        <f t="shared" si="5"/>
        <v>0.34836754607062925</v>
      </c>
    </row>
    <row r="94" spans="1:9" ht="18" thickBot="1">
      <c r="A94" s="157">
        <v>41516</v>
      </c>
      <c r="B94" s="158">
        <v>27360</v>
      </c>
      <c r="C94">
        <v>5795.7757787283581</v>
      </c>
      <c r="D94" s="166">
        <f t="shared" si="4"/>
        <v>1.278001628193254</v>
      </c>
      <c r="E94" s="167">
        <v>892071898</v>
      </c>
      <c r="F94" s="166">
        <f t="shared" si="4"/>
        <v>0.39166489740304788</v>
      </c>
      <c r="G94" s="165">
        <v>21</v>
      </c>
      <c r="H94" s="169">
        <f t="shared" si="3"/>
        <v>42479614.190476194</v>
      </c>
      <c r="I94" s="166">
        <f t="shared" si="5"/>
        <v>0.45793465442224068</v>
      </c>
    </row>
    <row r="95" spans="1:9" ht="18" thickBot="1">
      <c r="A95" s="157">
        <v>41547</v>
      </c>
      <c r="B95" s="158">
        <v>27340</v>
      </c>
      <c r="C95">
        <v>6445.0116552167237</v>
      </c>
      <c r="D95" s="166">
        <f t="shared" si="4"/>
        <v>1.6250351644358543</v>
      </c>
      <c r="E95" s="167">
        <v>908422846</v>
      </c>
      <c r="F95" s="166">
        <f t="shared" si="4"/>
        <v>0.41696838581107198</v>
      </c>
      <c r="G95" s="165">
        <v>21</v>
      </c>
      <c r="H95" s="169">
        <f t="shared" si="3"/>
        <v>43258230.761904761</v>
      </c>
      <c r="I95" s="166">
        <f t="shared" si="5"/>
        <v>0.34949370077244946</v>
      </c>
    </row>
    <row r="96" spans="1:9" ht="18" thickBot="1">
      <c r="A96" s="157">
        <v>41578</v>
      </c>
      <c r="B96" s="158">
        <v>29300</v>
      </c>
      <c r="C96">
        <v>6502.4871939406548</v>
      </c>
      <c r="D96" s="166">
        <f t="shared" si="4"/>
        <v>1.7819076078857217</v>
      </c>
      <c r="E96" s="167">
        <v>950538780</v>
      </c>
      <c r="F96" s="166">
        <f t="shared" si="4"/>
        <v>0.51530551239214439</v>
      </c>
      <c r="G96" s="165">
        <v>21</v>
      </c>
      <c r="H96" s="169">
        <f t="shared" si="3"/>
        <v>45263751.428571425</v>
      </c>
      <c r="I96" s="166">
        <f t="shared" si="5"/>
        <v>0.51530551239214439</v>
      </c>
    </row>
    <row r="97" spans="1:9" ht="18" thickBot="1">
      <c r="A97" s="157">
        <v>41607</v>
      </c>
      <c r="B97" s="158">
        <v>29880</v>
      </c>
      <c r="C97">
        <v>6947.3119545116078</v>
      </c>
      <c r="D97" s="166">
        <f t="shared" si="4"/>
        <v>2.1387048905631882</v>
      </c>
      <c r="E97" s="167">
        <v>1076665228</v>
      </c>
      <c r="F97" s="166">
        <f t="shared" si="4"/>
        <v>0.93118996884970873</v>
      </c>
      <c r="G97" s="165">
        <v>21</v>
      </c>
      <c r="H97" s="169">
        <f t="shared" si="3"/>
        <v>51269772.761904761</v>
      </c>
      <c r="I97" s="166">
        <f t="shared" si="5"/>
        <v>1.02315139593779</v>
      </c>
    </row>
    <row r="98" spans="1:9" ht="18" thickBot="1">
      <c r="A98" s="157">
        <v>41638</v>
      </c>
      <c r="B98" s="158">
        <v>27440</v>
      </c>
      <c r="C98">
        <v>7007.764410704367</v>
      </c>
      <c r="D98" s="166">
        <f t="shared" si="4"/>
        <v>2.4962004336473611</v>
      </c>
      <c r="E98" s="167">
        <v>1238990968</v>
      </c>
      <c r="F98" s="166">
        <f t="shared" si="4"/>
        <v>1.1773801678041278</v>
      </c>
      <c r="G98" s="165">
        <v>20</v>
      </c>
      <c r="H98" s="169">
        <f t="shared" si="3"/>
        <v>61949548.399999999</v>
      </c>
      <c r="I98" s="166">
        <f t="shared" si="5"/>
        <v>1.0685111594139212</v>
      </c>
    </row>
    <row r="99" spans="1:9" ht="18" thickBot="1">
      <c r="A99" s="157">
        <v>41668</v>
      </c>
      <c r="B99" s="158">
        <v>25600</v>
      </c>
      <c r="C99">
        <v>6542.6699149763353</v>
      </c>
      <c r="D99" s="166">
        <f t="shared" si="4"/>
        <v>1.8157552855111585</v>
      </c>
      <c r="E99" s="167">
        <v>1050460331</v>
      </c>
      <c r="F99" s="166">
        <f t="shared" si="4"/>
        <v>0.98868173966520589</v>
      </c>
      <c r="G99" s="165">
        <v>20</v>
      </c>
      <c r="H99" s="169">
        <f t="shared" si="3"/>
        <v>52523016.549999997</v>
      </c>
      <c r="I99" s="166">
        <f t="shared" si="5"/>
        <v>1.1875499136317265</v>
      </c>
    </row>
    <row r="100" spans="1:9" ht="18" thickBot="1">
      <c r="A100" s="157">
        <v>41698</v>
      </c>
      <c r="B100" s="158">
        <v>26980</v>
      </c>
      <c r="C100">
        <v>6485.2642227564102</v>
      </c>
      <c r="D100" s="166">
        <f t="shared" si="4"/>
        <v>1.5561722957441551</v>
      </c>
      <c r="E100" s="167">
        <v>938858731</v>
      </c>
      <c r="F100" s="166">
        <f t="shared" si="4"/>
        <v>0.62449264080964695</v>
      </c>
      <c r="G100" s="165">
        <v>20</v>
      </c>
      <c r="H100" s="169">
        <f t="shared" si="3"/>
        <v>46942936.549999997</v>
      </c>
      <c r="I100" s="166">
        <f t="shared" si="5"/>
        <v>0.62449264080964673</v>
      </c>
    </row>
    <row r="101" spans="1:9" ht="18" thickBot="1">
      <c r="A101" s="157">
        <v>41729</v>
      </c>
      <c r="B101" s="158">
        <v>26860</v>
      </c>
      <c r="C101">
        <v>6719.8567376136543</v>
      </c>
      <c r="D101" s="166">
        <f t="shared" si="4"/>
        <v>1.3347382899843123</v>
      </c>
      <c r="E101" s="167">
        <v>1181842036</v>
      </c>
      <c r="F101" s="166">
        <f t="shared" si="4"/>
        <v>0.63583373834972745</v>
      </c>
      <c r="G101" s="165">
        <v>21</v>
      </c>
      <c r="H101" s="169">
        <f t="shared" si="3"/>
        <v>56278192.190476194</v>
      </c>
      <c r="I101" s="166">
        <f t="shared" si="5"/>
        <v>0.55793689366640709</v>
      </c>
    </row>
    <row r="102" spans="1:9" ht="18" thickBot="1">
      <c r="A102" s="157">
        <v>41759</v>
      </c>
      <c r="B102" s="158">
        <v>26860</v>
      </c>
      <c r="C102">
        <v>6396.9509713342586</v>
      </c>
      <c r="D102" s="166">
        <f t="shared" si="4"/>
        <v>1.159301248798918</v>
      </c>
      <c r="E102" s="167">
        <v>1141044615</v>
      </c>
      <c r="F102" s="166">
        <f t="shared" si="4"/>
        <v>0.57385936295739914</v>
      </c>
      <c r="G102" s="165">
        <v>22</v>
      </c>
      <c r="H102" s="169">
        <f t="shared" si="3"/>
        <v>51865664.31818182</v>
      </c>
      <c r="I102" s="166">
        <f t="shared" si="5"/>
        <v>0.57385936295739937</v>
      </c>
    </row>
    <row r="103" spans="1:9" ht="18" thickBot="1">
      <c r="A103" s="157">
        <v>41789</v>
      </c>
      <c r="B103" s="158">
        <v>28860</v>
      </c>
      <c r="C103">
        <v>8002.308436323121</v>
      </c>
      <c r="D103" s="166">
        <f t="shared" si="4"/>
        <v>1.2608187626407776</v>
      </c>
      <c r="E103" s="167">
        <v>1198004790</v>
      </c>
      <c r="F103" s="166">
        <f t="shared" si="4"/>
        <v>0.54282566404094035</v>
      </c>
      <c r="G103" s="165">
        <v>21</v>
      </c>
      <c r="H103" s="169">
        <f t="shared" si="3"/>
        <v>57047847.142857142</v>
      </c>
      <c r="I103" s="166">
        <f t="shared" si="5"/>
        <v>0.68976144156864883</v>
      </c>
    </row>
    <row r="104" spans="1:9" ht="18" thickBot="1">
      <c r="A104" s="157">
        <v>41820</v>
      </c>
      <c r="B104" s="158">
        <v>26440</v>
      </c>
      <c r="C104">
        <v>7275.1953551686956</v>
      </c>
      <c r="D104" s="166">
        <f t="shared" si="4"/>
        <v>1.0355868450693753</v>
      </c>
      <c r="E104" s="167">
        <v>1233491912</v>
      </c>
      <c r="F104" s="166">
        <f t="shared" si="4"/>
        <v>0.39843273628268583</v>
      </c>
      <c r="G104" s="165">
        <v>20</v>
      </c>
      <c r="H104" s="169">
        <f t="shared" si="3"/>
        <v>61674595.600000001</v>
      </c>
      <c r="I104" s="166">
        <f t="shared" si="5"/>
        <v>0.32851109946855162</v>
      </c>
    </row>
    <row r="105" spans="1:9" ht="18" thickBot="1">
      <c r="A105" s="157">
        <v>41851</v>
      </c>
      <c r="B105" s="158">
        <v>26860</v>
      </c>
      <c r="C105">
        <v>6630.9975736678789</v>
      </c>
      <c r="D105" s="166">
        <f t="shared" si="4"/>
        <v>0.49276579942226784</v>
      </c>
      <c r="E105" s="167">
        <v>1291583055</v>
      </c>
      <c r="F105" s="166">
        <f t="shared" si="4"/>
        <v>0.38101915501799</v>
      </c>
      <c r="G105" s="165">
        <v>23</v>
      </c>
      <c r="H105" s="169">
        <f t="shared" si="3"/>
        <v>56155785</v>
      </c>
      <c r="I105" s="166">
        <f t="shared" si="5"/>
        <v>0.38101915501799</v>
      </c>
    </row>
    <row r="106" spans="1:9" ht="18" thickBot="1">
      <c r="A106" s="157">
        <v>41880</v>
      </c>
      <c r="B106" s="158">
        <v>24680</v>
      </c>
      <c r="C106">
        <v>10082.696324540169</v>
      </c>
      <c r="D106" s="166">
        <f t="shared" si="4"/>
        <v>0.73966293891935164</v>
      </c>
      <c r="E106" s="167">
        <v>1365012569</v>
      </c>
      <c r="F106" s="166">
        <f t="shared" si="4"/>
        <v>0.5301598134189851</v>
      </c>
      <c r="G106" s="165">
        <v>20</v>
      </c>
      <c r="H106" s="169">
        <f t="shared" si="3"/>
        <v>68250628.450000003</v>
      </c>
      <c r="I106" s="166">
        <f t="shared" si="5"/>
        <v>0.60666780408993448</v>
      </c>
    </row>
    <row r="107" spans="1:9" ht="18" thickBot="1">
      <c r="A107" s="157">
        <v>41912</v>
      </c>
      <c r="B107" s="158">
        <v>23680</v>
      </c>
      <c r="C107">
        <v>10560.83032725177</v>
      </c>
      <c r="D107" s="166">
        <f t="shared" si="4"/>
        <v>0.63860531093122508</v>
      </c>
      <c r="E107" s="167">
        <v>1399992248</v>
      </c>
      <c r="F107" s="166">
        <f t="shared" si="4"/>
        <v>0.54112399766749153</v>
      </c>
      <c r="G107" s="165">
        <v>22</v>
      </c>
      <c r="H107" s="169">
        <f t="shared" si="3"/>
        <v>63636011.272727273</v>
      </c>
      <c r="I107" s="166">
        <f t="shared" si="5"/>
        <v>0.47107290686442371</v>
      </c>
    </row>
    <row r="108" spans="1:9" ht="18" thickBot="1">
      <c r="A108" s="157">
        <v>41943</v>
      </c>
      <c r="B108" s="158">
        <v>24880</v>
      </c>
      <c r="C108">
        <v>11842.726911007614</v>
      </c>
      <c r="D108" s="166">
        <f t="shared" si="4"/>
        <v>0.82126108945562604</v>
      </c>
      <c r="E108" s="167">
        <v>1312579163</v>
      </c>
      <c r="F108" s="166">
        <f t="shared" si="4"/>
        <v>0.38087912941332069</v>
      </c>
      <c r="G108" s="165">
        <v>21</v>
      </c>
      <c r="H108" s="169">
        <f t="shared" si="3"/>
        <v>62503769.666666664</v>
      </c>
      <c r="I108" s="166">
        <f t="shared" si="5"/>
        <v>0.38087912941332069</v>
      </c>
    </row>
    <row r="109" spans="1:9" ht="18" thickBot="1">
      <c r="A109" s="157">
        <v>41971</v>
      </c>
      <c r="B109" s="158">
        <v>25740</v>
      </c>
      <c r="C109">
        <v>13514.621638925702</v>
      </c>
      <c r="D109" s="166">
        <f t="shared" si="4"/>
        <v>0.94530225897647524</v>
      </c>
      <c r="E109" s="167">
        <v>1388927398</v>
      </c>
      <c r="F109" s="166">
        <f t="shared" si="4"/>
        <v>0.29002717082268403</v>
      </c>
      <c r="G109" s="165">
        <v>20</v>
      </c>
      <c r="H109" s="169">
        <f t="shared" si="3"/>
        <v>69446369.900000006</v>
      </c>
      <c r="I109" s="166">
        <f t="shared" si="5"/>
        <v>0.35452852936381829</v>
      </c>
    </row>
    <row r="110" spans="1:9" ht="18" thickBot="1">
      <c r="A110" s="157">
        <v>42003</v>
      </c>
      <c r="B110" s="158">
        <v>26540</v>
      </c>
      <c r="C110">
        <v>14448.885832912996</v>
      </c>
      <c r="D110" s="166">
        <f t="shared" si="4"/>
        <v>1.0618395519749932</v>
      </c>
      <c r="E110" s="167">
        <v>1423676174</v>
      </c>
      <c r="F110" s="166">
        <f t="shared" si="4"/>
        <v>0.14906097846550237</v>
      </c>
      <c r="G110" s="165">
        <v>21</v>
      </c>
      <c r="H110" s="169">
        <f t="shared" si="3"/>
        <v>67794103.523809522</v>
      </c>
      <c r="I110" s="166">
        <f t="shared" si="5"/>
        <v>9.4343789014764257E-2</v>
      </c>
    </row>
    <row r="111" spans="1:9" ht="18" thickBot="1">
      <c r="A111" s="157">
        <v>42034</v>
      </c>
      <c r="B111" s="158">
        <v>27300</v>
      </c>
      <c r="C111">
        <v>14462.313834390687</v>
      </c>
      <c r="D111" s="166">
        <f t="shared" si="4"/>
        <v>1.2104605646214992</v>
      </c>
      <c r="E111" s="167">
        <v>1345216460</v>
      </c>
      <c r="F111" s="166">
        <f t="shared" si="4"/>
        <v>0.28059710614621958</v>
      </c>
      <c r="G111" s="165">
        <v>21</v>
      </c>
      <c r="H111" s="169">
        <f t="shared" si="3"/>
        <v>64057926.666666664</v>
      </c>
      <c r="I111" s="166">
        <f t="shared" si="5"/>
        <v>0.21961629156782814</v>
      </c>
    </row>
    <row r="112" spans="1:9" ht="18" thickBot="1">
      <c r="A112" s="157">
        <v>42062</v>
      </c>
      <c r="B112" s="158">
        <v>27140</v>
      </c>
      <c r="C112">
        <v>12507.222997009552</v>
      </c>
      <c r="D112" s="166">
        <f t="shared" si="4"/>
        <v>0.92856028180354522</v>
      </c>
      <c r="E112" s="167">
        <v>1261827463</v>
      </c>
      <c r="F112" s="166">
        <f t="shared" si="4"/>
        <v>0.34400141505421011</v>
      </c>
      <c r="G112" s="165">
        <v>20</v>
      </c>
      <c r="H112" s="169">
        <f t="shared" si="3"/>
        <v>63091373.149999999</v>
      </c>
      <c r="I112" s="166">
        <f t="shared" si="5"/>
        <v>0.34400141505421011</v>
      </c>
    </row>
    <row r="113" spans="1:9" ht="18" thickBot="1">
      <c r="A113" s="157">
        <v>42094</v>
      </c>
      <c r="B113" s="158">
        <v>28820</v>
      </c>
      <c r="C113">
        <v>13251.215716122375</v>
      </c>
      <c r="D113" s="166">
        <f t="shared" si="4"/>
        <v>0.97194914021755285</v>
      </c>
      <c r="E113" s="167">
        <v>1237860991</v>
      </c>
      <c r="F113" s="166">
        <f t="shared" si="4"/>
        <v>4.7399697500690285E-2</v>
      </c>
      <c r="G113" s="165">
        <v>22</v>
      </c>
      <c r="H113" s="169">
        <f t="shared" si="3"/>
        <v>56266408.68181818</v>
      </c>
      <c r="I113" s="166">
        <f t="shared" si="5"/>
        <v>-2.0937965843204065E-4</v>
      </c>
    </row>
    <row r="114" spans="1:9" ht="18" thickBot="1">
      <c r="A114" s="157">
        <v>42124</v>
      </c>
      <c r="B114" s="158">
        <v>28200</v>
      </c>
      <c r="C114">
        <v>12470.520347495618</v>
      </c>
      <c r="D114" s="166">
        <f t="shared" si="4"/>
        <v>0.94944754202087478</v>
      </c>
      <c r="E114" s="167">
        <v>1197041507</v>
      </c>
      <c r="F114" s="166">
        <f t="shared" si="4"/>
        <v>4.9075111756256895E-2</v>
      </c>
      <c r="G114" s="165">
        <v>22</v>
      </c>
      <c r="H114" s="169">
        <f t="shared" si="3"/>
        <v>54410977.590909094</v>
      </c>
      <c r="I114" s="166">
        <f t="shared" si="5"/>
        <v>4.9075111756256895E-2</v>
      </c>
    </row>
    <row r="115" spans="1:9" ht="18" thickBot="1">
      <c r="A115" s="157">
        <v>42153</v>
      </c>
      <c r="B115" s="158">
        <v>26140</v>
      </c>
      <c r="C115">
        <v>7732.8693871664718</v>
      </c>
      <c r="D115" s="166">
        <f t="shared" si="4"/>
        <v>-3.3670165465460422E-2</v>
      </c>
      <c r="E115" s="167">
        <v>1190377808</v>
      </c>
      <c r="F115" s="166">
        <f t="shared" si="4"/>
        <v>-6.3664035934279939E-3</v>
      </c>
      <c r="G115" s="165">
        <v>20</v>
      </c>
      <c r="H115" s="169">
        <f t="shared" si="3"/>
        <v>59518890.399999999</v>
      </c>
      <c r="I115" s="166">
        <f t="shared" si="5"/>
        <v>4.3315276226900457E-2</v>
      </c>
    </row>
    <row r="116" spans="1:9" ht="18" thickBot="1">
      <c r="A116" s="157">
        <v>42185</v>
      </c>
      <c r="B116" s="158">
        <v>25360</v>
      </c>
      <c r="C116">
        <v>7956.8605925041147</v>
      </c>
      <c r="D116" s="166">
        <f t="shared" si="4"/>
        <v>9.3697172935861772E-2</v>
      </c>
      <c r="E116" s="167">
        <v>1287001513</v>
      </c>
      <c r="F116" s="166">
        <f t="shared" si="4"/>
        <v>4.3380585214570999E-2</v>
      </c>
      <c r="G116" s="165">
        <v>22</v>
      </c>
      <c r="H116" s="169">
        <f t="shared" si="3"/>
        <v>58500068.772727273</v>
      </c>
      <c r="I116" s="166">
        <f t="shared" si="5"/>
        <v>-5.1472195259480991E-2</v>
      </c>
    </row>
    <row r="117" spans="1:9" ht="18" thickBot="1">
      <c r="A117" s="157">
        <v>42216</v>
      </c>
      <c r="B117" s="158">
        <v>23700</v>
      </c>
      <c r="C117">
        <v>8076.816642665558</v>
      </c>
      <c r="D117" s="166">
        <f t="shared" si="4"/>
        <v>0.21803945076667208</v>
      </c>
      <c r="E117" s="167">
        <v>1305691717</v>
      </c>
      <c r="F117" s="166">
        <f t="shared" si="4"/>
        <v>1.0923542195279135E-2</v>
      </c>
      <c r="G117" s="165">
        <v>23</v>
      </c>
      <c r="H117" s="169">
        <f t="shared" si="3"/>
        <v>56769205.086956523</v>
      </c>
      <c r="I117" s="166">
        <f t="shared" si="5"/>
        <v>1.0923542195279135E-2</v>
      </c>
    </row>
    <row r="118" spans="1:9" ht="18" thickBot="1">
      <c r="A118" s="157">
        <v>42247</v>
      </c>
      <c r="B118" s="158">
        <v>21780</v>
      </c>
      <c r="C118">
        <v>10831.758647588958</v>
      </c>
      <c r="D118" s="166">
        <f t="shared" si="4"/>
        <v>7.4291865879730468E-2</v>
      </c>
      <c r="E118" s="167">
        <v>1164989221</v>
      </c>
      <c r="F118" s="166">
        <f t="shared" si="4"/>
        <v>-0.14653590197087774</v>
      </c>
      <c r="G118" s="165">
        <v>21</v>
      </c>
      <c r="H118" s="169">
        <f t="shared" si="3"/>
        <v>55475677.190476194</v>
      </c>
      <c r="I118" s="166">
        <f t="shared" si="5"/>
        <v>-0.18717704949607405</v>
      </c>
    </row>
    <row r="119" spans="1:9" ht="18" thickBot="1">
      <c r="A119" s="157">
        <v>42277</v>
      </c>
      <c r="B119" s="158">
        <v>22680</v>
      </c>
      <c r="C119">
        <v>12083.557689097723</v>
      </c>
      <c r="D119" s="166">
        <f t="shared" si="4"/>
        <v>0.1441863295461363</v>
      </c>
      <c r="E119" s="167">
        <v>1158271839</v>
      </c>
      <c r="F119" s="166">
        <f t="shared" si="4"/>
        <v>-0.17265839103417668</v>
      </c>
      <c r="G119" s="165">
        <v>22</v>
      </c>
      <c r="H119" s="169">
        <f t="shared" si="3"/>
        <v>52648719.954545453</v>
      </c>
      <c r="I119" s="166">
        <f t="shared" si="5"/>
        <v>-0.17265839103417668</v>
      </c>
    </row>
    <row r="120" spans="1:9" ht="18" thickBot="1">
      <c r="A120" s="157">
        <v>42307</v>
      </c>
      <c r="B120" s="158">
        <v>27440</v>
      </c>
      <c r="C120">
        <v>10702.016794377907</v>
      </c>
      <c r="D120" s="166">
        <f t="shared" si="4"/>
        <v>-9.6321575698029127E-2</v>
      </c>
      <c r="E120" s="167">
        <v>1172900373</v>
      </c>
      <c r="F120" s="166">
        <f t="shared" si="4"/>
        <v>-0.10641551682166994</v>
      </c>
      <c r="G120" s="165">
        <v>21</v>
      </c>
      <c r="H120" s="169">
        <f t="shared" si="3"/>
        <v>55852398.714285716</v>
      </c>
      <c r="I120" s="166">
        <f t="shared" si="5"/>
        <v>-0.10641551682166994</v>
      </c>
    </row>
    <row r="121" spans="1:9" ht="18" thickBot="1">
      <c r="A121" s="157">
        <v>42338</v>
      </c>
      <c r="B121" s="158">
        <v>25680</v>
      </c>
      <c r="C121">
        <v>10859.573432344945</v>
      </c>
      <c r="D121" s="166">
        <f t="shared" si="4"/>
        <v>-0.19645745752389487</v>
      </c>
      <c r="E121" s="167">
        <v>1047368935</v>
      </c>
      <c r="F121" s="166">
        <f t="shared" si="4"/>
        <v>-0.24591527497537347</v>
      </c>
      <c r="G121" s="165">
        <v>21</v>
      </c>
      <c r="H121" s="169">
        <f t="shared" si="3"/>
        <v>49874711.190476194</v>
      </c>
      <c r="I121" s="166">
        <f t="shared" si="5"/>
        <v>-0.28182407140511756</v>
      </c>
    </row>
    <row r="122" spans="1:9" ht="18" thickBot="1">
      <c r="A122" s="157">
        <v>42368</v>
      </c>
      <c r="B122" s="158">
        <v>25200</v>
      </c>
      <c r="C122">
        <v>10098.688709004868</v>
      </c>
      <c r="D122" s="166">
        <f t="shared" si="4"/>
        <v>-0.30107491845487844</v>
      </c>
      <c r="E122" s="167">
        <v>985693620</v>
      </c>
      <c r="F122" s="166">
        <f t="shared" si="4"/>
        <v>-0.3076419778589341</v>
      </c>
      <c r="G122" s="165">
        <v>21</v>
      </c>
      <c r="H122" s="169">
        <f t="shared" si="3"/>
        <v>46937791.428571425</v>
      </c>
      <c r="I122" s="166">
        <f t="shared" si="5"/>
        <v>-0.3076419778589341</v>
      </c>
    </row>
    <row r="123" spans="1:9" ht="18" thickBot="1">
      <c r="A123" s="157">
        <v>42398</v>
      </c>
      <c r="B123" s="158">
        <v>23000</v>
      </c>
      <c r="C123">
        <v>8955.1764379769375</v>
      </c>
      <c r="D123" s="166">
        <f t="shared" si="4"/>
        <v>-0.38079227566739993</v>
      </c>
      <c r="E123" s="167">
        <v>995033833</v>
      </c>
      <c r="F123" s="166">
        <f t="shared" si="4"/>
        <v>-0.26031693590784644</v>
      </c>
      <c r="G123" s="165">
        <v>20</v>
      </c>
      <c r="H123" s="169">
        <f t="shared" si="3"/>
        <v>49751691.649999999</v>
      </c>
      <c r="I123" s="166">
        <f t="shared" si="5"/>
        <v>-0.22333278270323875</v>
      </c>
    </row>
    <row r="124" spans="1:9" ht="18" thickBot="1">
      <c r="A124" s="157">
        <v>42429</v>
      </c>
      <c r="B124" s="158">
        <v>23560</v>
      </c>
      <c r="C124">
        <v>9759.4187414292246</v>
      </c>
      <c r="D124" s="166">
        <f t="shared" si="4"/>
        <v>-0.2196973905588252</v>
      </c>
      <c r="E124" s="167">
        <v>960765978</v>
      </c>
      <c r="F124" s="166">
        <f t="shared" si="4"/>
        <v>-0.23859164095559082</v>
      </c>
      <c r="G124" s="165">
        <v>21</v>
      </c>
      <c r="H124" s="169">
        <f t="shared" si="3"/>
        <v>45750760.857142858</v>
      </c>
      <c r="I124" s="166">
        <f t="shared" si="5"/>
        <v>-0.27484918186246732</v>
      </c>
    </row>
    <row r="125" spans="1:9" ht="18" thickBot="1">
      <c r="A125" s="157">
        <v>42460</v>
      </c>
      <c r="B125" s="158">
        <v>26240</v>
      </c>
      <c r="C125">
        <v>9894.0257777885854</v>
      </c>
      <c r="D125" s="166">
        <f t="shared" si="4"/>
        <v>-0.25334958016336517</v>
      </c>
      <c r="E125" s="167">
        <v>1139330708</v>
      </c>
      <c r="F125" s="166">
        <f t="shared" si="4"/>
        <v>-7.9597211412569702E-2</v>
      </c>
      <c r="G125" s="165">
        <v>22</v>
      </c>
      <c r="H125" s="169">
        <f t="shared" si="3"/>
        <v>51787759.454545453</v>
      </c>
      <c r="I125" s="166">
        <f t="shared" si="5"/>
        <v>-7.9597211412569702E-2</v>
      </c>
    </row>
    <row r="126" spans="1:9" ht="18" thickBot="1">
      <c r="A126" s="157">
        <v>42489</v>
      </c>
      <c r="B126" s="158">
        <v>24900</v>
      </c>
      <c r="C126">
        <v>10579.311313694003</v>
      </c>
      <c r="D126" s="166">
        <f t="shared" si="4"/>
        <v>-0.15165438017840338</v>
      </c>
      <c r="E126" s="167">
        <v>945081406</v>
      </c>
      <c r="F126" s="166">
        <f t="shared" si="4"/>
        <v>-0.21048568452021099</v>
      </c>
      <c r="G126" s="165">
        <v>21</v>
      </c>
      <c r="H126" s="169">
        <f t="shared" si="3"/>
        <v>45003876.476190478</v>
      </c>
      <c r="I126" s="166">
        <f t="shared" si="5"/>
        <v>-0.17288976473545925</v>
      </c>
    </row>
    <row r="127" spans="1:9" ht="18" thickBot="1">
      <c r="A127" s="157">
        <v>42521</v>
      </c>
      <c r="B127" s="158">
        <v>25840</v>
      </c>
      <c r="C127">
        <v>10724.977266637308</v>
      </c>
      <c r="D127" s="166">
        <f t="shared" si="4"/>
        <v>0.38693371498509488</v>
      </c>
      <c r="E127" s="167">
        <v>1069862278</v>
      </c>
      <c r="F127" s="166">
        <f t="shared" si="4"/>
        <v>-0.10124141191987002</v>
      </c>
      <c r="G127" s="165">
        <v>21</v>
      </c>
      <c r="H127" s="169">
        <f t="shared" si="3"/>
        <v>50945822.761904761</v>
      </c>
      <c r="I127" s="166">
        <f t="shared" si="5"/>
        <v>-0.14403943992368573</v>
      </c>
    </row>
    <row r="128" spans="1:9" ht="18" thickBot="1">
      <c r="A128" s="157">
        <v>42551</v>
      </c>
      <c r="B128" s="158">
        <v>28500</v>
      </c>
      <c r="C128">
        <v>15141.926409757509</v>
      </c>
      <c r="D128" s="166">
        <f t="shared" si="4"/>
        <v>0.90300260180782832</v>
      </c>
      <c r="E128" s="167">
        <v>1081260435</v>
      </c>
      <c r="F128" s="166">
        <f t="shared" si="4"/>
        <v>-0.15986078953428551</v>
      </c>
      <c r="G128" s="165">
        <v>21</v>
      </c>
      <c r="H128" s="169">
        <f t="shared" si="3"/>
        <v>51488592.142857142</v>
      </c>
      <c r="I128" s="166">
        <f t="shared" si="5"/>
        <v>-0.1198541604644896</v>
      </c>
    </row>
    <row r="129" spans="1:9" ht="18" thickBot="1">
      <c r="A129" s="157">
        <v>42580</v>
      </c>
      <c r="B129" s="158">
        <v>30780</v>
      </c>
      <c r="C129">
        <v>13157.696485472356</v>
      </c>
      <c r="D129" s="166">
        <f t="shared" si="4"/>
        <v>0.62906960348303453</v>
      </c>
      <c r="E129" s="167">
        <v>929207973</v>
      </c>
      <c r="F129" s="166">
        <f t="shared" si="4"/>
        <v>-0.28834045517652618</v>
      </c>
      <c r="G129" s="165">
        <v>21</v>
      </c>
      <c r="H129" s="169">
        <f t="shared" si="3"/>
        <v>44247998.714285716</v>
      </c>
      <c r="I129" s="166">
        <f t="shared" si="5"/>
        <v>-0.22056335566952867</v>
      </c>
    </row>
    <row r="130" spans="1:9" ht="18" thickBot="1">
      <c r="A130" s="157">
        <v>42613</v>
      </c>
      <c r="B130" s="158">
        <v>32400</v>
      </c>
      <c r="C130">
        <v>14603.384847443776</v>
      </c>
      <c r="D130" s="166">
        <f t="shared" si="4"/>
        <v>0.34820072368343835</v>
      </c>
      <c r="E130" s="167">
        <v>1131957865</v>
      </c>
      <c r="F130" s="166">
        <f t="shared" si="4"/>
        <v>-2.8353357614456454E-2</v>
      </c>
      <c r="G130" s="165">
        <v>22</v>
      </c>
      <c r="H130" s="169">
        <f t="shared" si="3"/>
        <v>51452630.227272727</v>
      </c>
      <c r="I130" s="166">
        <f t="shared" si="5"/>
        <v>-7.251911408652667E-2</v>
      </c>
    </row>
    <row r="131" spans="1:9" ht="18" thickBot="1">
      <c r="A131" s="157">
        <v>42643</v>
      </c>
      <c r="B131" s="158">
        <v>31960</v>
      </c>
      <c r="C131">
        <v>14404.118408682642</v>
      </c>
      <c r="D131" s="166">
        <f t="shared" si="4"/>
        <v>0.19204283864830818</v>
      </c>
      <c r="E131" s="167">
        <v>1125064061</v>
      </c>
      <c r="F131" s="166">
        <f t="shared" si="4"/>
        <v>-2.8670107380552534E-2</v>
      </c>
      <c r="G131" s="165">
        <v>22</v>
      </c>
      <c r="H131" s="169">
        <f t="shared" si="3"/>
        <v>51139275.5</v>
      </c>
      <c r="I131" s="166">
        <f t="shared" si="5"/>
        <v>-2.8670107380552423E-2</v>
      </c>
    </row>
    <row r="132" spans="1:9" ht="18" thickBot="1">
      <c r="A132" s="157">
        <v>42674</v>
      </c>
      <c r="B132" s="158">
        <v>32780</v>
      </c>
      <c r="C132">
        <v>13356.355598847769</v>
      </c>
      <c r="D132" s="166">
        <f t="shared" si="4"/>
        <v>0.24802229855070568</v>
      </c>
      <c r="E132" s="167">
        <v>1228306424</v>
      </c>
      <c r="F132" s="166">
        <f t="shared" si="4"/>
        <v>4.7238497212073183E-2</v>
      </c>
      <c r="G132" s="165">
        <v>20</v>
      </c>
      <c r="H132" s="169">
        <f t="shared" si="3"/>
        <v>61415321.200000003</v>
      </c>
      <c r="I132" s="166">
        <f t="shared" si="5"/>
        <v>9.960042207267672E-2</v>
      </c>
    </row>
    <row r="133" spans="1:9" ht="18" thickBot="1">
      <c r="A133" s="157">
        <v>42704</v>
      </c>
      <c r="B133" s="158">
        <v>34920</v>
      </c>
      <c r="C133">
        <v>15788.682325140197</v>
      </c>
      <c r="D133" s="166">
        <f t="shared" si="4"/>
        <v>0.45389525873217407</v>
      </c>
      <c r="E133" s="167">
        <v>1209064452</v>
      </c>
      <c r="F133" s="166">
        <f t="shared" si="4"/>
        <v>0.15438257866603622</v>
      </c>
      <c r="G133" s="165">
        <v>22</v>
      </c>
      <c r="H133" s="169">
        <f t="shared" si="3"/>
        <v>54957475.090909094</v>
      </c>
      <c r="I133" s="166">
        <f t="shared" si="5"/>
        <v>0.10191064327212529</v>
      </c>
    </row>
    <row r="134" spans="1:9" ht="18" thickBot="1">
      <c r="A134" s="157">
        <v>42733</v>
      </c>
      <c r="B134" s="158">
        <v>36040</v>
      </c>
      <c r="C134">
        <v>14857.1658544245</v>
      </c>
      <c r="D134" s="166">
        <f t="shared" si="4"/>
        <v>0.47119752697957318</v>
      </c>
      <c r="E134" s="167">
        <v>1238551140</v>
      </c>
      <c r="F134" s="166">
        <f t="shared" si="4"/>
        <v>0.25652749989393264</v>
      </c>
      <c r="G134" s="165">
        <v>21</v>
      </c>
      <c r="H134" s="169">
        <f t="shared" si="3"/>
        <v>58978625.714285716</v>
      </c>
      <c r="I134" s="166">
        <f t="shared" si="5"/>
        <v>0.25652749989393264</v>
      </c>
    </row>
    <row r="135" spans="1:9" ht="18" thickBot="1">
      <c r="A135" s="157">
        <v>42766</v>
      </c>
      <c r="B135" s="158">
        <v>39460</v>
      </c>
      <c r="C135">
        <v>16276.295609860508</v>
      </c>
      <c r="D135" s="166">
        <f t="shared" si="4"/>
        <v>0.81752930526709799</v>
      </c>
      <c r="E135" s="167">
        <v>1359624403</v>
      </c>
      <c r="F135" s="166">
        <f t="shared" si="4"/>
        <v>0.3664102243647025</v>
      </c>
      <c r="G135" s="165">
        <v>22</v>
      </c>
      <c r="H135" s="169">
        <f t="shared" si="3"/>
        <v>61801109.227272727</v>
      </c>
      <c r="I135" s="166">
        <f t="shared" si="5"/>
        <v>0.24219111305882057</v>
      </c>
    </row>
    <row r="136" spans="1:9" ht="18" thickBot="1">
      <c r="A136" s="157">
        <v>42794</v>
      </c>
      <c r="B136" s="158">
        <v>38440</v>
      </c>
      <c r="C136">
        <v>17676.327382699968</v>
      </c>
      <c r="D136" s="166">
        <f t="shared" si="4"/>
        <v>0.81120698384044809</v>
      </c>
      <c r="E136" s="167">
        <v>1405222422</v>
      </c>
      <c r="F136" s="166">
        <f t="shared" si="4"/>
        <v>0.46260635178320197</v>
      </c>
      <c r="G136" s="165">
        <v>20</v>
      </c>
      <c r="H136" s="169">
        <f t="shared" si="3"/>
        <v>70261121.099999994</v>
      </c>
      <c r="I136" s="166">
        <f t="shared" si="5"/>
        <v>0.53573666937236175</v>
      </c>
    </row>
    <row r="137" spans="1:9" ht="18" thickBot="1">
      <c r="A137" s="157">
        <v>42825</v>
      </c>
      <c r="B137" s="158">
        <v>41200</v>
      </c>
      <c r="C137">
        <v>20199.045786752322</v>
      </c>
      <c r="D137" s="166">
        <f t="shared" si="4"/>
        <v>1.0415396361810383</v>
      </c>
      <c r="E137" s="167">
        <v>1575893194</v>
      </c>
      <c r="F137" s="166">
        <f t="shared" si="4"/>
        <v>0.38317451020551263</v>
      </c>
      <c r="G137" s="165">
        <v>22</v>
      </c>
      <c r="H137" s="169">
        <f t="shared" si="3"/>
        <v>71631508.818181813</v>
      </c>
      <c r="I137" s="166">
        <f t="shared" si="5"/>
        <v>0.38317451020551263</v>
      </c>
    </row>
    <row r="138" spans="1:9" ht="18" thickBot="1">
      <c r="A138" s="157">
        <v>42853</v>
      </c>
      <c r="B138" s="158">
        <v>44620</v>
      </c>
      <c r="C138">
        <v>22013.348079043652</v>
      </c>
      <c r="D138" s="166">
        <f t="shared" si="4"/>
        <v>1.0807921637157305</v>
      </c>
      <c r="E138" s="167">
        <v>1704652258</v>
      </c>
      <c r="F138" s="166">
        <f t="shared" si="4"/>
        <v>0.80370944468671524</v>
      </c>
      <c r="G138" s="165">
        <v>20</v>
      </c>
      <c r="H138" s="169">
        <f t="shared" si="3"/>
        <v>85232612.900000006</v>
      </c>
      <c r="I138" s="166">
        <f t="shared" si="5"/>
        <v>0.89389491692105105</v>
      </c>
    </row>
    <row r="139" spans="1:9" ht="18" thickBot="1">
      <c r="A139" s="157">
        <v>42886</v>
      </c>
      <c r="B139" s="158">
        <v>44700</v>
      </c>
      <c r="C139">
        <v>23808.638282490931</v>
      </c>
      <c r="D139" s="166">
        <f t="shared" si="4"/>
        <v>1.2199243588658768</v>
      </c>
      <c r="E139" s="167">
        <v>1835724342</v>
      </c>
      <c r="F139" s="166">
        <f t="shared" si="4"/>
        <v>0.71585107704862927</v>
      </c>
      <c r="G139" s="165">
        <v>22</v>
      </c>
      <c r="H139" s="169">
        <f t="shared" si="3"/>
        <v>83442015.545454547</v>
      </c>
      <c r="I139" s="166">
        <f t="shared" si="5"/>
        <v>0.63785784627369169</v>
      </c>
    </row>
    <row r="140" spans="1:9" ht="18" thickBot="1">
      <c r="A140" s="157">
        <v>42916</v>
      </c>
      <c r="B140" s="158">
        <v>47540</v>
      </c>
      <c r="C140">
        <v>23312.31214721888</v>
      </c>
      <c r="D140" s="166">
        <f t="shared" si="4"/>
        <v>0.53958694002081176</v>
      </c>
      <c r="E140" s="167">
        <v>1863251002</v>
      </c>
      <c r="F140" s="166">
        <f t="shared" si="4"/>
        <v>0.72322129034528104</v>
      </c>
      <c r="G140" s="165">
        <v>21</v>
      </c>
      <c r="H140" s="169">
        <f t="shared" si="3"/>
        <v>88726238.190476194</v>
      </c>
      <c r="I140" s="166">
        <f t="shared" si="5"/>
        <v>0.72322129034528126</v>
      </c>
    </row>
    <row r="141" spans="1:9" ht="18" thickBot="1">
      <c r="A141" s="157">
        <v>42947</v>
      </c>
      <c r="B141" s="158">
        <v>48200</v>
      </c>
      <c r="C141">
        <v>26225.2656054621</v>
      </c>
      <c r="D141" s="166">
        <f t="shared" si="4"/>
        <v>0.9931502170169284</v>
      </c>
      <c r="E141" s="167">
        <v>1967693742</v>
      </c>
      <c r="F141" s="166">
        <f t="shared" si="4"/>
        <v>1.1176031622363189</v>
      </c>
      <c r="G141" s="165">
        <v>21</v>
      </c>
      <c r="H141" s="169">
        <f t="shared" si="3"/>
        <v>93699702</v>
      </c>
      <c r="I141" s="166">
        <f t="shared" si="5"/>
        <v>1.1176031622363189</v>
      </c>
    </row>
    <row r="142" spans="1:9" ht="18" thickBot="1">
      <c r="A142" s="157">
        <v>42978</v>
      </c>
      <c r="B142" s="158">
        <v>46320</v>
      </c>
      <c r="C142">
        <v>25341.141230872956</v>
      </c>
      <c r="D142" s="166">
        <f t="shared" si="4"/>
        <v>0.73529229665605578</v>
      </c>
      <c r="E142" s="167">
        <v>2011639596</v>
      </c>
      <c r="F142" s="166">
        <f t="shared" si="4"/>
        <v>0.7771329288833555</v>
      </c>
      <c r="G142" s="165">
        <v>22</v>
      </c>
      <c r="H142" s="169">
        <f t="shared" si="3"/>
        <v>91438163.454545453</v>
      </c>
      <c r="I142" s="166">
        <f t="shared" si="5"/>
        <v>0.7771329288833555</v>
      </c>
    </row>
    <row r="143" spans="1:9" ht="18" thickBot="1">
      <c r="A143" s="157">
        <v>43007</v>
      </c>
      <c r="B143" s="158">
        <v>51280</v>
      </c>
      <c r="C143">
        <v>26991.10168438718</v>
      </c>
      <c r="D143" s="166">
        <f t="shared" si="4"/>
        <v>0.87384614028979701</v>
      </c>
      <c r="E143" s="167">
        <v>2140059404</v>
      </c>
      <c r="F143" s="166">
        <f t="shared" si="4"/>
        <v>0.90216671048743069</v>
      </c>
      <c r="G143" s="165">
        <v>21</v>
      </c>
      <c r="H143" s="169">
        <f t="shared" si="3"/>
        <v>101907590.66666667</v>
      </c>
      <c r="I143" s="166">
        <f t="shared" si="5"/>
        <v>0.99274607765349887</v>
      </c>
    </row>
    <row r="144" spans="1:9" ht="18" thickBot="1">
      <c r="A144" s="157">
        <v>43039</v>
      </c>
      <c r="B144" s="158">
        <v>55080</v>
      </c>
      <c r="C144">
        <v>30448.922598966281</v>
      </c>
      <c r="D144" s="166">
        <f t="shared" si="4"/>
        <v>1.2797328488014394</v>
      </c>
      <c r="E144" s="167">
        <v>2483178757</v>
      </c>
      <c r="F144" s="166">
        <f t="shared" si="4"/>
        <v>1.0216280795092545</v>
      </c>
      <c r="G144" s="165">
        <v>20</v>
      </c>
      <c r="H144" s="169">
        <f t="shared" ref="H144:H206" si="6">E144/G144</f>
        <v>124158937.84999999</v>
      </c>
      <c r="I144" s="166">
        <f t="shared" si="5"/>
        <v>1.0216280795092541</v>
      </c>
    </row>
    <row r="145" spans="1:9" ht="18" thickBot="1">
      <c r="A145" s="157">
        <v>43069</v>
      </c>
      <c r="B145" s="158">
        <v>50800</v>
      </c>
      <c r="C145">
        <v>29362.330983866275</v>
      </c>
      <c r="D145" s="166">
        <f t="shared" si="4"/>
        <v>0.8597075030835768</v>
      </c>
      <c r="E145" s="167">
        <v>2361183591</v>
      </c>
      <c r="F145" s="166">
        <f t="shared" si="4"/>
        <v>0.95290134210314204</v>
      </c>
      <c r="G145" s="165">
        <v>22</v>
      </c>
      <c r="H145" s="169">
        <f t="shared" si="6"/>
        <v>107326526.86363636</v>
      </c>
      <c r="I145" s="166">
        <f t="shared" si="5"/>
        <v>0.95290134210314181</v>
      </c>
    </row>
    <row r="146" spans="1:9" ht="18" thickBot="1">
      <c r="A146" s="157">
        <v>43097</v>
      </c>
      <c r="B146" s="158">
        <v>50960</v>
      </c>
      <c r="C146">
        <v>32951.830129597096</v>
      </c>
      <c r="D146" s="166">
        <f t="shared" si="4"/>
        <v>1.2179082102515508</v>
      </c>
      <c r="E146" s="167">
        <v>2584284843</v>
      </c>
      <c r="F146" s="166">
        <f t="shared" si="4"/>
        <v>1.0865386656541287</v>
      </c>
      <c r="G146" s="165">
        <v>19</v>
      </c>
      <c r="H146" s="169">
        <f t="shared" si="6"/>
        <v>136014991.7368421</v>
      </c>
      <c r="I146" s="166">
        <f t="shared" si="5"/>
        <v>1.3061743146703524</v>
      </c>
    </row>
    <row r="147" spans="1:9" ht="18" thickBot="1">
      <c r="A147" s="157">
        <v>43131</v>
      </c>
      <c r="B147" s="158">
        <v>49900</v>
      </c>
      <c r="C147">
        <v>34652.578262677744</v>
      </c>
      <c r="D147" s="166">
        <f t="shared" si="4"/>
        <v>1.1290211908958274</v>
      </c>
      <c r="E147" s="167">
        <v>2491371371</v>
      </c>
      <c r="F147" s="166">
        <f t="shared" si="4"/>
        <v>0.83239677480251872</v>
      </c>
      <c r="G147" s="165">
        <v>22</v>
      </c>
      <c r="H147" s="169">
        <f t="shared" si="6"/>
        <v>113244153.22727273</v>
      </c>
      <c r="I147" s="166">
        <f t="shared" si="5"/>
        <v>0.83239677480251895</v>
      </c>
    </row>
    <row r="148" spans="1:9" ht="18" thickBot="1">
      <c r="A148" s="157">
        <v>43159</v>
      </c>
      <c r="B148" s="158">
        <v>47060</v>
      </c>
      <c r="C148">
        <v>33498.559246089935</v>
      </c>
      <c r="D148" s="166">
        <f t="shared" si="4"/>
        <v>0.89510855512188425</v>
      </c>
      <c r="E148" s="167">
        <v>2416307356</v>
      </c>
      <c r="F148" s="166">
        <f t="shared" si="4"/>
        <v>0.71951949966821704</v>
      </c>
      <c r="G148" s="165">
        <v>20</v>
      </c>
      <c r="H148" s="169">
        <f t="shared" si="6"/>
        <v>120815367.8</v>
      </c>
      <c r="I148" s="166">
        <f t="shared" si="5"/>
        <v>0.71951949966821704</v>
      </c>
    </row>
    <row r="149" spans="1:9" ht="18" thickBot="1">
      <c r="A149" s="157">
        <v>43189</v>
      </c>
      <c r="B149" s="158">
        <v>49220</v>
      </c>
      <c r="C149">
        <v>34518.199359089311</v>
      </c>
      <c r="D149" s="166">
        <f t="shared" si="4"/>
        <v>0.70890247606291878</v>
      </c>
      <c r="E149" s="167">
        <v>2999031598</v>
      </c>
      <c r="F149" s="166">
        <f t="shared" si="4"/>
        <v>0.90306780270287779</v>
      </c>
      <c r="G149" s="165">
        <v>21</v>
      </c>
      <c r="H149" s="169">
        <f t="shared" si="6"/>
        <v>142811028.47619048</v>
      </c>
      <c r="I149" s="166">
        <f t="shared" si="5"/>
        <v>0.99369007902206263</v>
      </c>
    </row>
    <row r="150" spans="1:9" ht="18" thickBot="1">
      <c r="A150" s="157">
        <v>43220</v>
      </c>
      <c r="B150" s="158">
        <v>53000</v>
      </c>
      <c r="C150">
        <v>35555.573081260394</v>
      </c>
      <c r="D150" s="166">
        <f t="shared" si="4"/>
        <v>0.61518243174961285</v>
      </c>
      <c r="E150" s="167">
        <v>2998743167</v>
      </c>
      <c r="F150" s="166">
        <f t="shared" si="4"/>
        <v>0.75915243295327861</v>
      </c>
      <c r="G150" s="165">
        <v>21</v>
      </c>
      <c r="H150" s="169">
        <f t="shared" si="6"/>
        <v>142797293.66666666</v>
      </c>
      <c r="I150" s="166">
        <f t="shared" si="5"/>
        <v>0.67538326947931271</v>
      </c>
    </row>
    <row r="151" spans="1:9" ht="18" thickBot="1">
      <c r="A151" s="157">
        <v>43251</v>
      </c>
      <c r="B151" s="158">
        <v>50700</v>
      </c>
      <c r="C151">
        <v>33909.992134097527</v>
      </c>
      <c r="D151" s="166">
        <f t="shared" si="4"/>
        <v>0.42427264137299336</v>
      </c>
      <c r="E151" s="167">
        <v>3157384461</v>
      </c>
      <c r="F151" s="166">
        <f t="shared" si="4"/>
        <v>0.71996654876846433</v>
      </c>
      <c r="G151" s="165">
        <v>23</v>
      </c>
      <c r="H151" s="169">
        <f t="shared" si="6"/>
        <v>137277585.26086956</v>
      </c>
      <c r="I151" s="166">
        <f t="shared" si="5"/>
        <v>0.64518539447418322</v>
      </c>
    </row>
    <row r="152" spans="1:9" ht="18" thickBot="1">
      <c r="A152" s="157">
        <v>43280</v>
      </c>
      <c r="B152" s="158">
        <v>46650</v>
      </c>
      <c r="C152">
        <v>33861.904101198488</v>
      </c>
      <c r="D152" s="166">
        <f t="shared" si="4"/>
        <v>0.45253306009966754</v>
      </c>
      <c r="E152" s="167">
        <v>3155601679</v>
      </c>
      <c r="F152" s="166">
        <f t="shared" si="4"/>
        <v>0.69359988300706688</v>
      </c>
      <c r="G152" s="165">
        <v>20</v>
      </c>
      <c r="H152" s="169">
        <f t="shared" si="6"/>
        <v>157780083.94999999</v>
      </c>
      <c r="I152" s="166">
        <f t="shared" si="5"/>
        <v>0.77827987715741997</v>
      </c>
    </row>
    <row r="153" spans="1:9" ht="18" thickBot="1">
      <c r="A153" s="157">
        <v>43312</v>
      </c>
      <c r="B153" s="158">
        <v>46250</v>
      </c>
      <c r="C153">
        <v>33767.721560727841</v>
      </c>
      <c r="D153" s="166">
        <f t="shared" si="4"/>
        <v>0.28760265267608287</v>
      </c>
      <c r="E153" s="167">
        <v>3056760524</v>
      </c>
      <c r="F153" s="166">
        <f t="shared" si="4"/>
        <v>0.55347372345304735</v>
      </c>
      <c r="G153" s="165">
        <v>22</v>
      </c>
      <c r="H153" s="169">
        <f t="shared" si="6"/>
        <v>138943660.18181819</v>
      </c>
      <c r="I153" s="166">
        <f t="shared" si="5"/>
        <v>0.48286128147790897</v>
      </c>
    </row>
    <row r="154" spans="1:9" ht="18" thickBot="1">
      <c r="A154" s="157">
        <v>43343</v>
      </c>
      <c r="B154" s="158">
        <v>48450</v>
      </c>
      <c r="C154">
        <v>39056.394789723759</v>
      </c>
      <c r="D154" s="166">
        <f t="shared" si="4"/>
        <v>0.54122477886440223</v>
      </c>
      <c r="E154" s="167">
        <v>3236846367</v>
      </c>
      <c r="F154" s="166">
        <f t="shared" si="4"/>
        <v>0.60905878639306721</v>
      </c>
      <c r="G154" s="165">
        <v>22</v>
      </c>
      <c r="H154" s="169">
        <f t="shared" si="6"/>
        <v>147129380.31818181</v>
      </c>
      <c r="I154" s="166">
        <f t="shared" si="5"/>
        <v>0.60905878639306721</v>
      </c>
    </row>
    <row r="155" spans="1:9" ht="18" thickBot="1">
      <c r="A155" s="157">
        <v>43371</v>
      </c>
      <c r="B155" s="158">
        <v>46450</v>
      </c>
      <c r="C155">
        <v>40038.571505697699</v>
      </c>
      <c r="D155" s="166">
        <f t="shared" si="4"/>
        <v>0.4833989354668593</v>
      </c>
      <c r="E155" s="167">
        <v>3544917427</v>
      </c>
      <c r="F155" s="166">
        <f t="shared" si="4"/>
        <v>0.65645748915855795</v>
      </c>
      <c r="G155" s="165">
        <v>20</v>
      </c>
      <c r="H155" s="169">
        <f t="shared" si="6"/>
        <v>177245871.34999999</v>
      </c>
      <c r="I155" s="166">
        <f t="shared" si="5"/>
        <v>0.73928036361648575</v>
      </c>
    </row>
    <row r="156" spans="1:9" ht="18" thickBot="1">
      <c r="A156" s="157">
        <v>43404</v>
      </c>
      <c r="B156" s="158">
        <v>42400</v>
      </c>
      <c r="C156">
        <v>37669.954907407038</v>
      </c>
      <c r="D156" s="166">
        <f t="shared" ref="D156:F219" si="7">C156/C144-1</f>
        <v>0.23715230924741837</v>
      </c>
      <c r="E156" s="167">
        <v>3202555667</v>
      </c>
      <c r="F156" s="166">
        <f t="shared" si="7"/>
        <v>0.28970000970413423</v>
      </c>
      <c r="G156" s="165">
        <v>21</v>
      </c>
      <c r="H156" s="169">
        <f t="shared" si="6"/>
        <v>152502650.80952382</v>
      </c>
      <c r="I156" s="166">
        <f t="shared" ref="I156:I219" si="8">H156/H144-1</f>
        <v>0.22828572352774712</v>
      </c>
    </row>
    <row r="157" spans="1:9" ht="18" thickBot="1">
      <c r="A157" s="157">
        <v>43434</v>
      </c>
      <c r="B157" s="158">
        <v>41850</v>
      </c>
      <c r="C157">
        <v>36644.788867139141</v>
      </c>
      <c r="D157" s="166">
        <f t="shared" si="7"/>
        <v>0.24802042750878184</v>
      </c>
      <c r="E157" s="167">
        <v>2758640227</v>
      </c>
      <c r="F157" s="166">
        <f t="shared" si="7"/>
        <v>0.16832940797783147</v>
      </c>
      <c r="G157" s="165">
        <v>22</v>
      </c>
      <c r="H157" s="169">
        <f t="shared" si="6"/>
        <v>125392737.59090909</v>
      </c>
      <c r="I157" s="166">
        <f t="shared" si="8"/>
        <v>0.16832940797783147</v>
      </c>
    </row>
    <row r="158" spans="1:9" ht="18" thickBot="1">
      <c r="A158" s="157">
        <v>43462</v>
      </c>
      <c r="B158" s="158">
        <v>38700</v>
      </c>
      <c r="C158">
        <v>26769.830488965214</v>
      </c>
      <c r="D158" s="166">
        <f t="shared" si="7"/>
        <v>-0.1876071713261005</v>
      </c>
      <c r="E158" s="167">
        <v>1800078893</v>
      </c>
      <c r="F158" s="166">
        <f t="shared" si="7"/>
        <v>-0.30345182425387929</v>
      </c>
      <c r="G158" s="165">
        <v>19</v>
      </c>
      <c r="H158" s="169">
        <f t="shared" si="6"/>
        <v>94740994.368421048</v>
      </c>
      <c r="I158" s="166">
        <f t="shared" si="8"/>
        <v>-0.30345182425387929</v>
      </c>
    </row>
    <row r="159" spans="1:9" ht="18" thickBot="1">
      <c r="A159" s="157">
        <v>43496</v>
      </c>
      <c r="B159" s="158">
        <v>46150</v>
      </c>
      <c r="C159">
        <v>25480.92726655041</v>
      </c>
      <c r="D159" s="166">
        <f t="shared" si="7"/>
        <v>-0.26467441835361438</v>
      </c>
      <c r="E159" s="167">
        <v>1668089538</v>
      </c>
      <c r="F159" s="166">
        <f t="shared" si="7"/>
        <v>-0.33045327669055891</v>
      </c>
      <c r="G159" s="165">
        <v>22</v>
      </c>
      <c r="H159" s="169">
        <f t="shared" si="6"/>
        <v>75822251.727272734</v>
      </c>
      <c r="I159" s="166">
        <f t="shared" si="8"/>
        <v>-0.33045327669055891</v>
      </c>
    </row>
    <row r="160" spans="1:9" ht="18" thickBot="1">
      <c r="A160" s="157">
        <v>43524</v>
      </c>
      <c r="B160" s="158">
        <v>45100</v>
      </c>
      <c r="C160">
        <v>21184.702447215313</v>
      </c>
      <c r="D160" s="166">
        <f t="shared" si="7"/>
        <v>-0.3675936242037614</v>
      </c>
      <c r="E160" s="167">
        <v>1398907040</v>
      </c>
      <c r="F160" s="166">
        <f t="shared" si="7"/>
        <v>-0.42105583690488091</v>
      </c>
      <c r="G160" s="165">
        <v>20</v>
      </c>
      <c r="H160" s="169">
        <f t="shared" si="6"/>
        <v>69945352</v>
      </c>
      <c r="I160" s="166">
        <f t="shared" si="8"/>
        <v>-0.42105583690488091</v>
      </c>
    </row>
    <row r="161" spans="1:9" ht="18" thickBot="1">
      <c r="A161" s="157">
        <v>43553</v>
      </c>
      <c r="B161" s="158">
        <v>44650</v>
      </c>
      <c r="C161">
        <v>23020.750459382125</v>
      </c>
      <c r="D161" s="166">
        <f t="shared" si="7"/>
        <v>-0.33308368087513474</v>
      </c>
      <c r="E161" s="167">
        <v>1821335937</v>
      </c>
      <c r="F161" s="166">
        <f t="shared" si="7"/>
        <v>-0.39269198156677776</v>
      </c>
      <c r="G161" s="165">
        <v>20</v>
      </c>
      <c r="H161" s="169">
        <f t="shared" si="6"/>
        <v>91066796.849999994</v>
      </c>
      <c r="I161" s="166">
        <f t="shared" si="8"/>
        <v>-0.36232658064511669</v>
      </c>
    </row>
    <row r="162" spans="1:9" ht="18" thickBot="1">
      <c r="A162" s="157">
        <v>43585</v>
      </c>
      <c r="B162" s="158">
        <v>45850</v>
      </c>
      <c r="C162">
        <v>24162.638350936955</v>
      </c>
      <c r="D162" s="166">
        <f t="shared" si="7"/>
        <v>-0.32042613134895859</v>
      </c>
      <c r="E162" s="167">
        <v>1920969134</v>
      </c>
      <c r="F162" s="166">
        <f t="shared" si="7"/>
        <v>-0.35940858318927849</v>
      </c>
      <c r="G162" s="165">
        <v>22</v>
      </c>
      <c r="H162" s="169">
        <f t="shared" si="6"/>
        <v>87316778.818181813</v>
      </c>
      <c r="I162" s="166">
        <f t="shared" si="8"/>
        <v>-0.38852637486249308</v>
      </c>
    </row>
    <row r="163" spans="1:9" ht="18" thickBot="1">
      <c r="A163" s="157">
        <v>43616</v>
      </c>
      <c r="B163" s="158">
        <v>42500</v>
      </c>
      <c r="C163">
        <v>18883.999481811905</v>
      </c>
      <c r="D163" s="166">
        <f t="shared" si="7"/>
        <v>-0.44311401173038112</v>
      </c>
      <c r="E163" s="167">
        <v>1473729225</v>
      </c>
      <c r="F163" s="166">
        <f t="shared" si="7"/>
        <v>-0.53324365682941144</v>
      </c>
      <c r="G163" s="165">
        <v>23</v>
      </c>
      <c r="H163" s="169">
        <f t="shared" si="6"/>
        <v>64075183.695652172</v>
      </c>
      <c r="I163" s="166">
        <f t="shared" si="8"/>
        <v>-0.53324365682941144</v>
      </c>
    </row>
    <row r="164" spans="1:9" ht="18" thickBot="1">
      <c r="A164" s="157">
        <v>43644</v>
      </c>
      <c r="B164" s="158">
        <v>47000</v>
      </c>
      <c r="C164">
        <v>18450.79547476289</v>
      </c>
      <c r="D164" s="166">
        <f t="shared" si="7"/>
        <v>-0.45511642169851119</v>
      </c>
      <c r="E164" s="167">
        <v>1609526360</v>
      </c>
      <c r="F164" s="166">
        <f t="shared" si="7"/>
        <v>-0.4899462848206958</v>
      </c>
      <c r="G164" s="165">
        <v>19</v>
      </c>
      <c r="H164" s="169">
        <f t="shared" si="6"/>
        <v>84711913.684210524</v>
      </c>
      <c r="I164" s="166">
        <f t="shared" si="8"/>
        <v>-0.46310135244283768</v>
      </c>
    </row>
    <row r="165" spans="1:9" ht="18" thickBot="1">
      <c r="A165" s="157">
        <v>43677</v>
      </c>
      <c r="B165" s="158">
        <v>45350</v>
      </c>
      <c r="C165">
        <v>17897.646228326295</v>
      </c>
      <c r="D165" s="166">
        <f t="shared" si="7"/>
        <v>-0.46997767687289227</v>
      </c>
      <c r="E165" s="167">
        <v>1542510072</v>
      </c>
      <c r="F165" s="166">
        <f t="shared" si="7"/>
        <v>-0.49537752143517277</v>
      </c>
      <c r="G165" s="165">
        <v>23</v>
      </c>
      <c r="H165" s="169">
        <f t="shared" si="6"/>
        <v>67065655.304347828</v>
      </c>
      <c r="I165" s="166">
        <f t="shared" si="8"/>
        <v>-0.51731762919886093</v>
      </c>
    </row>
    <row r="166" spans="1:9" ht="18" thickBot="1">
      <c r="A166" s="157">
        <v>43707</v>
      </c>
      <c r="B166" s="158">
        <v>44000</v>
      </c>
      <c r="C166">
        <v>17151.737305924649</v>
      </c>
      <c r="D166" s="166">
        <f t="shared" si="7"/>
        <v>-0.56084688824280593</v>
      </c>
      <c r="E166" s="167">
        <v>1488749530</v>
      </c>
      <c r="F166" s="166">
        <f t="shared" si="7"/>
        <v>-0.54006172638344441</v>
      </c>
      <c r="G166" s="165">
        <v>21</v>
      </c>
      <c r="H166" s="169">
        <f t="shared" si="6"/>
        <v>70892834.761904761</v>
      </c>
      <c r="I166" s="166">
        <f t="shared" si="8"/>
        <v>-0.5181599038302751</v>
      </c>
    </row>
    <row r="167" spans="1:9" ht="18" thickBot="1">
      <c r="A167" s="157">
        <v>43738</v>
      </c>
      <c r="B167" s="158">
        <v>49050</v>
      </c>
      <c r="C167">
        <v>16321.034543394999</v>
      </c>
      <c r="D167" s="166">
        <f t="shared" si="7"/>
        <v>-0.59236721167556072</v>
      </c>
      <c r="E167" s="167">
        <v>1449764530</v>
      </c>
      <c r="F167" s="166">
        <f t="shared" si="7"/>
        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-0.61050485596839155</v>
      </c>
    </row>
    <row r="168" spans="1:9" ht="18" thickBot="1">
      <c r="A168" s="157">
        <v>43769</v>
      </c>
      <c r="B168" s="158">
        <v>50400</v>
      </c>
      <c r="C168">
        <v>13872.799883365422</v>
      </c>
      <c r="D168" s="166">
        <f t="shared" si="7"/>
        <v>-0.63172772790769616</v>
      </c>
      <c r="E168" s="167">
        <v>1424454514</v>
      </c>
      <c r="F168" s="166">
        <f t="shared" si="7"/>
        <v>-0.55521319155262017</v>
      </c>
      <c r="G168" s="165">
        <v>21</v>
      </c>
      <c r="H168" s="169">
        <f t="shared" si="6"/>
        <v>67831167.333333328</v>
      </c>
      <c r="I168" s="166">
        <f t="shared" si="8"/>
        <v>-0.55521319155262017</v>
      </c>
    </row>
    <row r="169" spans="1:9" ht="18" thickBot="1">
      <c r="A169" s="157">
        <v>43798</v>
      </c>
      <c r="B169" s="158">
        <v>50300</v>
      </c>
      <c r="C169">
        <v>14919.090030976322</v>
      </c>
      <c r="D169" s="166">
        <f t="shared" si="7"/>
        <v>-0.59287280696124101</v>
      </c>
      <c r="E169" s="167">
        <v>1400432155</v>
      </c>
      <c r="F169" s="166">
        <f t="shared" si="7"/>
        <v>-0.49234693915742711</v>
      </c>
      <c r="G169" s="165">
        <v>21</v>
      </c>
      <c r="H169" s="169">
        <f t="shared" si="6"/>
        <v>66687245.476190478</v>
      </c>
      <c r="I169" s="166">
        <f t="shared" si="8"/>
        <v>-0.46817298387920936</v>
      </c>
    </row>
    <row r="170" spans="1:9" ht="18" thickBot="1">
      <c r="A170" s="157">
        <v>43829</v>
      </c>
      <c r="B170" s="158">
        <v>55800</v>
      </c>
      <c r="C170">
        <v>15777.42115858684</v>
      </c>
      <c r="D170" s="166">
        <f t="shared" si="7"/>
        <v>-0.41062678132794128</v>
      </c>
      <c r="E170" s="167">
        <v>1322210845</v>
      </c>
      <c r="F170" s="166">
        <f t="shared" si="7"/>
        <v>-0.26547061345938461</v>
      </c>
      <c r="G170" s="165">
        <v>20</v>
      </c>
      <c r="H170" s="169">
        <f t="shared" si="6"/>
        <v>66110542.25</v>
      </c>
      <c r="I170" s="166">
        <f t="shared" si="8"/>
        <v>-0.30219708278641533</v>
      </c>
    </row>
    <row r="171" spans="1:9" ht="18" thickBot="1">
      <c r="A171" s="157">
        <v>43861</v>
      </c>
      <c r="B171" s="158">
        <v>56400</v>
      </c>
      <c r="C171">
        <v>15464.432693776364</v>
      </c>
      <c r="D171" s="166">
        <f t="shared" si="7"/>
        <v>-0.3930977263108868</v>
      </c>
      <c r="E171" s="167">
        <v>1316193331</v>
      </c>
      <c r="F171" s="166">
        <f t="shared" si="7"/>
        <v>-0.21095762486581815</v>
      </c>
      <c r="G171" s="165">
        <v>22</v>
      </c>
      <c r="H171" s="169">
        <f t="shared" si="6"/>
        <v>59826969.590909094</v>
      </c>
      <c r="I171" s="166">
        <f t="shared" si="8"/>
        <v>-0.21095762486581826</v>
      </c>
    </row>
    <row r="172" spans="1:9" ht="18" thickBot="1">
      <c r="A172" s="157">
        <v>43889</v>
      </c>
      <c r="B172" s="158">
        <v>54200</v>
      </c>
      <c r="C172">
        <v>17218.762124568311</v>
      </c>
      <c r="D172" s="166">
        <f t="shared" si="7"/>
        <v>-0.18720774259297268</v>
      </c>
      <c r="E172" s="167">
        <v>1379236449</v>
      </c>
      <c r="F172" s="166">
        <f t="shared" si="7"/>
        <v>-1.4061399676707609E-2</v>
      </c>
      <c r="G172" s="165">
        <v>20</v>
      </c>
      <c r="H172" s="169">
        <f t="shared" si="6"/>
        <v>68961822.450000003</v>
      </c>
      <c r="I172" s="166">
        <f t="shared" si="8"/>
        <v>-1.4061399676707609E-2</v>
      </c>
    </row>
    <row r="173" spans="1:9" ht="18" thickBot="1">
      <c r="A173" s="157">
        <v>43921</v>
      </c>
      <c r="B173" s="158">
        <v>47750</v>
      </c>
      <c r="C173">
        <v>17339.948468568047</v>
      </c>
      <c r="D173" s="166">
        <f t="shared" si="7"/>
        <v>-0.24676875764051653</v>
      </c>
      <c r="E173" s="167">
        <v>1547462432</v>
      </c>
      <c r="F173" s="166">
        <f t="shared" si="7"/>
        <v>-0.15036957182709998</v>
      </c>
      <c r="G173" s="165">
        <v>22</v>
      </c>
      <c r="H173" s="169">
        <f t="shared" si="6"/>
        <v>70339201.454545453</v>
      </c>
      <c r="I173" s="166">
        <f t="shared" si="8"/>
        <v>-0.227608701661</v>
      </c>
    </row>
    <row r="174" spans="1:9" ht="18" thickBot="1">
      <c r="A174" s="157">
        <v>43950</v>
      </c>
      <c r="B174" s="158">
        <v>50000</v>
      </c>
      <c r="C174">
        <v>19492.21064288398</v>
      </c>
      <c r="D174" s="166">
        <f t="shared" si="7"/>
        <v>-0.19329129709346782</v>
      </c>
      <c r="E174" s="167">
        <v>1606693608</v>
      </c>
      <c r="F174" s="166">
        <f t="shared" si="7"/>
        <v>-0.16360259019133205</v>
      </c>
      <c r="G174" s="165">
        <v>21</v>
      </c>
      <c r="H174" s="169">
        <f t="shared" si="6"/>
        <v>76509219.428571433</v>
      </c>
      <c r="I174" s="166">
        <f t="shared" si="8"/>
        <v>-0.12377414210520488</v>
      </c>
    </row>
    <row r="175" spans="1:9" ht="18" thickBot="1">
      <c r="A175" s="157">
        <v>43980</v>
      </c>
      <c r="B175" s="158">
        <v>50700</v>
      </c>
      <c r="C175">
        <v>16836.493085324848</v>
      </c>
      <c r="D175" s="166">
        <f t="shared" si="7"/>
        <v>-0.10842546349670834</v>
      </c>
      <c r="E175" s="167">
        <v>1729492217</v>
      </c>
      <c r="F175" s="166">
        <f t="shared" si="7"/>
        <v>0.17354815773569254</v>
      </c>
      <c r="G175" s="165">
        <v>20</v>
      </c>
      <c r="H175" s="169">
        <f t="shared" si="6"/>
        <v>86474610.849999994</v>
      </c>
      <c r="I175" s="166">
        <f t="shared" si="8"/>
        <v>0.34958038139604652</v>
      </c>
    </row>
    <row r="176" spans="1:9" ht="18" thickBot="1">
      <c r="A176" s="157">
        <v>44012</v>
      </c>
      <c r="B176" s="158">
        <v>52800</v>
      </c>
      <c r="C176">
        <v>13702.16777626309</v>
      </c>
      <c r="D176" s="166">
        <f t="shared" si="7"/>
        <v>-0.25736709861615459</v>
      </c>
      <c r="E176" s="167">
        <v>1742598810</v>
      </c>
      <c r="F176" s="166">
        <f t="shared" si="7"/>
        <v>8.2678018395424102E-2</v>
      </c>
      <c r="G176" s="165">
        <v>22</v>
      </c>
      <c r="H176" s="169">
        <f t="shared" si="6"/>
        <v>79209036.818181813</v>
      </c>
      <c r="I176" s="166">
        <f t="shared" si="8"/>
        <v>-6.4959893203951902E-2</v>
      </c>
    </row>
    <row r="177" spans="1:9" ht="18" thickBot="1">
      <c r="A177" s="157">
        <v>44043</v>
      </c>
      <c r="B177" s="158">
        <v>57900</v>
      </c>
      <c r="C177">
        <v>12982.744328089455</v>
      </c>
      <c r="D177" s="166">
        <f t="shared" si="7"/>
        <v>-0.27461163538131117</v>
      </c>
      <c r="E177" s="167">
        <v>1710712981</v>
      </c>
      <c r="F177" s="166">
        <f t="shared" si="7"/>
        <v>0.10904493400286852</v>
      </c>
      <c r="G177" s="165">
        <v>23</v>
      </c>
      <c r="H177" s="169">
        <f t="shared" si="6"/>
        <v>74378825.260869563</v>
      </c>
      <c r="I177" s="166">
        <f t="shared" si="8"/>
        <v>0.10904493400286852</v>
      </c>
    </row>
    <row r="178" spans="1:9" ht="18" thickBot="1">
      <c r="A178" s="157">
        <v>44074</v>
      </c>
      <c r="B178" s="158">
        <v>54000</v>
      </c>
      <c r="C178">
        <v>11554.94495766876</v>
      </c>
      <c r="D178" s="166">
        <f t="shared" si="7"/>
        <v>-0.32631052169406849</v>
      </c>
      <c r="E178" s="167">
        <v>1656460521</v>
      </c>
      <c r="F178" s="166">
        <f t="shared" si="7"/>
        <v>0.11265225454009054</v>
      </c>
      <c r="G178" s="165">
        <v>21</v>
      </c>
      <c r="H178" s="169">
        <f t="shared" si="6"/>
        <v>78879072.428571433</v>
      </c>
      <c r="I178" s="166">
        <f t="shared" si="8"/>
        <v>0.11265225454009054</v>
      </c>
    </row>
    <row r="179" spans="1:9" ht="18" thickBot="1">
      <c r="A179" s="157">
        <v>44103</v>
      </c>
      <c r="B179" s="158">
        <v>58200</v>
      </c>
      <c r="C179">
        <v>10175.239401309309</v>
      </c>
      <c r="D179" s="166">
        <f t="shared" si="7"/>
        <v>-0.37655671432745341</v>
      </c>
      <c r="E179" s="167">
        <v>1722417618</v>
      </c>
      <c r="F179" s="166">
        <f t="shared" si="7"/>
        <v>0.18806715322246159</v>
      </c>
      <c r="G179" s="165">
        <v>21</v>
      </c>
      <c r="H179" s="169">
        <f t="shared" si="6"/>
        <v>82019886.571428567</v>
      </c>
      <c r="I179" s="166">
        <f t="shared" si="8"/>
        <v>0.18806715322246137</v>
      </c>
    </row>
    <row r="180" spans="1:9" ht="18" thickBot="1">
      <c r="A180" s="157">
        <v>44134</v>
      </c>
      <c r="B180" s="158">
        <v>56600</v>
      </c>
      <c r="C180">
        <v>10203.817606426495</v>
      </c>
      <c r="D180" s="166">
        <f t="shared" si="7"/>
        <v>-0.26447309179009526</v>
      </c>
      <c r="E180" s="167">
        <v>1708850579</v>
      </c>
      <c r="F180" s="166">
        <f t="shared" si="7"/>
        <v>0.19965261242451993</v>
      </c>
      <c r="G180" s="165">
        <v>21</v>
      </c>
      <c r="H180" s="169">
        <f t="shared" si="6"/>
        <v>81373837.09523809</v>
      </c>
      <c r="I180" s="166">
        <f t="shared" si="8"/>
        <v>0.19965261242451993</v>
      </c>
    </row>
    <row r="181" spans="1:9" ht="18" thickBot="1">
      <c r="A181" s="157">
        <v>44165</v>
      </c>
      <c r="B181" s="158">
        <v>66700</v>
      </c>
      <c r="C181">
        <v>8450.7930303085814</v>
      </c>
      <c r="D181" s="166">
        <f t="shared" si="7"/>
        <v>-0.4335584132301431</v>
      </c>
      <c r="E181" s="167">
        <v>1545290464</v>
      </c>
      <c r="F181" s="166">
        <f t="shared" si="7"/>
        <v>0.10343829116091663</v>
      </c>
      <c r="G181" s="165">
        <v>21</v>
      </c>
      <c r="H181" s="169">
        <f t="shared" si="6"/>
        <v>73585260.190476194</v>
      </c>
      <c r="I181" s="166">
        <f t="shared" si="8"/>
        <v>0.10343829116091663</v>
      </c>
    </row>
    <row r="182" spans="1:9" ht="18" thickBot="1">
      <c r="A182" s="157">
        <v>44195</v>
      </c>
      <c r="B182" s="158">
        <v>81000</v>
      </c>
      <c r="C182">
        <v>11816.393320522173</v>
      </c>
      <c r="D182" s="166">
        <f t="shared" si="7"/>
        <v>-0.25105673470020051</v>
      </c>
      <c r="E182" s="167">
        <v>1361206326</v>
      </c>
      <c r="F182" s="166">
        <f t="shared" si="7"/>
        <v>2.9492634361201198E-2</v>
      </c>
      <c r="G182" s="165">
        <v>21</v>
      </c>
      <c r="H182" s="169">
        <f t="shared" si="6"/>
        <v>64819348.857142858</v>
      </c>
      <c r="I182" s="166">
        <f t="shared" si="8"/>
        <v>-1.9530824417903547E-2</v>
      </c>
    </row>
    <row r="183" spans="1:9" ht="18" thickBot="1">
      <c r="A183" s="157">
        <v>44225</v>
      </c>
      <c r="B183" s="158">
        <v>82000</v>
      </c>
      <c r="C183">
        <v>13295.248080072715</v>
      </c>
      <c r="D183" s="166">
        <f t="shared" si="7"/>
        <v>-0.14026926539481999</v>
      </c>
      <c r="E183" s="167">
        <v>1497226281</v>
      </c>
      <c r="F183" s="166">
        <f t="shared" si="7"/>
        <v>0.13754282576592081</v>
      </c>
      <c r="G183" s="165">
        <v>20</v>
      </c>
      <c r="H183" s="169">
        <f t="shared" si="6"/>
        <v>74861314.049999997</v>
      </c>
      <c r="I183" s="166">
        <f t="shared" si="8"/>
        <v>0.25129710834251284</v>
      </c>
    </row>
    <row r="184" spans="1:9" ht="18" thickBot="1">
      <c r="A184" s="157">
        <v>44253</v>
      </c>
      <c r="B184" s="158">
        <v>82500</v>
      </c>
      <c r="C184">
        <v>9886.8843913531764</v>
      </c>
      <c r="D184" s="166">
        <f t="shared" si="7"/>
        <v>-0.42580748140737501</v>
      </c>
      <c r="E184" s="167">
        <v>1526633720</v>
      </c>
      <c r="F184" s="166">
        <f t="shared" si="7"/>
        <v>0.10686874691200976</v>
      </c>
      <c r="G184" s="165">
        <v>20</v>
      </c>
      <c r="H184" s="169">
        <f t="shared" si="6"/>
        <v>76331686</v>
      </c>
      <c r="I184" s="166">
        <f t="shared" si="8"/>
        <v>0.10686874691200976</v>
      </c>
    </row>
    <row r="185" spans="1:9" ht="18" thickBot="1">
      <c r="A185" s="157">
        <v>44286</v>
      </c>
      <c r="B185" s="158">
        <v>81400</v>
      </c>
      <c r="C185">
        <v>10489.173833365032</v>
      </c>
      <c r="D185" s="166">
        <f t="shared" si="7"/>
        <v>-0.39508621652603793</v>
      </c>
      <c r="E185" s="167">
        <v>1785261687</v>
      </c>
      <c r="F185" s="166">
        <f t="shared" si="7"/>
        <v>0.15367045434030935</v>
      </c>
      <c r="G185" s="165">
        <v>22</v>
      </c>
      <c r="H185" s="169">
        <f t="shared" si="6"/>
        <v>81148258.5</v>
      </c>
      <c r="I185" s="166">
        <f t="shared" si="8"/>
        <v>0.15367045434030935</v>
      </c>
    </row>
    <row r="186" spans="1:9" ht="18" thickBot="1">
      <c r="A186" s="157">
        <v>44316</v>
      </c>
      <c r="B186" s="158">
        <v>81500</v>
      </c>
      <c r="C186">
        <v>11986.452683597552</v>
      </c>
      <c r="D186" s="166">
        <f t="shared" si="7"/>
        <v>-0.38506448020694639</v>
      </c>
      <c r="E186" s="167">
        <v>1858230153</v>
      </c>
      <c r="F186" s="166">
        <f t="shared" si="7"/>
        <v>0.15655539036662436</v>
      </c>
      <c r="G186" s="165">
        <v>22</v>
      </c>
      <c r="H186" s="169">
        <f t="shared" si="6"/>
        <v>84465006.954545453</v>
      </c>
      <c r="I186" s="166">
        <f t="shared" si="8"/>
        <v>0.10398469080450501</v>
      </c>
    </row>
    <row r="187" spans="1:9" ht="18" thickBot="1">
      <c r="A187" s="157">
        <v>44347</v>
      </c>
      <c r="B187" s="158">
        <v>80500</v>
      </c>
      <c r="C187">
        <v>12081.053630848288</v>
      </c>
      <c r="D187" s="166">
        <f t="shared" si="7"/>
        <v>-0.28244833590800045</v>
      </c>
      <c r="E187" s="167">
        <v>1946726364</v>
      </c>
      <c r="F187" s="166">
        <f t="shared" si="7"/>
        <v>0.12560573841541611</v>
      </c>
      <c r="G187" s="165">
        <v>20</v>
      </c>
      <c r="H187" s="169">
        <f t="shared" si="6"/>
        <v>97336318.200000003</v>
      </c>
      <c r="I187" s="166">
        <f t="shared" si="8"/>
        <v>0.12560573841541611</v>
      </c>
    </row>
    <row r="188" spans="1:9" ht="18" thickBot="1">
      <c r="A188" s="157">
        <v>44377</v>
      </c>
      <c r="B188" s="158">
        <v>80700</v>
      </c>
      <c r="C188">
        <v>17145.279189192617</v>
      </c>
      <c r="D188" s="166">
        <f t="shared" si="7"/>
        <v>0.25128224009154176</v>
      </c>
      <c r="E188" s="167">
        <v>2176813167</v>
      </c>
      <c r="F188" s="166">
        <f t="shared" si="7"/>
        <v>0.24917631901745652</v>
      </c>
      <c r="G188" s="165">
        <v>22</v>
      </c>
      <c r="H188" s="169">
        <f t="shared" si="6"/>
        <v>98946053.045454547</v>
      </c>
      <c r="I188" s="166">
        <f t="shared" si="8"/>
        <v>0.24917631901745652</v>
      </c>
    </row>
    <row r="189" spans="1:9" ht="18" thickBot="1">
      <c r="A189" s="157">
        <v>44407</v>
      </c>
      <c r="B189" s="158">
        <v>78500</v>
      </c>
      <c r="C189">
        <v>18183.625157992548</v>
      </c>
      <c r="D189" s="166">
        <f t="shared" si="7"/>
        <v>0.40059949564365005</v>
      </c>
      <c r="E189" s="167">
        <v>2281692195</v>
      </c>
      <c r="F189" s="166">
        <f t="shared" si="7"/>
        <v>0.3337668097112545</v>
      </c>
      <c r="G189" s="165">
        <v>22</v>
      </c>
      <c r="H189" s="169">
        <f t="shared" si="6"/>
        <v>103713281.59090909</v>
      </c>
      <c r="I189" s="166">
        <f t="shared" si="8"/>
        <v>0.39439257378903902</v>
      </c>
    </row>
    <row r="190" spans="1:9" ht="18" thickBot="1">
      <c r="A190" s="157">
        <v>44439</v>
      </c>
      <c r="B190" s="158">
        <v>76700</v>
      </c>
      <c r="C190">
        <v>17917.091816308704</v>
      </c>
      <c r="D190" s="166">
        <f t="shared" si="7"/>
        <v>0.55059949501685246</v>
      </c>
      <c r="E190" s="167">
        <v>2106604276</v>
      </c>
      <c r="F190" s="166">
        <f t="shared" si="7"/>
        <v>0.27175036730018154</v>
      </c>
      <c r="G190" s="165">
        <v>22</v>
      </c>
      <c r="H190" s="169">
        <f t="shared" si="6"/>
        <v>95754739.818181813</v>
      </c>
      <c r="I190" s="166">
        <f t="shared" si="8"/>
        <v>0.21394353242290043</v>
      </c>
    </row>
    <row r="191" spans="1:9" ht="18" thickBot="1">
      <c r="A191" s="157">
        <v>44469</v>
      </c>
      <c r="B191" s="158">
        <v>74100</v>
      </c>
      <c r="C191">
        <v>19242.18717651179</v>
      </c>
      <c r="D191" s="166">
        <f t="shared" si="7"/>
        <v>0.89107955278534123</v>
      </c>
      <c r="E191" s="167">
        <v>2103328275</v>
      </c>
      <c r="F191" s="166">
        <f t="shared" si="7"/>
        <v>0.22114883929386275</v>
      </c>
      <c r="G191" s="165">
        <v>22</v>
      </c>
      <c r="H191" s="169">
        <f t="shared" si="6"/>
        <v>95605830.681818187</v>
      </c>
      <c r="I191" s="166">
        <f t="shared" si="8"/>
        <v>0.16564207387141461</v>
      </c>
    </row>
    <row r="192" spans="1:9" ht="18" thickBot="1">
      <c r="A192" s="157">
        <v>44498</v>
      </c>
      <c r="B192" s="158">
        <v>69800</v>
      </c>
      <c r="C192">
        <v>17223.673983320645</v>
      </c>
      <c r="D192" s="166">
        <f t="shared" si="7"/>
        <v>0.68796372570134467</v>
      </c>
      <c r="E192" s="167">
        <v>2244898642</v>
      </c>
      <c r="F192" s="166">
        <f t="shared" si="7"/>
        <v>0.31368925381041168</v>
      </c>
      <c r="G192" s="165">
        <v>21</v>
      </c>
      <c r="H192" s="169">
        <f t="shared" si="6"/>
        <v>106899935.33333333</v>
      </c>
      <c r="I192" s="166">
        <f t="shared" si="8"/>
        <v>0.31368925381041168</v>
      </c>
    </row>
    <row r="193" spans="1:9" ht="18" thickBot="1">
      <c r="A193" s="157">
        <v>44530</v>
      </c>
      <c r="B193" s="158">
        <v>71300</v>
      </c>
      <c r="C193">
        <v>19430.526696060446</v>
      </c>
      <c r="D193" s="166">
        <f t="shared" si="7"/>
        <v>1.299254830448846</v>
      </c>
      <c r="E193" s="167">
        <v>2291729325</v>
      </c>
      <c r="F193" s="166">
        <f t="shared" si="7"/>
        <v>0.48304113588317588</v>
      </c>
      <c r="G193" s="165">
        <v>22</v>
      </c>
      <c r="H193" s="169">
        <f t="shared" si="6"/>
        <v>104169514.77272727</v>
      </c>
      <c r="I193" s="166">
        <f t="shared" si="8"/>
        <v>0.41563017516121326</v>
      </c>
    </row>
    <row r="194" spans="1:9" ht="18" thickBot="1">
      <c r="A194" s="157">
        <v>44560</v>
      </c>
      <c r="B194" s="158">
        <v>78300</v>
      </c>
      <c r="C194">
        <v>17503.931146905725</v>
      </c>
      <c r="D194" s="166">
        <f t="shared" si="7"/>
        <v>0.48132604189009998</v>
      </c>
      <c r="E194" s="167">
        <v>2387705705</v>
      </c>
      <c r="F194" s="166">
        <f t="shared" si="7"/>
        <v>0.75411005620025318</v>
      </c>
      <c r="G194" s="165">
        <v>22</v>
      </c>
      <c r="H194" s="169">
        <f t="shared" si="6"/>
        <v>108532077.5</v>
      </c>
      <c r="I194" s="166">
        <f t="shared" si="8"/>
        <v>0.67437778091842326</v>
      </c>
    </row>
    <row r="195" spans="1:9" ht="18" thickBot="1">
      <c r="A195" s="157">
        <v>44589</v>
      </c>
      <c r="B195" s="158">
        <v>73300</v>
      </c>
      <c r="C195">
        <v>15338.651282110837</v>
      </c>
      <c r="D195" s="166">
        <f t="shared" si="7"/>
        <v>0.15369425148981097</v>
      </c>
      <c r="E195" s="167">
        <v>2615929305</v>
      </c>
      <c r="F195" s="166">
        <f t="shared" si="7"/>
        <v>0.74718366769037492</v>
      </c>
      <c r="G195" s="165">
        <v>20</v>
      </c>
      <c r="H195" s="169">
        <f t="shared" si="6"/>
        <v>130796465.25</v>
      </c>
      <c r="I195" s="166">
        <f t="shared" si="8"/>
        <v>0.74718366769037514</v>
      </c>
    </row>
    <row r="196" spans="1:9" ht="18" thickBot="1">
      <c r="A196" s="157">
        <v>44620</v>
      </c>
      <c r="B196" s="158">
        <v>72100</v>
      </c>
      <c r="C196">
        <v>15887.621362073933</v>
      </c>
      <c r="D196" s="166">
        <f t="shared" si="7"/>
        <v>0.60693912593626065</v>
      </c>
      <c r="E196" s="167">
        <v>1665770712</v>
      </c>
      <c r="F196" s="166">
        <f t="shared" si="7"/>
        <v>9.1139734552699414E-2</v>
      </c>
      <c r="G196" s="165">
        <v>20</v>
      </c>
      <c r="H196" s="169">
        <f t="shared" si="6"/>
        <v>83288535.599999994</v>
      </c>
      <c r="I196" s="166">
        <f t="shared" si="8"/>
        <v>9.1139734552699414E-2</v>
      </c>
    </row>
    <row r="197" spans="1:9" ht="18" thickBot="1">
      <c r="A197" s="157">
        <v>44651</v>
      </c>
      <c r="B197" s="158">
        <v>69600</v>
      </c>
      <c r="C197">
        <v>15187.03710419989</v>
      </c>
      <c r="D197" s="166">
        <f t="shared" si="7"/>
        <v>0.44787733957572673</v>
      </c>
      <c r="E197" s="167">
        <v>2462223601</v>
      </c>
      <c r="F197" s="166">
        <f t="shared" si="7"/>
        <v>0.37919478075933188</v>
      </c>
      <c r="G197" s="165">
        <v>22</v>
      </c>
      <c r="H197" s="169">
        <f t="shared" si="6"/>
        <v>111919254.59090909</v>
      </c>
      <c r="I197" s="166">
        <f t="shared" si="8"/>
        <v>0.37919478075933188</v>
      </c>
    </row>
    <row r="198" spans="1:9" ht="18" thickBot="1">
      <c r="A198" s="157">
        <v>44680</v>
      </c>
      <c r="B198" s="158">
        <v>67400</v>
      </c>
      <c r="C198">
        <v>16152.593279567962</v>
      </c>
      <c r="D198" s="166">
        <f t="shared" si="7"/>
        <v>0.34757077059766162</v>
      </c>
      <c r="E198" s="167">
        <v>2183887307</v>
      </c>
      <c r="F198" s="166">
        <f t="shared" si="7"/>
        <v>0.1752512483312394</v>
      </c>
      <c r="G198" s="165">
        <v>21</v>
      </c>
      <c r="H198" s="169">
        <f t="shared" si="6"/>
        <v>103994633.66666667</v>
      </c>
      <c r="I198" s="166">
        <f t="shared" si="8"/>
        <v>0.23121559348986986</v>
      </c>
    </row>
    <row r="199" spans="1:9" ht="18" thickBot="1">
      <c r="A199" s="157">
        <v>44712</v>
      </c>
      <c r="B199" s="158">
        <v>67400</v>
      </c>
      <c r="C199">
        <v>21394.347799386</v>
      </c>
      <c r="D199" s="166">
        <f t="shared" si="7"/>
        <v>0.77090082149430583</v>
      </c>
      <c r="E199" s="167">
        <v>2469963975</v>
      </c>
      <c r="F199" s="166">
        <f t="shared" si="7"/>
        <v>0.2687782015367004</v>
      </c>
      <c r="G199" s="165">
        <v>21</v>
      </c>
      <c r="H199" s="169">
        <f t="shared" si="6"/>
        <v>117617332.14285715</v>
      </c>
      <c r="I199" s="166">
        <f t="shared" si="8"/>
   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  </c>
      <c r="D200" s="166">
        <f t="shared" si="7"/>
        <v>-1.1161477300456135E-2</v>
      </c>
      <c r="E200" s="167">
        <v>2489672563</v>
      </c>
      <c r="F200" s="166">
        <f t="shared" si="7"/>
        <v>0.14372358672892949</v>
      </c>
      <c r="G200" s="165">
        <v>21</v>
      </c>
      <c r="H200" s="169">
        <f t="shared" si="6"/>
        <v>118555836.33333333</v>
      </c>
      <c r="I200" s="166">
        <f t="shared" si="8"/>
        <v>0.19818661466840215</v>
      </c>
    </row>
    <row r="201" spans="1:9" ht="18" thickBot="1">
      <c r="A201" s="157">
        <v>44771</v>
      </c>
      <c r="B201" s="158">
        <v>61400</v>
      </c>
      <c r="C201">
        <v>12524.078814032871</v>
      </c>
      <c r="D201" s="166">
        <f t="shared" si="7"/>
        <v>-0.31124411632913818</v>
      </c>
      <c r="E201" s="167">
        <v>2368371059</v>
      </c>
      <c r="F201" s="166">
        <f t="shared" si="7"/>
        <v>3.7988850638988048E-2</v>
      </c>
      <c r="G201" s="165">
        <v>21</v>
      </c>
      <c r="H201" s="169">
        <f t="shared" si="6"/>
        <v>112779574.23809524</v>
      </c>
      <c r="I201" s="166">
        <f t="shared" si="8"/>
        <v>8.7416891145606579E-2</v>
      </c>
    </row>
    <row r="202" spans="1:9" ht="18" thickBot="1">
      <c r="A202" s="157">
        <v>44804</v>
      </c>
      <c r="B202" s="158">
        <v>59700</v>
      </c>
      <c r="C202">
        <v>15154.650697452182</v>
      </c>
      <c r="D202" s="166">
        <f t="shared" si="7"/>
        <v>-0.15417910156279169</v>
      </c>
      <c r="E202" s="167">
        <v>2003245387</v>
      </c>
      <c r="F202" s="166">
        <f t="shared" si="7"/>
        <v>-4.9064216842973907E-2</v>
      </c>
      <c r="G202" s="165">
        <v>22</v>
      </c>
      <c r="H202" s="169">
        <f t="shared" si="6"/>
        <v>91056608.5</v>
      </c>
      <c r="I202" s="166">
        <f t="shared" si="8"/>
        <v>-4.9064216842973796E-2</v>
      </c>
    </row>
    <row r="203" spans="1:9" ht="18" thickBot="1">
      <c r="A203" s="157">
        <v>44834</v>
      </c>
      <c r="B203" s="158">
        <v>53100</v>
      </c>
      <c r="C203">
        <v>13845.392775570292</v>
      </c>
      <c r="D203" s="166">
        <f t="shared" si="7"/>
        <v>-0.28046678641236589</v>
      </c>
      <c r="E203" s="167">
        <v>1823274576</v>
      </c>
      <c r="F203" s="166">
        <f t="shared" si="7"/>
        <v>-0.13314787916308501</v>
      </c>
      <c r="G203" s="165">
        <v>22</v>
      </c>
      <c r="H203" s="169">
        <f t="shared" si="6"/>
        <v>82876117.090909094</v>
      </c>
      <c r="I203" s="166">
        <f t="shared" si="8"/>
        <v>-0.13314787916308501</v>
      </c>
    </row>
    <row r="204" spans="1:9" ht="18" thickBot="1">
      <c r="A204" s="157">
        <v>44865</v>
      </c>
      <c r="B204" s="158">
        <v>59400</v>
      </c>
      <c r="C204">
        <v>8934.4068225534102</v>
      </c>
      <c r="D204" s="166">
        <f t="shared" si="7"/>
        <v>-0.48127171756702647</v>
      </c>
      <c r="E204" s="167">
        <v>1565413680</v>
      </c>
      <c r="F204" s="166">
        <f t="shared" si="7"/>
        <v>-0.30267957282678959</v>
      </c>
      <c r="G204" s="165">
        <v>20</v>
      </c>
      <c r="H204" s="169">
        <f t="shared" si="6"/>
        <v>78270684</v>
      </c>
      <c r="I204" s="166">
        <f t="shared" si="8"/>
        <v>-0.26781355146812902</v>
      </c>
    </row>
    <row r="205" spans="1:9" ht="18" thickBot="1">
      <c r="A205" s="157">
        <v>44895</v>
      </c>
      <c r="B205" s="158">
        <v>62200</v>
      </c>
      <c r="C205">
        <v>8595.1086326451132</v>
      </c>
      <c r="D205" s="166">
        <f t="shared" si="7"/>
        <v>-0.55764922036890652</v>
      </c>
      <c r="E205" s="167">
        <v>1402702132</v>
      </c>
      <c r="F205" s="166">
        <f t="shared" si="7"/>
        <v>-0.38792853209224432</v>
      </c>
      <c r="G205" s="165">
        <v>22</v>
      </c>
      <c r="H205" s="169">
        <f t="shared" si="6"/>
        <v>63759187.81818182</v>
      </c>
      <c r="I205" s="166">
        <f t="shared" si="8"/>
        <v>-0.38792853209224432</v>
      </c>
    </row>
    <row r="206" spans="1:9" ht="18" thickBot="1">
      <c r="A206" s="157">
        <v>44924</v>
      </c>
      <c r="B206" s="158">
        <v>55300</v>
      </c>
      <c r="C206">
        <v>7376.275896295424</v>
      </c>
      <c r="D206" s="166">
        <f t="shared" si="7"/>
        <v>-0.57859318376035929</v>
      </c>
      <c r="E206" s="167">
        <v>1419716100</v>
      </c>
      <c r="F206" s="166">
        <f t="shared" si="7"/>
        <v>-0.40540574283211339</v>
      </c>
      <c r="G206" s="165">
        <v>21</v>
      </c>
      <c r="H206" s="169">
        <f t="shared" si="6"/>
        <v>67605528.571428567</v>
      </c>
      <c r="I206" s="166">
        <f t="shared" si="8"/>
        <v>-0.37709173058602363</v>
      </c>
    </row>
    <row r="207" spans="1:9" ht="18" thickBot="1">
      <c r="A207" s="157">
        <v>44957</v>
      </c>
      <c r="B207" s="158">
        <v>61000</v>
      </c>
      <c r="C207">
        <v>7561.476521379439</v>
      </c>
      <c r="D207" s="166">
        <f t="shared" si="7"/>
        <v>-0.50703119965976162</v>
      </c>
      <c r="E207" s="167">
        <v>889144043</v>
      </c>
      <c r="F207" s="166">
        <f t="shared" si="7"/>
        <v>-0.66010394803081263</v>
      </c>
      <c r="G207" s="165">
        <v>22</v>
      </c>
      <c r="H207" s="169">
        <f>디램!F17</f>
        <v>44457202.149999999</v>
      </c>
      <c r="I207" s="166">
        <f t="shared" si="8"/>
        <v>-0.66010394803081274</v>
      </c>
    </row>
    <row r="208" spans="1:9" ht="18" thickBot="1">
      <c r="A208" s="157">
        <v>44985</v>
      </c>
      <c r="B208" s="158">
        <v>60600</v>
      </c>
      <c r="C208">
        <v>8346.8841940988441</v>
      </c>
      <c r="D208" s="166">
        <f t="shared" si="7"/>
        <v>-0.47462971304036283</v>
      </c>
      <c r="E208" s="167">
        <v>947429033</v>
      </c>
      <c r="F208" s="166">
        <f t="shared" si="7"/>
        <v>-0.43123682858940793</v>
      </c>
      <c r="G208" s="165">
        <v>20</v>
      </c>
      <c r="H208" s="169">
        <f>디램!F18</f>
        <v>47371451.649999999</v>
      </c>
      <c r="I208" s="166">
        <f t="shared" si="8"/>
        <v>-0.43123682858940793</v>
      </c>
    </row>
    <row r="209" spans="1:10" ht="18" thickBot="1">
      <c r="A209" s="157">
        <v>45016</v>
      </c>
      <c r="B209" s="158">
        <v>64000</v>
      </c>
      <c r="C209">
        <v>8549.7291337040224</v>
      </c>
      <c r="D209" s="166">
        <f t="shared" si="7"/>
        <v>-0.43703771347607734</v>
      </c>
      <c r="E209" s="167">
        <v>1134771349</v>
      </c>
      <c r="F209" s="166">
        <f t="shared" si="7"/>
        <v>-0.53912741777833362</v>
      </c>
      <c r="G209" s="165">
        <v>22</v>
      </c>
      <c r="H209" s="169">
        <f>디램!F19</f>
        <v>51580515.863636367</v>
      </c>
      <c r="I209" s="166">
        <f t="shared" si="8"/>
        <v>-0.53912741777833362</v>
      </c>
    </row>
    <row r="210" spans="1:10" ht="18" thickBot="1">
      <c r="A210" s="157">
        <v>45044</v>
      </c>
      <c r="B210" s="158">
        <v>65500</v>
      </c>
      <c r="C210">
        <v>7959.5588525530957</v>
      </c>
      <c r="D210" s="166">
        <f t="shared" si="7"/>
        <v>-0.50722718545625434</v>
      </c>
      <c r="E210" s="167">
        <v>1163518682</v>
      </c>
      <c r="F210" s="166">
        <f t="shared" si="7"/>
        <v>-0.46722585992849497</v>
      </c>
      <c r="G210" s="165">
        <v>20</v>
      </c>
      <c r="H210" s="169">
        <f>디램!F20</f>
        <v>58175934.100000001</v>
      </c>
      <c r="I210" s="166">
        <f t="shared" si="8"/>
        <v>-0.44058715292491968</v>
      </c>
    </row>
    <row r="211" spans="1:10" ht="18" thickBot="1">
      <c r="A211" s="157">
        <v>45077</v>
      </c>
      <c r="B211" s="158">
        <v>71400</v>
      </c>
      <c r="C211">
        <v>7567.6277346032857</v>
      </c>
      <c r="D211" s="166">
        <f t="shared" si="7"/>
        <v>-0.64627911046578057</v>
      </c>
      <c r="E211" s="167">
        <v>1193004804</v>
      </c>
      <c r="F211" s="166">
        <f t="shared" si="7"/>
        <v>-0.51699505900688281</v>
      </c>
      <c r="G211" s="165">
        <v>22</v>
      </c>
      <c r="H211" s="169">
        <f>디램!F21</f>
        <v>56809752.571428575</v>
      </c>
      <c r="I211" s="166">
        <f t="shared" si="8"/>
        <v>-0.51699505900688281</v>
      </c>
    </row>
    <row r="212" spans="1:10" ht="18" thickBot="1">
      <c r="A212" s="157">
        <v>45107</v>
      </c>
      <c r="B212" s="158">
        <v>72200</v>
      </c>
      <c r="C212">
        <v>7708.7108239797008</v>
      </c>
      <c r="D212" s="166">
        <f t="shared" si="7"/>
        <v>-0.54531375553285644</v>
      </c>
      <c r="E212" s="167">
        <v>1164243281</v>
      </c>
      <c r="F212" s="166">
        <f t="shared" si="7"/>
        <v>-0.53237092366993322</v>
      </c>
      <c r="G212" s="165">
        <v>21</v>
      </c>
      <c r="H212" s="169">
        <f>디램!F22</f>
        <v>55440156.238095239</v>
      </c>
      <c r="I212" s="166">
        <f t="shared" si="8"/>
        <v>-0.53237092366993322</v>
      </c>
    </row>
    <row r="213" spans="1:10" ht="18" thickBot="1">
      <c r="A213" s="157">
        <v>45138</v>
      </c>
      <c r="B213" s="158">
        <v>69800</v>
      </c>
      <c r="C213">
        <v>10863.605989533125</v>
      </c>
      <c r="D213" s="166">
        <f t="shared" si="7"/>
        <v>-0.13258243174254336</v>
      </c>
      <c r="E213" s="167">
        <v>1142171397</v>
      </c>
      <c r="F213" s="166">
        <f t="shared" si="7"/>
        <v>-0.51773967484543559</v>
      </c>
      <c r="G213" s="165">
        <v>21</v>
      </c>
      <c r="H213" s="169">
        <f>디램!F23</f>
        <v>54389114.142857142</v>
      </c>
      <c r="I213" s="166">
        <f t="shared" si="8"/>
        <v>-0.5177396748454357</v>
      </c>
    </row>
    <row r="214" spans="1:10" ht="18" thickBot="1">
      <c r="A214" s="157">
        <v>45169</v>
      </c>
      <c r="B214" s="158">
        <v>66900</v>
      </c>
      <c r="C214">
        <v>9972.0065585411139</v>
      </c>
      <c r="D214" s="166">
        <f t="shared" si="7"/>
        <v>-0.34198374098997741</v>
      </c>
      <c r="E214" s="167">
        <v>1285823533</v>
      </c>
      <c r="F214" s="166">
        <f t="shared" si="7"/>
        <v>-0.35812979211417995</v>
      </c>
      <c r="G214" s="165">
        <v>22</v>
      </c>
      <c r="H214" s="169">
        <f>디램!F24</f>
        <v>58446524.227272727</v>
      </c>
      <c r="I214" s="166">
        <f t="shared" si="8"/>
        <v>-0.35812979211417995</v>
      </c>
    </row>
    <row r="215" spans="1:10" ht="18" thickBot="1">
      <c r="A215" s="157">
        <v>45196</v>
      </c>
      <c r="B215" s="158">
        <v>68400</v>
      </c>
      <c r="C215">
        <v>8914.2124843530055</v>
      </c>
      <c r="D215" s="166">
        <f t="shared" si="7"/>
        <v>-0.35616037559571301</v>
      </c>
      <c r="E215" s="167">
        <v>1181502470</v>
      </c>
      <c r="F215" s="166">
        <f t="shared" si="7"/>
        <v>-0.35198873194840186</v>
      </c>
      <c r="G215" s="165">
        <v>19</v>
      </c>
      <c r="H215" s="169">
        <f>디램!F25</f>
        <v>62184340.526315786</v>
      </c>
      <c r="I215" s="166">
        <f t="shared" si="8"/>
        <v>-0.24967116330867589</v>
      </c>
    </row>
    <row r="216" spans="1:10" ht="18" thickBot="1">
      <c r="A216" s="157">
        <v>45230</v>
      </c>
      <c r="B216" s="158">
        <v>66900</v>
      </c>
      <c r="C216">
        <v>10150.53858920896</v>
      </c>
      <c r="D216" s="166">
        <f t="shared" si="7"/>
        <v>0.13611779615694575</v>
      </c>
      <c r="E216" s="167">
        <v>1140724023</v>
      </c>
      <c r="F216" s="166">
        <f t="shared" si="7"/>
        <v>-0.27129548082140176</v>
      </c>
      <c r="G216" s="165">
        <v>20</v>
      </c>
      <c r="H216" s="169">
        <f>디램!F26</f>
        <v>60038106.473684214</v>
      </c>
      <c r="I216" s="166">
        <f t="shared" si="8"/>
        <v>-0.23294261139094918</v>
      </c>
    </row>
    <row r="217" spans="1:10" ht="18" thickBot="1">
      <c r="A217" s="157">
        <v>45260</v>
      </c>
      <c r="B217" s="158">
        <v>72800</v>
      </c>
      <c r="C217">
        <v>10382.541681041841</v>
      </c>
      <c r="D217" s="166">
        <f t="shared" si="7"/>
        <v>0.20795933184693816</v>
      </c>
      <c r="E217" s="167">
        <v>1341588637</v>
      </c>
      <c r="F217" s="166">
        <f t="shared" si="7"/>
        <v>-4.3568405298467172E-2</v>
      </c>
      <c r="G217" s="165">
        <v>22</v>
      </c>
      <c r="H217" s="169">
        <f>디램!F27</f>
        <v>60981301.68181818</v>
      </c>
      <c r="I217" s="166">
        <f t="shared" si="8"/>
        <v>-4.3568405298467283E-2</v>
      </c>
    </row>
    <row r="218" spans="1:10" ht="18" thickBot="1">
      <c r="A218" s="157">
        <v>45288</v>
      </c>
      <c r="B218" s="158">
        <v>78500</v>
      </c>
      <c r="C218">
        <v>9082.5495782377384</v>
      </c>
      <c r="D218" s="166">
        <f t="shared" si="7"/>
        <v>0.23131912443774683</v>
      </c>
      <c r="E218" s="167">
        <v>1452659619</v>
      </c>
      <c r="F218" s="166">
        <f t="shared" si="7"/>
        <v>2.3204300493598673E-2</v>
      </c>
      <c r="G218" s="165">
        <v>19</v>
      </c>
      <c r="H218" s="169">
        <f>디램!F28</f>
        <v>76455769.421052635</v>
      </c>
      <c r="I218" s="166">
        <f t="shared" si="8"/>
        <v>0.1309100163350303</v>
      </c>
    </row>
    <row r="219" spans="1:10" ht="18" thickBot="1">
      <c r="A219" s="157">
        <v>45322</v>
      </c>
      <c r="B219" s="158">
        <v>72700</v>
      </c>
      <c r="C219">
        <v>10919.488140692249</v>
      </c>
      <c r="D219" s="166">
        <f t="shared" si="7"/>
        <v>0.44409469629619491</v>
      </c>
      <c r="E219" s="167">
        <v>1407209178</v>
      </c>
      <c r="F219" s="166">
        <f t="shared" si="7"/>
        <v>0.58265602640943515</v>
      </c>
      <c r="G219" s="165">
        <v>22</v>
      </c>
      <c r="H219" s="169">
        <f>디램!F29</f>
        <v>63964053.545454547</v>
      </c>
      <c r="I219" s="166">
        <f t="shared" si="8"/>
        <v>0.4387782058267593</v>
      </c>
    </row>
    <row r="220" spans="1:10" ht="18" thickBot="1">
      <c r="A220" s="157">
        <v>45351</v>
      </c>
      <c r="B220" s="158">
        <v>73400</v>
      </c>
      <c r="C220">
        <v>12842.641215400403</v>
      </c>
      <c r="D220" s="166">
        <f t="shared" ref="D220:F231" si="9">C220/C208-1</f>
        <v>0.53861499893337572</v>
      </c>
      <c r="E220" s="167">
        <v>1491461901</v>
      </c>
      <c r="F220" s="166">
        <f t="shared" si="9"/>
        <v>0.57422017802994652</v>
      </c>
      <c r="G220" s="165">
        <v>21</v>
      </c>
      <c r="H220" s="169">
        <f>디램!F30</f>
        <v>78497994.789473683</v>
      </c>
      <c r="I220" s="166">
        <f t="shared" ref="I220:I230" si="10">H220/H208-1</f>
        <v>0.65707387161047004</v>
      </c>
    </row>
    <row r="221" spans="1:10" ht="18" thickBot="1">
      <c r="A221" s="157">
        <v>45380</v>
      </c>
      <c r="B221" s="158">
        <v>82400</v>
      </c>
      <c r="C221">
        <v>14434.355415454753</v>
      </c>
      <c r="D221" s="166">
        <f t="shared" si="9"/>
        <v>0.68828218879506387</v>
      </c>
      <c r="E221" s="167">
        <v>1628992789</v>
      </c>
      <c r="F221" s="166">
        <f t="shared" si="9"/>
        <v>0.43552513062259202</v>
      </c>
      <c r="G221" s="165">
        <v>20</v>
      </c>
      <c r="H221" s="169">
        <f>디램!F31</f>
        <v>81449639.450000003</v>
      </c>
      <c r="I221" s="166">
        <f t="shared" si="10"/>
        <v>0.57907764368485126</v>
      </c>
    </row>
    <row r="222" spans="1:10" ht="18" thickBot="1">
      <c r="A222" s="157">
        <v>45412</v>
      </c>
      <c r="B222" s="158">
        <v>77500</v>
      </c>
      <c r="C222">
        <v>14997.61095600505</v>
      </c>
      <c r="D222" s="166">
        <f t="shared" si="9"/>
        <v>0.88422640423023435</v>
      </c>
      <c r="E222" s="167">
        <v>1594783559</v>
      </c>
      <c r="F222" s="166">
        <f t="shared" si="9"/>
        <v>0.37065573907132165</v>
      </c>
      <c r="G222" s="165">
        <v>22</v>
      </c>
      <c r="H222" s="169">
        <f>디램!F32</f>
        <v>75942074.238095239</v>
      </c>
      <c r="I222" s="166">
        <f t="shared" si="10"/>
        <v>0.30538641816316336</v>
      </c>
    </row>
    <row r="223" spans="1:10" ht="18" thickBot="1">
      <c r="A223" s="157">
        <v>45443</v>
      </c>
      <c r="B223" s="158">
        <v>73500</v>
      </c>
      <c r="C223">
        <v>15458.364022616426</v>
      </c>
      <c r="D223" s="166">
        <f t="shared" si="9"/>
        <v>1.0426961479530008</v>
      </c>
      <c r="E223" s="167">
        <v>1767125202</v>
      </c>
      <c r="F223" s="166">
        <f t="shared" si="9"/>
        <v>0.48123896574015812</v>
      </c>
      <c r="G223" s="165">
        <v>23</v>
      </c>
      <c r="H223" s="169">
        <f>디램!F33</f>
        <v>84148819.142857149</v>
      </c>
      <c r="I223" s="166">
        <f t="shared" si="10"/>
        <v>0.48123896574015812</v>
      </c>
      <c r="J223" s="166"/>
    </row>
    <row r="224" spans="1:10" ht="18" thickBot="1">
      <c r="A224" s="157">
        <v>45471</v>
      </c>
      <c r="B224" s="158">
        <v>81500</v>
      </c>
      <c r="C224">
        <v>16238.911244400577</v>
      </c>
      <c r="D224" s="166">
        <f t="shared" si="9"/>
        <v>1.1065664045777597</v>
      </c>
      <c r="E224" s="167">
        <v>1899278376</v>
      </c>
      <c r="F224" s="166">
        <f t="shared" si="9"/>
        <v>0.63134149622805502</v>
      </c>
      <c r="G224" s="165">
        <v>19</v>
      </c>
      <c r="H224" s="169">
        <f>디램!F34</f>
        <v>99962019.789473683</v>
      </c>
      <c r="I224" s="170">
        <f t="shared" si="10"/>
        <v>0.80306165372574512</v>
      </c>
    </row>
    <row r="225" spans="1:9" ht="18" thickBot="1">
      <c r="A225" s="157">
        <v>45504</v>
      </c>
      <c r="B225" s="158">
        <v>83900</v>
      </c>
      <c r="C225">
        <v>18838.41277802211</v>
      </c>
      <c r="D225" s="166">
        <f t="shared" si="9"/>
        <v>0.7340846857086456</v>
      </c>
      <c r="E225" s="167">
        <v>1986235775</v>
      </c>
      <c r="F225" s="170">
        <f t="shared" si="9"/>
        <v>0.73899975101547732</v>
      </c>
      <c r="G225" s="165">
        <v>23</v>
      </c>
      <c r="H225" s="169">
        <f>디램!F35</f>
        <v>86358077.173913047</v>
      </c>
      <c r="I225" s="170">
        <f t="shared" si="10"/>
        <v>0.58778238136195782</v>
      </c>
    </row>
    <row r="226" spans="1:9" ht="18" thickBot="1">
      <c r="A226" s="157">
        <v>45534</v>
      </c>
      <c r="B226" s="158">
        <v>74300</v>
      </c>
      <c r="C226">
        <v>18781.866170171128</v>
      </c>
      <c r="D226" s="166">
        <f t="shared" si="9"/>
        <v>0.88345906713070588</v>
      </c>
      <c r="E226" s="167">
        <v>1839895463</v>
      </c>
      <c r="F226" s="170">
        <f t="shared" si="9"/>
        <v>0.43090822012510177</v>
      </c>
      <c r="G226" s="165">
        <v>21</v>
      </c>
      <c r="H226" s="169">
        <f>디램!F36</f>
        <v>87614069.666666672</v>
      </c>
      <c r="I226" s="170">
        <f t="shared" si="10"/>
        <v>0.49904670679772578</v>
      </c>
    </row>
    <row r="227" spans="1:9" ht="18" thickBot="1">
      <c r="A227" s="157">
        <v>45565</v>
      </c>
      <c r="B227" s="158">
        <v>61500</v>
      </c>
      <c r="C227">
        <v>15556.205844352653</v>
      </c>
      <c r="D227" s="166">
        <f t="shared" si="9"/>
        <v>0.74510152990611878</v>
      </c>
      <c r="E227" s="167">
        <v>1888282735</v>
      </c>
      <c r="F227" s="166">
        <f t="shared" si="9"/>
        <v>0.59820464446426413</v>
      </c>
      <c r="G227" s="165">
        <v>18</v>
      </c>
      <c r="H227" s="169">
        <f>디램!F37</f>
        <v>104904596.3888889</v>
      </c>
      <c r="I227" s="166">
        <f t="shared" si="10"/>
        <v>0.68699379137894567</v>
      </c>
    </row>
    <row r="228" spans="1:9" ht="18" thickBot="1">
      <c r="A228" s="157">
        <v>45596</v>
      </c>
      <c r="B228" s="158">
        <v>59200</v>
      </c>
      <c r="C228">
        <v>20008.643863843587</v>
      </c>
      <c r="D228" s="166">
        <f t="shared" si="9"/>
        <v>0.97119036472752107</v>
      </c>
      <c r="E228" s="167">
        <v>1912033811</v>
      </c>
      <c r="F228" s="166">
        <f t="shared" si="9"/>
        <v>0.67615809998594201</v>
      </c>
      <c r="G228" s="165">
        <v>20</v>
      </c>
      <c r="H228" s="169">
        <f>디램!F38</f>
        <v>95601690.549999997</v>
      </c>
      <c r="I228" s="166">
        <f t="shared" si="10"/>
        <v>0.59235019498664476</v>
      </c>
    </row>
    <row r="229" spans="1:9" ht="18" thickBot="1">
      <c r="A229" s="157">
        <v>45625</v>
      </c>
      <c r="B229" s="158">
        <v>54200</v>
      </c>
      <c r="C229">
        <v>17065.913166811744</v>
      </c>
      <c r="D229" s="166">
        <f t="shared" si="9"/>
        <v>0.64371246377690983</v>
      </c>
      <c r="E229" s="167">
        <v>1825067835</v>
      </c>
      <c r="F229" s="166">
        <f t="shared" si="9"/>
        <v>0.36037812535527602</v>
      </c>
      <c r="G229" s="165">
        <v>21</v>
      </c>
      <c r="H229" s="169">
        <f>디램!F39</f>
        <v>86907992.142857149</v>
      </c>
      <c r="I229" s="166">
        <f t="shared" si="10"/>
        <v>0.42515803608647995</v>
      </c>
    </row>
    <row r="230" spans="1:9" ht="18" thickBot="1">
      <c r="A230" s="157">
        <v>45656</v>
      </c>
      <c r="B230" s="158">
        <v>53200</v>
      </c>
      <c r="C230">
        <v>15464.043161088573</v>
      </c>
      <c r="D230" s="166">
        <f t="shared" si="9"/>
        <v>0.70261037695199891</v>
      </c>
      <c r="E230" s="167">
        <v>2096464352</v>
      </c>
      <c r="F230" s="166">
        <f t="shared" si="9"/>
        <v>0.44319035552402175</v>
      </c>
      <c r="G230" s="165">
        <v>21</v>
      </c>
      <c r="H230" s="169">
        <f>디램!F40</f>
        <v>99831635.809523806</v>
      </c>
      <c r="I230" s="166">
        <f t="shared" si="10"/>
        <v>0.30574365499792444</v>
      </c>
    </row>
    <row r="231" spans="1:9" ht="18" thickBot="1">
      <c r="A231" s="157">
        <v>45688</v>
      </c>
      <c r="B231" s="158">
        <v>52400</v>
      </c>
      <c r="C231">
        <v>14689.780458077896</v>
      </c>
      <c r="D231" s="166">
        <f t="shared" si="9"/>
        <v>0.34528104878244115</v>
      </c>
      <c r="E231" s="167">
        <v>1836333612</v>
      </c>
      <c r="F231" s="166">
        <f t="shared" ref="F231" si="11">E231/E219-1</f>
        <v>0.30494715406127071</v>
      </c>
      <c r="G231" s="165">
        <v>18</v>
      </c>
      <c r="H231" s="169">
        <f>디램!F41</f>
        <v>102018534</v>
      </c>
      <c r="I231" s="166">
        <f t="shared" ref="I231" si="12">H231/H219-1</f>
        <v>0.59493541051933074</v>
      </c>
    </row>
    <row r="232" spans="1:9" ht="18" thickBot="1">
      <c r="A232" s="157">
        <v>45716</v>
      </c>
      <c r="B232" s="158">
        <v>54500</v>
      </c>
      <c r="C232">
        <v>13397.087035185616</v>
      </c>
      <c r="D232" s="166">
        <f>C232/C220-1</f>
        <v>4.3172257986958451E-2</v>
      </c>
      <c r="E232" s="167">
        <v>1681458212</v>
      </c>
      <c r="F232" s="166">
        <f>E232/E220-1</f>
        <v>0.12738931572614143</v>
      </c>
      <c r="G232" s="165">
        <v>14</v>
      </c>
      <c r="H232" s="169">
        <f>디램!F42</f>
        <v>84072910.599999994</v>
      </c>
      <c r="I232" s="166">
        <f>H232/H220-1</f>
        <v>7.1019849939834234E-2</v>
      </c>
    </row>
    <row r="233" spans="1:9">
      <c r="A233" s="157">
        <v>45747</v>
      </c>
      <c r="B233" s="158">
        <v>57800</v>
      </c>
      <c r="C233">
        <v>14202.583306180202</v>
      </c>
      <c r="D233" s="166">
        <f t="shared" ref="D233:D249" si="13">C233/C221-1</f>
        <v>-1.6056976747738538E-2</v>
      </c>
      <c r="E233" s="165">
        <v>2106604276</v>
      </c>
      <c r="F233" s="166">
        <f t="shared" ref="F233:F239" si="14">E233/E221-1</f>
        <v>0.29319435311508912</v>
      </c>
      <c r="H233" s="169">
        <f>디램!F43</f>
        <v>105330213.8</v>
      </c>
      <c r="I233" s="166">
        <f t="shared" ref="I233:I240" si="15">H233/H221-1</f>
        <v>0.29319435311508912</v>
      </c>
    </row>
    <row r="234" spans="1:9">
      <c r="A234" s="157">
        <v>45777</v>
      </c>
      <c r="B234" s="158">
        <v>55500</v>
      </c>
      <c r="C234">
        <v>15695.092873883383</v>
      </c>
      <c r="D234" s="166">
        <f t="shared" si="13"/>
        <v>4.6506201549324722E-2</v>
      </c>
      <c r="E234" s="165">
        <v>2103328275</v>
      </c>
      <c r="F234" s="166">
        <f t="shared" si="14"/>
        <v>0.31888008446668459</v>
      </c>
      <c r="H234" s="169">
        <f>디램!F44</f>
        <v>95605830.681818187</v>
      </c>
      <c r="I234" s="166">
        <f t="shared" si="15"/>
        <v>0.25893098971819906</v>
      </c>
    </row>
    <row r="235" spans="1:9">
      <c r="A235" s="221">
        <v>45807</v>
      </c>
      <c r="B235" s="222">
        <v>56200</v>
      </c>
      <c r="C235" s="218">
        <v>14020.781810358896</v>
      </c>
      <c r="D235" s="166">
        <f t="shared" si="13"/>
        <v>-9.29970474336268E-2</v>
      </c>
      <c r="E235" s="165">
        <v>2244898642</v>
      </c>
      <c r="F235" s="166">
        <f t="shared" si="14"/>
        <v>0.27036762276904014</v>
      </c>
      <c r="H235" s="165">
        <v>112244932.09999999</v>
      </c>
      <c r="I235" s="166">
        <f t="shared" si="15"/>
        <v>0.33388600390749201</v>
      </c>
    </row>
    <row r="236" spans="1:9">
      <c r="A236" s="221">
        <v>45838</v>
      </c>
      <c r="B236" s="222">
        <v>59800</v>
      </c>
      <c r="C236" s="218">
        <v>12159.854999418201</v>
      </c>
      <c r="D236" s="166">
        <f t="shared" si="13"/>
        <v>-0.25119025429669095</v>
      </c>
      <c r="E236" s="165">
        <v>2291729325</v>
      </c>
      <c r="F236" s="166">
        <f t="shared" si="14"/>
        <v>0.20663161017318932</v>
      </c>
      <c r="H236" s="165">
        <v>120617332.89473684</v>
      </c>
      <c r="I236" s="166">
        <f t="shared" si="15"/>
        <v>0.20663161017318932</v>
      </c>
    </row>
    <row r="237" spans="1:9">
      <c r="A237" s="157">
        <v>45869</v>
      </c>
      <c r="B237" s="158">
        <v>71400</v>
      </c>
      <c r="C237">
        <v>14894.108766219691</v>
      </c>
      <c r="D237" s="166">
        <f t="shared" si="13"/>
        <v>-0.20937560177065728</v>
      </c>
      <c r="E237" s="165">
        <v>2387705705</v>
      </c>
      <c r="F237" s="166">
        <f t="shared" si="14"/>
        <v>0.20212601900194849</v>
      </c>
      <c r="H237" s="165">
        <v>103813291.52173913</v>
      </c>
      <c r="I237" s="166">
        <f t="shared" si="15"/>
        <v>0.20212601900194849</v>
      </c>
    </row>
    <row r="238" spans="1:9">
      <c r="A238" s="157">
        <v>45898</v>
      </c>
      <c r="B238" s="158">
        <v>69700</v>
      </c>
      <c r="C238">
        <v>17675.864434618547</v>
      </c>
      <c r="D238" s="166">
        <f t="shared" si="13"/>
        <v>-5.8886679605304915E-2</v>
      </c>
      <c r="E238" s="165">
        <v>2615929305</v>
      </c>
      <c r="F238" s="166">
        <f t="shared" si="14"/>
        <v>0.42178148574520402</v>
      </c>
      <c r="H238" s="165">
        <v>130796465.25</v>
      </c>
      <c r="I238" s="166">
        <f t="shared" si="15"/>
        <v>0.4928705600324641</v>
      </c>
    </row>
    <row r="239" spans="1:9">
      <c r="A239" s="157">
        <v>45930</v>
      </c>
      <c r="B239" s="158">
        <v>83900</v>
      </c>
      <c r="C239">
        <v>16604.588457597842</v>
      </c>
      <c r="D239" s="166">
        <f t="shared" si="13"/>
        <v>6.7393207812673772E-2</v>
      </c>
      <c r="E239" s="165">
        <v>2653983105</v>
      </c>
      <c r="F239" s="166">
        <f t="shared" si="14"/>
        <v>0.40550091138761579</v>
      </c>
      <c r="H239" s="165">
        <v>120635595.68181819</v>
      </c>
      <c r="I239" s="166">
        <f t="shared" si="15"/>
        <v>0.14995529113532213</v>
      </c>
    </row>
    <row r="240" spans="1:9" ht="18" customHeight="1">
      <c r="A240" s="157">
        <v>45961</v>
      </c>
      <c r="B240" s="158">
        <v>107500</v>
      </c>
      <c r="C240">
        <f>디램!I50</f>
        <v>20706.266857112027</v>
      </c>
      <c r="D240" s="166">
        <f t="shared" si="13"/>
        <v>3.4866080780670661E-2</v>
      </c>
      <c r="E240">
        <v>2855276588</v>
      </c>
      <c r="F240" s="166">
        <f>E240/E228-1</f>
        <v>0.49331908859220475</v>
      </c>
      <c r="H240">
        <v>158626477.1111111</v>
      </c>
      <c r="I240" s="166">
        <f t="shared" si="15"/>
        <v>0.65924343176911648</v>
      </c>
    </row>
    <row r="241" spans="1:4">
      <c r="A241" s="157">
        <v>45989</v>
      </c>
      <c r="B241" s="158">
        <v>100500</v>
      </c>
      <c r="C241">
        <f>디램!I51</f>
        <v>24267.118136286012</v>
      </c>
      <c r="D241" s="166">
        <f t="shared" si="13"/>
        <v>0.42196423356228752</v>
      </c>
    </row>
    <row r="242" spans="1:4">
      <c r="A242" s="157">
        <v>46021</v>
      </c>
      <c r="B242" s="158">
        <v>119900</v>
      </c>
      <c r="C242">
        <f>디램!I52</f>
        <v>23723.683964330081</v>
      </c>
      <c r="D242" s="166">
        <f t="shared" si="13"/>
        <v>0.53411909920329537</v>
      </c>
    </row>
    <row r="243" spans="1:4">
      <c r="A243" s="157">
        <v>46052</v>
      </c>
      <c r="B243" s="158">
        <v>160500</v>
      </c>
      <c r="C243">
        <f>디램!I53</f>
        <v>35524.369057846176</v>
      </c>
      <c r="D243" s="251">
        <f t="shared" si="13"/>
        <v>1.4183049678125967</v>
      </c>
    </row>
    <row r="244" spans="1:4">
      <c r="A244" s="157">
        <v>46080</v>
      </c>
      <c r="B244" s="158">
        <v>216500</v>
      </c>
      <c r="C244">
        <f>디램!I54</f>
        <v>48169.418048025909</v>
      </c>
      <c r="D244" s="251">
        <f t="shared" si="13"/>
        <v>2.5955143025879823</v>
      </c>
    </row>
    <row r="245" spans="1:4">
      <c r="A245" s="157">
        <v>46112</v>
      </c>
      <c r="B245" s="158">
        <v>167200</v>
      </c>
      <c r="C245">
        <f>디램!I55</f>
        <v>55148.495734659853</v>
      </c>
      <c r="D245" s="267">
        <f t="shared" si="13"/>
        <v>2.8829904775606692</v>
      </c>
    </row>
    <row r="246" spans="1:4">
      <c r="A246" s="157">
        <v>46142</v>
      </c>
      <c r="B246" s="294">
        <v>220500</v>
      </c>
      <c r="C246">
        <f>디램!I56</f>
        <v>66478.838290958913</v>
      </c>
      <c r="D246" s="295">
        <f>C246/C234-1</f>
        <v>3.2356447856119175</v>
      </c>
    </row>
    <row r="247" spans="1:4">
      <c r="A247" s="292">
        <v>46162</v>
      </c>
      <c r="B247" s="293">
        <v>276000</v>
      </c>
      <c r="C247" s="218">
        <f>디램!I57</f>
        <v>82819.884199031119</v>
      </c>
      <c r="D247" s="261">
        <f t="shared" si="13"/>
        <v>4.9069376671878429</v>
      </c>
    </row>
    <row r="248" spans="1:4">
      <c r="A248" s="262" t="s">
        <v>1460</v>
      </c>
      <c r="B248" s="260"/>
      <c r="C248" s="264">
        <f t="shared" ref="C248:C253" si="16">C247</f>
        <v>82819.884199031119</v>
      </c>
      <c r="D248" s="261">
        <f t="shared" si="13"/>
        <v>5.8109269562008521</v>
      </c>
    </row>
    <row r="249" spans="1:4">
      <c r="A249" s="268"/>
      <c r="B249" s="269"/>
      <c r="C249" s="270">
        <f t="shared" si="16"/>
        <v>82819.884199031119</v>
      </c>
      <c r="D249" s="271">
        <f t="shared" si="13"/>
        <v>4.5605800587994381</v>
      </c>
    </row>
    <row r="250" spans="1:4">
      <c r="A250" s="269"/>
      <c r="B250" s="269"/>
      <c r="C250" s="270">
        <f t="shared" si="16"/>
        <v>82819.884199031119</v>
      </c>
      <c r="D250" s="271">
        <f t="shared" ref="D250:D253" si="17">C250/C238-1</f>
        <v>3.6854785804323473</v>
      </c>
    </row>
    <row r="251" spans="1:4">
      <c r="A251" s="269"/>
      <c r="B251" s="269"/>
      <c r="C251" s="270">
        <f t="shared" si="16"/>
        <v>82819.884199031119</v>
      </c>
      <c r="D251" s="271">
        <f t="shared" si="17"/>
        <v>3.9877709652680267</v>
      </c>
    </row>
    <row r="252" spans="1:4">
      <c r="A252" s="269"/>
      <c r="B252" s="269"/>
      <c r="C252" s="270">
        <f t="shared" si="16"/>
        <v>82819.884199031119</v>
      </c>
      <c r="D252" s="271">
        <f t="shared" si="17"/>
        <v>2.9997496782277193</v>
      </c>
    </row>
    <row r="253" spans="1:4">
      <c r="C253" s="265">
        <f t="shared" si="16"/>
        <v>82819.884199031119</v>
      </c>
      <c r="D253" s="251">
        <f t="shared" si="17"/>
        <v>2.4128438215822845</v>
      </c>
    </row>
  </sheetData>
  <phoneticPr fontId="1" type="noConversion"/>
  <hyperlinks>
    <hyperlink ref="A1" tooltip="Quantiwise7G" display="     Refresh     " xr:uid="{00000000-0004-0000-0000-00000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F01-88D0-48DB-ADAC-335813F04383}">
  <sheetPr>
    <tabColor rgb="FFFF0000"/>
  </sheetPr>
  <dimension ref="A1:AC52"/>
  <sheetViews>
    <sheetView zoomScale="115" zoomScaleNormal="115" workbookViewId="0">
      <selection activeCell="A4" sqref="A4: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2772768.8</v>
      </c>
      <c r="G5" s="90"/>
      <c r="H5" s="90"/>
      <c r="I5" s="130" t="e">
        <f t="shared" ref="I5:I52" si="0">T5</f>
        <v>#DIV/0!</v>
      </c>
      <c r="J5" s="130"/>
      <c r="K5" s="85"/>
      <c r="L5" s="80"/>
      <c r="M5" s="80"/>
      <c r="P5" s="129" t="s">
        <v>0</v>
      </c>
      <c r="Q5" s="116">
        <v>55455376</v>
      </c>
      <c r="R5" s="116"/>
      <c r="S5" s="116"/>
      <c r="T5" s="130" t="e">
        <f t="shared" ref="T5:T52" si="1">Q5/S5</f>
        <v>#DIV/0!</v>
      </c>
      <c r="U5" s="78">
        <f>S5/20</f>
        <v>0</v>
      </c>
    </row>
    <row r="6" spans="1:29" ht="15" hidden="1" customHeight="1">
      <c r="A6" s="129" t="s">
        <v>1</v>
      </c>
      <c r="C6" s="79"/>
      <c r="F6" s="78">
        <f>Q6/18</f>
        <v>3008657.5</v>
      </c>
      <c r="G6" s="90">
        <f t="shared" ref="G6:G52" si="2">F6/F5-1</f>
        <v>8.5073338967172507E-2</v>
      </c>
      <c r="H6" s="90"/>
      <c r="I6" s="130" t="e">
        <f t="shared" si="0"/>
        <v>#DIV/0!</v>
      </c>
      <c r="J6" s="130"/>
      <c r="K6" s="85"/>
      <c r="P6" s="129" t="s">
        <v>1</v>
      </c>
      <c r="Q6" s="116">
        <v>54155835</v>
      </c>
      <c r="R6" s="116"/>
      <c r="S6" s="116"/>
      <c r="T6" s="130" t="e">
        <f t="shared" si="1"/>
        <v>#DIV/0!</v>
      </c>
      <c r="U6" s="78">
        <f>S6/18</f>
        <v>0</v>
      </c>
    </row>
    <row r="7" spans="1:29" ht="15" hidden="1" customHeight="1">
      <c r="A7" s="129" t="s">
        <v>2</v>
      </c>
      <c r="B7" s="131">
        <f>F5+F6+F7</f>
        <v>8680827.8909090906</v>
      </c>
      <c r="C7" s="131">
        <f>AVERAGE(F5:F7)</f>
        <v>2893609.2969696969</v>
      </c>
      <c r="F7" s="78">
        <f>Q7/22</f>
        <v>2899401.5909090908</v>
      </c>
      <c r="G7" s="90">
        <f t="shared" si="2"/>
        <v>-3.6313840671764464E-2</v>
      </c>
      <c r="H7" s="90"/>
      <c r="I7" s="130" t="e">
        <f t="shared" si="0"/>
        <v>#DIV/0!</v>
      </c>
      <c r="J7" s="130"/>
      <c r="K7" s="85">
        <f>Q5+Q6+Q7</f>
        <v>173398046</v>
      </c>
      <c r="L7" s="102"/>
      <c r="N7" s="88" t="e">
        <f>AVERAGE(T5:T7)</f>
        <v>#DIV/0!</v>
      </c>
      <c r="P7" s="129" t="s">
        <v>2</v>
      </c>
      <c r="Q7" s="116">
        <v>63786835</v>
      </c>
      <c r="R7" s="116"/>
      <c r="S7" s="116"/>
      <c r="T7" s="130" t="e">
        <f t="shared" si="1"/>
        <v>#DIV/0!</v>
      </c>
      <c r="U7" s="78">
        <f>S7/22</f>
        <v>0</v>
      </c>
    </row>
    <row r="8" spans="1:29" ht="15" hidden="1" customHeight="1">
      <c r="A8" s="129" t="s">
        <v>3</v>
      </c>
      <c r="C8" s="79"/>
      <c r="F8" s="78">
        <f>Q8/21</f>
        <v>2754419.8095238097</v>
      </c>
      <c r="G8" s="90">
        <f t="shared" si="2"/>
        <v>-5.0004035949991588E-2</v>
      </c>
      <c r="H8" s="90"/>
      <c r="I8" s="130" t="e">
        <f t="shared" si="0"/>
        <v>#DIV/0!</v>
      </c>
      <c r="J8" s="130"/>
      <c r="K8" s="85"/>
      <c r="L8" s="90"/>
      <c r="P8" s="129" t="s">
        <v>3</v>
      </c>
      <c r="Q8" s="116">
        <v>57842816</v>
      </c>
      <c r="R8" s="116"/>
      <c r="S8" s="116"/>
      <c r="T8" s="130" t="e">
        <f t="shared" si="1"/>
        <v>#DIV/0!</v>
      </c>
      <c r="U8" s="78">
        <f>S8/21</f>
        <v>0</v>
      </c>
    </row>
    <row r="9" spans="1:29" ht="15" hidden="1" customHeight="1">
      <c r="A9" s="129" t="s">
        <v>4</v>
      </c>
      <c r="C9" s="79"/>
      <c r="F9" s="78">
        <f>Q9/21</f>
        <v>2932920.2857142859</v>
      </c>
      <c r="G9" s="90">
        <f t="shared" si="2"/>
        <v>6.4805109073527767E-2</v>
      </c>
      <c r="H9" s="90"/>
      <c r="I9" s="130" t="e">
        <f t="shared" si="0"/>
        <v>#DIV/0!</v>
      </c>
      <c r="J9" s="130"/>
      <c r="K9" s="85"/>
      <c r="L9" s="90"/>
      <c r="P9" s="129" t="s">
        <v>4</v>
      </c>
      <c r="Q9" s="116">
        <v>61591326</v>
      </c>
      <c r="R9" s="116"/>
      <c r="S9" s="116"/>
      <c r="T9" s="130" t="e">
        <f t="shared" si="1"/>
        <v>#DIV/0!</v>
      </c>
      <c r="U9" s="78">
        <f>S9/21</f>
        <v>0</v>
      </c>
      <c r="AC9" s="79">
        <v>2500</v>
      </c>
    </row>
    <row r="10" spans="1:29" ht="15" hidden="1" customHeight="1">
      <c r="A10" s="129" t="s">
        <v>320</v>
      </c>
      <c r="B10" s="131">
        <f>F8+F9+F10</f>
        <v>8434003.6190476194</v>
      </c>
      <c r="C10" s="131">
        <f>AVERAGE(F8:F10)</f>
        <v>2811334.5396825396</v>
      </c>
      <c r="D10" s="90">
        <f>C10/C7-1</f>
        <v>-2.8433264080717002E-2</v>
      </c>
      <c r="E10" s="90"/>
      <c r="F10" s="78">
        <f>Q10/21</f>
        <v>2746663.5238095238</v>
      </c>
      <c r="G10" s="90">
        <f t="shared" si="2"/>
        <v>-6.3505565702547173E-2</v>
      </c>
      <c r="H10" s="90"/>
      <c r="I10" s="130" t="e">
        <f t="shared" si="0"/>
        <v>#DIV/0!</v>
      </c>
      <c r="J10" s="130"/>
      <c r="K10" s="85">
        <f>Q8+Q9+Q10</f>
        <v>177114076</v>
      </c>
      <c r="L10" s="102">
        <f>K10/K7-1</f>
        <v>2.1430633653161335E-2</v>
      </c>
      <c r="N10" s="88" t="e">
        <f>AVERAGE(T8:T10)</f>
        <v>#DIV/0!</v>
      </c>
      <c r="O10" s="89" t="e">
        <f>N10/N7-1</f>
        <v>#DIV/0!</v>
      </c>
      <c r="P10" s="129" t="s">
        <v>320</v>
      </c>
      <c r="Q10" s="116">
        <v>57679934</v>
      </c>
      <c r="R10" s="116"/>
      <c r="S10" s="116"/>
      <c r="T10" s="130" t="e">
        <f t="shared" si="1"/>
        <v>#DIV/0!</v>
      </c>
      <c r="U10" s="78">
        <f>S10/21</f>
        <v>0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2868655.9047619049</v>
      </c>
      <c r="G11" s="90">
        <f t="shared" si="2"/>
        <v>4.4414752624370335E-2</v>
      </c>
      <c r="H11" s="90"/>
      <c r="I11" s="130" t="e">
        <f t="shared" si="0"/>
        <v>#DIV/0!</v>
      </c>
      <c r="J11" s="130"/>
      <c r="K11" s="85"/>
      <c r="L11" s="90"/>
      <c r="O11" s="89"/>
      <c r="P11" s="129" t="s">
        <v>6</v>
      </c>
      <c r="Q11" s="116">
        <v>60241774</v>
      </c>
      <c r="R11" s="116"/>
      <c r="S11" s="116"/>
      <c r="T11" s="130" t="e">
        <f t="shared" si="1"/>
        <v>#DIV/0!</v>
      </c>
      <c r="U11" s="78">
        <f>S11/21</f>
        <v>0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2572997.7272727271</v>
      </c>
      <c r="G12" s="90">
        <f t="shared" si="2"/>
        <v>-0.10306505461264692</v>
      </c>
      <c r="H12" s="90"/>
      <c r="I12" s="130" t="e">
        <f t="shared" si="0"/>
        <v>#DIV/0!</v>
      </c>
      <c r="J12" s="130"/>
      <c r="K12" s="85"/>
      <c r="L12" s="90"/>
      <c r="O12" s="89"/>
      <c r="P12" s="129" t="s">
        <v>7</v>
      </c>
      <c r="Q12" s="116">
        <v>56605950</v>
      </c>
      <c r="R12" s="116"/>
      <c r="S12" s="116"/>
      <c r="T12" s="130" t="e">
        <f t="shared" si="1"/>
        <v>#DIV/0!</v>
      </c>
      <c r="U12" s="78">
        <f>S12/22</f>
        <v>0</v>
      </c>
    </row>
    <row r="13" spans="1:29" ht="15" hidden="1" customHeight="1">
      <c r="A13" s="129" t="s">
        <v>96</v>
      </c>
      <c r="B13" s="131">
        <f>F11+F12+F13</f>
        <v>8300468.6320346314</v>
      </c>
      <c r="C13" s="131">
        <f>AVERAGE(F11:F13)</f>
        <v>2766822.877344877</v>
      </c>
      <c r="D13" s="90">
        <f>C13/C10-1</f>
        <v>-1.583292977387496E-2</v>
      </c>
      <c r="E13" s="90"/>
      <c r="F13" s="78">
        <f>Q13/20</f>
        <v>2858815</v>
      </c>
      <c r="G13" s="90">
        <f t="shared" si="2"/>
        <v>0.11108337551087843</v>
      </c>
      <c r="H13" s="90"/>
      <c r="I13" s="130" t="e">
        <f t="shared" si="0"/>
        <v>#DIV/0!</v>
      </c>
      <c r="J13" s="130"/>
      <c r="K13" s="85">
        <f>Q11+Q12+Q13</f>
        <v>174024024</v>
      </c>
      <c r="L13" s="102">
        <f>K13/K10-1</f>
        <v>-1.7446676570189723E-2</v>
      </c>
      <c r="N13" s="88" t="e">
        <f>AVERAGE(T11:T13)</f>
        <v>#DIV/0!</v>
      </c>
      <c r="O13" s="89" t="e">
        <f>N13/N10-1</f>
        <v>#DIV/0!</v>
      </c>
      <c r="P13" s="129" t="s">
        <v>96</v>
      </c>
      <c r="Q13" s="116">
        <v>57176300</v>
      </c>
      <c r="R13" s="116"/>
      <c r="S13" s="116"/>
      <c r="T13" s="130" t="e">
        <f t="shared" si="1"/>
        <v>#DIV/0!</v>
      </c>
      <c r="U13" s="78">
        <f>S13/20</f>
        <v>0</v>
      </c>
    </row>
    <row r="14" spans="1:29" ht="15" hidden="1" customHeight="1">
      <c r="A14" s="129" t="s">
        <v>97</v>
      </c>
      <c r="C14" s="79"/>
      <c r="F14" s="78">
        <f>Q14/20</f>
        <v>2621404.6</v>
      </c>
      <c r="G14" s="90">
        <f t="shared" si="2"/>
        <v>-8.3045037891573914E-2</v>
      </c>
      <c r="H14" s="90"/>
      <c r="I14" s="130" t="e">
        <f t="shared" si="0"/>
        <v>#DIV/0!</v>
      </c>
      <c r="J14" s="130"/>
      <c r="K14" s="85"/>
      <c r="L14" s="90"/>
      <c r="O14" s="89"/>
      <c r="P14" s="129" t="s">
        <v>97</v>
      </c>
      <c r="Q14" s="116">
        <v>52428092</v>
      </c>
      <c r="R14" s="116"/>
      <c r="S14" s="116"/>
      <c r="T14" s="130" t="e">
        <f t="shared" si="1"/>
        <v>#DIV/0!</v>
      </c>
      <c r="U14" s="78">
        <f>S14/20</f>
        <v>0</v>
      </c>
    </row>
    <row r="15" spans="1:29" ht="15" hidden="1" customHeight="1">
      <c r="A15" s="129" t="s">
        <v>98</v>
      </c>
      <c r="B15" s="131"/>
      <c r="C15" s="131"/>
      <c r="F15" s="78">
        <f>Q15/22</f>
        <v>2353266.1363636362</v>
      </c>
      <c r="G15" s="90">
        <f t="shared" si="2"/>
        <v>-0.10228808770548581</v>
      </c>
      <c r="H15" s="90"/>
      <c r="I15" s="130" t="e">
        <f t="shared" si="0"/>
        <v>#DIV/0!</v>
      </c>
      <c r="J15" s="130"/>
      <c r="K15" s="78"/>
      <c r="L15" s="90"/>
      <c r="O15" s="89"/>
      <c r="P15" s="129" t="s">
        <v>98</v>
      </c>
      <c r="Q15" s="116">
        <v>51771855</v>
      </c>
      <c r="R15" s="116"/>
      <c r="S15" s="116"/>
      <c r="T15" s="130" t="e">
        <f t="shared" si="1"/>
        <v>#DIV/0!</v>
      </c>
      <c r="U15" s="78">
        <f>S15/22</f>
        <v>0</v>
      </c>
    </row>
    <row r="16" spans="1:29" ht="15" hidden="1" customHeight="1">
      <c r="A16" s="129" t="s">
        <v>99</v>
      </c>
      <c r="B16" s="131">
        <f>F14+F15+F16</f>
        <v>7467791.918181818</v>
      </c>
      <c r="C16" s="131">
        <f>AVERAGE(F14:F16)</f>
        <v>2489263.9727272727</v>
      </c>
      <c r="D16" s="90">
        <f>C16/C13-1</f>
        <v>-0.10031683158697813</v>
      </c>
      <c r="E16" s="90"/>
      <c r="F16" s="78">
        <f>Q16/22</f>
        <v>2493121.1818181816</v>
      </c>
      <c r="G16" s="90">
        <f t="shared" si="2"/>
        <v>5.9430186536680862E-2</v>
      </c>
      <c r="H16" s="90"/>
      <c r="I16" s="130" t="e">
        <f t="shared" si="0"/>
        <v>#DIV/0!</v>
      </c>
      <c r="J16" s="130"/>
      <c r="K16" s="85">
        <f>Q14+Q15+Q16</f>
        <v>159048613</v>
      </c>
      <c r="L16" s="102">
        <f>K16/K13-1</f>
        <v>-8.6053699114554405E-2</v>
      </c>
      <c r="N16" s="88" t="e">
        <f>AVERAGE(T14:T16)</f>
        <v>#DIV/0!</v>
      </c>
      <c r="O16" s="89" t="e">
        <f>N16/N13-1</f>
        <v>#DIV/0!</v>
      </c>
      <c r="P16" s="129" t="s">
        <v>99</v>
      </c>
      <c r="Q16" s="116">
        <v>54848666</v>
      </c>
      <c r="R16" s="116"/>
      <c r="S16" s="116"/>
      <c r="T16" s="130" t="e">
        <f t="shared" si="1"/>
        <v>#DIV/0!</v>
      </c>
      <c r="U16" s="78">
        <f>S16/22</f>
        <v>0</v>
      </c>
    </row>
    <row r="17" spans="1:26" ht="15" hidden="1" customHeight="1">
      <c r="A17" s="129" t="s">
        <v>100</v>
      </c>
      <c r="C17" s="79"/>
      <c r="F17" s="78">
        <f>Q17/20</f>
        <v>2316957.25</v>
      </c>
      <c r="G17" s="90">
        <f t="shared" si="2"/>
        <v>-7.0659995632345818E-2</v>
      </c>
      <c r="H17" s="90">
        <f t="shared" ref="H17:H52" si="3">F17/F5-1</f>
        <v>-0.16438858876369344</v>
      </c>
      <c r="I17" s="130" t="e">
        <f t="shared" si="0"/>
        <v>#DIV/0!</v>
      </c>
      <c r="J17" s="130" t="e">
        <f t="shared" ref="J17:J50" si="4">I17/I5-1</f>
        <v>#DIV/0!</v>
      </c>
      <c r="K17" s="78"/>
      <c r="L17" s="90"/>
      <c r="O17" s="89"/>
      <c r="P17" s="129" t="s">
        <v>100</v>
      </c>
      <c r="Q17" s="116">
        <v>46339145</v>
      </c>
      <c r="R17" s="116"/>
      <c r="S17" s="116"/>
      <c r="T17" s="130" t="e">
        <f t="shared" si="1"/>
        <v>#DIV/0!</v>
      </c>
      <c r="U17" s="78">
        <f>S17/20</f>
        <v>0</v>
      </c>
    </row>
    <row r="18" spans="1:26" ht="15" hidden="1" customHeight="1">
      <c r="A18" s="129" t="s">
        <v>106</v>
      </c>
      <c r="C18" s="79"/>
      <c r="F18" s="78">
        <f>Q18/20</f>
        <v>2499729.65</v>
      </c>
      <c r="G18" s="90">
        <f t="shared" si="2"/>
        <v>7.8884666516829238E-2</v>
      </c>
      <c r="H18" s="90">
        <f t="shared" si="3"/>
        <v>-0.16915446507287724</v>
      </c>
      <c r="I18" s="130" t="e">
        <f t="shared" si="0"/>
        <v>#DIV/0!</v>
      </c>
      <c r="J18" s="130" t="e">
        <f t="shared" si="4"/>
        <v>#DIV/0!</v>
      </c>
      <c r="K18" s="78"/>
      <c r="O18" s="89"/>
      <c r="P18" s="129" t="s">
        <v>106</v>
      </c>
      <c r="Q18" s="116">
        <v>49994593</v>
      </c>
      <c r="R18" s="116"/>
      <c r="S18" s="116"/>
      <c r="T18" s="130" t="e">
        <f t="shared" si="1"/>
        <v>#DIV/0!</v>
      </c>
      <c r="U18" s="78">
        <f>S18/20</f>
        <v>0</v>
      </c>
    </row>
    <row r="19" spans="1:26" hidden="1">
      <c r="A19" s="129" t="s">
        <v>114</v>
      </c>
      <c r="B19" s="131">
        <f>SUM(F17:F19)</f>
        <v>7311345.2636363637</v>
      </c>
      <c r="C19" s="131">
        <f>AVERAGE(F17:F19)</f>
        <v>2437115.0878787879</v>
      </c>
      <c r="D19" s="90">
        <f>C19/C16-1</f>
        <v>-2.0949519785701809E-2</v>
      </c>
      <c r="E19" s="90">
        <f>C19/C7-1</f>
        <v>-0.15775944926945318</v>
      </c>
      <c r="F19" s="78">
        <f>Q19/22</f>
        <v>2494658.3636363638</v>
      </c>
      <c r="G19" s="90">
        <f t="shared" si="2"/>
        <v>-2.028733932741944E-3</v>
      </c>
      <c r="H19" s="90">
        <f t="shared" si="3"/>
        <v>-0.13959543532768159</v>
      </c>
      <c r="I19" s="130" t="e">
        <f t="shared" si="0"/>
        <v>#DIV/0!</v>
      </c>
      <c r="J19" s="130" t="e">
        <f t="shared" si="4"/>
        <v>#DIV/0!</v>
      </c>
      <c r="K19" s="85">
        <f>Q17+Q18+Q19</f>
        <v>151216222</v>
      </c>
      <c r="L19" s="102">
        <f>K19/K16-1</f>
        <v>-4.924526440227428E-2</v>
      </c>
      <c r="M19" s="87" t="e">
        <f>U19/U7-1</f>
        <v>#DIV/0!</v>
      </c>
      <c r="N19" s="88" t="e">
        <f>AVERAGE(T17:T19)</f>
        <v>#DIV/0!</v>
      </c>
      <c r="O19" s="89" t="e">
        <f>N19/N16-1</f>
        <v>#DIV/0!</v>
      </c>
      <c r="P19" s="129" t="s">
        <v>114</v>
      </c>
      <c r="Q19" s="116">
        <v>54882484</v>
      </c>
      <c r="R19" s="116"/>
      <c r="S19" s="116"/>
      <c r="T19" s="130" t="e">
        <f t="shared" si="1"/>
        <v>#DIV/0!</v>
      </c>
      <c r="U19" s="78">
        <f>S19/22</f>
        <v>0</v>
      </c>
    </row>
    <row r="20" spans="1:26" hidden="1">
      <c r="A20" s="129" t="s">
        <v>131</v>
      </c>
      <c r="B20" s="131"/>
      <c r="C20" s="131"/>
      <c r="D20" s="90"/>
      <c r="E20" s="90"/>
      <c r="F20" s="78">
        <f>Q20/20</f>
        <v>2471543.9500000002</v>
      </c>
      <c r="G20" s="90">
        <f t="shared" si="2"/>
        <v>-9.2655627613356106E-3</v>
      </c>
      <c r="H20" s="90">
        <f t="shared" si="3"/>
        <v>-0.10269889090461981</v>
      </c>
      <c r="I20" s="130" t="e">
        <f t="shared" si="0"/>
        <v>#DIV/0!</v>
      </c>
      <c r="J20" s="130" t="e">
        <f t="shared" si="4"/>
        <v>#DIV/0!</v>
      </c>
      <c r="K20" s="78"/>
      <c r="O20" s="89"/>
      <c r="P20" s="129" t="s">
        <v>131</v>
      </c>
      <c r="Q20" s="116">
        <v>49430879</v>
      </c>
      <c r="R20" s="116"/>
      <c r="S20" s="116"/>
      <c r="T20" s="130" t="e">
        <f t="shared" si="1"/>
        <v>#DIV/0!</v>
      </c>
      <c r="U20" s="78">
        <f>S20/20</f>
        <v>0</v>
      </c>
    </row>
    <row r="21" spans="1:26" hidden="1">
      <c r="A21" s="129" t="s">
        <v>141</v>
      </c>
      <c r="B21" s="131"/>
      <c r="C21" s="131"/>
      <c r="D21" s="90"/>
      <c r="E21" s="90"/>
      <c r="F21" s="78">
        <f>Q21/21</f>
        <v>2478771.1904761903</v>
      </c>
      <c r="G21" s="90">
        <f t="shared" si="2"/>
        <v>2.9241804404045446E-3</v>
      </c>
      <c r="H21" s="90">
        <f t="shared" si="3"/>
        <v>-0.15484535923126586</v>
      </c>
      <c r="I21" s="130" t="e">
        <f t="shared" si="0"/>
        <v>#DIV/0!</v>
      </c>
      <c r="J21" s="130" t="e">
        <f t="shared" si="4"/>
        <v>#DIV/0!</v>
      </c>
      <c r="K21" s="78"/>
      <c r="O21" s="89"/>
      <c r="P21" s="129" t="s">
        <v>141</v>
      </c>
      <c r="Q21" s="116">
        <v>52054195</v>
      </c>
      <c r="R21" s="116"/>
      <c r="S21" s="116"/>
      <c r="T21" s="130" t="e">
        <f t="shared" si="1"/>
        <v>#DIV/0!</v>
      </c>
      <c r="U21" s="78">
        <f>S21/21</f>
        <v>0</v>
      </c>
    </row>
    <row r="22" spans="1:26" hidden="1">
      <c r="A22" s="129" t="s">
        <v>155</v>
      </c>
      <c r="B22" s="131">
        <f>SUM(F20:F22)</f>
        <v>7535922.4738095235</v>
      </c>
      <c r="C22" s="131">
        <f>AVERAGE(F20:F22)</f>
        <v>2511974.1579365078</v>
      </c>
      <c r="D22" s="90">
        <f>C22/C19-1</f>
        <v>3.0716263844099201E-2</v>
      </c>
      <c r="E22" s="90">
        <f>C22/C10-1</f>
        <v>-0.10648337205000014</v>
      </c>
      <c r="F22" s="78">
        <f>Q22/21</f>
        <v>2585607.3333333335</v>
      </c>
      <c r="G22" s="90">
        <f t="shared" si="2"/>
        <v>4.3100445602895388E-2</v>
      </c>
      <c r="H22" s="90">
        <f t="shared" si="3"/>
        <v>-5.8637029647086614E-2</v>
      </c>
      <c r="I22" s="130" t="e">
        <f t="shared" si="0"/>
        <v>#DIV/0!</v>
      </c>
      <c r="J22" s="130" t="e">
        <f t="shared" si="4"/>
        <v>#DIV/0!</v>
      </c>
      <c r="K22" s="85">
        <f>Q20+Q21+Q22</f>
        <v>155782828</v>
      </c>
      <c r="L22" s="102">
        <f>K22/K19-1</f>
        <v>3.0199180614365551E-2</v>
      </c>
      <c r="M22" s="87" t="e">
        <f>U22/U10-1</f>
        <v>#DIV/0!</v>
      </c>
      <c r="N22" s="88" t="e">
        <f>AVERAGE(T20:T22)</f>
        <v>#DIV/0!</v>
      </c>
      <c r="O22" s="89" t="e">
        <f>N22/N19-1</f>
        <v>#DIV/0!</v>
      </c>
      <c r="P22" s="129" t="s">
        <v>155</v>
      </c>
      <c r="Q22" s="116">
        <v>54297754</v>
      </c>
      <c r="R22" s="116"/>
      <c r="S22" s="116"/>
      <c r="T22" s="130" t="e">
        <f t="shared" si="1"/>
        <v>#DIV/0!</v>
      </c>
      <c r="U22" s="78">
        <f>S22/22</f>
        <v>0</v>
      </c>
    </row>
    <row r="23" spans="1:26" hidden="1">
      <c r="A23" s="129" t="s">
        <v>189</v>
      </c>
      <c r="B23" s="131"/>
      <c r="C23" s="131"/>
      <c r="F23" s="78">
        <f>Q23/21</f>
        <v>2402751.2380952379</v>
      </c>
      <c r="G23" s="90">
        <f t="shared" si="2"/>
        <v>-7.0720752095933981E-2</v>
      </c>
      <c r="H23" s="90">
        <f t="shared" si="3"/>
        <v>-0.16241218261600343</v>
      </c>
      <c r="I23" s="130" t="e">
        <f t="shared" si="0"/>
        <v>#DIV/0!</v>
      </c>
      <c r="J23" s="130" t="e">
        <f t="shared" si="4"/>
        <v>#DIV/0!</v>
      </c>
      <c r="O23" s="89"/>
      <c r="P23" s="129" t="s">
        <v>189</v>
      </c>
      <c r="Q23" s="116">
        <v>50457776</v>
      </c>
      <c r="R23" s="116"/>
      <c r="S23" s="116"/>
      <c r="T23" s="130" t="e">
        <f t="shared" si="1"/>
        <v>#DIV/0!</v>
      </c>
      <c r="U23" s="78">
        <f>S23/21</f>
        <v>0</v>
      </c>
    </row>
    <row r="24" spans="1:26" hidden="1">
      <c r="A24" s="129" t="s">
        <v>204</v>
      </c>
      <c r="B24" s="131"/>
      <c r="C24" s="131"/>
      <c r="F24" s="78">
        <f>Q24/22</f>
        <v>2363367</v>
      </c>
      <c r="G24" s="90">
        <f t="shared" si="2"/>
        <v>-1.6391309042237512E-2</v>
      </c>
      <c r="H24" s="90">
        <f t="shared" si="3"/>
        <v>-8.1473343349948157E-2</v>
      </c>
      <c r="I24" s="130" t="e">
        <f t="shared" si="0"/>
        <v>#DIV/0!</v>
      </c>
      <c r="J24" s="130" t="e">
        <f t="shared" si="4"/>
        <v>#DIV/0!</v>
      </c>
      <c r="O24" s="89"/>
      <c r="P24" s="129" t="s">
        <v>204</v>
      </c>
      <c r="Q24" s="116">
        <v>51994074</v>
      </c>
      <c r="R24" s="116"/>
      <c r="S24" s="116"/>
      <c r="T24" s="130" t="e">
        <f t="shared" si="1"/>
        <v>#DIV/0!</v>
      </c>
      <c r="U24" s="78">
        <f>S24/22</f>
        <v>0</v>
      </c>
    </row>
    <row r="25" spans="1:26" ht="13.2" hidden="1">
      <c r="A25" s="129" t="s">
        <v>217</v>
      </c>
      <c r="B25" s="131">
        <f>SUM(F23:F25)</f>
        <v>7642470.395989975</v>
      </c>
      <c r="C25" s="131">
        <f>AVERAGE(F23:F25)</f>
        <v>2547490.1319966582</v>
      </c>
      <c r="D25" s="90">
        <f>C25/C22-1</f>
        <v>1.413867015627468E-2</v>
      </c>
      <c r="E25" s="90">
        <f>C25/C13-1</f>
        <v>-7.9272420054115278E-2</v>
      </c>
      <c r="F25" s="78">
        <f>Q25/19</f>
        <v>2876352.1578947366</v>
      </c>
      <c r="G25" s="90">
        <f t="shared" si="2"/>
        <v>0.21705691832658092</v>
      </c>
      <c r="H25" s="90">
        <f t="shared" si="3"/>
        <v>6.134415096722412E-3</v>
      </c>
      <c r="I25" s="130" t="e">
        <f t="shared" si="0"/>
        <v>#DIV/0!</v>
      </c>
      <c r="J25" s="130" t="e">
        <f t="shared" si="4"/>
        <v>#DIV/0!</v>
      </c>
      <c r="K25" s="85">
        <f>Q23+Q24+Q25</f>
        <v>157102541</v>
      </c>
      <c r="L25" s="102">
        <f>K25/K22-1</f>
        <v>8.4714921210700123E-3</v>
      </c>
      <c r="M25" s="90" t="e">
        <f>U25/U13-1</f>
        <v>#DIV/0!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>
        <v>54650691</v>
      </c>
      <c r="R25" s="116"/>
      <c r="S25" s="116"/>
      <c r="T25" s="130" t="e">
        <f t="shared" si="1"/>
        <v>#DIV/0!</v>
      </c>
      <c r="U25" s="78">
        <f>S25/22</f>
        <v>0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132"/>
      <c r="F26" s="78">
        <f>Q26/19</f>
        <v>2894207.8947368423</v>
      </c>
      <c r="G26" s="90">
        <f t="shared" si="2"/>
        <v>6.2077714625787817E-3</v>
      </c>
      <c r="H26" s="90">
        <f t="shared" si="3"/>
        <v>0.10406760358047817</v>
      </c>
      <c r="I26" s="130" t="e">
        <f t="shared" si="0"/>
        <v>#DIV/0!</v>
      </c>
      <c r="J26" s="130" t="e">
        <f t="shared" si="4"/>
        <v>#DIV/0!</v>
      </c>
      <c r="K26" s="78"/>
      <c r="L26" s="90"/>
      <c r="M26" s="90"/>
      <c r="P26" s="129" t="s">
        <v>312</v>
      </c>
      <c r="Q26" s="116">
        <v>54989950</v>
      </c>
      <c r="R26" s="116"/>
      <c r="S26" s="116"/>
      <c r="T26" s="130" t="e">
        <f t="shared" si="1"/>
        <v>#DIV/0!</v>
      </c>
      <c r="U26" s="122">
        <f>S26/19</f>
        <v>0</v>
      </c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132"/>
      <c r="F27" s="78">
        <f>Q27/22</f>
        <v>2525504.0909090908</v>
      </c>
      <c r="G27" s="90">
        <f t="shared" si="2"/>
        <v>-0.12739368325898237</v>
      </c>
      <c r="H27" s="90">
        <f t="shared" si="3"/>
        <v>7.319102241942077E-2</v>
      </c>
      <c r="I27" s="130" t="e">
        <f t="shared" si="0"/>
        <v>#DIV/0!</v>
      </c>
      <c r="J27" s="130" t="e">
        <f t="shared" si="4"/>
        <v>#DIV/0!</v>
      </c>
      <c r="K27" s="78"/>
      <c r="L27" s="90"/>
      <c r="M27" s="90"/>
      <c r="P27" s="129" t="s">
        <v>373</v>
      </c>
      <c r="Q27" s="116">
        <v>55561090</v>
      </c>
      <c r="R27" s="116"/>
      <c r="S27" s="116"/>
      <c r="T27" s="130" t="e">
        <f t="shared" si="1"/>
        <v>#DIV/0!</v>
      </c>
      <c r="U27" s="122">
        <f>S27/22</f>
        <v>0</v>
      </c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8449880.0382775124</v>
      </c>
      <c r="C28" s="131">
        <f>AVERAGE(F26:F28)</f>
        <v>2816626.6794258375</v>
      </c>
      <c r="D28" s="90">
        <f>C28/C25-1</f>
        <v>0.10564772913103959</v>
      </c>
      <c r="E28" s="90">
        <f>C28/C16-1</f>
        <v>0.13150983997084964</v>
      </c>
      <c r="F28" s="78">
        <f>Q28/19</f>
        <v>3030168.0526315789</v>
      </c>
      <c r="G28" s="90">
        <f t="shared" si="2"/>
        <v>0.19982702207416625</v>
      </c>
      <c r="H28" s="90">
        <f t="shared" si="3"/>
        <v>0.21541145882918533</v>
      </c>
      <c r="I28" s="130" t="e">
        <f t="shared" si="0"/>
        <v>#DIV/0!</v>
      </c>
      <c r="J28" s="130" t="e">
        <f t="shared" si="4"/>
        <v>#DIV/0!</v>
      </c>
      <c r="K28" s="85">
        <f>Q26+Q27+Q28</f>
        <v>168124233</v>
      </c>
      <c r="L28" s="102">
        <f>K28/K25-1</f>
        <v>7.0156039042041929E-2</v>
      </c>
      <c r="M28" s="90" t="e">
        <f>U28/U16-1</f>
        <v>#DIV/0!</v>
      </c>
      <c r="N28" s="88" t="e">
        <f>AVERAGE(T26:T28)</f>
        <v>#DIV/0!</v>
      </c>
      <c r="O28" s="91" t="e">
        <f>N28/N25-1</f>
        <v>#DIV/0!</v>
      </c>
      <c r="P28" s="129" t="s">
        <v>413</v>
      </c>
      <c r="Q28" s="116">
        <v>57573193</v>
      </c>
      <c r="R28" s="116"/>
      <c r="S28" s="116"/>
      <c r="T28" s="130" t="e">
        <f t="shared" si="1"/>
        <v>#DIV/0!</v>
      </c>
      <c r="U28" s="122">
        <f>S28/19</f>
        <v>0</v>
      </c>
      <c r="V28" s="79"/>
      <c r="W28" s="79"/>
      <c r="X28" s="79"/>
      <c r="Y28" s="79"/>
      <c r="Z28" s="79"/>
    </row>
    <row r="29" spans="1:26" ht="13.2">
      <c r="A29" s="129" t="s">
        <v>426</v>
      </c>
      <c r="B29" s="188"/>
      <c r="C29" s="188"/>
      <c r="D29" s="189"/>
      <c r="E29" s="189"/>
      <c r="F29" s="136">
        <f>Q29/22</f>
        <v>2486810.1363636362</v>
      </c>
      <c r="G29" s="190">
        <f t="shared" si="2"/>
        <v>-0.17931609957938077</v>
      </c>
      <c r="H29" s="190">
        <f t="shared" si="3"/>
        <v>7.3308597456269942E-2</v>
      </c>
      <c r="I29" s="130" t="e">
        <f t="shared" si="0"/>
        <v>#DIV/0!</v>
      </c>
      <c r="J29" s="130" t="e">
        <f t="shared" si="4"/>
        <v>#DIV/0!</v>
      </c>
      <c r="K29" s="136"/>
      <c r="L29" s="190"/>
      <c r="M29" s="190"/>
      <c r="N29" s="191"/>
      <c r="O29" s="192"/>
      <c r="P29" s="129" t="s">
        <v>426</v>
      </c>
      <c r="Q29" s="116">
        <v>54709823</v>
      </c>
      <c r="R29" s="116"/>
      <c r="S29" s="116"/>
      <c r="T29" s="130" t="e">
        <f t="shared" si="1"/>
        <v>#DIV/0!</v>
      </c>
      <c r="U29" s="122">
        <f>S29/22</f>
        <v>0</v>
      </c>
      <c r="V29" s="79"/>
      <c r="W29" s="79"/>
      <c r="X29" s="79"/>
      <c r="Y29" s="79"/>
      <c r="Z29" s="79"/>
    </row>
    <row r="30" spans="1:26" ht="13.2">
      <c r="A30" s="129" t="s">
        <v>466</v>
      </c>
      <c r="B30" s="188"/>
      <c r="C30" s="188"/>
      <c r="D30" s="189"/>
      <c r="E30" s="189"/>
      <c r="F30" s="136">
        <f>Q30/19</f>
        <v>2740862.6315789474</v>
      </c>
      <c r="G30" s="190">
        <f t="shared" si="2"/>
        <v>0.10215998861368725</v>
      </c>
      <c r="H30" s="190">
        <f t="shared" si="3"/>
        <v>9.6463624207900889E-2</v>
      </c>
      <c r="I30" s="130" t="e">
        <f t="shared" si="0"/>
        <v>#DIV/0!</v>
      </c>
      <c r="J30" s="130" t="e">
        <f t="shared" si="4"/>
        <v>#DIV/0!</v>
      </c>
      <c r="K30" s="136"/>
      <c r="L30" s="190"/>
      <c r="M30" s="190"/>
      <c r="N30" s="191"/>
      <c r="O30" s="192"/>
      <c r="P30" s="129" t="s">
        <v>466</v>
      </c>
      <c r="Q30" s="116">
        <v>52076390</v>
      </c>
      <c r="R30" s="116"/>
      <c r="S30" s="116"/>
      <c r="T30" s="130" t="e">
        <f t="shared" si="1"/>
        <v>#DIV/0!</v>
      </c>
      <c r="U30" s="122">
        <f>S30/19</f>
        <v>0</v>
      </c>
      <c r="V30" s="79"/>
      <c r="W30" s="79"/>
      <c r="X30" s="79"/>
      <c r="Y30" s="79"/>
      <c r="Z30" s="79"/>
    </row>
    <row r="31" spans="1:26" ht="13.2">
      <c r="A31" s="129" t="s">
        <v>505</v>
      </c>
      <c r="B31" s="188">
        <f>SUM(F29:F31)</f>
        <v>8053588.2179425834</v>
      </c>
      <c r="C31" s="188">
        <f>AVERAGE(F29:F31)</f>
        <v>2684529.4059808613</v>
      </c>
      <c r="D31" s="190">
        <f>C31/C28-1</f>
        <v>-4.6899106086683795E-2</v>
      </c>
      <c r="E31" s="190">
        <f>C31/C19-1</f>
        <v>0.10151934118032058</v>
      </c>
      <c r="F31" s="136">
        <f>Q31/20</f>
        <v>2825915.45</v>
      </c>
      <c r="G31" s="190">
        <f t="shared" si="2"/>
        <v>3.103140501866597E-2</v>
      </c>
      <c r="H31" s="190">
        <f t="shared" si="3"/>
        <v>0.1327865535386481</v>
      </c>
      <c r="I31" s="130" t="e">
        <f t="shared" si="0"/>
        <v>#DIV/0!</v>
      </c>
      <c r="J31" s="130" t="e">
        <f t="shared" si="4"/>
        <v>#DIV/0!</v>
      </c>
      <c r="K31" s="136">
        <f>Q29+Q30+Q31</f>
        <v>163304522</v>
      </c>
      <c r="L31" s="190">
        <f>K31/K28-1</f>
        <v>-2.8667556806043493E-2</v>
      </c>
      <c r="M31" s="190" t="e">
        <f>U31/U19-1</f>
        <v>#DIV/0!</v>
      </c>
      <c r="N31" s="191" t="e">
        <f>AVERAGE(T29:T31)</f>
        <v>#DIV/0!</v>
      </c>
      <c r="O31" s="192" t="e">
        <f>N31/N28-1</f>
        <v>#DIV/0!</v>
      </c>
      <c r="P31" s="129" t="s">
        <v>505</v>
      </c>
      <c r="Q31" s="116">
        <v>56518309</v>
      </c>
      <c r="R31" s="116"/>
      <c r="S31" s="116"/>
      <c r="T31" s="130" t="e">
        <f t="shared" si="1"/>
        <v>#DIV/0!</v>
      </c>
      <c r="U31" s="122">
        <f>S31/20</f>
        <v>0</v>
      </c>
      <c r="V31" s="79"/>
      <c r="W31" s="79"/>
      <c r="X31" s="79"/>
      <c r="Y31" s="79"/>
      <c r="Z31" s="79"/>
    </row>
    <row r="32" spans="1:26" ht="13.2">
      <c r="A32" s="129" t="s">
        <v>561</v>
      </c>
      <c r="B32" s="188"/>
      <c r="C32" s="188"/>
      <c r="D32" s="190"/>
      <c r="E32" s="190"/>
      <c r="F32" s="136">
        <f>Q32/21</f>
        <v>2673728.5238095238</v>
      </c>
      <c r="G32" s="190">
        <f t="shared" si="2"/>
        <v>-5.3854026733346272E-2</v>
      </c>
      <c r="H32" s="190">
        <f t="shared" si="3"/>
        <v>8.1804968027990643E-2</v>
      </c>
      <c r="I32" s="130" t="e">
        <f t="shared" si="0"/>
        <v>#DIV/0!</v>
      </c>
      <c r="J32" s="130" t="e">
        <f t="shared" si="4"/>
        <v>#DIV/0!</v>
      </c>
      <c r="K32" s="136"/>
      <c r="L32" s="190"/>
      <c r="M32" s="190"/>
      <c r="N32" s="191"/>
      <c r="O32" s="192"/>
      <c r="P32" s="129" t="s">
        <v>561</v>
      </c>
      <c r="Q32" s="116">
        <v>56148299</v>
      </c>
      <c r="R32" s="116"/>
      <c r="S32" s="116"/>
      <c r="T32" s="130" t="e">
        <f t="shared" si="1"/>
        <v>#DIV/0!</v>
      </c>
      <c r="U32" s="122">
        <f>S32/21</f>
        <v>0</v>
      </c>
      <c r="V32" s="79"/>
      <c r="W32" s="79"/>
      <c r="X32" s="79"/>
      <c r="Y32" s="79"/>
      <c r="Z32" s="79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2762883.6666666665</v>
      </c>
      <c r="G33" s="190">
        <f t="shared" si="2"/>
        <v>3.3344874793090229E-2</v>
      </c>
      <c r="H33" s="190">
        <f t="shared" si="3"/>
        <v>0.11461827428125626</v>
      </c>
      <c r="I33" s="130" t="e">
        <f t="shared" si="0"/>
        <v>#DIV/0!</v>
      </c>
      <c r="J33" s="130" t="e">
        <f t="shared" si="4"/>
        <v>#DIV/0!</v>
      </c>
      <c r="K33" s="136"/>
      <c r="L33" s="190"/>
      <c r="M33" s="190"/>
      <c r="N33" s="191"/>
      <c r="O33" s="192"/>
      <c r="P33" s="129" t="s">
        <v>606</v>
      </c>
      <c r="Q33" s="116">
        <v>58020557</v>
      </c>
      <c r="R33" s="116"/>
      <c r="S33" s="116"/>
      <c r="T33" s="130" t="e">
        <f t="shared" si="1"/>
        <v>#DIV/0!</v>
      </c>
      <c r="U33" s="122">
        <f>S33/21</f>
        <v>0</v>
      </c>
    </row>
    <row r="34" spans="1:21" s="79" customFormat="1" ht="13.2">
      <c r="A34" s="129" t="s">
        <v>652</v>
      </c>
      <c r="B34" s="188">
        <f>SUM(F32:F34)</f>
        <v>8454592.9273182955</v>
      </c>
      <c r="C34" s="188">
        <f>AVERAGE(F32:F34)</f>
        <v>2818197.642439432</v>
      </c>
      <c r="D34" s="190">
        <f>C34/C31-1</f>
        <v>4.9792055233506272E-2</v>
      </c>
      <c r="E34" s="190">
        <f>C34/C22-1</f>
        <v>0.12190550748120565</v>
      </c>
      <c r="F34" s="136">
        <f>Q34/19</f>
        <v>3017980.7368421052</v>
      </c>
      <c r="G34" s="190">
        <f t="shared" si="2"/>
        <v>9.2330007684762627E-2</v>
      </c>
      <c r="H34" s="190">
        <f t="shared" si="3"/>
        <v>0.16722315021877709</v>
      </c>
      <c r="I34" s="130" t="e">
        <f t="shared" si="0"/>
        <v>#DIV/0!</v>
      </c>
      <c r="J34" s="130" t="e">
        <f t="shared" si="4"/>
        <v>#DIV/0!</v>
      </c>
      <c r="K34" s="136">
        <f>Q32+Q33+Q34</f>
        <v>171510490</v>
      </c>
      <c r="L34" s="190">
        <f>K34/K31-1</f>
        <v>5.0249484212078421E-2</v>
      </c>
      <c r="M34" s="190" t="e">
        <f>U34/U22-1</f>
        <v>#DIV/0!</v>
      </c>
      <c r="N34" s="191" t="e">
        <f>AVERAGE(T32:T34)</f>
        <v>#DIV/0!</v>
      </c>
      <c r="O34" s="192" t="e">
        <f>N34/N31-1</f>
        <v>#DIV/0!</v>
      </c>
      <c r="P34" s="129" t="s">
        <v>652</v>
      </c>
      <c r="Q34" s="116">
        <v>57341634</v>
      </c>
      <c r="R34" s="116"/>
      <c r="S34" s="116"/>
      <c r="T34" s="130" t="e">
        <f t="shared" si="1"/>
        <v>#DIV/0!</v>
      </c>
      <c r="U34" s="122">
        <f>S34/19</f>
        <v>0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2498208.1739130435</v>
      </c>
      <c r="G35" s="190">
        <f t="shared" si="2"/>
        <v>-0.17222527519275388</v>
      </c>
      <c r="H35" s="190">
        <f t="shared" si="3"/>
        <v>3.972818088878749E-2</v>
      </c>
      <c r="I35" s="130" t="e">
        <f t="shared" si="0"/>
        <v>#DIV/0!</v>
      </c>
      <c r="J35" s="130" t="e">
        <f t="shared" si="4"/>
        <v>#DIV/0!</v>
      </c>
      <c r="K35" s="136"/>
      <c r="L35" s="190"/>
      <c r="M35" s="190"/>
      <c r="N35" s="191"/>
      <c r="O35" s="192"/>
      <c r="P35" s="129" t="s">
        <v>659</v>
      </c>
      <c r="Q35" s="116">
        <v>57458788</v>
      </c>
      <c r="R35" s="116"/>
      <c r="S35" s="116"/>
      <c r="T35" s="130" t="e">
        <f t="shared" si="1"/>
        <v>#DIV/0!</v>
      </c>
      <c r="U35" s="122">
        <f>S35/23</f>
        <v>0</v>
      </c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2744901.1428571427</v>
      </c>
      <c r="G36" s="190">
        <f t="shared" si="2"/>
        <v>9.8747963248272619E-2</v>
      </c>
      <c r="H36" s="190">
        <f t="shared" si="3"/>
        <v>0.16143668878220896</v>
      </c>
      <c r="I36" s="130" t="e">
        <f t="shared" si="0"/>
        <v>#DIV/0!</v>
      </c>
      <c r="J36" s="130" t="e">
        <f t="shared" si="4"/>
        <v>#DIV/0!</v>
      </c>
      <c r="K36" s="136"/>
      <c r="L36" s="190"/>
      <c r="M36" s="190"/>
      <c r="N36" s="191"/>
      <c r="O36" s="192"/>
      <c r="P36" s="129" t="s">
        <v>664</v>
      </c>
      <c r="Q36" s="116">
        <v>57642924</v>
      </c>
      <c r="R36" s="116"/>
      <c r="S36" s="116"/>
      <c r="T36" s="130" t="e">
        <f t="shared" si="1"/>
        <v>#DIV/0!</v>
      </c>
      <c r="U36" s="122">
        <f>S36/21</f>
        <v>0</v>
      </c>
    </row>
    <row r="37" spans="1:21" s="79" customFormat="1" ht="13.2">
      <c r="A37" s="129" t="s">
        <v>702</v>
      </c>
      <c r="B37" s="188">
        <f>SUM(F35:F37)</f>
        <v>8495592.2612146307</v>
      </c>
      <c r="C37" s="188">
        <f>AVERAGE(F35:F37)</f>
        <v>2831864.0870715436</v>
      </c>
      <c r="D37" s="190">
        <f>C37/C34-1</f>
        <v>4.8493563497136183E-3</v>
      </c>
      <c r="E37" s="190">
        <f>C37/C25-1</f>
        <v>0.11162907031635894</v>
      </c>
      <c r="F37" s="136">
        <f>Q37/18</f>
        <v>3252482.9444444445</v>
      </c>
      <c r="G37" s="190">
        <f t="shared" si="2"/>
        <v>0.18491806268074362</v>
      </c>
      <c r="H37" s="190">
        <f t="shared" si="3"/>
        <v>0.13076659807365387</v>
      </c>
      <c r="I37" s="130" t="e">
        <f t="shared" si="0"/>
        <v>#DIV/0!</v>
      </c>
      <c r="J37" s="130" t="e">
        <f t="shared" si="4"/>
        <v>#DIV/0!</v>
      </c>
      <c r="K37" s="136">
        <f>Q35+Q36+Q37</f>
        <v>173646405</v>
      </c>
      <c r="L37" s="190">
        <f>K37/K34-1</f>
        <v>1.2453553132522721E-2</v>
      </c>
      <c r="M37" s="190" t="e">
        <f>U37/U25-1</f>
        <v>#DIV/0!</v>
      </c>
      <c r="N37" s="191" t="e">
        <f>AVERAGE(T35:T37)</f>
        <v>#DIV/0!</v>
      </c>
      <c r="O37" s="192" t="e">
        <f>N37/N34-1</f>
        <v>#DIV/0!</v>
      </c>
      <c r="P37" s="129" t="s">
        <v>702</v>
      </c>
      <c r="Q37" s="116">
        <v>58544693</v>
      </c>
      <c r="R37" s="116"/>
      <c r="S37" s="116"/>
      <c r="T37" s="130" t="e">
        <f t="shared" si="1"/>
        <v>#DIV/0!</v>
      </c>
      <c r="U37" s="122">
        <f>S37/18</f>
        <v>0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2875009.6</v>
      </c>
      <c r="G38" s="190">
        <f t="shared" si="2"/>
        <v>-0.1160569788964475</v>
      </c>
      <c r="H38" s="190">
        <f t="shared" si="3"/>
        <v>-6.6333502758231244E-3</v>
      </c>
      <c r="I38" s="130" t="e">
        <f t="shared" si="0"/>
        <v>#DIV/0!</v>
      </c>
      <c r="J38" s="130" t="e">
        <f t="shared" si="4"/>
        <v>#DIV/0!</v>
      </c>
      <c r="K38" s="136"/>
      <c r="L38" s="190"/>
      <c r="M38" s="190"/>
      <c r="N38" s="191"/>
      <c r="O38" s="192"/>
      <c r="P38" s="129" t="s">
        <v>725</v>
      </c>
      <c r="Q38" s="116">
        <v>57500192</v>
      </c>
      <c r="R38" s="116"/>
      <c r="S38" s="116"/>
      <c r="T38" s="130" t="e">
        <f t="shared" si="1"/>
        <v>#DIV/0!</v>
      </c>
      <c r="U38" s="122">
        <f>S38/20</f>
        <v>0</v>
      </c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2680410.9047619049</v>
      </c>
      <c r="G39" s="190">
        <f t="shared" si="2"/>
        <v>-6.7686276678204926E-2</v>
      </c>
      <c r="H39" s="190">
        <f t="shared" si="3"/>
        <v>6.1336987894980322E-2</v>
      </c>
      <c r="I39" s="130" t="e">
        <f t="shared" si="0"/>
        <v>#DIV/0!</v>
      </c>
      <c r="J39" s="130" t="e">
        <f t="shared" si="4"/>
        <v>#DIV/0!</v>
      </c>
      <c r="K39" s="136"/>
      <c r="L39" s="190"/>
      <c r="M39" s="190"/>
      <c r="N39" s="191"/>
      <c r="O39" s="192"/>
      <c r="P39" s="129" t="s">
        <v>762</v>
      </c>
      <c r="Q39" s="116">
        <v>56288629</v>
      </c>
      <c r="R39" s="116"/>
      <c r="S39" s="116"/>
      <c r="T39" s="130" t="e">
        <f t="shared" si="1"/>
        <v>#DIV/0!</v>
      </c>
      <c r="U39" s="122">
        <f>S39/21</f>
        <v>0</v>
      </c>
    </row>
    <row r="40" spans="1:21" s="79" customFormat="1" ht="13.2">
      <c r="A40" s="129" t="s">
        <v>777</v>
      </c>
      <c r="B40" s="188">
        <f>SUM(F38:F40)</f>
        <v>8477289.552380953</v>
      </c>
      <c r="C40" s="188">
        <f>AVERAGE(F38:F40)</f>
        <v>2825763.1841269843</v>
      </c>
      <c r="D40" s="190">
        <f>C40/C37-1</f>
        <v>-2.154377031161947E-3</v>
      </c>
      <c r="E40" s="190">
        <f>C40/C28-1</f>
        <v>3.2437755304544069E-3</v>
      </c>
      <c r="F40" s="136">
        <f>Q40/21</f>
        <v>2921869.0476190476</v>
      </c>
      <c r="G40" s="190">
        <f t="shared" si="2"/>
        <v>9.0082510270413474E-2</v>
      </c>
      <c r="H40" s="190">
        <f t="shared" si="3"/>
        <v>-3.574026361953031E-2</v>
      </c>
      <c r="I40" s="130" t="e">
        <f t="shared" si="0"/>
        <v>#DIV/0!</v>
      </c>
      <c r="J40" s="130" t="e">
        <f t="shared" si="4"/>
        <v>#DIV/0!</v>
      </c>
      <c r="K40" s="136">
        <f>Q38+Q39+Q40</f>
        <v>175148071</v>
      </c>
      <c r="L40" s="190">
        <f>K40/K37-1</f>
        <v>8.6478381167753859E-3</v>
      </c>
      <c r="M40" s="190" t="e">
        <f>U40/U28-1</f>
        <v>#DIV/0!</v>
      </c>
      <c r="N40" s="191" t="e">
        <f>AVERAGE(T38:T40)</f>
        <v>#DIV/0!</v>
      </c>
      <c r="O40" s="192" t="e">
        <f>N40/N37-1</f>
        <v>#DIV/0!</v>
      </c>
      <c r="P40" s="129" t="s">
        <v>777</v>
      </c>
      <c r="Q40" s="116">
        <v>61359250</v>
      </c>
      <c r="R40" s="116"/>
      <c r="S40" s="116"/>
      <c r="T40" s="130" t="e">
        <f t="shared" si="1"/>
        <v>#DIV/0!</v>
      </c>
      <c r="U40" s="122">
        <f>S40/21</f>
        <v>0</v>
      </c>
    </row>
    <row r="41" spans="1:21" s="79" customFormat="1" ht="13.2">
      <c r="A41" s="129" t="s">
        <v>787</v>
      </c>
      <c r="B41" s="193"/>
      <c r="C41" s="194"/>
      <c r="D41" s="195"/>
      <c r="E41" s="195"/>
      <c r="F41" s="136">
        <f>Q41/18</f>
        <v>2732418.277777778</v>
      </c>
      <c r="G41" s="190">
        <f t="shared" si="2"/>
        <v>-6.4838898237293718E-2</v>
      </c>
      <c r="H41" s="190">
        <f t="shared" si="3"/>
        <v>9.8764331793051552E-2</v>
      </c>
      <c r="I41" s="130" t="e">
        <f t="shared" si="0"/>
        <v>#DIV/0!</v>
      </c>
      <c r="J41" s="130" t="e">
        <f t="shared" si="4"/>
        <v>#DIV/0!</v>
      </c>
      <c r="K41" s="136"/>
      <c r="L41" s="190"/>
      <c r="M41" s="190"/>
      <c r="N41" s="193"/>
      <c r="O41" s="193"/>
      <c r="P41" s="129" t="s">
        <v>787</v>
      </c>
      <c r="Q41" s="116">
        <v>49183529</v>
      </c>
      <c r="R41" s="116"/>
      <c r="S41" s="116"/>
      <c r="T41" s="130" t="e">
        <f t="shared" si="1"/>
        <v>#DIV/0!</v>
      </c>
      <c r="U41" s="122">
        <f>S41/18</f>
        <v>0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2614710.25</v>
      </c>
      <c r="G42" s="190">
        <f t="shared" si="2"/>
        <v>-4.3078334212252267E-2</v>
      </c>
      <c r="H42" s="190">
        <f t="shared" si="3"/>
        <v>-4.6026524688059234E-2</v>
      </c>
      <c r="I42" s="130" t="e">
        <f t="shared" si="0"/>
        <v>#DIV/0!</v>
      </c>
      <c r="J42" s="130" t="e">
        <f t="shared" si="4"/>
        <v>#DIV/0!</v>
      </c>
      <c r="K42" s="136"/>
      <c r="L42" s="190"/>
      <c r="M42" s="190"/>
      <c r="N42" s="193"/>
      <c r="O42" s="193"/>
      <c r="P42" s="129" t="s">
        <v>826</v>
      </c>
      <c r="Q42" s="116">
        <v>52294205</v>
      </c>
      <c r="R42" s="116"/>
      <c r="S42" s="116"/>
      <c r="T42" s="130" t="e">
        <f t="shared" si="1"/>
        <v>#DIV/0!</v>
      </c>
      <c r="U42" s="122">
        <f>S42/20</f>
        <v>0</v>
      </c>
    </row>
    <row r="43" spans="1:21" s="79" customFormat="1" ht="13.2">
      <c r="A43" s="129" t="s">
        <v>834</v>
      </c>
      <c r="B43" s="188">
        <f>SUM(F41:F43)</f>
        <v>8250256.6777777784</v>
      </c>
      <c r="C43" s="188">
        <f>AVERAGE(F41:F43)</f>
        <v>2750085.5592592596</v>
      </c>
      <c r="D43" s="190">
        <f>C43/C40-1</f>
        <v>-2.6781304708343834E-2</v>
      </c>
      <c r="E43" s="190">
        <f>C43/C31-1</f>
        <v>2.4419979580907469E-2</v>
      </c>
      <c r="F43" s="136">
        <f>Q43/20</f>
        <v>2903128.15</v>
      </c>
      <c r="G43" s="190">
        <f t="shared" si="2"/>
        <v>0.11030587423596927</v>
      </c>
      <c r="H43" s="190">
        <f t="shared" si="3"/>
        <v>2.7323075076432168E-2</v>
      </c>
      <c r="I43" s="130" t="e">
        <f t="shared" si="0"/>
        <v>#DIV/0!</v>
      </c>
      <c r="J43" s="130" t="e">
        <f t="shared" si="4"/>
        <v>#DIV/0!</v>
      </c>
      <c r="K43" s="136">
        <f>Q41+Q42+Q43</f>
        <v>159540297</v>
      </c>
      <c r="L43" s="190">
        <f>K43/K40-1</f>
        <v>-8.9111880655539766E-2</v>
      </c>
      <c r="M43" s="190" t="e">
        <f>U43/U31-1</f>
        <v>#DIV/0!</v>
      </c>
      <c r="N43" s="191" t="e">
        <f>AVERAGE(T41:T43)</f>
        <v>#DIV/0!</v>
      </c>
      <c r="O43" s="192" t="e">
        <f>N43/N40-1</f>
        <v>#DIV/0!</v>
      </c>
      <c r="P43" s="129" t="s">
        <v>834</v>
      </c>
      <c r="Q43" s="116">
        <v>58062563</v>
      </c>
      <c r="R43" s="116"/>
      <c r="S43" s="116"/>
      <c r="T43" s="130" t="e">
        <f t="shared" si="1"/>
        <v>#DIV/0!</v>
      </c>
      <c r="U43" s="122">
        <f>S43/20</f>
        <v>0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2638257</v>
      </c>
      <c r="G44" s="190">
        <f t="shared" si="2"/>
        <v>-9.1236465052360827E-2</v>
      </c>
      <c r="H44" s="190">
        <f t="shared" si="3"/>
        <v>-1.3266688631119572E-2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838</v>
      </c>
      <c r="Q44" s="116">
        <v>58041654</v>
      </c>
      <c r="R44" s="116"/>
      <c r="S44" s="116"/>
      <c r="T44" s="130" t="e">
        <f t="shared" si="1"/>
        <v>#DIV/0!</v>
      </c>
      <c r="U44" s="122">
        <f>S44/22</f>
        <v>0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2862985</v>
      </c>
      <c r="G45" s="190">
        <f t="shared" si="2"/>
        <v>8.5180480900837185E-2</v>
      </c>
      <c r="H45" s="190">
        <f t="shared" si="3"/>
        <v>3.6230744906499357E-2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847</v>
      </c>
      <c r="Q45" s="116">
        <v>57259700</v>
      </c>
      <c r="R45" s="116"/>
      <c r="S45" s="116"/>
      <c r="T45" s="130" t="e">
        <f t="shared" si="1"/>
        <v>#DIV/0!</v>
      </c>
      <c r="U45" s="122">
        <f>S45/20</f>
        <v>0</v>
      </c>
    </row>
    <row r="46" spans="1:21" s="79" customFormat="1" ht="13.2">
      <c r="A46" s="129" t="s">
        <v>888</v>
      </c>
      <c r="B46" s="188">
        <f>SUM(F44:F46)</f>
        <v>8650190.6842105258</v>
      </c>
      <c r="C46" s="188">
        <f>AVERAGE(F44:F46)</f>
        <v>2883396.8947368418</v>
      </c>
      <c r="D46" s="190">
        <f>C46/C43-1</f>
        <v>4.8475341077566236E-2</v>
      </c>
      <c r="E46" s="190">
        <f>C46/C34-1</f>
        <v>2.313508865225411E-2</v>
      </c>
      <c r="F46" s="136">
        <f>Q46/19</f>
        <v>3148948.6842105263</v>
      </c>
      <c r="G46" s="190">
        <f t="shared" si="2"/>
        <v>9.9883053599835847E-2</v>
      </c>
      <c r="H46" s="190">
        <f t="shared" si="3"/>
        <v>4.3395885788674926E-2</v>
      </c>
      <c r="I46" s="130" t="e">
        <f t="shared" si="0"/>
        <v>#DIV/0!</v>
      </c>
      <c r="J46" s="130" t="e">
        <f t="shared" si="4"/>
        <v>#DIV/0!</v>
      </c>
      <c r="K46" s="136">
        <f>Q44+Q45+Q46</f>
        <v>175131379</v>
      </c>
      <c r="L46" s="190">
        <f>K46/K43-1</f>
        <v>9.7725040589588419E-2</v>
      </c>
      <c r="M46" s="190" t="e">
        <f>U46/U34-1</f>
        <v>#DIV/0!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>
        <v>59830025</v>
      </c>
      <c r="R46" s="116"/>
      <c r="S46" s="116"/>
      <c r="T46" s="130" t="e">
        <f t="shared" si="1"/>
        <v>#DIV/0!</v>
      </c>
      <c r="U46" s="122">
        <f>S46/19</f>
        <v>0</v>
      </c>
    </row>
    <row r="47" spans="1:21" s="79" customFormat="1" ht="13.2">
      <c r="A47" s="129" t="s">
        <v>989</v>
      </c>
      <c r="B47" s="188"/>
      <c r="C47" s="188"/>
      <c r="D47" s="190"/>
      <c r="E47" s="190"/>
      <c r="F47" s="136">
        <f>Q47/23</f>
        <v>2640174.8260869565</v>
      </c>
      <c r="G47" s="190">
        <f t="shared" si="2"/>
        <v>-0.16156943448290095</v>
      </c>
      <c r="H47" s="190">
        <f t="shared" si="3"/>
        <v>5.6827390790073817E-2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989</v>
      </c>
      <c r="Q47" s="116">
        <v>60724021</v>
      </c>
      <c r="R47" s="116"/>
      <c r="S47" s="116"/>
      <c r="T47" s="130" t="e">
        <f t="shared" si="1"/>
        <v>#DIV/0!</v>
      </c>
      <c r="U47" s="142">
        <f>S47/23</f>
        <v>0</v>
      </c>
    </row>
    <row r="48" spans="1:21" s="79" customFormat="1" ht="13.2">
      <c r="A48" s="129" t="s">
        <v>1067</v>
      </c>
      <c r="B48" s="188"/>
      <c r="C48" s="188"/>
      <c r="D48" s="190"/>
      <c r="E48" s="190"/>
      <c r="F48" s="136">
        <f>Q48/20</f>
        <v>2913495.55</v>
      </c>
      <c r="G48" s="190">
        <f t="shared" si="2"/>
        <v>0.1035237216916185</v>
      </c>
      <c r="H48" s="190">
        <f t="shared" si="3"/>
        <v>6.1420939541512398E-2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1067</v>
      </c>
      <c r="Q48" s="116">
        <v>58269911</v>
      </c>
      <c r="R48" s="116"/>
      <c r="S48" s="116"/>
      <c r="T48" s="130" t="e">
        <f t="shared" si="1"/>
        <v>#DIV/0!</v>
      </c>
      <c r="U48" s="142">
        <f>S48/20</f>
        <v>0</v>
      </c>
    </row>
    <row r="49" spans="1:26" ht="13.2">
      <c r="A49" s="129" t="s">
        <v>1157</v>
      </c>
      <c r="B49" s="188">
        <f>SUM(F47:F49)</f>
        <v>8549789.0124505926</v>
      </c>
      <c r="C49" s="188">
        <f>AVERAGE(F47:F49)</f>
        <v>2849929.6708168644</v>
      </c>
      <c r="D49" s="190">
        <f>C49/C46-1</f>
        <v>-1.1606873816457974E-2</v>
      </c>
      <c r="E49" s="190">
        <f>C49/C37-1</f>
        <v>6.3793964646101653E-3</v>
      </c>
      <c r="F49" s="136">
        <f>Q49/22</f>
        <v>2996118.6363636362</v>
      </c>
      <c r="G49" s="190">
        <f t="shared" si="2"/>
        <v>2.835874808994876E-2</v>
      </c>
      <c r="H49" s="190">
        <f t="shared" si="3"/>
        <v>-7.8821107584500449E-2</v>
      </c>
      <c r="I49" s="130" t="e">
        <f t="shared" si="0"/>
        <v>#DIV/0!</v>
      </c>
      <c r="J49" s="135" t="e">
        <f t="shared" si="4"/>
        <v>#DIV/0!</v>
      </c>
      <c r="K49" s="136">
        <f>Q47+Q48+Q49</f>
        <v>184908542</v>
      </c>
      <c r="L49" s="190">
        <f>K49/K46-1</f>
        <v>5.5827591010974675E-2</v>
      </c>
      <c r="M49" s="190" t="e">
        <f>U49/U37-1</f>
        <v>#DIV/0!</v>
      </c>
      <c r="N49" s="191" t="e">
        <f>AVERAGE(T47:T49)</f>
        <v>#DIV/0!</v>
      </c>
      <c r="O49" s="192" t="e">
        <f>N49/N46-1</f>
        <v>#DIV/0!</v>
      </c>
      <c r="P49" s="129" t="s">
        <v>1157</v>
      </c>
      <c r="Q49" s="116">
        <v>65914610</v>
      </c>
      <c r="R49" s="116"/>
      <c r="S49" s="116"/>
      <c r="T49" s="130" t="e">
        <f t="shared" si="1"/>
        <v>#DIV/0!</v>
      </c>
      <c r="U49" s="142">
        <f>S49/15</f>
        <v>0</v>
      </c>
      <c r="V49" s="79"/>
      <c r="W49" s="79"/>
      <c r="X49" s="79"/>
      <c r="Y49" s="79"/>
      <c r="Z49" s="79"/>
    </row>
    <row r="50" spans="1:26" s="249" customFormat="1" ht="13.2">
      <c r="A50" s="244" t="s">
        <v>1291</v>
      </c>
      <c r="B50" s="245"/>
      <c r="C50" s="245"/>
      <c r="D50" s="243"/>
      <c r="E50" s="243"/>
      <c r="F50" s="246">
        <f>Q50/18</f>
        <v>3305845.9444444445</v>
      </c>
      <c r="G50" s="243">
        <f t="shared" si="2"/>
        <v>0.10337618287930073</v>
      </c>
      <c r="H50" s="243">
        <f t="shared" si="3"/>
        <v>0.1498556194193037</v>
      </c>
      <c r="I50" s="242" t="e">
        <f t="shared" si="0"/>
        <v>#DIV/0!</v>
      </c>
      <c r="J50" s="242" t="e">
        <f t="shared" si="4"/>
        <v>#DIV/0!</v>
      </c>
      <c r="K50" s="246"/>
      <c r="L50" s="243"/>
      <c r="M50" s="243"/>
      <c r="N50" s="247"/>
      <c r="O50" s="241"/>
      <c r="P50" s="244" t="s">
        <v>1291</v>
      </c>
      <c r="Q50" s="248">
        <v>59505227</v>
      </c>
      <c r="R50" s="248"/>
      <c r="S50" s="248"/>
      <c r="T50" s="242" t="e">
        <f t="shared" si="1"/>
        <v>#DIV/0!</v>
      </c>
      <c r="U50" s="250">
        <f>S50/9</f>
        <v>0</v>
      </c>
    </row>
    <row r="51" spans="1:26" s="249" customFormat="1" ht="13.2">
      <c r="A51" s="244" t="s">
        <v>1402</v>
      </c>
      <c r="B51" s="245"/>
      <c r="C51" s="245"/>
      <c r="D51" s="243"/>
      <c r="E51" s="243"/>
      <c r="F51" s="246">
        <f>Q51/20</f>
        <v>3051648.15</v>
      </c>
      <c r="G51" s="243">
        <f t="shared" si="2"/>
        <v>-7.6893418119386436E-2</v>
      </c>
      <c r="H51" s="243">
        <f t="shared" si="3"/>
        <v>0.13850012495418906</v>
      </c>
      <c r="I51" s="242" t="e">
        <f t="shared" si="0"/>
        <v>#DIV/0!</v>
      </c>
      <c r="J51" s="242" t="e">
        <f>I51/I39-1</f>
        <v>#DIV/0!</v>
      </c>
      <c r="K51" s="246"/>
      <c r="L51" s="243"/>
      <c r="M51" s="243"/>
      <c r="N51" s="247"/>
      <c r="O51" s="241"/>
      <c r="P51" s="244" t="s">
        <v>1402</v>
      </c>
      <c r="Q51" s="248">
        <v>61032963</v>
      </c>
      <c r="R51" s="248"/>
      <c r="S51" s="248"/>
      <c r="T51" s="242" t="e">
        <f t="shared" si="1"/>
        <v>#DIV/0!</v>
      </c>
      <c r="U51" s="250">
        <f>S51/20</f>
        <v>0</v>
      </c>
    </row>
    <row r="52" spans="1:26" s="249" customFormat="1" ht="13.2">
      <c r="A52" s="244" t="s">
        <v>1403</v>
      </c>
      <c r="B52" s="245">
        <f>SUM(F50:F52)</f>
        <v>8934344.2944444455</v>
      </c>
      <c r="C52" s="245">
        <f>AVERAGE(F50:F52)</f>
        <v>2978114.764814815</v>
      </c>
      <c r="D52" s="243">
        <f>C52/C49-1</f>
        <v>4.4978335890376364E-2</v>
      </c>
      <c r="E52" s="243">
        <f>C52/C40-1</f>
        <v>5.3915197686638328E-2</v>
      </c>
      <c r="F52" s="246">
        <f>Q52/15</f>
        <v>2576850.2000000002</v>
      </c>
      <c r="G52" s="243">
        <f t="shared" si="2"/>
        <v>-0.15558738316538878</v>
      </c>
      <c r="H52" s="243">
        <f t="shared" si="3"/>
        <v>-0.11808155738539816</v>
      </c>
      <c r="I52" s="242" t="e">
        <f t="shared" si="0"/>
        <v>#DIV/0!</v>
      </c>
      <c r="J52" s="242" t="e">
        <f t="shared" ref="J52" si="5">I52/I40-1</f>
        <v>#DIV/0!</v>
      </c>
      <c r="K52" s="246">
        <f>Q50+Q51+Q52</f>
        <v>159190943</v>
      </c>
      <c r="L52" s="243">
        <f>K52/K49-1</f>
        <v>-0.1390828066774763</v>
      </c>
      <c r="M52" s="243" t="e">
        <f>U52/U40-1</f>
        <v>#DIV/0!</v>
      </c>
      <c r="N52" s="247" t="e">
        <f>AVERAGE(T50:T52)</f>
        <v>#DIV/0!</v>
      </c>
      <c r="O52" s="241" t="e">
        <f>N52/N49-1</f>
        <v>#DIV/0!</v>
      </c>
      <c r="P52" s="244" t="s">
        <v>1403</v>
      </c>
      <c r="Q52" s="248">
        <v>38652753</v>
      </c>
      <c r="R52" s="248"/>
      <c r="S52" s="248"/>
      <c r="T52" s="242" t="e">
        <f t="shared" si="1"/>
        <v>#DIV/0!</v>
      </c>
      <c r="U52" s="250">
        <f>S52/8</f>
        <v>0</v>
      </c>
    </row>
  </sheetData>
  <phoneticPr fontId="1" type="noConversion"/>
  <conditionalFormatting sqref="C29:C30">
    <cfRule type="cellIs" dxfId="25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rgb="FFFF0000"/>
  </sheetPr>
  <dimension ref="A1:AC71"/>
  <sheetViews>
    <sheetView tabSelected="1" zoomScale="115" zoomScaleNormal="115" workbookViewId="0">
      <selection activeCell="C58" sqref="C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112924048.05</v>
      </c>
      <c r="G5" s="90"/>
      <c r="H5" s="90"/>
      <c r="I5" s="130">
        <f t="shared" ref="I5:I30" si="0">T5</f>
        <v>15338.651282110837</v>
      </c>
      <c r="J5" s="130"/>
      <c r="K5" s="85"/>
      <c r="L5" s="80"/>
      <c r="M5" s="80"/>
      <c r="P5" s="129" t="s">
        <v>0</v>
      </c>
      <c r="Q5" s="116">
        <v>2258480961</v>
      </c>
      <c r="R5" s="116">
        <v>2665462773215</v>
      </c>
      <c r="S5" s="116">
        <v>147241.17000000001</v>
      </c>
      <c r="T5" s="130">
        <f t="shared" ref="T5:T17" si="1">Q5/S5</f>
        <v>15338.651282110837</v>
      </c>
      <c r="U5" s="78">
        <f>S5/20</f>
        <v>7362.058500000001</v>
      </c>
    </row>
    <row r="6" spans="1:29" ht="15" hidden="1" customHeight="1">
      <c r="A6" s="129" t="s">
        <v>1</v>
      </c>
      <c r="C6" s="79"/>
      <c r="F6" s="78">
        <f>Q6/18</f>
        <v>120245321.05555555</v>
      </c>
      <c r="G6" s="90">
        <f t="shared" ref="G6:G16" si="2">F6/F5-1</f>
        <v>6.4833603930970263E-2</v>
      </c>
      <c r="H6" s="90"/>
      <c r="I6" s="130">
        <f t="shared" si="0"/>
        <v>15887.621362073933</v>
      </c>
      <c r="J6" s="130"/>
      <c r="K6" s="85"/>
      <c r="P6" s="129" t="s">
        <v>1</v>
      </c>
      <c r="Q6" s="116">
        <v>2164415779</v>
      </c>
      <c r="R6" s="116">
        <v>2571067122269</v>
      </c>
      <c r="S6" s="116">
        <v>136232.84</v>
      </c>
      <c r="T6" s="130">
        <f t="shared" si="1"/>
        <v>15887.621362073933</v>
      </c>
      <c r="U6" s="78">
        <f>S6/18</f>
        <v>7568.4911111111105</v>
      </c>
    </row>
    <row r="7" spans="1:29" ht="15" hidden="1" customHeight="1">
      <c r="A7" s="129" t="s">
        <v>2</v>
      </c>
      <c r="B7" s="131">
        <f>F5+F6+F7</f>
        <v>345088623.69646466</v>
      </c>
      <c r="C7" s="131">
        <f>AVERAGE(F5:F7)</f>
        <v>115029541.23215489</v>
      </c>
      <c r="F7" s="78">
        <f>Q7/22</f>
        <v>111919254.59090909</v>
      </c>
      <c r="G7" s="90">
        <f t="shared" si="2"/>
        <v>-6.9242332188540368E-2</v>
      </c>
      <c r="H7" s="90"/>
      <c r="I7" s="130">
        <f t="shared" si="0"/>
        <v>15187.03710419989</v>
      </c>
      <c r="J7" s="130"/>
      <c r="K7" s="85">
        <f>Q5+Q6+Q7</f>
        <v>6885120341</v>
      </c>
      <c r="L7" s="102"/>
      <c r="N7" s="88">
        <f>AVERAGE(T5:T7)</f>
        <v>15471.103249461552</v>
      </c>
      <c r="P7" s="129" t="s">
        <v>2</v>
      </c>
      <c r="Q7" s="116">
        <v>2462223601</v>
      </c>
      <c r="R7" s="116">
        <v>2965368123176</v>
      </c>
      <c r="S7" s="116">
        <v>162126.66</v>
      </c>
      <c r="T7" s="130">
        <f t="shared" si="1"/>
        <v>15187.03710419989</v>
      </c>
      <c r="U7" s="78">
        <f>S7/22</f>
        <v>7369.3936363636367</v>
      </c>
    </row>
    <row r="8" spans="1:29" ht="15" hidden="1" customHeight="1">
      <c r="A8" s="129" t="s">
        <v>3</v>
      </c>
      <c r="C8" s="79"/>
      <c r="F8" s="78">
        <f>Q8/21</f>
        <v>103994633.66666667</v>
      </c>
      <c r="G8" s="90">
        <f t="shared" si="2"/>
        <v>-7.0806591352031045E-2</v>
      </c>
      <c r="H8" s="90"/>
      <c r="I8" s="130">
        <f t="shared" si="0"/>
        <v>16152.593279567962</v>
      </c>
      <c r="J8" s="130"/>
      <c r="K8" s="85"/>
      <c r="L8" s="90"/>
      <c r="P8" s="129" t="s">
        <v>3</v>
      </c>
      <c r="Q8" s="116">
        <v>2183887307</v>
      </c>
      <c r="R8" s="116">
        <v>2646416027355</v>
      </c>
      <c r="S8" s="116">
        <v>135203.51</v>
      </c>
      <c r="T8" s="130">
        <f t="shared" si="1"/>
        <v>16152.593279567962</v>
      </c>
      <c r="U8" s="78">
        <f>S8/21</f>
        <v>6438.2623809523811</v>
      </c>
    </row>
    <row r="9" spans="1:29" ht="15" hidden="1" customHeight="1">
      <c r="A9" s="129" t="s">
        <v>4</v>
      </c>
      <c r="C9" s="79"/>
      <c r="F9" s="78">
        <f>Q9/21</f>
        <v>117617332.14285715</v>
      </c>
      <c r="G9" s="90">
        <f t="shared" si="2"/>
        <v>0.13099424456703423</v>
      </c>
      <c r="H9" s="90"/>
      <c r="I9" s="130">
        <f t="shared" si="0"/>
        <v>21394.349652522975</v>
      </c>
      <c r="J9" s="130"/>
      <c r="K9" s="85"/>
      <c r="L9" s="90"/>
      <c r="P9" s="129" t="s">
        <v>4</v>
      </c>
      <c r="Q9" s="116">
        <v>2469963975</v>
      </c>
      <c r="R9" s="116">
        <v>3103714973420</v>
      </c>
      <c r="S9" s="116">
        <v>115449.36</v>
      </c>
      <c r="T9" s="130">
        <f t="shared" si="1"/>
        <v>21394.349652522975</v>
      </c>
      <c r="U9" s="78">
        <f>S9/21</f>
        <v>5497.5885714285714</v>
      </c>
      <c r="AC9" s="79">
        <v>2500</v>
      </c>
    </row>
    <row r="10" spans="1:29" ht="15" hidden="1" customHeight="1">
      <c r="A10" s="129" t="s">
        <v>320</v>
      </c>
      <c r="B10" s="131">
        <f>F8+F9+F10</f>
        <v>340167802.14285713</v>
      </c>
      <c r="C10" s="131">
        <f>AVERAGE(F8:F10)</f>
        <v>113389267.38095237</v>
      </c>
      <c r="D10" s="90">
        <f>C10/C7-1</f>
        <v>-1.4259587873101998E-2</v>
      </c>
      <c r="E10" s="286"/>
      <c r="F10" s="78">
        <f>Q10/21</f>
        <v>118555836.33333333</v>
      </c>
      <c r="G10" s="90">
        <f t="shared" si="2"/>
        <v>7.9793018033793572E-3</v>
      </c>
      <c r="H10" s="90"/>
      <c r="I10" s="130">
        <f t="shared" si="0"/>
        <v>16953.912544712461</v>
      </c>
      <c r="J10" s="130"/>
      <c r="K10" s="85">
        <f>Q8+Q9+Q10</f>
        <v>7143523845</v>
      </c>
      <c r="L10" s="102">
        <f>K10/K7-1</f>
        <v>3.7530717141026626E-2</v>
      </c>
      <c r="N10" s="88">
        <f>AVERAGE(T8:T10)</f>
        <v>18166.951825601132</v>
      </c>
      <c r="O10" s="89">
        <f>N10/N7-1</f>
        <v>0.17425057105952702</v>
      </c>
      <c r="P10" s="129" t="s">
        <v>320</v>
      </c>
      <c r="Q10" s="116">
        <v>2489672563</v>
      </c>
      <c r="R10" s="116">
        <v>3129635500938</v>
      </c>
      <c r="S10" s="116">
        <v>146849.44</v>
      </c>
      <c r="T10" s="130">
        <f t="shared" si="1"/>
        <v>16953.912544712461</v>
      </c>
      <c r="U10" s="78">
        <f>S10/21</f>
        <v>6992.8304761904765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112779574.23809524</v>
      </c>
      <c r="G11" s="90">
        <f t="shared" si="2"/>
        <v>-4.8721870418909297E-2</v>
      </c>
      <c r="H11" s="90"/>
      <c r="I11" s="130">
        <f t="shared" si="0"/>
        <v>12524.078814032871</v>
      </c>
      <c r="J11" s="130"/>
      <c r="K11" s="85"/>
      <c r="L11" s="90"/>
      <c r="O11" s="89"/>
      <c r="P11" s="129" t="s">
        <v>6</v>
      </c>
      <c r="Q11" s="116">
        <v>2368371059</v>
      </c>
      <c r="R11" s="116">
        <v>3056790027285</v>
      </c>
      <c r="S11" s="116">
        <v>189105.41</v>
      </c>
      <c r="T11" s="130">
        <f t="shared" si="1"/>
        <v>12524.078814032871</v>
      </c>
      <c r="U11" s="78">
        <f>S11/21</f>
        <v>9005.0195238095239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91056608.5</v>
      </c>
      <c r="G12" s="90">
        <f t="shared" si="2"/>
        <v>-0.19261436199639015</v>
      </c>
      <c r="H12" s="90"/>
      <c r="I12" s="130">
        <f t="shared" si="0"/>
        <v>15154.650697452182</v>
      </c>
      <c r="J12" s="130"/>
      <c r="K12" s="85"/>
      <c r="L12" s="90"/>
      <c r="O12" s="89"/>
      <c r="P12" s="129" t="s">
        <v>7</v>
      </c>
      <c r="Q12" s="116">
        <v>2003245387</v>
      </c>
      <c r="R12" s="116">
        <v>2602739850591</v>
      </c>
      <c r="S12" s="116">
        <v>132186.84</v>
      </c>
      <c r="T12" s="130">
        <f t="shared" si="1"/>
        <v>15154.650697452182</v>
      </c>
      <c r="U12" s="78">
        <f>S12/22</f>
        <v>6008.4927272727273</v>
      </c>
    </row>
    <row r="13" spans="1:29" ht="15" hidden="1" customHeight="1">
      <c r="A13" s="129" t="s">
        <v>96</v>
      </c>
      <c r="B13" s="131">
        <f>F11+F12+F13</f>
        <v>294999911.53809524</v>
      </c>
      <c r="C13" s="131">
        <f>AVERAGE(F11:F13)</f>
        <v>98333303.84603174</v>
      </c>
      <c r="D13" s="90">
        <f>C13/C10-1</f>
        <v>-0.13278120480607147</v>
      </c>
      <c r="E13" s="286"/>
      <c r="F13" s="78">
        <f>Q13/20</f>
        <v>91163728.799999997</v>
      </c>
      <c r="G13" s="90">
        <f t="shared" si="2"/>
        <v>1.1764143400969651E-3</v>
      </c>
      <c r="H13" s="90"/>
      <c r="I13" s="130">
        <f t="shared" si="0"/>
        <v>13845.3938269474</v>
      </c>
      <c r="J13" s="130"/>
      <c r="K13" s="85">
        <f>Q11+Q12+Q13</f>
        <v>6194891022</v>
      </c>
      <c r="L13" s="102">
        <f>K13/K10-1</f>
        <v>-0.13279620024842231</v>
      </c>
      <c r="N13" s="88">
        <f>AVERAGE(T11:T13)</f>
        <v>13841.374446144151</v>
      </c>
      <c r="O13" s="89">
        <f>N13/N10-1</f>
        <v>-0.23810143941491135</v>
      </c>
      <c r="P13" s="129" t="s">
        <v>96</v>
      </c>
      <c r="Q13" s="116">
        <v>1823274576</v>
      </c>
      <c r="R13" s="116">
        <v>2485923751874</v>
      </c>
      <c r="S13" s="116">
        <v>131688.17000000001</v>
      </c>
      <c r="T13" s="130">
        <f t="shared" si="1"/>
        <v>13845.3938269474</v>
      </c>
      <c r="U13" s="78">
        <f>S13/20</f>
        <v>6584.4085000000005</v>
      </c>
    </row>
    <row r="14" spans="1:29" ht="15" hidden="1" customHeight="1">
      <c r="A14" s="129" t="s">
        <v>97</v>
      </c>
      <c r="C14" s="79"/>
      <c r="F14" s="78">
        <f>Q14/20</f>
        <v>78270684</v>
      </c>
      <c r="G14" s="90">
        <f t="shared" si="2"/>
        <v>-0.14142735240992022</v>
      </c>
      <c r="H14" s="90"/>
      <c r="I14" s="130">
        <f t="shared" si="0"/>
        <v>8934.4073324737637</v>
      </c>
      <c r="J14" s="130"/>
      <c r="K14" s="85"/>
      <c r="L14" s="90"/>
      <c r="O14" s="89"/>
      <c r="P14" s="129" t="s">
        <v>97</v>
      </c>
      <c r="Q14" s="116">
        <v>1565413680</v>
      </c>
      <c r="R14" s="116">
        <v>2231131827519</v>
      </c>
      <c r="S14" s="116">
        <v>175211.81</v>
      </c>
      <c r="T14" s="130">
        <f t="shared" si="1"/>
        <v>8934.4073324737637</v>
      </c>
      <c r="U14" s="78">
        <f>S14/20</f>
        <v>8760.5905000000002</v>
      </c>
    </row>
    <row r="15" spans="1:29" ht="15" hidden="1" customHeight="1">
      <c r="A15" s="129" t="s">
        <v>98</v>
      </c>
      <c r="B15" s="131"/>
      <c r="C15" s="131"/>
      <c r="F15" s="78">
        <f>Q15/22</f>
        <v>63759187.81818182</v>
      </c>
      <c r="G15" s="90">
        <f t="shared" si="2"/>
        <v>-0.18540142285990724</v>
      </c>
      <c r="H15" s="90"/>
      <c r="I15" s="130">
        <f t="shared" si="0"/>
        <v>8595.1091593135716</v>
      </c>
      <c r="J15" s="130"/>
      <c r="K15" s="78"/>
      <c r="L15" s="90"/>
      <c r="O15" s="89"/>
      <c r="P15" s="129" t="s">
        <v>98</v>
      </c>
      <c r="Q15" s="116">
        <v>1402702132</v>
      </c>
      <c r="R15" s="116">
        <v>1938324728325</v>
      </c>
      <c r="S15" s="116">
        <v>163197.71</v>
      </c>
      <c r="T15" s="130">
        <f t="shared" si="1"/>
        <v>8595.1091593135716</v>
      </c>
      <c r="U15" s="78">
        <f>S15/22</f>
        <v>7418.0777272727273</v>
      </c>
    </row>
    <row r="16" spans="1:29" ht="15" hidden="1" customHeight="1">
      <c r="A16" s="129" t="s">
        <v>99</v>
      </c>
      <c r="B16" s="131">
        <f>F14+F15+F16</f>
        <v>206562421.81818181</v>
      </c>
      <c r="C16" s="131">
        <f>AVERAGE(F14:F16)</f>
        <v>68854140.606060609</v>
      </c>
      <c r="D16" s="90">
        <f>C16/C13-1</f>
        <v>-0.29978819064321283</v>
      </c>
      <c r="E16" s="286"/>
      <c r="F16" s="78">
        <f>Q16/22</f>
        <v>64532550</v>
      </c>
      <c r="G16" s="90">
        <f t="shared" si="2"/>
        <v>1.2129423355007773E-2</v>
      </c>
      <c r="H16" s="90"/>
      <c r="I16" s="130">
        <f t="shared" si="0"/>
        <v>7376.2762795371782</v>
      </c>
      <c r="J16" s="130"/>
      <c r="K16" s="85">
        <f>Q14+Q15+Q16</f>
        <v>4387831912</v>
      </c>
      <c r="L16" s="102">
        <f>K16/K13-1</f>
        <v>-0.29170151719902204</v>
      </c>
      <c r="N16" s="88">
        <f>AVERAGE(T14:T16)</f>
        <v>8301.9309237748366</v>
      </c>
      <c r="O16" s="89">
        <f>N16/N13-1</f>
        <v>-0.40020906478059048</v>
      </c>
      <c r="P16" s="129" t="s">
        <v>99</v>
      </c>
      <c r="Q16" s="116">
        <v>1419716100</v>
      </c>
      <c r="R16" s="116">
        <v>1858865689714</v>
      </c>
      <c r="S16" s="116">
        <v>192470.57</v>
      </c>
      <c r="T16" s="130">
        <f t="shared" si="1"/>
        <v>7376.2762795371782</v>
      </c>
      <c r="U16" s="78">
        <f>S16/22</f>
        <v>8748.6622727272734</v>
      </c>
    </row>
    <row r="17" spans="1:21" ht="15" hidden="1" customHeight="1">
      <c r="A17" s="129" t="s">
        <v>100</v>
      </c>
      <c r="C17" s="79"/>
      <c r="F17" s="78">
        <f>Q17/20</f>
        <v>44457202.149999999</v>
      </c>
      <c r="G17" s="90">
        <f t="shared" ref="G17:G22" si="3">F17/F16-1</f>
        <v>-0.31108871182062392</v>
      </c>
      <c r="H17" s="90">
        <f t="shared" ref="H17:H22" si="4">F17/F5-1</f>
        <v>-0.60630881625572397</v>
      </c>
      <c r="I17" s="130">
        <f t="shared" si="0"/>
        <v>7561.47716442409</v>
      </c>
      <c r="J17" s="130">
        <f t="shared" ref="J17:J49" si="5">I17/I5-1</f>
        <v>-0.5070311577366069</v>
      </c>
      <c r="K17" s="78"/>
      <c r="L17" s="90"/>
      <c r="O17" s="89"/>
      <c r="P17" s="129" t="s">
        <v>100</v>
      </c>
      <c r="Q17" s="116">
        <v>889144043</v>
      </c>
      <c r="R17" s="116">
        <v>1117828908030</v>
      </c>
      <c r="S17" s="116">
        <v>117588.67</v>
      </c>
      <c r="T17" s="130">
        <f t="shared" si="1"/>
        <v>7561.47716442409</v>
      </c>
      <c r="U17" s="78">
        <f>S17/20</f>
        <v>5879.4335000000001</v>
      </c>
    </row>
    <row r="18" spans="1:21" ht="15" hidden="1" customHeight="1">
      <c r="A18" s="129" t="s">
        <v>106</v>
      </c>
      <c r="C18" s="79"/>
      <c r="F18" s="78">
        <f>Q18/20</f>
        <v>47371451.649999999</v>
      </c>
      <c r="G18" s="90">
        <f t="shared" si="3"/>
        <v>6.5551797213131646E-2</v>
      </c>
      <c r="H18" s="90">
        <f t="shared" si="4"/>
        <v>-0.60604328522592976</v>
      </c>
      <c r="I18" s="130">
        <f t="shared" si="0"/>
        <v>8346.8849294624379</v>
      </c>
      <c r="J18" s="130">
        <f t="shared" si="5"/>
        <v>-0.47462966675504559</v>
      </c>
      <c r="K18" s="78"/>
      <c r="O18" s="89"/>
      <c r="P18" s="129" t="s">
        <v>106</v>
      </c>
      <c r="Q18" s="116">
        <v>947429033</v>
      </c>
      <c r="R18" s="116">
        <v>1188739027335</v>
      </c>
      <c r="S18" s="116">
        <v>113506.9</v>
      </c>
      <c r="T18" s="130">
        <f t="shared" ref="T18" si="6">Q18/S18</f>
        <v>8346.8849294624379</v>
      </c>
      <c r="U18" s="78">
        <f>S18/20</f>
        <v>5675.3449999999993</v>
      </c>
    </row>
    <row r="19" spans="1:21" hidden="1">
      <c r="A19" s="129" t="s">
        <v>114</v>
      </c>
      <c r="B19" s="131">
        <f>SUM(F17:F19)</f>
        <v>143409169.66363636</v>
      </c>
      <c r="C19" s="131">
        <f>AVERAGE(F17:F19)</f>
        <v>47803056.554545455</v>
      </c>
      <c r="D19" s="90">
        <f>C19/C16-1</f>
        <v>-0.30573446805408555</v>
      </c>
      <c r="E19" s="286">
        <f>C19/C7-1</f>
        <v>-0.58442799960343761</v>
      </c>
      <c r="F19" s="78">
        <f>Q19/22</f>
        <v>51580515.863636367</v>
      </c>
      <c r="G19" s="90">
        <f t="shared" si="3"/>
        <v>8.8852337579491625E-2</v>
      </c>
      <c r="H19" s="90">
        <f t="shared" si="4"/>
        <v>-0.53912741777833362</v>
      </c>
      <c r="I19" s="130">
        <f t="shared" si="0"/>
        <v>8549.7297778679222</v>
      </c>
      <c r="J19" s="130">
        <f t="shared" si="5"/>
        <v>-0.43703767106070068</v>
      </c>
      <c r="K19" s="85">
        <f>Q17+Q18+Q19</f>
        <v>2971344425</v>
      </c>
      <c r="L19" s="102">
        <f>K19/K16-1</f>
        <v>-0.32282172959409394</v>
      </c>
      <c r="M19" s="87">
        <f>U19/U7-1</f>
        <v>-0.18134383327208503</v>
      </c>
      <c r="N19" s="88">
        <f>AVERAGE(T17:T19)</f>
        <v>8152.6972905848161</v>
      </c>
      <c r="O19" s="89">
        <f>N19/N16-1</f>
        <v>-1.7975773896485858E-2</v>
      </c>
      <c r="P19" s="129" t="s">
        <v>115</v>
      </c>
      <c r="Q19" s="116">
        <v>1134771349</v>
      </c>
      <c r="R19" s="116">
        <v>1483284305311</v>
      </c>
      <c r="S19" s="116">
        <v>132725.99</v>
      </c>
      <c r="T19" s="130">
        <f t="shared" ref="T19" si="7">Q19/S19</f>
        <v>8549.7297778679222</v>
      </c>
      <c r="U19" s="78">
        <f>S19/22</f>
        <v>6032.9995454545451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58175934.100000001</v>
      </c>
      <c r="G20" s="90">
        <f t="shared" si="3"/>
        <v>0.12786646519394984</v>
      </c>
      <c r="H20" s="90">
        <f t="shared" si="4"/>
        <v>-0.44058715292491968</v>
      </c>
      <c r="I20" s="130">
        <f t="shared" si="0"/>
        <v>7959.5593970615982</v>
      </c>
      <c r="J20" s="130">
        <f t="shared" si="5"/>
        <v>-0.50722715174597055</v>
      </c>
      <c r="K20" s="78"/>
      <c r="O20" s="89"/>
      <c r="P20" s="129" t="s">
        <v>132</v>
      </c>
      <c r="Q20" s="116">
        <v>1163518682</v>
      </c>
      <c r="R20" s="116">
        <v>1526855493802</v>
      </c>
      <c r="S20" s="116">
        <v>146178.78</v>
      </c>
      <c r="T20" s="130">
        <f t="shared" ref="T20" si="8">Q20/S20</f>
        <v>7959.5593970615982</v>
      </c>
      <c r="U20" s="78">
        <f>S20/20</f>
        <v>7308.9390000000003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56809752.571428575</v>
      </c>
      <c r="G21" s="90">
        <f t="shared" si="3"/>
        <v>-2.3483619983188708E-2</v>
      </c>
      <c r="H21" s="90">
        <f t="shared" si="4"/>
        <v>-0.51699505900688281</v>
      </c>
      <c r="I21" s="130">
        <f t="shared" si="0"/>
        <v>7567.6282146432068</v>
      </c>
      <c r="J21" s="130">
        <f t="shared" si="5"/>
        <v>-0.64627911866670007</v>
      </c>
      <c r="K21" s="78"/>
      <c r="O21" s="89"/>
      <c r="P21" s="129" t="s">
        <v>141</v>
      </c>
      <c r="Q21" s="116">
        <v>1193004804</v>
      </c>
      <c r="R21" s="116">
        <v>1588176470577</v>
      </c>
      <c r="S21" s="116">
        <v>157645.79999999999</v>
      </c>
      <c r="T21" s="130">
        <f t="shared" ref="T21" si="9">Q21/S21</f>
        <v>7567.6282146432068</v>
      </c>
      <c r="U21" s="78">
        <f>S21/21</f>
        <v>7506.9428571428562</v>
      </c>
    </row>
    <row r="22" spans="1:21" hidden="1">
      <c r="A22" s="129" t="s">
        <v>156</v>
      </c>
      <c r="B22" s="131">
        <f>SUM(F20:F22)</f>
        <v>170425842.90952381</v>
      </c>
      <c r="C22" s="131">
        <f>AVERAGE(F20:F22)</f>
        <v>56808614.303174607</v>
      </c>
      <c r="D22" s="90">
        <f>C22/C19-1</f>
        <v>0.18838874326693733</v>
      </c>
      <c r="E22" s="286">
        <f>C22/C10-1</f>
        <v>-0.49899478482107584</v>
      </c>
      <c r="F22" s="78">
        <f>Q22/21</f>
        <v>55440156.238095239</v>
      </c>
      <c r="G22" s="90">
        <f t="shared" si="3"/>
        <v>-2.4108472072841725E-2</v>
      </c>
      <c r="H22" s="90">
        <f t="shared" si="4"/>
        <v>-0.53237092366993322</v>
      </c>
      <c r="I22" s="130">
        <f t="shared" si="0"/>
        <v>7708.7108239797008</v>
      </c>
      <c r="J22" s="130">
        <f t="shared" si="5"/>
        <v>-0.54531375553285644</v>
      </c>
      <c r="K22" s="85">
        <f>Q20+Q21+Q22</f>
        <v>3520766767</v>
      </c>
      <c r="L22" s="102">
        <f>K22/K19-1</f>
        <v>0.18490698600179956</v>
      </c>
      <c r="M22" s="87">
        <f>U22/U10-1</f>
        <v>-1.8283014593351243E-2</v>
      </c>
      <c r="N22" s="88">
        <f>AVERAGE(T20:T22)</f>
        <v>7745.2994785615019</v>
      </c>
      <c r="O22" s="89">
        <f>N22/N19-1</f>
        <v>-4.9970923426017499E-2</v>
      </c>
      <c r="P22" s="129" t="s">
        <v>156</v>
      </c>
      <c r="Q22" s="116">
        <v>1164243281</v>
      </c>
      <c r="R22" s="116">
        <v>1515127865190</v>
      </c>
      <c r="S22" s="116">
        <v>151029.57</v>
      </c>
      <c r="T22" s="130">
        <f t="shared" ref="T22:T23" si="10">Q22/S22</f>
        <v>7708.7108239797008</v>
      </c>
      <c r="U22" s="78">
        <f>S22/22</f>
        <v>6864.9804545454544</v>
      </c>
    </row>
    <row r="23" spans="1:21" hidden="1">
      <c r="A23" s="129" t="s">
        <v>189</v>
      </c>
      <c r="B23" s="131"/>
      <c r="C23" s="131"/>
      <c r="F23" s="78">
        <f>Q23/21</f>
        <v>54389114.142857142</v>
      </c>
      <c r="G23" s="90">
        <f t="shared" ref="G23" si="11">F23/F22-1</f>
        <v>-1.8958137324221358E-2</v>
      </c>
      <c r="H23" s="90">
        <f t="shared" ref="H23" si="12">F23/F11-1</f>
        <v>-0.5177396748454357</v>
      </c>
      <c r="I23" s="130">
        <f t="shared" si="0"/>
        <v>10863.607022810153</v>
      </c>
      <c r="J23" s="130">
        <f t="shared" si="5"/>
        <v>-0.13258234923930756</v>
      </c>
      <c r="O23" s="89"/>
      <c r="P23" s="129" t="s">
        <v>189</v>
      </c>
      <c r="Q23" s="116">
        <v>1142171397</v>
      </c>
      <c r="R23" s="116">
        <v>1474669212488</v>
      </c>
      <c r="S23" s="116">
        <v>105137.4</v>
      </c>
      <c r="T23" s="130">
        <f t="shared" si="10"/>
        <v>10863.607022810153</v>
      </c>
      <c r="U23" s="78">
        <f>S23/21</f>
        <v>5006.5428571428565</v>
      </c>
    </row>
    <row r="24" spans="1:21" hidden="1">
      <c r="A24" s="129" t="s">
        <v>204</v>
      </c>
      <c r="B24" s="131"/>
      <c r="C24" s="131"/>
      <c r="F24" s="78">
        <f>Q24/22</f>
        <v>58446524.227272727</v>
      </c>
      <c r="G24" s="90">
        <f t="shared" ref="G24" si="13">F24/F23-1</f>
        <v>7.459967216525154E-2</v>
      </c>
      <c r="H24" s="90">
        <f t="shared" ref="H24" si="14">F24/F12-1</f>
        <v>-0.35812979211417995</v>
      </c>
      <c r="I24" s="130">
        <f t="shared" si="0"/>
        <v>9972.0065585411139</v>
      </c>
      <c r="J24" s="130">
        <f t="shared" si="5"/>
        <v>-0.34198374098997741</v>
      </c>
      <c r="O24" s="89"/>
      <c r="P24" s="129" t="s">
        <v>204</v>
      </c>
      <c r="Q24" s="116">
        <v>1285823533</v>
      </c>
      <c r="R24" s="116">
        <v>1684356368072</v>
      </c>
      <c r="S24" s="116">
        <v>128943.31</v>
      </c>
      <c r="T24" s="130">
        <f t="shared" ref="T24" si="15">Q24/S24</f>
        <v>9972.0065585411139</v>
      </c>
      <c r="U24" s="78">
        <f>S24/22</f>
        <v>5861.0595454545455</v>
      </c>
    </row>
    <row r="25" spans="1:21" s="79" customFormat="1" ht="13.2" hidden="1">
      <c r="A25" s="129" t="s">
        <v>219</v>
      </c>
      <c r="B25" s="131">
        <f>SUM(F23:F25)</f>
        <v>175019978.89644566</v>
      </c>
      <c r="C25" s="131">
        <f>AVERAGE(F23:F25)</f>
        <v>58339992.965481885</v>
      </c>
      <c r="D25" s="90">
        <f>C25/C22-1</f>
        <v>2.6956803665983742E-2</v>
      </c>
      <c r="E25" s="286">
        <f>C25/C13-1</f>
        <v>-0.40671175803439452</v>
      </c>
      <c r="F25" s="78">
        <f>Q25/19</f>
        <v>62184340.526315786</v>
      </c>
      <c r="G25" s="90">
        <f t="shared" ref="G25" si="16">F25/F24-1</f>
        <v>6.3952755933070371E-2</v>
      </c>
      <c r="H25" s="90">
        <f t="shared" ref="H25" si="17">F25/F13-1</f>
        <v>-0.31788287573515983</v>
      </c>
      <c r="I25" s="130">
        <f t="shared" si="0"/>
        <v>8914.2131569135126</v>
      </c>
      <c r="J25" s="130">
        <f t="shared" si="5"/>
        <v>-0.35616037591045557</v>
      </c>
      <c r="K25" s="85">
        <f>Q23+Q24+Q25</f>
        <v>3609497400</v>
      </c>
      <c r="L25" s="102">
        <f>K25/K22-1</f>
        <v>2.5202076386220407E-2</v>
      </c>
      <c r="M25" s="90">
        <f>U25/U13-1</f>
        <v>-8.5018798575452914E-2</v>
      </c>
      <c r="N25" s="88">
        <f>AVERAGE(T23:T25)</f>
        <v>9916.6089127549258</v>
      </c>
      <c r="O25" s="91">
        <f>N25/N22-1</f>
        <v>0.28033899014537411</v>
      </c>
      <c r="P25" s="129" t="s">
        <v>219</v>
      </c>
      <c r="Q25" s="116">
        <v>1181502470</v>
      </c>
      <c r="R25" s="116">
        <v>1568248010360</v>
      </c>
      <c r="S25" s="116">
        <v>132541.42000000001</v>
      </c>
      <c r="T25" s="130">
        <f t="shared" ref="T25:T30" si="18">Q25/S25</f>
        <v>8914.2131569135126</v>
      </c>
      <c r="U25" s="78">
        <f>S25/22</f>
        <v>6024.6100000000006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60038106.473684214</v>
      </c>
      <c r="G26" s="90">
        <f t="shared" ref="G26" si="19">F26/F25-1</f>
        <v>-3.4514059881736725E-2</v>
      </c>
      <c r="H26" s="90">
        <f t="shared" ref="H26" si="20">F26/F14-1</f>
        <v>-0.23294261139094918</v>
      </c>
      <c r="I26" s="130">
        <f t="shared" si="0"/>
        <v>10150.53858920896</v>
      </c>
      <c r="J26" s="130">
        <f t="shared" si="5"/>
        <v>0.13611773131441418</v>
      </c>
      <c r="K26" s="78"/>
      <c r="L26" s="90"/>
      <c r="M26" s="90"/>
      <c r="P26" s="129" t="s">
        <v>312</v>
      </c>
      <c r="Q26" s="116">
        <v>1140724023</v>
      </c>
      <c r="R26" s="116">
        <v>1537956473286</v>
      </c>
      <c r="S26" s="116">
        <v>112380.64</v>
      </c>
      <c r="T26" s="130">
        <f t="shared" si="18"/>
        <v>10150.53858920896</v>
      </c>
      <c r="U26" s="122">
        <f>S26/19</f>
        <v>5914.7705263157895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60981301.68181818</v>
      </c>
      <c r="G27" s="90">
        <f t="shared" ref="G27" si="21">F27/F26-1</f>
        <v>1.570994262697778E-2</v>
      </c>
      <c r="H27" s="90">
        <f t="shared" ref="H27" si="22">F27/F15-1</f>
        <v>-4.3568405298467283E-2</v>
      </c>
      <c r="I27" s="130">
        <f t="shared" si="0"/>
        <v>10382.542484545815</v>
      </c>
      <c r="J27" s="130">
        <f t="shared" si="5"/>
        <v>0.2079593513126472</v>
      </c>
      <c r="K27" s="78"/>
      <c r="L27" s="90"/>
      <c r="M27" s="90"/>
      <c r="P27" s="129" t="s">
        <v>377</v>
      </c>
      <c r="Q27" s="116">
        <v>1341588637</v>
      </c>
      <c r="R27" s="116">
        <v>1773992637174</v>
      </c>
      <c r="S27" s="116">
        <v>129215.81</v>
      </c>
      <c r="T27" s="130">
        <f t="shared" si="18"/>
        <v>10382.542484545815</v>
      </c>
      <c r="U27" s="122">
        <f>S27/22</f>
        <v>5873.4459090909086</v>
      </c>
    </row>
    <row r="28" spans="1:21" s="79" customFormat="1" ht="13.2" hidden="1">
      <c r="A28" s="123" t="s">
        <v>413</v>
      </c>
      <c r="B28" s="131">
        <f>SUM(F26:F28)</f>
        <v>197475177.57655501</v>
      </c>
      <c r="C28" s="131">
        <f>AVERAGE(F26:F28)</f>
        <v>65825059.192185007</v>
      </c>
      <c r="D28" s="90">
        <f>C28/C25-1</f>
        <v>0.1283007735556605</v>
      </c>
      <c r="E28" s="286">
        <f>C28/C16-1</f>
        <v>-4.3992727048995817E-2</v>
      </c>
      <c r="F28" s="78">
        <f>Q28/19</f>
        <v>76455769.421052635</v>
      </c>
      <c r="G28" s="90">
        <f t="shared" ref="G28" si="23">F28/F27-1</f>
        <v>0.25375758326667919</v>
      </c>
      <c r="H28" s="90">
        <f t="shared" ref="H28" si="24">F28/F16-1</f>
        <v>0.18476287425574589</v>
      </c>
      <c r="I28" s="130">
        <f t="shared" si="0"/>
        <v>9082.5495782377384</v>
      </c>
      <c r="J28" s="130">
        <f t="shared" si="5"/>
        <v>0.23131906046333994</v>
      </c>
      <c r="K28" s="85">
        <f>Q26+Q27+Q28</f>
        <v>3934972279</v>
      </c>
      <c r="L28" s="102">
        <f>K28/K25-1</f>
        <v>9.017180037309358E-2</v>
      </c>
      <c r="M28" s="90">
        <f>U28/U16-1</f>
        <v>-3.7810010177277031E-2</v>
      </c>
      <c r="N28" s="88">
        <f>AVERAGE(T26:T28)</f>
        <v>9871.8768839975037</v>
      </c>
      <c r="O28" s="91">
        <f>N28/N25-1</f>
        <v>-4.5108190865414954E-3</v>
      </c>
      <c r="P28" s="129" t="s">
        <v>413</v>
      </c>
      <c r="Q28" s="116">
        <v>1452659619</v>
      </c>
      <c r="R28" s="116">
        <v>1893512536683</v>
      </c>
      <c r="S28" s="116">
        <v>159939.63</v>
      </c>
      <c r="T28" s="130">
        <f t="shared" si="18"/>
        <v>9082.5495782377384</v>
      </c>
      <c r="U28" s="122">
        <f>S28/19</f>
        <v>8417.8752631578955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63964053.545454547</v>
      </c>
      <c r="G29" s="190">
        <f t="shared" ref="G29" si="25">F29/F28-1</f>
        <v>-0.16338486905814076</v>
      </c>
      <c r="H29" s="190">
        <f t="shared" ref="H29" si="26">F29/F17-1</f>
        <v>0.4387782058267593</v>
      </c>
      <c r="I29" s="130">
        <f t="shared" si="0"/>
        <v>10919.483904109058</v>
      </c>
      <c r="J29" s="130">
        <f t="shared" si="5"/>
        <v>0.44409401320207875</v>
      </c>
      <c r="K29" s="136"/>
      <c r="L29" s="190"/>
      <c r="M29" s="190"/>
      <c r="N29" s="191"/>
      <c r="O29" s="192"/>
      <c r="P29" s="129" t="s">
        <v>427</v>
      </c>
      <c r="Q29" s="116">
        <v>1407209178</v>
      </c>
      <c r="R29" s="116">
        <v>1850754511236</v>
      </c>
      <c r="S29" s="116">
        <v>128871.4</v>
      </c>
      <c r="T29" s="130">
        <f t="shared" si="18"/>
        <v>10919.483904109058</v>
      </c>
      <c r="U29" s="122">
        <f>S29/22</f>
        <v>5857.7909090909088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78497994.789473683</v>
      </c>
      <c r="G30" s="190">
        <f t="shared" ref="G30" si="27">F30/F29-1</f>
        <v>0.2272204533393265</v>
      </c>
      <c r="H30" s="190">
        <f t="shared" ref="H30" si="28">F30/F18-1</f>
        <v>0.65707387161047004</v>
      </c>
      <c r="I30" s="130">
        <f t="shared" si="0"/>
        <v>12842.6401095497</v>
      </c>
      <c r="J30" s="130">
        <f t="shared" si="5"/>
        <v>0.53861473089419976</v>
      </c>
      <c r="K30" s="136"/>
      <c r="L30" s="190"/>
      <c r="M30" s="190"/>
      <c r="N30" s="191"/>
      <c r="O30" s="192"/>
      <c r="P30" s="129" t="s">
        <v>466</v>
      </c>
      <c r="Q30" s="116">
        <v>1491461901</v>
      </c>
      <c r="R30" s="116">
        <v>1987222371583</v>
      </c>
      <c r="S30" s="116">
        <v>116133.59</v>
      </c>
      <c r="T30" s="130">
        <f t="shared" si="18"/>
        <v>12842.6401095497</v>
      </c>
      <c r="U30" s="122">
        <f>S30/19</f>
        <v>6112.2942105263155</v>
      </c>
    </row>
    <row r="31" spans="1:21" s="79" customFormat="1" ht="13.2" hidden="1">
      <c r="A31" s="129" t="s">
        <v>505</v>
      </c>
      <c r="B31" s="188">
        <f>SUM(F29:F31)</f>
        <v>223911687.7849282</v>
      </c>
      <c r="C31" s="188">
        <f>AVERAGE(F29:F31)</f>
        <v>74637229.261642739</v>
      </c>
      <c r="D31" s="190">
        <f>C31/C28-1</f>
        <v>0.13387257341811765</v>
      </c>
      <c r="E31" s="287">
        <f>C31/C19-1</f>
        <v>0.56134847102252294</v>
      </c>
      <c r="F31" s="136">
        <f>Q31/20</f>
        <v>81449639.450000003</v>
      </c>
      <c r="G31" s="190">
        <f t="shared" ref="G31" si="29">F31/F30-1</f>
        <v>3.7601529420495883E-2</v>
      </c>
      <c r="H31" s="190">
        <f t="shared" ref="H31" si="30">F31/F19-1</f>
        <v>0.57907764368485126</v>
      </c>
      <c r="I31" s="130">
        <f t="shared" ref="I31:I45" si="31">T31</f>
        <v>14434.331114211242</v>
      </c>
      <c r="J31" s="130">
        <f t="shared" si="5"/>
        <v>0.68827921925396618</v>
      </c>
      <c r="K31" s="136">
        <f>Q29+Q30+Q31</f>
        <v>4527663868</v>
      </c>
      <c r="L31" s="190">
        <f>K31/K28-1</f>
        <v>0.15062154113843507</v>
      </c>
      <c r="M31" s="190">
        <f>U31/U19-1</f>
        <v>-6.4682177168164268E-2</v>
      </c>
      <c r="N31" s="191">
        <f>AVERAGE(T29:T31)</f>
        <v>12732.151709290001</v>
      </c>
      <c r="O31" s="192">
        <f>N31/N28-1</f>
        <v>0.28973971808026255</v>
      </c>
      <c r="P31" s="129" t="s">
        <v>505</v>
      </c>
      <c r="Q31" s="116">
        <v>1628992789</v>
      </c>
      <c r="R31" s="116">
        <v>2164824160043</v>
      </c>
      <c r="S31" s="116">
        <v>112855.44</v>
      </c>
      <c r="T31" s="130">
        <f t="shared" ref="T31" si="32">Q31/S31</f>
        <v>14434.331114211242</v>
      </c>
      <c r="U31" s="122">
        <f>S31/20</f>
        <v>5642.7719999999999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75942074.238095239</v>
      </c>
      <c r="G32" s="190">
        <f t="shared" ref="G32" si="33">F32/F31-1</f>
        <v>-6.761927062041484E-2</v>
      </c>
      <c r="H32" s="190">
        <f t="shared" ref="H32" si="34">F32/F20-1</f>
        <v>0.30538641816316336</v>
      </c>
      <c r="I32" s="130">
        <f t="shared" si="31"/>
        <v>14997.589800029133</v>
      </c>
      <c r="J32" s="130">
        <f t="shared" si="5"/>
        <v>0.88422361739843769</v>
      </c>
      <c r="K32" s="136"/>
      <c r="L32" s="190"/>
      <c r="M32" s="190"/>
      <c r="N32" s="191"/>
      <c r="O32" s="192"/>
      <c r="P32" s="129" t="s">
        <v>561</v>
      </c>
      <c r="Q32" s="116">
        <v>1594783559</v>
      </c>
      <c r="R32" s="116">
        <v>2170380602179</v>
      </c>
      <c r="S32" s="116">
        <v>106335.99</v>
      </c>
      <c r="T32" s="130">
        <f t="shared" ref="T32" si="35">Q32/S32</f>
        <v>14997.589800029133</v>
      </c>
      <c r="U32" s="122">
        <f>S32/21</f>
        <v>5063.6185714285721</v>
      </c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84148819.142857149</v>
      </c>
      <c r="G33" s="190">
        <f t="shared" ref="G33" si="36">F33/F32-1</f>
        <v>0.10806585133600577</v>
      </c>
      <c r="H33" s="190">
        <f t="shared" ref="H33" si="37">F33/F21-1</f>
        <v>0.48123896574015812</v>
      </c>
      <c r="I33" s="130">
        <f t="shared" si="31"/>
        <v>15458.350500042645</v>
      </c>
      <c r="J33" s="130">
        <f t="shared" si="5"/>
        <v>1.0426942314807501</v>
      </c>
      <c r="K33" s="136"/>
      <c r="L33" s="190"/>
      <c r="M33" s="190"/>
      <c r="N33" s="191"/>
      <c r="O33" s="192"/>
      <c r="P33" s="129" t="s">
        <v>624</v>
      </c>
      <c r="Q33" s="116">
        <v>1767125202</v>
      </c>
      <c r="R33" s="116">
        <v>2417076226000</v>
      </c>
      <c r="S33" s="116">
        <v>114315.25</v>
      </c>
      <c r="T33" s="130">
        <f t="shared" ref="T33" si="38">Q33/S33</f>
        <v>15458.350500042645</v>
      </c>
      <c r="U33" s="122">
        <f>S33/21</f>
        <v>5443.583333333333</v>
      </c>
    </row>
    <row r="34" spans="1:21" s="79" customFormat="1" ht="13.2" hidden="1">
      <c r="A34" s="129" t="s">
        <v>652</v>
      </c>
      <c r="B34" s="188">
        <f>SUM(F32:F34)</f>
        <v>260052913.17042607</v>
      </c>
      <c r="C34" s="188">
        <f>AVERAGE(F32:F34)</f>
        <v>86684304.390142024</v>
      </c>
      <c r="D34" s="190">
        <f>C34/C31-1</f>
        <v>0.16140839159862108</v>
      </c>
      <c r="E34" s="287">
        <f>C34/C22-1</f>
        <v>0.52590070103677733</v>
      </c>
      <c r="F34" s="136">
        <f>Q34/19</f>
        <v>99962019.789473683</v>
      </c>
      <c r="G34" s="190">
        <f t="shared" ref="G34" si="39">F34/F33-1</f>
        <v>0.18791945992457593</v>
      </c>
      <c r="H34" s="190">
        <f t="shared" ref="H34" si="40">F34/F22-1</f>
        <v>0.80306165372574512</v>
      </c>
      <c r="I34" s="130">
        <f t="shared" si="31"/>
        <v>16238.923740314825</v>
      </c>
      <c r="J34" s="130">
        <f t="shared" si="5"/>
        <v>1.1065680255899539</v>
      </c>
      <c r="K34" s="136">
        <f>Q32+Q33+Q34</f>
        <v>5261187137</v>
      </c>
      <c r="L34" s="190">
        <f>K34/K31-1</f>
        <v>0.16200921499148713</v>
      </c>
      <c r="M34" s="190">
        <f>U34/U22-1</f>
        <v>-0.10331795150760004</v>
      </c>
      <c r="N34" s="191">
        <f>AVERAGE(T32:T34)</f>
        <v>15564.954680128867</v>
      </c>
      <c r="O34" s="192">
        <f>N34/N31-1</f>
        <v>0.22249208425406319</v>
      </c>
      <c r="P34" s="129" t="s">
        <v>652</v>
      </c>
      <c r="Q34" s="116">
        <v>1899278376</v>
      </c>
      <c r="R34" s="116">
        <v>2611161209928</v>
      </c>
      <c r="S34" s="116">
        <v>116958.39</v>
      </c>
      <c r="T34" s="130">
        <f t="shared" ref="T34" si="41">Q34/S34</f>
        <v>16238.923740314825</v>
      </c>
      <c r="U34" s="122">
        <f>S34/19</f>
        <v>6155.7047368421054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86358077.173913047</v>
      </c>
      <c r="G35" s="190">
        <f t="shared" ref="G35" si="42">F35/F34-1</f>
        <v>-0.13609111384715311</v>
      </c>
      <c r="H35" s="190">
        <f t="shared" ref="H35" si="43">F35/F23-1</f>
        <v>0.58778238136195782</v>
      </c>
      <c r="I35" s="130">
        <f t="shared" si="31"/>
        <v>18838.405631123118</v>
      </c>
      <c r="J35" s="130">
        <f t="shared" si="5"/>
        <v>0.73408386289824379</v>
      </c>
      <c r="K35" s="136"/>
      <c r="L35" s="190"/>
      <c r="M35" s="190"/>
      <c r="N35" s="191"/>
      <c r="O35" s="192"/>
      <c r="P35" s="129" t="s">
        <v>660</v>
      </c>
      <c r="Q35" s="116">
        <v>1986235775</v>
      </c>
      <c r="R35" s="116">
        <v>2749024686511</v>
      </c>
      <c r="S35" s="116">
        <v>105435.45</v>
      </c>
      <c r="T35" s="130">
        <f t="shared" ref="T35" si="44">Q35/S35</f>
        <v>18838.405631123118</v>
      </c>
      <c r="U35" s="122">
        <f>S35/23</f>
        <v>4584.1499999999996</v>
      </c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87614069.666666672</v>
      </c>
      <c r="G36" s="190">
        <f t="shared" ref="G36" si="45">F36/F35-1</f>
        <v>1.4544007160143702E-2</v>
      </c>
      <c r="H36" s="190">
        <f t="shared" ref="H36" si="46">F36/F24-1</f>
        <v>0.49904670679772578</v>
      </c>
      <c r="I36" s="130">
        <f t="shared" si="31"/>
        <v>18781.804817582077</v>
      </c>
      <c r="J36" s="130">
        <f t="shared" si="5"/>
        <v>0.88345291464888698</v>
      </c>
      <c r="K36" s="136"/>
      <c r="L36" s="190"/>
      <c r="M36" s="190"/>
      <c r="N36" s="191"/>
      <c r="O36" s="192"/>
      <c r="P36" s="129" t="s">
        <v>664</v>
      </c>
      <c r="Q36" s="116">
        <v>1839895463</v>
      </c>
      <c r="R36" s="116">
        <v>2512659063317</v>
      </c>
      <c r="S36" s="116">
        <v>97961.59</v>
      </c>
      <c r="T36" s="130">
        <f t="shared" ref="T36" si="47">Q36/S36</f>
        <v>18781.804817582077</v>
      </c>
      <c r="U36" s="122">
        <f>S36/21</f>
        <v>4664.8376190476192</v>
      </c>
    </row>
    <row r="37" spans="1:21" s="79" customFormat="1" ht="13.2" hidden="1">
      <c r="A37" s="129" t="s">
        <v>702</v>
      </c>
      <c r="B37" s="188">
        <f>SUM(F35:F37)</f>
        <v>278876743.22946858</v>
      </c>
      <c r="C37" s="188">
        <f>AVERAGE(F35:F37)</f>
        <v>92958914.409822866</v>
      </c>
      <c r="D37" s="190">
        <f>C37/C34-1</f>
        <v>7.2384615229079463E-2</v>
      </c>
      <c r="E37" s="287">
        <f>C37/C25-1</f>
        <v>0.593399479235865</v>
      </c>
      <c r="F37" s="136">
        <f>Q37/18</f>
        <v>104904596.3888889</v>
      </c>
      <c r="G37" s="190">
        <f t="shared" ref="G37" si="48">F37/F36-1</f>
        <v>0.19734874533285729</v>
      </c>
      <c r="H37" s="190">
        <f t="shared" ref="H37" si="49">F37/F25-1</f>
        <v>0.68699379137894567</v>
      </c>
      <c r="I37" s="130">
        <f t="shared" si="31"/>
        <v>15556.18277623269</v>
      </c>
      <c r="J37" s="130">
        <f t="shared" si="5"/>
        <v>0.74509881045058113</v>
      </c>
      <c r="K37" s="136">
        <f>Q35+Q36+Q37</f>
        <v>5714413973</v>
      </c>
      <c r="L37" s="190">
        <f>K37/K34-1</f>
        <v>8.6145355448891348E-2</v>
      </c>
      <c r="M37" s="190">
        <f>U37/U25-1</f>
        <v>0.11934133495778143</v>
      </c>
      <c r="N37" s="191">
        <f>AVERAGE(T35:T37)</f>
        <v>17725.46440831263</v>
      </c>
      <c r="O37" s="192">
        <f>N37/N34-1</f>
        <v>0.13880604040190336</v>
      </c>
      <c r="P37" s="129" t="s">
        <v>702</v>
      </c>
      <c r="Q37" s="116">
        <v>1888282735</v>
      </c>
      <c r="R37" s="116">
        <v>2520248718703</v>
      </c>
      <c r="S37" s="116">
        <v>121384.71</v>
      </c>
      <c r="T37" s="130">
        <f t="shared" ref="T37" si="50">Q37/S37</f>
        <v>15556.18277623269</v>
      </c>
      <c r="U37" s="122">
        <f>S37/18</f>
        <v>6743.5950000000003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95601690.549999997</v>
      </c>
      <c r="G38" s="190">
        <f t="shared" ref="G38" si="51">F38/F37-1</f>
        <v>-8.8679678099159331E-2</v>
      </c>
      <c r="H38" s="190">
        <f t="shared" ref="H38" si="52">F38/F26-1</f>
        <v>0.59235019498664476</v>
      </c>
      <c r="I38" s="130">
        <f t="shared" si="31"/>
        <v>20008.643863843587</v>
      </c>
      <c r="J38" s="130">
        <f t="shared" si="5"/>
        <v>0.97119036472752107</v>
      </c>
      <c r="K38" s="136"/>
      <c r="L38" s="190"/>
      <c r="M38" s="190"/>
      <c r="N38" s="191"/>
      <c r="O38" s="192"/>
      <c r="P38" s="129" t="s">
        <v>725</v>
      </c>
      <c r="Q38" s="116">
        <v>1912033811</v>
      </c>
      <c r="R38" s="116">
        <v>2569694800717</v>
      </c>
      <c r="S38" s="116">
        <v>95560.39</v>
      </c>
      <c r="T38" s="130">
        <f t="shared" ref="T38:T43" si="53">Q38/S38</f>
        <v>20008.643863843587</v>
      </c>
      <c r="U38" s="122">
        <f>S38/20</f>
        <v>4778.0195000000003</v>
      </c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86907992.142857149</v>
      </c>
      <c r="G39" s="190">
        <f t="shared" ref="G39" si="54">F39/F38-1</f>
        <v>-9.0936659771680639E-2</v>
      </c>
      <c r="H39" s="190">
        <f t="shared" ref="H39" si="55">F39/F27-1</f>
        <v>0.42515803608647995</v>
      </c>
      <c r="I39" s="130">
        <f t="shared" si="31"/>
        <v>17065.913166811744</v>
      </c>
      <c r="J39" s="130">
        <f t="shared" si="5"/>
        <v>0.64371233657015892</v>
      </c>
      <c r="K39" s="136"/>
      <c r="L39" s="190"/>
      <c r="M39" s="190"/>
      <c r="N39" s="191"/>
      <c r="O39" s="192"/>
      <c r="P39" s="129" t="s">
        <v>762</v>
      </c>
      <c r="Q39" s="116">
        <v>1825067835</v>
      </c>
      <c r="R39" s="116">
        <v>2535842880820</v>
      </c>
      <c r="S39" s="116">
        <v>106942.29</v>
      </c>
      <c r="T39" s="130">
        <f t="shared" si="53"/>
        <v>17065.913166811744</v>
      </c>
      <c r="U39" s="122">
        <f>S39/21</f>
        <v>5092.49</v>
      </c>
    </row>
    <row r="40" spans="1:21" s="79" customFormat="1" ht="13.2" hidden="1">
      <c r="A40" s="129" t="s">
        <v>778</v>
      </c>
      <c r="B40" s="188">
        <f>SUM(F38:F40)</f>
        <v>282341318.50238097</v>
      </c>
      <c r="C40" s="188">
        <f>AVERAGE(F38:F40)</f>
        <v>94113772.834126994</v>
      </c>
      <c r="D40" s="190">
        <f>C40/C37-1</f>
        <v>1.2423320900809554E-2</v>
      </c>
      <c r="E40" s="287">
        <f>C40/C28-1</f>
        <v>0.42975599246100682</v>
      </c>
      <c r="F40" s="136">
        <f>Q40/21</f>
        <v>99831635.809523806</v>
      </c>
      <c r="G40" s="190">
        <f t="shared" ref="G40" si="56">F40/F39-1</f>
        <v>0.14870489293347267</v>
      </c>
      <c r="H40" s="190">
        <f t="shared" ref="H40:H45" si="57">F40/F28-1</f>
        <v>0.30574365499792444</v>
      </c>
      <c r="I40" s="130">
        <f t="shared" si="31"/>
        <v>15464.043161088573</v>
      </c>
      <c r="J40" s="130">
        <f t="shared" si="5"/>
        <v>0.70261037695199891</v>
      </c>
      <c r="K40" s="136">
        <f>Q38+Q39+Q40</f>
        <v>5833565998</v>
      </c>
      <c r="L40" s="190">
        <f>K40/K37-1</f>
        <v>2.085113636551017E-2</v>
      </c>
      <c r="M40" s="190">
        <f>U40/U28-1</f>
        <v>-0.2330930947716543</v>
      </c>
      <c r="N40" s="191">
        <f>AVERAGE(T38:T40)</f>
        <v>17512.8667305813</v>
      </c>
      <c r="O40" s="192">
        <f>N40/N37-1</f>
        <v>-1.199391298496133E-2</v>
      </c>
      <c r="P40" s="129" t="s">
        <v>778</v>
      </c>
      <c r="Q40" s="116">
        <v>2096464352</v>
      </c>
      <c r="R40" s="116">
        <v>2981748925522</v>
      </c>
      <c r="S40" s="116">
        <v>135570.26</v>
      </c>
      <c r="T40" s="130">
        <f t="shared" si="53"/>
        <v>15464.043161088573</v>
      </c>
      <c r="U40" s="122">
        <f>S40/21</f>
        <v>6455.7266666666674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102018534</v>
      </c>
      <c r="G41" s="190">
        <f t="shared" ref="G41" si="58">F41/F40-1</f>
        <v>2.1905863534568804E-2</v>
      </c>
      <c r="H41" s="190">
        <f t="shared" si="57"/>
        <v>0.59493541051933074</v>
      </c>
      <c r="I41" s="130">
        <f t="shared" si="31"/>
        <v>14689.780458077896</v>
      </c>
      <c r="J41" s="130">
        <f t="shared" si="5"/>
        <v>0.3452815707297352</v>
      </c>
      <c r="K41" s="136"/>
      <c r="L41" s="190"/>
      <c r="M41" s="190"/>
      <c r="N41" s="193"/>
      <c r="O41" s="193"/>
      <c r="P41" s="129" t="s">
        <v>787</v>
      </c>
      <c r="Q41" s="116">
        <v>1836333612</v>
      </c>
      <c r="R41" s="116">
        <v>2679902971095</v>
      </c>
      <c r="S41" s="116">
        <v>125007.56</v>
      </c>
      <c r="T41" s="130">
        <f t="shared" si="53"/>
        <v>14689.780458077896</v>
      </c>
      <c r="U41" s="122">
        <f>S41/18</f>
        <v>6944.8644444444444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84072910.599999994</v>
      </c>
      <c r="G42" s="190">
        <f t="shared" ref="G42" si="59">F42/F41-1</f>
        <v>-0.17590552124577685</v>
      </c>
      <c r="H42" s="190">
        <f t="shared" si="57"/>
        <v>7.1019849939834234E-2</v>
      </c>
      <c r="I42" s="130">
        <f t="shared" si="31"/>
        <v>13397.087035185616</v>
      </c>
      <c r="J42" s="130">
        <f t="shared" si="5"/>
        <v>4.3172347812163059E-2</v>
      </c>
      <c r="K42" s="136"/>
      <c r="L42" s="190"/>
      <c r="M42" s="190"/>
      <c r="N42" s="193"/>
      <c r="O42" s="193"/>
      <c r="P42" s="129" t="s">
        <v>826</v>
      </c>
      <c r="Q42" s="116">
        <v>1681458212</v>
      </c>
      <c r="R42" s="116">
        <v>2430750338703</v>
      </c>
      <c r="S42" s="116">
        <v>125509.24</v>
      </c>
      <c r="T42" s="130">
        <f t="shared" si="53"/>
        <v>13397.087035185616</v>
      </c>
      <c r="U42" s="122">
        <f>S42/20</f>
        <v>6275.4620000000004</v>
      </c>
    </row>
    <row r="43" spans="1:21" s="79" customFormat="1" ht="13.2">
      <c r="A43" s="129" t="s">
        <v>834</v>
      </c>
      <c r="B43" s="188">
        <f>SUM(F41:F43)</f>
        <v>291421658.39999998</v>
      </c>
      <c r="C43" s="188">
        <f>AVERAGE(F41:F43)</f>
        <v>97140552.799999997</v>
      </c>
      <c r="D43" s="190">
        <f>C43/C40-1</f>
        <v>3.2160860995421148E-2</v>
      </c>
      <c r="E43" s="287">
        <f>C43/C31-1</f>
        <v>0.30150266510391588</v>
      </c>
      <c r="F43" s="136">
        <f>Q43/20</f>
        <v>105330213.8</v>
      </c>
      <c r="G43" s="190">
        <f t="shared" ref="G43" si="60">F43/F42-1</f>
        <v>0.25284366924249202</v>
      </c>
      <c r="H43" s="190">
        <f t="shared" si="57"/>
        <v>0.29319435311508912</v>
      </c>
      <c r="I43" s="130">
        <f t="shared" si="31"/>
        <v>14202.583306180202</v>
      </c>
      <c r="J43" s="130">
        <f t="shared" si="5"/>
        <v>-1.6055320208282708E-2</v>
      </c>
      <c r="K43" s="136">
        <f>Q41+Q42+Q43</f>
        <v>5624396100</v>
      </c>
      <c r="L43" s="190">
        <f>K43/K40-1</f>
        <v>-3.5856266659486269E-2</v>
      </c>
      <c r="M43" s="190">
        <f>K43/K31-1</f>
        <v>0.24222916364249847</v>
      </c>
      <c r="N43" s="191">
        <f>AVERAGE(T41:T43)</f>
        <v>14096.483599814572</v>
      </c>
      <c r="O43" s="192">
        <f>N43/N40-1</f>
        <v>-0.1950784633563718</v>
      </c>
      <c r="P43" s="129" t="s">
        <v>834</v>
      </c>
      <c r="Q43" s="116">
        <v>2106604276</v>
      </c>
      <c r="R43" s="116">
        <v>3052906360575</v>
      </c>
      <c r="S43" s="116">
        <v>148325.43</v>
      </c>
      <c r="T43" s="130">
        <f t="shared" si="53"/>
        <v>14202.583306180202</v>
      </c>
      <c r="U43" s="122">
        <f>S43/20</f>
        <v>7416.2714999999998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95605830.681818187</v>
      </c>
      <c r="G44" s="190">
        <f t="shared" ref="G44" si="61">F44/F43-1</f>
        <v>-9.2322827110617789E-2</v>
      </c>
      <c r="H44" s="190">
        <f t="shared" si="57"/>
        <v>0.25893098971819906</v>
      </c>
      <c r="I44" s="130">
        <f t="shared" si="31"/>
        <v>15695.092873883383</v>
      </c>
      <c r="J44" s="130">
        <f t="shared" si="5"/>
        <v>4.6507677777191558E-2</v>
      </c>
      <c r="K44" s="136"/>
      <c r="L44" s="190"/>
      <c r="M44" s="190"/>
      <c r="N44" s="191"/>
      <c r="O44" s="192"/>
      <c r="P44" s="129" t="s">
        <v>839</v>
      </c>
      <c r="Q44" s="116">
        <v>2103328275</v>
      </c>
      <c r="R44" s="116">
        <v>3050924534686</v>
      </c>
      <c r="S44" s="116">
        <v>134011.84</v>
      </c>
      <c r="T44" s="130">
        <f t="shared" ref="T44" si="62">Q44/S44</f>
        <v>15695.092873883383</v>
      </c>
      <c r="U44" s="122">
        <f>S44/22</f>
        <v>6091.4472727272723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112244932.09999999</v>
      </c>
      <c r="G45" s="190">
        <f t="shared" ref="G45" si="63">F45/F44-1</f>
        <v>0.17403856333362877</v>
      </c>
      <c r="H45" s="190">
        <f t="shared" si="57"/>
        <v>0.33388600390749201</v>
      </c>
      <c r="I45" s="130">
        <f t="shared" si="31"/>
        <v>14020.781810358896</v>
      </c>
      <c r="J45" s="130">
        <f t="shared" si="5"/>
        <v>-9.2996254010399348E-2</v>
      </c>
      <c r="K45" s="136"/>
      <c r="L45" s="190"/>
      <c r="M45" s="190"/>
      <c r="N45" s="191"/>
      <c r="O45" s="192"/>
      <c r="P45" s="129" t="s">
        <v>849</v>
      </c>
      <c r="Q45" s="116">
        <v>2244898642</v>
      </c>
      <c r="R45" s="116">
        <v>3166327080267</v>
      </c>
      <c r="S45" s="116">
        <v>160112.23000000001</v>
      </c>
      <c r="T45" s="130">
        <f t="shared" ref="T45" si="64">Q45/S45</f>
        <v>14020.781810358896</v>
      </c>
      <c r="U45" s="122">
        <f>S45/20</f>
        <v>8005.6115000000009</v>
      </c>
    </row>
    <row r="46" spans="1:21" s="79" customFormat="1" ht="13.2">
      <c r="A46" s="129" t="s">
        <v>888</v>
      </c>
      <c r="B46" s="188">
        <f>SUM(F44:F46)</f>
        <v>328468095.67655504</v>
      </c>
      <c r="C46" s="188">
        <f>AVERAGE(F44:F46)</f>
        <v>109489365.22551835</v>
      </c>
      <c r="D46" s="190">
        <f>C46/C43-1</f>
        <v>0.1271231434202662</v>
      </c>
      <c r="E46" s="287">
        <f>C46/C34-1</f>
        <v>0.26308177698164448</v>
      </c>
      <c r="F46" s="136">
        <f>Q46/19</f>
        <v>120617332.89473684</v>
      </c>
      <c r="G46" s="190">
        <f t="shared" ref="G46" si="65">F46/F45-1</f>
        <v>7.4590457119950937E-2</v>
      </c>
      <c r="H46" s="190">
        <f t="shared" ref="H46" si="66">F46/F34-1</f>
        <v>0.20663161017318932</v>
      </c>
      <c r="I46" s="130">
        <f t="shared" ref="I46" si="67">T46</f>
        <v>12159.854999418201</v>
      </c>
      <c r="J46" s="130">
        <f t="shared" si="5"/>
        <v>-0.25119083050866908</v>
      </c>
      <c r="K46" s="136">
        <f>Q44+Q45+Q46</f>
        <v>6639956242</v>
      </c>
      <c r="L46" s="190">
        <f>K46/K43-1</f>
        <v>0.18056341053219915</v>
      </c>
      <c r="M46" s="190">
        <f>K46/K34-1</f>
        <v>0.26206425833128466</v>
      </c>
      <c r="N46" s="191">
        <f>AVERAGE(T44:T46)</f>
        <v>13958.576561220159</v>
      </c>
      <c r="O46" s="192">
        <f>N46/N43-1</f>
        <v>-9.7830808384175016E-3</v>
      </c>
      <c r="P46" s="129" t="s">
        <v>968</v>
      </c>
      <c r="Q46" s="116">
        <v>2291729325</v>
      </c>
      <c r="R46" s="116">
        <v>3139077137490</v>
      </c>
      <c r="S46" s="116">
        <v>188466.83</v>
      </c>
      <c r="T46" s="130">
        <f t="shared" ref="T46" si="68">Q46/S46</f>
        <v>12159.854999418201</v>
      </c>
      <c r="U46" s="122">
        <f>S46/19</f>
        <v>9919.3068421052631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103813291.52173913</v>
      </c>
      <c r="G47" s="190">
        <f t="shared" ref="G47" si="69">F47/F46-1</f>
        <v>-0.13931697020413025</v>
      </c>
      <c r="H47" s="190">
        <f t="shared" ref="H47" si="70">F47/F35-1</f>
        <v>0.20212601900194849</v>
      </c>
      <c r="I47" s="130">
        <f t="shared" ref="I47" si="71">T47</f>
        <v>14894.108766219691</v>
      </c>
      <c r="J47" s="130">
        <f t="shared" si="5"/>
        <v>-0.20937530182421671</v>
      </c>
      <c r="K47" s="136"/>
      <c r="L47" s="190"/>
      <c r="M47" s="190"/>
      <c r="N47" s="191"/>
      <c r="O47" s="192"/>
      <c r="P47" s="129" t="s">
        <v>989</v>
      </c>
      <c r="Q47" s="116">
        <v>2387705705</v>
      </c>
      <c r="R47" s="116">
        <v>3273661870046</v>
      </c>
      <c r="S47" s="116">
        <v>160312.09</v>
      </c>
      <c r="T47" s="130">
        <f t="shared" ref="T47" si="72">Q47/S47</f>
        <v>14894.108766219691</v>
      </c>
      <c r="U47" s="142">
        <f>S47/23</f>
        <v>6970.090869565217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130796465.25</v>
      </c>
      <c r="G48" s="190">
        <f t="shared" ref="G48" si="73">F48/F47-1</f>
        <v>0.25992022151239125</v>
      </c>
      <c r="H48" s="190">
        <f t="shared" ref="H48" si="74">F48/F36-1</f>
        <v>0.4928705600324641</v>
      </c>
      <c r="I48" s="130">
        <f t="shared" ref="I48" si="75">T48</f>
        <v>17675.864434618547</v>
      </c>
      <c r="J48" s="130">
        <f t="shared" si="5"/>
        <v>-5.8883605367266667E-2</v>
      </c>
      <c r="K48" s="136"/>
      <c r="L48" s="190"/>
      <c r="M48" s="190"/>
      <c r="N48" s="191"/>
      <c r="O48" s="192"/>
      <c r="P48" s="129" t="s">
        <v>1070</v>
      </c>
      <c r="Q48" s="116">
        <v>2615929305</v>
      </c>
      <c r="R48" s="116">
        <v>3630080670579</v>
      </c>
      <c r="S48" s="116">
        <v>147994.42000000001</v>
      </c>
      <c r="T48" s="130">
        <f t="shared" ref="T48" si="76">Q48/S48</f>
        <v>17675.864434618547</v>
      </c>
      <c r="U48" s="142">
        <f>S48/20</f>
        <v>7399.7210000000005</v>
      </c>
    </row>
    <row r="49" spans="1:26" ht="13.2">
      <c r="A49" s="129" t="s">
        <v>1158</v>
      </c>
      <c r="B49" s="188">
        <f>SUM(F47:F49)</f>
        <v>355248877.45355731</v>
      </c>
      <c r="C49" s="188">
        <f>AVERAGE(F47:F49)</f>
        <v>118416292.48451911</v>
      </c>
      <c r="D49" s="190">
        <f>C49/C46-1</f>
        <v>8.1532368377638553E-2</v>
      </c>
      <c r="E49" s="287">
        <f>C49/C37-1</f>
        <v>0.27385623246914981</v>
      </c>
      <c r="F49" s="136">
        <f>Q49/22</f>
        <v>120639120.68181819</v>
      </c>
      <c r="G49" s="190">
        <f t="shared" ref="G49" si="77">F49/F48-1</f>
        <v>-7.7657638138518559E-2</v>
      </c>
      <c r="H49" s="190">
        <f t="shared" ref="H49" si="78">F49/F37-1</f>
        <v>0.14998889309482943</v>
      </c>
      <c r="I49" s="130">
        <f t="shared" ref="I49" si="79">T49</f>
        <v>16595.17059683098</v>
      </c>
      <c r="J49" s="130">
        <f t="shared" si="5"/>
        <v>6.6789381144691351E-2</v>
      </c>
      <c r="K49" s="136">
        <f>Q47+Q48+Q49</f>
        <v>7657695665</v>
      </c>
      <c r="L49" s="190">
        <f>K49/K46-1</f>
        <v>0.15327501957956424</v>
      </c>
      <c r="M49" s="190">
        <f>K49/K37-1</f>
        <v>0.34006666321022583</v>
      </c>
      <c r="N49" s="191">
        <f>AVERAGE(T47:T49)</f>
        <v>16388.38126588974</v>
      </c>
      <c r="O49" s="192">
        <f>N49/N46-1</f>
        <v>0.1740725276687658</v>
      </c>
      <c r="P49" s="129" t="s">
        <v>1157</v>
      </c>
      <c r="Q49" s="116">
        <v>2654060655</v>
      </c>
      <c r="R49" s="116">
        <v>3688423718729</v>
      </c>
      <c r="S49" s="116">
        <v>159929.70000000001</v>
      </c>
      <c r="T49" s="130">
        <f t="shared" ref="T49" si="80">Q49/S49</f>
        <v>16595.17059683098</v>
      </c>
      <c r="U49" s="142">
        <f>S49/22</f>
        <v>7269.5318181818184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158626477.1111111</v>
      </c>
      <c r="G50" s="190">
        <f t="shared" ref="G50" si="81">F50/F49-1</f>
        <v>0.31488422838793184</v>
      </c>
      <c r="H50" s="190">
        <f t="shared" ref="H50" si="82">F50/F38-1</f>
        <v>0.65924343176911648</v>
      </c>
      <c r="I50" s="130">
        <f t="shared" ref="I50" si="83">T50</f>
        <v>20706.266857112027</v>
      </c>
      <c r="J50" s="130">
        <f t="shared" ref="J50" si="84">I50/I38-1</f>
        <v>3.4866080780670661E-2</v>
      </c>
      <c r="K50" s="136"/>
      <c r="L50" s="190"/>
      <c r="M50" s="190"/>
      <c r="N50" s="191"/>
      <c r="O50" s="192"/>
      <c r="P50" s="129" t="s">
        <v>1330</v>
      </c>
      <c r="Q50" s="116">
        <v>2855276588</v>
      </c>
      <c r="R50" s="116">
        <v>4031902913751</v>
      </c>
      <c r="S50" s="116">
        <v>137894.32</v>
      </c>
      <c r="T50" s="130">
        <f t="shared" ref="T50" si="85">Q50/S50</f>
        <v>20706.266857112027</v>
      </c>
      <c r="U50" s="121">
        <f>S50/18</f>
        <v>7660.7955555555563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180210482.80000001</v>
      </c>
      <c r="G51" s="190">
        <f t="shared" ref="G51:G52" si="86">F51/F50-1</f>
        <v>0.13606811474335534</v>
      </c>
      <c r="H51" s="190">
        <f t="shared" ref="H51:H52" si="87">F51/F39-1</f>
        <v>1.0735777959727177</v>
      </c>
      <c r="I51" s="130">
        <f t="shared" ref="I51:I52" si="88">T51</f>
        <v>24267.118136286012</v>
      </c>
      <c r="J51" s="130">
        <f>I51/I39-1</f>
        <v>0.42196423356228752</v>
      </c>
      <c r="K51" s="136"/>
      <c r="L51" s="190"/>
      <c r="M51" s="190"/>
      <c r="N51" s="191"/>
      <c r="O51" s="192"/>
      <c r="P51" s="129" t="s">
        <v>1402</v>
      </c>
      <c r="Q51" s="116">
        <v>3604209656</v>
      </c>
      <c r="R51" s="116">
        <v>5226855567631</v>
      </c>
      <c r="S51" s="116">
        <v>148522.35999999999</v>
      </c>
      <c r="T51" s="130">
        <f t="shared" ref="T51:T52" si="89">Q51/S51</f>
        <v>24267.118136286012</v>
      </c>
      <c r="U51" s="121">
        <f>S51/20</f>
        <v>7426.1179999999995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527754985.22929293</v>
      </c>
      <c r="C52" s="188">
        <f>AVERAGE(F50:F52)</f>
        <v>175918328.40976432</v>
      </c>
      <c r="D52" s="190">
        <f>C52/C49-1</f>
        <v>0.4855922670671573</v>
      </c>
      <c r="E52" s="287">
        <f>C52/C40-1</f>
        <v>0.86920918280277282</v>
      </c>
      <c r="F52" s="136">
        <f>Q52/22</f>
        <v>188918025.31818181</v>
      </c>
      <c r="G52" s="190">
        <f t="shared" si="86"/>
        <v>4.831873475332471E-2</v>
      </c>
      <c r="H52" s="190">
        <f t="shared" si="87"/>
        <v>0.8923663204180341</v>
      </c>
      <c r="I52" s="130">
        <f t="shared" si="88"/>
        <v>23723.683964330081</v>
      </c>
      <c r="J52" s="130">
        <f t="shared" ref="J52" si="90">I52/I40-1</f>
        <v>0.53411909920329537</v>
      </c>
      <c r="K52" s="136">
        <f>Q50+Q51+Q52</f>
        <v>10615682801</v>
      </c>
      <c r="L52" s="190">
        <f>K52/K49-1</f>
        <v>0.38627640290272613</v>
      </c>
      <c r="M52" s="190">
        <f>K52/K40-1</f>
        <v>0.81975875556040978</v>
      </c>
      <c r="N52" s="191">
        <f>AVERAGE(T50:T52)</f>
        <v>22899.022985909371</v>
      </c>
      <c r="O52" s="192">
        <f>N52/N49-1</f>
        <v>0.3972717997213473</v>
      </c>
      <c r="P52" s="129" t="s">
        <v>1403</v>
      </c>
      <c r="Q52" s="116">
        <v>4156196557</v>
      </c>
      <c r="R52" s="116">
        <v>6116349352276</v>
      </c>
      <c r="S52" s="116">
        <v>175191.87</v>
      </c>
      <c r="T52" s="130">
        <f t="shared" si="89"/>
        <v>23723.683964330081</v>
      </c>
      <c r="U52" s="121">
        <f>S52/22</f>
        <v>7963.2668181818181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240922803.09523809</v>
      </c>
      <c r="G53" s="190">
        <f t="shared" ref="G53" si="91">F53/F52-1</f>
        <v>0.27527694982767348</v>
      </c>
      <c r="H53" s="190">
        <f t="shared" ref="H53" si="92">F53/F41-1</f>
        <v>1.3615591564493377</v>
      </c>
      <c r="I53" s="130">
        <f t="shared" ref="I53" si="93">T53</f>
        <v>35524.369057846176</v>
      </c>
      <c r="J53" s="130">
        <f t="shared" ref="J53" si="94">I53/I41-1</f>
        <v>1.4183049678125967</v>
      </c>
      <c r="K53" s="136"/>
      <c r="L53" s="190"/>
      <c r="M53" s="190"/>
      <c r="N53" s="191"/>
      <c r="O53" s="192"/>
      <c r="P53" s="129" t="s">
        <v>1414</v>
      </c>
      <c r="Q53" s="116">
        <v>5059378865</v>
      </c>
      <c r="R53" s="116">
        <v>7377496030083</v>
      </c>
      <c r="S53" s="116">
        <v>142419.95000000001</v>
      </c>
      <c r="T53" s="130">
        <f t="shared" ref="T53" si="95">Q53/S53</f>
        <v>35524.369057846176</v>
      </c>
      <c r="U53" s="121">
        <f>S53/22</f>
        <v>6473.6340909090914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381810415.2352941</v>
      </c>
      <c r="G54" s="190">
        <f t="shared" ref="G54" si="96">F54/F53-1</f>
        <v>0.58478321823427559</v>
      </c>
      <c r="H54" s="190">
        <f t="shared" ref="H54" si="97">F54/F42-1</f>
        <v>3.5414202090833067</v>
      </c>
      <c r="I54" s="130">
        <f t="shared" ref="I54" si="98">T54</f>
        <v>48169.418048025909</v>
      </c>
      <c r="J54" s="130">
        <f t="shared" ref="J54" si="99">I54/I42-1</f>
        <v>2.5955143025879823</v>
      </c>
      <c r="K54" s="136"/>
      <c r="L54" s="190"/>
      <c r="M54" s="190"/>
      <c r="N54" s="191"/>
      <c r="O54" s="192"/>
      <c r="P54" s="129" t="s">
        <v>1417</v>
      </c>
      <c r="Q54" s="116">
        <v>6490777059</v>
      </c>
      <c r="R54" s="116">
        <v>9409646852694</v>
      </c>
      <c r="S54" s="116">
        <v>134748.92000000001</v>
      </c>
      <c r="T54" s="130">
        <f t="shared" ref="T54" si="100">Q54/S54</f>
        <v>48169.418048025909</v>
      </c>
      <c r="U54" s="121">
        <f>S54/7</f>
        <v>19249.845714285715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1004278164.8543417</v>
      </c>
      <c r="C55" s="188">
        <f>AVERAGE(F53:F55)</f>
        <v>334759388.28478056</v>
      </c>
      <c r="D55" s="190">
        <f>C55/C52-1</f>
        <v>0.90292501816541693</v>
      </c>
      <c r="E55" s="287">
        <f>C55/C43-1</f>
        <v>2.4461342728202036</v>
      </c>
      <c r="F55" s="136">
        <f>Q55/21</f>
        <v>381544946.52380955</v>
      </c>
      <c r="G55" s="190">
        <f t="shared" ref="G55" si="101">F55/F54-1</f>
        <v>-6.9528933966078732E-4</v>
      </c>
      <c r="H55" s="190">
        <f t="shared" ref="H55" si="102">F55/F43-1</f>
        <v>2.6223694299935958</v>
      </c>
      <c r="I55" s="130">
        <f>T55</f>
        <v>55148.495734659853</v>
      </c>
      <c r="J55" s="130">
        <f t="shared" ref="J55" si="103">I55/I43-1</f>
        <v>2.8829904775606692</v>
      </c>
      <c r="K55" s="136">
        <f>Q53+Q54+Q55</f>
        <v>19562599801</v>
      </c>
      <c r="L55" s="190">
        <f>K55/K52-1</f>
        <v>0.84280184023181226</v>
      </c>
      <c r="M55" s="190">
        <f>K55/K43-1</f>
        <v>2.478168936394789</v>
      </c>
      <c r="N55" s="191">
        <f>AVERAGE(T53:T55)</f>
        <v>46280.760946843984</v>
      </c>
      <c r="O55" s="192">
        <f>N55/N52-1</f>
        <v>1.0210801559229088</v>
      </c>
      <c r="P55" s="129" t="s">
        <v>1418</v>
      </c>
      <c r="Q55" s="116">
        <v>8012443877</v>
      </c>
      <c r="R55" s="116">
        <v>11783719630409</v>
      </c>
      <c r="S55" s="116">
        <v>145288.53</v>
      </c>
      <c r="T55" s="130">
        <f t="shared" ref="T55" si="104">Q55/S55</f>
        <v>55148.495734659853</v>
      </c>
      <c r="U55" s="121">
        <f>S55/7</f>
        <v>20755.504285714287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136">
        <f>Q56/22</f>
        <v>420365728.81818181</v>
      </c>
      <c r="G56" s="190">
        <f t="shared" ref="G56" si="105">F56/F55-1</f>
        <v>0.10174628873494918</v>
      </c>
      <c r="H56" s="190">
        <f t="shared" ref="H56" si="106">F56/F44-1</f>
        <v>3.3968628881765968</v>
      </c>
      <c r="I56" s="130">
        <f>T56</f>
        <v>66478.838290958913</v>
      </c>
      <c r="J56" s="130">
        <f t="shared" ref="J56" si="107">I56/I44-1</f>
        <v>3.2356447856119175</v>
      </c>
      <c r="K56" s="136"/>
      <c r="L56" s="190"/>
      <c r="M56" s="190"/>
      <c r="N56" s="191"/>
      <c r="O56" s="192"/>
      <c r="P56" s="129" t="s">
        <v>1420</v>
      </c>
      <c r="Q56" s="116">
        <v>9248046034</v>
      </c>
      <c r="R56" s="116">
        <v>13813263429934</v>
      </c>
      <c r="S56" s="116">
        <v>139112.63</v>
      </c>
      <c r="T56" s="130">
        <f t="shared" ref="T56" si="108">Q56/S56</f>
        <v>66478.838290958913</v>
      </c>
      <c r="U56" s="121">
        <f>S56/7</f>
        <v>19873.232857142859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79">
        <f>Q57/12</f>
        <v>623968941.5</v>
      </c>
      <c r="G57" s="254">
        <f t="shared" ref="G57" si="109">F57/F56-1</f>
        <v>0.4843477922289936</v>
      </c>
      <c r="H57" s="254">
        <f t="shared" ref="H57" si="110">F57/F45-1</f>
        <v>4.5589943334287968</v>
      </c>
      <c r="I57" s="281">
        <f>T57</f>
        <v>82819.884199031119</v>
      </c>
      <c r="J57" s="277">
        <f t="shared" ref="J57" si="111">I57/I45-1</f>
        <v>4.9069376671878429</v>
      </c>
      <c r="K57" s="204"/>
      <c r="L57" s="254"/>
      <c r="M57" s="254"/>
      <c r="N57" s="257"/>
      <c r="O57" s="258"/>
      <c r="P57" s="129" t="s">
        <v>1436</v>
      </c>
      <c r="Q57" s="116">
        <v>7487627298</v>
      </c>
      <c r="R57" s="116">
        <v>11034488337599</v>
      </c>
      <c r="S57" s="116">
        <v>90408.57</v>
      </c>
      <c r="T57" s="130">
        <f t="shared" ref="T57" si="112">Q57/S57</f>
        <v>82819.884199031119</v>
      </c>
      <c r="U57" s="121">
        <f>S57/7</f>
        <v>12915.51</v>
      </c>
      <c r="V57" s="79"/>
      <c r="W57" s="79"/>
      <c r="X57" s="79"/>
      <c r="Y57" s="79"/>
      <c r="Z57" s="79"/>
    </row>
    <row r="58" spans="1:26">
      <c r="B58" s="196">
        <f>SUM(F56:F58)</f>
        <v>1044334670.3181818</v>
      </c>
      <c r="C58" s="196">
        <f>AVERAGE(F56:F58)</f>
        <v>522167335.15909088</v>
      </c>
      <c r="D58" s="197">
        <f>C58/C55-1</f>
        <v>0.5598288007232286</v>
      </c>
      <c r="E58" s="233">
        <f>C58/C46-1</f>
        <v>3.7691146449115678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36298273133</v>
      </c>
      <c r="R65" s="212">
        <v>53418614280719</v>
      </c>
      <c r="S65" s="213">
        <v>651978.62</v>
      </c>
      <c r="T65" s="214">
        <v>109</v>
      </c>
      <c r="U65" s="214">
        <v>260</v>
      </c>
    </row>
    <row r="66" spans="16:21" ht="18" thickBot="1">
      <c r="P66" s="180" t="s">
        <v>976</v>
      </c>
      <c r="Q66" s="181">
        <v>5059378865</v>
      </c>
      <c r="R66" s="181">
        <v>7377496030083</v>
      </c>
      <c r="S66" s="182">
        <v>142419.95000000001</v>
      </c>
      <c r="T66" s="210">
        <v>58</v>
      </c>
      <c r="U66" s="210">
        <v>137</v>
      </c>
    </row>
    <row r="67" spans="16:21" ht="18" thickBot="1">
      <c r="P67" s="180" t="s">
        <v>977</v>
      </c>
      <c r="Q67" s="181">
        <v>6490777059</v>
      </c>
      <c r="R67" s="181">
        <v>9409646852694</v>
      </c>
      <c r="S67" s="182">
        <v>134748.92000000001</v>
      </c>
      <c r="T67" s="210">
        <v>40</v>
      </c>
      <c r="U67" s="210">
        <v>108</v>
      </c>
    </row>
    <row r="68" spans="16:21" ht="18" thickBot="1">
      <c r="P68" s="180" t="s">
        <v>978</v>
      </c>
      <c r="Q68" s="181">
        <v>8012443877</v>
      </c>
      <c r="R68" s="181">
        <v>11783719630409</v>
      </c>
      <c r="S68" s="182">
        <v>145288.53</v>
      </c>
      <c r="T68" s="210">
        <v>60</v>
      </c>
      <c r="U68" s="210">
        <v>141</v>
      </c>
    </row>
    <row r="69" spans="16:21" ht="18" thickBot="1">
      <c r="P69" s="180" t="s">
        <v>979</v>
      </c>
      <c r="Q69" s="181">
        <v>9248046034</v>
      </c>
      <c r="R69" s="181">
        <v>13813263429934</v>
      </c>
      <c r="S69" s="182">
        <v>139112.63</v>
      </c>
      <c r="T69" s="210">
        <v>57</v>
      </c>
      <c r="U69" s="210">
        <v>148</v>
      </c>
    </row>
    <row r="70" spans="16:21" ht="18" thickBot="1">
      <c r="P70" s="180" t="s">
        <v>980</v>
      </c>
      <c r="Q70" s="181">
        <v>7487627298</v>
      </c>
      <c r="R70" s="181">
        <v>11034488337599</v>
      </c>
      <c r="S70" s="182">
        <v>90408.57</v>
      </c>
      <c r="T70" s="210">
        <v>49</v>
      </c>
      <c r="U70" s="210">
        <v>107</v>
      </c>
    </row>
    <row r="71" spans="16:21" ht="18" thickBot="1">
      <c r="P71" s="215" t="s">
        <v>975</v>
      </c>
      <c r="Q71" s="217" t="s">
        <v>1459</v>
      </c>
      <c r="R71"/>
      <c r="S71"/>
      <c r="T71"/>
      <c r="U71"/>
    </row>
  </sheetData>
  <phoneticPr fontId="1" type="noConversion"/>
  <conditionalFormatting sqref="C29:C30">
    <cfRule type="cellIs" dxfId="257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>
    <tabColor rgb="FFFF0000"/>
  </sheetPr>
  <dimension ref="A1:Z70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>
        <v>8542321030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26112557.25</v>
      </c>
      <c r="G5" s="90"/>
      <c r="H5" s="90"/>
      <c r="I5" s="130">
        <f t="shared" ref="I5:I49" si="0">T5</f>
        <v>10911.979227063739</v>
      </c>
      <c r="J5" s="130"/>
      <c r="K5" s="85"/>
      <c r="L5" s="80"/>
      <c r="M5" s="80"/>
      <c r="P5" s="129" t="s">
        <v>0</v>
      </c>
      <c r="Q5" s="116">
        <v>522251145</v>
      </c>
      <c r="R5" s="116"/>
      <c r="S5" s="116">
        <v>47860.35</v>
      </c>
      <c r="T5" s="130">
        <f t="shared" ref="T5:T19" si="1">Q5/S5</f>
        <v>10911.979227063739</v>
      </c>
      <c r="U5" s="78">
        <f t="shared" ref="U5:U21" si="2">S5/20</f>
        <v>2393.0174999999999</v>
      </c>
    </row>
    <row r="6" spans="1:21" ht="15" hidden="1" customHeight="1">
      <c r="A6" s="129" t="s">
        <v>1</v>
      </c>
      <c r="C6" s="79"/>
      <c r="F6" s="78">
        <f>Q6/18</f>
        <v>34954580.611111112</v>
      </c>
      <c r="G6" s="90">
        <f t="shared" ref="G6:G16" si="3">F6/F5-1</f>
        <v>0.33861192821745223</v>
      </c>
      <c r="H6" s="90"/>
      <c r="I6" s="130">
        <f t="shared" si="0"/>
        <v>13784.046492878848</v>
      </c>
      <c r="J6" s="130"/>
      <c r="K6" s="85"/>
      <c r="P6" s="129" t="s">
        <v>1</v>
      </c>
      <c r="Q6" s="116">
        <v>629182451</v>
      </c>
      <c r="R6" s="116"/>
      <c r="S6" s="116">
        <v>45645.7</v>
      </c>
      <c r="T6" s="130">
        <f t="shared" si="1"/>
        <v>13784.046492878848</v>
      </c>
      <c r="U6" s="78">
        <f t="shared" si="2"/>
        <v>2282.2849999999999</v>
      </c>
    </row>
    <row r="7" spans="1:21" ht="15" hidden="1" customHeight="1">
      <c r="A7" s="129" t="s">
        <v>2</v>
      </c>
      <c r="B7" s="131">
        <f>F5+F6+F7</f>
        <v>94981519.133838385</v>
      </c>
      <c r="C7" s="131">
        <f>AVERAGE(F5:F7)</f>
        <v>31660506.377946127</v>
      </c>
      <c r="F7" s="78">
        <f>Q7/22</f>
        <v>33914381.272727273</v>
      </c>
      <c r="G7" s="90">
        <f t="shared" si="3"/>
        <v>-2.9758598735788788E-2</v>
      </c>
      <c r="H7" s="90"/>
      <c r="I7" s="130">
        <f t="shared" si="0"/>
        <v>14076.692953525671</v>
      </c>
      <c r="J7" s="130"/>
      <c r="K7" s="85">
        <f>Q5+Q6+Q7</f>
        <v>1897549984</v>
      </c>
      <c r="L7" s="102">
        <f>R5+R6+R7</f>
        <v>0</v>
      </c>
      <c r="M7" s="102">
        <f>S5+S6+S7</f>
        <v>146509.71999999997</v>
      </c>
      <c r="N7" s="88">
        <f>AVERAGE(T5:T7)</f>
        <v>12924.239557822753</v>
      </c>
      <c r="P7" s="129" t="s">
        <v>2</v>
      </c>
      <c r="Q7" s="116">
        <v>746116388</v>
      </c>
      <c r="R7" s="116"/>
      <c r="S7" s="116">
        <v>53003.67</v>
      </c>
      <c r="T7" s="130">
        <f t="shared" si="1"/>
        <v>14076.692953525671</v>
      </c>
      <c r="U7" s="78">
        <f t="shared" si="2"/>
        <v>2650.1835000000001</v>
      </c>
    </row>
    <row r="8" spans="1:21" ht="15" hidden="1" customHeight="1">
      <c r="A8" s="129" t="s">
        <v>3</v>
      </c>
      <c r="C8" s="79"/>
      <c r="F8" s="78">
        <f>Q8/21</f>
        <v>35334201.285714284</v>
      </c>
      <c r="G8" s="90">
        <f t="shared" si="3"/>
        <v>4.1864836087361468E-2</v>
      </c>
      <c r="H8" s="90"/>
      <c r="I8" s="130">
        <f t="shared" si="0"/>
        <v>13884.88454122624</v>
      </c>
      <c r="J8" s="130"/>
      <c r="K8" s="85"/>
      <c r="L8" s="90"/>
      <c r="P8" s="129" t="s">
        <v>3</v>
      </c>
      <c r="Q8" s="116">
        <v>742018227</v>
      </c>
      <c r="R8" s="116"/>
      <c r="S8" s="116">
        <v>53440.72</v>
      </c>
      <c r="T8" s="130">
        <f t="shared" si="1"/>
        <v>13884.88454122624</v>
      </c>
      <c r="U8" s="78">
        <f t="shared" si="2"/>
        <v>2672.0360000000001</v>
      </c>
    </row>
    <row r="9" spans="1:21" ht="15" hidden="1" customHeight="1">
      <c r="A9" s="129" t="s">
        <v>4</v>
      </c>
      <c r="C9" s="79"/>
      <c r="F9" s="78">
        <f>Q9/21</f>
        <v>38254285.809523806</v>
      </c>
      <c r="G9" s="90">
        <f t="shared" si="3"/>
        <v>8.2641871545292789E-2</v>
      </c>
      <c r="H9" s="90"/>
      <c r="I9" s="130">
        <f t="shared" si="0"/>
        <v>13605.340825354093</v>
      </c>
      <c r="J9" s="130"/>
      <c r="K9" s="85"/>
      <c r="L9" s="90"/>
      <c r="P9" s="129" t="s">
        <v>4</v>
      </c>
      <c r="Q9" s="116">
        <v>803340002</v>
      </c>
      <c r="R9" s="116"/>
      <c r="S9" s="116">
        <v>59045.93</v>
      </c>
      <c r="T9" s="130">
        <f t="shared" si="1"/>
        <v>13605.340825354093</v>
      </c>
      <c r="U9" s="78">
        <f t="shared" si="2"/>
        <v>2952.2964999999999</v>
      </c>
    </row>
    <row r="10" spans="1:21" ht="15" hidden="1" customHeight="1">
      <c r="A10" s="129" t="s">
        <v>5</v>
      </c>
      <c r="B10" s="131">
        <f>F8+F9+F10</f>
        <v>111039983.47619048</v>
      </c>
      <c r="C10" s="131">
        <f>AVERAGE(F8:F10)</f>
        <v>37013327.825396828</v>
      </c>
      <c r="D10" s="90">
        <f>C10/C7-1</f>
        <v>0.16906935674216927</v>
      </c>
      <c r="E10" s="286"/>
      <c r="F10" s="78">
        <f>Q10/21</f>
        <v>37451496.380952381</v>
      </c>
      <c r="G10" s="90">
        <f t="shared" si="3"/>
        <v>-2.0985607536072814E-2</v>
      </c>
      <c r="H10" s="90"/>
      <c r="I10" s="130">
        <f t="shared" si="0"/>
        <v>16589.512691329692</v>
      </c>
      <c r="J10" s="130"/>
      <c r="K10" s="85">
        <f>Q8+Q9+Q10</f>
        <v>2331839653</v>
      </c>
      <c r="L10" s="102">
        <f>K10/K7-1</f>
        <v>0.22886863200542695</v>
      </c>
      <c r="M10" s="102">
        <f>S8+S9+S10</f>
        <v>159895</v>
      </c>
      <c r="N10" s="88">
        <f>AVERAGE(T8:T10)</f>
        <v>14693.246019303342</v>
      </c>
      <c r="O10" s="89">
        <f>N10/N7-1</f>
        <v>0.1368750906825964</v>
      </c>
      <c r="P10" s="129" t="s">
        <v>5</v>
      </c>
      <c r="Q10" s="116">
        <v>786481424</v>
      </c>
      <c r="R10" s="116"/>
      <c r="S10" s="116">
        <v>47408.35</v>
      </c>
      <c r="T10" s="130">
        <f t="shared" si="1"/>
        <v>16589.512691329692</v>
      </c>
      <c r="U10" s="78">
        <f t="shared" si="2"/>
        <v>2370.4175</v>
      </c>
    </row>
    <row r="11" spans="1:21" ht="15" hidden="1" customHeight="1">
      <c r="A11" s="129" t="s">
        <v>6</v>
      </c>
      <c r="C11" s="79"/>
      <c r="F11" s="78">
        <f>Q11/21</f>
        <v>35150712.666666664</v>
      </c>
      <c r="G11" s="90">
        <f t="shared" si="3"/>
        <v>-6.1433692552158803E-2</v>
      </c>
      <c r="H11" s="90"/>
      <c r="I11" s="130">
        <f t="shared" si="0"/>
        <v>18335.971732150952</v>
      </c>
      <c r="J11" s="130"/>
      <c r="K11" s="85"/>
      <c r="L11" s="90"/>
      <c r="O11" s="89"/>
      <c r="P11" s="129" t="s">
        <v>6</v>
      </c>
      <c r="Q11" s="116">
        <v>738164966</v>
      </c>
      <c r="R11" s="116"/>
      <c r="S11" s="116">
        <v>40257.75</v>
      </c>
      <c r="T11" s="130">
        <f t="shared" si="1"/>
        <v>18335.971732150952</v>
      </c>
      <c r="U11" s="78">
        <f t="shared" si="2"/>
        <v>2012.8875</v>
      </c>
    </row>
    <row r="12" spans="1:21" ht="15" hidden="1" customHeight="1">
      <c r="A12" s="129" t="s">
        <v>7</v>
      </c>
      <c r="C12" s="79"/>
      <c r="F12" s="78">
        <f>Q12/22</f>
        <v>28114984.045454547</v>
      </c>
      <c r="G12" s="90">
        <f t="shared" si="3"/>
        <v>-0.2001589181969583</v>
      </c>
      <c r="H12" s="90"/>
      <c r="I12" s="130">
        <f t="shared" si="0"/>
        <v>15769.786155632808</v>
      </c>
      <c r="J12" s="130"/>
      <c r="K12" s="85"/>
      <c r="L12" s="90"/>
      <c r="O12" s="89"/>
      <c r="P12" s="129" t="s">
        <v>7</v>
      </c>
      <c r="Q12" s="116">
        <v>618529649</v>
      </c>
      <c r="R12" s="116"/>
      <c r="S12" s="116">
        <v>39222.449999999997</v>
      </c>
      <c r="T12" s="130">
        <f t="shared" si="1"/>
        <v>15769.786155632808</v>
      </c>
      <c r="U12" s="78">
        <f t="shared" si="2"/>
        <v>1961.1224999999999</v>
      </c>
    </row>
    <row r="13" spans="1:21" ht="15" hidden="1" customHeight="1">
      <c r="A13" s="129" t="s">
        <v>96</v>
      </c>
      <c r="B13" s="131">
        <f>F11+F12+F13</f>
        <v>96922398.012121201</v>
      </c>
      <c r="C13" s="131">
        <f>AVERAGE(F11:F13)</f>
        <v>32307466.004040401</v>
      </c>
      <c r="D13" s="90">
        <f>C13/C10-1</f>
        <v>-0.12713965746488443</v>
      </c>
      <c r="E13" s="286"/>
      <c r="F13" s="78">
        <f>Q13/20</f>
        <v>33656701.299999997</v>
      </c>
      <c r="G13" s="90">
        <f t="shared" si="3"/>
        <v>0.19710903074267971</v>
      </c>
      <c r="H13" s="90"/>
      <c r="I13" s="130">
        <f t="shared" si="0"/>
        <v>11345.552729376823</v>
      </c>
      <c r="J13" s="130"/>
      <c r="K13" s="85">
        <f>Q11+Q12+Q13</f>
        <v>2029828641</v>
      </c>
      <c r="L13" s="102">
        <f>K13/K10-1</f>
        <v>-0.12951620048636336</v>
      </c>
      <c r="M13" s="102">
        <f>S11+S12+S13</f>
        <v>138810.41</v>
      </c>
      <c r="N13" s="88">
        <f>AVERAGE(T11:T13)</f>
        <v>15150.436872386861</v>
      </c>
      <c r="O13" s="89">
        <f>N13/N10-1</f>
        <v>3.111571483135056E-2</v>
      </c>
      <c r="P13" s="129" t="s">
        <v>96</v>
      </c>
      <c r="Q13" s="116">
        <v>673134026</v>
      </c>
      <c r="R13" s="116"/>
      <c r="S13" s="116">
        <v>59330.21</v>
      </c>
      <c r="T13" s="130">
        <f t="shared" si="1"/>
        <v>11345.552729376823</v>
      </c>
      <c r="U13" s="78">
        <f t="shared" si="2"/>
        <v>2966.5104999999999</v>
      </c>
    </row>
    <row r="14" spans="1:21" ht="15" hidden="1" customHeight="1">
      <c r="A14" s="129" t="s">
        <v>97</v>
      </c>
      <c r="C14" s="79"/>
      <c r="F14" s="78">
        <f>Q14/20</f>
        <v>28343188.149999999</v>
      </c>
      <c r="G14" s="90">
        <f t="shared" si="3"/>
        <v>-0.15787385408444643</v>
      </c>
      <c r="H14" s="90"/>
      <c r="I14" s="130">
        <f t="shared" si="0"/>
        <v>8066.6422522127405</v>
      </c>
      <c r="J14" s="130"/>
      <c r="K14" s="85"/>
      <c r="L14" s="90"/>
      <c r="O14" s="89"/>
      <c r="P14" s="129" t="s">
        <v>97</v>
      </c>
      <c r="Q14" s="116">
        <v>566863763</v>
      </c>
      <c r="R14" s="116"/>
      <c r="S14" s="116">
        <v>70272.58</v>
      </c>
      <c r="T14" s="130">
        <f t="shared" si="1"/>
        <v>8066.6422522127405</v>
      </c>
      <c r="U14" s="78">
        <f t="shared" si="2"/>
        <v>3513.6289999999999</v>
      </c>
    </row>
    <row r="15" spans="1:21" ht="15" hidden="1" customHeight="1">
      <c r="A15" s="129" t="s">
        <v>98</v>
      </c>
      <c r="B15" s="131"/>
      <c r="C15" s="131"/>
      <c r="F15" s="78">
        <f>Q15/22</f>
        <v>23496354.636363637</v>
      </c>
      <c r="G15" s="90">
        <f t="shared" si="3"/>
        <v>-0.17100523370855736</v>
      </c>
      <c r="H15" s="90"/>
      <c r="I15" s="130">
        <f t="shared" si="0"/>
        <v>10803.899328821188</v>
      </c>
      <c r="J15" s="130"/>
      <c r="K15" s="78"/>
      <c r="L15" s="90"/>
      <c r="O15" s="89"/>
      <c r="P15" s="129" t="s">
        <v>98</v>
      </c>
      <c r="Q15" s="116">
        <v>516919802</v>
      </c>
      <c r="R15" s="116"/>
      <c r="S15" s="116">
        <v>47845.67</v>
      </c>
      <c r="T15" s="130">
        <f t="shared" si="1"/>
        <v>10803.899328821188</v>
      </c>
      <c r="U15" s="78">
        <f t="shared" si="2"/>
        <v>2392.2835</v>
      </c>
    </row>
    <row r="16" spans="1:21" ht="15" hidden="1" customHeight="1">
      <c r="A16" s="129" t="s">
        <v>99</v>
      </c>
      <c r="B16" s="131">
        <f>F14+F15+F16</f>
        <v>67595069.240909085</v>
      </c>
      <c r="C16" s="131">
        <f>AVERAGE(F14:F16)</f>
        <v>22531689.746969696</v>
      </c>
      <c r="D16" s="90">
        <f>C16/C13-1</f>
        <v>-0.30258567031682826</v>
      </c>
      <c r="E16" s="286"/>
      <c r="F16" s="78">
        <f>Q16/22</f>
        <v>15755526.454545455</v>
      </c>
      <c r="G16" s="90">
        <f t="shared" si="3"/>
        <v>-0.32944804850018106</v>
      </c>
      <c r="H16" s="90"/>
      <c r="I16" s="130">
        <f t="shared" si="0"/>
        <v>8633.1071248088756</v>
      </c>
      <c r="J16" s="130"/>
      <c r="K16" s="85">
        <f>Q14+Q15+Q16</f>
        <v>1430405147</v>
      </c>
      <c r="L16" s="102">
        <f>K16/K13-1</f>
        <v>-0.29530743723504294</v>
      </c>
      <c r="N16" s="88">
        <f>AVERAGE(T14:T16)</f>
        <v>9167.8829019476016</v>
      </c>
      <c r="O16" s="89">
        <f>N16/N13-1</f>
        <v>-0.39487666400848442</v>
      </c>
      <c r="P16" s="129" t="s">
        <v>99</v>
      </c>
      <c r="Q16" s="116">
        <v>346621582</v>
      </c>
      <c r="R16" s="116"/>
      <c r="S16" s="116">
        <v>40150.269999999997</v>
      </c>
      <c r="T16" s="130">
        <f t="shared" si="1"/>
        <v>8633.1071248088756</v>
      </c>
      <c r="U16" s="78">
        <f t="shared" si="2"/>
        <v>2007.5134999999998</v>
      </c>
    </row>
    <row r="17" spans="1:21" ht="15" hidden="1" customHeight="1">
      <c r="A17" s="129" t="s">
        <v>100</v>
      </c>
      <c r="C17" s="79"/>
      <c r="F17" s="78">
        <f>Q17/20</f>
        <v>18210581</v>
      </c>
      <c r="G17" s="90">
        <f t="shared" ref="G17:G22" si="4">F17/F16-1</f>
        <v>0.15582180338672624</v>
      </c>
      <c r="H17" s="90">
        <f t="shared" ref="H17:H22" si="5">F17/F5-1</f>
        <v>-0.30261211777716635</v>
      </c>
      <c r="I17" s="130">
        <f t="shared" si="0"/>
        <v>13356.109381652401</v>
      </c>
      <c r="J17" s="130">
        <f t="shared" ref="J17:J49" si="6">I17/I5-1</f>
        <v>0.22398596109189461</v>
      </c>
      <c r="K17" s="78"/>
      <c r="L17" s="90"/>
      <c r="O17" s="89"/>
      <c r="P17" s="129" t="s">
        <v>100</v>
      </c>
      <c r="Q17" s="116">
        <v>364211620</v>
      </c>
      <c r="R17" s="116">
        <v>457909426432</v>
      </c>
      <c r="S17" s="116">
        <v>27269.29</v>
      </c>
      <c r="T17" s="130">
        <f t="shared" si="1"/>
        <v>13356.109381652401</v>
      </c>
      <c r="U17" s="78">
        <f t="shared" si="2"/>
        <v>1363.4645</v>
      </c>
    </row>
    <row r="18" spans="1:21" ht="15" hidden="1" customHeight="1">
      <c r="A18" s="129" t="s">
        <v>106</v>
      </c>
      <c r="C18" s="79"/>
      <c r="F18" s="78">
        <f>Q18/20</f>
        <v>24603074.75</v>
      </c>
      <c r="G18" s="90">
        <f t="shared" si="4"/>
        <v>0.35103183967606522</v>
      </c>
      <c r="H18" s="90">
        <f t="shared" si="5"/>
        <v>-0.29614161234767178</v>
      </c>
      <c r="I18" s="130">
        <f t="shared" si="0"/>
        <v>10150.162268847083</v>
      </c>
      <c r="J18" s="130">
        <f t="shared" si="6"/>
        <v>-0.26362971322746998</v>
      </c>
      <c r="K18" s="78"/>
      <c r="O18" s="89"/>
      <c r="P18" s="129" t="s">
        <v>106</v>
      </c>
      <c r="Q18" s="116">
        <v>492061495</v>
      </c>
      <c r="R18" s="116">
        <v>620274925462</v>
      </c>
      <c r="S18" s="116">
        <v>48478.19</v>
      </c>
      <c r="T18" s="130">
        <f t="shared" si="1"/>
        <v>10150.162268847083</v>
      </c>
      <c r="U18" s="78">
        <f t="shared" si="2"/>
        <v>2423.9095000000002</v>
      </c>
    </row>
    <row r="19" spans="1:21" hidden="1">
      <c r="A19" s="129" t="s">
        <v>114</v>
      </c>
      <c r="B19" s="131">
        <f>SUM(F17:F19)</f>
        <v>71788387.795454547</v>
      </c>
      <c r="C19" s="131">
        <f>AVERAGE(F17:F19)</f>
        <v>23929462.598484848</v>
      </c>
      <c r="D19" s="90">
        <f>C19/C16-1</f>
        <v>6.2035864474085489E-2</v>
      </c>
      <c r="E19" s="286">
        <f>C19/C7-1</f>
        <v>-0.24418572739084554</v>
      </c>
      <c r="F19" s="78">
        <f>Q19/22</f>
        <v>28974732.045454547</v>
      </c>
      <c r="G19" s="90">
        <f t="shared" si="4"/>
        <v>0.17768743703282652</v>
      </c>
      <c r="H19" s="90">
        <f t="shared" si="5"/>
        <v>-0.14565057777554136</v>
      </c>
      <c r="I19" s="130">
        <f t="shared" si="0"/>
        <v>6987.249371421256</v>
      </c>
      <c r="J19" s="130">
        <f t="shared" si="6"/>
        <v>-0.50362990835349453</v>
      </c>
      <c r="K19" s="85">
        <f>Q17+Q18+Q19</f>
        <v>1493717220</v>
      </c>
      <c r="L19" s="102">
        <f>K19/K16-1</f>
        <v>4.4261636734728604E-2</v>
      </c>
      <c r="M19" s="87">
        <f>U19/U7-1</f>
        <v>0.7211944003122801</v>
      </c>
      <c r="N19" s="88">
        <f>AVERAGE(T17:T19)</f>
        <v>10164.507007306913</v>
      </c>
      <c r="O19" s="89">
        <f>N19/N16-1</f>
        <v>0.10870820624765942</v>
      </c>
      <c r="P19" s="129" t="s">
        <v>114</v>
      </c>
      <c r="Q19" s="116">
        <v>637444105</v>
      </c>
      <c r="R19" s="116">
        <v>833612611570</v>
      </c>
      <c r="S19" s="116">
        <v>91229.62</v>
      </c>
      <c r="T19" s="130">
        <f t="shared" si="1"/>
        <v>6987.249371421256</v>
      </c>
      <c r="U19" s="78">
        <f t="shared" si="2"/>
        <v>4561.4809999999998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17624313.800000001</v>
      </c>
      <c r="G20" s="90">
        <f t="shared" si="4"/>
        <v>-0.39173505479354931</v>
      </c>
      <c r="H20" s="90">
        <f t="shared" si="5"/>
        <v>-0.50121091863690825</v>
      </c>
      <c r="I20" s="130">
        <f t="shared" si="0"/>
        <v>9581.6756434379677</v>
      </c>
      <c r="J20" s="130">
        <f t="shared" si="6"/>
        <v>-0.30992039472934896</v>
      </c>
      <c r="K20" s="78"/>
      <c r="O20" s="89"/>
      <c r="P20" s="129" t="s">
        <v>132</v>
      </c>
      <c r="Q20" s="116">
        <v>352486276</v>
      </c>
      <c r="R20" s="116">
        <v>462395140391</v>
      </c>
      <c r="S20" s="116">
        <v>36787.54</v>
      </c>
      <c r="T20" s="130">
        <f t="shared" ref="T20" si="7">Q20/S20</f>
        <v>9581.6756434379677</v>
      </c>
      <c r="U20" s="78">
        <f t="shared" si="2"/>
        <v>1839.377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17641094.285714287</v>
      </c>
      <c r="G21" s="90">
        <f t="shared" si="4"/>
        <v>9.5212136510447465E-4</v>
      </c>
      <c r="H21" s="90">
        <f t="shared" si="5"/>
        <v>-0.53884659163281645</v>
      </c>
      <c r="I21" s="130">
        <f t="shared" si="0"/>
        <v>9576.0124446319351</v>
      </c>
      <c r="J21" s="130">
        <f t="shared" si="6"/>
        <v>-0.2961578421624943</v>
      </c>
      <c r="K21" s="78"/>
      <c r="O21" s="89"/>
      <c r="P21" s="129" t="s">
        <v>141</v>
      </c>
      <c r="Q21" s="116">
        <v>370462980</v>
      </c>
      <c r="R21" s="116">
        <v>493315759699</v>
      </c>
      <c r="S21" s="116">
        <v>38686.559999999998</v>
      </c>
      <c r="T21" s="130">
        <f t="shared" ref="T21" si="8">Q21/S21</f>
        <v>9576.0124446319351</v>
      </c>
      <c r="U21" s="78">
        <f t="shared" si="2"/>
        <v>1934.328</v>
      </c>
    </row>
    <row r="22" spans="1:21" hidden="1">
      <c r="A22" s="129" t="s">
        <v>156</v>
      </c>
      <c r="B22" s="131">
        <f>SUM(F20:F22)</f>
        <v>57610047.085714288</v>
      </c>
      <c r="C22" s="131">
        <f>AVERAGE(F20:F22)</f>
        <v>19203349.028571431</v>
      </c>
      <c r="D22" s="90">
        <f>C22/C19-1</f>
        <v>-0.19750186827065075</v>
      </c>
      <c r="E22" s="286">
        <f>C22/C10-1</f>
        <v>-0.48117745264193768</v>
      </c>
      <c r="F22" s="78">
        <f>Q22/21</f>
        <v>22344639</v>
      </c>
      <c r="G22" s="90">
        <f t="shared" si="4"/>
        <v>0.26662431695604227</v>
      </c>
      <c r="H22" s="90">
        <f t="shared" si="5"/>
        <v>-0.40337126258687073</v>
      </c>
      <c r="I22" s="130">
        <f t="shared" si="0"/>
        <v>6414.3509657872519</v>
      </c>
      <c r="J22" s="130">
        <f t="shared" si="6"/>
        <v>-0.61334904254664246</v>
      </c>
      <c r="K22" s="85">
        <f>Q20+Q21+Q22</f>
        <v>1192186675</v>
      </c>
      <c r="L22" s="102">
        <f>K22/K19-1</f>
        <v>-0.20186588262000482</v>
      </c>
      <c r="M22" s="87">
        <f>U22/U10-1</f>
        <v>0.54306804602986603</v>
      </c>
      <c r="N22" s="88">
        <f>AVERAGE(T20:T22)</f>
        <v>8524.0130179523858</v>
      </c>
      <c r="O22" s="89">
        <f>N22/N19-1</f>
        <v>-0.16139434880365888</v>
      </c>
      <c r="P22" s="129" t="s">
        <v>156</v>
      </c>
      <c r="Q22" s="116">
        <v>469237419</v>
      </c>
      <c r="R22" s="116">
        <v>610745873085</v>
      </c>
      <c r="S22" s="116">
        <v>73154.31</v>
      </c>
      <c r="T22" s="130">
        <f t="shared" ref="T22:T23" si="9">Q22/S22</f>
        <v>6414.3509657872519</v>
      </c>
      <c r="U22" s="78">
        <f t="shared" ref="U22" si="10">S22/20</f>
        <v>3657.7154999999998</v>
      </c>
    </row>
    <row r="23" spans="1:21" hidden="1">
      <c r="A23" s="129" t="s">
        <v>189</v>
      </c>
      <c r="B23" s="131"/>
      <c r="C23" s="131"/>
      <c r="F23" s="78">
        <f>Q23/21</f>
        <v>16908303.19047619</v>
      </c>
      <c r="G23" s="90">
        <f t="shared" ref="G23" si="11">F23/F22-1</f>
        <v>-0.24329485965397823</v>
      </c>
      <c r="H23" s="90">
        <f t="shared" ref="H23" si="12">F23/F11-1</f>
        <v>-0.51897694505322811</v>
      </c>
      <c r="I23" s="130">
        <f t="shared" si="0"/>
        <v>8282.0100170340429</v>
      </c>
      <c r="J23" s="130">
        <f t="shared" si="6"/>
        <v>-0.54831900168606451</v>
      </c>
      <c r="O23" s="89"/>
      <c r="P23" s="129" t="s">
        <v>189</v>
      </c>
      <c r="Q23" s="116">
        <v>355074367</v>
      </c>
      <c r="R23" s="116">
        <v>458165493536</v>
      </c>
      <c r="S23" s="116">
        <v>42872.97</v>
      </c>
      <c r="T23" s="130">
        <f t="shared" si="9"/>
        <v>8282.0100170340429</v>
      </c>
      <c r="U23" s="78">
        <f>S23/21</f>
        <v>2041.5700000000002</v>
      </c>
    </row>
    <row r="24" spans="1:21" hidden="1">
      <c r="A24" s="129" t="s">
        <v>204</v>
      </c>
      <c r="B24" s="131"/>
      <c r="C24" s="131"/>
      <c r="F24" s="78">
        <f>Q24/22</f>
        <v>25600321.045454547</v>
      </c>
      <c r="G24" s="90">
        <f t="shared" ref="G24" si="13">F24/F23-1</f>
        <v>0.51406801481264197</v>
      </c>
      <c r="H24" s="90">
        <f t="shared" ref="H24" si="14">F24/F12-1</f>
        <v>-8.9442092370902615E-2</v>
      </c>
      <c r="I24" s="130">
        <f t="shared" si="0"/>
        <v>9513.8787032840537</v>
      </c>
      <c r="J24" s="130">
        <f t="shared" si="6"/>
        <v>-0.39670211064429728</v>
      </c>
      <c r="O24" s="89"/>
      <c r="P24" s="129" t="s">
        <v>204</v>
      </c>
      <c r="Q24" s="116">
        <v>563207063</v>
      </c>
      <c r="R24" s="116">
        <v>738732840823</v>
      </c>
      <c r="S24" s="116">
        <v>59198.47</v>
      </c>
      <c r="T24" s="130">
        <f t="shared" ref="T24" si="15">Q24/S24</f>
        <v>9513.8787032840537</v>
      </c>
      <c r="U24" s="78">
        <f>S24/22</f>
        <v>2690.8395454545457</v>
      </c>
    </row>
    <row r="25" spans="1:21" s="79" customFormat="1" ht="13.2" hidden="1">
      <c r="A25" s="129" t="s">
        <v>245</v>
      </c>
      <c r="B25" s="131">
        <f>SUM(F23:F25)</f>
        <v>79932747.972772837</v>
      </c>
      <c r="C25" s="131">
        <f>AVERAGE(F23:F25)</f>
        <v>26644249.324257612</v>
      </c>
      <c r="D25" s="90">
        <f>C25/C22-1</f>
        <v>0.38747930293905219</v>
      </c>
      <c r="E25" s="286">
        <f>C25/C13-1</f>
        <v>-0.1752912679401889</v>
      </c>
      <c r="F25" s="78">
        <f>Q25/19</f>
        <v>37424123.736842103</v>
      </c>
      <c r="G25" s="90">
        <f t="shared" ref="G25" si="16">F25/F24-1</f>
        <v>0.46186150050203878</v>
      </c>
      <c r="H25" s="90">
        <f t="shared" ref="H25" si="17">F25/F13-1</f>
        <v>0.11193677013267211</v>
      </c>
      <c r="I25" s="130">
        <f t="shared" si="0"/>
        <v>8637.9827094168395</v>
      </c>
      <c r="J25" s="130">
        <f t="shared" si="6"/>
        <v>-0.23864593330471451</v>
      </c>
      <c r="K25" s="85">
        <f>Q23+Q24+Q25</f>
        <v>1629339781</v>
      </c>
      <c r="L25" s="102">
        <f>K25/K22-1</f>
        <v>0.36668175812315629</v>
      </c>
      <c r="M25" s="90">
        <f>U25/U13-1</f>
        <v>0.38744899099463814</v>
      </c>
      <c r="N25" s="88">
        <f>AVERAGE(T23:T25)</f>
        <v>8811.2904765783114</v>
      </c>
      <c r="O25" s="91">
        <f>N25/N22-1</f>
        <v>3.3702137481593786E-2</v>
      </c>
      <c r="P25" s="129" t="s">
        <v>245</v>
      </c>
      <c r="Q25" s="116">
        <v>711058351</v>
      </c>
      <c r="R25" s="116">
        <v>943805086160</v>
      </c>
      <c r="S25" s="116">
        <v>82317.64</v>
      </c>
      <c r="T25" s="130">
        <f t="shared" ref="T25" si="18">Q25/S25</f>
        <v>8637.9827094168395</v>
      </c>
      <c r="U25" s="78">
        <f t="shared" ref="U25" si="19">S25/20</f>
        <v>4115.8819999999996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29654343.631578948</v>
      </c>
      <c r="G26" s="90">
        <f t="shared" ref="G26" si="20">F26/F25-1</f>
        <v>-0.20761421589717033</v>
      </c>
      <c r="H26" s="90">
        <f t="shared" ref="H26" si="21">F26/F14-1</f>
        <v>4.6259985808228432E-2</v>
      </c>
      <c r="I26" s="130">
        <f t="shared" si="0"/>
        <v>10309.48307898705</v>
      </c>
      <c r="J26" s="130">
        <f t="shared" si="6"/>
        <v>0.27803896053021093</v>
      </c>
      <c r="K26" s="78"/>
      <c r="L26" s="90"/>
      <c r="M26" s="90"/>
      <c r="P26" s="129" t="s">
        <v>312</v>
      </c>
      <c r="Q26" s="116">
        <v>563432529</v>
      </c>
      <c r="R26" s="116">
        <v>759063439626</v>
      </c>
      <c r="S26" s="116">
        <v>54651.87</v>
      </c>
      <c r="T26" s="130">
        <f t="shared" ref="T26" si="22">Q26/S26</f>
        <v>10309.48307898705</v>
      </c>
      <c r="U26" s="78">
        <f>S26/19</f>
        <v>2876.4142105263159</v>
      </c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26223986</v>
      </c>
      <c r="G27" s="90">
        <f t="shared" ref="G27" si="23">F27/F26-1</f>
        <v>-0.11567808325812867</v>
      </c>
      <c r="H27" s="90">
        <f t="shared" ref="H27" si="24">F27/F15-1</f>
        <v>0.11608742742650824</v>
      </c>
      <c r="I27" s="130">
        <f t="shared" si="0"/>
        <v>10992.765244179536</v>
      </c>
      <c r="J27" s="130">
        <f t="shared" si="6"/>
        <v>1.7481273159822619E-2</v>
      </c>
      <c r="K27" s="78"/>
      <c r="L27" s="90"/>
      <c r="M27" s="90"/>
      <c r="P27" s="129" t="s">
        <v>375</v>
      </c>
      <c r="Q27" s="116">
        <v>576927692</v>
      </c>
      <c r="R27" s="116">
        <v>761642990862</v>
      </c>
      <c r="S27" s="116">
        <v>52482.49</v>
      </c>
      <c r="T27" s="130">
        <f t="shared" ref="T27" si="25">Q27/S27</f>
        <v>10992.765244179536</v>
      </c>
      <c r="U27" s="78">
        <f>S27/22</f>
        <v>2385.5677272727271</v>
      </c>
    </row>
    <row r="28" spans="1:21" s="79" customFormat="1" ht="13.2" hidden="1">
      <c r="A28" s="123" t="s">
        <v>413</v>
      </c>
      <c r="B28" s="131">
        <f>SUM(F26:F28)</f>
        <v>88693264</v>
      </c>
      <c r="C28" s="131">
        <f>AVERAGE(F26:F28)</f>
        <v>29564421.333333332</v>
      </c>
      <c r="D28" s="90">
        <f>C28/C25-1</f>
        <v>0.10959858442763926</v>
      </c>
      <c r="E28" s="286">
        <f>C28/C16-1</f>
        <v>0.31212623932519201</v>
      </c>
      <c r="F28" s="78">
        <f>Q28/19</f>
        <v>32814934.368421052</v>
      </c>
      <c r="G28" s="90">
        <f t="shared" ref="G28" si="26">F28/F27-1</f>
        <v>0.25133282058726891</v>
      </c>
      <c r="H28" s="90">
        <f t="shared" ref="H28" si="27">F28/F16-1</f>
        <v>1.0827570860987619</v>
      </c>
      <c r="I28" s="130">
        <f t="shared" si="0"/>
        <v>9093.020199573295</v>
      </c>
      <c r="J28" s="130">
        <f t="shared" si="6"/>
        <v>5.3273180572817269E-2</v>
      </c>
      <c r="K28" s="85">
        <f>Q26+Q27+Q28</f>
        <v>1763843974</v>
      </c>
      <c r="L28" s="102">
        <f>K28/K25-1</f>
        <v>8.2551346605831188E-2</v>
      </c>
      <c r="M28" s="90">
        <f>U28/U16-1</f>
        <v>0.79764905035114597</v>
      </c>
      <c r="N28" s="88">
        <f>AVERAGE(T26:T28)</f>
        <v>10131.756174246628</v>
      </c>
      <c r="O28" s="91">
        <f>N28/N25-1</f>
        <v>0.14986064767451546</v>
      </c>
      <c r="P28" s="129" t="s">
        <v>413</v>
      </c>
      <c r="Q28" s="116">
        <v>623483753</v>
      </c>
      <c r="R28" s="116">
        <v>813384975117</v>
      </c>
      <c r="S28" s="116">
        <v>68567.289999999994</v>
      </c>
      <c r="T28" s="130">
        <f t="shared" ref="T28" si="28">Q28/S28</f>
        <v>9093.020199573295</v>
      </c>
      <c r="U28" s="78">
        <f>S28/19</f>
        <v>3608.8047368421048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38979935.81818182</v>
      </c>
      <c r="G29" s="190">
        <f t="shared" ref="G29" si="29">F29/F28-1</f>
        <v>0.18787182020676418</v>
      </c>
      <c r="H29" s="190">
        <f t="shared" ref="H29" si="30">F29/F17-1</f>
        <v>1.1405102790614876</v>
      </c>
      <c r="I29" s="130">
        <f t="shared" si="0"/>
        <v>13527.071744421903</v>
      </c>
      <c r="J29" s="130">
        <f t="shared" si="6"/>
        <v>1.2800311668932363E-2</v>
      </c>
      <c r="K29" s="136"/>
      <c r="L29" s="190"/>
      <c r="M29" s="190"/>
      <c r="N29" s="191"/>
      <c r="O29" s="192"/>
      <c r="P29" s="129" t="s">
        <v>427</v>
      </c>
      <c r="Q29" s="116">
        <v>857558588</v>
      </c>
      <c r="R29" s="116">
        <v>1129047268119</v>
      </c>
      <c r="S29" s="116">
        <v>63395.73</v>
      </c>
      <c r="T29" s="130">
        <f t="shared" ref="T29" si="31">Q29/S29</f>
        <v>13527.071744421903</v>
      </c>
      <c r="U29" s="78">
        <f>S29/22</f>
        <v>2881.6240909090911</v>
      </c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46795713.473684214</v>
      </c>
      <c r="G30" s="190">
        <f t="shared" ref="G30" si="32">F30/F29-1</f>
        <v>0.20050770970887033</v>
      </c>
      <c r="H30" s="190">
        <f t="shared" ref="H30" si="33">F30/F18-1</f>
        <v>0.90202704130239719</v>
      </c>
      <c r="I30" s="130">
        <f t="shared" si="0"/>
        <v>15856.20387110857</v>
      </c>
      <c r="J30" s="130">
        <f t="shared" si="6"/>
        <v>0.56216259909208466</v>
      </c>
      <c r="K30" s="136"/>
      <c r="L30" s="190"/>
      <c r="M30" s="190"/>
      <c r="N30" s="191"/>
      <c r="O30" s="192"/>
      <c r="P30" s="129" t="s">
        <v>466</v>
      </c>
      <c r="Q30" s="116">
        <v>889118556</v>
      </c>
      <c r="R30" s="116">
        <v>1184914481031</v>
      </c>
      <c r="S30" s="116">
        <v>56073.86</v>
      </c>
      <c r="T30" s="130">
        <f t="shared" ref="T30" si="34">Q30/S30</f>
        <v>15856.20387110857</v>
      </c>
      <c r="U30" s="78">
        <f>S30/19</f>
        <v>2951.2557894736842</v>
      </c>
    </row>
    <row r="31" spans="1:21" s="79" customFormat="1" ht="13.2" hidden="1">
      <c r="A31" s="129" t="s">
        <v>505</v>
      </c>
      <c r="B31" s="188">
        <f>SUM(F29:F31)</f>
        <v>126625414.09186603</v>
      </c>
      <c r="C31" s="188">
        <f>AVERAGE(F29:F31)</f>
        <v>42208471.363955341</v>
      </c>
      <c r="D31" s="190">
        <f>C31/C28-1</f>
        <v>0.42767791353203588</v>
      </c>
      <c r="E31" s="287">
        <f>C31/C19-1</f>
        <v>0.76387042501438684</v>
      </c>
      <c r="F31" s="136">
        <f>Q31/20</f>
        <v>40849764.799999997</v>
      </c>
      <c r="G31" s="190">
        <f t="shared" ref="G31" si="35">F31/F30-1</f>
        <v>-0.12706182323789017</v>
      </c>
      <c r="H31" s="190">
        <f t="shared" ref="H31" si="36">F31/F19-1</f>
        <v>0.40984098613634501</v>
      </c>
      <c r="I31" s="130">
        <f t="shared" si="0"/>
        <v>14855.551135028827</v>
      </c>
      <c r="J31" s="130">
        <f t="shared" si="6"/>
        <v>1.126094310558019</v>
      </c>
      <c r="K31" s="136">
        <f>Q29+Q30+Q31</f>
        <v>2563672440</v>
      </c>
      <c r="L31" s="190">
        <f>K31/K28-1</f>
        <v>0.45345760610909913</v>
      </c>
      <c r="M31" s="190">
        <f>U31/U19-1</f>
        <v>-0.39716991038656091</v>
      </c>
      <c r="N31" s="191">
        <f>AVERAGE(T29:T31)</f>
        <v>14746.275583519768</v>
      </c>
      <c r="O31" s="192">
        <f>N31/N28-1</f>
        <v>0.45545109158889363</v>
      </c>
      <c r="P31" s="129" t="s">
        <v>505</v>
      </c>
      <c r="Q31" s="116">
        <v>816995296</v>
      </c>
      <c r="R31" s="116">
        <v>1086063333108</v>
      </c>
      <c r="S31" s="116">
        <v>54995.96</v>
      </c>
      <c r="T31" s="130">
        <f t="shared" ref="T31" si="37">Q31/S31</f>
        <v>14855.551135028827</v>
      </c>
      <c r="U31" s="78">
        <f>S31/20</f>
        <v>2749.7979999999998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29303940.238095239</v>
      </c>
      <c r="G32" s="190">
        <f t="shared" ref="G32" si="38">F32/F31-1</f>
        <v>-0.28264115150804392</v>
      </c>
      <c r="H32" s="190">
        <f t="shared" ref="H32" si="39">F32/F20-1</f>
        <v>0.66269964156534922</v>
      </c>
      <c r="I32" s="130">
        <f t="shared" si="0"/>
        <v>14448.304072779796</v>
      </c>
      <c r="J32" s="130">
        <f t="shared" si="6"/>
        <v>0.50790995337801381</v>
      </c>
      <c r="K32" s="136"/>
      <c r="L32" s="190"/>
      <c r="M32" s="190"/>
      <c r="N32" s="191"/>
      <c r="O32" s="192"/>
      <c r="P32" s="129" t="s">
        <v>562</v>
      </c>
      <c r="Q32" s="116">
        <v>615382745</v>
      </c>
      <c r="R32" s="116">
        <v>838301417681</v>
      </c>
      <c r="S32" s="116">
        <v>42592.04</v>
      </c>
      <c r="T32" s="130">
        <f t="shared" ref="T32" si="40">Q32/S32</f>
        <v>14448.304072779796</v>
      </c>
      <c r="U32" s="78">
        <f>S32/14</f>
        <v>3042.2885714285717</v>
      </c>
    </row>
    <row r="33" spans="1:26" ht="13.2" hidden="1">
      <c r="A33" s="129" t="s">
        <v>606</v>
      </c>
      <c r="B33" s="188"/>
      <c r="C33" s="188"/>
      <c r="D33" s="190"/>
      <c r="E33" s="287"/>
      <c r="F33" s="136">
        <f>Q33/21</f>
        <v>32649249.761904761</v>
      </c>
      <c r="G33" s="190">
        <f t="shared" ref="G33" si="41">F33/F32-1</f>
        <v>0.11415903447211528</v>
      </c>
      <c r="H33" s="190">
        <f t="shared" ref="H33" si="42">F33/F21-1</f>
        <v>0.85074968894327818</v>
      </c>
      <c r="I33" s="130">
        <f t="shared" si="0"/>
        <v>16364.292705723086</v>
      </c>
      <c r="J33" s="130">
        <f t="shared" si="6"/>
        <v>0.70888381780419318</v>
      </c>
      <c r="K33" s="136"/>
      <c r="L33" s="190"/>
      <c r="M33" s="190"/>
      <c r="N33" s="191"/>
      <c r="O33" s="192"/>
      <c r="P33" s="129" t="s">
        <v>607</v>
      </c>
      <c r="Q33" s="116">
        <v>685634245</v>
      </c>
      <c r="R33" s="116">
        <v>938113887023</v>
      </c>
      <c r="S33" s="116">
        <v>41898.19</v>
      </c>
      <c r="T33" s="130">
        <f t="shared" ref="T33" si="43">Q33/S33</f>
        <v>16364.292705723086</v>
      </c>
      <c r="U33" s="78">
        <f>S33/21</f>
        <v>1995.1519047619049</v>
      </c>
      <c r="V33" s="79"/>
      <c r="W33" s="79"/>
      <c r="X33" s="79"/>
      <c r="Y33" s="79"/>
      <c r="Z33" s="79"/>
    </row>
    <row r="34" spans="1:26" ht="13.2" hidden="1">
      <c r="A34" s="129" t="s">
        <v>652</v>
      </c>
      <c r="B34" s="188">
        <f>SUM(F32:F34)</f>
        <v>97630420.526315778</v>
      </c>
      <c r="C34" s="188">
        <f>AVERAGE(F32:F34)</f>
        <v>32543473.508771926</v>
      </c>
      <c r="D34" s="190">
        <f>C34/C31-1</f>
        <v>-0.22898241852551449</v>
      </c>
      <c r="E34" s="287">
        <f>C34/C22-1</f>
        <v>0.69467697849747867</v>
      </c>
      <c r="F34" s="136">
        <f>Q34/19</f>
        <v>35677230.526315786</v>
      </c>
      <c r="G34" s="190">
        <f t="shared" ref="G34" si="44">F34/F33-1</f>
        <v>9.2742736402601222E-2</v>
      </c>
      <c r="H34" s="190">
        <f t="shared" ref="H34" si="45">F34/F22-1</f>
        <v>0.59667965664228384</v>
      </c>
      <c r="I34" s="130">
        <f t="shared" si="0"/>
        <v>14906.318766922697</v>
      </c>
      <c r="J34" s="130">
        <f t="shared" si="6"/>
        <v>1.3239013341224619</v>
      </c>
      <c r="K34" s="136">
        <f>Q32+Q33+Q34</f>
        <v>1978884370</v>
      </c>
      <c r="L34" s="190">
        <f>K34/K31-1</f>
        <v>-0.22810561165138554</v>
      </c>
      <c r="M34" s="190">
        <f>U34/U22-1</f>
        <v>-0.34564894399250023</v>
      </c>
      <c r="N34" s="191">
        <f>AVERAGE(T32:T34)</f>
        <v>15239.63851514186</v>
      </c>
      <c r="O34" s="192">
        <f>N34/N31-1</f>
        <v>3.3456782278873609E-2</v>
      </c>
      <c r="P34" s="129" t="s">
        <v>652</v>
      </c>
      <c r="Q34" s="116">
        <v>677867380</v>
      </c>
      <c r="R34" s="116">
        <v>931543953192</v>
      </c>
      <c r="S34" s="116">
        <v>45475.17</v>
      </c>
      <c r="T34" s="130">
        <f t="shared" ref="T34" si="46">Q34/S34</f>
        <v>14906.318766922697</v>
      </c>
      <c r="U34" s="121">
        <f>S34/19</f>
        <v>2393.4299999999998</v>
      </c>
      <c r="V34" s="79"/>
      <c r="W34" s="79"/>
      <c r="X34" s="79"/>
      <c r="Y34" s="79"/>
      <c r="Z34" s="79"/>
    </row>
    <row r="35" spans="1:26" ht="13.2" hidden="1">
      <c r="A35" s="129" t="s">
        <v>659</v>
      </c>
      <c r="B35" s="188"/>
      <c r="C35" s="188"/>
      <c r="D35" s="190"/>
      <c r="E35" s="287"/>
      <c r="F35" s="136">
        <f>Q35/23</f>
        <v>23310713.260869566</v>
      </c>
      <c r="G35" s="190">
        <f t="shared" ref="G35" si="47">F35/F34-1</f>
        <v>-0.34662211957076061</v>
      </c>
      <c r="H35" s="190">
        <f t="shared" ref="H35" si="48">F35/F23-1</f>
        <v>0.37865479452720074</v>
      </c>
      <c r="I35" s="130">
        <f t="shared" si="0"/>
        <v>13980.298507384849</v>
      </c>
      <c r="J35" s="130">
        <f t="shared" si="6"/>
        <v>0.68803206934437866</v>
      </c>
      <c r="K35" s="136"/>
      <c r="L35" s="190"/>
      <c r="M35" s="190"/>
      <c r="N35" s="191"/>
      <c r="O35" s="192"/>
      <c r="P35" s="129" t="s">
        <v>660</v>
      </c>
      <c r="Q35" s="116">
        <v>536146405</v>
      </c>
      <c r="R35" s="116">
        <v>742153879668</v>
      </c>
      <c r="S35" s="116">
        <v>38350.14</v>
      </c>
      <c r="T35" s="130">
        <f t="shared" ref="T35" si="49">Q35/S35</f>
        <v>13980.298507384849</v>
      </c>
      <c r="U35" s="121">
        <f>S35/23</f>
        <v>1667.3973913043478</v>
      </c>
      <c r="V35" s="79"/>
      <c r="W35" s="79"/>
      <c r="X35" s="79"/>
      <c r="Y35" s="79"/>
      <c r="Z35" s="79"/>
    </row>
    <row r="36" spans="1:26" ht="13.2" hidden="1">
      <c r="A36" s="129" t="s">
        <v>664</v>
      </c>
      <c r="B36" s="188"/>
      <c r="C36" s="188"/>
      <c r="D36" s="190"/>
      <c r="E36" s="287"/>
      <c r="F36" s="136">
        <f>Q36/21</f>
        <v>18476769.142857142</v>
      </c>
      <c r="G36" s="190">
        <f t="shared" ref="G36" si="50">F36/F35-1</f>
        <v>-0.20737006473872699</v>
      </c>
      <c r="H36" s="190">
        <f t="shared" ref="H36" si="51">F36/F24-1</f>
        <v>-0.2782602565783926</v>
      </c>
      <c r="I36" s="130">
        <f t="shared" si="0"/>
        <v>12797.703082137901</v>
      </c>
      <c r="J36" s="130">
        <f t="shared" si="6"/>
        <v>0.345161472126013</v>
      </c>
      <c r="K36" s="136"/>
      <c r="L36" s="190"/>
      <c r="M36" s="190"/>
      <c r="N36" s="191"/>
      <c r="O36" s="192"/>
      <c r="P36" s="129" t="s">
        <v>664</v>
      </c>
      <c r="Q36" s="116">
        <v>388012152</v>
      </c>
      <c r="R36" s="116">
        <v>528336419639</v>
      </c>
      <c r="S36" s="116">
        <v>30318.89</v>
      </c>
      <c r="T36" s="130">
        <f t="shared" ref="T36" si="52">Q36/S36</f>
        <v>12797.703082137901</v>
      </c>
      <c r="U36" s="121">
        <f>S36/21</f>
        <v>1443.7566666666667</v>
      </c>
      <c r="V36" s="79"/>
      <c r="W36" s="79"/>
      <c r="X36" s="79"/>
      <c r="Y36" s="79"/>
      <c r="Z36" s="79"/>
    </row>
    <row r="37" spans="1:26" ht="13.2" hidden="1">
      <c r="A37" s="129" t="s">
        <v>702</v>
      </c>
      <c r="B37" s="188">
        <f>SUM(F35:F37)</f>
        <v>76611893.292615592</v>
      </c>
      <c r="C37" s="188">
        <f>AVERAGE(F35:F37)</f>
        <v>25537297.764205199</v>
      </c>
      <c r="D37" s="190">
        <f>C37/C34-1</f>
        <v>-0.21528666086237691</v>
      </c>
      <c r="E37" s="287">
        <f>C37/C25-1</f>
        <v>-4.1545608832169845E-2</v>
      </c>
      <c r="F37" s="136">
        <f>Q37/18</f>
        <v>34824410.888888888</v>
      </c>
      <c r="G37" s="190">
        <f t="shared" ref="G37" si="53">F37/F36-1</f>
        <v>0.88476733240732797</v>
      </c>
      <c r="H37" s="190">
        <f t="shared" ref="H37" si="54">F37/F25-1</f>
        <v>-6.9466231627326902E-2</v>
      </c>
      <c r="I37" s="130">
        <f t="shared" si="0"/>
        <v>15422.433112353039</v>
      </c>
      <c r="J37" s="130">
        <f t="shared" si="6"/>
        <v>0.78542069730470976</v>
      </c>
      <c r="K37" s="136">
        <f>Q35+Q36+Q37</f>
        <v>1550997953</v>
      </c>
      <c r="L37" s="190">
        <f>K37/K34-1</f>
        <v>-0.21622608348763706</v>
      </c>
      <c r="M37" s="190">
        <f>U37/U25-1</f>
        <v>-0.45138463369185233</v>
      </c>
      <c r="N37" s="191">
        <f>AVERAGE(T35:T37)</f>
        <v>14066.811567291928</v>
      </c>
      <c r="O37" s="192">
        <f>N37/N34-1</f>
        <v>-7.6958974235814659E-2</v>
      </c>
      <c r="P37" s="129" t="s">
        <v>702</v>
      </c>
      <c r="Q37" s="116">
        <v>626839396</v>
      </c>
      <c r="R37" s="116">
        <v>836739797672</v>
      </c>
      <c r="S37" s="116">
        <v>40644.65</v>
      </c>
      <c r="T37" s="130">
        <f t="shared" ref="T37" si="55">Q37/S37</f>
        <v>15422.433112353039</v>
      </c>
      <c r="U37" s="121">
        <f>S37/18</f>
        <v>2258.036111111111</v>
      </c>
      <c r="V37" s="79"/>
      <c r="W37" s="79"/>
      <c r="X37" s="79"/>
      <c r="Y37" s="79"/>
      <c r="Z37" s="79"/>
    </row>
    <row r="38" spans="1:26" ht="13.2" hidden="1">
      <c r="A38" s="129" t="s">
        <v>727</v>
      </c>
      <c r="B38" s="188"/>
      <c r="C38" s="188"/>
      <c r="D38" s="190"/>
      <c r="E38" s="287"/>
      <c r="F38" s="136">
        <f>Q38/20</f>
        <v>22021238.75</v>
      </c>
      <c r="G38" s="190">
        <f t="shared" ref="G38" si="56">F38/F37-1</f>
        <v>-0.36764935320051262</v>
      </c>
      <c r="H38" s="190">
        <f t="shared" ref="H38" si="57">F38/F26-1</f>
        <v>-0.25740259087880957</v>
      </c>
      <c r="I38" s="130">
        <f t="shared" si="0"/>
        <v>13510.530197127915</v>
      </c>
      <c r="J38" s="130">
        <f t="shared" si="6"/>
        <v>0.31049540443645407</v>
      </c>
      <c r="K38" s="136"/>
      <c r="L38" s="190"/>
      <c r="M38" s="190"/>
      <c r="N38" s="191"/>
      <c r="O38" s="192"/>
      <c r="P38" s="129" t="s">
        <v>758</v>
      </c>
      <c r="Q38" s="116">
        <v>440424775</v>
      </c>
      <c r="R38" s="116">
        <v>592246813792</v>
      </c>
      <c r="S38" s="116">
        <v>32598.63</v>
      </c>
      <c r="T38" s="130">
        <f t="shared" ref="T38" si="58">Q38/S38</f>
        <v>13510.530197127915</v>
      </c>
      <c r="U38" s="121">
        <f>S38/20</f>
        <v>1629.9315000000001</v>
      </c>
      <c r="V38" s="79"/>
      <c r="W38" s="79"/>
      <c r="X38" s="79"/>
      <c r="Y38" s="79"/>
      <c r="Z38" s="79"/>
    </row>
    <row r="39" spans="1:26" ht="13.2" hidden="1">
      <c r="A39" s="129" t="s">
        <v>762</v>
      </c>
      <c r="B39" s="188"/>
      <c r="C39" s="188"/>
      <c r="D39" s="190"/>
      <c r="E39" s="287"/>
      <c r="F39" s="136">
        <f>Q39/21</f>
        <v>22806291.761904761</v>
      </c>
      <c r="G39" s="190">
        <f t="shared" ref="G39" si="59">F39/F38-1</f>
        <v>3.5649811566788481E-2</v>
      </c>
      <c r="H39" s="190">
        <f t="shared" ref="H39" si="60">F39/F27-1</f>
        <v>-0.13032703106595767</v>
      </c>
      <c r="I39" s="130">
        <f t="shared" si="0"/>
        <v>10441.394047343934</v>
      </c>
      <c r="J39" s="130">
        <f t="shared" si="6"/>
        <v>-5.0157643194240209E-2</v>
      </c>
      <c r="K39" s="136"/>
      <c r="L39" s="190"/>
      <c r="M39" s="190"/>
      <c r="N39" s="191"/>
      <c r="O39" s="192"/>
      <c r="P39" s="129" t="s">
        <v>762</v>
      </c>
      <c r="Q39" s="116">
        <v>478932127</v>
      </c>
      <c r="R39" s="116">
        <v>665428575403</v>
      </c>
      <c r="S39" s="116">
        <v>45868.6</v>
      </c>
      <c r="T39" s="130">
        <f t="shared" ref="T39" si="61">Q39/S39</f>
        <v>10441.394047343934</v>
      </c>
      <c r="U39" s="121">
        <f>S39/14</f>
        <v>3276.3285714285712</v>
      </c>
      <c r="V39" s="79"/>
      <c r="W39" s="79"/>
      <c r="X39" s="79"/>
      <c r="Y39" s="79"/>
      <c r="Z39" s="79"/>
    </row>
    <row r="40" spans="1:26" ht="13.2" hidden="1">
      <c r="A40" s="129" t="s">
        <v>778</v>
      </c>
      <c r="B40" s="188">
        <f>SUM(F38:F40)</f>
        <v>74018252.75</v>
      </c>
      <c r="C40" s="188">
        <f>AVERAGE(F38:F40)</f>
        <v>24672750.916666668</v>
      </c>
      <c r="D40" s="190">
        <f>C40/C37-1</f>
        <v>-3.3854280727788622E-2</v>
      </c>
      <c r="E40" s="287">
        <f>C40/C28-1</f>
        <v>-0.16545801324889786</v>
      </c>
      <c r="F40" s="136">
        <f>Q40/21</f>
        <v>29190722.238095239</v>
      </c>
      <c r="G40" s="190">
        <f t="shared" ref="G40" si="62">F40/F39-1</f>
        <v>0.27994162939083855</v>
      </c>
      <c r="H40" s="190">
        <f t="shared" ref="H40" si="63">F40/F28-1</f>
        <v>-0.11044398534020894</v>
      </c>
      <c r="I40" s="130">
        <f t="shared" si="0"/>
        <v>14528.646955906757</v>
      </c>
      <c r="J40" s="130">
        <f t="shared" si="6"/>
        <v>0.59778012552842874</v>
      </c>
      <c r="K40" s="136">
        <f>Q38+Q39+Q40</f>
        <v>1532362069</v>
      </c>
      <c r="L40" s="190">
        <f>K40/K37-1</f>
        <v>-1.201541495522529E-2</v>
      </c>
      <c r="M40" s="190">
        <f>U40/U28-1</f>
        <v>-0.44325505090032891</v>
      </c>
      <c r="N40" s="191">
        <f>AVERAGE(T38:T40)</f>
        <v>12826.857066792867</v>
      </c>
      <c r="O40" s="192">
        <f>N40/N37-1</f>
        <v>-8.8147516199207243E-2</v>
      </c>
      <c r="P40" s="129" t="s">
        <v>778</v>
      </c>
      <c r="Q40" s="116">
        <v>613005167</v>
      </c>
      <c r="R40" s="116">
        <v>874744044813</v>
      </c>
      <c r="S40" s="116">
        <v>42192.86</v>
      </c>
      <c r="T40" s="130">
        <f t="shared" ref="T40" si="64">Q40/S40</f>
        <v>14528.646955906757</v>
      </c>
      <c r="U40" s="121">
        <f>S40/21</f>
        <v>2009.1838095238095</v>
      </c>
      <c r="V40" s="79"/>
      <c r="W40" s="79"/>
      <c r="X40" s="79"/>
      <c r="Y40" s="79"/>
      <c r="Z40" s="79"/>
    </row>
    <row r="41" spans="1:26" ht="13.2">
      <c r="A41" s="129" t="s">
        <v>788</v>
      </c>
      <c r="B41" s="193"/>
      <c r="C41" s="194"/>
      <c r="D41" s="195"/>
      <c r="E41" s="288"/>
      <c r="F41" s="136">
        <f>Q41/18</f>
        <v>17070604.277777776</v>
      </c>
      <c r="G41" s="190">
        <f t="shared" ref="G41" si="65">F41/F40-1</f>
        <v>-0.41520445645226789</v>
      </c>
      <c r="H41" s="190">
        <f t="shared" ref="H41" si="66">F41/F29-1</f>
        <v>-0.56206689622574091</v>
      </c>
      <c r="I41" s="130">
        <f t="shared" si="0"/>
        <v>10880.088047481762</v>
      </c>
      <c r="J41" s="130">
        <f t="shared" si="6"/>
        <v>-0.19568046558425811</v>
      </c>
      <c r="K41" s="136"/>
      <c r="L41" s="190"/>
      <c r="M41" s="190"/>
      <c r="N41" s="193"/>
      <c r="O41" s="193"/>
      <c r="P41" s="129" t="s">
        <v>788</v>
      </c>
      <c r="Q41" s="116">
        <v>307270877</v>
      </c>
      <c r="R41" s="116">
        <v>448841605452</v>
      </c>
      <c r="S41" s="116">
        <v>28241.58</v>
      </c>
      <c r="T41" s="130">
        <f t="shared" ref="T41" si="67">Q41/S41</f>
        <v>10880.088047481762</v>
      </c>
      <c r="U41" s="121">
        <f>S41/18</f>
        <v>1568.9766666666667</v>
      </c>
      <c r="V41" s="79"/>
      <c r="W41" s="79"/>
      <c r="X41" s="79"/>
      <c r="Y41" s="79"/>
      <c r="Z41" s="79"/>
    </row>
    <row r="42" spans="1:26" ht="13.2">
      <c r="A42" s="129" t="s">
        <v>827</v>
      </c>
      <c r="B42" s="193"/>
      <c r="C42" s="194"/>
      <c r="D42" s="195"/>
      <c r="E42" s="288"/>
      <c r="F42" s="136">
        <f>Q42/20</f>
        <v>14705131.65</v>
      </c>
      <c r="G42" s="190">
        <f t="shared" ref="G42" si="68">F42/F41-1</f>
        <v>-0.13856994101006181</v>
      </c>
      <c r="H42" s="190">
        <f t="shared" ref="H42" si="69">F42/F30-1</f>
        <v>-0.68575900315593008</v>
      </c>
      <c r="I42" s="130">
        <f t="shared" si="0"/>
        <v>6287.111110066</v>
      </c>
      <c r="J42" s="130">
        <f t="shared" si="6"/>
        <v>-0.60349203622932213</v>
      </c>
      <c r="K42" s="136"/>
      <c r="L42" s="190"/>
      <c r="M42" s="190"/>
      <c r="N42" s="193"/>
      <c r="O42" s="193"/>
      <c r="P42" s="129" t="s">
        <v>827</v>
      </c>
      <c r="Q42" s="116">
        <v>294102633</v>
      </c>
      <c r="R42" s="116">
        <v>425436492643</v>
      </c>
      <c r="S42" s="116">
        <v>46778.66</v>
      </c>
      <c r="T42" s="130">
        <f t="shared" ref="T42" si="70">Q42/S42</f>
        <v>6287.111110066</v>
      </c>
      <c r="U42" s="121">
        <f>S42/20</f>
        <v>2338.933</v>
      </c>
      <c r="V42" s="79"/>
      <c r="W42" s="79"/>
      <c r="X42" s="79"/>
      <c r="Y42" s="79"/>
      <c r="Z42" s="79"/>
    </row>
    <row r="43" spans="1:26" ht="13.2">
      <c r="A43" s="129" t="s">
        <v>835</v>
      </c>
      <c r="B43" s="188">
        <f>SUM(F41:F43)</f>
        <v>58108250.427777775</v>
      </c>
      <c r="C43" s="188">
        <f>AVERAGE(F41:F43)</f>
        <v>19369416.809259258</v>
      </c>
      <c r="D43" s="190">
        <f>C43/C40-1</f>
        <v>-0.21494701281262318</v>
      </c>
      <c r="E43" s="287">
        <f>C43/C31-1</f>
        <v>-0.54110120117261329</v>
      </c>
      <c r="F43" s="136">
        <f>Q43/20</f>
        <v>26332514.5</v>
      </c>
      <c r="G43" s="190">
        <f t="shared" ref="G43" si="71">F43/F42-1</f>
        <v>0.79070239741784287</v>
      </c>
      <c r="H43" s="190">
        <f t="shared" ref="H43" si="72">F43/F31-1</f>
        <v>-0.35538149047066236</v>
      </c>
      <c r="I43" s="130">
        <f t="shared" si="0"/>
        <v>8037.3849219260774</v>
      </c>
      <c r="J43" s="130">
        <f t="shared" si="6"/>
        <v>-0.45896420476960775</v>
      </c>
      <c r="K43" s="136">
        <f>Q41+Q42+Q43</f>
        <v>1128023800</v>
      </c>
      <c r="L43" s="190">
        <f>K43/K40-1</f>
        <v>-0.26386601259574771</v>
      </c>
      <c r="M43" s="190">
        <f>K43/K31-1</f>
        <v>-0.55999690818535308</v>
      </c>
      <c r="N43" s="191">
        <f>AVERAGE(T41:T43)</f>
        <v>8401.5280264912799</v>
      </c>
      <c r="O43" s="192">
        <f>N43/N40-1</f>
        <v>-0.34500493903204177</v>
      </c>
      <c r="P43" s="129" t="s">
        <v>835</v>
      </c>
      <c r="Q43" s="116">
        <v>526650290</v>
      </c>
      <c r="R43" s="116">
        <v>763909496697</v>
      </c>
      <c r="S43" s="116">
        <v>65525.08</v>
      </c>
      <c r="T43" s="130">
        <f t="shared" ref="T43" si="73">Q43/S43</f>
        <v>8037.3849219260774</v>
      </c>
      <c r="U43" s="121">
        <f>S43/20</f>
        <v>3276.2539999999999</v>
      </c>
      <c r="V43" s="79"/>
      <c r="W43" s="79"/>
      <c r="X43" s="79"/>
      <c r="Y43" s="79"/>
      <c r="Z43" s="79"/>
    </row>
    <row r="44" spans="1:26">
      <c r="A44" s="129" t="s">
        <v>843</v>
      </c>
      <c r="B44" s="188"/>
      <c r="C44" s="188"/>
      <c r="D44" s="190"/>
      <c r="E44" s="287"/>
      <c r="F44" s="136">
        <f>Q44/22</f>
        <v>19557078.136363637</v>
      </c>
      <c r="G44" s="190">
        <f t="shared" ref="G44" si="74">F44/F43-1</f>
        <v>-0.25730305260579511</v>
      </c>
      <c r="H44" s="190">
        <f t="shared" ref="H44" si="75">F44/F32-1</f>
        <v>-0.33261268015625567</v>
      </c>
      <c r="I44" s="130">
        <f t="shared" si="0"/>
        <v>13033.233743888624</v>
      </c>
      <c r="J44" s="130">
        <f t="shared" si="6"/>
        <v>-9.7940237259895757E-2</v>
      </c>
      <c r="K44" s="136"/>
      <c r="L44" s="190"/>
      <c r="M44" s="190"/>
      <c r="N44" s="191"/>
      <c r="O44" s="192"/>
      <c r="P44" s="129" t="s">
        <v>843</v>
      </c>
      <c r="Q44" s="116">
        <v>430255719</v>
      </c>
      <c r="R44" s="116">
        <v>623791272846</v>
      </c>
      <c r="S44" s="116">
        <v>33012.199999999997</v>
      </c>
      <c r="T44" s="130">
        <f t="shared" ref="T44" si="76">Q44/S44</f>
        <v>13033.233743888624</v>
      </c>
      <c r="U44" s="121">
        <f>S44/22</f>
        <v>1500.5545454545454</v>
      </c>
    </row>
    <row r="45" spans="1:26">
      <c r="A45" s="129" t="s">
        <v>847</v>
      </c>
      <c r="B45" s="188"/>
      <c r="C45" s="188"/>
      <c r="D45" s="190"/>
      <c r="E45" s="287"/>
      <c r="F45" s="136">
        <f>Q45/20</f>
        <v>28062943.899999999</v>
      </c>
      <c r="G45" s="190">
        <f t="shared" ref="G45" si="77">F45/F44-1</f>
        <v>0.43492518178474215</v>
      </c>
      <c r="H45" s="190">
        <f t="shared" ref="H45" si="78">F45/F33-1</f>
        <v>-0.14047201376296481</v>
      </c>
      <c r="I45" s="130">
        <f t="shared" si="0"/>
        <v>13310.41041423239</v>
      </c>
      <c r="J45" s="130">
        <f t="shared" si="6"/>
        <v>-0.18661865479970674</v>
      </c>
      <c r="K45" s="136"/>
      <c r="L45" s="190"/>
      <c r="M45" s="190"/>
      <c r="N45" s="191"/>
      <c r="O45" s="192"/>
      <c r="P45" s="129" t="s">
        <v>848</v>
      </c>
      <c r="Q45" s="116">
        <v>561258878</v>
      </c>
      <c r="R45" s="116">
        <v>790909940683</v>
      </c>
      <c r="S45" s="116">
        <v>42166.91</v>
      </c>
      <c r="T45" s="130">
        <f t="shared" ref="T45" si="79">Q45/S45</f>
        <v>13310.41041423239</v>
      </c>
      <c r="U45" s="121">
        <f>S45/12</f>
        <v>3513.9091666666668</v>
      </c>
    </row>
    <row r="46" spans="1:26">
      <c r="A46" s="129" t="s">
        <v>888</v>
      </c>
      <c r="B46" s="188">
        <f>SUM(F44:F46)</f>
        <v>80290509.983732045</v>
      </c>
      <c r="C46" s="188">
        <f>AVERAGE(F44:F46)</f>
        <v>26763503.32791068</v>
      </c>
      <c r="D46" s="190">
        <f>C46/C43-1</f>
        <v>0.38174027599616678</v>
      </c>
      <c r="E46" s="287">
        <f>C46/C34-1</f>
        <v>-0.17760766008285145</v>
      </c>
      <c r="F46" s="136">
        <f>Q46/19</f>
        <v>32670487.947368421</v>
      </c>
      <c r="G46" s="190">
        <f t="shared" ref="G46" si="80">F46/F45-1</f>
        <v>0.16418605488387206</v>
      </c>
      <c r="H46" s="190">
        <f t="shared" ref="H46" si="81">F46/F34-1</f>
        <v>-8.4276232616474211E-2</v>
      </c>
      <c r="I46" s="130">
        <f t="shared" si="0"/>
        <v>11270.629439447393</v>
      </c>
      <c r="J46" s="130">
        <f t="shared" si="6"/>
        <v>-0.24390256134485344</v>
      </c>
      <c r="K46" s="136">
        <f>Q44+Q45+Q46</f>
        <v>1612253868</v>
      </c>
      <c r="L46" s="190">
        <f>K46/K43-1</f>
        <v>0.42927291782318777</v>
      </c>
      <c r="M46" s="190">
        <f>K46/K34-1</f>
        <v>-0.18527131122876073</v>
      </c>
      <c r="N46" s="191">
        <f>AVERAGE(T44:T46)</f>
        <v>12538.09119918947</v>
      </c>
      <c r="O46" s="192">
        <f>N46/N43-1</f>
        <v>0.49235843285352199</v>
      </c>
      <c r="P46" s="129" t="s">
        <v>928</v>
      </c>
      <c r="Q46" s="116">
        <v>620739271</v>
      </c>
      <c r="R46" s="116">
        <v>849771449986</v>
      </c>
      <c r="S46" s="116">
        <v>55075.83</v>
      </c>
      <c r="T46" s="130">
        <f t="shared" ref="T46" si="82">Q46/S46</f>
        <v>11270.629439447393</v>
      </c>
      <c r="U46" s="121">
        <f>S46/19</f>
        <v>2898.7278947368422</v>
      </c>
    </row>
    <row r="47" spans="1:26">
      <c r="A47" s="129" t="s">
        <v>1027</v>
      </c>
      <c r="B47" s="188"/>
      <c r="C47" s="188"/>
      <c r="D47" s="190"/>
      <c r="E47" s="287"/>
      <c r="F47" s="136">
        <f>Q47/23</f>
        <v>20068790.260869566</v>
      </c>
      <c r="G47" s="190">
        <f t="shared" ref="G47" si="83">F47/F46-1</f>
        <v>-0.38572113482969606</v>
      </c>
      <c r="H47" s="190">
        <f t="shared" ref="H47" si="84">F47/F35-1</f>
        <v>-0.13907438025253571</v>
      </c>
      <c r="I47" s="130">
        <f t="shared" si="0"/>
        <v>11920.854863669329</v>
      </c>
      <c r="J47" s="130">
        <f t="shared" si="6"/>
        <v>-0.14731041991897775</v>
      </c>
      <c r="K47" s="136"/>
      <c r="L47" s="190"/>
      <c r="M47" s="190"/>
      <c r="N47" s="191"/>
      <c r="O47" s="192"/>
      <c r="P47" s="129" t="s">
        <v>1029</v>
      </c>
      <c r="Q47" s="116">
        <v>461582176</v>
      </c>
      <c r="R47" s="116">
        <v>633095419369</v>
      </c>
      <c r="S47" s="116">
        <v>38720.559999999998</v>
      </c>
      <c r="T47" s="130">
        <f t="shared" ref="T47" si="85">Q47/S47</f>
        <v>11920.854863669329</v>
      </c>
      <c r="U47" s="121">
        <f>S47/19</f>
        <v>2037.9242105263156</v>
      </c>
    </row>
    <row r="48" spans="1:26">
      <c r="A48" s="129" t="s">
        <v>1071</v>
      </c>
      <c r="B48" s="188"/>
      <c r="C48" s="188"/>
      <c r="D48" s="190"/>
      <c r="E48" s="287"/>
      <c r="F48" s="136">
        <f>Q48/20</f>
        <v>32273292.649999999</v>
      </c>
      <c r="G48" s="190">
        <f t="shared" ref="G48" si="86">F48/F47-1</f>
        <v>0.60813343656926633</v>
      </c>
      <c r="H48" s="190">
        <f t="shared" ref="H48" si="87">F48/F36-1</f>
        <v>0.74669566959851297</v>
      </c>
      <c r="I48" s="130">
        <f t="shared" si="0"/>
        <v>14697.436590469728</v>
      </c>
      <c r="J48" s="130">
        <f t="shared" si="6"/>
        <v>0.1484433180031608</v>
      </c>
      <c r="K48" s="136"/>
      <c r="L48" s="190"/>
      <c r="M48" s="190"/>
      <c r="N48" s="191"/>
      <c r="O48" s="192"/>
      <c r="P48" s="129" t="s">
        <v>1120</v>
      </c>
      <c r="Q48" s="116">
        <v>645465853</v>
      </c>
      <c r="R48" s="116">
        <v>895937645128</v>
      </c>
      <c r="S48" s="116">
        <v>43916.9</v>
      </c>
      <c r="T48" s="130">
        <f t="shared" ref="T48" si="88">Q48/S48</f>
        <v>14697.436590469728</v>
      </c>
      <c r="U48" s="121">
        <f>S48/19</f>
        <v>2311.4157894736841</v>
      </c>
    </row>
    <row r="49" spans="1:26">
      <c r="A49" s="129" t="s">
        <v>1158</v>
      </c>
      <c r="B49" s="188">
        <f>SUM(F47:F49)</f>
        <v>84466155.547233209</v>
      </c>
      <c r="C49" s="188">
        <f>AVERAGE(F47:F49)</f>
        <v>28155385.182411071</v>
      </c>
      <c r="D49" s="190">
        <f>C49/C46-1</f>
        <v>5.2006713674470628E-2</v>
      </c>
      <c r="E49" s="287">
        <f>C49/C37-1</f>
        <v>0.10252014298378742</v>
      </c>
      <c r="F49" s="136">
        <f>Q49/22</f>
        <v>32124072.636363637</v>
      </c>
      <c r="G49" s="190">
        <f t="shared" ref="G49" si="89">F49/F48-1</f>
        <v>-4.6236377321221545E-3</v>
      </c>
      <c r="H49" s="190">
        <f t="shared" ref="H49" si="90">F49/F37-1</f>
        <v>-7.7541534331793227E-2</v>
      </c>
      <c r="I49" s="130">
        <f t="shared" si="0"/>
        <v>12997.567366308782</v>
      </c>
      <c r="J49" s="130">
        <f t="shared" si="6"/>
        <v>-0.1572297787501501</v>
      </c>
      <c r="K49" s="136">
        <f>Q47+Q48+Q49</f>
        <v>1813777627</v>
      </c>
      <c r="L49" s="190">
        <f>K49/K46-1</f>
        <v>0.12499505381865839</v>
      </c>
      <c r="M49" s="190">
        <f>K49/K37-1</f>
        <v>0.16942619008085824</v>
      </c>
      <c r="N49" s="191">
        <f>AVERAGE(T47:T49)</f>
        <v>13205.286273482612</v>
      </c>
      <c r="O49" s="192">
        <f>N49/N46-1</f>
        <v>5.3213448817175157E-2</v>
      </c>
      <c r="P49" s="129" t="s">
        <v>1158</v>
      </c>
      <c r="Q49" s="116">
        <v>706729598</v>
      </c>
      <c r="R49" s="116">
        <v>981426880200</v>
      </c>
      <c r="S49" s="116">
        <v>54373.99</v>
      </c>
      <c r="T49" s="130">
        <f t="shared" ref="T49" si="91">Q49/S49</f>
        <v>12997.567366308782</v>
      </c>
      <c r="U49" s="121">
        <f>S49/22</f>
        <v>2471.5450000000001</v>
      </c>
    </row>
    <row r="50" spans="1:26">
      <c r="A50" s="129" t="s">
        <v>1291</v>
      </c>
      <c r="B50" s="188"/>
      <c r="C50" s="188"/>
      <c r="D50" s="190"/>
      <c r="E50" s="287"/>
      <c r="F50" s="136">
        <f>Q50/18</f>
        <v>37384862.555555552</v>
      </c>
      <c r="G50" s="190">
        <f t="shared" ref="G50" si="92">F50/F49-1</f>
        <v>0.16376472493829541</v>
      </c>
      <c r="H50" s="190">
        <f t="shared" ref="H50" si="93">F50/F38-1</f>
        <v>0.69767300468306082</v>
      </c>
      <c r="I50" s="130">
        <f t="shared" ref="I50" si="94">T50</f>
        <v>17749.33046429653</v>
      </c>
      <c r="J50" s="130">
        <f t="shared" ref="J50" si="95">I50/I38-1</f>
        <v>0.31374048281759537</v>
      </c>
      <c r="K50" s="136"/>
      <c r="L50" s="190"/>
      <c r="M50" s="190"/>
      <c r="N50" s="191"/>
      <c r="O50" s="192"/>
      <c r="P50" s="129" t="s">
        <v>1293</v>
      </c>
      <c r="Q50" s="116">
        <v>672927526</v>
      </c>
      <c r="R50" s="116">
        <v>952213011061</v>
      </c>
      <c r="S50" s="116">
        <v>37912.839999999997</v>
      </c>
      <c r="T50" s="130">
        <f t="shared" ref="T50" si="96">Q50/S50</f>
        <v>17749.33046429653</v>
      </c>
      <c r="U50" s="121">
        <f>S50/22</f>
        <v>1723.310909090909</v>
      </c>
      <c r="V50" s="2"/>
      <c r="W50" s="2"/>
      <c r="X50" s="2"/>
      <c r="Y50" s="2"/>
      <c r="Z50" s="2"/>
    </row>
    <row r="51" spans="1:26">
      <c r="A51" s="129" t="s">
        <v>1402</v>
      </c>
      <c r="B51" s="188"/>
      <c r="C51" s="188"/>
      <c r="D51" s="190"/>
      <c r="E51" s="287"/>
      <c r="F51" s="136">
        <f>Q51/20</f>
        <v>55062591.100000001</v>
      </c>
      <c r="G51" s="190">
        <f t="shared" ref="G51:G52" si="97">F51/F50-1</f>
        <v>0.47285792526786929</v>
      </c>
      <c r="H51" s="190">
        <f t="shared" ref="H51:H52" si="98">F51/F39-1</f>
        <v>1.4143596720960838</v>
      </c>
      <c r="I51" s="130">
        <f t="shared" ref="I51:I52" si="99">T51</f>
        <v>26984.825841876165</v>
      </c>
      <c r="J51" s="130">
        <f t="shared" ref="J51:J52" si="100">I51/I39-1</f>
        <v>1.5844083385341179</v>
      </c>
      <c r="K51" s="136"/>
      <c r="L51" s="190"/>
      <c r="M51" s="190"/>
      <c r="N51" s="191"/>
      <c r="O51" s="192"/>
      <c r="P51" s="129" t="s">
        <v>1402</v>
      </c>
      <c r="Q51" s="116">
        <v>1101251822</v>
      </c>
      <c r="R51" s="116">
        <v>1598711134231</v>
      </c>
      <c r="S51" s="116">
        <v>40810.04</v>
      </c>
      <c r="T51" s="130">
        <f t="shared" ref="T51:T52" si="101">Q51/S51</f>
        <v>26984.825841876165</v>
      </c>
      <c r="U51" s="121">
        <f>S51/20</f>
        <v>2040.502</v>
      </c>
      <c r="V51" s="2"/>
      <c r="W51" s="2"/>
      <c r="X51" s="2"/>
      <c r="Y51" s="2"/>
      <c r="Z51" s="2"/>
    </row>
    <row r="52" spans="1:26">
      <c r="A52" s="129" t="s">
        <v>1403</v>
      </c>
      <c r="B52" s="188">
        <f>SUM(F50:F52)</f>
        <v>150429032.11010098</v>
      </c>
      <c r="C52" s="188">
        <f>AVERAGE(F50:F52)</f>
        <v>50143010.703366995</v>
      </c>
      <c r="D52" s="190">
        <f>C52/C49-1</f>
        <v>0.7809385443851713</v>
      </c>
      <c r="E52" s="287">
        <f>C52/C40-1</f>
        <v>1.0323234678097828</v>
      </c>
      <c r="F52" s="136">
        <f>Q52/22</f>
        <v>57981578.454545453</v>
      </c>
      <c r="G52" s="190">
        <f t="shared" si="97"/>
        <v>5.3012168447435393E-2</v>
      </c>
      <c r="H52" s="190">
        <f t="shared" si="98"/>
        <v>0.98630160575050185</v>
      </c>
      <c r="I52" s="130">
        <f t="shared" si="99"/>
        <v>28353.139996541417</v>
      </c>
      <c r="J52" s="130">
        <f t="shared" si="100"/>
        <v>0.95153341412939918</v>
      </c>
      <c r="K52" s="136">
        <f>Q50+Q51+Q52</f>
        <v>3049774074</v>
      </c>
      <c r="L52" s="190">
        <f>K52/K49-1</f>
        <v>0.6814487226002155</v>
      </c>
      <c r="M52" s="190">
        <f>K52/K40-1</f>
        <v>0.99024377834557331</v>
      </c>
      <c r="N52" s="191">
        <f>AVERAGE(T50:T52)</f>
        <v>24362.432100904702</v>
      </c>
      <c r="O52" s="192">
        <f>N52/N49-1</f>
        <v>0.84489995872536516</v>
      </c>
      <c r="P52" s="129" t="s">
        <v>1403</v>
      </c>
      <c r="Q52" s="116">
        <v>1275594726</v>
      </c>
      <c r="R52" s="116">
        <v>1878058111629</v>
      </c>
      <c r="S52" s="116">
        <v>44989.54</v>
      </c>
      <c r="T52" s="130">
        <f t="shared" si="101"/>
        <v>28353.139996541417</v>
      </c>
      <c r="U52" s="121">
        <f t="shared" ref="U52:U57" si="102">S52/22</f>
        <v>2044.9790909090909</v>
      </c>
      <c r="V52" s="2"/>
      <c r="W52" s="2"/>
      <c r="X52" s="2"/>
      <c r="Y52" s="2"/>
      <c r="Z52" s="2"/>
    </row>
    <row r="53" spans="1:26">
      <c r="A53" s="129" t="s">
        <v>1414</v>
      </c>
      <c r="B53" s="188"/>
      <c r="C53" s="188"/>
      <c r="D53" s="190"/>
      <c r="E53" s="287"/>
      <c r="F53" s="136">
        <f>Q53/21</f>
        <v>68331259.571428567</v>
      </c>
      <c r="G53" s="190">
        <f t="shared" ref="G53" si="103">F53/F52-1</f>
        <v>0.1784994716036703</v>
      </c>
      <c r="H53" s="190">
        <f t="shared" ref="H53" si="104">F53/F41-1</f>
        <v>3.0028612027742358</v>
      </c>
      <c r="I53" s="130">
        <f t="shared" ref="I53" si="105">T53</f>
        <v>32928.876081551352</v>
      </c>
      <c r="J53" s="130">
        <f t="shared" ref="J53" si="106">I53/I41-1</f>
        <v>2.0265266179691319</v>
      </c>
      <c r="K53" s="136"/>
      <c r="L53" s="190"/>
      <c r="M53" s="190"/>
      <c r="N53" s="191"/>
      <c r="O53" s="192"/>
      <c r="P53" s="129" t="s">
        <v>1414</v>
      </c>
      <c r="Q53" s="116">
        <v>1434956451</v>
      </c>
      <c r="R53" s="116">
        <v>2097240591161</v>
      </c>
      <c r="S53" s="116">
        <v>43577.45</v>
      </c>
      <c r="T53" s="130">
        <f t="shared" ref="T53" si="107">Q53/S53</f>
        <v>32928.876081551352</v>
      </c>
      <c r="U53" s="121">
        <f t="shared" si="102"/>
        <v>1980.7931818181817</v>
      </c>
      <c r="V53" s="2"/>
      <c r="W53" s="2"/>
      <c r="X53" s="2"/>
      <c r="Y53" s="2"/>
      <c r="Z53" s="2"/>
    </row>
    <row r="54" spans="1:26">
      <c r="A54" s="129" t="s">
        <v>1417</v>
      </c>
      <c r="B54" s="188"/>
      <c r="C54" s="188"/>
      <c r="D54" s="190"/>
      <c r="E54" s="287"/>
      <c r="F54" s="136">
        <f>Q54/17</f>
        <v>82719031.470588237</v>
      </c>
      <c r="G54" s="190">
        <f t="shared" ref="G54" si="108">F54/F53-1</f>
        <v>0.21055914949320864</v>
      </c>
      <c r="H54" s="190">
        <f t="shared" ref="H54" si="109">F54/F42-1</f>
        <v>4.6251812931296152</v>
      </c>
      <c r="I54" s="130">
        <f t="shared" ref="I54" si="110">T54</f>
        <v>37502.644502908923</v>
      </c>
      <c r="J54" s="130">
        <f t="shared" ref="J54" si="111">I54/I42-1</f>
        <v>4.965004251772358</v>
      </c>
      <c r="K54" s="136"/>
      <c r="L54" s="190"/>
      <c r="M54" s="190"/>
      <c r="N54" s="191"/>
      <c r="O54" s="192"/>
      <c r="P54" s="129" t="s">
        <v>1417</v>
      </c>
      <c r="Q54" s="116">
        <v>1406223535</v>
      </c>
      <c r="R54" s="116">
        <v>2038032554507</v>
      </c>
      <c r="S54" s="116">
        <v>37496.65</v>
      </c>
      <c r="T54" s="130">
        <f t="shared" ref="T54" si="112">Q54/S54</f>
        <v>37502.644502908923</v>
      </c>
      <c r="U54" s="121">
        <f t="shared" si="102"/>
        <v>1704.3931818181818</v>
      </c>
      <c r="V54" s="2"/>
      <c r="W54" s="2"/>
      <c r="X54" s="2"/>
      <c r="Y54" s="2"/>
      <c r="Z54" s="2"/>
    </row>
    <row r="55" spans="1:26">
      <c r="A55" s="129" t="s">
        <v>1418</v>
      </c>
      <c r="B55" s="188">
        <f>SUM(F53:F55)</f>
        <v>272221574.18487394</v>
      </c>
      <c r="C55" s="188">
        <f>AVERAGE(F53:F55)</f>
        <v>90740524.728291318</v>
      </c>
      <c r="D55" s="190">
        <f>C55/C52-1</f>
        <v>0.80963455236241511</v>
      </c>
      <c r="E55" s="287">
        <f>C55/C43-1</f>
        <v>3.6847318957437158</v>
      </c>
      <c r="F55" s="136">
        <f>Q55/21</f>
        <v>121171283.14285715</v>
      </c>
      <c r="G55" s="190">
        <f t="shared" ref="G55" si="113">F55/F54-1</f>
        <v>0.46485374633455523</v>
      </c>
      <c r="H55" s="190">
        <f t="shared" ref="H55" si="114">F55/F43-1</f>
        <v>3.6015842179772521</v>
      </c>
      <c r="I55" s="130">
        <f>T55</f>
        <v>45865.014123074332</v>
      </c>
      <c r="J55" s="130">
        <f t="shared" ref="J55" si="115">I55/I43-1</f>
        <v>4.7064598210238824</v>
      </c>
      <c r="K55" s="136">
        <f>Q53+Q54+Q55</f>
        <v>5385776932</v>
      </c>
      <c r="L55" s="190">
        <f>K55/K52-1</f>
        <v>0.76595931413901841</v>
      </c>
      <c r="M55" s="190">
        <f>K55/K43-1</f>
        <v>3.7745242006418662</v>
      </c>
      <c r="N55" s="191">
        <f>AVERAGE(T53:T55)</f>
        <v>38765.511569178205</v>
      </c>
      <c r="O55" s="192">
        <f>N55/N52-1</f>
        <v>0.59120039446877071</v>
      </c>
      <c r="P55" s="129" t="s">
        <v>1418</v>
      </c>
      <c r="Q55" s="116">
        <v>2544596946</v>
      </c>
      <c r="R55" s="116">
        <v>3778095183131</v>
      </c>
      <c r="S55" s="116">
        <v>55480.13</v>
      </c>
      <c r="T55" s="130">
        <f t="shared" ref="T55" si="116">Q55/S55</f>
        <v>45865.014123074332</v>
      </c>
      <c r="U55" s="121">
        <f t="shared" si="102"/>
        <v>2521.824090909091</v>
      </c>
      <c r="V55" s="2"/>
      <c r="W55" s="2"/>
      <c r="X55" s="2"/>
      <c r="Y55" s="2"/>
      <c r="Z55" s="2"/>
    </row>
    <row r="56" spans="1:26">
      <c r="A56" s="129" t="s">
        <v>1420</v>
      </c>
      <c r="B56" s="188"/>
      <c r="C56" s="188"/>
      <c r="D56" s="190"/>
      <c r="E56" s="287"/>
      <c r="F56" s="290">
        <f>Q56/22</f>
        <v>76079277.227272734</v>
      </c>
      <c r="G56" s="190">
        <f t="shared" ref="G56" si="117">F56/F55-1</f>
        <v>-0.37213442612819703</v>
      </c>
      <c r="H56" s="190">
        <f t="shared" ref="H56" si="118">F56/F44-1</f>
        <v>2.8901147040883379</v>
      </c>
      <c r="I56" s="291">
        <f>T56</f>
        <v>45933.775515804846</v>
      </c>
      <c r="J56" s="130">
        <f t="shared" ref="J56" si="119">I56/I44-1</f>
        <v>2.5243575323233589</v>
      </c>
      <c r="K56" s="136"/>
      <c r="L56" s="190"/>
      <c r="M56" s="190"/>
      <c r="N56" s="191"/>
      <c r="O56" s="192"/>
      <c r="P56" s="129" t="s">
        <v>1420</v>
      </c>
      <c r="Q56" s="116">
        <v>1673744099</v>
      </c>
      <c r="R56" s="116">
        <v>2494955175098</v>
      </c>
      <c r="S56" s="116">
        <v>36438.199999999997</v>
      </c>
      <c r="T56" s="130">
        <f t="shared" ref="T56" si="120">Q56/S56</f>
        <v>45933.775515804846</v>
      </c>
      <c r="U56" s="121">
        <f t="shared" si="102"/>
        <v>1656.2818181818182</v>
      </c>
      <c r="V56" s="2"/>
      <c r="W56" s="2"/>
      <c r="X56" s="2"/>
      <c r="Y56" s="2"/>
      <c r="Z56" s="2"/>
    </row>
    <row r="57" spans="1:26">
      <c r="A57" s="276" t="s">
        <v>1436</v>
      </c>
      <c r="B57" s="253"/>
      <c r="C57" s="253"/>
      <c r="D57" s="254"/>
      <c r="E57" s="289"/>
      <c r="F57" s="283">
        <f>Q57/12</f>
        <v>79476103.583333328</v>
      </c>
      <c r="G57" s="254">
        <f t="shared" ref="G57" si="121">F57/F56-1</f>
        <v>4.4648509815796489E-2</v>
      </c>
      <c r="H57" s="254">
        <f t="shared" ref="H57" si="122">F57/F45-1</f>
        <v>1.8320657970361167</v>
      </c>
      <c r="I57" s="282">
        <f>T57</f>
        <v>54715.762131733667</v>
      </c>
      <c r="J57" s="277">
        <f t="shared" ref="J57" si="123">I57/I45-1</f>
        <v>3.1107494381411316</v>
      </c>
      <c r="K57" s="204"/>
      <c r="L57" s="254"/>
      <c r="M57" s="254"/>
      <c r="N57" s="257"/>
      <c r="O57" s="258"/>
      <c r="P57" s="129" t="s">
        <v>1436</v>
      </c>
      <c r="Q57" s="116">
        <v>953713243</v>
      </c>
      <c r="R57" s="116">
        <v>1405500117328</v>
      </c>
      <c r="S57" s="116">
        <v>17430.32</v>
      </c>
      <c r="T57" s="130">
        <f t="shared" ref="T57" si="124">Q57/S57</f>
        <v>54715.762131733667</v>
      </c>
      <c r="U57" s="121">
        <f t="shared" si="102"/>
        <v>792.28727272727269</v>
      </c>
      <c r="V57" s="2"/>
      <c r="W57" s="2"/>
      <c r="X57" s="2"/>
      <c r="Y57" s="2"/>
      <c r="Z57" s="2"/>
    </row>
    <row r="58" spans="1:26">
      <c r="B58" s="196">
        <f>SUM(F56:F58)</f>
        <v>155555380.81060606</v>
      </c>
      <c r="C58" s="196">
        <f>AVERAGE(F56:F58)</f>
        <v>77777690.405303031</v>
      </c>
      <c r="D58" s="197">
        <f>C58/C55-1</f>
        <v>-0.14285606526745931</v>
      </c>
      <c r="E58" s="233">
        <f>C58/C46-1</f>
        <v>1.9061102148085194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8013234274</v>
      </c>
      <c r="R64" s="212">
        <v>11813823621225</v>
      </c>
      <c r="S64" s="213">
        <v>190422.77</v>
      </c>
      <c r="T64" s="214">
        <v>106</v>
      </c>
      <c r="U64" s="214">
        <v>242</v>
      </c>
    </row>
    <row r="65" spans="16:21" ht="18" thickBot="1">
      <c r="P65" s="180" t="s">
        <v>976</v>
      </c>
      <c r="Q65" s="181">
        <v>1434956451</v>
      </c>
      <c r="R65" s="181">
        <v>2097240591161</v>
      </c>
      <c r="S65" s="182">
        <v>43577.45</v>
      </c>
      <c r="T65" s="210">
        <v>61</v>
      </c>
      <c r="U65" s="210">
        <v>124</v>
      </c>
    </row>
    <row r="66" spans="16:21" ht="18" thickBot="1">
      <c r="P66" s="180" t="s">
        <v>977</v>
      </c>
      <c r="Q66" s="181">
        <v>1406223535</v>
      </c>
      <c r="R66" s="181">
        <v>2038032554507</v>
      </c>
      <c r="S66" s="182">
        <v>37496.65</v>
      </c>
      <c r="T66" s="210">
        <v>51</v>
      </c>
      <c r="U66" s="210">
        <v>105</v>
      </c>
    </row>
    <row r="67" spans="16:21" ht="18" thickBot="1">
      <c r="P67" s="180" t="s">
        <v>978</v>
      </c>
      <c r="Q67" s="181">
        <v>2544596946</v>
      </c>
      <c r="R67" s="181">
        <v>3778095183131</v>
      </c>
      <c r="S67" s="182">
        <v>55480.13</v>
      </c>
      <c r="T67" s="210">
        <v>64</v>
      </c>
      <c r="U67" s="210">
        <v>132</v>
      </c>
    </row>
    <row r="68" spans="16:21" ht="18" thickBot="1">
      <c r="P68" s="180" t="s">
        <v>979</v>
      </c>
      <c r="Q68" s="181">
        <v>1673744099</v>
      </c>
      <c r="R68" s="181">
        <v>2494955175098</v>
      </c>
      <c r="S68" s="182">
        <v>36438.199999999997</v>
      </c>
      <c r="T68" s="210">
        <v>64</v>
      </c>
      <c r="U68" s="210">
        <v>151</v>
      </c>
    </row>
    <row r="69" spans="16:21" ht="18" thickBot="1">
      <c r="P69" s="180" t="s">
        <v>980</v>
      </c>
      <c r="Q69" s="181">
        <v>953713243</v>
      </c>
      <c r="R69" s="181">
        <v>1405500117328</v>
      </c>
      <c r="S69" s="182">
        <v>17430.32</v>
      </c>
      <c r="T69" s="210">
        <v>51</v>
      </c>
      <c r="U69" s="210">
        <v>98</v>
      </c>
    </row>
    <row r="70" spans="16:21" ht="18" thickBot="1">
      <c r="P70" s="215" t="s">
        <v>975</v>
      </c>
      <c r="Q70" s="217" t="s">
        <v>1461</v>
      </c>
      <c r="R70"/>
      <c r="S70"/>
      <c r="T70"/>
      <c r="U70"/>
    </row>
  </sheetData>
  <phoneticPr fontId="1" type="noConversion"/>
  <conditionalFormatting sqref="C29:C30">
    <cfRule type="cellIs" dxfId="25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71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6.59765625" style="87" bestFit="1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263">
        <v>8542323000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/>
    </row>
    <row r="5" spans="1:29" ht="15" hidden="1" customHeight="1">
      <c r="A5" s="129" t="s">
        <v>0</v>
      </c>
      <c r="C5" s="79"/>
      <c r="F5" s="78">
        <f>Q5/20</f>
        <v>120642433.59999999</v>
      </c>
      <c r="G5" s="90"/>
      <c r="H5" s="90"/>
      <c r="I5" s="130">
        <f t="shared" ref="I5:I49" si="0">T5</f>
        <v>31446.576852147507</v>
      </c>
      <c r="J5" s="130"/>
      <c r="K5" s="85"/>
      <c r="L5" s="80"/>
      <c r="M5" s="80"/>
      <c r="P5" s="129" t="s">
        <v>0</v>
      </c>
      <c r="Q5" s="116">
        <v>2412848672</v>
      </c>
      <c r="R5" s="116">
        <v>2848238592761</v>
      </c>
      <c r="S5" s="116">
        <v>76728.5</v>
      </c>
      <c r="T5" s="130">
        <f t="shared" ref="T5:T46" si="1">Q5/S5</f>
        <v>31446.576852147507</v>
      </c>
      <c r="U5" s="78"/>
    </row>
    <row r="6" spans="1:29" ht="15" hidden="1" customHeight="1">
      <c r="A6" s="129" t="s">
        <v>1</v>
      </c>
      <c r="C6" s="79"/>
      <c r="F6" s="78">
        <f>Q6/18</f>
        <v>117249910.05555555</v>
      </c>
      <c r="G6" s="90">
        <f t="shared" ref="G6:G46" si="2">F6/F5-1</f>
        <v>-2.8120483342474967E-2</v>
      </c>
      <c r="H6" s="90"/>
      <c r="I6" s="130">
        <f t="shared" si="0"/>
        <v>28452.853578712478</v>
      </c>
      <c r="J6" s="130"/>
      <c r="K6" s="85"/>
      <c r="P6" s="129" t="s">
        <v>1</v>
      </c>
      <c r="Q6" s="116">
        <v>2110498381</v>
      </c>
      <c r="R6" s="116">
        <v>2507495787262</v>
      </c>
      <c r="S6" s="116">
        <v>74175.28</v>
      </c>
      <c r="T6" s="130">
        <f t="shared" si="1"/>
        <v>28452.853578712478</v>
      </c>
      <c r="U6" s="78"/>
    </row>
    <row r="7" spans="1:29" ht="15" hidden="1" customHeight="1">
      <c r="A7" s="129" t="s">
        <v>2</v>
      </c>
      <c r="B7" s="131">
        <f>F5+F6+F7</f>
        <v>376461043.88282824</v>
      </c>
      <c r="C7" s="131">
        <f>AVERAGE(F5:F7)</f>
        <v>125487014.62760942</v>
      </c>
      <c r="F7" s="78">
        <f>Q7/22</f>
        <v>138568700.22727272</v>
      </c>
      <c r="G7" s="90">
        <f t="shared" si="2"/>
        <v>0.18182350981434325</v>
      </c>
      <c r="H7" s="90"/>
      <c r="I7" s="130">
        <f t="shared" si="0"/>
        <v>28733.445624431472</v>
      </c>
      <c r="J7" s="130"/>
      <c r="K7" s="85">
        <f>Q5+Q6+Q7</f>
        <v>7571858458</v>
      </c>
      <c r="L7" s="102"/>
      <c r="N7" s="88">
        <f>AVERAGE(T5:T7)</f>
        <v>29544.292018430482</v>
      </c>
      <c r="P7" s="129" t="s">
        <v>2</v>
      </c>
      <c r="Q7" s="116">
        <v>3048511405</v>
      </c>
      <c r="R7" s="116">
        <v>3675609941057</v>
      </c>
      <c r="S7" s="116">
        <v>106096.27</v>
      </c>
      <c r="T7" s="130">
        <f t="shared" si="1"/>
        <v>28733.445624431472</v>
      </c>
      <c r="U7" s="78"/>
    </row>
    <row r="8" spans="1:29" ht="15" hidden="1" customHeight="1">
      <c r="A8" s="129" t="s">
        <v>3</v>
      </c>
      <c r="C8" s="79"/>
      <c r="F8" s="78">
        <f>Q8/21</f>
        <v>94205286.857142851</v>
      </c>
      <c r="G8" s="90">
        <f t="shared" si="2"/>
        <v>-0.32015464745911204</v>
      </c>
      <c r="H8" s="90"/>
      <c r="I8" s="130">
        <f t="shared" si="0"/>
        <v>28092.88427380945</v>
      </c>
      <c r="J8" s="130"/>
      <c r="K8" s="85"/>
      <c r="L8" s="90"/>
      <c r="P8" s="129" t="s">
        <v>3</v>
      </c>
      <c r="Q8" s="116">
        <v>1978311024</v>
      </c>
      <c r="R8" s="116">
        <v>2402550303120</v>
      </c>
      <c r="S8" s="116">
        <v>70420.36</v>
      </c>
      <c r="T8" s="130">
        <f t="shared" si="1"/>
        <v>28092.88427380945</v>
      </c>
      <c r="U8" s="78"/>
    </row>
    <row r="9" spans="1:29" ht="15" hidden="1" customHeight="1">
      <c r="A9" s="129" t="s">
        <v>4</v>
      </c>
      <c r="C9" s="79"/>
      <c r="F9" s="78">
        <f>Q9/21</f>
        <v>114552374.80952381</v>
      </c>
      <c r="G9" s="90">
        <f t="shared" si="2"/>
        <v>0.21598668855216374</v>
      </c>
      <c r="H9" s="90"/>
      <c r="I9" s="130">
        <f t="shared" si="0"/>
        <v>27518.815041316546</v>
      </c>
      <c r="J9" s="130"/>
      <c r="K9" s="85"/>
      <c r="L9" s="90"/>
      <c r="P9" s="129" t="s">
        <v>4</v>
      </c>
      <c r="Q9" s="116">
        <v>2405599871</v>
      </c>
      <c r="R9" s="116">
        <v>3027407363396</v>
      </c>
      <c r="S9" s="116">
        <v>87416.55</v>
      </c>
      <c r="T9" s="130">
        <f t="shared" si="1"/>
        <v>27518.815041316546</v>
      </c>
      <c r="U9" s="78"/>
      <c r="AC9" s="79">
        <v>2500</v>
      </c>
    </row>
    <row r="10" spans="1:29" ht="15" hidden="1" customHeight="1">
      <c r="A10" s="129" t="s">
        <v>320</v>
      </c>
      <c r="B10" s="131">
        <f>F8+F9+F10</f>
        <v>328043925.57142854</v>
      </c>
      <c r="C10" s="131">
        <f>AVERAGE(F8:F10)</f>
        <v>109347975.19047618</v>
      </c>
      <c r="D10" s="90">
        <f>C10/C7-1</f>
        <v>-0.12861123109053829</v>
      </c>
      <c r="E10" s="286"/>
      <c r="F10" s="78">
        <f>Q10/21</f>
        <v>119286263.90476191</v>
      </c>
      <c r="G10" s="90">
        <f t="shared" si="2"/>
        <v>4.1325106555927471E-2</v>
      </c>
      <c r="H10" s="90"/>
      <c r="I10" s="130">
        <f t="shared" si="0"/>
        <v>22879.876743338104</v>
      </c>
      <c r="J10" s="130"/>
      <c r="K10" s="85">
        <f>Q8+Q9+Q10</f>
        <v>6888922437</v>
      </c>
      <c r="L10" s="102">
        <f>K10/K7-1</f>
        <v>-9.019397612728064E-2</v>
      </c>
      <c r="N10" s="88">
        <f>AVERAGE(T8:T10)</f>
        <v>26163.858686154697</v>
      </c>
      <c r="O10" s="89">
        <f>N10/N7-1</f>
        <v>-0.11441916868974167</v>
      </c>
      <c r="P10" s="129" t="s">
        <v>320</v>
      </c>
      <c r="Q10" s="116">
        <v>2505011542</v>
      </c>
      <c r="R10" s="116">
        <v>3168883237563</v>
      </c>
      <c r="S10" s="116">
        <v>109485.36</v>
      </c>
      <c r="T10" s="130">
        <f t="shared" si="1"/>
        <v>22879.876743338104</v>
      </c>
      <c r="U10" s="78"/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86944386.428571433</v>
      </c>
      <c r="G11" s="90">
        <f t="shared" si="2"/>
        <v>-0.27112826252997757</v>
      </c>
      <c r="H11" s="90"/>
      <c r="I11" s="130">
        <f t="shared" si="0"/>
        <v>24016.314114393932</v>
      </c>
      <c r="J11" s="130"/>
      <c r="K11" s="85"/>
      <c r="L11" s="90"/>
      <c r="O11" s="89"/>
      <c r="P11" s="129" t="s">
        <v>6</v>
      </c>
      <c r="Q11" s="116">
        <v>1825832115</v>
      </c>
      <c r="R11" s="116">
        <v>2362830964842</v>
      </c>
      <c r="S11" s="116">
        <v>76024.66</v>
      </c>
      <c r="T11" s="130">
        <f t="shared" si="1"/>
        <v>24016.314114393932</v>
      </c>
      <c r="U11" s="78"/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94352260</v>
      </c>
      <c r="G12" s="90">
        <f t="shared" si="2"/>
        <v>8.5202436588754926E-2</v>
      </c>
      <c r="H12" s="90"/>
      <c r="I12" s="130">
        <f t="shared" si="0"/>
        <v>26153.45436686205</v>
      </c>
      <c r="J12" s="130"/>
      <c r="K12" s="85"/>
      <c r="L12" s="90"/>
      <c r="O12" s="89"/>
      <c r="P12" s="129" t="s">
        <v>7</v>
      </c>
      <c r="Q12" s="116">
        <v>2075749720</v>
      </c>
      <c r="R12" s="116">
        <v>2700316213060</v>
      </c>
      <c r="S12" s="116">
        <v>79368.09</v>
      </c>
      <c r="T12" s="130">
        <f t="shared" si="1"/>
        <v>26153.45436686205</v>
      </c>
      <c r="U12" s="78"/>
    </row>
    <row r="13" spans="1:29" ht="15" hidden="1" customHeight="1">
      <c r="A13" s="129" t="s">
        <v>96</v>
      </c>
      <c r="B13" s="131">
        <f>F11+F12+F13</f>
        <v>304582487.97857141</v>
      </c>
      <c r="C13" s="131">
        <f>AVERAGE(F11:F13)</f>
        <v>101527495.99285714</v>
      </c>
      <c r="D13" s="90">
        <f>C13/C10-1</f>
        <v>-7.1519195339432073E-2</v>
      </c>
      <c r="E13" s="286"/>
      <c r="F13" s="78">
        <f>Q13/20</f>
        <v>123285841.55</v>
      </c>
      <c r="G13" s="90">
        <f t="shared" si="2"/>
        <v>0.30665488616806846</v>
      </c>
      <c r="H13" s="90"/>
      <c r="I13" s="130">
        <f t="shared" si="0"/>
        <v>22268.224299825051</v>
      </c>
      <c r="J13" s="130"/>
      <c r="K13" s="85">
        <f>Q11+Q12+Q13</f>
        <v>6367298666</v>
      </c>
      <c r="L13" s="102">
        <f>K13/K10-1</f>
        <v>-7.5719210917282065E-2</v>
      </c>
      <c r="N13" s="88">
        <f>AVERAGE(T11:T13)</f>
        <v>24145.997593693679</v>
      </c>
      <c r="O13" s="89">
        <f>N13/N10-1</f>
        <v>-7.7123986819605639E-2</v>
      </c>
      <c r="P13" s="129" t="s">
        <v>96</v>
      </c>
      <c r="Q13" s="116">
        <v>2465716831</v>
      </c>
      <c r="R13" s="116">
        <v>3374471593153</v>
      </c>
      <c r="S13" s="116">
        <v>110728.04</v>
      </c>
      <c r="T13" s="130">
        <f t="shared" si="1"/>
        <v>22268.224299825051</v>
      </c>
      <c r="U13" s="78"/>
    </row>
    <row r="14" spans="1:29" ht="15" hidden="1" customHeight="1">
      <c r="A14" s="129" t="s">
        <v>97</v>
      </c>
      <c r="C14" s="79"/>
      <c r="F14" s="78">
        <f>Q14/20</f>
        <v>82270274.75</v>
      </c>
      <c r="G14" s="90">
        <f t="shared" si="2"/>
        <v>-0.3326867569246843</v>
      </c>
      <c r="H14" s="90"/>
      <c r="I14" s="130">
        <f t="shared" si="0"/>
        <v>23214.330236923925</v>
      </c>
      <c r="J14" s="130"/>
      <c r="K14" s="85"/>
      <c r="L14" s="90"/>
      <c r="O14" s="89"/>
      <c r="P14" s="129" t="s">
        <v>97</v>
      </c>
      <c r="Q14" s="116">
        <v>1645405495</v>
      </c>
      <c r="R14" s="116">
        <v>2347512725855</v>
      </c>
      <c r="S14" s="116">
        <v>70878.87</v>
      </c>
      <c r="T14" s="130">
        <f t="shared" si="1"/>
        <v>23214.330236923925</v>
      </c>
      <c r="U14" s="78"/>
    </row>
    <row r="15" spans="1:29" ht="15" hidden="1" customHeight="1">
      <c r="A15" s="129" t="s">
        <v>98</v>
      </c>
      <c r="B15" s="131"/>
      <c r="C15" s="131"/>
      <c r="F15" s="78">
        <f>Q15/22</f>
        <v>61227410.18181818</v>
      </c>
      <c r="G15" s="90">
        <f t="shared" si="2"/>
        <v>-0.2557772492206466</v>
      </c>
      <c r="H15" s="90"/>
      <c r="I15" s="130">
        <f t="shared" si="0"/>
        <v>18944.993033827777</v>
      </c>
      <c r="J15" s="130"/>
      <c r="K15" s="78"/>
      <c r="L15" s="90"/>
      <c r="O15" s="89"/>
      <c r="P15" s="129" t="s">
        <v>98</v>
      </c>
      <c r="Q15" s="116">
        <v>1347003024</v>
      </c>
      <c r="R15" s="116">
        <v>1852368936099</v>
      </c>
      <c r="S15" s="116">
        <v>71100.740000000005</v>
      </c>
      <c r="T15" s="130">
        <f t="shared" si="1"/>
        <v>18944.993033827777</v>
      </c>
      <c r="U15" s="78"/>
    </row>
    <row r="16" spans="1:29" ht="15" hidden="1" customHeight="1">
      <c r="A16" s="129" t="s">
        <v>99</v>
      </c>
      <c r="B16" s="131">
        <f>F14+F15+F16</f>
        <v>211022561.02272728</v>
      </c>
      <c r="C16" s="131">
        <f>AVERAGE(F14:F16)</f>
        <v>70340853.674242422</v>
      </c>
      <c r="D16" s="90">
        <f>C16/C13-1</f>
        <v>-0.30717434733945204</v>
      </c>
      <c r="E16" s="286"/>
      <c r="F16" s="78">
        <f>Q16/22</f>
        <v>67524876.090909094</v>
      </c>
      <c r="G16" s="90">
        <f t="shared" si="2"/>
        <v>0.10285370376421676</v>
      </c>
      <c r="H16" s="90"/>
      <c r="I16" s="130">
        <f t="shared" si="0"/>
        <v>17738.195597533089</v>
      </c>
      <c r="J16" s="130"/>
      <c r="K16" s="85">
        <f>Q14+Q15+Q16</f>
        <v>4477955793</v>
      </c>
      <c r="L16" s="102">
        <f>K16/K13-1</f>
        <v>-0.29672597000807943</v>
      </c>
      <c r="N16" s="88">
        <f>AVERAGE(T14:T16)</f>
        <v>19965.839622761599</v>
      </c>
      <c r="O16" s="89">
        <f>N16/N13-1</f>
        <v>-0.17312011875723166</v>
      </c>
      <c r="P16" s="129" t="s">
        <v>99</v>
      </c>
      <c r="Q16" s="116">
        <v>1485547274</v>
      </c>
      <c r="R16" s="116">
        <v>1942406237917</v>
      </c>
      <c r="S16" s="116">
        <v>83748.5</v>
      </c>
      <c r="T16" s="130">
        <f t="shared" si="1"/>
        <v>17738.195597533089</v>
      </c>
      <c r="U16" s="78"/>
    </row>
    <row r="17" spans="1:26" ht="15" hidden="1" customHeight="1">
      <c r="A17" s="129" t="s">
        <v>100</v>
      </c>
      <c r="C17" s="79"/>
      <c r="F17" s="78">
        <f>Q17/20</f>
        <v>55570313.600000001</v>
      </c>
      <c r="G17" s="90">
        <f t="shared" si="2"/>
        <v>-0.17703938434206978</v>
      </c>
      <c r="H17" s="90">
        <f t="shared" ref="H17:H46" si="3">F17/F5-1</f>
        <v>-0.53938003452211525</v>
      </c>
      <c r="I17" s="130">
        <f t="shared" si="0"/>
        <v>19115.620679703192</v>
      </c>
      <c r="J17" s="130">
        <f t="shared" ref="J17:J49" si="4">I17/I5-1</f>
        <v>-0.39212395773380426</v>
      </c>
      <c r="K17" s="78"/>
      <c r="L17" s="90"/>
      <c r="O17" s="89"/>
      <c r="P17" s="129" t="s">
        <v>100</v>
      </c>
      <c r="Q17" s="116">
        <v>1111406272</v>
      </c>
      <c r="R17" s="116">
        <v>1394645194991</v>
      </c>
      <c r="S17" s="116">
        <v>58141.26</v>
      </c>
      <c r="T17" s="130">
        <f t="shared" si="1"/>
        <v>19115.620679703192</v>
      </c>
      <c r="U17" s="78"/>
    </row>
    <row r="18" spans="1:26" ht="15" hidden="1" customHeight="1">
      <c r="A18" s="129" t="s">
        <v>106</v>
      </c>
      <c r="C18" s="79"/>
      <c r="F18" s="78">
        <f>Q18/20</f>
        <v>53172543.549999997</v>
      </c>
      <c r="G18" s="90">
        <f t="shared" si="2"/>
        <v>-4.3148398752243189E-2</v>
      </c>
      <c r="H18" s="90">
        <f t="shared" si="3"/>
        <v>-0.54650247898010584</v>
      </c>
      <c r="I18" s="130">
        <f t="shared" si="0"/>
        <v>15176.898181071401</v>
      </c>
      <c r="J18" s="130">
        <f t="shared" si="4"/>
        <v>-0.46659486581598009</v>
      </c>
      <c r="K18" s="78"/>
      <c r="O18" s="89"/>
      <c r="P18" s="129" t="s">
        <v>106</v>
      </c>
      <c r="Q18" s="116">
        <v>1063450871</v>
      </c>
      <c r="R18" s="116">
        <v>1336072931904</v>
      </c>
      <c r="S18" s="116">
        <v>70070.37</v>
      </c>
      <c r="T18" s="130">
        <f t="shared" si="1"/>
        <v>15176.898181071401</v>
      </c>
      <c r="U18" s="78"/>
    </row>
    <row r="19" spans="1:26" hidden="1">
      <c r="A19" s="129" t="s">
        <v>114</v>
      </c>
      <c r="B19" s="131">
        <f>SUM(F17:F19)</f>
        <v>182173696.37727273</v>
      </c>
      <c r="C19" s="131">
        <f>AVERAGE(F17:F19)</f>
        <v>60724565.459090911</v>
      </c>
      <c r="D19" s="90">
        <f>C19/C16-1</f>
        <v>-0.13670985938961988</v>
      </c>
      <c r="E19" s="286">
        <f>C19/C7-1</f>
        <v>-0.51608885079229228</v>
      </c>
      <c r="F19" s="78">
        <f>Q19/22</f>
        <v>73430839.227272734</v>
      </c>
      <c r="G19" s="90">
        <f t="shared" si="2"/>
        <v>0.38099166082252878</v>
      </c>
      <c r="H19" s="90">
        <f t="shared" si="3"/>
        <v>-0.4700762935148014</v>
      </c>
      <c r="I19" s="130">
        <f t="shared" si="0"/>
        <v>14440.149702236657</v>
      </c>
      <c r="J19" s="130">
        <f t="shared" si="4"/>
        <v>-0.49744454977726416</v>
      </c>
      <c r="K19" s="85">
        <f>Q17+Q18+Q19</f>
        <v>3790335606</v>
      </c>
      <c r="L19" s="102">
        <f>K19/K16-1</f>
        <v>-0.15355671623085176</v>
      </c>
      <c r="M19" s="87" t="e">
        <f>U19/U7-1</f>
        <v>#DIV/0!</v>
      </c>
      <c r="N19" s="88">
        <f>AVERAGE(T17:T19)</f>
        <v>16244.222854337082</v>
      </c>
      <c r="O19" s="89">
        <f>N19/N16-1</f>
        <v>-0.18639921179081165</v>
      </c>
      <c r="P19" s="129" t="s">
        <v>114</v>
      </c>
      <c r="Q19" s="116">
        <v>1615478463</v>
      </c>
      <c r="R19" s="116">
        <v>2109620267886</v>
      </c>
      <c r="S19" s="116">
        <v>111874.08</v>
      </c>
      <c r="T19" s="130">
        <f t="shared" si="1"/>
        <v>14440.149702236657</v>
      </c>
      <c r="U19" s="78"/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49145161.799999997</v>
      </c>
      <c r="G20" s="90">
        <f t="shared" si="2"/>
        <v>-0.33072858328783561</v>
      </c>
      <c r="H20" s="90">
        <f t="shared" si="3"/>
        <v>-0.47831843159157361</v>
      </c>
      <c r="I20" s="130">
        <f t="shared" si="0"/>
        <v>12824.233376532942</v>
      </c>
      <c r="J20" s="130">
        <f t="shared" si="4"/>
        <v>-0.5435059906437314</v>
      </c>
      <c r="K20" s="78"/>
      <c r="O20" s="89"/>
      <c r="P20" s="129" t="s">
        <v>131</v>
      </c>
      <c r="Q20" s="116">
        <v>982903236</v>
      </c>
      <c r="R20" s="116">
        <v>1289895158494</v>
      </c>
      <c r="S20" s="116">
        <v>76644.210000000006</v>
      </c>
      <c r="T20" s="130">
        <f t="shared" si="1"/>
        <v>12824.233376532942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60593006.809523806</v>
      </c>
      <c r="G21" s="90">
        <f t="shared" si="2"/>
        <v>0.23293941031492982</v>
      </c>
      <c r="H21" s="90">
        <f t="shared" si="3"/>
        <v>-0.47104538941006624</v>
      </c>
      <c r="I21" s="130">
        <f t="shared" si="0"/>
        <v>14539.023352987921</v>
      </c>
      <c r="J21" s="130">
        <f t="shared" si="4"/>
        <v>-0.47166971647728517</v>
      </c>
      <c r="K21" s="78"/>
      <c r="O21" s="89"/>
      <c r="P21" s="129" t="s">
        <v>141</v>
      </c>
      <c r="Q21" s="116">
        <v>1272453143</v>
      </c>
      <c r="R21" s="116">
        <v>1692196854931</v>
      </c>
      <c r="S21" s="116">
        <v>87519.85</v>
      </c>
      <c r="T21" s="130">
        <f t="shared" si="1"/>
        <v>14539.023352987921</v>
      </c>
      <c r="U21" s="78"/>
    </row>
    <row r="22" spans="1:26" hidden="1">
      <c r="A22" s="129" t="s">
        <v>155</v>
      </c>
      <c r="B22" s="131">
        <f>SUM(F20:F22)</f>
        <v>211768700.75238097</v>
      </c>
      <c r="C22" s="131">
        <f>AVERAGE(F20:F22)</f>
        <v>70589566.917460322</v>
      </c>
      <c r="D22" s="90">
        <f>C22/C19-1</f>
        <v>0.16245487116767099</v>
      </c>
      <c r="E22" s="286">
        <f>C22/C10-1</f>
        <v>-0.35445016888059921</v>
      </c>
      <c r="F22" s="78">
        <f>Q22/21</f>
        <v>102030532.14285715</v>
      </c>
      <c r="G22" s="90">
        <f t="shared" si="2"/>
        <v>0.68386646438579324</v>
      </c>
      <c r="H22" s="90">
        <f t="shared" si="3"/>
        <v>-0.14465816261696085</v>
      </c>
      <c r="I22" s="130">
        <f t="shared" si="0"/>
        <v>14988.140562636961</v>
      </c>
      <c r="J22" s="130">
        <f t="shared" si="4"/>
        <v>-0.34492039748417636</v>
      </c>
      <c r="K22" s="85">
        <f>Q20+Q21+Q22</f>
        <v>4397997554</v>
      </c>
      <c r="L22" s="102">
        <f>K22/K19-1</f>
        <v>0.16031877151935769</v>
      </c>
      <c r="M22" s="87" t="e">
        <f>U22/U10-1</f>
        <v>#DIV/0!</v>
      </c>
      <c r="N22" s="88">
        <f>AVERAGE(T20:T22)</f>
        <v>14117.132430719275</v>
      </c>
      <c r="O22" s="89">
        <f>N22/N19-1</f>
        <v>-0.13094442514680782</v>
      </c>
      <c r="P22" s="129" t="s">
        <v>155</v>
      </c>
      <c r="Q22" s="116">
        <v>2142641175</v>
      </c>
      <c r="R22" s="116">
        <v>2773357497612</v>
      </c>
      <c r="S22" s="116">
        <v>142955.76999999999</v>
      </c>
      <c r="T22" s="130">
        <f t="shared" si="1"/>
        <v>14988.140562636961</v>
      </c>
      <c r="U22" s="78"/>
    </row>
    <row r="23" spans="1:26" hidden="1">
      <c r="A23" s="129" t="s">
        <v>189</v>
      </c>
      <c r="B23" s="131"/>
      <c r="C23" s="131"/>
      <c r="F23" s="78">
        <f>Q23/21</f>
        <v>67934697.428571433</v>
      </c>
      <c r="G23" s="90">
        <f t="shared" si="2"/>
        <v>-0.3341728598116761</v>
      </c>
      <c r="H23" s="90">
        <f t="shared" si="3"/>
        <v>-0.21864193630968087</v>
      </c>
      <c r="I23" s="130">
        <f t="shared" si="0"/>
        <v>13608.504429066212</v>
      </c>
      <c r="J23" s="130">
        <f t="shared" si="4"/>
        <v>-0.43336415553833496</v>
      </c>
      <c r="O23" s="89"/>
      <c r="P23" s="129" t="s">
        <v>189</v>
      </c>
      <c r="Q23" s="116">
        <v>1426628646</v>
      </c>
      <c r="R23" s="116">
        <v>1834784992970</v>
      </c>
      <c r="S23" s="116">
        <v>104833.61</v>
      </c>
      <c r="T23" s="130">
        <f t="shared" si="1"/>
        <v>13608.504429066212</v>
      </c>
      <c r="U23" s="78"/>
    </row>
    <row r="24" spans="1:26" hidden="1">
      <c r="A24" s="129" t="s">
        <v>204</v>
      </c>
      <c r="B24" s="131"/>
      <c r="C24" s="131"/>
      <c r="F24" s="78">
        <f>Q24/22</f>
        <v>75905845.590909094</v>
      </c>
      <c r="G24" s="90">
        <f t="shared" si="2"/>
        <v>0.11733544807082952</v>
      </c>
      <c r="H24" s="90">
        <f t="shared" si="3"/>
        <v>-0.19550580356094183</v>
      </c>
      <c r="I24" s="130">
        <f t="shared" si="0"/>
        <v>15377.133914871678</v>
      </c>
      <c r="J24" s="130">
        <f t="shared" si="4"/>
        <v>-0.41204195441366243</v>
      </c>
      <c r="O24" s="89"/>
      <c r="P24" s="129" t="s">
        <v>204</v>
      </c>
      <c r="Q24" s="116">
        <v>1669928603</v>
      </c>
      <c r="R24" s="116">
        <v>2196209451688</v>
      </c>
      <c r="S24" s="116">
        <v>108598.17</v>
      </c>
      <c r="T24" s="130">
        <f t="shared" si="1"/>
        <v>15377.133914871678</v>
      </c>
      <c r="U24" s="78"/>
    </row>
    <row r="25" spans="1:26" ht="13.2" hidden="1">
      <c r="A25" s="129" t="s">
        <v>219</v>
      </c>
      <c r="B25" s="131">
        <f>SUM(F23:F25)</f>
        <v>253006650.75632262</v>
      </c>
      <c r="C25" s="131">
        <f>AVERAGE(F23:F25)</f>
        <v>84335550.252107546</v>
      </c>
      <c r="D25" s="90">
        <f>C25/C22-1</f>
        <v>0.19473109037090808</v>
      </c>
      <c r="E25" s="286">
        <f>C25/C13-1</f>
        <v>-0.16933290408303892</v>
      </c>
      <c r="F25" s="78">
        <f>Q25/19</f>
        <v>109166107.73684211</v>
      </c>
      <c r="G25" s="90">
        <f t="shared" si="2"/>
        <v>0.43817787532712038</v>
      </c>
      <c r="H25" s="90">
        <f t="shared" si="3"/>
        <v>-0.1145284295068989</v>
      </c>
      <c r="I25" s="130">
        <f t="shared" si="0"/>
        <v>15900.094565482113</v>
      </c>
      <c r="J25" s="130">
        <f t="shared" si="4"/>
        <v>-0.28597384544904947</v>
      </c>
      <c r="K25" s="85">
        <f>Q23+Q24+Q25</f>
        <v>5170713296</v>
      </c>
      <c r="L25" s="102">
        <f>K25/K22-1</f>
        <v>0.17569717411443553</v>
      </c>
      <c r="M25" s="90" t="e">
        <f>U25/U13-1</f>
        <v>#DIV/0!</v>
      </c>
      <c r="N25" s="88">
        <f>AVERAGE(T23:T25)</f>
        <v>14961.910969806668</v>
      </c>
      <c r="O25" s="91">
        <f>N25/N22-1</f>
        <v>5.9840661213117929E-2</v>
      </c>
      <c r="P25" s="129" t="s">
        <v>219</v>
      </c>
      <c r="Q25" s="116">
        <v>2074156047</v>
      </c>
      <c r="R25" s="116">
        <v>2753212041729</v>
      </c>
      <c r="S25" s="116">
        <v>130449.29</v>
      </c>
      <c r="T25" s="130">
        <f t="shared" si="1"/>
        <v>15900.094565482113</v>
      </c>
      <c r="U25" s="78"/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97127794.894736841</v>
      </c>
      <c r="G26" s="90">
        <f t="shared" si="2"/>
        <v>-0.11027518605980768</v>
      </c>
      <c r="H26" s="90">
        <f t="shared" si="3"/>
        <v>0.18059402609126263</v>
      </c>
      <c r="I26" s="130">
        <f t="shared" si="0"/>
        <v>18932.409567420418</v>
      </c>
      <c r="J26" s="130">
        <f t="shared" si="4"/>
        <v>-0.18445161354226058</v>
      </c>
      <c r="K26" s="78"/>
      <c r="L26" s="90"/>
      <c r="M26" s="90"/>
      <c r="P26" s="129" t="s">
        <v>312</v>
      </c>
      <c r="Q26" s="116">
        <v>1845428103</v>
      </c>
      <c r="R26" s="116">
        <v>2490302612845</v>
      </c>
      <c r="S26" s="116">
        <v>97474.55</v>
      </c>
      <c r="T26" s="130">
        <f t="shared" si="1"/>
        <v>18932.409567420418</v>
      </c>
      <c r="U26" s="122"/>
      <c r="V26" s="79"/>
      <c r="W26" s="79"/>
      <c r="X26" s="79"/>
      <c r="Y26" s="79"/>
      <c r="Z26" s="79"/>
    </row>
    <row r="27" spans="1:26" ht="13.2" hidden="1">
      <c r="A27" s="129" t="s">
        <v>374</v>
      </c>
      <c r="B27" s="131"/>
      <c r="C27" s="131"/>
      <c r="D27" s="132"/>
      <c r="E27" s="286"/>
      <c r="F27" s="78">
        <f>Q27/22</f>
        <v>91596765.409090906</v>
      </c>
      <c r="G27" s="90">
        <f t="shared" si="2"/>
        <v>-5.6945897841500837E-2</v>
      </c>
      <c r="H27" s="90">
        <f t="shared" si="3"/>
        <v>0.49600914258971995</v>
      </c>
      <c r="I27" s="130">
        <f t="shared" si="0"/>
        <v>18917.418674382101</v>
      </c>
      <c r="J27" s="130">
        <f t="shared" si="4"/>
        <v>-1.4554958873006507E-3</v>
      </c>
      <c r="K27" s="78"/>
      <c r="L27" s="90"/>
      <c r="M27" s="90"/>
      <c r="P27" s="129" t="s">
        <v>377</v>
      </c>
      <c r="Q27" s="116">
        <v>2015128839</v>
      </c>
      <c r="R27" s="116">
        <v>2649551051947</v>
      </c>
      <c r="S27" s="116">
        <v>106522.4</v>
      </c>
      <c r="T27" s="130">
        <f t="shared" si="1"/>
        <v>18917.418674382101</v>
      </c>
      <c r="U27" s="122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321541941.09330142</v>
      </c>
      <c r="C28" s="131">
        <f>AVERAGE(F26:F28)</f>
        <v>107180647.03110047</v>
      </c>
      <c r="D28" s="90">
        <f>C28/C25-1</f>
        <v>0.27088335477389047</v>
      </c>
      <c r="E28" s="286">
        <f>C28/C16-1</f>
        <v>0.523732531417203</v>
      </c>
      <c r="F28" s="78">
        <f>Q28/19</f>
        <v>132817380.78947368</v>
      </c>
      <c r="G28" s="90">
        <f t="shared" si="2"/>
        <v>0.45002260938235783</v>
      </c>
      <c r="H28" s="90">
        <f t="shared" si="3"/>
        <v>0.96694001497553206</v>
      </c>
      <c r="I28" s="130">
        <f t="shared" si="0"/>
        <v>21224.716081295701</v>
      </c>
      <c r="J28" s="130">
        <f t="shared" si="4"/>
        <v>0.19655440513055877</v>
      </c>
      <c r="K28" s="85">
        <f>Q26+Q27+Q28</f>
        <v>6384087177</v>
      </c>
      <c r="L28" s="102">
        <f>K28/K25-1</f>
        <v>0.23466276537487607</v>
      </c>
      <c r="M28" s="90" t="e">
        <f>U28/U16-1</f>
        <v>#DIV/0!</v>
      </c>
      <c r="N28" s="88">
        <f>AVERAGE(T26:T28)</f>
        <v>19691.514774366075</v>
      </c>
      <c r="O28" s="91">
        <f>N28/N25-1</f>
        <v>0.31610960752966721</v>
      </c>
      <c r="P28" s="129" t="s">
        <v>413</v>
      </c>
      <c r="Q28" s="116">
        <v>2523530235</v>
      </c>
      <c r="R28" s="116">
        <v>3292535123896</v>
      </c>
      <c r="S28" s="116">
        <v>118895.83</v>
      </c>
      <c r="T28" s="130">
        <f t="shared" si="1"/>
        <v>21224.716081295701</v>
      </c>
      <c r="U28" s="122"/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89106767.590909094</v>
      </c>
      <c r="G29" s="190">
        <f t="shared" si="2"/>
        <v>-0.32910311089366728</v>
      </c>
      <c r="H29" s="190">
        <f t="shared" si="3"/>
        <v>0.60349585630031588</v>
      </c>
      <c r="I29" s="130">
        <f t="shared" si="0"/>
        <v>28286.560647496888</v>
      </c>
      <c r="J29" s="130">
        <f t="shared" si="4"/>
        <v>0.47976155843745771</v>
      </c>
      <c r="K29" s="136"/>
      <c r="L29" s="190"/>
      <c r="M29" s="190"/>
      <c r="N29" s="191"/>
      <c r="O29" s="192"/>
      <c r="P29" s="129" t="s">
        <v>427</v>
      </c>
      <c r="Q29" s="116">
        <v>1960348887</v>
      </c>
      <c r="R29" s="116">
        <v>2593154233547</v>
      </c>
      <c r="S29" s="116">
        <v>69303.19</v>
      </c>
      <c r="T29" s="130">
        <f t="shared" si="1"/>
        <v>28286.560647496888</v>
      </c>
      <c r="U29" s="122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121486337.78947368</v>
      </c>
      <c r="G30" s="190">
        <f t="shared" si="2"/>
        <v>0.36337947244613145</v>
      </c>
      <c r="H30" s="190">
        <f t="shared" si="3"/>
        <v>1.2847569380470927</v>
      </c>
      <c r="I30" s="130">
        <f t="shared" si="0"/>
        <v>28373.821041790976</v>
      </c>
      <c r="J30" s="130">
        <f t="shared" si="4"/>
        <v>0.86954018556827051</v>
      </c>
      <c r="K30" s="136"/>
      <c r="L30" s="190"/>
      <c r="M30" s="190"/>
      <c r="N30" s="191"/>
      <c r="O30" s="192"/>
      <c r="P30" s="129" t="s">
        <v>466</v>
      </c>
      <c r="Q30" s="116">
        <v>2308240418</v>
      </c>
      <c r="R30" s="116">
        <v>3076874251538</v>
      </c>
      <c r="S30" s="116">
        <v>81351.06</v>
      </c>
      <c r="T30" s="130">
        <f t="shared" si="1"/>
        <v>28373.821041790976</v>
      </c>
      <c r="U30" s="122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347083458.08038276</v>
      </c>
      <c r="C31" s="188">
        <f>AVERAGE(F29:F31)</f>
        <v>115694486.02679425</v>
      </c>
      <c r="D31" s="190">
        <f>C31/C28-1</f>
        <v>7.9434480305230259E-2</v>
      </c>
      <c r="E31" s="287">
        <f>C31/C19-1</f>
        <v>0.90523365876921136</v>
      </c>
      <c r="F31" s="136">
        <f>Q31/20</f>
        <v>136490352.69999999</v>
      </c>
      <c r="G31" s="190">
        <f t="shared" si="2"/>
        <v>0.1235037221759625</v>
      </c>
      <c r="H31" s="190">
        <f t="shared" si="3"/>
        <v>0.85876062613903104</v>
      </c>
      <c r="I31" s="130">
        <f t="shared" si="0"/>
        <v>31590.173743192154</v>
      </c>
      <c r="J31" s="130">
        <f t="shared" si="4"/>
        <v>1.1876624823563362</v>
      </c>
      <c r="K31" s="136">
        <f>Q29+Q30+Q31</f>
        <v>6998396359</v>
      </c>
      <c r="L31" s="190">
        <f>K31/K28-1</f>
        <v>9.622506162089639E-2</v>
      </c>
      <c r="M31" s="190" t="e">
        <f>U31/U19-1</f>
        <v>#DIV/0!</v>
      </c>
      <c r="N31" s="191">
        <f>AVERAGE(T29:T31)</f>
        <v>29416.851810826673</v>
      </c>
      <c r="O31" s="192">
        <f>N31/N28-1</f>
        <v>0.49388465782839619</v>
      </c>
      <c r="P31" s="129" t="s">
        <v>505</v>
      </c>
      <c r="Q31" s="116">
        <v>2729807054</v>
      </c>
      <c r="R31" s="116">
        <v>3626271521238</v>
      </c>
      <c r="S31" s="116">
        <v>86413.17</v>
      </c>
      <c r="T31" s="130">
        <f t="shared" si="1"/>
        <v>31590.173743192154</v>
      </c>
      <c r="U31" s="122"/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102800596</v>
      </c>
      <c r="G32" s="190">
        <f t="shared" si="2"/>
        <v>-0.24682884931837379</v>
      </c>
      <c r="H32" s="190">
        <f t="shared" si="3"/>
        <v>1.0917744948801857</v>
      </c>
      <c r="I32" s="130">
        <f t="shared" si="0"/>
        <v>25866.498298162507</v>
      </c>
      <c r="J32" s="130">
        <f t="shared" si="4"/>
        <v>1.0170015266172245</v>
      </c>
      <c r="K32" s="136"/>
      <c r="L32" s="190"/>
      <c r="M32" s="190"/>
      <c r="N32" s="191"/>
      <c r="O32" s="192"/>
      <c r="P32" s="129" t="s">
        <v>561</v>
      </c>
      <c r="Q32" s="116">
        <v>2158812516</v>
      </c>
      <c r="R32" s="116">
        <v>2945745554926</v>
      </c>
      <c r="S32" s="116">
        <v>83459.789999999994</v>
      </c>
      <c r="T32" s="130">
        <f t="shared" si="1"/>
        <v>25866.498298162507</v>
      </c>
      <c r="U32" s="122"/>
      <c r="V32" s="79"/>
      <c r="W32" s="79"/>
      <c r="X32" s="79"/>
      <c r="Y32" s="79"/>
      <c r="Z32" s="79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128508413.42857143</v>
      </c>
      <c r="G33" s="190">
        <f t="shared" si="2"/>
        <v>0.25007459517619357</v>
      </c>
      <c r="H33" s="190">
        <f t="shared" si="3"/>
        <v>1.1208456255115715</v>
      </c>
      <c r="I33" s="130">
        <f t="shared" si="0"/>
        <v>33184.210071993402</v>
      </c>
      <c r="J33" s="130">
        <f t="shared" si="4"/>
        <v>1.2824236034515826</v>
      </c>
      <c r="K33" s="136"/>
      <c r="L33" s="190"/>
      <c r="M33" s="190"/>
      <c r="N33" s="191"/>
      <c r="O33" s="192"/>
      <c r="P33" s="129" t="s">
        <v>624</v>
      </c>
      <c r="Q33" s="116">
        <v>2698676682</v>
      </c>
      <c r="R33" s="116">
        <v>3686283280708</v>
      </c>
      <c r="S33" s="116">
        <v>81324.12</v>
      </c>
      <c r="T33" s="130">
        <f t="shared" si="1"/>
        <v>33184.210071993402</v>
      </c>
      <c r="U33" s="122"/>
    </row>
    <row r="34" spans="1:21" s="79" customFormat="1" ht="13.2" hidden="1">
      <c r="A34" s="129" t="s">
        <v>652</v>
      </c>
      <c r="B34" s="188">
        <f>SUM(F32:F34)</f>
        <v>428272870.53383458</v>
      </c>
      <c r="C34" s="188">
        <f>AVERAGE(F32:F34)</f>
        <v>142757623.51127818</v>
      </c>
      <c r="D34" s="190">
        <f>C34/C31-1</f>
        <v>0.2339189914220825</v>
      </c>
      <c r="E34" s="287">
        <f>C34/C22-1</f>
        <v>1.0223615152392598</v>
      </c>
      <c r="F34" s="136">
        <f>Q34/19</f>
        <v>196963861.10526314</v>
      </c>
      <c r="G34" s="190">
        <f t="shared" si="2"/>
        <v>0.53269234169435276</v>
      </c>
      <c r="H34" s="190">
        <f t="shared" si="3"/>
        <v>0.93044039826711811</v>
      </c>
      <c r="I34" s="130">
        <f t="shared" si="0"/>
        <v>27821.874332529798</v>
      </c>
      <c r="J34" s="130">
        <f t="shared" si="4"/>
        <v>0.85625923484366595</v>
      </c>
      <c r="K34" s="136">
        <f>Q32+Q33+Q34</f>
        <v>8599802559</v>
      </c>
      <c r="L34" s="190">
        <f>K34/K31-1</f>
        <v>0.22882473610409004</v>
      </c>
      <c r="M34" s="190" t="e">
        <f>U34/U22-1</f>
        <v>#DIV/0!</v>
      </c>
      <c r="N34" s="191">
        <f>AVERAGE(T32:T34)</f>
        <v>28957.527567561901</v>
      </c>
      <c r="O34" s="192">
        <f>N34/N31-1</f>
        <v>-1.5614323593108659E-2</v>
      </c>
      <c r="P34" s="129" t="s">
        <v>652</v>
      </c>
      <c r="Q34" s="116">
        <v>3742313361</v>
      </c>
      <c r="R34" s="116">
        <v>5153509421843</v>
      </c>
      <c r="S34" s="116">
        <v>134509.75</v>
      </c>
      <c r="T34" s="130">
        <f t="shared" si="1"/>
        <v>27821.874332529798</v>
      </c>
      <c r="U34" s="122"/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129559340.73913044</v>
      </c>
      <c r="G35" s="190">
        <f t="shared" si="2"/>
        <v>-0.34221770424225084</v>
      </c>
      <c r="H35" s="190">
        <f t="shared" si="3"/>
        <v>0.90711588691997913</v>
      </c>
      <c r="I35" s="130">
        <f t="shared" si="0"/>
        <v>33203.560619414893</v>
      </c>
      <c r="J35" s="130">
        <f t="shared" si="4"/>
        <v>1.4399125409031632</v>
      </c>
      <c r="K35" s="136"/>
      <c r="L35" s="190"/>
      <c r="M35" s="190"/>
      <c r="N35" s="191"/>
      <c r="O35" s="192"/>
      <c r="P35" s="129" t="s">
        <v>660</v>
      </c>
      <c r="Q35" s="116">
        <v>2979864837</v>
      </c>
      <c r="R35" s="116">
        <v>4124348379035</v>
      </c>
      <c r="S35" s="116">
        <v>89745.34</v>
      </c>
      <c r="T35" s="130">
        <f t="shared" si="1"/>
        <v>33203.560619414893</v>
      </c>
      <c r="U35" s="122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159393515.57142857</v>
      </c>
      <c r="G36" s="190">
        <f t="shared" si="2"/>
        <v>0.23027420996506653</v>
      </c>
      <c r="H36" s="190">
        <f t="shared" si="3"/>
        <v>1.099884591635699</v>
      </c>
      <c r="I36" s="130">
        <f t="shared" si="0"/>
        <v>32350.574759745603</v>
      </c>
      <c r="J36" s="130">
        <f t="shared" si="4"/>
        <v>1.103810433000028</v>
      </c>
      <c r="K36" s="136"/>
      <c r="L36" s="190"/>
      <c r="M36" s="190"/>
      <c r="N36" s="191"/>
      <c r="O36" s="192"/>
      <c r="P36" s="129" t="s">
        <v>664</v>
      </c>
      <c r="Q36" s="116">
        <v>3347263827</v>
      </c>
      <c r="R36" s="116">
        <v>4562204563504</v>
      </c>
      <c r="S36" s="116">
        <v>103468.45</v>
      </c>
      <c r="T36" s="130">
        <f t="shared" si="1"/>
        <v>32350.574759745603</v>
      </c>
      <c r="U36" s="122"/>
    </row>
    <row r="37" spans="1:21" s="79" customFormat="1" ht="13.2" hidden="1">
      <c r="A37" s="129" t="s">
        <v>702</v>
      </c>
      <c r="B37" s="188">
        <f>SUM(F35:F37)</f>
        <v>500207061.47722566</v>
      </c>
      <c r="C37" s="188">
        <f>AVERAGE(F35:F37)</f>
        <v>166735687.15907523</v>
      </c>
      <c r="D37" s="190">
        <f>C37/C34-1</f>
        <v>0.16796345482665398</v>
      </c>
      <c r="E37" s="287">
        <f>C37/C25-1</f>
        <v>0.97705103791515846</v>
      </c>
      <c r="F37" s="136">
        <f>Q37/18</f>
        <v>211254205.16666666</v>
      </c>
      <c r="G37" s="190">
        <f t="shared" si="2"/>
        <v>0.32536260593360145</v>
      </c>
      <c r="H37" s="190">
        <f t="shared" si="3"/>
        <v>0.93516293239949566</v>
      </c>
      <c r="I37" s="130">
        <f t="shared" si="0"/>
        <v>35133.750374891133</v>
      </c>
      <c r="J37" s="130">
        <f t="shared" si="4"/>
        <v>1.209656692933375</v>
      </c>
      <c r="K37" s="136">
        <f>Q35+Q36+Q37</f>
        <v>10129704357</v>
      </c>
      <c r="L37" s="190">
        <f>K37/K34-1</f>
        <v>0.17789964217247101</v>
      </c>
      <c r="M37" s="190" t="e">
        <f>U37/U25-1</f>
        <v>#DIV/0!</v>
      </c>
      <c r="N37" s="191">
        <f>AVERAGE(T35:T37)</f>
        <v>33562.628584683873</v>
      </c>
      <c r="O37" s="192">
        <f>N37/N34-1</f>
        <v>0.15902949609139228</v>
      </c>
      <c r="P37" s="129" t="s">
        <v>702</v>
      </c>
      <c r="Q37" s="116">
        <v>3802575693</v>
      </c>
      <c r="R37" s="116">
        <v>5073475111461</v>
      </c>
      <c r="S37" s="116">
        <v>108231.42</v>
      </c>
      <c r="T37" s="130">
        <f t="shared" si="1"/>
        <v>35133.750374891133</v>
      </c>
      <c r="U37" s="122"/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174141409.55000001</v>
      </c>
      <c r="G38" s="190">
        <f t="shared" si="2"/>
        <v>-0.17567837566777389</v>
      </c>
      <c r="H38" s="190">
        <f t="shared" si="3"/>
        <v>0.7929101524309019</v>
      </c>
      <c r="I38" s="130">
        <f t="shared" si="0"/>
        <v>52676.081338422628</v>
      </c>
      <c r="J38" s="130">
        <f t="shared" si="4"/>
        <v>1.7823231454420654</v>
      </c>
      <c r="K38" s="136"/>
      <c r="L38" s="190"/>
      <c r="M38" s="190"/>
      <c r="N38" s="191"/>
      <c r="O38" s="192"/>
      <c r="P38" s="129" t="s">
        <v>725</v>
      </c>
      <c r="Q38" s="116">
        <v>3482828191</v>
      </c>
      <c r="R38" s="116">
        <v>4704942187128</v>
      </c>
      <c r="S38" s="116">
        <v>66117.83</v>
      </c>
      <c r="T38" s="130">
        <f t="shared" si="1"/>
        <v>52676.081338422628</v>
      </c>
      <c r="U38" s="122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170841968.38095239</v>
      </c>
      <c r="G39" s="190">
        <f t="shared" si="2"/>
        <v>-1.8946907444781447E-2</v>
      </c>
      <c r="H39" s="190">
        <f t="shared" si="3"/>
        <v>0.86515285357441729</v>
      </c>
      <c r="I39" s="130">
        <f t="shared" si="0"/>
        <v>43052.399904479505</v>
      </c>
      <c r="J39" s="130">
        <f t="shared" si="4"/>
        <v>1.2758073205188882</v>
      </c>
      <c r="K39" s="136"/>
      <c r="L39" s="190"/>
      <c r="M39" s="190"/>
      <c r="N39" s="191"/>
      <c r="O39" s="192"/>
      <c r="P39" s="129" t="s">
        <v>762</v>
      </c>
      <c r="Q39" s="116">
        <v>3587681336</v>
      </c>
      <c r="R39" s="116">
        <v>4990791761062</v>
      </c>
      <c r="S39" s="116">
        <v>83332.899999999994</v>
      </c>
      <c r="T39" s="130">
        <f t="shared" si="1"/>
        <v>43052.399904479505</v>
      </c>
      <c r="U39" s="122"/>
    </row>
    <row r="40" spans="1:21" s="79" customFormat="1" ht="13.2" hidden="1">
      <c r="A40" s="129" t="s">
        <v>778</v>
      </c>
      <c r="B40" s="188">
        <f>SUM(F38:F40)</f>
        <v>551227270.40714288</v>
      </c>
      <c r="C40" s="188">
        <f>AVERAGE(F38:F40)</f>
        <v>183742423.46904764</v>
      </c>
      <c r="D40" s="190">
        <f>C40/C37-1</f>
        <v>0.10199817807298217</v>
      </c>
      <c r="E40" s="287">
        <f>C40/C28-1</f>
        <v>0.71432463377209632</v>
      </c>
      <c r="F40" s="136">
        <f>Q40/21</f>
        <v>206243892.47619048</v>
      </c>
      <c r="G40" s="190">
        <f t="shared" si="2"/>
        <v>0.20722030090578802</v>
      </c>
      <c r="H40" s="190">
        <f t="shared" si="3"/>
        <v>0.5528381244251741</v>
      </c>
      <c r="I40" s="130">
        <f t="shared" si="0"/>
        <v>48946.43518701115</v>
      </c>
      <c r="J40" s="130">
        <f t="shared" si="4"/>
        <v>1.3061055327918019</v>
      </c>
      <c r="K40" s="136">
        <f>Q38+Q39+Q40</f>
        <v>11401631269</v>
      </c>
      <c r="L40" s="190">
        <f>K40/K37-1</f>
        <v>0.1255640704973835</v>
      </c>
      <c r="M40" s="190" t="e">
        <f>U40/U28-1</f>
        <v>#DIV/0!</v>
      </c>
      <c r="N40" s="191">
        <f>AVERAGE(T38:T40)</f>
        <v>48224.972143304425</v>
      </c>
      <c r="O40" s="192">
        <f>N40/N37-1</f>
        <v>0.43686517346593146</v>
      </c>
      <c r="P40" s="129" t="s">
        <v>778</v>
      </c>
      <c r="Q40" s="116">
        <v>4331121742</v>
      </c>
      <c r="R40" s="116">
        <v>6195829283153</v>
      </c>
      <c r="S40" s="116">
        <v>88486.97</v>
      </c>
      <c r="T40" s="130">
        <f t="shared" si="1"/>
        <v>48946.43518701115</v>
      </c>
      <c r="U40" s="122"/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124243784.16666667</v>
      </c>
      <c r="G41" s="190">
        <f t="shared" si="2"/>
        <v>-0.39758805618445248</v>
      </c>
      <c r="H41" s="190">
        <f t="shared" si="3"/>
        <v>0.39432489277438854</v>
      </c>
      <c r="I41" s="130">
        <f t="shared" si="0"/>
        <v>38819.759768913231</v>
      </c>
      <c r="J41" s="130">
        <f t="shared" si="4"/>
        <v>0.37237468537372131</v>
      </c>
      <c r="K41" s="136"/>
      <c r="L41" s="190"/>
      <c r="M41" s="190"/>
      <c r="N41" s="193"/>
      <c r="O41" s="193"/>
      <c r="P41" s="129" t="s">
        <v>787</v>
      </c>
      <c r="Q41" s="116">
        <v>2236388115</v>
      </c>
      <c r="R41" s="116">
        <v>3265642026502</v>
      </c>
      <c r="S41" s="116">
        <v>57609.53</v>
      </c>
      <c r="T41" s="130">
        <f t="shared" si="1"/>
        <v>38819.759768913231</v>
      </c>
      <c r="U41" s="122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114338747.3</v>
      </c>
      <c r="G42" s="190">
        <f t="shared" si="2"/>
        <v>-7.9722594841280525E-2</v>
      </c>
      <c r="H42" s="190">
        <f t="shared" si="3"/>
        <v>-5.8834520980127869E-2</v>
      </c>
      <c r="I42" s="130">
        <f t="shared" si="0"/>
        <v>37411.444938822911</v>
      </c>
      <c r="J42" s="130">
        <f t="shared" si="4"/>
        <v>0.31851980329757779</v>
      </c>
      <c r="K42" s="136"/>
      <c r="L42" s="190"/>
      <c r="M42" s="190"/>
      <c r="N42" s="193"/>
      <c r="O42" s="193"/>
      <c r="P42" s="129" t="s">
        <v>826</v>
      </c>
      <c r="Q42" s="116">
        <v>2286774946</v>
      </c>
      <c r="R42" s="116">
        <v>3305633716574</v>
      </c>
      <c r="S42" s="116">
        <v>61125.01</v>
      </c>
      <c r="T42" s="130">
        <f t="shared" si="1"/>
        <v>37411.444938822911</v>
      </c>
      <c r="U42" s="122"/>
    </row>
    <row r="43" spans="1:21" s="79" customFormat="1" ht="13.2">
      <c r="A43" s="129" t="s">
        <v>834</v>
      </c>
      <c r="B43" s="188">
        <f>SUM(F41:F43)</f>
        <v>421811528.91666663</v>
      </c>
      <c r="C43" s="188">
        <f>AVERAGE(F41:F43)</f>
        <v>140603842.97222221</v>
      </c>
      <c r="D43" s="190">
        <f>C43/C40-1</f>
        <v>-0.23477746555406864</v>
      </c>
      <c r="E43" s="287">
        <f>C43/C31-1</f>
        <v>0.21530288781143003</v>
      </c>
      <c r="F43" s="136">
        <f>Q43/20</f>
        <v>183228997.44999999</v>
      </c>
      <c r="G43" s="190">
        <f t="shared" si="2"/>
        <v>0.60251010070319344</v>
      </c>
      <c r="H43" s="190">
        <f t="shared" si="3"/>
        <v>0.34243185562520706</v>
      </c>
      <c r="I43" s="130">
        <f t="shared" si="0"/>
        <v>38285.370480842059</v>
      </c>
      <c r="J43" s="130">
        <f t="shared" si="4"/>
        <v>0.21193921857086195</v>
      </c>
      <c r="K43" s="136">
        <f>Q41+Q42+Q43</f>
        <v>8187743010</v>
      </c>
      <c r="L43" s="190">
        <f>K43/K40-1</f>
        <v>-0.28187968749158465</v>
      </c>
      <c r="M43" s="190">
        <f>K43/K31-1</f>
        <v>0.16994559753256744</v>
      </c>
      <c r="N43" s="191">
        <f>AVERAGE(T41:T43)</f>
        <v>38172.191729526072</v>
      </c>
      <c r="O43" s="192">
        <f>N43/N40-1</f>
        <v>-0.20845590918965595</v>
      </c>
      <c r="P43" s="129" t="s">
        <v>834</v>
      </c>
      <c r="Q43" s="116">
        <v>3664579949</v>
      </c>
      <c r="R43" s="116">
        <v>5317218463566</v>
      </c>
      <c r="S43" s="116">
        <v>95717.5</v>
      </c>
      <c r="T43" s="130">
        <f t="shared" si="1"/>
        <v>38285.370480842059</v>
      </c>
      <c r="U43" s="122"/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129352458.22727273</v>
      </c>
      <c r="G44" s="190">
        <f t="shared" si="2"/>
        <v>-0.29403937134693559</v>
      </c>
      <c r="H44" s="190">
        <f t="shared" si="3"/>
        <v>0.25828510009098338</v>
      </c>
      <c r="I44" s="130">
        <f t="shared" si="0"/>
        <v>30528.453733219834</v>
      </c>
      <c r="J44" s="130">
        <f t="shared" si="4"/>
        <v>0.18023140903415213</v>
      </c>
      <c r="K44" s="136"/>
      <c r="L44" s="190"/>
      <c r="M44" s="190"/>
      <c r="N44" s="191"/>
      <c r="O44" s="192"/>
      <c r="P44" s="129" t="s">
        <v>839</v>
      </c>
      <c r="Q44" s="116">
        <v>2845754081</v>
      </c>
      <c r="R44" s="116">
        <v>4106931388061</v>
      </c>
      <c r="S44" s="116">
        <v>93216.45</v>
      </c>
      <c r="T44" s="130">
        <f t="shared" si="1"/>
        <v>30528.453733219834</v>
      </c>
      <c r="U44" s="122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200336177.44999999</v>
      </c>
      <c r="G45" s="190">
        <f t="shared" si="2"/>
        <v>0.54876204283654673</v>
      </c>
      <c r="H45" s="190">
        <f t="shared" si="3"/>
        <v>0.55893433048531427</v>
      </c>
      <c r="I45" s="130">
        <f t="shared" si="0"/>
        <v>35702.415287569071</v>
      </c>
      <c r="J45" s="130">
        <f t="shared" si="4"/>
        <v>7.5885645917513234E-2</v>
      </c>
      <c r="K45" s="136"/>
      <c r="L45" s="190"/>
      <c r="M45" s="190"/>
      <c r="N45" s="191"/>
      <c r="O45" s="192"/>
      <c r="P45" s="129" t="s">
        <v>849</v>
      </c>
      <c r="Q45" s="116">
        <v>4006723549</v>
      </c>
      <c r="R45" s="116">
        <v>5629763607498</v>
      </c>
      <c r="S45" s="116">
        <v>112225.56</v>
      </c>
      <c r="T45" s="130">
        <f t="shared" si="1"/>
        <v>35702.415287569071</v>
      </c>
      <c r="U45" s="122"/>
    </row>
    <row r="46" spans="1:21" s="79" customFormat="1" ht="13.2">
      <c r="A46" s="129" t="s">
        <v>888</v>
      </c>
      <c r="B46" s="188">
        <f>SUM(F44:F46)</f>
        <v>576405480.83516741</v>
      </c>
      <c r="C46" s="188">
        <f>AVERAGE(F44:F46)</f>
        <v>192135160.27838913</v>
      </c>
      <c r="D46" s="190">
        <f>C46/C43-1</f>
        <v>0.36650006299150362</v>
      </c>
      <c r="E46" s="287">
        <f>C46/C34-1</f>
        <v>0.34588371221527092</v>
      </c>
      <c r="F46" s="136">
        <f>Q46/19</f>
        <v>246716845.15789473</v>
      </c>
      <c r="G46" s="190">
        <f t="shared" si="2"/>
        <v>0.23151418929050127</v>
      </c>
      <c r="H46" s="190">
        <f t="shared" si="3"/>
        <v>0.25259955696157976</v>
      </c>
      <c r="I46" s="130">
        <f t="shared" si="0"/>
        <v>43841.369461749324</v>
      </c>
      <c r="J46" s="130">
        <f t="shared" si="4"/>
        <v>0.57578777539402748</v>
      </c>
      <c r="K46" s="136">
        <f>Q44+Q45+Q46</f>
        <v>11540097688</v>
      </c>
      <c r="L46" s="190">
        <f>K46/K43-1</f>
        <v>0.40943574730003651</v>
      </c>
      <c r="M46" s="190">
        <f>K46/K34-1</f>
        <v>0.34190263192994785</v>
      </c>
      <c r="N46" s="191">
        <f>AVERAGE(T44:T46)</f>
        <v>36690.74616084608</v>
      </c>
      <c r="O46" s="192">
        <f>N46/N43-1</f>
        <v>-3.8809549610799521E-2</v>
      </c>
      <c r="P46" s="129" t="s">
        <v>968</v>
      </c>
      <c r="Q46" s="116">
        <v>4687620058</v>
      </c>
      <c r="R46" s="116">
        <v>6415994429228</v>
      </c>
      <c r="S46" s="116">
        <v>106922.3</v>
      </c>
      <c r="T46" s="130">
        <f t="shared" si="1"/>
        <v>43841.369461749324</v>
      </c>
      <c r="U46" s="122"/>
    </row>
    <row r="47" spans="1:21" s="79" customFormat="1" ht="13.2">
      <c r="A47" s="129" t="s">
        <v>1025</v>
      </c>
      <c r="B47" s="188"/>
      <c r="C47" s="188"/>
      <c r="D47" s="190"/>
      <c r="E47" s="287"/>
      <c r="F47" s="136">
        <f>Q47/23</f>
        <v>182372087.39130434</v>
      </c>
      <c r="G47" s="190">
        <f t="shared" ref="G47" si="5">F47/F46-1</f>
        <v>-0.26080407166932928</v>
      </c>
      <c r="H47" s="190">
        <f t="shared" ref="H47" si="6">F47/F35-1</f>
        <v>0.40763364764654919</v>
      </c>
      <c r="I47" s="130">
        <f t="shared" si="0"/>
        <v>42087.984796559162</v>
      </c>
      <c r="J47" s="130">
        <f t="shared" si="4"/>
        <v>0.26757444115645046</v>
      </c>
      <c r="K47" s="136"/>
      <c r="L47" s="190"/>
      <c r="M47" s="190"/>
      <c r="N47" s="191"/>
      <c r="O47" s="192"/>
      <c r="P47" s="129" t="s">
        <v>1029</v>
      </c>
      <c r="Q47" s="116">
        <v>4194558010</v>
      </c>
      <c r="R47" s="116">
        <v>5768552120097</v>
      </c>
      <c r="S47" s="116">
        <v>99661.65</v>
      </c>
      <c r="T47" s="130">
        <f t="shared" ref="T47" si="7">Q47/S47</f>
        <v>42087.984796559162</v>
      </c>
      <c r="U47" s="122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230184119.15000001</v>
      </c>
      <c r="G48" s="190">
        <f t="shared" ref="G48" si="8">F48/F47-1</f>
        <v>0.26216748649758226</v>
      </c>
      <c r="H48" s="190">
        <f t="shared" ref="H48" si="9">F48/F36-1</f>
        <v>0.44412473948382325</v>
      </c>
      <c r="I48" s="130">
        <f t="shared" si="0"/>
        <v>44118.38864197029</v>
      </c>
      <c r="J48" s="130">
        <f t="shared" si="4"/>
        <v>0.36375903580135427</v>
      </c>
      <c r="K48" s="136"/>
      <c r="L48" s="190"/>
      <c r="M48" s="190"/>
      <c r="N48" s="191"/>
      <c r="O48" s="192"/>
      <c r="P48" s="129" t="s">
        <v>1070</v>
      </c>
      <c r="Q48" s="116">
        <v>4603682383</v>
      </c>
      <c r="R48" s="116">
        <v>6390118680110</v>
      </c>
      <c r="S48" s="116">
        <v>104348.38</v>
      </c>
      <c r="T48" s="130">
        <f t="shared" ref="T48" si="10">Q48/S48</f>
        <v>44118.38864197029</v>
      </c>
      <c r="U48" s="122"/>
    </row>
    <row r="49" spans="1:26" ht="13.2">
      <c r="A49" s="129" t="s">
        <v>1158</v>
      </c>
      <c r="B49" s="188">
        <f>SUM(F47:F49)</f>
        <v>650464030.7231226</v>
      </c>
      <c r="C49" s="188">
        <f>AVERAGE(F47:F49)</f>
        <v>216821343.5743742</v>
      </c>
      <c r="D49" s="190">
        <f>C49/C46-1</f>
        <v>0.12848342416982228</v>
      </c>
      <c r="E49" s="287">
        <f>C49/C37-1</f>
        <v>0.30038954028788356</v>
      </c>
      <c r="F49" s="136">
        <f>Q49/22</f>
        <v>237907824.18181819</v>
      </c>
      <c r="G49" s="190">
        <f t="shared" ref="G49" si="11">F49/F48-1</f>
        <v>3.3554465270408285E-2</v>
      </c>
      <c r="H49" s="190">
        <f t="shared" ref="H49" si="12">F49/F37-1</f>
        <v>0.12616846606259724</v>
      </c>
      <c r="I49" s="130">
        <f t="shared" si="0"/>
        <v>41366.846706406133</v>
      </c>
      <c r="J49" s="130">
        <f t="shared" si="4"/>
        <v>0.17741050314883489</v>
      </c>
      <c r="K49" s="136">
        <f>Q47+Q48+Q49</f>
        <v>14032212525</v>
      </c>
      <c r="L49" s="190">
        <f>K49/K46-1</f>
        <v>0.21595266386621947</v>
      </c>
      <c r="M49" s="190">
        <f>K49/K37-1</f>
        <v>0.38525390578681828</v>
      </c>
      <c r="N49" s="191">
        <f>AVERAGE(T47:T49)</f>
        <v>42524.406714978533</v>
      </c>
      <c r="O49" s="192">
        <f>N49/N46-1</f>
        <v>0.15899541886007618</v>
      </c>
      <c r="P49" s="129" t="s">
        <v>1165</v>
      </c>
      <c r="Q49" s="116">
        <v>5233972132</v>
      </c>
      <c r="R49" s="116">
        <v>7275360110566</v>
      </c>
      <c r="S49" s="116">
        <v>126525.77</v>
      </c>
      <c r="T49" s="130">
        <f t="shared" ref="T49" si="13">Q49/S49</f>
        <v>41366.846706406133</v>
      </c>
      <c r="U49" s="122"/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262124929.94444445</v>
      </c>
      <c r="G50" s="190">
        <f t="shared" ref="G50" si="14">F50/F49-1</f>
        <v>0.10179196857400807</v>
      </c>
      <c r="H50" s="190">
        <f t="shared" ref="H50" si="15">F50/F38-1</f>
        <v>0.50524180676958586</v>
      </c>
      <c r="I50" s="130">
        <f t="shared" ref="I50" si="16">T50</f>
        <v>44348.682002781658</v>
      </c>
      <c r="J50" s="130">
        <f t="shared" ref="J50" si="17">I50/I38-1</f>
        <v>-0.15808691770636429</v>
      </c>
      <c r="K50" s="136"/>
      <c r="L50" s="190"/>
      <c r="M50" s="190"/>
      <c r="N50" s="191"/>
      <c r="O50" s="192"/>
      <c r="P50" s="129" t="s">
        <v>1293</v>
      </c>
      <c r="Q50" s="116">
        <v>4718248739</v>
      </c>
      <c r="R50" s="116">
        <v>6662084601679</v>
      </c>
      <c r="S50" s="116">
        <v>106389.83</v>
      </c>
      <c r="T50" s="130">
        <f t="shared" ref="T50" si="18">Q50/S50</f>
        <v>44348.682002781658</v>
      </c>
      <c r="U50" s="121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233759277</v>
      </c>
      <c r="G51" s="190">
        <f t="shared" ref="G51:G52" si="19">F51/F50-1</f>
        <v>-0.10821425093163151</v>
      </c>
      <c r="H51" s="190">
        <f t="shared" ref="H51:H52" si="20">F51/F39-1</f>
        <v>0.36827782549748722</v>
      </c>
      <c r="I51" s="130">
        <f t="shared" ref="I51:I52" si="21">T51</f>
        <v>50393.919727126944</v>
      </c>
      <c r="J51" s="130">
        <f t="shared" ref="J51:J52" si="22">I51/I39-1</f>
        <v>0.17052521668794518</v>
      </c>
      <c r="K51" s="136"/>
      <c r="L51" s="190"/>
      <c r="M51" s="190"/>
      <c r="N51" s="191"/>
      <c r="O51" s="192"/>
      <c r="P51" s="129" t="s">
        <v>1402</v>
      </c>
      <c r="Q51" s="116">
        <v>4675185540</v>
      </c>
      <c r="R51" s="116">
        <v>6801782598011</v>
      </c>
      <c r="S51" s="116">
        <v>92772.81</v>
      </c>
      <c r="T51" s="130">
        <f t="shared" ref="T51:T52" si="23">Q51/S51</f>
        <v>50393.919727126944</v>
      </c>
      <c r="U51" s="121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775951929.53535342</v>
      </c>
      <c r="C52" s="188">
        <f>AVERAGE(F50:F52)</f>
        <v>258650643.17845115</v>
      </c>
      <c r="D52" s="190">
        <f>C52/C49-1</f>
        <v>0.19292058113148181</v>
      </c>
      <c r="E52" s="287">
        <f>C52/C40-1</f>
        <v>0.40768059055247075</v>
      </c>
      <c r="F52" s="136">
        <f>Q52/22</f>
        <v>280067722.59090906</v>
      </c>
      <c r="G52" s="190">
        <f t="shared" si="19"/>
        <v>0.19810313492246578</v>
      </c>
      <c r="H52" s="190">
        <f t="shared" si="20"/>
        <v>0.35794432130028331</v>
      </c>
      <c r="I52" s="130">
        <f t="shared" si="21"/>
        <v>58868.095952430791</v>
      </c>
      <c r="J52" s="130">
        <f t="shared" si="22"/>
        <v>0.20270446106057882</v>
      </c>
      <c r="K52" s="136">
        <f>Q50+Q51+Q52</f>
        <v>15554924176</v>
      </c>
      <c r="L52" s="190">
        <f>K52/K49-1</f>
        <v>0.10851543534471952</v>
      </c>
      <c r="M52" s="190">
        <f>K52/K40-1</f>
        <v>0.36427181418262711</v>
      </c>
      <c r="N52" s="191">
        <f>AVERAGE(T50:T52)</f>
        <v>51203.565894113133</v>
      </c>
      <c r="O52" s="192">
        <f>N52/N49-1</f>
        <v>0.20409830141328</v>
      </c>
      <c r="P52" s="129" t="s">
        <v>1403</v>
      </c>
      <c r="Q52" s="116">
        <v>6161489897</v>
      </c>
      <c r="R52" s="116">
        <v>9074871503125</v>
      </c>
      <c r="S52" s="116">
        <v>104666.03</v>
      </c>
      <c r="T52" s="130">
        <f t="shared" si="23"/>
        <v>58868.095952430791</v>
      </c>
      <c r="U52" s="78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232543525.57142857</v>
      </c>
      <c r="G53" s="190">
        <f t="shared" ref="G53" si="24">F53/F52-1</f>
        <v>-0.16968823318815074</v>
      </c>
      <c r="H53" s="190">
        <f t="shared" ref="H53" si="25">F53/F41-1</f>
        <v>0.87167130437272689</v>
      </c>
      <c r="I53" s="130">
        <f t="shared" ref="I53" si="26">T53</f>
        <v>55749.179381835915</v>
      </c>
      <c r="J53" s="130">
        <f t="shared" ref="J53" si="27">I53/I41-1</f>
        <v>0.43610315245896292</v>
      </c>
      <c r="K53" s="136"/>
      <c r="L53" s="190"/>
      <c r="M53" s="190"/>
      <c r="N53" s="191"/>
      <c r="O53" s="192"/>
      <c r="P53" s="129" t="s">
        <v>1414</v>
      </c>
      <c r="Q53" s="116">
        <v>4883414037</v>
      </c>
      <c r="R53" s="116">
        <v>7134260079378</v>
      </c>
      <c r="S53" s="116">
        <v>87596.160000000003</v>
      </c>
      <c r="T53" s="130">
        <f t="shared" ref="T53" si="28">Q53/S53</f>
        <v>55749.179381835915</v>
      </c>
      <c r="U53" s="78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396989777.35294116</v>
      </c>
      <c r="G54" s="190">
        <f t="shared" ref="G54" si="29">F54/F53-1</f>
        <v>0.70716332083389233</v>
      </c>
      <c r="H54" s="190">
        <f t="shared" ref="H54" si="30">F54/F42-1</f>
        <v>2.4720493859472357</v>
      </c>
      <c r="I54" s="130">
        <f t="shared" ref="I54" si="31">T54</f>
        <v>72666.811612819438</v>
      </c>
      <c r="J54" s="130">
        <f t="shared" ref="J54" si="32">I54/I42-1</f>
        <v>0.94236848460806266</v>
      </c>
      <c r="K54" s="136"/>
      <c r="L54" s="190"/>
      <c r="M54" s="190"/>
      <c r="N54" s="191"/>
      <c r="O54" s="192"/>
      <c r="P54" s="129" t="s">
        <v>1417</v>
      </c>
      <c r="Q54" s="116">
        <v>6748826215</v>
      </c>
      <c r="R54" s="116">
        <v>9781874500155</v>
      </c>
      <c r="S54" s="116">
        <v>92873.57</v>
      </c>
      <c r="T54" s="130">
        <f t="shared" ref="T54" si="33">Q54/S54</f>
        <v>72666.811612819438</v>
      </c>
      <c r="U54" s="78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1037973374.3053221</v>
      </c>
      <c r="C55" s="188">
        <f>AVERAGE(F53:F55)</f>
        <v>345991124.76844066</v>
      </c>
      <c r="D55" s="190">
        <f>C55/C52-1</f>
        <v>0.33767741891803693</v>
      </c>
      <c r="E55" s="287">
        <f>C55/C43-1</f>
        <v>1.460751551696883</v>
      </c>
      <c r="F55" s="136">
        <f>Q55/21</f>
        <v>408440071.38095236</v>
      </c>
      <c r="G55" s="190">
        <f t="shared" ref="G55" si="34">F55/F54-1</f>
        <v>2.8842793142835443E-2</v>
      </c>
      <c r="H55" s="190">
        <f t="shared" ref="H55" si="35">F55/F43-1</f>
        <v>1.2291235397519902</v>
      </c>
      <c r="I55" s="130">
        <f>T55</f>
        <v>63748.770315864516</v>
      </c>
      <c r="J55" s="130">
        <f t="shared" ref="J55" si="36">I55/I43-1</f>
        <v>0.66509477419747842</v>
      </c>
      <c r="K55" s="136">
        <f>Q53+Q54+Q55</f>
        <v>20209481751</v>
      </c>
      <c r="L55" s="190">
        <f>K55/K52-1</f>
        <v>0.29923370389561965</v>
      </c>
      <c r="M55" s="190">
        <f>K55/K43-1</f>
        <v>1.4682603895014044</v>
      </c>
      <c r="N55" s="191">
        <f>AVERAGE(T53:T55)</f>
        <v>64054.920436839959</v>
      </c>
      <c r="O55" s="192">
        <f>N55/N52-1</f>
        <v>0.2509855381811279</v>
      </c>
      <c r="P55" s="129" t="s">
        <v>1418</v>
      </c>
      <c r="Q55" s="116">
        <v>8577241499</v>
      </c>
      <c r="R55" s="116">
        <v>12674199016211</v>
      </c>
      <c r="S55" s="116">
        <v>134547.56</v>
      </c>
      <c r="T55" s="130">
        <f t="shared" ref="T55" si="37">Q55/S55</f>
        <v>63748.770315864516</v>
      </c>
      <c r="U55" s="78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370751076.81818181</v>
      </c>
      <c r="G56" s="190">
        <f t="shared" ref="G56" si="38">F56/F55-1</f>
        <v>-9.2275457780972681E-2</v>
      </c>
      <c r="H56" s="190">
        <f t="shared" ref="H56" si="39">F56/F44-1</f>
        <v>1.8662082027600189</v>
      </c>
      <c r="I56" s="291">
        <f>T56</f>
        <v>72714.066281979627</v>
      </c>
      <c r="J56" s="135">
        <f t="shared" ref="J56" si="40">I56/I44-1</f>
        <v>1.3818457009781371</v>
      </c>
      <c r="K56" s="136"/>
      <c r="L56" s="190"/>
      <c r="M56" s="190"/>
      <c r="N56" s="191"/>
      <c r="O56" s="192"/>
      <c r="P56" s="129" t="s">
        <v>1420</v>
      </c>
      <c r="Q56" s="116">
        <v>8156523690</v>
      </c>
      <c r="R56" s="116">
        <v>12144197282626</v>
      </c>
      <c r="S56" s="116">
        <v>112172.57</v>
      </c>
      <c r="T56" s="130">
        <f t="shared" ref="T56" si="41">Q56/S56</f>
        <v>72714.066281979627</v>
      </c>
      <c r="U56" s="78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405247270.41666669</v>
      </c>
      <c r="G57" s="280">
        <f t="shared" ref="G57" si="42">F57/F56-1</f>
        <v>9.3044082014634322E-2</v>
      </c>
      <c r="H57" s="280">
        <f t="shared" ref="H57" si="43">F57/F45-1</f>
        <v>1.0228361925184908</v>
      </c>
      <c r="I57" s="282">
        <f>T57</f>
        <v>76385.999685531977</v>
      </c>
      <c r="J57" s="281">
        <f t="shared" ref="J57" si="44">I57/I45-1</f>
        <v>1.1395191073285225</v>
      </c>
      <c r="K57" s="204"/>
      <c r="L57" s="254"/>
      <c r="M57" s="254"/>
      <c r="N57" s="257"/>
      <c r="O57" s="258"/>
      <c r="P57" s="129" t="s">
        <v>1436</v>
      </c>
      <c r="Q57" s="116">
        <v>4862967245</v>
      </c>
      <c r="R57" s="116">
        <v>7164029789691</v>
      </c>
      <c r="S57" s="116">
        <v>63663.07</v>
      </c>
      <c r="T57" s="130">
        <f t="shared" ref="T57" si="45">Q57/S57</f>
        <v>76385.999685531977</v>
      </c>
      <c r="U57" s="78"/>
      <c r="V57" s="79"/>
      <c r="W57" s="79"/>
      <c r="X57" s="79"/>
      <c r="Y57" s="79"/>
      <c r="Z57" s="79"/>
    </row>
    <row r="58" spans="1:26">
      <c r="B58" s="196">
        <f>SUM(F56:F58)</f>
        <v>775998347.2348485</v>
      </c>
      <c r="C58" s="196">
        <f>AVERAGE(F56:F58)</f>
        <v>387999173.61742425</v>
      </c>
      <c r="D58" s="197">
        <f>C58/C55-1</f>
        <v>0.12141366018304089</v>
      </c>
      <c r="E58" s="233">
        <f>C58/C46-1</f>
        <v>1.0194074476282382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33228972686</v>
      </c>
      <c r="R64" s="212">
        <v>48898560668061</v>
      </c>
      <c r="S64" s="213">
        <v>490852.94</v>
      </c>
      <c r="T64" s="214">
        <v>30</v>
      </c>
      <c r="U64" s="214">
        <v>180</v>
      </c>
    </row>
    <row r="65" spans="16:21" ht="18" thickBot="1">
      <c r="P65" s="180" t="s">
        <v>976</v>
      </c>
      <c r="Q65" s="181">
        <v>4883414037</v>
      </c>
      <c r="R65" s="181">
        <v>7134260079378</v>
      </c>
      <c r="S65" s="182">
        <v>87596.160000000003</v>
      </c>
      <c r="T65" s="210">
        <v>25</v>
      </c>
      <c r="U65" s="210">
        <v>130</v>
      </c>
    </row>
    <row r="66" spans="16:21" ht="18" thickBot="1">
      <c r="P66" s="180" t="s">
        <v>977</v>
      </c>
      <c r="Q66" s="181">
        <v>6748826215</v>
      </c>
      <c r="R66" s="181">
        <v>9781874500155</v>
      </c>
      <c r="S66" s="182">
        <v>92873.57</v>
      </c>
      <c r="T66" s="210">
        <v>19</v>
      </c>
      <c r="U66" s="210">
        <v>89</v>
      </c>
    </row>
    <row r="67" spans="16:21" ht="18" thickBot="1">
      <c r="P67" s="180" t="s">
        <v>978</v>
      </c>
      <c r="Q67" s="181">
        <v>8577241499</v>
      </c>
      <c r="R67" s="181">
        <v>12674199016211</v>
      </c>
      <c r="S67" s="182">
        <v>134547.56</v>
      </c>
      <c r="T67" s="210">
        <v>20</v>
      </c>
      <c r="U67" s="210">
        <v>112</v>
      </c>
    </row>
    <row r="68" spans="16:21" ht="18" thickBot="1">
      <c r="P68" s="180" t="s">
        <v>979</v>
      </c>
      <c r="Q68" s="181">
        <v>8156523690</v>
      </c>
      <c r="R68" s="181">
        <v>12144197282626</v>
      </c>
      <c r="S68" s="182">
        <v>112172.57</v>
      </c>
      <c r="T68" s="210">
        <v>20</v>
      </c>
      <c r="U68" s="210">
        <v>103</v>
      </c>
    </row>
    <row r="69" spans="16:21" ht="18" thickBot="1">
      <c r="P69" s="180" t="s">
        <v>980</v>
      </c>
      <c r="Q69" s="181">
        <v>4862967245</v>
      </c>
      <c r="R69" s="181">
        <v>7164029789691</v>
      </c>
      <c r="S69" s="182">
        <v>63663.07</v>
      </c>
      <c r="T69" s="210">
        <v>18</v>
      </c>
      <c r="U69" s="210">
        <v>83</v>
      </c>
    </row>
    <row r="70" spans="16:21" ht="18" thickBot="1">
      <c r="P70" s="180" t="s">
        <v>975</v>
      </c>
      <c r="Q70" s="181">
        <v>49314977399</v>
      </c>
      <c r="R70" s="181">
        <v>70013953245017</v>
      </c>
      <c r="S70" s="182">
        <v>1161180.8500000001</v>
      </c>
      <c r="T70" s="210">
        <v>41</v>
      </c>
      <c r="U70" s="210">
        <v>282</v>
      </c>
    </row>
    <row r="71" spans="16:21" ht="18" thickBot="1">
      <c r="P71" s="215" t="s">
        <v>982</v>
      </c>
      <c r="Q71" s="217" t="s">
        <v>1437</v>
      </c>
      <c r="R71"/>
      <c r="S71"/>
      <c r="T71"/>
      <c r="U71"/>
    </row>
  </sheetData>
  <phoneticPr fontId="1" type="noConversion"/>
  <conditionalFormatting sqref="C29:C30">
    <cfRule type="cellIs" dxfId="2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3"/>
  <sheetViews>
    <sheetView topLeftCell="A4" zoomScaleNormal="10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7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296875" style="87" bestFit="1" customWidth="1"/>
    <col min="13" max="13" width="5.59765625" style="87" customWidth="1"/>
    <col min="14" max="14" width="10.59765625" style="79" customWidth="1"/>
    <col min="15" max="15" width="6.59765625" style="79" bestFit="1" customWidth="1"/>
    <col min="16" max="16" width="20.69921875" style="79" customWidth="1"/>
    <col min="17" max="17" width="20.69921875" style="98" customWidth="1"/>
    <col min="18" max="18" width="17.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841950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1288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2021927.45</v>
      </c>
      <c r="G5" s="90"/>
      <c r="H5" s="90"/>
      <c r="I5" s="130">
        <f t="shared" ref="I5:I49" si="0">T5</f>
        <v>8.5615041955966902</v>
      </c>
      <c r="J5" s="130"/>
      <c r="L5" s="80"/>
      <c r="M5" s="80"/>
      <c r="P5" s="129" t="s">
        <v>0</v>
      </c>
      <c r="Q5" s="116">
        <v>40438549</v>
      </c>
      <c r="R5" s="116">
        <v>47648953741</v>
      </c>
      <c r="S5" s="116">
        <v>4723299.5599999996</v>
      </c>
      <c r="T5" s="130">
        <f t="shared" ref="T5:T47" si="1">Q5/S5</f>
        <v>8.5615041955966902</v>
      </c>
      <c r="U5" s="85"/>
    </row>
    <row r="6" spans="1:21" ht="15" hidden="1" customHeight="1">
      <c r="A6" s="129" t="s">
        <v>1</v>
      </c>
      <c r="C6" s="79"/>
      <c r="F6" s="78">
        <f>Q6/18</f>
        <v>2766094.777777778</v>
      </c>
      <c r="G6" s="90">
        <f t="shared" ref="G6:G47" si="2">F6/F5-1</f>
        <v>0.36804848155050185</v>
      </c>
      <c r="H6" s="90"/>
      <c r="I6" s="130">
        <f t="shared" si="0"/>
        <v>7.3099962129620861</v>
      </c>
      <c r="J6" s="130"/>
      <c r="P6" s="129" t="s">
        <v>1</v>
      </c>
      <c r="Q6" s="116">
        <v>49789706</v>
      </c>
      <c r="R6" s="116">
        <v>59137691192</v>
      </c>
      <c r="S6" s="116">
        <v>6811180.8200000003</v>
      </c>
      <c r="T6" s="130">
        <f t="shared" si="1"/>
        <v>7.3099962129620861</v>
      </c>
      <c r="U6" s="85"/>
    </row>
    <row r="7" spans="1:21" ht="15" hidden="1" customHeight="1">
      <c r="A7" s="129" t="s">
        <v>2</v>
      </c>
      <c r="B7" s="131">
        <f>F5+F6+F7</f>
        <v>6455871.7277777782</v>
      </c>
      <c r="C7" s="131">
        <f>AVERAGE(F5:F7)</f>
        <v>2151957.2425925927</v>
      </c>
      <c r="F7" s="78">
        <f>Q7/22</f>
        <v>1667849.5</v>
      </c>
      <c r="G7" s="90">
        <f t="shared" si="2"/>
        <v>-0.39703819500360182</v>
      </c>
      <c r="H7" s="90"/>
      <c r="I7" s="130">
        <f t="shared" si="0"/>
        <v>11.89085424821228</v>
      </c>
      <c r="J7" s="130"/>
      <c r="K7" s="79">
        <f>R5+R6+R7</f>
        <v>150922885496</v>
      </c>
      <c r="N7" s="88">
        <f>AVERAGE(T5:T7)</f>
        <v>9.2541182189236864</v>
      </c>
      <c r="P7" s="129" t="s">
        <v>2</v>
      </c>
      <c r="Q7" s="116">
        <v>36692689</v>
      </c>
      <c r="R7" s="116">
        <v>44136240563</v>
      </c>
      <c r="S7" s="116">
        <v>3085790.83</v>
      </c>
      <c r="T7" s="130">
        <f t="shared" si="1"/>
        <v>11.89085424821228</v>
      </c>
      <c r="U7" s="85">
        <f>Q5+Q6+Q7</f>
        <v>126920944</v>
      </c>
    </row>
    <row r="8" spans="1:21" ht="15" hidden="1" customHeight="1">
      <c r="A8" s="129" t="s">
        <v>3</v>
      </c>
      <c r="C8" s="79"/>
      <c r="F8" s="78">
        <f>Q8/21</f>
        <v>2419642.1428571427</v>
      </c>
      <c r="G8" s="90">
        <f t="shared" si="2"/>
        <v>0.45075568440506331</v>
      </c>
      <c r="H8" s="90"/>
      <c r="I8" s="130">
        <f t="shared" si="0"/>
        <v>6.0845222674966424</v>
      </c>
      <c r="J8" s="130"/>
      <c r="K8" s="78"/>
      <c r="P8" s="129" t="s">
        <v>3</v>
      </c>
      <c r="Q8" s="116">
        <v>50812485</v>
      </c>
      <c r="R8" s="116">
        <v>61485693581</v>
      </c>
      <c r="S8" s="116">
        <v>8351105.1100000003</v>
      </c>
      <c r="T8" s="130">
        <f t="shared" si="1"/>
        <v>6.0845222674966424</v>
      </c>
      <c r="U8" s="85"/>
    </row>
    <row r="9" spans="1:21" ht="15" hidden="1" customHeight="1">
      <c r="A9" s="129" t="s">
        <v>4</v>
      </c>
      <c r="C9" s="79"/>
      <c r="F9" s="78">
        <f>Q9/21</f>
        <v>2457083.2857142859</v>
      </c>
      <c r="G9" s="90">
        <f t="shared" si="2"/>
        <v>1.5473834826224442E-2</v>
      </c>
      <c r="H9" s="90"/>
      <c r="I9" s="130">
        <f t="shared" si="0"/>
        <v>8.8113890333283038</v>
      </c>
      <c r="J9" s="130"/>
      <c r="K9" s="78"/>
      <c r="P9" s="129" t="s">
        <v>4</v>
      </c>
      <c r="Q9" s="116">
        <v>51598749</v>
      </c>
      <c r="R9" s="116">
        <v>64894259336</v>
      </c>
      <c r="S9" s="116">
        <v>5855915.4299999997</v>
      </c>
      <c r="T9" s="130">
        <f t="shared" si="1"/>
        <v>8.8113890333283038</v>
      </c>
      <c r="U9" s="85"/>
    </row>
    <row r="10" spans="1:21" ht="15" hidden="1" customHeight="1">
      <c r="A10" s="129" t="s">
        <v>5</v>
      </c>
      <c r="B10" s="131">
        <f>F8+F9+F10</f>
        <v>6384148.0476190485</v>
      </c>
      <c r="C10" s="131">
        <f>AVERAGE(F8:F10)</f>
        <v>2128049.3492063493</v>
      </c>
      <c r="D10" s="90">
        <f>C10/C7-1</f>
        <v>-1.1109836623631075E-2</v>
      </c>
      <c r="E10" s="286"/>
      <c r="F10" s="78">
        <f>Q10/21</f>
        <v>1507422.6190476189</v>
      </c>
      <c r="G10" s="90">
        <f t="shared" si="2"/>
        <v>-0.38649917655949384</v>
      </c>
      <c r="H10" s="90"/>
      <c r="I10" s="130">
        <f t="shared" si="0"/>
        <v>6.4865782492316431</v>
      </c>
      <c r="J10" s="130"/>
      <c r="K10" s="79">
        <f>R8+R9+R10</f>
        <v>166059992361</v>
      </c>
      <c r="L10" s="87">
        <f>U10/U7-1</f>
        <v>5.630406436308899E-2</v>
      </c>
      <c r="N10" s="88">
        <f>AVERAGE(T8:T10)</f>
        <v>7.1274965166855297</v>
      </c>
      <c r="O10" s="89">
        <f>N10/N7-1</f>
        <v>-0.22980273775727666</v>
      </c>
      <c r="P10" s="129" t="s">
        <v>5</v>
      </c>
      <c r="Q10" s="116">
        <v>31655875</v>
      </c>
      <c r="R10" s="116">
        <v>39680039444</v>
      </c>
      <c r="S10" s="116">
        <v>4880211.6900000004</v>
      </c>
      <c r="T10" s="130">
        <f t="shared" si="1"/>
        <v>6.4865782492316431</v>
      </c>
      <c r="U10" s="85">
        <f>Q8+Q9+Q10</f>
        <v>134067109</v>
      </c>
    </row>
    <row r="11" spans="1:21" ht="15" hidden="1" customHeight="1">
      <c r="A11" s="129" t="s">
        <v>6</v>
      </c>
      <c r="C11" s="79"/>
      <c r="F11" s="78">
        <f>Q11/21</f>
        <v>2323299.8095238097</v>
      </c>
      <c r="G11" s="90">
        <f t="shared" si="2"/>
        <v>0.5412398488432244</v>
      </c>
      <c r="H11" s="90"/>
      <c r="I11" s="130">
        <f t="shared" si="0"/>
        <v>6.5050674726826889</v>
      </c>
      <c r="J11" s="130"/>
      <c r="K11" s="78"/>
      <c r="O11" s="89"/>
      <c r="P11" s="129" t="s">
        <v>6</v>
      </c>
      <c r="Q11" s="116">
        <v>48789296</v>
      </c>
      <c r="R11" s="116">
        <v>63246545076</v>
      </c>
      <c r="S11" s="116">
        <v>7500198.2999999998</v>
      </c>
      <c r="T11" s="130">
        <f t="shared" si="1"/>
        <v>6.5050674726826889</v>
      </c>
      <c r="U11" s="85"/>
    </row>
    <row r="12" spans="1:21" ht="15" hidden="1" customHeight="1">
      <c r="A12" s="129" t="s">
        <v>7</v>
      </c>
      <c r="C12" s="79"/>
      <c r="F12" s="78">
        <f>Q12/22</f>
        <v>1588061.8181818181</v>
      </c>
      <c r="G12" s="90">
        <f t="shared" si="2"/>
        <v>-0.3164628122156512</v>
      </c>
      <c r="H12" s="90"/>
      <c r="I12" s="130">
        <f t="shared" si="0"/>
        <v>6.5623658389951993</v>
      </c>
      <c r="J12" s="130"/>
      <c r="K12" s="78"/>
      <c r="O12" s="89"/>
      <c r="P12" s="129" t="s">
        <v>7</v>
      </c>
      <c r="Q12" s="116">
        <v>34937360</v>
      </c>
      <c r="R12" s="116">
        <v>45307696939</v>
      </c>
      <c r="S12" s="116">
        <v>5323897.03</v>
      </c>
      <c r="T12" s="130">
        <f t="shared" si="1"/>
        <v>6.5623658389951993</v>
      </c>
      <c r="U12" s="85"/>
    </row>
    <row r="13" spans="1:21" ht="15" hidden="1" customHeight="1">
      <c r="A13" s="129" t="s">
        <v>96</v>
      </c>
      <c r="B13" s="131">
        <f>F11+F12+F13</f>
        <v>5332855.6277056281</v>
      </c>
      <c r="C13" s="131">
        <f>AVERAGE(F11:F13)</f>
        <v>1777618.5425685428</v>
      </c>
      <c r="D13" s="90">
        <f>C13/C10-1</f>
        <v>-0.16467231211931188</v>
      </c>
      <c r="E13" s="286"/>
      <c r="F13" s="78">
        <f>Q13/20</f>
        <v>1421494</v>
      </c>
      <c r="G13" s="90">
        <f t="shared" si="2"/>
        <v>-0.10488749006793874</v>
      </c>
      <c r="H13" s="90"/>
      <c r="I13" s="130">
        <f t="shared" si="0"/>
        <v>8.6246995710648502</v>
      </c>
      <c r="J13" s="130"/>
      <c r="K13" s="78">
        <f>R11+R12+R13</f>
        <v>147508506324</v>
      </c>
      <c r="L13" s="87">
        <f>U13/U10-1</f>
        <v>-0.16342989092126992</v>
      </c>
      <c r="N13" s="88">
        <f>AVERAGE(T11:T13)</f>
        <v>7.230710960914247</v>
      </c>
      <c r="O13" s="89">
        <f>N13/N10-1</f>
        <v>1.4481163756038473E-2</v>
      </c>
      <c r="P13" s="129" t="s">
        <v>96</v>
      </c>
      <c r="Q13" s="116">
        <v>28429880</v>
      </c>
      <c r="R13" s="116">
        <v>38954264309</v>
      </c>
      <c r="S13" s="116">
        <v>3296332.79</v>
      </c>
      <c r="T13" s="130">
        <f t="shared" si="1"/>
        <v>8.6246995710648502</v>
      </c>
      <c r="U13" s="85">
        <f>Q11+Q12+Q13</f>
        <v>112156536</v>
      </c>
    </row>
    <row r="14" spans="1:21" ht="15" hidden="1" customHeight="1">
      <c r="A14" s="129" t="s">
        <v>97</v>
      </c>
      <c r="C14" s="79"/>
      <c r="F14" s="78">
        <f>Q14/20</f>
        <v>2271454.7999999998</v>
      </c>
      <c r="G14" s="90">
        <f t="shared" si="2"/>
        <v>0.5979348488280638</v>
      </c>
      <c r="H14" s="90"/>
      <c r="I14" s="130">
        <f t="shared" si="0"/>
        <v>7.3649077518436785</v>
      </c>
      <c r="J14" s="130"/>
      <c r="O14" s="89"/>
      <c r="P14" s="129" t="s">
        <v>97</v>
      </c>
      <c r="Q14" s="116">
        <v>45429096</v>
      </c>
      <c r="R14" s="116">
        <v>64840062847</v>
      </c>
      <c r="S14" s="116">
        <v>6168318.4000000004</v>
      </c>
      <c r="T14" s="130">
        <f t="shared" si="1"/>
        <v>7.3649077518436785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2545601.7272727271</v>
      </c>
      <c r="G15" s="90">
        <f t="shared" si="2"/>
        <v>0.12069222212686226</v>
      </c>
      <c r="H15" s="90"/>
      <c r="I15" s="130">
        <f t="shared" si="0"/>
        <v>8.9641789072388551</v>
      </c>
      <c r="J15" s="130"/>
      <c r="O15" s="89"/>
      <c r="P15" s="129" t="s">
        <v>98</v>
      </c>
      <c r="Q15" s="116">
        <v>56003238</v>
      </c>
      <c r="R15" s="116">
        <v>77562878574</v>
      </c>
      <c r="S15" s="116">
        <v>6247447.5999999996</v>
      </c>
      <c r="T15" s="130">
        <f t="shared" si="1"/>
        <v>8.9641789072388551</v>
      </c>
      <c r="U15" s="78"/>
    </row>
    <row r="16" spans="1:21" ht="15" hidden="1" customHeight="1">
      <c r="A16" s="129" t="s">
        <v>99</v>
      </c>
      <c r="B16" s="131">
        <f>F14+F15+F16</f>
        <v>6744992.2545454549</v>
      </c>
      <c r="C16" s="131">
        <f>AVERAGE(F14:F16)</f>
        <v>2248330.7515151515</v>
      </c>
      <c r="D16" s="90">
        <f>C16/C13-1</f>
        <v>0.26479933555736901</v>
      </c>
      <c r="E16" s="286"/>
      <c r="F16" s="78">
        <f>Q16/22</f>
        <v>1927935.7272727273</v>
      </c>
      <c r="G16" s="90">
        <f t="shared" si="2"/>
        <v>-0.24264047018138479</v>
      </c>
      <c r="H16" s="90"/>
      <c r="I16" s="130">
        <f t="shared" si="0"/>
        <v>9.161937366609239</v>
      </c>
      <c r="J16" s="130"/>
      <c r="K16" s="78">
        <f>R14+R15+R16</f>
        <v>197954265251</v>
      </c>
      <c r="L16" s="87">
        <f>U16/U13-1</f>
        <v>0.28255494624049371</v>
      </c>
      <c r="N16" s="88">
        <f>AVERAGE(T14:T16)</f>
        <v>8.4970080085639239</v>
      </c>
      <c r="O16" s="89">
        <f>N16/N13-1</f>
        <v>0.17512759872364847</v>
      </c>
      <c r="P16" s="129" t="s">
        <v>99</v>
      </c>
      <c r="Q16" s="116">
        <v>42414586</v>
      </c>
      <c r="R16" s="116">
        <v>55551323830</v>
      </c>
      <c r="S16" s="116">
        <v>4629434.18</v>
      </c>
      <c r="T16" s="130">
        <f t="shared" si="1"/>
        <v>9.161937366609239</v>
      </c>
      <c r="U16" s="85">
        <f>Q14+Q15+Q16</f>
        <v>143846920</v>
      </c>
    </row>
    <row r="17" spans="1:21" ht="15" hidden="1" customHeight="1">
      <c r="A17" s="129" t="s">
        <v>100</v>
      </c>
      <c r="C17" s="79"/>
      <c r="F17" s="78">
        <f>Q17/20</f>
        <v>3056027.15</v>
      </c>
      <c r="G17" s="90">
        <f t="shared" si="2"/>
        <v>0.58512916523575154</v>
      </c>
      <c r="H17" s="90">
        <f t="shared" ref="H17:H47" si="3">F17/F5-1</f>
        <v>0.51144253469628698</v>
      </c>
      <c r="I17" s="130">
        <f t="shared" si="0"/>
        <v>8.2571741871896105</v>
      </c>
      <c r="J17" s="130">
        <f t="shared" ref="J17:J49" si="4">I17/I5-1</f>
        <v>-3.5546324740879154E-2</v>
      </c>
      <c r="O17" s="89"/>
      <c r="P17" s="129" t="s">
        <v>100</v>
      </c>
      <c r="Q17" s="116">
        <v>61120543</v>
      </c>
      <c r="R17" s="116">
        <v>76737255258</v>
      </c>
      <c r="S17" s="116">
        <v>7402113.7999999998</v>
      </c>
      <c r="T17" s="130">
        <f t="shared" si="1"/>
        <v>8.2571741871896105</v>
      </c>
      <c r="U17" s="78"/>
    </row>
    <row r="18" spans="1:21" ht="15" hidden="1" customHeight="1">
      <c r="A18" s="129" t="s">
        <v>106</v>
      </c>
      <c r="C18" s="79"/>
      <c r="F18" s="78">
        <f>Q18/20</f>
        <v>3122832.1</v>
      </c>
      <c r="G18" s="90">
        <f t="shared" si="2"/>
        <v>2.1860064299494164E-2</v>
      </c>
      <c r="H18" s="90">
        <f t="shared" si="3"/>
        <v>0.12896785934024191</v>
      </c>
      <c r="I18" s="130">
        <f t="shared" si="0"/>
        <v>8.1792077318375878</v>
      </c>
      <c r="J18" s="130">
        <f t="shared" si="4"/>
        <v>0.11890724612609449</v>
      </c>
      <c r="O18" s="89"/>
      <c r="P18" s="129" t="s">
        <v>106</v>
      </c>
      <c r="Q18" s="116">
        <v>62456642</v>
      </c>
      <c r="R18" s="116">
        <v>78401354470</v>
      </c>
      <c r="S18" s="116">
        <v>7636025.8899999997</v>
      </c>
      <c r="T18" s="130">
        <f t="shared" si="1"/>
        <v>8.1792077318375878</v>
      </c>
      <c r="U18" s="78"/>
    </row>
    <row r="19" spans="1:21" hidden="1">
      <c r="A19" s="129" t="s">
        <v>114</v>
      </c>
      <c r="B19" s="131">
        <f>SUM(F17:F19)</f>
        <v>7580720.4318181816</v>
      </c>
      <c r="C19" s="131">
        <f>AVERAGE(F17:F19)</f>
        <v>2526906.8106060605</v>
      </c>
      <c r="D19" s="90">
        <f>C19/C16-1</f>
        <v>0.12390350436793018</v>
      </c>
      <c r="E19" s="286">
        <f>C19/C7-1</f>
        <v>0.17423653248878845</v>
      </c>
      <c r="F19" s="78">
        <f>Q19/22</f>
        <v>1401861.1818181819</v>
      </c>
      <c r="G19" s="90">
        <f t="shared" si="2"/>
        <v>-0.55109300246459558</v>
      </c>
      <c r="H19" s="90">
        <f t="shared" si="3"/>
        <v>-0.15947980808928985</v>
      </c>
      <c r="I19" s="130">
        <f t="shared" si="0"/>
        <v>9.588893347677347</v>
      </c>
      <c r="J19" s="130">
        <f t="shared" si="4"/>
        <v>-0.19359087686076204</v>
      </c>
      <c r="K19" s="78">
        <f>R17+R18+R19</f>
        <v>195472631425</v>
      </c>
      <c r="L19" s="87">
        <f>U19/U16-1</f>
        <v>7.348931072003495E-2</v>
      </c>
      <c r="M19" s="87">
        <f>U19/U7-1</f>
        <v>0.21664814437560431</v>
      </c>
      <c r="N19" s="88">
        <f>AVERAGE(T17:T19)</f>
        <v>8.6750917555681824</v>
      </c>
      <c r="O19" s="89">
        <f>N19/N16-1</f>
        <v>2.0958406397260321E-2</v>
      </c>
      <c r="P19" s="129" t="s">
        <v>115</v>
      </c>
      <c r="Q19" s="116">
        <v>30840946</v>
      </c>
      <c r="R19" s="116">
        <v>40334021697</v>
      </c>
      <c r="S19" s="116">
        <v>3216319.64</v>
      </c>
      <c r="T19" s="130">
        <f t="shared" si="1"/>
        <v>9.588893347677347</v>
      </c>
      <c r="U19" s="85">
        <f>Q17+Q18+Q19</f>
        <v>154418131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3944774</v>
      </c>
      <c r="G20" s="90">
        <f t="shared" si="2"/>
        <v>1.813954798922186</v>
      </c>
      <c r="H20" s="90">
        <f t="shared" si="3"/>
        <v>0.63031298311822392</v>
      </c>
      <c r="I20" s="130">
        <f t="shared" si="0"/>
        <v>8.0299576881055543</v>
      </c>
      <c r="J20" s="130">
        <f t="shared" si="4"/>
        <v>0.31973511396307597</v>
      </c>
      <c r="O20" s="89"/>
      <c r="P20" s="129" t="s">
        <v>131</v>
      </c>
      <c r="Q20" s="116">
        <v>78895480</v>
      </c>
      <c r="R20" s="116">
        <v>103443702622</v>
      </c>
      <c r="S20" s="116">
        <v>9825142.6799999997</v>
      </c>
      <c r="T20" s="130">
        <f t="shared" si="1"/>
        <v>8.0299576881055543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2211774.9523809524</v>
      </c>
      <c r="G21" s="90">
        <f t="shared" si="2"/>
        <v>-0.43931516675455873</v>
      </c>
      <c r="H21" s="90">
        <f t="shared" si="3"/>
        <v>-9.9837207293533514E-2</v>
      </c>
      <c r="I21" s="130">
        <f t="shared" si="0"/>
        <v>11.62565456933674</v>
      </c>
      <c r="J21" s="130">
        <f t="shared" si="4"/>
        <v>0.31938954520833485</v>
      </c>
      <c r="O21" s="89"/>
      <c r="P21" s="129" t="s">
        <v>141</v>
      </c>
      <c r="Q21" s="116">
        <v>46447274</v>
      </c>
      <c r="R21" s="116">
        <v>61895693691</v>
      </c>
      <c r="S21" s="116">
        <v>3995239.47</v>
      </c>
      <c r="T21" s="130">
        <f t="shared" si="1"/>
        <v>11.62565456933674</v>
      </c>
      <c r="U21" s="78"/>
    </row>
    <row r="22" spans="1:21" hidden="1">
      <c r="A22" s="129" t="s">
        <v>155</v>
      </c>
      <c r="B22" s="131">
        <f>SUM(F20:F22)</f>
        <v>8147274</v>
      </c>
      <c r="C22" s="131">
        <f>AVERAGE(F20:F22)</f>
        <v>2715758</v>
      </c>
      <c r="D22" s="90">
        <f>C22/C19-1</f>
        <v>7.4736111597500932E-2</v>
      </c>
      <c r="E22" s="286">
        <f>C22/C10-1</f>
        <v>0.27617247269798284</v>
      </c>
      <c r="F22" s="78">
        <f>Q22/21</f>
        <v>1990725.0476190476</v>
      </c>
      <c r="G22" s="90">
        <f t="shared" si="2"/>
        <v>-9.9942313083863699E-2</v>
      </c>
      <c r="H22" s="90">
        <f t="shared" si="3"/>
        <v>0.32061508329812405</v>
      </c>
      <c r="I22" s="130">
        <f t="shared" si="0"/>
        <v>11.26012544910534</v>
      </c>
      <c r="J22" s="130">
        <f t="shared" si="4"/>
        <v>0.73591144922041751</v>
      </c>
      <c r="K22" s="78">
        <f>R20+R21+R22</f>
        <v>219776674184</v>
      </c>
      <c r="L22" s="87">
        <f>U22/U19-1</f>
        <v>8.2437528012821337E-2</v>
      </c>
      <c r="M22" s="87">
        <f>U22/U10-1</f>
        <v>0.24674859663006532</v>
      </c>
      <c r="N22" s="88">
        <f>AVERAGE(T20:T22)</f>
        <v>10.305245902182543</v>
      </c>
      <c r="O22" s="89">
        <f>N22/N19-1</f>
        <v>0.18791203511686572</v>
      </c>
      <c r="P22" s="129" t="s">
        <v>155</v>
      </c>
      <c r="Q22" s="116">
        <v>41805226</v>
      </c>
      <c r="R22" s="116">
        <v>54437277871</v>
      </c>
      <c r="S22" s="116">
        <v>3712678.53</v>
      </c>
      <c r="T22" s="130">
        <f t="shared" si="1"/>
        <v>11.26012544910534</v>
      </c>
      <c r="U22" s="85">
        <f>Q20+Q21+Q22</f>
        <v>167147980</v>
      </c>
    </row>
    <row r="23" spans="1:21" hidden="1">
      <c r="A23" s="129" t="s">
        <v>189</v>
      </c>
      <c r="B23" s="131"/>
      <c r="C23" s="131"/>
      <c r="F23" s="78">
        <f>Q23/21</f>
        <v>3055274.3333333335</v>
      </c>
      <c r="G23" s="90">
        <f t="shared" si="2"/>
        <v>0.53475455437078612</v>
      </c>
      <c r="H23" s="90">
        <f t="shared" si="3"/>
        <v>0.31505814308122004</v>
      </c>
      <c r="I23" s="130">
        <f t="shared" si="0"/>
        <v>9.1617502617150866</v>
      </c>
      <c r="J23" s="130">
        <f t="shared" si="4"/>
        <v>0.40840203428924338</v>
      </c>
      <c r="O23" s="89"/>
      <c r="P23" s="129" t="s">
        <v>189</v>
      </c>
      <c r="Q23" s="116">
        <v>64160761</v>
      </c>
      <c r="R23" s="116">
        <v>82883049033</v>
      </c>
      <c r="S23" s="116">
        <v>7003111.7599999998</v>
      </c>
      <c r="T23" s="130">
        <f t="shared" si="1"/>
        <v>9.1617502617150866</v>
      </c>
      <c r="U23" s="78"/>
    </row>
    <row r="24" spans="1:21" hidden="1">
      <c r="A24" s="129" t="s">
        <v>204</v>
      </c>
      <c r="B24" s="131"/>
      <c r="C24" s="131"/>
      <c r="F24" s="78">
        <f>Q24/22</f>
        <v>2634170.0909090908</v>
      </c>
      <c r="G24" s="90">
        <f t="shared" si="2"/>
        <v>-0.1378286191292073</v>
      </c>
      <c r="H24" s="90">
        <f t="shared" si="3"/>
        <v>0.65873271477867812</v>
      </c>
      <c r="I24" s="130">
        <f t="shared" si="0"/>
        <v>9.7440940689936273</v>
      </c>
      <c r="J24" s="130">
        <f t="shared" si="4"/>
        <v>0.48484468986654372</v>
      </c>
      <c r="O24" s="89"/>
      <c r="P24" s="129" t="s">
        <v>204</v>
      </c>
      <c r="Q24" s="116">
        <v>57951742</v>
      </c>
      <c r="R24" s="116">
        <v>76085749144</v>
      </c>
      <c r="S24" s="116">
        <v>5947370.9500000002</v>
      </c>
      <c r="T24" s="130">
        <f t="shared" si="1"/>
        <v>9.7440940689936273</v>
      </c>
      <c r="U24" s="78"/>
    </row>
    <row r="25" spans="1:21" s="79" customFormat="1" ht="13.2" hidden="1">
      <c r="A25" s="129" t="s">
        <v>218</v>
      </c>
      <c r="B25" s="131">
        <f>SUM(F23:F25)</f>
        <v>8559728.9505582135</v>
      </c>
      <c r="C25" s="131">
        <f>AVERAGE(F23:F25)</f>
        <v>2853242.9835194047</v>
      </c>
      <c r="D25" s="90">
        <f>C25/C22-1</f>
        <v>5.062490233643957E-2</v>
      </c>
      <c r="E25" s="286">
        <f>C25/C13-1</f>
        <v>0.60509294609216591</v>
      </c>
      <c r="F25" s="78">
        <f>Q25/19</f>
        <v>2870284.5263157897</v>
      </c>
      <c r="G25" s="90">
        <f t="shared" si="2"/>
        <v>8.9635227513046534E-2</v>
      </c>
      <c r="H25" s="90">
        <f t="shared" si="3"/>
        <v>1.0192027024495283</v>
      </c>
      <c r="I25" s="130">
        <f t="shared" si="0"/>
        <v>7.2770345813397652</v>
      </c>
      <c r="J25" s="130">
        <f t="shared" si="4"/>
        <v>-0.15625645607951244</v>
      </c>
      <c r="K25" s="78">
        <f>R23+R24+R25</f>
        <v>231296373347</v>
      </c>
      <c r="L25" s="90">
        <f>U25/U22-1</f>
        <v>5.6835440069332499E-2</v>
      </c>
      <c r="M25" s="90">
        <f>U25/U13-1</f>
        <v>0.57501216870677951</v>
      </c>
      <c r="N25" s="88">
        <f>AVERAGE(T23:T25)</f>
        <v>8.7276263040161606</v>
      </c>
      <c r="O25" s="91">
        <f>N25/N22-1</f>
        <v>-0.15308898139269622</v>
      </c>
      <c r="P25" s="129" t="s">
        <v>220</v>
      </c>
      <c r="Q25" s="116">
        <v>54535406</v>
      </c>
      <c r="R25" s="116">
        <v>72327575170</v>
      </c>
      <c r="S25" s="116">
        <v>7494179.8600000003</v>
      </c>
      <c r="T25" s="130">
        <f t="shared" si="1"/>
        <v>7.2770345813397652</v>
      </c>
      <c r="U25" s="85">
        <f>Q23+Q24+Q25</f>
        <v>176647909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2925703.210526316</v>
      </c>
      <c r="G26" s="90">
        <f t="shared" si="2"/>
        <v>1.9307731934736116E-2</v>
      </c>
      <c r="H26" s="90">
        <f t="shared" si="3"/>
        <v>0.28803056548882955</v>
      </c>
      <c r="I26" s="130">
        <f t="shared" si="0"/>
        <v>8.9871936797746166</v>
      </c>
      <c r="J26" s="130">
        <f t="shared" si="4"/>
        <v>0.22027240294012196</v>
      </c>
      <c r="L26" s="90"/>
      <c r="M26" s="90"/>
      <c r="P26" s="129" t="s">
        <v>312</v>
      </c>
      <c r="Q26" s="116">
        <v>55588361</v>
      </c>
      <c r="R26" s="116">
        <v>74714236186</v>
      </c>
      <c r="S26" s="116">
        <v>6185285.75</v>
      </c>
      <c r="T26" s="130">
        <f t="shared" si="1"/>
        <v>8.9871936797746166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2289041.2272727271</v>
      </c>
      <c r="G27" s="90">
        <f t="shared" si="2"/>
        <v>-0.21760990006196057</v>
      </c>
      <c r="H27" s="90">
        <f t="shared" si="3"/>
        <v>-0.10078579742121341</v>
      </c>
      <c r="I27" s="130">
        <f t="shared" si="0"/>
        <v>8.5054334060120045</v>
      </c>
      <c r="J27" s="130">
        <f t="shared" si="4"/>
        <v>-5.1175406690778913E-2</v>
      </c>
      <c r="L27" s="90"/>
      <c r="M27" s="90"/>
      <c r="P27" s="129" t="s">
        <v>375</v>
      </c>
      <c r="Q27" s="116">
        <v>50358907</v>
      </c>
      <c r="R27" s="116">
        <v>66584606200</v>
      </c>
      <c r="S27" s="116">
        <v>5920792.5800000001</v>
      </c>
      <c r="T27" s="130">
        <f t="shared" si="1"/>
        <v>8.5054334060120045</v>
      </c>
      <c r="U27" s="78"/>
    </row>
    <row r="28" spans="1:21" s="79" customFormat="1" ht="13.2" hidden="1">
      <c r="A28" s="123" t="s">
        <v>413</v>
      </c>
      <c r="B28" s="131">
        <f>SUM(F26:F28)</f>
        <v>8717176.0693779904</v>
      </c>
      <c r="C28" s="131">
        <f>AVERAGE(F26:F28)</f>
        <v>2905725.3564593303</v>
      </c>
      <c r="D28" s="90">
        <f>C28/C25-1</f>
        <v>1.8393937439982633E-2</v>
      </c>
      <c r="E28" s="286">
        <f>C28/C16-1</f>
        <v>0.29239230237862479</v>
      </c>
      <c r="F28" s="78">
        <f>Q28/19</f>
        <v>3502431.6315789474</v>
      </c>
      <c r="G28" s="90">
        <f t="shared" si="2"/>
        <v>0.53008674105529829</v>
      </c>
      <c r="H28" s="90">
        <f t="shared" si="3"/>
        <v>0.81667447832066165</v>
      </c>
      <c r="I28" s="130">
        <f t="shared" si="0"/>
        <v>9.6288384951517987</v>
      </c>
      <c r="J28" s="130">
        <f t="shared" si="4"/>
        <v>5.0960960532669075E-2</v>
      </c>
      <c r="K28" s="78">
        <f>R26+R27+R28</f>
        <v>228149585628</v>
      </c>
      <c r="L28" s="90">
        <f>U28/U25-1</f>
        <v>-2.3518195168673039E-2</v>
      </c>
      <c r="M28" s="90">
        <f>U28/U16-1</f>
        <v>0.19914607139311702</v>
      </c>
      <c r="N28" s="88">
        <f>AVERAGE(T26:T28)</f>
        <v>9.0404885269794732</v>
      </c>
      <c r="O28" s="91">
        <f>N28/N25-1</f>
        <v>3.5847344061849196E-2</v>
      </c>
      <c r="P28" s="129" t="s">
        <v>413</v>
      </c>
      <c r="Q28" s="116">
        <v>66546201</v>
      </c>
      <c r="R28" s="116">
        <v>86850743242</v>
      </c>
      <c r="S28" s="116">
        <v>6911134.8200000003</v>
      </c>
      <c r="T28" s="130">
        <f t="shared" si="1"/>
        <v>9.6288384951517987</v>
      </c>
      <c r="U28" s="85">
        <f>Q26+Q27+Q28</f>
        <v>172493469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1827571.3636363635</v>
      </c>
      <c r="G29" s="190">
        <f t="shared" si="2"/>
        <v>-0.47819927528108019</v>
      </c>
      <c r="H29" s="190">
        <f t="shared" si="3"/>
        <v>-0.40197803424738432</v>
      </c>
      <c r="I29" s="130">
        <f t="shared" si="0"/>
        <v>11.222287321941451</v>
      </c>
      <c r="J29" s="130">
        <f t="shared" si="4"/>
        <v>0.35909538390893969</v>
      </c>
      <c r="K29" s="136"/>
      <c r="L29" s="190"/>
      <c r="M29" s="190"/>
      <c r="N29" s="191"/>
      <c r="O29" s="192"/>
      <c r="P29" s="129" t="s">
        <v>427</v>
      </c>
      <c r="Q29" s="116">
        <v>40206570</v>
      </c>
      <c r="R29" s="116">
        <v>52760721000</v>
      </c>
      <c r="S29" s="116">
        <v>3582742.88</v>
      </c>
      <c r="T29" s="130">
        <f t="shared" si="1"/>
        <v>11.222287321941451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4140551.7368421052</v>
      </c>
      <c r="G30" s="190">
        <f t="shared" si="2"/>
        <v>1.2656033133521789</v>
      </c>
      <c r="H30" s="190">
        <f t="shared" si="3"/>
        <v>0.32589636722451565</v>
      </c>
      <c r="I30" s="130">
        <f t="shared" si="0"/>
        <v>7.2520591174532019</v>
      </c>
      <c r="J30" s="130">
        <f t="shared" si="4"/>
        <v>-0.1133543302458816</v>
      </c>
      <c r="K30" s="136"/>
      <c r="L30" s="190"/>
      <c r="M30" s="190"/>
      <c r="N30" s="191"/>
      <c r="O30" s="192"/>
      <c r="P30" s="129" t="s">
        <v>469</v>
      </c>
      <c r="Q30" s="116">
        <v>78670483</v>
      </c>
      <c r="R30" s="116">
        <v>104860109462</v>
      </c>
      <c r="S30" s="116">
        <v>10848020.09</v>
      </c>
      <c r="T30" s="130">
        <f t="shared" si="1"/>
        <v>7.2520591174532019</v>
      </c>
      <c r="U30" s="85"/>
    </row>
    <row r="31" spans="1:21" s="79" customFormat="1" ht="13.2" hidden="1">
      <c r="A31" s="129" t="s">
        <v>505</v>
      </c>
      <c r="B31" s="188">
        <f>SUM(F29:F31)</f>
        <v>10178402.500478469</v>
      </c>
      <c r="C31" s="188">
        <f>AVERAGE(F29:F31)</f>
        <v>3392800.8334928229</v>
      </c>
      <c r="D31" s="190">
        <f>C31/C28-1</f>
        <v>0.1676261233535854</v>
      </c>
      <c r="E31" s="287">
        <f>C31/C19-1</f>
        <v>0.34266955126813081</v>
      </c>
      <c r="F31" s="136">
        <f>Q31/20</f>
        <v>4210279.4000000004</v>
      </c>
      <c r="G31" s="190">
        <f t="shared" si="2"/>
        <v>1.6840186426718695E-2</v>
      </c>
      <c r="H31" s="190">
        <f t="shared" si="3"/>
        <v>2.0033497286367288</v>
      </c>
      <c r="I31" s="130">
        <f t="shared" si="0"/>
        <v>11.373802274247506</v>
      </c>
      <c r="J31" s="130">
        <f t="shared" si="4"/>
        <v>0.18614337044456808</v>
      </c>
      <c r="K31" s="136">
        <f>R29+R30+R31</f>
        <v>269206538636</v>
      </c>
      <c r="L31" s="190">
        <f>U31/U28-1</f>
        <v>0.1773352474000045</v>
      </c>
      <c r="M31" s="190">
        <f>U31/U19-1</f>
        <v>0.31514764286325936</v>
      </c>
      <c r="N31" s="191">
        <f>AVERAGE(T29:T31)</f>
        <v>9.9493829045473863</v>
      </c>
      <c r="O31" s="192">
        <f>N31/N28-1</f>
        <v>0.10053598042356948</v>
      </c>
      <c r="P31" s="129" t="s">
        <v>506</v>
      </c>
      <c r="Q31" s="116">
        <v>84205588</v>
      </c>
      <c r="R31" s="116">
        <v>111585708174</v>
      </c>
      <c r="S31" s="116">
        <v>7403468.5999999996</v>
      </c>
      <c r="T31" s="130">
        <f t="shared" si="1"/>
        <v>11.373802274247506</v>
      </c>
      <c r="U31" s="85">
        <f>Q29+Q30+Q31</f>
        <v>203082641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3099328.7619047621</v>
      </c>
      <c r="G32" s="190">
        <f t="shared" si="2"/>
        <v>-0.26386625032420374</v>
      </c>
      <c r="H32" s="190">
        <f t="shared" si="3"/>
        <v>-0.21432032306419524</v>
      </c>
      <c r="I32" s="130">
        <f t="shared" si="0"/>
        <v>8.7736670661868335</v>
      </c>
      <c r="J32" s="130">
        <f t="shared" si="4"/>
        <v>9.2616848925979323E-2</v>
      </c>
      <c r="K32" s="136"/>
      <c r="L32" s="190"/>
      <c r="M32" s="190"/>
      <c r="N32" s="191"/>
      <c r="O32" s="192"/>
      <c r="P32" s="129" t="s">
        <v>561</v>
      </c>
      <c r="Q32" s="116">
        <v>65085904</v>
      </c>
      <c r="R32" s="116">
        <v>88708386111</v>
      </c>
      <c r="S32" s="116">
        <v>7418323.8899999997</v>
      </c>
      <c r="T32" s="130">
        <f t="shared" si="1"/>
        <v>8.7736670661868335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2312369.9047619049</v>
      </c>
      <c r="G33" s="190">
        <f t="shared" si="2"/>
        <v>-0.25391267516235161</v>
      </c>
      <c r="H33" s="190">
        <f t="shared" si="3"/>
        <v>4.5481549681473332E-2</v>
      </c>
      <c r="I33" s="130">
        <f t="shared" si="0"/>
        <v>10.218884716283958</v>
      </c>
      <c r="J33" s="130">
        <f t="shared" si="4"/>
        <v>-0.12100564700788641</v>
      </c>
      <c r="K33" s="136"/>
      <c r="L33" s="190"/>
      <c r="M33" s="190"/>
      <c r="N33" s="191"/>
      <c r="O33" s="192"/>
      <c r="P33" s="129" t="s">
        <v>607</v>
      </c>
      <c r="Q33" s="116">
        <v>48559768</v>
      </c>
      <c r="R33" s="116">
        <v>66450266571</v>
      </c>
      <c r="S33" s="116">
        <v>4751963.58</v>
      </c>
      <c r="T33" s="130">
        <f t="shared" si="1"/>
        <v>10.218884716283958</v>
      </c>
      <c r="U33" s="85"/>
    </row>
    <row r="34" spans="1:21" s="79" customFormat="1" ht="13.2" hidden="1">
      <c r="A34" s="129" t="s">
        <v>652</v>
      </c>
      <c r="B34" s="188">
        <f>SUM(F32:F34)</f>
        <v>8893665.5614035092</v>
      </c>
      <c r="C34" s="188">
        <f>AVERAGE(F32:F34)</f>
        <v>2964555.1871345029</v>
      </c>
      <c r="D34" s="190">
        <f>C34/C31-1</f>
        <v>-0.12622186428710858</v>
      </c>
      <c r="E34" s="287">
        <f>C34/C22-1</f>
        <v>9.1612429065661471E-2</v>
      </c>
      <c r="F34" s="136">
        <f>Q34/19</f>
        <v>3481966.8947368423</v>
      </c>
      <c r="G34" s="190">
        <f t="shared" si="2"/>
        <v>0.50580012634067129</v>
      </c>
      <c r="H34" s="190">
        <f t="shared" si="3"/>
        <v>0.74909483301139645</v>
      </c>
      <c r="I34" s="130">
        <f t="shared" si="0"/>
        <v>7.8350145041877086</v>
      </c>
      <c r="J34" s="130">
        <f t="shared" si="4"/>
        <v>-0.30418053159343528</v>
      </c>
      <c r="K34" s="136">
        <f>R32+R33+R34</f>
        <v>246177386067</v>
      </c>
      <c r="L34" s="190">
        <f>U34/U31-1</f>
        <v>-0.11463115648569888</v>
      </c>
      <c r="M34" s="190">
        <f>U34/U22-1</f>
        <v>7.5711731604533927E-2</v>
      </c>
      <c r="N34" s="191">
        <f>AVERAGE(T32:T34)</f>
        <v>8.9425220955528335</v>
      </c>
      <c r="O34" s="192">
        <f>N34/N31-1</f>
        <v>-0.10119831738854523</v>
      </c>
      <c r="P34" s="129" t="s">
        <v>652</v>
      </c>
      <c r="Q34" s="116">
        <v>66157371</v>
      </c>
      <c r="R34" s="116">
        <v>91018733385</v>
      </c>
      <c r="S34" s="116">
        <v>8443809.6400000006</v>
      </c>
      <c r="T34" s="130">
        <f t="shared" si="1"/>
        <v>7.8350145041877086</v>
      </c>
      <c r="U34" s="85">
        <f>Q32+Q33+Q34</f>
        <v>179803043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1797819.1739130435</v>
      </c>
      <c r="G35" s="190">
        <f t="shared" si="2"/>
        <v>-0.48367712035673505</v>
      </c>
      <c r="H35" s="190">
        <f t="shared" si="3"/>
        <v>-0.41156865872937654</v>
      </c>
      <c r="I35" s="130">
        <f t="shared" si="0"/>
        <v>10.078431999953359</v>
      </c>
      <c r="J35" s="130">
        <f t="shared" si="4"/>
        <v>0.10005530734327928</v>
      </c>
      <c r="K35" s="136"/>
      <c r="L35" s="190"/>
      <c r="M35" s="190"/>
      <c r="N35" s="191"/>
      <c r="O35" s="192"/>
      <c r="P35" s="129" t="s">
        <v>660</v>
      </c>
      <c r="Q35" s="116">
        <v>41349841</v>
      </c>
      <c r="R35" s="116">
        <v>57179550076</v>
      </c>
      <c r="S35" s="116">
        <v>4102804.98</v>
      </c>
      <c r="T35" s="130">
        <f t="shared" si="1"/>
        <v>10.078431999953359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1665022.2380952381</v>
      </c>
      <c r="G36" s="190">
        <f t="shared" si="2"/>
        <v>-7.3865568765053347E-2</v>
      </c>
      <c r="H36" s="190">
        <f t="shared" si="3"/>
        <v>-0.36791392331061867</v>
      </c>
      <c r="I36" s="130">
        <f t="shared" si="0"/>
        <v>11.510522119395752</v>
      </c>
      <c r="J36" s="130">
        <f t="shared" si="4"/>
        <v>0.18128191680979544</v>
      </c>
      <c r="K36" s="136"/>
      <c r="L36" s="190"/>
      <c r="M36" s="190"/>
      <c r="N36" s="191"/>
      <c r="O36" s="192"/>
      <c r="P36" s="129" t="s">
        <v>664</v>
      </c>
      <c r="Q36" s="116">
        <v>34965467</v>
      </c>
      <c r="R36" s="116">
        <v>47568770584</v>
      </c>
      <c r="S36" s="116">
        <v>3037696</v>
      </c>
      <c r="T36" s="130">
        <f t="shared" si="1"/>
        <v>11.510522119395752</v>
      </c>
      <c r="U36" s="85"/>
    </row>
    <row r="37" spans="1:21" s="79" customFormat="1" ht="13.2" hidden="1">
      <c r="A37" s="129" t="s">
        <v>702</v>
      </c>
      <c r="B37" s="188">
        <f>SUM(F35:F37)</f>
        <v>7788372.4120082818</v>
      </c>
      <c r="C37" s="188">
        <f>AVERAGE(F35:F37)</f>
        <v>2596124.1373360939</v>
      </c>
      <c r="D37" s="190">
        <f>C37/C34-1</f>
        <v>-0.12427869496149579</v>
      </c>
      <c r="E37" s="287">
        <f>C37/C25-1</f>
        <v>-9.0114598605324892E-2</v>
      </c>
      <c r="F37" s="136">
        <f>Q37/18</f>
        <v>4325531</v>
      </c>
      <c r="G37" s="190">
        <f t="shared" si="2"/>
        <v>1.5978818186526724</v>
      </c>
      <c r="H37" s="190">
        <f t="shared" si="3"/>
        <v>0.50700425701424123</v>
      </c>
      <c r="I37" s="130">
        <f t="shared" si="0"/>
        <v>9.6989974783497335</v>
      </c>
      <c r="J37" s="130">
        <f t="shared" si="4"/>
        <v>0.33282278240377194</v>
      </c>
      <c r="K37" s="136">
        <f>R35+R36+R37</f>
        <v>208596327393</v>
      </c>
      <c r="L37" s="190">
        <f>U37/U34-1</f>
        <v>-0.14253472339731199</v>
      </c>
      <c r="M37" s="190">
        <f>U37/U25-1</f>
        <v>-0.12721941135459469</v>
      </c>
      <c r="N37" s="191">
        <f>AVERAGE(T35:T37)</f>
        <v>10.429317199232948</v>
      </c>
      <c r="O37" s="192">
        <f>N37/N34-1</f>
        <v>0.16626127257985823</v>
      </c>
      <c r="P37" s="129" t="s">
        <v>702</v>
      </c>
      <c r="Q37" s="116">
        <v>77859558</v>
      </c>
      <c r="R37" s="116">
        <v>103848006733</v>
      </c>
      <c r="S37" s="116">
        <v>8027588.2300000004</v>
      </c>
      <c r="T37" s="130">
        <f t="shared" si="1"/>
        <v>9.6989974783497335</v>
      </c>
      <c r="U37" s="85">
        <f>Q35+Q36+Q37</f>
        <v>154174866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3444938.45</v>
      </c>
      <c r="G38" s="190">
        <f t="shared" si="2"/>
        <v>-0.20358021939965287</v>
      </c>
      <c r="H38" s="190">
        <f t="shared" si="3"/>
        <v>0.17747365406222348</v>
      </c>
      <c r="I38" s="130">
        <f t="shared" si="0"/>
        <v>9.7282645535658894</v>
      </c>
      <c r="J38" s="130">
        <f t="shared" si="4"/>
        <v>8.2458540473989039E-2</v>
      </c>
      <c r="K38" s="136"/>
      <c r="L38" s="190"/>
      <c r="M38" s="190"/>
      <c r="N38" s="191"/>
      <c r="O38" s="192"/>
      <c r="P38" s="129" t="s">
        <v>726</v>
      </c>
      <c r="Q38" s="116">
        <v>68898769</v>
      </c>
      <c r="R38" s="116">
        <v>93384770062</v>
      </c>
      <c r="S38" s="116">
        <v>7082328.8799999999</v>
      </c>
      <c r="T38" s="130">
        <f t="shared" si="1"/>
        <v>9.7282645535658894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3063298.4761904762</v>
      </c>
      <c r="G39" s="190">
        <f t="shared" si="2"/>
        <v>-0.11078281349541208</v>
      </c>
      <c r="H39" s="190">
        <f t="shared" si="3"/>
        <v>0.33824521799471308</v>
      </c>
      <c r="I39" s="130">
        <f t="shared" si="0"/>
        <v>13.462193529326505</v>
      </c>
      <c r="J39" s="130">
        <f t="shared" si="4"/>
        <v>0.58277572543344469</v>
      </c>
      <c r="K39" s="136"/>
      <c r="L39" s="190"/>
      <c r="M39" s="190"/>
      <c r="N39" s="191"/>
      <c r="O39" s="192"/>
      <c r="P39" s="129" t="s">
        <v>762</v>
      </c>
      <c r="Q39" s="116">
        <v>64329268</v>
      </c>
      <c r="R39" s="116">
        <v>89225500689</v>
      </c>
      <c r="S39" s="116">
        <v>4778513.09</v>
      </c>
      <c r="T39" s="130">
        <f t="shared" si="1"/>
        <v>13.462193529326505</v>
      </c>
      <c r="U39" s="85"/>
    </row>
    <row r="40" spans="1:21" s="79" customFormat="1" ht="13.2" hidden="1">
      <c r="A40" s="129" t="s">
        <v>777</v>
      </c>
      <c r="B40" s="188">
        <f>SUM(F38:F40)</f>
        <v>11986478.259523809</v>
      </c>
      <c r="C40" s="188">
        <f>AVERAGE(F38:F40)</f>
        <v>3995492.753174603</v>
      </c>
      <c r="D40" s="190">
        <f>C40/C37-1</f>
        <v>0.53902222767914854</v>
      </c>
      <c r="E40" s="287">
        <f>C40/C28-1</f>
        <v>0.37504143132204715</v>
      </c>
      <c r="F40" s="136">
        <f>Q40/21</f>
        <v>5478241.333333333</v>
      </c>
      <c r="G40" s="190">
        <f t="shared" si="2"/>
        <v>0.78834722633560816</v>
      </c>
      <c r="H40" s="190">
        <f t="shared" si="3"/>
        <v>0.56412513064920611</v>
      </c>
      <c r="I40" s="130">
        <f t="shared" si="0"/>
        <v>11.263902456266157</v>
      </c>
      <c r="J40" s="130">
        <f t="shared" si="4"/>
        <v>0.16980905453317408</v>
      </c>
      <c r="K40" s="136">
        <f>R38+R39+R40</f>
        <v>346294181233</v>
      </c>
      <c r="L40" s="190">
        <f>U40/U37-1</f>
        <v>0.61032152283498653</v>
      </c>
      <c r="M40" s="190">
        <f>U40/U28-1</f>
        <v>0.43930727603373776</v>
      </c>
      <c r="N40" s="191">
        <f>AVERAGE(T38:T40)</f>
        <v>11.484786846386184</v>
      </c>
      <c r="O40" s="192">
        <f>N40/N37-1</f>
        <v>0.10120218102397582</v>
      </c>
      <c r="P40" s="129" t="s">
        <v>777</v>
      </c>
      <c r="Q40" s="116">
        <v>115043068</v>
      </c>
      <c r="R40" s="116">
        <v>163683910482</v>
      </c>
      <c r="S40" s="116">
        <v>10213429</v>
      </c>
      <c r="T40" s="130">
        <f t="shared" si="1"/>
        <v>11.263902456266157</v>
      </c>
      <c r="U40" s="85">
        <f>Q38+Q39+Q40</f>
        <v>248271105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3365701.888888889</v>
      </c>
      <c r="G41" s="190">
        <f t="shared" si="2"/>
        <v>-0.38562365472844762</v>
      </c>
      <c r="H41" s="190">
        <f t="shared" si="3"/>
        <v>0.84162542478892277</v>
      </c>
      <c r="I41" s="130">
        <f t="shared" si="0"/>
        <v>11.780592622400086</v>
      </c>
      <c r="J41" s="130">
        <f t="shared" si="4"/>
        <v>4.9749688672384496E-2</v>
      </c>
      <c r="K41" s="193"/>
      <c r="L41" s="190"/>
      <c r="M41" s="190"/>
      <c r="N41" s="193"/>
      <c r="O41" s="193"/>
      <c r="P41" s="129" t="s">
        <v>787</v>
      </c>
      <c r="Q41" s="116">
        <v>60582634</v>
      </c>
      <c r="R41" s="116">
        <v>88760883409</v>
      </c>
      <c r="S41" s="116">
        <v>5142579.49</v>
      </c>
      <c r="T41" s="130">
        <f t="shared" si="1"/>
        <v>11.780592622400086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2055832.4</v>
      </c>
      <c r="G42" s="190">
        <f t="shared" si="2"/>
        <v>-0.38918167209434973</v>
      </c>
      <c r="H42" s="190">
        <f t="shared" si="3"/>
        <v>-0.50348829560382891</v>
      </c>
      <c r="I42" s="130">
        <f t="shared" si="0"/>
        <v>8.4498608376133912</v>
      </c>
      <c r="J42" s="130">
        <f t="shared" si="4"/>
        <v>0.16516712022899727</v>
      </c>
      <c r="K42" s="193"/>
      <c r="L42" s="190"/>
      <c r="M42" s="190"/>
      <c r="N42" s="193"/>
      <c r="O42" s="193"/>
      <c r="P42" s="129" t="s">
        <v>826</v>
      </c>
      <c r="Q42" s="116">
        <v>41116648</v>
      </c>
      <c r="R42" s="116">
        <v>59532411391</v>
      </c>
      <c r="S42" s="116">
        <v>4865955.6399999997</v>
      </c>
      <c r="T42" s="130">
        <f t="shared" si="1"/>
        <v>8.4498608376133912</v>
      </c>
      <c r="U42" s="78"/>
    </row>
    <row r="43" spans="1:21" s="79" customFormat="1" ht="13.2">
      <c r="A43" s="129" t="s">
        <v>834</v>
      </c>
      <c r="B43" s="188">
        <f>SUM(F41:F43)</f>
        <v>9217614.8388888873</v>
      </c>
      <c r="C43" s="188">
        <f>AVERAGE(F41:F43)</f>
        <v>3072538.2796296291</v>
      </c>
      <c r="D43" s="190">
        <f>C43/C40-1</f>
        <v>-0.23099891066293243</v>
      </c>
      <c r="E43" s="287">
        <f>C43/C31-1</f>
        <v>-9.4394740387248044E-2</v>
      </c>
      <c r="F43" s="136">
        <f>Q43/20</f>
        <v>3796080.55</v>
      </c>
      <c r="G43" s="190">
        <f t="shared" si="2"/>
        <v>0.84649320148860374</v>
      </c>
      <c r="H43" s="190">
        <f t="shared" si="3"/>
        <v>-9.8377996006630997E-2</v>
      </c>
      <c r="I43" s="130">
        <f t="shared" si="0"/>
        <v>8.378208805746727</v>
      </c>
      <c r="J43" s="130">
        <f t="shared" si="4"/>
        <v>-0.26337660847888866</v>
      </c>
      <c r="K43" s="136">
        <f>R41+R42+R43</f>
        <v>258225591177</v>
      </c>
      <c r="L43" s="190">
        <f>U43/U40-1</f>
        <v>-0.28456880634578885</v>
      </c>
      <c r="M43" s="190">
        <f>K43/K31-1</f>
        <v>-4.0790047354115622E-2</v>
      </c>
      <c r="N43" s="191">
        <f>AVERAGE(T41:T43)</f>
        <v>9.5362207552534013</v>
      </c>
      <c r="O43" s="192">
        <f>N43/N40-1</f>
        <v>-0.16966497656383761</v>
      </c>
      <c r="P43" s="129" t="s">
        <v>834</v>
      </c>
      <c r="Q43" s="116">
        <v>75921611</v>
      </c>
      <c r="R43" s="116">
        <v>109932296377</v>
      </c>
      <c r="S43" s="116">
        <v>9061795.0399999991</v>
      </c>
      <c r="T43" s="130">
        <f t="shared" si="1"/>
        <v>8.378208805746727</v>
      </c>
      <c r="U43" s="85">
        <f>Q41+Q42+Q43</f>
        <v>177620893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5111336.2272727275</v>
      </c>
      <c r="G44" s="190">
        <f t="shared" si="2"/>
        <v>0.34647728359524077</v>
      </c>
      <c r="H44" s="190">
        <f t="shared" si="3"/>
        <v>0.64917523113341513</v>
      </c>
      <c r="I44" s="130">
        <f t="shared" si="0"/>
        <v>9.4718734364533788</v>
      </c>
      <c r="J44" s="130">
        <f t="shared" si="4"/>
        <v>7.9579765792274992E-2</v>
      </c>
      <c r="K44" s="136"/>
      <c r="L44" s="190"/>
      <c r="M44" s="190"/>
      <c r="N44" s="191"/>
      <c r="O44" s="192"/>
      <c r="P44" s="129" t="s">
        <v>838</v>
      </c>
      <c r="Q44" s="116">
        <v>112449397</v>
      </c>
      <c r="R44" s="116">
        <v>162843826439</v>
      </c>
      <c r="S44" s="116">
        <v>11871927.74</v>
      </c>
      <c r="T44" s="130">
        <f t="shared" si="1"/>
        <v>9.4718734364533788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3494828.3</v>
      </c>
      <c r="G45" s="190">
        <f t="shared" si="2"/>
        <v>-0.31625936064379256</v>
      </c>
      <c r="H45" s="190">
        <f t="shared" si="3"/>
        <v>0.51136212800687164</v>
      </c>
      <c r="I45" s="130">
        <f t="shared" si="0"/>
        <v>14.00073025708156</v>
      </c>
      <c r="J45" s="130">
        <f t="shared" si="4"/>
        <v>0.3700839813537744</v>
      </c>
      <c r="K45" s="136"/>
      <c r="L45" s="190"/>
      <c r="M45" s="190"/>
      <c r="N45" s="191"/>
      <c r="O45" s="192"/>
      <c r="P45" s="129" t="s">
        <v>847</v>
      </c>
      <c r="Q45" s="116">
        <v>69896566</v>
      </c>
      <c r="R45" s="116">
        <v>98004598801</v>
      </c>
      <c r="S45" s="116">
        <v>4992351.45</v>
      </c>
      <c r="T45" s="130">
        <f t="shared" si="1"/>
        <v>14.00073025708156</v>
      </c>
      <c r="U45" s="85"/>
    </row>
    <row r="46" spans="1:21" s="79" customFormat="1" ht="13.2">
      <c r="A46" s="129" t="s">
        <v>927</v>
      </c>
      <c r="B46" s="188">
        <f>SUM(F44:F46)</f>
        <v>11198211.422009569</v>
      </c>
      <c r="C46" s="188">
        <f>AVERAGE(F44:F46)</f>
        <v>3732737.1406698562</v>
      </c>
      <c r="D46" s="189">
        <f>C46/C43-1</f>
        <v>0.2148708334790248</v>
      </c>
      <c r="E46" s="287">
        <f>C46/C34-1</f>
        <v>0.25912216337516281</v>
      </c>
      <c r="F46" s="136">
        <f>Q46/19</f>
        <v>2592046.8947368423</v>
      </c>
      <c r="G46" s="190">
        <f t="shared" si="2"/>
        <v>-0.25831924425676578</v>
      </c>
      <c r="H46" s="190">
        <f t="shared" si="3"/>
        <v>-0.25557968438618883</v>
      </c>
      <c r="I46" s="130">
        <f t="shared" si="0"/>
        <v>9.3639309248805027</v>
      </c>
      <c r="J46" s="130">
        <f t="shared" si="4"/>
        <v>0.19513893942067484</v>
      </c>
      <c r="K46" s="136">
        <f>R44+R45+R46</f>
        <v>328399302429</v>
      </c>
      <c r="L46" s="190">
        <f>U46/U43-1</f>
        <v>0.30387169036471406</v>
      </c>
      <c r="M46" s="190">
        <f>K46/K34-1</f>
        <v>0.33399459501784756</v>
      </c>
      <c r="N46" s="191">
        <f>AVERAGE(T44:T46)</f>
        <v>10.945511539471815</v>
      </c>
      <c r="O46" s="219">
        <f>N46/N43-1</f>
        <v>0.14778294466831099</v>
      </c>
      <c r="P46" s="129" t="s">
        <v>888</v>
      </c>
      <c r="Q46" s="116">
        <v>49248891</v>
      </c>
      <c r="R46" s="116">
        <v>67550877189</v>
      </c>
      <c r="S46" s="116">
        <v>5259424.8499999996</v>
      </c>
      <c r="T46" s="130">
        <f t="shared" si="1"/>
        <v>9.3639309248805027</v>
      </c>
      <c r="U46" s="85">
        <f t="shared" ref="U46:U51" si="5">Q44+Q45+Q46</f>
        <v>231594854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2082941.6956521738</v>
      </c>
      <c r="G47" s="190">
        <f t="shared" si="2"/>
        <v>-0.19641048937749073</v>
      </c>
      <c r="H47" s="190">
        <f t="shared" si="3"/>
        <v>0.15859354815898796</v>
      </c>
      <c r="I47" s="130">
        <f t="shared" si="0"/>
        <v>10.557725400369899</v>
      </c>
      <c r="J47" s="130">
        <f t="shared" si="4"/>
        <v>4.7556346108080794E-2</v>
      </c>
      <c r="K47" s="136"/>
      <c r="L47" s="190"/>
      <c r="M47" s="190"/>
      <c r="N47" s="191"/>
      <c r="O47" s="219"/>
      <c r="P47" s="129" t="s">
        <v>1057</v>
      </c>
      <c r="Q47" s="116">
        <v>47907659</v>
      </c>
      <c r="R47" s="116">
        <v>65613520208</v>
      </c>
      <c r="S47" s="116">
        <v>4537687.54</v>
      </c>
      <c r="T47" s="130">
        <f t="shared" si="1"/>
        <v>10.557725400369899</v>
      </c>
      <c r="U47" s="85">
        <f t="shared" si="5"/>
        <v>167053116</v>
      </c>
    </row>
    <row r="48" spans="1:21" s="79" customFormat="1" ht="13.2">
      <c r="A48" s="129" t="s">
        <v>1114</v>
      </c>
      <c r="B48" s="188"/>
      <c r="C48" s="188"/>
      <c r="D48" s="189"/>
      <c r="E48" s="287"/>
      <c r="F48" s="136">
        <f>Q48/20</f>
        <v>1773558.55</v>
      </c>
      <c r="G48" s="190">
        <f t="shared" ref="G48" si="6">F48/F47-1</f>
        <v>-0.1485318318308978</v>
      </c>
      <c r="H48" s="190">
        <f t="shared" ref="H48" si="7">F48/F36-1</f>
        <v>6.5186103477468338E-2</v>
      </c>
      <c r="I48" s="130">
        <f t="shared" si="0"/>
        <v>9.4817145931379159</v>
      </c>
      <c r="J48" s="130">
        <f t="shared" si="4"/>
        <v>-0.17625677664431949</v>
      </c>
      <c r="K48" s="136"/>
      <c r="L48" s="190"/>
      <c r="M48" s="190"/>
      <c r="N48" s="191"/>
      <c r="O48" s="219"/>
      <c r="P48" s="129" t="s">
        <v>1120</v>
      </c>
      <c r="Q48" s="116">
        <v>35471171</v>
      </c>
      <c r="R48" s="116">
        <v>49219489609</v>
      </c>
      <c r="S48" s="116">
        <v>3741008.09</v>
      </c>
      <c r="T48" s="130">
        <f t="shared" ref="T48" si="8">Q48/S48</f>
        <v>9.4817145931379159</v>
      </c>
      <c r="U48" s="85">
        <f t="shared" si="5"/>
        <v>132627721</v>
      </c>
    </row>
    <row r="49" spans="1:26" ht="13.2">
      <c r="A49" s="129" t="s">
        <v>1207</v>
      </c>
      <c r="B49" s="188">
        <f>SUM(F47:F49)</f>
        <v>7153973.3820158094</v>
      </c>
      <c r="C49" s="188">
        <f>AVERAGE(F47:F49)</f>
        <v>2384657.7940052697</v>
      </c>
      <c r="D49" s="189">
        <f>C49/C46-1</f>
        <v>-0.36115035585459621</v>
      </c>
      <c r="E49" s="287">
        <f>C49/C37-1</f>
        <v>-8.1454634733996834E-2</v>
      </c>
      <c r="F49" s="136">
        <f>Q49/22</f>
        <v>3297473.1363636362</v>
      </c>
      <c r="G49" s="190">
        <f t="shared" ref="G49" si="9">F49/F48-1</f>
        <v>0.85924120540798388</v>
      </c>
      <c r="H49" s="190">
        <f t="shared" ref="H49" si="10">F49/F37-1</f>
        <v>-0.2376720600629989</v>
      </c>
      <c r="I49" s="130">
        <f t="shared" si="0"/>
        <v>8.1460384258898983</v>
      </c>
      <c r="J49" s="130">
        <f t="shared" si="4"/>
        <v>-0.16011541975615284</v>
      </c>
      <c r="K49" s="136">
        <f>R47+R48+R49</f>
        <v>215679069191</v>
      </c>
      <c r="L49" s="190">
        <f>U49/U46-1</f>
        <v>-0.3267413489247909</v>
      </c>
      <c r="M49" s="190">
        <f>K49/K37-1</f>
        <v>3.3954297693151503E-2</v>
      </c>
      <c r="N49" s="191">
        <f>AVERAGE(T47:T49)</f>
        <v>9.3951594731325709</v>
      </c>
      <c r="O49" s="219">
        <f>N49/N46-1</f>
        <v>-0.1416427236633343</v>
      </c>
      <c r="P49" s="129" t="s">
        <v>1158</v>
      </c>
      <c r="Q49" s="116">
        <v>72544409</v>
      </c>
      <c r="R49" s="116">
        <v>100846059374</v>
      </c>
      <c r="S49" s="116">
        <v>8905483.2799999993</v>
      </c>
      <c r="T49" s="130">
        <f t="shared" ref="T49" si="11">Q49/S49</f>
        <v>8.1460384258898983</v>
      </c>
      <c r="U49" s="85">
        <f t="shared" si="5"/>
        <v>155923239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3412166.8333333335</v>
      </c>
      <c r="G50" s="190">
        <f t="shared" ref="G50" si="12">F50/F49-1</f>
        <v>3.4782299120161619E-2</v>
      </c>
      <c r="H50" s="190">
        <f t="shared" ref="H50" si="13">F50/F38-1</f>
        <v>-9.5129759623620025E-3</v>
      </c>
      <c r="I50" s="130">
        <f t="shared" ref="I50" si="14">T50</f>
        <v>8.6726909890147716</v>
      </c>
      <c r="J50" s="130">
        <f t="shared" ref="J50" si="15">I50/I38-1</f>
        <v>-0.10850584487489068</v>
      </c>
      <c r="K50" s="136"/>
      <c r="L50" s="190"/>
      <c r="M50" s="190"/>
      <c r="N50" s="191"/>
      <c r="O50" s="192"/>
      <c r="P50" s="129" t="s">
        <v>1377</v>
      </c>
      <c r="Q50" s="116">
        <v>61419003</v>
      </c>
      <c r="R50" s="116">
        <v>86776558087</v>
      </c>
      <c r="S50" s="116">
        <v>7081885.3200000003</v>
      </c>
      <c r="T50" s="130">
        <f t="shared" ref="T50" si="16">Q50/S50</f>
        <v>8.6726909890147716</v>
      </c>
      <c r="U50" s="85">
        <f t="shared" si="5"/>
        <v>169434583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3428508.1</v>
      </c>
      <c r="G51" s="190">
        <f t="shared" ref="G51:G52" si="17">F51/F50-1</f>
        <v>4.7891171401788224E-3</v>
      </c>
      <c r="H51" s="190">
        <f t="shared" ref="H51:H52" si="18">F51/F39-1</f>
        <v>0.11922103792631367</v>
      </c>
      <c r="I51" s="130">
        <f t="shared" ref="I51:I52" si="19">T51</f>
        <v>8.3852548587576194</v>
      </c>
      <c r="J51" s="130">
        <f t="shared" ref="J51:J52" si="20">I51/I39-1</f>
        <v>-0.37712566377159173</v>
      </c>
      <c r="K51" s="136"/>
      <c r="L51" s="190"/>
      <c r="M51" s="190"/>
      <c r="N51" s="191"/>
      <c r="O51" s="192"/>
      <c r="P51" s="129" t="s">
        <v>1402</v>
      </c>
      <c r="Q51" s="116">
        <v>68570162</v>
      </c>
      <c r="R51" s="116">
        <v>99417214866</v>
      </c>
      <c r="S51" s="116">
        <v>8177469.04</v>
      </c>
      <c r="T51" s="130">
        <f t="shared" ref="T51:T52" si="21">Q51/S51</f>
        <v>8.3852548587576194</v>
      </c>
      <c r="U51" s="85">
        <f t="shared" si="5"/>
        <v>202533574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9883613.706060607</v>
      </c>
      <c r="C52" s="188">
        <f>AVERAGE(F50:F52)</f>
        <v>3294537.9020202025</v>
      </c>
      <c r="D52" s="190">
        <f>C52/C49-1</f>
        <v>0.38155584013029342</v>
      </c>
      <c r="E52" s="287">
        <f>C52/C40-1</f>
        <v>-0.17543639657397947</v>
      </c>
      <c r="F52" s="136">
        <f>Q52/22</f>
        <v>3042938.7727272729</v>
      </c>
      <c r="G52" s="190">
        <f t="shared" si="17"/>
        <v>-0.11245979768072512</v>
      </c>
      <c r="H52" s="190">
        <f t="shared" si="18"/>
        <v>-0.4445409415952577</v>
      </c>
      <c r="I52" s="130">
        <f t="shared" si="19"/>
        <v>9.3859229516169549</v>
      </c>
      <c r="J52" s="130">
        <f t="shared" si="20"/>
        <v>-0.16672547653362124</v>
      </c>
      <c r="K52" s="136">
        <f>R50+R51+R52</f>
        <v>284687073161</v>
      </c>
      <c r="L52" s="190">
        <f>U52/U49-1</f>
        <v>0.26301774682861745</v>
      </c>
      <c r="M52" s="190">
        <f>K52/K40-1</f>
        <v>-0.17790396550310028</v>
      </c>
      <c r="N52" s="191">
        <f>AVERAGE(T50:T52)</f>
        <v>8.8146229331297814</v>
      </c>
      <c r="O52" s="192">
        <f>N52/N49-1</f>
        <v>-6.1791025651342646E-2</v>
      </c>
      <c r="P52" s="129" t="s">
        <v>1403</v>
      </c>
      <c r="Q52" s="116">
        <v>66944653</v>
      </c>
      <c r="R52" s="116">
        <v>98493300208</v>
      </c>
      <c r="S52" s="116">
        <v>7132452.8600000003</v>
      </c>
      <c r="T52" s="130">
        <f t="shared" si="21"/>
        <v>9.3859229516169549</v>
      </c>
      <c r="U52" s="85">
        <f t="shared" ref="U52" si="22">Q50+Q51+Q52</f>
        <v>196933818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3010032.6666666665</v>
      </c>
      <c r="G53" s="190">
        <f t="shared" ref="G53" si="23">F53/F52-1</f>
        <v>-1.0813923157288463E-2</v>
      </c>
      <c r="H53" s="190">
        <f t="shared" ref="H53" si="24">F53/F41-1</f>
        <v>-0.10567460635666659</v>
      </c>
      <c r="I53" s="130">
        <f t="shared" ref="I53" si="25">T53</f>
        <v>7.4008629399177517</v>
      </c>
      <c r="J53" s="130">
        <f t="shared" ref="J53" si="26">I53/I41-1</f>
        <v>-0.37177498814062571</v>
      </c>
      <c r="K53" s="136"/>
      <c r="L53" s="190"/>
      <c r="M53" s="190"/>
      <c r="N53" s="191"/>
      <c r="O53" s="192"/>
      <c r="P53" s="129" t="s">
        <v>1414</v>
      </c>
      <c r="Q53" s="116">
        <v>63210686</v>
      </c>
      <c r="R53" s="116">
        <v>92189090021</v>
      </c>
      <c r="S53" s="116">
        <v>8540988.5999999996</v>
      </c>
      <c r="T53" s="130">
        <f t="shared" ref="T53" si="27">Q53/S53</f>
        <v>7.4008629399177517</v>
      </c>
      <c r="U53" s="85">
        <f t="shared" ref="U53" si="28">Q51+Q52+Q53</f>
        <v>198725501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2397827.0588235296</v>
      </c>
      <c r="G54" s="190">
        <f t="shared" ref="G54" si="29">F54/F53-1</f>
        <v>-0.20338836007421079</v>
      </c>
      <c r="H54" s="190">
        <f t="shared" ref="H54" si="30">F54/F42-1</f>
        <v>0.16635337531577465</v>
      </c>
      <c r="I54" s="130">
        <f t="shared" ref="I54" si="31">T54</f>
        <v>9.5912182809504269</v>
      </c>
      <c r="J54" s="130">
        <f t="shared" ref="J54" si="32">I54/I42-1</f>
        <v>0.13507411131038283</v>
      </c>
      <c r="K54" s="136"/>
      <c r="L54" s="190"/>
      <c r="M54" s="190"/>
      <c r="N54" s="191"/>
      <c r="O54" s="192"/>
      <c r="P54" s="129" t="s">
        <v>1417</v>
      </c>
      <c r="Q54" s="116">
        <v>40763060</v>
      </c>
      <c r="R54" s="116">
        <v>59015283316</v>
      </c>
      <c r="S54" s="116">
        <v>4250039.8600000003</v>
      </c>
      <c r="T54" s="130">
        <f t="shared" ref="T54" si="33">Q54/S54</f>
        <v>9.5912182809504269</v>
      </c>
      <c r="U54" s="85">
        <f t="shared" ref="U54" si="34">Q52+Q53+Q54</f>
        <v>170918399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7459912.0112044811</v>
      </c>
      <c r="C55" s="188">
        <f>AVERAGE(F53:F55)</f>
        <v>2486637.3370681605</v>
      </c>
      <c r="D55" s="190">
        <f>C55/C52-1</f>
        <v>-0.24522424357499095</v>
      </c>
      <c r="E55" s="287">
        <f>C55/C43-1</f>
        <v>-0.19068955021517076</v>
      </c>
      <c r="F55" s="136">
        <f>Q55/21</f>
        <v>2052052.2857142857</v>
      </c>
      <c r="G55" s="190">
        <f t="shared" ref="G55" si="35">F55/F54-1</f>
        <v>-0.14420338274057798</v>
      </c>
      <c r="H55" s="190">
        <f t="shared" ref="H55" si="36">F55/F43-1</f>
        <v>-0.45942867684557276</v>
      </c>
      <c r="I55" s="130">
        <f>T55</f>
        <v>14.399735109366798</v>
      </c>
      <c r="J55" s="130">
        <f t="shared" ref="J55" si="37">I55/I43-1</f>
        <v>0.71871284700971216</v>
      </c>
      <c r="K55" s="136">
        <f>R53+R54+R55</f>
        <v>214513079197</v>
      </c>
      <c r="L55" s="190">
        <f>U55/U52-1</f>
        <v>-0.25321691574577609</v>
      </c>
      <c r="M55" s="190">
        <f>K55/K43-1</f>
        <v>-0.16928032493122414</v>
      </c>
      <c r="N55" s="191">
        <f>AVERAGE(T53:T55)</f>
        <v>10.463938776744993</v>
      </c>
      <c r="O55" s="192">
        <f>N55/N52-1</f>
        <v>0.18711133262618107</v>
      </c>
      <c r="P55" s="129" t="s">
        <v>1418</v>
      </c>
      <c r="Q55" s="116">
        <v>43093098</v>
      </c>
      <c r="R55" s="116">
        <v>63308705860</v>
      </c>
      <c r="S55" s="116">
        <v>2992631.3</v>
      </c>
      <c r="T55" s="130">
        <f t="shared" ref="T55" si="38">Q55/S55</f>
        <v>14.399735109366798</v>
      </c>
      <c r="U55" s="85">
        <f t="shared" ref="U55" si="39">Q53+Q54+Q55</f>
        <v>147066844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2102583.3181818184</v>
      </c>
      <c r="G56" s="190">
        <f t="shared" ref="G56" si="40">F56/F55-1</f>
        <v>2.4624632042425487E-2</v>
      </c>
      <c r="H56" s="190">
        <f t="shared" ref="H56" si="41">F56/F44-1</f>
        <v>-0.58864312095866556</v>
      </c>
      <c r="I56" s="291">
        <f>T56</f>
        <v>7.9115424006874902</v>
      </c>
      <c r="J56" s="130">
        <f t="shared" ref="J56" si="42">I56/I44-1</f>
        <v>-0.16473309596397379</v>
      </c>
      <c r="K56" s="136"/>
      <c r="L56" s="190"/>
      <c r="M56" s="190"/>
      <c r="N56" s="191"/>
      <c r="O56" s="192"/>
      <c r="P56" s="129" t="s">
        <v>1420</v>
      </c>
      <c r="Q56" s="116">
        <v>46256833</v>
      </c>
      <c r="R56" s="116">
        <v>68954945444</v>
      </c>
      <c r="S56" s="116">
        <v>5846752.8399999999</v>
      </c>
      <c r="T56" s="130">
        <f t="shared" ref="T56" si="43">Q56/S56</f>
        <v>7.9115424006874902</v>
      </c>
      <c r="U56" s="85">
        <f t="shared" ref="U56" si="44">Q54+Q55+Q56</f>
        <v>130112991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3649050.9166666665</v>
      </c>
      <c r="G57" s="254">
        <f t="shared" ref="G57" si="45">F57/F56-1</f>
        <v>0.73550835541781812</v>
      </c>
      <c r="H57" s="254">
        <f t="shared" ref="H57" si="46">F57/F45-1</f>
        <v>4.4128810753497394E-2</v>
      </c>
      <c r="I57" s="282">
        <f>T57</f>
        <v>10.467158183736748</v>
      </c>
      <c r="J57" s="277">
        <f t="shared" ref="J57" si="47">I57/I45-1</f>
        <v>-0.25238484053769505</v>
      </c>
      <c r="K57" s="204"/>
      <c r="L57" s="254"/>
      <c r="M57" s="254"/>
      <c r="N57" s="257"/>
      <c r="O57" s="258"/>
      <c r="P57" s="129" t="s">
        <v>1436</v>
      </c>
      <c r="Q57" s="116">
        <v>43788611</v>
      </c>
      <c r="R57" s="116">
        <v>64333567806</v>
      </c>
      <c r="S57" s="116">
        <v>4183428.8</v>
      </c>
      <c r="T57" s="130">
        <f t="shared" ref="T57" si="48">Q57/S57</f>
        <v>10.467158183736748</v>
      </c>
      <c r="U57" s="85">
        <f t="shared" ref="U57" si="49">Q55+Q56+Q57</f>
        <v>133138542</v>
      </c>
      <c r="V57" s="79"/>
      <c r="W57" s="79"/>
      <c r="X57" s="79"/>
      <c r="Y57" s="79"/>
      <c r="Z57" s="79"/>
    </row>
    <row r="58" spans="1:26">
      <c r="B58" s="196">
        <f>SUM(F56:F58)</f>
        <v>5751634.2348484844</v>
      </c>
      <c r="C58" s="196">
        <f>AVERAGE(F56:F58)</f>
        <v>2875817.1174242422</v>
      </c>
      <c r="D58" s="197">
        <f>C58/C55-1</f>
        <v>0.15650846006154606</v>
      </c>
      <c r="E58" s="233">
        <f>C58/C46-1</f>
        <v>-0.22956880995157236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237112288</v>
      </c>
      <c r="R66" s="212">
        <v>347801592447</v>
      </c>
      <c r="S66" s="213">
        <v>25813841.420000002</v>
      </c>
      <c r="T66" s="214">
        <v>269</v>
      </c>
      <c r="U66" s="214">
        <v>505</v>
      </c>
    </row>
    <row r="67" spans="16:21" ht="18" thickBot="1">
      <c r="P67" s="180" t="s">
        <v>976</v>
      </c>
      <c r="Q67" s="181">
        <v>63210686</v>
      </c>
      <c r="R67" s="181">
        <v>92189090021</v>
      </c>
      <c r="S67" s="182">
        <v>8540988.5999999996</v>
      </c>
      <c r="T67" s="210">
        <v>112</v>
      </c>
      <c r="U67" s="210">
        <v>209</v>
      </c>
    </row>
    <row r="68" spans="16:21" ht="18" thickBot="1">
      <c r="P68" s="180" t="s">
        <v>977</v>
      </c>
      <c r="Q68" s="181">
        <v>40763060</v>
      </c>
      <c r="R68" s="181">
        <v>59015283316</v>
      </c>
      <c r="S68" s="182">
        <v>4250039.8600000003</v>
      </c>
      <c r="T68" s="210">
        <v>91</v>
      </c>
      <c r="U68" s="210">
        <v>179</v>
      </c>
    </row>
    <row r="69" spans="16:21" ht="18" thickBot="1">
      <c r="P69" s="180" t="s">
        <v>978</v>
      </c>
      <c r="Q69" s="181">
        <v>43093098</v>
      </c>
      <c r="R69" s="181">
        <v>63308705860</v>
      </c>
      <c r="S69" s="182">
        <v>2992631.3</v>
      </c>
      <c r="T69" s="210">
        <v>123</v>
      </c>
      <c r="U69" s="210">
        <v>241</v>
      </c>
    </row>
    <row r="70" spans="16:21" ht="18" thickBot="1">
      <c r="P70" s="180" t="s">
        <v>979</v>
      </c>
      <c r="Q70" s="181">
        <v>46256833</v>
      </c>
      <c r="R70" s="181">
        <v>68954945444</v>
      </c>
      <c r="S70" s="182">
        <v>5846752.8399999999</v>
      </c>
      <c r="T70" s="210">
        <v>103</v>
      </c>
      <c r="U70" s="210">
        <v>198</v>
      </c>
    </row>
    <row r="71" spans="16:21" ht="18" thickBot="1">
      <c r="P71" s="180" t="s">
        <v>980</v>
      </c>
      <c r="Q71" s="181">
        <v>43788611</v>
      </c>
      <c r="R71" s="181">
        <v>64333567806</v>
      </c>
      <c r="S71" s="182">
        <v>4183428.8</v>
      </c>
      <c r="T71" s="210">
        <v>90</v>
      </c>
      <c r="U71" s="210">
        <v>161</v>
      </c>
    </row>
    <row r="72" spans="16:21" ht="18" thickBot="1">
      <c r="P72" s="180" t="s">
        <v>975</v>
      </c>
      <c r="Q72" s="181">
        <v>761207885</v>
      </c>
      <c r="R72" s="181">
        <v>1085719725972</v>
      </c>
      <c r="S72" s="182">
        <v>80587728.349999994</v>
      </c>
      <c r="T72" s="210">
        <v>441</v>
      </c>
      <c r="U72" s="210">
        <v>1010</v>
      </c>
    </row>
    <row r="73" spans="16:21" ht="18" thickBot="1">
      <c r="P73" s="215" t="s">
        <v>982</v>
      </c>
      <c r="Q73" s="217" t="s">
        <v>1462</v>
      </c>
      <c r="R73"/>
      <c r="S73"/>
      <c r="T73"/>
      <c r="U73"/>
    </row>
  </sheetData>
  <phoneticPr fontId="1" type="noConversion"/>
  <conditionalFormatting sqref="C29:C30">
    <cfRule type="cellIs" dxfId="2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462-80BE-44C9-9435-C8FF11953CC2}">
  <sheetPr>
    <tabColor rgb="FFFF0000"/>
  </sheetPr>
  <dimension ref="A1:Z124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8207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5582774.7999999998</v>
      </c>
      <c r="G5" s="90"/>
      <c r="H5" s="90"/>
      <c r="I5" s="130">
        <f t="shared" ref="I5:I54" si="0">T5</f>
        <v>16.342686309250571</v>
      </c>
      <c r="J5" s="130"/>
      <c r="L5" s="80"/>
      <c r="M5" s="80"/>
      <c r="P5" s="129" t="s">
        <v>0</v>
      </c>
      <c r="Q5" s="116">
        <v>111655496</v>
      </c>
      <c r="R5" s="116">
        <v>131735829765</v>
      </c>
      <c r="S5" s="116">
        <v>6832138.4800000004</v>
      </c>
      <c r="T5" s="130">
        <f t="shared" ref="T5:T56" si="1">Q5/S5</f>
        <v>16.342686309250571</v>
      </c>
      <c r="U5" s="85"/>
    </row>
    <row r="6" spans="1:21" ht="15" hidden="1" customHeight="1">
      <c r="A6" s="129" t="s">
        <v>1</v>
      </c>
      <c r="C6" s="79"/>
      <c r="F6" s="78">
        <f>Q6/18</f>
        <v>4391305.222222222</v>
      </c>
      <c r="G6" s="90">
        <f t="shared" ref="G6:G56" si="2">F6/F5-1</f>
        <v>-0.21341888585184876</v>
      </c>
      <c r="H6" s="90"/>
      <c r="I6" s="130">
        <f t="shared" si="0"/>
        <v>18.302329348459001</v>
      </c>
      <c r="J6" s="130"/>
      <c r="P6" s="129" t="s">
        <v>1</v>
      </c>
      <c r="Q6" s="116">
        <v>79043494</v>
      </c>
      <c r="R6" s="116">
        <v>93924527243</v>
      </c>
      <c r="S6" s="116">
        <v>4318766.8899999997</v>
      </c>
      <c r="T6" s="130">
        <f t="shared" si="1"/>
        <v>18.302329348459001</v>
      </c>
      <c r="U6" s="85"/>
    </row>
    <row r="7" spans="1:21" ht="15" hidden="1" customHeight="1">
      <c r="A7" s="129" t="s">
        <v>2</v>
      </c>
      <c r="B7" s="131">
        <f>F5+F6+F7</f>
        <v>15495881.113131311</v>
      </c>
      <c r="C7" s="131">
        <f>AVERAGE(F5:F7)</f>
        <v>5165293.7043771036</v>
      </c>
      <c r="F7" s="78">
        <f>Q7/22</f>
        <v>5521801.0909090908</v>
      </c>
      <c r="G7" s="90">
        <f t="shared" si="2"/>
        <v>0.25743960200397575</v>
      </c>
      <c r="H7" s="90"/>
      <c r="I7" s="130">
        <f t="shared" si="0"/>
        <v>17.623712282112347</v>
      </c>
      <c r="J7" s="130"/>
      <c r="K7" s="79">
        <f>R5+R6+R7</f>
        <v>372378162508</v>
      </c>
      <c r="N7" s="88">
        <f>AVERAGE(T5:T7)</f>
        <v>17.422909313273973</v>
      </c>
      <c r="P7" s="129" t="s">
        <v>2</v>
      </c>
      <c r="Q7" s="116">
        <v>121479624</v>
      </c>
      <c r="R7" s="116">
        <v>146717805500</v>
      </c>
      <c r="S7" s="116">
        <v>6892964.5499999998</v>
      </c>
      <c r="T7" s="130">
        <f t="shared" si="1"/>
        <v>17.623712282112347</v>
      </c>
      <c r="U7" s="85">
        <f>Q5+Q6+Q7</f>
        <v>312178614</v>
      </c>
    </row>
    <row r="8" spans="1:21" ht="15" hidden="1" customHeight="1">
      <c r="A8" s="129" t="s">
        <v>3</v>
      </c>
      <c r="C8" s="79"/>
      <c r="F8" s="78">
        <f>Q8/21</f>
        <v>4937455.9047619049</v>
      </c>
      <c r="G8" s="90">
        <f t="shared" si="2"/>
        <v>-0.10582510607077689</v>
      </c>
      <c r="H8" s="90"/>
      <c r="I8" s="130">
        <f t="shared" si="0"/>
        <v>16.195854560531661</v>
      </c>
      <c r="J8" s="130"/>
      <c r="K8" s="78"/>
      <c r="P8" s="129" t="s">
        <v>3</v>
      </c>
      <c r="Q8" s="116">
        <v>103686574</v>
      </c>
      <c r="R8" s="116">
        <v>125623842931</v>
      </c>
      <c r="S8" s="116">
        <v>6402044.0300000003</v>
      </c>
      <c r="T8" s="130">
        <f t="shared" si="1"/>
        <v>16.195854560531661</v>
      </c>
      <c r="U8" s="85"/>
    </row>
    <row r="9" spans="1:21" ht="15" hidden="1" customHeight="1">
      <c r="A9" s="129" t="s">
        <v>4</v>
      </c>
      <c r="C9" s="79"/>
      <c r="F9" s="78">
        <f>Q9/21</f>
        <v>5343120.666666667</v>
      </c>
      <c r="G9" s="90">
        <f t="shared" si="2"/>
        <v>8.2160685529063748E-2</v>
      </c>
      <c r="H9" s="90"/>
      <c r="I9" s="130">
        <f t="shared" si="0"/>
        <v>16.571703207594332</v>
      </c>
      <c r="J9" s="130"/>
      <c r="K9" s="78"/>
      <c r="P9" s="129" t="s">
        <v>4</v>
      </c>
      <c r="Q9" s="116">
        <v>112205534</v>
      </c>
      <c r="R9" s="116">
        <v>141069482253</v>
      </c>
      <c r="S9" s="116">
        <v>6770911.3899999997</v>
      </c>
      <c r="T9" s="130">
        <f t="shared" si="1"/>
        <v>16.571703207594332</v>
      </c>
      <c r="U9" s="85"/>
    </row>
    <row r="10" spans="1:21" ht="15" hidden="1" customHeight="1">
      <c r="A10" s="129" t="s">
        <v>5</v>
      </c>
      <c r="B10" s="131">
        <f>F8+F9+F10</f>
        <v>15305511.285714285</v>
      </c>
      <c r="C10" s="131">
        <f>AVERAGE(F8:F10)</f>
        <v>5101837.0952380951</v>
      </c>
      <c r="D10" s="90">
        <f>C10/C7-1</f>
        <v>-1.2285188949707759E-2</v>
      </c>
      <c r="E10" s="286"/>
      <c r="F10" s="78">
        <f>Q10/21</f>
        <v>5024934.7142857146</v>
      </c>
      <c r="G10" s="90">
        <f t="shared" si="2"/>
        <v>-5.9550583307236837E-2</v>
      </c>
      <c r="H10" s="90"/>
      <c r="I10" s="130">
        <f t="shared" si="0"/>
        <v>15.715197076716446</v>
      </c>
      <c r="J10" s="130"/>
      <c r="K10" s="79">
        <f>R8+R9+R10</f>
        <v>399451440649</v>
      </c>
      <c r="L10" s="87">
        <f>U10/U7-1</f>
        <v>2.9589224199707775E-2</v>
      </c>
      <c r="N10" s="88">
        <f>AVERAGE(T8:T10)</f>
        <v>16.160918281614148</v>
      </c>
      <c r="O10" s="89">
        <f>N10/N7-1</f>
        <v>-7.2432853145734555E-2</v>
      </c>
      <c r="P10" s="129" t="s">
        <v>5</v>
      </c>
      <c r="Q10" s="116">
        <v>105523629</v>
      </c>
      <c r="R10" s="116">
        <v>132758115465</v>
      </c>
      <c r="S10" s="116">
        <v>6714750.5999999996</v>
      </c>
      <c r="T10" s="130">
        <f t="shared" si="1"/>
        <v>15.715197076716446</v>
      </c>
      <c r="U10" s="85">
        <f>Q8+Q9+Q10</f>
        <v>321415737</v>
      </c>
    </row>
    <row r="11" spans="1:21" ht="15" hidden="1" customHeight="1">
      <c r="A11" s="129" t="s">
        <v>6</v>
      </c>
      <c r="C11" s="79"/>
      <c r="F11" s="78">
        <f>Q11/21</f>
        <v>4339987.2380952379</v>
      </c>
      <c r="G11" s="90">
        <f t="shared" si="2"/>
        <v>-0.13630972642155825</v>
      </c>
      <c r="H11" s="90"/>
      <c r="I11" s="130">
        <f t="shared" si="0"/>
        <v>19.51881453277117</v>
      </c>
      <c r="J11" s="130"/>
      <c r="K11" s="78"/>
      <c r="O11" s="89"/>
      <c r="P11" s="129" t="s">
        <v>6</v>
      </c>
      <c r="Q11" s="116">
        <v>91139732</v>
      </c>
      <c r="R11" s="116">
        <v>117672469603</v>
      </c>
      <c r="S11" s="116">
        <v>4669327.22</v>
      </c>
      <c r="T11" s="130">
        <f t="shared" si="1"/>
        <v>19.51881453277117</v>
      </c>
      <c r="U11" s="85"/>
    </row>
    <row r="12" spans="1:21" ht="15" hidden="1" customHeight="1">
      <c r="A12" s="129" t="s">
        <v>7</v>
      </c>
      <c r="C12" s="79"/>
      <c r="F12" s="78">
        <f>Q12/22</f>
        <v>4576078.6818181816</v>
      </c>
      <c r="G12" s="90">
        <f t="shared" si="2"/>
        <v>5.4399110128849459E-2</v>
      </c>
      <c r="H12" s="90"/>
      <c r="I12" s="130">
        <f t="shared" si="0"/>
        <v>18.775154921831039</v>
      </c>
      <c r="J12" s="130"/>
      <c r="K12" s="78"/>
      <c r="O12" s="89"/>
      <c r="P12" s="129" t="s">
        <v>7</v>
      </c>
      <c r="Q12" s="116">
        <v>100673731</v>
      </c>
      <c r="R12" s="116">
        <v>130711799513</v>
      </c>
      <c r="S12" s="116">
        <v>5362071.92</v>
      </c>
      <c r="T12" s="130">
        <f t="shared" si="1"/>
        <v>18.775154921831039</v>
      </c>
      <c r="U12" s="85"/>
    </row>
    <row r="13" spans="1:21" ht="15" hidden="1" customHeight="1">
      <c r="A13" s="129" t="s">
        <v>96</v>
      </c>
      <c r="B13" s="131">
        <f>F11+F12+F13</f>
        <v>15361277.519913418</v>
      </c>
      <c r="C13" s="131">
        <f>AVERAGE(F11:F13)</f>
        <v>5120425.8399711391</v>
      </c>
      <c r="D13" s="90">
        <f>C13/C10-1</f>
        <v>3.6435394517779773E-3</v>
      </c>
      <c r="E13" s="286"/>
      <c r="F13" s="78">
        <f>Q13/20</f>
        <v>6445211.5999999996</v>
      </c>
      <c r="G13" s="90">
        <f t="shared" si="2"/>
        <v>0.40845733829016417</v>
      </c>
      <c r="H13" s="90"/>
      <c r="I13" s="130">
        <f t="shared" si="0"/>
        <v>16.408835153000894</v>
      </c>
      <c r="J13" s="130"/>
      <c r="K13" s="78">
        <f>R11+R12+R13</f>
        <v>423974719298</v>
      </c>
      <c r="L13" s="87">
        <f>U13/U10-1</f>
        <v>-2.1717729396678598E-3</v>
      </c>
      <c r="N13" s="88">
        <f>AVERAGE(T11:T13)</f>
        <v>18.234268202534366</v>
      </c>
      <c r="O13" s="89">
        <f>N13/N10-1</f>
        <v>0.12829406626472539</v>
      </c>
      <c r="P13" s="129" t="s">
        <v>96</v>
      </c>
      <c r="Q13" s="116">
        <v>128904232</v>
      </c>
      <c r="R13" s="116">
        <v>175590450182</v>
      </c>
      <c r="S13" s="116">
        <v>7855782.0099999998</v>
      </c>
      <c r="T13" s="130">
        <f t="shared" si="1"/>
        <v>16.408835153000894</v>
      </c>
      <c r="U13" s="85">
        <f>Q11+Q12+Q13</f>
        <v>320717695</v>
      </c>
    </row>
    <row r="14" spans="1:21" ht="15" hidden="1" customHeight="1">
      <c r="A14" s="129" t="s">
        <v>97</v>
      </c>
      <c r="C14" s="79"/>
      <c r="F14" s="78">
        <f>Q14/20</f>
        <v>5026537.25</v>
      </c>
      <c r="G14" s="90">
        <f t="shared" si="2"/>
        <v>-0.2201129207301743</v>
      </c>
      <c r="H14" s="90"/>
      <c r="I14" s="130">
        <f t="shared" si="0"/>
        <v>15.586102619162421</v>
      </c>
      <c r="J14" s="130"/>
      <c r="O14" s="89"/>
      <c r="P14" s="129" t="s">
        <v>97</v>
      </c>
      <c r="Q14" s="116">
        <v>100530745</v>
      </c>
      <c r="R14" s="116">
        <v>143375255381</v>
      </c>
      <c r="S14" s="116">
        <v>6450024.5800000001</v>
      </c>
      <c r="T14" s="130">
        <f t="shared" si="1"/>
        <v>15.586102619162421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4772685.5909090908</v>
      </c>
      <c r="G15" s="90">
        <f t="shared" si="2"/>
        <v>-5.0502293420964683E-2</v>
      </c>
      <c r="H15" s="90"/>
      <c r="I15" s="130">
        <f t="shared" si="0"/>
        <v>15.384418563774593</v>
      </c>
      <c r="J15" s="130"/>
      <c r="O15" s="89"/>
      <c r="P15" s="129" t="s">
        <v>98</v>
      </c>
      <c r="Q15" s="116">
        <v>104999083</v>
      </c>
      <c r="R15" s="116">
        <v>145310558154</v>
      </c>
      <c r="S15" s="116">
        <v>6825027.71</v>
      </c>
      <c r="T15" s="130">
        <f t="shared" si="1"/>
        <v>15.384418563774593</v>
      </c>
      <c r="U15" s="78"/>
    </row>
    <row r="16" spans="1:21" ht="15" hidden="1" customHeight="1">
      <c r="A16" s="129" t="s">
        <v>99</v>
      </c>
      <c r="B16" s="131">
        <f>F14+F15+F16</f>
        <v>15589993.068181816</v>
      </c>
      <c r="C16" s="131">
        <f>AVERAGE(F14:F16)</f>
        <v>5196664.3560606055</v>
      </c>
      <c r="D16" s="90">
        <f>C16/C13-1</f>
        <v>1.4889096819708181E-2</v>
      </c>
      <c r="E16" s="286"/>
      <c r="F16" s="78">
        <f>Q16/22</f>
        <v>5790770.2272727275</v>
      </c>
      <c r="G16" s="90">
        <f t="shared" si="2"/>
        <v>0.21331483437812504</v>
      </c>
      <c r="H16" s="90"/>
      <c r="I16" s="130">
        <f t="shared" si="0"/>
        <v>14.77852995557995</v>
      </c>
      <c r="J16" s="130"/>
      <c r="K16" s="78">
        <f>R14+R15+R16</f>
        <v>455503591967</v>
      </c>
      <c r="L16" s="87">
        <f>U16/U13-1</f>
        <v>3.8067989981033001E-2</v>
      </c>
      <c r="N16" s="88">
        <f>AVERAGE(T14:T16)</f>
        <v>15.249683712838987</v>
      </c>
      <c r="O16" s="89">
        <f>N16/N13-1</f>
        <v>-0.16367997095055087</v>
      </c>
      <c r="P16" s="129" t="s">
        <v>99</v>
      </c>
      <c r="Q16" s="116">
        <v>127396945</v>
      </c>
      <c r="R16" s="116">
        <v>166817778432</v>
      </c>
      <c r="S16" s="116">
        <v>8620407.1300000008</v>
      </c>
      <c r="T16" s="130">
        <f t="shared" si="1"/>
        <v>14.77852995557995</v>
      </c>
      <c r="U16" s="85">
        <f>Q14+Q15+Q16</f>
        <v>332926773</v>
      </c>
    </row>
    <row r="17" spans="1:26" ht="15" hidden="1" customHeight="1">
      <c r="A17" s="129" t="s">
        <v>100</v>
      </c>
      <c r="C17" s="79"/>
      <c r="F17" s="78">
        <f>Q17/20</f>
        <v>5619051.6500000004</v>
      </c>
      <c r="G17" s="90">
        <f t="shared" si="2"/>
        <v>-2.9653840600337711E-2</v>
      </c>
      <c r="H17" s="90">
        <f t="shared" ref="H17:H56" si="3">F17/F5-1</f>
        <v>6.4979963010509678E-3</v>
      </c>
      <c r="I17" s="130">
        <f t="shared" si="0"/>
        <v>15.168136307399696</v>
      </c>
      <c r="J17" s="130">
        <f t="shared" ref="J17:J56" si="4">I17/I5-1</f>
        <v>-7.1870069560475813E-2</v>
      </c>
      <c r="O17" s="89"/>
      <c r="P17" s="129" t="s">
        <v>100</v>
      </c>
      <c r="Q17" s="116">
        <v>112381033</v>
      </c>
      <c r="R17" s="116">
        <v>141039078875</v>
      </c>
      <c r="S17" s="116">
        <v>7409020.5099999998</v>
      </c>
      <c r="T17" s="130">
        <f t="shared" si="1"/>
        <v>15.168136307399696</v>
      </c>
      <c r="U17" s="78"/>
    </row>
    <row r="18" spans="1:26" ht="15" hidden="1" customHeight="1">
      <c r="A18" s="129" t="s">
        <v>106</v>
      </c>
      <c r="C18" s="79"/>
      <c r="F18" s="78">
        <f>Q18/20</f>
        <v>6107999.7999999998</v>
      </c>
      <c r="G18" s="90">
        <f t="shared" si="2"/>
        <v>8.7016133763425874E-2</v>
      </c>
      <c r="H18" s="90">
        <f t="shared" si="3"/>
        <v>0.39093037056281954</v>
      </c>
      <c r="I18" s="130">
        <f t="shared" si="0"/>
        <v>14.641523663545984</v>
      </c>
      <c r="J18" s="130">
        <f t="shared" si="4"/>
        <v>-0.20001856677446606</v>
      </c>
      <c r="O18" s="89"/>
      <c r="P18" s="129" t="s">
        <v>106</v>
      </c>
      <c r="Q18" s="116">
        <v>122159996</v>
      </c>
      <c r="R18" s="116">
        <v>153233288692</v>
      </c>
      <c r="S18" s="116">
        <v>8343393.6799999997</v>
      </c>
      <c r="T18" s="130">
        <f t="shared" si="1"/>
        <v>14.641523663545984</v>
      </c>
      <c r="U18" s="78"/>
    </row>
    <row r="19" spans="1:26" hidden="1">
      <c r="A19" s="129" t="s">
        <v>114</v>
      </c>
      <c r="B19" s="131">
        <f>SUM(F17:F19)</f>
        <v>18691457.859090909</v>
      </c>
      <c r="C19" s="131">
        <f>AVERAGE(F17:F19)</f>
        <v>6230485.9530303031</v>
      </c>
      <c r="D19" s="90">
        <f>C19/C16-1</f>
        <v>0.19893945926371104</v>
      </c>
      <c r="E19" s="286">
        <f>C19/C7-1</f>
        <v>0.2062210417484196</v>
      </c>
      <c r="F19" s="78">
        <f>Q19/22</f>
        <v>6964406.4090909092</v>
      </c>
      <c r="G19" s="90">
        <f t="shared" si="2"/>
        <v>0.14021064786068083</v>
      </c>
      <c r="H19" s="90">
        <f t="shared" si="3"/>
        <v>0.26125629924570726</v>
      </c>
      <c r="I19" s="130">
        <f t="shared" si="0"/>
        <v>15.512000063450429</v>
      </c>
      <c r="J19" s="130">
        <f t="shared" si="4"/>
        <v>-0.11982221366637125</v>
      </c>
      <c r="K19" s="78">
        <f>R17+R18+R19</f>
        <v>494623780483</v>
      </c>
      <c r="L19" s="87">
        <f>U19/U16-1</f>
        <v>0.1646944657106324</v>
      </c>
      <c r="M19" s="87">
        <f>U19/U7-1</f>
        <v>0.24210292637150355</v>
      </c>
      <c r="N19" s="88">
        <f>AVERAGE(T17:T19)</f>
        <v>15.107220011465371</v>
      </c>
      <c r="O19" s="89">
        <f>N19/N16-1</f>
        <v>-9.3420758132625181E-3</v>
      </c>
      <c r="P19" s="129" t="s">
        <v>114</v>
      </c>
      <c r="Q19" s="116">
        <v>153216941</v>
      </c>
      <c r="R19" s="116">
        <v>200351412916</v>
      </c>
      <c r="S19" s="116">
        <v>9877316.9399999995</v>
      </c>
      <c r="T19" s="130">
        <f t="shared" si="1"/>
        <v>15.512000063450429</v>
      </c>
      <c r="U19" s="85">
        <f>Q17+Q18+Q19</f>
        <v>387757970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7517025.9500000002</v>
      </c>
      <c r="G20" s="90">
        <f t="shared" si="2"/>
        <v>7.9349123018974899E-2</v>
      </c>
      <c r="H20" s="90">
        <f t="shared" si="3"/>
        <v>0.52244923195167003</v>
      </c>
      <c r="I20" s="130">
        <f t="shared" si="0"/>
        <v>13.487716943030399</v>
      </c>
      <c r="J20" s="130">
        <f t="shared" si="4"/>
        <v>-0.16721177677779553</v>
      </c>
      <c r="O20" s="89"/>
      <c r="P20" s="129" t="s">
        <v>131</v>
      </c>
      <c r="Q20" s="116">
        <v>150340519</v>
      </c>
      <c r="R20" s="116">
        <v>197504227197</v>
      </c>
      <c r="S20" s="116">
        <v>11146476.43</v>
      </c>
      <c r="T20" s="130">
        <f t="shared" si="1"/>
        <v>13.487716943030399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5513684.5238095243</v>
      </c>
      <c r="G21" s="90">
        <f t="shared" si="2"/>
        <v>-0.2665071850909968</v>
      </c>
      <c r="H21" s="90">
        <f t="shared" si="3"/>
        <v>3.1922142093276706E-2</v>
      </c>
      <c r="I21" s="130">
        <f t="shared" si="0"/>
        <v>17.118226845142861</v>
      </c>
      <c r="J21" s="130">
        <f t="shared" si="4"/>
        <v>3.2979328117466622E-2</v>
      </c>
      <c r="O21" s="89"/>
      <c r="P21" s="129" t="s">
        <v>141</v>
      </c>
      <c r="Q21" s="116">
        <v>115787375</v>
      </c>
      <c r="R21" s="116">
        <v>154292418792</v>
      </c>
      <c r="S21" s="116">
        <v>6763981.8099999996</v>
      </c>
      <c r="T21" s="130">
        <f t="shared" si="1"/>
        <v>17.118226845142861</v>
      </c>
      <c r="U21" s="78"/>
    </row>
    <row r="22" spans="1:26" hidden="1">
      <c r="A22" s="129" t="s">
        <v>155</v>
      </c>
      <c r="B22" s="131">
        <f>SUM(F20:F22)</f>
        <v>18937308.473809525</v>
      </c>
      <c r="C22" s="131">
        <f>AVERAGE(F20:F22)</f>
        <v>6312436.1579365088</v>
      </c>
      <c r="D22" s="90">
        <f>C22/C19-1</f>
        <v>1.3153100018843178E-2</v>
      </c>
      <c r="E22" s="286">
        <f>C22/C10-1</f>
        <v>0.23728689099625533</v>
      </c>
      <c r="F22" s="78">
        <f>Q22/21</f>
        <v>5906598</v>
      </c>
      <c r="G22" s="90">
        <f t="shared" si="2"/>
        <v>7.1261508433022147E-2</v>
      </c>
      <c r="H22" s="90">
        <f t="shared" si="3"/>
        <v>0.17545765981948924</v>
      </c>
      <c r="I22" s="130">
        <f t="shared" si="0"/>
        <v>14.666628009255124</v>
      </c>
      <c r="J22" s="130">
        <f t="shared" si="4"/>
        <v>-6.6723252806983657E-2</v>
      </c>
      <c r="K22" s="78">
        <f>R20+R21+R22</f>
        <v>512972467008</v>
      </c>
      <c r="L22" s="87">
        <f>U22/U19-1</f>
        <v>6.2113023750356433E-3</v>
      </c>
      <c r="M22" s="87">
        <f>U22/U10-1</f>
        <v>0.21389965420392598</v>
      </c>
      <c r="N22" s="88">
        <f>AVERAGE(T20:T22)</f>
        <v>15.090857265809461</v>
      </c>
      <c r="O22" s="89">
        <f>N22/N19-1</f>
        <v>-1.0831076560406938E-3</v>
      </c>
      <c r="P22" s="129" t="s">
        <v>155</v>
      </c>
      <c r="Q22" s="116">
        <v>124038558</v>
      </c>
      <c r="R22" s="116">
        <v>161175821019</v>
      </c>
      <c r="S22" s="116">
        <v>8457196.6999999993</v>
      </c>
      <c r="T22" s="130">
        <f t="shared" si="1"/>
        <v>14.666628009255124</v>
      </c>
      <c r="U22" s="85">
        <f>Q20+Q21+Q22</f>
        <v>390166452</v>
      </c>
    </row>
    <row r="23" spans="1:26" hidden="1">
      <c r="A23" s="129" t="s">
        <v>189</v>
      </c>
      <c r="C23" s="131"/>
      <c r="F23" s="78">
        <f>Q23/21</f>
        <v>5034470.666666667</v>
      </c>
      <c r="G23" s="90">
        <f t="shared" si="2"/>
        <v>-0.14765307091041802</v>
      </c>
      <c r="H23" s="90">
        <f t="shared" si="3"/>
        <v>0.16001969371601854</v>
      </c>
      <c r="I23" s="130">
        <f t="shared" si="0"/>
        <v>16.090042658474875</v>
      </c>
      <c r="J23" s="130">
        <f t="shared" si="4"/>
        <v>-0.17566496513092789</v>
      </c>
      <c r="O23" s="89"/>
      <c r="P23" s="129" t="s">
        <v>189</v>
      </c>
      <c r="Q23" s="116">
        <v>105723884</v>
      </c>
      <c r="R23" s="116">
        <v>136697346298</v>
      </c>
      <c r="S23" s="116">
        <v>6570764.6799999997</v>
      </c>
      <c r="T23" s="130">
        <f t="shared" si="1"/>
        <v>16.090042658474875</v>
      </c>
      <c r="U23" s="78"/>
    </row>
    <row r="24" spans="1:26" hidden="1">
      <c r="A24" s="129" t="s">
        <v>204</v>
      </c>
      <c r="C24" s="131"/>
      <c r="F24" s="78">
        <f>Q24/22</f>
        <v>4024381</v>
      </c>
      <c r="G24" s="90">
        <f t="shared" si="2"/>
        <v>-0.20063473074825744</v>
      </c>
      <c r="H24" s="90">
        <f t="shared" si="3"/>
        <v>-0.1205612316086706</v>
      </c>
      <c r="I24" s="130">
        <f t="shared" si="0"/>
        <v>16.991372187059245</v>
      </c>
      <c r="J24" s="130">
        <f t="shared" si="4"/>
        <v>-9.5007617364460728E-2</v>
      </c>
      <c r="O24" s="89"/>
      <c r="P24" s="129" t="s">
        <v>204</v>
      </c>
      <c r="Q24" s="116">
        <v>88536382</v>
      </c>
      <c r="R24" s="116">
        <v>116048940741</v>
      </c>
      <c r="S24" s="116">
        <v>5210666.9800000004</v>
      </c>
      <c r="T24" s="130">
        <f t="shared" si="1"/>
        <v>16.991372187059245</v>
      </c>
      <c r="U24" s="78"/>
    </row>
    <row r="25" spans="1:26" ht="13.2" hidden="1">
      <c r="A25" s="129" t="s">
        <v>217</v>
      </c>
      <c r="B25" s="131">
        <f>SUM(F23:F25)</f>
        <v>13332067.350877196</v>
      </c>
      <c r="C25" s="131">
        <f>AVERAGE(F23:F25)</f>
        <v>4444022.4502923982</v>
      </c>
      <c r="D25" s="90">
        <f>C25/C22-1</f>
        <v>-0.29598932343972917</v>
      </c>
      <c r="E25" s="286">
        <f>C25/C13-1</f>
        <v>-0.13209905012168932</v>
      </c>
      <c r="F25" s="78">
        <f>Q25/19</f>
        <v>4273215.6842105268</v>
      </c>
      <c r="G25" s="90">
        <f t="shared" si="2"/>
        <v>6.1831790829577793E-2</v>
      </c>
      <c r="H25" s="90">
        <f t="shared" si="3"/>
        <v>-0.33699373280304301</v>
      </c>
      <c r="I25" s="130">
        <f t="shared" si="0"/>
        <v>16.728796371487221</v>
      </c>
      <c r="J25" s="130">
        <f t="shared" si="4"/>
        <v>1.9499325546445734E-2</v>
      </c>
      <c r="K25" s="78">
        <f>R23+R24+R25</f>
        <v>360531942377</v>
      </c>
      <c r="L25" s="90">
        <f>U25/U22-1</f>
        <v>-0.29401576535339846</v>
      </c>
      <c r="M25" s="90">
        <f>U25/U13-1</f>
        <v>-0.14114073437700403</v>
      </c>
      <c r="N25" s="88">
        <f>AVERAGE(T23:T25)</f>
        <v>16.603403739007113</v>
      </c>
      <c r="O25" s="91">
        <f>N25/N22-1</f>
        <v>0.10022932737058921</v>
      </c>
      <c r="P25" s="129" t="s">
        <v>217</v>
      </c>
      <c r="Q25" s="116">
        <v>81191098</v>
      </c>
      <c r="R25" s="116">
        <v>107785655338</v>
      </c>
      <c r="S25" s="116">
        <v>4853373.5599999996</v>
      </c>
      <c r="T25" s="130">
        <f t="shared" si="1"/>
        <v>16.728796371487221</v>
      </c>
      <c r="U25" s="85">
        <f>Q23+Q24+Q25</f>
        <v>275451364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3409010.8421052634</v>
      </c>
      <c r="G26" s="90">
        <f t="shared" si="2"/>
        <v>-0.20223759013580533</v>
      </c>
      <c r="H26" s="90">
        <f t="shared" si="3"/>
        <v>-0.32179735819022059</v>
      </c>
      <c r="I26" s="130">
        <f t="shared" si="0"/>
        <v>23.375557482410194</v>
      </c>
      <c r="J26" s="130">
        <f t="shared" si="4"/>
        <v>0.49976925300562214</v>
      </c>
      <c r="L26" s="90"/>
      <c r="M26" s="90"/>
      <c r="P26" s="129" t="s">
        <v>312</v>
      </c>
      <c r="Q26" s="116">
        <v>64771206</v>
      </c>
      <c r="R26" s="116">
        <v>87327009578</v>
      </c>
      <c r="S26" s="116">
        <v>2770894.6</v>
      </c>
      <c r="T26" s="130">
        <f t="shared" si="1"/>
        <v>23.375557482410194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4559558.4545454541</v>
      </c>
      <c r="G27" s="90">
        <f t="shared" si="2"/>
        <v>0.33750189299182765</v>
      </c>
      <c r="H27" s="90">
        <f t="shared" si="3"/>
        <v>-4.4655599516045363E-2</v>
      </c>
      <c r="I27" s="130">
        <f t="shared" si="0"/>
        <v>19.048002608993549</v>
      </c>
      <c r="J27" s="130">
        <f t="shared" si="4"/>
        <v>0.23813600949765701</v>
      </c>
      <c r="L27" s="90"/>
      <c r="M27" s="90"/>
      <c r="P27" s="129" t="s">
        <v>373</v>
      </c>
      <c r="Q27" s="116">
        <v>100310286</v>
      </c>
      <c r="R27" s="116">
        <v>132259618814</v>
      </c>
      <c r="S27" s="116">
        <v>5266183.97</v>
      </c>
      <c r="T27" s="130">
        <f t="shared" si="1"/>
        <v>19.048002608993549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14592936.454545453</v>
      </c>
      <c r="C28" s="131">
        <f>AVERAGE(F26:F28)</f>
        <v>4864312.1515151514</v>
      </c>
      <c r="D28" s="90">
        <f>C28/C25-1</f>
        <v>9.4574162467406131E-2</v>
      </c>
      <c r="E28" s="286">
        <f>C28/C16-1</f>
        <v>-6.3954910645296681E-2</v>
      </c>
      <c r="F28" s="78">
        <f>Q28/19</f>
        <v>6624367.1578947371</v>
      </c>
      <c r="G28" s="90">
        <f t="shared" si="2"/>
        <v>0.4528527759723886</v>
      </c>
      <c r="H28" s="90">
        <f t="shared" si="3"/>
        <v>0.14395268641398129</v>
      </c>
      <c r="I28" s="130">
        <f t="shared" si="0"/>
        <v>16.263464563295223</v>
      </c>
      <c r="J28" s="130">
        <f t="shared" si="4"/>
        <v>0.10047918244768339</v>
      </c>
      <c r="K28" s="78">
        <f>R26+R27+R28</f>
        <v>383762411416</v>
      </c>
      <c r="L28" s="90">
        <f>U28/U25-1</f>
        <v>5.6246241714018153E-2</v>
      </c>
      <c r="M28" s="90">
        <f>U28/U16-1</f>
        <v>-0.12610071764940334</v>
      </c>
      <c r="N28" s="88">
        <f>AVERAGE(T26:T28)</f>
        <v>19.562341551566323</v>
      </c>
      <c r="O28" s="91">
        <f>N28/N25-1</f>
        <v>0.17821272427458035</v>
      </c>
      <c r="P28" s="129" t="s">
        <v>413</v>
      </c>
      <c r="Q28" s="116">
        <v>125862976</v>
      </c>
      <c r="R28" s="116">
        <v>164175783024</v>
      </c>
      <c r="S28" s="116">
        <v>7739001.46</v>
      </c>
      <c r="T28" s="130">
        <f t="shared" si="1"/>
        <v>16.263464563295223</v>
      </c>
      <c r="U28" s="85">
        <f>Q26+Q27+Q28</f>
        <v>290944468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4597872.3636363633</v>
      </c>
      <c r="G29" s="190">
        <f t="shared" si="2"/>
        <v>-0.30591522872388699</v>
      </c>
      <c r="H29" s="190">
        <f t="shared" si="3"/>
        <v>-0.18173516635385212</v>
      </c>
      <c r="I29" s="130">
        <f t="shared" si="0"/>
        <v>17.343055877987911</v>
      </c>
      <c r="J29" s="130">
        <f t="shared" si="4"/>
        <v>0.14338739621737129</v>
      </c>
      <c r="K29" s="136"/>
      <c r="L29" s="190"/>
      <c r="M29" s="190"/>
      <c r="N29" s="191"/>
      <c r="O29" s="192"/>
      <c r="P29" s="129" t="s">
        <v>426</v>
      </c>
      <c r="Q29" s="116">
        <v>101153192</v>
      </c>
      <c r="R29" s="116">
        <v>132939152555</v>
      </c>
      <c r="S29" s="116">
        <v>5832489.54</v>
      </c>
      <c r="T29" s="130">
        <f t="shared" si="1"/>
        <v>17.343055877987911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6068211.1052631577</v>
      </c>
      <c r="G30" s="190">
        <f t="shared" si="2"/>
        <v>0.31978676773531256</v>
      </c>
      <c r="H30" s="190">
        <f t="shared" si="3"/>
        <v>-6.5141938506353414E-3</v>
      </c>
      <c r="I30" s="130">
        <f t="shared" si="0"/>
        <v>16.534129039173468</v>
      </c>
      <c r="J30" s="130">
        <f t="shared" si="4"/>
        <v>0.12926287038961903</v>
      </c>
      <c r="K30" s="136"/>
      <c r="L30" s="190"/>
      <c r="M30" s="190"/>
      <c r="N30" s="191"/>
      <c r="O30" s="192"/>
      <c r="P30" s="129" t="s">
        <v>466</v>
      </c>
      <c r="Q30" s="116">
        <v>115296011</v>
      </c>
      <c r="R30" s="116">
        <v>153683428075</v>
      </c>
      <c r="S30" s="116">
        <v>6973213.4500000002</v>
      </c>
      <c r="T30" s="130">
        <f t="shared" si="1"/>
        <v>16.534129039173468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16449355.368899522</v>
      </c>
      <c r="C31" s="188">
        <f>AVERAGE(F29:F31)</f>
        <v>5483118.4562998405</v>
      </c>
      <c r="D31" s="190">
        <f>C31/C28-1</f>
        <v>0.12721352690985133</v>
      </c>
      <c r="E31" s="287">
        <f>C31/C19-1</f>
        <v>-0.11995332344292786</v>
      </c>
      <c r="F31" s="136">
        <f>Q31/20</f>
        <v>5783271.9000000004</v>
      </c>
      <c r="G31" s="190">
        <f t="shared" si="2"/>
        <v>-4.6956046900876625E-2</v>
      </c>
      <c r="H31" s="190">
        <f t="shared" si="3"/>
        <v>-0.16959586211814526</v>
      </c>
      <c r="I31" s="130">
        <f t="shared" si="0"/>
        <v>14.992455251909645</v>
      </c>
      <c r="J31" s="130">
        <f t="shared" si="4"/>
        <v>-3.3493089828238398E-2</v>
      </c>
      <c r="K31" s="136">
        <f>R29+R30+R31</f>
        <v>440316220439</v>
      </c>
      <c r="L31" s="190">
        <f>U31/U28-1</f>
        <v>0.14150526140954156</v>
      </c>
      <c r="M31" s="190">
        <f>U31/U19-1</f>
        <v>-0.1435001555222708</v>
      </c>
      <c r="N31" s="191">
        <f>AVERAGE(T29:T31)</f>
        <v>16.28988005635701</v>
      </c>
      <c r="O31" s="192">
        <f>N31/N28-1</f>
        <v>-0.16728373168330113</v>
      </c>
      <c r="P31" s="129" t="s">
        <v>505</v>
      </c>
      <c r="Q31" s="116">
        <v>115665438</v>
      </c>
      <c r="R31" s="116">
        <v>153693639809</v>
      </c>
      <c r="S31" s="116">
        <v>7714909.6699999999</v>
      </c>
      <c r="T31" s="130">
        <f t="shared" si="1"/>
        <v>14.992455251909645</v>
      </c>
      <c r="U31" s="85">
        <f>Q29+Q30+Q31</f>
        <v>332114641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4969794.7142857146</v>
      </c>
      <c r="G32" s="190">
        <f t="shared" si="2"/>
        <v>-0.1406603735360058</v>
      </c>
      <c r="H32" s="190">
        <f t="shared" si="3"/>
        <v>-0.33886157273599482</v>
      </c>
      <c r="I32" s="130">
        <f t="shared" si="0"/>
        <v>18.543368029217923</v>
      </c>
      <c r="J32" s="130">
        <f t="shared" si="4"/>
        <v>0.37483371778497809</v>
      </c>
      <c r="K32" s="136"/>
      <c r="L32" s="190"/>
      <c r="M32" s="190"/>
      <c r="N32" s="191"/>
      <c r="O32" s="192"/>
      <c r="P32" s="129" t="s">
        <v>561</v>
      </c>
      <c r="Q32" s="116">
        <v>104365689</v>
      </c>
      <c r="R32" s="116">
        <v>142114253461</v>
      </c>
      <c r="S32" s="116">
        <v>5628194.8799999999</v>
      </c>
      <c r="T32" s="130">
        <f t="shared" si="1"/>
        <v>18.543368029217923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4118557.6190476189</v>
      </c>
      <c r="G33" s="190">
        <f t="shared" si="2"/>
        <v>-0.17128214426869737</v>
      </c>
      <c r="H33" s="190">
        <f t="shared" si="3"/>
        <v>-0.25302987480284456</v>
      </c>
      <c r="I33" s="130">
        <f t="shared" si="0"/>
        <v>15.841540181645509</v>
      </c>
      <c r="J33" s="130">
        <f t="shared" si="4"/>
        <v>-7.4580543595238025E-2</v>
      </c>
      <c r="K33" s="136"/>
      <c r="L33" s="190"/>
      <c r="M33" s="190"/>
      <c r="N33" s="191"/>
      <c r="O33" s="192"/>
      <c r="P33" s="129" t="s">
        <v>606</v>
      </c>
      <c r="Q33" s="116">
        <v>86489710</v>
      </c>
      <c r="R33" s="116">
        <v>118385433355</v>
      </c>
      <c r="S33" s="116">
        <v>5459678.0999999996</v>
      </c>
      <c r="T33" s="130">
        <f t="shared" si="1"/>
        <v>15.841540181645509</v>
      </c>
      <c r="U33" s="85"/>
    </row>
    <row r="34" spans="1:21" s="79" customFormat="1" ht="13.2" hidden="1">
      <c r="A34" s="129" t="s">
        <v>652</v>
      </c>
      <c r="B34" s="188">
        <f>SUM(F32:F34)</f>
        <v>15429537.122807018</v>
      </c>
      <c r="C34" s="188">
        <f>AVERAGE(F32:F34)</f>
        <v>5143179.0409356728</v>
      </c>
      <c r="D34" s="190">
        <f>C34/C31-1</f>
        <v>-6.1997459670708688E-2</v>
      </c>
      <c r="E34" s="287">
        <f>C34/C22-1</f>
        <v>-0.18523072356632875</v>
      </c>
      <c r="F34" s="136">
        <f>Q34/19</f>
        <v>6341184.7894736845</v>
      </c>
      <c r="G34" s="190">
        <f t="shared" si="2"/>
        <v>0.53966154562140844</v>
      </c>
      <c r="H34" s="190">
        <f t="shared" si="3"/>
        <v>7.3576496906287536E-2</v>
      </c>
      <c r="I34" s="130">
        <f t="shared" si="0"/>
        <v>15.36395276824037</v>
      </c>
      <c r="J34" s="130">
        <f t="shared" si="4"/>
        <v>4.7544995246706412E-2</v>
      </c>
      <c r="K34" s="136">
        <f>R32+R33+R34</f>
        <v>426219823011</v>
      </c>
      <c r="L34" s="190">
        <f>U34/U31-1</f>
        <v>-6.2558913203709099E-2</v>
      </c>
      <c r="M34" s="190">
        <f>U34/U22-1</f>
        <v>-0.20203823674722299</v>
      </c>
      <c r="N34" s="191">
        <f>AVERAGE(T32:T34)</f>
        <v>16.582953659701264</v>
      </c>
      <c r="O34" s="192">
        <f>N34/N31-1</f>
        <v>1.7991145565856126E-2</v>
      </c>
      <c r="P34" s="129" t="s">
        <v>652</v>
      </c>
      <c r="Q34" s="116">
        <v>120482511</v>
      </c>
      <c r="R34" s="116">
        <v>165720136195</v>
      </c>
      <c r="S34" s="116">
        <v>7841895.4299999997</v>
      </c>
      <c r="T34" s="130">
        <f t="shared" si="1"/>
        <v>15.36395276824037</v>
      </c>
      <c r="U34" s="85">
        <f>Q32+Q33+Q34</f>
        <v>311337910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6596941.1304347822</v>
      </c>
      <c r="G35" s="190">
        <f t="shared" si="2"/>
        <v>4.0332579707446969E-2</v>
      </c>
      <c r="H35" s="190">
        <f t="shared" si="3"/>
        <v>0.31035446767289043</v>
      </c>
      <c r="I35" s="130">
        <f t="shared" si="0"/>
        <v>13.774470440596524</v>
      </c>
      <c r="J35" s="130">
        <f t="shared" si="4"/>
        <v>-0.14391336723142267</v>
      </c>
      <c r="K35" s="136"/>
      <c r="L35" s="190"/>
      <c r="M35" s="190"/>
      <c r="N35" s="191"/>
      <c r="O35" s="192"/>
      <c r="P35" s="129" t="s">
        <v>659</v>
      </c>
      <c r="Q35" s="116">
        <v>151729646</v>
      </c>
      <c r="R35" s="116">
        <v>209999281469</v>
      </c>
      <c r="S35" s="116">
        <v>11015279.800000001</v>
      </c>
      <c r="T35" s="130">
        <f t="shared" si="1"/>
        <v>13.774470440596524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5036411.6190476194</v>
      </c>
      <c r="G36" s="190">
        <f t="shared" si="2"/>
        <v>-0.23655349964966466</v>
      </c>
      <c r="H36" s="190">
        <f t="shared" si="3"/>
        <v>0.25147485266619118</v>
      </c>
      <c r="I36" s="130">
        <f t="shared" si="0"/>
        <v>15.746486763331975</v>
      </c>
      <c r="J36" s="130">
        <f t="shared" si="4"/>
        <v>-7.3265738047653683E-2</v>
      </c>
      <c r="K36" s="136"/>
      <c r="L36" s="190"/>
      <c r="M36" s="190"/>
      <c r="N36" s="191"/>
      <c r="O36" s="192"/>
      <c r="P36" s="129" t="s">
        <v>664</v>
      </c>
      <c r="Q36" s="116">
        <v>105764644</v>
      </c>
      <c r="R36" s="116">
        <v>144518888647</v>
      </c>
      <c r="S36" s="116">
        <v>6716713.7400000002</v>
      </c>
      <c r="T36" s="130">
        <f t="shared" si="1"/>
        <v>15.746486763331975</v>
      </c>
      <c r="U36" s="85"/>
    </row>
    <row r="37" spans="1:21" s="79" customFormat="1" ht="13.2" hidden="1">
      <c r="A37" s="129" t="s">
        <v>702</v>
      </c>
      <c r="B37" s="188">
        <f>SUM(F35:F37)</f>
        <v>15972254.027260179</v>
      </c>
      <c r="C37" s="188">
        <f>AVERAGE(F35:F37)</f>
        <v>5324084.6757533932</v>
      </c>
      <c r="D37" s="190">
        <f>C37/C34-1</f>
        <v>3.5173894079489232E-2</v>
      </c>
      <c r="E37" s="287">
        <f>C37/C25-1</f>
        <v>0.19803280368286402</v>
      </c>
      <c r="F37" s="136">
        <f>Q37/18</f>
        <v>4338901.277777778</v>
      </c>
      <c r="G37" s="190">
        <f t="shared" si="2"/>
        <v>-0.13849351364210771</v>
      </c>
      <c r="H37" s="190">
        <f t="shared" si="3"/>
        <v>1.5371466928280508E-2</v>
      </c>
      <c r="I37" s="130">
        <f t="shared" si="0"/>
        <v>18.962060972121733</v>
      </c>
      <c r="J37" s="130">
        <f t="shared" si="4"/>
        <v>0.13349822372402831</v>
      </c>
      <c r="K37" s="136">
        <f>R35+R36+R37</f>
        <v>458762666778</v>
      </c>
      <c r="L37" s="190">
        <f>U37/U34-1</f>
        <v>7.7910855764400821E-2</v>
      </c>
      <c r="M37" s="190">
        <f>U37/U25-1</f>
        <v>0.21834398685351952</v>
      </c>
      <c r="N37" s="191">
        <f>AVERAGE(T35:T37)</f>
        <v>16.161006058683409</v>
      </c>
      <c r="O37" s="192">
        <f>N37/N34-1</f>
        <v>-2.5444658996017222E-2</v>
      </c>
      <c r="P37" s="129" t="s">
        <v>702</v>
      </c>
      <c r="Q37" s="116">
        <v>78100223</v>
      </c>
      <c r="R37" s="116">
        <v>104244496662</v>
      </c>
      <c r="S37" s="116">
        <v>4118762.36</v>
      </c>
      <c r="T37" s="130">
        <f t="shared" si="1"/>
        <v>18.962060972121733</v>
      </c>
      <c r="U37" s="85">
        <f>Q35+Q36+Q37</f>
        <v>335594513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4792771.95</v>
      </c>
      <c r="G38" s="190">
        <f t="shared" si="2"/>
        <v>0.10460497788847545</v>
      </c>
      <c r="H38" s="190">
        <f t="shared" si="3"/>
        <v>0.40591279171179862</v>
      </c>
      <c r="I38" s="130">
        <f t="shared" si="0"/>
        <v>15.728916761905172</v>
      </c>
      <c r="J38" s="130">
        <f t="shared" si="4"/>
        <v>-0.32712121309872588</v>
      </c>
      <c r="K38" s="136"/>
      <c r="L38" s="190"/>
      <c r="M38" s="190"/>
      <c r="N38" s="191"/>
      <c r="O38" s="192"/>
      <c r="P38" s="129" t="s">
        <v>725</v>
      </c>
      <c r="Q38" s="116">
        <v>95855439</v>
      </c>
      <c r="R38" s="116">
        <v>129000971268</v>
      </c>
      <c r="S38" s="116">
        <v>6094217.4500000002</v>
      </c>
      <c r="T38" s="130">
        <f t="shared" si="1"/>
        <v>15.728916761905172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3851181.0476190476</v>
      </c>
      <c r="G39" s="190">
        <f t="shared" si="2"/>
        <v>-0.19646061031152395</v>
      </c>
      <c r="H39" s="190">
        <f t="shared" si="3"/>
        <v>-0.15536096619623785</v>
      </c>
      <c r="I39" s="130">
        <f t="shared" si="0"/>
        <v>14.72181449244342</v>
      </c>
      <c r="J39" s="130">
        <f t="shared" si="4"/>
        <v>-0.227120302603671</v>
      </c>
      <c r="K39" s="136"/>
      <c r="L39" s="190"/>
      <c r="M39" s="190"/>
      <c r="N39" s="191"/>
      <c r="O39" s="192"/>
      <c r="P39" s="129" t="s">
        <v>762</v>
      </c>
      <c r="Q39" s="116">
        <v>80874802</v>
      </c>
      <c r="R39" s="116">
        <v>112438394318</v>
      </c>
      <c r="S39" s="116">
        <v>5493534.9199999999</v>
      </c>
      <c r="T39" s="130">
        <f t="shared" si="1"/>
        <v>14.72181449244342</v>
      </c>
      <c r="U39" s="85"/>
    </row>
    <row r="40" spans="1:21" s="79" customFormat="1" ht="13.2" hidden="1">
      <c r="A40" s="129" t="s">
        <v>777</v>
      </c>
      <c r="B40" s="188">
        <f>SUM(F38:F40)</f>
        <v>12610124.330952382</v>
      </c>
      <c r="C40" s="188">
        <f>AVERAGE(F38:F40)</f>
        <v>4203374.7769841272</v>
      </c>
      <c r="D40" s="190">
        <f>C40/C37-1</f>
        <v>-0.21049813574023934</v>
      </c>
      <c r="E40" s="287">
        <f>C40/C28-1</f>
        <v>-0.13587478639197803</v>
      </c>
      <c r="F40" s="136">
        <f>Q40/21</f>
        <v>3966171.3333333335</v>
      </c>
      <c r="G40" s="190">
        <f t="shared" si="2"/>
        <v>2.985844713412722E-2</v>
      </c>
      <c r="H40" s="190">
        <f t="shared" si="3"/>
        <v>-0.40127543676280675</v>
      </c>
      <c r="I40" s="130">
        <f t="shared" si="0"/>
        <v>16.960999741091502</v>
      </c>
      <c r="J40" s="130">
        <f t="shared" si="4"/>
        <v>4.2889703794758205E-2</v>
      </c>
      <c r="K40" s="136">
        <f>R38+R39+R40</f>
        <v>359800538642</v>
      </c>
      <c r="L40" s="190">
        <f>U40/U37-1</f>
        <v>-0.22519639348215448</v>
      </c>
      <c r="M40" s="190">
        <f>U40/U28-1</f>
        <v>-0.10629048633432003</v>
      </c>
      <c r="N40" s="191">
        <f>AVERAGE(T38:T40)</f>
        <v>15.803910331813364</v>
      </c>
      <c r="O40" s="192">
        <f>N40/N37-1</f>
        <v>-2.2096132231704368E-2</v>
      </c>
      <c r="P40" s="129" t="s">
        <v>777</v>
      </c>
      <c r="Q40" s="116">
        <v>83289598</v>
      </c>
      <c r="R40" s="116">
        <v>118361173056</v>
      </c>
      <c r="S40" s="116">
        <v>4910653.8099999996</v>
      </c>
      <c r="T40" s="130">
        <f t="shared" si="1"/>
        <v>16.960999741091502</v>
      </c>
      <c r="U40" s="85">
        <f>Q38+Q39+Q40</f>
        <v>260019839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4448358</v>
      </c>
      <c r="G41" s="190">
        <f t="shared" si="2"/>
        <v>0.1215748453966603</v>
      </c>
      <c r="H41" s="190">
        <f t="shared" si="3"/>
        <v>-3.2518163144075518E-2</v>
      </c>
      <c r="I41" s="130">
        <f t="shared" si="0"/>
        <v>16.325105868805093</v>
      </c>
      <c r="J41" s="130">
        <f t="shared" si="4"/>
        <v>-5.8694962199528966E-2</v>
      </c>
      <c r="K41" s="193"/>
      <c r="L41" s="190"/>
      <c r="M41" s="190"/>
      <c r="N41" s="193"/>
      <c r="O41" s="193"/>
      <c r="P41" s="129" t="s">
        <v>787</v>
      </c>
      <c r="Q41" s="116">
        <v>80070444</v>
      </c>
      <c r="R41" s="116">
        <v>117134271447</v>
      </c>
      <c r="S41" s="116">
        <v>4904742.71</v>
      </c>
      <c r="T41" s="130">
        <f t="shared" si="1"/>
        <v>16.325105868805093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4629865.3</v>
      </c>
      <c r="G42" s="190">
        <f t="shared" si="2"/>
        <v>4.0803213230589774E-2</v>
      </c>
      <c r="H42" s="190">
        <f t="shared" si="3"/>
        <v>-0.23702962542216666</v>
      </c>
      <c r="I42" s="130">
        <f t="shared" si="0"/>
        <v>17.679839403427746</v>
      </c>
      <c r="J42" s="130">
        <f t="shared" si="4"/>
        <v>6.9293662916250609E-2</v>
      </c>
      <c r="K42" s="193"/>
      <c r="L42" s="190"/>
      <c r="M42" s="190"/>
      <c r="N42" s="193"/>
      <c r="O42" s="193"/>
      <c r="P42" s="129" t="s">
        <v>826</v>
      </c>
      <c r="Q42" s="116">
        <v>92597306</v>
      </c>
      <c r="R42" s="116">
        <v>133916308315</v>
      </c>
      <c r="S42" s="116">
        <v>5237451.76</v>
      </c>
      <c r="T42" s="130">
        <f t="shared" si="1"/>
        <v>17.679839403427746</v>
      </c>
      <c r="U42" s="78"/>
    </row>
    <row r="43" spans="1:21" s="79" customFormat="1" ht="13.2">
      <c r="A43" s="129" t="s">
        <v>834</v>
      </c>
      <c r="B43" s="188">
        <f>SUM(F41:F43)</f>
        <v>13682515.200000001</v>
      </c>
      <c r="C43" s="188">
        <f>AVERAGE(F41:F43)</f>
        <v>4560838.4000000004</v>
      </c>
      <c r="D43" s="190">
        <f>C43/C40-1</f>
        <v>8.5042053583513466E-2</v>
      </c>
      <c r="E43" s="287">
        <f>C43/C31-1</f>
        <v>-0.16820356219738142</v>
      </c>
      <c r="F43" s="136">
        <f>Q43/20</f>
        <v>4604291.9000000004</v>
      </c>
      <c r="G43" s="190">
        <f t="shared" si="2"/>
        <v>-5.5235732236096347E-3</v>
      </c>
      <c r="H43" s="190">
        <f t="shared" si="3"/>
        <v>-0.20386037875895135</v>
      </c>
      <c r="I43" s="130">
        <f t="shared" si="0"/>
        <v>16.511800323221671</v>
      </c>
      <c r="J43" s="130">
        <f t="shared" si="4"/>
        <v>0.10134064406285304</v>
      </c>
      <c r="K43" s="136">
        <f>R41+R42+R43</f>
        <v>384630839976</v>
      </c>
      <c r="L43" s="190">
        <f>U43/U40-1</f>
        <v>1.8205337785783371E-2</v>
      </c>
      <c r="M43" s="190">
        <f>K43/K31-1</f>
        <v>-0.12646679335928412</v>
      </c>
      <c r="N43" s="191">
        <f>AVERAGE(T41:T43)</f>
        <v>16.838915198484838</v>
      </c>
      <c r="O43" s="192">
        <f>N43/N40-1</f>
        <v>6.5490428947069024E-2</v>
      </c>
      <c r="P43" s="129" t="s">
        <v>834</v>
      </c>
      <c r="Q43" s="116">
        <v>92085838</v>
      </c>
      <c r="R43" s="116">
        <v>133580260214</v>
      </c>
      <c r="S43" s="116">
        <v>5576971.3899999997</v>
      </c>
      <c r="T43" s="130">
        <f t="shared" si="1"/>
        <v>16.511800323221671</v>
      </c>
      <c r="U43" s="85">
        <f>Q41+Q42+Q43</f>
        <v>264753588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5147814.5909090908</v>
      </c>
      <c r="G44" s="190">
        <f t="shared" si="2"/>
        <v>0.11804696633353995</v>
      </c>
      <c r="H44" s="190">
        <f t="shared" si="3"/>
        <v>3.5820368215945919E-2</v>
      </c>
      <c r="I44" s="130">
        <f t="shared" si="0"/>
        <v>14.424194263592314</v>
      </c>
      <c r="J44" s="130">
        <f t="shared" si="4"/>
        <v>-0.22213730316602776</v>
      </c>
      <c r="K44" s="136"/>
      <c r="L44" s="190"/>
      <c r="M44" s="190"/>
      <c r="N44" s="191"/>
      <c r="O44" s="192"/>
      <c r="P44" s="129" t="s">
        <v>838</v>
      </c>
      <c r="Q44" s="116">
        <v>113251921</v>
      </c>
      <c r="R44" s="116">
        <v>164131934827</v>
      </c>
      <c r="S44" s="116">
        <v>7851524.9400000004</v>
      </c>
      <c r="T44" s="130">
        <f t="shared" si="1"/>
        <v>14.424194263592314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3883653.1</v>
      </c>
      <c r="G45" s="190">
        <f t="shared" si="2"/>
        <v>-0.24557245964949237</v>
      </c>
      <c r="H45" s="190">
        <f t="shared" si="3"/>
        <v>-5.7035627706463532E-2</v>
      </c>
      <c r="I45" s="130">
        <f t="shared" si="0"/>
        <v>19.505423044697348</v>
      </c>
      <c r="J45" s="130">
        <f t="shared" si="4"/>
        <v>0.23128324778022069</v>
      </c>
      <c r="K45" s="136"/>
      <c r="L45" s="190"/>
      <c r="M45" s="190"/>
      <c r="N45" s="191"/>
      <c r="O45" s="192"/>
      <c r="P45" s="129" t="s">
        <v>847</v>
      </c>
      <c r="Q45" s="116">
        <v>77673062</v>
      </c>
      <c r="R45" s="116">
        <v>109199680368</v>
      </c>
      <c r="S45" s="116">
        <v>3982126.5</v>
      </c>
      <c r="T45" s="130">
        <f t="shared" si="1"/>
        <v>19.505423044697348</v>
      </c>
      <c r="U45" s="85"/>
    </row>
    <row r="46" spans="1:21" s="79" customFormat="1" ht="13.2">
      <c r="A46" s="129" t="s">
        <v>888</v>
      </c>
      <c r="B46" s="188">
        <f>SUM(F44:F46)</f>
        <v>14700679.585645933</v>
      </c>
      <c r="C46" s="188">
        <f>AVERAGE(F44:F46)</f>
        <v>4900226.5285486439</v>
      </c>
      <c r="D46" s="190">
        <f>C46/C43-1</f>
        <v>7.4413539525680861E-2</v>
      </c>
      <c r="E46" s="287">
        <f>C46/C34-1</f>
        <v>-4.7237809621892834E-2</v>
      </c>
      <c r="F46" s="136">
        <f>Q46/19</f>
        <v>5669211.8947368423</v>
      </c>
      <c r="G46" s="190">
        <f t="shared" si="2"/>
        <v>0.45976268960192201</v>
      </c>
      <c r="H46" s="190">
        <f t="shared" si="3"/>
        <v>-0.10596961246931513</v>
      </c>
      <c r="I46" s="130">
        <f t="shared" si="0"/>
        <v>15.82025797857797</v>
      </c>
      <c r="J46" s="130">
        <f t="shared" si="4"/>
        <v>2.969972748685179E-2</v>
      </c>
      <c r="K46" s="136">
        <f>R44+R45+R46</f>
        <v>420889872602</v>
      </c>
      <c r="L46" s="190">
        <f>U46/U43-1</f>
        <v>0.12799230127902939</v>
      </c>
      <c r="M46" s="190">
        <f>K46/K34-1</f>
        <v>-1.2505167806008965E-2</v>
      </c>
      <c r="N46" s="191">
        <f>AVERAGE(T44:T46)</f>
        <v>16.58329176228921</v>
      </c>
      <c r="O46" s="192">
        <f>N46/N43-1</f>
        <v>-1.5180516867180804E-2</v>
      </c>
      <c r="P46" s="129" t="s">
        <v>888</v>
      </c>
      <c r="Q46" s="116">
        <v>107715026</v>
      </c>
      <c r="R46" s="116">
        <v>147558257407</v>
      </c>
      <c r="S46" s="116">
        <v>6808676.96</v>
      </c>
      <c r="T46" s="130">
        <f t="shared" si="1"/>
        <v>15.82025797857797</v>
      </c>
      <c r="U46" s="85">
        <f t="shared" ref="U46:U56" si="5">Q44+Q45+Q46</f>
        <v>298640009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5478790.0869565215</v>
      </c>
      <c r="G47" s="190">
        <f t="shared" si="2"/>
        <v>-3.3588761774295928E-2</v>
      </c>
      <c r="H47" s="190">
        <f t="shared" si="3"/>
        <v>-0.16949537996022213</v>
      </c>
      <c r="I47" s="130">
        <f t="shared" si="0"/>
        <v>16.026425052694439</v>
      </c>
      <c r="J47" s="130">
        <f t="shared" si="4"/>
        <v>0.16348756359161998</v>
      </c>
      <c r="K47" s="136"/>
      <c r="L47" s="190"/>
      <c r="M47" s="190"/>
      <c r="N47" s="191"/>
      <c r="O47" s="192"/>
      <c r="P47" s="129" t="s">
        <v>989</v>
      </c>
      <c r="Q47" s="116">
        <v>126012172</v>
      </c>
      <c r="R47" s="116">
        <v>172655835666</v>
      </c>
      <c r="S47" s="116">
        <v>7862774.8600000003</v>
      </c>
      <c r="T47" s="130">
        <f t="shared" si="1"/>
        <v>16.026425052694439</v>
      </c>
      <c r="U47" s="85">
        <f t="shared" si="5"/>
        <v>311400260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3585856.1</v>
      </c>
      <c r="G48" s="190">
        <f t="shared" si="2"/>
        <v>-0.34550219243899705</v>
      </c>
      <c r="H48" s="190">
        <f t="shared" si="3"/>
        <v>-0.28801369482225081</v>
      </c>
      <c r="I48" s="130">
        <f t="shared" si="0"/>
        <v>17.539573967879868</v>
      </c>
      <c r="J48" s="130">
        <f t="shared" si="4"/>
        <v>0.11387220727377501</v>
      </c>
      <c r="K48" s="136"/>
      <c r="L48" s="190"/>
      <c r="M48" s="190"/>
      <c r="N48" s="191"/>
      <c r="O48" s="192"/>
      <c r="P48" s="129" t="s">
        <v>1067</v>
      </c>
      <c r="Q48" s="116">
        <v>71717122</v>
      </c>
      <c r="R48" s="116">
        <v>99543798560</v>
      </c>
      <c r="S48" s="116">
        <v>4088874.8</v>
      </c>
      <c r="T48" s="130">
        <f t="shared" si="1"/>
        <v>17.539573967879868</v>
      </c>
      <c r="U48" s="85">
        <f t="shared" si="5"/>
        <v>305444320</v>
      </c>
    </row>
    <row r="49" spans="1:26" ht="13.2">
      <c r="A49" s="129" t="s">
        <v>1157</v>
      </c>
      <c r="B49" s="188">
        <f>SUM(F47:F49)</f>
        <v>13071511.868774703</v>
      </c>
      <c r="C49" s="188">
        <f>AVERAGE(F47:F49)</f>
        <v>4357170.6229249006</v>
      </c>
      <c r="D49" s="190">
        <f>C49/C46-1</f>
        <v>-0.11082261247717995</v>
      </c>
      <c r="E49" s="287">
        <f>C49/C37-1</f>
        <v>-0.18161132132851887</v>
      </c>
      <c r="F49" s="136">
        <f>Q49/22</f>
        <v>4006865.6818181816</v>
      </c>
      <c r="G49" s="190">
        <f t="shared" si="2"/>
        <v>0.11740838730761705</v>
      </c>
      <c r="H49" s="190">
        <f t="shared" si="3"/>
        <v>-7.6525270962065406E-2</v>
      </c>
      <c r="I49" s="130">
        <f t="shared" si="0"/>
        <v>15.760188329640046</v>
      </c>
      <c r="J49" s="130">
        <f t="shared" si="4"/>
        <v>-0.16885678445972307</v>
      </c>
      <c r="K49" s="136">
        <f>R47+R48+R49</f>
        <v>394742683477</v>
      </c>
      <c r="L49" s="190">
        <f>U49/U46-1</f>
        <v>-4.2725922902044911E-2</v>
      </c>
      <c r="M49" s="190">
        <f>K49/K37-1</f>
        <v>-0.13954924394922474</v>
      </c>
      <c r="N49" s="191">
        <f>AVERAGE(T47:T49)</f>
        <v>16.44206245007145</v>
      </c>
      <c r="O49" s="192">
        <f>N49/N46-1</f>
        <v>-8.5163617840288142E-3</v>
      </c>
      <c r="P49" s="129" t="s">
        <v>1157</v>
      </c>
      <c r="Q49" s="116">
        <v>88151045</v>
      </c>
      <c r="R49" s="116">
        <v>122543049251</v>
      </c>
      <c r="S49" s="116">
        <v>5593273.5800000001</v>
      </c>
      <c r="T49" s="130">
        <f t="shared" si="1"/>
        <v>15.760188329640046</v>
      </c>
      <c r="U49" s="85">
        <f t="shared" si="5"/>
        <v>285880339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5543998.111111111</v>
      </c>
      <c r="G50" s="190">
        <f t="shared" si="2"/>
        <v>0.3836246461337407</v>
      </c>
      <c r="H50" s="190">
        <f t="shared" si="3"/>
        <v>0.15674147840710662</v>
      </c>
      <c r="I50" s="130">
        <f t="shared" si="0"/>
        <v>16.650560679773985</v>
      </c>
      <c r="J50" s="130">
        <f t="shared" si="4"/>
        <v>5.8595511173471282E-2</v>
      </c>
      <c r="K50" s="136"/>
      <c r="L50" s="190"/>
      <c r="M50" s="190"/>
      <c r="N50" s="191"/>
      <c r="O50" s="192"/>
      <c r="P50" s="129" t="s">
        <v>1291</v>
      </c>
      <c r="Q50" s="116">
        <v>99791966</v>
      </c>
      <c r="R50" s="116">
        <v>141386616962</v>
      </c>
      <c r="S50" s="116">
        <v>5993309.6500000004</v>
      </c>
      <c r="T50" s="130">
        <f t="shared" si="1"/>
        <v>16.650560679773985</v>
      </c>
      <c r="U50" s="85">
        <f t="shared" si="5"/>
        <v>259660133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4657812.1500000004</v>
      </c>
      <c r="G51" s="190">
        <f t="shared" si="2"/>
        <v>-0.15984600704229024</v>
      </c>
      <c r="H51" s="190">
        <f t="shared" si="3"/>
        <v>0.20945031989073692</v>
      </c>
      <c r="I51" s="130">
        <f t="shared" si="0"/>
        <v>17.69257360148681</v>
      </c>
      <c r="J51" s="130">
        <f t="shared" si="4"/>
        <v>0.20179299980775167</v>
      </c>
      <c r="K51" s="136"/>
      <c r="L51" s="190"/>
      <c r="M51" s="190"/>
      <c r="N51" s="191"/>
      <c r="O51" s="192"/>
      <c r="P51" s="129" t="s">
        <v>1402</v>
      </c>
      <c r="Q51" s="116">
        <v>93156243</v>
      </c>
      <c r="R51" s="116">
        <v>135067904379</v>
      </c>
      <c r="S51" s="116">
        <v>5265273.7300000004</v>
      </c>
      <c r="T51" s="130">
        <f t="shared" si="1"/>
        <v>17.69257360148681</v>
      </c>
      <c r="U51" s="85">
        <f t="shared" si="5"/>
        <v>281099254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16750806.033838384</v>
      </c>
      <c r="C52" s="188">
        <f>AVERAGE(F50:F52)</f>
        <v>5583602.011279461</v>
      </c>
      <c r="D52" s="190">
        <f>C52/C49-1</f>
        <v>0.28147426265608955</v>
      </c>
      <c r="E52" s="287">
        <f>C52/C40-1</f>
        <v>0.32836168734057791</v>
      </c>
      <c r="F52" s="136">
        <f>Q52/22</f>
        <v>6548995.7727272725</v>
      </c>
      <c r="G52" s="190">
        <f t="shared" si="2"/>
        <v>0.40602402197075982</v>
      </c>
      <c r="H52" s="190">
        <f t="shared" si="3"/>
        <v>0.65121353121758041</v>
      </c>
      <c r="I52" s="130">
        <f t="shared" si="0"/>
        <v>13.8351166097135</v>
      </c>
      <c r="J52" s="130">
        <f t="shared" si="4"/>
        <v>-0.18429828306670559</v>
      </c>
      <c r="K52" s="136">
        <f>R50+R51+R52</f>
        <v>488448461437</v>
      </c>
      <c r="L52" s="190">
        <f>U52/U49-1</f>
        <v>0.17890624160761193</v>
      </c>
      <c r="M52" s="190">
        <f>K52/K40-1</f>
        <v>0.35755344691966706</v>
      </c>
      <c r="N52" s="191">
        <f>AVERAGE(T50:T52)</f>
        <v>16.059416963658098</v>
      </c>
      <c r="O52" s="192">
        <f>N52/N49-1</f>
        <v>-2.3272353305755167E-2</v>
      </c>
      <c r="P52" s="129" t="s">
        <v>1403</v>
      </c>
      <c r="Q52" s="116">
        <v>144077907</v>
      </c>
      <c r="R52" s="116">
        <v>211993940096</v>
      </c>
      <c r="S52" s="116">
        <v>10413927.91</v>
      </c>
      <c r="T52" s="130">
        <f t="shared" si="1"/>
        <v>13.8351166097135</v>
      </c>
      <c r="U52" s="85">
        <f t="shared" si="5"/>
        <v>337026116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4314587.7619047621</v>
      </c>
      <c r="G53" s="190">
        <f t="shared" si="2"/>
        <v>-0.34118330326727486</v>
      </c>
      <c r="H53" s="190">
        <f t="shared" si="3"/>
        <v>-3.0071823826957722E-2</v>
      </c>
      <c r="I53" s="130">
        <f t="shared" si="0"/>
        <v>18.706234089562283</v>
      </c>
      <c r="J53" s="130">
        <f t="shared" si="4"/>
        <v>0.14585683179593834</v>
      </c>
      <c r="K53" s="136"/>
      <c r="L53" s="190"/>
      <c r="M53" s="190"/>
      <c r="N53" s="191"/>
      <c r="O53" s="192"/>
      <c r="P53" s="129" t="s">
        <v>1414</v>
      </c>
      <c r="Q53" s="116">
        <v>90606343</v>
      </c>
      <c r="R53" s="116">
        <v>132095252016</v>
      </c>
      <c r="S53" s="116">
        <v>4843644.24</v>
      </c>
      <c r="T53" s="130">
        <f t="shared" si="1"/>
        <v>18.706234089562283</v>
      </c>
      <c r="U53" s="85">
        <f t="shared" si="5"/>
        <v>327840493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6044079.7647058824</v>
      </c>
      <c r="G54" s="190">
        <f t="shared" si="2"/>
        <v>0.40084756603435068</v>
      </c>
      <c r="H54" s="190">
        <f t="shared" si="3"/>
        <v>0.30545477526222697</v>
      </c>
      <c r="I54" s="130">
        <f t="shared" si="0"/>
        <v>15.531451290759817</v>
      </c>
      <c r="J54" s="130">
        <f t="shared" si="4"/>
        <v>-0.12151626853869513</v>
      </c>
      <c r="K54" s="136"/>
      <c r="L54" s="190"/>
      <c r="M54" s="190"/>
      <c r="N54" s="191"/>
      <c r="O54" s="192"/>
      <c r="P54" s="129" t="s">
        <v>1417</v>
      </c>
      <c r="Q54" s="116">
        <v>102749356</v>
      </c>
      <c r="R54" s="116">
        <v>148781258207</v>
      </c>
      <c r="S54" s="116">
        <v>6615566.96</v>
      </c>
      <c r="T54" s="130">
        <f t="shared" si="1"/>
        <v>15.531451290759817</v>
      </c>
      <c r="U54" s="85">
        <f t="shared" si="5"/>
        <v>337433606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15977996.050420169</v>
      </c>
      <c r="C55" s="188">
        <f>AVERAGE(F53:F55)</f>
        <v>5325998.6834733896</v>
      </c>
      <c r="D55" s="190">
        <f>C55/C52-1</f>
        <v>-4.6135689342772901E-2</v>
      </c>
      <c r="E55" s="287">
        <f>C55/C43-1</f>
        <v>0.16776746211253379</v>
      </c>
      <c r="F55" s="136">
        <f>Q55/21</f>
        <v>5619328.5238095243</v>
      </c>
      <c r="G55" s="190">
        <f t="shared" si="2"/>
        <v>-7.0275584941263181E-2</v>
      </c>
      <c r="H55" s="190">
        <f t="shared" si="3"/>
        <v>0.22045444681939563</v>
      </c>
      <c r="I55" s="130">
        <f>T55</f>
        <v>14.546287862644604</v>
      </c>
      <c r="J55" s="130">
        <f t="shared" si="4"/>
        <v>-0.11903683560252554</v>
      </c>
      <c r="K55" s="136">
        <f>R53+R54+R55</f>
        <v>454281457177</v>
      </c>
      <c r="L55" s="190">
        <f>U55/U52-1</f>
        <v>-7.6149938481325341E-2</v>
      </c>
      <c r="M55" s="190">
        <f>K55/K43-1</f>
        <v>0.18108432804126173</v>
      </c>
      <c r="N55" s="191">
        <f>AVERAGE(T53:T55)</f>
        <v>16.261324414322235</v>
      </c>
      <c r="O55" s="192">
        <f>N55/N52-1</f>
        <v>1.2572526830896047E-2</v>
      </c>
      <c r="P55" s="129" t="s">
        <v>1418</v>
      </c>
      <c r="Q55" s="116">
        <v>118005899</v>
      </c>
      <c r="R55" s="116">
        <v>173404946954</v>
      </c>
      <c r="S55" s="116">
        <v>8112440.79</v>
      </c>
      <c r="T55" s="130">
        <f t="shared" si="1"/>
        <v>14.546287862644604</v>
      </c>
      <c r="U55" s="85">
        <f t="shared" si="5"/>
        <v>311361598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6027084.6818181816</v>
      </c>
      <c r="G56" s="190">
        <f t="shared" si="2"/>
        <v>7.2563146340521634E-2</v>
      </c>
      <c r="H56" s="190">
        <f t="shared" si="3"/>
        <v>0.17080453761133119</v>
      </c>
      <c r="I56" s="291">
        <f>T56</f>
        <v>16.464859511078053</v>
      </c>
      <c r="J56" s="130">
        <f t="shared" si="4"/>
        <v>0.14147516389435499</v>
      </c>
      <c r="K56" s="136"/>
      <c r="L56" s="190"/>
      <c r="M56" s="190"/>
      <c r="N56" s="191"/>
      <c r="O56" s="192"/>
      <c r="P56" s="129" t="s">
        <v>1420</v>
      </c>
      <c r="Q56" s="116">
        <v>132595863</v>
      </c>
      <c r="R56" s="116">
        <v>197853258072</v>
      </c>
      <c r="S56" s="116">
        <v>8053264.1600000001</v>
      </c>
      <c r="T56" s="130">
        <f t="shared" si="1"/>
        <v>16.464859511078053</v>
      </c>
      <c r="U56" s="85">
        <f t="shared" si="5"/>
        <v>353351118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7124319.166666667</v>
      </c>
      <c r="G57" s="254">
        <f t="shared" ref="G57" si="6">F57/F56-1</f>
        <v>0.18205061696884672</v>
      </c>
      <c r="H57" s="254">
        <f t="shared" ref="H57" si="7">F57/F45-1</f>
        <v>0.83443757287865572</v>
      </c>
      <c r="I57" s="282">
        <f>T57</f>
        <v>15.968331358185733</v>
      </c>
      <c r="J57" s="277">
        <f t="shared" ref="J57" si="8">I57/I45-1</f>
        <v>-0.18133888603216908</v>
      </c>
      <c r="K57" s="204"/>
      <c r="L57" s="254"/>
      <c r="M57" s="254"/>
      <c r="N57" s="257"/>
      <c r="O57" s="258"/>
      <c r="P57" s="129" t="s">
        <v>1436</v>
      </c>
      <c r="Q57" s="116">
        <v>85491830</v>
      </c>
      <c r="R57" s="116">
        <v>126017961743</v>
      </c>
      <c r="S57" s="116">
        <v>5353836.17</v>
      </c>
      <c r="T57" s="130">
        <f t="shared" ref="T57" si="9">Q57/S57</f>
        <v>15.968331358185733</v>
      </c>
      <c r="U57" s="85">
        <f t="shared" ref="U57" si="10">Q55+Q56+Q57</f>
        <v>336093592</v>
      </c>
      <c r="V57" s="79"/>
      <c r="W57" s="79"/>
      <c r="X57" s="79"/>
      <c r="Y57" s="79"/>
      <c r="Z57" s="79"/>
    </row>
    <row r="58" spans="1:26">
      <c r="B58" s="196">
        <f>SUM(F56:F58)</f>
        <v>13151403.848484848</v>
      </c>
      <c r="C58" s="196">
        <f>AVERAGE(F56:F58)</f>
        <v>6575701.9242424238</v>
      </c>
      <c r="D58" s="197">
        <f>C58/C55-1</f>
        <v>0.2346420483818128</v>
      </c>
      <c r="E58" s="233">
        <f>C58/C46-1</f>
        <v>0.34191794724845592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529449291</v>
      </c>
      <c r="R65" s="212">
        <v>778152676992</v>
      </c>
      <c r="S65" s="213">
        <v>32978752.32</v>
      </c>
      <c r="T65" s="214">
        <v>1565</v>
      </c>
      <c r="U65" s="214">
        <v>4037</v>
      </c>
    </row>
    <row r="66" spans="16:21" ht="18" thickBot="1">
      <c r="P66" s="180" t="s">
        <v>976</v>
      </c>
      <c r="Q66" s="181">
        <v>90606343</v>
      </c>
      <c r="R66" s="181">
        <v>132095252016</v>
      </c>
      <c r="S66" s="182">
        <v>4843644.24</v>
      </c>
      <c r="T66" s="210">
        <v>787</v>
      </c>
      <c r="U66" s="210">
        <v>2031</v>
      </c>
    </row>
    <row r="67" spans="16:21" ht="18" thickBot="1">
      <c r="P67" s="180" t="s">
        <v>977</v>
      </c>
      <c r="Q67" s="181">
        <v>102749356</v>
      </c>
      <c r="R67" s="181">
        <v>148781258207</v>
      </c>
      <c r="S67" s="182">
        <v>6615566.96</v>
      </c>
      <c r="T67" s="210">
        <v>745</v>
      </c>
      <c r="U67" s="210">
        <v>1808</v>
      </c>
    </row>
    <row r="68" spans="16:21" ht="18" thickBot="1">
      <c r="P68" s="180" t="s">
        <v>978</v>
      </c>
      <c r="Q68" s="181">
        <v>118005899</v>
      </c>
      <c r="R68" s="181">
        <v>173404946954</v>
      </c>
      <c r="S68" s="182">
        <v>8112440.79</v>
      </c>
      <c r="T68" s="210">
        <v>825</v>
      </c>
      <c r="U68" s="210">
        <v>1971</v>
      </c>
    </row>
    <row r="69" spans="16:21" ht="18" thickBot="1">
      <c r="P69" s="180" t="s">
        <v>979</v>
      </c>
      <c r="Q69" s="181">
        <v>132595863</v>
      </c>
      <c r="R69" s="181">
        <v>197853258072</v>
      </c>
      <c r="S69" s="182">
        <v>8053264.1600000001</v>
      </c>
      <c r="T69" s="210">
        <v>861</v>
      </c>
      <c r="U69" s="210">
        <v>2094</v>
      </c>
    </row>
    <row r="70" spans="16:21" ht="18" thickBot="1">
      <c r="P70" s="180" t="s">
        <v>980</v>
      </c>
      <c r="Q70" s="181">
        <v>85491830</v>
      </c>
      <c r="R70" s="181">
        <v>126017961743</v>
      </c>
      <c r="S70" s="182">
        <v>5353836.17</v>
      </c>
      <c r="T70" s="210">
        <v>647</v>
      </c>
      <c r="U70" s="210">
        <v>1459</v>
      </c>
    </row>
    <row r="71" spans="16:21" ht="18" thickBot="1">
      <c r="P71" s="180" t="s">
        <v>975</v>
      </c>
      <c r="Q71" s="181">
        <v>1186300052</v>
      </c>
      <c r="R71" s="181">
        <v>1688711857492</v>
      </c>
      <c r="S71" s="182">
        <v>73578928.840000004</v>
      </c>
      <c r="T71" s="210">
        <v>2301</v>
      </c>
      <c r="U71" s="210">
        <v>8245</v>
      </c>
    </row>
    <row r="72" spans="16:21" ht="18" thickBot="1">
      <c r="P72" s="215" t="s">
        <v>982</v>
      </c>
      <c r="Q72" s="216">
        <v>1239066903</v>
      </c>
      <c r="R72"/>
      <c r="S72"/>
      <c r="T72"/>
      <c r="U72"/>
    </row>
    <row r="73" spans="16:21" ht="18" thickBot="1">
      <c r="P73" s="180" t="s">
        <v>979</v>
      </c>
      <c r="Q73" s="181">
        <v>113251921</v>
      </c>
      <c r="R73" s="181">
        <v>164131934827</v>
      </c>
      <c r="S73" s="182">
        <v>7851524.9400000004</v>
      </c>
      <c r="T73" s="210">
        <v>823</v>
      </c>
      <c r="U73" s="210">
        <v>2212</v>
      </c>
    </row>
    <row r="74" spans="16:21" ht="18" thickBot="1">
      <c r="P74" s="180" t="s">
        <v>980</v>
      </c>
      <c r="Q74" s="181">
        <v>77673062</v>
      </c>
      <c r="R74" s="181">
        <v>109199680368</v>
      </c>
      <c r="S74" s="182">
        <v>3982126.5</v>
      </c>
      <c r="T74" s="210">
        <v>776</v>
      </c>
      <c r="U74" s="210">
        <v>2081</v>
      </c>
    </row>
    <row r="75" spans="16:21" ht="18" thickBot="1">
      <c r="P75" s="180" t="s">
        <v>981</v>
      </c>
      <c r="Q75" s="181">
        <v>107715026</v>
      </c>
      <c r="R75" s="181">
        <v>147558257407</v>
      </c>
      <c r="S75" s="182">
        <v>6808676.96</v>
      </c>
      <c r="T75" s="210">
        <v>818</v>
      </c>
      <c r="U75" s="210">
        <v>2078</v>
      </c>
    </row>
    <row r="76" spans="16:21" ht="18" thickBot="1">
      <c r="P76" s="180" t="s">
        <v>1382</v>
      </c>
      <c r="Q76" s="181">
        <v>126012172</v>
      </c>
      <c r="R76" s="181">
        <v>172655835666</v>
      </c>
      <c r="S76" s="182">
        <v>7862774.8600000003</v>
      </c>
      <c r="T76" s="210">
        <v>836</v>
      </c>
      <c r="U76" s="210">
        <v>2312</v>
      </c>
    </row>
    <row r="77" spans="16:21" ht="18" thickBot="1">
      <c r="P77" s="180" t="s">
        <v>1383</v>
      </c>
      <c r="Q77" s="181">
        <v>71717122</v>
      </c>
      <c r="R77" s="181">
        <v>99543798560</v>
      </c>
      <c r="S77" s="182">
        <v>4088874.8</v>
      </c>
      <c r="T77" s="210">
        <v>748</v>
      </c>
      <c r="U77" s="210">
        <v>1957</v>
      </c>
    </row>
    <row r="78" spans="16:21" ht="18" thickBot="1">
      <c r="P78" s="180" t="s">
        <v>1384</v>
      </c>
      <c r="Q78" s="181">
        <v>88151045</v>
      </c>
      <c r="R78" s="181">
        <v>122543049251</v>
      </c>
      <c r="S78" s="182">
        <v>5593273.5800000001</v>
      </c>
      <c r="T78" s="210">
        <v>829</v>
      </c>
      <c r="U78" s="210">
        <v>2244</v>
      </c>
    </row>
    <row r="79" spans="16:21" ht="18" thickBot="1">
      <c r="P79" s="180" t="s">
        <v>1385</v>
      </c>
      <c r="Q79" s="181">
        <v>99791966</v>
      </c>
      <c r="R79" s="181">
        <v>141386616962</v>
      </c>
      <c r="S79" s="182">
        <v>5993309.6500000004</v>
      </c>
      <c r="T79" s="210">
        <v>766</v>
      </c>
      <c r="U79" s="210">
        <v>1985</v>
      </c>
    </row>
    <row r="80" spans="16:21" ht="18" thickBot="1">
      <c r="P80" s="180" t="s">
        <v>1429</v>
      </c>
      <c r="Q80" s="181">
        <v>93156243</v>
      </c>
      <c r="R80" s="181">
        <v>135067904379</v>
      </c>
      <c r="S80" s="182">
        <v>5265273.7300000004</v>
      </c>
      <c r="T80" s="210">
        <v>794</v>
      </c>
      <c r="U80" s="210">
        <v>2146</v>
      </c>
    </row>
    <row r="81" spans="16:21" ht="18" thickBot="1">
      <c r="P81" s="180" t="s">
        <v>1430</v>
      </c>
      <c r="Q81" s="181">
        <v>144077907</v>
      </c>
      <c r="R81" s="181">
        <v>211993940096</v>
      </c>
      <c r="S81" s="182">
        <v>10413927.91</v>
      </c>
      <c r="T81" s="210">
        <v>837</v>
      </c>
      <c r="U81" s="210">
        <v>2036</v>
      </c>
    </row>
    <row r="82" spans="16:21" ht="18" thickBot="1">
      <c r="P82" s="180" t="s">
        <v>982</v>
      </c>
      <c r="Q82" s="181">
        <v>1239066903</v>
      </c>
      <c r="R82" s="181">
        <v>1685099248870</v>
      </c>
      <c r="S82" s="182">
        <v>77799543.189999998</v>
      </c>
      <c r="T82" s="210">
        <v>2250</v>
      </c>
      <c r="U82" s="210">
        <v>8031</v>
      </c>
    </row>
    <row r="83" spans="16:21" ht="18" thickBot="1">
      <c r="P83" s="180" t="s">
        <v>976</v>
      </c>
      <c r="Q83" s="181">
        <v>101153192</v>
      </c>
      <c r="R83" s="181">
        <v>132939152555</v>
      </c>
      <c r="S83" s="182">
        <v>5832489.54</v>
      </c>
      <c r="T83" s="210">
        <v>774</v>
      </c>
      <c r="U83" s="210">
        <v>2092</v>
      </c>
    </row>
    <row r="84" spans="16:21" ht="18" thickBot="1">
      <c r="P84" s="180" t="s">
        <v>977</v>
      </c>
      <c r="Q84" s="181">
        <v>115296011</v>
      </c>
      <c r="R84" s="181">
        <v>153683428075</v>
      </c>
      <c r="S84" s="182">
        <v>6973213.4500000002</v>
      </c>
      <c r="T84" s="210">
        <v>775</v>
      </c>
      <c r="U84" s="210">
        <v>2014</v>
      </c>
    </row>
    <row r="85" spans="16:21" ht="18" thickBot="1">
      <c r="P85" s="180" t="s">
        <v>978</v>
      </c>
      <c r="Q85" s="181">
        <v>115665438</v>
      </c>
      <c r="R85" s="181">
        <v>153693639809</v>
      </c>
      <c r="S85" s="182">
        <v>7714909.6699999999</v>
      </c>
      <c r="T85" s="210">
        <v>754</v>
      </c>
      <c r="U85" s="210">
        <v>2071</v>
      </c>
    </row>
    <row r="86" spans="16:21" ht="18" thickBot="1">
      <c r="P86" s="180" t="s">
        <v>979</v>
      </c>
      <c r="Q86" s="181">
        <v>104365689</v>
      </c>
      <c r="R86" s="181">
        <v>142114253461</v>
      </c>
      <c r="S86" s="182">
        <v>5628194.8799999999</v>
      </c>
      <c r="T86" s="210">
        <v>810</v>
      </c>
      <c r="U86" s="210">
        <v>2180</v>
      </c>
    </row>
    <row r="87" spans="16:21" ht="18" thickBot="1">
      <c r="P87" s="180" t="s">
        <v>980</v>
      </c>
      <c r="Q87" s="181">
        <v>86489710</v>
      </c>
      <c r="R87" s="181">
        <v>118385433355</v>
      </c>
      <c r="S87" s="182">
        <v>5459678.0999999996</v>
      </c>
      <c r="T87" s="210">
        <v>828</v>
      </c>
      <c r="U87" s="210">
        <v>2264</v>
      </c>
    </row>
    <row r="88" spans="16:21" ht="18" thickBot="1">
      <c r="P88" s="180" t="s">
        <v>981</v>
      </c>
      <c r="Q88" s="181">
        <v>120482511</v>
      </c>
      <c r="R88" s="181">
        <v>165720136195</v>
      </c>
      <c r="S88" s="182">
        <v>7841895.4299999997</v>
      </c>
      <c r="T88" s="210">
        <v>769</v>
      </c>
      <c r="U88" s="210">
        <v>2080</v>
      </c>
    </row>
    <row r="89" spans="16:21" ht="18" thickBot="1">
      <c r="P89" s="180" t="s">
        <v>1382</v>
      </c>
      <c r="Q89" s="181">
        <v>151729646</v>
      </c>
      <c r="R89" s="181">
        <v>209999281469</v>
      </c>
      <c r="S89" s="182">
        <v>11015279.800000001</v>
      </c>
      <c r="T89" s="210">
        <v>842</v>
      </c>
      <c r="U89" s="210">
        <v>2279</v>
      </c>
    </row>
    <row r="90" spans="16:21" ht="18" thickBot="1">
      <c r="P90" s="180" t="s">
        <v>1383</v>
      </c>
      <c r="Q90" s="181">
        <v>105764644</v>
      </c>
      <c r="R90" s="181">
        <v>144518888647</v>
      </c>
      <c r="S90" s="182">
        <v>6716713.7400000002</v>
      </c>
      <c r="T90" s="210">
        <v>789</v>
      </c>
      <c r="U90" s="210">
        <v>2114</v>
      </c>
    </row>
    <row r="91" spans="16:21" ht="18" thickBot="1">
      <c r="P91" s="180" t="s">
        <v>1384</v>
      </c>
      <c r="Q91" s="181">
        <v>78100223</v>
      </c>
      <c r="R91" s="181">
        <v>104244496662</v>
      </c>
      <c r="S91" s="182">
        <v>4118762.36</v>
      </c>
      <c r="T91" s="210">
        <v>720</v>
      </c>
      <c r="U91" s="210">
        <v>2058</v>
      </c>
    </row>
    <row r="92" spans="16:21" ht="18" thickBot="1">
      <c r="P92" s="180" t="s">
        <v>1385</v>
      </c>
      <c r="Q92" s="181">
        <v>95855439</v>
      </c>
      <c r="R92" s="181">
        <v>129000971268</v>
      </c>
      <c r="S92" s="182">
        <v>6094217.4500000002</v>
      </c>
      <c r="T92" s="210">
        <v>806</v>
      </c>
      <c r="U92" s="210">
        <v>2238</v>
      </c>
    </row>
    <row r="93" spans="16:21" ht="18" thickBot="1">
      <c r="P93" s="180" t="s">
        <v>1429</v>
      </c>
      <c r="Q93" s="181">
        <v>80874802</v>
      </c>
      <c r="R93" s="181">
        <v>112438394318</v>
      </c>
      <c r="S93" s="182">
        <v>5493534.9199999999</v>
      </c>
      <c r="T93" s="210">
        <v>815</v>
      </c>
      <c r="U93" s="210">
        <v>2192</v>
      </c>
    </row>
    <row r="94" spans="16:21" ht="18" thickBot="1">
      <c r="P94" s="180" t="s">
        <v>1430</v>
      </c>
      <c r="Q94" s="181">
        <v>83289598</v>
      </c>
      <c r="R94" s="181">
        <v>118361173056</v>
      </c>
      <c r="S94" s="182">
        <v>4910653.8099999996</v>
      </c>
      <c r="T94" s="210">
        <v>781</v>
      </c>
      <c r="U94" s="210">
        <v>2007</v>
      </c>
    </row>
    <row r="95" spans="16:21" ht="18" thickBot="1">
      <c r="P95" s="180" t="s">
        <v>1386</v>
      </c>
      <c r="Q95" s="181">
        <v>1344320254</v>
      </c>
      <c r="R95" s="181">
        <v>1751890601284</v>
      </c>
      <c r="S95" s="182">
        <v>84408271.379999995</v>
      </c>
      <c r="T95" s="210">
        <v>2188</v>
      </c>
      <c r="U95" s="210">
        <v>7386</v>
      </c>
    </row>
    <row r="96" spans="16:21" ht="18" thickBot="1">
      <c r="P96" s="180" t="s">
        <v>976</v>
      </c>
      <c r="Q96" s="181">
        <v>112381033</v>
      </c>
      <c r="R96" s="181">
        <v>141039078875</v>
      </c>
      <c r="S96" s="182">
        <v>7409020.5099999998</v>
      </c>
      <c r="T96" s="210">
        <v>729</v>
      </c>
      <c r="U96" s="210">
        <v>1954</v>
      </c>
    </row>
    <row r="97" spans="16:21" ht="18" thickBot="1">
      <c r="P97" s="180" t="s">
        <v>977</v>
      </c>
      <c r="Q97" s="181">
        <v>122159996</v>
      </c>
      <c r="R97" s="181">
        <v>153233288692</v>
      </c>
      <c r="S97" s="182">
        <v>8343393.6799999997</v>
      </c>
      <c r="T97" s="210">
        <v>743</v>
      </c>
      <c r="U97" s="210">
        <v>2043</v>
      </c>
    </row>
    <row r="98" spans="16:21" ht="18" thickBot="1">
      <c r="P98" s="180" t="s">
        <v>978</v>
      </c>
      <c r="Q98" s="181">
        <v>153216941</v>
      </c>
      <c r="R98" s="181">
        <v>200351412916</v>
      </c>
      <c r="S98" s="182">
        <v>9877316.9399999995</v>
      </c>
      <c r="T98" s="210">
        <v>786</v>
      </c>
      <c r="U98" s="210">
        <v>2181</v>
      </c>
    </row>
    <row r="99" spans="16:21" ht="18" thickBot="1">
      <c r="P99" s="180" t="s">
        <v>979</v>
      </c>
      <c r="Q99" s="181">
        <v>150340519</v>
      </c>
      <c r="R99" s="181">
        <v>197504227197</v>
      </c>
      <c r="S99" s="182">
        <v>11146476.43</v>
      </c>
      <c r="T99" s="210">
        <v>761</v>
      </c>
      <c r="U99" s="210">
        <v>2041</v>
      </c>
    </row>
    <row r="100" spans="16:21" ht="18" thickBot="1">
      <c r="P100" s="180" t="s">
        <v>980</v>
      </c>
      <c r="Q100" s="181">
        <v>115787375</v>
      </c>
      <c r="R100" s="181">
        <v>154292418792</v>
      </c>
      <c r="S100" s="182">
        <v>6763981.8099999996</v>
      </c>
      <c r="T100" s="210">
        <v>786</v>
      </c>
      <c r="U100" s="210">
        <v>2094</v>
      </c>
    </row>
    <row r="101" spans="16:21" ht="18" thickBot="1">
      <c r="P101" s="180" t="s">
        <v>981</v>
      </c>
      <c r="Q101" s="181">
        <v>124038558</v>
      </c>
      <c r="R101" s="181">
        <v>161175821019</v>
      </c>
      <c r="S101" s="182">
        <v>8457196.6999999993</v>
      </c>
      <c r="T101" s="210">
        <v>829</v>
      </c>
      <c r="U101" s="210">
        <v>2110</v>
      </c>
    </row>
    <row r="102" spans="16:21" ht="18" thickBot="1">
      <c r="P102" s="180" t="s">
        <v>1382</v>
      </c>
      <c r="Q102" s="181">
        <v>105723884</v>
      </c>
      <c r="R102" s="181">
        <v>136697346298</v>
      </c>
      <c r="S102" s="182">
        <v>6570764.6799999997</v>
      </c>
      <c r="T102" s="210">
        <v>796</v>
      </c>
      <c r="U102" s="210">
        <v>2087</v>
      </c>
    </row>
    <row r="103" spans="16:21" ht="18" thickBot="1">
      <c r="P103" s="180" t="s">
        <v>1383</v>
      </c>
      <c r="Q103" s="181">
        <v>88536382</v>
      </c>
      <c r="R103" s="181">
        <v>116048940741</v>
      </c>
      <c r="S103" s="182">
        <v>5210666.9800000004</v>
      </c>
      <c r="T103" s="210">
        <v>790</v>
      </c>
      <c r="U103" s="210">
        <v>2059</v>
      </c>
    </row>
    <row r="104" spans="16:21" ht="18" thickBot="1">
      <c r="P104" s="180" t="s">
        <v>1384</v>
      </c>
      <c r="Q104" s="181">
        <v>81191098</v>
      </c>
      <c r="R104" s="181">
        <v>107785655338</v>
      </c>
      <c r="S104" s="182">
        <v>4853373.5599999996</v>
      </c>
      <c r="T104" s="210">
        <v>751</v>
      </c>
      <c r="U104" s="210">
        <v>2015</v>
      </c>
    </row>
    <row r="105" spans="16:21" ht="18" thickBot="1">
      <c r="P105" s="180" t="s">
        <v>1385</v>
      </c>
      <c r="Q105" s="181">
        <v>64771206</v>
      </c>
      <c r="R105" s="181">
        <v>87327009578</v>
      </c>
      <c r="S105" s="182">
        <v>2770894.6</v>
      </c>
      <c r="T105" s="210">
        <v>760</v>
      </c>
      <c r="U105" s="210">
        <v>2072</v>
      </c>
    </row>
    <row r="106" spans="16:21" ht="18" thickBot="1">
      <c r="P106" s="180" t="s">
        <v>1429</v>
      </c>
      <c r="Q106" s="181">
        <v>100310286</v>
      </c>
      <c r="R106" s="181">
        <v>132259618814</v>
      </c>
      <c r="S106" s="182">
        <v>5266183.97</v>
      </c>
      <c r="T106" s="210">
        <v>830</v>
      </c>
      <c r="U106" s="210">
        <v>2156</v>
      </c>
    </row>
    <row r="107" spans="16:21" ht="18" thickBot="1">
      <c r="P107" s="180" t="s">
        <v>1430</v>
      </c>
      <c r="Q107" s="181">
        <v>125862976</v>
      </c>
      <c r="R107" s="181">
        <v>164175783024</v>
      </c>
      <c r="S107" s="182">
        <v>7739001.46</v>
      </c>
      <c r="T107" s="210">
        <v>785</v>
      </c>
      <c r="U107" s="210">
        <v>2033</v>
      </c>
    </row>
    <row r="108" spans="16:21" ht="18" thickBot="1">
      <c r="P108" s="211" t="s">
        <v>1387</v>
      </c>
      <c r="Q108" s="212">
        <v>1287238819</v>
      </c>
      <c r="R108" s="212">
        <v>1651307914422</v>
      </c>
      <c r="S108" s="213">
        <v>77714216.560000002</v>
      </c>
      <c r="T108" s="214">
        <v>2101</v>
      </c>
      <c r="U108" s="214">
        <v>7211</v>
      </c>
    </row>
    <row r="109" spans="16:21" ht="18" thickBot="1">
      <c r="P109" s="180" t="s">
        <v>976</v>
      </c>
      <c r="Q109" s="181">
        <v>111655496</v>
      </c>
      <c r="R109" s="181">
        <v>131735829765</v>
      </c>
      <c r="S109" s="182">
        <v>6832138.4800000004</v>
      </c>
      <c r="T109" s="210">
        <v>775</v>
      </c>
      <c r="U109" s="210">
        <v>2075</v>
      </c>
    </row>
    <row r="110" spans="16:21" ht="18" thickBot="1">
      <c r="P110" s="180" t="s">
        <v>977</v>
      </c>
      <c r="Q110" s="181">
        <v>79043494</v>
      </c>
      <c r="R110" s="181">
        <v>93924527243</v>
      </c>
      <c r="S110" s="182">
        <v>4318766.8899999997</v>
      </c>
      <c r="T110" s="210">
        <v>742</v>
      </c>
      <c r="U110" s="210">
        <v>1952</v>
      </c>
    </row>
    <row r="111" spans="16:21" ht="18" thickBot="1">
      <c r="P111" s="180" t="s">
        <v>978</v>
      </c>
      <c r="Q111" s="181">
        <v>121479624</v>
      </c>
      <c r="R111" s="181">
        <v>146717805500</v>
      </c>
      <c r="S111" s="182">
        <v>6892964.5499999998</v>
      </c>
      <c r="T111" s="210">
        <v>806</v>
      </c>
      <c r="U111" s="210">
        <v>2179</v>
      </c>
    </row>
    <row r="112" spans="16:21" ht="18" thickBot="1">
      <c r="P112" s="180" t="s">
        <v>979</v>
      </c>
      <c r="Q112" s="181">
        <v>103686574</v>
      </c>
      <c r="R112" s="181">
        <v>125623842931</v>
      </c>
      <c r="S112" s="182">
        <v>6402044.0300000003</v>
      </c>
      <c r="T112" s="210">
        <v>765</v>
      </c>
      <c r="U112" s="210">
        <v>2063</v>
      </c>
    </row>
    <row r="113" spans="16:21" ht="18" thickBot="1">
      <c r="P113" s="180" t="s">
        <v>980</v>
      </c>
      <c r="Q113" s="181">
        <v>112205534</v>
      </c>
      <c r="R113" s="181">
        <v>141069482253</v>
      </c>
      <c r="S113" s="182">
        <v>6770911.3899999997</v>
      </c>
      <c r="T113" s="210">
        <v>791</v>
      </c>
      <c r="U113" s="210">
        <v>2124</v>
      </c>
    </row>
    <row r="114" spans="16:21" ht="18" thickBot="1">
      <c r="P114" s="180" t="s">
        <v>981</v>
      </c>
      <c r="Q114" s="181">
        <v>105523629</v>
      </c>
      <c r="R114" s="181">
        <v>132758115465</v>
      </c>
      <c r="S114" s="182">
        <v>6714750.5999999996</v>
      </c>
      <c r="T114" s="210">
        <v>807</v>
      </c>
      <c r="U114" s="210">
        <v>2165</v>
      </c>
    </row>
    <row r="115" spans="16:21" ht="18" thickBot="1">
      <c r="P115" s="180" t="s">
        <v>1382</v>
      </c>
      <c r="Q115" s="181">
        <v>91139732</v>
      </c>
      <c r="R115" s="181">
        <v>117672469603</v>
      </c>
      <c r="S115" s="182">
        <v>4669327.22</v>
      </c>
      <c r="T115" s="210">
        <v>772</v>
      </c>
      <c r="U115" s="210">
        <v>2083</v>
      </c>
    </row>
    <row r="116" spans="16:21" ht="18" thickBot="1">
      <c r="P116" s="180" t="s">
        <v>1383</v>
      </c>
      <c r="Q116" s="181">
        <v>100673731</v>
      </c>
      <c r="R116" s="181">
        <v>130711799513</v>
      </c>
      <c r="S116" s="182">
        <v>5362071.92</v>
      </c>
      <c r="T116" s="210">
        <v>757</v>
      </c>
      <c r="U116" s="210">
        <v>1995</v>
      </c>
    </row>
    <row r="117" spans="16:21" ht="18" thickBot="1">
      <c r="P117" s="180" t="s">
        <v>1384</v>
      </c>
      <c r="Q117" s="181">
        <v>128904232</v>
      </c>
      <c r="R117" s="181">
        <v>175590450182</v>
      </c>
      <c r="S117" s="182">
        <v>7855782.0099999998</v>
      </c>
      <c r="T117" s="210">
        <v>793</v>
      </c>
      <c r="U117" s="210">
        <v>2080</v>
      </c>
    </row>
    <row r="118" spans="16:21" ht="18" thickBot="1">
      <c r="P118" s="180" t="s">
        <v>1385</v>
      </c>
      <c r="Q118" s="181">
        <v>100530745</v>
      </c>
      <c r="R118" s="181">
        <v>143375255381</v>
      </c>
      <c r="S118" s="182">
        <v>6450024.5800000001</v>
      </c>
      <c r="T118" s="210">
        <v>765</v>
      </c>
      <c r="U118" s="210">
        <v>2018</v>
      </c>
    </row>
    <row r="119" spans="16:21" ht="18" thickBot="1">
      <c r="P119" s="180" t="s">
        <v>1429</v>
      </c>
      <c r="Q119" s="181">
        <v>104999083</v>
      </c>
      <c r="R119" s="181">
        <v>145310558154</v>
      </c>
      <c r="S119" s="182">
        <v>6825027.71</v>
      </c>
      <c r="T119" s="210">
        <v>828</v>
      </c>
      <c r="U119" s="210">
        <v>2160</v>
      </c>
    </row>
    <row r="120" spans="16:21" ht="18" thickBot="1">
      <c r="P120" s="180" t="s">
        <v>1430</v>
      </c>
      <c r="Q120" s="181">
        <v>127396945</v>
      </c>
      <c r="R120" s="181">
        <v>166817778432</v>
      </c>
      <c r="S120" s="182">
        <v>8620407.1300000008</v>
      </c>
      <c r="T120" s="210">
        <v>800</v>
      </c>
      <c r="U120" s="210">
        <v>2045</v>
      </c>
    </row>
    <row r="121" spans="16:21" ht="18" thickBot="1">
      <c r="P121" s="180" t="s">
        <v>1431</v>
      </c>
      <c r="Q121" s="181">
        <v>1335227154</v>
      </c>
      <c r="R121" s="181">
        <v>1512545217571</v>
      </c>
      <c r="S121" s="182">
        <v>87766023.890000001</v>
      </c>
      <c r="T121" s="210">
        <v>2146</v>
      </c>
      <c r="U121" s="210">
        <v>7369</v>
      </c>
    </row>
    <row r="122" spans="16:21" ht="18" thickBot="1">
      <c r="P122" s="180" t="s">
        <v>1432</v>
      </c>
      <c r="Q122" s="181">
        <v>1538778890</v>
      </c>
      <c r="R122" s="181">
        <v>1793140908735</v>
      </c>
      <c r="S122" s="182">
        <v>116793871.15000001</v>
      </c>
      <c r="T122" s="210">
        <v>2231</v>
      </c>
      <c r="U122" s="210">
        <v>7237</v>
      </c>
    </row>
    <row r="123" spans="16:21" ht="18" thickBot="1">
      <c r="P123" s="180" t="s">
        <v>1433</v>
      </c>
      <c r="Q123" s="181">
        <v>1546453740</v>
      </c>
      <c r="R123" s="181">
        <v>1781126135261</v>
      </c>
      <c r="S123" s="182">
        <v>113967212.40000001</v>
      </c>
      <c r="T123" s="210">
        <v>2326</v>
      </c>
      <c r="U123" s="210">
        <v>7287</v>
      </c>
    </row>
    <row r="124" spans="16:21" ht="18" thickBot="1">
      <c r="P124" s="215" t="s">
        <v>1434</v>
      </c>
      <c r="Q124" s="217" t="s">
        <v>1435</v>
      </c>
      <c r="R124"/>
      <c r="S124"/>
      <c r="T124"/>
      <c r="U124"/>
    </row>
  </sheetData>
  <phoneticPr fontId="1" type="noConversion"/>
  <conditionalFormatting sqref="C29:C30">
    <cfRule type="cellIs" dxfId="2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1"/>
  <sheetViews>
    <sheetView topLeftCell="D44" zoomScale="130" zoomScaleNormal="130" workbookViewId="0">
      <selection activeCell="N59" sqref="D59:N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1264614.25</v>
      </c>
      <c r="G5" s="90"/>
      <c r="H5" s="90"/>
      <c r="I5" s="130">
        <f t="shared" ref="I5:I49" si="0">T5</f>
        <v>264.50582456345842</v>
      </c>
      <c r="J5" s="130"/>
      <c r="L5" s="80"/>
      <c r="M5" s="80"/>
      <c r="P5" s="129" t="s">
        <v>0</v>
      </c>
      <c r="Q5" s="116">
        <v>25292285</v>
      </c>
      <c r="R5" s="116">
        <v>29853364380</v>
      </c>
      <c r="S5" s="116">
        <v>95620.9</v>
      </c>
      <c r="T5" s="130">
        <f t="shared" ref="T5:T47" si="1">Q5/S5</f>
        <v>264.50582456345842</v>
      </c>
      <c r="U5" s="85"/>
    </row>
    <row r="6" spans="1:21" ht="15" hidden="1" customHeight="1">
      <c r="A6" s="129" t="s">
        <v>1</v>
      </c>
      <c r="C6" s="79"/>
      <c r="F6" s="78">
        <f>Q6/18</f>
        <v>2072396.388888889</v>
      </c>
      <c r="G6" s="90">
        <f t="shared" ref="G6:G47" si="2">F6/F5-1</f>
        <v>0.63875773888273746</v>
      </c>
      <c r="H6" s="90"/>
      <c r="I6" s="130">
        <f t="shared" si="0"/>
        <v>658.66776305915403</v>
      </c>
      <c r="J6" s="130"/>
      <c r="P6" s="129" t="s">
        <v>1</v>
      </c>
      <c r="Q6" s="116">
        <v>37303135</v>
      </c>
      <c r="R6" s="116">
        <v>44272074177</v>
      </c>
      <c r="S6" s="116">
        <v>56634.22</v>
      </c>
      <c r="T6" s="130">
        <f t="shared" si="1"/>
        <v>658.66776305915403</v>
      </c>
      <c r="U6" s="85"/>
    </row>
    <row r="7" spans="1:21" ht="15" hidden="1" customHeight="1">
      <c r="A7" s="129" t="s">
        <v>2</v>
      </c>
      <c r="B7" s="131">
        <f>F5+F6+F7</f>
        <v>5283775.4570707073</v>
      </c>
      <c r="C7" s="131">
        <f>AVERAGE(F5:F7)</f>
        <v>1761258.4856902359</v>
      </c>
      <c r="F7" s="78">
        <f>Q7/22</f>
        <v>1946764.8181818181</v>
      </c>
      <c r="G7" s="90">
        <f t="shared" si="2"/>
        <v>-6.0621400124340141E-2</v>
      </c>
      <c r="H7" s="90"/>
      <c r="I7" s="130">
        <f t="shared" si="0"/>
        <v>760.97669229562382</v>
      </c>
      <c r="J7" s="130"/>
      <c r="K7" s="79">
        <f>R5+R6+R7</f>
        <v>126024639205</v>
      </c>
      <c r="N7" s="88">
        <f>AVERAGE(T5:T7)</f>
        <v>561.38342663941205</v>
      </c>
      <c r="P7" s="129" t="s">
        <v>2</v>
      </c>
      <c r="Q7" s="116">
        <v>42828826</v>
      </c>
      <c r="R7" s="116">
        <v>51899200648</v>
      </c>
      <c r="S7" s="116">
        <v>56281.39</v>
      </c>
      <c r="T7" s="130">
        <f t="shared" si="1"/>
        <v>760.97669229562382</v>
      </c>
      <c r="U7" s="85">
        <f>Q5+Q6+Q7</f>
        <v>105424246</v>
      </c>
    </row>
    <row r="8" spans="1:21" ht="15" hidden="1" customHeight="1">
      <c r="A8" s="129" t="s">
        <v>3</v>
      </c>
      <c r="C8" s="79"/>
      <c r="F8" s="78">
        <f>Q8/21</f>
        <v>1541308.3809523811</v>
      </c>
      <c r="G8" s="90">
        <f t="shared" si="2"/>
        <v>-0.20827191525276956</v>
      </c>
      <c r="H8" s="90"/>
      <c r="I8" s="130">
        <f t="shared" si="0"/>
        <v>476.86341136705909</v>
      </c>
      <c r="J8" s="130"/>
      <c r="K8" s="78"/>
      <c r="P8" s="129" t="s">
        <v>3</v>
      </c>
      <c r="Q8" s="116">
        <v>32367476</v>
      </c>
      <c r="R8" s="116">
        <v>39227663285</v>
      </c>
      <c r="S8" s="116">
        <v>67875.78</v>
      </c>
      <c r="T8" s="130">
        <f t="shared" si="1"/>
        <v>476.86341136705909</v>
      </c>
      <c r="U8" s="85"/>
    </row>
    <row r="9" spans="1:21" ht="15" hidden="1" customHeight="1">
      <c r="A9" s="129" t="s">
        <v>4</v>
      </c>
      <c r="C9" s="79"/>
      <c r="F9" s="78">
        <f>Q9/21</f>
        <v>2516880.2857142859</v>
      </c>
      <c r="G9" s="90">
        <f t="shared" si="2"/>
        <v>0.63295049635628065</v>
      </c>
      <c r="H9" s="90"/>
      <c r="I9" s="130">
        <f t="shared" si="0"/>
        <v>619.67762615495292</v>
      </c>
      <c r="J9" s="130"/>
      <c r="K9" s="78"/>
      <c r="P9" s="129" t="s">
        <v>4</v>
      </c>
      <c r="Q9" s="116">
        <v>52854486</v>
      </c>
      <c r="R9" s="116">
        <v>66158777665</v>
      </c>
      <c r="S9" s="116">
        <v>85293.52</v>
      </c>
      <c r="T9" s="130">
        <f t="shared" si="1"/>
        <v>619.67762615495292</v>
      </c>
      <c r="U9" s="85"/>
    </row>
    <row r="10" spans="1:21" ht="15" hidden="1" customHeight="1">
      <c r="A10" s="129" t="s">
        <v>5</v>
      </c>
      <c r="B10" s="131">
        <f>F8+F9+F10</f>
        <v>5720720</v>
      </c>
      <c r="C10" s="131">
        <f>AVERAGE(F8:F10)</f>
        <v>1906906.6666666667</v>
      </c>
      <c r="D10" s="90">
        <f>C10/C7-1</f>
        <v>8.269551696118671E-2</v>
      </c>
      <c r="E10" s="286"/>
      <c r="F10" s="78">
        <f>Q10/21</f>
        <v>1662531.3333333333</v>
      </c>
      <c r="G10" s="90">
        <f t="shared" si="2"/>
        <v>-0.33944759201707131</v>
      </c>
      <c r="H10" s="90"/>
      <c r="I10" s="130">
        <f t="shared" si="0"/>
        <v>442.75067998121114</v>
      </c>
      <c r="J10" s="130"/>
      <c r="K10" s="79">
        <f>R8+R9+R10</f>
        <v>149681431792</v>
      </c>
      <c r="L10" s="87">
        <f>U10/U7-1</f>
        <v>0.13953976014208336</v>
      </c>
      <c r="N10" s="88">
        <f>AVERAGE(T8:T10)</f>
        <v>513.09723916774101</v>
      </c>
      <c r="O10" s="89">
        <f>N10/N7-1</f>
        <v>-8.6012848225186844E-2</v>
      </c>
      <c r="P10" s="129" t="s">
        <v>5</v>
      </c>
      <c r="Q10" s="116">
        <v>34913158</v>
      </c>
      <c r="R10" s="116">
        <v>44294990842</v>
      </c>
      <c r="S10" s="116">
        <v>78855.12</v>
      </c>
      <c r="T10" s="130">
        <f t="shared" si="1"/>
        <v>442.75067998121114</v>
      </c>
      <c r="U10" s="85">
        <f>Q8+Q9+Q10</f>
        <v>120135120</v>
      </c>
    </row>
    <row r="11" spans="1:21" ht="15" hidden="1" customHeight="1">
      <c r="A11" s="129" t="s">
        <v>6</v>
      </c>
      <c r="C11" s="79"/>
      <c r="F11" s="78">
        <f>Q11/21</f>
        <v>3323386.7619047621</v>
      </c>
      <c r="G11" s="90">
        <f t="shared" si="2"/>
        <v>0.998991955984045</v>
      </c>
      <c r="H11" s="90"/>
      <c r="I11" s="130">
        <f t="shared" si="0"/>
        <v>372.50848325193232</v>
      </c>
      <c r="J11" s="130"/>
      <c r="K11" s="78"/>
      <c r="O11" s="89"/>
      <c r="P11" s="129" t="s">
        <v>6</v>
      </c>
      <c r="Q11" s="116">
        <v>69791122</v>
      </c>
      <c r="R11" s="116">
        <v>90320965385</v>
      </c>
      <c r="S11" s="116">
        <v>187354.45</v>
      </c>
      <c r="T11" s="130">
        <f t="shared" si="1"/>
        <v>372.50848325193232</v>
      </c>
      <c r="U11" s="85"/>
    </row>
    <row r="12" spans="1:21" ht="15" hidden="1" customHeight="1">
      <c r="A12" s="129" t="s">
        <v>7</v>
      </c>
      <c r="C12" s="79"/>
      <c r="F12" s="78">
        <f>Q12/22</f>
        <v>1668283.5909090908</v>
      </c>
      <c r="G12" s="90">
        <f t="shared" si="2"/>
        <v>-0.49801701985689661</v>
      </c>
      <c r="H12" s="90"/>
      <c r="I12" s="130">
        <f t="shared" si="0"/>
        <v>596.0822569318351</v>
      </c>
      <c r="J12" s="130"/>
      <c r="K12" s="78"/>
      <c r="O12" s="89"/>
      <c r="P12" s="129" t="s">
        <v>7</v>
      </c>
      <c r="Q12" s="116">
        <v>36702239</v>
      </c>
      <c r="R12" s="116">
        <v>48114081777</v>
      </c>
      <c r="S12" s="116">
        <v>61572.44</v>
      </c>
      <c r="T12" s="130">
        <f t="shared" si="1"/>
        <v>596.0822569318351</v>
      </c>
      <c r="U12" s="85"/>
    </row>
    <row r="13" spans="1:21" ht="15" hidden="1" customHeight="1">
      <c r="A13" s="129" t="s">
        <v>96</v>
      </c>
      <c r="B13" s="131">
        <f>F11+F12+F13</f>
        <v>7536294.102813853</v>
      </c>
      <c r="C13" s="131">
        <f>AVERAGE(F11:F13)</f>
        <v>2512098.0342712845</v>
      </c>
      <c r="D13" s="90">
        <f>C13/C10-1</f>
        <v>0.31736811149887645</v>
      </c>
      <c r="E13" s="286"/>
      <c r="F13" s="78">
        <f>Q13/20</f>
        <v>2544623.75</v>
      </c>
      <c r="G13" s="90">
        <f t="shared" si="2"/>
        <v>0.52529447862840195</v>
      </c>
      <c r="H13" s="90"/>
      <c r="I13" s="130">
        <f t="shared" si="0"/>
        <v>600.99019804197019</v>
      </c>
      <c r="J13" s="130"/>
      <c r="K13" s="78">
        <f>R11+R12+R13</f>
        <v>207249056165</v>
      </c>
      <c r="L13" s="87">
        <f>U13/U10-1</f>
        <v>0.31007349058293698</v>
      </c>
      <c r="N13" s="88">
        <f>AVERAGE(T11:T13)</f>
        <v>523.19364607524585</v>
      </c>
      <c r="O13" s="89">
        <f>N13/N10-1</f>
        <v>1.9677375235699124E-2</v>
      </c>
      <c r="P13" s="129" t="s">
        <v>96</v>
      </c>
      <c r="Q13" s="116">
        <v>50892475</v>
      </c>
      <c r="R13" s="116">
        <v>68814009003</v>
      </c>
      <c r="S13" s="116">
        <v>84681.04</v>
      </c>
      <c r="T13" s="130">
        <f t="shared" si="1"/>
        <v>600.99019804197019</v>
      </c>
      <c r="U13" s="85">
        <f>Q11+Q12+Q13</f>
        <v>157385836</v>
      </c>
    </row>
    <row r="14" spans="1:21" ht="15" hidden="1" customHeight="1">
      <c r="A14" s="129" t="s">
        <v>97</v>
      </c>
      <c r="C14" s="79"/>
      <c r="F14" s="78">
        <f>Q14/20</f>
        <v>2286828</v>
      </c>
      <c r="G14" s="90">
        <f t="shared" si="2"/>
        <v>-0.10130996773098577</v>
      </c>
      <c r="H14" s="90"/>
      <c r="I14" s="130">
        <f t="shared" si="0"/>
        <v>711.3837267521086</v>
      </c>
      <c r="J14" s="130"/>
      <c r="O14" s="89"/>
      <c r="P14" s="129" t="s">
        <v>97</v>
      </c>
      <c r="Q14" s="116">
        <v>45736560</v>
      </c>
      <c r="R14" s="116">
        <v>65286896591</v>
      </c>
      <c r="S14" s="116">
        <v>64292.39</v>
      </c>
      <c r="T14" s="130">
        <f t="shared" si="1"/>
        <v>711.3837267521086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2517950.6818181816</v>
      </c>
      <c r="G15" s="90">
        <f t="shared" si="2"/>
        <v>0.10106692843457465</v>
      </c>
      <c r="H15" s="90"/>
      <c r="I15" s="130">
        <f t="shared" si="0"/>
        <v>639.67699812906176</v>
      </c>
      <c r="J15" s="130"/>
      <c r="O15" s="89"/>
      <c r="P15" s="129" t="s">
        <v>98</v>
      </c>
      <c r="Q15" s="116">
        <v>55394915</v>
      </c>
      <c r="R15" s="116">
        <v>76948153171</v>
      </c>
      <c r="S15" s="116">
        <v>86598.26</v>
      </c>
      <c r="T15" s="130">
        <f t="shared" si="1"/>
        <v>639.67699812906176</v>
      </c>
      <c r="U15" s="78"/>
    </row>
    <row r="16" spans="1:21" ht="15" hidden="1" customHeight="1">
      <c r="A16" s="129" t="s">
        <v>99</v>
      </c>
      <c r="B16" s="131">
        <f>F14+F15+F16</f>
        <v>7086377.6363636367</v>
      </c>
      <c r="C16" s="131">
        <f>AVERAGE(F14:F16)</f>
        <v>2362125.8787878789</v>
      </c>
      <c r="D16" s="90">
        <f>C16/C13-1</f>
        <v>-5.9699961322134398E-2</v>
      </c>
      <c r="E16" s="286"/>
      <c r="F16" s="78">
        <f>Q16/22</f>
        <v>2281598.9545454546</v>
      </c>
      <c r="G16" s="90">
        <f t="shared" si="2"/>
        <v>-9.3866702385949963E-2</v>
      </c>
      <c r="H16" s="90"/>
      <c r="I16" s="130">
        <f t="shared" si="0"/>
        <v>615.12280109232779</v>
      </c>
      <c r="J16" s="130"/>
      <c r="K16" s="78">
        <f>R14+R15+R16</f>
        <v>207996645766</v>
      </c>
      <c r="L16" s="87">
        <f>U16/U13-1</f>
        <v>-3.8498915493259456E-2</v>
      </c>
      <c r="N16" s="88">
        <f>AVERAGE(T14:T16)</f>
        <v>655.39450865783272</v>
      </c>
      <c r="O16" s="89">
        <f>N16/N13-1</f>
        <v>0.25268055828715807</v>
      </c>
      <c r="P16" s="129" t="s">
        <v>99</v>
      </c>
      <c r="Q16" s="116">
        <v>50195177</v>
      </c>
      <c r="R16" s="116">
        <v>65761596004</v>
      </c>
      <c r="S16" s="116">
        <v>81601.88</v>
      </c>
      <c r="T16" s="130">
        <f t="shared" si="1"/>
        <v>615.12280109232779</v>
      </c>
      <c r="U16" s="85">
        <f>Q14+Q15+Q16</f>
        <v>151326652</v>
      </c>
    </row>
    <row r="17" spans="1:21" ht="15" hidden="1" customHeight="1">
      <c r="A17" s="129" t="s">
        <v>100</v>
      </c>
      <c r="C17" s="79"/>
      <c r="F17" s="78">
        <f>Q17/20</f>
        <v>3744554.1</v>
      </c>
      <c r="G17" s="90">
        <f t="shared" si="2"/>
        <v>0.64119732459554823</v>
      </c>
      <c r="H17" s="90">
        <f t="shared" ref="H17:H47" si="3">F17/F5-1</f>
        <v>1.9610247551773199</v>
      </c>
      <c r="I17" s="130">
        <f t="shared" si="0"/>
        <v>797.46189509731471</v>
      </c>
      <c r="J17" s="130">
        <f t="shared" ref="J17:J49" si="4">I17/I5-1</f>
        <v>2.014912417953175</v>
      </c>
      <c r="O17" s="89"/>
      <c r="P17" s="129" t="s">
        <v>100</v>
      </c>
      <c r="Q17" s="116">
        <v>74891082</v>
      </c>
      <c r="R17" s="116">
        <v>93162505742</v>
      </c>
      <c r="S17" s="116">
        <v>93911.8</v>
      </c>
      <c r="T17" s="130">
        <f t="shared" si="1"/>
        <v>797.46189509731471</v>
      </c>
      <c r="U17" s="78"/>
    </row>
    <row r="18" spans="1:21" ht="15" hidden="1" customHeight="1">
      <c r="A18" s="129" t="s">
        <v>106</v>
      </c>
      <c r="C18" s="79"/>
      <c r="F18" s="78">
        <f>Q18/20</f>
        <v>2937278.85</v>
      </c>
      <c r="G18" s="90">
        <f t="shared" si="2"/>
        <v>-0.21558648331452868</v>
      </c>
      <c r="H18" s="90">
        <f t="shared" si="3"/>
        <v>0.41733447604336726</v>
      </c>
      <c r="I18" s="130">
        <f t="shared" si="0"/>
        <v>651.84473187690833</v>
      </c>
      <c r="J18" s="130">
        <f t="shared" si="4"/>
        <v>-1.0358835766542507E-2</v>
      </c>
      <c r="O18" s="89"/>
      <c r="P18" s="129" t="s">
        <v>106</v>
      </c>
      <c r="Q18" s="116">
        <v>58745577</v>
      </c>
      <c r="R18" s="116">
        <v>73840861381</v>
      </c>
      <c r="S18" s="116">
        <v>90122.04</v>
      </c>
      <c r="T18" s="130">
        <f t="shared" si="1"/>
        <v>651.84473187690833</v>
      </c>
      <c r="U18" s="78"/>
    </row>
    <row r="19" spans="1:21" hidden="1">
      <c r="A19" s="129" t="s">
        <v>114</v>
      </c>
      <c r="B19" s="131">
        <f>SUM(F17:F19)</f>
        <v>8392874.9499999993</v>
      </c>
      <c r="C19" s="131">
        <f>AVERAGE(F17:F19)</f>
        <v>2797624.9833333329</v>
      </c>
      <c r="D19" s="90">
        <f>C19/C16-1</f>
        <v>0.18436744140364336</v>
      </c>
      <c r="E19" s="286">
        <f>C19/C7-1</f>
        <v>0.58842384923241164</v>
      </c>
      <c r="F19" s="78">
        <f>Q19/22</f>
        <v>1711042</v>
      </c>
      <c r="G19" s="90">
        <f t="shared" si="2"/>
        <v>-0.41747376147143811</v>
      </c>
      <c r="H19" s="90">
        <f t="shared" si="3"/>
        <v>-0.1210843836812151</v>
      </c>
      <c r="I19" s="130">
        <f t="shared" si="0"/>
        <v>415.10178246121677</v>
      </c>
      <c r="J19" s="130">
        <f t="shared" si="4"/>
        <v>-0.45451445929442702</v>
      </c>
      <c r="K19" s="78">
        <f>R17+R18+R19</f>
        <v>216209211539</v>
      </c>
      <c r="L19" s="87">
        <f>U19/U16-1</f>
        <v>0.13185338297182447</v>
      </c>
      <c r="M19" s="87">
        <f>U19/U7-1</f>
        <v>0.62466974627449545</v>
      </c>
      <c r="N19" s="88">
        <f>AVERAGE(T17:T19)</f>
        <v>621.46946981181327</v>
      </c>
      <c r="O19" s="89">
        <f>N19/N16-1</f>
        <v>-5.1762775546431938E-2</v>
      </c>
      <c r="P19" s="129" t="s">
        <v>114</v>
      </c>
      <c r="Q19" s="116">
        <v>37642924</v>
      </c>
      <c r="R19" s="116">
        <v>49205844416</v>
      </c>
      <c r="S19" s="116">
        <v>90683.6</v>
      </c>
      <c r="T19" s="130">
        <f t="shared" si="1"/>
        <v>415.10178246121677</v>
      </c>
      <c r="U19" s="85">
        <f>Q17+Q18+Q19</f>
        <v>171279583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4277600.95</v>
      </c>
      <c r="G20" s="90">
        <f t="shared" si="2"/>
        <v>1.4999976330212821</v>
      </c>
      <c r="H20" s="90">
        <f t="shared" si="3"/>
        <v>1.7753050608580043</v>
      </c>
      <c r="I20" s="130">
        <f t="shared" si="0"/>
        <v>840.33929261112155</v>
      </c>
      <c r="J20" s="130">
        <f t="shared" si="4"/>
        <v>0.762222205729854</v>
      </c>
      <c r="O20" s="89"/>
      <c r="P20" s="129" t="s">
        <v>131</v>
      </c>
      <c r="Q20" s="116">
        <v>85552019</v>
      </c>
      <c r="R20" s="116">
        <v>112503958221</v>
      </c>
      <c r="S20" s="116">
        <v>101806.52</v>
      </c>
      <c r="T20" s="130">
        <f t="shared" si="1"/>
        <v>840.33929261112155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2399795.0476190476</v>
      </c>
      <c r="G21" s="90">
        <f t="shared" si="2"/>
        <v>-0.4389857596185901</v>
      </c>
      <c r="H21" s="90">
        <f t="shared" si="3"/>
        <v>-4.6519986969507321E-2</v>
      </c>
      <c r="I21" s="130">
        <f t="shared" si="0"/>
        <v>553.55018536727675</v>
      </c>
      <c r="J21" s="130">
        <f t="shared" si="4"/>
        <v>-0.10671264863634233</v>
      </c>
      <c r="O21" s="89"/>
      <c r="P21" s="129" t="s">
        <v>141</v>
      </c>
      <c r="Q21" s="116">
        <v>50395696</v>
      </c>
      <c r="R21" s="116">
        <v>66991075709</v>
      </c>
      <c r="S21" s="116">
        <v>91040.88</v>
      </c>
      <c r="T21" s="130">
        <f t="shared" si="1"/>
        <v>553.55018536727675</v>
      </c>
      <c r="U21" s="78"/>
    </row>
    <row r="22" spans="1:21" hidden="1">
      <c r="A22" s="129" t="s">
        <v>155</v>
      </c>
      <c r="B22" s="131">
        <f>SUM(F20:F22)</f>
        <v>11357778.378571428</v>
      </c>
      <c r="C22" s="131">
        <f>AVERAGE(F20:F22)</f>
        <v>3785926.1261904761</v>
      </c>
      <c r="D22" s="90">
        <f>C22/C19-1</f>
        <v>0.35326433984000083</v>
      </c>
      <c r="E22" s="286">
        <f>C22/C10-1</f>
        <v>0.98537568323068214</v>
      </c>
      <c r="F22" s="78">
        <f>Q22/21</f>
        <v>4680382.3809523806</v>
      </c>
      <c r="G22" s="90">
        <f t="shared" si="2"/>
        <v>0.95032587703521343</v>
      </c>
      <c r="H22" s="90">
        <f t="shared" si="3"/>
        <v>1.8152145388853107</v>
      </c>
      <c r="I22" s="130">
        <f t="shared" si="0"/>
        <v>919.39944586107606</v>
      </c>
      <c r="J22" s="130">
        <f t="shared" si="4"/>
        <v>1.0765624705536134</v>
      </c>
      <c r="K22" s="78">
        <f>R20+R21+R22</f>
        <v>306803259402</v>
      </c>
      <c r="L22" s="87">
        <f>U22/U19-1</f>
        <v>0.36756372766274192</v>
      </c>
      <c r="M22" s="87">
        <f>U22/U10-1</f>
        <v>0.9497691016581995</v>
      </c>
      <c r="N22" s="88">
        <f>AVERAGE(T20:T22)</f>
        <v>771.09630794649138</v>
      </c>
      <c r="O22" s="89">
        <f>N22/N19-1</f>
        <v>0.24076297453515538</v>
      </c>
      <c r="P22" s="129" t="s">
        <v>155</v>
      </c>
      <c r="Q22" s="116">
        <v>98288030</v>
      </c>
      <c r="R22" s="116">
        <v>127308225472</v>
      </c>
      <c r="S22" s="116">
        <v>106904.6</v>
      </c>
      <c r="T22" s="130">
        <f t="shared" si="1"/>
        <v>919.39944586107606</v>
      </c>
      <c r="U22" s="85">
        <f>Q20+Q21+Q22</f>
        <v>234235745</v>
      </c>
    </row>
    <row r="23" spans="1:21" hidden="1">
      <c r="A23" s="129" t="s">
        <v>189</v>
      </c>
      <c r="B23" s="131"/>
      <c r="C23" s="131"/>
      <c r="F23" s="78">
        <f>Q23/21</f>
        <v>3977760.6666666665</v>
      </c>
      <c r="G23" s="90">
        <f t="shared" si="2"/>
        <v>-0.15012057928111899</v>
      </c>
      <c r="H23" s="90">
        <f t="shared" si="3"/>
        <v>0.19689971455108557</v>
      </c>
      <c r="I23" s="130">
        <f t="shared" si="0"/>
        <v>681.01345347049312</v>
      </c>
      <c r="J23" s="130">
        <f t="shared" si="4"/>
        <v>0.82818240144591515</v>
      </c>
      <c r="O23" s="89"/>
      <c r="P23" s="129" t="s">
        <v>189</v>
      </c>
      <c r="Q23" s="116">
        <v>83532974</v>
      </c>
      <c r="R23" s="116">
        <v>108503753630</v>
      </c>
      <c r="S23" s="116">
        <v>122659.8</v>
      </c>
      <c r="T23" s="130">
        <f t="shared" si="1"/>
        <v>681.01345347049312</v>
      </c>
      <c r="U23" s="78"/>
    </row>
    <row r="24" spans="1:21" hidden="1">
      <c r="A24" s="129" t="s">
        <v>204</v>
      </c>
      <c r="B24" s="131"/>
      <c r="C24" s="131"/>
      <c r="F24" s="78">
        <f>Q24/22</f>
        <v>6423590.3636363633</v>
      </c>
      <c r="G24" s="90">
        <f t="shared" si="2"/>
        <v>0.61487603250380674</v>
      </c>
      <c r="H24" s="90">
        <f t="shared" si="3"/>
        <v>2.8504187169616544</v>
      </c>
      <c r="I24" s="130">
        <f t="shared" si="0"/>
        <v>1705.8017470470541</v>
      </c>
      <c r="J24" s="130">
        <f t="shared" si="4"/>
        <v>1.861688512298934</v>
      </c>
      <c r="O24" s="89"/>
      <c r="P24" s="129" t="s">
        <v>204</v>
      </c>
      <c r="Q24" s="116">
        <v>141318988</v>
      </c>
      <c r="R24" s="116">
        <v>185141825434</v>
      </c>
      <c r="S24" s="116">
        <v>82846.080000000002</v>
      </c>
      <c r="T24" s="130">
        <f t="shared" si="1"/>
        <v>1705.8017470470541</v>
      </c>
      <c r="U24" s="78"/>
    </row>
    <row r="25" spans="1:21" s="79" customFormat="1" ht="13.2" hidden="1">
      <c r="A25" s="129" t="s">
        <v>218</v>
      </c>
      <c r="B25" s="131">
        <f>SUM(F23:F25)</f>
        <v>15644490.398724083</v>
      </c>
      <c r="C25" s="131">
        <f>AVERAGE(F23:F25)</f>
        <v>5214830.1329080276</v>
      </c>
      <c r="D25" s="90">
        <f>C25/C22-1</f>
        <v>0.37742522148876745</v>
      </c>
      <c r="E25" s="286">
        <f>C25/C13-1</f>
        <v>1.075886395261942</v>
      </c>
      <c r="F25" s="78">
        <f>Q25/19</f>
        <v>5243139.3684210526</v>
      </c>
      <c r="G25" s="90">
        <f t="shared" si="2"/>
        <v>-0.18376809983055387</v>
      </c>
      <c r="H25" s="90">
        <f t="shared" si="3"/>
        <v>1.0604772585420741</v>
      </c>
      <c r="I25" s="130">
        <f t="shared" si="0"/>
        <v>873.7618272264516</v>
      </c>
      <c r="J25" s="130">
        <f t="shared" si="4"/>
        <v>0.4538703460941178</v>
      </c>
      <c r="K25" s="78">
        <f>R23+R24+R25</f>
        <v>425789939743</v>
      </c>
      <c r="L25" s="90">
        <f>U25/U22-1</f>
        <v>0.38523524665289655</v>
      </c>
      <c r="M25" s="90">
        <f>U25/U13-1</f>
        <v>1.0616315816373718</v>
      </c>
      <c r="N25" s="88">
        <f>AVERAGE(T23:T25)</f>
        <v>1086.8590092479997</v>
      </c>
      <c r="O25" s="91">
        <f>N25/N22-1</f>
        <v>0.40949839604655458</v>
      </c>
      <c r="P25" s="129" t="s">
        <v>218</v>
      </c>
      <c r="Q25" s="116">
        <v>99619648</v>
      </c>
      <c r="R25" s="116">
        <v>132144360679</v>
      </c>
      <c r="S25" s="116">
        <v>114012.36</v>
      </c>
      <c r="T25" s="130">
        <f t="shared" si="1"/>
        <v>873.7618272264516</v>
      </c>
      <c r="U25" s="85">
        <f>Q23+Q24+Q25</f>
        <v>324471610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4084321.1578947366</v>
      </c>
      <c r="G26" s="90">
        <f t="shared" si="2"/>
        <v>-0.22101609915345222</v>
      </c>
      <c r="H26" s="90">
        <f t="shared" si="3"/>
        <v>0.78602026820326532</v>
      </c>
      <c r="I26" s="130">
        <f t="shared" si="0"/>
        <v>744.19093197224242</v>
      </c>
      <c r="J26" s="130">
        <f t="shared" si="4"/>
        <v>4.6117452489275124E-2</v>
      </c>
      <c r="L26" s="90"/>
      <c r="M26" s="90"/>
      <c r="P26" s="129" t="s">
        <v>312</v>
      </c>
      <c r="Q26" s="116">
        <v>77602102</v>
      </c>
      <c r="R26" s="116">
        <v>104537176316</v>
      </c>
      <c r="S26" s="116">
        <v>104277.14</v>
      </c>
      <c r="T26" s="130">
        <f t="shared" si="1"/>
        <v>744.19093197224242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5800912.6818181816</v>
      </c>
      <c r="G27" s="90">
        <f t="shared" si="2"/>
        <v>0.42028808645602744</v>
      </c>
      <c r="H27" s="90">
        <f t="shared" si="3"/>
        <v>1.303822995305616</v>
      </c>
      <c r="I27" s="130">
        <f t="shared" si="0"/>
        <v>890.07378638772411</v>
      </c>
      <c r="J27" s="130">
        <f t="shared" si="4"/>
        <v>0.39144253895485881</v>
      </c>
      <c r="L27" s="90"/>
      <c r="M27" s="90"/>
      <c r="P27" s="129" t="s">
        <v>373</v>
      </c>
      <c r="Q27" s="116">
        <v>127620079</v>
      </c>
      <c r="R27" s="116">
        <v>168196386598</v>
      </c>
      <c r="S27" s="116">
        <v>143381.46</v>
      </c>
      <c r="T27" s="130">
        <f t="shared" si="1"/>
        <v>890.07378638772411</v>
      </c>
      <c r="U27" s="78"/>
    </row>
    <row r="28" spans="1:21" s="79" customFormat="1" ht="13.2" hidden="1">
      <c r="A28" s="123" t="s">
        <v>413</v>
      </c>
      <c r="B28" s="131">
        <f>SUM(F26:F28)</f>
        <v>17821955.997607656</v>
      </c>
      <c r="C28" s="131">
        <f>AVERAGE(F26:F28)</f>
        <v>5940651.9992025523</v>
      </c>
      <c r="D28" s="90">
        <f>C28/C25-1</f>
        <v>0.13918418199554528</v>
      </c>
      <c r="E28" s="286">
        <f>C28/C16-1</f>
        <v>1.5149599572783936</v>
      </c>
      <c r="F28" s="78">
        <f>Q28/19</f>
        <v>7936722.1578947371</v>
      </c>
      <c r="G28" s="90">
        <f t="shared" si="2"/>
        <v>0.36818507590552607</v>
      </c>
      <c r="H28" s="90">
        <f t="shared" si="3"/>
        <v>2.4785789772926634</v>
      </c>
      <c r="I28" s="130">
        <f t="shared" si="0"/>
        <v>1156.4086328282685</v>
      </c>
      <c r="J28" s="130">
        <f t="shared" si="4"/>
        <v>0.8799638556313174</v>
      </c>
      <c r="K28" s="78">
        <f>R26+R27+R28</f>
        <v>469299849219</v>
      </c>
      <c r="L28" s="90">
        <f>U28/U25-1</f>
        <v>9.7229745308071713E-2</v>
      </c>
      <c r="M28" s="90">
        <f>U28/U16-1</f>
        <v>1.3526582878474045</v>
      </c>
      <c r="N28" s="88">
        <f>AVERAGE(T26:T28)</f>
        <v>930.22445039607828</v>
      </c>
      <c r="O28" s="91">
        <f>N28/N25-1</f>
        <v>-0.14411672306999346</v>
      </c>
      <c r="P28" s="129" t="s">
        <v>413</v>
      </c>
      <c r="Q28" s="116">
        <v>150797721</v>
      </c>
      <c r="R28" s="116">
        <v>196566286305</v>
      </c>
      <c r="S28" s="116">
        <v>130401.76</v>
      </c>
      <c r="T28" s="130">
        <f t="shared" si="1"/>
        <v>1156.4086328282685</v>
      </c>
      <c r="U28" s="85">
        <f>Q26+Q27+Q28</f>
        <v>356019902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5271757.2272727275</v>
      </c>
      <c r="G29" s="190">
        <f t="shared" si="2"/>
        <v>-0.33577651801394381</v>
      </c>
      <c r="H29" s="190">
        <f t="shared" si="3"/>
        <v>0.40784645821320287</v>
      </c>
      <c r="I29" s="130">
        <f t="shared" si="0"/>
        <v>650.20857315354294</v>
      </c>
      <c r="J29" s="130">
        <f t="shared" si="4"/>
        <v>-0.18465248665681055</v>
      </c>
      <c r="K29" s="136"/>
      <c r="L29" s="190"/>
      <c r="M29" s="190"/>
      <c r="N29" s="191"/>
      <c r="O29" s="192"/>
      <c r="P29" s="129" t="s">
        <v>426</v>
      </c>
      <c r="Q29" s="116">
        <v>115978659</v>
      </c>
      <c r="R29" s="116">
        <v>152379071869</v>
      </c>
      <c r="S29" s="116">
        <v>178371.47</v>
      </c>
      <c r="T29" s="130">
        <f t="shared" si="1"/>
        <v>650.20857315354294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5919170.7894736845</v>
      </c>
      <c r="G30" s="190">
        <f t="shared" si="2"/>
        <v>0.12280792424424436</v>
      </c>
      <c r="H30" s="190">
        <f t="shared" si="3"/>
        <v>1.0151885781881704</v>
      </c>
      <c r="I30" s="130">
        <f t="shared" si="0"/>
        <v>1022.6367829639471</v>
      </c>
      <c r="J30" s="130">
        <f t="shared" si="4"/>
        <v>0.56883492794271384</v>
      </c>
      <c r="K30" s="136"/>
      <c r="L30" s="190"/>
      <c r="M30" s="190"/>
      <c r="N30" s="191"/>
      <c r="O30" s="192"/>
      <c r="P30" s="129" t="s">
        <v>469</v>
      </c>
      <c r="Q30" s="116">
        <v>112464245</v>
      </c>
      <c r="R30" s="116">
        <v>149943669891</v>
      </c>
      <c r="S30" s="116">
        <v>109974.77</v>
      </c>
      <c r="T30" s="130">
        <f t="shared" si="1"/>
        <v>1022.6367829639471</v>
      </c>
      <c r="U30" s="85"/>
    </row>
    <row r="31" spans="1:21" s="79" customFormat="1" ht="13.2" hidden="1">
      <c r="A31" s="129" t="s">
        <v>505</v>
      </c>
      <c r="B31" s="188">
        <f>SUM(F29:F31)</f>
        <v>16301205.666746413</v>
      </c>
      <c r="C31" s="188">
        <f>AVERAGE(F29:F31)</f>
        <v>5433735.2222488048</v>
      </c>
      <c r="D31" s="190">
        <f>C31/C28-1</f>
        <v>-8.5330158545188994E-2</v>
      </c>
      <c r="E31" s="287">
        <f>C31/C19-1</f>
        <v>0.94226719257224456</v>
      </c>
      <c r="F31" s="136">
        <f>Q31/20</f>
        <v>5110277.6500000004</v>
      </c>
      <c r="G31" s="190">
        <f t="shared" si="2"/>
        <v>-0.13665649602680385</v>
      </c>
      <c r="H31" s="190">
        <f t="shared" si="3"/>
        <v>1.9866465288403208</v>
      </c>
      <c r="I31" s="130">
        <f t="shared" si="0"/>
        <v>752.09772353418441</v>
      </c>
      <c r="J31" s="130">
        <f t="shared" si="4"/>
        <v>0.811839301375328</v>
      </c>
      <c r="K31" s="136">
        <f>R29+R30+R31</f>
        <v>438204999185</v>
      </c>
      <c r="L31" s="190">
        <f>U31/U28-1</f>
        <v>-7.1264119947990978E-2</v>
      </c>
      <c r="M31" s="190">
        <f>U31/U19-1</f>
        <v>0.93046042738205403</v>
      </c>
      <c r="N31" s="191">
        <f>AVERAGE(T29:T31)</f>
        <v>808.31435988389148</v>
      </c>
      <c r="O31" s="192">
        <f>N31/N28-1</f>
        <v>-0.13105448954849441</v>
      </c>
      <c r="P31" s="129" t="s">
        <v>505</v>
      </c>
      <c r="Q31" s="116">
        <v>102205553</v>
      </c>
      <c r="R31" s="116">
        <v>135882257425</v>
      </c>
      <c r="S31" s="116">
        <v>135893.98000000001</v>
      </c>
      <c r="T31" s="130">
        <f t="shared" si="1"/>
        <v>752.09772353418441</v>
      </c>
      <c r="U31" s="85">
        <f>Q29+Q30+Q31</f>
        <v>330648457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5615272.1428571427</v>
      </c>
      <c r="G32" s="190">
        <f t="shared" si="2"/>
        <v>9.8819384668295429E-2</v>
      </c>
      <c r="H32" s="190">
        <f t="shared" si="3"/>
        <v>0.31271528328446396</v>
      </c>
      <c r="I32" s="130">
        <f t="shared" si="0"/>
        <v>1031.6326195847162</v>
      </c>
      <c r="J32" s="130">
        <f t="shared" si="4"/>
        <v>0.2276382035870339</v>
      </c>
      <c r="K32" s="136"/>
      <c r="L32" s="190"/>
      <c r="M32" s="190"/>
      <c r="N32" s="191"/>
      <c r="O32" s="192"/>
      <c r="P32" s="129" t="s">
        <v>561</v>
      </c>
      <c r="Q32" s="116">
        <v>117920715</v>
      </c>
      <c r="R32" s="116">
        <v>161476932854</v>
      </c>
      <c r="S32" s="116">
        <v>114304.95</v>
      </c>
      <c r="T32" s="130">
        <f t="shared" si="1"/>
        <v>1031.6326195847162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6559554.4285714282</v>
      </c>
      <c r="G33" s="190">
        <f t="shared" si="2"/>
        <v>0.16816322730064859</v>
      </c>
      <c r="H33" s="190">
        <f t="shared" si="3"/>
        <v>1.7333811006400226</v>
      </c>
      <c r="I33" s="130">
        <f t="shared" si="0"/>
        <v>1054.9709116583354</v>
      </c>
      <c r="J33" s="130">
        <f t="shared" si="4"/>
        <v>0.90582704070159314</v>
      </c>
      <c r="K33" s="136"/>
      <c r="L33" s="190"/>
      <c r="M33" s="190"/>
      <c r="N33" s="191"/>
      <c r="O33" s="192"/>
      <c r="P33" s="129" t="s">
        <v>606</v>
      </c>
      <c r="Q33" s="116">
        <v>137750643</v>
      </c>
      <c r="R33" s="116">
        <v>188626095202</v>
      </c>
      <c r="S33" s="116">
        <v>130572.93</v>
      </c>
      <c r="T33" s="130">
        <f t="shared" si="1"/>
        <v>1054.9709116583354</v>
      </c>
      <c r="U33" s="85"/>
    </row>
    <row r="34" spans="1:21" s="79" customFormat="1" ht="13.2" hidden="1">
      <c r="A34" s="129" t="s">
        <v>652</v>
      </c>
      <c r="B34" s="188">
        <f>SUM(F32:F34)</f>
        <v>19322550.15037594</v>
      </c>
      <c r="C34" s="188">
        <f>AVERAGE(F32:F34)</f>
        <v>6440850.050125313</v>
      </c>
      <c r="D34" s="190">
        <f>C34/C31-1</f>
        <v>0.18534484782269245</v>
      </c>
      <c r="E34" s="287">
        <f>C34/C22-1</f>
        <v>0.70126141806319642</v>
      </c>
      <c r="F34" s="136">
        <f>Q34/19</f>
        <v>7147723.5789473681</v>
      </c>
      <c r="G34" s="190">
        <f t="shared" si="2"/>
        <v>8.9666021797769391E-2</v>
      </c>
      <c r="H34" s="190">
        <f t="shared" si="3"/>
        <v>0.52716658537051497</v>
      </c>
      <c r="I34" s="130">
        <f t="shared" si="0"/>
        <v>1029.7343227895951</v>
      </c>
      <c r="J34" s="130">
        <f t="shared" si="4"/>
        <v>0.12000755213114522</v>
      </c>
      <c r="K34" s="136">
        <f>R32+R33+R34</f>
        <v>536657196296</v>
      </c>
      <c r="L34" s="190">
        <f>U34/U31-1</f>
        <v>0.18397076324478356</v>
      </c>
      <c r="M34" s="190">
        <f>U34/U22-1</f>
        <v>0.67129959605439393</v>
      </c>
      <c r="N34" s="191">
        <f>AVERAGE(T32:T34)</f>
        <v>1038.779284677549</v>
      </c>
      <c r="O34" s="192">
        <f>N34/N31-1</f>
        <v>0.28511793954367226</v>
      </c>
      <c r="P34" s="129" t="s">
        <v>652</v>
      </c>
      <c r="Q34" s="116">
        <v>135806748</v>
      </c>
      <c r="R34" s="116">
        <v>186554168240</v>
      </c>
      <c r="S34" s="116">
        <v>131885.23000000001</v>
      </c>
      <c r="T34" s="130">
        <f t="shared" si="1"/>
        <v>1029.7343227895951</v>
      </c>
      <c r="U34" s="85">
        <f>Q32+Q33+Q34</f>
        <v>391478106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4743610.8260869561</v>
      </c>
      <c r="G35" s="190">
        <f t="shared" si="2"/>
        <v>-0.33634663208596849</v>
      </c>
      <c r="H35" s="190">
        <f t="shared" si="3"/>
        <v>0.1925329911972975</v>
      </c>
      <c r="I35" s="130">
        <f t="shared" si="0"/>
        <v>940.56939152033578</v>
      </c>
      <c r="J35" s="130">
        <f t="shared" si="4"/>
        <v>0.38113188032795398</v>
      </c>
      <c r="K35" s="136"/>
      <c r="L35" s="190"/>
      <c r="M35" s="190"/>
      <c r="N35" s="191"/>
      <c r="O35" s="192"/>
      <c r="P35" s="129" t="s">
        <v>659</v>
      </c>
      <c r="Q35" s="116">
        <v>109103049</v>
      </c>
      <c r="R35" s="116">
        <v>151003598606</v>
      </c>
      <c r="S35" s="116">
        <v>115996.81</v>
      </c>
      <c r="T35" s="130">
        <f t="shared" si="1"/>
        <v>940.56939152033578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12643096.428571429</v>
      </c>
      <c r="G36" s="190">
        <f t="shared" si="2"/>
        <v>1.6652895636046146</v>
      </c>
      <c r="H36" s="190">
        <f t="shared" si="3"/>
        <v>0.96822893628824636</v>
      </c>
      <c r="I36" s="130">
        <f t="shared" si="0"/>
        <v>1606.6611272702055</v>
      </c>
      <c r="J36" s="130">
        <f t="shared" si="4"/>
        <v>-5.8119661296204383E-2</v>
      </c>
      <c r="K36" s="136"/>
      <c r="L36" s="190"/>
      <c r="M36" s="190"/>
      <c r="N36" s="191"/>
      <c r="O36" s="192"/>
      <c r="P36" s="129" t="s">
        <v>664</v>
      </c>
      <c r="Q36" s="116">
        <v>265505025</v>
      </c>
      <c r="R36" s="116">
        <v>361278125717</v>
      </c>
      <c r="S36" s="116">
        <v>165252.66</v>
      </c>
      <c r="T36" s="130">
        <f t="shared" si="1"/>
        <v>1606.6611272702055</v>
      </c>
      <c r="U36" s="85"/>
    </row>
    <row r="37" spans="1:21" s="79" customFormat="1" ht="13.2" hidden="1">
      <c r="A37" s="129" t="s">
        <v>702</v>
      </c>
      <c r="B37" s="188">
        <f>SUM(F35:F37)</f>
        <v>22175816.69910283</v>
      </c>
      <c r="C37" s="188">
        <f>AVERAGE(F35:F37)</f>
        <v>7391938.8997009434</v>
      </c>
      <c r="D37" s="190">
        <f>C37/C34-1</f>
        <v>0.14766511286148098</v>
      </c>
      <c r="E37" s="287">
        <f>C37/C25-1</f>
        <v>0.41748411957933906</v>
      </c>
      <c r="F37" s="136">
        <f>Q37/18</f>
        <v>4789109.444444444</v>
      </c>
      <c r="G37" s="190">
        <f t="shared" si="2"/>
        <v>-0.62120755216089285</v>
      </c>
      <c r="H37" s="190">
        <f t="shared" si="3"/>
        <v>-8.6595051566088266E-2</v>
      </c>
      <c r="I37" s="130">
        <f t="shared" si="0"/>
        <v>850.58915386952378</v>
      </c>
      <c r="J37" s="130">
        <f t="shared" si="4"/>
        <v>-2.6520583338464188E-2</v>
      </c>
      <c r="K37" s="136">
        <f>R35+R36+R37</f>
        <v>627264769501</v>
      </c>
      <c r="L37" s="190">
        <f>U37/U34-1</f>
        <v>0.17710808583507354</v>
      </c>
      <c r="M37" s="190">
        <f>U37/U25-1</f>
        <v>0.42019218260728564</v>
      </c>
      <c r="N37" s="191">
        <f>AVERAGE(T35:T37)</f>
        <v>1132.6065575533551</v>
      </c>
      <c r="O37" s="192">
        <f>N37/N34-1</f>
        <v>9.0324551384302287E-2</v>
      </c>
      <c r="P37" s="129" t="s">
        <v>702</v>
      </c>
      <c r="Q37" s="116">
        <v>86203970</v>
      </c>
      <c r="R37" s="116">
        <v>114983045178</v>
      </c>
      <c r="S37" s="116">
        <v>101346.19</v>
      </c>
      <c r="T37" s="130">
        <f t="shared" si="1"/>
        <v>850.58915386952378</v>
      </c>
      <c r="U37" s="85">
        <f>Q35+Q36+Q37</f>
        <v>460812044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6867669.7000000002</v>
      </c>
      <c r="G38" s="190">
        <f t="shared" si="2"/>
        <v>0.43401811540698199</v>
      </c>
      <c r="H38" s="190">
        <f t="shared" si="3"/>
        <v>0.68147151864520383</v>
      </c>
      <c r="I38" s="130">
        <f t="shared" si="0"/>
        <v>1227.1251477695553</v>
      </c>
      <c r="J38" s="130">
        <f t="shared" si="4"/>
        <v>0.64893859230110285</v>
      </c>
      <c r="K38" s="136"/>
      <c r="L38" s="190"/>
      <c r="M38" s="190"/>
      <c r="N38" s="191"/>
      <c r="O38" s="192"/>
      <c r="P38" s="129" t="s">
        <v>725</v>
      </c>
      <c r="Q38" s="116">
        <v>137353394</v>
      </c>
      <c r="R38" s="116">
        <v>184312173319</v>
      </c>
      <c r="S38" s="116">
        <v>111931.04</v>
      </c>
      <c r="T38" s="130">
        <f t="shared" si="1"/>
        <v>1227.1251477695553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5127712.2380952379</v>
      </c>
      <c r="G39" s="190">
        <f t="shared" si="2"/>
        <v>-0.25335485512717104</v>
      </c>
      <c r="H39" s="190">
        <f t="shared" si="3"/>
        <v>-0.1160507803940849</v>
      </c>
      <c r="I39" s="130">
        <f t="shared" si="0"/>
        <v>759.32241719072454</v>
      </c>
      <c r="J39" s="130">
        <f t="shared" si="4"/>
        <v>-0.14689947192764885</v>
      </c>
      <c r="K39" s="136"/>
      <c r="L39" s="190"/>
      <c r="M39" s="190"/>
      <c r="N39" s="191"/>
      <c r="O39" s="192"/>
      <c r="P39" s="129" t="s">
        <v>762</v>
      </c>
      <c r="Q39" s="116">
        <v>107681957</v>
      </c>
      <c r="R39" s="116">
        <v>149424909497</v>
      </c>
      <c r="S39" s="116">
        <v>141813.22</v>
      </c>
      <c r="T39" s="130">
        <f t="shared" si="1"/>
        <v>759.32241719072454</v>
      </c>
      <c r="U39" s="85"/>
    </row>
    <row r="40" spans="1:21" s="79" customFormat="1" ht="13.2" hidden="1">
      <c r="A40" s="129" t="s">
        <v>777</v>
      </c>
      <c r="B40" s="188">
        <f>SUM(F38:F40)</f>
        <v>15537240.271428572</v>
      </c>
      <c r="C40" s="188">
        <f>AVERAGE(F38:F40)</f>
        <v>5179080.0904761907</v>
      </c>
      <c r="D40" s="190">
        <f>C40/C37-1</f>
        <v>-0.29936107958282487</v>
      </c>
      <c r="E40" s="287">
        <f>C40/C28-1</f>
        <v>-0.12819668764111947</v>
      </c>
      <c r="F40" s="136">
        <f>Q40/21</f>
        <v>3541858.3333333335</v>
      </c>
      <c r="G40" s="190">
        <f t="shared" si="2"/>
        <v>-0.30927123659166034</v>
      </c>
      <c r="H40" s="190">
        <f t="shared" si="3"/>
        <v>-0.55373789545975072</v>
      </c>
      <c r="I40" s="130">
        <f t="shared" si="0"/>
        <v>123.53976836803655</v>
      </c>
      <c r="J40" s="130">
        <f t="shared" si="4"/>
        <v>-0.89316945164453587</v>
      </c>
      <c r="K40" s="136">
        <f>R38+R39+R40</f>
        <v>439619246671</v>
      </c>
      <c r="L40" s="190">
        <f>U40/U37-1</f>
        <v>-0.30684455808190636</v>
      </c>
      <c r="M40" s="190">
        <f>U40/U28-1</f>
        <v>-0.10281876320498506</v>
      </c>
      <c r="N40" s="191">
        <f>AVERAGE(T38:T40)</f>
        <v>703.32911110943871</v>
      </c>
      <c r="O40" s="192">
        <f>N40/N37-1</f>
        <v>-0.37901727089699799</v>
      </c>
      <c r="P40" s="129" t="s">
        <v>777</v>
      </c>
      <c r="Q40" s="116">
        <v>74379025</v>
      </c>
      <c r="R40" s="116">
        <v>105882163855</v>
      </c>
      <c r="S40" s="116">
        <v>602065.43999999994</v>
      </c>
      <c r="T40" s="130">
        <f t="shared" si="1"/>
        <v>123.53976836803655</v>
      </c>
      <c r="U40" s="85">
        <f>Q38+Q39+Q40</f>
        <v>319414376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5374102.555555556</v>
      </c>
      <c r="G41" s="190">
        <f t="shared" si="2"/>
        <v>0.51731154941418866</v>
      </c>
      <c r="H41" s="190">
        <f t="shared" si="3"/>
        <v>1.9413892535369071E-2</v>
      </c>
      <c r="I41" s="130">
        <f t="shared" si="0"/>
        <v>832.0733681821705</v>
      </c>
      <c r="J41" s="130">
        <f t="shared" si="4"/>
        <v>0.27970224100026009</v>
      </c>
      <c r="K41" s="193"/>
      <c r="L41" s="190"/>
      <c r="M41" s="190"/>
      <c r="N41" s="193"/>
      <c r="O41" s="193"/>
      <c r="P41" s="129" t="s">
        <v>787</v>
      </c>
      <c r="Q41" s="116">
        <v>96733846</v>
      </c>
      <c r="R41" s="116">
        <v>141181856649</v>
      </c>
      <c r="S41" s="116">
        <v>116256.39</v>
      </c>
      <c r="T41" s="130">
        <f t="shared" si="1"/>
        <v>832.0733681821705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5742442.7000000002</v>
      </c>
      <c r="G42" s="190">
        <f t="shared" si="2"/>
        <v>6.85398428177868E-2</v>
      </c>
      <c r="H42" s="190">
        <f t="shared" si="3"/>
        <v>-2.9856899852926611E-2</v>
      </c>
      <c r="I42" s="130">
        <f t="shared" si="0"/>
        <v>765.2207592304967</v>
      </c>
      <c r="J42" s="130">
        <f t="shared" si="4"/>
        <v>-0.2517179393717599</v>
      </c>
      <c r="K42" s="193"/>
      <c r="L42" s="190"/>
      <c r="M42" s="190"/>
      <c r="N42" s="193"/>
      <c r="O42" s="193"/>
      <c r="P42" s="129" t="s">
        <v>826</v>
      </c>
      <c r="Q42" s="116">
        <v>114848854</v>
      </c>
      <c r="R42" s="116">
        <v>166016596698</v>
      </c>
      <c r="S42" s="116">
        <v>150085.91</v>
      </c>
      <c r="T42" s="130">
        <f t="shared" si="1"/>
        <v>765.2207592304967</v>
      </c>
      <c r="U42" s="78"/>
    </row>
    <row r="43" spans="1:21" s="79" customFormat="1" ht="13.2">
      <c r="A43" s="129" t="s">
        <v>834</v>
      </c>
      <c r="B43" s="188">
        <f>SUM(F41:F43)</f>
        <v>16848658.605555557</v>
      </c>
      <c r="C43" s="188">
        <f>AVERAGE(F41:F43)</f>
        <v>5616219.5351851853</v>
      </c>
      <c r="D43" s="190">
        <f>C43/C40-1</f>
        <v>8.440484353830513E-2</v>
      </c>
      <c r="E43" s="287">
        <f>C43/C31-1</f>
        <v>3.3583585778929059E-2</v>
      </c>
      <c r="F43" s="136">
        <f>Q43/20</f>
        <v>5732113.3499999996</v>
      </c>
      <c r="G43" s="190">
        <f t="shared" si="2"/>
        <v>-1.7987728462663943E-3</v>
      </c>
      <c r="H43" s="190">
        <f t="shared" si="3"/>
        <v>0.12168334924032931</v>
      </c>
      <c r="I43" s="130">
        <f t="shared" si="0"/>
        <v>926.29077812704213</v>
      </c>
      <c r="J43" s="130">
        <f t="shared" si="4"/>
        <v>0.23160960223932969</v>
      </c>
      <c r="K43" s="136">
        <f>R41+R42+R43</f>
        <v>472867501552</v>
      </c>
      <c r="L43" s="190">
        <f>U43/U40-1</f>
        <v>2.132211795000738E-2</v>
      </c>
      <c r="M43" s="190">
        <f>K43/K31-1</f>
        <v>7.9101111195598817E-2</v>
      </c>
      <c r="N43" s="191">
        <f>AVERAGE(T41:T43)</f>
        <v>841.1949685132364</v>
      </c>
      <c r="O43" s="192">
        <f>N43/N40-1</f>
        <v>0.19601898346895763</v>
      </c>
      <c r="P43" s="129" t="s">
        <v>834</v>
      </c>
      <c r="Q43" s="116">
        <v>114642267</v>
      </c>
      <c r="R43" s="116">
        <v>165669048205</v>
      </c>
      <c r="S43" s="116">
        <v>123764.88</v>
      </c>
      <c r="T43" s="130">
        <f t="shared" si="1"/>
        <v>926.29077812704213</v>
      </c>
      <c r="U43" s="85">
        <f>Q41+Q42+Q43</f>
        <v>326224967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10467593.227272727</v>
      </c>
      <c r="G44" s="190">
        <f t="shared" si="2"/>
        <v>0.82613158326199665</v>
      </c>
      <c r="H44" s="190">
        <f t="shared" si="3"/>
        <v>0.86412928188848981</v>
      </c>
      <c r="I44" s="130">
        <f t="shared" si="0"/>
        <v>1177.7773044127655</v>
      </c>
      <c r="J44" s="130">
        <f t="shared" si="4"/>
        <v>0.14166349730864458</v>
      </c>
      <c r="K44" s="136"/>
      <c r="L44" s="190"/>
      <c r="M44" s="190"/>
      <c r="N44" s="191"/>
      <c r="O44" s="192"/>
      <c r="P44" s="129" t="s">
        <v>838</v>
      </c>
      <c r="Q44" s="116">
        <v>230287051</v>
      </c>
      <c r="R44" s="116">
        <v>333135296371</v>
      </c>
      <c r="S44" s="116">
        <v>195526.82</v>
      </c>
      <c r="T44" s="130">
        <f t="shared" si="1"/>
        <v>1177.7773044127655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6158049.7999999998</v>
      </c>
      <c r="G45" s="190">
        <f t="shared" si="2"/>
        <v>-0.41170337189302053</v>
      </c>
      <c r="H45" s="190">
        <f t="shared" si="3"/>
        <v>-6.1209131343219925E-2</v>
      </c>
      <c r="I45" s="130">
        <f t="shared" si="0"/>
        <v>971.53783192626099</v>
      </c>
      <c r="J45" s="130">
        <f t="shared" si="4"/>
        <v>-7.9085668438880319E-2</v>
      </c>
      <c r="K45" s="136"/>
      <c r="L45" s="190"/>
      <c r="M45" s="190"/>
      <c r="N45" s="191"/>
      <c r="O45" s="192"/>
      <c r="P45" s="129" t="s">
        <v>847</v>
      </c>
      <c r="Q45" s="116">
        <v>123160996</v>
      </c>
      <c r="R45" s="116">
        <v>173877448936</v>
      </c>
      <c r="S45" s="116">
        <v>126769.12</v>
      </c>
      <c r="T45" s="130">
        <f t="shared" si="1"/>
        <v>971.53783192626099</v>
      </c>
      <c r="U45" s="85"/>
    </row>
    <row r="46" spans="1:21" s="79" customFormat="1" ht="13.2">
      <c r="A46" s="129" t="s">
        <v>888</v>
      </c>
      <c r="B46" s="188">
        <f>SUM(F44:F46)</f>
        <v>24525213.500956938</v>
      </c>
      <c r="C46" s="188">
        <f>AVERAGE(F44:F46)</f>
        <v>8175071.1669856459</v>
      </c>
      <c r="D46" s="189">
        <f>C46/C43-1</f>
        <v>0.45561816374332431</v>
      </c>
      <c r="E46" s="287">
        <f>C46/C34-1</f>
        <v>0.26925345309453252</v>
      </c>
      <c r="F46" s="136">
        <f>Q46/19</f>
        <v>7899570.4736842103</v>
      </c>
      <c r="G46" s="190">
        <f t="shared" si="2"/>
        <v>0.28280392823133882</v>
      </c>
      <c r="H46" s="190">
        <f t="shared" si="3"/>
        <v>0.10518690131656783</v>
      </c>
      <c r="I46" s="130">
        <f t="shared" si="0"/>
        <v>1120.3181831854906</v>
      </c>
      <c r="J46" s="130">
        <f t="shared" si="4"/>
        <v>8.796818595936462E-2</v>
      </c>
      <c r="K46" s="136">
        <f>R44+R45+R46</f>
        <v>712947834749</v>
      </c>
      <c r="L46" s="190">
        <f>U46/U43-1</f>
        <v>0.54353570982198929</v>
      </c>
      <c r="M46" s="190">
        <f>K46/K34-1</f>
        <v>0.32849766977831552</v>
      </c>
      <c r="N46" s="191">
        <f>AVERAGE(T44:T46)</f>
        <v>1089.8777731748389</v>
      </c>
      <c r="O46" s="219">
        <f>N46/N43-1</f>
        <v>0.2956303995744709</v>
      </c>
      <c r="P46" s="129" t="s">
        <v>888</v>
      </c>
      <c r="Q46" s="116">
        <v>150091839</v>
      </c>
      <c r="R46" s="116">
        <v>205935089442</v>
      </c>
      <c r="S46" s="116">
        <v>133972.51</v>
      </c>
      <c r="T46" s="130">
        <f t="shared" si="1"/>
        <v>1120.3181831854906</v>
      </c>
      <c r="U46" s="85">
        <f t="shared" ref="U46:U51" si="5">Q44+Q45+Q46</f>
        <v>503539886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6649571.4347826084</v>
      </c>
      <c r="G47" s="190">
        <f t="shared" si="2"/>
        <v>-0.15823632981890801</v>
      </c>
      <c r="H47" s="190">
        <f t="shared" si="3"/>
        <v>0.40179531554613113</v>
      </c>
      <c r="I47" s="130">
        <f t="shared" si="0"/>
        <v>239.97272309459771</v>
      </c>
      <c r="J47" s="130">
        <f t="shared" si="4"/>
        <v>-0.74486441377099677</v>
      </c>
      <c r="K47" s="136"/>
      <c r="L47" s="190"/>
      <c r="M47" s="190"/>
      <c r="N47" s="191"/>
      <c r="O47" s="219"/>
      <c r="P47" s="129" t="s">
        <v>989</v>
      </c>
      <c r="Q47" s="116">
        <v>152940143</v>
      </c>
      <c r="R47" s="116">
        <v>209494267189</v>
      </c>
      <c r="S47" s="116">
        <v>637323.03</v>
      </c>
      <c r="T47" s="130">
        <f t="shared" si="1"/>
        <v>239.97272309459771</v>
      </c>
      <c r="U47" s="85">
        <f t="shared" si="5"/>
        <v>426192978</v>
      </c>
    </row>
    <row r="48" spans="1:21" s="79" customFormat="1" ht="13.2">
      <c r="A48" s="129" t="s">
        <v>1113</v>
      </c>
      <c r="B48" s="188"/>
      <c r="C48" s="188"/>
      <c r="D48" s="189"/>
      <c r="E48" s="287"/>
      <c r="F48" s="136">
        <f>Q48/20</f>
        <v>5748737.2999999998</v>
      </c>
      <c r="G48" s="190">
        <f t="shared" ref="G48" si="6">F48/F47-1</f>
        <v>-0.13547251031405139</v>
      </c>
      <c r="H48" s="190">
        <f t="shared" ref="H48" si="7">F48/F36-1</f>
        <v>-0.54530622047548816</v>
      </c>
      <c r="I48" s="130">
        <f t="shared" si="0"/>
        <v>1225.5352981593533</v>
      </c>
      <c r="J48" s="130">
        <f t="shared" si="4"/>
        <v>-0.23721606419793284</v>
      </c>
      <c r="K48" s="136"/>
      <c r="L48" s="190"/>
      <c r="M48" s="190"/>
      <c r="N48" s="191"/>
      <c r="O48" s="219"/>
      <c r="P48" s="129" t="s">
        <v>1120</v>
      </c>
      <c r="Q48" s="116">
        <v>114974746</v>
      </c>
      <c r="R48" s="116">
        <v>159688525961</v>
      </c>
      <c r="S48" s="116">
        <v>93815.94</v>
      </c>
      <c r="T48" s="130">
        <f t="shared" ref="T48" si="8">Q48/S48</f>
        <v>1225.5352981593533</v>
      </c>
      <c r="U48" s="85">
        <f t="shared" si="5"/>
        <v>418006728</v>
      </c>
    </row>
    <row r="49" spans="1:26" ht="13.2">
      <c r="A49" s="129" t="s">
        <v>1207</v>
      </c>
      <c r="B49" s="188">
        <f>SUM(F47:F49)</f>
        <v>18750442.598418973</v>
      </c>
      <c r="C49" s="188">
        <f>AVERAGE(F47:F49)</f>
        <v>6250147.5328063248</v>
      </c>
      <c r="D49" s="189">
        <f>C49/C46-1</f>
        <v>-0.23546261492535592</v>
      </c>
      <c r="E49" s="287">
        <f>C49/C37-1</f>
        <v>-0.15446439457728911</v>
      </c>
      <c r="F49" s="136">
        <f>Q49/22</f>
        <v>6352133.8636363633</v>
      </c>
      <c r="G49" s="190">
        <f t="shared" ref="G49" si="9">F49/F48-1</f>
        <v>0.10496158236981246</v>
      </c>
      <c r="H49" s="190">
        <f t="shared" ref="H49" si="10">F49/F37-1</f>
        <v>0.32637057835566674</v>
      </c>
      <c r="I49" s="130">
        <f t="shared" si="0"/>
        <v>1103.2244778930296</v>
      </c>
      <c r="J49" s="130">
        <f t="shared" si="4"/>
        <v>0.29701216253958829</v>
      </c>
      <c r="K49" s="136">
        <f>R47+R48+R49</f>
        <v>563604965419</v>
      </c>
      <c r="L49" s="190">
        <f>U49/U46-1</f>
        <v>-0.19040805835984953</v>
      </c>
      <c r="M49" s="190">
        <f>K49/K37-1</f>
        <v>-0.101487931695323</v>
      </c>
      <c r="N49" s="191">
        <f>AVERAGE(T47:T49)</f>
        <v>856.24416638232685</v>
      </c>
      <c r="O49" s="219">
        <f>N49/N46-1</f>
        <v>-0.2143667964820789</v>
      </c>
      <c r="P49" s="129" t="s">
        <v>1165</v>
      </c>
      <c r="Q49" s="116">
        <v>139746945</v>
      </c>
      <c r="R49" s="116">
        <v>194422172269</v>
      </c>
      <c r="S49" s="116">
        <v>126671.36</v>
      </c>
      <c r="T49" s="130">
        <f t="shared" ref="T49" si="11">Q49/S49</f>
        <v>1103.2244778930296</v>
      </c>
      <c r="U49" s="85">
        <f t="shared" si="5"/>
        <v>407661834</v>
      </c>
      <c r="V49" s="79"/>
      <c r="W49" s="79"/>
      <c r="X49" s="79"/>
      <c r="Y49" s="79"/>
      <c r="Z49" s="79"/>
    </row>
    <row r="50" spans="1:26" ht="13.2">
      <c r="A50" s="129" t="s">
        <v>1328</v>
      </c>
      <c r="B50" s="188"/>
      <c r="C50" s="188"/>
      <c r="D50" s="190"/>
      <c r="E50" s="287"/>
      <c r="F50" s="136">
        <f>Q50/18</f>
        <v>8419750.222222222</v>
      </c>
      <c r="G50" s="190">
        <f t="shared" ref="G50" si="12">F50/F49-1</f>
        <v>0.3254994940239222</v>
      </c>
      <c r="H50" s="190">
        <f t="shared" ref="H50" si="13">F50/F38-1</f>
        <v>0.22599813182952322</v>
      </c>
      <c r="I50" s="130">
        <f t="shared" ref="I50" si="14">T50</f>
        <v>1390.9501124559074</v>
      </c>
      <c r="J50" s="130">
        <f t="shared" ref="J50" si="15">I50/I38-1</f>
        <v>0.13350306200155981</v>
      </c>
      <c r="K50" s="136"/>
      <c r="L50" s="190"/>
      <c r="M50" s="190"/>
      <c r="N50" s="191"/>
      <c r="O50" s="192"/>
      <c r="P50" s="129" t="s">
        <v>1291</v>
      </c>
      <c r="Q50" s="116">
        <v>151555504</v>
      </c>
      <c r="R50" s="116">
        <v>214068790266</v>
      </c>
      <c r="S50" s="116">
        <v>108958.26</v>
      </c>
      <c r="T50" s="130">
        <f t="shared" ref="T50" si="16">Q50/S50</f>
        <v>1390.9501124559074</v>
      </c>
      <c r="U50" s="85">
        <f t="shared" si="5"/>
        <v>406277195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7113119.4500000002</v>
      </c>
      <c r="G51" s="190">
        <f t="shared" ref="G51:G52" si="17">F51/F50-1</f>
        <v>-0.15518640550329332</v>
      </c>
      <c r="H51" s="190">
        <f t="shared" ref="H51:H52" si="18">F51/F39-1</f>
        <v>0.3871916206909205</v>
      </c>
      <c r="I51" s="130">
        <f t="shared" ref="I51:I52" si="19">T51</f>
        <v>831.28571843447673</v>
      </c>
      <c r="J51" s="130">
        <f t="shared" ref="J51:J52" si="20">I51/I39-1</f>
        <v>9.477304978035006E-2</v>
      </c>
      <c r="K51" s="136"/>
      <c r="L51" s="190"/>
      <c r="M51" s="190"/>
      <c r="N51" s="191"/>
      <c r="O51" s="192"/>
      <c r="P51" s="129" t="s">
        <v>1402</v>
      </c>
      <c r="Q51" s="116">
        <v>142262389</v>
      </c>
      <c r="R51" s="116">
        <v>206423045274</v>
      </c>
      <c r="S51" s="116">
        <v>171135.37</v>
      </c>
      <c r="T51" s="130">
        <f t="shared" ref="T51:T52" si="21">Q51/S51</f>
        <v>831.28571843447673</v>
      </c>
      <c r="U51" s="85">
        <f t="shared" si="5"/>
        <v>433564838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20847239.535858586</v>
      </c>
      <c r="C52" s="188">
        <f>AVERAGE(F50:F52)</f>
        <v>6949079.8452861952</v>
      </c>
      <c r="D52" s="190">
        <f>C52/C49-1</f>
        <v>0.11182653030368539</v>
      </c>
      <c r="E52" s="287">
        <f>C52/C40-1</f>
        <v>0.34175948699168734</v>
      </c>
      <c r="F52" s="136">
        <f>Q52/22</f>
        <v>5314369.8636363633</v>
      </c>
      <c r="G52" s="190">
        <f t="shared" si="17"/>
        <v>-0.25287774217873382</v>
      </c>
      <c r="H52" s="190">
        <f t="shared" si="18"/>
        <v>0.5004467608490919</v>
      </c>
      <c r="I52" s="130">
        <f t="shared" si="19"/>
        <v>1074.0759995428689</v>
      </c>
      <c r="J52" s="130">
        <f t="shared" si="20"/>
        <v>7.6941720365145567</v>
      </c>
      <c r="K52" s="136">
        <f>R50+R51+R52</f>
        <v>592464031605</v>
      </c>
      <c r="L52" s="190">
        <f>U52/U49-1</f>
        <v>7.5361383965122375E-3</v>
      </c>
      <c r="M52" s="190">
        <f>K52/K40-1</f>
        <v>0.3476753715662162</v>
      </c>
      <c r="N52" s="191">
        <f>AVERAGE(T50:T52)</f>
        <v>1098.7706101444176</v>
      </c>
      <c r="O52" s="192">
        <f>N52/N49-1</f>
        <v>0.28324449179814759</v>
      </c>
      <c r="P52" s="129" t="s">
        <v>1403</v>
      </c>
      <c r="Q52" s="116">
        <v>116916137</v>
      </c>
      <c r="R52" s="116">
        <v>171972196065</v>
      </c>
      <c r="S52" s="116">
        <v>108852.76</v>
      </c>
      <c r="T52" s="130">
        <f t="shared" si="21"/>
        <v>1074.0759995428689</v>
      </c>
      <c r="U52" s="85">
        <f t="shared" ref="U52" si="22">Q50+Q51+Q52</f>
        <v>410734030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6877503.7142857146</v>
      </c>
      <c r="G53" s="190">
        <f t="shared" ref="G53" si="23">F53/F52-1</f>
        <v>0.29413343270386805</v>
      </c>
      <c r="H53" s="190">
        <f t="shared" ref="H53" si="24">F53/F41-1</f>
        <v>0.27974924988656857</v>
      </c>
      <c r="I53" s="130">
        <f t="shared" ref="I53" si="25">T53</f>
        <v>1041.9279171170426</v>
      </c>
      <c r="J53" s="130">
        <f t="shared" ref="J53" si="26">I53/I41-1</f>
        <v>0.25220678483357917</v>
      </c>
      <c r="K53" s="136"/>
      <c r="L53" s="190"/>
      <c r="M53" s="190"/>
      <c r="N53" s="191"/>
      <c r="O53" s="192"/>
      <c r="P53" s="129" t="s">
        <v>1414</v>
      </c>
      <c r="Q53" s="116">
        <v>144427578</v>
      </c>
      <c r="R53" s="116">
        <v>211011845387</v>
      </c>
      <c r="S53" s="116">
        <v>138615.71</v>
      </c>
      <c r="T53" s="130">
        <f t="shared" ref="T53" si="27">Q53/S53</f>
        <v>1041.9279171170426</v>
      </c>
      <c r="U53" s="85">
        <f t="shared" ref="U53" si="28">Q51+Q52+Q53</f>
        <v>403606104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9934613.7058823537</v>
      </c>
      <c r="G54" s="190">
        <f t="shared" ref="G54" si="29">F54/F53-1</f>
        <v>0.44450866456771454</v>
      </c>
      <c r="H54" s="190">
        <f t="shared" ref="H54" si="30">F54/F42-1</f>
        <v>0.73003270992714531</v>
      </c>
      <c r="I54" s="130">
        <f t="shared" ref="I54" si="31">T54</f>
        <v>1446.1940271093038</v>
      </c>
      <c r="J54" s="130">
        <f t="shared" ref="J54" si="32">I54/I42-1</f>
        <v>0.8899043310894903</v>
      </c>
      <c r="K54" s="136"/>
      <c r="L54" s="190"/>
      <c r="M54" s="190"/>
      <c r="N54" s="191"/>
      <c r="O54" s="192"/>
      <c r="P54" s="129" t="s">
        <v>1417</v>
      </c>
      <c r="Q54" s="116">
        <v>168888433</v>
      </c>
      <c r="R54" s="116">
        <v>244441141312</v>
      </c>
      <c r="S54" s="116">
        <v>116781.31</v>
      </c>
      <c r="T54" s="130">
        <f t="shared" ref="T54" si="33">Q54/S54</f>
        <v>1446.1940271093038</v>
      </c>
      <c r="U54" s="85">
        <f t="shared" ref="U54" si="34">Q52+Q53+Q54</f>
        <v>430232148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28163271.039215688</v>
      </c>
      <c r="C55" s="188">
        <f>AVERAGE(F53:F55)</f>
        <v>9387757.0130718965</v>
      </c>
      <c r="D55" s="190">
        <f>C55/C52-1</f>
        <v>0.35093526367234684</v>
      </c>
      <c r="E55" s="287">
        <f>C55/C43-1</f>
        <v>0.6715438123916484</v>
      </c>
      <c r="F55" s="136">
        <f>Q55/21</f>
        <v>11351153.619047619</v>
      </c>
      <c r="G55" s="190">
        <f t="shared" ref="G55" si="35">F55/F54-1</f>
        <v>0.14258631035915603</v>
      </c>
      <c r="H55" s="190">
        <f t="shared" ref="H55" si="36">F55/F43-1</f>
        <v>0.98027375349226475</v>
      </c>
      <c r="I55" s="130">
        <f>T55</f>
        <v>1585.3877553463574</v>
      </c>
      <c r="J55" s="130">
        <f t="shared" ref="J55" si="37">I55/I43-1</f>
        <v>0.71154435818956108</v>
      </c>
      <c r="K55" s="136">
        <f>R53+R54+R55</f>
        <v>808038194012</v>
      </c>
      <c r="L55" s="190">
        <f>U55/U52-1</f>
        <v>0.34318122362542014</v>
      </c>
      <c r="M55" s="190">
        <f>K55/K43-1</f>
        <v>0.70880466803054798</v>
      </c>
      <c r="N55" s="191">
        <f>AVERAGE(T53:T55)</f>
        <v>1357.8365665242345</v>
      </c>
      <c r="O55" s="192">
        <f>N55/N52-1</f>
        <v>0.23577801771178297</v>
      </c>
      <c r="P55" s="129" t="s">
        <v>1418</v>
      </c>
      <c r="Q55" s="116">
        <v>238374226</v>
      </c>
      <c r="R55" s="116">
        <v>352585207313</v>
      </c>
      <c r="S55" s="116">
        <v>150357.04999999999</v>
      </c>
      <c r="T55" s="130">
        <f t="shared" ref="T55" si="38">Q55/S55</f>
        <v>1585.3877553463574</v>
      </c>
      <c r="U55" s="85">
        <f t="shared" ref="U55" si="39">Q53+Q54+Q55</f>
        <v>551690237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5577514.6363636367</v>
      </c>
      <c r="G56" s="190">
        <f t="shared" ref="G56" si="40">F56/F55-1</f>
        <v>-0.50863896097711347</v>
      </c>
      <c r="H56" s="190">
        <f t="shared" ref="H56" si="41">F56/F44-1</f>
        <v>-0.4671636053040602</v>
      </c>
      <c r="I56" s="291">
        <f>T56</f>
        <v>1153.8924030248161</v>
      </c>
      <c r="J56" s="130">
        <f t="shared" ref="J56" si="42">I56/I44-1</f>
        <v>-2.0279641404584825E-2</v>
      </c>
      <c r="K56" s="136"/>
      <c r="L56" s="190"/>
      <c r="M56" s="190"/>
      <c r="N56" s="191"/>
      <c r="O56" s="192"/>
      <c r="P56" s="129" t="s">
        <v>1420</v>
      </c>
      <c r="Q56" s="116">
        <v>122705322</v>
      </c>
      <c r="R56" s="116">
        <v>183610675547</v>
      </c>
      <c r="S56" s="116">
        <v>106340.35</v>
      </c>
      <c r="T56" s="130">
        <f t="shared" ref="T56" si="43">Q56/S56</f>
        <v>1153.8924030248161</v>
      </c>
      <c r="U56" s="85">
        <f t="shared" ref="U56" si="44">Q54+Q55+Q56</f>
        <v>529967981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7165868.166666667</v>
      </c>
      <c r="G57" s="254">
        <f t="shared" ref="G57" si="45">F57/F56-1</f>
        <v>0.28477801204634523</v>
      </c>
      <c r="H57" s="254">
        <f t="shared" ref="H57" si="46">F57/F45-1</f>
        <v>0.16365869055925253</v>
      </c>
      <c r="I57" s="282">
        <f>T57</f>
        <v>1191.5852787899682</v>
      </c>
      <c r="J57" s="277">
        <f t="shared" ref="J57" si="47">I57/I45-1</f>
        <v>0.22649395590434263</v>
      </c>
      <c r="K57" s="204"/>
      <c r="L57" s="254"/>
      <c r="M57" s="254"/>
      <c r="N57" s="257"/>
      <c r="O57" s="258"/>
      <c r="P57" s="129" t="s">
        <v>1436</v>
      </c>
      <c r="Q57" s="116">
        <v>85990418</v>
      </c>
      <c r="R57" s="116">
        <v>126683410549</v>
      </c>
      <c r="S57" s="116">
        <v>72164.72</v>
      </c>
      <c r="T57" s="130">
        <f t="shared" ref="T57" si="48">Q57/S57</f>
        <v>1191.5852787899682</v>
      </c>
      <c r="U57" s="85">
        <f t="shared" ref="U57" si="49">Q55+Q56+Q57</f>
        <v>447069966</v>
      </c>
      <c r="V57" s="79"/>
      <c r="W57" s="79"/>
      <c r="X57" s="79"/>
      <c r="Y57" s="79"/>
      <c r="Z57" s="79"/>
    </row>
    <row r="58" spans="1:26">
      <c r="B58" s="196">
        <f>SUM(F56:F58)</f>
        <v>12743382.803030305</v>
      </c>
      <c r="C58" s="196">
        <f>AVERAGE(F56:F58)</f>
        <v>6371691.4015151523</v>
      </c>
      <c r="D58" s="197">
        <f>C58/C55-1</f>
        <v>-0.32127648887343918</v>
      </c>
      <c r="E58" s="233">
        <f>C58/C46-1</f>
        <v>-0.22059499283055717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760385977</v>
      </c>
      <c r="R64" s="212">
        <v>1118332280108</v>
      </c>
      <c r="S64" s="213">
        <v>584259.16</v>
      </c>
      <c r="T64" s="214">
        <v>57</v>
      </c>
      <c r="U64" s="214">
        <v>161</v>
      </c>
    </row>
    <row r="65" spans="16:21" ht="18" thickBot="1">
      <c r="P65" s="180" t="s">
        <v>976</v>
      </c>
      <c r="Q65" s="181">
        <v>144427578</v>
      </c>
      <c r="R65" s="181">
        <v>211011845387</v>
      </c>
      <c r="S65" s="182">
        <v>138615.71</v>
      </c>
      <c r="T65" s="210">
        <v>30</v>
      </c>
      <c r="U65" s="210">
        <v>77</v>
      </c>
    </row>
    <row r="66" spans="16:21" ht="18" thickBot="1">
      <c r="P66" s="180" t="s">
        <v>977</v>
      </c>
      <c r="Q66" s="181">
        <v>168888433</v>
      </c>
      <c r="R66" s="181">
        <v>244441141312</v>
      </c>
      <c r="S66" s="182">
        <v>116781.31</v>
      </c>
      <c r="T66" s="210">
        <v>30</v>
      </c>
      <c r="U66" s="210">
        <v>74</v>
      </c>
    </row>
    <row r="67" spans="16:21" ht="18" thickBot="1">
      <c r="P67" s="180" t="s">
        <v>978</v>
      </c>
      <c r="Q67" s="181">
        <v>238374226</v>
      </c>
      <c r="R67" s="181">
        <v>352585207313</v>
      </c>
      <c r="S67" s="182">
        <v>150357.04999999999</v>
      </c>
      <c r="T67" s="210">
        <v>39</v>
      </c>
      <c r="U67" s="210">
        <v>74</v>
      </c>
    </row>
    <row r="68" spans="16:21" ht="18" thickBot="1">
      <c r="P68" s="180" t="s">
        <v>979</v>
      </c>
      <c r="Q68" s="181">
        <v>122705322</v>
      </c>
      <c r="R68" s="181">
        <v>183610675547</v>
      </c>
      <c r="S68" s="182">
        <v>106340.35</v>
      </c>
      <c r="T68" s="210">
        <v>32</v>
      </c>
      <c r="U68" s="210">
        <v>76</v>
      </c>
    </row>
    <row r="69" spans="16:21" ht="18" thickBot="1">
      <c r="P69" s="180" t="s">
        <v>980</v>
      </c>
      <c r="Q69" s="181">
        <v>85990418</v>
      </c>
      <c r="R69" s="181">
        <v>126683410549</v>
      </c>
      <c r="S69" s="182">
        <v>72164.72</v>
      </c>
      <c r="T69" s="210">
        <v>22</v>
      </c>
      <c r="U69" s="210">
        <v>49</v>
      </c>
    </row>
    <row r="70" spans="16:21" ht="18" thickBot="1">
      <c r="P70" s="180" t="s">
        <v>975</v>
      </c>
      <c r="Q70" s="181">
        <v>1647972789</v>
      </c>
      <c r="R70" s="181">
        <v>2341607096862</v>
      </c>
      <c r="S70" s="182">
        <v>2093051.96</v>
      </c>
      <c r="T70" s="210">
        <v>93</v>
      </c>
      <c r="U70" s="210">
        <v>296</v>
      </c>
    </row>
    <row r="71" spans="16:21" ht="18" thickBot="1">
      <c r="P71" s="215" t="s">
        <v>982</v>
      </c>
      <c r="Q71" s="216">
        <v>1502</v>
      </c>
      <c r="R71"/>
      <c r="S71"/>
      <c r="T71"/>
      <c r="U71"/>
    </row>
  </sheetData>
  <phoneticPr fontId="1" type="noConversion"/>
  <conditionalFormatting sqref="C29:C30">
    <cfRule type="cellIs" dxfId="25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3CE-C277-44C4-94EE-44738462812E}">
  <dimension ref="A1:Z73"/>
  <sheetViews>
    <sheetView topLeftCell="B1" zoomScale="145" zoomScaleNormal="145" workbookViewId="0">
      <selection activeCell="F60" sqref="F6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3105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1527602.4</v>
      </c>
      <c r="G5" s="90"/>
      <c r="H5" s="90"/>
      <c r="I5" s="130">
        <f t="shared" ref="I5:I54" si="0">T5</f>
        <v>0.58724434402241932</v>
      </c>
      <c r="J5" s="130"/>
      <c r="L5" s="80"/>
      <c r="M5" s="80"/>
      <c r="P5" s="129" t="s">
        <v>0</v>
      </c>
      <c r="Q5" s="116">
        <v>30552048</v>
      </c>
      <c r="R5" s="116">
        <v>36108290173</v>
      </c>
      <c r="S5" s="116">
        <v>52026125.600000001</v>
      </c>
      <c r="T5" s="130">
        <f t="shared" ref="T5:T56" si="1">Q5/S5</f>
        <v>0.58724434402241932</v>
      </c>
      <c r="U5" s="85"/>
    </row>
    <row r="6" spans="1:21" ht="15" hidden="1" customHeight="1">
      <c r="A6" s="129" t="s">
        <v>1</v>
      </c>
      <c r="C6" s="79"/>
      <c r="F6" s="78">
        <f>Q6/18</f>
        <v>1740304.5</v>
      </c>
      <c r="G6" s="90">
        <f t="shared" ref="G6:G56" si="2">F6/F5-1</f>
        <v>0.13923917637207173</v>
      </c>
      <c r="H6" s="90"/>
      <c r="I6" s="130">
        <f t="shared" si="0"/>
        <v>0.57152618668055288</v>
      </c>
      <c r="J6" s="130"/>
      <c r="P6" s="129" t="s">
        <v>1</v>
      </c>
      <c r="Q6" s="116">
        <v>31325481</v>
      </c>
      <c r="R6" s="116">
        <v>37164210786</v>
      </c>
      <c r="S6" s="116">
        <v>54810228.700000003</v>
      </c>
      <c r="T6" s="130">
        <f t="shared" si="1"/>
        <v>0.57152618668055288</v>
      </c>
      <c r="U6" s="85"/>
    </row>
    <row r="7" spans="1:21" ht="15" hidden="1" customHeight="1">
      <c r="A7" s="129" t="s">
        <v>2</v>
      </c>
      <c r="B7" s="131">
        <f>F5+F6+F7</f>
        <v>4437471.2636363637</v>
      </c>
      <c r="C7" s="131">
        <f>AVERAGE(F5:F7)</f>
        <v>1479157.0878787879</v>
      </c>
      <c r="F7" s="78">
        <f>Q7/22</f>
        <v>1169564.3636363635</v>
      </c>
      <c r="G7" s="90">
        <f t="shared" si="2"/>
        <v>-0.32795418064116733</v>
      </c>
      <c r="H7" s="90"/>
      <c r="I7" s="130">
        <f t="shared" si="0"/>
        <v>0.62835787351885064</v>
      </c>
      <c r="J7" s="130"/>
      <c r="K7" s="79">
        <f>R5+R6+R7</f>
        <v>104396303617</v>
      </c>
      <c r="N7" s="88">
        <f>AVERAGE(T5:T7)</f>
        <v>0.59570946807394098</v>
      </c>
      <c r="P7" s="129" t="s">
        <v>2</v>
      </c>
      <c r="Q7" s="116">
        <v>25730416</v>
      </c>
      <c r="R7" s="116">
        <v>31123802658</v>
      </c>
      <c r="S7" s="116">
        <v>40948664.899999999</v>
      </c>
      <c r="T7" s="130">
        <f t="shared" si="1"/>
        <v>0.62835787351885064</v>
      </c>
      <c r="U7" s="85">
        <f>Q5+Q6+Q7</f>
        <v>87607945</v>
      </c>
    </row>
    <row r="8" spans="1:21" ht="15" hidden="1" customHeight="1">
      <c r="A8" s="129" t="s">
        <v>3</v>
      </c>
      <c r="C8" s="79"/>
      <c r="F8" s="78">
        <f>Q8/21</f>
        <v>1647195.9523809524</v>
      </c>
      <c r="G8" s="90">
        <f t="shared" si="2"/>
        <v>0.40838418439798851</v>
      </c>
      <c r="H8" s="90"/>
      <c r="I8" s="130">
        <f t="shared" si="0"/>
        <v>0.58460542530993376</v>
      </c>
      <c r="J8" s="130"/>
      <c r="K8" s="78"/>
      <c r="P8" s="129" t="s">
        <v>3</v>
      </c>
      <c r="Q8" s="116">
        <v>34591115</v>
      </c>
      <c r="R8" s="116">
        <v>42131338431</v>
      </c>
      <c r="S8" s="116">
        <v>59170020.5</v>
      </c>
      <c r="T8" s="130">
        <f t="shared" si="1"/>
        <v>0.58460542530993376</v>
      </c>
      <c r="U8" s="85"/>
    </row>
    <row r="9" spans="1:21" ht="15" hidden="1" customHeight="1">
      <c r="A9" s="129" t="s">
        <v>4</v>
      </c>
      <c r="C9" s="79"/>
      <c r="F9" s="78">
        <f>Q9/21</f>
        <v>1428810.7142857143</v>
      </c>
      <c r="G9" s="90">
        <f t="shared" si="2"/>
        <v>-0.13257999922812547</v>
      </c>
      <c r="H9" s="90"/>
      <c r="I9" s="130">
        <f t="shared" si="0"/>
        <v>0.5970683047352463</v>
      </c>
      <c r="J9" s="130"/>
      <c r="K9" s="78"/>
      <c r="P9" s="129" t="s">
        <v>4</v>
      </c>
      <c r="Q9" s="116">
        <v>30005025</v>
      </c>
      <c r="R9" s="116">
        <v>37708300238</v>
      </c>
      <c r="S9" s="116">
        <v>50253923.649999999</v>
      </c>
      <c r="T9" s="130">
        <f t="shared" si="1"/>
        <v>0.5970683047352463</v>
      </c>
      <c r="U9" s="85"/>
    </row>
    <row r="10" spans="1:21" ht="15" hidden="1" customHeight="1">
      <c r="A10" s="129" t="s">
        <v>5</v>
      </c>
      <c r="B10" s="131">
        <f>F8+F9+F10</f>
        <v>5596078.7619047621</v>
      </c>
      <c r="C10" s="131">
        <f>AVERAGE(F8:F10)</f>
        <v>1865359.5873015875</v>
      </c>
      <c r="D10" s="90">
        <f>C10/C7-1</f>
        <v>0.26109633830483836</v>
      </c>
      <c r="E10" s="286"/>
      <c r="F10" s="78">
        <f>Q10/21</f>
        <v>2520072.0952380951</v>
      </c>
      <c r="G10" s="90">
        <f t="shared" si="2"/>
        <v>0.76375503769785213</v>
      </c>
      <c r="H10" s="90"/>
      <c r="I10" s="130">
        <f t="shared" si="0"/>
        <v>0.63178165078666215</v>
      </c>
      <c r="J10" s="130"/>
      <c r="K10" s="79">
        <f>R8+R9+R10</f>
        <v>146811747125</v>
      </c>
      <c r="L10" s="87">
        <f>U10/U7-1</f>
        <v>0.34140407014455132</v>
      </c>
      <c r="N10" s="88">
        <f>AVERAGE(T8:T10)</f>
        <v>0.6044851269439474</v>
      </c>
      <c r="O10" s="89">
        <f>N10/N7-1</f>
        <v>1.473144097974477E-2</v>
      </c>
      <c r="P10" s="129" t="s">
        <v>5</v>
      </c>
      <c r="Q10" s="116">
        <v>52921514</v>
      </c>
      <c r="R10" s="116">
        <v>66972108456</v>
      </c>
      <c r="S10" s="116">
        <v>83765512.870000005</v>
      </c>
      <c r="T10" s="130">
        <f t="shared" si="1"/>
        <v>0.63178165078666215</v>
      </c>
      <c r="U10" s="85">
        <f>Q8+Q9+Q10</f>
        <v>117517654</v>
      </c>
    </row>
    <row r="11" spans="1:21" ht="15" hidden="1" customHeight="1">
      <c r="A11" s="129" t="s">
        <v>6</v>
      </c>
      <c r="C11" s="79"/>
      <c r="F11" s="78">
        <f>Q11/21</f>
        <v>1911980.9523809524</v>
      </c>
      <c r="G11" s="90">
        <f t="shared" si="2"/>
        <v>-0.24129910569074042</v>
      </c>
      <c r="H11" s="90"/>
      <c r="I11" s="130">
        <f t="shared" si="0"/>
        <v>0.61157119902977986</v>
      </c>
      <c r="J11" s="130"/>
      <c r="K11" s="78"/>
      <c r="O11" s="89"/>
      <c r="P11" s="129" t="s">
        <v>6</v>
      </c>
      <c r="Q11" s="116">
        <v>40151600</v>
      </c>
      <c r="R11" s="116">
        <v>52236188860</v>
      </c>
      <c r="S11" s="116">
        <v>65653189.789999999</v>
      </c>
      <c r="T11" s="130">
        <f t="shared" si="1"/>
        <v>0.61157119902977986</v>
      </c>
      <c r="U11" s="85"/>
    </row>
    <row r="12" spans="1:21" ht="15" hidden="1" customHeight="1">
      <c r="A12" s="129" t="s">
        <v>7</v>
      </c>
      <c r="C12" s="79"/>
      <c r="F12" s="78">
        <f>Q12/22</f>
        <v>651560.22727272729</v>
      </c>
      <c r="G12" s="90">
        <f t="shared" si="2"/>
        <v>-0.65922242768090755</v>
      </c>
      <c r="H12" s="90"/>
      <c r="I12" s="130">
        <f t="shared" si="0"/>
        <v>0.69222922271886722</v>
      </c>
      <c r="J12" s="130"/>
      <c r="K12" s="78"/>
      <c r="O12" s="89"/>
      <c r="P12" s="129" t="s">
        <v>7</v>
      </c>
      <c r="Q12" s="116">
        <v>14334325</v>
      </c>
      <c r="R12" s="116">
        <v>18746258017</v>
      </c>
      <c r="S12" s="116">
        <v>20707483.199999999</v>
      </c>
      <c r="T12" s="130">
        <f t="shared" si="1"/>
        <v>0.69222922271886722</v>
      </c>
      <c r="U12" s="85"/>
    </row>
    <row r="13" spans="1:21" ht="15" hidden="1" customHeight="1">
      <c r="A13" s="129" t="s">
        <v>96</v>
      </c>
      <c r="B13" s="131">
        <f>F11+F12+F13</f>
        <v>4706573.17965368</v>
      </c>
      <c r="C13" s="131">
        <f>AVERAGE(F11:F13)</f>
        <v>1568857.7265512266</v>
      </c>
      <c r="D13" s="90">
        <f>C13/C10-1</f>
        <v>-0.15895158379585028</v>
      </c>
      <c r="E13" s="286"/>
      <c r="F13" s="78">
        <f>Q13/20</f>
        <v>2143032</v>
      </c>
      <c r="G13" s="90">
        <f t="shared" si="2"/>
        <v>2.2890773719725206</v>
      </c>
      <c r="H13" s="90"/>
      <c r="I13" s="130">
        <f t="shared" si="0"/>
        <v>0.59821040807190995</v>
      </c>
      <c r="J13" s="130"/>
      <c r="K13" s="78">
        <f>R11+R12+R13</f>
        <v>129436571732</v>
      </c>
      <c r="L13" s="87">
        <f>U13/U10-1</f>
        <v>-0.17164305373216526</v>
      </c>
      <c r="N13" s="88">
        <f>AVERAGE(T11:T13)</f>
        <v>0.63400360994018568</v>
      </c>
      <c r="O13" s="89">
        <f>N13/N10-1</f>
        <v>4.8832438848368076E-2</v>
      </c>
      <c r="P13" s="129" t="s">
        <v>96</v>
      </c>
      <c r="Q13" s="116">
        <v>42860640</v>
      </c>
      <c r="R13" s="116">
        <v>58454124855</v>
      </c>
      <c r="S13" s="116">
        <v>71648101.439999998</v>
      </c>
      <c r="T13" s="130">
        <f t="shared" si="1"/>
        <v>0.59821040807190995</v>
      </c>
      <c r="U13" s="85">
        <f>Q11+Q12+Q13</f>
        <v>97346565</v>
      </c>
    </row>
    <row r="14" spans="1:21" ht="15" hidden="1" customHeight="1">
      <c r="A14" s="129" t="s">
        <v>97</v>
      </c>
      <c r="C14" s="79"/>
      <c r="F14" s="78">
        <f>Q14/20</f>
        <v>461202.05</v>
      </c>
      <c r="G14" s="90">
        <f t="shared" si="2"/>
        <v>-0.78478993780774153</v>
      </c>
      <c r="H14" s="90"/>
      <c r="I14" s="130">
        <f t="shared" si="0"/>
        <v>0.61722563099167871</v>
      </c>
      <c r="J14" s="130"/>
      <c r="O14" s="89"/>
      <c r="P14" s="129" t="s">
        <v>97</v>
      </c>
      <c r="Q14" s="116">
        <v>9224041</v>
      </c>
      <c r="R14" s="116">
        <v>13156805501</v>
      </c>
      <c r="S14" s="116">
        <v>14944358.33</v>
      </c>
      <c r="T14" s="130">
        <f t="shared" si="1"/>
        <v>0.61722563099167871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749603.72727272729</v>
      </c>
      <c r="G15" s="90">
        <f t="shared" si="2"/>
        <v>0.62532609573770825</v>
      </c>
      <c r="H15" s="90"/>
      <c r="I15" s="130">
        <f t="shared" si="0"/>
        <v>0.50994281108185457</v>
      </c>
      <c r="J15" s="130"/>
      <c r="O15" s="89"/>
      <c r="P15" s="129" t="s">
        <v>98</v>
      </c>
      <c r="Q15" s="116">
        <v>16491282</v>
      </c>
      <c r="R15" s="116">
        <v>22873923010</v>
      </c>
      <c r="S15" s="116">
        <v>32339473.449999999</v>
      </c>
      <c r="T15" s="130">
        <f t="shared" si="1"/>
        <v>0.50994281108185457</v>
      </c>
      <c r="U15" s="85"/>
    </row>
    <row r="16" spans="1:21" ht="15" hidden="1" customHeight="1">
      <c r="A16" s="129" t="s">
        <v>99</v>
      </c>
      <c r="B16" s="131">
        <f>F14+F15+F16</f>
        <v>2435553.8681818182</v>
      </c>
      <c r="C16" s="131">
        <f>AVERAGE(F14:F16)</f>
        <v>811851.28939393943</v>
      </c>
      <c r="D16" s="90">
        <f>C16/C13-1</f>
        <v>-0.48252076931245513</v>
      </c>
      <c r="E16" s="286"/>
      <c r="F16" s="78">
        <f>Q16/22</f>
        <v>1224748.0909090908</v>
      </c>
      <c r="G16" s="90">
        <f t="shared" si="2"/>
        <v>0.63386072714055808</v>
      </c>
      <c r="H16" s="90"/>
      <c r="I16" s="130">
        <f t="shared" si="0"/>
        <v>0.6409920481285114</v>
      </c>
      <c r="J16" s="130"/>
      <c r="K16" s="78">
        <f>R14+R15+R16</f>
        <v>71392846500</v>
      </c>
      <c r="L16" s="87">
        <f>U16/U13-1</f>
        <v>-0.45904839066483749</v>
      </c>
      <c r="N16" s="88">
        <f>AVERAGE(T14:T16)</f>
        <v>0.58938683006734827</v>
      </c>
      <c r="O16" s="89">
        <f>N16/N13-1</f>
        <v>-7.0373069132913524E-2</v>
      </c>
      <c r="P16" s="129" t="s">
        <v>99</v>
      </c>
      <c r="Q16" s="116">
        <v>26944458</v>
      </c>
      <c r="R16" s="116">
        <v>35362117989</v>
      </c>
      <c r="S16" s="116">
        <v>42035557.350000001</v>
      </c>
      <c r="T16" s="130">
        <f t="shared" si="1"/>
        <v>0.6409920481285114</v>
      </c>
      <c r="U16" s="85">
        <f>Q14+Q15+Q16</f>
        <v>52659781</v>
      </c>
    </row>
    <row r="17" spans="1:26" ht="15.6" hidden="1" customHeight="1">
      <c r="A17" s="129" t="s">
        <v>100</v>
      </c>
      <c r="C17" s="79"/>
      <c r="F17" s="78">
        <f>Q17/20</f>
        <v>1243639.8999999999</v>
      </c>
      <c r="G17" s="90">
        <f t="shared" si="2"/>
        <v>1.5425056982033114E-2</v>
      </c>
      <c r="H17" s="90">
        <f t="shared" ref="H17:H56" si="3">F17/F5-1</f>
        <v>-0.18588770219266482</v>
      </c>
      <c r="I17" s="130">
        <f t="shared" si="0"/>
        <v>0.69346191379034683</v>
      </c>
      <c r="J17" s="130">
        <f t="shared" ref="J17:J56" si="4">I17/I5-1</f>
        <v>0.18087457265296791</v>
      </c>
      <c r="O17" s="89"/>
      <c r="P17" s="129" t="s">
        <v>100</v>
      </c>
      <c r="Q17" s="116">
        <v>24872798</v>
      </c>
      <c r="R17" s="116">
        <v>31528350456</v>
      </c>
      <c r="S17" s="116">
        <v>35867576.149999999</v>
      </c>
      <c r="T17" s="130">
        <f t="shared" si="1"/>
        <v>0.69346191379034683</v>
      </c>
      <c r="U17" s="78"/>
    </row>
    <row r="18" spans="1:26" hidden="1">
      <c r="A18" s="129" t="s">
        <v>106</v>
      </c>
      <c r="C18" s="79"/>
      <c r="F18" s="78">
        <f>Q18/20</f>
        <v>1492109.7</v>
      </c>
      <c r="G18" s="90">
        <f t="shared" si="2"/>
        <v>0.19979239971313234</v>
      </c>
      <c r="H18" s="90">
        <f t="shared" si="3"/>
        <v>-0.14261573190208954</v>
      </c>
      <c r="I18" s="130">
        <f t="shared" si="0"/>
        <v>0.56214350726120021</v>
      </c>
      <c r="J18" s="130">
        <f t="shared" si="4"/>
        <v>-1.6416884541804899E-2</v>
      </c>
      <c r="O18" s="89"/>
      <c r="P18" s="129" t="s">
        <v>106</v>
      </c>
      <c r="Q18" s="116">
        <v>29842194</v>
      </c>
      <c r="R18" s="116">
        <v>37018273028</v>
      </c>
      <c r="S18" s="116">
        <v>53086433.649999999</v>
      </c>
      <c r="T18" s="130">
        <f t="shared" si="1"/>
        <v>0.56214350726120021</v>
      </c>
      <c r="U18" s="78"/>
    </row>
    <row r="19" spans="1:26" hidden="1">
      <c r="A19" s="129" t="s">
        <v>114</v>
      </c>
      <c r="B19" s="131">
        <f>SUM(F17:F19)</f>
        <v>3696596.7363636359</v>
      </c>
      <c r="C19" s="131">
        <f>AVERAGE(F17:F19)</f>
        <v>1232198.9121212119</v>
      </c>
      <c r="D19" s="90">
        <f>C19/C16-1</f>
        <v>0.5177643100635696</v>
      </c>
      <c r="E19" s="286">
        <f>C19/C7-1</f>
        <v>-0.1669587211401129</v>
      </c>
      <c r="F19" s="78">
        <f>Q19/22</f>
        <v>960847.13636363635</v>
      </c>
      <c r="G19" s="90">
        <f t="shared" si="2"/>
        <v>-0.35604792572313126</v>
      </c>
      <c r="H19" s="90">
        <f t="shared" si="3"/>
        <v>-0.17845723909011024</v>
      </c>
      <c r="I19" s="130">
        <f t="shared" si="0"/>
        <v>0.46308589618751833</v>
      </c>
      <c r="J19" s="130">
        <f t="shared" si="4"/>
        <v>-0.26302205207646556</v>
      </c>
      <c r="K19" s="78">
        <f>R17+R18+R19</f>
        <v>96201734957</v>
      </c>
      <c r="L19" s="87">
        <f>U19/U16-1</f>
        <v>0.44044710326463377</v>
      </c>
      <c r="M19" s="87">
        <f>U19/U7-1</f>
        <v>-0.13416952081229616</v>
      </c>
      <c r="N19" s="88">
        <f>AVERAGE(T17:T19)</f>
        <v>0.57289710574635511</v>
      </c>
      <c r="O19" s="89">
        <f>N19/N16-1</f>
        <v>-2.7977761768292142E-2</v>
      </c>
      <c r="P19" s="129" t="s">
        <v>114</v>
      </c>
      <c r="Q19" s="116">
        <v>21138637</v>
      </c>
      <c r="R19" s="116">
        <v>27655111473</v>
      </c>
      <c r="S19" s="116">
        <v>45647334.920000002</v>
      </c>
      <c r="T19" s="130">
        <f t="shared" si="1"/>
        <v>0.46308589618751833</v>
      </c>
      <c r="U19" s="85">
        <f>Q17+Q18+Q19</f>
        <v>75853629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825976.4</v>
      </c>
      <c r="G20" s="90">
        <f t="shared" si="2"/>
        <v>-0.14036648625926063</v>
      </c>
      <c r="H20" s="90">
        <f t="shared" si="3"/>
        <v>-0.49855607718918571</v>
      </c>
      <c r="I20" s="130">
        <f t="shared" si="0"/>
        <v>0.37587136536760024</v>
      </c>
      <c r="J20" s="130">
        <f t="shared" si="4"/>
        <v>-0.35705118513341083</v>
      </c>
      <c r="O20" s="89"/>
      <c r="P20" s="129" t="s">
        <v>131</v>
      </c>
      <c r="Q20" s="116">
        <v>16519528</v>
      </c>
      <c r="R20" s="116">
        <v>21686483925</v>
      </c>
      <c r="S20" s="116">
        <v>43949950.759999998</v>
      </c>
      <c r="T20" s="130">
        <f t="shared" si="1"/>
        <v>0.37587136536760024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728333.80952380947</v>
      </c>
      <c r="G21" s="90">
        <f t="shared" si="2"/>
        <v>-0.11821474617941941</v>
      </c>
      <c r="H21" s="90">
        <f t="shared" si="3"/>
        <v>-0.49025171617087471</v>
      </c>
      <c r="I21" s="130">
        <f t="shared" si="0"/>
        <v>0.35627562389186052</v>
      </c>
      <c r="J21" s="130">
        <f t="shared" si="4"/>
        <v>-0.40329168192935438</v>
      </c>
      <c r="O21" s="89"/>
      <c r="P21" s="129" t="s">
        <v>141</v>
      </c>
      <c r="Q21" s="116">
        <v>15295010</v>
      </c>
      <c r="R21" s="116">
        <v>20315182356</v>
      </c>
      <c r="S21" s="116">
        <v>42930273.57</v>
      </c>
      <c r="T21" s="130">
        <f t="shared" si="1"/>
        <v>0.35627562389186052</v>
      </c>
      <c r="U21" s="78"/>
    </row>
    <row r="22" spans="1:26" hidden="1">
      <c r="A22" s="129" t="s">
        <v>155</v>
      </c>
      <c r="B22" s="131">
        <f>SUM(F20:F22)</f>
        <v>2853364.2095238096</v>
      </c>
      <c r="C22" s="131">
        <f>AVERAGE(F20:F22)</f>
        <v>951121.40317460324</v>
      </c>
      <c r="D22" s="90">
        <f>C22/C19-1</f>
        <v>-0.22811049919102588</v>
      </c>
      <c r="E22" s="286">
        <f>C22/C10-1</f>
        <v>-0.49011364369135557</v>
      </c>
      <c r="F22" s="78">
        <f>Q22/21</f>
        <v>1299054</v>
      </c>
      <c r="G22" s="90">
        <f t="shared" si="2"/>
        <v>0.78359700320562076</v>
      </c>
      <c r="H22" s="90">
        <f t="shared" si="3"/>
        <v>-0.48451712851601336</v>
      </c>
      <c r="I22" s="130">
        <f t="shared" si="0"/>
        <v>0.40568089084177278</v>
      </c>
      <c r="J22" s="130">
        <f t="shared" si="4"/>
        <v>-0.35787801001083253</v>
      </c>
      <c r="K22" s="78">
        <f>R20+R21+R22</f>
        <v>77728881880</v>
      </c>
      <c r="L22" s="87">
        <f>U22/U19-1</f>
        <v>-0.22093810435885675</v>
      </c>
      <c r="M22" s="87">
        <f>U22/U10-1</f>
        <v>-0.49714217406007777</v>
      </c>
      <c r="N22" s="88">
        <f>AVERAGE(T20:T22)</f>
        <v>0.37927596003374453</v>
      </c>
      <c r="O22" s="89">
        <f>N22/N19-1</f>
        <v>-0.33796844803460147</v>
      </c>
      <c r="P22" s="129" t="s">
        <v>155</v>
      </c>
      <c r="Q22" s="116">
        <v>27280134</v>
      </c>
      <c r="R22" s="116">
        <v>35727215599</v>
      </c>
      <c r="S22" s="116">
        <v>67245301.950000003</v>
      </c>
      <c r="T22" s="130">
        <f t="shared" si="1"/>
        <v>0.40568089084177278</v>
      </c>
      <c r="U22" s="85">
        <f>Q20+Q21+Q22</f>
        <v>59094672</v>
      </c>
    </row>
    <row r="23" spans="1:26" hidden="1">
      <c r="A23" s="129" t="s">
        <v>189</v>
      </c>
      <c r="B23" s="131"/>
      <c r="C23" s="131"/>
      <c r="F23" s="78">
        <f>Q23/21</f>
        <v>1259885.5238095238</v>
      </c>
      <c r="G23" s="90">
        <f t="shared" si="2"/>
        <v>-3.0151538111946263E-2</v>
      </c>
      <c r="H23" s="90">
        <f t="shared" si="3"/>
        <v>-0.34105749210492242</v>
      </c>
      <c r="I23" s="130">
        <f t="shared" si="0"/>
        <v>0.36674629378227669</v>
      </c>
      <c r="J23" s="130">
        <f t="shared" si="4"/>
        <v>-0.40032118195870381</v>
      </c>
      <c r="O23" s="89"/>
      <c r="P23" s="129" t="s">
        <v>189</v>
      </c>
      <c r="Q23" s="116">
        <v>26457596</v>
      </c>
      <c r="R23" s="116">
        <v>34307204157</v>
      </c>
      <c r="S23" s="116">
        <v>72141413.420000002</v>
      </c>
      <c r="T23" s="130">
        <f t="shared" si="1"/>
        <v>0.36674629378227669</v>
      </c>
      <c r="U23" s="78"/>
    </row>
    <row r="24" spans="1:26" hidden="1">
      <c r="A24" s="129" t="s">
        <v>204</v>
      </c>
      <c r="B24" s="131"/>
      <c r="C24" s="131"/>
      <c r="F24" s="78">
        <f>Q24/22</f>
        <v>1215122.6818181819</v>
      </c>
      <c r="G24" s="90">
        <f t="shared" si="2"/>
        <v>-3.5529293055127864E-2</v>
      </c>
      <c r="H24" s="90">
        <f t="shared" si="3"/>
        <v>0.864942995223005</v>
      </c>
      <c r="I24" s="130">
        <f t="shared" si="0"/>
        <v>0.31672374970702827</v>
      </c>
      <c r="J24" s="130">
        <f t="shared" si="4"/>
        <v>-0.54245827926328638</v>
      </c>
      <c r="O24" s="89"/>
      <c r="P24" s="129" t="s">
        <v>204</v>
      </c>
      <c r="Q24" s="116">
        <v>26732699</v>
      </c>
      <c r="R24" s="116">
        <v>34876227628</v>
      </c>
      <c r="S24" s="116">
        <v>84403834.650000006</v>
      </c>
      <c r="T24" s="130">
        <f t="shared" si="1"/>
        <v>0.31672374970702827</v>
      </c>
      <c r="U24" s="78"/>
    </row>
    <row r="25" spans="1:26" ht="13.2" hidden="1">
      <c r="A25" s="129" t="s">
        <v>217</v>
      </c>
      <c r="B25" s="131">
        <f>SUM(F23:F25)</f>
        <v>3204988.4161540219</v>
      </c>
      <c r="C25" s="131">
        <f>AVERAGE(F23:F25)</f>
        <v>1068329.4720513406</v>
      </c>
      <c r="D25" s="90">
        <f>C25/C22-1</f>
        <v>0.12323144919831108</v>
      </c>
      <c r="E25" s="286">
        <f>C25/C13-1</f>
        <v>-0.31903992696659778</v>
      </c>
      <c r="F25" s="78">
        <f>Q25/19</f>
        <v>729980.21052631584</v>
      </c>
      <c r="G25" s="90">
        <f t="shared" si="2"/>
        <v>-0.3992539013146803</v>
      </c>
      <c r="H25" s="90">
        <f t="shared" si="3"/>
        <v>-0.65937036379936664</v>
      </c>
      <c r="I25" s="130">
        <f t="shared" si="0"/>
        <v>0.34975211849447518</v>
      </c>
      <c r="J25" s="130">
        <f t="shared" si="4"/>
        <v>-0.41533595240885202</v>
      </c>
      <c r="K25" s="78">
        <f>R23+R24+R25</f>
        <v>87545704099</v>
      </c>
      <c r="L25" s="90">
        <f>U25/U22-1</f>
        <v>0.13478790439855559</v>
      </c>
      <c r="M25" s="90">
        <f>U25/U13-1</f>
        <v>-0.31112187677089587</v>
      </c>
      <c r="N25" s="88">
        <f>AVERAGE(T23:T25)</f>
        <v>0.3444073873279267</v>
      </c>
      <c r="O25" s="91">
        <f>N25/N22-1</f>
        <v>-9.193457107778602E-2</v>
      </c>
      <c r="P25" s="129" t="s">
        <v>217</v>
      </c>
      <c r="Q25" s="116">
        <v>13869624</v>
      </c>
      <c r="R25" s="116">
        <v>18362272314</v>
      </c>
      <c r="S25" s="116">
        <v>39655582.530000001</v>
      </c>
      <c r="T25" s="130">
        <f t="shared" si="1"/>
        <v>0.34975211849447518</v>
      </c>
      <c r="U25" s="85">
        <f>Q23+Q24+Q25</f>
        <v>67059919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799848</v>
      </c>
      <c r="G26" s="90">
        <f t="shared" si="2"/>
        <v>9.5711895290023552E-2</v>
      </c>
      <c r="H26" s="90">
        <f t="shared" si="3"/>
        <v>0.73426809356116274</v>
      </c>
      <c r="I26" s="130">
        <f t="shared" si="0"/>
        <v>0.37380239141959065</v>
      </c>
      <c r="J26" s="130">
        <f t="shared" si="4"/>
        <v>-0.39438290853376734</v>
      </c>
      <c r="L26" s="90"/>
      <c r="M26" s="90"/>
      <c r="P26" s="129" t="s">
        <v>312</v>
      </c>
      <c r="Q26" s="116">
        <v>15197112</v>
      </c>
      <c r="R26" s="116">
        <v>20391519615</v>
      </c>
      <c r="S26" s="116">
        <v>40655470.240000002</v>
      </c>
      <c r="T26" s="130">
        <f t="shared" si="1"/>
        <v>0.37380239141959065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828277.13636363635</v>
      </c>
      <c r="G27" s="90">
        <f t="shared" si="2"/>
        <v>3.554317365754045E-2</v>
      </c>
      <c r="H27" s="90">
        <f t="shared" si="3"/>
        <v>0.10495333231218762</v>
      </c>
      <c r="I27" s="130">
        <f t="shared" si="0"/>
        <v>0.37748005583078875</v>
      </c>
      <c r="J27" s="130">
        <f t="shared" si="4"/>
        <v>-0.25976002087379813</v>
      </c>
      <c r="L27" s="90"/>
      <c r="M27" s="90"/>
      <c r="P27" s="129" t="s">
        <v>373</v>
      </c>
      <c r="Q27" s="116">
        <v>18222097</v>
      </c>
      <c r="R27" s="116">
        <v>23946515329</v>
      </c>
      <c r="S27" s="116">
        <v>48273006</v>
      </c>
      <c r="T27" s="130">
        <f t="shared" si="1"/>
        <v>0.37748005583078875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3382984.8732057414</v>
      </c>
      <c r="C28" s="131">
        <f>AVERAGE(F26:F28)</f>
        <v>1127661.6244019137</v>
      </c>
      <c r="D28" s="90">
        <f>C28/C25-1</f>
        <v>5.5537316813554893E-2</v>
      </c>
      <c r="E28" s="286">
        <f>C28/C16-1</f>
        <v>0.38900022594499051</v>
      </c>
      <c r="F28" s="78">
        <f>Q28/19</f>
        <v>1754859.7368421052</v>
      </c>
      <c r="G28" s="90">
        <f t="shared" si="2"/>
        <v>1.1186866808208911</v>
      </c>
      <c r="H28" s="90">
        <f t="shared" si="3"/>
        <v>0.43283320861478525</v>
      </c>
      <c r="I28" s="130">
        <f t="shared" si="0"/>
        <v>0.48054456763723891</v>
      </c>
      <c r="J28" s="130">
        <f t="shared" si="4"/>
        <v>-0.2503111871040008</v>
      </c>
      <c r="K28" s="78">
        <f>R26+R27+R28</f>
        <v>87894869405</v>
      </c>
      <c r="L28" s="90">
        <f>U28/U25-1</f>
        <v>-4.449379069485615E-3</v>
      </c>
      <c r="M28" s="90">
        <f>U28/U16-1</f>
        <v>0.26779000467168679</v>
      </c>
      <c r="N28" s="88">
        <f>AVERAGE(T26:T28)</f>
        <v>0.41060900496253944</v>
      </c>
      <c r="O28" s="91">
        <f>N28/N25-1</f>
        <v>0.19221892465267887</v>
      </c>
      <c r="P28" s="129" t="s">
        <v>413</v>
      </c>
      <c r="Q28" s="116">
        <v>33342335</v>
      </c>
      <c r="R28" s="116">
        <v>43556834461</v>
      </c>
      <c r="S28" s="116">
        <v>69384480.120000005</v>
      </c>
      <c r="T28" s="130">
        <f t="shared" si="1"/>
        <v>0.48054456763723891</v>
      </c>
      <c r="U28" s="85">
        <f>Q26+Q27+Q28</f>
        <v>66761544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1280308.3636363635</v>
      </c>
      <c r="G29" s="190">
        <f t="shared" si="2"/>
        <v>-0.27042125546723383</v>
      </c>
      <c r="H29" s="190">
        <f t="shared" si="3"/>
        <v>2.9484791889005546E-2</v>
      </c>
      <c r="I29" s="130">
        <f t="shared" si="0"/>
        <v>0.42798393840709748</v>
      </c>
      <c r="J29" s="130">
        <f t="shared" si="4"/>
        <v>-0.38282992923460091</v>
      </c>
      <c r="K29" s="136"/>
      <c r="L29" s="190"/>
      <c r="M29" s="190"/>
      <c r="N29" s="191"/>
      <c r="O29" s="192"/>
      <c r="P29" s="129" t="s">
        <v>426</v>
      </c>
      <c r="Q29" s="116">
        <v>28166784</v>
      </c>
      <c r="R29" s="116">
        <v>37371072858</v>
      </c>
      <c r="S29" s="116">
        <v>65812712.75</v>
      </c>
      <c r="T29" s="130">
        <f t="shared" si="1"/>
        <v>0.42798393840709748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922406.21052631584</v>
      </c>
      <c r="G30" s="190">
        <f t="shared" si="2"/>
        <v>-0.27954371249557808</v>
      </c>
      <c r="H30" s="190">
        <f t="shared" si="3"/>
        <v>-0.38181072710249397</v>
      </c>
      <c r="I30" s="130">
        <f t="shared" si="0"/>
        <v>0.37804563245857914</v>
      </c>
      <c r="J30" s="130">
        <f t="shared" si="4"/>
        <v>-0.32749266410557321</v>
      </c>
      <c r="K30" s="136"/>
      <c r="L30" s="190"/>
      <c r="M30" s="190"/>
      <c r="N30" s="191"/>
      <c r="O30" s="192"/>
      <c r="P30" s="129" t="s">
        <v>466</v>
      </c>
      <c r="Q30" s="116">
        <v>17525718</v>
      </c>
      <c r="R30" s="116">
        <v>23361513167</v>
      </c>
      <c r="S30" s="116">
        <v>46358736.869999997</v>
      </c>
      <c r="T30" s="130">
        <f t="shared" si="1"/>
        <v>0.37804563245857914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2992464.524162679</v>
      </c>
      <c r="C31" s="188">
        <f>AVERAGE(F29:F31)</f>
        <v>997488.17472089303</v>
      </c>
      <c r="D31" s="190">
        <f>C31/C28-1</f>
        <v>-0.11543662288770518</v>
      </c>
      <c r="E31" s="287">
        <f>C31/C19-1</f>
        <v>-0.19048120809997138</v>
      </c>
      <c r="F31" s="136">
        <f>Q31/20</f>
        <v>789749.95</v>
      </c>
      <c r="G31" s="190">
        <f t="shared" si="2"/>
        <v>-0.14381544596346929</v>
      </c>
      <c r="H31" s="190">
        <f t="shared" si="3"/>
        <v>-0.17806910161710054</v>
      </c>
      <c r="I31" s="130">
        <f t="shared" si="0"/>
        <v>0.38764970929642106</v>
      </c>
      <c r="J31" s="130">
        <f t="shared" si="4"/>
        <v>-0.16289890819855746</v>
      </c>
      <c r="K31" s="136">
        <f>R29+R30+R31</f>
        <v>81558041674</v>
      </c>
      <c r="L31" s="190">
        <f>U31/U28-1</f>
        <v>-7.8998217896218859E-2</v>
      </c>
      <c r="M31" s="190">
        <f>U31/U19-1</f>
        <v>-0.18939275799184241</v>
      </c>
      <c r="N31" s="191">
        <f>AVERAGE(T29:T31)</f>
        <v>0.39789309338736589</v>
      </c>
      <c r="O31" s="192">
        <f>N31/N28-1</f>
        <v>-3.0968418669565345E-2</v>
      </c>
      <c r="P31" s="129" t="s">
        <v>505</v>
      </c>
      <c r="Q31" s="116">
        <v>15794999</v>
      </c>
      <c r="R31" s="116">
        <v>20825455649</v>
      </c>
      <c r="S31" s="116">
        <v>40745545.840000004</v>
      </c>
      <c r="T31" s="130">
        <f t="shared" si="1"/>
        <v>0.38764970929642106</v>
      </c>
      <c r="U31" s="85">
        <f>Q29+Q30+Q31</f>
        <v>61487501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1313405.4761904762</v>
      </c>
      <c r="G32" s="190">
        <f t="shared" si="2"/>
        <v>0.66306496909620094</v>
      </c>
      <c r="H32" s="190">
        <f t="shared" si="3"/>
        <v>0.59012470113005189</v>
      </c>
      <c r="I32" s="130">
        <f t="shared" si="0"/>
        <v>0.40286298123508851</v>
      </c>
      <c r="J32" s="130">
        <f t="shared" si="4"/>
        <v>7.1810779842435224E-2</v>
      </c>
      <c r="K32" s="136"/>
      <c r="L32" s="190"/>
      <c r="M32" s="190"/>
      <c r="N32" s="191"/>
      <c r="O32" s="192"/>
      <c r="P32" s="129" t="s">
        <v>561</v>
      </c>
      <c r="Q32" s="116">
        <v>27581515</v>
      </c>
      <c r="R32" s="116">
        <v>37386504643</v>
      </c>
      <c r="S32" s="116">
        <v>68463761.340000004</v>
      </c>
      <c r="T32" s="130">
        <f t="shared" si="1"/>
        <v>0.40286298123508851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978055.85714285716</v>
      </c>
      <c r="G33" s="190">
        <f t="shared" si="2"/>
        <v>-0.25532832406051664</v>
      </c>
      <c r="H33" s="190">
        <f t="shared" si="3"/>
        <v>0.34286757576490645</v>
      </c>
      <c r="I33" s="130">
        <f t="shared" si="0"/>
        <v>0.37529381639065207</v>
      </c>
      <c r="J33" s="130">
        <f t="shared" si="4"/>
        <v>5.3380560508299313E-2</v>
      </c>
      <c r="K33" s="136"/>
      <c r="L33" s="190"/>
      <c r="M33" s="190"/>
      <c r="N33" s="191"/>
      <c r="O33" s="192"/>
      <c r="P33" s="129" t="s">
        <v>606</v>
      </c>
      <c r="Q33" s="116">
        <v>20539173</v>
      </c>
      <c r="R33" s="116">
        <v>28101431005</v>
      </c>
      <c r="S33" s="116">
        <v>54728247.850000001</v>
      </c>
      <c r="T33" s="130">
        <f t="shared" si="1"/>
        <v>0.37529381639065207</v>
      </c>
      <c r="U33" s="85"/>
    </row>
    <row r="34" spans="1:21" s="79" customFormat="1" ht="13.2" hidden="1">
      <c r="A34" s="129" t="s">
        <v>652</v>
      </c>
      <c r="B34" s="188">
        <f>SUM(F32:F34)</f>
        <v>3454704.5964912283</v>
      </c>
      <c r="C34" s="188">
        <f>AVERAGE(F32:F34)</f>
        <v>1151568.1988304094</v>
      </c>
      <c r="D34" s="190">
        <f>C34/C31-1</f>
        <v>0.15446802078894772</v>
      </c>
      <c r="E34" s="287">
        <f>C34/C22-1</f>
        <v>0.21074785509690486</v>
      </c>
      <c r="F34" s="136">
        <f>Q34/19</f>
        <v>1163243.2631578948</v>
      </c>
      <c r="G34" s="190">
        <f t="shared" si="2"/>
        <v>0.18934236185243636</v>
      </c>
      <c r="H34" s="207">
        <f t="shared" si="3"/>
        <v>-0.10454587479974287</v>
      </c>
      <c r="I34" s="130">
        <f t="shared" si="0"/>
        <v>0.3925410808935092</v>
      </c>
      <c r="J34" s="130">
        <f t="shared" si="4"/>
        <v>-3.2389521530084786E-2</v>
      </c>
      <c r="K34" s="136">
        <f>R32+R33+R34</f>
        <v>95883343323</v>
      </c>
      <c r="L34" s="190">
        <f>U34/U31-1</f>
        <v>0.14205828595961312</v>
      </c>
      <c r="M34" s="190">
        <f>U34/U22-1</f>
        <v>0.18830188278225823</v>
      </c>
      <c r="N34" s="191">
        <f>AVERAGE(T32:T34)</f>
        <v>0.3902326261730833</v>
      </c>
      <c r="O34" s="192">
        <f>N34/N31-1</f>
        <v>-1.9252576487485795E-2</v>
      </c>
      <c r="P34" s="129" t="s">
        <v>652</v>
      </c>
      <c r="Q34" s="116">
        <v>22101622</v>
      </c>
      <c r="R34" s="116">
        <v>30395407675</v>
      </c>
      <c r="S34" s="116">
        <v>56303971.93</v>
      </c>
      <c r="T34" s="130">
        <f t="shared" si="1"/>
        <v>0.3925410808935092</v>
      </c>
      <c r="U34" s="85">
        <f>Q32+Q33+Q34</f>
        <v>70222310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840871</v>
      </c>
      <c r="G35" s="190">
        <f t="shared" si="2"/>
        <v>-0.27713228468028284</v>
      </c>
      <c r="H35" s="207">
        <f t="shared" si="3"/>
        <v>-0.3325814257652131</v>
      </c>
      <c r="I35" s="130">
        <f t="shared" si="0"/>
        <v>0.3762349810962613</v>
      </c>
      <c r="J35" s="130">
        <f t="shared" si="4"/>
        <v>2.5872619505236782E-2</v>
      </c>
      <c r="K35" s="136"/>
      <c r="L35" s="190"/>
      <c r="M35" s="190"/>
      <c r="N35" s="191"/>
      <c r="O35" s="192"/>
      <c r="P35" s="129" t="s">
        <v>659</v>
      </c>
      <c r="Q35" s="116">
        <v>19340033</v>
      </c>
      <c r="R35" s="116">
        <v>26735687788</v>
      </c>
      <c r="S35" s="116">
        <v>51404132.979999997</v>
      </c>
      <c r="T35" s="130">
        <f t="shared" si="1"/>
        <v>0.3762349810962613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1210963.4285714286</v>
      </c>
      <c r="G36" s="190">
        <f t="shared" si="2"/>
        <v>0.44012985175065933</v>
      </c>
      <c r="H36" s="190">
        <f t="shared" si="3"/>
        <v>-3.4229080807953727E-3</v>
      </c>
      <c r="I36" s="130">
        <f t="shared" si="0"/>
        <v>0.40751619539197387</v>
      </c>
      <c r="J36" s="130">
        <f t="shared" si="4"/>
        <v>0.28666131216534674</v>
      </c>
      <c r="K36" s="136"/>
      <c r="L36" s="190"/>
      <c r="M36" s="190"/>
      <c r="N36" s="191"/>
      <c r="O36" s="192"/>
      <c r="P36" s="129" t="s">
        <v>664</v>
      </c>
      <c r="Q36" s="116">
        <v>25430232</v>
      </c>
      <c r="R36" s="116">
        <v>34968866829</v>
      </c>
      <c r="S36" s="116">
        <v>62402997.200000003</v>
      </c>
      <c r="T36" s="130">
        <f t="shared" si="1"/>
        <v>0.40751619539197387</v>
      </c>
      <c r="U36" s="85"/>
    </row>
    <row r="37" spans="1:21" s="79" customFormat="1" ht="13.2" hidden="1">
      <c r="A37" s="129" t="s">
        <v>702</v>
      </c>
      <c r="B37" s="188">
        <f>SUM(F35:F37)</f>
        <v>3071865.5396825396</v>
      </c>
      <c r="C37" s="188">
        <f>AVERAGE(F35:F37)</f>
        <v>1023955.1798941799</v>
      </c>
      <c r="D37" s="190">
        <f>C37/C34-1</f>
        <v>-0.11081672719500224</v>
      </c>
      <c r="E37" s="287">
        <f>C37/C25-1</f>
        <v>-4.1536149023349456E-2</v>
      </c>
      <c r="F37" s="136">
        <f>Q37/18</f>
        <v>1020031.1111111111</v>
      </c>
      <c r="G37" s="190">
        <f t="shared" si="2"/>
        <v>-0.15766976355806217</v>
      </c>
      <c r="H37" s="190">
        <f t="shared" si="3"/>
        <v>0.39734077225965958</v>
      </c>
      <c r="I37" s="130">
        <f t="shared" si="0"/>
        <v>0.35275720358096663</v>
      </c>
      <c r="J37" s="130">
        <f t="shared" si="4"/>
        <v>8.5920425569598891E-3</v>
      </c>
      <c r="K37" s="136">
        <f>R35+R36+R37</f>
        <v>86187662017</v>
      </c>
      <c r="L37" s="190">
        <f>U37/U34-1</f>
        <v>-0.10098621079255299</v>
      </c>
      <c r="M37" s="190">
        <f>U37/U25-1</f>
        <v>-5.8590795494399606E-2</v>
      </c>
      <c r="N37" s="191">
        <f>AVERAGE(T35:T37)</f>
        <v>0.37883612668973399</v>
      </c>
      <c r="O37" s="192">
        <f>N37/N34-1</f>
        <v>-2.9204373799064487E-2</v>
      </c>
      <c r="P37" s="129" t="s">
        <v>702</v>
      </c>
      <c r="Q37" s="116">
        <v>18360560</v>
      </c>
      <c r="R37" s="116">
        <v>24483107400</v>
      </c>
      <c r="S37" s="116">
        <v>52048717.399999999</v>
      </c>
      <c r="T37" s="130">
        <f t="shared" si="1"/>
        <v>0.35275720358096663</v>
      </c>
      <c r="U37" s="85">
        <f>Q35+Q36+Q37</f>
        <v>63130825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1071858.3500000001</v>
      </c>
      <c r="G38" s="190">
        <f t="shared" si="2"/>
        <v>5.0809468774372979E-2</v>
      </c>
      <c r="H38" s="190">
        <f t="shared" si="3"/>
        <v>0.34007755223492486</v>
      </c>
      <c r="I38" s="130">
        <f t="shared" si="0"/>
        <v>0.58495533482365059</v>
      </c>
      <c r="J38" s="130">
        <f t="shared" si="4"/>
        <v>0.56487852472576128</v>
      </c>
      <c r="K38" s="136"/>
      <c r="L38" s="190"/>
      <c r="M38" s="190"/>
      <c r="N38" s="191"/>
      <c r="O38" s="192"/>
      <c r="P38" s="129" t="s">
        <v>725</v>
      </c>
      <c r="Q38" s="116">
        <v>21437167</v>
      </c>
      <c r="R38" s="116">
        <v>28338054200</v>
      </c>
      <c r="S38" s="116">
        <v>36647527.979999997</v>
      </c>
      <c r="T38" s="130">
        <f t="shared" si="1"/>
        <v>0.58495533482365059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219014</v>
      </c>
      <c r="G39" s="190">
        <f t="shared" si="2"/>
        <v>-0.79566889598798207</v>
      </c>
      <c r="H39" s="190">
        <f t="shared" si="3"/>
        <v>-0.73557884144728236</v>
      </c>
      <c r="I39" s="130">
        <f t="shared" si="0"/>
        <v>0.41310517960092891</v>
      </c>
      <c r="J39" s="130">
        <f t="shared" si="4"/>
        <v>9.4376174899448717E-2</v>
      </c>
      <c r="K39" s="136"/>
      <c r="L39" s="190"/>
      <c r="M39" s="190"/>
      <c r="N39" s="191"/>
      <c r="O39" s="192"/>
      <c r="P39" s="129" t="s">
        <v>762</v>
      </c>
      <c r="Q39" s="116">
        <v>4599294</v>
      </c>
      <c r="R39" s="116">
        <v>6402525472</v>
      </c>
      <c r="S39" s="116">
        <v>11133469.699999999</v>
      </c>
      <c r="T39" s="130">
        <f t="shared" si="1"/>
        <v>0.41310517960092891</v>
      </c>
      <c r="U39" s="85"/>
    </row>
    <row r="40" spans="1:21" s="79" customFormat="1" ht="13.2" hidden="1">
      <c r="A40" s="129" t="s">
        <v>777</v>
      </c>
      <c r="B40" s="188">
        <f>SUM(F38:F40)</f>
        <v>3146879.6833333336</v>
      </c>
      <c r="C40" s="188">
        <f>AVERAGE(F38:F40)</f>
        <v>1048959.8944444444</v>
      </c>
      <c r="D40" s="190">
        <f>C40/C37-1</f>
        <v>2.4419735395887709E-2</v>
      </c>
      <c r="E40" s="287">
        <f>C40/C28-1</f>
        <v>-6.9791973278518604E-2</v>
      </c>
      <c r="F40" s="136">
        <f>Q40/21</f>
        <v>1856007.3333333333</v>
      </c>
      <c r="G40" s="190">
        <f t="shared" si="2"/>
        <v>7.4743775892560897</v>
      </c>
      <c r="H40" s="190">
        <f t="shared" si="3"/>
        <v>5.7638564705601247E-2</v>
      </c>
      <c r="I40" s="130">
        <f t="shared" si="0"/>
        <v>0.41421480557068391</v>
      </c>
      <c r="J40" s="130">
        <f t="shared" si="4"/>
        <v>-0.13803040661283072</v>
      </c>
      <c r="K40" s="136">
        <f>R38+R39+R40</f>
        <v>89856210092</v>
      </c>
      <c r="L40" s="190">
        <f>U40/U37-1</f>
        <v>2.9807784073786481E-2</v>
      </c>
      <c r="M40" s="190">
        <f>U40/U28-1</f>
        <v>-2.6196652971357315E-2</v>
      </c>
      <c r="N40" s="191">
        <f>AVERAGE(T38:T40)</f>
        <v>0.4707584399984211</v>
      </c>
      <c r="O40" s="192">
        <f>N40/N37-1</f>
        <v>0.24264400048618207</v>
      </c>
      <c r="P40" s="129" t="s">
        <v>777</v>
      </c>
      <c r="Q40" s="116">
        <v>38976154</v>
      </c>
      <c r="R40" s="116">
        <v>55115630420</v>
      </c>
      <c r="S40" s="116">
        <v>94096477.180000007</v>
      </c>
      <c r="T40" s="130">
        <f t="shared" si="1"/>
        <v>0.41421480557068391</v>
      </c>
      <c r="U40" s="85">
        <f>Q38+Q39+Q40</f>
        <v>65012615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1845271.2777777778</v>
      </c>
      <c r="G41" s="190">
        <f t="shared" si="2"/>
        <v>-5.7844898361871788E-3</v>
      </c>
      <c r="H41" s="190">
        <f t="shared" si="3"/>
        <v>0.44127097048463582</v>
      </c>
      <c r="I41" s="130">
        <f t="shared" si="0"/>
        <v>0.45284154678098942</v>
      </c>
      <c r="J41" s="130">
        <f t="shared" si="4"/>
        <v>5.8080703837646075E-2</v>
      </c>
      <c r="K41" s="193"/>
      <c r="L41" s="190"/>
      <c r="M41" s="190"/>
      <c r="N41" s="193"/>
      <c r="O41" s="193"/>
      <c r="P41" s="129" t="s">
        <v>787</v>
      </c>
      <c r="Q41" s="116">
        <v>33214883</v>
      </c>
      <c r="R41" s="116">
        <v>48558855999</v>
      </c>
      <c r="S41" s="116">
        <v>73347693.549999997</v>
      </c>
      <c r="T41" s="130">
        <f t="shared" si="1"/>
        <v>0.45284154678098942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1032458.9</v>
      </c>
      <c r="G42" s="190">
        <f t="shared" si="2"/>
        <v>-0.44048394811446423</v>
      </c>
      <c r="H42" s="190">
        <f t="shared" si="3"/>
        <v>0.11931043852240464</v>
      </c>
      <c r="I42" s="130">
        <f t="shared" si="0"/>
        <v>0.41246627779169587</v>
      </c>
      <c r="J42" s="130">
        <f t="shared" si="4"/>
        <v>9.1048916791514722E-2</v>
      </c>
      <c r="K42" s="193"/>
      <c r="L42" s="190"/>
      <c r="M42" s="190"/>
      <c r="N42" s="193"/>
      <c r="O42" s="193"/>
      <c r="P42" s="129" t="s">
        <v>826</v>
      </c>
      <c r="Q42" s="116">
        <v>20649178</v>
      </c>
      <c r="R42" s="116">
        <v>29944023740</v>
      </c>
      <c r="S42" s="116">
        <v>50062706</v>
      </c>
      <c r="T42" s="130">
        <f t="shared" si="1"/>
        <v>0.41246627779169587</v>
      </c>
      <c r="U42" s="78"/>
    </row>
    <row r="43" spans="1:21" s="79" customFormat="1" ht="13.2">
      <c r="A43" s="129" t="s">
        <v>834</v>
      </c>
      <c r="B43" s="188">
        <f>SUM(F41:F43)</f>
        <v>4171325.8777777776</v>
      </c>
      <c r="C43" s="188">
        <f>AVERAGE(F41:F43)</f>
        <v>1390441.9592592593</v>
      </c>
      <c r="D43" s="190">
        <f>C43/C40-1</f>
        <v>0.32554348991166382</v>
      </c>
      <c r="E43" s="287">
        <f>C43/C31-1</f>
        <v>0.39394330128105892</v>
      </c>
      <c r="F43" s="136">
        <f>Q43/20</f>
        <v>1293595.7</v>
      </c>
      <c r="G43" s="190">
        <f t="shared" si="2"/>
        <v>0.25292706566818302</v>
      </c>
      <c r="H43" s="190">
        <f t="shared" si="3"/>
        <v>0.63798136359489477</v>
      </c>
      <c r="I43" s="130">
        <f t="shared" si="0"/>
        <v>0.44234292747220672</v>
      </c>
      <c r="J43" s="130">
        <f t="shared" si="4"/>
        <v>0.14108927948134697</v>
      </c>
      <c r="K43" s="136">
        <f>R41+R42+R43</f>
        <v>116101988139</v>
      </c>
      <c r="L43" s="190">
        <f>U43/U40-1</f>
        <v>0.22646927830852515</v>
      </c>
      <c r="M43" s="190">
        <f>K43/K31-1</f>
        <v>0.42355046487110926</v>
      </c>
      <c r="N43" s="191">
        <f>AVERAGE(T41:T43)</f>
        <v>0.43588358401496397</v>
      </c>
      <c r="O43" s="192">
        <f>N43/N40-1</f>
        <v>-7.4082274517636049E-2</v>
      </c>
      <c r="P43" s="129" t="s">
        <v>834</v>
      </c>
      <c r="Q43" s="116">
        <v>25871914</v>
      </c>
      <c r="R43" s="116">
        <v>37599108400</v>
      </c>
      <c r="S43" s="116">
        <v>58488363.649999999</v>
      </c>
      <c r="T43" s="130">
        <f t="shared" si="1"/>
        <v>0.44234292747220672</v>
      </c>
      <c r="U43" s="85">
        <f>Q41+Q42+Q43</f>
        <v>79735975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985658.81818181823</v>
      </c>
      <c r="G44" s="190">
        <f t="shared" si="2"/>
        <v>-0.23804723672023775</v>
      </c>
      <c r="H44" s="190">
        <f t="shared" si="3"/>
        <v>-0.24953958541370258</v>
      </c>
      <c r="I44" s="130">
        <f t="shared" si="0"/>
        <v>0.43050331495466337</v>
      </c>
      <c r="J44" s="130">
        <f t="shared" si="4"/>
        <v>6.860976313791789E-2</v>
      </c>
      <c r="K44" s="136"/>
      <c r="L44" s="190"/>
      <c r="M44" s="190"/>
      <c r="N44" s="191"/>
      <c r="O44" s="192"/>
      <c r="P44" s="129" t="s">
        <v>838</v>
      </c>
      <c r="Q44" s="116">
        <v>21684494</v>
      </c>
      <c r="R44" s="116">
        <v>31604743751</v>
      </c>
      <c r="S44" s="116">
        <v>50370097.619999997</v>
      </c>
      <c r="T44" s="130">
        <f t="shared" si="1"/>
        <v>0.43050331495466337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1107672.2</v>
      </c>
      <c r="G45" s="190">
        <f t="shared" si="2"/>
        <v>0.12378865746187095</v>
      </c>
      <c r="H45" s="190">
        <f t="shared" si="3"/>
        <v>0.13252447895540875</v>
      </c>
      <c r="I45" s="130">
        <f t="shared" si="0"/>
        <v>0.38658179586452335</v>
      </c>
      <c r="J45" s="130">
        <f t="shared" si="4"/>
        <v>3.0077712397268419E-2</v>
      </c>
      <c r="K45" s="136"/>
      <c r="L45" s="190"/>
      <c r="M45" s="190"/>
      <c r="N45" s="191"/>
      <c r="O45" s="192"/>
      <c r="P45" s="129" t="s">
        <v>847</v>
      </c>
      <c r="Q45" s="116">
        <v>22153444</v>
      </c>
      <c r="R45" s="116">
        <v>30870205455</v>
      </c>
      <c r="S45" s="116">
        <v>57305967.939999998</v>
      </c>
      <c r="T45" s="130">
        <f t="shared" si="1"/>
        <v>0.38658179586452335</v>
      </c>
      <c r="U45" s="85"/>
    </row>
    <row r="46" spans="1:21" s="79" customFormat="1" ht="13.2">
      <c r="A46" s="129" t="s">
        <v>888</v>
      </c>
      <c r="B46" s="188">
        <f>SUM(F44:F46)</f>
        <v>3576024.228708134</v>
      </c>
      <c r="C46" s="188">
        <f>AVERAGE(F44:F46)</f>
        <v>1192008.0762360448</v>
      </c>
      <c r="D46" s="190">
        <f>C46/C43-1</f>
        <v>-0.14271281278718584</v>
      </c>
      <c r="E46" s="287">
        <f>C46/C34-1</f>
        <v>3.5117223145540111E-2</v>
      </c>
      <c r="F46" s="136">
        <f>Q46/19</f>
        <v>1482693.2105263157</v>
      </c>
      <c r="G46" s="190">
        <f t="shared" si="2"/>
        <v>0.33856678043045196</v>
      </c>
      <c r="H46" s="190">
        <f t="shared" si="3"/>
        <v>0.27462007087081641</v>
      </c>
      <c r="I46" s="130">
        <f t="shared" si="0"/>
        <v>0.47315239653903995</v>
      </c>
      <c r="J46" s="130">
        <f t="shared" si="4"/>
        <v>0.20535765444483367</v>
      </c>
      <c r="K46" s="136">
        <f>R44+R45+R46</f>
        <v>101021312523</v>
      </c>
      <c r="L46" s="190">
        <f>U46/U43-1</f>
        <v>-9.6905643907909789E-2</v>
      </c>
      <c r="M46" s="190">
        <f>K46/K34-1</f>
        <v>5.3585628347270209E-2</v>
      </c>
      <c r="N46" s="191">
        <f>AVERAGE(T44:T46)</f>
        <v>0.43007916911940897</v>
      </c>
      <c r="O46" s="192">
        <f>N46/N43-1</f>
        <v>-1.3316433810353634E-2</v>
      </c>
      <c r="P46" s="129" t="s">
        <v>888</v>
      </c>
      <c r="Q46" s="116">
        <v>28171171</v>
      </c>
      <c r="R46" s="116">
        <v>38546363317</v>
      </c>
      <c r="S46" s="116">
        <v>59539318</v>
      </c>
      <c r="T46" s="130">
        <f t="shared" si="1"/>
        <v>0.47315239653903995</v>
      </c>
      <c r="U46" s="85">
        <f t="shared" ref="U46:U56" si="5">Q44+Q45+Q46</f>
        <v>72009109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1266464.6521739131</v>
      </c>
      <c r="G47" s="190">
        <f t="shared" si="2"/>
        <v>-0.14583499595013816</v>
      </c>
      <c r="H47" s="190">
        <f t="shared" si="3"/>
        <v>0.5061342966684701</v>
      </c>
      <c r="I47" s="130">
        <f t="shared" si="0"/>
        <v>0.39996698081865556</v>
      </c>
      <c r="J47" s="130">
        <f t="shared" si="4"/>
        <v>6.307760020943487E-2</v>
      </c>
      <c r="K47" s="136"/>
      <c r="L47" s="190"/>
      <c r="M47" s="190"/>
      <c r="N47" s="191"/>
      <c r="O47" s="192"/>
      <c r="P47" s="129" t="s">
        <v>989</v>
      </c>
      <c r="Q47" s="116">
        <v>29128687</v>
      </c>
      <c r="R47" s="116">
        <v>40174256214</v>
      </c>
      <c r="S47" s="116">
        <v>72827729.280000001</v>
      </c>
      <c r="T47" s="130">
        <f t="shared" si="1"/>
        <v>0.39996698081865556</v>
      </c>
      <c r="U47" s="85">
        <f t="shared" si="5"/>
        <v>79453302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1816785.15</v>
      </c>
      <c r="G48" s="190">
        <f t="shared" si="2"/>
        <v>0.43453285244199291</v>
      </c>
      <c r="H48" s="190">
        <f t="shared" si="3"/>
        <v>0.50028077408023641</v>
      </c>
      <c r="I48" s="130">
        <f t="shared" si="0"/>
        <v>0.42464134500716277</v>
      </c>
      <c r="J48" s="130">
        <f t="shared" si="4"/>
        <v>4.2023236889314086E-2</v>
      </c>
      <c r="K48" s="136"/>
      <c r="L48" s="190"/>
      <c r="M48" s="190"/>
      <c r="N48" s="191"/>
      <c r="O48" s="192"/>
      <c r="P48" s="129" t="s">
        <v>1067</v>
      </c>
      <c r="Q48" s="116">
        <v>36335703</v>
      </c>
      <c r="R48" s="116">
        <v>50454567202</v>
      </c>
      <c r="S48" s="116">
        <v>85567982.079999998</v>
      </c>
      <c r="T48" s="130">
        <f t="shared" si="1"/>
        <v>0.42464134500716277</v>
      </c>
      <c r="U48" s="85">
        <f t="shared" si="5"/>
        <v>93635561</v>
      </c>
    </row>
    <row r="49" spans="1:26" ht="13.2">
      <c r="A49" s="129" t="s">
        <v>1157</v>
      </c>
      <c r="B49" s="188">
        <f>SUM(F47:F49)</f>
        <v>4195359.3476284584</v>
      </c>
      <c r="C49" s="188">
        <f>AVERAGE(F47:F49)</f>
        <v>1398453.1158761529</v>
      </c>
      <c r="D49" s="190">
        <f>C49/C46-1</f>
        <v>0.17319097391688087</v>
      </c>
      <c r="E49" s="287">
        <f>C49/C37-1</f>
        <v>0.36573664876686807</v>
      </c>
      <c r="F49" s="136">
        <f>Q49/22</f>
        <v>1112109.5454545454</v>
      </c>
      <c r="G49" s="190">
        <f t="shared" si="2"/>
        <v>-0.38786953126816037</v>
      </c>
      <c r="H49" s="190">
        <f t="shared" si="3"/>
        <v>9.0270221506414616E-2</v>
      </c>
      <c r="I49" s="130">
        <f t="shared" si="0"/>
        <v>0.51308344756282731</v>
      </c>
      <c r="J49" s="130">
        <f t="shared" si="4"/>
        <v>0.45449459955553184</v>
      </c>
      <c r="K49" s="136">
        <f>R47+R48+R49</f>
        <v>124709291382</v>
      </c>
      <c r="L49" s="190">
        <f>U49/U46-1</f>
        <v>0.24888088811097497</v>
      </c>
      <c r="M49" s="190">
        <f>K49/K37-1</f>
        <v>0.44695062452676626</v>
      </c>
      <c r="N49" s="191">
        <f>AVERAGE(T47:T49)</f>
        <v>0.4458972577962152</v>
      </c>
      <c r="O49" s="192">
        <f>N49/N46-1</f>
        <v>3.6779481110870593E-2</v>
      </c>
      <c r="P49" s="129" t="s">
        <v>1157</v>
      </c>
      <c r="Q49" s="116">
        <v>24466410</v>
      </c>
      <c r="R49" s="116">
        <v>34080467966</v>
      </c>
      <c r="S49" s="116">
        <v>47685050.289999999</v>
      </c>
      <c r="T49" s="130">
        <f t="shared" si="1"/>
        <v>0.51308344756282731</v>
      </c>
      <c r="U49" s="85">
        <f t="shared" si="5"/>
        <v>89930800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1151027.2777777778</v>
      </c>
      <c r="G50" s="190">
        <f t="shared" si="2"/>
        <v>3.4994513339354327E-2</v>
      </c>
      <c r="H50" s="190">
        <f t="shared" si="3"/>
        <v>7.386137149351657E-2</v>
      </c>
      <c r="I50" s="130">
        <f t="shared" si="0"/>
        <v>0.55064901603315564</v>
      </c>
      <c r="J50" s="130">
        <f t="shared" si="4"/>
        <v>-5.8647757782801402E-2</v>
      </c>
      <c r="K50" s="136"/>
      <c r="L50" s="190"/>
      <c r="M50" s="190"/>
      <c r="N50" s="191"/>
      <c r="O50" s="192"/>
      <c r="P50" s="129" t="s">
        <v>1291</v>
      </c>
      <c r="Q50" s="116">
        <v>20718491</v>
      </c>
      <c r="R50" s="116">
        <v>29063938569</v>
      </c>
      <c r="S50" s="116">
        <v>37625584.350000001</v>
      </c>
      <c r="T50" s="130">
        <f t="shared" si="1"/>
        <v>0.55064901603315564</v>
      </c>
      <c r="U50" s="85">
        <f t="shared" si="5"/>
        <v>81520604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449184.85</v>
      </c>
      <c r="G51" s="190">
        <f t="shared" si="2"/>
        <v>-0.60975307999023676</v>
      </c>
      <c r="H51" s="190">
        <f t="shared" si="3"/>
        <v>1.0509412640287836</v>
      </c>
      <c r="I51" s="130">
        <f t="shared" si="0"/>
        <v>0.42594061914978937</v>
      </c>
      <c r="J51" s="130">
        <f t="shared" si="4"/>
        <v>3.1070633297940908E-2</v>
      </c>
      <c r="K51" s="136"/>
      <c r="L51" s="190"/>
      <c r="M51" s="190"/>
      <c r="N51" s="191"/>
      <c r="O51" s="192"/>
      <c r="P51" s="129" t="s">
        <v>1402</v>
      </c>
      <c r="Q51" s="116">
        <v>8983697</v>
      </c>
      <c r="R51" s="116">
        <v>13104665276</v>
      </c>
      <c r="S51" s="116">
        <v>21091430.579999998</v>
      </c>
      <c r="T51" s="130">
        <f t="shared" si="1"/>
        <v>0.42594061914978937</v>
      </c>
      <c r="U51" s="85">
        <f t="shared" si="5"/>
        <v>54168598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3275830.945959596</v>
      </c>
      <c r="C52" s="188">
        <f>AVERAGE(F50:F52)</f>
        <v>1091943.6486531987</v>
      </c>
      <c r="D52" s="190">
        <f>C52/C49-1</f>
        <v>-0.21917750673459024</v>
      </c>
      <c r="E52" s="287">
        <f>C52/C40-1</f>
        <v>4.0977500127895361E-2</v>
      </c>
      <c r="F52" s="136">
        <f>Q52/22</f>
        <v>1675618.8181818181</v>
      </c>
      <c r="G52" s="190">
        <f t="shared" si="2"/>
        <v>2.7303547040418175</v>
      </c>
      <c r="H52" s="190">
        <f t="shared" si="3"/>
        <v>-9.7191703885966207E-2</v>
      </c>
      <c r="I52" s="130">
        <f t="shared" si="0"/>
        <v>0.42386776415205679</v>
      </c>
      <c r="J52" s="130">
        <f t="shared" si="4"/>
        <v>2.3304233580143441E-2</v>
      </c>
      <c r="K52" s="136">
        <f>R50+R51+R52</f>
        <v>96439660921</v>
      </c>
      <c r="L52" s="190">
        <f>U52/U49-1</f>
        <v>-0.25981085456817909</v>
      </c>
      <c r="M52" s="190">
        <f>K52/K40-1</f>
        <v>7.3266509039937144E-2</v>
      </c>
      <c r="N52" s="191">
        <f>AVERAGE(T50:T52)</f>
        <v>0.46681913311166728</v>
      </c>
      <c r="O52" s="192">
        <f>N52/N49-1</f>
        <v>4.692084319794998E-2</v>
      </c>
      <c r="P52" s="129" t="s">
        <v>1403</v>
      </c>
      <c r="Q52" s="116">
        <v>36863614</v>
      </c>
      <c r="R52" s="116">
        <v>54271057076</v>
      </c>
      <c r="S52" s="116">
        <v>86969609.670000002</v>
      </c>
      <c r="T52" s="130">
        <f t="shared" si="1"/>
        <v>0.42386776415205679</v>
      </c>
      <c r="U52" s="85">
        <f t="shared" si="5"/>
        <v>66565802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1179617.6190476189</v>
      </c>
      <c r="G53" s="190">
        <f t="shared" si="2"/>
        <v>-0.2960107595786019</v>
      </c>
      <c r="H53" s="190">
        <f t="shared" si="3"/>
        <v>-0.36073485061328858</v>
      </c>
      <c r="I53" s="130">
        <f t="shared" si="0"/>
        <v>0.50522510918153807</v>
      </c>
      <c r="J53" s="130">
        <f t="shared" si="4"/>
        <v>0.1156774654907784</v>
      </c>
      <c r="K53" s="136"/>
      <c r="L53" s="190"/>
      <c r="M53" s="190"/>
      <c r="N53" s="191"/>
      <c r="O53" s="192"/>
      <c r="P53" s="129" t="s">
        <v>1414</v>
      </c>
      <c r="Q53" s="116">
        <v>24771970</v>
      </c>
      <c r="R53" s="116">
        <v>36261098472</v>
      </c>
      <c r="S53" s="116">
        <v>49031549.600000001</v>
      </c>
      <c r="T53" s="130">
        <f t="shared" si="1"/>
        <v>0.50522510918153807</v>
      </c>
      <c r="U53" s="85">
        <f t="shared" si="5"/>
        <v>70619281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1499269.7647058824</v>
      </c>
      <c r="G54" s="190">
        <f t="shared" si="2"/>
        <v>0.27097946020536656</v>
      </c>
      <c r="H54" s="190">
        <f t="shared" si="3"/>
        <v>0.45213505806951004</v>
      </c>
      <c r="I54" s="130">
        <f t="shared" si="0"/>
        <v>0.39044280675737675</v>
      </c>
      <c r="J54" s="130">
        <f t="shared" si="4"/>
        <v>-5.339459786198919E-2</v>
      </c>
      <c r="K54" s="136"/>
      <c r="L54" s="190"/>
      <c r="M54" s="190"/>
      <c r="N54" s="191"/>
      <c r="O54" s="192"/>
      <c r="P54" s="129" t="s">
        <v>1417</v>
      </c>
      <c r="Q54" s="116">
        <v>25487586</v>
      </c>
      <c r="R54" s="116">
        <v>37016787988</v>
      </c>
      <c r="S54" s="116">
        <v>65278667.090000004</v>
      </c>
      <c r="T54" s="130">
        <f t="shared" si="1"/>
        <v>0.39044280675737675</v>
      </c>
      <c r="U54" s="85">
        <f t="shared" si="5"/>
        <v>87123170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4438472.5742296921</v>
      </c>
      <c r="C55" s="188">
        <f>AVERAGE(F53:F55)</f>
        <v>1479490.858076564</v>
      </c>
      <c r="D55" s="190">
        <f>C55/C52-1</f>
        <v>0.35491502688931376</v>
      </c>
      <c r="E55" s="287">
        <f>C55/C43-1</f>
        <v>6.4043592919724945E-2</v>
      </c>
      <c r="F55" s="136">
        <f>Q55/21</f>
        <v>1759585.1904761905</v>
      </c>
      <c r="G55" s="190">
        <f t="shared" si="2"/>
        <v>0.17362814344580291</v>
      </c>
      <c r="H55" s="190">
        <f t="shared" si="3"/>
        <v>0.36022807626539777</v>
      </c>
      <c r="I55" s="130">
        <f>T55</f>
        <v>0.4590600874487582</v>
      </c>
      <c r="J55" s="130">
        <f t="shared" si="4"/>
        <v>3.7792307592850349E-2</v>
      </c>
      <c r="K55" s="136">
        <f>R53+R54+R55</f>
        <v>127388335272</v>
      </c>
      <c r="L55" s="190">
        <f>U55/U52-1</f>
        <v>0.31014488490651693</v>
      </c>
      <c r="M55" s="190">
        <f>K55/K43-1</f>
        <v>9.7210627603445676E-2</v>
      </c>
      <c r="N55" s="191">
        <f>AVERAGE(T53:T55)</f>
        <v>0.4515760011292243</v>
      </c>
      <c r="O55" s="192">
        <f>N55/N52-1</f>
        <v>-3.2653186001261658E-2</v>
      </c>
      <c r="P55" s="129" t="s">
        <v>1418</v>
      </c>
      <c r="Q55" s="116">
        <v>36951289</v>
      </c>
      <c r="R55" s="116">
        <v>54110448812</v>
      </c>
      <c r="S55" s="116">
        <v>80493360.260000005</v>
      </c>
      <c r="T55" s="130">
        <f t="shared" si="1"/>
        <v>0.4590600874487582</v>
      </c>
      <c r="U55" s="85">
        <f t="shared" si="5"/>
        <v>87210845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1299731.0454545454</v>
      </c>
      <c r="G56" s="190">
        <f t="shared" si="2"/>
        <v>-0.26134235927343552</v>
      </c>
      <c r="H56" s="190">
        <f t="shared" si="3"/>
        <v>0.31864192911303335</v>
      </c>
      <c r="I56" s="291">
        <f>T56</f>
        <v>0.46878102502705954</v>
      </c>
      <c r="J56" s="130">
        <f t="shared" si="4"/>
        <v>8.8913856740980624E-2</v>
      </c>
      <c r="K56" s="136"/>
      <c r="L56" s="190"/>
      <c r="M56" s="190"/>
      <c r="N56" s="191"/>
      <c r="O56" s="192"/>
      <c r="P56" s="129" t="s">
        <v>1420</v>
      </c>
      <c r="Q56" s="116">
        <v>28594083</v>
      </c>
      <c r="R56" s="116">
        <v>42498334217</v>
      </c>
      <c r="S56" s="116">
        <v>60996673.229999997</v>
      </c>
      <c r="T56" s="130">
        <f t="shared" si="1"/>
        <v>0.46878102502705954</v>
      </c>
      <c r="U56" s="85">
        <f t="shared" si="5"/>
        <v>91032958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933283.16666666663</v>
      </c>
      <c r="G57" s="254">
        <f t="shared" ref="G57" si="6">F57/F56-1</f>
        <v>-0.28194131398909816</v>
      </c>
      <c r="H57" s="254">
        <f t="shared" ref="H57" si="7">F57/F45-1</f>
        <v>-0.15743740190765221</v>
      </c>
      <c r="I57" s="282">
        <f>T57</f>
        <v>0.68761494519887367</v>
      </c>
      <c r="J57" s="277">
        <f t="shared" ref="J57" si="8">I57/I45-1</f>
        <v>0.77870492753323206</v>
      </c>
      <c r="K57" s="204"/>
      <c r="L57" s="254"/>
      <c r="M57" s="254"/>
      <c r="N57" s="257"/>
      <c r="O57" s="258"/>
      <c r="P57" s="129" t="s">
        <v>1436</v>
      </c>
      <c r="Q57" s="116">
        <v>11199398</v>
      </c>
      <c r="R57" s="116">
        <v>16456118503</v>
      </c>
      <c r="S57" s="116">
        <v>16287310.33</v>
      </c>
      <c r="T57" s="130">
        <f t="shared" ref="T57" si="9">Q57/S57</f>
        <v>0.68761494519887367</v>
      </c>
      <c r="U57" s="85">
        <f t="shared" ref="U57" si="10">Q55+Q56+Q57</f>
        <v>76744770</v>
      </c>
      <c r="V57" s="79"/>
      <c r="W57" s="79"/>
      <c r="X57" s="79"/>
      <c r="Y57" s="79"/>
      <c r="Z57" s="79"/>
    </row>
    <row r="58" spans="1:26">
      <c r="B58" s="196">
        <f>SUM(F56:F58)</f>
        <v>2233014.2121212119</v>
      </c>
      <c r="C58" s="196">
        <f>AVERAGE(F56:F58)</f>
        <v>1116507.106060606</v>
      </c>
      <c r="D58" s="197">
        <f>C58/C55-1</f>
        <v>-0.24534369376763909</v>
      </c>
      <c r="E58" s="233">
        <f>C58/C46-1</f>
        <v>-6.3339310933064441E-2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127004326</v>
      </c>
      <c r="R63" s="212">
        <v>186342787992</v>
      </c>
      <c r="S63" s="213">
        <v>272087560.51999998</v>
      </c>
      <c r="T63" s="214">
        <v>99</v>
      </c>
      <c r="U63" s="214">
        <v>180</v>
      </c>
    </row>
    <row r="64" spans="1:26" ht="18" thickBot="1">
      <c r="P64" s="180" t="s">
        <v>976</v>
      </c>
      <c r="Q64" s="181">
        <v>24771970</v>
      </c>
      <c r="R64" s="181">
        <v>36261098472</v>
      </c>
      <c r="S64" s="182">
        <v>49031549.600000001</v>
      </c>
      <c r="T64" s="210">
        <v>40</v>
      </c>
      <c r="U64" s="210">
        <v>69</v>
      </c>
    </row>
    <row r="65" spans="16:21" ht="18" thickBot="1">
      <c r="P65" s="180" t="s">
        <v>977</v>
      </c>
      <c r="Q65" s="181">
        <v>25487586</v>
      </c>
      <c r="R65" s="181">
        <v>37016787988</v>
      </c>
      <c r="S65" s="182">
        <v>65278667.090000004</v>
      </c>
      <c r="T65" s="210">
        <v>37</v>
      </c>
      <c r="U65" s="210">
        <v>56</v>
      </c>
    </row>
    <row r="66" spans="16:21" ht="18" thickBot="1">
      <c r="P66" s="180" t="s">
        <v>978</v>
      </c>
      <c r="Q66" s="181">
        <v>36951289</v>
      </c>
      <c r="R66" s="181">
        <v>54110448812</v>
      </c>
      <c r="S66" s="182">
        <v>80493360.260000005</v>
      </c>
      <c r="T66" s="210">
        <v>44</v>
      </c>
      <c r="U66" s="210">
        <v>73</v>
      </c>
    </row>
    <row r="67" spans="16:21" ht="18" thickBot="1">
      <c r="P67" s="180" t="s">
        <v>979</v>
      </c>
      <c r="Q67" s="181">
        <v>28594083</v>
      </c>
      <c r="R67" s="181">
        <v>42498334217</v>
      </c>
      <c r="S67" s="182">
        <v>60996673.229999997</v>
      </c>
      <c r="T67" s="210">
        <v>45</v>
      </c>
      <c r="U67" s="210">
        <v>69</v>
      </c>
    </row>
    <row r="68" spans="16:21" ht="18" thickBot="1">
      <c r="P68" s="180" t="s">
        <v>980</v>
      </c>
      <c r="Q68" s="181">
        <v>11199398</v>
      </c>
      <c r="R68" s="181">
        <v>16456118503</v>
      </c>
      <c r="S68" s="182">
        <v>16287310.33</v>
      </c>
      <c r="T68" s="210">
        <v>33</v>
      </c>
      <c r="U68" s="210">
        <v>44</v>
      </c>
    </row>
    <row r="69" spans="16:21" ht="18" thickBot="1">
      <c r="P69" s="180" t="s">
        <v>975</v>
      </c>
      <c r="Q69" s="181">
        <v>308241686</v>
      </c>
      <c r="R69" s="181">
        <v>438272252965</v>
      </c>
      <c r="S69" s="182">
        <v>700881533.01999998</v>
      </c>
      <c r="T69" s="210">
        <v>139</v>
      </c>
      <c r="U69" s="210">
        <v>333</v>
      </c>
    </row>
    <row r="70" spans="16:21" ht="18" thickBot="1">
      <c r="P70" s="215" t="s">
        <v>982</v>
      </c>
      <c r="Q70" s="217" t="s">
        <v>1463</v>
      </c>
      <c r="R70"/>
      <c r="S70"/>
      <c r="T70"/>
      <c r="U70"/>
    </row>
    <row r="71" spans="16:21" ht="18" thickBot="1">
      <c r="P71" s="180" t="s">
        <v>975</v>
      </c>
      <c r="Q71" s="181">
        <v>308241686</v>
      </c>
      <c r="R71" s="181">
        <v>438272252965</v>
      </c>
      <c r="S71" s="182">
        <v>700881533.01999998</v>
      </c>
      <c r="T71" s="210">
        <v>139</v>
      </c>
      <c r="U71" s="210">
        <v>333</v>
      </c>
    </row>
    <row r="72" spans="16:21" ht="18" thickBot="1">
      <c r="P72" s="180" t="s">
        <v>982</v>
      </c>
      <c r="Q72" s="181">
        <v>259853251</v>
      </c>
      <c r="R72" s="181">
        <v>353485257106</v>
      </c>
      <c r="S72" s="182">
        <v>640146299.02999997</v>
      </c>
      <c r="T72" s="210">
        <v>118</v>
      </c>
      <c r="U72" s="210">
        <v>279</v>
      </c>
    </row>
    <row r="73" spans="16:21" ht="18" thickBot="1">
      <c r="P73" s="215" t="s">
        <v>1386</v>
      </c>
      <c r="Q73" s="217" t="s">
        <v>1439</v>
      </c>
      <c r="R73"/>
      <c r="S73"/>
      <c r="T73"/>
      <c r="U73"/>
    </row>
  </sheetData>
  <phoneticPr fontId="1" type="noConversion"/>
  <conditionalFormatting sqref="C29:C30">
    <cfRule type="cellIs" dxfId="25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AG58"/>
  <sheetViews>
    <sheetView topLeftCell="A2"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3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55701330.619047619</v>
      </c>
      <c r="G11" s="90">
        <f t="shared" si="2"/>
        <v>0.53334253456700997</v>
      </c>
      <c r="H11" s="90"/>
      <c r="I11" s="130">
        <f t="shared" si="0"/>
        <v>50.735690008666452</v>
      </c>
      <c r="J11" s="130"/>
      <c r="K11" s="78"/>
      <c r="O11" s="89"/>
      <c r="P11" s="129" t="s">
        <v>6</v>
      </c>
      <c r="Q11" s="116">
        <f>'양극재(NCM)'!Q11+'양극재(NCA)'!Q11</f>
        <v>1169727943</v>
      </c>
      <c r="R11" s="116">
        <f>'양극재(NCM)'!R11+'양극재(NCA)'!R11</f>
        <v>1157532256840</v>
      </c>
      <c r="S11" s="116">
        <f>'양극재(NCM)'!S11+'양극재(NCA)'!S11</f>
        <v>23055327.379999999</v>
      </c>
      <c r="T11" s="130">
        <f t="shared" si="1"/>
        <v>50.735690008666452</v>
      </c>
      <c r="U11" s="85"/>
    </row>
    <row r="12" spans="1:21" ht="15" hidden="1" customHeight="1">
      <c r="A12" s="129" t="s">
        <v>7</v>
      </c>
      <c r="C12" s="79"/>
      <c r="F12" s="78">
        <f>Q12/22</f>
        <v>54360286.954545453</v>
      </c>
      <c r="G12" s="90">
        <f t="shared" si="2"/>
        <v>-2.4075612729502427E-2</v>
      </c>
      <c r="H12" s="90"/>
      <c r="I12" s="130">
        <f t="shared" si="0"/>
        <v>49.49430159985517</v>
      </c>
      <c r="J12" s="130"/>
      <c r="K12" s="78"/>
      <c r="O12" s="89"/>
      <c r="P12" s="129" t="s">
        <v>7</v>
      </c>
      <c r="Q12" s="116">
        <f>'양극재(NCM)'!Q12+'양극재(NCA)'!Q12</f>
        <v>1195926313</v>
      </c>
      <c r="R12" s="116">
        <f>'양극재(NCM)'!R12+'양극재(NCA)'!R12</f>
        <v>1220930972779</v>
      </c>
      <c r="S12" s="116">
        <f>'양극재(NCM)'!S12+'양극재(NCA)'!S12</f>
        <v>24162909.149999999</v>
      </c>
      <c r="T12" s="130">
        <f>Q12/S12</f>
        <v>49.49430159985517</v>
      </c>
      <c r="U12" s="85"/>
    </row>
    <row r="13" spans="1:21" ht="15" hidden="1" customHeight="1">
      <c r="A13" s="129" t="s">
        <v>35</v>
      </c>
      <c r="B13" s="131">
        <f>F11+F12+F13</f>
        <v>164145611.32359308</v>
      </c>
      <c r="C13" s="131">
        <f>AVERAGE(F11:F13)</f>
        <v>54715203.774531029</v>
      </c>
      <c r="D13" s="90">
        <f>C13/C10-1</f>
        <v>0.68730328921944084</v>
      </c>
      <c r="E13" s="286"/>
      <c r="F13" s="78">
        <f>Q13/20</f>
        <v>54083993.75</v>
      </c>
      <c r="G13" s="90">
        <f t="shared" si="2"/>
        <v>-5.0826296185022546E-3</v>
      </c>
      <c r="H13" s="90"/>
      <c r="I13" s="130">
        <f t="shared" si="0"/>
        <v>48.668074797300065</v>
      </c>
      <c r="J13" s="130"/>
      <c r="K13" s="78">
        <f>R11+R12+R13</f>
        <v>3554281045348</v>
      </c>
      <c r="L13" s="87">
        <f>U13/U10-1</f>
        <v>0.68743853221644158</v>
      </c>
      <c r="N13" s="88">
        <f>AVERAGE(T11:T13)</f>
        <v>49.63268880194056</v>
      </c>
      <c r="O13" s="89">
        <f>N13/N10-1</f>
        <v>0.10911977346478929</v>
      </c>
      <c r="P13" s="129" t="s">
        <v>60</v>
      </c>
      <c r="Q13" s="116">
        <f>'양극재(NCM)'!Q13+'양극재(NCA)'!Q13</f>
        <v>1081679875</v>
      </c>
      <c r="R13" s="116">
        <f>'양극재(NCM)'!R13+'양극재(NCA)'!R13</f>
        <v>1175817815729</v>
      </c>
      <c r="S13" s="116">
        <f>'양극재(NCM)'!S13+'양극재(NCA)'!S13</f>
        <v>22225655.719999999</v>
      </c>
      <c r="T13" s="130">
        <f>Q13/S13</f>
        <v>48.668074797300065</v>
      </c>
      <c r="U13" s="85">
        <f>Q11+Q12+Q13</f>
        <v>3447334131</v>
      </c>
    </row>
    <row r="14" spans="1:21" ht="15" hidden="1" customHeight="1">
      <c r="A14" s="129" t="s">
        <v>36</v>
      </c>
      <c r="C14" s="79"/>
      <c r="F14" s="78">
        <f>Q14/20</f>
        <v>48503146.049999997</v>
      </c>
      <c r="G14" s="90">
        <f t="shared" si="2"/>
        <v>-0.10318852793669664</v>
      </c>
      <c r="H14" s="90"/>
      <c r="I14" s="130">
        <f t="shared" si="0"/>
        <v>48.894772224105182</v>
      </c>
      <c r="J14" s="130"/>
      <c r="K14" s="78"/>
      <c r="O14" s="89"/>
      <c r="P14" s="129" t="s">
        <v>36</v>
      </c>
      <c r="Q14" s="116">
        <f>'양극재(NCM)'!Q14+'양극재(NCA)'!Q14</f>
        <v>970062921</v>
      </c>
      <c r="R14" s="116">
        <f>'양극재(NCM)'!R14+'양극재(NCA)'!R14</f>
        <v>1062641228181</v>
      </c>
      <c r="S14" s="116">
        <f>'양극재(NCM)'!S14+'양극재(NCA)'!S14</f>
        <v>19839808.57</v>
      </c>
      <c r="T14" s="130">
        <f>Q14/S14</f>
        <v>48.894772224105182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49258602.863636367</v>
      </c>
      <c r="G15" s="90">
        <f t="shared" si="2"/>
        <v>1.5575418816288655E-2</v>
      </c>
      <c r="H15" s="90"/>
      <c r="I15" s="130">
        <f t="shared" si="0"/>
        <v>47.547462471670222</v>
      </c>
      <c r="J15" s="130"/>
      <c r="K15" s="78"/>
      <c r="O15" s="89"/>
      <c r="P15" s="129" t="s">
        <v>37</v>
      </c>
      <c r="Q15" s="116">
        <f>'양극재(NCM)'!Q15+'양극재(NCA)'!Q15</f>
        <v>1083689263</v>
      </c>
      <c r="R15" s="116">
        <f>'양극재(NCM)'!R15+'양극재(NCA)'!R15</f>
        <v>1207691864394</v>
      </c>
      <c r="S15" s="116">
        <f>'양극재(NCM)'!S15+'양극재(NCA)'!S15</f>
        <v>22791737.07</v>
      </c>
      <c r="T15" s="130">
        <f t="shared" ref="T15:T19" si="3">Q15/S15</f>
        <v>47.547462471670222</v>
      </c>
      <c r="U15" s="78"/>
    </row>
    <row r="16" spans="1:21" ht="15" hidden="1" customHeight="1">
      <c r="A16" s="123" t="s">
        <v>38</v>
      </c>
      <c r="B16" s="131">
        <f>F14+F15+F16</f>
        <v>144888414.14090908</v>
      </c>
      <c r="C16" s="131">
        <f>AVERAGE(F14:F16)</f>
        <v>48296138.046969689</v>
      </c>
      <c r="D16" s="90">
        <f>C16/C13-1</f>
        <v>-0.1173177706513322</v>
      </c>
      <c r="E16" s="286"/>
      <c r="F16" s="78">
        <f>Q16/22</f>
        <v>47126665.227272727</v>
      </c>
      <c r="G16" s="90">
        <f t="shared" si="2"/>
        <v>-4.3280513705707957E-2</v>
      </c>
      <c r="H16" s="90"/>
      <c r="I16" s="130">
        <f t="shared" si="0"/>
        <v>46.63745492381608</v>
      </c>
      <c r="J16" s="130"/>
      <c r="K16" s="78">
        <f>R14+R15+R16</f>
        <v>3322756000514</v>
      </c>
      <c r="L16" s="87">
        <f>U16/U13-1</f>
        <v>-0.10349890623932678</v>
      </c>
      <c r="N16" s="88">
        <f>AVERAGE(T14:T16)</f>
        <v>47.693229873197161</v>
      </c>
      <c r="O16" s="89">
        <f>N16/N13-1</f>
        <v>-3.9076241395722411E-2</v>
      </c>
      <c r="P16" s="123" t="s">
        <v>38</v>
      </c>
      <c r="Q16" s="133">
        <f>'양극재(NCM)'!Q16+'양극재(NCA)'!Q16</f>
        <v>1036786635</v>
      </c>
      <c r="R16" s="133">
        <f>'양극재(NCM)'!R16+'양극재(NCA)'!R16</f>
        <v>1052422907939</v>
      </c>
      <c r="S16" s="133">
        <f>'양극재(NCM)'!S16+'양극재(NCA)'!S16</f>
        <v>22230772.170000002</v>
      </c>
      <c r="T16" s="134">
        <f t="shared" si="3"/>
        <v>46.63745492381608</v>
      </c>
      <c r="U16" s="85">
        <f>Q14+Q15+Q16</f>
        <v>3090538819</v>
      </c>
    </row>
    <row r="17" spans="1:33" ht="15" hidden="1" customHeight="1">
      <c r="A17" s="129" t="s">
        <v>85</v>
      </c>
      <c r="C17" s="79"/>
      <c r="F17" s="78">
        <f>Q17/20</f>
        <v>56855198.149999999</v>
      </c>
      <c r="G17" s="90">
        <f t="shared" si="2"/>
        <v>0.20643372230584367</v>
      </c>
      <c r="H17" s="90">
        <f t="shared" ref="H17:H36" si="4">F17/F5-1</f>
        <v>1.6343617043068632</v>
      </c>
      <c r="I17" s="130">
        <f t="shared" si="0"/>
        <v>50.651357167137469</v>
      </c>
      <c r="J17" s="130">
        <f t="shared" ref="J17:J49" si="5">I17/I5-1</f>
        <v>0.66465034483842889</v>
      </c>
      <c r="K17" s="78"/>
      <c r="O17" s="89"/>
      <c r="P17" s="129" t="s">
        <v>85</v>
      </c>
      <c r="Q17" s="116">
        <f>'양극재(NCM)'!Q17+'양극재(NCA)'!Q17</f>
        <v>1137103963</v>
      </c>
      <c r="R17" s="116">
        <f>'양극재(NCM)'!R17+'양극재(NCA)'!R17</f>
        <v>1427500707645</v>
      </c>
      <c r="S17" s="116">
        <f>'양극재(NCM)'!S17+'양극재(NCA)'!S17</f>
        <v>22449624.780000001</v>
      </c>
      <c r="T17" s="130">
        <f t="shared" si="3"/>
        <v>50.651357167137469</v>
      </c>
      <c r="U17" s="78"/>
    </row>
    <row r="18" spans="1:33" hidden="1">
      <c r="A18" s="129" t="s">
        <v>106</v>
      </c>
      <c r="C18" s="79"/>
      <c r="F18" s="78">
        <f>Q18/20</f>
        <v>64770205.350000001</v>
      </c>
      <c r="G18" s="90">
        <f t="shared" si="2"/>
        <v>0.13921343091827754</v>
      </c>
      <c r="H18" s="90">
        <f t="shared" si="4"/>
        <v>1.6767288854427242</v>
      </c>
      <c r="I18" s="130">
        <f t="shared" si="0"/>
        <v>52.163341278833869</v>
      </c>
      <c r="J18" s="130">
        <f t="shared" si="5"/>
        <v>0.7067589640458789</v>
      </c>
      <c r="K18" s="78"/>
      <c r="O18" s="89"/>
      <c r="P18" s="129" t="s">
        <v>106</v>
      </c>
      <c r="Q18" s="116">
        <f>'양극재(NCM)'!Q18+'양극재(NCA)'!Q18</f>
        <v>1295404107</v>
      </c>
      <c r="R18" s="116">
        <f>'양극재(NCM)'!R18+'양극재(NCA)'!R18</f>
        <v>1624485249700</v>
      </c>
      <c r="S18" s="116">
        <f>'양극재(NCM)'!S18+'양극재(NCA)'!S18</f>
        <v>24833610.640000001</v>
      </c>
      <c r="T18" s="130">
        <f t="shared" si="3"/>
        <v>52.163341278833869</v>
      </c>
      <c r="U18" s="78"/>
    </row>
    <row r="19" spans="1:33" hidden="1">
      <c r="A19" s="129" t="s">
        <v>114</v>
      </c>
      <c r="B19" s="131">
        <f>SUM(F17:F19)</f>
        <v>186565313.95454544</v>
      </c>
      <c r="C19" s="131">
        <f>AVERAGE(F17:F19)</f>
        <v>62188437.984848477</v>
      </c>
      <c r="D19" s="90">
        <f>C19/C16-1</f>
        <v>0.28764825718296638</v>
      </c>
      <c r="E19" s="286">
        <f>C19/C7-1</f>
        <v>1.6033186960600725</v>
      </c>
      <c r="F19" s="78">
        <f>Q19/22</f>
        <v>64939910.454545453</v>
      </c>
      <c r="G19" s="90">
        <f t="shared" si="2"/>
        <v>2.6201106454490919E-3</v>
      </c>
      <c r="H19" s="90">
        <f t="shared" si="4"/>
        <v>1.5088105215571712</v>
      </c>
      <c r="I19" s="130">
        <f t="shared" si="0"/>
        <v>53.394837921911424</v>
      </c>
      <c r="J19" s="130">
        <f t="shared" si="5"/>
        <v>0.57027220940049395</v>
      </c>
      <c r="K19" s="78">
        <f>R17+R18+R19</f>
        <v>4919711113804</v>
      </c>
      <c r="L19" s="87">
        <f>U19/U16-1</f>
        <v>0.24935693292775296</v>
      </c>
      <c r="M19" s="87">
        <f>U19/U7-1</f>
        <v>1.6876078456820416</v>
      </c>
      <c r="N19" s="88">
        <f>AVERAGE(T17:T19)</f>
        <v>52.069845455960923</v>
      </c>
      <c r="O19" s="89">
        <f>N19/N16-1</f>
        <v>9.1765971698707594E-2</v>
      </c>
      <c r="P19" s="129" t="s">
        <v>114</v>
      </c>
      <c r="Q19" s="116">
        <f>'양극재(NCM)'!Q19+'양극재(NCA)'!Q19</f>
        <v>1428678030</v>
      </c>
      <c r="R19" s="116">
        <f>'양극재(NCM)'!R19+'양극재(NCA)'!R19</f>
        <v>1867725156459</v>
      </c>
      <c r="S19" s="116">
        <f>'양극재(NCM)'!S19+'양극재(NCA)'!S19</f>
        <v>26756856.759999998</v>
      </c>
      <c r="T19" s="130">
        <f t="shared" si="3"/>
        <v>53.394837921911424</v>
      </c>
      <c r="U19" s="85">
        <f>Q17+Q18+Q19</f>
        <v>3861186100</v>
      </c>
    </row>
    <row r="20" spans="1:33" hidden="1">
      <c r="A20" s="129" t="s">
        <v>131</v>
      </c>
      <c r="B20" s="131"/>
      <c r="C20" s="131"/>
      <c r="D20" s="90"/>
      <c r="E20" s="286"/>
      <c r="F20" s="78">
        <f>AG24/20</f>
        <v>53211652.299999997</v>
      </c>
      <c r="G20" s="90">
        <f t="shared" si="2"/>
        <v>-0.18060169890062638</v>
      </c>
      <c r="H20" s="90">
        <f t="shared" si="4"/>
        <v>1.1550899251578048</v>
      </c>
      <c r="I20" s="130">
        <f t="shared" si="0"/>
        <v>42.821229300218945</v>
      </c>
      <c r="J20" s="130">
        <f t="shared" si="5"/>
        <v>5.1468648380221804E-2</v>
      </c>
      <c r="K20" s="78"/>
      <c r="O20" s="89"/>
      <c r="P20" s="129" t="s">
        <v>131</v>
      </c>
      <c r="Q20" s="116">
        <f>'양극재(NCM)'!Q20+'양극재(NCA)'!Q20</f>
        <v>1324557316</v>
      </c>
      <c r="R20" s="116">
        <f>'양극재(NCM)'!R20+'양극재(NCA)'!R20</f>
        <v>1737165461628</v>
      </c>
      <c r="S20" s="116">
        <f>'양극재(NCM)'!S20+'양극재(NCA)'!S20</f>
        <v>24852930.739999998</v>
      </c>
      <c r="T20" s="130">
        <f>AG24/S20</f>
        <v>42.821229300218945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55677464.285714284</v>
      </c>
      <c r="G21" s="90">
        <f t="shared" si="2"/>
        <v>4.6339699654736943E-2</v>
      </c>
      <c r="H21" s="90">
        <f t="shared" si="4"/>
        <v>0.53529792601240533</v>
      </c>
      <c r="I21" s="130">
        <f t="shared" si="0"/>
        <v>50.052612688319293</v>
      </c>
      <c r="J21" s="130">
        <f t="shared" si="5"/>
        <v>8.3129541009893781E-2</v>
      </c>
      <c r="K21" s="78"/>
      <c r="O21" s="89"/>
      <c r="P21" s="129" t="s">
        <v>141</v>
      </c>
      <c r="Q21" s="116">
        <f>'양극재(NCM)'!Q21+'양극재(NCA)'!Q21</f>
        <v>1169226750</v>
      </c>
      <c r="R21" s="116">
        <f>'양극재(NCM)'!R21+'양극재(NCA)'!R21</f>
        <v>1556775807091</v>
      </c>
      <c r="S21" s="116">
        <f>'양극재(NCM)'!S21+'양극재(NCA)'!S21</f>
        <v>23359954.399999999</v>
      </c>
      <c r="T21" s="130">
        <f t="shared" ref="T21:T36" si="6">Q21/S21</f>
        <v>50.052612688319293</v>
      </c>
      <c r="U21" s="78"/>
    </row>
    <row r="22" spans="1:33" hidden="1">
      <c r="A22" s="129" t="s">
        <v>156</v>
      </c>
      <c r="B22" s="131">
        <f>SUM(F20:F22)</f>
        <v>157834177.68095237</v>
      </c>
      <c r="C22" s="131">
        <f>AVERAGE(F20:F22)</f>
        <v>52611392.560317457</v>
      </c>
      <c r="D22" s="90">
        <f>C22/C19-1</f>
        <v>-0.15400041767996109</v>
      </c>
      <c r="E22" s="286">
        <f>C22/C10-1</f>
        <v>0.6224261191321816</v>
      </c>
      <c r="F22" s="78">
        <f>Q22/21</f>
        <v>48945061.095238097</v>
      </c>
      <c r="G22" s="90">
        <f t="shared" si="2"/>
        <v>-0.12091792032640369</v>
      </c>
      <c r="H22" s="90">
        <f t="shared" si="4"/>
        <v>0.34735639526438167</v>
      </c>
      <c r="I22" s="130">
        <f t="shared" si="0"/>
        <v>47.258538867455378</v>
      </c>
      <c r="J22" s="130">
        <f t="shared" si="5"/>
        <v>-1.1425525112268575E-3</v>
      </c>
      <c r="K22" s="78">
        <f>R20+R21+R22</f>
        <v>4630481637406</v>
      </c>
      <c r="L22" s="87">
        <f>U22/U19-1</f>
        <v>-0.15536159238737546</v>
      </c>
      <c r="M22" s="87">
        <f>U22/U10-1</f>
        <v>0.59637950193703393</v>
      </c>
      <c r="N22" s="88">
        <f>AVERAGE(T20:T22)</f>
        <v>46.710793618664532</v>
      </c>
      <c r="O22" s="89">
        <f>N22/N19-1</f>
        <v>-0.10292044830109803</v>
      </c>
      <c r="P22" s="129" t="s">
        <v>156</v>
      </c>
      <c r="Q22" s="116">
        <f>'양극재(NCM)'!Q22+'양극재(NCA)'!Q22</f>
        <v>1027846283</v>
      </c>
      <c r="R22" s="116">
        <f>'양극재(NCM)'!R22+'양극재(NCA)'!R22</f>
        <v>1336540368687</v>
      </c>
      <c r="S22" s="116">
        <f>'양극재(NCM)'!S22+'양극재(NCA)'!S22</f>
        <v>21749430</v>
      </c>
      <c r="T22" s="130">
        <f t="shared" si="6"/>
        <v>47.258538867455378</v>
      </c>
      <c r="U22" s="85">
        <f>AG24+Q21+Q22</f>
        <v>3261306079</v>
      </c>
    </row>
    <row r="23" spans="1:33" hidden="1">
      <c r="A23" s="129" t="s">
        <v>189</v>
      </c>
      <c r="B23" s="131"/>
      <c r="C23" s="131"/>
      <c r="F23" s="78">
        <f>Q23/21</f>
        <v>53565757.285714284</v>
      </c>
      <c r="G23" s="90">
        <f t="shared" si="2"/>
        <v>9.4405770206010375E-2</v>
      </c>
      <c r="H23" s="90">
        <f t="shared" si="4"/>
        <v>-3.8339718451951277E-2</v>
      </c>
      <c r="I23" s="130">
        <f t="shared" si="0"/>
        <v>42.693800212755143</v>
      </c>
      <c r="J23" s="130">
        <f t="shared" si="5"/>
        <v>-0.15850557653867781</v>
      </c>
      <c r="K23" s="98"/>
      <c r="O23" s="89"/>
      <c r="P23" s="129" t="s">
        <v>189</v>
      </c>
      <c r="Q23" s="116">
        <f>'양극재(NCM)'!Q23+'양극재(NCA)'!Q23</f>
        <v>1124880903</v>
      </c>
      <c r="R23" s="116">
        <f>'양극재(NCM)'!R23+'양극재(NCA)'!R23</f>
        <v>1455701814574</v>
      </c>
      <c r="S23" s="116">
        <f>'양극재(NCM)'!S23+'양극재(NCA)'!S23</f>
        <v>26347640.579999998</v>
      </c>
      <c r="T23" s="130">
        <f t="shared" si="6"/>
        <v>42.693800212755143</v>
      </c>
      <c r="U23" s="78"/>
    </row>
    <row r="24" spans="1:33" hidden="1">
      <c r="A24" s="129" t="s">
        <v>204</v>
      </c>
      <c r="B24" s="131"/>
      <c r="C24" s="131"/>
      <c r="F24" s="78">
        <f>Q24/22</f>
        <v>51568334.590909094</v>
      </c>
      <c r="G24" s="90">
        <f t="shared" si="2"/>
        <v>-3.7289171217185335E-2</v>
      </c>
      <c r="H24" s="90">
        <f t="shared" si="4"/>
        <v>-5.1360147638126241E-2</v>
      </c>
      <c r="I24" s="130">
        <f t="shared" si="0"/>
        <v>42.67236496607169</v>
      </c>
      <c r="J24" s="130">
        <f t="shared" si="5"/>
        <v>-0.13783276888997342</v>
      </c>
      <c r="K24" s="98"/>
      <c r="O24" s="89"/>
      <c r="P24" s="129" t="s">
        <v>204</v>
      </c>
      <c r="Q24" s="116">
        <f>'양극재(NCM)'!Q24+'양극재(NCA)'!Q24</f>
        <v>1134503361</v>
      </c>
      <c r="R24" s="116">
        <f>'양극재(NCM)'!R24+'양극재(NCA)'!R24</f>
        <v>1486856229215</v>
      </c>
      <c r="S24" s="116">
        <f>'양극재(NCM)'!S24+'양극재(NCA)'!S24</f>
        <v>26586371.809999999</v>
      </c>
      <c r="T24" s="130">
        <f t="shared" si="6"/>
        <v>42.67236496607169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156263992.5608339</v>
      </c>
      <c r="C25" s="131">
        <f>AVERAGE(F23:F25)</f>
        <v>52087997.52027797</v>
      </c>
      <c r="D25" s="90">
        <f>C25/C22-1</f>
        <v>-9.9483213533918535E-3</v>
      </c>
      <c r="E25" s="286">
        <f>C25/C13-1</f>
        <v>-4.801601882137152E-2</v>
      </c>
      <c r="F25" s="78">
        <f>Q25/19</f>
        <v>51129900.684210524</v>
      </c>
      <c r="G25" s="90">
        <f t="shared" si="2"/>
        <v>-8.501998565140001E-3</v>
      </c>
      <c r="H25" s="90">
        <f t="shared" si="4"/>
        <v>-5.4620468293162583E-2</v>
      </c>
      <c r="I25" s="130">
        <f t="shared" si="0"/>
        <v>42.222268884346839</v>
      </c>
      <c r="J25" s="130">
        <f t="shared" si="5"/>
        <v>-0.13244423453772647</v>
      </c>
      <c r="K25" s="78">
        <f>R23+R24+R25</f>
        <v>4231405327789</v>
      </c>
      <c r="L25" s="90">
        <f>U25/U22-1</f>
        <v>-9.3378852712094895E-3</v>
      </c>
      <c r="M25" s="90">
        <f>U25/U13-1</f>
        <v>-6.2796858608307637E-2</v>
      </c>
      <c r="N25" s="88">
        <f>AVERAGE(T23:T25)</f>
        <v>42.529478021057891</v>
      </c>
      <c r="O25" s="91">
        <f>N25/N22-1</f>
        <v>-8.9514976597098284E-2</v>
      </c>
      <c r="P25" s="129" t="s">
        <v>220</v>
      </c>
      <c r="Q25" s="116">
        <f>'양극재(NCM)'!Q25+'양극재(NCA)'!Q25</f>
        <v>971468113</v>
      </c>
      <c r="R25" s="116">
        <f>'양극재(NCM)'!R25+'양극재(NCA)'!R25</f>
        <v>1288847284000</v>
      </c>
      <c r="S25" s="116">
        <f>'양극재(NCM)'!S25+'양극재(NCA)'!S25</f>
        <v>23008429.879999999</v>
      </c>
      <c r="T25" s="130">
        <f t="shared" si="6"/>
        <v>42.222268884346839</v>
      </c>
      <c r="U25" s="85">
        <f>Q23+Q24+Q25</f>
        <v>3230852377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36853363.421052635</v>
      </c>
      <c r="G26" s="90">
        <f t="shared" si="2"/>
        <v>-0.2792209073773273</v>
      </c>
      <c r="H26" s="90">
        <f t="shared" si="4"/>
        <v>-0.24018612353388491</v>
      </c>
      <c r="I26" s="130">
        <f t="shared" si="0"/>
        <v>39.136130229666954</v>
      </c>
      <c r="J26" s="130">
        <f t="shared" si="5"/>
        <v>-0.19958456805382574</v>
      </c>
      <c r="K26" s="78"/>
      <c r="L26" s="90"/>
      <c r="M26" s="90"/>
      <c r="P26" s="129" t="s">
        <v>312</v>
      </c>
      <c r="Q26" s="116">
        <f>'양극재(NCM)'!Q26+'양극재(NCA)'!Q26</f>
        <v>700213905</v>
      </c>
      <c r="R26" s="116">
        <f>'양극재(NCM)'!R26+'양극재(NCA)'!R26</f>
        <v>943623978134</v>
      </c>
      <c r="S26" s="116">
        <f>'양극재(NCM)'!S26+'양극재(NCA)'!S26</f>
        <v>17891751.199999999</v>
      </c>
      <c r="T26" s="130">
        <f t="shared" si="6"/>
        <v>39.136130229666954</v>
      </c>
      <c r="U26" s="78"/>
      <c r="V26" s="79"/>
      <c r="W26" s="79"/>
      <c r="X26" s="79"/>
      <c r="Y26" s="79"/>
      <c r="Z26" s="79"/>
    </row>
    <row r="27" spans="1:33" ht="13.2" hidden="1">
      <c r="A27" s="129" t="s">
        <v>375</v>
      </c>
      <c r="B27" s="131"/>
      <c r="C27" s="131"/>
      <c r="D27" s="132"/>
      <c r="E27" s="286"/>
      <c r="F27" s="78">
        <f>Q27/22</f>
        <v>27567499.5</v>
      </c>
      <c r="G27" s="90">
        <f t="shared" si="2"/>
        <v>-0.25196788187175467</v>
      </c>
      <c r="H27" s="90">
        <f t="shared" si="4"/>
        <v>-0.44035157520980261</v>
      </c>
      <c r="I27" s="130">
        <f t="shared" si="0"/>
        <v>38.41561465747197</v>
      </c>
      <c r="J27" s="130">
        <f t="shared" si="5"/>
        <v>-0.19205752188435288</v>
      </c>
      <c r="K27" s="78"/>
      <c r="L27" s="90"/>
      <c r="M27" s="90"/>
      <c r="P27" s="129" t="s">
        <v>375</v>
      </c>
      <c r="Q27" s="116">
        <f>'양극재(NCM)'!Q27+'양극재(NCA)'!Q27</f>
        <v>606484989</v>
      </c>
      <c r="R27" s="116">
        <f>'양극재(NCM)'!R27+'양극재(NCA)'!R27</f>
        <v>802991235521</v>
      </c>
      <c r="S27" s="116">
        <f>'양극재(NCM)'!S27+'양극재(NCA)'!S27</f>
        <v>15787460.24</v>
      </c>
      <c r="T27" s="130">
        <f t="shared" si="6"/>
        <v>38.41561465747197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91693636.921052635</v>
      </c>
      <c r="C28" s="131">
        <f>AVERAGE(F26:F28)</f>
        <v>30564545.640350878</v>
      </c>
      <c r="D28" s="90">
        <f>C28/C25-1</f>
        <v>-0.41321327185879941</v>
      </c>
      <c r="E28" s="286">
        <f>C28/C16-1</f>
        <v>-0.36714307030873183</v>
      </c>
      <c r="F28" s="78">
        <f>Q28/19</f>
        <v>27272774</v>
      </c>
      <c r="G28" s="90">
        <f t="shared" si="2"/>
        <v>-1.0691049436674538E-2</v>
      </c>
      <c r="H28" s="90">
        <f t="shared" si="4"/>
        <v>-0.42128784482257531</v>
      </c>
      <c r="I28" s="130">
        <f t="shared" si="0"/>
        <v>37.108259992434618</v>
      </c>
      <c r="J28" s="130">
        <f t="shared" si="5"/>
        <v>-0.20432493468924784</v>
      </c>
      <c r="K28" s="78">
        <f>R26+R27+R28</f>
        <v>2421913913005</v>
      </c>
      <c r="L28" s="90">
        <f>U28/U25-1</f>
        <v>-0.43517023154908452</v>
      </c>
      <c r="M28" s="90">
        <f>U28/U16-1</f>
        <v>-0.40952639430347826</v>
      </c>
      <c r="N28" s="88">
        <f>AVERAGE(T26:T28)</f>
        <v>38.220001626524514</v>
      </c>
      <c r="O28" s="91">
        <f>N28/N25-1</f>
        <v>-0.10132916261985625</v>
      </c>
      <c r="P28" s="129" t="s">
        <v>413</v>
      </c>
      <c r="Q28" s="116">
        <f>'양극재(NCM)'!Q28+'양극재(NCA)'!Q28</f>
        <v>518182706</v>
      </c>
      <c r="R28" s="116">
        <f>'양극재(NCM)'!R28+'양극재(NCA)'!R28</f>
        <v>675298699350</v>
      </c>
      <c r="S28" s="116">
        <f>'양극재(NCM)'!S28+'양극재(NCA)'!S28</f>
        <v>13964079.859999999</v>
      </c>
      <c r="T28" s="130">
        <f t="shared" si="6"/>
        <v>37.108259992434618</v>
      </c>
      <c r="U28" s="85">
        <f>Q26+Q27+Q28</f>
        <v>1824881600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28460381.181818184</v>
      </c>
      <c r="G29" s="190">
        <f t="shared" si="2"/>
        <v>4.3545522058672237E-2</v>
      </c>
      <c r="H29" s="190">
        <f t="shared" si="4"/>
        <v>-0.49942341056077766</v>
      </c>
      <c r="I29" s="130">
        <f t="shared" si="0"/>
        <v>34.241108251333159</v>
      </c>
      <c r="J29" s="130">
        <f t="shared" si="5"/>
        <v>-0.32398438726240597</v>
      </c>
      <c r="K29" s="136"/>
      <c r="L29" s="190"/>
      <c r="M29" s="190"/>
      <c r="N29" s="191"/>
      <c r="O29" s="192"/>
      <c r="P29" s="129" t="s">
        <v>430</v>
      </c>
      <c r="Q29" s="116">
        <f>'양극재(NCM)'!Q29+'양극재(NCA)'!Q29</f>
        <v>626128386</v>
      </c>
      <c r="R29" s="116">
        <f>'양극재(NCM)'!R29+'양극재(NCA)'!R29</f>
        <v>824027986113</v>
      </c>
      <c r="S29" s="116">
        <f>'양극재(NCM)'!S29+'양극재(NCA)'!S29</f>
        <v>18285868.009999998</v>
      </c>
      <c r="T29" s="130">
        <f t="shared" si="6"/>
        <v>34.241108251333159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32461509.368421052</v>
      </c>
      <c r="G30" s="190">
        <f t="shared" si="2"/>
        <v>0.14058589591761961</v>
      </c>
      <c r="H30" s="190">
        <f t="shared" si="4"/>
        <v>-0.4988203419611198</v>
      </c>
      <c r="I30" s="130">
        <f t="shared" si="0"/>
        <v>31.337176040362568</v>
      </c>
      <c r="J30" s="130">
        <f t="shared" si="5"/>
        <v>-0.39924906510775715</v>
      </c>
      <c r="K30" s="136"/>
      <c r="L30" s="190"/>
      <c r="M30" s="190"/>
      <c r="N30" s="191"/>
      <c r="O30" s="192"/>
      <c r="P30" s="129" t="s">
        <v>466</v>
      </c>
      <c r="Q30" s="116">
        <f>'양극재(NCM)'!Q30+'양극재(NCA)'!Q30</f>
        <v>616768678</v>
      </c>
      <c r="R30" s="116">
        <f>'양극재(NCM)'!R30+'양극재(NCA)'!R30</f>
        <v>821879545518</v>
      </c>
      <c r="S30" s="116">
        <f>'양극재(NCM)'!S30+'양극재(NCA)'!S30</f>
        <v>19681692.990000002</v>
      </c>
      <c r="T30" s="130">
        <f t="shared" si="6"/>
        <v>31.337176040362568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88653744.450239241</v>
      </c>
      <c r="C31" s="188">
        <f>AVERAGE(F29:F31)</f>
        <v>29551248.150079746</v>
      </c>
      <c r="D31" s="190">
        <f>C31/C28-1</f>
        <v>-3.3152709096168964E-2</v>
      </c>
      <c r="E31" s="287">
        <f>C31/C19-1</f>
        <v>-0.52481121720279289</v>
      </c>
      <c r="F31" s="136">
        <f>Q31/20</f>
        <v>27731853.899999999</v>
      </c>
      <c r="G31" s="190">
        <f t="shared" si="2"/>
        <v>-0.14570041752347229</v>
      </c>
      <c r="H31" s="190">
        <f t="shared" si="4"/>
        <v>-0.57296131599363931</v>
      </c>
      <c r="I31" s="130">
        <f t="shared" si="0"/>
        <v>29.228189436012126</v>
      </c>
      <c r="J31" s="130">
        <f t="shared" si="5"/>
        <v>-0.45260271266751295</v>
      </c>
      <c r="K31" s="136">
        <f>R29+R30+R31</f>
        <v>2382401388440</v>
      </c>
      <c r="L31" s="190">
        <f>U31/U28-1</f>
        <v>-1.4985880727823697E-2</v>
      </c>
      <c r="M31" s="190">
        <f>U31/U19-1</f>
        <v>-0.5344606306336801</v>
      </c>
      <c r="N31" s="191">
        <f>AVERAGE(T29:T31)</f>
        <v>31.602157909235952</v>
      </c>
      <c r="O31" s="192">
        <f>N31/N28-1</f>
        <v>-0.17315131961417307</v>
      </c>
      <c r="P31" s="129" t="s">
        <v>505</v>
      </c>
      <c r="Q31" s="116">
        <f>'양극재(NCM)'!Q31+'양극재(NCA)'!Q31</f>
        <v>554637078</v>
      </c>
      <c r="R31" s="116">
        <f>'양극재(NCM)'!R31+'양극재(NCA)'!R31</f>
        <v>736493856809</v>
      </c>
      <c r="S31" s="116">
        <f>'양극재(NCM)'!S31+'양극재(NCA)'!S31</f>
        <v>18976101.109999999</v>
      </c>
      <c r="T31" s="130">
        <f t="shared" si="6"/>
        <v>29.228189436012126</v>
      </c>
      <c r="U31" s="85">
        <f>Q29+Q30+Q31</f>
        <v>1797534142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28544466.904761903</v>
      </c>
      <c r="G32" s="190">
        <f t="shared" si="2"/>
        <v>2.9302512832072303E-2</v>
      </c>
      <c r="H32" s="190">
        <f t="shared" si="4"/>
        <v>-0.46356736408348842</v>
      </c>
      <c r="I32" s="130">
        <f t="shared" si="0"/>
        <v>27.628951762016236</v>
      </c>
      <c r="J32" s="130">
        <f t="shared" si="5"/>
        <v>-0.35478377866478095</v>
      </c>
      <c r="K32" s="203"/>
      <c r="L32" s="190"/>
      <c r="M32" s="190"/>
      <c r="N32" s="191"/>
      <c r="O32" s="192"/>
      <c r="P32" s="129" t="s">
        <v>561</v>
      </c>
      <c r="Q32" s="116">
        <f>'양극재(NCM)'!Q32+'양극재(NCA)'!Q32</f>
        <v>599433805</v>
      </c>
      <c r="R32" s="116">
        <f>'양극재(NCM)'!R32+'양극재(NCA)'!R32</f>
        <v>815475556910</v>
      </c>
      <c r="S32" s="116">
        <f>'양극재(NCM)'!S32+'양극재(NCA)'!S32</f>
        <v>21695857.670000002</v>
      </c>
      <c r="T32" s="130">
        <f t="shared" si="6"/>
        <v>27.628951762016236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25618919.571428571</v>
      </c>
      <c r="G33" s="190">
        <f t="shared" si="2"/>
        <v>-0.1024908730330949</v>
      </c>
      <c r="H33" s="190">
        <f t="shared" si="4"/>
        <v>-0.539869139155429</v>
      </c>
      <c r="I33" s="130">
        <f t="shared" si="0"/>
        <v>27.682107071425428</v>
      </c>
      <c r="J33" s="130">
        <f t="shared" si="5"/>
        <v>-0.44693981823079609</v>
      </c>
      <c r="K33" s="203"/>
      <c r="L33" s="190"/>
      <c r="M33" s="190"/>
      <c r="N33" s="191"/>
      <c r="O33" s="192"/>
      <c r="P33" s="129" t="s">
        <v>611</v>
      </c>
      <c r="Q33" s="116">
        <f>'양극재(NCM)'!Q33+'양극재(NCA)'!Q33</f>
        <v>537997311</v>
      </c>
      <c r="R33" s="116">
        <f>'양극재(NCM)'!R33+'양극재(NCA)'!R33</f>
        <v>735476169703</v>
      </c>
      <c r="S33" s="116">
        <f>'양극재(NCM)'!S33+'양극재(NCA)'!S33</f>
        <v>19434839.609999999</v>
      </c>
      <c r="T33" s="130">
        <f t="shared" si="6"/>
        <v>27.682107071425428</v>
      </c>
      <c r="U33" s="85"/>
    </row>
    <row r="34" spans="1:21" s="79" customFormat="1" ht="13.2" hidden="1">
      <c r="A34" s="129" t="s">
        <v>652</v>
      </c>
      <c r="B34" s="188">
        <f>SUM(F32:F34)</f>
        <v>83830635.791979954</v>
      </c>
      <c r="C34" s="188">
        <f>AVERAGE(F32:F34)</f>
        <v>27943545.263993319</v>
      </c>
      <c r="D34" s="190">
        <f>C34/C31-1</f>
        <v>-5.4403891095276435E-2</v>
      </c>
      <c r="E34" s="287">
        <f>C34/C22-1</f>
        <v>-0.46886892925411838</v>
      </c>
      <c r="F34" s="136">
        <f>Q34/19</f>
        <v>29667249.315789472</v>
      </c>
      <c r="G34" s="190">
        <f t="shared" si="2"/>
        <v>0.15802109581841184</v>
      </c>
      <c r="H34" s="190">
        <f t="shared" si="4"/>
        <v>-0.39386633396856008</v>
      </c>
      <c r="I34" s="130">
        <f t="shared" si="0"/>
        <v>28.306237376608685</v>
      </c>
      <c r="J34" s="130">
        <f t="shared" si="5"/>
        <v>-0.40103443621059998</v>
      </c>
      <c r="K34" s="136">
        <f>R32+R33+R34</f>
        <v>2325786971526</v>
      </c>
      <c r="L34" s="190">
        <f>U34/U31-1</f>
        <v>-5.3643091803927456E-2</v>
      </c>
      <c r="M34" s="190">
        <f>U34/U22-1</f>
        <v>-0.47839644247018864</v>
      </c>
      <c r="N34" s="191">
        <f>AVERAGE(T32:T34)</f>
        <v>27.872432070016782</v>
      </c>
      <c r="O34" s="192">
        <f>N34/N31-1</f>
        <v>-0.11802123924357499</v>
      </c>
      <c r="P34" s="129" t="s">
        <v>652</v>
      </c>
      <c r="Q34" s="116">
        <f>'양극재(NCM)'!Q34+'양극재(NCA)'!Q34</f>
        <v>563677737</v>
      </c>
      <c r="R34" s="116">
        <f>'양극재(NCM)'!R34+'양극재(NCA)'!R34</f>
        <v>774835244913</v>
      </c>
      <c r="S34" s="116">
        <f>'양극재(NCM)'!S34+'양극재(NCA)'!S34</f>
        <v>19913552.25</v>
      </c>
      <c r="T34" s="130">
        <f t="shared" si="6"/>
        <v>28.306237376608685</v>
      </c>
      <c r="U34" s="85">
        <f>Q32+Q33+Q34</f>
        <v>1701108853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17368040.478260871</v>
      </c>
      <c r="G35" s="190">
        <f t="shared" si="2"/>
        <v>-0.41457193104123502</v>
      </c>
      <c r="H35" s="190">
        <f t="shared" si="4"/>
        <v>-0.67576225263424328</v>
      </c>
      <c r="I35" s="130">
        <f t="shared" si="0"/>
        <v>28.731046355457782</v>
      </c>
      <c r="J35" s="130">
        <f t="shared" si="5"/>
        <v>-0.32704406231623928</v>
      </c>
      <c r="K35" s="136"/>
      <c r="L35" s="190"/>
      <c r="M35" s="190"/>
      <c r="N35" s="191"/>
      <c r="O35" s="192"/>
      <c r="P35" s="129" t="s">
        <v>659</v>
      </c>
      <c r="Q35" s="116">
        <f>'양극재(NCM)'!Q35+'양극재(NCA)'!Q35</f>
        <v>399464931</v>
      </c>
      <c r="R35" s="116">
        <f>'양극재(NCM)'!R35+'양극재(NCA)'!R35</f>
        <v>552834515518</v>
      </c>
      <c r="S35" s="116">
        <f>'양극재(NCM)'!S35+'양극재(NCA)'!S35</f>
        <v>13903598.43</v>
      </c>
      <c r="T35" s="130">
        <f t="shared" si="6"/>
        <v>28.731046355457782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21645966.714285713</v>
      </c>
      <c r="G36" s="190">
        <f t="shared" si="2"/>
        <v>0.24631024100729215</v>
      </c>
      <c r="H36" s="190">
        <f t="shared" si="4"/>
        <v>-0.58024693087331836</v>
      </c>
      <c r="I36" s="130">
        <f t="shared" si="0"/>
        <v>27.878587864600444</v>
      </c>
      <c r="J36" s="130">
        <f t="shared" si="5"/>
        <v>-0.34668284997172316</v>
      </c>
      <c r="K36" s="136"/>
      <c r="L36" s="190"/>
      <c r="M36" s="190"/>
      <c r="N36" s="191"/>
      <c r="O36" s="192"/>
      <c r="P36" s="129" t="s">
        <v>664</v>
      </c>
      <c r="Q36" s="116">
        <f>'양극재(NCM)'!Q36+'양극재(NCA)'!Q36</f>
        <v>454565301</v>
      </c>
      <c r="R36" s="116">
        <f>'양극재(NCM)'!R36+'양극재(NCA)'!R36</f>
        <v>619783000878</v>
      </c>
      <c r="S36" s="116">
        <f>'양극재(NCM)'!S36+'양극재(NCA)'!S36</f>
        <v>16305176.689999999</v>
      </c>
      <c r="T36" s="130">
        <f t="shared" si="6"/>
        <v>27.878587864600444</v>
      </c>
      <c r="U36" s="85"/>
    </row>
    <row r="37" spans="1:21" s="79" customFormat="1" ht="13.2" hidden="1">
      <c r="A37" s="129" t="s">
        <v>702</v>
      </c>
      <c r="B37" s="188">
        <f>SUM(F35:F37)</f>
        <v>63119403.02587992</v>
      </c>
      <c r="C37" s="188">
        <f>AVERAGE(F35:F37)</f>
        <v>21039801.00862664</v>
      </c>
      <c r="D37" s="190">
        <f>C37/C34-1</f>
        <v>-0.24706042809329942</v>
      </c>
      <c r="E37" s="287">
        <f>C37/C25-1</f>
        <v>-0.59607199335248395</v>
      </c>
      <c r="F37" s="136">
        <f>Q37/18</f>
        <v>24105395.833333332</v>
      </c>
      <c r="G37" s="190">
        <f t="shared" ref="G37" si="7">F37/F36-1</f>
        <v>0.11362066437182805</v>
      </c>
      <c r="H37" s="190">
        <f t="shared" ref="H37" si="8">F37/F25-1</f>
        <v>-0.52854600711600164</v>
      </c>
      <c r="I37" s="130">
        <f t="shared" si="0"/>
        <v>25.583467235772851</v>
      </c>
      <c r="J37" s="130">
        <f t="shared" si="5"/>
        <v>-0.39407644563465249</v>
      </c>
      <c r="K37" s="136">
        <f>R35+R36+R37</f>
        <v>1751977355654</v>
      </c>
      <c r="L37" s="190">
        <f>U37/U34-1</f>
        <v>-0.24288951014000748</v>
      </c>
      <c r="M37" s="190">
        <f>U37/U25-1</f>
        <v>-0.6013660772096614</v>
      </c>
      <c r="N37" s="191">
        <f>AVERAGE(T35:T37)</f>
        <v>27.397700485277028</v>
      </c>
      <c r="O37" s="192">
        <f>N37/N34-1</f>
        <v>-1.7032298564660819E-2</v>
      </c>
      <c r="P37" s="129" t="s">
        <v>702</v>
      </c>
      <c r="Q37" s="116">
        <f>'양극재(NCM)'!Q37+'양극재(NCA)'!Q37</f>
        <v>433897125</v>
      </c>
      <c r="R37" s="116">
        <f>'양극재(NCM)'!R37+'양극재(NCA)'!R37</f>
        <v>579359839258</v>
      </c>
      <c r="S37" s="116">
        <f>'양극재(NCM)'!S37+'양극재(NCA)'!S37</f>
        <v>16960059.439999998</v>
      </c>
      <c r="T37" s="130">
        <f t="shared" ref="T37" si="9">Q37/S37</f>
        <v>25.583467235772851</v>
      </c>
      <c r="U37" s="85">
        <f>Q35+Q36+Q37</f>
        <v>1287927357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19540333.25</v>
      </c>
      <c r="G38" s="190">
        <f t="shared" ref="G38" si="10">F38/F37-1</f>
        <v>-0.18937928316533548</v>
      </c>
      <c r="H38" s="205">
        <f t="shared" ref="H38:H43" si="11">F38/F26-1</f>
        <v>-0.46978154946808726</v>
      </c>
      <c r="I38" s="130">
        <f t="shared" si="0"/>
        <v>26.489474494635061</v>
      </c>
      <c r="J38" s="130">
        <f t="shared" si="5"/>
        <v>-0.32314527933181181</v>
      </c>
      <c r="K38" s="136"/>
      <c r="L38" s="190"/>
      <c r="M38" s="190"/>
      <c r="N38" s="191"/>
      <c r="O38" s="192"/>
      <c r="P38" s="129" t="s">
        <v>728</v>
      </c>
      <c r="Q38" s="116">
        <f>'양극재(NCM)'!Q38+'양극재(NCA)'!Q38</f>
        <v>390806665</v>
      </c>
      <c r="R38" s="116">
        <f>'양극재(NCM)'!R38+'양극재(NCA)'!R38</f>
        <v>526362175726</v>
      </c>
      <c r="S38" s="116">
        <f>'양극재(NCM)'!S38+'양극재(NCA)'!S38</f>
        <v>14753281.16</v>
      </c>
      <c r="T38" s="130">
        <f t="shared" ref="T38" si="12">Q38/S38</f>
        <v>26.489474494635061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16884859.666666668</v>
      </c>
      <c r="G39" s="190">
        <f t="shared" ref="G39" si="13">F39/F38-1</f>
        <v>-0.13589704685990101</v>
      </c>
      <c r="H39" s="205">
        <f t="shared" si="11"/>
        <v>-0.3875084801700398</v>
      </c>
      <c r="I39" s="130">
        <f t="shared" si="0"/>
        <v>25.159408173313881</v>
      </c>
      <c r="J39" s="130">
        <f t="shared" si="5"/>
        <v>-0.34507339274290927</v>
      </c>
      <c r="K39" s="136"/>
      <c r="L39" s="190"/>
      <c r="M39" s="190"/>
      <c r="N39" s="191"/>
      <c r="O39" s="192"/>
      <c r="P39" s="129" t="s">
        <v>762</v>
      </c>
      <c r="Q39" s="116">
        <f>'양극재(NCM)'!Q39+'양극재(NCA)'!Q39</f>
        <v>354582053</v>
      </c>
      <c r="R39" s="116">
        <f>'양극재(NCM)'!R39+'양극재(NCA)'!R39</f>
        <v>493166393568</v>
      </c>
      <c r="S39" s="116">
        <f>'양극재(NCM)'!S39+'양극재(NCA)'!S39</f>
        <v>14093417.880000001</v>
      </c>
      <c r="T39" s="130">
        <f t="shared" ref="T39" si="14">Q39/S39</f>
        <v>25.159408173313881</v>
      </c>
      <c r="U39" s="85"/>
    </row>
    <row r="40" spans="1:21" s="79" customFormat="1" ht="13.2" hidden="1">
      <c r="A40" s="129" t="s">
        <v>778</v>
      </c>
      <c r="B40" s="188">
        <f>SUM(F38:F40)</f>
        <v>55727250.107142866</v>
      </c>
      <c r="C40" s="188">
        <f>AVERAGE(F38:F40)</f>
        <v>18575750.035714287</v>
      </c>
      <c r="D40" s="190">
        <f>C40/C37-1</f>
        <v>-0.11711379646138542</v>
      </c>
      <c r="E40" s="287">
        <f>C40/C28-1</f>
        <v>-0.39224517667323522</v>
      </c>
      <c r="F40" s="136">
        <f>Q40/21</f>
        <v>19302057.19047619</v>
      </c>
      <c r="G40" s="190">
        <f t="shared" ref="G40" si="15">F40/F39-1</f>
        <v>0.14315769106339959</v>
      </c>
      <c r="H40" s="205">
        <f t="shared" si="11"/>
        <v>-0.29225911561192164</v>
      </c>
      <c r="I40" s="130">
        <f t="shared" si="0"/>
        <v>25.303236187874504</v>
      </c>
      <c r="J40" s="130">
        <f t="shared" si="5"/>
        <v>-0.31812388419631754</v>
      </c>
      <c r="K40" s="136">
        <f>R38+R39+R40</f>
        <v>1596025296009</v>
      </c>
      <c r="L40" s="190">
        <f>U40/U37-1</f>
        <v>-0.10652420515359862</v>
      </c>
      <c r="M40" s="190">
        <f>U40/U28-1</f>
        <v>-0.36942105230279054</v>
      </c>
      <c r="N40" s="191">
        <f>AVERAGE(T38:T40)</f>
        <v>25.650706285274481</v>
      </c>
      <c r="O40" s="192">
        <f>N40/N37-1</f>
        <v>-6.3764263754228057E-2</v>
      </c>
      <c r="P40" s="129" t="s">
        <v>778</v>
      </c>
      <c r="Q40" s="116">
        <f>'양극재(NCM)'!Q40+'양극재(NCA)'!Q40</f>
        <v>405343201</v>
      </c>
      <c r="R40" s="116">
        <f>'양극재(NCM)'!R40+'양극재(NCA)'!R40</f>
        <v>576496726715</v>
      </c>
      <c r="S40" s="116">
        <f>'양극재(NCM)'!S40+'양극재(NCA)'!S40</f>
        <v>16019421.310000001</v>
      </c>
      <c r="T40" s="130">
        <f t="shared" ref="T40:T45" si="16">Q40/S40</f>
        <v>25.303236187874504</v>
      </c>
      <c r="U40" s="85">
        <f>Q38+Q39+Q40</f>
        <v>1150731919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19698818.111111112</v>
      </c>
      <c r="G41" s="190">
        <f t="shared" ref="G41" si="17">F41/F40-1</f>
        <v>2.0555369654105426E-2</v>
      </c>
      <c r="H41" s="205">
        <f t="shared" si="11"/>
        <v>-0.3078512200779786</v>
      </c>
      <c r="I41" s="130">
        <f t="shared" si="0"/>
        <v>24.276630676839748</v>
      </c>
      <c r="J41" s="130">
        <f t="shared" si="5"/>
        <v>-0.29100920161091604</v>
      </c>
      <c r="K41" s="193"/>
      <c r="L41" s="190"/>
      <c r="M41" s="190"/>
      <c r="N41" s="193"/>
      <c r="O41" s="193"/>
      <c r="P41" s="129" t="s">
        <v>793</v>
      </c>
      <c r="Q41" s="116">
        <f>'양극재(NCM)'!Q41+'양극재(NCA)'!Q41</f>
        <v>354578726</v>
      </c>
      <c r="R41" s="116">
        <f>'양극재(NCM)'!R41+'양극재(NCA)'!R41</f>
        <v>518269137234</v>
      </c>
      <c r="S41" s="116">
        <f>'양극재(NCM)'!S41+'양극재(NCA)'!S41</f>
        <v>14605763.49</v>
      </c>
      <c r="T41" s="130">
        <f t="shared" si="16"/>
        <v>24.276630676839748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20604670.350000001</v>
      </c>
      <c r="G42" s="190">
        <f t="shared" ref="G42" si="18">F42/F41-1</f>
        <v>4.5985105998716858E-2</v>
      </c>
      <c r="H42" s="205">
        <f t="shared" si="11"/>
        <v>-0.36525840138399501</v>
      </c>
      <c r="I42" s="130">
        <f t="shared" si="0"/>
        <v>24.231928370736743</v>
      </c>
      <c r="J42" s="130">
        <f t="shared" si="5"/>
        <v>-0.22673541676104447</v>
      </c>
      <c r="K42" s="193"/>
      <c r="L42" s="190"/>
      <c r="M42" s="190"/>
      <c r="N42" s="193"/>
      <c r="O42" s="193"/>
      <c r="P42" s="129" t="s">
        <v>826</v>
      </c>
      <c r="Q42" s="116">
        <f>'양극재(NCM)'!Q42+'양극재(NCA)'!Q42</f>
        <v>412093407</v>
      </c>
      <c r="R42" s="116">
        <f>'양극재(NCM)'!R42+'양극재(NCA)'!R42</f>
        <v>596290892173</v>
      </c>
      <c r="S42" s="116">
        <f>'양극재(NCM)'!S42+'양극재(NCA)'!S42</f>
        <v>17006215.960000001</v>
      </c>
      <c r="T42" s="130">
        <f t="shared" si="16"/>
        <v>24.231928370736743</v>
      </c>
      <c r="U42" s="78"/>
    </row>
    <row r="43" spans="1:21" s="79" customFormat="1" ht="13.2">
      <c r="A43" s="129" t="s">
        <v>835</v>
      </c>
      <c r="B43" s="188">
        <f>SUM(F41:F43)</f>
        <v>62883669.561111115</v>
      </c>
      <c r="C43" s="188">
        <f>AVERAGE(F41:F43)</f>
        <v>20961223.18703704</v>
      </c>
      <c r="D43" s="190">
        <f>C43/C40-1</f>
        <v>0.12841867201789281</v>
      </c>
      <c r="E43" s="287">
        <f>C43/C31-1</f>
        <v>-0.29068230618947732</v>
      </c>
      <c r="F43" s="136">
        <f>Q43/20</f>
        <v>22580181.100000001</v>
      </c>
      <c r="G43" s="190">
        <f t="shared" ref="G43" si="19">F43/F42-1</f>
        <v>9.5876843280824353E-2</v>
      </c>
      <c r="H43" s="205">
        <f t="shared" si="11"/>
        <v>-0.18576734244225901</v>
      </c>
      <c r="I43" s="130">
        <f t="shared" si="0"/>
        <v>24.306165170058126</v>
      </c>
      <c r="J43" s="130">
        <f t="shared" si="5"/>
        <v>-0.16839990300218743</v>
      </c>
      <c r="K43" s="136">
        <f>R41+R42+R43</f>
        <v>1769459354245</v>
      </c>
      <c r="L43" s="190">
        <f>U43/U40-1</f>
        <v>5.8696413026151584E-2</v>
      </c>
      <c r="M43" s="190">
        <f>K43/K31-1</f>
        <v>-0.25727907865112321</v>
      </c>
      <c r="N43" s="191">
        <f>AVERAGE(T41:T43)</f>
        <v>24.271574739211541</v>
      </c>
      <c r="O43" s="192">
        <f>N43/N40-1</f>
        <v>-5.3765831268929642E-2</v>
      </c>
      <c r="P43" s="129" t="s">
        <v>835</v>
      </c>
      <c r="Q43" s="116">
        <f>'양극재(NCM)'!Q43+'양극재(NCA)'!Q43</f>
        <v>451603622</v>
      </c>
      <c r="R43" s="116">
        <f>'양극재(NCM)'!R43+'양극재(NCA)'!R43</f>
        <v>654899324838</v>
      </c>
      <c r="S43" s="116">
        <f>'양극재(NCM)'!S43+'양극재(NCA)'!S43</f>
        <v>18579797.300000001</v>
      </c>
      <c r="T43" s="130">
        <f t="shared" si="16"/>
        <v>24.306165170058126</v>
      </c>
      <c r="U43" s="85">
        <f>Q41+Q42+Q43</f>
        <v>1218275755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19219527.681818184</v>
      </c>
      <c r="G44" s="190">
        <f t="shared" ref="G44" si="20">F44/F43-1</f>
        <v>-0.14883199577977779</v>
      </c>
      <c r="H44" s="205">
        <f t="shared" ref="H44" si="21">F44/F32-1</f>
        <v>-0.32668114819086336</v>
      </c>
      <c r="I44" s="130">
        <f t="shared" si="0"/>
        <v>23.204470882413005</v>
      </c>
      <c r="J44" s="130">
        <f t="shared" si="5"/>
        <v>-0.16013929582684794</v>
      </c>
      <c r="K44" s="136"/>
      <c r="L44" s="190"/>
      <c r="M44" s="190"/>
      <c r="N44" s="191"/>
      <c r="O44" s="192"/>
      <c r="P44" s="129" t="s">
        <v>843</v>
      </c>
      <c r="Q44" s="116">
        <f>'양극재(NCM)'!Q44+'양극재(NCA)'!Q44</f>
        <v>422829609</v>
      </c>
      <c r="R44" s="116">
        <f>'양극재(NCM)'!R44+'양극재(NCA)'!R44</f>
        <v>613796266623</v>
      </c>
      <c r="S44" s="116">
        <f>'양극재(NCM)'!S44+'양극재(NCA)'!S44</f>
        <v>18221902.630000003</v>
      </c>
      <c r="T44" s="130">
        <f t="shared" si="16"/>
        <v>23.204470882413005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21787249.600000001</v>
      </c>
      <c r="G45" s="190">
        <f t="shared" ref="G45" si="22">F45/F44-1</f>
        <v>0.1335996368220278</v>
      </c>
      <c r="H45" s="205">
        <f t="shared" ref="H45" si="23">F45/F33-1</f>
        <v>-0.1495640735646725</v>
      </c>
      <c r="I45" s="130">
        <f t="shared" si="0"/>
        <v>24.226299264134173</v>
      </c>
      <c r="J45" s="130">
        <f t="shared" si="5"/>
        <v>-0.12483904488825837</v>
      </c>
      <c r="K45" s="136"/>
      <c r="L45" s="190"/>
      <c r="M45" s="190"/>
      <c r="N45" s="191"/>
      <c r="O45" s="192"/>
      <c r="P45" s="129" t="s">
        <v>849</v>
      </c>
      <c r="Q45" s="116">
        <f>'양극재(NCM)'!Q45+'양극재(NCA)'!Q45</f>
        <v>435744992</v>
      </c>
      <c r="R45" s="116">
        <f>'양극재(NCM)'!R45+'양극재(NCA)'!R45</f>
        <v>613848482423</v>
      </c>
      <c r="S45" s="116">
        <f>'양극재(NCM)'!S45+'양극재(NCA)'!S45</f>
        <v>17986444.699999999</v>
      </c>
      <c r="T45" s="130">
        <f t="shared" si="16"/>
        <v>24.226299264134173</v>
      </c>
      <c r="U45" s="85"/>
    </row>
    <row r="46" spans="1:21" s="79" customFormat="1" ht="13.2">
      <c r="A46" s="129" t="s">
        <v>888</v>
      </c>
      <c r="B46" s="188">
        <f>SUM(F44:F46)</f>
        <v>65174352.018660292</v>
      </c>
      <c r="C46" s="188">
        <f>AVERAGE(F44:F46)</f>
        <v>21724784.006220099</v>
      </c>
      <c r="D46" s="190">
        <f>C46/C43-1</f>
        <v>3.6427302565780861E-2</v>
      </c>
      <c r="E46" s="287">
        <f>C46/C34-1</f>
        <v>-0.22254732529542021</v>
      </c>
      <c r="F46" s="136">
        <f>Q46/19</f>
        <v>24167574.736842107</v>
      </c>
      <c r="G46" s="190">
        <f t="shared" ref="G46" si="24">F46/F45-1</f>
        <v>0.10925312650946561</v>
      </c>
      <c r="H46" s="205">
        <f t="shared" ref="H46" si="25">F46/F34-1</f>
        <v>-0.18537864836765749</v>
      </c>
      <c r="I46" s="130">
        <f t="shared" si="0"/>
        <v>24.291591262537231</v>
      </c>
      <c r="J46" s="130">
        <f t="shared" si="5"/>
        <v>-0.14182902731498392</v>
      </c>
      <c r="K46" s="136">
        <f>R44+R45+R46</f>
        <v>1856451925066</v>
      </c>
      <c r="L46" s="190">
        <f>U46/U43-1</f>
        <v>8.165866027597346E-2</v>
      </c>
      <c r="M46" s="190">
        <f>K46/K34-1</f>
        <v>-0.20179623164371707</v>
      </c>
      <c r="N46" s="191">
        <f>AVERAGE(T44:T46)</f>
        <v>23.907453803028137</v>
      </c>
      <c r="O46" s="192">
        <f>N46/N43-1</f>
        <v>-1.5001949403602333E-2</v>
      </c>
      <c r="P46" s="129" t="s">
        <v>888</v>
      </c>
      <c r="Q46" s="116">
        <f>'양극재(NCM)'!Q46+'양극재(NCA)'!Q46</f>
        <v>459183920</v>
      </c>
      <c r="R46" s="116">
        <f>'양극재(NCM)'!R46+'양극재(NCA)'!R46</f>
        <v>628807176020</v>
      </c>
      <c r="S46" s="116">
        <f>'양극재(NCM)'!S46+'양극재(NCA)'!S46</f>
        <v>18902998.780000001</v>
      </c>
      <c r="T46" s="130">
        <f t="shared" ref="T46" si="26">Q46/S46</f>
        <v>24.291591262537231</v>
      </c>
      <c r="U46" s="85">
        <f t="shared" ref="U46:U51" si="27">Q44+Q45+Q46</f>
        <v>1317758521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20350675.913043477</v>
      </c>
      <c r="G47" s="190">
        <f t="shared" ref="G47" si="28">F47/F46-1</f>
        <v>-0.157934706538012</v>
      </c>
      <c r="H47" s="205">
        <f t="shared" ref="H47" si="29">F47/F35-1</f>
        <v>0.17173125768078989</v>
      </c>
      <c r="I47" s="130">
        <f t="shared" si="0"/>
        <v>23.299181879226676</v>
      </c>
      <c r="J47" s="130">
        <f t="shared" si="5"/>
        <v>-0.18905905510814303</v>
      </c>
      <c r="K47" s="136"/>
      <c r="L47" s="190"/>
      <c r="M47" s="190"/>
      <c r="N47" s="191"/>
      <c r="O47" s="192"/>
      <c r="P47" s="129" t="s">
        <v>991</v>
      </c>
      <c r="Q47" s="116">
        <f>'양극재(NCM)'!Q47+'양극재(NCA)'!Q47</f>
        <v>468065546</v>
      </c>
      <c r="R47" s="116">
        <f>'양극재(NCM)'!R47+'양극재(NCA)'!R47</f>
        <v>641846616319</v>
      </c>
      <c r="S47" s="116">
        <f>'양극재(NCM)'!S47+'양극재(NCA)'!S47</f>
        <v>20089355.43</v>
      </c>
      <c r="T47" s="130">
        <f t="shared" ref="T47" si="30">Q47/S47</f>
        <v>23.299181879226676</v>
      </c>
      <c r="U47" s="85">
        <f t="shared" si="27"/>
        <v>1362994458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18704019.800000001</v>
      </c>
      <c r="G48" s="190">
        <f t="shared" ref="G48" si="31">F48/F47-1</f>
        <v>-8.0914074799258828E-2</v>
      </c>
      <c r="H48" s="205">
        <f t="shared" ref="H48" si="32">F48/F36-1</f>
        <v>-0.13591201322249613</v>
      </c>
      <c r="I48" s="130">
        <f t="shared" si="0"/>
        <v>23.212095020620836</v>
      </c>
      <c r="J48" s="130">
        <f t="shared" si="5"/>
        <v>-0.16738627030334663</v>
      </c>
      <c r="K48" s="136"/>
      <c r="L48" s="190"/>
      <c r="M48" s="190"/>
      <c r="N48" s="191"/>
      <c r="O48" s="192"/>
      <c r="P48" s="129" t="s">
        <v>1139</v>
      </c>
      <c r="Q48" s="116">
        <f>'양극재(NCM)'!Q48+'양극재(NCA)'!Q48</f>
        <v>374080396</v>
      </c>
      <c r="R48" s="116">
        <f>'양극재(NCM)'!R48+'양극재(NCA)'!R48</f>
        <v>519049877478</v>
      </c>
      <c r="S48" s="116">
        <f>'양극재(NCM)'!S48+'양극재(NCA)'!S48</f>
        <v>16115753.26</v>
      </c>
      <c r="T48" s="130">
        <f t="shared" ref="T48" si="33">Q48/S48</f>
        <v>23.212095020620836</v>
      </c>
      <c r="U48" s="85">
        <f t="shared" si="27"/>
        <v>1301329862</v>
      </c>
    </row>
    <row r="49" spans="1:26" ht="13.2">
      <c r="A49" s="129" t="s">
        <v>1207</v>
      </c>
      <c r="B49" s="188">
        <f>SUM(F47:F49)</f>
        <v>57707483.213043481</v>
      </c>
      <c r="C49" s="188">
        <f>AVERAGE(F47:F49)</f>
        <v>19235827.737681162</v>
      </c>
      <c r="D49" s="190">
        <f>C49/C46-1</f>
        <v>-0.11456759560078089</v>
      </c>
      <c r="E49" s="287">
        <f>C49/C37-1</f>
        <v>-8.5740985392676605E-2</v>
      </c>
      <c r="F49" s="136">
        <f>Q49/22</f>
        <v>18652787.5</v>
      </c>
      <c r="G49" s="190">
        <f t="shared" ref="G49" si="34">F49/F48-1</f>
        <v>-2.7391063818270611E-3</v>
      </c>
      <c r="H49" s="205">
        <f t="shared" ref="H49" si="35">F49/F37-1</f>
        <v>-0.22619866402663991</v>
      </c>
      <c r="I49" s="130">
        <f t="shared" si="0"/>
        <v>23.065546741422988</v>
      </c>
      <c r="J49" s="130">
        <f t="shared" si="5"/>
        <v>-9.8419829929428215E-2</v>
      </c>
      <c r="K49" s="136">
        <f>R47+R48+R49</f>
        <v>1731319748926</v>
      </c>
      <c r="L49" s="190">
        <f>U49/U46-1</f>
        <v>-4.9516852260976574E-2</v>
      </c>
      <c r="M49" s="190">
        <f>K49/K37-1</f>
        <v>-1.1791023817364743E-2</v>
      </c>
      <c r="N49" s="191">
        <f>AVERAGE(T47:T49)</f>
        <v>23.192274547090168</v>
      </c>
      <c r="O49" s="192">
        <f>N49/N46-1</f>
        <v>-2.9914488670783612E-2</v>
      </c>
      <c r="P49" s="129" t="s">
        <v>1186</v>
      </c>
      <c r="Q49" s="116">
        <f>'양극재(NCM)'!Q49+'양극재(NCA)'!Q49</f>
        <v>410361325</v>
      </c>
      <c r="R49" s="116">
        <f>'양극재(NCM)'!R49+'양극재(NCA)'!R49</f>
        <v>570423255129</v>
      </c>
      <c r="S49" s="116">
        <f>'양극재(NCM)'!S49+'양극재(NCA)'!S49</f>
        <v>17791094.640000001</v>
      </c>
      <c r="T49" s="130">
        <f t="shared" ref="T49" si="36">Q49/S49</f>
        <v>23.065546741422988</v>
      </c>
      <c r="U49" s="85">
        <f t="shared" si="27"/>
        <v>1252507267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17855841.5</v>
      </c>
      <c r="G50" s="190">
        <f t="shared" ref="G50" si="37">F50/F49-1</f>
        <v>-4.2725303121584401E-2</v>
      </c>
      <c r="H50" s="190">
        <f t="shared" ref="H50" si="38">F50/F38-1</f>
        <v>-8.6205886483537886E-2</v>
      </c>
      <c r="I50" s="130">
        <f t="shared" ref="I50" si="39">T50</f>
        <v>23.466876760823578</v>
      </c>
      <c r="J50" s="130">
        <f t="shared" ref="J50" si="40">I50/I38-1</f>
        <v>-0.11410561332289371</v>
      </c>
      <c r="K50" s="136"/>
      <c r="L50" s="190"/>
      <c r="M50" s="190"/>
      <c r="N50" s="191"/>
      <c r="O50" s="192"/>
      <c r="P50" s="129" t="s">
        <v>1291</v>
      </c>
      <c r="Q50" s="116">
        <f>'양극재(NCM)'!Q50+'양극재(NCA)'!Q50</f>
        <v>321405147</v>
      </c>
      <c r="R50" s="116">
        <f>'양극재(NCM)'!R50+'양극재(NCA)'!R50</f>
        <v>454171162873</v>
      </c>
      <c r="S50" s="116">
        <f>'양극재(NCM)'!S50+'양극재(NCA)'!S50</f>
        <v>13696119.439999999</v>
      </c>
      <c r="T50" s="130">
        <f t="shared" ref="T50" si="41">Q50/S50</f>
        <v>23.466876760823578</v>
      </c>
      <c r="U50" s="85">
        <f t="shared" si="27"/>
        <v>1105846868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17431948.300000001</v>
      </c>
      <c r="G51" s="190">
        <f t="shared" ref="G51:G52" si="42">F51/F50-1</f>
        <v>-2.3739749257966847E-2</v>
      </c>
      <c r="H51" s="190">
        <f t="shared" ref="H51:H52" si="43">F51/F39-1</f>
        <v>3.2401135936792613E-2</v>
      </c>
      <c r="I51" s="130">
        <f t="shared" ref="I51:I52" si="44">T51</f>
        <v>23.6282619903089</v>
      </c>
      <c r="J51" s="130">
        <f t="shared" ref="J51:J52" si="45">I51/I39-1</f>
        <v>-6.0857798103098437E-2</v>
      </c>
      <c r="K51" s="136"/>
      <c r="L51" s="190"/>
      <c r="M51" s="190"/>
      <c r="N51" s="191"/>
      <c r="O51" s="192"/>
      <c r="P51" s="129" t="s">
        <v>1402</v>
      </c>
      <c r="Q51" s="116">
        <f>'양극재(NCM)'!Q51+'양극재(NCA)'!Q51</f>
        <v>348638966</v>
      </c>
      <c r="R51" s="116">
        <f>'양극재(NCM)'!R51+'양극재(NCA)'!R51</f>
        <v>504345504197</v>
      </c>
      <c r="S51" s="116">
        <f>'양극재(NCM)'!S51+'양극재(NCA)'!S51</f>
        <v>14755167.609999999</v>
      </c>
      <c r="T51" s="130">
        <f t="shared" ref="T51:T52" si="46">Q51/S51</f>
        <v>23.6282619903089</v>
      </c>
      <c r="U51" s="85">
        <f t="shared" si="27"/>
        <v>1080405438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52162515.845454544</v>
      </c>
      <c r="C52" s="188">
        <f>AVERAGE(F50:F52)</f>
        <v>17387505.281818181</v>
      </c>
      <c r="D52" s="190">
        <f>C52/C49-1</f>
        <v>-9.608749262410432E-2</v>
      </c>
      <c r="E52" s="287">
        <f>C52/C40-1</f>
        <v>-6.3967524951162202E-2</v>
      </c>
      <c r="F52" s="136">
        <f>Q52/22</f>
        <v>16874726.045454547</v>
      </c>
      <c r="G52" s="190">
        <f t="shared" si="42"/>
        <v>-3.1965575216021835E-2</v>
      </c>
      <c r="H52" s="190">
        <f t="shared" si="43"/>
        <v>-0.12575504885662192</v>
      </c>
      <c r="I52" s="130">
        <f t="shared" si="44"/>
        <v>22.874183582411341</v>
      </c>
      <c r="J52" s="130">
        <f t="shared" si="45"/>
        <v>-9.5997705093041952E-2</v>
      </c>
      <c r="K52" s="136">
        <f>R50+R51+R52</f>
        <v>1504711038329</v>
      </c>
      <c r="L52" s="190">
        <f>U52/U49-1</f>
        <v>-0.1686370902309503</v>
      </c>
      <c r="M52" s="190">
        <f>K52/K40-1</f>
        <v>-5.7213540354491443E-2</v>
      </c>
      <c r="N52" s="191">
        <f>AVERAGE(T50:T52)</f>
        <v>23.323107444514608</v>
      </c>
      <c r="O52" s="192">
        <f>N52/N49-1</f>
        <v>5.6412275199138051E-3</v>
      </c>
      <c r="P52" s="129" t="s">
        <v>1403</v>
      </c>
      <c r="Q52" s="116">
        <f>'양극재(NCM)'!Q52+'양극재(NCA)'!Q52</f>
        <v>371243973</v>
      </c>
      <c r="R52" s="116">
        <f>'양극재(NCM)'!R52+'양극재(NCA)'!R52</f>
        <v>546194371259</v>
      </c>
      <c r="S52" s="116">
        <f>'양극재(NCM)'!S52+'양극재(NCA)'!S52</f>
        <v>16229823.969999999</v>
      </c>
      <c r="T52" s="130">
        <f t="shared" si="46"/>
        <v>22.874183582411341</v>
      </c>
      <c r="U52" s="85">
        <f t="shared" ref="U52" si="47">Q50+Q51+Q52</f>
        <v>1041288086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14272415.666666666</v>
      </c>
      <c r="G53" s="190">
        <f t="shared" ref="G53" si="48">F53/F52-1</f>
        <v>-0.15421348896439424</v>
      </c>
      <c r="H53" s="190">
        <f t="shared" ref="H53" si="49">F53/F41-1</f>
        <v>-0.27546842728517229</v>
      </c>
      <c r="I53" s="130">
        <f t="shared" ref="I53" si="50">T53</f>
        <v>23.678268325263446</v>
      </c>
      <c r="J53" s="130">
        <f t="shared" ref="J53" si="51">I53/I41-1</f>
        <v>-2.4647668761841324E-2</v>
      </c>
      <c r="K53" s="136"/>
      <c r="L53" s="190"/>
      <c r="M53" s="190"/>
      <c r="N53" s="191"/>
      <c r="O53" s="192"/>
      <c r="P53" s="129" t="s">
        <v>1414</v>
      </c>
      <c r="Q53" s="116">
        <f>'양극재(NCM)'!Q53+'양극재(NCA)'!Q53</f>
        <v>299720729</v>
      </c>
      <c r="R53" s="116">
        <f>'양극재(NCM)'!R53+'양극재(NCA)'!R53</f>
        <v>436267717898</v>
      </c>
      <c r="S53" s="116">
        <f>'양극재(NCM)'!S53+'양극재(NCA)'!S53</f>
        <v>12658051.039999999</v>
      </c>
      <c r="T53" s="130">
        <f t="shared" ref="T53" si="52">Q53/S53</f>
        <v>23.678268325263446</v>
      </c>
      <c r="U53" s="85">
        <f t="shared" ref="U53" si="53">Q51+Q52+Q53</f>
        <v>1019603668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23922011.117647059</v>
      </c>
      <c r="G54" s="190">
        <f t="shared" ref="G54" si="54">F54/F53-1</f>
        <v>0.67610106630492095</v>
      </c>
      <c r="H54" s="190">
        <f t="shared" ref="H54" si="55">F54/F42-1</f>
        <v>0.16099945843817198</v>
      </c>
      <c r="I54" s="130">
        <f t="shared" ref="I54" si="56">T54</f>
        <v>23.898845952207441</v>
      </c>
      <c r="J54" s="130">
        <f t="shared" ref="J54" si="57">I54/I42-1</f>
        <v>-1.3745600986983075E-2</v>
      </c>
      <c r="K54" s="136"/>
      <c r="L54" s="190"/>
      <c r="M54" s="190"/>
      <c r="N54" s="191"/>
      <c r="O54" s="192"/>
      <c r="P54" s="129" t="s">
        <v>1417</v>
      </c>
      <c r="Q54" s="116">
        <f>'양극재(NCM)'!Q54+'양극재(NCA)'!Q54</f>
        <v>406674189</v>
      </c>
      <c r="R54" s="116">
        <f>'양극재(NCM)'!R54+'양극재(NCA)'!R54</f>
        <v>589113890329</v>
      </c>
      <c r="S54" s="116">
        <f>'양극재(NCM)'!S54+'양극재(NCA)'!S54</f>
        <v>17016478.109999999</v>
      </c>
      <c r="T54" s="130">
        <f t="shared" ref="T54" si="58">Q54/S54</f>
        <v>23.898845952207441</v>
      </c>
      <c r="U54" s="85">
        <f t="shared" ref="U54" si="59">Q52+Q53+Q54</f>
        <v>1077638891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59816443.165266104</v>
      </c>
      <c r="C55" s="188">
        <f>AVERAGE(F53:F55)</f>
        <v>19938814.388422035</v>
      </c>
      <c r="D55" s="190">
        <f>C55/C52-1</f>
        <v>0.14673232676292636</v>
      </c>
      <c r="E55" s="287">
        <f>C55/C43-1</f>
        <v>-4.8776199246200913E-2</v>
      </c>
      <c r="F55" s="136">
        <f>Q55/21</f>
        <v>21622016.380952381</v>
      </c>
      <c r="G55" s="190">
        <f t="shared" ref="G55" si="60">F55/F54-1</f>
        <v>-9.6145542504074477E-2</v>
      </c>
      <c r="H55" s="190">
        <f t="shared" ref="H55" si="61">F55/F43-1</f>
        <v>-4.2433881057208245E-2</v>
      </c>
      <c r="I55" s="130">
        <f>T55</f>
        <v>23.695152468947647</v>
      </c>
      <c r="J55" s="130">
        <f t="shared" ref="J55" si="62">I55/I43-1</f>
        <v>-2.5138177776524051E-2</v>
      </c>
      <c r="K55" s="136">
        <f>R53+R54+R55</f>
        <v>1692180826459</v>
      </c>
      <c r="L55" s="190">
        <f>U55/U52-1</f>
        <v>0.11444400219518114</v>
      </c>
      <c r="M55" s="190">
        <f>K55/K43-1</f>
        <v>-4.3673525249735667E-2</v>
      </c>
      <c r="N55" s="191">
        <f>AVERAGE(T53:T55)</f>
        <v>23.757422248806176</v>
      </c>
      <c r="O55" s="192">
        <f>N55/N52-1</f>
        <v>1.8621652596027216E-2</v>
      </c>
      <c r="P55" s="129" t="s">
        <v>1418</v>
      </c>
      <c r="Q55" s="116">
        <f>'양극재(NCM)'!Q55+'양극재(NCA)'!Q55</f>
        <v>454062344</v>
      </c>
      <c r="R55" s="116">
        <f>'양극재(NCM)'!R55+'양극재(NCA)'!R55</f>
        <v>666799218232</v>
      </c>
      <c r="S55" s="116">
        <f>'양극재(NCM)'!S55+'양극재(NCA)'!S55</f>
        <v>19162668.170000002</v>
      </c>
      <c r="T55" s="130">
        <f t="shared" ref="T55" si="63">Q55/S55</f>
        <v>23.695152468947647</v>
      </c>
      <c r="U55" s="85">
        <f t="shared" ref="U55" si="64">Q53+Q54+Q55</f>
        <v>1160457262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22704515.772727273</v>
      </c>
      <c r="G56" s="190">
        <f t="shared" ref="G56" si="65">F56/F55-1</f>
        <v>5.0064682807682281E-2</v>
      </c>
      <c r="H56" s="190">
        <f t="shared" ref="H56" si="66">F56/F44-1</f>
        <v>0.18132537638819879</v>
      </c>
      <c r="I56" s="291">
        <f>T56</f>
        <v>24.761513741694401</v>
      </c>
      <c r="J56" s="130">
        <f t="shared" ref="J56" si="67">I56/I44-1</f>
        <v>6.7100985287343873E-2</v>
      </c>
      <c r="K56" s="136"/>
      <c r="L56" s="190"/>
      <c r="M56" s="190"/>
      <c r="N56" s="191"/>
      <c r="O56" s="192"/>
      <c r="P56" s="129" t="s">
        <v>1420</v>
      </c>
      <c r="Q56" s="116">
        <f>'양극재(NCM)'!Q56+'양극재(NCA)'!Q56</f>
        <v>499499347</v>
      </c>
      <c r="R56" s="116">
        <f>'양극재(NCM)'!R56+'양극재(NCA)'!R56</f>
        <v>746005786045</v>
      </c>
      <c r="S56" s="116">
        <f>'양극재(NCM)'!S56+'양극재(NCA)'!S56</f>
        <v>20172407.559999999</v>
      </c>
      <c r="T56" s="130">
        <f t="shared" ref="T56" si="68">Q56/S56</f>
        <v>24.761513741694401</v>
      </c>
      <c r="U56" s="85">
        <f t="shared" ref="U56" si="69">Q54+Q55+Q56</f>
        <v>1360235880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26951216.083333332</v>
      </c>
      <c r="G57" s="254">
        <f t="shared" ref="G57" si="70">F57/F56-1</f>
        <v>0.18704210004369282</v>
      </c>
      <c r="H57" s="254">
        <f t="shared" ref="H57" si="71">F57/F45-1</f>
        <v>0.23701782364182988</v>
      </c>
      <c r="I57" s="282">
        <f>T57</f>
        <v>25.341265369237433</v>
      </c>
      <c r="J57" s="277">
        <f t="shared" ref="J57" si="72">I57/I45-1</f>
        <v>4.602296425661323E-2</v>
      </c>
      <c r="K57" s="204"/>
      <c r="L57" s="254"/>
      <c r="M57" s="254"/>
      <c r="N57" s="257"/>
      <c r="O57" s="258"/>
      <c r="P57" s="129" t="s">
        <v>1436</v>
      </c>
      <c r="Q57" s="116">
        <f>'양극재(NCM)'!Q57+'양극재(NCA)'!Q57</f>
        <v>323414593</v>
      </c>
      <c r="R57" s="116">
        <f>'양극재(NCM)'!R57+'양극재(NCA)'!R57</f>
        <v>476990538864</v>
      </c>
      <c r="S57" s="116">
        <f>'양극재(NCM)'!S57+'양극재(NCA)'!S57</f>
        <v>12762369.529999999</v>
      </c>
      <c r="T57" s="130">
        <f t="shared" ref="T57" si="73">Q57/S57</f>
        <v>25.341265369237433</v>
      </c>
      <c r="U57" s="85">
        <f t="shared" ref="U57" si="74">Q55+Q56+Q57</f>
        <v>1276976284</v>
      </c>
      <c r="V57" s="79"/>
      <c r="W57" s="79"/>
      <c r="X57" s="79"/>
      <c r="Y57" s="79"/>
      <c r="Z57" s="79"/>
    </row>
    <row r="58" spans="1:26">
      <c r="B58" s="196">
        <f>SUM(F56:F58)</f>
        <v>49655731.856060609</v>
      </c>
      <c r="C58" s="196">
        <f>AVERAGE(F56:F58)</f>
        <v>24827865.928030305</v>
      </c>
      <c r="D58" s="197">
        <f>C58/C55-1</f>
        <v>0.24520272090236306</v>
      </c>
      <c r="E58" s="233">
        <f>C58/C46-1</f>
        <v>0.14283603100135545</v>
      </c>
    </row>
  </sheetData>
  <phoneticPr fontId="1" type="noConversion"/>
  <conditionalFormatting sqref="C29:C30">
    <cfRule type="cellIs" dxfId="250" priority="1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3">
    <tabColor rgb="FFFF0000"/>
  </sheetPr>
  <dimension ref="A1:AG73"/>
  <sheetViews>
    <sheetView zoomScale="90" zoomScaleNormal="90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1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86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42709569.619047619</v>
      </c>
      <c r="G11" s="90">
        <f t="shared" si="2"/>
        <v>0.17570619951298316</v>
      </c>
      <c r="H11" s="90"/>
      <c r="I11" s="130">
        <f t="shared" si="0"/>
        <v>48.777983018893138</v>
      </c>
      <c r="J11" s="130"/>
      <c r="K11" s="78"/>
      <c r="O11" s="89"/>
      <c r="P11" s="129" t="s">
        <v>6</v>
      </c>
      <c r="Q11" s="116">
        <v>896900962</v>
      </c>
      <c r="R11" s="116">
        <v>1157532256840</v>
      </c>
      <c r="S11" s="116">
        <v>18387413.879999999</v>
      </c>
      <c r="T11" s="130">
        <f t="shared" si="1"/>
        <v>48.777983018893138</v>
      </c>
      <c r="U11" s="85"/>
    </row>
    <row r="12" spans="1:21" ht="15" hidden="1" customHeight="1">
      <c r="A12" s="129" t="s">
        <v>7</v>
      </c>
      <c r="C12" s="79"/>
      <c r="F12" s="78">
        <f>Q12/22</f>
        <v>42778205.409090906</v>
      </c>
      <c r="G12" s="90">
        <f t="shared" si="2"/>
        <v>1.6070353940695892E-3</v>
      </c>
      <c r="H12" s="90"/>
      <c r="I12" s="130">
        <f t="shared" si="0"/>
        <v>47.616473871163741</v>
      </c>
      <c r="J12" s="130"/>
      <c r="K12" s="78"/>
      <c r="O12" s="89"/>
      <c r="P12" s="129" t="s">
        <v>7</v>
      </c>
      <c r="Q12" s="116">
        <v>941120519</v>
      </c>
      <c r="R12" s="116">
        <v>1220930972779</v>
      </c>
      <c r="S12" s="116">
        <v>19764599.149999999</v>
      </c>
      <c r="T12" s="130">
        <f>Q12/S12</f>
        <v>47.616473871163741</v>
      </c>
      <c r="U12" s="85"/>
    </row>
    <row r="13" spans="1:21" ht="15" hidden="1" customHeight="1">
      <c r="A13" s="129" t="s">
        <v>35</v>
      </c>
      <c r="B13" s="131">
        <f>F11+F12+F13</f>
        <v>128549157.47813852</v>
      </c>
      <c r="C13" s="131">
        <f>AVERAGE(F11:F13)</f>
        <v>42849719.159379505</v>
      </c>
      <c r="D13" s="90">
        <f>C13/C10-1</f>
        <v>0.32139637782734432</v>
      </c>
      <c r="E13" s="286"/>
      <c r="F13" s="78">
        <f>Q13/20</f>
        <v>43061382.450000003</v>
      </c>
      <c r="G13" s="90">
        <f t="shared" si="2"/>
        <v>6.6196568603347217E-3</v>
      </c>
      <c r="H13" s="90"/>
      <c r="I13" s="130">
        <f t="shared" si="0"/>
        <v>46.845996183951499</v>
      </c>
      <c r="J13" s="130"/>
      <c r="K13" s="78">
        <f>R11+R12+R13</f>
        <v>3554281045348</v>
      </c>
      <c r="L13" s="87">
        <f>U13/U10-1</f>
        <v>0.32125776525539429</v>
      </c>
      <c r="N13" s="88">
        <f>AVERAGE(T11:T13)</f>
        <v>47.746817691336126</v>
      </c>
      <c r="O13" s="89">
        <f>N13/N10-1</f>
        <v>6.697704476185451E-2</v>
      </c>
      <c r="P13" s="129" t="s">
        <v>60</v>
      </c>
      <c r="Q13" s="116">
        <v>861227649</v>
      </c>
      <c r="R13" s="116">
        <v>1175817815729</v>
      </c>
      <c r="S13" s="116">
        <v>18384231.719999999</v>
      </c>
      <c r="T13" s="130">
        <f>Q13/S13</f>
        <v>46.845996183951499</v>
      </c>
      <c r="U13" s="85">
        <f>Q11+Q12+Q13</f>
        <v>2699249130</v>
      </c>
    </row>
    <row r="14" spans="1:21" ht="15" hidden="1" customHeight="1">
      <c r="A14" s="129" t="s">
        <v>36</v>
      </c>
      <c r="C14" s="79"/>
      <c r="F14" s="78">
        <f>Q14/20</f>
        <v>37257718.799999997</v>
      </c>
      <c r="G14" s="90">
        <f t="shared" si="2"/>
        <v>-0.13477652875494261</v>
      </c>
      <c r="H14" s="90"/>
      <c r="I14" s="130">
        <f t="shared" si="0"/>
        <v>47.337586714982223</v>
      </c>
      <c r="J14" s="130"/>
      <c r="K14" s="78"/>
      <c r="O14" s="89"/>
      <c r="P14" s="129" t="s">
        <v>36</v>
      </c>
      <c r="Q14" s="116">
        <v>745154376</v>
      </c>
      <c r="R14" s="116">
        <v>1062641228181</v>
      </c>
      <c r="S14" s="116">
        <v>15741283.57</v>
      </c>
      <c r="T14" s="130">
        <f>Q14/S14</f>
        <v>47.337586714982223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39477851.454545453</v>
      </c>
      <c r="G15" s="90">
        <f t="shared" si="2"/>
        <v>5.9588528929083395E-2</v>
      </c>
      <c r="H15" s="90"/>
      <c r="I15" s="130">
        <f t="shared" si="0"/>
        <v>46.747187740504799</v>
      </c>
      <c r="J15" s="130"/>
      <c r="K15" s="78"/>
      <c r="O15" s="89"/>
      <c r="P15" s="129" t="s">
        <v>37</v>
      </c>
      <c r="Q15" s="116">
        <v>868512732</v>
      </c>
      <c r="R15" s="116">
        <v>1207691864394</v>
      </c>
      <c r="S15" s="116">
        <v>18578930.07</v>
      </c>
      <c r="T15" s="130">
        <f t="shared" ref="T15:T24" si="3">Q15/S15</f>
        <v>46.747187740504799</v>
      </c>
      <c r="U15" s="78"/>
    </row>
    <row r="16" spans="1:21" ht="15" hidden="1" customHeight="1">
      <c r="A16" s="123" t="s">
        <v>38</v>
      </c>
      <c r="B16" s="131">
        <f>F14+F15+F16</f>
        <v>113194846.8</v>
      </c>
      <c r="C16" s="131">
        <f>AVERAGE(F14:F16)</f>
        <v>37731615.600000001</v>
      </c>
      <c r="D16" s="90">
        <f>C16/C13-1</f>
        <v>-0.11944310627434263</v>
      </c>
      <c r="E16" s="286"/>
      <c r="F16" s="78">
        <f>Q16/22</f>
        <v>36459276.545454547</v>
      </c>
      <c r="G16" s="90">
        <f t="shared" si="2"/>
        <v>-7.646249220443202E-2</v>
      </c>
      <c r="H16" s="90"/>
      <c r="I16" s="130">
        <f t="shared" si="0"/>
        <v>45.328471588565812</v>
      </c>
      <c r="J16" s="130"/>
      <c r="K16" s="78">
        <f>R14+R15+R16</f>
        <v>3322756000514</v>
      </c>
      <c r="L16" s="87">
        <f>U16/U13-1</f>
        <v>-0.10502103523878881</v>
      </c>
      <c r="N16" s="88">
        <f>AVERAGE(T14:T16)</f>
        <v>46.471082014684278</v>
      </c>
      <c r="O16" s="89">
        <f>N16/N13-1</f>
        <v>-2.6718758198692183E-2</v>
      </c>
      <c r="P16" s="123" t="s">
        <v>38</v>
      </c>
      <c r="Q16" s="133">
        <v>802104084</v>
      </c>
      <c r="R16" s="133">
        <v>1052422907939</v>
      </c>
      <c r="S16" s="133">
        <v>17695370.170000002</v>
      </c>
      <c r="T16" s="130">
        <f t="shared" si="3"/>
        <v>45.328471588565812</v>
      </c>
      <c r="U16" s="85">
        <f>Q14+Q15+Q16</f>
        <v>2415771192</v>
      </c>
    </row>
    <row r="17" spans="1:33" ht="15" hidden="1" customHeight="1">
      <c r="A17" s="129" t="s">
        <v>87</v>
      </c>
      <c r="C17" s="79"/>
      <c r="F17" s="78">
        <f>Q17/20</f>
        <v>46542156.299999997</v>
      </c>
      <c r="G17" s="90">
        <f t="shared" ref="G17:G22" si="4">F17/F16-1</f>
        <v>0.27655183289155261</v>
      </c>
      <c r="H17" s="90">
        <f t="shared" ref="H17:H22" si="5">F17/F5-1</f>
        <v>1.1565112457986291</v>
      </c>
      <c r="I17" s="130">
        <f t="shared" si="0"/>
        <v>50.083587345558861</v>
      </c>
      <c r="J17" s="130">
        <f t="shared" ref="J17:J49" si="6">I17/I5-1</f>
        <v>0.64599066260798144</v>
      </c>
      <c r="K17" s="78"/>
      <c r="O17" s="89"/>
      <c r="P17" s="129" t="s">
        <v>87</v>
      </c>
      <c r="Q17" s="116">
        <v>930843126</v>
      </c>
      <c r="R17" s="116">
        <v>1167995087952</v>
      </c>
      <c r="S17" s="116">
        <v>18585791.780000001</v>
      </c>
      <c r="T17" s="130">
        <f t="shared" si="3"/>
        <v>50.083587345558861</v>
      </c>
      <c r="U17" s="78"/>
    </row>
    <row r="18" spans="1:33" hidden="1">
      <c r="A18" s="129" t="s">
        <v>106</v>
      </c>
      <c r="C18" s="79"/>
      <c r="F18" s="78">
        <f>Q18/20</f>
        <v>53594625.950000003</v>
      </c>
      <c r="G18" s="90">
        <f t="shared" si="4"/>
        <v>0.15152864006861688</v>
      </c>
      <c r="H18" s="90">
        <f t="shared" si="5"/>
        <v>1.2148807867700113</v>
      </c>
      <c r="I18" s="130">
        <f t="shared" si="0"/>
        <v>51.200800516513496</v>
      </c>
      <c r="J18" s="130">
        <f t="shared" si="6"/>
        <v>0.67526510199497425</v>
      </c>
      <c r="K18" s="78"/>
      <c r="O18" s="89"/>
      <c r="P18" s="129" t="s">
        <v>106</v>
      </c>
      <c r="Q18" s="116">
        <v>1071892519</v>
      </c>
      <c r="R18" s="116">
        <v>1344851696278</v>
      </c>
      <c r="S18" s="116">
        <v>20935073.440000001</v>
      </c>
      <c r="T18" s="130">
        <f t="shared" si="3"/>
        <v>51.200800516513496</v>
      </c>
      <c r="U18" s="78"/>
    </row>
    <row r="19" spans="1:33" hidden="1">
      <c r="A19" s="129" t="s">
        <v>114</v>
      </c>
      <c r="B19" s="131">
        <f>SUM(F17:F19)</f>
        <v>152735405.25</v>
      </c>
      <c r="C19" s="131">
        <f>AVERAGE(F17:F19)</f>
        <v>50911801.75</v>
      </c>
      <c r="D19" s="90">
        <f>C19/C16-1</f>
        <v>0.34931412133860484</v>
      </c>
      <c r="E19" s="286">
        <f>C19/C7-1</f>
        <v>1.1312586332876013</v>
      </c>
      <c r="F19" s="78">
        <f>Q19/22</f>
        <v>52598623</v>
      </c>
      <c r="G19" s="90">
        <f t="shared" si="4"/>
        <v>-1.858400786170622E-2</v>
      </c>
      <c r="H19" s="90">
        <f t="shared" si="5"/>
        <v>1.0320320412850603</v>
      </c>
      <c r="I19" s="130">
        <f t="shared" si="0"/>
        <v>52.933829216447947</v>
      </c>
      <c r="J19" s="130">
        <f t="shared" si="6"/>
        <v>0.55671454752427119</v>
      </c>
      <c r="K19" s="78">
        <f>R17+R18+R19</f>
        <v>4025977022439</v>
      </c>
      <c r="L19" s="87">
        <f>U19/U16-1</f>
        <v>0.30803172149094826</v>
      </c>
      <c r="M19" s="87">
        <f>U19/U7-1</f>
        <v>1.1994760659063455</v>
      </c>
      <c r="N19" s="88">
        <f>AVERAGE(T17:T19)</f>
        <v>51.406072359506766</v>
      </c>
      <c r="O19" s="89">
        <f>N19/N16-1</f>
        <v>0.10619486637438502</v>
      </c>
      <c r="P19" s="129" t="s">
        <v>114</v>
      </c>
      <c r="Q19" s="116">
        <v>1157169706</v>
      </c>
      <c r="R19" s="116">
        <v>1513130238209</v>
      </c>
      <c r="S19" s="116">
        <v>21860683.859999999</v>
      </c>
      <c r="T19" s="130">
        <f t="shared" ref="T19" si="7">Q19/S19</f>
        <v>52.933829216447947</v>
      </c>
      <c r="U19" s="85">
        <f>Q17+Q18+Q19</f>
        <v>3159905351</v>
      </c>
    </row>
    <row r="20" spans="1:33" hidden="1">
      <c r="A20" s="129" t="s">
        <v>132</v>
      </c>
      <c r="B20" s="131"/>
      <c r="C20" s="131"/>
      <c r="D20" s="90"/>
      <c r="E20" s="286"/>
      <c r="F20" s="121">
        <f>Q20/20</f>
        <v>53211652.299999997</v>
      </c>
      <c r="G20" s="90">
        <f t="shared" si="4"/>
        <v>1.1654854538682535E-2</v>
      </c>
      <c r="H20" s="90">
        <f t="shared" si="5"/>
        <v>1.1550899251578048</v>
      </c>
      <c r="I20" s="130">
        <f t="shared" si="0"/>
        <v>52.712113463987635</v>
      </c>
      <c r="J20" s="130">
        <f t="shared" si="6"/>
        <v>0.29433777598161059</v>
      </c>
      <c r="K20" s="78"/>
      <c r="O20" s="89"/>
      <c r="P20" s="129" t="s">
        <v>132</v>
      </c>
      <c r="Q20" s="116">
        <v>1064233046</v>
      </c>
      <c r="R20" s="116">
        <v>1395576417119</v>
      </c>
      <c r="S20" s="116">
        <v>20189534.739999998</v>
      </c>
      <c r="T20" s="130">
        <f t="shared" si="3"/>
        <v>52.712113463987635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45866703.476190478</v>
      </c>
      <c r="G21" s="90">
        <f t="shared" si="4"/>
        <v>-0.13803271475953627</v>
      </c>
      <c r="H21" s="90">
        <f t="shared" si="5"/>
        <v>0.26476763307069895</v>
      </c>
      <c r="I21" s="130">
        <f t="shared" si="0"/>
        <v>49.355064434798834</v>
      </c>
      <c r="J21" s="130">
        <f t="shared" si="6"/>
        <v>6.8034722196485875E-2</v>
      </c>
      <c r="K21" s="78"/>
      <c r="O21" s="89"/>
      <c r="P21" s="129" t="s">
        <v>141</v>
      </c>
      <c r="Q21" s="116">
        <v>963200773</v>
      </c>
      <c r="R21" s="116">
        <v>1282893050505</v>
      </c>
      <c r="S21" s="116">
        <v>19515743.399999999</v>
      </c>
      <c r="T21" s="130">
        <f t="shared" si="3"/>
        <v>49.355064434798834</v>
      </c>
      <c r="U21" s="78"/>
    </row>
    <row r="22" spans="1:33" hidden="1">
      <c r="A22" s="129" t="s">
        <v>156</v>
      </c>
      <c r="B22" s="131">
        <f>SUM(F20:F22)</f>
        <v>133830933.72857143</v>
      </c>
      <c r="C22" s="131">
        <f>AVERAGE(F20:F22)</f>
        <v>44610311.242857143</v>
      </c>
      <c r="D22" s="90">
        <f>C22/C19-1</f>
        <v>-0.12377268708905709</v>
      </c>
      <c r="E22" s="286">
        <f>C22/C10-1</f>
        <v>0.37568938248591977</v>
      </c>
      <c r="F22" s="78">
        <f>Q22/21</f>
        <v>34752577.952380955</v>
      </c>
      <c r="G22" s="90">
        <f t="shared" si="4"/>
        <v>-0.24231358875788611</v>
      </c>
      <c r="H22" s="90">
        <f t="shared" si="5"/>
        <v>-4.3333339293349371E-2</v>
      </c>
      <c r="I22" s="130">
        <f t="shared" si="0"/>
        <v>44.270448138992649</v>
      </c>
      <c r="J22" s="130">
        <f t="shared" si="6"/>
        <v>-6.4298899478876126E-2</v>
      </c>
      <c r="K22" s="78">
        <f>R20+R21+R22</f>
        <v>3626826447144</v>
      </c>
      <c r="L22" s="87">
        <f>U22/U19-1</f>
        <v>-0.12743020763978574</v>
      </c>
      <c r="M22" s="87">
        <f>U22/U10-1</f>
        <v>0.34964276529077232</v>
      </c>
      <c r="N22" s="88">
        <f>AVERAGE(T20:T22)</f>
        <v>48.779208679259703</v>
      </c>
      <c r="O22" s="89">
        <f>N22/N19-1</f>
        <v>-5.1100260332595959E-2</v>
      </c>
      <c r="P22" s="129" t="s">
        <v>156</v>
      </c>
      <c r="Q22" s="116">
        <v>729804137</v>
      </c>
      <c r="R22" s="116">
        <v>948356979520</v>
      </c>
      <c r="S22" s="116">
        <v>16485131</v>
      </c>
      <c r="T22" s="130">
        <f t="shared" si="3"/>
        <v>44.270448138992649</v>
      </c>
      <c r="U22" s="85">
        <f>AG24+Q21+Q22</f>
        <v>2757237956</v>
      </c>
    </row>
    <row r="23" spans="1:33" hidden="1">
      <c r="A23" s="129" t="s">
        <v>189</v>
      </c>
      <c r="B23" s="131"/>
      <c r="C23" s="131"/>
      <c r="F23" s="78">
        <f>Q23/21</f>
        <v>40625432.095238097</v>
      </c>
      <c r="G23" s="90">
        <f t="shared" ref="G23" si="8">F23/F22-1</f>
        <v>0.1689904602445409</v>
      </c>
      <c r="H23" s="90">
        <f t="shared" ref="H23" si="9">F23/F11-1</f>
        <v>-4.8797905069032588E-2</v>
      </c>
      <c r="I23" s="130">
        <f t="shared" si="0"/>
        <v>40.856503678338292</v>
      </c>
      <c r="J23" s="130">
        <f t="shared" si="6"/>
        <v>-0.1623986653463434</v>
      </c>
      <c r="K23" s="98"/>
      <c r="O23" s="89"/>
      <c r="P23" s="129" t="s">
        <v>189</v>
      </c>
      <c r="Q23" s="116">
        <v>853134074</v>
      </c>
      <c r="R23" s="116">
        <v>1103480824122</v>
      </c>
      <c r="S23" s="116">
        <v>20881230.579999998</v>
      </c>
      <c r="T23" s="130">
        <f t="shared" si="3"/>
        <v>40.856503678338292</v>
      </c>
      <c r="U23" s="78"/>
    </row>
    <row r="24" spans="1:33" hidden="1">
      <c r="A24" s="129" t="s">
        <v>204</v>
      </c>
      <c r="B24" s="131"/>
      <c r="C24" s="131"/>
      <c r="F24" s="78">
        <f>Q24/22</f>
        <v>39285015.545454547</v>
      </c>
      <c r="G24" s="90">
        <f t="shared" ref="G24" si="10">F24/F23-1</f>
        <v>-3.2994517981770999E-2</v>
      </c>
      <c r="H24" s="90">
        <f t="shared" ref="H24" si="11">F24/F12-1</f>
        <v>-8.1658167523175562E-2</v>
      </c>
      <c r="I24" s="130">
        <f t="shared" si="0"/>
        <v>41.370816837454441</v>
      </c>
      <c r="J24" s="130">
        <f t="shared" si="6"/>
        <v>-0.13116588705430443</v>
      </c>
      <c r="K24" s="98"/>
      <c r="O24" s="89"/>
      <c r="P24" s="129" t="s">
        <v>204</v>
      </c>
      <c r="Q24" s="116">
        <v>864270342</v>
      </c>
      <c r="R24" s="116">
        <v>1133552081862</v>
      </c>
      <c r="S24" s="116">
        <v>20890821.309999999</v>
      </c>
      <c r="T24" s="130">
        <f t="shared" si="3"/>
        <v>41.370816837454441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118176998.58806106</v>
      </c>
      <c r="C25" s="131">
        <f>AVERAGE(F23:F25)</f>
        <v>39392332.862687021</v>
      </c>
      <c r="D25" s="90">
        <f>C25/C22-1</f>
        <v>-0.11696798867337221</v>
      </c>
      <c r="E25" s="286">
        <f>C25/C13-1</f>
        <v>-8.0686323376653601E-2</v>
      </c>
      <c r="F25" s="78">
        <f>Q25/19</f>
        <v>38266550.947368421</v>
      </c>
      <c r="G25" s="90">
        <f t="shared" ref="G25" si="12">F25/F24-1</f>
        <v>-2.5925014511136379E-2</v>
      </c>
      <c r="H25" s="90">
        <f t="shared" ref="H25" si="13">F25/F13-1</f>
        <v>-0.11134875913932907</v>
      </c>
      <c r="I25" s="130">
        <f t="shared" si="0"/>
        <v>41.239523662141039</v>
      </c>
      <c r="J25" s="130">
        <f t="shared" si="6"/>
        <v>-0.11967879815801896</v>
      </c>
      <c r="K25" s="78">
        <f>R23+R24+R25</f>
        <v>3201520903096</v>
      </c>
      <c r="L25" s="90">
        <f>U25/U22-1</f>
        <v>-0.11343564719156218</v>
      </c>
      <c r="M25" s="90">
        <f>U25/U13-1</f>
        <v>-9.4389303739443986E-2</v>
      </c>
      <c r="N25" s="88">
        <f>AVERAGE(T23:T25)</f>
        <v>41.155614725977927</v>
      </c>
      <c r="O25" s="91">
        <f>N25/N22-1</f>
        <v>-0.15628777423204143</v>
      </c>
      <c r="P25" s="129" t="s">
        <v>220</v>
      </c>
      <c r="Q25" s="116">
        <v>727064468</v>
      </c>
      <c r="R25" s="116">
        <v>964487997112</v>
      </c>
      <c r="S25" s="116">
        <v>17630282.879999999</v>
      </c>
      <c r="T25" s="130">
        <f t="shared" ref="T25" si="14">Q25/S25</f>
        <v>41.239523662141039</v>
      </c>
      <c r="U25" s="85">
        <f>Q23+Q24+Q25</f>
        <v>2444468884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27263193.052631579</v>
      </c>
      <c r="G26" s="90">
        <f t="shared" ref="G26" si="15">F26/F25-1</f>
        <v>-0.28754506539851976</v>
      </c>
      <c r="H26" s="90">
        <f t="shared" ref="H26" si="16">F26/F14-1</f>
        <v>-0.26825382952239196</v>
      </c>
      <c r="I26" s="130">
        <f t="shared" si="0"/>
        <v>38.312000578199829</v>
      </c>
      <c r="J26" s="130">
        <f t="shared" si="6"/>
        <v>-0.19066426413169513</v>
      </c>
      <c r="K26" s="78"/>
      <c r="L26" s="90"/>
      <c r="M26" s="90"/>
      <c r="P26" s="129" t="s">
        <v>312</v>
      </c>
      <c r="Q26" s="116">
        <v>518000668</v>
      </c>
      <c r="R26" s="116">
        <v>697511235940</v>
      </c>
      <c r="S26" s="116">
        <v>13520585.199999999</v>
      </c>
      <c r="T26" s="130">
        <f t="shared" ref="T26" si="17">Q26/S26</f>
        <v>38.312000578199829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17101008.09090909</v>
      </c>
      <c r="G27" s="90">
        <f t="shared" ref="G27" si="18">F27/F26-1</f>
        <v>-0.37274375536659987</v>
      </c>
      <c r="H27" s="90">
        <f t="shared" ref="H27" si="19">F27/F15-1</f>
        <v>-0.56682019256800031</v>
      </c>
      <c r="I27" s="130">
        <f t="shared" si="0"/>
        <v>37.022154428067296</v>
      </c>
      <c r="J27" s="130">
        <f t="shared" si="6"/>
        <v>-0.20803461732118489</v>
      </c>
      <c r="K27" s="78"/>
      <c r="L27" s="90"/>
      <c r="M27" s="90"/>
      <c r="P27" s="129" t="s">
        <v>404</v>
      </c>
      <c r="Q27" s="116">
        <v>376222178</v>
      </c>
      <c r="R27" s="116">
        <v>497655164579</v>
      </c>
      <c r="S27" s="116">
        <v>10162082.24</v>
      </c>
      <c r="T27" s="130">
        <f t="shared" ref="T27" si="20">Q27/S27</f>
        <v>37.022154428067296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58402689.143540666</v>
      </c>
      <c r="C28" s="131">
        <f>AVERAGE(F26:F28)</f>
        <v>19467563.047846887</v>
      </c>
      <c r="D28" s="90">
        <f>C28/C25-1</f>
        <v>-0.50580324562887613</v>
      </c>
      <c r="E28" s="286">
        <f>C28/C16-1</f>
        <v>-0.48405169674613968</v>
      </c>
      <c r="F28" s="78">
        <f>Q28/19</f>
        <v>14038488</v>
      </c>
      <c r="G28" s="90">
        <f t="shared" ref="G28" si="21">F28/F27-1</f>
        <v>-0.17908418466494547</v>
      </c>
      <c r="H28" s="90">
        <f t="shared" ref="H28" si="22">F28/F16-1</f>
        <v>-0.61495429064540208</v>
      </c>
      <c r="I28" s="130">
        <f t="shared" si="0"/>
        <v>34.617449918004809</v>
      </c>
      <c r="J28" s="130">
        <f t="shared" si="6"/>
        <v>-0.23629787846768868</v>
      </c>
      <c r="K28" s="78">
        <f>R26+R27+R28</f>
        <v>1543194683654</v>
      </c>
      <c r="L28" s="90">
        <f>U28/U25-1</f>
        <v>-0.52506897281495524</v>
      </c>
      <c r="M28" s="90">
        <f>U28/U16-1</f>
        <v>-0.51942712048037376</v>
      </c>
      <c r="N28" s="88">
        <f>AVERAGE(T26:T28)</f>
        <v>36.650534974757313</v>
      </c>
      <c r="O28" s="91">
        <f>N28/N25-1</f>
        <v>-0.1094645234001802</v>
      </c>
      <c r="P28" s="129" t="s">
        <v>413</v>
      </c>
      <c r="Q28" s="116">
        <v>266731272</v>
      </c>
      <c r="R28" s="116">
        <v>348028283135</v>
      </c>
      <c r="S28" s="116">
        <v>7705110.3600000003</v>
      </c>
      <c r="T28" s="130">
        <f t="shared" ref="T28" si="23">Q28/S28</f>
        <v>34.617449918004809</v>
      </c>
      <c r="U28" s="85">
        <f>Q26+Q27+Q28</f>
        <v>1160954118</v>
      </c>
      <c r="V28" s="79"/>
      <c r="W28" s="79"/>
      <c r="X28" s="79"/>
      <c r="Y28" s="79"/>
      <c r="Z28" s="79"/>
    </row>
    <row r="29" spans="1:33" ht="13.2" hidden="1">
      <c r="A29" s="129" t="s">
        <v>765</v>
      </c>
      <c r="B29" s="188"/>
      <c r="C29" s="188"/>
      <c r="D29" s="189"/>
      <c r="E29" s="287"/>
      <c r="F29" s="136">
        <f>Q29/22</f>
        <v>18414091.727272727</v>
      </c>
      <c r="G29" s="190">
        <f t="shared" ref="G29" si="24">F29/F28-1</f>
        <v>0.31168625333958522</v>
      </c>
      <c r="H29" s="190">
        <f t="shared" ref="H29" si="25">F29/F17-1</f>
        <v>-0.6043567124698791</v>
      </c>
      <c r="I29" s="130">
        <f t="shared" si="0"/>
        <v>32.465103695460733</v>
      </c>
      <c r="J29" s="130">
        <f t="shared" si="6"/>
        <v>-0.35178158322679409</v>
      </c>
      <c r="K29" s="136"/>
      <c r="L29" s="190"/>
      <c r="M29" s="190"/>
      <c r="N29" s="191"/>
      <c r="O29" s="192"/>
      <c r="P29" s="129" t="s">
        <v>765</v>
      </c>
      <c r="Q29" s="116">
        <v>405110018</v>
      </c>
      <c r="R29" s="116">
        <v>533362673958</v>
      </c>
      <c r="S29" s="116">
        <v>12478322.01</v>
      </c>
      <c r="T29" s="130">
        <f t="shared" ref="T29" si="26">Q29/S29</f>
        <v>32.465103695460733</v>
      </c>
      <c r="U29" s="85"/>
      <c r="V29" s="79"/>
      <c r="W29" s="79"/>
      <c r="X29" s="79"/>
      <c r="Y29" s="79"/>
      <c r="Z29" s="79"/>
    </row>
    <row r="30" spans="1:33" ht="13.2" hidden="1">
      <c r="A30" s="129" t="s">
        <v>766</v>
      </c>
      <c r="B30" s="188"/>
      <c r="C30" s="188"/>
      <c r="D30" s="189"/>
      <c r="E30" s="287"/>
      <c r="F30" s="136">
        <f>Q30/19</f>
        <v>21564695.210526317</v>
      </c>
      <c r="G30" s="190">
        <f t="shared" ref="G30" si="27">F30/F29-1</f>
        <v>0.17109741441046999</v>
      </c>
      <c r="H30" s="190">
        <f t="shared" ref="H30" si="28">F30/F18-1</f>
        <v>-0.59763325467287243</v>
      </c>
      <c r="I30" s="130">
        <f t="shared" si="0"/>
        <v>29.192178086517664</v>
      </c>
      <c r="J30" s="130">
        <f t="shared" si="6"/>
        <v>-0.42984918610593825</v>
      </c>
      <c r="K30" s="136"/>
      <c r="L30" s="190"/>
      <c r="M30" s="190"/>
      <c r="N30" s="191"/>
      <c r="O30" s="192"/>
      <c r="P30" s="129" t="s">
        <v>766</v>
      </c>
      <c r="Q30" s="116">
        <v>409729209</v>
      </c>
      <c r="R30" s="116">
        <v>546017499462</v>
      </c>
      <c r="S30" s="116">
        <v>14035581.99</v>
      </c>
      <c r="T30" s="130">
        <f t="shared" ref="T30" si="29">Q30/S30</f>
        <v>29.192178086517664</v>
      </c>
      <c r="U30" s="85"/>
      <c r="V30" s="79"/>
      <c r="W30" s="79"/>
      <c r="X30" s="79"/>
      <c r="Y30" s="79"/>
      <c r="Z30" s="79"/>
    </row>
    <row r="31" spans="1:33" ht="13.2" hidden="1">
      <c r="A31" s="129" t="s">
        <v>767</v>
      </c>
      <c r="B31" s="188">
        <f>SUM(F29:F31)</f>
        <v>60906733.987799048</v>
      </c>
      <c r="C31" s="188">
        <f>AVERAGE(F29:F31)</f>
        <v>20302244.662599683</v>
      </c>
      <c r="D31" s="190">
        <f>C31/C28-1</f>
        <v>4.2875505922407298E-2</v>
      </c>
      <c r="E31" s="287">
        <f>C31/C19-1</f>
        <v>-0.60122714253380982</v>
      </c>
      <c r="F31" s="136">
        <f>Q31/20</f>
        <v>20927947.050000001</v>
      </c>
      <c r="G31" s="190">
        <f t="shared" ref="G31" si="30">F31/F30-1</f>
        <v>-2.9527343387422578E-2</v>
      </c>
      <c r="H31" s="190">
        <f t="shared" ref="H31" si="31">F31/F19-1</f>
        <v>-0.60211986823305241</v>
      </c>
      <c r="I31" s="130">
        <f t="shared" si="0"/>
        <v>27.651937094477159</v>
      </c>
      <c r="J31" s="130">
        <f t="shared" si="6"/>
        <v>-0.47761313504436653</v>
      </c>
      <c r="K31" s="136">
        <f>R29+R30+R31</f>
        <v>1635185903647</v>
      </c>
      <c r="L31" s="190">
        <f>U31/U28-1</f>
        <v>6.2400441909626014E-2</v>
      </c>
      <c r="M31" s="190">
        <f>U31/U19-1</f>
        <v>-0.60967243287534778</v>
      </c>
      <c r="N31" s="191">
        <f>AVERAGE(T29:T31)</f>
        <v>29.769739625485187</v>
      </c>
      <c r="O31" s="192">
        <f>N31/N28-1</f>
        <v>-0.18774065246281413</v>
      </c>
      <c r="P31" s="129" t="s">
        <v>767</v>
      </c>
      <c r="Q31" s="116">
        <v>418558941</v>
      </c>
      <c r="R31" s="116">
        <v>555805730227</v>
      </c>
      <c r="S31" s="116">
        <v>15136695.109999999</v>
      </c>
      <c r="T31" s="130">
        <f t="shared" ref="T31" si="32">Q31/S31</f>
        <v>27.651937094477159</v>
      </c>
      <c r="U31" s="85">
        <f>Q29+Q30+Q31</f>
        <v>1233398168</v>
      </c>
      <c r="V31" s="79"/>
      <c r="W31" s="79"/>
      <c r="X31" s="79"/>
      <c r="Y31" s="79"/>
      <c r="Z31" s="79"/>
    </row>
    <row r="32" spans="1:33" ht="13.2" hidden="1">
      <c r="A32" s="129" t="s">
        <v>768</v>
      </c>
      <c r="B32" s="188"/>
      <c r="C32" s="188"/>
      <c r="D32" s="190"/>
      <c r="E32" s="287"/>
      <c r="F32" s="136">
        <f>Q32/21</f>
        <v>22935861.714285713</v>
      </c>
      <c r="G32" s="190">
        <f t="shared" ref="G32" si="33">F32/F31-1</f>
        <v>9.5944177395350883E-2</v>
      </c>
      <c r="H32" s="190">
        <f t="shared" ref="H32" si="34">F32/F20-1</f>
        <v>-0.56896918770767591</v>
      </c>
      <c r="I32" s="130">
        <f t="shared" si="0"/>
        <v>26.481159805128879</v>
      </c>
      <c r="J32" s="130">
        <f t="shared" si="6"/>
        <v>-0.49762667317028497</v>
      </c>
      <c r="K32" s="203"/>
      <c r="L32" s="190"/>
      <c r="M32" s="190"/>
      <c r="N32" s="191"/>
      <c r="O32" s="192"/>
      <c r="P32" s="129" t="s">
        <v>768</v>
      </c>
      <c r="Q32" s="116">
        <v>481653096</v>
      </c>
      <c r="R32" s="116">
        <v>655557156201</v>
      </c>
      <c r="S32" s="116">
        <v>18188519.670000002</v>
      </c>
      <c r="T32" s="130">
        <f t="shared" ref="T32" si="35">Q32/S32</f>
        <v>26.481159805128879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769</v>
      </c>
      <c r="B33" s="188"/>
      <c r="C33" s="188"/>
      <c r="D33" s="190"/>
      <c r="E33" s="287"/>
      <c r="F33" s="136">
        <f>Q33/21</f>
        <v>19136831.19047619</v>
      </c>
      <c r="G33" s="190">
        <f t="shared" ref="G33" si="36">F33/F32-1</f>
        <v>-0.16563713939046287</v>
      </c>
      <c r="H33" s="190">
        <f t="shared" ref="H33" si="37">F33/F21-1</f>
        <v>-0.58277291062763714</v>
      </c>
      <c r="I33" s="130">
        <f t="shared" si="0"/>
        <v>26.434524684017976</v>
      </c>
      <c r="J33" s="130">
        <f t="shared" si="6"/>
        <v>-0.46440096904463257</v>
      </c>
      <c r="K33" s="203"/>
      <c r="L33" s="190"/>
      <c r="M33" s="190"/>
      <c r="N33" s="191"/>
      <c r="O33" s="192"/>
      <c r="P33" s="129" t="s">
        <v>769</v>
      </c>
      <c r="Q33" s="116">
        <v>401873455</v>
      </c>
      <c r="R33" s="116">
        <v>549320339347</v>
      </c>
      <c r="S33" s="116">
        <v>15202598.109999999</v>
      </c>
      <c r="T33" s="130">
        <f t="shared" ref="T33" si="38">Q33/S33</f>
        <v>26.434524684017976</v>
      </c>
      <c r="U33" s="85"/>
    </row>
    <row r="34" spans="1:21" s="79" customFormat="1" ht="13.2" hidden="1">
      <c r="A34" s="129" t="s">
        <v>770</v>
      </c>
      <c r="B34" s="188">
        <f>SUM(F32:F34)</f>
        <v>62228382.588972434</v>
      </c>
      <c r="C34" s="188">
        <f>AVERAGE(F32:F34)</f>
        <v>20742794.196324144</v>
      </c>
      <c r="D34" s="190">
        <f>C34/C31-1</f>
        <v>2.1699548057167783E-2</v>
      </c>
      <c r="E34" s="287">
        <f>C34/C22-1</f>
        <v>-0.53502242825877144</v>
      </c>
      <c r="F34" s="136">
        <f>Q34/19</f>
        <v>20155689.684210528</v>
      </c>
      <c r="G34" s="190">
        <f t="shared" ref="G34" si="39">F34/F33-1</f>
        <v>5.3240710731742968E-2</v>
      </c>
      <c r="H34" s="190">
        <f t="shared" ref="H34" si="40">F34/F22-1</f>
        <v>-0.42002317894722885</v>
      </c>
      <c r="I34" s="130">
        <f t="shared" si="0"/>
        <v>27.563995475483345</v>
      </c>
      <c r="J34" s="130">
        <f t="shared" si="6"/>
        <v>-0.37737256715941281</v>
      </c>
      <c r="K34" s="136">
        <f>R32+R33+R34</f>
        <v>1731384566264</v>
      </c>
      <c r="L34" s="190">
        <f>U34/U31-1</f>
        <v>2.6825471172582382E-2</v>
      </c>
      <c r="M34" s="190">
        <f>U34/U22-1</f>
        <v>-0.54066907709433831</v>
      </c>
      <c r="N34" s="191">
        <f>AVERAGE(T32:T34)</f>
        <v>26.826559988210068</v>
      </c>
      <c r="O34" s="192">
        <f>N34/N31-1</f>
        <v>-9.8864809511317708E-2</v>
      </c>
      <c r="P34" s="129" t="s">
        <v>770</v>
      </c>
      <c r="Q34" s="116">
        <v>382958104</v>
      </c>
      <c r="R34" s="116">
        <v>526507070716</v>
      </c>
      <c r="S34" s="116">
        <v>13893417.75</v>
      </c>
      <c r="T34" s="130">
        <f t="shared" ref="T34" si="41">Q34/S34</f>
        <v>27.563995475483345</v>
      </c>
      <c r="U34" s="85">
        <f>Q32+Q33+Q34</f>
        <v>1266484655</v>
      </c>
    </row>
    <row r="35" spans="1:21" s="79" customFormat="1" ht="13.2" hidden="1">
      <c r="A35" s="129" t="s">
        <v>771</v>
      </c>
      <c r="B35" s="188"/>
      <c r="C35" s="188"/>
      <c r="D35" s="190"/>
      <c r="E35" s="287"/>
      <c r="F35" s="136">
        <f>Q35/23</f>
        <v>13120969.434782609</v>
      </c>
      <c r="G35" s="190">
        <f t="shared" ref="G35" si="42">F35/F34-1</f>
        <v>-0.34901907896204343</v>
      </c>
      <c r="H35" s="197">
        <f t="shared" ref="H35" si="43">F35/F23-1</f>
        <v>-0.67702572605201694</v>
      </c>
      <c r="I35" s="130">
        <f t="shared" si="0"/>
        <v>27.596252484504539</v>
      </c>
      <c r="J35" s="130">
        <f t="shared" si="6"/>
        <v>-0.32455668008773364</v>
      </c>
      <c r="K35" s="136"/>
      <c r="L35" s="190"/>
      <c r="M35" s="190"/>
      <c r="N35" s="191"/>
      <c r="O35" s="192"/>
      <c r="P35" s="129" t="s">
        <v>771</v>
      </c>
      <c r="Q35" s="116">
        <v>301782297</v>
      </c>
      <c r="R35" s="116">
        <v>417643051278</v>
      </c>
      <c r="S35" s="116">
        <v>10935626.029999999</v>
      </c>
      <c r="T35" s="130">
        <f t="shared" ref="T35" si="44">Q35/S35</f>
        <v>27.596252484504539</v>
      </c>
      <c r="U35" s="85"/>
    </row>
    <row r="36" spans="1:21" s="79" customFormat="1" ht="13.2" hidden="1">
      <c r="A36" s="129" t="s">
        <v>772</v>
      </c>
      <c r="B36" s="188"/>
      <c r="C36" s="188"/>
      <c r="D36" s="190"/>
      <c r="E36" s="287"/>
      <c r="F36" s="136">
        <f>Q36/21</f>
        <v>15340054.19047619</v>
      </c>
      <c r="G36" s="190">
        <f t="shared" ref="G36" si="45">F36/F35-1</f>
        <v>0.16912506097384616</v>
      </c>
      <c r="H36" s="190">
        <f t="shared" ref="H36" si="46">F36/F24-1</f>
        <v>-0.60951894819216634</v>
      </c>
      <c r="I36" s="130">
        <f t="shared" si="0"/>
        <v>26.683523452711093</v>
      </c>
      <c r="J36" s="130">
        <f t="shared" si="6"/>
        <v>-0.35501579392182636</v>
      </c>
      <c r="K36" s="136"/>
      <c r="L36" s="190"/>
      <c r="M36" s="190"/>
      <c r="N36" s="191"/>
      <c r="O36" s="192"/>
      <c r="P36" s="129" t="s">
        <v>772</v>
      </c>
      <c r="Q36" s="116">
        <v>322141138</v>
      </c>
      <c r="R36" s="116">
        <v>439110769288</v>
      </c>
      <c r="S36" s="116">
        <v>12072661.189999999</v>
      </c>
      <c r="T36" s="130">
        <f t="shared" ref="T36" si="47">Q36/S36</f>
        <v>26.683523452711093</v>
      </c>
      <c r="U36" s="85"/>
    </row>
    <row r="37" spans="1:21" s="79" customFormat="1" ht="13.2" hidden="1">
      <c r="A37" s="129" t="s">
        <v>773</v>
      </c>
      <c r="B37" s="188">
        <f>SUM(F35:F37)</f>
        <v>45447068.069703244</v>
      </c>
      <c r="C37" s="188">
        <f>AVERAGE(F35:F37)</f>
        <v>15149022.689901082</v>
      </c>
      <c r="D37" s="190">
        <f>C37/C34-1</f>
        <v>-0.26967299841476233</v>
      </c>
      <c r="E37" s="287">
        <f>C37/C25-1</f>
        <v>-0.61543220243626517</v>
      </c>
      <c r="F37" s="136">
        <f>Q37/18</f>
        <v>16986044.444444444</v>
      </c>
      <c r="G37" s="190">
        <f t="shared" ref="G37" si="48">F37/F36-1</f>
        <v>0.1073001590170497</v>
      </c>
      <c r="H37" s="190">
        <f t="shared" ref="H37" si="49">F37/F25-1</f>
        <v>-0.55611247881192782</v>
      </c>
      <c r="I37" s="130">
        <f t="shared" si="0"/>
        <v>25.805393196255753</v>
      </c>
      <c r="J37" s="130">
        <f t="shared" si="6"/>
        <v>-0.37425578899336853</v>
      </c>
      <c r="K37" s="136">
        <f>R35+R36+R37</f>
        <v>1264906973778</v>
      </c>
      <c r="L37" s="190">
        <f>U37/U34-1</f>
        <v>-0.26594275632972431</v>
      </c>
      <c r="M37" s="190">
        <f>U37/U25-1</f>
        <v>-0.61968334263321312</v>
      </c>
      <c r="N37" s="191">
        <f>AVERAGE(T35:T37)</f>
        <v>26.695056377823793</v>
      </c>
      <c r="O37" s="192">
        <f>N37/N34-1</f>
        <v>-4.9019930413765067E-3</v>
      </c>
      <c r="P37" s="129" t="s">
        <v>773</v>
      </c>
      <c r="Q37" s="116">
        <v>305748800</v>
      </c>
      <c r="R37" s="116">
        <v>408153153212</v>
      </c>
      <c r="S37" s="116">
        <v>11848251.939999999</v>
      </c>
      <c r="T37" s="130">
        <f t="shared" ref="T37" si="50">Q37/S37</f>
        <v>25.805393196255753</v>
      </c>
      <c r="U37" s="85">
        <f>Q35+Q36+Q37</f>
        <v>929672235</v>
      </c>
    </row>
    <row r="38" spans="1:21" s="79" customFormat="1" ht="13.2" hidden="1">
      <c r="A38" s="129" t="s">
        <v>774</v>
      </c>
      <c r="B38" s="188"/>
      <c r="C38" s="188"/>
      <c r="D38" s="190"/>
      <c r="E38" s="287"/>
      <c r="F38" s="136">
        <f>Q38/20</f>
        <v>15098391.550000001</v>
      </c>
      <c r="G38" s="190">
        <f t="shared" ref="G38" si="51">F38/F37-1</f>
        <v>-0.11112963354230654</v>
      </c>
      <c r="H38" s="190">
        <f t="shared" ref="H38" si="52">F38/F26-1</f>
        <v>-0.44619870750823043</v>
      </c>
      <c r="I38" s="130">
        <f t="shared" si="0"/>
        <v>25.583672938266826</v>
      </c>
      <c r="J38" s="130">
        <f t="shared" si="6"/>
        <v>-0.33222821695131299</v>
      </c>
      <c r="K38" s="136"/>
      <c r="L38" s="190"/>
      <c r="M38" s="190"/>
      <c r="N38" s="191"/>
      <c r="O38" s="192"/>
      <c r="P38" s="129" t="s">
        <v>774</v>
      </c>
      <c r="Q38" s="116">
        <v>301967831</v>
      </c>
      <c r="R38" s="116">
        <v>406317923869</v>
      </c>
      <c r="S38" s="116">
        <v>11803146.16</v>
      </c>
      <c r="T38" s="130">
        <f t="shared" ref="T38" si="53">Q38/S38</f>
        <v>25.583672938266826</v>
      </c>
      <c r="U38" s="85"/>
    </row>
    <row r="39" spans="1:21" s="79" customFormat="1" ht="13.2" hidden="1">
      <c r="A39" s="129" t="s">
        <v>775</v>
      </c>
      <c r="B39" s="188"/>
      <c r="C39" s="188"/>
      <c r="D39" s="190"/>
      <c r="E39" s="287"/>
      <c r="F39" s="136">
        <f>Q39/21</f>
        <v>11461047</v>
      </c>
      <c r="G39" s="190">
        <f t="shared" ref="G39" si="54">F39/F38-1</f>
        <v>-0.24090940667120275</v>
      </c>
      <c r="H39" s="190">
        <f t="shared" ref="H39" si="55">F39/F27-1</f>
        <v>-0.32980284325502995</v>
      </c>
      <c r="I39" s="130">
        <f t="shared" si="0"/>
        <v>24.101088539688746</v>
      </c>
      <c r="J39" s="130">
        <f t="shared" si="6"/>
        <v>-0.34900902143563017</v>
      </c>
      <c r="K39" s="136"/>
      <c r="L39" s="190"/>
      <c r="M39" s="190"/>
      <c r="N39" s="191"/>
      <c r="O39" s="192"/>
      <c r="P39" s="129" t="s">
        <v>775</v>
      </c>
      <c r="Q39" s="116">
        <v>240681987</v>
      </c>
      <c r="R39" s="116">
        <v>334736555618</v>
      </c>
      <c r="S39" s="116">
        <v>9986353.3800000008</v>
      </c>
      <c r="T39" s="130">
        <f t="shared" ref="T39" si="56">Q39/S39</f>
        <v>24.101088539688746</v>
      </c>
      <c r="U39" s="85"/>
    </row>
    <row r="40" spans="1:21" s="79" customFormat="1" ht="13.2" hidden="1">
      <c r="A40" s="129" t="s">
        <v>776</v>
      </c>
      <c r="B40" s="188">
        <f>SUM(F38:F40)</f>
        <v>41464087.930952385</v>
      </c>
      <c r="C40" s="188">
        <f>AVERAGE(F38:F40)</f>
        <v>13821362.643650794</v>
      </c>
      <c r="D40" s="190">
        <f>C40/C37-1</f>
        <v>-8.7639980045402965E-2</v>
      </c>
      <c r="E40" s="287">
        <f>C40/C28-1</f>
        <v>-0.29003118625166402</v>
      </c>
      <c r="F40" s="136">
        <f>Q40/21</f>
        <v>14904649.380952381</v>
      </c>
      <c r="G40" s="190">
        <f t="shared" ref="G40" si="57">F40/F39-1</f>
        <v>0.30046141342517663</v>
      </c>
      <c r="H40" s="190">
        <f t="shared" ref="H40" si="58">F40/F28-1</f>
        <v>6.1699050563877034E-2</v>
      </c>
      <c r="I40" s="130">
        <f t="shared" si="0"/>
        <v>24.321683466455006</v>
      </c>
      <c r="J40" s="130">
        <f t="shared" si="6"/>
        <v>-0.29741550795730021</v>
      </c>
      <c r="K40" s="136">
        <f>R38+R39+R40</f>
        <v>1185640035117</v>
      </c>
      <c r="L40" s="190">
        <f>U40/U37-1</f>
        <v>-7.9624600168897164E-2</v>
      </c>
      <c r="M40" s="190">
        <f>U40/U28-1</f>
        <v>-0.2629790947517876</v>
      </c>
      <c r="N40" s="191">
        <f>AVERAGE(T38:T40)</f>
        <v>24.668814981470195</v>
      </c>
      <c r="O40" s="192">
        <f>N40/N37-1</f>
        <v>-7.5903244693532268E-2</v>
      </c>
      <c r="P40" s="129" t="s">
        <v>776</v>
      </c>
      <c r="Q40" s="116">
        <v>312997637</v>
      </c>
      <c r="R40" s="116">
        <v>444585555630</v>
      </c>
      <c r="S40" s="116">
        <v>12869077.810000001</v>
      </c>
      <c r="T40" s="130">
        <f t="shared" ref="T40" si="59">Q40/S40</f>
        <v>24.321683466455006</v>
      </c>
      <c r="U40" s="85">
        <f>Q38+Q39+Q40</f>
        <v>855647455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13883448.5</v>
      </c>
      <c r="G41" s="190">
        <f t="shared" ref="G41" si="60">F41/F40-1</f>
        <v>-6.8515592339759346E-2</v>
      </c>
      <c r="H41" s="190">
        <f t="shared" ref="H41:H46" si="61">F41/F29-1</f>
        <v>-0.24604217760914515</v>
      </c>
      <c r="I41" s="130">
        <f t="shared" si="0"/>
        <v>23.034036052745602</v>
      </c>
      <c r="J41" s="130">
        <f t="shared" si="6"/>
        <v>-0.29049861448721581</v>
      </c>
      <c r="K41" s="193"/>
      <c r="L41" s="190"/>
      <c r="M41" s="190"/>
      <c r="N41" s="193"/>
      <c r="O41" s="193"/>
      <c r="P41" s="129" t="s">
        <v>793</v>
      </c>
      <c r="Q41" s="116">
        <v>249902073</v>
      </c>
      <c r="R41" s="116">
        <v>365238447405</v>
      </c>
      <c r="S41" s="116">
        <v>10849252.49</v>
      </c>
      <c r="T41" s="130">
        <f t="shared" ref="T41" si="62">Q41/S41</f>
        <v>23.034036052745602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14581029.15</v>
      </c>
      <c r="G42" s="190">
        <f t="shared" ref="G42" si="63">F42/F41-1</f>
        <v>5.0245488359754509E-2</v>
      </c>
      <c r="H42" s="190">
        <f t="shared" si="61"/>
        <v>-0.32384719525817363</v>
      </c>
      <c r="I42" s="130">
        <f t="shared" si="0"/>
        <v>23.411322263122027</v>
      </c>
      <c r="J42" s="130">
        <f t="shared" si="6"/>
        <v>-0.19802756088506845</v>
      </c>
      <c r="K42" s="193"/>
      <c r="L42" s="190"/>
      <c r="M42" s="190"/>
      <c r="N42" s="193"/>
      <c r="O42" s="193"/>
      <c r="P42" s="129" t="s">
        <v>826</v>
      </c>
      <c r="Q42" s="116">
        <v>291620583</v>
      </c>
      <c r="R42" s="116">
        <v>421668134289</v>
      </c>
      <c r="S42" s="116">
        <v>12456390.960000001</v>
      </c>
      <c r="T42" s="130">
        <f t="shared" ref="T42" si="64">Q42/S42</f>
        <v>23.411322263122027</v>
      </c>
      <c r="U42" s="78"/>
    </row>
    <row r="43" spans="1:21" s="79" customFormat="1" ht="13.2">
      <c r="A43" s="129" t="s">
        <v>835</v>
      </c>
      <c r="B43" s="188">
        <f>SUM(F41:F43)</f>
        <v>43130413.399999999</v>
      </c>
      <c r="C43" s="188">
        <f>AVERAGE(F41:F43)</f>
        <v>14376804.466666667</v>
      </c>
      <c r="D43" s="190">
        <f>C43/C40-1</f>
        <v>4.0187196974462491E-2</v>
      </c>
      <c r="E43" s="287">
        <f>C43/C31-1</f>
        <v>-0.29186133328639874</v>
      </c>
      <c r="F43" s="136">
        <f>Q43/20</f>
        <v>14665935.75</v>
      </c>
      <c r="G43" s="190">
        <f t="shared" ref="G43" si="65">F43/F42-1</f>
        <v>5.8230869115298844E-3</v>
      </c>
      <c r="H43" s="190">
        <f t="shared" si="61"/>
        <v>-0.2992176578543092</v>
      </c>
      <c r="I43" s="130">
        <f t="shared" si="0"/>
        <v>23.186977452786959</v>
      </c>
      <c r="J43" s="130">
        <f t="shared" si="6"/>
        <v>-0.16147004914827368</v>
      </c>
      <c r="K43" s="136">
        <f>R41+R42+R43</f>
        <v>1212170502357</v>
      </c>
      <c r="L43" s="190">
        <f>U43/U40-1</f>
        <v>-2.4316187558811819E-2</v>
      </c>
      <c r="M43" s="190">
        <f>K43/K31-1</f>
        <v>-0.25869560173344031</v>
      </c>
      <c r="N43" s="191">
        <f>AVERAGE(T41:T43)</f>
        <v>23.210778589551527</v>
      </c>
      <c r="O43" s="192">
        <f>N43/N40-1</f>
        <v>-5.9104435823685186E-2</v>
      </c>
      <c r="P43" s="129" t="s">
        <v>835</v>
      </c>
      <c r="Q43" s="116">
        <v>293318715</v>
      </c>
      <c r="R43" s="116">
        <v>425263920663</v>
      </c>
      <c r="S43" s="116">
        <v>12650148.800000001</v>
      </c>
      <c r="T43" s="130">
        <f t="shared" ref="T43" si="66">Q43/S43</f>
        <v>23.186977452786959</v>
      </c>
      <c r="U43" s="85">
        <f>Q41+Q42+Q43</f>
        <v>834841371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15018139.181818182</v>
      </c>
      <c r="G44" s="190">
        <f t="shared" ref="G44" si="67">F44/F43-1</f>
        <v>2.4015067147568958E-2</v>
      </c>
      <c r="H44" s="190">
        <f t="shared" si="61"/>
        <v>-0.34521146975419459</v>
      </c>
      <c r="I44" s="130">
        <f t="shared" si="0"/>
        <v>22.575422234892887</v>
      </c>
      <c r="J44" s="130">
        <f t="shared" si="6"/>
        <v>-0.14749118237183578</v>
      </c>
      <c r="K44" s="136"/>
      <c r="L44" s="190"/>
      <c r="M44" s="190"/>
      <c r="N44" s="191"/>
      <c r="O44" s="192"/>
      <c r="P44" s="129" t="s">
        <v>843</v>
      </c>
      <c r="Q44" s="116">
        <v>330399062</v>
      </c>
      <c r="R44" s="116">
        <v>479621593006</v>
      </c>
      <c r="S44" s="116">
        <v>14635343.630000001</v>
      </c>
      <c r="T44" s="130">
        <f t="shared" ref="T44" si="68">Q44/S44</f>
        <v>22.575422234892887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15314214.1</v>
      </c>
      <c r="G45" s="190">
        <f t="shared" ref="G45" si="69">F45/F44-1</f>
        <v>1.97144875671591E-2</v>
      </c>
      <c r="H45" s="190">
        <f t="shared" si="61"/>
        <v>-0.19975183207858305</v>
      </c>
      <c r="I45" s="130">
        <f t="shared" si="0"/>
        <v>23.458605293130354</v>
      </c>
      <c r="J45" s="130">
        <f t="shared" si="6"/>
        <v>-0.11257699642645103</v>
      </c>
      <c r="K45" s="136"/>
      <c r="L45" s="190"/>
      <c r="M45" s="190"/>
      <c r="N45" s="191"/>
      <c r="O45" s="192"/>
      <c r="P45" s="129" t="s">
        <v>873</v>
      </c>
      <c r="Q45" s="116">
        <v>306284282</v>
      </c>
      <c r="R45" s="116">
        <v>431575376719</v>
      </c>
      <c r="S45" s="116">
        <v>13056372.199999999</v>
      </c>
      <c r="T45" s="130">
        <f t="shared" ref="T45" si="70">Q45/S45</f>
        <v>23.458605293130354</v>
      </c>
      <c r="U45" s="85"/>
    </row>
    <row r="46" spans="1:21" s="79" customFormat="1" ht="13.2">
      <c r="A46" s="129" t="s">
        <v>893</v>
      </c>
      <c r="B46" s="188">
        <f>SUM(F44:F46)</f>
        <v>48598194.229186602</v>
      </c>
      <c r="C46" s="188">
        <f>AVERAGE(F44:F46)</f>
        <v>16199398.076395534</v>
      </c>
      <c r="D46" s="190">
        <f>C46/C43-1</f>
        <v>0.12677320707495476</v>
      </c>
      <c r="E46" s="287">
        <f>C46/C34-1</f>
        <v>-0.21903491289200328</v>
      </c>
      <c r="F46" s="136">
        <f>Q46/19</f>
        <v>18265840.947368421</v>
      </c>
      <c r="G46" s="190">
        <f t="shared" ref="G46" si="71">F46/F45-1</f>
        <v>0.19273772902054587</v>
      </c>
      <c r="H46" s="190">
        <f t="shared" si="61"/>
        <v>-9.376254380035276E-2</v>
      </c>
      <c r="I46" s="130">
        <f t="shared" si="0"/>
        <v>23.701964010981897</v>
      </c>
      <c r="J46" s="130">
        <f t="shared" si="6"/>
        <v>-0.14011145328827646</v>
      </c>
      <c r="K46" s="136">
        <f>R44+R45+R46</f>
        <v>1386467813284</v>
      </c>
      <c r="L46" s="190">
        <f>U46/U43-1</f>
        <v>0.17834879316252761</v>
      </c>
      <c r="M46" s="190">
        <f>K46/K34-1</f>
        <v>-0.19921440891913744</v>
      </c>
      <c r="N46" s="191">
        <f>AVERAGE(T44:T46)</f>
        <v>23.245330513001715</v>
      </c>
      <c r="O46" s="192">
        <f>N46/N43-1</f>
        <v>1.4886154429021303E-3</v>
      </c>
      <c r="P46" s="129" t="s">
        <v>888</v>
      </c>
      <c r="Q46" s="116">
        <v>347050978</v>
      </c>
      <c r="R46" s="116">
        <v>475270843559</v>
      </c>
      <c r="S46" s="116">
        <v>14642287.779999999</v>
      </c>
      <c r="T46" s="130">
        <f t="shared" ref="T46" si="72">Q46/S46</f>
        <v>23.701964010981897</v>
      </c>
      <c r="U46" s="85">
        <f t="shared" ref="U46:U51" si="73">Q44+Q45+Q46</f>
        <v>983734322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17274247.608695652</v>
      </c>
      <c r="G47" s="190">
        <f t="shared" ref="G47" si="74">F47/F46-1</f>
        <v>-5.4286760819278301E-2</v>
      </c>
      <c r="H47" s="190">
        <f t="shared" ref="H47" si="75">F47/F35-1</f>
        <v>0.31653744752297386</v>
      </c>
      <c r="I47" s="130">
        <f t="shared" si="0"/>
        <v>22.830037838293617</v>
      </c>
      <c r="J47" s="130">
        <f t="shared" si="6"/>
        <v>-0.17271238726661098</v>
      </c>
      <c r="K47" s="136"/>
      <c r="L47" s="190"/>
      <c r="M47" s="190"/>
      <c r="N47" s="191"/>
      <c r="O47" s="192"/>
      <c r="P47" s="129" t="s">
        <v>991</v>
      </c>
      <c r="Q47" s="116">
        <v>397307695</v>
      </c>
      <c r="R47" s="116">
        <v>544907324959</v>
      </c>
      <c r="S47" s="116">
        <v>17402848.73</v>
      </c>
      <c r="T47" s="130">
        <f t="shared" ref="T47" si="76">Q47/S47</f>
        <v>22.830037838293617</v>
      </c>
      <c r="U47" s="85">
        <f t="shared" si="73"/>
        <v>1050642955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14747664.050000001</v>
      </c>
      <c r="G48" s="190">
        <f t="shared" ref="G48" si="77">F48/F47-1</f>
        <v>-0.14626301624991178</v>
      </c>
      <c r="H48" s="190">
        <f t="shared" ref="H48" si="78">F48/F36-1</f>
        <v>-3.8617213024186858E-2</v>
      </c>
      <c r="I48" s="130">
        <f t="shared" si="0"/>
        <v>22.415600079123948</v>
      </c>
      <c r="J48" s="130">
        <f t="shared" si="6"/>
        <v>-0.15994601991565383</v>
      </c>
      <c r="K48" s="136"/>
      <c r="L48" s="190"/>
      <c r="M48" s="190"/>
      <c r="N48" s="191"/>
      <c r="O48" s="192"/>
      <c r="P48" s="129" t="s">
        <v>1120</v>
      </c>
      <c r="Q48" s="116">
        <v>294953281</v>
      </c>
      <c r="R48" s="116">
        <v>409268910993</v>
      </c>
      <c r="S48" s="116">
        <v>13158393.26</v>
      </c>
      <c r="T48" s="130">
        <f t="shared" ref="T48" si="79">Q48/S48</f>
        <v>22.415600079123948</v>
      </c>
      <c r="U48" s="85">
        <f t="shared" si="73"/>
        <v>1039311954</v>
      </c>
    </row>
    <row r="49" spans="1:26" ht="13.2">
      <c r="A49" s="129" t="s">
        <v>1158</v>
      </c>
      <c r="B49" s="188">
        <f>SUM(F47:F49)</f>
        <v>45989562.567786559</v>
      </c>
      <c r="C49" s="188">
        <f>AVERAGE(F47:F49)</f>
        <v>15329854.189262187</v>
      </c>
      <c r="D49" s="190">
        <f>C49/C46-1</f>
        <v>-5.3677543019353124E-2</v>
      </c>
      <c r="E49" s="287">
        <f>C49/C37-1</f>
        <v>1.1936842597882968E-2</v>
      </c>
      <c r="F49" s="136">
        <f>Q49/22</f>
        <v>13967650.909090908</v>
      </c>
      <c r="G49" s="190">
        <f t="shared" ref="G49" si="80">F49/F48-1</f>
        <v>-5.2890623102381573E-2</v>
      </c>
      <c r="H49" s="190">
        <f t="shared" ref="H49" si="81">F49/F37-1</f>
        <v>-0.17769843622072645</v>
      </c>
      <c r="I49" s="130">
        <f t="shared" si="0"/>
        <v>22.104696506216829</v>
      </c>
      <c r="J49" s="130">
        <f t="shared" si="6"/>
        <v>-0.14340787841883684</v>
      </c>
      <c r="K49" s="136">
        <f>R47+R48+R49</f>
        <v>1381396899351</v>
      </c>
      <c r="L49" s="190">
        <f>U49/U46-1</f>
        <v>1.6076468662643562E-2</v>
      </c>
      <c r="M49" s="190">
        <f>K49/K37-1</f>
        <v>9.2093670117945559E-2</v>
      </c>
      <c r="N49" s="191">
        <f>AVERAGE(T47:T49)</f>
        <v>22.450111474544798</v>
      </c>
      <c r="O49" s="192">
        <f>N49/N46-1</f>
        <v>-3.4209840036997119E-2</v>
      </c>
      <c r="P49" s="129" t="s">
        <v>1158</v>
      </c>
      <c r="Q49" s="116">
        <v>307288320</v>
      </c>
      <c r="R49" s="116">
        <v>427220663399</v>
      </c>
      <c r="S49" s="116">
        <v>13901494.640000001</v>
      </c>
      <c r="T49" s="130">
        <f t="shared" ref="T49" si="82">Q49/S49</f>
        <v>22.104696506216829</v>
      </c>
      <c r="U49" s="85">
        <f t="shared" si="73"/>
        <v>999549296</v>
      </c>
      <c r="V49" s="79"/>
      <c r="W49" s="79"/>
      <c r="X49" s="79"/>
      <c r="Y49" s="79"/>
      <c r="Z49" s="79"/>
    </row>
    <row r="50" spans="1:26" ht="13.2">
      <c r="A50" s="129" t="s">
        <v>1312</v>
      </c>
      <c r="B50" s="188"/>
      <c r="C50" s="188"/>
      <c r="D50" s="190"/>
      <c r="E50" s="287"/>
      <c r="F50" s="136">
        <f>Q50/18</f>
        <v>11644923.111111112</v>
      </c>
      <c r="G50" s="190">
        <f t="shared" ref="G50" si="83">F50/F49-1</f>
        <v>-0.16629337410401901</v>
      </c>
      <c r="H50" s="190">
        <f t="shared" ref="H50" si="84">F50/F38-1</f>
        <v>-0.22873088351513104</v>
      </c>
      <c r="I50" s="130">
        <f t="shared" ref="I50" si="85">T50</f>
        <v>22.161947304811132</v>
      </c>
      <c r="J50" s="130">
        <f t="shared" ref="J50" si="86">I50/I38-1</f>
        <v>-0.13374645781754191</v>
      </c>
      <c r="K50" s="136"/>
      <c r="L50" s="190"/>
      <c r="M50" s="190"/>
      <c r="N50" s="191"/>
      <c r="O50" s="192"/>
      <c r="P50" s="129" t="s">
        <v>1363</v>
      </c>
      <c r="Q50" s="116">
        <v>209608616</v>
      </c>
      <c r="R50" s="116">
        <v>296048529573</v>
      </c>
      <c r="S50" s="116">
        <v>9458041.4399999995</v>
      </c>
      <c r="T50" s="130">
        <f t="shared" ref="T50" si="87">Q50/S50</f>
        <v>22.161947304811132</v>
      </c>
      <c r="U50" s="85">
        <f t="shared" si="73"/>
        <v>811850217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11208447.800000001</v>
      </c>
      <c r="G51" s="190">
        <f t="shared" ref="G51:G52" si="88">F51/F50-1</f>
        <v>-3.7482026025113413E-2</v>
      </c>
      <c r="H51" s="190">
        <f t="shared" ref="H51:H52" si="89">F51/F39-1</f>
        <v>-2.2039801424773797E-2</v>
      </c>
      <c r="I51" s="130">
        <f t="shared" ref="I51:I52" si="90">T51</f>
        <v>22.442367440178561</v>
      </c>
      <c r="J51" s="130">
        <f t="shared" ref="J51:J52" si="91">I51/I39-1</f>
        <v>-6.8823493045912287E-2</v>
      </c>
      <c r="K51" s="136"/>
      <c r="L51" s="190"/>
      <c r="M51" s="190"/>
      <c r="N51" s="191"/>
      <c r="O51" s="192"/>
      <c r="P51" s="129" t="s">
        <v>1402</v>
      </c>
      <c r="Q51" s="116">
        <v>224168956</v>
      </c>
      <c r="R51" s="116">
        <v>324294749335</v>
      </c>
      <c r="S51" s="116">
        <v>9988650.1099999994</v>
      </c>
      <c r="T51" s="130">
        <f t="shared" ref="T51:T52" si="92">Q51/S51</f>
        <v>22.442367440178561</v>
      </c>
      <c r="U51" s="85">
        <f t="shared" si="73"/>
        <v>741065892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33784067.138383836</v>
      </c>
      <c r="C52" s="188">
        <f>AVERAGE(F50:F52)</f>
        <v>11261355.712794611</v>
      </c>
      <c r="D52" s="190">
        <f>C52/C49-1</f>
        <v>-0.26539707594331585</v>
      </c>
      <c r="E52" s="287">
        <f>C52/C40-1</f>
        <v>-0.18522102319861999</v>
      </c>
      <c r="F52" s="136">
        <f>Q52/22</f>
        <v>10930696.227272727</v>
      </c>
      <c r="G52" s="190">
        <f t="shared" si="88"/>
        <v>-2.478055638776977E-2</v>
      </c>
      <c r="H52" s="190">
        <f t="shared" si="89"/>
        <v>-0.26662506793069729</v>
      </c>
      <c r="I52" s="130">
        <f t="shared" si="90"/>
        <v>21.949674704697991</v>
      </c>
      <c r="J52" s="130">
        <f t="shared" si="91"/>
        <v>-9.7526504077258491E-2</v>
      </c>
      <c r="K52" s="136">
        <f>R50+R51+R52</f>
        <v>974177333870</v>
      </c>
      <c r="L52" s="190">
        <f>U52/U49-1</f>
        <v>-0.32544308550040735</v>
      </c>
      <c r="M52" s="190">
        <f>K52/K40-1</f>
        <v>-0.17835320584981151</v>
      </c>
      <c r="N52" s="191">
        <f>AVERAGE(T50:T52)</f>
        <v>22.184663149895897</v>
      </c>
      <c r="O52" s="192">
        <f>N52/N49-1</f>
        <v>-1.1823920115046294E-2</v>
      </c>
      <c r="P52" s="129" t="s">
        <v>1403</v>
      </c>
      <c r="Q52" s="116">
        <v>240475317</v>
      </c>
      <c r="R52" s="116">
        <v>353834054962</v>
      </c>
      <c r="S52" s="116">
        <v>10955757.67</v>
      </c>
      <c r="T52" s="130">
        <f t="shared" si="92"/>
        <v>21.949674704697991</v>
      </c>
      <c r="U52" s="85">
        <f t="shared" ref="U52" si="93">Q50+Q51+Q52</f>
        <v>674252889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8758311.9523809515</v>
      </c>
      <c r="G53" s="190">
        <f t="shared" ref="G53" si="94">F53/F52-1</f>
        <v>-0.19874161990446215</v>
      </c>
      <c r="H53" s="190">
        <f t="shared" ref="H53" si="95">F53/F41-1</f>
        <v>-0.36915443217288912</v>
      </c>
      <c r="I53" s="130">
        <f t="shared" ref="I53" si="96">T53</f>
        <v>22.475114650370177</v>
      </c>
      <c r="J53" s="130">
        <f t="shared" ref="J53" si="97">I53/I41-1</f>
        <v>-2.4265022469164843E-2</v>
      </c>
      <c r="K53" s="136"/>
      <c r="L53" s="190"/>
      <c r="M53" s="190"/>
      <c r="N53" s="191"/>
      <c r="O53" s="192"/>
      <c r="P53" s="129" t="s">
        <v>1414</v>
      </c>
      <c r="Q53" s="116">
        <v>183924551</v>
      </c>
      <c r="R53" s="116">
        <v>268252125408</v>
      </c>
      <c r="S53" s="116">
        <v>8183475.54</v>
      </c>
      <c r="T53" s="130">
        <f t="shared" ref="T53" si="98">Q53/S53</f>
        <v>22.475114650370177</v>
      </c>
      <c r="U53" s="85">
        <f t="shared" ref="U53" si="99">Q51+Q52+Q53</f>
        <v>648568824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14153601.411764706</v>
      </c>
      <c r="G54" s="190">
        <f t="shared" ref="G54" si="100">F54/F53-1</f>
        <v>0.6160193298341059</v>
      </c>
      <c r="H54" s="190">
        <f t="shared" ref="H54" si="101">F54/F42-1</f>
        <v>-2.9313962261387716E-2</v>
      </c>
      <c r="I54" s="130">
        <f t="shared" ref="I54" si="102">T54</f>
        <v>22.924321110964517</v>
      </c>
      <c r="J54" s="130">
        <f t="shared" ref="J54" si="103">I54/I42-1</f>
        <v>-2.0801949872120029E-2</v>
      </c>
      <c r="K54" s="136"/>
      <c r="L54" s="190"/>
      <c r="M54" s="190"/>
      <c r="N54" s="191"/>
      <c r="O54" s="192"/>
      <c r="P54" s="129" t="s">
        <v>1417</v>
      </c>
      <c r="Q54" s="116">
        <v>240611224</v>
      </c>
      <c r="R54" s="116">
        <v>348699141503</v>
      </c>
      <c r="S54" s="116">
        <v>10495893.109999999</v>
      </c>
      <c r="T54" s="130">
        <f t="shared" ref="T54" si="104">Q54/S54</f>
        <v>22.924321110964517</v>
      </c>
      <c r="U54" s="85">
        <f t="shared" ref="U54" si="105">Q52+Q53+Q54</f>
        <v>665011092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37573167.078431375</v>
      </c>
      <c r="C55" s="188">
        <f>AVERAGE(F53:F55)</f>
        <v>12524389.026143791</v>
      </c>
      <c r="D55" s="190">
        <f>C55/C52-1</f>
        <v>0.112156417536317</v>
      </c>
      <c r="E55" s="287">
        <f>C55/C43-1</f>
        <v>-0.1288475088339549</v>
      </c>
      <c r="F55" s="136">
        <f>Q55/21</f>
        <v>14661253.714285715</v>
      </c>
      <c r="G55" s="190">
        <f t="shared" ref="G55" si="106">F55/F54-1</f>
        <v>3.5867358967664575E-2</v>
      </c>
      <c r="H55" s="190">
        <f t="shared" ref="H55" si="107">F55/F43-1</f>
        <v>-3.1924561747009861E-4</v>
      </c>
      <c r="I55" s="130">
        <f>T55</f>
        <v>23.200906891758805</v>
      </c>
      <c r="J55" s="130">
        <f t="shared" ref="J55" si="108">I55/I43-1</f>
        <v>6.0074405990206969E-4</v>
      </c>
      <c r="K55" s="136">
        <f>R53+R54+R55</f>
        <v>1069260630886</v>
      </c>
      <c r="L55" s="190">
        <f>U55/U52-1</f>
        <v>8.6272101979825599E-2</v>
      </c>
      <c r="M55" s="190">
        <f>K55/K43-1</f>
        <v>-0.11789584979433132</v>
      </c>
      <c r="N55" s="191">
        <f>AVERAGE(T53:T55)</f>
        <v>22.866780884364498</v>
      </c>
      <c r="O55" s="192">
        <f>N55/N52-1</f>
        <v>3.0747265796181367E-2</v>
      </c>
      <c r="P55" s="129" t="s">
        <v>1418</v>
      </c>
      <c r="Q55" s="116">
        <v>307886328</v>
      </c>
      <c r="R55" s="116">
        <v>452309363975</v>
      </c>
      <c r="S55" s="116">
        <v>13270443.67</v>
      </c>
      <c r="T55" s="130">
        <f t="shared" ref="T55" si="109">Q55/S55</f>
        <v>23.200906891758805</v>
      </c>
      <c r="U55" s="85">
        <f t="shared" ref="U55" si="110">Q53+Q54+Q55</f>
        <v>732422103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16343284.818181818</v>
      </c>
      <c r="G56" s="190">
        <f t="shared" ref="G56" si="111">F56/F55-1</f>
        <v>0.11472628034921439</v>
      </c>
      <c r="H56" s="190">
        <f t="shared" ref="H56" si="112">F56/F44-1</f>
        <v>8.8236340089851817E-2</v>
      </c>
      <c r="I56" s="291">
        <f>T56</f>
        <v>24.375779822162254</v>
      </c>
      <c r="J56" s="130">
        <f t="shared" ref="J56" si="113">I56/I44-1</f>
        <v>7.9748567647461632E-2</v>
      </c>
      <c r="K56" s="136"/>
      <c r="L56" s="190"/>
      <c r="M56" s="190"/>
      <c r="N56" s="191"/>
      <c r="O56" s="192"/>
      <c r="P56" s="129" t="s">
        <v>1420</v>
      </c>
      <c r="Q56" s="116">
        <v>359552266</v>
      </c>
      <c r="R56" s="116">
        <v>537051458406</v>
      </c>
      <c r="S56" s="116">
        <v>14750390.289999999</v>
      </c>
      <c r="T56" s="130">
        <f t="shared" ref="T56" si="114">Q56/S56</f>
        <v>24.375779822162254</v>
      </c>
      <c r="U56" s="85">
        <f t="shared" ref="U56" si="115">Q54+Q55+Q56</f>
        <v>908049818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18407085.083333332</v>
      </c>
      <c r="G57" s="254">
        <f t="shared" ref="G57" si="116">F57/F56-1</f>
        <v>0.12627818018906134</v>
      </c>
      <c r="H57" s="254">
        <f t="shared" ref="H57" si="117">F57/F45-1</f>
        <v>0.2019608034168292</v>
      </c>
      <c r="I57" s="282">
        <f>T57</f>
        <v>24.925713768653221</v>
      </c>
      <c r="J57" s="277">
        <f t="shared" ref="J57" si="118">I57/I45-1</f>
        <v>6.2540311207354593E-2</v>
      </c>
      <c r="K57" s="204"/>
      <c r="L57" s="254"/>
      <c r="M57" s="254"/>
      <c r="N57" s="257"/>
      <c r="O57" s="258"/>
      <c r="P57" s="129" t="s">
        <v>1436</v>
      </c>
      <c r="Q57" s="116">
        <v>220885021</v>
      </c>
      <c r="R57" s="116">
        <v>325735492620</v>
      </c>
      <c r="S57" s="116">
        <v>8861733.0299999993</v>
      </c>
      <c r="T57" s="130">
        <f t="shared" ref="T57" si="119">Q57/S57</f>
        <v>24.925713768653221</v>
      </c>
      <c r="U57" s="85">
        <f t="shared" ref="U57" si="120">Q55+Q56+Q57</f>
        <v>888323615</v>
      </c>
      <c r="V57" s="79"/>
      <c r="W57" s="79"/>
      <c r="X57" s="79"/>
      <c r="Y57" s="79"/>
      <c r="Z57" s="79"/>
    </row>
    <row r="58" spans="1:26">
      <c r="B58" s="196">
        <f>SUM(F56:F58)</f>
        <v>34750369.901515149</v>
      </c>
      <c r="C58" s="196">
        <f>AVERAGE(F56:F58)</f>
        <v>17375184.950757574</v>
      </c>
      <c r="D58" s="197">
        <f>C58/C55-1</f>
        <v>0.38730798879594719</v>
      </c>
      <c r="E58" s="233">
        <f>C58/C46-1</f>
        <v>7.2582133534659032E-2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1312859390</v>
      </c>
      <c r="R66" s="212">
        <v>1932047581912</v>
      </c>
      <c r="S66" s="213">
        <v>55561935.649999999</v>
      </c>
      <c r="T66" s="214">
        <v>17</v>
      </c>
      <c r="U66" s="214">
        <v>108</v>
      </c>
    </row>
    <row r="67" spans="16:21" ht="18" thickBot="1">
      <c r="P67" s="180" t="s">
        <v>976</v>
      </c>
      <c r="Q67" s="181">
        <v>183924551</v>
      </c>
      <c r="R67" s="181">
        <v>268252125408</v>
      </c>
      <c r="S67" s="182">
        <v>8183475.54</v>
      </c>
      <c r="T67" s="210">
        <v>13</v>
      </c>
      <c r="U67" s="210">
        <v>47</v>
      </c>
    </row>
    <row r="68" spans="16:21" ht="18" thickBot="1">
      <c r="P68" s="180" t="s">
        <v>977</v>
      </c>
      <c r="Q68" s="181">
        <v>240611224</v>
      </c>
      <c r="R68" s="181">
        <v>348699141503</v>
      </c>
      <c r="S68" s="182">
        <v>10495893.109999999</v>
      </c>
      <c r="T68" s="210">
        <v>12</v>
      </c>
      <c r="U68" s="210">
        <v>54</v>
      </c>
    </row>
    <row r="69" spans="16:21" ht="18" thickBot="1">
      <c r="P69" s="180" t="s">
        <v>978</v>
      </c>
      <c r="Q69" s="181">
        <v>307886328</v>
      </c>
      <c r="R69" s="181">
        <v>452309363975</v>
      </c>
      <c r="S69" s="182">
        <v>13270443.67</v>
      </c>
      <c r="T69" s="210">
        <v>15</v>
      </c>
      <c r="U69" s="210">
        <v>64</v>
      </c>
    </row>
    <row r="70" spans="16:21" ht="18" thickBot="1">
      <c r="P70" s="180" t="s">
        <v>979</v>
      </c>
      <c r="Q70" s="181">
        <v>359552266</v>
      </c>
      <c r="R70" s="181">
        <v>537051458406</v>
      </c>
      <c r="S70" s="182">
        <v>14750390.289999999</v>
      </c>
      <c r="T70" s="210">
        <v>12</v>
      </c>
      <c r="U70" s="210">
        <v>59</v>
      </c>
    </row>
    <row r="71" spans="16:21" ht="18" thickBot="1">
      <c r="P71" s="180" t="s">
        <v>980</v>
      </c>
      <c r="Q71" s="181">
        <v>220885021</v>
      </c>
      <c r="R71" s="181">
        <v>325735492620</v>
      </c>
      <c r="S71" s="182">
        <v>8861733.0299999993</v>
      </c>
      <c r="T71" s="210">
        <v>11</v>
      </c>
      <c r="U71" s="210">
        <v>44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215" t="s">
        <v>982</v>
      </c>
      <c r="Q73" s="217" t="s">
        <v>1440</v>
      </c>
      <c r="R73"/>
      <c r="S73"/>
      <c r="T73"/>
      <c r="U73"/>
    </row>
  </sheetData>
  <phoneticPr fontId="1" type="noConversion"/>
  <conditionalFormatting sqref="C29:C30">
    <cfRule type="cellIs" dxfId="2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>
    <tabColor rgb="FFFF0000"/>
  </sheetPr>
  <dimension ref="A1:Z73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2841909030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1275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4423155</v>
      </c>
      <c r="G5" s="90"/>
      <c r="H5" s="90"/>
      <c r="I5" s="130">
        <f t="shared" ref="I5:I49" si="0">T5</f>
        <v>30.26737755673566</v>
      </c>
      <c r="J5" s="130"/>
      <c r="L5" s="80"/>
      <c r="M5" s="80"/>
      <c r="P5" s="129" t="s">
        <v>0</v>
      </c>
      <c r="Q5" s="116">
        <v>88463100</v>
      </c>
      <c r="R5" s="116"/>
      <c r="S5" s="116">
        <v>2922721</v>
      </c>
      <c r="T5" s="130">
        <f t="shared" ref="T5:T11" si="1">Q5/S5</f>
        <v>30.26737755673566</v>
      </c>
      <c r="U5" s="85"/>
    </row>
    <row r="6" spans="1:21" ht="15" hidden="1" customHeight="1">
      <c r="A6" s="129" t="s">
        <v>1</v>
      </c>
      <c r="C6" s="79"/>
      <c r="F6" s="78">
        <f>Q6/18</f>
        <v>4177902.5</v>
      </c>
      <c r="G6" s="90">
        <f t="shared" ref="G6:G16" si="2">F6/F5-1</f>
        <v>-5.5447412536978713E-2</v>
      </c>
      <c r="H6" s="90"/>
      <c r="I6" s="130">
        <f t="shared" si="0"/>
        <v>30.878983865391358</v>
      </c>
      <c r="J6" s="130"/>
      <c r="P6" s="129" t="s">
        <v>1</v>
      </c>
      <c r="Q6" s="116">
        <v>75202245</v>
      </c>
      <c r="R6" s="116"/>
      <c r="S6" s="116">
        <v>2435386</v>
      </c>
      <c r="T6" s="130">
        <f t="shared" si="1"/>
        <v>30.878983865391358</v>
      </c>
      <c r="U6" s="85"/>
    </row>
    <row r="7" spans="1:21" ht="15" hidden="1" customHeight="1">
      <c r="A7" s="129" t="s">
        <v>2</v>
      </c>
      <c r="B7" s="131">
        <f>F5+F6+F7</f>
        <v>14557484.727272727</v>
      </c>
      <c r="C7" s="131">
        <f>AVERAGE(F5:F7)</f>
        <v>4852494.9090909092</v>
      </c>
      <c r="F7" s="78">
        <f>Q7/22</f>
        <v>5956427.2272727275</v>
      </c>
      <c r="G7" s="90">
        <f t="shared" si="2"/>
        <v>0.42569799732586566</v>
      </c>
      <c r="H7" s="90"/>
      <c r="I7" s="130">
        <f t="shared" si="0"/>
        <v>34.654495145672151</v>
      </c>
      <c r="J7" s="130"/>
      <c r="K7" s="79">
        <f>R5+R6+R7</f>
        <v>0</v>
      </c>
      <c r="N7" s="88">
        <f>AVERAGE(T5:T7)</f>
        <v>31.933618855933059</v>
      </c>
      <c r="P7" s="129" t="s">
        <v>2</v>
      </c>
      <c r="Q7" s="116">
        <v>131041399</v>
      </c>
      <c r="R7" s="116"/>
      <c r="S7" s="116">
        <v>3781368</v>
      </c>
      <c r="T7" s="130">
        <f t="shared" si="1"/>
        <v>34.654495145672151</v>
      </c>
      <c r="U7" s="85">
        <f>Q5+Q6+Q7</f>
        <v>294706744</v>
      </c>
    </row>
    <row r="8" spans="1:21" ht="15" hidden="1" customHeight="1">
      <c r="A8" s="129" t="s">
        <v>3</v>
      </c>
      <c r="C8" s="79"/>
      <c r="F8" s="78">
        <f>Q8/21</f>
        <v>7779463.8571428573</v>
      </c>
      <c r="G8" s="90">
        <f t="shared" si="2"/>
        <v>0.30606210070409001</v>
      </c>
      <c r="H8" s="90"/>
      <c r="I8" s="130">
        <f t="shared" si="0"/>
        <v>40.927375582274507</v>
      </c>
      <c r="J8" s="130"/>
      <c r="K8" s="78"/>
      <c r="P8" s="129" t="s">
        <v>3</v>
      </c>
      <c r="Q8" s="116">
        <v>163368741</v>
      </c>
      <c r="R8" s="116"/>
      <c r="S8" s="116">
        <v>3991674</v>
      </c>
      <c r="T8" s="130">
        <f t="shared" si="1"/>
        <v>40.927375582274507</v>
      </c>
      <c r="U8" s="85"/>
    </row>
    <row r="9" spans="1:21" ht="15" hidden="1" customHeight="1">
      <c r="A9" s="129" t="s">
        <v>4</v>
      </c>
      <c r="C9" s="79"/>
      <c r="F9" s="78">
        <f>Q9/21</f>
        <v>10251885.476190476</v>
      </c>
      <c r="G9" s="90">
        <f t="shared" si="2"/>
        <v>0.31781388337931782</v>
      </c>
      <c r="H9" s="90"/>
      <c r="I9" s="130">
        <f t="shared" si="0"/>
        <v>43.560202988621192</v>
      </c>
      <c r="J9" s="130"/>
      <c r="K9" s="78"/>
      <c r="P9" s="129" t="s">
        <v>4</v>
      </c>
      <c r="Q9" s="116">
        <v>215289595</v>
      </c>
      <c r="R9" s="116"/>
      <c r="S9" s="116">
        <v>4942346</v>
      </c>
      <c r="T9" s="130">
        <f t="shared" si="1"/>
        <v>43.560202988621192</v>
      </c>
      <c r="U9" s="85"/>
    </row>
    <row r="10" spans="1:21" ht="15" hidden="1" customHeight="1">
      <c r="A10" s="129" t="s">
        <v>5</v>
      </c>
      <c r="B10" s="131">
        <f>F8+F9+F10</f>
        <v>26686277.476190478</v>
      </c>
      <c r="C10" s="131">
        <f>AVERAGE(F8:F10)</f>
        <v>8895425.8253968265</v>
      </c>
      <c r="D10" s="90">
        <f>C10/C7-1</f>
        <v>0.8331654112056226</v>
      </c>
      <c r="E10" s="286"/>
      <c r="F10" s="78">
        <f>Q10/21</f>
        <v>8654928.1428571437</v>
      </c>
      <c r="G10" s="90">
        <f t="shared" si="2"/>
        <v>-0.15577206134834332</v>
      </c>
      <c r="H10" s="90"/>
      <c r="I10" s="130">
        <f t="shared" si="0"/>
        <v>46.13042133080473</v>
      </c>
      <c r="J10" s="130"/>
      <c r="K10" s="79">
        <f>R8+R9+R10</f>
        <v>0</v>
      </c>
      <c r="L10" s="87">
        <f>U10/U7-1</f>
        <v>0.90159145798170126</v>
      </c>
      <c r="N10" s="88">
        <f>AVERAGE(T8:T10)</f>
        <v>43.539333300566803</v>
      </c>
      <c r="O10" s="89">
        <f>N10/N7-1</f>
        <v>0.36343248464861899</v>
      </c>
      <c r="P10" s="129" t="s">
        <v>5</v>
      </c>
      <c r="Q10" s="116">
        <v>181753491</v>
      </c>
      <c r="R10" s="116"/>
      <c r="S10" s="116">
        <v>3939992</v>
      </c>
      <c r="T10" s="130">
        <f t="shared" si="1"/>
        <v>46.13042133080473</v>
      </c>
      <c r="U10" s="85">
        <f>Q8+Q9+Q10</f>
        <v>560411827</v>
      </c>
    </row>
    <row r="11" spans="1:21" ht="15" hidden="1" customHeight="1">
      <c r="A11" s="129" t="s">
        <v>6</v>
      </c>
      <c r="C11" s="79"/>
      <c r="F11" s="78">
        <f>Q11/21</f>
        <v>12991761</v>
      </c>
      <c r="G11" s="90">
        <f t="shared" si="2"/>
        <v>0.50108247989580557</v>
      </c>
      <c r="H11" s="90"/>
      <c r="I11" s="130">
        <f t="shared" si="0"/>
        <v>58.447308631575972</v>
      </c>
      <c r="J11" s="130"/>
      <c r="K11" s="78"/>
      <c r="O11" s="89"/>
      <c r="P11" s="129" t="s">
        <v>6</v>
      </c>
      <c r="Q11" s="116">
        <v>272826981</v>
      </c>
      <c r="R11" s="116"/>
      <c r="S11" s="116">
        <v>4667913.5</v>
      </c>
      <c r="T11" s="130">
        <f t="shared" si="1"/>
        <v>58.447308631575972</v>
      </c>
      <c r="U11" s="85"/>
    </row>
    <row r="12" spans="1:21" ht="15" hidden="1" customHeight="1">
      <c r="A12" s="129" t="s">
        <v>7</v>
      </c>
      <c r="C12" s="79"/>
      <c r="F12" s="78">
        <f>Q12/22</f>
        <v>11582081.545454545</v>
      </c>
      <c r="G12" s="90">
        <f t="shared" si="2"/>
        <v>-0.10850564866036672</v>
      </c>
      <c r="H12" s="90"/>
      <c r="I12" s="130">
        <f t="shared" si="0"/>
        <v>57.93265913498594</v>
      </c>
      <c r="J12" s="130"/>
      <c r="K12" s="78"/>
      <c r="O12" s="89"/>
      <c r="P12" s="129" t="s">
        <v>7</v>
      </c>
      <c r="Q12" s="116">
        <v>254805794</v>
      </c>
      <c r="R12" s="116"/>
      <c r="S12" s="116">
        <v>4398310</v>
      </c>
      <c r="T12" s="130">
        <f>Q12/S12</f>
        <v>57.93265913498594</v>
      </c>
      <c r="U12" s="85"/>
    </row>
    <row r="13" spans="1:21" ht="15" hidden="1" customHeight="1">
      <c r="A13" s="129" t="s">
        <v>35</v>
      </c>
      <c r="B13" s="131">
        <f>F11+F12+F13</f>
        <v>35596453.845454544</v>
      </c>
      <c r="C13" s="131">
        <f>AVERAGE(F11:F13)</f>
        <v>11865484.615151515</v>
      </c>
      <c r="D13" s="90">
        <f>C13/C10-1</f>
        <v>0.33388607224120093</v>
      </c>
      <c r="E13" s="286"/>
      <c r="F13" s="78">
        <f>Q13/20</f>
        <v>11022611.300000001</v>
      </c>
      <c r="G13" s="90">
        <f t="shared" si="2"/>
        <v>-4.8304809740707721E-2</v>
      </c>
      <c r="H13" s="90"/>
      <c r="I13" s="130">
        <f t="shared" si="0"/>
        <v>57.388152414313026</v>
      </c>
      <c r="J13" s="130"/>
      <c r="K13" s="78">
        <f>R11+R12+R13</f>
        <v>0</v>
      </c>
      <c r="L13" s="87">
        <f>U13/U10-1</f>
        <v>0.33488439208118281</v>
      </c>
      <c r="N13" s="88">
        <f>AVERAGE(T11:T13)</f>
        <v>57.922706726958317</v>
      </c>
      <c r="O13" s="89">
        <f>N13/N10-1</f>
        <v>0.33035355243265219</v>
      </c>
      <c r="P13" s="129" t="s">
        <v>60</v>
      </c>
      <c r="Q13" s="116">
        <v>220452226</v>
      </c>
      <c r="R13" s="116"/>
      <c r="S13" s="116">
        <v>3841424</v>
      </c>
      <c r="T13" s="130">
        <f>Q13/S13</f>
        <v>57.388152414313026</v>
      </c>
      <c r="U13" s="85">
        <f>Q11+Q12+Q13</f>
        <v>748085001</v>
      </c>
    </row>
    <row r="14" spans="1:21" ht="15" hidden="1" customHeight="1">
      <c r="A14" s="129" t="s">
        <v>36</v>
      </c>
      <c r="C14" s="79"/>
      <c r="F14" s="78">
        <f>Q14/20</f>
        <v>11245427.25</v>
      </c>
      <c r="G14" s="90">
        <f t="shared" si="2"/>
        <v>2.0214443196413745E-2</v>
      </c>
      <c r="H14" s="90"/>
      <c r="I14" s="130">
        <f t="shared" si="0"/>
        <v>54.875484473072632</v>
      </c>
      <c r="J14" s="130"/>
      <c r="O14" s="89"/>
      <c r="P14" s="129" t="s">
        <v>36</v>
      </c>
      <c r="Q14" s="116">
        <v>224908545</v>
      </c>
      <c r="R14" s="116"/>
      <c r="S14" s="116">
        <v>4098525</v>
      </c>
      <c r="T14" s="130">
        <f>Q14/S14</f>
        <v>54.875484473072632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9780751.4090909082</v>
      </c>
      <c r="G15" s="90">
        <f t="shared" si="2"/>
        <v>-0.13024634888008291</v>
      </c>
      <c r="H15" s="90"/>
      <c r="I15" s="130">
        <f t="shared" si="0"/>
        <v>51.076759747123475</v>
      </c>
      <c r="J15" s="130"/>
      <c r="O15" s="89"/>
      <c r="P15" s="129" t="s">
        <v>37</v>
      </c>
      <c r="Q15" s="116">
        <v>215176531</v>
      </c>
      <c r="R15" s="116"/>
      <c r="S15" s="116">
        <v>4212807</v>
      </c>
      <c r="T15" s="130">
        <f t="shared" ref="T15:T19" si="3">Q15/S15</f>
        <v>51.076759747123475</v>
      </c>
      <c r="U15" s="78"/>
    </row>
    <row r="16" spans="1:21" ht="15" hidden="1" customHeight="1">
      <c r="A16" s="123" t="s">
        <v>38</v>
      </c>
      <c r="B16" s="131">
        <f>F14+F15+F16</f>
        <v>31693567.340909086</v>
      </c>
      <c r="C16" s="131">
        <f>AVERAGE(F14:F16)</f>
        <v>10564522.446969695</v>
      </c>
      <c r="D16" s="90">
        <f>C16/C13-1</f>
        <v>-0.10964256500072223</v>
      </c>
      <c r="E16" s="286"/>
      <c r="F16" s="78">
        <f>Q16/22</f>
        <v>10667388.681818182</v>
      </c>
      <c r="G16" s="90">
        <f t="shared" si="2"/>
        <v>9.0651243001961035E-2</v>
      </c>
      <c r="H16" s="90"/>
      <c r="I16" s="130">
        <f t="shared" si="0"/>
        <v>51.74459750205164</v>
      </c>
      <c r="J16" s="130"/>
      <c r="K16" s="78">
        <f>R14+R15+R16</f>
        <v>0</v>
      </c>
      <c r="L16" s="87">
        <f>U16/U13-1</f>
        <v>-9.8006742418299098E-2</v>
      </c>
      <c r="N16" s="88">
        <f>AVERAGE(T14:T16)</f>
        <v>52.565613907415916</v>
      </c>
      <c r="O16" s="89">
        <f>N16/N13-1</f>
        <v>-9.2486921317320059E-2</v>
      </c>
      <c r="P16" s="123" t="s">
        <v>38</v>
      </c>
      <c r="Q16" s="133">
        <v>234682551</v>
      </c>
      <c r="R16" s="133"/>
      <c r="S16" s="133">
        <v>4535402</v>
      </c>
      <c r="T16" s="134">
        <f t="shared" si="3"/>
        <v>51.74459750205164</v>
      </c>
      <c r="U16" s="85">
        <f>Q14+Q15+Q16</f>
        <v>674767627</v>
      </c>
    </row>
    <row r="17" spans="1:21" ht="15" hidden="1" customHeight="1">
      <c r="A17" s="129" t="s">
        <v>87</v>
      </c>
      <c r="C17" s="79"/>
      <c r="F17" s="78">
        <f>Q17/20</f>
        <v>10313041.85</v>
      </c>
      <c r="G17" s="90">
        <f t="shared" ref="G17:G22" si="4">F17/F16-1</f>
        <v>-3.3217767008165922E-2</v>
      </c>
      <c r="H17" s="90">
        <f t="shared" ref="H17:H22" si="5">F17/F5-1</f>
        <v>1.3316030864846473</v>
      </c>
      <c r="I17" s="130">
        <f t="shared" si="0"/>
        <v>53.382440959534222</v>
      </c>
      <c r="J17" s="130">
        <f t="shared" ref="J17:J49" si="6">I17/I5-1</f>
        <v>0.76369561120615059</v>
      </c>
      <c r="O17" s="89"/>
      <c r="P17" s="129" t="s">
        <v>87</v>
      </c>
      <c r="Q17" s="116">
        <v>206260837</v>
      </c>
      <c r="R17" s="116">
        <v>259505619693</v>
      </c>
      <c r="S17" s="116">
        <v>3863833</v>
      </c>
      <c r="T17" s="130">
        <f t="shared" si="3"/>
        <v>53.382440959534222</v>
      </c>
      <c r="U17" s="78"/>
    </row>
    <row r="18" spans="1:21" hidden="1">
      <c r="A18" s="129" t="s">
        <v>106</v>
      </c>
      <c r="C18" s="79"/>
      <c r="F18" s="78">
        <f>Q18/20</f>
        <v>11175579.4</v>
      </c>
      <c r="G18" s="90">
        <f t="shared" si="4"/>
        <v>8.3635610380074388E-2</v>
      </c>
      <c r="H18" s="90">
        <f t="shared" si="5"/>
        <v>1.6749258509503275</v>
      </c>
      <c r="I18" s="130">
        <f t="shared" si="0"/>
        <v>57.332167562746349</v>
      </c>
      <c r="J18" s="130">
        <f t="shared" si="6"/>
        <v>0.85667273938386534</v>
      </c>
      <c r="O18" s="89"/>
      <c r="P18" s="129" t="s">
        <v>106</v>
      </c>
      <c r="Q18" s="116">
        <v>223511588</v>
      </c>
      <c r="R18" s="116">
        <v>279633553422</v>
      </c>
      <c r="S18" s="116">
        <v>3898537.2</v>
      </c>
      <c r="T18" s="130">
        <f t="shared" si="3"/>
        <v>57.332167562746349</v>
      </c>
      <c r="U18" s="78"/>
    </row>
    <row r="19" spans="1:21" hidden="1">
      <c r="A19" s="129" t="s">
        <v>114</v>
      </c>
      <c r="B19" s="131">
        <f>SUM(F17:F19)</f>
        <v>33829908.704545453</v>
      </c>
      <c r="C19" s="131">
        <f>AVERAGE(F17:F19)</f>
        <v>11276636.234848484</v>
      </c>
      <c r="D19" s="90">
        <f>C19/C16-1</f>
        <v>6.7406150297219636E-2</v>
      </c>
      <c r="E19" s="286">
        <f>C19/C7-1</f>
        <v>1.3238841969153361</v>
      </c>
      <c r="F19" s="78">
        <f>Q19/22</f>
        <v>12341287.454545455</v>
      </c>
      <c r="G19" s="90">
        <f t="shared" si="4"/>
        <v>0.10430851169519273</v>
      </c>
      <c r="H19" s="90">
        <f t="shared" si="5"/>
        <v>1.0719278493050886</v>
      </c>
      <c r="I19" s="130">
        <f t="shared" si="0"/>
        <v>55.453173232505733</v>
      </c>
      <c r="J19" s="130">
        <f t="shared" si="6"/>
        <v>0.60017258942613805</v>
      </c>
      <c r="K19" s="78">
        <f>R17+R18+R19</f>
        <v>893734091365</v>
      </c>
      <c r="L19" s="87">
        <f>U19/U16-1</f>
        <v>3.9292225855405372E-2</v>
      </c>
      <c r="M19" s="87">
        <f>U19/U7-1</f>
        <v>1.3795883985607063</v>
      </c>
      <c r="N19" s="88">
        <f>AVERAGE(T17:T19)</f>
        <v>55.389260584928763</v>
      </c>
      <c r="O19" s="89">
        <f>N19/N16-1</f>
        <v>5.3716611823199756E-2</v>
      </c>
      <c r="P19" s="129" t="s">
        <v>114</v>
      </c>
      <c r="Q19" s="116">
        <v>271508324</v>
      </c>
      <c r="R19" s="116">
        <v>354594918250</v>
      </c>
      <c r="S19" s="116">
        <v>4896172.9000000004</v>
      </c>
      <c r="T19" s="130">
        <f t="shared" si="3"/>
        <v>55.453173232505733</v>
      </c>
      <c r="U19" s="85">
        <f>Q17+Q18+Q19</f>
        <v>701280749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13016213.5</v>
      </c>
      <c r="G20" s="90">
        <f t="shared" si="4"/>
        <v>5.4688463253156128E-2</v>
      </c>
      <c r="H20" s="90">
        <f t="shared" si="5"/>
        <v>0.67315045599818868</v>
      </c>
      <c r="I20" s="130">
        <f t="shared" si="0"/>
        <v>55.822896018266519</v>
      </c>
      <c r="J20" s="130">
        <f t="shared" si="6"/>
        <v>0.3639500511350453</v>
      </c>
      <c r="O20" s="89"/>
      <c r="P20" s="129" t="s">
        <v>132</v>
      </c>
      <c r="Q20" s="116">
        <v>260324270</v>
      </c>
      <c r="R20" s="116">
        <v>341589044509</v>
      </c>
      <c r="S20" s="116">
        <v>4663396</v>
      </c>
      <c r="T20" s="130">
        <f t="shared" ref="T20" si="7">Q20/S20</f>
        <v>55.822896018266519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9810760.8095238097</v>
      </c>
      <c r="G21" s="90">
        <f t="shared" si="4"/>
        <v>-0.24626614264403313</v>
      </c>
      <c r="H21" s="90">
        <f t="shared" si="5"/>
        <v>-4.3028637775086143E-2</v>
      </c>
      <c r="I21" s="130">
        <f t="shared" si="0"/>
        <v>53.593826405470459</v>
      </c>
      <c r="J21" s="130">
        <f t="shared" si="6"/>
        <v>0.23033922545012597</v>
      </c>
      <c r="O21" s="89"/>
      <c r="P21" s="129" t="s">
        <v>141</v>
      </c>
      <c r="Q21" s="116">
        <v>206025977</v>
      </c>
      <c r="R21" s="116">
        <v>273882756586</v>
      </c>
      <c r="S21" s="116">
        <v>3844211</v>
      </c>
      <c r="T21" s="130">
        <f t="shared" ref="T21" si="8">Q21/S21</f>
        <v>53.593826405470459</v>
      </c>
      <c r="U21" s="78"/>
    </row>
    <row r="22" spans="1:21" hidden="1">
      <c r="A22" s="129" t="s">
        <v>156</v>
      </c>
      <c r="B22" s="131">
        <f>SUM(F20:F22)</f>
        <v>37019457.452380955</v>
      </c>
      <c r="C22" s="131">
        <f>AVERAGE(F20:F22)</f>
        <v>12339819.150793651</v>
      </c>
      <c r="D22" s="90">
        <f>C22/C19-1</f>
        <v>9.4281920051618284E-2</v>
      </c>
      <c r="E22" s="286">
        <f>C22/C10-1</f>
        <v>0.38720949317152775</v>
      </c>
      <c r="F22" s="78">
        <f>Q22/21</f>
        <v>14192483.142857144</v>
      </c>
      <c r="G22" s="90">
        <f t="shared" si="4"/>
        <v>0.44662411187109674</v>
      </c>
      <c r="H22" s="90">
        <f t="shared" si="5"/>
        <v>0.63981524844548932</v>
      </c>
      <c r="I22" s="130">
        <f t="shared" si="0"/>
        <v>56.615732882953644</v>
      </c>
      <c r="J22" s="130">
        <f t="shared" si="6"/>
        <v>0.22729711218022386</v>
      </c>
      <c r="K22" s="78">
        <f>R20+R21+R22</f>
        <v>1003655190262</v>
      </c>
      <c r="L22" s="87">
        <f>U22/U19-1</f>
        <v>8.9994833153476561E-2</v>
      </c>
      <c r="M22" s="87">
        <f>U22/U10-1</f>
        <v>0.36398333541950745</v>
      </c>
      <c r="N22" s="88">
        <f>AVERAGE(T20:T22)</f>
        <v>55.344151768896872</v>
      </c>
      <c r="O22" s="89">
        <f>N22/N19-1</f>
        <v>-8.1439642911873555E-4</v>
      </c>
      <c r="P22" s="129" t="s">
        <v>156</v>
      </c>
      <c r="Q22" s="116">
        <v>298042146</v>
      </c>
      <c r="R22" s="116">
        <v>388183389167</v>
      </c>
      <c r="S22" s="116">
        <v>5264299</v>
      </c>
      <c r="T22" s="130">
        <f t="shared" ref="T22:T23" si="9">Q22/S22</f>
        <v>56.615732882953644</v>
      </c>
      <c r="U22" s="85">
        <f>Q20+Q21+Q22</f>
        <v>764392393</v>
      </c>
    </row>
    <row r="23" spans="1:21" hidden="1">
      <c r="A23" s="129" t="s">
        <v>189</v>
      </c>
      <c r="B23" s="131"/>
      <c r="C23" s="131"/>
      <c r="F23" s="78">
        <f>Q23/21</f>
        <v>12940325.19047619</v>
      </c>
      <c r="G23" s="90">
        <f t="shared" ref="G23" si="10">F23/F22-1</f>
        <v>-8.8226840911285187E-2</v>
      </c>
      <c r="H23" s="90">
        <f t="shared" ref="H23" si="11">F23/F11-1</f>
        <v>-3.9591098946332171E-3</v>
      </c>
      <c r="I23" s="130">
        <f t="shared" si="0"/>
        <v>49.712119837333823</v>
      </c>
      <c r="J23" s="130">
        <f t="shared" si="6"/>
        <v>-0.14945408092791101</v>
      </c>
      <c r="O23" s="89"/>
      <c r="P23" s="129" t="s">
        <v>189</v>
      </c>
      <c r="Q23" s="116">
        <v>271746829</v>
      </c>
      <c r="R23" s="116">
        <v>352220990452</v>
      </c>
      <c r="S23" s="116">
        <v>5466410</v>
      </c>
      <c r="T23" s="130">
        <f t="shared" si="9"/>
        <v>49.712119837333823</v>
      </c>
      <c r="U23" s="78"/>
    </row>
    <row r="24" spans="1:21" hidden="1">
      <c r="A24" s="129" t="s">
        <v>205</v>
      </c>
      <c r="B24" s="131"/>
      <c r="C24" s="131"/>
      <c r="F24" s="78">
        <f>Q24/22</f>
        <v>12283319.045454545</v>
      </c>
      <c r="G24" s="90">
        <f t="shared" ref="G24" si="12">F24/F23-1</f>
        <v>-5.0771996480056591E-2</v>
      </c>
      <c r="H24" s="90">
        <f t="shared" ref="H24" si="13">F24/F12-1</f>
        <v>6.0545032190280512E-2</v>
      </c>
      <c r="I24" s="130">
        <f t="shared" si="0"/>
        <v>47.446338856972652</v>
      </c>
      <c r="J24" s="130">
        <f t="shared" si="6"/>
        <v>-0.1810087856243513</v>
      </c>
      <c r="O24" s="89"/>
      <c r="P24" s="129" t="s">
        <v>205</v>
      </c>
      <c r="Q24" s="116">
        <v>270233019</v>
      </c>
      <c r="R24" s="116">
        <v>353304147353</v>
      </c>
      <c r="S24" s="116">
        <v>5695550.5</v>
      </c>
      <c r="T24" s="130">
        <f t="shared" ref="T24" si="14">Q24/S24</f>
        <v>47.446338856972652</v>
      </c>
      <c r="U24" s="78"/>
    </row>
    <row r="25" spans="1:21" s="79" customFormat="1" ht="13.2" hidden="1">
      <c r="A25" s="129" t="s">
        <v>218</v>
      </c>
      <c r="B25" s="131">
        <f>SUM(F23:F25)</f>
        <v>38086993.972772837</v>
      </c>
      <c r="C25" s="131">
        <f>AVERAGE(F23:F25)</f>
        <v>12695664.657590946</v>
      </c>
      <c r="D25" s="90">
        <f>C25/C22-1</f>
        <v>2.883717358000415E-2</v>
      </c>
      <c r="E25" s="286">
        <f>C25/C13-1</f>
        <v>6.9965961725603654E-2</v>
      </c>
      <c r="F25" s="78">
        <f>Q25/19</f>
        <v>12863349.736842105</v>
      </c>
      <c r="G25" s="90">
        <f t="shared" ref="G25" si="15">F25/F24-1</f>
        <v>4.7221006736139604E-2</v>
      </c>
      <c r="H25" s="90">
        <f t="shared" ref="H25" si="16">F25/F13-1</f>
        <v>0.16699658427056252</v>
      </c>
      <c r="I25" s="130">
        <f t="shared" si="0"/>
        <v>45.4438387422285</v>
      </c>
      <c r="J25" s="130">
        <f t="shared" si="6"/>
        <v>-0.2081320476368137</v>
      </c>
      <c r="K25" s="78">
        <f>R23+R24+R25</f>
        <v>1029884424693</v>
      </c>
      <c r="L25" s="90">
        <f>U25/U22-1</f>
        <v>2.8769386248981066E-2</v>
      </c>
      <c r="M25" s="90">
        <f>U25/U13-1</f>
        <v>5.1195374788699954E-2</v>
      </c>
      <c r="N25" s="88">
        <f>AVERAGE(T23:T25)</f>
        <v>47.534099145511654</v>
      </c>
      <c r="O25" s="91">
        <f>N25/N22-1</f>
        <v>-0.14111793882031143</v>
      </c>
      <c r="P25" s="129" t="s">
        <v>220</v>
      </c>
      <c r="Q25" s="116">
        <v>244403645</v>
      </c>
      <c r="R25" s="116">
        <v>324359286888</v>
      </c>
      <c r="S25" s="116">
        <v>5378147</v>
      </c>
      <c r="T25" s="130">
        <f t="shared" ref="T25" si="17">Q25/S25</f>
        <v>45.4438387422285</v>
      </c>
      <c r="U25" s="85">
        <f>Q23+Q24+Q25</f>
        <v>786383493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9590170.3684210535</v>
      </c>
      <c r="G26" s="90">
        <f t="shared" ref="G26" si="18">F26/F25-1</f>
        <v>-0.25445777619233123</v>
      </c>
      <c r="H26" s="90">
        <f t="shared" ref="H26" si="19">F26/F14-1</f>
        <v>-0.14719377439207093</v>
      </c>
      <c r="I26" s="130">
        <f t="shared" si="0"/>
        <v>41.685270474742893</v>
      </c>
      <c r="J26" s="130">
        <f t="shared" si="6"/>
        <v>-0.24036624232087045</v>
      </c>
      <c r="L26" s="90"/>
      <c r="M26" s="90"/>
      <c r="P26" s="129" t="s">
        <v>312</v>
      </c>
      <c r="Q26" s="116">
        <v>182213237</v>
      </c>
      <c r="R26" s="116">
        <v>246112742194</v>
      </c>
      <c r="S26" s="116">
        <v>4371166</v>
      </c>
      <c r="T26" s="130">
        <f t="shared" ref="T26" si="20">Q26/S26</f>
        <v>41.685270474742893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10466491.409090908</v>
      </c>
      <c r="G27" s="90">
        <f t="shared" ref="G27" si="21">F27/F26-1</f>
        <v>9.1377004474857415E-2</v>
      </c>
      <c r="H27" s="90">
        <f t="shared" ref="H27" si="22">F27/F15-1</f>
        <v>7.0111177691585702E-2</v>
      </c>
      <c r="I27" s="130">
        <f t="shared" si="0"/>
        <v>40.932860156241944</v>
      </c>
      <c r="J27" s="130">
        <f t="shared" si="6"/>
        <v>-0.1986010788684146</v>
      </c>
      <c r="L27" s="90"/>
      <c r="M27" s="90"/>
      <c r="P27" s="129" t="s">
        <v>375</v>
      </c>
      <c r="Q27" s="116">
        <v>230262811</v>
      </c>
      <c r="R27" s="116">
        <v>305336070942</v>
      </c>
      <c r="S27" s="116">
        <v>5625378</v>
      </c>
      <c r="T27" s="130">
        <f t="shared" ref="T27" si="23">Q27/S27</f>
        <v>40.932860156241944</v>
      </c>
      <c r="U27" s="78"/>
    </row>
    <row r="28" spans="1:21" s="79" customFormat="1" ht="13.2" hidden="1">
      <c r="A28" s="123" t="s">
        <v>413</v>
      </c>
      <c r="B28" s="131">
        <f>SUM(F26:F28)</f>
        <v>33290947.777511962</v>
      </c>
      <c r="C28" s="131">
        <f>AVERAGE(F26:F28)</f>
        <v>11096982.592503987</v>
      </c>
      <c r="D28" s="90">
        <f>C28/C25-1</f>
        <v>-0.12592346349752404</v>
      </c>
      <c r="E28" s="286">
        <f>C28/C16-1</f>
        <v>5.0400777527527696E-2</v>
      </c>
      <c r="F28" s="78">
        <f>Q28/19</f>
        <v>13234286</v>
      </c>
      <c r="G28" s="90">
        <f t="shared" ref="G28" si="24">F28/F27-1</f>
        <v>0.26444340158776236</v>
      </c>
      <c r="H28" s="90">
        <f t="shared" ref="H28" si="25">F28/F16-1</f>
        <v>0.24063033557190194</v>
      </c>
      <c r="I28" s="130">
        <f t="shared" si="0"/>
        <v>40.174574105210134</v>
      </c>
      <c r="J28" s="130">
        <f t="shared" si="6"/>
        <v>-0.22359867416850154</v>
      </c>
      <c r="K28" s="78">
        <f>R26+R27+R28</f>
        <v>878719229351</v>
      </c>
      <c r="L28" s="90">
        <f>U28/U25-1</f>
        <v>-0.15572047492100649</v>
      </c>
      <c r="M28" s="90">
        <f>U28/U16-1</f>
        <v>-1.6065004553041495E-2</v>
      </c>
      <c r="N28" s="88">
        <f>AVERAGE(T26:T28)</f>
        <v>40.930901578731657</v>
      </c>
      <c r="O28" s="91">
        <f>N28/N25-1</f>
        <v>-0.13891496179545237</v>
      </c>
      <c r="P28" s="129" t="s">
        <v>413</v>
      </c>
      <c r="Q28" s="116">
        <v>251451434</v>
      </c>
      <c r="R28" s="116">
        <v>327270416215</v>
      </c>
      <c r="S28" s="116">
        <v>6258969.5</v>
      </c>
      <c r="T28" s="130">
        <f t="shared" ref="T28" si="26">Q28/S28</f>
        <v>40.174574105210134</v>
      </c>
      <c r="U28" s="85">
        <f>Q26+Q27+Q28</f>
        <v>663927482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10046289.454545455</v>
      </c>
      <c r="G29" s="190">
        <f t="shared" ref="G29" si="27">F29/F28-1</f>
        <v>-0.24088919836359479</v>
      </c>
      <c r="H29" s="190">
        <f t="shared" ref="H29" si="28">F29/F17-1</f>
        <v>-2.5865539899321277E-2</v>
      </c>
      <c r="I29" s="130">
        <f t="shared" si="0"/>
        <v>38.057101570956135</v>
      </c>
      <c r="J29" s="130">
        <f t="shared" si="6"/>
        <v>-0.28708577414425906</v>
      </c>
      <c r="K29" s="136"/>
      <c r="L29" s="190"/>
      <c r="M29" s="190"/>
      <c r="N29" s="191"/>
      <c r="O29" s="192"/>
      <c r="P29" s="129" t="s">
        <v>427</v>
      </c>
      <c r="Q29" s="116">
        <v>221018368</v>
      </c>
      <c r="R29" s="116">
        <v>290665312155</v>
      </c>
      <c r="S29" s="116">
        <v>5807546</v>
      </c>
      <c r="T29" s="130">
        <f t="shared" ref="T29" si="29">Q29/S29</f>
        <v>38.057101570956135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10896814.157894736</v>
      </c>
      <c r="G30" s="190">
        <f t="shared" ref="G30" si="30">F30/F29-1</f>
        <v>8.4660581122760759E-2</v>
      </c>
      <c r="H30" s="190">
        <f t="shared" ref="H30" si="31">F30/F18-1</f>
        <v>-2.4944142234385125E-2</v>
      </c>
      <c r="I30" s="130">
        <f t="shared" si="0"/>
        <v>36.66939403068767</v>
      </c>
      <c r="J30" s="130">
        <f t="shared" si="6"/>
        <v>-0.36040454094892904</v>
      </c>
      <c r="K30" s="136"/>
      <c r="L30" s="190"/>
      <c r="M30" s="190"/>
      <c r="N30" s="191"/>
      <c r="O30" s="192"/>
      <c r="P30" s="129" t="s">
        <v>466</v>
      </c>
      <c r="Q30" s="116">
        <v>207039469</v>
      </c>
      <c r="R30" s="116">
        <v>275862046056</v>
      </c>
      <c r="S30" s="116">
        <v>5646111</v>
      </c>
      <c r="T30" s="130">
        <f t="shared" ref="T30" si="32">Q30/S30</f>
        <v>36.66939403068767</v>
      </c>
      <c r="U30" s="85"/>
    </row>
    <row r="31" spans="1:21" s="79" customFormat="1" ht="13.2" hidden="1">
      <c r="A31" s="129" t="s">
        <v>505</v>
      </c>
      <c r="B31" s="188">
        <f>SUM(F29:F31)</f>
        <v>27747010.462440193</v>
      </c>
      <c r="C31" s="188">
        <f>AVERAGE(F29:F31)</f>
        <v>9249003.4874800649</v>
      </c>
      <c r="D31" s="190">
        <f>C31/C28-1</f>
        <v>-0.16652987328935998</v>
      </c>
      <c r="E31" s="287">
        <f>C31/C19-1</f>
        <v>-0.17980829612135341</v>
      </c>
      <c r="F31" s="136">
        <f>Q31/20</f>
        <v>6803906.8499999996</v>
      </c>
      <c r="G31" s="190">
        <f t="shared" ref="G31" si="33">F31/F30-1</f>
        <v>-0.37560586503436211</v>
      </c>
      <c r="H31" s="190">
        <f t="shared" ref="H31" si="34">F31/F19-1</f>
        <v>-0.44868743434915836</v>
      </c>
      <c r="I31" s="130">
        <f t="shared" si="0"/>
        <v>35.442497355059608</v>
      </c>
      <c r="J31" s="130">
        <f t="shared" si="6"/>
        <v>-0.36085718293423463</v>
      </c>
      <c r="K31" s="136">
        <f>R29+R30+R31</f>
        <v>747215484793</v>
      </c>
      <c r="L31" s="190">
        <f>U31/U28-1</f>
        <v>-0.15030483103273617</v>
      </c>
      <c r="M31" s="190">
        <f>U31/U19-1</f>
        <v>-0.19556329643379389</v>
      </c>
      <c r="N31" s="191">
        <f>AVERAGE(T29:T31)</f>
        <v>36.722997652234476</v>
      </c>
      <c r="O31" s="192">
        <f>N31/N28-1</f>
        <v>-0.10280506326993966</v>
      </c>
      <c r="P31" s="129" t="s">
        <v>510</v>
      </c>
      <c r="Q31" s="116">
        <v>136078137</v>
      </c>
      <c r="R31" s="116">
        <v>180688126582</v>
      </c>
      <c r="S31" s="116">
        <v>3839406</v>
      </c>
      <c r="T31" s="130">
        <f t="shared" ref="T31" si="35">Q31/S31</f>
        <v>35.442497355059608</v>
      </c>
      <c r="U31" s="85">
        <f>Q29+Q30+Q31</f>
        <v>564135974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5608605.1904761903</v>
      </c>
      <c r="G32" s="190">
        <f t="shared" ref="G32" si="36">F32/F31-1</f>
        <v>-0.17567872192780087</v>
      </c>
      <c r="H32" s="190">
        <f t="shared" ref="H32" si="37">F32/F20-1</f>
        <v>-0.56910623888612533</v>
      </c>
      <c r="I32" s="130">
        <f t="shared" si="0"/>
        <v>33.581225704508661</v>
      </c>
      <c r="J32" s="130">
        <f t="shared" si="6"/>
        <v>-0.39843275609491624</v>
      </c>
      <c r="K32" s="136"/>
      <c r="L32" s="190"/>
      <c r="M32" s="190"/>
      <c r="N32" s="191"/>
      <c r="O32" s="192"/>
      <c r="P32" s="129" t="s">
        <v>566</v>
      </c>
      <c r="Q32" s="116">
        <v>117780709</v>
      </c>
      <c r="R32" s="116">
        <v>159918400709</v>
      </c>
      <c r="S32" s="116">
        <v>3507338</v>
      </c>
      <c r="T32" s="130">
        <f t="shared" ref="T32" si="38">Q32/S32</f>
        <v>33.581225704508661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6482088.3809523806</v>
      </c>
      <c r="G33" s="190">
        <f t="shared" ref="G33" si="39">F33/F32-1</f>
        <v>0.15573982493177208</v>
      </c>
      <c r="H33" s="190">
        <f t="shared" ref="H33" si="40">F33/F21-1</f>
        <v>-0.33928789960306804</v>
      </c>
      <c r="I33" s="130">
        <f t="shared" si="0"/>
        <v>32.163536981526221</v>
      </c>
      <c r="J33" s="130">
        <f t="shared" si="6"/>
        <v>-0.39986488857524072</v>
      </c>
      <c r="K33" s="136"/>
      <c r="L33" s="190"/>
      <c r="M33" s="190"/>
      <c r="N33" s="191"/>
      <c r="O33" s="192"/>
      <c r="P33" s="129" t="s">
        <v>607</v>
      </c>
      <c r="Q33" s="116">
        <v>136123856</v>
      </c>
      <c r="R33" s="116">
        <v>186155830356</v>
      </c>
      <c r="S33" s="116">
        <v>4232241.5</v>
      </c>
      <c r="T33" s="130">
        <f t="shared" ref="T33" si="41">Q33/S33</f>
        <v>32.163536981526221</v>
      </c>
      <c r="U33" s="85"/>
    </row>
    <row r="34" spans="1:21" s="79" customFormat="1" ht="13.2" hidden="1">
      <c r="A34" s="129" t="s">
        <v>652</v>
      </c>
      <c r="B34" s="188">
        <f>SUM(F32:F34)</f>
        <v>21602253.203007519</v>
      </c>
      <c r="C34" s="188">
        <f>AVERAGE(F32:F34)</f>
        <v>7200751.0676691728</v>
      </c>
      <c r="D34" s="190">
        <f>C34/C31-1</f>
        <v>-0.22145655178782386</v>
      </c>
      <c r="E34" s="287">
        <f>C34/C22-1</f>
        <v>-0.41646218800491519</v>
      </c>
      <c r="F34" s="136">
        <f>Q34/19</f>
        <v>9511559.6315789465</v>
      </c>
      <c r="G34" s="190">
        <f t="shared" ref="G34" si="42">F34/F33-1</f>
        <v>0.46736037409311915</v>
      </c>
      <c r="H34" s="190">
        <f t="shared" ref="H34" si="43">F34/F22-1</f>
        <v>-0.32981709149565086</v>
      </c>
      <c r="I34" s="130">
        <f t="shared" si="0"/>
        <v>30.019201896568923</v>
      </c>
      <c r="J34" s="130">
        <f t="shared" si="6"/>
        <v>-0.46977279339242883</v>
      </c>
      <c r="K34" s="136">
        <f>R32+R33+R34</f>
        <v>594402405262</v>
      </c>
      <c r="L34" s="190">
        <f>U34/U31-1</f>
        <v>-0.2295754604722301</v>
      </c>
      <c r="M34" s="190">
        <f>U34/U22-1</f>
        <v>-0.43141218832092698</v>
      </c>
      <c r="N34" s="191">
        <f>AVERAGE(T32:T34)</f>
        <v>31.921321527534598</v>
      </c>
      <c r="O34" s="192">
        <f>N34/N31-1</f>
        <v>-0.13075392619555692</v>
      </c>
      <c r="P34" s="129" t="s">
        <v>652</v>
      </c>
      <c r="Q34" s="116">
        <v>180719633</v>
      </c>
      <c r="R34" s="116">
        <v>248328174197</v>
      </c>
      <c r="S34" s="116">
        <v>6020134.5</v>
      </c>
      <c r="T34" s="130">
        <f t="shared" ref="T34" si="44">Q34/S34</f>
        <v>30.019201896568923</v>
      </c>
      <c r="U34" s="85">
        <f>Q32+Q33+Q34</f>
        <v>434624198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4247071.0434782607</v>
      </c>
      <c r="G35" s="190">
        <f t="shared" ref="G35" si="45">F35/F34-1</f>
        <v>-0.55348321327054184</v>
      </c>
      <c r="H35" s="190">
        <f t="shared" ref="H35" si="46">F35/F23-1</f>
        <v>-0.67179564802559855</v>
      </c>
      <c r="I35" s="130">
        <f t="shared" si="0"/>
        <v>32.91224473650766</v>
      </c>
      <c r="J35" s="130">
        <f t="shared" si="6"/>
        <v>-0.33794324514420426</v>
      </c>
      <c r="K35" s="136"/>
      <c r="L35" s="190"/>
      <c r="M35" s="190"/>
      <c r="N35" s="191"/>
      <c r="O35" s="192"/>
      <c r="P35" s="129" t="s">
        <v>660</v>
      </c>
      <c r="Q35" s="116">
        <v>97682634</v>
      </c>
      <c r="R35" s="116">
        <v>135191464240</v>
      </c>
      <c r="S35" s="116">
        <v>2967972.4</v>
      </c>
      <c r="T35" s="130">
        <f t="shared" ref="T35" si="47">Q35/S35</f>
        <v>32.91224473650766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6305912.5238095243</v>
      </c>
      <c r="G36" s="190">
        <f t="shared" ref="G36" si="48">F36/F35-1</f>
        <v>0.48476737479887233</v>
      </c>
      <c r="H36" s="190">
        <f t="shared" ref="H36" si="49">F36/F24-1</f>
        <v>-0.48662796264800812</v>
      </c>
      <c r="I36" s="130">
        <f t="shared" si="0"/>
        <v>31.287342716169615</v>
      </c>
      <c r="J36" s="130">
        <f t="shared" si="6"/>
        <v>-0.34057414186402146</v>
      </c>
      <c r="K36" s="136"/>
      <c r="L36" s="190"/>
      <c r="M36" s="190"/>
      <c r="N36" s="191"/>
      <c r="O36" s="192"/>
      <c r="P36" s="129" t="s">
        <v>666</v>
      </c>
      <c r="Q36" s="116">
        <v>132424163</v>
      </c>
      <c r="R36" s="116">
        <v>180672231590</v>
      </c>
      <c r="S36" s="116">
        <v>4232515.5</v>
      </c>
      <c r="T36" s="130">
        <f t="shared" ref="T36" si="50">Q36/S36</f>
        <v>31.287342716169615</v>
      </c>
      <c r="U36" s="85"/>
    </row>
    <row r="37" spans="1:21" s="79" customFormat="1" ht="13.2" hidden="1">
      <c r="A37" s="129" t="s">
        <v>702</v>
      </c>
      <c r="B37" s="188">
        <f>SUM(F35:F37)</f>
        <v>17672334.956176672</v>
      </c>
      <c r="C37" s="188">
        <f>AVERAGE(F35:F37)</f>
        <v>5890778.3187255571</v>
      </c>
      <c r="D37" s="190">
        <f>C37/C34-1</f>
        <v>-0.18192168242355911</v>
      </c>
      <c r="E37" s="287">
        <f>C37/C25-1</f>
        <v>-0.53600079416059843</v>
      </c>
      <c r="F37" s="136">
        <f>Q37/18</f>
        <v>7119351.388888889</v>
      </c>
      <c r="G37" s="190">
        <f t="shared" ref="G37" si="51">F37/F36-1</f>
        <v>0.12899621775722792</v>
      </c>
      <c r="H37" s="190">
        <f t="shared" ref="H37" si="52">F37/F25-1</f>
        <v>-0.44653985668303398</v>
      </c>
      <c r="I37" s="130">
        <f t="shared" si="0"/>
        <v>25.069082707046384</v>
      </c>
      <c r="J37" s="130">
        <f t="shared" si="6"/>
        <v>-0.44835024062896689</v>
      </c>
      <c r="K37" s="136">
        <f>R35+R36+R37</f>
        <v>487070381876</v>
      </c>
      <c r="L37" s="190">
        <f>U37/U34-1</f>
        <v>-0.1757128948443869</v>
      </c>
      <c r="M37" s="190">
        <f>U37/U25-1</f>
        <v>-0.54442695556428733</v>
      </c>
      <c r="N37" s="191">
        <f>AVERAGE(T35:T37)</f>
        <v>29.75622338657455</v>
      </c>
      <c r="O37" s="192">
        <f>N37/N34-1</f>
        <v>-6.7826081044059627E-2</v>
      </c>
      <c r="P37" s="129" t="s">
        <v>702</v>
      </c>
      <c r="Q37" s="116">
        <v>128148325</v>
      </c>
      <c r="R37" s="116">
        <v>171206686046</v>
      </c>
      <c r="S37" s="116">
        <v>5111807.5</v>
      </c>
      <c r="T37" s="130">
        <f t="shared" ref="T37" si="53">Q37/S37</f>
        <v>25.069082707046384</v>
      </c>
      <c r="U37" s="85">
        <f>Q35+Q36+Q37</f>
        <v>358255122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4441941.7</v>
      </c>
      <c r="G38" s="190">
        <f t="shared" ref="G38" si="54">F38/F37-1</f>
        <v>-0.37607494596593438</v>
      </c>
      <c r="H38" s="190">
        <f t="shared" ref="H38" si="55">F38/F26-1</f>
        <v>-0.53682348390528845</v>
      </c>
      <c r="I38" s="130">
        <f t="shared" si="0"/>
        <v>30.113480908500797</v>
      </c>
      <c r="J38" s="130">
        <f t="shared" si="6"/>
        <v>-0.27759900402357818</v>
      </c>
      <c r="K38" s="136"/>
      <c r="L38" s="190"/>
      <c r="M38" s="190"/>
      <c r="N38" s="191"/>
      <c r="O38" s="192"/>
      <c r="P38" s="129" t="s">
        <v>728</v>
      </c>
      <c r="Q38" s="116">
        <v>88838834</v>
      </c>
      <c r="R38" s="116">
        <v>120044251857</v>
      </c>
      <c r="S38" s="116">
        <v>2950135</v>
      </c>
      <c r="T38" s="130">
        <f t="shared" ref="T38" si="56">Q38/S38</f>
        <v>30.113480908500797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5423812.666666667</v>
      </c>
      <c r="G39" s="190">
        <f t="shared" ref="G39" si="57">F39/F38-1</f>
        <v>0.22104544205671739</v>
      </c>
      <c r="H39" s="190">
        <f t="shared" ref="H39" si="58">F39/F27-1</f>
        <v>-0.48179266053228764</v>
      </c>
      <c r="I39" s="130">
        <f t="shared" si="0"/>
        <v>27.732719074657826</v>
      </c>
      <c r="J39" s="130">
        <f t="shared" si="6"/>
        <v>-0.32248274445515868</v>
      </c>
      <c r="K39" s="136"/>
      <c r="L39" s="190"/>
      <c r="M39" s="190"/>
      <c r="N39" s="191"/>
      <c r="O39" s="192"/>
      <c r="P39" s="129" t="s">
        <v>762</v>
      </c>
      <c r="Q39" s="116">
        <v>113900066</v>
      </c>
      <c r="R39" s="116">
        <v>158429837950</v>
      </c>
      <c r="S39" s="116">
        <v>4107064.5</v>
      </c>
      <c r="T39" s="130">
        <f t="shared" ref="T39" si="59">Q39/S39</f>
        <v>27.732719074657826</v>
      </c>
      <c r="U39" s="85"/>
    </row>
    <row r="40" spans="1:21" s="79" customFormat="1" ht="13.2" hidden="1">
      <c r="A40" s="129" t="s">
        <v>778</v>
      </c>
      <c r="B40" s="188">
        <f>SUM(F38:F40)</f>
        <v>14263162.176190477</v>
      </c>
      <c r="C40" s="188">
        <f>AVERAGE(F38:F40)</f>
        <v>4754387.392063492</v>
      </c>
      <c r="D40" s="190">
        <f>C40/C37-1</f>
        <v>-0.19291014958918329</v>
      </c>
      <c r="E40" s="287">
        <f>C40/C28-1</f>
        <v>-0.57156034512705456</v>
      </c>
      <c r="F40" s="136">
        <f>Q40/21</f>
        <v>4397407.8095238097</v>
      </c>
      <c r="G40" s="190">
        <f t="shared" ref="G40" si="60">F40/F39-1</f>
        <v>-0.18924046979920106</v>
      </c>
      <c r="H40" s="190">
        <f t="shared" ref="H40" si="61">F40/F28-1</f>
        <v>-0.66772610101339736</v>
      </c>
      <c r="I40" s="130">
        <f t="shared" si="0"/>
        <v>29.312855566385064</v>
      </c>
      <c r="J40" s="130">
        <f t="shared" si="6"/>
        <v>-0.27036300398307</v>
      </c>
      <c r="K40" s="136">
        <f>R38+R39+R40</f>
        <v>410385260892</v>
      </c>
      <c r="L40" s="190">
        <f>U40/U37-1</f>
        <v>-0.17632869461109901</v>
      </c>
      <c r="M40" s="190">
        <f>U40/U28-1</f>
        <v>-0.5555471463372863</v>
      </c>
      <c r="N40" s="191">
        <f>AVERAGE(T38:T40)</f>
        <v>29.053018516514566</v>
      </c>
      <c r="O40" s="192">
        <f>N40/N37-1</f>
        <v>-2.3632194883214108E-2</v>
      </c>
      <c r="P40" s="129" t="s">
        <v>778</v>
      </c>
      <c r="Q40" s="116">
        <v>92345564</v>
      </c>
      <c r="R40" s="116">
        <v>131911171085</v>
      </c>
      <c r="S40" s="116">
        <v>3150343.5</v>
      </c>
      <c r="T40" s="130">
        <f t="shared" ref="T40" si="62">Q40/S40</f>
        <v>29.312855566385064</v>
      </c>
      <c r="U40" s="85">
        <f>Q38+Q39+Q40</f>
        <v>295084464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5815369.611111111</v>
      </c>
      <c r="G41" s="190">
        <f t="shared" ref="G41" si="63">F41/F40-1</f>
        <v>0.32245401450288758</v>
      </c>
      <c r="H41" s="190">
        <f t="shared" ref="H41" si="64">F41/F29-1</f>
        <v>-0.4211425385041101</v>
      </c>
      <c r="I41" s="130">
        <f t="shared" si="0"/>
        <v>27.865392381387942</v>
      </c>
      <c r="J41" s="130">
        <f t="shared" si="6"/>
        <v>-0.26780045691514653</v>
      </c>
      <c r="K41" s="193"/>
      <c r="L41" s="190"/>
      <c r="M41" s="190"/>
      <c r="N41" s="193"/>
      <c r="O41" s="193"/>
      <c r="P41" s="129" t="s">
        <v>822</v>
      </c>
      <c r="Q41" s="116">
        <v>104676653</v>
      </c>
      <c r="R41" s="116">
        <v>153030689829</v>
      </c>
      <c r="S41" s="116">
        <v>3756511</v>
      </c>
      <c r="T41" s="130">
        <f t="shared" ref="T41" si="65">Q41/S41</f>
        <v>27.865392381387942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6023641.2000000002</v>
      </c>
      <c r="G42" s="190">
        <f t="shared" ref="G42" si="66">F42/F41-1</f>
        <v>3.5813989963932036E-2</v>
      </c>
      <c r="H42" s="190">
        <f t="shared" ref="H42" si="67">F42/F30-1</f>
        <v>-0.44721079824639609</v>
      </c>
      <c r="I42" s="130">
        <f t="shared" si="0"/>
        <v>26.478562142499985</v>
      </c>
      <c r="J42" s="130">
        <f t="shared" si="6"/>
        <v>-0.27791110700272936</v>
      </c>
      <c r="K42" s="193"/>
      <c r="L42" s="190"/>
      <c r="M42" s="190"/>
      <c r="N42" s="193"/>
      <c r="O42" s="193"/>
      <c r="P42" s="129" t="s">
        <v>826</v>
      </c>
      <c r="Q42" s="116">
        <v>120472824</v>
      </c>
      <c r="R42" s="116">
        <v>174622757884</v>
      </c>
      <c r="S42" s="116">
        <v>4549825</v>
      </c>
      <c r="T42" s="130">
        <f t="shared" ref="T42" si="68">Q42/S42</f>
        <v>26.478562142499985</v>
      </c>
      <c r="U42" s="78"/>
    </row>
    <row r="43" spans="1:21" s="79" customFormat="1" ht="13.2">
      <c r="A43" s="129" t="s">
        <v>835</v>
      </c>
      <c r="B43" s="188">
        <f>SUM(F41:F43)</f>
        <v>19753256.161111109</v>
      </c>
      <c r="C43" s="188">
        <f>AVERAGE(F41:F43)</f>
        <v>6584418.72037037</v>
      </c>
      <c r="D43" s="190">
        <f>C43/C40-1</f>
        <v>0.38491422288426747</v>
      </c>
      <c r="E43" s="287">
        <f>C43/C31-1</f>
        <v>-0.28809425477205364</v>
      </c>
      <c r="F43" s="136">
        <f>Q43/20</f>
        <v>7914245.3499999996</v>
      </c>
      <c r="G43" s="190">
        <f t="shared" ref="G43" si="69">F43/F42-1</f>
        <v>0.31386400471528741</v>
      </c>
      <c r="H43" s="190">
        <f t="shared" ref="H43" si="70">F43/F31-1</f>
        <v>0.16319131411976939</v>
      </c>
      <c r="I43" s="130">
        <f t="shared" si="0"/>
        <v>26.693809422261708</v>
      </c>
      <c r="J43" s="130">
        <f t="shared" si="6"/>
        <v>-0.24684174608674914</v>
      </c>
      <c r="K43" s="136">
        <f>R41+R42+R43</f>
        <v>557288851888</v>
      </c>
      <c r="L43" s="190">
        <f>U43/U40-1</f>
        <v>0.29940552885224081</v>
      </c>
      <c r="M43" s="190">
        <f>K43/K31-1</f>
        <v>-0.25417919833073999</v>
      </c>
      <c r="N43" s="191">
        <f>AVERAGE(T41:T43)</f>
        <v>27.01258798204988</v>
      </c>
      <c r="O43" s="192">
        <f>N43/N40-1</f>
        <v>-7.023127504995208E-2</v>
      </c>
      <c r="P43" s="129" t="s">
        <v>835</v>
      </c>
      <c r="Q43" s="116">
        <v>158284907</v>
      </c>
      <c r="R43" s="116">
        <v>229635404175</v>
      </c>
      <c r="S43" s="116">
        <v>5929648.5</v>
      </c>
      <c r="T43" s="130">
        <f t="shared" ref="T43" si="71">Q43/S43</f>
        <v>26.693809422261708</v>
      </c>
      <c r="U43" s="85">
        <f>Q41+Q42+Q43</f>
        <v>383434384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4201388.5</v>
      </c>
      <c r="G44" s="190">
        <f t="shared" ref="G44" si="72">F44/F43-1</f>
        <v>-0.46913592968153306</v>
      </c>
      <c r="H44" s="190">
        <f t="shared" ref="H44" si="73">F44/F32-1</f>
        <v>-0.25090314662649893</v>
      </c>
      <c r="I44" s="130">
        <f t="shared" si="0"/>
        <v>25.771372226136528</v>
      </c>
      <c r="J44" s="130">
        <f t="shared" si="6"/>
        <v>-0.23256606376114408</v>
      </c>
      <c r="K44" s="136"/>
      <c r="L44" s="190"/>
      <c r="M44" s="190"/>
      <c r="N44" s="191"/>
      <c r="O44" s="192"/>
      <c r="P44" s="129" t="s">
        <v>843</v>
      </c>
      <c r="Q44" s="116">
        <v>92430547</v>
      </c>
      <c r="R44" s="116">
        <v>134174673617</v>
      </c>
      <c r="S44" s="116">
        <v>3586559</v>
      </c>
      <c r="T44" s="130">
        <f t="shared" ref="T44" si="74">Q44/S44</f>
        <v>25.771372226136528</v>
      </c>
      <c r="U44" s="85"/>
    </row>
    <row r="45" spans="1:21" s="79" customFormat="1" ht="13.2">
      <c r="A45" s="129" t="s">
        <v>872</v>
      </c>
      <c r="B45" s="188"/>
      <c r="C45" s="188"/>
      <c r="D45" s="190"/>
      <c r="E45" s="287"/>
      <c r="F45" s="136">
        <f>Q45/20</f>
        <v>6473035.5</v>
      </c>
      <c r="G45" s="190">
        <f t="shared" ref="G45" si="75">F45/F44-1</f>
        <v>0.54068958393159794</v>
      </c>
      <c r="H45" s="190">
        <f t="shared" ref="H45" si="76">F45/F33-1</f>
        <v>-1.3965994322111541E-3</v>
      </c>
      <c r="I45" s="130">
        <f t="shared" si="0"/>
        <v>26.259392737125062</v>
      </c>
      <c r="J45" s="130">
        <f t="shared" si="6"/>
        <v>-0.18356638599145125</v>
      </c>
      <c r="K45" s="136"/>
      <c r="L45" s="190"/>
      <c r="M45" s="190"/>
      <c r="N45" s="191"/>
      <c r="O45" s="192"/>
      <c r="P45" s="129" t="s">
        <v>872</v>
      </c>
      <c r="Q45" s="116">
        <v>129460710</v>
      </c>
      <c r="R45" s="116">
        <v>182273105704</v>
      </c>
      <c r="S45" s="116">
        <v>4930072.5</v>
      </c>
      <c r="T45" s="130">
        <f t="shared" ref="T45" si="77">Q45/S45</f>
        <v>26.259392737125062</v>
      </c>
      <c r="U45" s="85"/>
    </row>
    <row r="46" spans="1:21" s="79" customFormat="1" ht="13.2">
      <c r="A46" s="129" t="s">
        <v>888</v>
      </c>
      <c r="B46" s="188">
        <f>SUM(F44:F46)</f>
        <v>16576157.789473685</v>
      </c>
      <c r="C46" s="188">
        <f>AVERAGE(F44:F46)</f>
        <v>5525385.9298245618</v>
      </c>
      <c r="D46" s="190">
        <f>C46/C43-1</f>
        <v>-0.16083922294757069</v>
      </c>
      <c r="E46" s="287">
        <f>C46/C34-1</f>
        <v>-0.23266533200500061</v>
      </c>
      <c r="F46" s="136">
        <f>Q46/19</f>
        <v>5901733.7894736845</v>
      </c>
      <c r="G46" s="190">
        <f t="shared" ref="G46" si="78">F46/F45-1</f>
        <v>-8.8258701891302027E-2</v>
      </c>
      <c r="H46" s="190">
        <f t="shared" ref="H46" si="79">F46/F34-1</f>
        <v>-0.37951986655484182</v>
      </c>
      <c r="I46" s="130">
        <f t="shared" si="0"/>
        <v>26.317894360823814</v>
      </c>
      <c r="J46" s="130">
        <f t="shared" si="6"/>
        <v>-0.12329799934381847</v>
      </c>
      <c r="K46" s="136">
        <f>R44+R45+R46</f>
        <v>469984111782</v>
      </c>
      <c r="L46" s="190">
        <f>U46/U43-1</f>
        <v>-0.12886216537116812</v>
      </c>
      <c r="M46" s="190">
        <f>K46/K34-1</f>
        <v>-0.20931660501131222</v>
      </c>
      <c r="N46" s="191">
        <f>AVERAGE(T44:T46)</f>
        <v>26.116219774695136</v>
      </c>
      <c r="O46" s="192">
        <f>N46/N43-1</f>
        <v>-3.3183351700710406E-2</v>
      </c>
      <c r="P46" s="129" t="s">
        <v>951</v>
      </c>
      <c r="Q46" s="116">
        <v>112132942</v>
      </c>
      <c r="R46" s="116">
        <v>153536332461</v>
      </c>
      <c r="S46" s="116">
        <v>4260711</v>
      </c>
      <c r="T46" s="130">
        <f t="shared" ref="T46" si="80">Q46/S46</f>
        <v>26.317894360823814</v>
      </c>
      <c r="U46" s="85">
        <f t="shared" ref="U46:U51" si="81">Q44+Q45+Q46</f>
        <v>334024199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3076428.3043478262</v>
      </c>
      <c r="G47" s="190">
        <f t="shared" ref="G47" si="82">F47/F46-1</f>
        <v>-0.47872465717872015</v>
      </c>
      <c r="H47" s="190">
        <f t="shared" ref="H47" si="83">F47/F35-1</f>
        <v>-0.2756353089332132</v>
      </c>
      <c r="I47" s="130">
        <f t="shared" si="0"/>
        <v>26.338237310184262</v>
      </c>
      <c r="J47" s="130">
        <f t="shared" si="6"/>
        <v>-0.19974351427422476</v>
      </c>
      <c r="K47" s="136"/>
      <c r="L47" s="190"/>
      <c r="M47" s="190"/>
      <c r="N47" s="191"/>
      <c r="O47" s="192"/>
      <c r="P47" s="129" t="s">
        <v>1050</v>
      </c>
      <c r="Q47" s="116">
        <v>70757851</v>
      </c>
      <c r="R47" s="116">
        <v>96939291360</v>
      </c>
      <c r="S47" s="116">
        <v>2686506.7</v>
      </c>
      <c r="T47" s="130">
        <f t="shared" ref="T47" si="84">Q47/S47</f>
        <v>26.338237310184262</v>
      </c>
      <c r="U47" s="85">
        <f t="shared" si="81"/>
        <v>312351503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3956355.75</v>
      </c>
      <c r="G48" s="190">
        <f t="shared" ref="G48" si="85">F48/F47-1</f>
        <v>0.28602241255178873</v>
      </c>
      <c r="H48" s="190">
        <f t="shared" ref="H48" si="86">F48/F36-1</f>
        <v>-0.37259584000542267</v>
      </c>
      <c r="I48" s="130">
        <f t="shared" si="0"/>
        <v>26.755996902642899</v>
      </c>
      <c r="J48" s="130">
        <f t="shared" si="6"/>
        <v>-0.14482999897542814</v>
      </c>
      <c r="K48" s="136"/>
      <c r="L48" s="190"/>
      <c r="M48" s="190"/>
      <c r="N48" s="191"/>
      <c r="O48" s="192"/>
      <c r="P48" s="129" t="s">
        <v>1120</v>
      </c>
      <c r="Q48" s="116">
        <v>79127115</v>
      </c>
      <c r="R48" s="116">
        <v>109780966485</v>
      </c>
      <c r="S48" s="116">
        <v>2957360</v>
      </c>
      <c r="T48" s="130">
        <f t="shared" ref="T48" si="87">Q48/S48</f>
        <v>26.755996902642899</v>
      </c>
      <c r="U48" s="85">
        <f t="shared" si="81"/>
        <v>262017908</v>
      </c>
    </row>
    <row r="49" spans="1:26" ht="13.2">
      <c r="A49" s="129" t="s">
        <v>1158</v>
      </c>
      <c r="B49" s="188">
        <f>SUM(F47:F49)</f>
        <v>11717920.645256918</v>
      </c>
      <c r="C49" s="188">
        <f>AVERAGE(F47:F49)</f>
        <v>3905973.5484189726</v>
      </c>
      <c r="D49" s="190">
        <f>C49/C46-1</f>
        <v>-0.29308584087573541</v>
      </c>
      <c r="E49" s="287">
        <f>C49/C37-1</f>
        <v>-0.33693421529669576</v>
      </c>
      <c r="F49" s="136">
        <f>Q49/22</f>
        <v>4685136.5909090908</v>
      </c>
      <c r="G49" s="190">
        <f t="shared" ref="G49" si="88">F49/F48-1</f>
        <v>0.18420508340512365</v>
      </c>
      <c r="H49" s="190">
        <f t="shared" ref="H49" si="89">F49/F37-1</f>
        <v>-0.34191524831585873</v>
      </c>
      <c r="I49" s="130">
        <f t="shared" si="0"/>
        <v>26.499641351295764</v>
      </c>
      <c r="J49" s="130">
        <f t="shared" si="6"/>
        <v>5.7064658526467804E-2</v>
      </c>
      <c r="K49" s="136">
        <f>R47+R48+R49</f>
        <v>349922849575</v>
      </c>
      <c r="L49" s="190">
        <f>U49/U46-1</f>
        <v>-0.24269567367482858</v>
      </c>
      <c r="M49" s="190">
        <f>K49/K37-1</f>
        <v>-0.28157641565632185</v>
      </c>
      <c r="N49" s="191">
        <f>AVERAGE(T47:T49)</f>
        <v>26.531291854707643</v>
      </c>
      <c r="O49" s="192">
        <f>N49/N46-1</f>
        <v>1.5893267999478322E-2</v>
      </c>
      <c r="P49" s="129" t="s">
        <v>1158</v>
      </c>
      <c r="Q49" s="116">
        <v>103073005</v>
      </c>
      <c r="R49" s="116">
        <v>143202591730</v>
      </c>
      <c r="S49" s="116">
        <v>3889600</v>
      </c>
      <c r="T49" s="130">
        <f t="shared" ref="T49" si="90">Q49/S49</f>
        <v>26.499641351295764</v>
      </c>
      <c r="U49" s="85">
        <f t="shared" si="81"/>
        <v>252957971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6210918.388888889</v>
      </c>
      <c r="G50" s="190">
        <f t="shared" ref="G50" si="91">F50/F49-1</f>
        <v>0.32566431487619441</v>
      </c>
      <c r="H50" s="190">
        <f t="shared" ref="H50" si="92">F50/F38-1</f>
        <v>0.398244013173088</v>
      </c>
      <c r="I50" s="130">
        <f t="shared" ref="I50" si="93">T50</f>
        <v>26.379064047429047</v>
      </c>
      <c r="J50" s="130">
        <f t="shared" ref="J50" si="94">I50/I38-1</f>
        <v>-0.12401146424814524</v>
      </c>
      <c r="K50" s="136"/>
      <c r="L50" s="190"/>
      <c r="M50" s="190"/>
      <c r="N50" s="191"/>
      <c r="O50" s="192"/>
      <c r="P50" s="129" t="s">
        <v>1291</v>
      </c>
      <c r="Q50" s="116">
        <v>111796531</v>
      </c>
      <c r="R50" s="116">
        <v>158122633300</v>
      </c>
      <c r="S50" s="116">
        <v>4238078</v>
      </c>
      <c r="T50" s="130">
        <f t="shared" ref="T50" si="95">Q50/S50</f>
        <v>26.379064047429047</v>
      </c>
      <c r="U50" s="85">
        <f t="shared" si="81"/>
        <v>293996651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6223500.5</v>
      </c>
      <c r="G51" s="190">
        <f t="shared" ref="G51:G52" si="96">F51/F50-1</f>
        <v>2.0258052550843342E-3</v>
      </c>
      <c r="H51" s="190">
        <f t="shared" ref="H51:H52" si="97">F51/F39-1</f>
        <v>0.14744016478445232</v>
      </c>
      <c r="I51" s="130">
        <f t="shared" ref="I51:I52" si="98">T51</f>
        <v>26.113406695768976</v>
      </c>
      <c r="J51" s="130">
        <f t="shared" ref="J51:J52" si="99">I51/I39-1</f>
        <v>-5.8389960772673666E-2</v>
      </c>
      <c r="K51" s="136"/>
      <c r="L51" s="190"/>
      <c r="M51" s="190"/>
      <c r="N51" s="191"/>
      <c r="O51" s="192"/>
      <c r="P51" s="129" t="s">
        <v>1402</v>
      </c>
      <c r="Q51" s="116">
        <v>124470010</v>
      </c>
      <c r="R51" s="116">
        <v>180050754862</v>
      </c>
      <c r="S51" s="116">
        <v>4766517.5</v>
      </c>
      <c r="T51" s="130">
        <f t="shared" ref="T51:T52" si="100">Q51/S51</f>
        <v>26.113406695768976</v>
      </c>
      <c r="U51" s="85">
        <f t="shared" si="81"/>
        <v>339339546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18378448.707070708</v>
      </c>
      <c r="C52" s="188">
        <f>AVERAGE(F50:F52)</f>
        <v>6126149.5690235691</v>
      </c>
      <c r="D52" s="190">
        <f>C52/C49-1</f>
        <v>0.56840528822916903</v>
      </c>
      <c r="E52" s="287">
        <f>C52/C40-1</f>
        <v>0.28852553732789255</v>
      </c>
      <c r="F52" s="136">
        <f>Q52/22</f>
        <v>5944029.8181818184</v>
      </c>
      <c r="G52" s="190">
        <f t="shared" si="96"/>
        <v>-4.4905705690580722E-2</v>
      </c>
      <c r="H52" s="190">
        <f t="shared" si="97"/>
        <v>0.35171220765751321</v>
      </c>
      <c r="I52" s="130">
        <f t="shared" si="98"/>
        <v>24.794655311784762</v>
      </c>
      <c r="J52" s="130">
        <f t="shared" si="99"/>
        <v>-0.15413715816147278</v>
      </c>
      <c r="K52" s="136">
        <f>R50+R51+R52</f>
        <v>530533704459</v>
      </c>
      <c r="L52" s="190">
        <f>U52/U49-1</f>
        <v>0.4509730432649619</v>
      </c>
      <c r="M52" s="190">
        <f>K52/K40-1</f>
        <v>0.29276987995584758</v>
      </c>
      <c r="N52" s="191">
        <f>AVERAGE(T50:T52)</f>
        <v>25.762375351660932</v>
      </c>
      <c r="O52" s="192">
        <f>N52/N49-1</f>
        <v>-2.8981495030754645E-2</v>
      </c>
      <c r="P52" s="129" t="s">
        <v>1403</v>
      </c>
      <c r="Q52" s="116">
        <v>130768656</v>
      </c>
      <c r="R52" s="116">
        <v>192360316297</v>
      </c>
      <c r="S52" s="116">
        <v>5274066.3</v>
      </c>
      <c r="T52" s="130">
        <f t="shared" si="100"/>
        <v>24.794655311784762</v>
      </c>
      <c r="U52" s="85">
        <f t="shared" ref="U52" si="101">Q50+Q51+Q52</f>
        <v>367035197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5514103.7142857146</v>
      </c>
      <c r="G53" s="190">
        <f t="shared" ref="G53" si="102">F53/F52-1</f>
        <v>-7.2329062445317782E-2</v>
      </c>
      <c r="H53" s="190">
        <f t="shared" ref="H53" si="103">F53/F41-1</f>
        <v>-5.1805115920711908E-2</v>
      </c>
      <c r="I53" s="130">
        <f t="shared" ref="I53" si="104">T53</f>
        <v>25.87869575560855</v>
      </c>
      <c r="J53" s="130">
        <f t="shared" ref="J53" si="105">I53/I41-1</f>
        <v>-7.1296201344947185E-2</v>
      </c>
      <c r="K53" s="136"/>
      <c r="L53" s="190"/>
      <c r="M53" s="190"/>
      <c r="N53" s="191"/>
      <c r="O53" s="192"/>
      <c r="P53" s="129" t="s">
        <v>1414</v>
      </c>
      <c r="Q53" s="116">
        <v>115796178</v>
      </c>
      <c r="R53" s="116">
        <v>168015592490</v>
      </c>
      <c r="S53" s="116">
        <v>4474575.5</v>
      </c>
      <c r="T53" s="130">
        <f t="shared" ref="T53" si="106">Q53/S53</f>
        <v>25.87869575560855</v>
      </c>
      <c r="U53" s="85">
        <f t="shared" ref="U53" si="107">Q51+Q52+Q53</f>
        <v>371034844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9768409.7058823537</v>
      </c>
      <c r="G54" s="190">
        <f t="shared" ref="G54" si="108">F54/F53-1</f>
        <v>0.77153173245087081</v>
      </c>
      <c r="H54" s="190">
        <f t="shared" ref="H54" si="109">F54/F42-1</f>
        <v>0.62167854650478738</v>
      </c>
      <c r="I54" s="130">
        <f t="shared" ref="I54" si="110">T54</f>
        <v>25.467494864341159</v>
      </c>
      <c r="J54" s="130">
        <f t="shared" ref="J54" si="111">I54/I42-1</f>
        <v>-3.8184372426174562E-2</v>
      </c>
      <c r="K54" s="136"/>
      <c r="L54" s="190"/>
      <c r="M54" s="190"/>
      <c r="N54" s="191"/>
      <c r="O54" s="192"/>
      <c r="P54" s="129" t="s">
        <v>1417</v>
      </c>
      <c r="Q54" s="116">
        <v>166062965</v>
      </c>
      <c r="R54" s="116">
        <v>240414748826</v>
      </c>
      <c r="S54" s="116">
        <v>6520585</v>
      </c>
      <c r="T54" s="130">
        <f t="shared" ref="T54" si="112">Q54/S54</f>
        <v>25.467494864341159</v>
      </c>
      <c r="U54" s="85">
        <f t="shared" ref="U54" si="113">Q52+Q53+Q54</f>
        <v>412627799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22243276.086834736</v>
      </c>
      <c r="C55" s="188">
        <f>AVERAGE(F53:F55)</f>
        <v>7414425.3622782454</v>
      </c>
      <c r="D55" s="190">
        <f>C55/C52-1</f>
        <v>0.21029127329321984</v>
      </c>
      <c r="E55" s="287">
        <f>C55/C43-1</f>
        <v>0.12605617551934611</v>
      </c>
      <c r="F55" s="136">
        <f>Q55/21</f>
        <v>6960762.666666667</v>
      </c>
      <c r="G55" s="190">
        <f t="shared" ref="G55" si="114">F55/F54-1</f>
        <v>-0.28742109757384293</v>
      </c>
      <c r="H55" s="190">
        <f t="shared" ref="H55" si="115">F55/F43-1</f>
        <v>-0.12047676577695843</v>
      </c>
      <c r="I55" s="130">
        <f>T55</f>
        <v>24.808290315482719</v>
      </c>
      <c r="J55" s="130">
        <f t="shared" ref="J55" si="116">I55/I43-1</f>
        <v>-7.0635070362288999E-2</v>
      </c>
      <c r="K55" s="136">
        <f>R53+R54+R55</f>
        <v>622920195573</v>
      </c>
      <c r="L55" s="190">
        <f>U55/U52-1</f>
        <v>0.16619649150432836</v>
      </c>
      <c r="M55" s="190">
        <f>K55/K43-1</f>
        <v>0.11776898723642537</v>
      </c>
      <c r="N55" s="191">
        <f>AVERAGE(T53:T55)</f>
        <v>25.384826978477477</v>
      </c>
      <c r="O55" s="192">
        <f>N55/N52-1</f>
        <v>-1.4655029593733215E-2</v>
      </c>
      <c r="P55" s="129" t="s">
        <v>1418</v>
      </c>
      <c r="Q55" s="116">
        <v>146176016</v>
      </c>
      <c r="R55" s="116">
        <v>214489854257</v>
      </c>
      <c r="S55" s="116">
        <v>5892224.5</v>
      </c>
      <c r="T55" s="130">
        <f t="shared" ref="T55" si="117">Q55/S55</f>
        <v>24.808290315482719</v>
      </c>
      <c r="U55" s="85">
        <f t="shared" ref="U55" si="118">Q53+Q54+Q55</f>
        <v>428035159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6361230.9545454541</v>
      </c>
      <c r="G56" s="190">
        <f t="shared" ref="G56" si="119">F56/F55-1</f>
        <v>-8.6130175791256147E-2</v>
      </c>
      <c r="H56" s="190">
        <f t="shared" ref="H56" si="120">F56/F44-1</f>
        <v>0.51407825164120236</v>
      </c>
      <c r="I56" s="291">
        <f>T56</f>
        <v>25.810888094054338</v>
      </c>
      <c r="J56" s="130">
        <f t="shared" ref="J56" si="121">I56/I44-1</f>
        <v>1.5333241695889566E-3</v>
      </c>
      <c r="K56" s="136"/>
      <c r="L56" s="190"/>
      <c r="M56" s="190"/>
      <c r="N56" s="191"/>
      <c r="O56" s="192"/>
      <c r="P56" s="129" t="s">
        <v>1420</v>
      </c>
      <c r="Q56" s="116">
        <v>139947081</v>
      </c>
      <c r="R56" s="116">
        <v>208954327639</v>
      </c>
      <c r="S56" s="116">
        <v>5422017.2699999996</v>
      </c>
      <c r="T56" s="130">
        <f t="shared" ref="T56" si="122">Q56/S56</f>
        <v>25.810888094054338</v>
      </c>
      <c r="U56" s="85">
        <f t="shared" ref="U56" si="123">Q54+Q55+Q56</f>
        <v>452186062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8544131</v>
      </c>
      <c r="G57" s="254">
        <f t="shared" ref="G57" si="124">F57/F56-1</f>
        <v>0.34315686084227814</v>
      </c>
      <c r="H57" s="254">
        <f t="shared" ref="H57" si="125">F57/F45-1</f>
        <v>0.31995738320916045</v>
      </c>
      <c r="I57" s="282">
        <f>T57</f>
        <v>26.285343943225676</v>
      </c>
      <c r="J57" s="277">
        <f t="shared" ref="J57" si="126">I57/I45-1</f>
        <v>9.8826375615024276E-4</v>
      </c>
      <c r="K57" s="204"/>
      <c r="L57" s="254"/>
      <c r="M57" s="254"/>
      <c r="N57" s="257"/>
      <c r="O57" s="258"/>
      <c r="P57" s="129" t="s">
        <v>1436</v>
      </c>
      <c r="Q57" s="116">
        <v>102529572</v>
      </c>
      <c r="R57" s="116">
        <v>151255046244</v>
      </c>
      <c r="S57" s="116">
        <v>3900636.5</v>
      </c>
      <c r="T57" s="130">
        <f t="shared" ref="T57" si="127">Q57/S57</f>
        <v>26.285343943225676</v>
      </c>
      <c r="U57" s="85">
        <f t="shared" ref="U57" si="128">Q55+Q56+Q57</f>
        <v>388652669</v>
      </c>
      <c r="V57" s="79"/>
      <c r="W57" s="79"/>
      <c r="X57" s="79"/>
      <c r="Y57" s="79"/>
      <c r="Z57" s="79"/>
    </row>
    <row r="58" spans="1:26">
      <c r="B58" s="196">
        <f>SUM(F56:F58)</f>
        <v>14905361.954545453</v>
      </c>
      <c r="C58" s="196">
        <f>AVERAGE(F56:F58)</f>
        <v>7452680.9772727266</v>
      </c>
      <c r="D58" s="197">
        <f>C58/C55-1</f>
        <v>5.1596196772187852E-3</v>
      </c>
      <c r="E58" s="233">
        <f>C58/C46-1</f>
        <v>0.34880731806354737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670511812</v>
      </c>
      <c r="R66" s="212">
        <v>983129569456</v>
      </c>
      <c r="S66" s="213">
        <v>26210038.77</v>
      </c>
      <c r="T66" s="214">
        <v>6</v>
      </c>
      <c r="U66" s="214">
        <v>16</v>
      </c>
    </row>
    <row r="67" spans="16:21" ht="18" thickBot="1">
      <c r="P67" s="180" t="s">
        <v>976</v>
      </c>
      <c r="Q67" s="181">
        <v>115796178</v>
      </c>
      <c r="R67" s="181">
        <v>168015592490</v>
      </c>
      <c r="S67" s="182">
        <v>4474575.5</v>
      </c>
      <c r="T67" s="210">
        <v>5</v>
      </c>
      <c r="U67" s="210">
        <v>12</v>
      </c>
    </row>
    <row r="68" spans="16:21" ht="18" thickBot="1">
      <c r="P68" s="180" t="s">
        <v>977</v>
      </c>
      <c r="Q68" s="181">
        <v>166062965</v>
      </c>
      <c r="R68" s="181">
        <v>240414748826</v>
      </c>
      <c r="S68" s="182">
        <v>6520585</v>
      </c>
      <c r="T68" s="210">
        <v>6</v>
      </c>
      <c r="U68" s="210">
        <v>9</v>
      </c>
    </row>
    <row r="69" spans="16:21" ht="18" thickBot="1">
      <c r="P69" s="180" t="s">
        <v>978</v>
      </c>
      <c r="Q69" s="181">
        <v>146176016</v>
      </c>
      <c r="R69" s="181">
        <v>214489854257</v>
      </c>
      <c r="S69" s="182">
        <v>5892224.5</v>
      </c>
      <c r="T69" s="210">
        <v>6</v>
      </c>
      <c r="U69" s="210">
        <v>10</v>
      </c>
    </row>
    <row r="70" spans="16:21" ht="18" thickBot="1">
      <c r="P70" s="180" t="s">
        <v>979</v>
      </c>
      <c r="Q70" s="181">
        <v>139947081</v>
      </c>
      <c r="R70" s="181">
        <v>208954327639</v>
      </c>
      <c r="S70" s="182">
        <v>5422017.2699999996</v>
      </c>
      <c r="T70" s="210">
        <v>6</v>
      </c>
      <c r="U70" s="210">
        <v>11</v>
      </c>
    </row>
    <row r="71" spans="16:21" ht="18" thickBot="1">
      <c r="P71" s="180" t="s">
        <v>980</v>
      </c>
      <c r="Q71" s="181">
        <v>102529572</v>
      </c>
      <c r="R71" s="181">
        <v>151255046244</v>
      </c>
      <c r="S71" s="182">
        <v>3900636.5</v>
      </c>
      <c r="T71" s="210">
        <v>5</v>
      </c>
      <c r="U71" s="210">
        <v>9</v>
      </c>
    </row>
    <row r="72" spans="16:21" ht="18" thickBot="1">
      <c r="P72" s="180" t="s">
        <v>975</v>
      </c>
      <c r="Q72" s="181">
        <v>1337604679</v>
      </c>
      <c r="R72" s="181">
        <v>1907954213933</v>
      </c>
      <c r="S72" s="182">
        <v>50831460.5</v>
      </c>
      <c r="T72" s="210">
        <v>6</v>
      </c>
      <c r="U72" s="210">
        <v>19</v>
      </c>
    </row>
    <row r="73" spans="16:21" ht="18" thickBot="1">
      <c r="P73" s="215" t="s">
        <v>982</v>
      </c>
      <c r="Q73" s="217" t="s">
        <v>1464</v>
      </c>
      <c r="R73"/>
      <c r="S73"/>
      <c r="T73"/>
      <c r="U73"/>
    </row>
  </sheetData>
  <phoneticPr fontId="1" type="noConversion"/>
  <conditionalFormatting sqref="C29:C30">
    <cfRule type="cellIs" dxfId="2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4"/>
  <dimension ref="A1:Z72"/>
  <sheetViews>
    <sheetView zoomScale="115" zoomScaleNormal="115" workbookViewId="0">
      <selection activeCell="I58" sqref="I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8507602000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8457519.25</v>
      </c>
      <c r="G5" s="90"/>
      <c r="H5" s="90"/>
      <c r="I5" s="130">
        <f t="shared" ref="I5:I49" si="0">T5</f>
        <v>31.893657357020093</v>
      </c>
      <c r="J5" s="130"/>
      <c r="K5" s="79"/>
      <c r="L5" s="80"/>
      <c r="M5" s="80"/>
      <c r="N5" s="79"/>
      <c r="O5" s="79"/>
      <c r="P5" s="129" t="s">
        <v>0</v>
      </c>
      <c r="Q5" s="116">
        <v>169150385</v>
      </c>
      <c r="R5" s="116">
        <v>199494845621</v>
      </c>
      <c r="S5" s="116">
        <v>5303574.41</v>
      </c>
      <c r="T5" s="130">
        <f t="shared" ref="T5:T17" si="1">Q5/S5</f>
        <v>31.893657357020093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8850206.777777778</v>
      </c>
      <c r="G6" s="90">
        <f t="shared" ref="G6:G16" si="2">F6/F5-1</f>
        <v>4.6430580430281365E-2</v>
      </c>
      <c r="H6" s="90"/>
      <c r="I6" s="130">
        <f t="shared" si="0"/>
        <v>30.13276000385062</v>
      </c>
      <c r="J6" s="130"/>
      <c r="K6" s="79"/>
      <c r="L6" s="87"/>
      <c r="M6" s="87"/>
      <c r="N6" s="79"/>
      <c r="O6" s="79"/>
      <c r="P6" s="129" t="s">
        <v>1</v>
      </c>
      <c r="Q6" s="116">
        <v>159303722</v>
      </c>
      <c r="R6" s="116">
        <v>189274245923</v>
      </c>
      <c r="S6" s="116">
        <v>5286728.53</v>
      </c>
      <c r="T6" s="130">
        <f t="shared" si="1"/>
        <v>30.13276000385062</v>
      </c>
      <c r="U6" s="85"/>
    </row>
    <row r="7" spans="1:21" ht="15" hidden="1" customHeight="1">
      <c r="A7" s="129" t="s">
        <v>2</v>
      </c>
      <c r="B7" s="131">
        <f>F5+F6+F7</f>
        <v>24685247.164141413</v>
      </c>
      <c r="C7" s="131">
        <f>AVERAGE(F5:F7)</f>
        <v>8228415.7213804713</v>
      </c>
      <c r="D7" s="117"/>
      <c r="F7" s="78">
        <f>Q7/22</f>
        <v>7377521.1363636367</v>
      </c>
      <c r="G7" s="90">
        <f t="shared" si="2"/>
        <v>-0.16640126930276333</v>
      </c>
      <c r="H7" s="90"/>
      <c r="I7" s="130">
        <f t="shared" si="0"/>
        <v>32.542803488653121</v>
      </c>
      <c r="J7" s="130"/>
      <c r="K7" s="79">
        <f>R5+R6+R7</f>
        <v>584514803834</v>
      </c>
      <c r="L7" s="87"/>
      <c r="M7" s="87"/>
      <c r="N7" s="88">
        <f>AVERAGE(T5:T7)</f>
        <v>31.523073616507943</v>
      </c>
      <c r="O7" s="79"/>
      <c r="P7" s="129" t="s">
        <v>2</v>
      </c>
      <c r="Q7" s="116">
        <v>162305465</v>
      </c>
      <c r="R7" s="116">
        <v>195745712290</v>
      </c>
      <c r="S7" s="116">
        <v>4987445.6900000004</v>
      </c>
      <c r="T7" s="130">
        <f t="shared" si="1"/>
        <v>32.542803488653121</v>
      </c>
      <c r="U7" s="85">
        <f>Q5+Q6+Q7</f>
        <v>490759572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6761562.5238095243</v>
      </c>
      <c r="G8" s="90">
        <f t="shared" si="2"/>
        <v>-8.3491270464555623E-2</v>
      </c>
      <c r="H8" s="90"/>
      <c r="I8" s="130">
        <f t="shared" si="0"/>
        <v>36.998932201067014</v>
      </c>
      <c r="J8" s="130"/>
      <c r="K8" s="78"/>
      <c r="L8" s="87"/>
      <c r="M8" s="87"/>
      <c r="N8" s="79"/>
      <c r="O8" s="79"/>
      <c r="P8" s="129" t="s">
        <v>3</v>
      </c>
      <c r="Q8" s="116">
        <v>141992813</v>
      </c>
      <c r="R8" s="116">
        <v>172210347904</v>
      </c>
      <c r="S8" s="116">
        <v>3837754.35</v>
      </c>
      <c r="T8" s="130">
        <f t="shared" si="1"/>
        <v>36.998932201067014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10327399.523809524</v>
      </c>
      <c r="G9" s="90">
        <f t="shared" si="2"/>
        <v>0.52736878309467672</v>
      </c>
      <c r="H9" s="90"/>
      <c r="I9" s="130">
        <f t="shared" si="0"/>
        <v>34.206075011971436</v>
      </c>
      <c r="J9" s="130"/>
      <c r="K9" s="78"/>
      <c r="L9" s="87"/>
      <c r="M9" s="87"/>
      <c r="N9" s="79"/>
      <c r="O9" s="79"/>
      <c r="P9" s="129" t="s">
        <v>4</v>
      </c>
      <c r="Q9" s="116">
        <v>216875390</v>
      </c>
      <c r="R9" s="116">
        <v>272528955448</v>
      </c>
      <c r="S9" s="116">
        <v>6340259.4400000004</v>
      </c>
      <c r="T9" s="130">
        <f t="shared" si="1"/>
        <v>34.206075011971436</v>
      </c>
      <c r="U9" s="85"/>
    </row>
    <row r="10" spans="1:21" ht="15" hidden="1" customHeight="1">
      <c r="A10" s="129" t="s">
        <v>5</v>
      </c>
      <c r="B10" s="131">
        <f>F8+F9+F10</f>
        <v>25771282.095238097</v>
      </c>
      <c r="C10" s="131">
        <f>AVERAGE(F8:F10)</f>
        <v>8590427.3650793657</v>
      </c>
      <c r="D10" s="90">
        <f>C10/C7-1</f>
        <v>4.399530310048072E-2</v>
      </c>
      <c r="E10" s="286"/>
      <c r="F10" s="78">
        <f>Q10/21</f>
        <v>8682320.0476190485</v>
      </c>
      <c r="G10" s="90">
        <f t="shared" si="2"/>
        <v>-0.15929271181944615</v>
      </c>
      <c r="H10" s="90"/>
      <c r="I10" s="130">
        <f t="shared" si="0"/>
        <v>34.492501388643646</v>
      </c>
      <c r="J10" s="130"/>
      <c r="K10" s="79">
        <f>R8+R9+R10</f>
        <v>674327482308</v>
      </c>
      <c r="L10" s="87">
        <f>U10/U7-1</f>
        <v>0.10277405653944127</v>
      </c>
      <c r="M10" s="87"/>
      <c r="N10" s="88">
        <f>AVERAGE(T8:T10)</f>
        <v>35.23250286722736</v>
      </c>
      <c r="O10" s="89">
        <f>N10/N7-1</f>
        <v>0.11767346343970941</v>
      </c>
      <c r="P10" s="129" t="s">
        <v>5</v>
      </c>
      <c r="Q10" s="116">
        <v>182328721</v>
      </c>
      <c r="R10" s="116">
        <v>229588178956</v>
      </c>
      <c r="S10" s="116">
        <v>5286039.3899999997</v>
      </c>
      <c r="T10" s="130">
        <f t="shared" si="1"/>
        <v>34.492501388643646</v>
      </c>
      <c r="U10" s="85">
        <f>Q8+Q9+Q10</f>
        <v>541196924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11704205.619047619</v>
      </c>
      <c r="G11" s="90">
        <f t="shared" si="2"/>
        <v>0.3480504697885749</v>
      </c>
      <c r="H11" s="90"/>
      <c r="I11" s="130">
        <f t="shared" si="0"/>
        <v>39.888052123029773</v>
      </c>
      <c r="J11" s="130"/>
      <c r="K11" s="78"/>
      <c r="L11" s="87"/>
      <c r="M11" s="87"/>
      <c r="N11" s="79"/>
      <c r="O11" s="89"/>
      <c r="P11" s="129" t="s">
        <v>6</v>
      </c>
      <c r="Q11" s="116">
        <v>245788318</v>
      </c>
      <c r="R11" s="116">
        <v>317487982760</v>
      </c>
      <c r="S11" s="116">
        <v>6161953.3899999997</v>
      </c>
      <c r="T11" s="130">
        <f t="shared" si="1"/>
        <v>39.888052123029773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12665949.409090908</v>
      </c>
      <c r="G12" s="90">
        <f t="shared" si="2"/>
        <v>8.2170787266256706E-2</v>
      </c>
      <c r="H12" s="90"/>
      <c r="I12" s="130">
        <f t="shared" si="0"/>
        <v>41.121569810495146</v>
      </c>
      <c r="J12" s="130"/>
      <c r="K12" s="78"/>
      <c r="L12" s="87"/>
      <c r="M12" s="87"/>
      <c r="N12" s="79"/>
      <c r="O12" s="89"/>
      <c r="P12" s="129" t="s">
        <v>7</v>
      </c>
      <c r="Q12" s="116">
        <v>278650887</v>
      </c>
      <c r="R12" s="116">
        <v>362491880484</v>
      </c>
      <c r="S12" s="116">
        <v>6776270.6600000001</v>
      </c>
      <c r="T12" s="130">
        <f t="shared" si="1"/>
        <v>41.121569810495146</v>
      </c>
      <c r="U12" s="85"/>
    </row>
    <row r="13" spans="1:21" ht="15" hidden="1" customHeight="1">
      <c r="A13" s="129" t="s">
        <v>96</v>
      </c>
      <c r="B13" s="131">
        <f>F11+F12+F13</f>
        <v>37899086.57813853</v>
      </c>
      <c r="C13" s="131">
        <f>AVERAGE(F11:F13)</f>
        <v>12633028.859379509</v>
      </c>
      <c r="D13" s="90">
        <f>C13/C10-1</f>
        <v>0.47059375773708023</v>
      </c>
      <c r="E13" s="286"/>
      <c r="F13" s="78">
        <f>Q13/20</f>
        <v>13528931.550000001</v>
      </c>
      <c r="G13" s="90">
        <f t="shared" si="2"/>
        <v>6.8134027149176157E-2</v>
      </c>
      <c r="H13" s="90"/>
      <c r="I13" s="130">
        <f t="shared" si="0"/>
        <v>42.343778296457515</v>
      </c>
      <c r="J13" s="130"/>
      <c r="K13" s="78">
        <f>R11+R12+R13</f>
        <v>1049861076929</v>
      </c>
      <c r="L13" s="87">
        <f>U13/U10-1</f>
        <v>0.46899917709066652</v>
      </c>
      <c r="M13" s="87"/>
      <c r="N13" s="88">
        <f>AVERAGE(T11:T13)</f>
        <v>41.117800076660814</v>
      </c>
      <c r="O13" s="89">
        <f>N13/N10-1</f>
        <v>0.1670417010001255</v>
      </c>
      <c r="P13" s="129" t="s">
        <v>96</v>
      </c>
      <c r="Q13" s="116">
        <v>270578631</v>
      </c>
      <c r="R13" s="116">
        <v>369881213685</v>
      </c>
      <c r="S13" s="116">
        <v>6390044.5800000001</v>
      </c>
      <c r="T13" s="130">
        <f t="shared" si="1"/>
        <v>42.343778296457515</v>
      </c>
      <c r="U13" s="85">
        <f>Q11+Q12+Q13</f>
        <v>795017836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10926585.9</v>
      </c>
      <c r="G14" s="90">
        <f t="shared" si="2"/>
        <v>-0.19235411461594687</v>
      </c>
      <c r="H14" s="90"/>
      <c r="I14" s="130">
        <f t="shared" si="0"/>
        <v>40.993211196421726</v>
      </c>
      <c r="J14" s="130"/>
      <c r="K14" s="79"/>
      <c r="L14" s="87"/>
      <c r="M14" s="87"/>
      <c r="N14" s="79"/>
      <c r="O14" s="89"/>
      <c r="P14" s="129" t="s">
        <v>97</v>
      </c>
      <c r="Q14" s="116">
        <v>218531718</v>
      </c>
      <c r="R14" s="116">
        <v>311599925899</v>
      </c>
      <c r="S14" s="116">
        <v>5330924.5999999996</v>
      </c>
      <c r="T14" s="130">
        <f t="shared" si="1"/>
        <v>40.993211196421726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9229106.1363636367</v>
      </c>
      <c r="G15" s="90">
        <f t="shared" si="2"/>
        <v>-0.15535317062179177</v>
      </c>
      <c r="H15" s="90"/>
      <c r="I15" s="130">
        <f t="shared" si="0"/>
        <v>40.800039263140853</v>
      </c>
      <c r="J15" s="130"/>
      <c r="K15" s="79"/>
      <c r="L15" s="87"/>
      <c r="M15" s="87"/>
      <c r="N15" s="79"/>
      <c r="O15" s="89"/>
      <c r="P15" s="129" t="s">
        <v>98</v>
      </c>
      <c r="Q15" s="116">
        <v>203040335</v>
      </c>
      <c r="R15" s="116">
        <v>281355665891</v>
      </c>
      <c r="S15" s="116">
        <v>4976474.01</v>
      </c>
      <c r="T15" s="130">
        <f t="shared" si="1"/>
        <v>40.800039263140853</v>
      </c>
      <c r="U15" s="78"/>
    </row>
    <row r="16" spans="1:21" ht="15" hidden="1" customHeight="1">
      <c r="A16" s="129" t="s">
        <v>99</v>
      </c>
      <c r="B16" s="131">
        <f>F14+F15+F16</f>
        <v>33935112.172727272</v>
      </c>
      <c r="C16" s="131">
        <f>AVERAGE(F14:F16)</f>
        <v>11311704.057575757</v>
      </c>
      <c r="D16" s="90">
        <f>C16/C13-1</f>
        <v>-0.10459287448098586</v>
      </c>
      <c r="E16" s="286"/>
      <c r="F16" s="78">
        <f>Q16/22</f>
        <v>13779420.136363637</v>
      </c>
      <c r="G16" s="90">
        <f t="shared" si="2"/>
        <v>0.49303951355281206</v>
      </c>
      <c r="H16" s="90"/>
      <c r="I16" s="130">
        <f t="shared" si="0"/>
        <v>41.165475846281275</v>
      </c>
      <c r="J16" s="130"/>
      <c r="K16" s="78">
        <f>R14+R15+R16</f>
        <v>989523506591</v>
      </c>
      <c r="L16" s="87">
        <f>U16/U13-1</f>
        <v>-8.8423852669388459E-2</v>
      </c>
      <c r="M16" s="87"/>
      <c r="N16" s="88">
        <f>AVERAGE(T14:T16)</f>
        <v>40.986242101947958</v>
      </c>
      <c r="O16" s="89">
        <f>N16/N13-1</f>
        <v>-3.1995382648773996E-3</v>
      </c>
      <c r="P16" s="129" t="s">
        <v>99</v>
      </c>
      <c r="Q16" s="116">
        <v>303147243</v>
      </c>
      <c r="R16" s="116">
        <v>396567914801</v>
      </c>
      <c r="S16" s="116">
        <v>7364113.6600000001</v>
      </c>
      <c r="T16" s="130">
        <f t="shared" si="1"/>
        <v>41.165475846281275</v>
      </c>
      <c r="U16" s="85">
        <f>Q14+Q15+Q16</f>
        <v>724719296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12410601.65</v>
      </c>
      <c r="G17" s="90">
        <f t="shared" ref="G17:G22" si="3">F17/F16-1</f>
        <v>-9.9337887430498539E-2</v>
      </c>
      <c r="H17" s="90">
        <f t="shared" ref="H17:H22" si="4">F17/F5-1</f>
        <v>0.46740448152098502</v>
      </c>
      <c r="I17" s="130">
        <f t="shared" si="0"/>
        <v>43.504289470982187</v>
      </c>
      <c r="J17" s="130">
        <f t="shared" ref="J17:J49" si="5">I17/I5-1</f>
        <v>0.36404204083563618</v>
      </c>
      <c r="K17" s="79"/>
      <c r="L17" s="87"/>
      <c r="M17" s="87"/>
      <c r="N17" s="79"/>
      <c r="O17" s="89"/>
      <c r="P17" s="129" t="s">
        <v>100</v>
      </c>
      <c r="Q17" s="116">
        <v>248212033</v>
      </c>
      <c r="R17" s="116">
        <v>311649557187</v>
      </c>
      <c r="S17" s="116">
        <v>5705461.1399999997</v>
      </c>
      <c r="T17" s="130">
        <f t="shared" si="1"/>
        <v>43.504289470982187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13574774.5</v>
      </c>
      <c r="G18" s="90">
        <f t="shared" si="3"/>
        <v>9.3804706881394306E-2</v>
      </c>
      <c r="H18" s="90">
        <f t="shared" si="4"/>
        <v>0.53383698718602446</v>
      </c>
      <c r="I18" s="130">
        <f t="shared" si="0"/>
        <v>41.713053940812749</v>
      </c>
      <c r="J18" s="130">
        <f t="shared" si="5"/>
        <v>0.38430910197015811</v>
      </c>
      <c r="K18" s="79"/>
      <c r="L18" s="87"/>
      <c r="M18" s="87"/>
      <c r="N18" s="79"/>
      <c r="O18" s="89"/>
      <c r="P18" s="129" t="s">
        <v>106</v>
      </c>
      <c r="Q18" s="116">
        <v>271495490</v>
      </c>
      <c r="R18" s="116">
        <v>341380921549</v>
      </c>
      <c r="S18" s="116">
        <v>6508645.7199999997</v>
      </c>
      <c r="T18" s="130">
        <f t="shared" ref="T18" si="6">Q18/S18</f>
        <v>41.713053940812749</v>
      </c>
      <c r="U18" s="78"/>
    </row>
    <row r="19" spans="1:21" hidden="1">
      <c r="A19" s="129" t="s">
        <v>114</v>
      </c>
      <c r="B19" s="131">
        <f>SUM(F17:F19)</f>
        <v>37207905.422727272</v>
      </c>
      <c r="C19" s="131">
        <f>AVERAGE(F17:F19)</f>
        <v>12402635.140909091</v>
      </c>
      <c r="D19" s="90">
        <f>C19/C16-1</f>
        <v>9.6442682533115498E-2</v>
      </c>
      <c r="E19" s="286">
        <f>C19/C7-1</f>
        <v>0.5072932093941791</v>
      </c>
      <c r="F19" s="78">
        <f>Q19/22</f>
        <v>11222529.272727273</v>
      </c>
      <c r="G19" s="90">
        <f t="shared" si="3"/>
        <v>-0.17328061156910757</v>
      </c>
      <c r="H19" s="90">
        <f t="shared" si="4"/>
        <v>0.52117887096408011</v>
      </c>
      <c r="I19" s="130">
        <f t="shared" si="0"/>
        <v>39.865316406353749</v>
      </c>
      <c r="J19" s="130">
        <f t="shared" si="5"/>
        <v>0.22501174246569788</v>
      </c>
      <c r="K19" s="78">
        <f>R17+R18+R19</f>
        <v>975767107117</v>
      </c>
      <c r="L19" s="87">
        <f>U19/U16-1</f>
        <v>5.7793232816033546E-2</v>
      </c>
      <c r="M19" s="87">
        <f>U19/U7-1</f>
        <v>0.56207481369308887</v>
      </c>
      <c r="N19" s="88">
        <f>AVERAGE(T17:T19)</f>
        <v>41.69421993938289</v>
      </c>
      <c r="O19" s="89">
        <f>N19/N16-1</f>
        <v>1.7273548418367479E-2</v>
      </c>
      <c r="P19" s="129" t="s">
        <v>115</v>
      </c>
      <c r="Q19" s="116">
        <v>246895644</v>
      </c>
      <c r="R19" s="116">
        <v>322736628381</v>
      </c>
      <c r="S19" s="116">
        <v>6193244.3099999996</v>
      </c>
      <c r="T19" s="130">
        <f t="shared" ref="T19" si="7">Q19/S19</f>
        <v>39.865316406353749</v>
      </c>
      <c r="U19" s="85">
        <f>Q17+Q18+Q19</f>
        <v>766603167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11123707.65</v>
      </c>
      <c r="G20" s="90">
        <f t="shared" si="3"/>
        <v>-8.8056462429932925E-3</v>
      </c>
      <c r="H20" s="90">
        <f t="shared" si="4"/>
        <v>0.64513862155826152</v>
      </c>
      <c r="I20" s="130">
        <f t="shared" si="0"/>
        <v>44.391393149429078</v>
      </c>
      <c r="J20" s="130">
        <f t="shared" si="5"/>
        <v>0.19980200801981174</v>
      </c>
      <c r="K20" s="79"/>
      <c r="L20" s="87"/>
      <c r="M20" s="87"/>
      <c r="N20" s="79"/>
      <c r="O20" s="89"/>
      <c r="P20" s="129" t="s">
        <v>132</v>
      </c>
      <c r="Q20" s="116">
        <v>222474153</v>
      </c>
      <c r="R20" s="116">
        <v>292311526557</v>
      </c>
      <c r="S20" s="116">
        <v>5011650.62</v>
      </c>
      <c r="T20" s="130">
        <f t="shared" ref="T20" si="8">Q20/S20</f>
        <v>44.391393149429078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10242933.619047619</v>
      </c>
      <c r="G21" s="90">
        <f t="shared" si="3"/>
        <v>-7.9179897446547964E-2</v>
      </c>
      <c r="H21" s="90">
        <f t="shared" si="4"/>
        <v>-8.1788164161917809E-3</v>
      </c>
      <c r="I21" s="130">
        <f t="shared" si="0"/>
        <v>43.526605525995805</v>
      </c>
      <c r="J21" s="130">
        <f t="shared" si="5"/>
        <v>0.27248173053360758</v>
      </c>
      <c r="K21" s="79"/>
      <c r="L21" s="87"/>
      <c r="M21" s="87"/>
      <c r="N21" s="79"/>
      <c r="O21" s="89"/>
      <c r="P21" s="129" t="s">
        <v>141</v>
      </c>
      <c r="Q21" s="116">
        <v>215101606</v>
      </c>
      <c r="R21" s="116">
        <v>286313945656</v>
      </c>
      <c r="S21" s="116">
        <v>4941841.97</v>
      </c>
      <c r="T21" s="130">
        <f t="shared" ref="T21" si="9">Q21/S21</f>
        <v>43.526605525995805</v>
      </c>
      <c r="U21" s="78"/>
    </row>
    <row r="22" spans="1:21" hidden="1">
      <c r="A22" s="129" t="s">
        <v>156</v>
      </c>
      <c r="B22" s="131">
        <f>SUM(F20:F22)</f>
        <v>33914009.173809521</v>
      </c>
      <c r="C22" s="131">
        <f>AVERAGE(F20:F22)</f>
        <v>11304669.724603174</v>
      </c>
      <c r="D22" s="90">
        <f>C22/C19-1</f>
        <v>-8.8526785141358033E-2</v>
      </c>
      <c r="E22" s="286">
        <f>C22/C10-1</f>
        <v>0.31596127225955906</v>
      </c>
      <c r="F22" s="78">
        <f>Q22/21</f>
        <v>12547367.904761905</v>
      </c>
      <c r="G22" s="90">
        <f t="shared" si="3"/>
        <v>0.22497795762622053</v>
      </c>
      <c r="H22" s="90">
        <f t="shared" si="4"/>
        <v>0.44516302508368932</v>
      </c>
      <c r="I22" s="130">
        <f t="shared" si="0"/>
        <v>45.391203702192392</v>
      </c>
      <c r="J22" s="130">
        <f t="shared" si="5"/>
        <v>0.31597309196998524</v>
      </c>
      <c r="K22" s="78">
        <f>R20+R21+R22</f>
        <v>920143942310</v>
      </c>
      <c r="L22" s="87">
        <f>U22/U19-1</f>
        <v>-8.5484491613116442E-2</v>
      </c>
      <c r="M22" s="87">
        <f>U22/U10-1</f>
        <v>0.29540737190147071</v>
      </c>
      <c r="N22" s="88">
        <f>AVERAGE(T20:T22)</f>
        <v>44.436400792539096</v>
      </c>
      <c r="O22" s="89">
        <f>N22/N19-1</f>
        <v>6.5768848946998526E-2</v>
      </c>
      <c r="P22" s="129" t="s">
        <v>156</v>
      </c>
      <c r="Q22" s="116">
        <v>263494726</v>
      </c>
      <c r="R22" s="116">
        <v>341518470097</v>
      </c>
      <c r="S22" s="116">
        <v>5804973.3099999996</v>
      </c>
      <c r="T22" s="130">
        <f t="shared" ref="T22:T23" si="10">Q22/S22</f>
        <v>45.391203702192392</v>
      </c>
      <c r="U22" s="85">
        <f>Q20+Q21+Q22</f>
        <v>701070485</v>
      </c>
    </row>
    <row r="23" spans="1:21" hidden="1">
      <c r="A23" s="129" t="s">
        <v>189</v>
      </c>
      <c r="B23" s="131"/>
      <c r="C23" s="131"/>
      <c r="D23" s="117"/>
      <c r="F23" s="78">
        <f>Q23/21</f>
        <v>10272395.428571429</v>
      </c>
      <c r="G23" s="90">
        <f t="shared" ref="G23" si="11">F23/F22-1</f>
        <v>-0.18131073333133807</v>
      </c>
      <c r="H23" s="90">
        <f t="shared" ref="H23" si="12">F23/F11-1</f>
        <v>-0.12233296620712464</v>
      </c>
      <c r="I23" s="130">
        <f t="shared" si="0"/>
        <v>41.748573160530398</v>
      </c>
      <c r="J23" s="130">
        <f t="shared" si="5"/>
        <v>4.6643567145421727E-2</v>
      </c>
      <c r="K23" s="79"/>
      <c r="L23" s="87"/>
      <c r="M23" s="87"/>
      <c r="N23" s="79"/>
      <c r="O23" s="89"/>
      <c r="P23" s="129" t="s">
        <v>189</v>
      </c>
      <c r="Q23" s="116">
        <v>215720304</v>
      </c>
      <c r="R23" s="116">
        <v>278172707100</v>
      </c>
      <c r="S23" s="116">
        <v>5167129.9800000004</v>
      </c>
      <c r="T23" s="130">
        <f t="shared" si="10"/>
        <v>41.748573160530398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10212235.545454545</v>
      </c>
      <c r="G24" s="90">
        <f t="shared" ref="G24" si="13">F24/F23-1</f>
        <v>-5.8564609915187082E-3</v>
      </c>
      <c r="H24" s="90">
        <f t="shared" ref="H24" si="14">F24/F12-1</f>
        <v>-0.19372522219891586</v>
      </c>
      <c r="I24" s="130">
        <f t="shared" si="0"/>
        <v>41.509630057687254</v>
      </c>
      <c r="J24" s="130">
        <f t="shared" si="5"/>
        <v>9.4369025545582019E-3</v>
      </c>
      <c r="K24" s="79"/>
      <c r="L24" s="87"/>
      <c r="M24" s="87"/>
      <c r="N24" s="79"/>
      <c r="O24" s="89"/>
      <c r="P24" s="129" t="s">
        <v>204</v>
      </c>
      <c r="Q24" s="116">
        <v>224669182</v>
      </c>
      <c r="R24" s="116">
        <v>295580452013</v>
      </c>
      <c r="S24" s="116">
        <v>5412459.2699999996</v>
      </c>
      <c r="T24" s="130">
        <f t="shared" ref="T24" si="15">Q24/S24</f>
        <v>41.509630057687254</v>
      </c>
      <c r="U24" s="78"/>
    </row>
    <row r="25" spans="1:21" s="92" customFormat="1" ht="13.2" hidden="1">
      <c r="A25" s="129" t="s">
        <v>217</v>
      </c>
      <c r="B25" s="131">
        <f>SUM(F23:F25)</f>
        <v>32410309.921394393</v>
      </c>
      <c r="C25" s="131">
        <f>AVERAGE(F23:F25)</f>
        <v>10803436.640464798</v>
      </c>
      <c r="D25" s="90">
        <f>C25/C22-1</f>
        <v>-4.4338587181145694E-2</v>
      </c>
      <c r="E25" s="286">
        <f>C25/C13-1</f>
        <v>-0.14482609351092501</v>
      </c>
      <c r="F25" s="78">
        <f>Q25/19</f>
        <v>11925678.947368421</v>
      </c>
      <c r="G25" s="90">
        <f t="shared" ref="G25" si="16">F25/F24-1</f>
        <v>0.1677833804642832</v>
      </c>
      <c r="H25" s="90">
        <f t="shared" ref="H25" si="17">F25/F13-1</f>
        <v>-0.11850548557410512</v>
      </c>
      <c r="I25" s="130">
        <f t="shared" si="0"/>
        <v>38.982928163094755</v>
      </c>
      <c r="J25" s="130">
        <f t="shared" si="5"/>
        <v>-7.9370577415948995E-2</v>
      </c>
      <c r="K25" s="78">
        <f>R23+R24+R25</f>
        <v>874463393562</v>
      </c>
      <c r="L25" s="90">
        <f>U25/U22-1</f>
        <v>-4.8630058930522524E-2</v>
      </c>
      <c r="M25" s="90">
        <f>U25/U13-1</f>
        <v>-0.16105355653932774</v>
      </c>
      <c r="N25" s="88">
        <f>AVERAGE(T23:T25)</f>
        <v>40.747043793770807</v>
      </c>
      <c r="O25" s="91">
        <f>N25/N22-1</f>
        <v>-8.3025558617873862E-2</v>
      </c>
      <c r="P25" s="129" t="s">
        <v>237</v>
      </c>
      <c r="Q25" s="116">
        <v>226587900</v>
      </c>
      <c r="R25" s="116">
        <v>300710234449</v>
      </c>
      <c r="S25" s="116">
        <v>5812490.5099999998</v>
      </c>
      <c r="T25" s="130">
        <f t="shared" ref="T25" si="18">Q25/S25</f>
        <v>38.982928163094755</v>
      </c>
      <c r="U25" s="85">
        <f>Q23+Q24+Q25</f>
        <v>666977386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9335184.2631578948</v>
      </c>
      <c r="G26" s="90">
        <f t="shared" ref="G26" si="19">F26/F25-1</f>
        <v>-0.21721989126515573</v>
      </c>
      <c r="H26" s="90">
        <f t="shared" ref="H26" si="20">F26/F14-1</f>
        <v>-0.14564491154021908</v>
      </c>
      <c r="I26" s="130">
        <f t="shared" si="0"/>
        <v>37.195635703154551</v>
      </c>
      <c r="J26" s="130">
        <f t="shared" si="5"/>
        <v>-9.2639131759423177E-2</v>
      </c>
      <c r="K26" s="79"/>
      <c r="L26" s="90"/>
      <c r="M26" s="90"/>
      <c r="N26" s="79"/>
      <c r="O26" s="79"/>
      <c r="P26" s="129" t="s">
        <v>312</v>
      </c>
      <c r="Q26" s="116">
        <v>177368501</v>
      </c>
      <c r="R26" s="116">
        <v>239283224000</v>
      </c>
      <c r="S26" s="116">
        <v>4768529.9000000004</v>
      </c>
      <c r="T26" s="130">
        <f t="shared" ref="T26" si="21">Q26/S26</f>
        <v>37.195635703154551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8393187.0909090918</v>
      </c>
      <c r="G27" s="90">
        <f t="shared" ref="G27" si="22">F27/F26-1</f>
        <v>-0.10090825694426575</v>
      </c>
      <c r="H27" s="90">
        <f t="shared" ref="H27" si="23">F27/F15-1</f>
        <v>-9.0574215216892684E-2</v>
      </c>
      <c r="I27" s="130">
        <f t="shared" si="0"/>
        <v>37.012557576164205</v>
      </c>
      <c r="J27" s="130">
        <f t="shared" si="5"/>
        <v>-9.2830344170729662E-2</v>
      </c>
      <c r="K27" s="79"/>
      <c r="L27" s="90"/>
      <c r="M27" s="90"/>
      <c r="N27" s="79"/>
      <c r="O27" s="79"/>
      <c r="P27" s="129" t="s">
        <v>377</v>
      </c>
      <c r="Q27" s="116">
        <v>184650116</v>
      </c>
      <c r="R27" s="116">
        <v>244616821793</v>
      </c>
      <c r="S27" s="116">
        <v>4988850.49</v>
      </c>
      <c r="T27" s="130">
        <f t="shared" ref="T27" si="24">Q27/S27</f>
        <v>37.012557576164205</v>
      </c>
      <c r="U27" s="78"/>
    </row>
    <row r="28" spans="1:21" s="92" customFormat="1" ht="13.2" hidden="1">
      <c r="A28" s="123" t="s">
        <v>413</v>
      </c>
      <c r="B28" s="131">
        <f>SUM(F26:F28)</f>
        <v>26450759.669856459</v>
      </c>
      <c r="C28" s="131">
        <f>AVERAGE(F26:F28)</f>
        <v>8816919.889952153</v>
      </c>
      <c r="D28" s="90">
        <f>C28/C25-1</f>
        <v>-0.18387822473749227</v>
      </c>
      <c r="E28" s="286">
        <f>C28/C16-1</f>
        <v>-0.22054892480614174</v>
      </c>
      <c r="F28" s="78">
        <f>Q28/19</f>
        <v>8722388.3157894742</v>
      </c>
      <c r="G28" s="90">
        <f t="shared" ref="G28" si="25">F28/F27-1</f>
        <v>3.9222433780482513E-2</v>
      </c>
      <c r="H28" s="90">
        <f t="shared" ref="H28" si="26">F28/F16-1</f>
        <v>-0.36699888460681651</v>
      </c>
      <c r="I28" s="130">
        <f t="shared" si="0"/>
        <v>36.659271085284601</v>
      </c>
      <c r="J28" s="130">
        <f t="shared" si="5"/>
        <v>-0.10946563032147594</v>
      </c>
      <c r="K28" s="78">
        <f>R26+R27+R28</f>
        <v>700102834276</v>
      </c>
      <c r="L28" s="90">
        <f>U28/U25-1</f>
        <v>-0.20875279120782664</v>
      </c>
      <c r="M28" s="90">
        <f>U28/U16-1</f>
        <v>-0.271795303488097</v>
      </c>
      <c r="N28" s="88">
        <f>AVERAGE(T26:T28)</f>
        <v>36.955821454867781</v>
      </c>
      <c r="O28" s="91">
        <f>N28/N25-1</f>
        <v>-9.3042880806057604E-2</v>
      </c>
      <c r="P28" s="129" t="s">
        <v>413</v>
      </c>
      <c r="Q28" s="116">
        <v>165725378</v>
      </c>
      <c r="R28" s="116">
        <v>216202788483</v>
      </c>
      <c r="S28" s="116">
        <v>4520694.8499999996</v>
      </c>
      <c r="T28" s="130">
        <f t="shared" ref="T28" si="27">Q28/S28</f>
        <v>36.659271085284601</v>
      </c>
      <c r="U28" s="85">
        <f>Q26+Q27+Q28</f>
        <v>527743995</v>
      </c>
    </row>
    <row r="29" spans="1:21" s="92" customFormat="1" ht="13.2" hidden="1">
      <c r="A29" s="129" t="s">
        <v>443</v>
      </c>
      <c r="B29" s="188"/>
      <c r="C29" s="188"/>
      <c r="D29" s="189"/>
      <c r="E29" s="287"/>
      <c r="F29" s="136">
        <f>Q29/22</f>
        <v>7366598.8181818184</v>
      </c>
      <c r="G29" s="190">
        <f t="shared" ref="G29" si="28">F29/F28-1</f>
        <v>-0.15543787418330979</v>
      </c>
      <c r="H29" s="190">
        <f t="shared" ref="H29" si="29">F29/F17-1</f>
        <v>-0.40642693836025123</v>
      </c>
      <c r="I29" s="130">
        <f t="shared" si="0"/>
        <v>35.807952865211369</v>
      </c>
      <c r="J29" s="130">
        <f t="shared" si="5"/>
        <v>-0.17690983347525657</v>
      </c>
      <c r="K29" s="136"/>
      <c r="L29" s="190"/>
      <c r="M29" s="190"/>
      <c r="N29" s="191"/>
      <c r="O29" s="192"/>
      <c r="P29" s="129" t="s">
        <v>443</v>
      </c>
      <c r="Q29" s="116">
        <v>162065174</v>
      </c>
      <c r="R29" s="116">
        <v>213168608365</v>
      </c>
      <c r="S29" s="116">
        <v>4525954.74</v>
      </c>
      <c r="T29" s="130">
        <f t="shared" ref="T29" si="30">Q29/S29</f>
        <v>35.807952865211369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204">
        <f>Q30/19</f>
        <v>10334337.578947369</v>
      </c>
      <c r="G30" s="190">
        <f t="shared" ref="G30" si="31">F30/F29-1</f>
        <v>0.40286417572255284</v>
      </c>
      <c r="H30" s="190">
        <f t="shared" ref="H30" si="32">F30/F18-1</f>
        <v>-0.23871018417673395</v>
      </c>
      <c r="I30" s="130">
        <f t="shared" si="0"/>
        <v>35.897406477267403</v>
      </c>
      <c r="J30" s="130">
        <f t="shared" si="5"/>
        <v>-0.1394203232349579</v>
      </c>
      <c r="K30" s="136"/>
      <c r="L30" s="190"/>
      <c r="M30" s="190"/>
      <c r="N30" s="191"/>
      <c r="O30" s="192"/>
      <c r="P30" s="129" t="s">
        <v>469</v>
      </c>
      <c r="Q30" s="116">
        <v>196352414</v>
      </c>
      <c r="R30" s="116">
        <v>261558190060</v>
      </c>
      <c r="S30" s="116">
        <v>5469821.7300000004</v>
      </c>
      <c r="T30" s="130">
        <f t="shared" ref="T30" si="33">Q30/S30</f>
        <v>35.897406477267403</v>
      </c>
      <c r="U30" s="85"/>
    </row>
    <row r="31" spans="1:21" s="92" customFormat="1" ht="13.2" hidden="1">
      <c r="A31" s="129" t="s">
        <v>512</v>
      </c>
      <c r="B31" s="188">
        <f>SUM(F29:F31)</f>
        <v>23598811.197129186</v>
      </c>
      <c r="C31" s="188">
        <f>AVERAGE(F29:F31)</f>
        <v>7866270.3990430618</v>
      </c>
      <c r="D31" s="190">
        <f>C31/C28-1</f>
        <v>-0.10782104212974197</v>
      </c>
      <c r="E31" s="287">
        <f>C31/C19-1</f>
        <v>-0.36575813851874073</v>
      </c>
      <c r="F31" s="136">
        <f>Q31/20</f>
        <v>5897874.7999999998</v>
      </c>
      <c r="G31" s="190">
        <f t="shared" ref="G31" si="34">F31/F30-1</f>
        <v>-0.4292933867367682</v>
      </c>
      <c r="H31" s="190">
        <f t="shared" ref="H31" si="35">F31/F19-1</f>
        <v>-0.4744611792340897</v>
      </c>
      <c r="I31" s="130">
        <f t="shared" si="0"/>
        <v>34.752610049778426</v>
      </c>
      <c r="J31" s="130">
        <f t="shared" si="5"/>
        <v>-0.12824948645736722</v>
      </c>
      <c r="K31" s="136">
        <f>R29+R30+R31</f>
        <v>631381479994</v>
      </c>
      <c r="L31" s="190">
        <f>U31/U28-1</f>
        <v>-9.7336798687780446E-2</v>
      </c>
      <c r="M31" s="190">
        <f>U31/U19-1</f>
        <v>-0.37858972607140295</v>
      </c>
      <c r="N31" s="191">
        <f>AVERAGE(T29:T31)</f>
        <v>35.485989797419066</v>
      </c>
      <c r="O31" s="192">
        <f>N31/N28-1</f>
        <v>-3.9772669083915302E-2</v>
      </c>
      <c r="P31" s="129" t="s">
        <v>512</v>
      </c>
      <c r="Q31" s="116">
        <v>117957496</v>
      </c>
      <c r="R31" s="116">
        <v>156654681569</v>
      </c>
      <c r="S31" s="116">
        <v>3394205.38</v>
      </c>
      <c r="T31" s="130">
        <f t="shared" ref="T31" si="36">Q31/S31</f>
        <v>34.752610049778426</v>
      </c>
      <c r="U31" s="85">
        <f>Q29+Q30+Q31</f>
        <v>476375084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5344291.5714285718</v>
      </c>
      <c r="G32" s="190">
        <f t="shared" ref="G32" si="37">F32/F31-1</f>
        <v>-9.3861475081062795E-2</v>
      </c>
      <c r="H32" s="190">
        <f t="shared" ref="H32" si="38">F32/F20-1</f>
        <v>-0.51955842965465093</v>
      </c>
      <c r="I32" s="130">
        <f t="shared" si="0"/>
        <v>36.346674335893987</v>
      </c>
      <c r="J32" s="130">
        <f t="shared" si="5"/>
        <v>-0.18122249027993287</v>
      </c>
      <c r="K32" s="136"/>
      <c r="L32" s="190"/>
      <c r="M32" s="190"/>
      <c r="N32" s="191"/>
      <c r="O32" s="192"/>
      <c r="P32" s="129" t="s">
        <v>562</v>
      </c>
      <c r="Q32" s="116">
        <v>112230123</v>
      </c>
      <c r="R32" s="116">
        <v>152531763326</v>
      </c>
      <c r="S32" s="116">
        <v>3087768.69</v>
      </c>
      <c r="T32" s="130">
        <f t="shared" ref="T32" si="39">Q32/S32</f>
        <v>36.346674335893987</v>
      </c>
      <c r="U32" s="85"/>
    </row>
    <row r="33" spans="1:21" s="92" customFormat="1" ht="13.2" hidden="1">
      <c r="A33" s="129" t="s">
        <v>621</v>
      </c>
      <c r="B33" s="188"/>
      <c r="C33" s="188"/>
      <c r="D33" s="190"/>
      <c r="E33" s="287"/>
      <c r="F33" s="136">
        <f>Q33/21</f>
        <v>5450068.1428571427</v>
      </c>
      <c r="G33" s="190">
        <f t="shared" ref="G33" si="40">F33/F32-1</f>
        <v>1.9792440216785501E-2</v>
      </c>
      <c r="H33" s="190">
        <f t="shared" ref="H33" si="41">F33/F21-1</f>
        <v>-0.46791921674448123</v>
      </c>
      <c r="I33" s="130">
        <f t="shared" si="0"/>
        <v>38.059453503541555</v>
      </c>
      <c r="J33" s="130">
        <f t="shared" si="5"/>
        <v>-0.12560483309889747</v>
      </c>
      <c r="K33" s="136"/>
      <c r="L33" s="190"/>
      <c r="M33" s="190"/>
      <c r="N33" s="191"/>
      <c r="O33" s="192"/>
      <c r="P33" s="129" t="s">
        <v>621</v>
      </c>
      <c r="Q33" s="116">
        <v>114451431</v>
      </c>
      <c r="R33" s="116">
        <v>156413941605</v>
      </c>
      <c r="S33" s="116">
        <v>3007174.84</v>
      </c>
      <c r="T33" s="130">
        <f t="shared" ref="T33" si="42">Q33/S33</f>
        <v>38.059453503541555</v>
      </c>
      <c r="U33" s="85"/>
    </row>
    <row r="34" spans="1:21" s="92" customFormat="1" ht="13.2" hidden="1">
      <c r="A34" s="129" t="s">
        <v>652</v>
      </c>
      <c r="B34" s="188">
        <f>SUM(F32:F34)</f>
        <v>17204983.39849624</v>
      </c>
      <c r="C34" s="188">
        <f>AVERAGE(F32:F34)</f>
        <v>5734994.4661654131</v>
      </c>
      <c r="D34" s="190">
        <f>C34/C31-1</f>
        <v>-0.27093855471036443</v>
      </c>
      <c r="E34" s="287">
        <f>C34/C22-1</f>
        <v>-0.49268801248709393</v>
      </c>
      <c r="F34" s="136">
        <f>Q34/19</f>
        <v>6410623.6842105268</v>
      </c>
      <c r="G34" s="190">
        <f t="shared" ref="G34" si="43">F34/F33-1</f>
        <v>0.17624651952513437</v>
      </c>
      <c r="H34" s="190">
        <f t="shared" ref="H34" si="44">F34/F22-1</f>
        <v>-0.48908617864168913</v>
      </c>
      <c r="I34" s="130">
        <f t="shared" si="0"/>
        <v>34.971061053882451</v>
      </c>
      <c r="J34" s="130">
        <f t="shared" si="5"/>
        <v>-0.22956303861593008</v>
      </c>
      <c r="K34" s="136">
        <f>R32+R33+R34</f>
        <v>476503826808</v>
      </c>
      <c r="L34" s="190">
        <f>U34/U31-1</f>
        <v>-0.26846844911813228</v>
      </c>
      <c r="M34" s="190">
        <f>U34/U22-1</f>
        <v>-0.50292672212552203</v>
      </c>
      <c r="N34" s="191">
        <f>AVERAGE(T32:T34)</f>
        <v>36.459062964439333</v>
      </c>
      <c r="O34" s="192">
        <f>N34/N31-1</f>
        <v>2.7421333674932269E-2</v>
      </c>
      <c r="P34" s="129" t="s">
        <v>652</v>
      </c>
      <c r="Q34" s="116">
        <v>121801850</v>
      </c>
      <c r="R34" s="116">
        <v>167558121877</v>
      </c>
      <c r="S34" s="116">
        <v>3482932.64</v>
      </c>
      <c r="T34" s="130">
        <f t="shared" ref="T34" si="45">Q34/S34</f>
        <v>34.971061053882451</v>
      </c>
      <c r="U34" s="85">
        <f>Q32+Q33+Q34</f>
        <v>348483404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3010916.086956522</v>
      </c>
      <c r="G35" s="190">
        <f t="shared" ref="G35" si="46">F35/F34-1</f>
        <v>-0.53032400039758087</v>
      </c>
      <c r="H35" s="190">
        <f t="shared" ref="H35" si="47">F35/F23-1</f>
        <v>-0.706892505463524</v>
      </c>
      <c r="I35" s="130">
        <f t="shared" si="0"/>
        <v>40.064019984098792</v>
      </c>
      <c r="J35" s="130">
        <f t="shared" si="5"/>
        <v>-4.0349958068128688E-2</v>
      </c>
      <c r="K35" s="136"/>
      <c r="L35" s="190"/>
      <c r="M35" s="190"/>
      <c r="N35" s="191"/>
      <c r="O35" s="192"/>
      <c r="P35" s="129" t="s">
        <v>660</v>
      </c>
      <c r="Q35" s="116">
        <v>69251070</v>
      </c>
      <c r="R35" s="116">
        <v>95829581154</v>
      </c>
      <c r="S35" s="116">
        <v>1728510.27</v>
      </c>
      <c r="T35" s="130">
        <f t="shared" ref="T35" si="48">Q35/S35</f>
        <v>40.064019984098792</v>
      </c>
      <c r="U35" s="85"/>
    </row>
    <row r="36" spans="1:21" s="92" customFormat="1" ht="13.2" hidden="1">
      <c r="A36" s="129" t="s">
        <v>669</v>
      </c>
      <c r="B36" s="188"/>
      <c r="C36" s="188"/>
      <c r="D36" s="190"/>
      <c r="E36" s="287"/>
      <c r="F36" s="136">
        <f>Q36/21</f>
        <v>2918521.5238095238</v>
      </c>
      <c r="G36" s="190">
        <f t="shared" ref="G36" si="49">F36/F35-1</f>
        <v>-3.0686528776825539E-2</v>
      </c>
      <c r="H36" s="190">
        <f t="shared" ref="H36" si="50">F36/F24-1</f>
        <v>-0.71421325812362846</v>
      </c>
      <c r="I36" s="130">
        <f t="shared" si="0"/>
        <v>47.239179237405253</v>
      </c>
      <c r="J36" s="130">
        <f t="shared" si="5"/>
        <v>0.13802939635345979</v>
      </c>
      <c r="K36" s="136"/>
      <c r="L36" s="190"/>
      <c r="M36" s="190"/>
      <c r="N36" s="191"/>
      <c r="O36" s="192"/>
      <c r="P36" s="129" t="s">
        <v>675</v>
      </c>
      <c r="Q36" s="116">
        <v>61288952</v>
      </c>
      <c r="R36" s="116">
        <v>83582900438</v>
      </c>
      <c r="S36" s="116">
        <v>1297417.8</v>
      </c>
      <c r="T36" s="130">
        <f t="shared" ref="T36" si="51">Q36/S36</f>
        <v>47.239179237405253</v>
      </c>
      <c r="U36" s="85"/>
    </row>
    <row r="37" spans="1:21" s="92" customFormat="1" hidden="1">
      <c r="A37" s="129" t="s">
        <v>702</v>
      </c>
      <c r="B37" s="188">
        <f>SUM(F35:F37)</f>
        <v>9356445.2774327118</v>
      </c>
      <c r="C37" s="188">
        <f>AVERAGE(F35:F37)</f>
        <v>3118815.0924775708</v>
      </c>
      <c r="D37" s="190">
        <f>C37/C34-1</f>
        <v>-0.4561781862428016</v>
      </c>
      <c r="E37" s="287">
        <f>C37/C25-1</f>
        <v>-0.71131268722436924</v>
      </c>
      <c r="F37" s="136">
        <f>Q37/18</f>
        <v>3427007.6666666665</v>
      </c>
      <c r="G37" s="190">
        <f t="shared" ref="G37" si="52">F37/F36-1</f>
        <v>0.17422730608935844</v>
      </c>
      <c r="H37" s="190">
        <f t="shared" ref="H37" si="53">F37/F25-1</f>
        <v>-0.71263626316027173</v>
      </c>
      <c r="I37" s="130">
        <f t="shared" si="0"/>
        <v>42.768156681941704</v>
      </c>
      <c r="J37" s="130">
        <f t="shared" si="5"/>
        <v>9.7099645850370786E-2</v>
      </c>
      <c r="K37" s="136">
        <f>R35+R36+R37</f>
        <v>261717830929</v>
      </c>
      <c r="L37" s="190">
        <f>U37/U34-1</f>
        <v>-0.44839221095303583</v>
      </c>
      <c r="M37" s="190">
        <f>U37/U25-1</f>
        <v>-0.71179508625799204</v>
      </c>
      <c r="N37" s="191">
        <f>AVERAGE(T35:T37)</f>
        <v>43.357118634481914</v>
      </c>
      <c r="O37" s="192">
        <f>N37/N34-1</f>
        <v>0.18920002625329846</v>
      </c>
      <c r="P37" s="129" t="s">
        <v>702</v>
      </c>
      <c r="Q37" s="116">
        <v>61686138</v>
      </c>
      <c r="R37" s="116">
        <v>82305349337</v>
      </c>
      <c r="S37" s="116">
        <v>1442338.01</v>
      </c>
      <c r="T37" s="173">
        <f t="shared" ref="T37" si="54">Q37/S37</f>
        <v>42.768156681941704</v>
      </c>
      <c r="U37" s="85">
        <f>Q35+Q36+Q37</f>
        <v>192226160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2149679.85</v>
      </c>
      <c r="G38" s="190">
        <f t="shared" ref="G38" si="55">F38/F37-1</f>
        <v>-0.37272394488369487</v>
      </c>
      <c r="H38" s="190">
        <f t="shared" ref="H38" si="56">F38/F26-1</f>
        <v>-0.76972282609526022</v>
      </c>
      <c r="I38" s="130">
        <f t="shared" si="0"/>
        <v>49.751206918382472</v>
      </c>
      <c r="J38" s="130">
        <f t="shared" si="5"/>
        <v>0.33755495713071215</v>
      </c>
      <c r="K38" s="136"/>
      <c r="L38" s="190"/>
      <c r="M38" s="190"/>
      <c r="N38" s="191"/>
      <c r="O38" s="192"/>
      <c r="P38" s="129" t="s">
        <v>728</v>
      </c>
      <c r="Q38" s="116">
        <v>42993597</v>
      </c>
      <c r="R38" s="116">
        <v>58186863207</v>
      </c>
      <c r="S38" s="116">
        <v>864171.94</v>
      </c>
      <c r="T38" s="173">
        <f t="shared" ref="T38" si="57">Q38/S38</f>
        <v>49.751206918382472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2145538.1904761903</v>
      </c>
      <c r="G39" s="190">
        <f t="shared" ref="G39" si="58">F39/F38-1</f>
        <v>-1.926640157049353E-3</v>
      </c>
      <c r="H39" s="190">
        <f t="shared" ref="H39" si="59">F39/F27-1</f>
        <v>-0.74437145660674164</v>
      </c>
      <c r="I39" s="130">
        <f t="shared" si="0"/>
        <v>50.387537237947647</v>
      </c>
      <c r="J39" s="130">
        <f t="shared" si="5"/>
        <v>0.36136329228966391</v>
      </c>
      <c r="K39" s="136"/>
      <c r="L39" s="190"/>
      <c r="M39" s="190"/>
      <c r="N39" s="191"/>
      <c r="O39" s="192"/>
      <c r="P39" s="129" t="s">
        <v>762</v>
      </c>
      <c r="Q39" s="116">
        <v>45056302</v>
      </c>
      <c r="R39" s="116">
        <v>62689250980</v>
      </c>
      <c r="S39" s="116">
        <v>894195.36</v>
      </c>
      <c r="T39" s="173">
        <f t="shared" ref="T39" si="60">Q39/S39</f>
        <v>50.387537237947647</v>
      </c>
      <c r="U39" s="85"/>
    </row>
    <row r="40" spans="1:21" s="92" customFormat="1" hidden="1">
      <c r="A40" s="129" t="s">
        <v>778</v>
      </c>
      <c r="B40" s="188">
        <f>SUM(F38:F40)</f>
        <v>7371671.1833333327</v>
      </c>
      <c r="C40" s="188">
        <f>AVERAGE(F38:F40)</f>
        <v>2457223.7277777777</v>
      </c>
      <c r="D40" s="190">
        <f>C40/C37-1</f>
        <v>-0.21212907629423716</v>
      </c>
      <c r="E40" s="287">
        <f>C40/C28-1</f>
        <v>-0.72130588023397446</v>
      </c>
      <c r="F40" s="136">
        <f>Q40/21</f>
        <v>3076453.1428571427</v>
      </c>
      <c r="G40" s="190">
        <f t="shared" ref="G40" si="61">F40/F39-1</f>
        <v>0.43388412124900988</v>
      </c>
      <c r="H40" s="190">
        <f t="shared" ref="H40" si="62">F40/F28-1</f>
        <v>-0.64729234339543518</v>
      </c>
      <c r="I40" s="130">
        <f t="shared" si="0"/>
        <v>40.940549214427762</v>
      </c>
      <c r="J40" s="130">
        <f t="shared" si="5"/>
        <v>0.11678568619608232</v>
      </c>
      <c r="K40" s="136">
        <f>R38+R39+R40</f>
        <v>212870422740</v>
      </c>
      <c r="L40" s="190">
        <f>U40/U37-1</f>
        <v>-0.20585514999623356</v>
      </c>
      <c r="M40" s="190">
        <f>U40/U28-1</f>
        <v>-0.71073964564959191</v>
      </c>
      <c r="N40" s="191">
        <f>AVERAGE(T38:T40)</f>
        <v>47.026431123585958</v>
      </c>
      <c r="O40" s="192">
        <f>N40/N37-1</f>
        <v>8.4629989368939285E-2</v>
      </c>
      <c r="P40" s="129" t="s">
        <v>778</v>
      </c>
      <c r="Q40" s="116">
        <v>64605516</v>
      </c>
      <c r="R40" s="116">
        <v>91994308553</v>
      </c>
      <c r="S40" s="116">
        <v>1578032.47</v>
      </c>
      <c r="T40" s="173">
        <f t="shared" ref="T40" si="63">Q40/S40</f>
        <v>40.940549214427762</v>
      </c>
      <c r="U40" s="85">
        <f>Q38+Q39+Q40</f>
        <v>152655415</v>
      </c>
    </row>
    <row r="41" spans="1:21" s="92" customFormat="1">
      <c r="A41" s="129" t="s">
        <v>788</v>
      </c>
      <c r="B41" s="194"/>
      <c r="C41" s="194"/>
      <c r="D41" s="201"/>
      <c r="E41" s="288"/>
      <c r="F41" s="136">
        <f>Q41/18</f>
        <v>3315036.1666666665</v>
      </c>
      <c r="G41" s="190">
        <f t="shared" ref="G41" si="64">F41/F40-1</f>
        <v>7.7551327041486706E-2</v>
      </c>
      <c r="H41" s="190">
        <f t="shared" ref="H41" si="65">F41/F29-1</f>
        <v>-0.54999094582364338</v>
      </c>
      <c r="I41" s="130">
        <f t="shared" si="0"/>
        <v>36.706666900671422</v>
      </c>
      <c r="J41" s="130">
        <f t="shared" si="5"/>
        <v>2.5098168522590614E-2</v>
      </c>
      <c r="K41" s="194"/>
      <c r="L41" s="202"/>
      <c r="M41" s="202"/>
      <c r="N41" s="194"/>
      <c r="O41" s="194"/>
      <c r="P41" s="129" t="s">
        <v>793</v>
      </c>
      <c r="Q41" s="116">
        <v>59670651</v>
      </c>
      <c r="R41" s="116">
        <v>87337527372</v>
      </c>
      <c r="S41" s="116">
        <v>1625607.99</v>
      </c>
      <c r="T41" s="173">
        <f t="shared" ref="T41" si="66">Q41/S41</f>
        <v>36.706666900671422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4440686.2</v>
      </c>
      <c r="G42" s="190">
        <f t="shared" ref="G42" si="67">F42/F41-1</f>
        <v>0.33955889973447761</v>
      </c>
      <c r="H42" s="190">
        <f t="shared" ref="H42:H47" si="68">F42/F30-1</f>
        <v>-0.57029793481428759</v>
      </c>
      <c r="I42" s="130">
        <f t="shared" si="0"/>
        <v>32.602106444596835</v>
      </c>
      <c r="J42" s="130">
        <f t="shared" si="5"/>
        <v>-9.179771900115874E-2</v>
      </c>
      <c r="K42" s="194"/>
      <c r="L42" s="202"/>
      <c r="M42" s="202"/>
      <c r="N42" s="194"/>
      <c r="O42" s="194"/>
      <c r="P42" s="129" t="s">
        <v>826</v>
      </c>
      <c r="Q42" s="116">
        <v>88813724</v>
      </c>
      <c r="R42" s="116">
        <v>128343070206</v>
      </c>
      <c r="S42" s="116">
        <v>2724171.34</v>
      </c>
      <c r="T42" s="173">
        <f t="shared" ref="T42" si="69">Q42/S42</f>
        <v>32.602106444596835</v>
      </c>
      <c r="U42" s="175"/>
    </row>
    <row r="43" spans="1:21" s="92" customFormat="1">
      <c r="A43" s="129" t="s">
        <v>835</v>
      </c>
      <c r="B43" s="188">
        <f>SUM(F41:F43)</f>
        <v>11566611.316666666</v>
      </c>
      <c r="C43" s="188">
        <f>AVERAGE(F41:F43)</f>
        <v>3855537.1055555553</v>
      </c>
      <c r="D43" s="190">
        <f>C43/C40-1</f>
        <v>0.56906229659533714</v>
      </c>
      <c r="E43" s="287">
        <f>C43/C31-1</f>
        <v>-0.50986466139981856</v>
      </c>
      <c r="F43" s="136">
        <f>Q43/20</f>
        <v>3810888.95</v>
      </c>
      <c r="G43" s="190">
        <f t="shared" ref="G43" si="70">F43/F42-1</f>
        <v>-0.14182430859446904</v>
      </c>
      <c r="H43" s="190">
        <f t="shared" si="68"/>
        <v>-0.35385387461937978</v>
      </c>
      <c r="I43" s="130">
        <f t="shared" si="0"/>
        <v>30.339351796663227</v>
      </c>
      <c r="J43" s="130">
        <f t="shared" si="5"/>
        <v>-0.12699069931132656</v>
      </c>
      <c r="K43" s="136">
        <f>R41+R42+R43</f>
        <v>326202560146</v>
      </c>
      <c r="L43" s="190">
        <f>U43/U40-1</f>
        <v>0.47195665479668714</v>
      </c>
      <c r="M43" s="190">
        <f>K43/K31-1</f>
        <v>-0.48335107936789679</v>
      </c>
      <c r="N43" s="191">
        <f>AVERAGE(T41:T43)</f>
        <v>33.216041713977162</v>
      </c>
      <c r="O43" s="192">
        <f>N43/N40-1</f>
        <v>-0.29367292136872869</v>
      </c>
      <c r="P43" s="129" t="s">
        <v>835</v>
      </c>
      <c r="Q43" s="116">
        <v>76217779</v>
      </c>
      <c r="R43" s="116">
        <v>110521962568</v>
      </c>
      <c r="S43" s="116">
        <v>2512175.59</v>
      </c>
      <c r="T43" s="173">
        <f t="shared" ref="T43" si="71">Q43/S43</f>
        <v>30.339351796663227</v>
      </c>
      <c r="U43" s="85">
        <f>Q41+Q42+Q43</f>
        <v>224702154</v>
      </c>
    </row>
    <row r="44" spans="1:21" s="92" customFormat="1">
      <c r="A44" s="129" t="s">
        <v>843</v>
      </c>
      <c r="B44" s="188"/>
      <c r="C44" s="188"/>
      <c r="D44" s="190"/>
      <c r="E44" s="287"/>
      <c r="F44" s="136">
        <f>Q44/22</f>
        <v>8281682.5</v>
      </c>
      <c r="G44" s="190">
        <f t="shared" ref="G44" si="72">F44/F43-1</f>
        <v>1.1731629046813343</v>
      </c>
      <c r="H44" s="190">
        <f t="shared" si="68"/>
        <v>0.54963148797404404</v>
      </c>
      <c r="I44" s="130">
        <f t="shared" si="0"/>
        <v>30.001067920492538</v>
      </c>
      <c r="J44" s="130">
        <f t="shared" si="5"/>
        <v>-0.17458561288879393</v>
      </c>
      <c r="K44" s="136"/>
      <c r="L44" s="190"/>
      <c r="M44" s="190"/>
      <c r="N44" s="191"/>
      <c r="O44" s="192"/>
      <c r="P44" s="129" t="s">
        <v>843</v>
      </c>
      <c r="Q44" s="116">
        <v>182197015</v>
      </c>
      <c r="R44" s="116">
        <v>266331561618</v>
      </c>
      <c r="S44" s="116">
        <v>6073017.6500000004</v>
      </c>
      <c r="T44" s="173">
        <f t="shared" ref="T44" si="73">Q44/S44</f>
        <v>30.001067920492538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2562013.75</v>
      </c>
      <c r="G45" s="190">
        <f t="shared" ref="G45" si="74">F45/F44-1</f>
        <v>-0.69064091143315376</v>
      </c>
      <c r="H45" s="190">
        <f t="shared" si="68"/>
        <v>-0.52991161159007261</v>
      </c>
      <c r="I45" s="130">
        <f t="shared" si="0"/>
        <v>32.658990621311141</v>
      </c>
      <c r="J45" s="130">
        <f t="shared" si="5"/>
        <v>-0.14189543950566408</v>
      </c>
      <c r="K45" s="136"/>
      <c r="L45" s="190"/>
      <c r="M45" s="190"/>
      <c r="N45" s="191"/>
      <c r="O45" s="192"/>
      <c r="P45" s="129" t="s">
        <v>871</v>
      </c>
      <c r="Q45" s="116">
        <v>51240275</v>
      </c>
      <c r="R45" s="116">
        <v>72077739006</v>
      </c>
      <c r="S45" s="116">
        <v>1568948.52</v>
      </c>
      <c r="T45" s="173">
        <f t="shared" ref="T45" si="75">Q45/S45</f>
        <v>32.658990621311141</v>
      </c>
      <c r="U45" s="85"/>
    </row>
    <row r="46" spans="1:21" s="92" customFormat="1">
      <c r="A46" s="129" t="s">
        <v>893</v>
      </c>
      <c r="B46" s="188">
        <f>SUM(F44:F46)</f>
        <v>13465311.77631579</v>
      </c>
      <c r="C46" s="188">
        <f>AVERAGE(F44:F46)</f>
        <v>4488437.2587719299</v>
      </c>
      <c r="D46" s="190">
        <f>C46/C43-1</f>
        <v>0.16415356301574957</v>
      </c>
      <c r="E46" s="287">
        <f>C46/C34-1</f>
        <v>-0.21735979254169502</v>
      </c>
      <c r="F46" s="136">
        <f>Q46/19</f>
        <v>2621615.5263157897</v>
      </c>
      <c r="G46" s="190">
        <f t="shared" ref="G46" si="76">F46/F45-1</f>
        <v>2.3263644200109956E-2</v>
      </c>
      <c r="H46" s="190">
        <f t="shared" si="68"/>
        <v>-0.59105140849666893</v>
      </c>
      <c r="I46" s="130">
        <f t="shared" si="0"/>
        <v>31.655035896411526</v>
      </c>
      <c r="J46" s="130">
        <f t="shared" si="5"/>
        <v>-9.4821977301794869E-2</v>
      </c>
      <c r="K46" s="136">
        <f>R44+R45+R46</f>
        <v>406632815900</v>
      </c>
      <c r="L46" s="190">
        <f>U46/U43-1</f>
        <v>0.26054859714428913</v>
      </c>
      <c r="M46" s="190">
        <f>K46/K34-1</f>
        <v>-0.14663263331178544</v>
      </c>
      <c r="N46" s="191">
        <f>AVERAGE(T44:T46)</f>
        <v>31.438364812738399</v>
      </c>
      <c r="O46" s="192">
        <f>N46/N43-1</f>
        <v>-5.3518625625121552E-2</v>
      </c>
      <c r="P46" s="129" t="s">
        <v>888</v>
      </c>
      <c r="Q46" s="116">
        <v>49810695</v>
      </c>
      <c r="R46" s="116">
        <v>68223515276</v>
      </c>
      <c r="S46" s="116">
        <v>1573547.26</v>
      </c>
      <c r="T46" s="173">
        <f t="shared" ref="T46" si="77">Q46/S46</f>
        <v>31.655035896411526</v>
      </c>
      <c r="U46" s="85">
        <f t="shared" ref="U46:U51" si="78">Q44+Q45+Q46</f>
        <v>283247985</v>
      </c>
    </row>
    <row r="47" spans="1:21" s="92" customFormat="1">
      <c r="A47" s="129" t="s">
        <v>991</v>
      </c>
      <c r="B47" s="188"/>
      <c r="C47" s="188"/>
      <c r="D47" s="190"/>
      <c r="E47" s="287"/>
      <c r="F47" s="136">
        <f>Q47/23</f>
        <v>2128727.4782608696</v>
      </c>
      <c r="G47" s="190">
        <f t="shared" ref="G47" si="79">F47/F46-1</f>
        <v>-0.188009280196622</v>
      </c>
      <c r="H47" s="190">
        <f t="shared" si="68"/>
        <v>-0.29299674358822181</v>
      </c>
      <c r="I47" s="130">
        <f t="shared" si="0"/>
        <v>35.59121311446809</v>
      </c>
      <c r="J47" s="130">
        <f t="shared" si="5"/>
        <v>-0.11164148958107389</v>
      </c>
      <c r="K47" s="136"/>
      <c r="L47" s="190"/>
      <c r="M47" s="190"/>
      <c r="N47" s="191"/>
      <c r="O47" s="192"/>
      <c r="P47" s="129" t="s">
        <v>991</v>
      </c>
      <c r="Q47" s="116">
        <v>48960732</v>
      </c>
      <c r="R47" s="116">
        <v>67327018213</v>
      </c>
      <c r="S47" s="116">
        <v>1375641</v>
      </c>
      <c r="T47" s="173">
        <f t="shared" ref="T47" si="80">Q47/S47</f>
        <v>35.59121311446809</v>
      </c>
      <c r="U47" s="85">
        <f t="shared" si="78"/>
        <v>150011702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2114033.15</v>
      </c>
      <c r="G48" s="190">
        <f t="shared" ref="G48" si="81">F48/F47-1</f>
        <v>-6.9028696302988468E-3</v>
      </c>
      <c r="H48" s="190">
        <f t="shared" ref="H48" si="82">F48/F36-1</f>
        <v>-0.27564928586150406</v>
      </c>
      <c r="I48" s="130">
        <f t="shared" si="0"/>
        <v>34.080587395668125</v>
      </c>
      <c r="J48" s="130">
        <f t="shared" si="5"/>
        <v>-0.27855250777341622</v>
      </c>
      <c r="K48" s="136"/>
      <c r="L48" s="190"/>
      <c r="M48" s="190"/>
      <c r="N48" s="191"/>
      <c r="O48" s="192"/>
      <c r="P48" s="129" t="s">
        <v>1137</v>
      </c>
      <c r="Q48" s="116">
        <v>42280663</v>
      </c>
      <c r="R48" s="116">
        <v>58684687290</v>
      </c>
      <c r="S48" s="116">
        <v>1240608.3999999999</v>
      </c>
      <c r="T48" s="173">
        <f t="shared" ref="T48" si="83">Q48/S48</f>
        <v>34.080587395668125</v>
      </c>
      <c r="U48" s="85">
        <f t="shared" si="78"/>
        <v>141052090</v>
      </c>
    </row>
    <row r="49" spans="1:26">
      <c r="A49" s="129" t="s">
        <v>1158</v>
      </c>
      <c r="B49" s="188">
        <f>SUM(F47:F49)</f>
        <v>7636981.9009881429</v>
      </c>
      <c r="C49" s="188">
        <f>AVERAGE(F47:F49)</f>
        <v>2545660.6336627142</v>
      </c>
      <c r="D49" s="190">
        <f>C49/C46-1</f>
        <v>-0.43284032127493166</v>
      </c>
      <c r="E49" s="287">
        <f>C49/C37-1</f>
        <v>-0.1837731451913508</v>
      </c>
      <c r="F49" s="136">
        <f>Q49/22</f>
        <v>3394221.2727272729</v>
      </c>
      <c r="G49" s="190">
        <f t="shared" ref="G49" si="84">F49/F48-1</f>
        <v>0.60556672099833109</v>
      </c>
      <c r="H49" s="190">
        <f t="shared" ref="H49" si="85">F49/F37-1</f>
        <v>-9.5670617426087956E-3</v>
      </c>
      <c r="I49" s="130">
        <f t="shared" si="0"/>
        <v>35.567028737846123</v>
      </c>
      <c r="J49" s="130">
        <f t="shared" si="5"/>
        <v>-0.16837592505211163</v>
      </c>
      <c r="K49" s="136">
        <f>R47+R48+R49</f>
        <v>229884224849</v>
      </c>
      <c r="L49" s="190">
        <f>U49/U46-1</f>
        <v>-0.41424380124010418</v>
      </c>
      <c r="M49" s="190">
        <f>K49/K37-1</f>
        <v>-0.1216333100691025</v>
      </c>
      <c r="N49" s="191">
        <f>AVERAGE(T47:T49)</f>
        <v>35.079609749327453</v>
      </c>
      <c r="O49" s="192">
        <f>N49/N46-1</f>
        <v>0.11582170250514023</v>
      </c>
      <c r="P49" s="129" t="s">
        <v>1158</v>
      </c>
      <c r="Q49" s="116">
        <v>74672868</v>
      </c>
      <c r="R49" s="116">
        <v>103872519346</v>
      </c>
      <c r="S49" s="116">
        <v>2099496.94</v>
      </c>
      <c r="T49" s="173">
        <f t="shared" ref="T49" si="86">Q49/S49</f>
        <v>35.567028737846123</v>
      </c>
      <c r="U49" s="85">
        <f t="shared" si="78"/>
        <v>165914263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4514492.166666667</v>
      </c>
      <c r="G50" s="190">
        <f t="shared" ref="G50" si="87">F50/F49-1</f>
        <v>0.33005240493329735</v>
      </c>
      <c r="H50" s="190">
        <f t="shared" ref="H50" si="88">F50/F38-1</f>
        <v>1.1000765144943174</v>
      </c>
      <c r="I50" s="130">
        <f t="shared" ref="I50" si="89">T50</f>
        <v>34.60791069873553</v>
      </c>
      <c r="J50" s="130">
        <f t="shared" ref="J50" si="90">I50/I38-1</f>
        <v>-0.30438047954273195</v>
      </c>
      <c r="K50" s="136"/>
      <c r="L50" s="190"/>
      <c r="M50" s="190"/>
      <c r="N50" s="191"/>
      <c r="O50" s="192"/>
      <c r="P50" s="129" t="s">
        <v>1291</v>
      </c>
      <c r="Q50" s="116">
        <v>81260859</v>
      </c>
      <c r="R50" s="116">
        <v>115300687854</v>
      </c>
      <c r="S50" s="116">
        <v>2348042.9</v>
      </c>
      <c r="T50" s="10">
        <f t="shared" ref="T50" si="91">Q50/S50</f>
        <v>34.60791069873553</v>
      </c>
      <c r="U50" s="85">
        <f t="shared" si="78"/>
        <v>198214390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2755783.5</v>
      </c>
      <c r="G51" s="190">
        <f t="shared" ref="G51:G52" si="92">F51/F50-1</f>
        <v>-0.38956954663745313</v>
      </c>
      <c r="H51" s="190">
        <f t="shared" ref="H51:H52" si="93">F51/F39-1</f>
        <v>0.28442528417001478</v>
      </c>
      <c r="I51" s="130">
        <f t="shared" ref="I51:I52" si="94">T51</f>
        <v>36.353837349717892</v>
      </c>
      <c r="J51" s="130">
        <f t="shared" ref="J51:J52" si="95">I51/I39-1</f>
        <v>-0.27851529678772935</v>
      </c>
      <c r="K51" s="136"/>
      <c r="L51" s="190"/>
      <c r="M51" s="190"/>
      <c r="N51" s="191"/>
      <c r="O51" s="192"/>
      <c r="P51" s="129" t="s">
        <v>1402</v>
      </c>
      <c r="Q51" s="116">
        <v>55115670</v>
      </c>
      <c r="R51" s="116">
        <v>79729162000</v>
      </c>
      <c r="S51" s="116">
        <v>1516089.47</v>
      </c>
      <c r="T51" s="10">
        <f t="shared" ref="T51:T52" si="96">Q51/S51</f>
        <v>36.353837349717892</v>
      </c>
      <c r="U51" s="85">
        <f t="shared" si="78"/>
        <v>211049397</v>
      </c>
    </row>
    <row r="52" spans="1:26" s="79" customFormat="1">
      <c r="A52" s="129" t="s">
        <v>1403</v>
      </c>
      <c r="B52" s="188">
        <f>SUM(F50:F52)</f>
        <v>9518169.4393939395</v>
      </c>
      <c r="C52" s="188">
        <f>AVERAGE(F50:F52)</f>
        <v>3172723.1464646463</v>
      </c>
      <c r="D52" s="190">
        <f>C52/C49-1</f>
        <v>0.24632604382136769</v>
      </c>
      <c r="E52" s="287">
        <f>C52/C40-1</f>
        <v>0.29118204036469231</v>
      </c>
      <c r="F52" s="136">
        <f>Q52/22</f>
        <v>2247893.7727272729</v>
      </c>
      <c r="G52" s="190">
        <f t="shared" si="92"/>
        <v>-0.18429957479342152</v>
      </c>
      <c r="H52" s="190">
        <f t="shared" si="93"/>
        <v>-0.2693229285983455</v>
      </c>
      <c r="I52" s="130">
        <f t="shared" si="94"/>
        <v>28.130211880515944</v>
      </c>
      <c r="J52" s="130">
        <f t="shared" si="95"/>
        <v>-0.3129009644403441</v>
      </c>
      <c r="K52" s="136">
        <f>R50+R51+R52</f>
        <v>267775353660</v>
      </c>
      <c r="L52" s="190">
        <f>U52/U49-1</f>
        <v>0.12003747381260399</v>
      </c>
      <c r="M52" s="190">
        <f>K52/K40-1</f>
        <v>0.25792653677895361</v>
      </c>
      <c r="N52" s="191">
        <f>AVERAGE(T50:T52)</f>
        <v>33.030653309656451</v>
      </c>
      <c r="O52" s="192">
        <f>N52/N49-1</f>
        <v>-5.8408758088031032E-2</v>
      </c>
      <c r="P52" s="129" t="s">
        <v>1403</v>
      </c>
      <c r="Q52" s="116">
        <v>49453663</v>
      </c>
      <c r="R52" s="116">
        <v>72745503806</v>
      </c>
      <c r="S52" s="116">
        <v>1758026.68</v>
      </c>
      <c r="T52" s="10">
        <f t="shared" si="96"/>
        <v>28.130211880515944</v>
      </c>
      <c r="U52" s="85">
        <f t="shared" ref="U52" si="97">Q50+Q51+Q52</f>
        <v>185830192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3034224.6190476189</v>
      </c>
      <c r="G53" s="190">
        <f t="shared" ref="G53" si="98">F53/F52-1</f>
        <v>0.34980783160688445</v>
      </c>
      <c r="H53" s="190">
        <f t="shared" ref="H53" si="99">F53/F41-1</f>
        <v>-8.4708441628077003E-2</v>
      </c>
      <c r="I53" s="130">
        <f t="shared" ref="I53" si="100">T53</f>
        <v>37.906958910694357</v>
      </c>
      <c r="J53" s="130">
        <f t="shared" ref="J53" si="101">I53/I41-1</f>
        <v>3.269956417647335E-2</v>
      </c>
      <c r="K53" s="136"/>
      <c r="L53" s="190"/>
      <c r="M53" s="190"/>
      <c r="N53" s="191"/>
      <c r="O53" s="192"/>
      <c r="P53" s="129" t="s">
        <v>1414</v>
      </c>
      <c r="Q53" s="116">
        <v>63718717</v>
      </c>
      <c r="R53" s="116">
        <v>92864170475</v>
      </c>
      <c r="S53" s="116">
        <v>1680924</v>
      </c>
      <c r="T53" s="10">
        <f t="shared" ref="T53" si="102">Q53/S53</f>
        <v>37.906958910694357</v>
      </c>
      <c r="U53" s="85">
        <f t="shared" ref="U53" si="103">Q51+Q52+Q53</f>
        <v>168288050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3400694.8235294116</v>
      </c>
      <c r="G54" s="190">
        <f t="shared" ref="G54" si="104">F54/F53-1</f>
        <v>0.12077886461708953</v>
      </c>
      <c r="H54" s="190">
        <f t="shared" ref="H54" si="105">F54/F42-1</f>
        <v>-0.23419609709656775</v>
      </c>
      <c r="I54" s="130">
        <f t="shared" ref="I54" si="106">T54</f>
        <v>31.922066613881228</v>
      </c>
      <c r="J54" s="130">
        <f t="shared" ref="J54" si="107">I54/I42-1</f>
        <v>-2.0858769720025538E-2</v>
      </c>
      <c r="K54" s="136"/>
      <c r="L54" s="190"/>
      <c r="M54" s="190"/>
      <c r="N54" s="191"/>
      <c r="O54" s="192"/>
      <c r="P54" s="129" t="s">
        <v>1417</v>
      </c>
      <c r="Q54" s="116">
        <v>57811812</v>
      </c>
      <c r="R54" s="116">
        <v>83719856796</v>
      </c>
      <c r="S54" s="116">
        <v>1811029.74</v>
      </c>
      <c r="T54" s="10">
        <f t="shared" ref="T54" si="108">Q54/S54</f>
        <v>31.922066613881228</v>
      </c>
      <c r="U54" s="85">
        <f t="shared" ref="U54" si="109">Q52+Q53+Q54</f>
        <v>170984192</v>
      </c>
    </row>
    <row r="55" spans="1:26" s="79" customFormat="1">
      <c r="A55" s="129" t="s">
        <v>1418</v>
      </c>
      <c r="B55" s="188">
        <f>SUM(F53:F55)</f>
        <v>13425940.25210084</v>
      </c>
      <c r="C55" s="188">
        <f>AVERAGE(F53:F55)</f>
        <v>4475313.417366947</v>
      </c>
      <c r="D55" s="190">
        <f>C55/C52-1</f>
        <v>0.41055907205574238</v>
      </c>
      <c r="E55" s="287">
        <f>C55/C43-1</f>
        <v>0.16074966855288153</v>
      </c>
      <c r="F55" s="136">
        <f>Q55/21</f>
        <v>6991020.8095238097</v>
      </c>
      <c r="G55" s="190">
        <f t="shared" ref="G55" si="110">F55/F54-1</f>
        <v>1.0557624757014148</v>
      </c>
      <c r="H55" s="190">
        <f t="shared" ref="H55" si="111">F55/F43-1</f>
        <v>0.83448557574048676</v>
      </c>
      <c r="I55" s="130">
        <f>T55</f>
        <v>31.429216564216294</v>
      </c>
      <c r="J55" s="130">
        <f t="shared" ref="J55" si="112">I55/I43-1</f>
        <v>3.5922480310635052E-2</v>
      </c>
      <c r="K55" s="136">
        <f>R53+R54+R55</f>
        <v>392020898131</v>
      </c>
      <c r="L55" s="190">
        <f>U55/U52-1</f>
        <v>0.44401705186851448</v>
      </c>
      <c r="M55" s="190">
        <f>K55/K43-1</f>
        <v>0.20177137161505221</v>
      </c>
      <c r="N55" s="191">
        <f>AVERAGE(T53:T55)</f>
        <v>33.752747362930627</v>
      </c>
      <c r="O55" s="192">
        <f>N55/N52-1</f>
        <v>2.1861331245999649E-2</v>
      </c>
      <c r="P55" s="129" t="s">
        <v>1418</v>
      </c>
      <c r="Q55" s="116">
        <v>146811437</v>
      </c>
      <c r="R55" s="116">
        <v>215436870860</v>
      </c>
      <c r="S55" s="116">
        <v>4671177.1100000003</v>
      </c>
      <c r="T55" s="10">
        <f t="shared" ref="T55" si="113">Q55/S55</f>
        <v>31.429216564216294</v>
      </c>
      <c r="U55" s="85">
        <f t="shared" ref="U55" si="114">Q53+Q54+Q55</f>
        <v>268341966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2899811.9545454546</v>
      </c>
      <c r="G56" s="190">
        <f t="shared" ref="G56" si="115">F56/F55-1</f>
        <v>-0.58520907982492854</v>
      </c>
      <c r="H56" s="190">
        <f t="shared" ref="H56" si="116">F56/F44-1</f>
        <v>-0.64985231508869667</v>
      </c>
      <c r="I56" s="291">
        <f>T56</f>
        <v>39.55541603479044</v>
      </c>
      <c r="J56" s="130">
        <f t="shared" ref="J56" si="117">I56/I44-1</f>
        <v>0.31846693389776659</v>
      </c>
      <c r="K56" s="136"/>
      <c r="L56" s="190"/>
      <c r="M56" s="190"/>
      <c r="N56" s="191"/>
      <c r="O56" s="192"/>
      <c r="P56" s="129" t="s">
        <v>1420</v>
      </c>
      <c r="Q56" s="116">
        <v>63795863</v>
      </c>
      <c r="R56" s="116">
        <v>95388248958</v>
      </c>
      <c r="S56" s="116">
        <v>1612822.45</v>
      </c>
      <c r="T56" s="10">
        <f t="shared" ref="T56" si="118">Q56/S56</f>
        <v>39.55541603479044</v>
      </c>
      <c r="U56" s="85">
        <f t="shared" ref="U56" si="119">Q54+Q55+Q56</f>
        <v>268419112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Q57/12</f>
        <v>3532813.1666666665</v>
      </c>
      <c r="G57" s="254">
        <f t="shared" ref="G57" si="120">F57/F56-1</f>
        <v>0.21829043470525145</v>
      </c>
      <c r="H57" s="254">
        <f t="shared" ref="H57" si="121">F57/F45-1</f>
        <v>0.37892045531241458</v>
      </c>
      <c r="I57" s="282">
        <f>T57</f>
        <v>27.637626160137117</v>
      </c>
      <c r="J57" s="277">
        <f t="shared" ref="J57" si="122">I57/I45-1</f>
        <v>-0.15375136725436356</v>
      </c>
      <c r="K57" s="204"/>
      <c r="L57" s="254"/>
      <c r="M57" s="254"/>
      <c r="N57" s="257"/>
      <c r="O57" s="258"/>
      <c r="P57" s="129" t="s">
        <v>1436</v>
      </c>
      <c r="Q57" s="116">
        <v>42393758</v>
      </c>
      <c r="R57" s="116">
        <v>62409465945</v>
      </c>
      <c r="S57" s="116">
        <v>1533914.59</v>
      </c>
      <c r="T57" s="10">
        <f t="shared" ref="T57" si="123">Q57/S57</f>
        <v>27.637626160137117</v>
      </c>
      <c r="U57" s="85">
        <f t="shared" ref="U57" si="124">Q55+Q56+Q57</f>
        <v>253001058</v>
      </c>
    </row>
    <row r="58" spans="1:26">
      <c r="B58" s="196">
        <f>SUM(F56:F58)</f>
        <v>6432625.1212121211</v>
      </c>
      <c r="C58" s="196">
        <f>AVERAGE(F56:F58)</f>
        <v>3216312.5606060605</v>
      </c>
      <c r="D58" s="197">
        <f>C58/C55-1</f>
        <v>-0.2813212705673741</v>
      </c>
      <c r="E58" s="233">
        <f>C58/C46-1</f>
        <v>-0.28342263126875744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374531587</v>
      </c>
      <c r="R65" s="212">
        <v>549818613034</v>
      </c>
      <c r="S65" s="213">
        <v>11309867.91</v>
      </c>
      <c r="T65" s="214">
        <v>20</v>
      </c>
      <c r="U65" s="214">
        <v>111</v>
      </c>
    </row>
    <row r="66" spans="16:21" ht="18" thickBot="1">
      <c r="P66" s="180" t="s">
        <v>976</v>
      </c>
      <c r="Q66" s="181">
        <v>63718717</v>
      </c>
      <c r="R66" s="181">
        <v>92864170475</v>
      </c>
      <c r="S66" s="182">
        <v>1680924</v>
      </c>
      <c r="T66" s="210">
        <v>13</v>
      </c>
      <c r="U66" s="210">
        <v>59</v>
      </c>
    </row>
    <row r="67" spans="16:21" ht="18" thickBot="1">
      <c r="P67" s="180" t="s">
        <v>977</v>
      </c>
      <c r="Q67" s="181">
        <v>57811812</v>
      </c>
      <c r="R67" s="181">
        <v>83719856796</v>
      </c>
      <c r="S67" s="182">
        <v>1811029.74</v>
      </c>
      <c r="T67" s="210">
        <v>11</v>
      </c>
      <c r="U67" s="210">
        <v>46</v>
      </c>
    </row>
    <row r="68" spans="16:21" ht="18" thickBot="1">
      <c r="P68" s="180" t="s">
        <v>978</v>
      </c>
      <c r="Q68" s="181">
        <v>146811437</v>
      </c>
      <c r="R68" s="181">
        <v>215436870860</v>
      </c>
      <c r="S68" s="182">
        <v>4671177.1100000003</v>
      </c>
      <c r="T68" s="210">
        <v>13</v>
      </c>
      <c r="U68" s="210">
        <v>54</v>
      </c>
    </row>
    <row r="69" spans="16:21" ht="18" thickBot="1">
      <c r="P69" s="180" t="s">
        <v>979</v>
      </c>
      <c r="Q69" s="181">
        <v>63795863</v>
      </c>
      <c r="R69" s="181">
        <v>95388248958</v>
      </c>
      <c r="S69" s="182">
        <v>1612822.45</v>
      </c>
      <c r="T69" s="210">
        <v>12</v>
      </c>
      <c r="U69" s="210">
        <v>57</v>
      </c>
    </row>
    <row r="70" spans="16:21" ht="18" thickBot="1">
      <c r="P70" s="180" t="s">
        <v>980</v>
      </c>
      <c r="Q70" s="181">
        <v>42393758</v>
      </c>
      <c r="R70" s="181">
        <v>62409465945</v>
      </c>
      <c r="S70" s="182">
        <v>1533914.59</v>
      </c>
      <c r="T70" s="210">
        <v>8</v>
      </c>
      <c r="U70" s="210">
        <v>34</v>
      </c>
    </row>
    <row r="71" spans="16:21" ht="18" thickBot="1">
      <c r="P71" s="180" t="s">
        <v>975</v>
      </c>
      <c r="Q71" s="181">
        <v>859694586</v>
      </c>
      <c r="R71" s="181">
        <v>1230494942851</v>
      </c>
      <c r="S71" s="182">
        <v>26415368.850000001</v>
      </c>
      <c r="T71" s="210">
        <v>38</v>
      </c>
      <c r="U71" s="210">
        <v>206</v>
      </c>
    </row>
    <row r="72" spans="16:21" ht="18" thickBot="1">
      <c r="P72" s="215" t="s">
        <v>982</v>
      </c>
      <c r="Q72" s="217" t="s">
        <v>1465</v>
      </c>
      <c r="R72"/>
      <c r="S72"/>
      <c r="T72"/>
      <c r="U72"/>
    </row>
  </sheetData>
  <phoneticPr fontId="1" type="noConversion"/>
  <conditionalFormatting sqref="C29:C30">
    <cfRule type="cellIs" dxfId="24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Z72"/>
  <sheetViews>
    <sheetView zoomScale="115" zoomScaleNormal="115" workbookViewId="0">
      <selection activeCell="N65" sqref="N6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1155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8507603000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1156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1425284.8</v>
      </c>
      <c r="G5" s="90"/>
      <c r="H5" s="90"/>
      <c r="I5" s="130">
        <f t="shared" ref="I5:I49" si="0">T5</f>
        <v>28.182774946386807</v>
      </c>
      <c r="J5" s="130"/>
      <c r="K5" s="79"/>
      <c r="L5" s="80"/>
      <c r="M5" s="80"/>
      <c r="N5" s="79"/>
      <c r="O5" s="79"/>
      <c r="P5" s="129" t="s">
        <v>0</v>
      </c>
      <c r="Q5" s="116">
        <v>28505696</v>
      </c>
      <c r="R5" s="116">
        <v>33596204402</v>
      </c>
      <c r="S5" s="116">
        <v>1011458.1</v>
      </c>
      <c r="T5" s="130">
        <f t="shared" ref="T5:T48" si="1">Q5/S5</f>
        <v>28.182774946386807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2133492.3333333335</v>
      </c>
      <c r="G6" s="90">
        <f t="shared" ref="G6:G48" si="2">F6/F5-1</f>
        <v>0.49688843474183786</v>
      </c>
      <c r="H6" s="90"/>
      <c r="I6" s="130">
        <f t="shared" si="0"/>
        <v>31.45494316908524</v>
      </c>
      <c r="J6" s="130"/>
      <c r="K6" s="79"/>
      <c r="L6" s="87"/>
      <c r="M6" s="87"/>
      <c r="N6" s="79"/>
      <c r="O6" s="79"/>
      <c r="P6" s="129" t="s">
        <v>1</v>
      </c>
      <c r="Q6" s="116">
        <v>38402862</v>
      </c>
      <c r="R6" s="116">
        <v>45615866698</v>
      </c>
      <c r="S6" s="116">
        <v>1220884.8</v>
      </c>
      <c r="T6" s="130">
        <f t="shared" si="1"/>
        <v>31.45494316908524</v>
      </c>
      <c r="U6" s="85"/>
    </row>
    <row r="7" spans="1:21" ht="15" hidden="1" customHeight="1">
      <c r="A7" s="129" t="s">
        <v>2</v>
      </c>
      <c r="B7" s="131">
        <f>F5+F6+F7</f>
        <v>7790712.2242424246</v>
      </c>
      <c r="C7" s="131">
        <f>AVERAGE(F5:F7)</f>
        <v>2596904.0747474749</v>
      </c>
      <c r="D7" s="117"/>
      <c r="F7" s="78">
        <f>Q7/22</f>
        <v>4231935.0909090908</v>
      </c>
      <c r="G7" s="90">
        <f t="shared" si="2"/>
        <v>0.98357173578270363</v>
      </c>
      <c r="H7" s="90"/>
      <c r="I7" s="130">
        <f t="shared" si="0"/>
        <v>27.891315429540757</v>
      </c>
      <c r="J7" s="130"/>
      <c r="K7" s="79">
        <f>R5+R6+R7</f>
        <v>191663503878</v>
      </c>
      <c r="L7" s="87"/>
      <c r="M7" s="87"/>
      <c r="N7" s="88">
        <f>AVERAGE(T5:T7)</f>
        <v>29.176344515004271</v>
      </c>
      <c r="O7" s="79"/>
      <c r="P7" s="129" t="s">
        <v>2</v>
      </c>
      <c r="Q7" s="116">
        <v>93102572</v>
      </c>
      <c r="R7" s="116">
        <v>112451432778</v>
      </c>
      <c r="S7" s="116">
        <v>3338048.8</v>
      </c>
      <c r="T7" s="130">
        <f t="shared" si="1"/>
        <v>27.891315429540757</v>
      </c>
      <c r="U7" s="85">
        <f>Q5+Q6+Q7</f>
        <v>160011130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4389229.2380952379</v>
      </c>
      <c r="G8" s="90">
        <f t="shared" si="2"/>
        <v>3.7168374232402934E-2</v>
      </c>
      <c r="H8" s="90"/>
      <c r="I8" s="130">
        <f t="shared" si="0"/>
        <v>30.05207136505943</v>
      </c>
      <c r="J8" s="130"/>
      <c r="K8" s="78"/>
      <c r="L8" s="87"/>
      <c r="M8" s="87"/>
      <c r="N8" s="79"/>
      <c r="O8" s="79"/>
      <c r="P8" s="129" t="s">
        <v>3</v>
      </c>
      <c r="Q8" s="116">
        <v>92173814</v>
      </c>
      <c r="R8" s="116">
        <v>112059037302</v>
      </c>
      <c r="S8" s="116">
        <v>3067136.8</v>
      </c>
      <c r="T8" s="130">
        <f t="shared" si="1"/>
        <v>30.05207136505943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5769234.9523809524</v>
      </c>
      <c r="G9" s="90">
        <f t="shared" si="2"/>
        <v>0.31440730010369333</v>
      </c>
      <c r="H9" s="90"/>
      <c r="I9" s="130">
        <f t="shared" si="0"/>
        <v>25.069594939755561</v>
      </c>
      <c r="J9" s="130"/>
      <c r="K9" s="78"/>
      <c r="L9" s="87"/>
      <c r="M9" s="87"/>
      <c r="N9" s="79"/>
      <c r="O9" s="79"/>
      <c r="P9" s="129" t="s">
        <v>4</v>
      </c>
      <c r="Q9" s="116">
        <v>121153934</v>
      </c>
      <c r="R9" s="116">
        <v>152361053306</v>
      </c>
      <c r="S9" s="116">
        <v>4832704.09</v>
      </c>
      <c r="T9" s="130">
        <f t="shared" si="1"/>
        <v>25.069594939755561</v>
      </c>
      <c r="U9" s="85"/>
    </row>
    <row r="10" spans="1:21" ht="15" hidden="1" customHeight="1">
      <c r="A10" s="129" t="s">
        <v>5</v>
      </c>
      <c r="B10" s="131">
        <f>F8+F9+F10</f>
        <v>13826446.571428571</v>
      </c>
      <c r="C10" s="131">
        <f>AVERAGE(F8:F10)</f>
        <v>4608815.5238095233</v>
      </c>
      <c r="D10" s="90">
        <f>C10/C7-1</f>
        <v>0.77473460364826474</v>
      </c>
      <c r="E10" s="286"/>
      <c r="F10" s="78">
        <f>Q10/21</f>
        <v>3667982.3809523811</v>
      </c>
      <c r="G10" s="90">
        <f t="shared" si="2"/>
        <v>-0.36421684829483125</v>
      </c>
      <c r="H10" s="90"/>
      <c r="I10" s="130">
        <f t="shared" si="0"/>
        <v>22.929867914330391</v>
      </c>
      <c r="J10" s="130"/>
      <c r="K10" s="79">
        <f>R8+R9+R10</f>
        <v>361795926003</v>
      </c>
      <c r="L10" s="87">
        <f>U10/U7-1</f>
        <v>0.81459488474332997</v>
      </c>
      <c r="M10" s="87"/>
      <c r="N10" s="88">
        <f>AVERAGE(T8:T10)</f>
        <v>26.017178073048459</v>
      </c>
      <c r="O10" s="89">
        <f>N10/N7-1</f>
        <v>-0.108278349960228</v>
      </c>
      <c r="P10" s="129" t="s">
        <v>5</v>
      </c>
      <c r="Q10" s="116">
        <v>77027630</v>
      </c>
      <c r="R10" s="116">
        <v>97375835395</v>
      </c>
      <c r="S10" s="116">
        <v>3359270.55</v>
      </c>
      <c r="T10" s="130">
        <f t="shared" si="1"/>
        <v>22.929867914330391</v>
      </c>
      <c r="U10" s="85">
        <f>Q8+Q9+Q10</f>
        <v>290355378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3055192.1428571427</v>
      </c>
      <c r="G11" s="90">
        <f t="shared" si="2"/>
        <v>-0.16706466238153772</v>
      </c>
      <c r="H11" s="90"/>
      <c r="I11" s="130">
        <f t="shared" si="0"/>
        <v>20.937890286545997</v>
      </c>
      <c r="J11" s="130"/>
      <c r="K11" s="78"/>
      <c r="L11" s="87"/>
      <c r="M11" s="87"/>
      <c r="N11" s="79"/>
      <c r="O11" s="89"/>
      <c r="P11" s="129" t="s">
        <v>6</v>
      </c>
      <c r="Q11" s="116">
        <v>64159035</v>
      </c>
      <c r="R11" s="116">
        <v>82704620602</v>
      </c>
      <c r="S11" s="116">
        <v>3064255</v>
      </c>
      <c r="T11" s="130">
        <f t="shared" si="1"/>
        <v>20.937890286545997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3707628.6363636362</v>
      </c>
      <c r="G12" s="90">
        <f t="shared" si="2"/>
        <v>0.21355006919347153</v>
      </c>
      <c r="H12" s="90"/>
      <c r="I12" s="130">
        <f t="shared" si="0"/>
        <v>25.325885786872639</v>
      </c>
      <c r="J12" s="130"/>
      <c r="K12" s="78"/>
      <c r="L12" s="87"/>
      <c r="M12" s="87"/>
      <c r="N12" s="79"/>
      <c r="O12" s="89"/>
      <c r="P12" s="129" t="s">
        <v>7</v>
      </c>
      <c r="Q12" s="116">
        <v>81567830</v>
      </c>
      <c r="R12" s="116">
        <v>105853613582</v>
      </c>
      <c r="S12" s="116">
        <v>3220729.6</v>
      </c>
      <c r="T12" s="130">
        <f t="shared" si="1"/>
        <v>25.325885786872639</v>
      </c>
      <c r="U12" s="85"/>
    </row>
    <row r="13" spans="1:21" ht="15" hidden="1" customHeight="1">
      <c r="A13" s="129" t="s">
        <v>96</v>
      </c>
      <c r="B13" s="131">
        <f>F11+F12+F13</f>
        <v>9160105.3792207781</v>
      </c>
      <c r="C13" s="131">
        <f>AVERAGE(F11:F13)</f>
        <v>3053368.4597402592</v>
      </c>
      <c r="D13" s="90">
        <f>C13/C10-1</f>
        <v>-0.33749388666864522</v>
      </c>
      <c r="E13" s="286"/>
      <c r="F13" s="78">
        <f>Q13/20</f>
        <v>2397284.6</v>
      </c>
      <c r="G13" s="90">
        <f t="shared" si="2"/>
        <v>-0.35341836113575653</v>
      </c>
      <c r="H13" s="90"/>
      <c r="I13" s="130">
        <f t="shared" si="0"/>
        <v>26.38317312163268</v>
      </c>
      <c r="J13" s="130"/>
      <c r="K13" s="78">
        <f>R11+R12+R13</f>
        <v>254353795941</v>
      </c>
      <c r="L13" s="87">
        <f>U13/U10-1</f>
        <v>-0.3329809892482859</v>
      </c>
      <c r="M13" s="87"/>
      <c r="N13" s="88">
        <f>AVERAGE(T11:T13)</f>
        <v>24.215649731683772</v>
      </c>
      <c r="O13" s="89">
        <f>N13/N10-1</f>
        <v>-6.9243802548705879E-2</v>
      </c>
      <c r="P13" s="129" t="s">
        <v>96</v>
      </c>
      <c r="Q13" s="116">
        <v>47945692</v>
      </c>
      <c r="R13" s="116">
        <v>65795561757</v>
      </c>
      <c r="S13" s="116">
        <v>1817283</v>
      </c>
      <c r="T13" s="130">
        <f t="shared" si="1"/>
        <v>26.38317312163268</v>
      </c>
      <c r="U13" s="85">
        <f>Q11+Q12+Q13</f>
        <v>193672557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4401873.95</v>
      </c>
      <c r="G14" s="90">
        <f t="shared" si="2"/>
        <v>0.83619164366216681</v>
      </c>
      <c r="H14" s="90"/>
      <c r="I14" s="130">
        <f t="shared" si="0"/>
        <v>27.718348141906013</v>
      </c>
      <c r="J14" s="130"/>
      <c r="K14" s="79"/>
      <c r="L14" s="87"/>
      <c r="M14" s="87"/>
      <c r="N14" s="79"/>
      <c r="O14" s="89"/>
      <c r="P14" s="129" t="s">
        <v>97</v>
      </c>
      <c r="Q14" s="116">
        <v>88037479</v>
      </c>
      <c r="R14" s="116">
        <v>125419378811</v>
      </c>
      <c r="S14" s="116">
        <v>3176144.5</v>
      </c>
      <c r="T14" s="130">
        <f t="shared" si="1"/>
        <v>27.718348141906013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4607657.1363636367</v>
      </c>
      <c r="G15" s="90">
        <f t="shared" si="2"/>
        <v>4.6748995700714335E-2</v>
      </c>
      <c r="H15" s="90"/>
      <c r="I15" s="130">
        <f t="shared" si="0"/>
        <v>34.824575359250488</v>
      </c>
      <c r="J15" s="130"/>
      <c r="K15" s="79"/>
      <c r="L15" s="87"/>
      <c r="M15" s="87"/>
      <c r="N15" s="79"/>
      <c r="O15" s="89"/>
      <c r="P15" s="129" t="s">
        <v>98</v>
      </c>
      <c r="Q15" s="116">
        <v>101368457</v>
      </c>
      <c r="R15" s="116">
        <v>140412786270</v>
      </c>
      <c r="S15" s="116">
        <v>2910831.1</v>
      </c>
      <c r="T15" s="130">
        <f t="shared" si="1"/>
        <v>34.824575359250488</v>
      </c>
      <c r="U15" s="78"/>
    </row>
    <row r="16" spans="1:21" ht="15" hidden="1" customHeight="1">
      <c r="A16" s="129" t="s">
        <v>99</v>
      </c>
      <c r="B16" s="131">
        <f>F14+F15+F16</f>
        <v>15995476.313636363</v>
      </c>
      <c r="C16" s="131">
        <f>AVERAGE(F14:F16)</f>
        <v>5331825.4378787875</v>
      </c>
      <c r="D16" s="90">
        <f>C16/C13-1</f>
        <v>0.74621094970383939</v>
      </c>
      <c r="E16" s="286"/>
      <c r="F16" s="78">
        <f>Q16/22</f>
        <v>6985945.2272727275</v>
      </c>
      <c r="G16" s="90">
        <f t="shared" si="2"/>
        <v>0.51615995299208306</v>
      </c>
      <c r="H16" s="90"/>
      <c r="I16" s="130">
        <f t="shared" si="0"/>
        <v>31.226251541647244</v>
      </c>
      <c r="J16" s="130"/>
      <c r="K16" s="78">
        <f>R14+R15+R16</f>
        <v>465346146578</v>
      </c>
      <c r="L16" s="87">
        <f>U16/U13-1</f>
        <v>0.7715299282179664</v>
      </c>
      <c r="M16" s="87"/>
      <c r="N16" s="88">
        <f>AVERAGE(T14:T16)</f>
        <v>31.256391680934581</v>
      </c>
      <c r="O16" s="89">
        <f>N16/N13-1</f>
        <v>0.29075172573373886</v>
      </c>
      <c r="P16" s="129" t="s">
        <v>99</v>
      </c>
      <c r="Q16" s="116">
        <v>153690795</v>
      </c>
      <c r="R16" s="116">
        <v>199513981497</v>
      </c>
      <c r="S16" s="116">
        <v>4921845.8</v>
      </c>
      <c r="T16" s="130">
        <f t="shared" si="1"/>
        <v>31.226251541647244</v>
      </c>
      <c r="U16" s="85">
        <f>Q14+Q15+Q16</f>
        <v>343096731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5764230.25</v>
      </c>
      <c r="G17" s="90">
        <f t="shared" si="2"/>
        <v>-0.17488184311884136</v>
      </c>
      <c r="H17" s="90">
        <f t="shared" ref="H17:H48" si="3">F17/F5-1</f>
        <v>3.0442655741505131</v>
      </c>
      <c r="I17" s="130">
        <f t="shared" si="0"/>
        <v>30.495016612877528</v>
      </c>
      <c r="J17" s="130">
        <f t="shared" ref="J17:J49" si="4">I17/I5-1</f>
        <v>8.2044499552985428E-2</v>
      </c>
      <c r="K17" s="79"/>
      <c r="L17" s="87"/>
      <c r="M17" s="87"/>
      <c r="N17" s="79"/>
      <c r="O17" s="89"/>
      <c r="P17" s="129" t="s">
        <v>100</v>
      </c>
      <c r="Q17" s="116">
        <v>115284605</v>
      </c>
      <c r="R17" s="116">
        <v>143425078347</v>
      </c>
      <c r="S17" s="116">
        <v>3780440.8</v>
      </c>
      <c r="T17" s="130">
        <f t="shared" si="1"/>
        <v>30.495016612877528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6486182.5999999996</v>
      </c>
      <c r="G18" s="90">
        <f t="shared" si="2"/>
        <v>0.12524696597607288</v>
      </c>
      <c r="H18" s="90">
        <f t="shared" si="3"/>
        <v>2.0401715059674457</v>
      </c>
      <c r="I18" s="130">
        <f t="shared" si="0"/>
        <v>25.680618591705969</v>
      </c>
      <c r="J18" s="130">
        <f t="shared" si="4"/>
        <v>-0.18357447178777397</v>
      </c>
      <c r="K18" s="79"/>
      <c r="L18" s="87"/>
      <c r="M18" s="87"/>
      <c r="N18" s="79"/>
      <c r="O18" s="89"/>
      <c r="P18" s="129" t="s">
        <v>106</v>
      </c>
      <c r="Q18" s="116">
        <v>129723652</v>
      </c>
      <c r="R18" s="116">
        <v>165169444965</v>
      </c>
      <c r="S18" s="116">
        <v>5051422.4000000004</v>
      </c>
      <c r="T18" s="130">
        <f t="shared" si="1"/>
        <v>25.680618591705969</v>
      </c>
      <c r="U18" s="78"/>
    </row>
    <row r="19" spans="1:21" hidden="1">
      <c r="A19" s="129" t="s">
        <v>114</v>
      </c>
      <c r="B19" s="131">
        <f>SUM(F17:F19)</f>
        <v>16472592.986363636</v>
      </c>
      <c r="C19" s="131">
        <f>AVERAGE(F17:F19)</f>
        <v>5490864.3287878791</v>
      </c>
      <c r="D19" s="90">
        <f>C19/C16-1</f>
        <v>2.9828225391482999E-2</v>
      </c>
      <c r="E19" s="286">
        <f>C19/C7-1</f>
        <v>1.1143885837684686</v>
      </c>
      <c r="F19" s="78">
        <f>Q19/22</f>
        <v>4222180.1363636367</v>
      </c>
      <c r="G19" s="90">
        <f t="shared" si="2"/>
        <v>-0.34905006584864928</v>
      </c>
      <c r="H19" s="90">
        <f t="shared" si="3"/>
        <v>-2.3050813247134094E-3</v>
      </c>
      <c r="I19" s="130">
        <f t="shared" si="0"/>
        <v>33.472890130152898</v>
      </c>
      <c r="J19" s="130">
        <f t="shared" si="4"/>
        <v>0.20011873282607828</v>
      </c>
      <c r="K19" s="78">
        <f>R17+R18+R19</f>
        <v>430110603926</v>
      </c>
      <c r="L19" s="87">
        <f>U19/U16-1</f>
        <v>-1.5157564995861184E-2</v>
      </c>
      <c r="M19" s="87">
        <f>U19/U7-1</f>
        <v>1.1117044795571407</v>
      </c>
      <c r="N19" s="88">
        <f>AVERAGE(T17:T19)</f>
        <v>29.882841778245467</v>
      </c>
      <c r="O19" s="89">
        <f>N19/N16-1</f>
        <v>-4.3944608728682444E-2</v>
      </c>
      <c r="P19" s="129" t="s">
        <v>114</v>
      </c>
      <c r="Q19" s="116">
        <v>92887963</v>
      </c>
      <c r="R19" s="116">
        <v>121516080614</v>
      </c>
      <c r="S19" s="116">
        <v>2775020.7</v>
      </c>
      <c r="T19" s="130">
        <f t="shared" si="1"/>
        <v>33.472890130152898</v>
      </c>
      <c r="U19" s="85">
        <f>Q17+Q18+Q19</f>
        <v>337896220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5490006.7000000002</v>
      </c>
      <c r="G20" s="90">
        <f t="shared" si="2"/>
        <v>0.30027770551928246</v>
      </c>
      <c r="H20" s="90">
        <f t="shared" si="3"/>
        <v>0.25079060632122707</v>
      </c>
      <c r="I20" s="130">
        <f t="shared" si="0"/>
        <v>34.967244521438815</v>
      </c>
      <c r="J20" s="130">
        <f t="shared" si="4"/>
        <v>0.16355522042630644</v>
      </c>
      <c r="K20" s="79"/>
      <c r="L20" s="87"/>
      <c r="M20" s="87"/>
      <c r="N20" s="79"/>
      <c r="O20" s="89"/>
      <c r="P20" s="129" t="s">
        <v>131</v>
      </c>
      <c r="Q20" s="116">
        <v>109800134</v>
      </c>
      <c r="R20" s="116">
        <v>144468038175</v>
      </c>
      <c r="S20" s="116">
        <v>3140085.4</v>
      </c>
      <c r="T20" s="130">
        <f t="shared" si="1"/>
        <v>34.967244521438815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5211883.5714285718</v>
      </c>
      <c r="G21" s="90">
        <f t="shared" si="2"/>
        <v>-5.065988873409355E-2</v>
      </c>
      <c r="H21" s="90">
        <f t="shared" si="3"/>
        <v>-9.6607502650305932E-2</v>
      </c>
      <c r="I21" s="130">
        <f t="shared" si="0"/>
        <v>37.58264524249163</v>
      </c>
      <c r="J21" s="130">
        <f t="shared" si="4"/>
        <v>0.49913252818029274</v>
      </c>
      <c r="K21" s="79"/>
      <c r="L21" s="87"/>
      <c r="M21" s="87"/>
      <c r="N21" s="79"/>
      <c r="O21" s="89"/>
      <c r="P21" s="129" t="s">
        <v>141</v>
      </c>
      <c r="Q21" s="116">
        <v>109449555</v>
      </c>
      <c r="R21" s="116">
        <v>146038342868</v>
      </c>
      <c r="S21" s="116">
        <v>2912236.6</v>
      </c>
      <c r="T21" s="130">
        <f t="shared" si="1"/>
        <v>37.58264524249163</v>
      </c>
      <c r="U21" s="78"/>
    </row>
    <row r="22" spans="1:21" hidden="1">
      <c r="A22" s="129" t="s">
        <v>155</v>
      </c>
      <c r="B22" s="131">
        <f>SUM(F20:F22)</f>
        <v>18479307.414285716</v>
      </c>
      <c r="C22" s="131">
        <f>AVERAGE(F20:F22)</f>
        <v>6159769.1380952382</v>
      </c>
      <c r="D22" s="90">
        <f>C22/C19-1</f>
        <v>0.12182140538428143</v>
      </c>
      <c r="E22" s="286">
        <f>C22/C10-1</f>
        <v>0.33651891820650226</v>
      </c>
      <c r="F22" s="78">
        <f>Q22/21</f>
        <v>7777417.1428571427</v>
      </c>
      <c r="G22" s="90">
        <f t="shared" si="2"/>
        <v>0.49224690771926838</v>
      </c>
      <c r="H22" s="90">
        <f t="shared" si="3"/>
        <v>1.1203529175180384</v>
      </c>
      <c r="I22" s="130">
        <f t="shared" si="0"/>
        <v>33.111105614863227</v>
      </c>
      <c r="J22" s="130">
        <f t="shared" si="4"/>
        <v>0.44401641294104044</v>
      </c>
      <c r="K22" s="78">
        <f>R20+R21+R22</f>
        <v>500881099152</v>
      </c>
      <c r="L22" s="87">
        <f>U22/U19-1</f>
        <v>0.1322276674181202</v>
      </c>
      <c r="M22" s="87">
        <f>U22/U10-1</f>
        <v>0.3176110311275171</v>
      </c>
      <c r="N22" s="88">
        <f>AVERAGE(T20:T22)</f>
        <v>35.220331792931226</v>
      </c>
      <c r="O22" s="89">
        <f>N22/N19-1</f>
        <v>0.17861386993560369</v>
      </c>
      <c r="P22" s="129" t="s">
        <v>155</v>
      </c>
      <c r="Q22" s="116">
        <v>163325760</v>
      </c>
      <c r="R22" s="116">
        <v>210374718109</v>
      </c>
      <c r="S22" s="116">
        <v>4932658</v>
      </c>
      <c r="T22" s="130">
        <f t="shared" si="1"/>
        <v>33.111105614863227</v>
      </c>
      <c r="U22" s="85">
        <f>Q20+Q21+Q22</f>
        <v>382575449</v>
      </c>
    </row>
    <row r="23" spans="1:21" hidden="1">
      <c r="A23" s="129" t="s">
        <v>189</v>
      </c>
      <c r="B23" s="131"/>
      <c r="C23" s="131"/>
      <c r="D23" s="117"/>
      <c r="F23" s="78">
        <f>Q23/21</f>
        <v>5143567.666666667</v>
      </c>
      <c r="G23" s="90">
        <f t="shared" si="2"/>
        <v>-0.33865349225988595</v>
      </c>
      <c r="H23" s="90">
        <f t="shared" si="3"/>
        <v>0.68354965126891343</v>
      </c>
      <c r="I23" s="130">
        <f t="shared" si="0"/>
        <v>33.412378058573459</v>
      </c>
      <c r="J23" s="130">
        <f t="shared" si="4"/>
        <v>0.59578532513579741</v>
      </c>
      <c r="K23" s="79"/>
      <c r="L23" s="87"/>
      <c r="M23" s="87"/>
      <c r="N23" s="79"/>
      <c r="O23" s="89"/>
      <c r="P23" s="129" t="s">
        <v>189</v>
      </c>
      <c r="Q23" s="116">
        <v>108014921</v>
      </c>
      <c r="R23" s="116">
        <v>138424829568</v>
      </c>
      <c r="S23" s="116">
        <v>3232781.6</v>
      </c>
      <c r="T23" s="130">
        <f t="shared" si="1"/>
        <v>33.412378058573459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4814523.9090909092</v>
      </c>
      <c r="G24" s="90">
        <f t="shared" si="2"/>
        <v>-6.3971892448922985E-2</v>
      </c>
      <c r="H24" s="90">
        <f t="shared" si="3"/>
        <v>0.29854534563442492</v>
      </c>
      <c r="I24" s="130">
        <f t="shared" si="0"/>
        <v>34.825095828623986</v>
      </c>
      <c r="J24" s="130">
        <f t="shared" si="4"/>
        <v>0.37507908397325029</v>
      </c>
      <c r="K24" s="79"/>
      <c r="L24" s="87"/>
      <c r="M24" s="87"/>
      <c r="N24" s="79"/>
      <c r="O24" s="89"/>
      <c r="P24" s="129" t="s">
        <v>204</v>
      </c>
      <c r="Q24" s="116">
        <v>105919526</v>
      </c>
      <c r="R24" s="116">
        <v>140333205500</v>
      </c>
      <c r="S24" s="116">
        <v>3041471.2</v>
      </c>
      <c r="T24" s="130">
        <f t="shared" si="1"/>
        <v>34.825095828623986</v>
      </c>
      <c r="U24" s="78"/>
    </row>
    <row r="25" spans="1:21" s="92" customFormat="1" ht="13.2" hidden="1">
      <c r="A25" s="129" t="s">
        <v>217</v>
      </c>
      <c r="B25" s="131">
        <f>SUM(F23:F25)</f>
        <v>16129205.94417863</v>
      </c>
      <c r="C25" s="131">
        <f>AVERAGE(F23:F25)</f>
        <v>5376401.9813928762</v>
      </c>
      <c r="D25" s="90">
        <f>C25/C22-1</f>
        <v>-0.12717475917362053</v>
      </c>
      <c r="E25" s="286">
        <f>C25/C13-1</f>
        <v>0.76081008639560999</v>
      </c>
      <c r="F25" s="78">
        <f>Q25/19</f>
        <v>6171114.3684210526</v>
      </c>
      <c r="G25" s="90">
        <f t="shared" si="2"/>
        <v>0.28177042734559787</v>
      </c>
      <c r="H25" s="90">
        <f t="shared" si="3"/>
        <v>1.5742101577847922</v>
      </c>
      <c r="I25" s="130">
        <f t="shared" si="0"/>
        <v>34.342436209013741</v>
      </c>
      <c r="J25" s="130">
        <f t="shared" si="4"/>
        <v>0.30167952318271096</v>
      </c>
      <c r="K25" s="78">
        <f>R23+R24+R25</f>
        <v>434538055592</v>
      </c>
      <c r="L25" s="90">
        <f>U25/U22-1</f>
        <v>-0.13432599800725842</v>
      </c>
      <c r="M25" s="90">
        <f>U25/U13-1</f>
        <v>0.71002864386202114</v>
      </c>
      <c r="N25" s="88">
        <f>AVERAGE(T23:T25)</f>
        <v>34.193303365403729</v>
      </c>
      <c r="O25" s="91">
        <f>N25/N22-1</f>
        <v>-2.9160100863491079E-2</v>
      </c>
      <c r="P25" s="129" t="s">
        <v>217</v>
      </c>
      <c r="Q25" s="116">
        <v>117251173</v>
      </c>
      <c r="R25" s="116">
        <v>155780020524</v>
      </c>
      <c r="S25" s="116">
        <v>3414177.5</v>
      </c>
      <c r="T25" s="130">
        <f t="shared" si="1"/>
        <v>34.342436209013741</v>
      </c>
      <c r="U25" s="85">
        <f>Q23+Q24+Q25</f>
        <v>331185620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3242367.4210526315</v>
      </c>
      <c r="G26" s="90">
        <f t="shared" si="2"/>
        <v>-0.4745896401394637</v>
      </c>
      <c r="H26" s="90">
        <f t="shared" si="3"/>
        <v>-0.26341202454181334</v>
      </c>
      <c r="I26" s="130">
        <f t="shared" si="0"/>
        <v>33.731453307287751</v>
      </c>
      <c r="J26" s="130">
        <f t="shared" si="4"/>
        <v>0.21693591315749505</v>
      </c>
      <c r="K26" s="79"/>
      <c r="L26" s="90"/>
      <c r="M26" s="90"/>
      <c r="N26" s="79"/>
      <c r="O26" s="79"/>
      <c r="P26" s="129" t="s">
        <v>312</v>
      </c>
      <c r="Q26" s="116">
        <v>61604981</v>
      </c>
      <c r="R26" s="116">
        <v>83215628330</v>
      </c>
      <c r="S26" s="116">
        <v>1826336.4</v>
      </c>
      <c r="T26" s="130">
        <f t="shared" si="1"/>
        <v>33.731453307287751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13227482.045454545</v>
      </c>
      <c r="G27" s="90">
        <f t="shared" si="2"/>
        <v>3.0795753003095054</v>
      </c>
      <c r="H27" s="90">
        <f t="shared" si="3"/>
        <v>1.8707609212202962</v>
      </c>
      <c r="I27" s="130">
        <f t="shared" si="0"/>
        <v>26.987118017137838</v>
      </c>
      <c r="J27" s="130">
        <f t="shared" si="4"/>
        <v>-0.22505535993652193</v>
      </c>
      <c r="K27" s="79"/>
      <c r="L27" s="90"/>
      <c r="M27" s="90"/>
      <c r="N27" s="79"/>
      <c r="O27" s="79"/>
      <c r="P27" s="129" t="s">
        <v>373</v>
      </c>
      <c r="Q27" s="116">
        <v>291004605</v>
      </c>
      <c r="R27" s="116">
        <v>382035112294</v>
      </c>
      <c r="S27" s="116">
        <v>10783093.060000001</v>
      </c>
      <c r="T27" s="130">
        <f t="shared" si="1"/>
        <v>26.987118017137838</v>
      </c>
      <c r="U27" s="78"/>
    </row>
    <row r="28" spans="1:21" s="92" customFormat="1" ht="13.2" hidden="1">
      <c r="A28" s="123" t="s">
        <v>413</v>
      </c>
      <c r="B28" s="131">
        <f>SUM(F26:F28)</f>
        <v>34959870.677033491</v>
      </c>
      <c r="C28" s="131">
        <f>AVERAGE(F26:F28)</f>
        <v>11653290.225677831</v>
      </c>
      <c r="D28" s="90">
        <f>C28/C25-1</f>
        <v>1.1674886412899483</v>
      </c>
      <c r="E28" s="286">
        <f>C28/C16-1</f>
        <v>1.1856098556583605</v>
      </c>
      <c r="F28" s="78">
        <f>Q28/19</f>
        <v>18490021.210526317</v>
      </c>
      <c r="G28" s="90">
        <f t="shared" si="2"/>
        <v>0.3978488987539528</v>
      </c>
      <c r="H28" s="90">
        <f t="shared" si="3"/>
        <v>1.6467458030364082</v>
      </c>
      <c r="I28" s="130">
        <f t="shared" si="0"/>
        <v>24.530595006401231</v>
      </c>
      <c r="J28" s="130">
        <f t="shared" si="4"/>
        <v>-0.21442396075993453</v>
      </c>
      <c r="K28" s="78">
        <f>R26+R27+R28</f>
        <v>924170136228</v>
      </c>
      <c r="L28" s="90">
        <f>U28/U25-1</f>
        <v>1.1254545683475023</v>
      </c>
      <c r="M28" s="90">
        <f>U28/U16-1</f>
        <v>1.0516662660945029</v>
      </c>
      <c r="N28" s="88">
        <f>AVERAGE(T26:T28)</f>
        <v>28.416388776942274</v>
      </c>
      <c r="O28" s="91">
        <f>N28/N25-1</f>
        <v>-0.16894871275603196</v>
      </c>
      <c r="P28" s="129" t="s">
        <v>413</v>
      </c>
      <c r="Q28" s="116">
        <v>351310403</v>
      </c>
      <c r="R28" s="116">
        <v>458919395604</v>
      </c>
      <c r="S28" s="116">
        <v>14321316.01</v>
      </c>
      <c r="T28" s="130">
        <f t="shared" si="1"/>
        <v>24.530595006401231</v>
      </c>
      <c r="U28" s="85">
        <f>Q26+Q27+Q28</f>
        <v>703919989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3988589.4545454546</v>
      </c>
      <c r="G29" s="190">
        <f t="shared" si="2"/>
        <v>-0.78428421421849093</v>
      </c>
      <c r="H29" s="190">
        <f t="shared" si="3"/>
        <v>-0.30804473770882856</v>
      </c>
      <c r="I29" s="130">
        <f t="shared" si="0"/>
        <v>28.031758327175325</v>
      </c>
      <c r="J29" s="130">
        <f t="shared" si="4"/>
        <v>-8.0775764675662165E-2</v>
      </c>
      <c r="K29" s="136"/>
      <c r="L29" s="190"/>
      <c r="M29" s="190"/>
      <c r="N29" s="191"/>
      <c r="O29" s="192"/>
      <c r="P29" s="129" t="s">
        <v>426</v>
      </c>
      <c r="Q29" s="116">
        <v>87748968</v>
      </c>
      <c r="R29" s="116">
        <v>116635029871</v>
      </c>
      <c r="S29" s="116">
        <v>3130341.2</v>
      </c>
      <c r="T29" s="130">
        <f t="shared" si="1"/>
        <v>28.031758327175325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4">
        <f>Q30/19</f>
        <v>6551237.1052631577</v>
      </c>
      <c r="G30" s="190">
        <f t="shared" si="2"/>
        <v>0.64249471647107548</v>
      </c>
      <c r="H30" s="190">
        <f t="shared" si="3"/>
        <v>1.0029706111443382E-2</v>
      </c>
      <c r="I30" s="130">
        <f t="shared" si="0"/>
        <v>27.866748342350153</v>
      </c>
      <c r="J30" s="130">
        <f t="shared" si="4"/>
        <v>8.512761259381163E-2</v>
      </c>
      <c r="K30" s="136"/>
      <c r="L30" s="190"/>
      <c r="M30" s="190"/>
      <c r="N30" s="191"/>
      <c r="O30" s="192"/>
      <c r="P30" s="129" t="s">
        <v>466</v>
      </c>
      <c r="Q30" s="116">
        <v>124473505</v>
      </c>
      <c r="R30" s="116">
        <v>165892417634</v>
      </c>
      <c r="S30" s="116">
        <v>4466739.4800000004</v>
      </c>
      <c r="T30" s="130">
        <f t="shared" si="1"/>
        <v>27.866748342350153</v>
      </c>
      <c r="U30" s="85"/>
    </row>
    <row r="31" spans="1:21" s="92" customFormat="1" ht="13.2" hidden="1">
      <c r="A31" s="129" t="s">
        <v>505</v>
      </c>
      <c r="B31" s="188">
        <f>SUM(F29:F31)</f>
        <v>15241029.609808613</v>
      </c>
      <c r="C31" s="188">
        <f>AVERAGE(F29:F31)</f>
        <v>5080343.2032695375</v>
      </c>
      <c r="D31" s="190">
        <f>C31/C28-1</f>
        <v>-0.56404216278119579</v>
      </c>
      <c r="E31" s="287">
        <f>C31/C19-1</f>
        <v>-7.4764390619894483E-2</v>
      </c>
      <c r="F31" s="136">
        <f>Q31/20</f>
        <v>4701203.05</v>
      </c>
      <c r="G31" s="190">
        <f t="shared" si="2"/>
        <v>-0.2823946112066178</v>
      </c>
      <c r="H31" s="190">
        <f t="shared" si="3"/>
        <v>0.11345392621000827</v>
      </c>
      <c r="I31" s="130">
        <f t="shared" si="0"/>
        <v>27.496793838894984</v>
      </c>
      <c r="J31" s="130">
        <f t="shared" si="4"/>
        <v>-0.17853541382357518</v>
      </c>
      <c r="K31" s="136">
        <f>R29+R30+R31</f>
        <v>407353793851</v>
      </c>
      <c r="L31" s="190">
        <f>U31/U28-1</f>
        <v>-0.56494127346055523</v>
      </c>
      <c r="M31" s="190">
        <f>U31/U19-1</f>
        <v>-9.3666883873397611E-2</v>
      </c>
      <c r="N31" s="191">
        <f>AVERAGE(T29:T31)</f>
        <v>27.798433502806819</v>
      </c>
      <c r="O31" s="192">
        <f>N31/N28-1</f>
        <v>-2.1746439316626898E-2</v>
      </c>
      <c r="P31" s="129" t="s">
        <v>505</v>
      </c>
      <c r="Q31" s="116">
        <v>94024061</v>
      </c>
      <c r="R31" s="116">
        <v>124826346346</v>
      </c>
      <c r="S31" s="116">
        <v>3419455.43</v>
      </c>
      <c r="T31" s="130">
        <f t="shared" si="1"/>
        <v>27.496793838894984</v>
      </c>
      <c r="U31" s="85">
        <f>Q29+Q30+Q31</f>
        <v>306246534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3233009.9523809524</v>
      </c>
      <c r="G32" s="190">
        <f t="shared" si="2"/>
        <v>-0.31230157089663413</v>
      </c>
      <c r="H32" s="190">
        <f t="shared" si="3"/>
        <v>-0.41111001697302985</v>
      </c>
      <c r="I32" s="130">
        <f t="shared" si="0"/>
        <v>29.522850406277666</v>
      </c>
      <c r="J32" s="130">
        <f t="shared" si="4"/>
        <v>-0.15569983250533592</v>
      </c>
      <c r="K32" s="136"/>
      <c r="L32" s="190"/>
      <c r="M32" s="190"/>
      <c r="N32" s="191"/>
      <c r="O32" s="192"/>
      <c r="P32" s="129" t="s">
        <v>561</v>
      </c>
      <c r="Q32" s="116">
        <v>67893209</v>
      </c>
      <c r="R32" s="116">
        <v>92038213414</v>
      </c>
      <c r="S32" s="116">
        <v>2299683.4</v>
      </c>
      <c r="T32" s="130">
        <f t="shared" si="1"/>
        <v>29.522850406277666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3011852.5714285714</v>
      </c>
      <c r="G33" s="190">
        <f t="shared" si="2"/>
        <v>-6.8406031595884653E-2</v>
      </c>
      <c r="H33" s="190">
        <f t="shared" si="3"/>
        <v>-0.42211821692651019</v>
      </c>
      <c r="I33" s="130">
        <f t="shared" si="0"/>
        <v>22.979257708793515</v>
      </c>
      <c r="J33" s="130">
        <f t="shared" si="4"/>
        <v>-0.38856731450045079</v>
      </c>
      <c r="K33" s="136"/>
      <c r="L33" s="190"/>
      <c r="M33" s="190"/>
      <c r="N33" s="191"/>
      <c r="O33" s="192"/>
      <c r="P33" s="129" t="s">
        <v>606</v>
      </c>
      <c r="Q33" s="116">
        <v>63248904</v>
      </c>
      <c r="R33" s="116">
        <v>86419682581</v>
      </c>
      <c r="S33" s="116">
        <v>2752434.6</v>
      </c>
      <c r="T33" s="130">
        <f t="shared" si="1"/>
        <v>22.979257708793515</v>
      </c>
      <c r="U33" s="85"/>
    </row>
    <row r="34" spans="1:21" s="92" customFormat="1" ht="13.2" hidden="1">
      <c r="A34" s="129" t="s">
        <v>652</v>
      </c>
      <c r="B34" s="188">
        <f>SUM(F32:F34)</f>
        <v>18698454.365914788</v>
      </c>
      <c r="C34" s="188">
        <f>AVERAGE(F32:F34)</f>
        <v>6232818.121971596</v>
      </c>
      <c r="D34" s="190">
        <f>C34/C31-1</f>
        <v>0.22684981557158679</v>
      </c>
      <c r="E34" s="287">
        <f>C34/C22-1</f>
        <v>1.1859045726987594E-2</v>
      </c>
      <c r="F34" s="136">
        <f>Q34/19</f>
        <v>12453591.842105264</v>
      </c>
      <c r="G34" s="190">
        <f t="shared" si="2"/>
        <v>3.1348610354451445</v>
      </c>
      <c r="H34" s="190">
        <f t="shared" si="3"/>
        <v>0.60125033971499997</v>
      </c>
      <c r="I34" s="130">
        <f t="shared" si="0"/>
        <v>20.537635844010961</v>
      </c>
      <c r="J34" s="130">
        <f t="shared" si="4"/>
        <v>-0.37973572725424698</v>
      </c>
      <c r="K34" s="136">
        <f>R32+R33+R34</f>
        <v>503847638445</v>
      </c>
      <c r="L34" s="190">
        <f>U34/U31-1</f>
        <v>0.2008637394080679</v>
      </c>
      <c r="M34" s="190">
        <f>U34/U22-1</f>
        <v>-3.8724625531315837E-2</v>
      </c>
      <c r="N34" s="191">
        <f>AVERAGE(T32:T34)</f>
        <v>24.346581319694049</v>
      </c>
      <c r="O34" s="192">
        <f>N34/N31-1</f>
        <v>-0.1241743417939084</v>
      </c>
      <c r="P34" s="129" t="s">
        <v>652</v>
      </c>
      <c r="Q34" s="116">
        <v>236618245</v>
      </c>
      <c r="R34" s="116">
        <v>325389742450</v>
      </c>
      <c r="S34" s="116">
        <v>11521201.699999999</v>
      </c>
      <c r="T34" s="130">
        <f t="shared" si="1"/>
        <v>20.537635844010961</v>
      </c>
      <c r="U34" s="85">
        <f>Q32+Q33+Q34</f>
        <v>367760358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10639686.130434783</v>
      </c>
      <c r="G35" s="190">
        <f t="shared" si="2"/>
        <v>-0.14565321673203657</v>
      </c>
      <c r="H35" s="190">
        <f t="shared" si="3"/>
        <v>1.0685420742855558</v>
      </c>
      <c r="I35" s="130">
        <f t="shared" si="0"/>
        <v>19.327794130994942</v>
      </c>
      <c r="J35" s="130">
        <f t="shared" si="4"/>
        <v>-0.42153790738532837</v>
      </c>
      <c r="K35" s="136"/>
      <c r="L35" s="190"/>
      <c r="M35" s="190"/>
      <c r="N35" s="191"/>
      <c r="O35" s="192"/>
      <c r="P35" s="129" t="s">
        <v>659</v>
      </c>
      <c r="Q35" s="116">
        <v>244712781</v>
      </c>
      <c r="R35" s="116">
        <v>338614930039</v>
      </c>
      <c r="S35" s="116">
        <v>12661185.199999999</v>
      </c>
      <c r="T35" s="130">
        <f t="shared" si="1"/>
        <v>19.327794130994942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12723010.666666666</v>
      </c>
      <c r="G36" s="190">
        <f t="shared" si="2"/>
        <v>0.19580695433040463</v>
      </c>
      <c r="H36" s="190">
        <f t="shared" si="3"/>
        <v>1.6426311109687806</v>
      </c>
      <c r="I36" s="130">
        <f t="shared" si="0"/>
        <v>19.133193851803735</v>
      </c>
      <c r="J36" s="130">
        <f t="shared" si="4"/>
        <v>-0.45059178168642733</v>
      </c>
      <c r="K36" s="136"/>
      <c r="L36" s="190"/>
      <c r="M36" s="190"/>
      <c r="N36" s="191"/>
      <c r="O36" s="192"/>
      <c r="P36" s="129" t="s">
        <v>664</v>
      </c>
      <c r="Q36" s="116">
        <v>267183224</v>
      </c>
      <c r="R36" s="116">
        <v>364980601987</v>
      </c>
      <c r="S36" s="116">
        <v>13964381.800000001</v>
      </c>
      <c r="T36" s="130">
        <f t="shared" si="1"/>
        <v>19.133193851803735</v>
      </c>
      <c r="U36" s="85"/>
    </row>
    <row r="37" spans="1:21" s="92" customFormat="1" hidden="1">
      <c r="A37" s="129" t="s">
        <v>702</v>
      </c>
      <c r="B37" s="188">
        <f>SUM(F35:F37)</f>
        <v>38146244.797101453</v>
      </c>
      <c r="C37" s="188">
        <f>AVERAGE(F35:F37)</f>
        <v>12715414.932367152</v>
      </c>
      <c r="D37" s="190">
        <f>C37/C34-1</f>
        <v>1.0400747596891127</v>
      </c>
      <c r="E37" s="287">
        <f>C37/C25-1</f>
        <v>1.365041709376229</v>
      </c>
      <c r="F37" s="136">
        <f>Q37/18</f>
        <v>14783548</v>
      </c>
      <c r="G37" s="190">
        <f t="shared" si="2"/>
        <v>0.16195359630812756</v>
      </c>
      <c r="H37" s="190">
        <f t="shared" si="3"/>
        <v>1.3956042810761478</v>
      </c>
      <c r="I37" s="130">
        <f t="shared" si="0"/>
        <v>20.004789953732846</v>
      </c>
      <c r="J37" s="130">
        <f t="shared" si="4"/>
        <v>-0.41749065698250443</v>
      </c>
      <c r="K37" s="136">
        <f>R35+R36+R37</f>
        <v>1058688553899</v>
      </c>
      <c r="L37" s="190">
        <f>U37/U34-1</f>
        <v>1.115507699717869</v>
      </c>
      <c r="M37" s="190">
        <f>U37/U25-1</f>
        <v>1.3491354153601236</v>
      </c>
      <c r="N37" s="191">
        <f>AVERAGE(T35:T37)</f>
        <v>19.488592645510508</v>
      </c>
      <c r="O37" s="192">
        <f>N37/N34-1</f>
        <v>-0.19953473592014725</v>
      </c>
      <c r="P37" s="129" t="s">
        <v>702</v>
      </c>
      <c r="Q37" s="116">
        <v>266103864</v>
      </c>
      <c r="R37" s="116">
        <v>355093021873</v>
      </c>
      <c r="S37" s="116">
        <v>13302007.4</v>
      </c>
      <c r="T37" s="173">
        <f t="shared" si="1"/>
        <v>20.004789953732846</v>
      </c>
      <c r="U37" s="85">
        <f>Q35+Q36+Q37</f>
        <v>777999869</v>
      </c>
    </row>
    <row r="38" spans="1:21" s="92" customFormat="1" hidden="1">
      <c r="A38" s="129" t="s">
        <v>725</v>
      </c>
      <c r="B38" s="188"/>
      <c r="C38" s="188"/>
      <c r="D38" s="190"/>
      <c r="E38" s="287"/>
      <c r="F38" s="136">
        <f>Q38/20</f>
        <v>9893697.9000000004</v>
      </c>
      <c r="G38" s="190">
        <f t="shared" si="2"/>
        <v>-0.33076296028531171</v>
      </c>
      <c r="H38" s="190">
        <f t="shared" si="3"/>
        <v>2.0513808631805279</v>
      </c>
      <c r="I38" s="130">
        <f t="shared" si="0"/>
        <v>22.669223306446586</v>
      </c>
      <c r="J38" s="130">
        <f t="shared" si="4"/>
        <v>-0.32794999670088765</v>
      </c>
      <c r="K38" s="136"/>
      <c r="L38" s="190"/>
      <c r="M38" s="190"/>
      <c r="N38" s="191"/>
      <c r="O38" s="192"/>
      <c r="P38" s="129" t="s">
        <v>725</v>
      </c>
      <c r="Q38" s="116">
        <v>197873958</v>
      </c>
      <c r="R38" s="116">
        <v>265310411839</v>
      </c>
      <c r="S38" s="116">
        <v>8728748.9000000004</v>
      </c>
      <c r="T38" s="173">
        <f t="shared" si="1"/>
        <v>22.669223306446586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87"/>
      <c r="F39" s="136">
        <f>Q39/21</f>
        <v>10308850.904761905</v>
      </c>
      <c r="G39" s="190">
        <f t="shared" si="2"/>
        <v>4.1961358529241544E-2</v>
      </c>
      <c r="H39" s="190">
        <f t="shared" si="3"/>
        <v>-0.22064903438637362</v>
      </c>
      <c r="I39" s="130">
        <f t="shared" si="0"/>
        <v>18.656085008634882</v>
      </c>
      <c r="J39" s="130">
        <f t="shared" si="4"/>
        <v>-0.30870406403575346</v>
      </c>
      <c r="K39" s="136"/>
      <c r="L39" s="190"/>
      <c r="M39" s="190"/>
      <c r="N39" s="191"/>
      <c r="O39" s="192"/>
      <c r="P39" s="129" t="s">
        <v>762</v>
      </c>
      <c r="Q39" s="116">
        <v>216485869</v>
      </c>
      <c r="R39" s="116">
        <v>300972657569</v>
      </c>
      <c r="S39" s="116">
        <v>11604035.300000001</v>
      </c>
      <c r="T39" s="173">
        <f t="shared" si="1"/>
        <v>18.656085008634882</v>
      </c>
      <c r="U39" s="85"/>
    </row>
    <row r="40" spans="1:21" s="92" customFormat="1" hidden="1">
      <c r="A40" s="129" t="s">
        <v>777</v>
      </c>
      <c r="B40" s="188">
        <f>SUM(F38:F40)</f>
        <v>35913029.138095237</v>
      </c>
      <c r="C40" s="188">
        <f>AVERAGE(F38:F40)</f>
        <v>11971009.712698413</v>
      </c>
      <c r="D40" s="190">
        <f>C40/C37-1</f>
        <v>-5.8543525604803581E-2</v>
      </c>
      <c r="E40" s="287">
        <f>C40/C28-1</f>
        <v>2.7264358895009E-2</v>
      </c>
      <c r="F40" s="136">
        <f>Q40/21</f>
        <v>15710480.333333334</v>
      </c>
      <c r="G40" s="190">
        <f t="shared" si="2"/>
        <v>0.5239797799458219</v>
      </c>
      <c r="H40" s="190">
        <f t="shared" si="3"/>
        <v>-0.15032653805776053</v>
      </c>
      <c r="I40" s="130">
        <f t="shared" si="0"/>
        <v>19.147470999307966</v>
      </c>
      <c r="J40" s="130">
        <f t="shared" si="4"/>
        <v>-0.21944530924294925</v>
      </c>
      <c r="K40" s="136">
        <f>R38+R39+R40</f>
        <v>1035521032857</v>
      </c>
      <c r="L40" s="190">
        <f>U40/U37-1</f>
        <v>-4.3341851770928752E-2</v>
      </c>
      <c r="M40" s="190">
        <f>U40/U28-1</f>
        <v>5.7335955265790828E-2</v>
      </c>
      <c r="N40" s="191">
        <f>AVERAGE(T38:T40)</f>
        <v>20.157593104796479</v>
      </c>
      <c r="O40" s="192">
        <f>N40/N37-1</f>
        <v>3.4327797366121571E-2</v>
      </c>
      <c r="P40" s="129" t="s">
        <v>777</v>
      </c>
      <c r="Q40" s="116">
        <v>329920087</v>
      </c>
      <c r="R40" s="116">
        <v>469237963449</v>
      </c>
      <c r="S40" s="116">
        <v>17230478.48</v>
      </c>
      <c r="T40" s="173">
        <f t="shared" si="1"/>
        <v>19.147470999307966</v>
      </c>
      <c r="U40" s="85">
        <f>Q38+Q39+Q40</f>
        <v>744279914</v>
      </c>
    </row>
    <row r="41" spans="1:21" s="92" customFormat="1">
      <c r="A41" s="129" t="s">
        <v>787</v>
      </c>
      <c r="B41" s="194"/>
      <c r="C41" s="194"/>
      <c r="D41" s="201"/>
      <c r="E41" s="288"/>
      <c r="F41" s="136">
        <f>Q41/18</f>
        <v>8408481.777777778</v>
      </c>
      <c r="G41" s="190">
        <f t="shared" si="2"/>
        <v>-0.46478518801635338</v>
      </c>
      <c r="H41" s="190">
        <f t="shared" si="3"/>
        <v>1.1081341846790851</v>
      </c>
      <c r="I41" s="130">
        <f t="shared" si="0"/>
        <v>19.476805490192554</v>
      </c>
      <c r="J41" s="130">
        <f t="shared" si="4"/>
        <v>-0.30518787787525947</v>
      </c>
      <c r="K41" s="194"/>
      <c r="L41" s="202"/>
      <c r="M41" s="202"/>
      <c r="N41" s="194"/>
      <c r="O41" s="194"/>
      <c r="P41" s="129" t="s">
        <v>787</v>
      </c>
      <c r="Q41" s="116">
        <v>151352672</v>
      </c>
      <c r="R41" s="116">
        <v>220886145023</v>
      </c>
      <c r="S41" s="116">
        <v>7770918.7000000002</v>
      </c>
      <c r="T41" s="173">
        <f t="shared" si="1"/>
        <v>19.476805490192554</v>
      </c>
      <c r="U41" s="175"/>
    </row>
    <row r="42" spans="1:21" s="92" customFormat="1">
      <c r="A42" s="129" t="s">
        <v>826</v>
      </c>
      <c r="B42" s="194"/>
      <c r="C42" s="194"/>
      <c r="D42" s="201"/>
      <c r="E42" s="288"/>
      <c r="F42" s="136">
        <f>Q42/20</f>
        <v>7471594.2000000002</v>
      </c>
      <c r="G42" s="190">
        <f t="shared" si="2"/>
        <v>-0.11142172898011338</v>
      </c>
      <c r="H42" s="190">
        <f t="shared" si="3"/>
        <v>0.14048599981176713</v>
      </c>
      <c r="I42" s="130">
        <f t="shared" si="0"/>
        <v>20.391465904528804</v>
      </c>
      <c r="J42" s="130">
        <f t="shared" si="4"/>
        <v>-0.26825097589376368</v>
      </c>
      <c r="K42" s="194"/>
      <c r="L42" s="202"/>
      <c r="M42" s="202"/>
      <c r="N42" s="194"/>
      <c r="O42" s="194"/>
      <c r="P42" s="129" t="s">
        <v>826</v>
      </c>
      <c r="Q42" s="116">
        <v>149431884</v>
      </c>
      <c r="R42" s="116">
        <v>216446586862</v>
      </c>
      <c r="S42" s="116">
        <v>7328158</v>
      </c>
      <c r="T42" s="173">
        <f t="shared" si="1"/>
        <v>20.391465904528804</v>
      </c>
      <c r="U42" s="175"/>
    </row>
    <row r="43" spans="1:21" s="92" customFormat="1">
      <c r="A43" s="129" t="s">
        <v>834</v>
      </c>
      <c r="B43" s="188">
        <f>SUM(F41:F43)</f>
        <v>23597049.227777779</v>
      </c>
      <c r="C43" s="188">
        <f>AVERAGE(F41:F43)</f>
        <v>7865683.0759259267</v>
      </c>
      <c r="D43" s="190">
        <f>C43/C40-1</f>
        <v>-0.34293904485080362</v>
      </c>
      <c r="E43" s="287">
        <f>C43/C31-1</f>
        <v>0.54825821036339395</v>
      </c>
      <c r="F43" s="136">
        <f>Q43/20</f>
        <v>7716973.25</v>
      </c>
      <c r="G43" s="190">
        <f t="shared" si="2"/>
        <v>3.2841592226729777E-2</v>
      </c>
      <c r="H43" s="190">
        <f t="shared" si="3"/>
        <v>0.64148903332307672</v>
      </c>
      <c r="I43" s="130">
        <f t="shared" si="0"/>
        <v>21.424894372641894</v>
      </c>
      <c r="J43" s="130">
        <f t="shared" si="4"/>
        <v>-0.22082208936171377</v>
      </c>
      <c r="K43" s="136">
        <f>R41+R42+R43</f>
        <v>660996449548</v>
      </c>
      <c r="L43" s="190">
        <f>U43/U40-1</f>
        <v>-0.38850422745655344</v>
      </c>
      <c r="M43" s="190">
        <f>K43/K31-1</f>
        <v>0.62265936766941277</v>
      </c>
      <c r="N43" s="191">
        <f>AVERAGE(T41:T43)</f>
        <v>20.431055255787751</v>
      </c>
      <c r="O43" s="192">
        <f>N43/N40-1</f>
        <v>1.3566210488007213E-2</v>
      </c>
      <c r="P43" s="129" t="s">
        <v>834</v>
      </c>
      <c r="Q43" s="116">
        <v>154339465</v>
      </c>
      <c r="R43" s="116">
        <v>223663717663</v>
      </c>
      <c r="S43" s="116">
        <v>7203744.5</v>
      </c>
      <c r="T43" s="173">
        <f t="shared" si="1"/>
        <v>21.424894372641894</v>
      </c>
      <c r="U43" s="85">
        <f>Q41+Q42+Q43</f>
        <v>455124021</v>
      </c>
    </row>
    <row r="44" spans="1:21" s="92" customFormat="1">
      <c r="A44" s="129" t="s">
        <v>838</v>
      </c>
      <c r="B44" s="188"/>
      <c r="C44" s="188"/>
      <c r="D44" s="190"/>
      <c r="E44" s="287"/>
      <c r="F44" s="136">
        <f>Q44/22</f>
        <v>4625497.8636363633</v>
      </c>
      <c r="G44" s="190">
        <f t="shared" si="2"/>
        <v>-0.40060724408544979</v>
      </c>
      <c r="H44" s="190">
        <f t="shared" si="3"/>
        <v>0.43070944159324731</v>
      </c>
      <c r="I44" s="130">
        <f t="shared" si="0"/>
        <v>25.228311602628857</v>
      </c>
      <c r="J44" s="130">
        <f t="shared" si="4"/>
        <v>-0.14546491089273783</v>
      </c>
      <c r="K44" s="136"/>
      <c r="L44" s="190"/>
      <c r="M44" s="190"/>
      <c r="N44" s="191"/>
      <c r="O44" s="192"/>
      <c r="P44" s="129" t="s">
        <v>838</v>
      </c>
      <c r="Q44" s="116">
        <v>101760953</v>
      </c>
      <c r="R44" s="116">
        <v>146795513493</v>
      </c>
      <c r="S44" s="116">
        <v>4033601.4</v>
      </c>
      <c r="T44" s="173">
        <f t="shared" si="1"/>
        <v>25.228311602628857</v>
      </c>
      <c r="U44" s="85"/>
    </row>
    <row r="45" spans="1:21" s="92" customFormat="1">
      <c r="A45" s="129" t="s">
        <v>847</v>
      </c>
      <c r="B45" s="188"/>
      <c r="C45" s="188"/>
      <c r="D45" s="190"/>
      <c r="E45" s="287"/>
      <c r="F45" s="136">
        <f>Q45/20</f>
        <v>6144716.4500000002</v>
      </c>
      <c r="G45" s="190">
        <f t="shared" si="2"/>
        <v>0.32844433856667998</v>
      </c>
      <c r="H45" s="190">
        <f t="shared" si="3"/>
        <v>1.040178363406898</v>
      </c>
      <c r="I45" s="130">
        <f t="shared" si="0"/>
        <v>24.840535554400414</v>
      </c>
      <c r="J45" s="130">
        <f t="shared" si="4"/>
        <v>8.0998171011182896E-2</v>
      </c>
      <c r="K45" s="136"/>
      <c r="L45" s="190"/>
      <c r="M45" s="190"/>
      <c r="N45" s="191"/>
      <c r="O45" s="192"/>
      <c r="P45" s="129" t="s">
        <v>847</v>
      </c>
      <c r="Q45" s="116">
        <v>122894329</v>
      </c>
      <c r="R45" s="116">
        <v>172607916101</v>
      </c>
      <c r="S45" s="116">
        <v>4947330.09</v>
      </c>
      <c r="T45" s="173">
        <f t="shared" si="1"/>
        <v>24.840535554400414</v>
      </c>
      <c r="U45" s="85"/>
    </row>
    <row r="46" spans="1:21" s="92" customFormat="1">
      <c r="A46" s="129" t="s">
        <v>888</v>
      </c>
      <c r="B46" s="188">
        <f>SUM(F44:F46)</f>
        <v>20410089.366267942</v>
      </c>
      <c r="C46" s="188">
        <f>AVERAGE(F44:F46)</f>
        <v>6803363.1220893143</v>
      </c>
      <c r="D46" s="190">
        <f>C46/C43-1</f>
        <v>-0.13505755871196967</v>
      </c>
      <c r="E46" s="287">
        <f>C46/C34-1</f>
        <v>9.153884951438962E-2</v>
      </c>
      <c r="F46" s="136">
        <f>Q46/19</f>
        <v>9639875.0526315793</v>
      </c>
      <c r="G46" s="190">
        <f t="shared" si="2"/>
        <v>0.56880714204991167</v>
      </c>
      <c r="H46" s="190">
        <f t="shared" si="3"/>
        <v>-0.22593616565789343</v>
      </c>
      <c r="I46" s="130">
        <f t="shared" si="0"/>
        <v>23.733008589280981</v>
      </c>
      <c r="J46" s="130">
        <f t="shared" si="4"/>
        <v>0.15558620133007328</v>
      </c>
      <c r="K46" s="136">
        <f>R44+R45+R46</f>
        <v>570626065082</v>
      </c>
      <c r="L46" s="190">
        <f>U46/U43-1</f>
        <v>-0.10395213352186483</v>
      </c>
      <c r="M46" s="190">
        <f>K46/K34-1</f>
        <v>0.1325369447857192</v>
      </c>
      <c r="N46" s="191">
        <f>AVERAGE(T44:T46)</f>
        <v>24.600618582103419</v>
      </c>
      <c r="O46" s="192">
        <f>N46/N43-1</f>
        <v>0.20407968526904674</v>
      </c>
      <c r="P46" s="129" t="s">
        <v>888</v>
      </c>
      <c r="Q46" s="116">
        <v>183157626</v>
      </c>
      <c r="R46" s="116">
        <v>251222635488</v>
      </c>
      <c r="S46" s="116">
        <v>7717421.2999999998</v>
      </c>
      <c r="T46" s="173">
        <f t="shared" si="1"/>
        <v>23.733008589280981</v>
      </c>
      <c r="U46" s="85">
        <f t="shared" ref="U46:U51" si="5">Q44+Q45+Q46</f>
        <v>407812908</v>
      </c>
    </row>
    <row r="47" spans="1:21" s="92" customFormat="1">
      <c r="A47" s="129" t="s">
        <v>989</v>
      </c>
      <c r="B47" s="188"/>
      <c r="C47" s="188"/>
      <c r="D47" s="190"/>
      <c r="E47" s="287"/>
      <c r="F47" s="136">
        <f>Q47/23</f>
        <v>7210932.3478260869</v>
      </c>
      <c r="G47" s="190">
        <f t="shared" si="2"/>
        <v>-0.25196827671977118</v>
      </c>
      <c r="H47" s="190">
        <f t="shared" si="3"/>
        <v>-0.32226080173556615</v>
      </c>
      <c r="I47" s="130">
        <f t="shared" si="0"/>
        <v>19.984645659905834</v>
      </c>
      <c r="J47" s="130">
        <f t="shared" si="4"/>
        <v>3.3984816087084369E-2</v>
      </c>
      <c r="K47" s="136"/>
      <c r="L47" s="190"/>
      <c r="M47" s="190"/>
      <c r="N47" s="191"/>
      <c r="O47" s="192"/>
      <c r="P47" s="129" t="s">
        <v>989</v>
      </c>
      <c r="Q47" s="116">
        <v>165851444</v>
      </c>
      <c r="R47" s="116">
        <v>228047492832</v>
      </c>
      <c r="S47" s="116">
        <v>8298943.4400000004</v>
      </c>
      <c r="T47" s="173">
        <f t="shared" si="1"/>
        <v>19.984645659905834</v>
      </c>
      <c r="U47" s="85">
        <f t="shared" si="5"/>
        <v>471903399</v>
      </c>
    </row>
    <row r="48" spans="1:21" s="92" customFormat="1">
      <c r="A48" s="129" t="s">
        <v>1070</v>
      </c>
      <c r="B48" s="188"/>
      <c r="C48" s="188"/>
      <c r="D48" s="190"/>
      <c r="E48" s="287"/>
      <c r="F48" s="136">
        <f>Q48/20</f>
        <v>7416140.0499999998</v>
      </c>
      <c r="G48" s="190">
        <f t="shared" si="2"/>
        <v>2.8457859854388756E-2</v>
      </c>
      <c r="H48" s="190">
        <f t="shared" si="3"/>
        <v>-0.41710808516181386</v>
      </c>
      <c r="I48" s="130">
        <f t="shared" si="0"/>
        <v>20.598226786138198</v>
      </c>
      <c r="J48" s="130">
        <f t="shared" si="4"/>
        <v>7.657022375259892E-2</v>
      </c>
      <c r="K48" s="136"/>
      <c r="L48" s="190"/>
      <c r="M48" s="190"/>
      <c r="N48" s="191"/>
      <c r="O48" s="192"/>
      <c r="P48" s="129" t="s">
        <v>1137</v>
      </c>
      <c r="Q48" s="116">
        <v>148322801</v>
      </c>
      <c r="R48" s="116">
        <v>205917328662</v>
      </c>
      <c r="S48" s="116">
        <v>7200755.7999999998</v>
      </c>
      <c r="T48" s="173">
        <f t="shared" si="1"/>
        <v>20.598226786138198</v>
      </c>
      <c r="U48" s="85">
        <f t="shared" si="5"/>
        <v>497331871</v>
      </c>
    </row>
    <row r="49" spans="1:26">
      <c r="A49" s="129" t="s">
        <v>1158</v>
      </c>
      <c r="B49" s="188">
        <f>SUM(F47:F49)</f>
        <v>21731727.534189723</v>
      </c>
      <c r="C49" s="188">
        <f>AVERAGE(F47:F49)</f>
        <v>7243909.1780632408</v>
      </c>
      <c r="D49" s="190">
        <f>C49/C46-1</f>
        <v>6.4754158798837613E-2</v>
      </c>
      <c r="E49" s="287">
        <f>C49/C37-1</f>
        <v>-0.43030493172316109</v>
      </c>
      <c r="F49" s="136">
        <f>Q49/22</f>
        <v>7104655.1363636367</v>
      </c>
      <c r="G49" s="190">
        <f t="shared" ref="G49" si="6">F49/F48-1</f>
        <v>-4.2000948139640837E-2</v>
      </c>
      <c r="H49" s="190">
        <f t="shared" ref="H49" si="7">F49/F37-1</f>
        <v>-0.51942151259199498</v>
      </c>
      <c r="I49" s="130">
        <f t="shared" si="0"/>
        <v>19.469209167451922</v>
      </c>
      <c r="J49" s="130">
        <f t="shared" si="4"/>
        <v>-2.6772627331734911E-2</v>
      </c>
      <c r="K49" s="136">
        <f>R47+R48+R49</f>
        <v>651331491720</v>
      </c>
      <c r="L49" s="190">
        <f>U49/U46-1</f>
        <v>0.15365808381916146</v>
      </c>
      <c r="M49" s="190">
        <f>K49/K37-1</f>
        <v>-0.38477516421497293</v>
      </c>
      <c r="N49" s="191">
        <f>AVERAGE(T47:T49)</f>
        <v>20.017360537831987</v>
      </c>
      <c r="O49" s="192">
        <f>N49/N46-1</f>
        <v>-0.18630661781836999</v>
      </c>
      <c r="P49" s="129" t="s">
        <v>1158</v>
      </c>
      <c r="Q49" s="116">
        <v>156302413</v>
      </c>
      <c r="R49" s="116">
        <v>217366670226</v>
      </c>
      <c r="S49" s="116">
        <v>8028185</v>
      </c>
      <c r="T49" s="173">
        <f t="shared" ref="T49" si="8">Q49/S49</f>
        <v>19.469209167451922</v>
      </c>
      <c r="U49" s="85">
        <f t="shared" si="5"/>
        <v>470476658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87"/>
      <c r="F50" s="136">
        <f>Q50/18</f>
        <v>7086102.555555556</v>
      </c>
      <c r="G50" s="190">
        <f t="shared" ref="G50" si="9">F50/F49-1</f>
        <v>-2.6113274257498764E-3</v>
      </c>
      <c r="H50" s="190">
        <f t="shared" ref="H50" si="10">F50/F38-1</f>
        <v>-0.28377613434552562</v>
      </c>
      <c r="I50" s="130">
        <f t="shared" ref="I50" si="11">T50</f>
        <v>17.229698036553923</v>
      </c>
      <c r="J50" s="130">
        <f t="shared" ref="J50" si="12">I50/I38-1</f>
        <v>-0.23995199113618471</v>
      </c>
      <c r="K50" s="136"/>
      <c r="L50" s="190"/>
      <c r="M50" s="190"/>
      <c r="N50" s="191"/>
      <c r="O50" s="192"/>
      <c r="P50" s="129" t="s">
        <v>1362</v>
      </c>
      <c r="Q50" s="116">
        <v>127549846</v>
      </c>
      <c r="R50" s="116">
        <v>178858177821</v>
      </c>
      <c r="S50" s="116">
        <v>7402906.6399999997</v>
      </c>
      <c r="T50" s="10">
        <f t="shared" ref="T50" si="13">Q50/S50</f>
        <v>17.229698036553923</v>
      </c>
      <c r="U50" s="85">
        <f t="shared" si="5"/>
        <v>432175060</v>
      </c>
    </row>
    <row r="51" spans="1:26" s="79" customFormat="1">
      <c r="A51" s="129" t="s">
        <v>1402</v>
      </c>
      <c r="B51" s="188"/>
      <c r="C51" s="188"/>
      <c r="D51" s="190"/>
      <c r="E51" s="287"/>
      <c r="F51" s="136">
        <f>Q51/20</f>
        <v>13057665.75</v>
      </c>
      <c r="G51" s="190">
        <f t="shared" ref="G51:G52" si="14">F51/F50-1</f>
        <v>0.84271475717814659</v>
      </c>
      <c r="H51" s="190">
        <f t="shared" ref="H51:H52" si="15">F51/F39-1</f>
        <v>0.2666460957320036</v>
      </c>
      <c r="I51" s="130">
        <f t="shared" ref="I51:I52" si="16">T51</f>
        <v>23.573235933070048</v>
      </c>
      <c r="J51" s="130">
        <f t="shared" ref="J51:J52" si="17">I51/I39-1</f>
        <v>0.26356820963022454</v>
      </c>
      <c r="K51" s="136"/>
      <c r="L51" s="190"/>
      <c r="M51" s="190"/>
      <c r="N51" s="191"/>
      <c r="O51" s="192"/>
      <c r="P51" s="129" t="s">
        <v>1402</v>
      </c>
      <c r="Q51" s="116">
        <v>261153315</v>
      </c>
      <c r="R51" s="116">
        <v>379040450895</v>
      </c>
      <c r="S51" s="116">
        <v>11078382.1</v>
      </c>
      <c r="T51" s="10">
        <f t="shared" ref="T51:T52" si="18">Q51/S51</f>
        <v>23.573235933070048</v>
      </c>
      <c r="U51" s="85">
        <f t="shared" si="5"/>
        <v>545005574</v>
      </c>
    </row>
    <row r="52" spans="1:26" s="79" customFormat="1">
      <c r="A52" s="129" t="s">
        <v>1403</v>
      </c>
      <c r="B52" s="188">
        <f>SUM(F50:F52)</f>
        <v>31286893.396464646</v>
      </c>
      <c r="C52" s="188">
        <f>AVERAGE(F50:F52)</f>
        <v>10428964.465488216</v>
      </c>
      <c r="D52" s="190">
        <f>C52/C49-1</f>
        <v>0.4396873579075633</v>
      </c>
      <c r="E52" s="287">
        <f>C52/C40-1</f>
        <v>-0.12881496918129232</v>
      </c>
      <c r="F52" s="136">
        <f>Q52/22</f>
        <v>11143125.090909092</v>
      </c>
      <c r="G52" s="190">
        <f t="shared" si="14"/>
        <v>-0.14662196871526656</v>
      </c>
      <c r="H52" s="190">
        <f t="shared" si="15"/>
        <v>-0.29072028006257489</v>
      </c>
      <c r="I52" s="130">
        <f t="shared" si="16"/>
        <v>21.756738748598593</v>
      </c>
      <c r="J52" s="130">
        <f t="shared" si="17"/>
        <v>0.13627218703634192</v>
      </c>
      <c r="K52" s="136">
        <f>R50+R51+R52</f>
        <v>918842627528</v>
      </c>
      <c r="L52" s="190">
        <f>U52/U49-1</f>
        <v>0.34725475158429653</v>
      </c>
      <c r="M52" s="190">
        <f>K52/K40-1</f>
        <v>-0.11267603614683186</v>
      </c>
      <c r="N52" s="191">
        <f>AVERAGE(T50:T52)</f>
        <v>20.85322423940752</v>
      </c>
      <c r="O52" s="192">
        <f>N52/N49-1</f>
        <v>4.1756938932872023E-2</v>
      </c>
      <c r="P52" s="129" t="s">
        <v>1403</v>
      </c>
      <c r="Q52" s="116">
        <v>245148752</v>
      </c>
      <c r="R52" s="116">
        <v>360943998812</v>
      </c>
      <c r="S52" s="116">
        <v>11267715.939999999</v>
      </c>
      <c r="T52" s="10">
        <f t="shared" si="18"/>
        <v>21.756738748598593</v>
      </c>
      <c r="U52" s="85">
        <f t="shared" ref="U52" si="19">Q50+Q51+Q52</f>
        <v>633851913</v>
      </c>
    </row>
    <row r="53" spans="1:26" s="79" customFormat="1">
      <c r="A53" s="129" t="s">
        <v>1414</v>
      </c>
      <c r="B53" s="188"/>
      <c r="C53" s="188"/>
      <c r="D53" s="190"/>
      <c r="E53" s="287"/>
      <c r="F53" s="136">
        <f>Q53/21</f>
        <v>5427283.1428571427</v>
      </c>
      <c r="G53" s="190">
        <f t="shared" ref="G53" si="20">F53/F52-1</f>
        <v>-0.5129478401633587</v>
      </c>
      <c r="H53" s="190">
        <f t="shared" ref="H53" si="21">F53/F41-1</f>
        <v>-0.35454660112357606</v>
      </c>
      <c r="I53" s="130">
        <f t="shared" ref="I53" si="22">T53</f>
        <v>21.894773139840051</v>
      </c>
      <c r="J53" s="130">
        <f t="shared" ref="J53" si="23">I53/I41-1</f>
        <v>0.12414600797163855</v>
      </c>
      <c r="K53" s="136"/>
      <c r="L53" s="190"/>
      <c r="M53" s="190"/>
      <c r="N53" s="191"/>
      <c r="O53" s="192"/>
      <c r="P53" s="129" t="s">
        <v>1414</v>
      </c>
      <c r="Q53" s="116">
        <v>113972946</v>
      </c>
      <c r="R53" s="116">
        <v>165781262828</v>
      </c>
      <c r="S53" s="116">
        <v>5205486.5</v>
      </c>
      <c r="T53" s="10">
        <f t="shared" ref="T53" si="24">Q53/S53</f>
        <v>21.894773139840051</v>
      </c>
      <c r="U53" s="85">
        <f t="shared" ref="U53" si="25">Q51+Q52+Q53</f>
        <v>620275013</v>
      </c>
    </row>
    <row r="54" spans="1:26" s="79" customFormat="1">
      <c r="A54" s="129" t="s">
        <v>1417</v>
      </c>
      <c r="B54" s="188"/>
      <c r="C54" s="188"/>
      <c r="D54" s="190"/>
      <c r="E54" s="287"/>
      <c r="F54" s="136">
        <f>Q54/17</f>
        <v>9030484.7058823537</v>
      </c>
      <c r="G54" s="190">
        <f t="shared" ref="G54" si="26">F54/F53-1</f>
        <v>0.66390521153616078</v>
      </c>
      <c r="H54" s="190">
        <f t="shared" ref="H54" si="27">F54/F42-1</f>
        <v>0.20864228759671577</v>
      </c>
      <c r="I54" s="130">
        <f t="shared" ref="I54" si="28">T54</f>
        <v>23.01893355980673</v>
      </c>
      <c r="J54" s="130">
        <f t="shared" ref="J54" si="29">I54/I42-1</f>
        <v>0.12885133749478905</v>
      </c>
      <c r="K54" s="136"/>
      <c r="L54" s="190"/>
      <c r="M54" s="190"/>
      <c r="N54" s="191"/>
      <c r="O54" s="192"/>
      <c r="P54" s="129" t="s">
        <v>1417</v>
      </c>
      <c r="Q54" s="116">
        <v>153518240</v>
      </c>
      <c r="R54" s="116">
        <v>222265172647</v>
      </c>
      <c r="S54" s="116">
        <v>6669216</v>
      </c>
      <c r="T54" s="10">
        <f t="shared" ref="T54" si="30">Q54/S54</f>
        <v>23.01893355980673</v>
      </c>
      <c r="U54" s="85">
        <f t="shared" ref="U54" si="31">Q52+Q53+Q54</f>
        <v>512639938</v>
      </c>
    </row>
    <row r="55" spans="1:26" s="79" customFormat="1">
      <c r="A55" s="129" t="s">
        <v>1418</v>
      </c>
      <c r="B55" s="188">
        <f>SUM(F53:F55)</f>
        <v>25664684.848739497</v>
      </c>
      <c r="C55" s="188">
        <f>AVERAGE(F53:F55)</f>
        <v>8554894.9495798331</v>
      </c>
      <c r="D55" s="190">
        <f>C55/C52-1</f>
        <v>-0.17969852348333326</v>
      </c>
      <c r="E55" s="287">
        <f>C55/C43-1</f>
        <v>8.7622634550753808E-2</v>
      </c>
      <c r="F55" s="136">
        <f>Q55/21</f>
        <v>11206917</v>
      </c>
      <c r="G55" s="190">
        <f t="shared" ref="G55" si="32">F55/F54-1</f>
        <v>0.24100946571560478</v>
      </c>
      <c r="H55" s="190">
        <f t="shared" ref="H55" si="33">F55/F43-1</f>
        <v>0.45224256155092935</v>
      </c>
      <c r="I55" s="130">
        <f>T55</f>
        <v>23.053748376653047</v>
      </c>
      <c r="J55" s="130">
        <f t="shared" ref="J55" si="34">I55/I43-1</f>
        <v>7.6026232646966285E-2</v>
      </c>
      <c r="K55" s="136">
        <f>R53+R54+R55</f>
        <v>734700500095</v>
      </c>
      <c r="L55" s="190">
        <f>U55/U52-1</f>
        <v>-0.2066972857743824</v>
      </c>
      <c r="M55" s="190">
        <f>K55/K43-1</f>
        <v>0.11150445754648164</v>
      </c>
      <c r="N55" s="191">
        <f>AVERAGE(T53:T55)</f>
        <v>22.655818358766609</v>
      </c>
      <c r="O55" s="192">
        <f>N55/N52-1</f>
        <v>8.644198607679221E-2</v>
      </c>
      <c r="P55" s="129" t="s">
        <v>1418</v>
      </c>
      <c r="Q55" s="116">
        <v>235345257</v>
      </c>
      <c r="R55" s="116">
        <v>346654064620</v>
      </c>
      <c r="S55" s="116">
        <v>10208546.27</v>
      </c>
      <c r="T55" s="10">
        <f t="shared" ref="T55" si="35">Q55/S55</f>
        <v>23.053748376653047</v>
      </c>
      <c r="U55" s="85">
        <f t="shared" ref="U55" si="36">Q53+Q54+Q55</f>
        <v>502836443</v>
      </c>
    </row>
    <row r="56" spans="1:26" s="79" customFormat="1">
      <c r="A56" s="129" t="s">
        <v>1420</v>
      </c>
      <c r="B56" s="188"/>
      <c r="C56" s="188"/>
      <c r="D56" s="190"/>
      <c r="E56" s="287"/>
      <c r="F56" s="290">
        <f>Q56/22</f>
        <v>5310915.8181818184</v>
      </c>
      <c r="G56" s="190">
        <f t="shared" ref="G56" si="37">F56/F55-1</f>
        <v>-0.52610376090214483</v>
      </c>
      <c r="H56" s="190">
        <f t="shared" ref="H56" si="38">F56/F44-1</f>
        <v>0.14818252537395171</v>
      </c>
      <c r="I56" s="291">
        <f>T56</f>
        <v>24.709606187935684</v>
      </c>
      <c r="J56" s="130">
        <f t="shared" ref="J56" si="39">I56/I44-1</f>
        <v>-2.0560449025020078E-2</v>
      </c>
      <c r="K56" s="136"/>
      <c r="L56" s="190"/>
      <c r="M56" s="190"/>
      <c r="N56" s="191"/>
      <c r="O56" s="192"/>
      <c r="P56" s="129" t="s">
        <v>1420</v>
      </c>
      <c r="Q56" s="116">
        <v>116840148</v>
      </c>
      <c r="R56" s="116">
        <v>173655046904</v>
      </c>
      <c r="S56" s="116">
        <v>4728531.37</v>
      </c>
      <c r="T56" s="10">
        <f t="shared" ref="T56" si="40">Q56/S56</f>
        <v>24.709606187935684</v>
      </c>
      <c r="U56" s="85">
        <f t="shared" ref="U56" si="41">Q54+Q55+Q56</f>
        <v>505703645</v>
      </c>
    </row>
    <row r="57" spans="1:26" s="79" customFormat="1">
      <c r="A57" s="276" t="s">
        <v>1436</v>
      </c>
      <c r="B57" s="253"/>
      <c r="C57" s="253"/>
      <c r="D57" s="254"/>
      <c r="E57" s="289"/>
      <c r="F57" s="283">
        <f>Q57/12</f>
        <v>7804161.5</v>
      </c>
      <c r="G57" s="254">
        <f t="shared" ref="G57" si="42">F57/F56-1</f>
        <v>0.46945682574794412</v>
      </c>
      <c r="H57" s="254">
        <f t="shared" ref="H57" si="43">F57/F45-1</f>
        <v>0.27006047610219674</v>
      </c>
      <c r="I57" s="282">
        <f>T57</f>
        <v>24.494137658400216</v>
      </c>
      <c r="J57" s="277">
        <f t="shared" ref="J57" si="44">I57/I45-1</f>
        <v>-1.3944864241819288E-2</v>
      </c>
      <c r="K57" s="204"/>
      <c r="L57" s="254"/>
      <c r="M57" s="254"/>
      <c r="N57" s="257"/>
      <c r="O57" s="258"/>
      <c r="P57" s="129" t="s">
        <v>1436</v>
      </c>
      <c r="Q57" s="116">
        <v>93649938</v>
      </c>
      <c r="R57" s="116">
        <v>138234879666</v>
      </c>
      <c r="S57" s="116">
        <v>3823361.3</v>
      </c>
      <c r="T57" s="10">
        <f t="shared" ref="T57" si="45">Q57/S57</f>
        <v>24.494137658400216</v>
      </c>
      <c r="U57" s="85">
        <f t="shared" ref="U57" si="46">Q55+Q56+Q57</f>
        <v>445835343</v>
      </c>
    </row>
    <row r="58" spans="1:26">
      <c r="B58" s="196">
        <f>SUM(F56:F58)</f>
        <v>13115077.318181818</v>
      </c>
      <c r="C58" s="196">
        <f>AVERAGE(F56:F58)</f>
        <v>6557538.6590909092</v>
      </c>
      <c r="D58" s="197">
        <f>C58/C55-1</f>
        <v>-0.23347525624344723</v>
      </c>
      <c r="E58" s="233">
        <f>C58/C46-1</f>
        <v>-3.6132785886476726E-2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713326529</v>
      </c>
      <c r="R64" s="212">
        <v>1046590426665</v>
      </c>
      <c r="S64" s="213">
        <v>30635141.440000001</v>
      </c>
      <c r="T64" s="214">
        <v>17</v>
      </c>
      <c r="U64" s="214">
        <v>68</v>
      </c>
    </row>
    <row r="65" spans="16:21" ht="18" thickBot="1">
      <c r="P65" s="180" t="s">
        <v>976</v>
      </c>
      <c r="Q65" s="181">
        <v>113972946</v>
      </c>
      <c r="R65" s="181">
        <v>165781262828</v>
      </c>
      <c r="S65" s="182">
        <v>5205486.5</v>
      </c>
      <c r="T65" s="210">
        <v>9</v>
      </c>
      <c r="U65" s="210">
        <v>40</v>
      </c>
    </row>
    <row r="66" spans="16:21" ht="18" thickBot="1">
      <c r="P66" s="180" t="s">
        <v>977</v>
      </c>
      <c r="Q66" s="181">
        <v>153518240</v>
      </c>
      <c r="R66" s="181">
        <v>222265172647</v>
      </c>
      <c r="S66" s="182">
        <v>6669216</v>
      </c>
      <c r="T66" s="210">
        <v>6</v>
      </c>
      <c r="U66" s="210">
        <v>36</v>
      </c>
    </row>
    <row r="67" spans="16:21" ht="18" thickBot="1">
      <c r="P67" s="180" t="s">
        <v>978</v>
      </c>
      <c r="Q67" s="181">
        <v>235345257</v>
      </c>
      <c r="R67" s="181">
        <v>346654064620</v>
      </c>
      <c r="S67" s="182">
        <v>10208546.27</v>
      </c>
      <c r="T67" s="210">
        <v>8</v>
      </c>
      <c r="U67" s="210">
        <v>40</v>
      </c>
    </row>
    <row r="68" spans="16:21" ht="18" thickBot="1">
      <c r="P68" s="180" t="s">
        <v>979</v>
      </c>
      <c r="Q68" s="181">
        <v>116840148</v>
      </c>
      <c r="R68" s="181">
        <v>173655046904</v>
      </c>
      <c r="S68" s="182">
        <v>4728531.37</v>
      </c>
      <c r="T68" s="210">
        <v>7</v>
      </c>
      <c r="U68" s="210">
        <v>43</v>
      </c>
    </row>
    <row r="69" spans="16:21" ht="18" thickBot="1">
      <c r="P69" s="180" t="s">
        <v>980</v>
      </c>
      <c r="Q69" s="181">
        <v>93649938</v>
      </c>
      <c r="R69" s="181">
        <v>138234879666</v>
      </c>
      <c r="S69" s="182">
        <v>3823361.3</v>
      </c>
      <c r="T69" s="210">
        <v>6</v>
      </c>
      <c r="U69" s="210">
        <v>15</v>
      </c>
    </row>
    <row r="70" spans="16:21" ht="18" thickBot="1">
      <c r="P70" s="180" t="s">
        <v>975</v>
      </c>
      <c r="Q70" s="181">
        <v>1967265500</v>
      </c>
      <c r="R70" s="181">
        <v>2801796633878</v>
      </c>
      <c r="S70" s="182">
        <v>92278062.930000007</v>
      </c>
      <c r="T70" s="210">
        <v>35</v>
      </c>
      <c r="U70" s="210">
        <v>135</v>
      </c>
    </row>
    <row r="71" spans="16:21" ht="18" thickBot="1">
      <c r="P71" s="180" t="s">
        <v>982</v>
      </c>
      <c r="Q71" s="181">
        <v>2196286675</v>
      </c>
      <c r="R71" s="181">
        <v>3005411019052</v>
      </c>
      <c r="S71" s="182">
        <v>105080692.89</v>
      </c>
      <c r="T71" s="210">
        <v>47</v>
      </c>
      <c r="U71" s="210">
        <v>185</v>
      </c>
    </row>
    <row r="72" spans="16:21" ht="18" thickBot="1">
      <c r="P72" s="215" t="s">
        <v>1386</v>
      </c>
      <c r="Q72" s="217" t="s">
        <v>1466</v>
      </c>
      <c r="R72"/>
      <c r="S72"/>
      <c r="T72"/>
      <c r="U72"/>
    </row>
  </sheetData>
  <phoneticPr fontId="1" type="noConversion"/>
  <conditionalFormatting sqref="C29:C30">
    <cfRule type="cellIs" dxfId="2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41"/>
  <dimension ref="A1:Z71"/>
  <sheetViews>
    <sheetView topLeftCell="C1" zoomScale="115" zoomScaleNormal="115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7307290000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290</v>
      </c>
      <c r="H4" s="172" t="s">
        <v>261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544663.85</v>
      </c>
      <c r="G5" s="90"/>
      <c r="H5" s="90"/>
      <c r="I5" s="130">
        <f t="shared" ref="I5:I49" si="0">T5</f>
        <v>39.15483140469032</v>
      </c>
      <c r="J5" s="130"/>
      <c r="L5" s="80"/>
      <c r="M5" s="80"/>
      <c r="P5" s="129" t="s">
        <v>0</v>
      </c>
      <c r="Q5" s="116">
        <v>10893277</v>
      </c>
      <c r="R5" s="116">
        <v>12850117953</v>
      </c>
      <c r="S5" s="116">
        <v>278210.28999999998</v>
      </c>
      <c r="T5" s="130">
        <f t="shared" ref="T5:T17" si="1">Q5/S5</f>
        <v>39.15483140469032</v>
      </c>
      <c r="U5" s="85"/>
    </row>
    <row r="6" spans="1:21" ht="15" hidden="1" customHeight="1">
      <c r="A6" s="129" t="s">
        <v>1</v>
      </c>
      <c r="C6" s="79"/>
      <c r="F6" s="78">
        <f>Q6/18</f>
        <v>659041.9444444445</v>
      </c>
      <c r="G6" s="90">
        <f t="shared" ref="G6:G16" si="2">F6/F5-1</f>
        <v>0.20999758740082441</v>
      </c>
      <c r="H6" s="90"/>
      <c r="I6" s="130">
        <f t="shared" si="0"/>
        <v>27.775680256567078</v>
      </c>
      <c r="J6" s="130"/>
      <c r="P6" s="129" t="s">
        <v>1</v>
      </c>
      <c r="Q6" s="116">
        <v>11862755</v>
      </c>
      <c r="R6" s="116">
        <v>14097796446</v>
      </c>
      <c r="S6" s="116">
        <v>427091.43</v>
      </c>
      <c r="T6" s="130">
        <f t="shared" si="1"/>
        <v>27.775680256567078</v>
      </c>
      <c r="U6" s="85"/>
    </row>
    <row r="7" spans="1:21" ht="15" hidden="1" customHeight="1">
      <c r="A7" s="129" t="s">
        <v>2</v>
      </c>
      <c r="B7" s="131">
        <f>F5+F6+F7</f>
        <v>1927824.0217171719</v>
      </c>
      <c r="C7" s="131">
        <f>AVERAGE(F5:F7)</f>
        <v>642608.00723905733</v>
      </c>
      <c r="F7" s="78">
        <f>Q7/22</f>
        <v>724118.22727272729</v>
      </c>
      <c r="G7" s="90">
        <f t="shared" si="2"/>
        <v>9.8743764910350862E-2</v>
      </c>
      <c r="H7" s="90"/>
      <c r="I7" s="130">
        <f t="shared" si="0"/>
        <v>46.934402057799964</v>
      </c>
      <c r="J7" s="130"/>
      <c r="K7" s="79">
        <f>R5+R6+R7</f>
        <v>46129134513</v>
      </c>
      <c r="N7" s="88">
        <f>AVERAGE(T5:T7)</f>
        <v>37.95497123968579</v>
      </c>
      <c r="P7" s="129" t="s">
        <v>2</v>
      </c>
      <c r="Q7" s="116">
        <v>15930601</v>
      </c>
      <c r="R7" s="116">
        <v>19181220114</v>
      </c>
      <c r="S7" s="116">
        <v>339422.69</v>
      </c>
      <c r="T7" s="130">
        <f t="shared" si="1"/>
        <v>46.934402057799964</v>
      </c>
      <c r="U7" s="85">
        <f>Q5+Q6+Q7</f>
        <v>38686633</v>
      </c>
    </row>
    <row r="8" spans="1:21" ht="15" hidden="1" customHeight="1">
      <c r="A8" s="129" t="s">
        <v>3</v>
      </c>
      <c r="C8" s="79"/>
      <c r="F8" s="78">
        <f>Q8/21</f>
        <v>742760.19047619053</v>
      </c>
      <c r="G8" s="90">
        <f t="shared" si="2"/>
        <v>2.5744363974478546E-2</v>
      </c>
      <c r="H8" s="90"/>
      <c r="I8" s="130">
        <f t="shared" si="0"/>
        <v>49.709076306157748</v>
      </c>
      <c r="J8" s="130"/>
      <c r="K8" s="78"/>
      <c r="P8" s="129" t="s">
        <v>3</v>
      </c>
      <c r="Q8" s="116">
        <v>15597964</v>
      </c>
      <c r="R8" s="116">
        <v>18931291035</v>
      </c>
      <c r="S8" s="116">
        <v>313785.03000000003</v>
      </c>
      <c r="T8" s="130">
        <f t="shared" si="1"/>
        <v>49.709076306157748</v>
      </c>
      <c r="U8" s="85"/>
    </row>
    <row r="9" spans="1:21" ht="15" hidden="1" customHeight="1">
      <c r="A9" s="129" t="s">
        <v>4</v>
      </c>
      <c r="C9" s="79"/>
      <c r="F9" s="78">
        <f>Q9/21</f>
        <v>736778.33333333337</v>
      </c>
      <c r="G9" s="90">
        <f t="shared" si="2"/>
        <v>-8.0535510916681652E-3</v>
      </c>
      <c r="H9" s="90"/>
      <c r="I9" s="130">
        <f t="shared" si="0"/>
        <v>48.500140274876067</v>
      </c>
      <c r="J9" s="130"/>
      <c r="K9" s="78"/>
      <c r="P9" s="129" t="s">
        <v>4</v>
      </c>
      <c r="Q9" s="116">
        <v>15472345</v>
      </c>
      <c r="R9" s="116">
        <v>19441996396</v>
      </c>
      <c r="S9" s="116">
        <v>319016.5</v>
      </c>
      <c r="T9" s="130">
        <f t="shared" si="1"/>
        <v>48.500140274876067</v>
      </c>
      <c r="U9" s="85"/>
    </row>
    <row r="10" spans="1:21" ht="15" hidden="1" customHeight="1">
      <c r="A10" s="129" t="s">
        <v>5</v>
      </c>
      <c r="B10" s="131">
        <f>F8+F9+F10</f>
        <v>2323237.1904761903</v>
      </c>
      <c r="C10" s="131">
        <f>AVERAGE(F8:F10)</f>
        <v>774412.39682539681</v>
      </c>
      <c r="D10" s="90">
        <f>C10/C7-1</f>
        <v>0.20510853911178661</v>
      </c>
      <c r="E10" s="286"/>
      <c r="F10" s="78">
        <f>Q10/21</f>
        <v>843698.66666666663</v>
      </c>
      <c r="G10" s="90">
        <f t="shared" si="2"/>
        <v>0.14511872634691114</v>
      </c>
      <c r="H10" s="90"/>
      <c r="I10" s="130">
        <f t="shared" si="0"/>
        <v>48.336062051579439</v>
      </c>
      <c r="J10" s="130"/>
      <c r="K10" s="79">
        <f>R8+R9+R10</f>
        <v>60662283189</v>
      </c>
      <c r="L10" s="87">
        <f>U10/U7-1</f>
        <v>0.2611069306548337</v>
      </c>
      <c r="N10" s="88">
        <f>AVERAGE(T8:T10)</f>
        <v>48.848426210871082</v>
      </c>
      <c r="O10" s="89">
        <f>N10/N7-1</f>
        <v>0.28700996510820898</v>
      </c>
      <c r="P10" s="129" t="s">
        <v>5</v>
      </c>
      <c r="Q10" s="116">
        <v>17717672</v>
      </c>
      <c r="R10" s="116">
        <v>22288995758</v>
      </c>
      <c r="S10" s="116">
        <v>366551.83</v>
      </c>
      <c r="T10" s="130">
        <f t="shared" si="1"/>
        <v>48.336062051579439</v>
      </c>
      <c r="U10" s="85">
        <f>Q8+Q9+Q10</f>
        <v>48787981</v>
      </c>
    </row>
    <row r="11" spans="1:21" ht="15" hidden="1" customHeight="1">
      <c r="A11" s="129" t="s">
        <v>6</v>
      </c>
      <c r="C11" s="79"/>
      <c r="F11" s="78">
        <f>Q11/21</f>
        <v>831195.80952380947</v>
      </c>
      <c r="G11" s="90">
        <f t="shared" si="2"/>
        <v>-1.48191026450879E-2</v>
      </c>
      <c r="H11" s="90"/>
      <c r="I11" s="130">
        <f t="shared" si="0"/>
        <v>49.276929570408711</v>
      </c>
      <c r="J11" s="130"/>
      <c r="K11" s="78"/>
      <c r="O11" s="89"/>
      <c r="P11" s="129" t="s">
        <v>6</v>
      </c>
      <c r="Q11" s="116">
        <v>17455112</v>
      </c>
      <c r="R11" s="116">
        <v>22547343234</v>
      </c>
      <c r="S11" s="116">
        <v>354224.83</v>
      </c>
      <c r="T11" s="130">
        <f t="shared" si="1"/>
        <v>49.276929570408711</v>
      </c>
      <c r="U11" s="85"/>
    </row>
    <row r="12" spans="1:21" ht="15" hidden="1" customHeight="1">
      <c r="A12" s="129" t="s">
        <v>7</v>
      </c>
      <c r="C12" s="79"/>
      <c r="F12" s="78">
        <f>Q12/22</f>
        <v>701148.36363636365</v>
      </c>
      <c r="G12" s="90">
        <f t="shared" si="2"/>
        <v>-0.15645825495914101</v>
      </c>
      <c r="H12" s="90"/>
      <c r="I12" s="130">
        <f t="shared" si="0"/>
        <v>44.887024711651996</v>
      </c>
      <c r="J12" s="130"/>
      <c r="K12" s="78"/>
      <c r="O12" s="89"/>
      <c r="P12" s="129" t="s">
        <v>7</v>
      </c>
      <c r="Q12" s="116">
        <v>15425264</v>
      </c>
      <c r="R12" s="116">
        <v>20107114145</v>
      </c>
      <c r="S12" s="116">
        <v>343646.39</v>
      </c>
      <c r="T12" s="130">
        <f t="shared" si="1"/>
        <v>44.887024711651996</v>
      </c>
      <c r="U12" s="85"/>
    </row>
    <row r="13" spans="1:21" ht="15" hidden="1" customHeight="1">
      <c r="A13" s="129" t="s">
        <v>96</v>
      </c>
      <c r="B13" s="131">
        <f>F11+F12+F13</f>
        <v>2462045.7231601728</v>
      </c>
      <c r="C13" s="131">
        <f>AVERAGE(F11:F13)</f>
        <v>820681.90772005764</v>
      </c>
      <c r="D13" s="90">
        <f>C13/C10-1</f>
        <v>5.9747895416365715E-2</v>
      </c>
      <c r="E13" s="286"/>
      <c r="F13" s="78">
        <f>Q13/20</f>
        <v>929701.55</v>
      </c>
      <c r="G13" s="90">
        <f t="shared" si="2"/>
        <v>0.3259697921539626</v>
      </c>
      <c r="H13" s="90"/>
      <c r="I13" s="130">
        <f t="shared" si="0"/>
        <v>41.133056078326909</v>
      </c>
      <c r="J13" s="130"/>
      <c r="K13" s="78">
        <f>R11+R12+R13</f>
        <v>68117155683</v>
      </c>
      <c r="L13" s="87">
        <f>U13/U10-1</f>
        <v>5.5063274702841225E-2</v>
      </c>
      <c r="N13" s="88">
        <f>AVERAGE(T11:T13)</f>
        <v>45.099003453462537</v>
      </c>
      <c r="O13" s="89">
        <f>N13/N10-1</f>
        <v>-7.6756265211551988E-2</v>
      </c>
      <c r="P13" s="129" t="s">
        <v>96</v>
      </c>
      <c r="Q13" s="116">
        <v>18594031</v>
      </c>
      <c r="R13" s="116">
        <v>25462698304</v>
      </c>
      <c r="S13" s="116">
        <v>452045.94</v>
      </c>
      <c r="T13" s="130">
        <f t="shared" si="1"/>
        <v>41.133056078326909</v>
      </c>
      <c r="U13" s="85">
        <f>Q11+Q12+Q13</f>
        <v>51474407</v>
      </c>
    </row>
    <row r="14" spans="1:21" ht="15" hidden="1" customHeight="1">
      <c r="A14" s="129" t="s">
        <v>97</v>
      </c>
      <c r="C14" s="79"/>
      <c r="F14" s="78">
        <f>Q14/20</f>
        <v>843361</v>
      </c>
      <c r="G14" s="90">
        <f t="shared" si="2"/>
        <v>-9.2869104068934893E-2</v>
      </c>
      <c r="H14" s="90"/>
      <c r="I14" s="130">
        <f t="shared" si="0"/>
        <v>46.75211212599595</v>
      </c>
      <c r="J14" s="130"/>
      <c r="O14" s="89"/>
      <c r="P14" s="129" t="s">
        <v>97</v>
      </c>
      <c r="Q14" s="116">
        <v>16867220</v>
      </c>
      <c r="R14" s="116">
        <v>24058802536</v>
      </c>
      <c r="S14" s="116">
        <v>360779.85</v>
      </c>
      <c r="T14" s="130">
        <f t="shared" si="1"/>
        <v>46.75211212599595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830983.36363636365</v>
      </c>
      <c r="G15" s="90">
        <f t="shared" si="2"/>
        <v>-1.4676557682459013E-2</v>
      </c>
      <c r="H15" s="90"/>
      <c r="I15" s="130">
        <f t="shared" si="0"/>
        <v>46.046436804156137</v>
      </c>
      <c r="J15" s="130"/>
      <c r="O15" s="89"/>
      <c r="P15" s="129" t="s">
        <v>98</v>
      </c>
      <c r="Q15" s="116">
        <v>18281634</v>
      </c>
      <c r="R15" s="116">
        <v>25316310590</v>
      </c>
      <c r="S15" s="116">
        <v>397026.03</v>
      </c>
      <c r="T15" s="130">
        <f t="shared" si="1"/>
        <v>46.046436804156137</v>
      </c>
      <c r="U15" s="85"/>
    </row>
    <row r="16" spans="1:21" ht="15" hidden="1" customHeight="1">
      <c r="A16" s="129" t="s">
        <v>99</v>
      </c>
      <c r="B16" s="131">
        <f>F14+F15+F16</f>
        <v>2533179.0909090908</v>
      </c>
      <c r="C16" s="131">
        <f>AVERAGE(F14:F16)</f>
        <v>844393.03030303027</v>
      </c>
      <c r="D16" s="90">
        <f>C16/C13-1</f>
        <v>2.8891976732915436E-2</v>
      </c>
      <c r="E16" s="286"/>
      <c r="F16" s="78">
        <f>Q16/22</f>
        <v>858834.72727272729</v>
      </c>
      <c r="G16" s="90">
        <f t="shared" si="2"/>
        <v>3.3516150689812507E-2</v>
      </c>
      <c r="H16" s="90"/>
      <c r="I16" s="130">
        <f t="shared" si="0"/>
        <v>35.776874833358313</v>
      </c>
      <c r="J16" s="130"/>
      <c r="K16" s="78">
        <f>R14+R15+R16</f>
        <v>74159842722</v>
      </c>
      <c r="L16" s="87">
        <f>U16/U13-1</f>
        <v>4.9904625418996984E-2</v>
      </c>
      <c r="N16" s="88">
        <f>AVERAGE(T14:T16)</f>
        <v>42.858474587836803</v>
      </c>
      <c r="O16" s="89">
        <f>N16/N13-1</f>
        <v>-4.9680230028535499E-2</v>
      </c>
      <c r="P16" s="129" t="s">
        <v>99</v>
      </c>
      <c r="Q16" s="116">
        <v>18894364</v>
      </c>
      <c r="R16" s="116">
        <v>24784729596</v>
      </c>
      <c r="S16" s="116">
        <v>528116.67000000004</v>
      </c>
      <c r="T16" s="130">
        <f t="shared" si="1"/>
        <v>35.776874833358313</v>
      </c>
      <c r="U16" s="85">
        <f>Q14+Q15+Q16</f>
        <v>54043218</v>
      </c>
    </row>
    <row r="17" spans="1:21" ht="15.6" hidden="1" customHeight="1">
      <c r="A17" s="129" t="s">
        <v>100</v>
      </c>
      <c r="C17" s="79"/>
      <c r="F17" s="78">
        <f>Q17/20</f>
        <v>723275.95</v>
      </c>
      <c r="G17" s="90">
        <f t="shared" ref="G17:G22" si="3">F17/F16-1</f>
        <v>-0.15784035387483808</v>
      </c>
      <c r="H17" s="90">
        <f t="shared" ref="H17:H22" si="4">F17/F5-1</f>
        <v>0.32793088801469006</v>
      </c>
      <c r="I17" s="130">
        <f t="shared" si="0"/>
        <v>47.226137732007018</v>
      </c>
      <c r="J17" s="130">
        <f t="shared" ref="J17:J49" si="5">I17/I5-1</f>
        <v>0.20613819643084574</v>
      </c>
      <c r="O17" s="89"/>
      <c r="P17" s="129" t="s">
        <v>100</v>
      </c>
      <c r="Q17" s="116">
        <v>14465519</v>
      </c>
      <c r="R17" s="116">
        <v>18156779818</v>
      </c>
      <c r="S17" s="116">
        <v>306303.24</v>
      </c>
      <c r="T17" s="130">
        <f t="shared" si="1"/>
        <v>47.226137732007018</v>
      </c>
      <c r="U17" s="78"/>
    </row>
    <row r="18" spans="1:21" hidden="1">
      <c r="A18" s="129" t="s">
        <v>106</v>
      </c>
      <c r="C18" s="79"/>
      <c r="F18" s="78">
        <f>Q18/20</f>
        <v>1010806.85</v>
      </c>
      <c r="G18" s="90">
        <f t="shared" si="3"/>
        <v>0.39753969422044255</v>
      </c>
      <c r="H18" s="90">
        <f t="shared" si="4"/>
        <v>0.53375192356244372</v>
      </c>
      <c r="I18" s="130">
        <f t="shared" si="0"/>
        <v>36.53640185461105</v>
      </c>
      <c r="J18" s="130">
        <f t="shared" si="5"/>
        <v>0.31540979436399774</v>
      </c>
      <c r="O18" s="89"/>
      <c r="P18" s="129" t="s">
        <v>106</v>
      </c>
      <c r="Q18" s="116">
        <v>20216137</v>
      </c>
      <c r="R18" s="116">
        <v>25434426737</v>
      </c>
      <c r="S18" s="116">
        <v>553314.93999999994</v>
      </c>
      <c r="T18" s="130">
        <f t="shared" ref="T18" si="6">Q18/S18</f>
        <v>36.53640185461105</v>
      </c>
      <c r="U18" s="78"/>
    </row>
    <row r="19" spans="1:21" hidden="1">
      <c r="A19" s="129" t="s">
        <v>114</v>
      </c>
      <c r="B19" s="131">
        <f>SUM(F17:F19)</f>
        <v>2585196.6181818182</v>
      </c>
      <c r="C19" s="131">
        <f>AVERAGE(F17:F19)</f>
        <v>861732.20606060605</v>
      </c>
      <c r="D19" s="90">
        <f>C19/C16-1</f>
        <v>2.053448469530017E-2</v>
      </c>
      <c r="E19" s="286">
        <f>C19/C7-1</f>
        <v>0.34099201434325122</v>
      </c>
      <c r="F19" s="78">
        <f>Q19/22</f>
        <v>851113.81818181823</v>
      </c>
      <c r="G19" s="90">
        <f t="shared" si="3"/>
        <v>-0.15798570401277134</v>
      </c>
      <c r="H19" s="90">
        <f t="shared" si="4"/>
        <v>0.17537963570865922</v>
      </c>
      <c r="I19" s="130">
        <f t="shared" si="0"/>
        <v>52.614251536896674</v>
      </c>
      <c r="J19" s="130">
        <f t="shared" si="5"/>
        <v>0.12101676446419729</v>
      </c>
      <c r="K19" s="78">
        <f>R17+R18+R19</f>
        <v>68070753072</v>
      </c>
      <c r="L19" s="87">
        <f>U19/U16-1</f>
        <v>-1.1787936092184537E-2</v>
      </c>
      <c r="M19" s="87">
        <f>U19/U7-1</f>
        <v>0.38048095320158781</v>
      </c>
      <c r="N19" s="88">
        <f>AVERAGE(T17:T19)</f>
        <v>45.458930374504916</v>
      </c>
      <c r="O19" s="89">
        <f>N19/N16-1</f>
        <v>6.0675416278257455E-2</v>
      </c>
      <c r="P19" s="129" t="s">
        <v>115</v>
      </c>
      <c r="Q19" s="116">
        <v>18724504</v>
      </c>
      <c r="R19" s="116">
        <v>24479546517</v>
      </c>
      <c r="S19" s="116">
        <v>355882.74</v>
      </c>
      <c r="T19" s="130">
        <f t="shared" ref="T19" si="7">Q19/S19</f>
        <v>52.614251536896674</v>
      </c>
      <c r="U19" s="85">
        <f>Q17+Q18+Q19</f>
        <v>53406160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888851.1</v>
      </c>
      <c r="G20" s="90">
        <f t="shared" si="3"/>
        <v>4.4338701842248973E-2</v>
      </c>
      <c r="H20" s="90">
        <f t="shared" si="4"/>
        <v>0.19668650985474767</v>
      </c>
      <c r="I20" s="130">
        <f t="shared" si="0"/>
        <v>34.560040555166893</v>
      </c>
      <c r="J20" s="130">
        <f t="shared" si="5"/>
        <v>-0.30475391772898941</v>
      </c>
      <c r="O20" s="89"/>
      <c r="P20" s="129" t="s">
        <v>132</v>
      </c>
      <c r="Q20" s="116">
        <v>17777022</v>
      </c>
      <c r="R20" s="116">
        <v>23320399765</v>
      </c>
      <c r="S20" s="116">
        <v>514380.82</v>
      </c>
      <c r="T20" s="130">
        <f t="shared" ref="T20" si="8">Q20/S20</f>
        <v>34.560040555166893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915081.76190476189</v>
      </c>
      <c r="G21" s="90">
        <f t="shared" si="3"/>
        <v>2.9510749218583321E-2</v>
      </c>
      <c r="H21" s="90">
        <f t="shared" si="4"/>
        <v>0.24200416937445479</v>
      </c>
      <c r="I21" s="130">
        <f t="shared" si="0"/>
        <v>60.046519317581271</v>
      </c>
      <c r="J21" s="130">
        <f t="shared" si="5"/>
        <v>0.23806898242491137</v>
      </c>
      <c r="O21" s="89"/>
      <c r="P21" s="129" t="s">
        <v>141</v>
      </c>
      <c r="Q21" s="116">
        <v>19216717</v>
      </c>
      <c r="R21" s="116">
        <v>25593854190</v>
      </c>
      <c r="S21" s="116">
        <v>320030.49</v>
      </c>
      <c r="T21" s="130">
        <f t="shared" ref="T21" si="9">Q21/S21</f>
        <v>60.046519317581271</v>
      </c>
      <c r="U21" s="78"/>
    </row>
    <row r="22" spans="1:21" hidden="1">
      <c r="A22" s="129" t="s">
        <v>156</v>
      </c>
      <c r="B22" s="131">
        <f>SUM(F20:F22)</f>
        <v>2543112.8142857142</v>
      </c>
      <c r="C22" s="131">
        <f>AVERAGE(F20:F22)</f>
        <v>847704.27142857143</v>
      </c>
      <c r="D22" s="90">
        <f>C22/C19-1</f>
        <v>-1.627876332505096E-2</v>
      </c>
      <c r="E22" s="286">
        <f>C22/C10-1</f>
        <v>9.4641918057646324E-2</v>
      </c>
      <c r="F22" s="78">
        <f>Q22/21</f>
        <v>739179.95238095243</v>
      </c>
      <c r="G22" s="90">
        <f t="shared" si="3"/>
        <v>-0.19222523805705205</v>
      </c>
      <c r="H22" s="90">
        <f t="shared" si="4"/>
        <v>-0.12388156863949162</v>
      </c>
      <c r="I22" s="130">
        <f t="shared" si="0"/>
        <v>54.336606329410401</v>
      </c>
      <c r="J22" s="130">
        <f t="shared" si="5"/>
        <v>0.12414218335427862</v>
      </c>
      <c r="K22" s="78">
        <f>R20+R21+R22</f>
        <v>69092573180</v>
      </c>
      <c r="L22" s="87">
        <f>U22/U19-1</f>
        <v>-1.6658040945089492E-2</v>
      </c>
      <c r="M22" s="87">
        <f>U22/U10-1</f>
        <v>7.6423269083424561E-2</v>
      </c>
      <c r="N22" s="88">
        <f>AVERAGE(T20:T22)</f>
        <v>49.647722067386191</v>
      </c>
      <c r="O22" s="89">
        <f>N22/N19-1</f>
        <v>9.2144528223006894E-2</v>
      </c>
      <c r="P22" s="129" t="s">
        <v>156</v>
      </c>
      <c r="Q22" s="116">
        <v>15522779</v>
      </c>
      <c r="R22" s="116">
        <v>20178319225</v>
      </c>
      <c r="S22" s="116">
        <v>285678.11</v>
      </c>
      <c r="T22" s="130">
        <f t="shared" ref="T22:T23" si="10">Q22/S22</f>
        <v>54.336606329410401</v>
      </c>
      <c r="U22" s="85">
        <f>Q20+Q21+Q22</f>
        <v>52516518</v>
      </c>
    </row>
    <row r="23" spans="1:21" hidden="1">
      <c r="A23" s="129" t="s">
        <v>189</v>
      </c>
      <c r="B23" s="131"/>
      <c r="C23" s="131"/>
      <c r="F23" s="78">
        <f>Q23/21</f>
        <v>614173.19047619053</v>
      </c>
      <c r="G23" s="90">
        <f t="shared" ref="G23" si="11">F23/F22-1</f>
        <v>-0.16911546572942893</v>
      </c>
      <c r="H23" s="90">
        <f t="shared" ref="H23" si="12">F23/F11-1</f>
        <v>-0.26109686377262997</v>
      </c>
      <c r="I23" s="130">
        <f t="shared" si="0"/>
        <v>47.188650960040576</v>
      </c>
      <c r="J23" s="130">
        <f t="shared" si="5"/>
        <v>-4.2378423911017538E-2</v>
      </c>
      <c r="O23" s="89"/>
      <c r="P23" s="129" t="s">
        <v>189</v>
      </c>
      <c r="Q23" s="116">
        <v>12897637</v>
      </c>
      <c r="R23" s="116">
        <v>16643881579</v>
      </c>
      <c r="S23" s="116">
        <v>273320.74</v>
      </c>
      <c r="T23" s="130">
        <f t="shared" si="10"/>
        <v>47.188650960040576</v>
      </c>
      <c r="U23" s="78"/>
    </row>
    <row r="24" spans="1:21" hidden="1">
      <c r="A24" s="129" t="s">
        <v>205</v>
      </c>
      <c r="B24" s="131"/>
      <c r="C24" s="131"/>
      <c r="F24" s="78">
        <f>Q24/22</f>
        <v>544070.5</v>
      </c>
      <c r="G24" s="90">
        <f t="shared" ref="G24" si="13">F24/F23-1</f>
        <v>-0.11414156717234336</v>
      </c>
      <c r="H24" s="90">
        <f t="shared" ref="H24" si="14">F24/F12-1</f>
        <v>-0.22402942341862031</v>
      </c>
      <c r="I24" s="130">
        <f t="shared" si="0"/>
        <v>26.399129135709938</v>
      </c>
      <c r="J24" s="130">
        <f t="shared" si="5"/>
        <v>-0.41187616454210829</v>
      </c>
      <c r="O24" s="89"/>
      <c r="P24" s="129" t="s">
        <v>205</v>
      </c>
      <c r="Q24" s="116">
        <v>11969551</v>
      </c>
      <c r="R24" s="116">
        <v>15747871252</v>
      </c>
      <c r="S24" s="116">
        <v>453407.04</v>
      </c>
      <c r="T24" s="130">
        <f t="shared" ref="T24" si="15">Q24/S24</f>
        <v>26.399129135709938</v>
      </c>
      <c r="U24" s="78"/>
    </row>
    <row r="25" spans="1:21" s="79" customFormat="1" ht="13.2" hidden="1">
      <c r="A25" s="129" t="s">
        <v>218</v>
      </c>
      <c r="B25" s="131">
        <f>SUM(F23:F25)</f>
        <v>1847880.8483709274</v>
      </c>
      <c r="C25" s="131">
        <f>AVERAGE(F23:F25)</f>
        <v>615960.28279030917</v>
      </c>
      <c r="D25" s="90">
        <f>C25/C22-1</f>
        <v>-0.27337834248224535</v>
      </c>
      <c r="E25" s="286">
        <f>C25/C13-1</f>
        <v>-0.24945307433240138</v>
      </c>
      <c r="F25" s="78">
        <f>Q25/19</f>
        <v>689637.15789473685</v>
      </c>
      <c r="G25" s="90">
        <f t="shared" ref="G25" si="16">F25/F24-1</f>
        <v>0.26755109474734784</v>
      </c>
      <c r="H25" s="90">
        <f t="shared" ref="H25" si="17">F25/F13-1</f>
        <v>-0.25821662027482173</v>
      </c>
      <c r="I25" s="130">
        <f t="shared" si="0"/>
        <v>48.674647218461253</v>
      </c>
      <c r="J25" s="130">
        <f t="shared" si="5"/>
        <v>0.18334623923331628</v>
      </c>
      <c r="K25" s="78">
        <f>R23+R24+R25</f>
        <v>49780401326</v>
      </c>
      <c r="L25" s="90">
        <f>U25/U22-1</f>
        <v>-0.27698378632033449</v>
      </c>
      <c r="M25" s="90">
        <f>U25/U13-1</f>
        <v>-0.2623461597138943</v>
      </c>
      <c r="N25" s="88">
        <f>AVERAGE(T23:T25)</f>
        <v>40.754142438070595</v>
      </c>
      <c r="O25" s="91">
        <f>N25/N22-1</f>
        <v>-0.17913368950229902</v>
      </c>
      <c r="P25" s="129" t="s">
        <v>222</v>
      </c>
      <c r="Q25" s="116">
        <v>13103106</v>
      </c>
      <c r="R25" s="116">
        <v>17388648495</v>
      </c>
      <c r="S25" s="116">
        <v>269197.76</v>
      </c>
      <c r="T25" s="130">
        <f t="shared" ref="T25" si="18">Q25/S25</f>
        <v>48.674647218461253</v>
      </c>
      <c r="U25" s="85">
        <f>Q23+Q24+Q25</f>
        <v>37970294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668725.84210526315</v>
      </c>
      <c r="G26" s="90">
        <f t="shared" ref="G26" si="19">F26/F25-1</f>
        <v>-3.0322199942517503E-2</v>
      </c>
      <c r="H26" s="90">
        <f t="shared" ref="H26" si="20">F26/F14-1</f>
        <v>-0.20707046910485172</v>
      </c>
      <c r="I26" s="130">
        <f t="shared" si="0"/>
        <v>42.880497014262133</v>
      </c>
      <c r="J26" s="130">
        <f t="shared" si="5"/>
        <v>-8.2811555150704153E-2</v>
      </c>
      <c r="L26" s="90"/>
      <c r="M26" s="90"/>
      <c r="P26" s="129" t="s">
        <v>312</v>
      </c>
      <c r="Q26" s="116">
        <v>12705791</v>
      </c>
      <c r="R26" s="116">
        <v>17132130578</v>
      </c>
      <c r="S26" s="116">
        <v>296306.99</v>
      </c>
      <c r="T26" s="130">
        <f t="shared" ref="T26" si="21">Q26/S26</f>
        <v>42.880497014262133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627907.40909090906</v>
      </c>
      <c r="G27" s="90">
        <f t="shared" ref="G27" si="22">F27/F26-1</f>
        <v>-6.1039114154540108E-2</v>
      </c>
      <c r="H27" s="90">
        <f t="shared" ref="H27" si="23">F27/F15-1</f>
        <v>-0.24438028898292141</v>
      </c>
      <c r="I27" s="130">
        <f t="shared" si="0"/>
        <v>48.015672463136205</v>
      </c>
      <c r="J27" s="130">
        <f t="shared" si="5"/>
        <v>4.2766298451182738E-2</v>
      </c>
      <c r="L27" s="90"/>
      <c r="M27" s="90"/>
      <c r="P27" s="129" t="s">
        <v>375</v>
      </c>
      <c r="Q27" s="116">
        <v>13813963</v>
      </c>
      <c r="R27" s="116">
        <v>18241515453</v>
      </c>
      <c r="S27" s="116">
        <v>287696.96000000002</v>
      </c>
      <c r="T27" s="130">
        <f t="shared" ref="T27" si="24">Q27/S27</f>
        <v>48.015672463136205</v>
      </c>
      <c r="U27" s="78"/>
    </row>
    <row r="28" spans="1:21" s="79" customFormat="1" ht="13.2" hidden="1">
      <c r="A28" s="123" t="s">
        <v>413</v>
      </c>
      <c r="B28" s="131">
        <f>SUM(F26:F28)</f>
        <v>2071157.8301435406</v>
      </c>
      <c r="C28" s="131">
        <f>AVERAGE(F26:F28)</f>
        <v>690385.94338118017</v>
      </c>
      <c r="D28" s="90">
        <f>C28/C25-1</f>
        <v>0.12082866813055171</v>
      </c>
      <c r="E28" s="286">
        <f>C28/C16-1</f>
        <v>-0.18238791817902744</v>
      </c>
      <c r="F28" s="78">
        <f>Q28/19</f>
        <v>774524.57894736843</v>
      </c>
      <c r="G28" s="90">
        <f t="shared" ref="G28" si="25">F28/F27-1</f>
        <v>0.2335012578824851</v>
      </c>
      <c r="H28" s="90">
        <f t="shared" ref="H28" si="26">F28/F16-1</f>
        <v>-9.8168070815079833E-2</v>
      </c>
      <c r="I28" s="130">
        <f t="shared" si="0"/>
        <v>47.028478050728488</v>
      </c>
      <c r="J28" s="130">
        <f t="shared" si="5"/>
        <v>0.31449374127220286</v>
      </c>
      <c r="K28" s="78">
        <f>R26+R27+R28</f>
        <v>54576239321</v>
      </c>
      <c r="L28" s="90">
        <f>U28/U25-1</f>
        <v>8.5999518465672109E-2</v>
      </c>
      <c r="M28" s="90">
        <f>U28/U16-1</f>
        <v>-0.23698620241303914</v>
      </c>
      <c r="N28" s="88">
        <f>AVERAGE(T26:T28)</f>
        <v>45.974882509375611</v>
      </c>
      <c r="O28" s="91">
        <f>N28/N25-1</f>
        <v>0.12810329843741353</v>
      </c>
      <c r="P28" s="129" t="s">
        <v>413</v>
      </c>
      <c r="Q28" s="116">
        <v>14715967</v>
      </c>
      <c r="R28" s="116">
        <v>19202593290</v>
      </c>
      <c r="S28" s="116">
        <v>312916.08</v>
      </c>
      <c r="T28" s="130">
        <f t="shared" ref="T28" si="27">Q28/S28</f>
        <v>47.028478050728488</v>
      </c>
      <c r="U28" s="85">
        <f>Q26+Q27+Q28</f>
        <v>41235721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680615.31818181823</v>
      </c>
      <c r="G29" s="190">
        <f t="shared" ref="G29" si="28">F29/F28-1</f>
        <v>-0.12124761862713163</v>
      </c>
      <c r="H29" s="190">
        <f t="shared" ref="H29" si="29">F29/F17-1</f>
        <v>-5.8982511195321385E-2</v>
      </c>
      <c r="I29" s="130">
        <f t="shared" si="0"/>
        <v>34.435621599092627</v>
      </c>
      <c r="J29" s="130">
        <f t="shared" si="5"/>
        <v>-0.27083553191447529</v>
      </c>
      <c r="K29" s="136"/>
      <c r="L29" s="190"/>
      <c r="M29" s="190"/>
      <c r="N29" s="191"/>
      <c r="O29" s="192"/>
      <c r="P29" s="129" t="s">
        <v>427</v>
      </c>
      <c r="Q29" s="116">
        <v>14973537</v>
      </c>
      <c r="R29" s="116">
        <v>19674243511</v>
      </c>
      <c r="S29" s="116">
        <v>434826.97</v>
      </c>
      <c r="T29" s="130">
        <f t="shared" ref="T29" si="30">Q29/S29</f>
        <v>34.435621599092627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586415.15789473685</v>
      </c>
      <c r="G30" s="190">
        <f t="shared" ref="G30" si="31">F30/F29-1</f>
        <v>-0.138404408144568</v>
      </c>
      <c r="H30" s="190">
        <f t="shared" ref="H30" si="32">F30/F18-1</f>
        <v>-0.41985438870468983</v>
      </c>
      <c r="I30" s="130">
        <f t="shared" si="0"/>
        <v>52.444489924197605</v>
      </c>
      <c r="J30" s="130">
        <f t="shared" si="5"/>
        <v>0.43540379627116699</v>
      </c>
      <c r="K30" s="136"/>
      <c r="L30" s="190"/>
      <c r="M30" s="190"/>
      <c r="N30" s="191"/>
      <c r="O30" s="192"/>
      <c r="P30" s="129" t="s">
        <v>466</v>
      </c>
      <c r="Q30" s="116">
        <v>11141888</v>
      </c>
      <c r="R30" s="116">
        <v>14848276895</v>
      </c>
      <c r="S30" s="116">
        <v>212451.07</v>
      </c>
      <c r="T30" s="130">
        <f t="shared" ref="T30" si="33">Q30/S30</f>
        <v>52.444489924197605</v>
      </c>
      <c r="U30" s="85"/>
    </row>
    <row r="31" spans="1:21" s="79" customFormat="1" ht="13.2" hidden="1">
      <c r="A31" s="129" t="s">
        <v>505</v>
      </c>
      <c r="B31" s="188">
        <f>SUM(F29:F31)</f>
        <v>2098956.3260765551</v>
      </c>
      <c r="C31" s="188">
        <f>AVERAGE(F29:F31)</f>
        <v>699652.10869218502</v>
      </c>
      <c r="D31" s="190">
        <f>C31/C28-1</f>
        <v>1.3421717808482114E-2</v>
      </c>
      <c r="E31" s="287">
        <f>C31/C19-1</f>
        <v>-0.18808638719604942</v>
      </c>
      <c r="F31" s="136">
        <f>Q31/20</f>
        <v>831925.85</v>
      </c>
      <c r="G31" s="190">
        <f t="shared" ref="G31" si="34">F31/F30-1</f>
        <v>0.41866361876909908</v>
      </c>
      <c r="H31" s="190">
        <f t="shared" ref="H31" si="35">F31/F19-1</f>
        <v>-2.2544538429429273E-2</v>
      </c>
      <c r="I31" s="130">
        <f t="shared" si="0"/>
        <v>37.910316929561155</v>
      </c>
      <c r="J31" s="130">
        <f t="shared" si="5"/>
        <v>-0.27946676381064028</v>
      </c>
      <c r="K31" s="136">
        <f>R29+R30+R31</f>
        <v>56599727942</v>
      </c>
      <c r="L31" s="190">
        <f>U31/U28-1</f>
        <v>3.6818102440842493E-2</v>
      </c>
      <c r="M31" s="190">
        <f>U31/U19-1</f>
        <v>-0.1994567293360916</v>
      </c>
      <c r="N31" s="191">
        <f>AVERAGE(T29:T31)</f>
        <v>41.596809484283796</v>
      </c>
      <c r="O31" s="192">
        <f>N31/N28-1</f>
        <v>-9.522749784513318E-2</v>
      </c>
      <c r="P31" s="129" t="s">
        <v>506</v>
      </c>
      <c r="Q31" s="116">
        <v>16638517</v>
      </c>
      <c r="R31" s="116">
        <v>22077207536</v>
      </c>
      <c r="S31" s="116">
        <v>438891.53</v>
      </c>
      <c r="T31" s="130">
        <f t="shared" ref="T31" si="36">Q31/S31</f>
        <v>37.910316929561155</v>
      </c>
      <c r="U31" s="85">
        <f>Q29+Q30+Q31</f>
        <v>42753942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688472.76190476189</v>
      </c>
      <c r="G32" s="190">
        <f t="shared" ref="G32" si="37">F32/F31-1</f>
        <v>-0.17243494488750177</v>
      </c>
      <c r="H32" s="190">
        <f t="shared" ref="H32" si="38">F32/F20-1</f>
        <v>-0.22543521417168533</v>
      </c>
      <c r="I32" s="130">
        <f t="shared" si="0"/>
        <v>51.236987094225356</v>
      </c>
      <c r="J32" s="130">
        <f t="shared" si="5"/>
        <v>0.48254997017256618</v>
      </c>
      <c r="K32" s="136"/>
      <c r="L32" s="190"/>
      <c r="M32" s="190"/>
      <c r="N32" s="191"/>
      <c r="O32" s="192"/>
      <c r="P32" s="129" t="s">
        <v>562</v>
      </c>
      <c r="Q32" s="116">
        <v>14457928</v>
      </c>
      <c r="R32" s="116">
        <v>19672465051</v>
      </c>
      <c r="S32" s="116">
        <v>282177.56</v>
      </c>
      <c r="T32" s="130">
        <f t="shared" ref="T32" si="39">Q32/S32</f>
        <v>51.236987094225356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746030.33333333337</v>
      </c>
      <c r="G33" s="190">
        <f t="shared" ref="G33" si="40">F33/F32-1</f>
        <v>8.3601813482540477E-2</v>
      </c>
      <c r="H33" s="190">
        <f t="shared" ref="H33" si="41">F33/F21-1</f>
        <v>-0.18473915185408618</v>
      </c>
      <c r="I33" s="130">
        <f t="shared" si="0"/>
        <v>47.876342995082865</v>
      </c>
      <c r="J33" s="130">
        <f t="shared" si="5"/>
        <v>-0.20267913046102326</v>
      </c>
      <c r="K33" s="136"/>
      <c r="L33" s="190"/>
      <c r="M33" s="190"/>
      <c r="N33" s="191"/>
      <c r="O33" s="192"/>
      <c r="P33" s="129" t="s">
        <v>607</v>
      </c>
      <c r="Q33" s="116">
        <v>15666637</v>
      </c>
      <c r="R33" s="116">
        <v>21421106684</v>
      </c>
      <c r="S33" s="116">
        <v>327231.28000000003</v>
      </c>
      <c r="T33" s="130">
        <f t="shared" ref="T33" si="42">Q33/S33</f>
        <v>47.876342995082865</v>
      </c>
      <c r="U33" s="85"/>
    </row>
    <row r="34" spans="1:21" s="79" customFormat="1" ht="13.2" hidden="1">
      <c r="A34" s="129" t="s">
        <v>652</v>
      </c>
      <c r="B34" s="188">
        <f>SUM(F32:F34)</f>
        <v>2134477.9899749374</v>
      </c>
      <c r="C34" s="188">
        <f>AVERAGE(F32:F34)</f>
        <v>711492.66332497913</v>
      </c>
      <c r="D34" s="190">
        <f>C34/C31-1</f>
        <v>1.6923488810641762E-2</v>
      </c>
      <c r="E34" s="287">
        <f>C34/C22-1</f>
        <v>-0.16068293235569675</v>
      </c>
      <c r="F34" s="136">
        <f>Q34/19</f>
        <v>699974.89473684214</v>
      </c>
      <c r="G34" s="190">
        <f t="shared" ref="G34" si="43">F34/F33-1</f>
        <v>-6.1734002678833777E-2</v>
      </c>
      <c r="H34" s="207">
        <f t="shared" ref="H34" si="44">F34/F22-1</f>
        <v>-5.3038583524658622E-2</v>
      </c>
      <c r="I34" s="130">
        <f t="shared" si="0"/>
        <v>38.239363770773423</v>
      </c>
      <c r="J34" s="130">
        <f t="shared" si="5"/>
        <v>-0.29625042206443675</v>
      </c>
      <c r="K34" s="136">
        <f>R32+R33+R34</f>
        <v>59370869427</v>
      </c>
      <c r="L34" s="190">
        <f>U34/U31-1</f>
        <v>1.5674484472098404E-2</v>
      </c>
      <c r="M34" s="190">
        <f>U34/U22-1</f>
        <v>-0.1731346697433368</v>
      </c>
      <c r="N34" s="191">
        <f>AVERAGE(T32:T34)</f>
        <v>45.784231286693881</v>
      </c>
      <c r="O34" s="192">
        <f>N34/N31-1</f>
        <v>0.10066689859933087</v>
      </c>
      <c r="P34" s="129" t="s">
        <v>652</v>
      </c>
      <c r="Q34" s="116">
        <v>13299523</v>
      </c>
      <c r="R34" s="116">
        <v>18277297692</v>
      </c>
      <c r="S34" s="116">
        <v>347796.66</v>
      </c>
      <c r="T34" s="130">
        <f t="shared" ref="T34" si="45">Q34/S34</f>
        <v>38.239363770773423</v>
      </c>
      <c r="U34" s="85">
        <f>Q32+Q33+Q34</f>
        <v>43424088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642869.86956521741</v>
      </c>
      <c r="G35" s="190">
        <f t="shared" ref="G35" si="46">F35/F34-1</f>
        <v>-8.1581533282123697E-2</v>
      </c>
      <c r="H35" s="207">
        <f t="shared" ref="H35" si="47">F35/F23-1</f>
        <v>4.6724082936243638E-2</v>
      </c>
      <c r="I35" s="130">
        <f t="shared" si="0"/>
        <v>38.758701404295813</v>
      </c>
      <c r="J35" s="130">
        <f t="shared" si="5"/>
        <v>-0.17864358027279181</v>
      </c>
      <c r="K35" s="136"/>
      <c r="L35" s="190"/>
      <c r="M35" s="190"/>
      <c r="N35" s="191"/>
      <c r="O35" s="192"/>
      <c r="P35" s="129" t="s">
        <v>660</v>
      </c>
      <c r="Q35" s="116">
        <v>14786007</v>
      </c>
      <c r="R35" s="116">
        <v>20466126314</v>
      </c>
      <c r="S35" s="116">
        <v>381488.71</v>
      </c>
      <c r="T35" s="130">
        <f t="shared" ref="T35" si="48">Q35/S35</f>
        <v>38.758701404295813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624561</v>
      </c>
      <c r="G36" s="190">
        <f t="shared" ref="G36" si="49">F36/F35-1</f>
        <v>-2.8479899948647414E-2</v>
      </c>
      <c r="H36" s="190">
        <f t="shared" ref="H36" si="50">F36/F24-1</f>
        <v>0.14794130540067885</v>
      </c>
      <c r="I36" s="130">
        <f t="shared" si="0"/>
        <v>41.427507205951308</v>
      </c>
      <c r="J36" s="130">
        <f t="shared" si="5"/>
        <v>0.5692755239381202</v>
      </c>
      <c r="K36" s="136"/>
      <c r="L36" s="190"/>
      <c r="M36" s="190"/>
      <c r="N36" s="191"/>
      <c r="O36" s="192"/>
      <c r="P36" s="129" t="s">
        <v>664</v>
      </c>
      <c r="Q36" s="116">
        <v>13115781</v>
      </c>
      <c r="R36" s="116">
        <v>17880616734</v>
      </c>
      <c r="S36" s="116">
        <v>316595.95</v>
      </c>
      <c r="T36" s="130">
        <f t="shared" ref="T36" si="51">Q36/S36</f>
        <v>41.427507205951308</v>
      </c>
      <c r="U36" s="85"/>
    </row>
    <row r="37" spans="1:21" s="79" customFormat="1" ht="13.2" hidden="1">
      <c r="A37" s="129" t="s">
        <v>702</v>
      </c>
      <c r="B37" s="188">
        <f>SUM(F35:F37)</f>
        <v>2087951.8140096618</v>
      </c>
      <c r="C37" s="188">
        <f>AVERAGE(F35:F37)</f>
        <v>695983.9380032206</v>
      </c>
      <c r="D37" s="190">
        <f>C37/C34-1</f>
        <v>-2.1797449392215063E-2</v>
      </c>
      <c r="E37" s="287">
        <f>C37/C25-1</f>
        <v>0.12991690771100228</v>
      </c>
      <c r="F37" s="136">
        <f>Q37/18</f>
        <v>820520.9444444445</v>
      </c>
      <c r="G37" s="190">
        <f t="shared" ref="G37" si="52">F37/F36-1</f>
        <v>0.31375629353168777</v>
      </c>
      <c r="H37" s="190">
        <f t="shared" ref="H37" si="53">F37/F25-1</f>
        <v>0.18978644791887089</v>
      </c>
      <c r="I37" s="130">
        <f t="shared" si="0"/>
        <v>33.723880871359547</v>
      </c>
      <c r="J37" s="130">
        <f t="shared" si="5"/>
        <v>-0.30715715883876404</v>
      </c>
      <c r="K37" s="136">
        <f>R35+R36+R37</f>
        <v>58057774461</v>
      </c>
      <c r="L37" s="190">
        <f>U37/U34-1</f>
        <v>-1.7338832769498769E-2</v>
      </c>
      <c r="M37" s="190">
        <f>U37/U25-1</f>
        <v>0.12380391365945176</v>
      </c>
      <c r="N37" s="191">
        <f>AVERAGE(T35:T37)</f>
        <v>37.970029827202218</v>
      </c>
      <c r="O37" s="192">
        <f>N37/N34-1</f>
        <v>-0.17067451478130813</v>
      </c>
      <c r="P37" s="129" t="s">
        <v>702</v>
      </c>
      <c r="Q37" s="116">
        <v>14769377</v>
      </c>
      <c r="R37" s="116">
        <v>19711031413</v>
      </c>
      <c r="S37" s="116">
        <v>437950.1</v>
      </c>
      <c r="T37" s="130">
        <f t="shared" ref="T37" si="54">Q37/S37</f>
        <v>33.723880871359547</v>
      </c>
      <c r="U37" s="85">
        <f>Q35+Q36+Q37</f>
        <v>42671165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787591.4</v>
      </c>
      <c r="G38" s="190">
        <f t="shared" ref="G38" si="55">F38/F37-1</f>
        <v>-4.0132484938261159E-2</v>
      </c>
      <c r="H38" s="190">
        <f t="shared" ref="H38" si="56">F38/F26-1</f>
        <v>0.17774931131796512</v>
      </c>
      <c r="I38" s="130">
        <f t="shared" si="0"/>
        <v>43.238903755550609</v>
      </c>
      <c r="J38" s="130">
        <f t="shared" si="5"/>
        <v>8.3582692889325738E-3</v>
      </c>
      <c r="K38" s="136"/>
      <c r="L38" s="190"/>
      <c r="M38" s="190"/>
      <c r="N38" s="191"/>
      <c r="O38" s="192"/>
      <c r="P38" s="129" t="s">
        <v>727</v>
      </c>
      <c r="Q38" s="116">
        <v>15751828</v>
      </c>
      <c r="R38" s="116">
        <v>21241059241</v>
      </c>
      <c r="S38" s="116">
        <v>364297.58</v>
      </c>
      <c r="T38" s="130">
        <f t="shared" ref="T38" si="57">Q38/S38</f>
        <v>43.238903755550609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813973.90476190473</v>
      </c>
      <c r="G39" s="190">
        <f t="shared" ref="G39" si="58">F39/F38-1</f>
        <v>3.349770548777542E-2</v>
      </c>
      <c r="H39" s="190">
        <f t="shared" ref="H39" si="59">F39/F27-1</f>
        <v>0.29632791869805253</v>
      </c>
      <c r="I39" s="130">
        <f t="shared" si="0"/>
        <v>37.2983909769127</v>
      </c>
      <c r="J39" s="130">
        <f t="shared" si="5"/>
        <v>-0.22320381942899259</v>
      </c>
      <c r="K39" s="136"/>
      <c r="L39" s="190"/>
      <c r="M39" s="190"/>
      <c r="N39" s="191"/>
      <c r="O39" s="192"/>
      <c r="P39" s="129" t="s">
        <v>762</v>
      </c>
      <c r="Q39" s="116">
        <v>17093452</v>
      </c>
      <c r="R39" s="116">
        <v>23750259959</v>
      </c>
      <c r="S39" s="116">
        <v>458289.26</v>
      </c>
      <c r="T39" s="130">
        <f t="shared" ref="T39" si="60">Q39/S39</f>
        <v>37.2983909769127</v>
      </c>
      <c r="U39" s="85"/>
    </row>
    <row r="40" spans="1:21" s="79" customFormat="1" ht="13.2" hidden="1">
      <c r="A40" s="129" t="s">
        <v>778</v>
      </c>
      <c r="B40" s="188">
        <f>SUM(F38:F40)</f>
        <v>2241086.9238095237</v>
      </c>
      <c r="C40" s="188">
        <f>AVERAGE(F38:F40)</f>
        <v>747028.9746031746</v>
      </c>
      <c r="D40" s="190">
        <f>C40/C37-1</f>
        <v>7.3342262389563651E-2</v>
      </c>
      <c r="E40" s="287">
        <f>C40/C28-1</f>
        <v>8.2045458435297647E-2</v>
      </c>
      <c r="F40" s="136">
        <f>Q40/21</f>
        <v>639521.61904761905</v>
      </c>
      <c r="G40" s="190">
        <f t="shared" ref="G40" si="61">F40/F39-1</f>
        <v>-0.21432171804735523</v>
      </c>
      <c r="H40" s="190">
        <f t="shared" ref="H40" si="62">F40/F28-1</f>
        <v>-0.17430429397505698</v>
      </c>
      <c r="I40" s="130">
        <f t="shared" si="0"/>
        <v>34.582069622158819</v>
      </c>
      <c r="J40" s="130">
        <f t="shared" si="5"/>
        <v>-0.26465684080067464</v>
      </c>
      <c r="K40" s="136">
        <f>R38+R39+R40</f>
        <v>64035203569</v>
      </c>
      <c r="L40" s="190">
        <f>U40/U37-1</f>
        <v>8.4461462441908886E-2</v>
      </c>
      <c r="M40" s="190">
        <f>U40/U28-1</f>
        <v>0.12221231684053735</v>
      </c>
      <c r="N40" s="191">
        <f>AVERAGE(T38:T40)</f>
        <v>38.373121451540705</v>
      </c>
      <c r="O40" s="192">
        <f>N40/N37-1</f>
        <v>1.0616047081682956E-2</v>
      </c>
      <c r="P40" s="129" t="s">
        <v>778</v>
      </c>
      <c r="Q40" s="116">
        <v>13429954</v>
      </c>
      <c r="R40" s="116">
        <v>19043884369</v>
      </c>
      <c r="S40" s="116">
        <v>388350.21</v>
      </c>
      <c r="T40" s="130">
        <f t="shared" ref="T40" si="63">Q40/S40</f>
        <v>34.582069622158819</v>
      </c>
      <c r="U40" s="85">
        <f>Q38+Q39+Q40</f>
        <v>46275234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687373.61111111112</v>
      </c>
      <c r="G41" s="190">
        <f t="shared" ref="G41" si="64">F41/F40-1</f>
        <v>7.4824666810722862E-2</v>
      </c>
      <c r="H41" s="190">
        <f t="shared" ref="H41" si="65">F41/F29-1</f>
        <v>9.929680906017202E-3</v>
      </c>
      <c r="I41" s="130">
        <f t="shared" si="0"/>
        <v>30.574607072476727</v>
      </c>
      <c r="J41" s="130">
        <f t="shared" si="5"/>
        <v>-0.11212269003204622</v>
      </c>
      <c r="K41" s="193"/>
      <c r="L41" s="190"/>
      <c r="M41" s="190"/>
      <c r="N41" s="193"/>
      <c r="O41" s="193"/>
      <c r="P41" s="129" t="s">
        <v>792</v>
      </c>
      <c r="Q41" s="116">
        <v>12372725</v>
      </c>
      <c r="R41" s="116">
        <v>18085482195</v>
      </c>
      <c r="S41" s="116">
        <v>404673.23</v>
      </c>
      <c r="T41" s="130">
        <f t="shared" ref="T41" si="66">Q41/S41</f>
        <v>30.574607072476727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740494.95</v>
      </c>
      <c r="G42" s="190">
        <f t="shared" ref="G42" si="67">F42/F41-1</f>
        <v>7.7281609346364633E-2</v>
      </c>
      <c r="H42" s="190">
        <f t="shared" ref="H42" si="68">F42/F30-1</f>
        <v>0.26274865175453188</v>
      </c>
      <c r="I42" s="130">
        <f t="shared" si="0"/>
        <v>36.168546674631123</v>
      </c>
      <c r="J42" s="130">
        <f t="shared" si="5"/>
        <v>-0.31034610638965998</v>
      </c>
      <c r="K42" s="193"/>
      <c r="L42" s="190"/>
      <c r="M42" s="190"/>
      <c r="N42" s="193"/>
      <c r="O42" s="193"/>
      <c r="P42" s="129" t="s">
        <v>826</v>
      </c>
      <c r="Q42" s="116">
        <v>14809899</v>
      </c>
      <c r="R42" s="116">
        <v>21417911409</v>
      </c>
      <c r="S42" s="116">
        <v>409469.01</v>
      </c>
      <c r="T42" s="130">
        <f t="shared" ref="T42" si="69">Q42/S42</f>
        <v>36.168546674631123</v>
      </c>
      <c r="U42" s="78"/>
    </row>
    <row r="43" spans="1:21" s="79" customFormat="1" ht="13.2">
      <c r="A43" s="129" t="s">
        <v>835</v>
      </c>
      <c r="B43" s="188">
        <f>SUM(F41:F43)</f>
        <v>2297303.5611111112</v>
      </c>
      <c r="C43" s="188">
        <f>AVERAGE(F41:F43)</f>
        <v>765767.85370370373</v>
      </c>
      <c r="D43" s="190">
        <f>C43/C40-1</f>
        <v>2.5084541212719857E-2</v>
      </c>
      <c r="E43" s="287">
        <f>C43/C31-1</f>
        <v>9.4498028648987598E-2</v>
      </c>
      <c r="F43" s="136">
        <f>Q43/20</f>
        <v>869435</v>
      </c>
      <c r="G43" s="190">
        <f t="shared" ref="G43" si="70">F43/F42-1</f>
        <v>0.17412684583466786</v>
      </c>
      <c r="H43" s="190">
        <f t="shared" ref="H43" si="71">F43/F31-1</f>
        <v>4.50871312629606E-2</v>
      </c>
      <c r="I43" s="130">
        <f t="shared" si="0"/>
        <v>36.56099217340735</v>
      </c>
      <c r="J43" s="130">
        <f t="shared" si="5"/>
        <v>-3.5592547502594218E-2</v>
      </c>
      <c r="K43" s="136">
        <f>R41+R42+R43</f>
        <v>64706777473</v>
      </c>
      <c r="L43" s="190">
        <f>U43/U40-1</f>
        <v>-3.6821207646405396E-2</v>
      </c>
      <c r="M43" s="190">
        <f>K43/K31-1</f>
        <v>0.1432347791372357</v>
      </c>
      <c r="N43" s="191">
        <f>AVERAGE(T41:T43)</f>
        <v>34.434715306838399</v>
      </c>
      <c r="O43" s="192">
        <f>N43/N40-1</f>
        <v>-0.1026345002888519</v>
      </c>
      <c r="P43" s="129" t="s">
        <v>835</v>
      </c>
      <c r="Q43" s="116">
        <v>17388700</v>
      </c>
      <c r="R43" s="116">
        <v>25203383869</v>
      </c>
      <c r="S43" s="116">
        <v>475607.99</v>
      </c>
      <c r="T43" s="130">
        <f t="shared" ref="T43" si="72">Q43/S43</f>
        <v>36.56099217340735</v>
      </c>
      <c r="U43" s="85">
        <f>Q41+Q42+Q43</f>
        <v>44571324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664916.13636363635</v>
      </c>
      <c r="G44" s="190">
        <f t="shared" ref="G44" si="73">F44/F43-1</f>
        <v>-0.23523191916171271</v>
      </c>
      <c r="H44" s="190">
        <f t="shared" ref="H44" si="74">F44/F32-1</f>
        <v>-3.42157698090374E-2</v>
      </c>
      <c r="I44" s="130">
        <f t="shared" si="0"/>
        <v>34.372558018702911</v>
      </c>
      <c r="J44" s="130">
        <f t="shared" si="5"/>
        <v>-0.32914560421963501</v>
      </c>
      <c r="K44" s="136"/>
      <c r="L44" s="190"/>
      <c r="M44" s="190"/>
      <c r="N44" s="191"/>
      <c r="O44" s="192"/>
      <c r="P44" s="129" t="s">
        <v>843</v>
      </c>
      <c r="Q44" s="116">
        <v>14628155</v>
      </c>
      <c r="R44" s="116">
        <v>21239059326</v>
      </c>
      <c r="S44" s="116">
        <v>425576.56</v>
      </c>
      <c r="T44" s="130">
        <f t="shared" ref="T44" si="75">Q44/S44</f>
        <v>34.372558018702911</v>
      </c>
      <c r="U44" s="85"/>
    </row>
    <row r="45" spans="1:21" s="79" customFormat="1" ht="13.2">
      <c r="A45" s="129" t="s">
        <v>880</v>
      </c>
      <c r="B45" s="188"/>
      <c r="C45" s="188"/>
      <c r="D45" s="190"/>
      <c r="E45" s="287"/>
      <c r="F45" s="136">
        <f>Q45/20</f>
        <v>726506.75</v>
      </c>
      <c r="G45" s="190">
        <f t="shared" ref="G45" si="76">F45/F44-1</f>
        <v>9.2629145644136379E-2</v>
      </c>
      <c r="H45" s="190">
        <f t="shared" ref="H45" si="77">F45/F33-1</f>
        <v>-2.6169959130348142E-2</v>
      </c>
      <c r="I45" s="130">
        <f t="shared" si="0"/>
        <v>40.02221777106579</v>
      </c>
      <c r="J45" s="130">
        <f t="shared" si="5"/>
        <v>-0.16405023301014721</v>
      </c>
      <c r="K45" s="136"/>
      <c r="L45" s="190"/>
      <c r="M45" s="190"/>
      <c r="N45" s="191"/>
      <c r="O45" s="192"/>
      <c r="P45" s="129" t="s">
        <v>880</v>
      </c>
      <c r="Q45" s="116">
        <v>14530135</v>
      </c>
      <c r="R45" s="116">
        <v>20444649642</v>
      </c>
      <c r="S45" s="116">
        <v>363051.72</v>
      </c>
      <c r="T45" s="130">
        <f t="shared" ref="T45" si="78">Q45/S45</f>
        <v>40.02221777106579</v>
      </c>
      <c r="U45" s="85"/>
    </row>
    <row r="46" spans="1:21" s="79" customFormat="1" ht="13.2">
      <c r="A46" s="129" t="s">
        <v>893</v>
      </c>
      <c r="B46" s="188">
        <f>SUM(F44:F46)</f>
        <v>2384346.4126794254</v>
      </c>
      <c r="C46" s="188">
        <f>AVERAGE(F44:F46)</f>
        <v>794782.13755980844</v>
      </c>
      <c r="D46" s="190">
        <f>C46/C43-1</f>
        <v>3.7889137962340058E-2</v>
      </c>
      <c r="E46" s="287">
        <f>C46/C34-1</f>
        <v>0.1170630120704228</v>
      </c>
      <c r="F46" s="136">
        <f>Q46/19</f>
        <v>992923.52631578944</v>
      </c>
      <c r="G46" s="190">
        <f t="shared" ref="G46" si="79">F46/F45-1</f>
        <v>0.36670929253690954</v>
      </c>
      <c r="H46" s="190">
        <f t="shared" ref="H46" si="80">F46/F34-1</f>
        <v>0.41851305494189517</v>
      </c>
      <c r="I46" s="130">
        <f t="shared" si="0"/>
        <v>39.330093564340601</v>
      </c>
      <c r="J46" s="130">
        <f t="shared" si="5"/>
        <v>2.8523743232381715E-2</v>
      </c>
      <c r="K46" s="136">
        <f>R44+R45+R46</f>
        <v>67508035118</v>
      </c>
      <c r="L46" s="190">
        <f>U46/U43-1</f>
        <v>7.7460409298139687E-2</v>
      </c>
      <c r="M46" s="190">
        <f>K46/K34-1</f>
        <v>0.13705653579833665</v>
      </c>
      <c r="N46" s="191">
        <f>AVERAGE(T44:T46)</f>
        <v>37.908289784703101</v>
      </c>
      <c r="O46" s="192">
        <f>N46/N43-1</f>
        <v>0.10087420345754627</v>
      </c>
      <c r="P46" s="129" t="s">
        <v>888</v>
      </c>
      <c r="Q46" s="116">
        <v>18865547</v>
      </c>
      <c r="R46" s="116">
        <v>25824326150</v>
      </c>
      <c r="S46" s="116">
        <v>479672.06</v>
      </c>
      <c r="T46" s="130">
        <f t="shared" ref="T46" si="81">Q46/S46</f>
        <v>39.330093564340601</v>
      </c>
      <c r="U46" s="85">
        <f t="shared" ref="U46:U51" si="82">Q44+Q45+Q46</f>
        <v>48023837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627844.08695652173</v>
      </c>
      <c r="G47" s="190">
        <f t="shared" ref="G47" si="83">F47/F46-1</f>
        <v>-0.36768132659106501</v>
      </c>
      <c r="H47" s="190">
        <f t="shared" ref="H47" si="84">F47/F35-1</f>
        <v>-2.3372976896331776E-2</v>
      </c>
      <c r="I47" s="130">
        <f t="shared" si="0"/>
        <v>44.407765010193813</v>
      </c>
      <c r="J47" s="130">
        <f t="shared" si="5"/>
        <v>0.14574955819525703</v>
      </c>
      <c r="K47" s="136"/>
      <c r="L47" s="190"/>
      <c r="M47" s="190"/>
      <c r="N47" s="191"/>
      <c r="O47" s="192"/>
      <c r="P47" s="129" t="s">
        <v>1029</v>
      </c>
      <c r="Q47" s="116">
        <v>14440414</v>
      </c>
      <c r="R47" s="116">
        <v>19798837443</v>
      </c>
      <c r="S47" s="116">
        <v>325177.68</v>
      </c>
      <c r="T47" s="130">
        <f t="shared" ref="T47" si="85">Q47/S47</f>
        <v>44.407765010193813</v>
      </c>
      <c r="U47" s="85">
        <f t="shared" si="82"/>
        <v>47836096</v>
      </c>
    </row>
    <row r="48" spans="1:21" s="79" customFormat="1" ht="13.2">
      <c r="A48" s="129" t="s">
        <v>1099</v>
      </c>
      <c r="B48" s="188"/>
      <c r="C48" s="188"/>
      <c r="D48" s="190"/>
      <c r="E48" s="287"/>
      <c r="F48" s="136">
        <f>Q48/20</f>
        <v>639210.44999999995</v>
      </c>
      <c r="G48" s="190">
        <f t="shared" ref="G48" si="86">F48/F47-1</f>
        <v>1.8103798824604223E-2</v>
      </c>
      <c r="H48" s="190">
        <f t="shared" ref="H48" si="87">F48/F36-1</f>
        <v>2.3455595210075453E-2</v>
      </c>
      <c r="I48" s="130">
        <f t="shared" si="0"/>
        <v>49.954344726077345</v>
      </c>
      <c r="J48" s="130">
        <f t="shared" si="5"/>
        <v>0.20582550327578253</v>
      </c>
      <c r="K48" s="136"/>
      <c r="L48" s="190"/>
      <c r="M48" s="190"/>
      <c r="N48" s="191"/>
      <c r="O48" s="192"/>
      <c r="P48" s="129" t="s">
        <v>1142</v>
      </c>
      <c r="Q48" s="116">
        <v>12784209</v>
      </c>
      <c r="R48" s="116">
        <v>17745340179</v>
      </c>
      <c r="S48" s="116">
        <v>255917.86</v>
      </c>
      <c r="T48" s="130">
        <f t="shared" ref="T48" si="88">Q48/S48</f>
        <v>49.954344726077345</v>
      </c>
      <c r="U48" s="85">
        <f t="shared" si="82"/>
        <v>46090170</v>
      </c>
    </row>
    <row r="49" spans="1:26" ht="13.2">
      <c r="A49" s="129" t="s">
        <v>1237</v>
      </c>
      <c r="B49" s="188">
        <f>SUM(F47:F49)</f>
        <v>2032398.9005928854</v>
      </c>
      <c r="C49" s="188">
        <f>AVERAGE(F47:F49)</f>
        <v>677466.30019762844</v>
      </c>
      <c r="D49" s="190">
        <f>C49/C46-1</f>
        <v>-0.14760754151115008</v>
      </c>
      <c r="E49" s="287">
        <f>C49/C37-1</f>
        <v>-2.6606415456539523E-2</v>
      </c>
      <c r="F49" s="136">
        <f>Q49/22</f>
        <v>765344.36363636365</v>
      </c>
      <c r="G49" s="190">
        <f t="shared" ref="G49" si="89">F49/F48-1</f>
        <v>0.19732767766291004</v>
      </c>
      <c r="H49" s="190">
        <f t="shared" ref="H49" si="90">F49/F37-1</f>
        <v>-6.7245792056459419E-2</v>
      </c>
      <c r="I49" s="130">
        <f t="shared" si="0"/>
        <v>39.441477006431292</v>
      </c>
      <c r="J49" s="130">
        <f t="shared" si="5"/>
        <v>0.16954146401126358</v>
      </c>
      <c r="K49" s="136">
        <f>R47+R48+R49</f>
        <v>60939400469</v>
      </c>
      <c r="L49" s="190">
        <f>U49/U46-1</f>
        <v>-8.2493158553740731E-2</v>
      </c>
      <c r="M49" s="190">
        <f>K49/K37-1</f>
        <v>4.9633766274243207E-2</v>
      </c>
      <c r="N49" s="191">
        <f>AVERAGE(T47:T49)</f>
        <v>44.601195580900814</v>
      </c>
      <c r="O49" s="192">
        <f>N49/N46-1</f>
        <v>0.17655520294398674</v>
      </c>
      <c r="P49" s="129" t="s">
        <v>1158</v>
      </c>
      <c r="Q49" s="116">
        <v>16837576</v>
      </c>
      <c r="R49" s="116">
        <v>23395222847</v>
      </c>
      <c r="S49" s="116">
        <v>426900.24</v>
      </c>
      <c r="T49" s="130">
        <f t="shared" ref="T49" si="91">Q49/S49</f>
        <v>39.441477006431292</v>
      </c>
      <c r="U49" s="85">
        <f t="shared" si="82"/>
        <v>44062199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700451.4444444445</v>
      </c>
      <c r="G50" s="190">
        <f t="shared" ref="G50" si="92">F50/F49-1</f>
        <v>-8.4789177624036927E-2</v>
      </c>
      <c r="H50" s="190">
        <f t="shared" ref="H50" si="93">F50/F38-1</f>
        <v>-0.11064107042757898</v>
      </c>
      <c r="I50" s="130">
        <f t="shared" ref="I50" si="94">T50</f>
        <v>45.823236306410756</v>
      </c>
      <c r="J50" s="130">
        <f t="shared" ref="J50" si="95">I50/I38-1</f>
        <v>5.9768688065510833E-2</v>
      </c>
      <c r="K50" s="136"/>
      <c r="L50" s="190"/>
      <c r="M50" s="190"/>
      <c r="N50" s="191"/>
      <c r="O50" s="192"/>
      <c r="P50" s="129" t="s">
        <v>1291</v>
      </c>
      <c r="Q50" s="116">
        <v>12608126</v>
      </c>
      <c r="R50" s="116">
        <v>17819868055</v>
      </c>
      <c r="S50" s="116">
        <v>275147</v>
      </c>
      <c r="T50" s="130">
        <f t="shared" ref="T50" si="96">Q50/S50</f>
        <v>45.823236306410756</v>
      </c>
      <c r="U50" s="85">
        <f t="shared" si="82"/>
        <v>42229911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695737.4</v>
      </c>
      <c r="G51" s="190">
        <f t="shared" ref="G51:G52" si="97">F51/F50-1</f>
        <v>-6.7300088847462858E-3</v>
      </c>
      <c r="H51" s="190">
        <f t="shared" ref="H51:H52" si="98">F51/F39-1</f>
        <v>-0.14525834805046978</v>
      </c>
      <c r="I51" s="130">
        <f t="shared" ref="I51:I52" si="99">T51</f>
        <v>43.030766674020533</v>
      </c>
      <c r="J51" s="130">
        <f t="shared" ref="J51:J52" si="100">I51/I39-1</f>
        <v>0.15368962432336852</v>
      </c>
      <c r="K51" s="136"/>
      <c r="L51" s="190"/>
      <c r="M51" s="190"/>
      <c r="N51" s="191"/>
      <c r="O51" s="192"/>
      <c r="P51" s="129" t="s">
        <v>1402</v>
      </c>
      <c r="Q51" s="116">
        <v>13914748</v>
      </c>
      <c r="R51" s="116">
        <v>20146550930</v>
      </c>
      <c r="S51" s="116">
        <v>323367.42</v>
      </c>
      <c r="T51" s="130">
        <f t="shared" ref="T51:T52" si="101">Q51/S51</f>
        <v>43.030766674020533</v>
      </c>
      <c r="U51" s="85">
        <f t="shared" si="82"/>
        <v>43360450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1986032.4808080806</v>
      </c>
      <c r="C52" s="188">
        <f>AVERAGE(F50:F52)</f>
        <v>662010.82693602692</v>
      </c>
      <c r="D52" s="190">
        <f>C52/C49-1</f>
        <v>-2.2813641441785215E-2</v>
      </c>
      <c r="E52" s="287">
        <f>C52/C40-1</f>
        <v>-0.11380836695432028</v>
      </c>
      <c r="F52" s="136">
        <f>Q52/22</f>
        <v>589843.63636363635</v>
      </c>
      <c r="G52" s="190">
        <f t="shared" si="97"/>
        <v>-0.15220363837902584</v>
      </c>
      <c r="H52" s="190">
        <f t="shared" si="98"/>
        <v>-7.7679911365566623E-2</v>
      </c>
      <c r="I52" s="130">
        <f t="shared" si="99"/>
        <v>32.185520285899059</v>
      </c>
      <c r="J52" s="130">
        <f t="shared" si="100"/>
        <v>-6.9300344439886974E-2</v>
      </c>
      <c r="K52" s="136">
        <f>R50+R51+R52</f>
        <v>57053123141</v>
      </c>
      <c r="L52" s="190">
        <f>U52/U49-1</f>
        <v>-0.10355282086579476</v>
      </c>
      <c r="M52" s="190">
        <f>K52/K40-1</f>
        <v>-0.10903503133985637</v>
      </c>
      <c r="N52" s="191">
        <f>AVERAGE(T50:T52)</f>
        <v>40.346507755443447</v>
      </c>
      <c r="O52" s="192">
        <f>N52/N49-1</f>
        <v>-9.5394030811122854E-2</v>
      </c>
      <c r="P52" s="129" t="s">
        <v>1403</v>
      </c>
      <c r="Q52" s="116">
        <v>12976560</v>
      </c>
      <c r="R52" s="116">
        <v>19086704156</v>
      </c>
      <c r="S52" s="116">
        <v>403180.06</v>
      </c>
      <c r="T52" s="130">
        <f t="shared" si="101"/>
        <v>32.185520285899059</v>
      </c>
      <c r="U52" s="85">
        <f t="shared" ref="U52" si="102">Q50+Q51+Q52</f>
        <v>39499434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577981.28571428568</v>
      </c>
      <c r="G53" s="190">
        <f t="shared" ref="G53" si="103">F53/F52-1</f>
        <v>-2.0111008948882847E-2</v>
      </c>
      <c r="H53" s="190">
        <f t="shared" ref="H53" si="104">F53/F41-1</f>
        <v>-0.15914536669511836</v>
      </c>
      <c r="I53" s="130">
        <f t="shared" ref="I53" si="105">T53</f>
        <v>40.936440088602026</v>
      </c>
      <c r="J53" s="130">
        <f t="shared" ref="J53" si="106">I53/I41-1</f>
        <v>0.3389032274907966</v>
      </c>
      <c r="K53" s="136"/>
      <c r="L53" s="190"/>
      <c r="M53" s="190"/>
      <c r="N53" s="191"/>
      <c r="O53" s="192"/>
      <c r="P53" s="129" t="s">
        <v>1414</v>
      </c>
      <c r="Q53" s="116">
        <v>12137607</v>
      </c>
      <c r="R53" s="116">
        <v>17694923013</v>
      </c>
      <c r="S53" s="116">
        <v>296498.84000000003</v>
      </c>
      <c r="T53" s="130">
        <f t="shared" ref="T53" si="107">Q53/S53</f>
        <v>40.936440088602026</v>
      </c>
      <c r="U53" s="85">
        <f t="shared" ref="U53" si="108">Q51+Q52+Q53</f>
        <v>39028915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699305.5294117647</v>
      </c>
      <c r="G54" s="190">
        <f t="shared" ref="G54" si="109">F54/F53-1</f>
        <v>0.20991033221351296</v>
      </c>
      <c r="H54" s="190">
        <f t="shared" ref="H54" si="110">F54/F42-1</f>
        <v>-5.5624174868762144E-2</v>
      </c>
      <c r="I54" s="130">
        <f t="shared" ref="I54" si="111">T54</f>
        <v>41.714082560955845</v>
      </c>
      <c r="J54" s="130">
        <f t="shared" ref="J54" si="112">I54/I42-1</f>
        <v>0.15332481938552434</v>
      </c>
      <c r="K54" s="136"/>
      <c r="L54" s="190"/>
      <c r="M54" s="190"/>
      <c r="N54" s="191"/>
      <c r="O54" s="192"/>
      <c r="P54" s="129" t="s">
        <v>1417</v>
      </c>
      <c r="Q54" s="116">
        <v>11888194</v>
      </c>
      <c r="R54" s="116">
        <v>17211552295</v>
      </c>
      <c r="S54" s="116">
        <v>284992.34000000003</v>
      </c>
      <c r="T54" s="130">
        <f t="shared" ref="T54" si="113">Q54/S54</f>
        <v>41.714082560955845</v>
      </c>
      <c r="U54" s="85">
        <f t="shared" ref="U54" si="114">Q52+Q53+Q54</f>
        <v>37002361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1987974.6722689075</v>
      </c>
      <c r="C55" s="188">
        <f>AVERAGE(F53:F55)</f>
        <v>662658.22408963589</v>
      </c>
      <c r="D55" s="190">
        <f>C55/C52-1</f>
        <v>9.77925325791551E-4</v>
      </c>
      <c r="E55" s="287">
        <f>C55/C43-1</f>
        <v>-0.13464867859804908</v>
      </c>
      <c r="F55" s="136">
        <f>Q55/21</f>
        <v>710687.85714285716</v>
      </c>
      <c r="G55" s="190">
        <f t="shared" ref="G55" si="115">F55/F54-1</f>
        <v>1.6276616231916563E-2</v>
      </c>
      <c r="H55" s="190">
        <f t="shared" ref="H55" si="116">F55/F43-1</f>
        <v>-0.18258655662256851</v>
      </c>
      <c r="I55" s="130">
        <f>T55</f>
        <v>32.54977672967113</v>
      </c>
      <c r="J55" s="130">
        <f t="shared" ref="J55" si="117">I55/I43-1</f>
        <v>-0.10971298111143102</v>
      </c>
      <c r="K55" s="136">
        <f>R53+R54+R55</f>
        <v>56878170352</v>
      </c>
      <c r="L55" s="190">
        <f>U55/U52-1</f>
        <v>-1.3903692898485587E-2</v>
      </c>
      <c r="M55" s="190">
        <f>K55/K43-1</f>
        <v>-0.12098589091794321</v>
      </c>
      <c r="N55" s="191">
        <f>AVERAGE(T53:T55)</f>
        <v>38.400099793076329</v>
      </c>
      <c r="O55" s="192">
        <f>N55/N52-1</f>
        <v>-4.8242290861084891E-2</v>
      </c>
      <c r="P55" s="129" t="s">
        <v>1418</v>
      </c>
      <c r="Q55" s="116">
        <v>14924445</v>
      </c>
      <c r="R55" s="116">
        <v>21971695044</v>
      </c>
      <c r="S55" s="116">
        <v>458511.44</v>
      </c>
      <c r="T55" s="130">
        <f t="shared" ref="T55" si="118">Q55/S55</f>
        <v>32.54977672967113</v>
      </c>
      <c r="U55" s="85">
        <f t="shared" ref="U55" si="119">Q53+Q54+Q55</f>
        <v>38950246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937369.90909090906</v>
      </c>
      <c r="G56" s="190">
        <f t="shared" ref="G56" si="120">F56/F55-1</f>
        <v>0.3189614817106492</v>
      </c>
      <c r="H56" s="190">
        <f t="shared" ref="H56" si="121">F56/F44-1</f>
        <v>0.40975659609841419</v>
      </c>
      <c r="I56" s="291">
        <f>T56</f>
        <v>41.471650127856996</v>
      </c>
      <c r="J56" s="130">
        <f t="shared" ref="J56" si="122">I56/I44-1</f>
        <v>0.20653371521814878</v>
      </c>
      <c r="K56" s="136"/>
      <c r="L56" s="190"/>
      <c r="M56" s="190"/>
      <c r="N56" s="191"/>
      <c r="O56" s="192"/>
      <c r="P56" s="129" t="s">
        <v>1420</v>
      </c>
      <c r="Q56" s="116">
        <v>20622138</v>
      </c>
      <c r="R56" s="116">
        <v>30755078240</v>
      </c>
      <c r="S56" s="116">
        <v>497258.68</v>
      </c>
      <c r="T56" s="130">
        <f t="shared" ref="T56" si="123">Q56/S56</f>
        <v>41.471650127856996</v>
      </c>
      <c r="U56" s="85">
        <f t="shared" ref="U56" si="124">Q54+Q55+Q56</f>
        <v>47434777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797618.58333333337</v>
      </c>
      <c r="G57" s="254">
        <f t="shared" ref="G57" si="125">F57/F56-1</f>
        <v>-0.14908876890779532</v>
      </c>
      <c r="H57" s="254">
        <f t="shared" ref="H57" si="126">F57/F45-1</f>
        <v>9.7881861845513951E-2</v>
      </c>
      <c r="I57" s="282">
        <f>T57</f>
        <v>44.974856355595314</v>
      </c>
      <c r="J57" s="277">
        <f t="shared" ref="J57" si="127">I57/I45-1</f>
        <v>0.12374722992262699</v>
      </c>
      <c r="K57" s="204"/>
      <c r="L57" s="254"/>
      <c r="M57" s="254"/>
      <c r="N57" s="257"/>
      <c r="O57" s="258"/>
      <c r="P57" s="129" t="s">
        <v>1436</v>
      </c>
      <c r="Q57" s="116">
        <v>9571423</v>
      </c>
      <c r="R57" s="116">
        <v>14096229794</v>
      </c>
      <c r="S57" s="116">
        <v>212817.2</v>
      </c>
      <c r="T57" s="130">
        <f t="shared" ref="T57" si="128">Q57/S57</f>
        <v>44.974856355595314</v>
      </c>
      <c r="U57" s="85">
        <f t="shared" ref="U57" si="129">Q55+Q56+Q57</f>
        <v>45118006</v>
      </c>
      <c r="V57" s="79"/>
      <c r="W57" s="79"/>
      <c r="X57" s="79"/>
      <c r="Y57" s="79"/>
      <c r="Z57" s="79"/>
    </row>
    <row r="58" spans="1:26">
      <c r="B58" s="196">
        <f>SUM(F56:F58)</f>
        <v>1734988.4924242424</v>
      </c>
      <c r="C58" s="196">
        <f>AVERAGE(F56:F58)</f>
        <v>867494.24621212122</v>
      </c>
      <c r="D58" s="197">
        <f>C58/C55-1</f>
        <v>0.30911262348534252</v>
      </c>
      <c r="E58" s="233">
        <f>C58/C46-1</f>
        <v>9.1486843017833941E-2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69143807</v>
      </c>
      <c r="R64" s="212">
        <v>101729478386</v>
      </c>
      <c r="S64" s="213">
        <v>1750078.52</v>
      </c>
      <c r="T64" s="214">
        <v>484</v>
      </c>
      <c r="U64" s="214">
        <v>1186</v>
      </c>
    </row>
    <row r="65" spans="16:21" ht="18" thickBot="1">
      <c r="P65" s="180" t="s">
        <v>976</v>
      </c>
      <c r="Q65" s="181">
        <v>12137607</v>
      </c>
      <c r="R65" s="181">
        <v>17694923013</v>
      </c>
      <c r="S65" s="182">
        <v>296498.84000000003</v>
      </c>
      <c r="T65" s="210">
        <v>227</v>
      </c>
      <c r="U65" s="210">
        <v>578</v>
      </c>
    </row>
    <row r="66" spans="16:21" ht="18" thickBot="1">
      <c r="P66" s="180" t="s">
        <v>977</v>
      </c>
      <c r="Q66" s="181">
        <v>11888194</v>
      </c>
      <c r="R66" s="181">
        <v>17211552295</v>
      </c>
      <c r="S66" s="182">
        <v>284992.34000000003</v>
      </c>
      <c r="T66" s="210">
        <v>194</v>
      </c>
      <c r="U66" s="210">
        <v>516</v>
      </c>
    </row>
    <row r="67" spans="16:21" ht="18" thickBot="1">
      <c r="P67" s="180" t="s">
        <v>978</v>
      </c>
      <c r="Q67" s="181">
        <v>14924445</v>
      </c>
      <c r="R67" s="181">
        <v>21971695044</v>
      </c>
      <c r="S67" s="182">
        <v>458511.44</v>
      </c>
      <c r="T67" s="210">
        <v>221</v>
      </c>
      <c r="U67" s="210">
        <v>590</v>
      </c>
    </row>
    <row r="68" spans="16:21" ht="18" thickBot="1">
      <c r="P68" s="180" t="s">
        <v>979</v>
      </c>
      <c r="Q68" s="181">
        <v>20622138</v>
      </c>
      <c r="R68" s="181">
        <v>30755078240</v>
      </c>
      <c r="S68" s="182">
        <v>497258.68</v>
      </c>
      <c r="T68" s="210">
        <v>230</v>
      </c>
      <c r="U68" s="210">
        <v>606</v>
      </c>
    </row>
    <row r="69" spans="16:21" ht="18" thickBot="1">
      <c r="P69" s="180" t="s">
        <v>980</v>
      </c>
      <c r="Q69" s="181">
        <v>9571423</v>
      </c>
      <c r="R69" s="181">
        <v>14096229794</v>
      </c>
      <c r="S69" s="182">
        <v>212817.2</v>
      </c>
      <c r="T69" s="210">
        <v>173</v>
      </c>
      <c r="U69" s="210">
        <v>401</v>
      </c>
    </row>
    <row r="70" spans="16:21" ht="18" thickBot="1">
      <c r="P70" s="215" t="s">
        <v>975</v>
      </c>
      <c r="Q70" s="217" t="s">
        <v>1467</v>
      </c>
      <c r="R70"/>
      <c r="S70"/>
      <c r="T70"/>
      <c r="U70"/>
    </row>
    <row r="71" spans="16:21" ht="18" thickBot="1">
      <c r="P71" s="215" t="s">
        <v>982</v>
      </c>
      <c r="Q71" s="217" t="s">
        <v>1441</v>
      </c>
      <c r="R71"/>
      <c r="S71"/>
      <c r="T71"/>
      <c r="U71"/>
    </row>
  </sheetData>
  <phoneticPr fontId="1" type="noConversion"/>
  <conditionalFormatting sqref="C29:C30">
    <cfRule type="cellIs" dxfId="2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8532240000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1289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5107269.7</v>
      </c>
      <c r="G5" s="90"/>
      <c r="H5" s="90"/>
      <c r="I5" s="130">
        <f t="shared" ref="I5:I49" si="0">T5</f>
        <v>216.91835604276102</v>
      </c>
      <c r="J5" s="130"/>
      <c r="K5" s="86"/>
      <c r="L5" s="80"/>
      <c r="M5" s="80"/>
      <c r="P5" s="129" t="s">
        <v>0</v>
      </c>
      <c r="Q5" s="116">
        <v>102145394</v>
      </c>
      <c r="R5" s="116">
        <v>120535272659</v>
      </c>
      <c r="S5" s="116">
        <v>470893.27</v>
      </c>
      <c r="T5" s="130">
        <f t="shared" ref="T5:T17" si="1">Q5/S5</f>
        <v>216.91835604276102</v>
      </c>
      <c r="U5" s="85"/>
    </row>
    <row r="6" spans="1:21" ht="15" hidden="1" customHeight="1">
      <c r="A6" s="129" t="s">
        <v>1</v>
      </c>
      <c r="C6" s="79"/>
      <c r="F6" s="78">
        <f>Q6/18</f>
        <v>5210613.277777778</v>
      </c>
      <c r="G6" s="90">
        <f t="shared" ref="G6:G16" si="2">F6/F5-1</f>
        <v>2.0234603584333488E-2</v>
      </c>
      <c r="H6" s="90"/>
      <c r="I6" s="130">
        <f t="shared" si="0"/>
        <v>205.10688171998333</v>
      </c>
      <c r="J6" s="130"/>
      <c r="K6" s="78"/>
      <c r="P6" s="129" t="s">
        <v>1</v>
      </c>
      <c r="Q6" s="116">
        <v>93791039</v>
      </c>
      <c r="R6" s="116">
        <v>111460397140</v>
      </c>
      <c r="S6" s="116">
        <v>457278.85</v>
      </c>
      <c r="T6" s="130">
        <f t="shared" si="1"/>
        <v>205.10688171998333</v>
      </c>
      <c r="U6" s="85"/>
    </row>
    <row r="7" spans="1:21" ht="15" hidden="1" customHeight="1">
      <c r="A7" s="129" t="s">
        <v>2</v>
      </c>
      <c r="B7" s="131">
        <f>F5+F6+F7</f>
        <v>15223187.705050506</v>
      </c>
      <c r="C7" s="131">
        <f>AVERAGE(F5:F7)</f>
        <v>5074395.9016835019</v>
      </c>
      <c r="F7" s="78">
        <f>Q7/22</f>
        <v>4905304.7272727275</v>
      </c>
      <c r="G7" s="90">
        <f t="shared" si="2"/>
        <v>-5.8593592390962956E-2</v>
      </c>
      <c r="H7" s="90"/>
      <c r="I7" s="130">
        <f t="shared" si="0"/>
        <v>196.57781668165271</v>
      </c>
      <c r="J7" s="130"/>
      <c r="K7" s="85">
        <f>R5+R6+R7</f>
        <v>362009862960</v>
      </c>
      <c r="N7" s="88">
        <f>AVERAGE(T5:T7)</f>
        <v>206.20101814813236</v>
      </c>
      <c r="P7" s="129" t="s">
        <v>2</v>
      </c>
      <c r="Q7" s="116">
        <v>107916704</v>
      </c>
      <c r="R7" s="116">
        <v>130014193161</v>
      </c>
      <c r="S7" s="116">
        <v>548977.02</v>
      </c>
      <c r="T7" s="130">
        <f t="shared" si="1"/>
        <v>196.57781668165271</v>
      </c>
      <c r="U7" s="85">
        <f>Q5+Q6+Q7</f>
        <v>303853137</v>
      </c>
    </row>
    <row r="8" spans="1:21" ht="15" hidden="1" customHeight="1">
      <c r="A8" s="129" t="s">
        <v>3</v>
      </c>
      <c r="C8" s="79"/>
      <c r="F8" s="78">
        <f>Q8/21</f>
        <v>4671209.1428571427</v>
      </c>
      <c r="G8" s="90">
        <f t="shared" si="2"/>
        <v>-4.7722944328830397E-2</v>
      </c>
      <c r="H8" s="90"/>
      <c r="I8" s="130">
        <f t="shared" si="0"/>
        <v>191.59495743696797</v>
      </c>
      <c r="J8" s="130"/>
      <c r="K8" s="78"/>
      <c r="P8" s="129" t="s">
        <v>3</v>
      </c>
      <c r="Q8" s="116">
        <v>98095392</v>
      </c>
      <c r="R8" s="116">
        <v>118965888815</v>
      </c>
      <c r="S8" s="116">
        <v>511993.59999999998</v>
      </c>
      <c r="T8" s="130">
        <f t="shared" si="1"/>
        <v>191.59495743696797</v>
      </c>
      <c r="U8" s="85"/>
    </row>
    <row r="9" spans="1:21" ht="15" hidden="1" customHeight="1">
      <c r="A9" s="129" t="s">
        <v>4</v>
      </c>
      <c r="C9" s="79"/>
      <c r="F9" s="78">
        <f>Q9/21</f>
        <v>4620737.9523809524</v>
      </c>
      <c r="G9" s="90">
        <f t="shared" si="2"/>
        <v>-1.0804737902469386E-2</v>
      </c>
      <c r="H9" s="90"/>
      <c r="I9" s="130">
        <f t="shared" si="0"/>
        <v>221.22315407453186</v>
      </c>
      <c r="J9" s="130"/>
      <c r="K9" s="78"/>
      <c r="P9" s="129" t="s">
        <v>4</v>
      </c>
      <c r="Q9" s="116">
        <v>97035497</v>
      </c>
      <c r="R9" s="116">
        <v>122014845874</v>
      </c>
      <c r="S9" s="116">
        <v>438631.74</v>
      </c>
      <c r="T9" s="130">
        <f t="shared" si="1"/>
        <v>221.22315407453186</v>
      </c>
      <c r="U9" s="85"/>
    </row>
    <row r="10" spans="1:21" ht="15" hidden="1" customHeight="1">
      <c r="A10" s="129" t="s">
        <v>5</v>
      </c>
      <c r="B10" s="131">
        <f>F8+F9+F10</f>
        <v>14182412.80952381</v>
      </c>
      <c r="C10" s="131">
        <f>AVERAGE(F8:F10)</f>
        <v>4727470.9365079366</v>
      </c>
      <c r="D10" s="90">
        <f>C10/C7-1</f>
        <v>-6.8367737144921614E-2</v>
      </c>
      <c r="E10" s="286"/>
      <c r="F10" s="78">
        <f>Q10/21</f>
        <v>4890465.7142857146</v>
      </c>
      <c r="G10" s="90">
        <f t="shared" si="2"/>
        <v>5.837330848112221E-2</v>
      </c>
      <c r="H10" s="90"/>
      <c r="I10" s="130">
        <f t="shared" si="0"/>
        <v>238.84471841333462</v>
      </c>
      <c r="J10" s="130"/>
      <c r="K10" s="85">
        <f>R8+R9+R10</f>
        <v>369914834040</v>
      </c>
      <c r="L10" s="87">
        <f>U10/U7-1</f>
        <v>-1.9820325238241621E-2</v>
      </c>
      <c r="N10" s="88">
        <f>AVERAGE(T8:T10)</f>
        <v>217.22094330827815</v>
      </c>
      <c r="O10" s="89">
        <f>N10/N7-1</f>
        <v>5.3442632141754043E-2</v>
      </c>
      <c r="P10" s="129" t="s">
        <v>5</v>
      </c>
      <c r="Q10" s="116">
        <v>102699780</v>
      </c>
      <c r="R10" s="116">
        <v>128934099351</v>
      </c>
      <c r="S10" s="116">
        <v>429985.56</v>
      </c>
      <c r="T10" s="130">
        <f t="shared" si="1"/>
        <v>238.84471841333462</v>
      </c>
      <c r="U10" s="85">
        <f>Q8+Q9+Q10</f>
        <v>297830669</v>
      </c>
    </row>
    <row r="11" spans="1:21" ht="15" hidden="1" customHeight="1">
      <c r="A11" s="129" t="s">
        <v>6</v>
      </c>
      <c r="C11" s="79"/>
      <c r="F11" s="78">
        <f>Q11/21</f>
        <v>4530896.3809523806</v>
      </c>
      <c r="G11" s="90">
        <f t="shared" si="2"/>
        <v>-7.3524558669940787E-2</v>
      </c>
      <c r="H11" s="90"/>
      <c r="I11" s="130">
        <f t="shared" si="0"/>
        <v>225.89784224889814</v>
      </c>
      <c r="J11" s="130"/>
      <c r="K11" s="78"/>
      <c r="O11" s="89"/>
      <c r="P11" s="129" t="s">
        <v>6</v>
      </c>
      <c r="Q11" s="116">
        <v>95148824</v>
      </c>
      <c r="R11" s="116">
        <v>122833696158</v>
      </c>
      <c r="S11" s="116">
        <v>421202.89</v>
      </c>
      <c r="T11" s="130">
        <f t="shared" si="1"/>
        <v>225.89784224889814</v>
      </c>
      <c r="U11" s="85"/>
    </row>
    <row r="12" spans="1:21" ht="15" hidden="1" customHeight="1">
      <c r="A12" s="129" t="s">
        <v>7</v>
      </c>
      <c r="C12" s="79"/>
      <c r="F12" s="78">
        <f>Q12/22</f>
        <v>3879344.0454545454</v>
      </c>
      <c r="G12" s="90">
        <f t="shared" si="2"/>
        <v>-0.14380208257176719</v>
      </c>
      <c r="H12" s="90"/>
      <c r="I12" s="130">
        <f t="shared" si="0"/>
        <v>227.99289875443696</v>
      </c>
      <c r="J12" s="130"/>
      <c r="K12" s="78"/>
      <c r="O12" s="89"/>
      <c r="P12" s="129" t="s">
        <v>7</v>
      </c>
      <c r="Q12" s="116">
        <v>85345569</v>
      </c>
      <c r="R12" s="116">
        <v>110898325532</v>
      </c>
      <c r="S12" s="116">
        <v>374334.33</v>
      </c>
      <c r="T12" s="130">
        <f t="shared" si="1"/>
        <v>227.99289875443696</v>
      </c>
      <c r="U12" s="85"/>
    </row>
    <row r="13" spans="1:21" ht="15" hidden="1" customHeight="1">
      <c r="A13" s="129" t="s">
        <v>35</v>
      </c>
      <c r="B13" s="131">
        <f>F11+F12+F13</f>
        <v>12927352.126406927</v>
      </c>
      <c r="C13" s="131">
        <f>AVERAGE(F11:F13)</f>
        <v>4309117.3754689759</v>
      </c>
      <c r="D13" s="90">
        <f>C13/C10-1</f>
        <v>-8.8494158220671748E-2</v>
      </c>
      <c r="E13" s="286"/>
      <c r="F13" s="78">
        <f>Q13/20</f>
        <v>4517111.7</v>
      </c>
      <c r="G13" s="90">
        <f t="shared" si="2"/>
        <v>0.16440090053181322</v>
      </c>
      <c r="H13" s="90"/>
      <c r="I13" s="130">
        <f t="shared" si="0"/>
        <v>231.20580288158123</v>
      </c>
      <c r="J13" s="130"/>
      <c r="K13" s="78">
        <f>R11+R12+R13</f>
        <v>357116460476</v>
      </c>
      <c r="L13" s="87">
        <f>U13/U10-1</f>
        <v>-9.0635534918668825E-2</v>
      </c>
      <c r="N13" s="88">
        <f>AVERAGE(T11:T13)</f>
        <v>228.36551462830548</v>
      </c>
      <c r="O13" s="89">
        <f>N13/N10-1</f>
        <v>5.130523397189668E-2</v>
      </c>
      <c r="P13" s="129" t="s">
        <v>60</v>
      </c>
      <c r="Q13" s="116">
        <v>90342234</v>
      </c>
      <c r="R13" s="116">
        <v>123384438786</v>
      </c>
      <c r="S13" s="116">
        <v>390743.8</v>
      </c>
      <c r="T13" s="130">
        <f t="shared" si="1"/>
        <v>231.20580288158123</v>
      </c>
      <c r="U13" s="85">
        <f>Q11+Q12+Q13</f>
        <v>270836627</v>
      </c>
    </row>
    <row r="14" spans="1:21" ht="15" hidden="1" customHeight="1">
      <c r="A14" s="129" t="s">
        <v>36</v>
      </c>
      <c r="C14" s="79"/>
      <c r="F14" s="78">
        <f>Q14/20</f>
        <v>4827803.2</v>
      </c>
      <c r="G14" s="90">
        <f t="shared" si="2"/>
        <v>6.8781008891146023E-2</v>
      </c>
      <c r="H14" s="90"/>
      <c r="I14" s="130">
        <f t="shared" si="0"/>
        <v>244.49393718437449</v>
      </c>
      <c r="J14" s="130"/>
      <c r="K14" s="78"/>
      <c r="O14" s="89"/>
      <c r="P14" s="129" t="s">
        <v>36</v>
      </c>
      <c r="Q14" s="116">
        <v>96556064</v>
      </c>
      <c r="R14" s="116">
        <v>137660500709</v>
      </c>
      <c r="S14" s="116">
        <v>394922.12</v>
      </c>
      <c r="T14" s="130">
        <f t="shared" si="1"/>
        <v>244.49393718437449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4097580.4090909092</v>
      </c>
      <c r="G15" s="90">
        <f t="shared" si="2"/>
        <v>-0.15125363662485058</v>
      </c>
      <c r="H15" s="90"/>
      <c r="I15" s="130">
        <f t="shared" si="0"/>
        <v>213.23934018190076</v>
      </c>
      <c r="J15" s="130"/>
      <c r="K15" s="78"/>
      <c r="O15" s="89"/>
      <c r="P15" s="129" t="s">
        <v>37</v>
      </c>
      <c r="Q15" s="116">
        <v>90146769</v>
      </c>
      <c r="R15" s="116">
        <v>124428093176</v>
      </c>
      <c r="S15" s="116">
        <v>422749.24</v>
      </c>
      <c r="T15" s="130">
        <f t="shared" si="1"/>
        <v>213.23934018190076</v>
      </c>
      <c r="U15" s="85"/>
    </row>
    <row r="16" spans="1:21" ht="15" hidden="1" customHeight="1">
      <c r="A16" s="129" t="s">
        <v>38</v>
      </c>
      <c r="B16" s="131">
        <f>F14+F15+F16</f>
        <v>13526774.790909091</v>
      </c>
      <c r="C16" s="131">
        <f>AVERAGE(F14:F16)</f>
        <v>4508924.9303030306</v>
      </c>
      <c r="D16" s="90">
        <f>C16/C13-1</f>
        <v>4.6368557044076608E-2</v>
      </c>
      <c r="E16" s="286"/>
      <c r="F16" s="78">
        <f>Q16/22</f>
        <v>4601391.1818181816</v>
      </c>
      <c r="G16" s="90">
        <f t="shared" si="2"/>
        <v>0.12295323640495637</v>
      </c>
      <c r="H16" s="90"/>
      <c r="I16" s="130">
        <f t="shared" si="0"/>
        <v>262.23871616070932</v>
      </c>
      <c r="J16" s="130"/>
      <c r="K16" s="78">
        <f>R14+R15+R16</f>
        <v>394746535144</v>
      </c>
      <c r="L16" s="87">
        <f>U16/U13-1</f>
        <v>6.3125922772624188E-2</v>
      </c>
      <c r="N16" s="88">
        <f>AVERAGE(T14:T16)</f>
        <v>239.99066450899485</v>
      </c>
      <c r="O16" s="89">
        <f>N16/N13-1</f>
        <v>5.0905890495816841E-2</v>
      </c>
      <c r="P16" s="129" t="s">
        <v>38</v>
      </c>
      <c r="Q16" s="116">
        <v>101230606</v>
      </c>
      <c r="R16" s="116">
        <v>132657941259</v>
      </c>
      <c r="S16" s="116">
        <v>386024.64</v>
      </c>
      <c r="T16" s="130">
        <f t="shared" si="1"/>
        <v>262.23871616070932</v>
      </c>
      <c r="U16" s="85">
        <f>Q14+Q15+Q16</f>
        <v>287933439</v>
      </c>
    </row>
    <row r="17" spans="1:21" ht="15" hidden="1" customHeight="1">
      <c r="A17" s="129" t="s">
        <v>86</v>
      </c>
      <c r="C17" s="79"/>
      <c r="F17" s="78">
        <f>Q17/20</f>
        <v>5432400.5999999996</v>
      </c>
      <c r="G17" s="90">
        <f t="shared" ref="G17:G22" si="3">F17/F16-1</f>
        <v>0.18059960245619777</v>
      </c>
      <c r="H17" s="90">
        <f t="shared" ref="H17:H22" si="4">F17/F5-1</f>
        <v>6.3660413312420117E-2</v>
      </c>
      <c r="I17" s="130">
        <f t="shared" si="0"/>
        <v>279.27362133855047</v>
      </c>
      <c r="J17" s="130">
        <f t="shared" ref="J17:J49" si="5">I17/I5-1</f>
        <v>0.28745960661575998</v>
      </c>
      <c r="K17" s="78"/>
      <c r="O17" s="89"/>
      <c r="P17" s="129" t="s">
        <v>86</v>
      </c>
      <c r="Q17" s="116">
        <v>108648012</v>
      </c>
      <c r="R17" s="116">
        <v>136373772827</v>
      </c>
      <c r="S17" s="116">
        <v>389037.86</v>
      </c>
      <c r="T17" s="130">
        <f t="shared" si="1"/>
        <v>279.27362133855047</v>
      </c>
      <c r="U17" s="78"/>
    </row>
    <row r="18" spans="1:21" hidden="1">
      <c r="A18" s="129" t="s">
        <v>106</v>
      </c>
      <c r="C18" s="79"/>
      <c r="F18" s="78">
        <f>Q18/20</f>
        <v>5020050.1500000004</v>
      </c>
      <c r="G18" s="90">
        <f t="shared" si="3"/>
        <v>-7.590575150146317E-2</v>
      </c>
      <c r="H18" s="90">
        <f t="shared" si="4"/>
        <v>-3.6572111116073613E-2</v>
      </c>
      <c r="I18" s="130">
        <f t="shared" si="0"/>
        <v>253.17313164949496</v>
      </c>
      <c r="J18" s="130">
        <f t="shared" si="5"/>
        <v>0.23434732918972845</v>
      </c>
      <c r="K18" s="78"/>
      <c r="O18" s="89"/>
      <c r="P18" s="129" t="s">
        <v>106</v>
      </c>
      <c r="Q18" s="116">
        <v>100401003</v>
      </c>
      <c r="R18" s="116">
        <v>125861824548</v>
      </c>
      <c r="S18" s="116">
        <v>396570.53</v>
      </c>
      <c r="T18" s="130">
        <f t="shared" ref="T18" si="6">Q18/S18</f>
        <v>253.17313164949496</v>
      </c>
      <c r="U18" s="78"/>
    </row>
    <row r="19" spans="1:21" hidden="1">
      <c r="A19" s="129" t="s">
        <v>114</v>
      </c>
      <c r="B19" s="131">
        <f>SUM(F17:F19)</f>
        <v>16110737.522727273</v>
      </c>
      <c r="C19" s="131">
        <f>AVERAGE(F17:F19)</f>
        <v>5370245.8409090908</v>
      </c>
      <c r="D19" s="90">
        <f>C19/C16-1</f>
        <v>0.19102578195910969</v>
      </c>
      <c r="E19" s="286">
        <f>C19/C7-1</f>
        <v>5.8302494515147352E-2</v>
      </c>
      <c r="F19" s="78">
        <f>Q19/22</f>
        <v>5658286.7727272725</v>
      </c>
      <c r="G19" s="90">
        <f t="shared" si="3"/>
        <v>0.12713749935890029</v>
      </c>
      <c r="H19" s="90">
        <f t="shared" si="4"/>
        <v>0.15350362257171968</v>
      </c>
      <c r="I19" s="130">
        <f t="shared" si="0"/>
        <v>264.35474312906496</v>
      </c>
      <c r="J19" s="130">
        <f t="shared" si="5"/>
        <v>0.34478420602856419</v>
      </c>
      <c r="K19" s="78">
        <f>R17+R18+R19</f>
        <v>424999568770</v>
      </c>
      <c r="L19" s="87">
        <f>U19/U16-1</f>
        <v>0.15836258948721826</v>
      </c>
      <c r="M19" s="87">
        <f>U19/U7-1</f>
        <v>9.7672801054543568E-2</v>
      </c>
      <c r="N19" s="88">
        <f>AVERAGE(T17:T19)</f>
        <v>265.6004987057035</v>
      </c>
      <c r="O19" s="89">
        <f>N19/N16-1</f>
        <v>0.1067117933487316</v>
      </c>
      <c r="P19" s="129" t="s">
        <v>115</v>
      </c>
      <c r="Q19" s="116">
        <v>124482309</v>
      </c>
      <c r="R19" s="116">
        <v>162763971395</v>
      </c>
      <c r="S19" s="116">
        <v>470891.15</v>
      </c>
      <c r="T19" s="130">
        <f t="shared" ref="T19" si="7">Q19/S19</f>
        <v>264.35474312906496</v>
      </c>
      <c r="U19" s="85">
        <f>Q17+Q18+Q19</f>
        <v>333531324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4964233.4000000004</v>
      </c>
      <c r="G20" s="90">
        <f t="shared" si="3"/>
        <v>-0.12266139921938612</v>
      </c>
      <c r="H20" s="90">
        <f t="shared" si="4"/>
        <v>6.2729851775300549E-2</v>
      </c>
      <c r="I20" s="130">
        <f t="shared" si="0"/>
        <v>244.99506245143294</v>
      </c>
      <c r="J20" s="130">
        <f t="shared" si="5"/>
        <v>0.27871352006762939</v>
      </c>
      <c r="K20" s="78"/>
      <c r="O20" s="89"/>
      <c r="P20" s="129" t="s">
        <v>132</v>
      </c>
      <c r="Q20" s="116">
        <v>99284668</v>
      </c>
      <c r="R20" s="116">
        <v>130231523433</v>
      </c>
      <c r="S20" s="116">
        <v>405251.71</v>
      </c>
      <c r="T20" s="130">
        <f t="shared" ref="T20" si="8">Q20/S20</f>
        <v>244.99506245143294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6326483.2857142854</v>
      </c>
      <c r="G21" s="90">
        <f t="shared" si="3"/>
        <v>0.27441294071996802</v>
      </c>
      <c r="H21" s="90">
        <f t="shared" si="4"/>
        <v>0.36914998229977636</v>
      </c>
      <c r="I21" s="130">
        <f t="shared" si="0"/>
        <v>276.65529298501076</v>
      </c>
      <c r="J21" s="130">
        <f t="shared" si="5"/>
        <v>0.25057114451864004</v>
      </c>
      <c r="K21" s="78"/>
      <c r="O21" s="89"/>
      <c r="P21" s="129" t="s">
        <v>142</v>
      </c>
      <c r="Q21" s="116">
        <v>132856149</v>
      </c>
      <c r="R21" s="116">
        <v>176936176486</v>
      </c>
      <c r="S21" s="116">
        <v>480222.69</v>
      </c>
      <c r="T21" s="130">
        <f t="shared" ref="T21" si="9">Q21/S21</f>
        <v>276.65529298501076</v>
      </c>
      <c r="U21" s="78"/>
    </row>
    <row r="22" spans="1:21" hidden="1">
      <c r="A22" s="129" t="s">
        <v>156</v>
      </c>
      <c r="B22" s="131">
        <f>SUM(F20:F22)</f>
        <v>16584277.161904762</v>
      </c>
      <c r="C22" s="131">
        <f>AVERAGE(F20:F22)</f>
        <v>5528092.3873015875</v>
      </c>
      <c r="D22" s="90">
        <f>C22/C19-1</f>
        <v>2.939279710252074E-2</v>
      </c>
      <c r="E22" s="286">
        <f>C22/C10-1</f>
        <v>0.16935512910525685</v>
      </c>
      <c r="F22" s="78">
        <f>Q22/21</f>
        <v>5293560.4761904757</v>
      </c>
      <c r="G22" s="90">
        <f t="shared" si="3"/>
        <v>-0.16326966544845434</v>
      </c>
      <c r="H22" s="90">
        <f t="shared" si="4"/>
        <v>8.2424616683696827E-2</v>
      </c>
      <c r="I22" s="130">
        <f t="shared" si="0"/>
        <v>251.37182957712216</v>
      </c>
      <c r="J22" s="130">
        <f t="shared" si="5"/>
        <v>5.2448767747539815E-2</v>
      </c>
      <c r="K22" s="78">
        <f>R20+R21+R22</f>
        <v>452097504803</v>
      </c>
      <c r="L22" s="87">
        <f>U22/U19-1</f>
        <v>2.9305382423391313E-2</v>
      </c>
      <c r="M22" s="87">
        <f>U22/U10-1</f>
        <v>0.15268715660709886</v>
      </c>
      <c r="N22" s="88">
        <f>AVERAGE(T20:T22)</f>
        <v>257.67406167118867</v>
      </c>
      <c r="O22" s="89">
        <f>N22/N19-1</f>
        <v>-2.9843456895379039E-2</v>
      </c>
      <c r="P22" s="129" t="s">
        <v>156</v>
      </c>
      <c r="Q22" s="116">
        <v>111164770</v>
      </c>
      <c r="R22" s="116">
        <v>144929804884</v>
      </c>
      <c r="S22" s="116">
        <v>442232.41</v>
      </c>
      <c r="T22" s="130">
        <f t="shared" ref="T22:T23" si="10">Q22/S22</f>
        <v>251.37182957712216</v>
      </c>
      <c r="U22" s="85">
        <f>Q20+Q21+Q22</f>
        <v>343305587</v>
      </c>
    </row>
    <row r="23" spans="1:21" hidden="1">
      <c r="A23" s="129" t="s">
        <v>189</v>
      </c>
      <c r="B23" s="131"/>
      <c r="C23" s="131"/>
      <c r="F23" s="122">
        <f>Q23/21</f>
        <v>5102460.8571428573</v>
      </c>
      <c r="G23" s="132">
        <f t="shared" ref="G23" si="11">F23/F22-1</f>
        <v>-3.6100394036707728E-2</v>
      </c>
      <c r="H23" s="132">
        <f t="shared" ref="H23" si="12">F23/F11-1</f>
        <v>0.12614821177401003</v>
      </c>
      <c r="I23" s="130">
        <f t="shared" si="0"/>
        <v>233.035991459207</v>
      </c>
      <c r="J23" s="130">
        <f t="shared" si="5"/>
        <v>3.159901457776626E-2</v>
      </c>
      <c r="K23" s="78"/>
      <c r="O23" s="89"/>
      <c r="P23" s="129" t="s">
        <v>189</v>
      </c>
      <c r="Q23" s="116">
        <v>107151678</v>
      </c>
      <c r="R23" s="116">
        <v>138405718404</v>
      </c>
      <c r="S23" s="116">
        <v>459807.42</v>
      </c>
      <c r="T23" s="130">
        <f t="shared" si="10"/>
        <v>233.035991459207</v>
      </c>
      <c r="U23" s="78"/>
    </row>
    <row r="24" spans="1:21" hidden="1">
      <c r="A24" s="129" t="s">
        <v>204</v>
      </c>
      <c r="B24" s="131"/>
      <c r="C24" s="131"/>
      <c r="F24" s="122">
        <f>Q24/22</f>
        <v>5579831.8636363633</v>
      </c>
      <c r="G24" s="132">
        <f t="shared" ref="G24" si="13">F24/F23-1</f>
        <v>9.3557014910803593E-2</v>
      </c>
      <c r="H24" s="132">
        <f t="shared" ref="H24" si="14">F24/F12-1</f>
        <v>0.43834416289379941</v>
      </c>
      <c r="I24" s="130">
        <f t="shared" si="0"/>
        <v>276.5316306437096</v>
      </c>
      <c r="J24" s="130">
        <f t="shared" si="5"/>
        <v>0.2128958057660908</v>
      </c>
      <c r="K24" s="78"/>
      <c r="O24" s="89"/>
      <c r="P24" s="129" t="s">
        <v>204</v>
      </c>
      <c r="Q24" s="116">
        <v>122756301</v>
      </c>
      <c r="R24" s="116">
        <v>160432902158</v>
      </c>
      <c r="S24" s="116">
        <v>443914.14</v>
      </c>
      <c r="T24" s="130">
        <f t="shared" ref="T24" si="15">Q24/S24</f>
        <v>276.5316306437096</v>
      </c>
      <c r="U24" s="78"/>
    </row>
    <row r="25" spans="1:21" s="79" customFormat="1" ht="13.2" hidden="1">
      <c r="A25" s="129" t="s">
        <v>242</v>
      </c>
      <c r="B25" s="131">
        <f>SUM(F23:F25)</f>
        <v>16735058.194463432</v>
      </c>
      <c r="C25" s="131">
        <f>AVERAGE(F23:F25)</f>
        <v>5578352.7314878106</v>
      </c>
      <c r="D25" s="90">
        <f>C25/C22-1</f>
        <v>9.0918061177260867E-3</v>
      </c>
      <c r="E25" s="286">
        <f>C25/C13-1</f>
        <v>0.29454648027096253</v>
      </c>
      <c r="F25" s="122">
        <f>Q25/19</f>
        <v>6052765.4736842103</v>
      </c>
      <c r="G25" s="132">
        <f t="shared" ref="G25" si="16">F25/F24-1</f>
        <v>8.4757681164184362E-2</v>
      </c>
      <c r="H25" s="132">
        <f t="shared" ref="H25" si="17">F25/F13-1</f>
        <v>0.33996364838270665</v>
      </c>
      <c r="I25" s="130">
        <f t="shared" si="0"/>
        <v>231.19059638778111</v>
      </c>
      <c r="J25" s="130">
        <f t="shared" si="5"/>
        <v>-6.5770381238672293E-5</v>
      </c>
      <c r="K25" s="78">
        <f>R23+R24+R25</f>
        <v>451430521201</v>
      </c>
      <c r="L25" s="90">
        <f>U25/U22-1</f>
        <v>4.6749486777213356E-3</v>
      </c>
      <c r="M25" s="90">
        <f>U25/U13-1</f>
        <v>0.27350028989985908</v>
      </c>
      <c r="N25" s="88">
        <f>AVERAGE(T23:T25)</f>
        <v>246.91940616356592</v>
      </c>
      <c r="O25" s="91">
        <f>N25/N22-1</f>
        <v>-4.173743929781526E-2</v>
      </c>
      <c r="P25" s="129" t="s">
        <v>242</v>
      </c>
      <c r="Q25" s="116">
        <v>115002544</v>
      </c>
      <c r="R25" s="116">
        <v>152591900639</v>
      </c>
      <c r="S25" s="116">
        <v>497436.08</v>
      </c>
      <c r="T25" s="130">
        <f t="shared" ref="T25" si="18">Q25/S25</f>
        <v>231.19059638778111</v>
      </c>
      <c r="U25" s="85">
        <f>Q23+Q24+Q25</f>
        <v>344910523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5916485.7368421052</v>
      </c>
      <c r="G26" s="132">
        <f t="shared" ref="G26" si="19">F26/F25-1</f>
        <v>-2.2515284531444801E-2</v>
      </c>
      <c r="H26" s="132">
        <f t="shared" ref="H26" si="20">F26/F14-1</f>
        <v>0.22550267517990474</v>
      </c>
      <c r="I26" s="130">
        <f t="shared" si="0"/>
        <v>241.13056893510654</v>
      </c>
      <c r="J26" s="130">
        <f t="shared" si="5"/>
        <v>-1.3756448474759542E-2</v>
      </c>
      <c r="K26" s="78"/>
      <c r="L26" s="90"/>
      <c r="M26" s="90"/>
      <c r="P26" s="129" t="s">
        <v>312</v>
      </c>
      <c r="Q26" s="116">
        <v>112413229</v>
      </c>
      <c r="R26" s="116">
        <v>151492119713</v>
      </c>
      <c r="S26" s="116">
        <v>466192.36</v>
      </c>
      <c r="T26" s="130">
        <f t="shared" ref="T26" si="21">Q26/S26</f>
        <v>241.13056893510654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122">
        <f>Q27/22</f>
        <v>4442132.1363636367</v>
      </c>
      <c r="G27" s="132">
        <f t="shared" ref="G27" si="22">F27/F26-1</f>
        <v>-0.24919414430387821</v>
      </c>
      <c r="H27" s="132">
        <f t="shared" ref="H27" si="23">F27/F15-1</f>
        <v>8.4086629882430985E-2</v>
      </c>
      <c r="I27" s="130">
        <f t="shared" si="0"/>
        <v>234.94023871626109</v>
      </c>
      <c r="J27" s="130">
        <f t="shared" si="5"/>
        <v>0.10176780004969399</v>
      </c>
      <c r="K27" s="78"/>
      <c r="L27" s="90"/>
      <c r="M27" s="90"/>
      <c r="P27" s="129" t="s">
        <v>375</v>
      </c>
      <c r="Q27" s="116">
        <v>97726907</v>
      </c>
      <c r="R27" s="116">
        <v>129472904266</v>
      </c>
      <c r="S27" s="116">
        <v>415964.96</v>
      </c>
      <c r="T27" s="130">
        <f t="shared" ref="T27" si="24">Q27/S27</f>
        <v>234.94023871626109</v>
      </c>
      <c r="U27" s="78"/>
    </row>
    <row r="28" spans="1:21" s="79" customFormat="1" ht="13.2" hidden="1">
      <c r="A28" s="123" t="s">
        <v>413</v>
      </c>
      <c r="B28" s="131">
        <f>SUM(F26:F28)</f>
        <v>15264474.504784688</v>
      </c>
      <c r="C28" s="131">
        <f>AVERAGE(F26:F28)</f>
        <v>5088158.1682615625</v>
      </c>
      <c r="D28" s="90">
        <f>C28/C25-1</f>
        <v>-8.787442939190182E-2</v>
      </c>
      <c r="E28" s="286">
        <f>C28/C16-1</f>
        <v>0.12846371294977477</v>
      </c>
      <c r="F28" s="122">
        <f>Q28/19</f>
        <v>4905856.6315789474</v>
      </c>
      <c r="G28" s="132">
        <f t="shared" ref="G28" si="25">F28/F27-1</f>
        <v>0.1043923235464399</v>
      </c>
      <c r="H28" s="132">
        <f t="shared" ref="H28" si="26">F28/F16-1</f>
        <v>6.6168129969871536E-2</v>
      </c>
      <c r="I28" s="130">
        <f t="shared" si="0"/>
        <v>245.23333668076685</v>
      </c>
      <c r="J28" s="130">
        <f t="shared" si="5"/>
        <v>-6.4846944527904737E-2</v>
      </c>
      <c r="K28" s="78">
        <f>R26+R27+R28</f>
        <v>402581193218</v>
      </c>
      <c r="L28" s="90">
        <f>U28/U25-1</f>
        <v>-0.12049244145560611</v>
      </c>
      <c r="M28" s="90">
        <f>U28/U16-1</f>
        <v>5.354700396573242E-2</v>
      </c>
      <c r="N28" s="88">
        <f>AVERAGE(T26:T28)</f>
        <v>240.43471477737816</v>
      </c>
      <c r="O28" s="91">
        <f>N28/N25-1</f>
        <v>-2.6262380454179945E-2</v>
      </c>
      <c r="P28" s="129" t="s">
        <v>413</v>
      </c>
      <c r="Q28" s="116">
        <v>93211276</v>
      </c>
      <c r="R28" s="116">
        <v>121616169239</v>
      </c>
      <c r="S28" s="116">
        <v>380092.19</v>
      </c>
      <c r="T28" s="130">
        <f t="shared" ref="T28" si="27">Q28/S28</f>
        <v>245.23333668076685</v>
      </c>
      <c r="U28" s="85">
        <f>Q26+Q27+Q28</f>
        <v>303351412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4890583.5454545459</v>
      </c>
      <c r="G29" s="189">
        <f t="shared" ref="G29" si="28">F29/F28-1</f>
        <v>-3.1132353167617755E-3</v>
      </c>
      <c r="H29" s="189">
        <f t="shared" ref="H29" si="29">F29/F17-1</f>
        <v>-9.9738052187361426E-2</v>
      </c>
      <c r="I29" s="130">
        <f t="shared" si="0"/>
        <v>231.81923463275515</v>
      </c>
      <c r="J29" s="130">
        <f t="shared" si="5"/>
        <v>-0.16992076257810462</v>
      </c>
      <c r="K29" s="136"/>
      <c r="L29" s="190"/>
      <c r="M29" s="190"/>
      <c r="N29" s="191"/>
      <c r="O29" s="192"/>
      <c r="P29" s="129" t="s">
        <v>427</v>
      </c>
      <c r="Q29" s="116">
        <v>107592838</v>
      </c>
      <c r="R29" s="116">
        <v>141348349836</v>
      </c>
      <c r="S29" s="116">
        <v>464123.86</v>
      </c>
      <c r="T29" s="130">
        <f t="shared" ref="T29" si="30">Q29/S29</f>
        <v>231.81923463275515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200">
        <f>Q30/19</f>
        <v>5278154.4210526319</v>
      </c>
      <c r="G30" s="189">
        <f t="shared" ref="G30" si="31">F30/F29-1</f>
        <v>7.9248390707547856E-2</v>
      </c>
      <c r="H30" s="189">
        <f t="shared" ref="H30" si="32">F30/F18-1</f>
        <v>5.1414679802079588E-2</v>
      </c>
      <c r="I30" s="130">
        <f t="shared" si="0"/>
        <v>202.54809038338561</v>
      </c>
      <c r="J30" s="130">
        <f t="shared" si="5"/>
        <v>-0.19996214028034021</v>
      </c>
      <c r="K30" s="136"/>
      <c r="L30" s="190"/>
      <c r="M30" s="190"/>
      <c r="N30" s="191"/>
      <c r="O30" s="192"/>
      <c r="P30" s="129" t="s">
        <v>469</v>
      </c>
      <c r="Q30" s="116">
        <v>100284934</v>
      </c>
      <c r="R30" s="116">
        <v>133611587156</v>
      </c>
      <c r="S30" s="116">
        <v>495116.66</v>
      </c>
      <c r="T30" s="130">
        <f t="shared" ref="T30" si="33">Q30/S30</f>
        <v>202.54809038338561</v>
      </c>
      <c r="U30" s="85"/>
    </row>
    <row r="31" spans="1:21" s="79" customFormat="1" ht="13.2" hidden="1">
      <c r="A31" s="129" t="s">
        <v>505</v>
      </c>
      <c r="B31" s="188">
        <f>SUM(F29:F31)</f>
        <v>15545149.366507178</v>
      </c>
      <c r="C31" s="188">
        <f>AVERAGE(F29:F31)</f>
        <v>5181716.4555023927</v>
      </c>
      <c r="D31" s="190">
        <f>C31/C28-1</f>
        <v>1.8387456550470249E-2</v>
      </c>
      <c r="E31" s="287">
        <f>C31/C19-1</f>
        <v>-3.5106285818524707E-2</v>
      </c>
      <c r="F31" s="200">
        <f>Q31/20</f>
        <v>5376411.4000000004</v>
      </c>
      <c r="G31" s="189">
        <f t="shared" ref="G31" si="34">F31/F30-1</f>
        <v>1.8615783304000599E-2</v>
      </c>
      <c r="H31" s="189">
        <f t="shared" ref="H31" si="35">F31/F19-1</f>
        <v>-4.9816381539002363E-2</v>
      </c>
      <c r="I31" s="130">
        <f t="shared" si="0"/>
        <v>205.00062198972464</v>
      </c>
      <c r="J31" s="130">
        <f t="shared" si="5"/>
        <v>-0.22452451746009372</v>
      </c>
      <c r="K31" s="136">
        <f>R29+R30+R31</f>
        <v>417795823046</v>
      </c>
      <c r="L31" s="190">
        <f>U31/U28-1</f>
        <v>3.9738031613315794E-2</v>
      </c>
      <c r="M31" s="190">
        <f>U31/U19-1</f>
        <v>-5.4343693367763013E-2</v>
      </c>
      <c r="N31" s="191">
        <f>AVERAGE(T29:T31)</f>
        <v>213.12264900195512</v>
      </c>
      <c r="O31" s="192">
        <f>N31/N28-1</f>
        <v>-0.11359451899744033</v>
      </c>
      <c r="P31" s="129" t="s">
        <v>532</v>
      </c>
      <c r="Q31" s="116">
        <v>107528228</v>
      </c>
      <c r="R31" s="116">
        <v>142835886054</v>
      </c>
      <c r="S31" s="116">
        <v>524526.35</v>
      </c>
      <c r="T31" s="130">
        <f t="shared" ref="T31" si="36">Q31/S31</f>
        <v>205.00062198972464</v>
      </c>
      <c r="U31" s="85">
        <f>Q29+Q30+Q31</f>
        <v>315406000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5012133.333333333</v>
      </c>
      <c r="G32" s="189">
        <f t="shared" ref="G32" si="37">F32/F31-1</f>
        <v>-6.7754872081899675E-2</v>
      </c>
      <c r="H32" s="189">
        <f t="shared" ref="H32" si="38">F32/F20-1</f>
        <v>9.6490091165601921E-3</v>
      </c>
      <c r="I32" s="130">
        <f t="shared" si="0"/>
        <v>207.29379742417149</v>
      </c>
      <c r="J32" s="130">
        <f t="shared" si="5"/>
        <v>-0.15388581569775606</v>
      </c>
      <c r="K32" s="136"/>
      <c r="L32" s="190"/>
      <c r="M32" s="190"/>
      <c r="N32" s="191"/>
      <c r="O32" s="192"/>
      <c r="P32" s="129" t="s">
        <v>562</v>
      </c>
      <c r="Q32" s="116">
        <v>105254800</v>
      </c>
      <c r="R32" s="116">
        <v>143084495393</v>
      </c>
      <c r="S32" s="116">
        <v>507756.63</v>
      </c>
      <c r="T32" s="130">
        <f t="shared" ref="T32" si="39">Q32/S32</f>
        <v>207.29379742417149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5108195.5238095243</v>
      </c>
      <c r="G33" s="189">
        <f t="shared" ref="G33" si="40">F33/F32-1</f>
        <v>1.9165928774744767E-2</v>
      </c>
      <c r="H33" s="189">
        <f t="shared" ref="H33" si="41">F33/F21-1</f>
        <v>-0.19256950613554202</v>
      </c>
      <c r="I33" s="130">
        <f t="shared" si="0"/>
        <v>205.25039214358176</v>
      </c>
      <c r="J33" s="130">
        <f t="shared" si="5"/>
        <v>-0.25810061347822366</v>
      </c>
      <c r="K33" s="136"/>
      <c r="L33" s="190"/>
      <c r="M33" s="190"/>
      <c r="N33" s="191"/>
      <c r="O33" s="192"/>
      <c r="P33" s="129" t="s">
        <v>609</v>
      </c>
      <c r="Q33" s="116">
        <v>107272106</v>
      </c>
      <c r="R33" s="116">
        <v>146706859476</v>
      </c>
      <c r="S33" s="116">
        <v>522640.2</v>
      </c>
      <c r="T33" s="130">
        <f t="shared" ref="T33" si="42">Q33/S33</f>
        <v>205.25039214358176</v>
      </c>
      <c r="U33" s="85"/>
    </row>
    <row r="34" spans="1:21" s="79" customFormat="1" ht="13.2" hidden="1">
      <c r="A34" s="129" t="s">
        <v>652</v>
      </c>
      <c r="B34" s="188">
        <f>SUM(F32:F34)</f>
        <v>15526033.120300753</v>
      </c>
      <c r="C34" s="188">
        <f>AVERAGE(F32:F34)</f>
        <v>5175344.3734335843</v>
      </c>
      <c r="D34" s="190">
        <f>C34/C31-1</f>
        <v>-1.2297241895669053E-3</v>
      </c>
      <c r="E34" s="287">
        <f>C34/C22-1</f>
        <v>-6.3810079346410697E-2</v>
      </c>
      <c r="F34" s="200">
        <f>Q34/19</f>
        <v>5405704.2631578948</v>
      </c>
      <c r="G34" s="189">
        <f t="shared" ref="G34" si="43">F34/F33-1</f>
        <v>5.8241454925064939E-2</v>
      </c>
      <c r="H34" s="189">
        <f t="shared" ref="H34" si="44">F34/F22-1</f>
        <v>2.1184944891405877E-2</v>
      </c>
      <c r="I34" s="130">
        <f t="shared" si="0"/>
        <v>219.85140028669963</v>
      </c>
      <c r="J34" s="130">
        <f t="shared" si="5"/>
        <v>-0.12539364233235173</v>
      </c>
      <c r="K34" s="136">
        <f>R32+R33+R34</f>
        <v>431001471962</v>
      </c>
      <c r="L34" s="190">
        <f>U34/U31-1</f>
        <v>-5.4124842266789486E-4</v>
      </c>
      <c r="M34" s="190">
        <f>U34/U22-1</f>
        <v>-8.1764763123415185E-2</v>
      </c>
      <c r="N34" s="191">
        <f>AVERAGE(T32:T34)</f>
        <v>210.79852995148431</v>
      </c>
      <c r="O34" s="192">
        <f>N34/N31-1</f>
        <v>-1.0905077716303557E-2</v>
      </c>
      <c r="P34" s="129" t="s">
        <v>652</v>
      </c>
      <c r="Q34" s="116">
        <v>102708381</v>
      </c>
      <c r="R34" s="116">
        <v>141210117093</v>
      </c>
      <c r="S34" s="116">
        <v>467171.83</v>
      </c>
      <c r="T34" s="130">
        <f t="shared" ref="T34" si="45">Q34/S34</f>
        <v>219.85140028669963</v>
      </c>
      <c r="U34" s="85">
        <f>Q32+Q33+Q34</f>
        <v>315235287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4859697.7391304346</v>
      </c>
      <c r="G35" s="189">
        <f t="shared" ref="G35" si="46">F35/F34-1</f>
        <v>-0.10100562247711553</v>
      </c>
      <c r="H35" s="189">
        <f t="shared" ref="H35" si="47">F35/F23-1</f>
        <v>-4.7577654157323401E-2</v>
      </c>
      <c r="I35" s="130">
        <f t="shared" si="0"/>
        <v>219.24595062673464</v>
      </c>
      <c r="J35" s="130">
        <f t="shared" si="5"/>
        <v>-5.9175583763361739E-2</v>
      </c>
      <c r="K35" s="136"/>
      <c r="L35" s="190"/>
      <c r="M35" s="190"/>
      <c r="N35" s="191"/>
      <c r="O35" s="192"/>
      <c r="P35" s="129" t="s">
        <v>660</v>
      </c>
      <c r="Q35" s="116">
        <v>111773048</v>
      </c>
      <c r="R35" s="116">
        <v>154695541471</v>
      </c>
      <c r="S35" s="116">
        <v>509806.67</v>
      </c>
      <c r="T35" s="130">
        <f t="shared" ref="T35" si="48">Q35/S35</f>
        <v>219.24595062673464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5133269.2380952379</v>
      </c>
      <c r="G36" s="189">
        <f t="shared" ref="G36" si="49">F36/F35-1</f>
        <v>5.6293933007807606E-2</v>
      </c>
      <c r="H36" s="189">
        <f t="shared" ref="H36" si="50">F36/F24-1</f>
        <v>-8.0031555870234028E-2</v>
      </c>
      <c r="I36" s="130">
        <f t="shared" si="0"/>
        <v>257.51887830447072</v>
      </c>
      <c r="J36" s="130">
        <f t="shared" si="5"/>
        <v>-6.8754349348684074E-2</v>
      </c>
      <c r="K36" s="136"/>
      <c r="L36" s="190"/>
      <c r="M36" s="190"/>
      <c r="N36" s="191"/>
      <c r="O36" s="192"/>
      <c r="P36" s="129" t="s">
        <v>689</v>
      </c>
      <c r="Q36" s="116">
        <v>107798654</v>
      </c>
      <c r="R36" s="116">
        <v>147257712802</v>
      </c>
      <c r="S36" s="116">
        <v>418604.86</v>
      </c>
      <c r="T36" s="130">
        <f t="shared" ref="T36" si="51">Q36/S36</f>
        <v>257.51887830447072</v>
      </c>
      <c r="U36" s="85"/>
    </row>
    <row r="37" spans="1:21" s="79" customFormat="1" ht="13.2" hidden="1">
      <c r="A37" s="129" t="s">
        <v>702</v>
      </c>
      <c r="B37" s="188">
        <f>SUM(F35:F37)</f>
        <v>15946563.64389234</v>
      </c>
      <c r="C37" s="188">
        <f>AVERAGE(F35:F37)</f>
        <v>5315521.2146307798</v>
      </c>
      <c r="D37" s="190">
        <f>C37/C34-1</f>
        <v>2.7085509887373016E-2</v>
      </c>
      <c r="E37" s="287">
        <f>C37/C25-1</f>
        <v>-4.711633156029027E-2</v>
      </c>
      <c r="F37" s="200">
        <f>Q37/18</f>
        <v>5953596.666666667</v>
      </c>
      <c r="G37" s="189">
        <f t="shared" ref="G37" si="52">F37/F36-1</f>
        <v>0.15980603987875397</v>
      </c>
      <c r="H37" s="189">
        <f t="shared" ref="H37" si="53">F37/F25-1</f>
        <v>-1.6384049150541591E-2</v>
      </c>
      <c r="I37" s="130">
        <f t="shared" si="0"/>
        <v>245.38662185482923</v>
      </c>
      <c r="J37" s="130">
        <f t="shared" si="5"/>
        <v>6.1403991723075091E-2</v>
      </c>
      <c r="K37" s="136">
        <f>R35+R36+R37</f>
        <v>445017267576</v>
      </c>
      <c r="L37" s="190">
        <f>U37/U34-1</f>
        <v>3.6484351448890839E-2</v>
      </c>
      <c r="M37" s="190">
        <f>U37/U25-1</f>
        <v>-5.2692161555186856E-2</v>
      </c>
      <c r="N37" s="191">
        <f>AVERAGE(T35:T37)</f>
        <v>240.7171502620115</v>
      </c>
      <c r="O37" s="192">
        <f>N37/N34-1</f>
        <v>0.14192992862622433</v>
      </c>
      <c r="P37" s="129" t="s">
        <v>702</v>
      </c>
      <c r="Q37" s="116">
        <v>107164740</v>
      </c>
      <c r="R37" s="116">
        <v>143064013303</v>
      </c>
      <c r="S37" s="116">
        <v>436717.94</v>
      </c>
      <c r="T37" s="130">
        <f t="shared" ref="T37" si="54">Q37/S37</f>
        <v>245.38662185482923</v>
      </c>
      <c r="U37" s="85">
        <f>Q35+Q36+Q37</f>
        <v>326736442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200">
        <f>Q38/20</f>
        <v>5374317.3499999996</v>
      </c>
      <c r="G38" s="189">
        <f t="shared" ref="G38" si="55">F38/F37-1</f>
        <v>-9.7299052841447797E-2</v>
      </c>
      <c r="H38" s="189">
        <f t="shared" ref="H38" si="56">F38/F26-1</f>
        <v>-9.1636895778520966E-2</v>
      </c>
      <c r="I38" s="130">
        <f t="shared" si="0"/>
        <v>227.53962560806841</v>
      </c>
      <c r="J38" s="130">
        <f t="shared" si="5"/>
        <v>-5.6363419151122862E-2</v>
      </c>
      <c r="K38" s="136"/>
      <c r="L38" s="190"/>
      <c r="M38" s="190"/>
      <c r="N38" s="191"/>
      <c r="O38" s="192"/>
      <c r="P38" s="129" t="s">
        <v>728</v>
      </c>
      <c r="Q38" s="116">
        <v>107486347</v>
      </c>
      <c r="R38" s="116">
        <v>144561760026</v>
      </c>
      <c r="S38" s="116">
        <v>472385.18</v>
      </c>
      <c r="T38" s="130">
        <f t="shared" ref="T38" si="57">Q38/S38</f>
        <v>227.53962560806841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5233055.4285714282</v>
      </c>
      <c r="G39" s="189">
        <f t="shared" ref="G39" si="58">F39/F38-1</f>
        <v>-2.6284625977394449E-2</v>
      </c>
      <c r="H39" s="189">
        <f t="shared" ref="H39" si="59">F39/F27-1</f>
        <v>0.17805037489390108</v>
      </c>
      <c r="I39" s="130">
        <f t="shared" si="0"/>
        <v>243.96795817967327</v>
      </c>
      <c r="J39" s="130">
        <f t="shared" si="5"/>
        <v>3.8425599261925569E-2</v>
      </c>
      <c r="K39" s="136"/>
      <c r="L39" s="190"/>
      <c r="M39" s="190"/>
      <c r="N39" s="191"/>
      <c r="O39" s="192"/>
      <c r="P39" s="129" t="s">
        <v>762</v>
      </c>
      <c r="Q39" s="116">
        <v>109894164</v>
      </c>
      <c r="R39" s="116">
        <v>152731396707</v>
      </c>
      <c r="S39" s="116">
        <v>450445.07</v>
      </c>
      <c r="T39" s="130">
        <f t="shared" ref="T39" si="60">Q39/S39</f>
        <v>243.96795817967327</v>
      </c>
      <c r="U39" s="85"/>
    </row>
    <row r="40" spans="1:21" s="79" customFormat="1" ht="13.2" hidden="1">
      <c r="A40" s="129" t="s">
        <v>778</v>
      </c>
      <c r="B40" s="188">
        <f>SUM(F38:F40)</f>
        <v>15657391.159523807</v>
      </c>
      <c r="C40" s="188">
        <f>AVERAGE(F38:F40)</f>
        <v>5219130.3865079358</v>
      </c>
      <c r="D40" s="190">
        <f>C40/C37-1</f>
        <v>-1.8133843179391596E-2</v>
      </c>
      <c r="E40" s="287">
        <f>C40/C28-1</f>
        <v>2.5740594909831938E-2</v>
      </c>
      <c r="F40" s="200">
        <f>Q40/21</f>
        <v>5050018.3809523806</v>
      </c>
      <c r="G40" s="189">
        <f t="shared" ref="G40" si="61">F40/F39-1</f>
        <v>-3.497708941122657E-2</v>
      </c>
      <c r="H40" s="189">
        <f t="shared" ref="H40" si="62">F40/F28-1</f>
        <v>2.9385642549247359E-2</v>
      </c>
      <c r="I40" s="130">
        <f t="shared" si="0"/>
        <v>237.7323993872736</v>
      </c>
      <c r="J40" s="130">
        <f t="shared" si="5"/>
        <v>-3.0586939748968978E-2</v>
      </c>
      <c r="K40" s="136">
        <f>R38+R39+R40</f>
        <v>447866356683</v>
      </c>
      <c r="L40" s="190">
        <f>U40/U37-1</f>
        <v>-1.011685436667642E-2</v>
      </c>
      <c r="M40" s="190">
        <f>U40/U28-1</f>
        <v>6.6192159342907564E-2</v>
      </c>
      <c r="N40" s="191">
        <f>AVERAGE(T38:T40)</f>
        <v>236.41332772500508</v>
      </c>
      <c r="O40" s="192">
        <f>N40/N37-1</f>
        <v>-1.7879168693721526E-2</v>
      </c>
      <c r="P40" s="129" t="s">
        <v>778</v>
      </c>
      <c r="Q40" s="116">
        <v>106050386</v>
      </c>
      <c r="R40" s="116">
        <v>150573199950</v>
      </c>
      <c r="S40" s="116">
        <v>446091.43</v>
      </c>
      <c r="T40" s="130">
        <f t="shared" ref="T40" si="63">Q40/S40</f>
        <v>237.7323993872736</v>
      </c>
      <c r="U40" s="85">
        <f>Q38+Q39+Q40</f>
        <v>323430897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5727114.111111111</v>
      </c>
      <c r="G41" s="189">
        <f t="shared" ref="G41" si="64">F41/F40-1</f>
        <v>0.13407787439202101</v>
      </c>
      <c r="H41" s="189">
        <f t="shared" ref="H41" si="65">F41/F29-1</f>
        <v>0.17104923326257482</v>
      </c>
      <c r="I41" s="130">
        <f t="shared" si="0"/>
        <v>242.11742815941551</v>
      </c>
      <c r="J41" s="130">
        <f t="shared" si="5"/>
        <v>4.4423378167797845E-2</v>
      </c>
      <c r="K41" s="193"/>
      <c r="L41" s="190"/>
      <c r="M41" s="190"/>
      <c r="N41" s="193"/>
      <c r="O41" s="193"/>
      <c r="P41" s="129" t="s">
        <v>792</v>
      </c>
      <c r="Q41" s="116">
        <v>103088054</v>
      </c>
      <c r="R41" s="116">
        <v>150603520592</v>
      </c>
      <c r="S41" s="116">
        <v>425777.09</v>
      </c>
      <c r="T41" s="130">
        <f t="shared" ref="T41" si="66">Q41/S41</f>
        <v>242.11742815941551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5308835.05</v>
      </c>
      <c r="G42" s="189">
        <f t="shared" ref="G42" si="67">F42/F41-1</f>
        <v>-7.3034874632515678E-2</v>
      </c>
      <c r="H42" s="189">
        <f t="shared" ref="H42" si="68">F42/F30-1</f>
        <v>5.8127569790291655E-3</v>
      </c>
      <c r="I42" s="130">
        <f t="shared" si="0"/>
        <v>216.32894390074722</v>
      </c>
      <c r="J42" s="130">
        <f t="shared" si="5"/>
        <v>6.8037439855774595E-2</v>
      </c>
      <c r="K42" s="193"/>
      <c r="L42" s="190"/>
      <c r="M42" s="190"/>
      <c r="N42" s="193"/>
      <c r="O42" s="193"/>
      <c r="P42" s="129" t="s">
        <v>826</v>
      </c>
      <c r="Q42" s="116">
        <v>106176701</v>
      </c>
      <c r="R42" s="116">
        <v>153484139789</v>
      </c>
      <c r="S42" s="116">
        <v>490811.35</v>
      </c>
      <c r="T42" s="130">
        <f t="shared" ref="T42" si="69">Q42/S42</f>
        <v>216.32894390074722</v>
      </c>
      <c r="U42" s="78"/>
    </row>
    <row r="43" spans="1:21" s="79" customFormat="1" ht="13.2">
      <c r="A43" s="129" t="s">
        <v>835</v>
      </c>
      <c r="B43" s="188">
        <f>SUM(F41:F43)</f>
        <v>16400461.01111111</v>
      </c>
      <c r="C43" s="188">
        <f>AVERAGE(F41:F43)</f>
        <v>5466820.3370370371</v>
      </c>
      <c r="D43" s="190">
        <f>C43/C40-1</f>
        <v>4.7458088261103537E-2</v>
      </c>
      <c r="E43" s="287">
        <f>C43/C31-1</f>
        <v>5.5021127455149754E-2</v>
      </c>
      <c r="F43" s="200">
        <f>Q43/20</f>
        <v>5364511.8499999996</v>
      </c>
      <c r="G43" s="189">
        <f t="shared" ref="G43" si="70">F43/F42-1</f>
        <v>1.0487573916993398E-2</v>
      </c>
      <c r="H43" s="189">
        <f t="shared" ref="H43" si="71">F43/F31-1</f>
        <v>-2.213288588741702E-3</v>
      </c>
      <c r="I43" s="130">
        <f t="shared" si="0"/>
        <v>207.60169795329634</v>
      </c>
      <c r="J43" s="130">
        <f t="shared" si="5"/>
        <v>1.2688136935028904E-2</v>
      </c>
      <c r="K43" s="136">
        <f>R41+R42+R43</f>
        <v>459583315145</v>
      </c>
      <c r="L43" s="190">
        <f>U43/U40-1</f>
        <v>-2.1259270724528267E-2</v>
      </c>
      <c r="M43" s="190">
        <f>K43/K31-1</f>
        <v>0.10001893220076341</v>
      </c>
      <c r="N43" s="191">
        <f>AVERAGE(T41:T43)</f>
        <v>222.01602333781969</v>
      </c>
      <c r="O43" s="192">
        <f>N43/N40-1</f>
        <v>-6.0898869474618866E-2</v>
      </c>
      <c r="P43" s="129" t="s">
        <v>835</v>
      </c>
      <c r="Q43" s="116">
        <v>107290237</v>
      </c>
      <c r="R43" s="116">
        <v>155495654764</v>
      </c>
      <c r="S43" s="116">
        <v>516808.09</v>
      </c>
      <c r="T43" s="130">
        <f t="shared" ref="T43" si="72">Q43/S43</f>
        <v>207.60169795329634</v>
      </c>
      <c r="U43" s="85">
        <f>Q41+Q42+Q43</f>
        <v>316554992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4968898.6818181816</v>
      </c>
      <c r="G44" s="189">
        <f t="shared" ref="G44" si="73">F44/F43-1</f>
        <v>-7.3746349946420153E-2</v>
      </c>
      <c r="H44" s="189">
        <f t="shared" ref="H44" si="74">F44/F32-1</f>
        <v>-8.6259978815045324E-3</v>
      </c>
      <c r="I44" s="130">
        <f t="shared" si="0"/>
        <v>205.87701615485204</v>
      </c>
      <c r="J44" s="130">
        <f t="shared" si="5"/>
        <v>-6.8346534576737561E-3</v>
      </c>
      <c r="K44" s="136"/>
      <c r="L44" s="190"/>
      <c r="M44" s="190"/>
      <c r="N44" s="191"/>
      <c r="O44" s="192"/>
      <c r="P44" s="129" t="s">
        <v>843</v>
      </c>
      <c r="Q44" s="116">
        <v>109315771</v>
      </c>
      <c r="R44" s="116">
        <v>158586561399</v>
      </c>
      <c r="S44" s="116">
        <v>530976.07999999996</v>
      </c>
      <c r="T44" s="130">
        <f t="shared" ref="T44" si="75">Q44/S44</f>
        <v>205.87701615485204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200">
        <f>Q45/20</f>
        <v>5657135</v>
      </c>
      <c r="G45" s="189">
        <f t="shared" ref="G45" si="76">F45/F44-1</f>
        <v>0.13850882504410089</v>
      </c>
      <c r="H45" s="189">
        <f t="shared" ref="H45" si="77">F45/F33-1</f>
        <v>0.10746250288029202</v>
      </c>
      <c r="I45" s="130">
        <f t="shared" si="0"/>
        <v>212.59307113445442</v>
      </c>
      <c r="J45" s="130">
        <f t="shared" si="5"/>
        <v>3.5774250729499801E-2</v>
      </c>
      <c r="K45" s="136"/>
      <c r="L45" s="190"/>
      <c r="M45" s="190"/>
      <c r="N45" s="191"/>
      <c r="O45" s="192"/>
      <c r="P45" s="129" t="s">
        <v>884</v>
      </c>
      <c r="Q45" s="116">
        <v>113142700</v>
      </c>
      <c r="R45" s="116">
        <v>159436555843</v>
      </c>
      <c r="S45" s="116">
        <v>532203.14</v>
      </c>
      <c r="T45" s="130">
        <f t="shared" ref="T45" si="78">Q45/S45</f>
        <v>212.59307113445442</v>
      </c>
      <c r="U45" s="85"/>
    </row>
    <row r="46" spans="1:21" s="79" customFormat="1" ht="13.2">
      <c r="A46" s="129" t="s">
        <v>888</v>
      </c>
      <c r="B46" s="188">
        <f>SUM(F44:F46)</f>
        <v>16693863.523923445</v>
      </c>
      <c r="C46" s="188">
        <f>AVERAGE(F44:F46)</f>
        <v>5564621.1746411482</v>
      </c>
      <c r="D46" s="190">
        <f>C46/C43-1</f>
        <v>1.788989423001941E-2</v>
      </c>
      <c r="E46" s="287">
        <f>C46/C34-1</f>
        <v>7.5217564884343613E-2</v>
      </c>
      <c r="F46" s="200">
        <f>Q46/19</f>
        <v>6067829.8421052629</v>
      </c>
      <c r="G46" s="189">
        <f t="shared" ref="G46" si="79">F46/F45-1</f>
        <v>7.259767392951777E-2</v>
      </c>
      <c r="H46" s="189">
        <f t="shared" ref="H46" si="80">F46/F34-1</f>
        <v>0.12248645999005658</v>
      </c>
      <c r="I46" s="130">
        <f t="shared" si="0"/>
        <v>220.10747904536825</v>
      </c>
      <c r="J46" s="130">
        <f t="shared" si="5"/>
        <v>1.1647811127637464E-3</v>
      </c>
      <c r="K46" s="136">
        <f>R44+R45+R46</f>
        <v>475929060392</v>
      </c>
      <c r="L46" s="190">
        <f>U46/U43-1</f>
        <v>6.6946491243455197E-2</v>
      </c>
      <c r="M46" s="190">
        <f>K46/K34-1</f>
        <v>0.10423998838213033</v>
      </c>
      <c r="N46" s="191">
        <f>AVERAGE(T44:T46)</f>
        <v>212.85918877822488</v>
      </c>
      <c r="O46" s="192">
        <f>N46/N43-1</f>
        <v>-4.1244025642517612E-2</v>
      </c>
      <c r="P46" s="129" t="s">
        <v>888</v>
      </c>
      <c r="Q46" s="116">
        <v>115288767</v>
      </c>
      <c r="R46" s="116">
        <v>157905943150</v>
      </c>
      <c r="S46" s="116">
        <v>523783.96</v>
      </c>
      <c r="T46" s="130">
        <f t="shared" ref="T46" si="81">Q46/S46</f>
        <v>220.10747904536825</v>
      </c>
      <c r="U46" s="85">
        <f t="shared" ref="U46:U51" si="82">Q44+Q45+Q46</f>
        <v>337747238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5437249.3043478262</v>
      </c>
      <c r="G47" s="189">
        <f t="shared" ref="G47" si="83">F47/F46-1</f>
        <v>-0.10392192170284287</v>
      </c>
      <c r="H47" s="189">
        <f t="shared" ref="H47" si="84">F47/F35-1</f>
        <v>0.11884516202868523</v>
      </c>
      <c r="I47" s="130">
        <f t="shared" si="0"/>
        <v>236.58540567425925</v>
      </c>
      <c r="J47" s="130">
        <f t="shared" si="5"/>
        <v>7.908677445562029E-2</v>
      </c>
      <c r="K47" s="136"/>
      <c r="L47" s="190"/>
      <c r="M47" s="190"/>
      <c r="N47" s="191"/>
      <c r="O47" s="192"/>
      <c r="P47" s="129" t="s">
        <v>991</v>
      </c>
      <c r="Q47" s="116">
        <v>125056734</v>
      </c>
      <c r="R47" s="116">
        <v>171474811133</v>
      </c>
      <c r="S47" s="116">
        <v>528590.23</v>
      </c>
      <c r="T47" s="130">
        <f t="shared" ref="T47" si="85">Q47/S47</f>
        <v>236.58540567425925</v>
      </c>
      <c r="U47" s="85">
        <f t="shared" si="82"/>
        <v>353488201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6319692.2000000002</v>
      </c>
      <c r="G48" s="189">
        <f t="shared" ref="G48" si="86">F48/F47-1</f>
        <v>0.16229583126647151</v>
      </c>
      <c r="H48" s="189">
        <f t="shared" ref="H48" si="87">F48/F36-1</f>
        <v>0.23112424205222459</v>
      </c>
      <c r="I48" s="130">
        <f t="shared" si="0"/>
        <v>237.78687448846992</v>
      </c>
      <c r="J48" s="130">
        <f t="shared" si="5"/>
        <v>-7.6623523471048949E-2</v>
      </c>
      <c r="K48" s="136"/>
      <c r="L48" s="190"/>
      <c r="M48" s="190"/>
      <c r="N48" s="191"/>
      <c r="O48" s="192"/>
      <c r="P48" s="129" t="s">
        <v>1070</v>
      </c>
      <c r="Q48" s="116">
        <v>126393844</v>
      </c>
      <c r="R48" s="116">
        <v>175400304811</v>
      </c>
      <c r="S48" s="116">
        <v>531542.56000000006</v>
      </c>
      <c r="T48" s="130">
        <f t="shared" ref="T48" si="88">Q48/S48</f>
        <v>237.78687448846992</v>
      </c>
      <c r="U48" s="85">
        <f t="shared" si="82"/>
        <v>366739345</v>
      </c>
    </row>
    <row r="49" spans="1:26" ht="13.2">
      <c r="A49" s="129" t="s">
        <v>1207</v>
      </c>
      <c r="B49" s="188">
        <f>SUM(F47:F49)</f>
        <v>17822961.686166011</v>
      </c>
      <c r="C49" s="188">
        <f>AVERAGE(F47:F49)</f>
        <v>5940987.2287220033</v>
      </c>
      <c r="D49" s="190">
        <f>C49/C46-1</f>
        <v>6.7635521317428449E-2</v>
      </c>
      <c r="E49" s="287">
        <f>C49/C37-1</f>
        <v>0.11766786150145547</v>
      </c>
      <c r="F49" s="200">
        <f>Q49/22</f>
        <v>6066020.1818181816</v>
      </c>
      <c r="G49" s="189">
        <f t="shared" ref="G49" si="89">F49/F48-1</f>
        <v>-4.0139932476746076E-2</v>
      </c>
      <c r="H49" s="189">
        <f t="shared" ref="H49" si="90">F49/F37-1</f>
        <v>1.8883293821524427E-2</v>
      </c>
      <c r="I49" s="130">
        <f t="shared" si="0"/>
        <v>235.13556643014877</v>
      </c>
      <c r="J49" s="130">
        <f t="shared" si="5"/>
        <v>-4.1775119389943716E-2</v>
      </c>
      <c r="K49" s="136">
        <f>R47+R48+R49</f>
        <v>532353552064</v>
      </c>
      <c r="L49" s="190">
        <f>U49/U46-1</f>
        <v>0.13961856292071295</v>
      </c>
      <c r="M49" s="190">
        <f>K49/K37-1</f>
        <v>0.19625369811764592</v>
      </c>
      <c r="N49" s="191">
        <f>AVERAGE(T47:T49)</f>
        <v>236.50261553095933</v>
      </c>
      <c r="O49" s="192">
        <f>N49/N46-1</f>
        <v>0.11107543389807906</v>
      </c>
      <c r="P49" s="129" t="s">
        <v>1158</v>
      </c>
      <c r="Q49" s="116">
        <v>133452444</v>
      </c>
      <c r="R49" s="116">
        <v>185478436120</v>
      </c>
      <c r="S49" s="116">
        <v>567555.32999999996</v>
      </c>
      <c r="T49" s="130">
        <f t="shared" ref="T49" si="91">Q49/S49</f>
        <v>235.13556643014877</v>
      </c>
      <c r="U49" s="85">
        <f t="shared" si="82"/>
        <v>384903022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6855984.388888889</v>
      </c>
      <c r="G50" s="190">
        <f t="shared" ref="G50" si="92">F50/F49-1</f>
        <v>0.13022775780378781</v>
      </c>
      <c r="H50" s="190">
        <f t="shared" ref="H50" si="93">F50/F38-1</f>
        <v>0.27569399839942266</v>
      </c>
      <c r="I50" s="130">
        <f t="shared" ref="I50" si="94">T50</f>
        <v>230.30037258739293</v>
      </c>
      <c r="J50" s="130">
        <f t="shared" ref="J50" si="95">I50/I38-1</f>
        <v>1.2133038243105077E-2</v>
      </c>
      <c r="K50" s="136"/>
      <c r="L50" s="190"/>
      <c r="M50" s="190"/>
      <c r="N50" s="191"/>
      <c r="O50" s="192"/>
      <c r="P50" s="129" t="s">
        <v>1381</v>
      </c>
      <c r="Q50" s="116">
        <v>123407719</v>
      </c>
      <c r="R50" s="116">
        <v>174425785780</v>
      </c>
      <c r="S50" s="116">
        <v>535855.49</v>
      </c>
      <c r="T50" s="130">
        <f t="shared" ref="T50" si="96">Q50/S50</f>
        <v>230.30037258739293</v>
      </c>
      <c r="U50" s="85">
        <f t="shared" si="82"/>
        <v>383254007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6067036.25</v>
      </c>
      <c r="G51" s="190">
        <f t="shared" ref="G51:G52" si="97">F51/F50-1</f>
        <v>-0.11507437796496345</v>
      </c>
      <c r="H51" s="190">
        <f t="shared" ref="H51:H52" si="98">F51/F39-1</f>
        <v>0.15936785551232746</v>
      </c>
      <c r="I51" s="130">
        <f t="shared" ref="I51:I52" si="99">T51</f>
        <v>231.57469239243702</v>
      </c>
      <c r="J51" s="130">
        <f t="shared" ref="J51:J52" si="100">I51/I39-1</f>
        <v>-5.0798743735474772E-2</v>
      </c>
      <c r="K51" s="136"/>
      <c r="L51" s="190"/>
      <c r="M51" s="190"/>
      <c r="N51" s="191"/>
      <c r="O51" s="192"/>
      <c r="P51" s="129" t="s">
        <v>1402</v>
      </c>
      <c r="Q51" s="116">
        <v>121340725</v>
      </c>
      <c r="R51" s="116">
        <v>175753310992</v>
      </c>
      <c r="S51" s="116">
        <v>523980.94</v>
      </c>
      <c r="T51" s="130">
        <f t="shared" ref="T51:T52" si="101">Q51/S51</f>
        <v>231.57469239243702</v>
      </c>
      <c r="U51" s="85">
        <f t="shared" si="82"/>
        <v>378200888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18290910.184343435</v>
      </c>
      <c r="C52" s="188">
        <f>AVERAGE(F50:F52)</f>
        <v>6096970.0614478113</v>
      </c>
      <c r="D52" s="190">
        <f>C52/C49-1</f>
        <v>2.6255372503024565E-2</v>
      </c>
      <c r="E52" s="287">
        <f>C52/C40-1</f>
        <v>0.16819654040627041</v>
      </c>
      <c r="F52" s="136">
        <f>Q52/22</f>
        <v>5367889.5454545459</v>
      </c>
      <c r="G52" s="190">
        <f t="shared" si="97"/>
        <v>-0.11523694201521451</v>
      </c>
      <c r="H52" s="190">
        <f t="shared" si="98"/>
        <v>6.2944555944807856E-2</v>
      </c>
      <c r="I52" s="130">
        <f t="shared" si="99"/>
        <v>212.82214191648575</v>
      </c>
      <c r="J52" s="130">
        <f t="shared" si="100"/>
        <v>-0.10478276219392479</v>
      </c>
      <c r="K52" s="136">
        <f>R50+R51+R52</f>
        <v>523923627132</v>
      </c>
      <c r="L52" s="190">
        <f>U52/U49-1</f>
        <v>-5.7315756798604678E-2</v>
      </c>
      <c r="M52" s="190">
        <f>K52/K40-1</f>
        <v>0.16982135253984576</v>
      </c>
      <c r="N52" s="191">
        <f>AVERAGE(T50:T52)</f>
        <v>224.89906896543857</v>
      </c>
      <c r="O52" s="192">
        <f>N52/N49-1</f>
        <v>-4.9063079236862817E-2</v>
      </c>
      <c r="P52" s="129" t="s">
        <v>1403</v>
      </c>
      <c r="Q52" s="116">
        <v>118093570</v>
      </c>
      <c r="R52" s="116">
        <v>173744530360</v>
      </c>
      <c r="S52" s="116">
        <v>554893.25</v>
      </c>
      <c r="T52" s="130">
        <f t="shared" si="101"/>
        <v>212.82214191648575</v>
      </c>
      <c r="U52" s="85">
        <f t="shared" ref="U52" si="102">Q50+Q51+Q52</f>
        <v>362842014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5676881.6190476194</v>
      </c>
      <c r="G53" s="190">
        <f t="shared" ref="G53" si="103">F53/F52-1</f>
        <v>5.7563046142542929E-2</v>
      </c>
      <c r="H53" s="190">
        <f t="shared" ref="H53" si="104">F53/F41-1</f>
        <v>-8.7709954942291057E-3</v>
      </c>
      <c r="I53" s="130">
        <f t="shared" ref="I53" si="105">T53</f>
        <v>217.27262340480115</v>
      </c>
      <c r="J53" s="130">
        <f t="shared" ref="J53" si="106">I53/I41-1</f>
        <v>-0.10261468967139364</v>
      </c>
      <c r="K53" s="136"/>
      <c r="L53" s="190"/>
      <c r="M53" s="190"/>
      <c r="N53" s="191"/>
      <c r="O53" s="192"/>
      <c r="P53" s="129" t="s">
        <v>1414</v>
      </c>
      <c r="Q53" s="116">
        <v>119214514</v>
      </c>
      <c r="R53" s="116">
        <v>173634427993</v>
      </c>
      <c r="S53" s="116">
        <v>548686.31000000006</v>
      </c>
      <c r="T53" s="130">
        <f t="shared" ref="T53" si="107">Q53/S53</f>
        <v>217.27262340480115</v>
      </c>
      <c r="U53" s="85">
        <f t="shared" ref="U53" si="108">Q51+Q52+Q53</f>
        <v>358648809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6303194.2352941176</v>
      </c>
      <c r="G54" s="190">
        <f t="shared" ref="G54" si="109">F54/F53-1</f>
        <v>0.11032687631622151</v>
      </c>
      <c r="H54" s="190">
        <f t="shared" ref="H54" si="110">F54/F42-1</f>
        <v>0.18730270877301369</v>
      </c>
      <c r="I54" s="130">
        <f t="shared" ref="I54" si="111">T54</f>
        <v>220.87062157547049</v>
      </c>
      <c r="J54" s="130">
        <f t="shared" ref="J54" si="112">I54/I42-1</f>
        <v>2.0994313533962528E-2</v>
      </c>
      <c r="K54" s="136"/>
      <c r="L54" s="190"/>
      <c r="M54" s="190"/>
      <c r="N54" s="191"/>
      <c r="O54" s="192"/>
      <c r="P54" s="129" t="s">
        <v>1417</v>
      </c>
      <c r="Q54" s="116">
        <v>107154302</v>
      </c>
      <c r="R54" s="116">
        <v>155226925668</v>
      </c>
      <c r="S54" s="116">
        <v>485145.11</v>
      </c>
      <c r="T54" s="130">
        <f t="shared" ref="T54" si="113">Q54/S54</f>
        <v>220.87062157547049</v>
      </c>
      <c r="U54" s="85">
        <f t="shared" ref="U54" si="114">Q52+Q53+Q54</f>
        <v>344462386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17793290.663865548</v>
      </c>
      <c r="C55" s="188">
        <f>AVERAGE(F53:F55)</f>
        <v>5931096.8879551822</v>
      </c>
      <c r="D55" s="190">
        <f>C55/C52-1</f>
        <v>-2.7205836968344888E-2</v>
      </c>
      <c r="E55" s="287">
        <f>C55/C43-1</f>
        <v>8.492625004936194E-2</v>
      </c>
      <c r="F55" s="136">
        <f>Q55/21</f>
        <v>5813214.8095238097</v>
      </c>
      <c r="G55" s="190">
        <f t="shared" ref="G55" si="115">F55/F54-1</f>
        <v>-7.7735098662629842E-2</v>
      </c>
      <c r="H55" s="190">
        <f t="shared" ref="H55" si="116">F55/F43-1</f>
        <v>8.3642831271555584E-2</v>
      </c>
      <c r="I55" s="148">
        <f>T55</f>
        <v>210.50648275069571</v>
      </c>
      <c r="J55" s="130">
        <f t="shared" ref="J55" si="117">I55/I43-1</f>
        <v>1.3992105199702509E-2</v>
      </c>
      <c r="K55" s="136">
        <f>R53+R54+R55</f>
        <v>508451531667</v>
      </c>
      <c r="L55" s="190">
        <f>U55/U52-1</f>
        <v>-3.9674807339152296E-2</v>
      </c>
      <c r="M55" s="190">
        <f>K55/K43-1</f>
        <v>0.10633157234305157</v>
      </c>
      <c r="N55" s="191">
        <f>AVERAGE(T53:T55)</f>
        <v>216.21657591032246</v>
      </c>
      <c r="O55" s="192">
        <f>N55/N52-1</f>
        <v>-3.8606176072922715E-2</v>
      </c>
      <c r="P55" s="129" t="s">
        <v>1418</v>
      </c>
      <c r="Q55" s="116">
        <v>122077511</v>
      </c>
      <c r="R55" s="116">
        <v>179590178006</v>
      </c>
      <c r="S55" s="116">
        <v>579922.81000000006</v>
      </c>
      <c r="T55" s="130">
        <f t="shared" ref="T55" si="118">Q55/S55</f>
        <v>210.50648275069571</v>
      </c>
      <c r="U55" s="85">
        <f t="shared" ref="U55" si="119">Q53+Q54+Q55</f>
        <v>348446327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4791377.1363636367</v>
      </c>
      <c r="G56" s="190">
        <f t="shared" ref="G56" si="120">F56/F55-1</f>
        <v>-0.17577841291639407</v>
      </c>
      <c r="H56" s="190">
        <f t="shared" ref="H56" si="121">F56/F44-1</f>
        <v>-3.5726537573430139E-2</v>
      </c>
      <c r="I56" s="291">
        <f>T56</f>
        <v>192.58227456619232</v>
      </c>
      <c r="J56" s="130">
        <f t="shared" ref="J56" si="122">I56/I44-1</f>
        <v>-6.4576133057319907E-2</v>
      </c>
      <c r="K56" s="136"/>
      <c r="L56" s="190"/>
      <c r="M56" s="190"/>
      <c r="N56" s="191"/>
      <c r="O56" s="192"/>
      <c r="P56" s="129" t="s">
        <v>1420</v>
      </c>
      <c r="Q56" s="116">
        <v>105410297</v>
      </c>
      <c r="R56" s="116">
        <v>157392886373</v>
      </c>
      <c r="S56" s="116">
        <v>547352.02</v>
      </c>
      <c r="T56" s="130">
        <f t="shared" ref="T56" si="123">Q56/S56</f>
        <v>192.58227456619232</v>
      </c>
      <c r="U56" s="85">
        <f t="shared" ref="U56" si="124">Q54+Q55+Q56</f>
        <v>334642110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6904859.25</v>
      </c>
      <c r="G57" s="254">
        <f t="shared" ref="G57" si="125">F57/F56-1</f>
        <v>0.44110118103547302</v>
      </c>
      <c r="H57" s="254">
        <f t="shared" ref="H57" si="126">F57/F45-1</f>
        <v>0.22055762324922412</v>
      </c>
      <c r="I57" s="282">
        <f>T57</f>
        <v>220.80530717413092</v>
      </c>
      <c r="J57" s="277">
        <f t="shared" ref="J57" si="127">I57/I45-1</f>
        <v>3.8628897902710513E-2</v>
      </c>
      <c r="K57" s="204"/>
      <c r="L57" s="254"/>
      <c r="M57" s="254"/>
      <c r="N57" s="257"/>
      <c r="O57" s="258"/>
      <c r="P57" s="129" t="s">
        <v>1436</v>
      </c>
      <c r="Q57" s="116">
        <v>82858311</v>
      </c>
      <c r="R57" s="116">
        <v>122088889143</v>
      </c>
      <c r="S57" s="116">
        <v>375255.07</v>
      </c>
      <c r="T57" s="130">
        <f t="shared" ref="T57" si="128">Q57/S57</f>
        <v>220.80530717413092</v>
      </c>
      <c r="U57" s="85">
        <f t="shared" ref="U57" si="129">Q55+Q56+Q57</f>
        <v>310346119</v>
      </c>
      <c r="V57" s="79"/>
      <c r="W57" s="79"/>
      <c r="X57" s="79"/>
      <c r="Y57" s="79"/>
      <c r="Z57" s="79"/>
    </row>
    <row r="58" spans="1:26">
      <c r="B58" s="196">
        <f>SUM(F56:F58)</f>
        <v>11696236.386363637</v>
      </c>
      <c r="C58" s="196">
        <f>AVERAGE(F56:F58)</f>
        <v>5848118.1931818184</v>
      </c>
      <c r="D58" s="197">
        <f>C58/C55-1</f>
        <v>-1.3990446681435342E-2</v>
      </c>
      <c r="E58" s="233">
        <f>C58/C46-1</f>
        <v>5.0946328535823815E-2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536714935</v>
      </c>
      <c r="R65" s="212">
        <v>787933307183</v>
      </c>
      <c r="S65" s="213">
        <v>2536361.34</v>
      </c>
      <c r="T65" s="214">
        <v>334</v>
      </c>
      <c r="U65" s="214">
        <v>763</v>
      </c>
    </row>
    <row r="66" spans="16:21" ht="18" thickBot="1">
      <c r="P66" s="180" t="s">
        <v>976</v>
      </c>
      <c r="Q66" s="181">
        <v>119214514</v>
      </c>
      <c r="R66" s="181">
        <v>173634427993</v>
      </c>
      <c r="S66" s="182">
        <v>548686.31000000006</v>
      </c>
      <c r="T66" s="210">
        <v>211</v>
      </c>
      <c r="U66" s="210">
        <v>463</v>
      </c>
    </row>
    <row r="67" spans="16:21" ht="18" thickBot="1">
      <c r="P67" s="180" t="s">
        <v>977</v>
      </c>
      <c r="Q67" s="181">
        <v>107154302</v>
      </c>
      <c r="R67" s="181">
        <v>155226925668</v>
      </c>
      <c r="S67" s="182">
        <v>485145.11</v>
      </c>
      <c r="T67" s="210">
        <v>208</v>
      </c>
      <c r="U67" s="210">
        <v>431</v>
      </c>
    </row>
    <row r="68" spans="16:21" ht="18" thickBot="1">
      <c r="P68" s="180" t="s">
        <v>978</v>
      </c>
      <c r="Q68" s="181">
        <v>122077511</v>
      </c>
      <c r="R68" s="181">
        <v>179590178006</v>
      </c>
      <c r="S68" s="182">
        <v>579922.81000000006</v>
      </c>
      <c r="T68" s="210">
        <v>216</v>
      </c>
      <c r="U68" s="210">
        <v>478</v>
      </c>
    </row>
    <row r="69" spans="16:21" ht="18" thickBot="1">
      <c r="P69" s="180" t="s">
        <v>979</v>
      </c>
      <c r="Q69" s="181">
        <v>105410297</v>
      </c>
      <c r="R69" s="181">
        <v>157392886373</v>
      </c>
      <c r="S69" s="182">
        <v>547352.02</v>
      </c>
      <c r="T69" s="210">
        <v>242</v>
      </c>
      <c r="U69" s="210">
        <v>503</v>
      </c>
    </row>
    <row r="70" spans="16:21" ht="18" thickBot="1">
      <c r="P70" s="180" t="s">
        <v>980</v>
      </c>
      <c r="Q70" s="181">
        <v>82858311</v>
      </c>
      <c r="R70" s="181">
        <v>122088889143</v>
      </c>
      <c r="S70" s="182">
        <v>375255.07</v>
      </c>
      <c r="T70" s="210">
        <v>196</v>
      </c>
      <c r="U70" s="210">
        <v>390</v>
      </c>
    </row>
    <row r="71" spans="16:21" ht="18" thickBot="1">
      <c r="P71" s="180" t="s">
        <v>975</v>
      </c>
      <c r="Q71" s="181">
        <v>1402047244</v>
      </c>
      <c r="R71" s="181">
        <v>1991789522874</v>
      </c>
      <c r="S71" s="182">
        <v>6262777.5599999996</v>
      </c>
      <c r="T71" s="210">
        <v>382</v>
      </c>
      <c r="U71" s="210">
        <v>1112</v>
      </c>
    </row>
    <row r="72" spans="16:21" ht="18" thickBot="1">
      <c r="P72" s="215" t="s">
        <v>982</v>
      </c>
      <c r="Q72" s="217" t="s">
        <v>1468</v>
      </c>
      <c r="R72"/>
      <c r="S72"/>
      <c r="T72"/>
      <c r="U72"/>
    </row>
  </sheetData>
  <phoneticPr fontId="1" type="noConversion"/>
  <conditionalFormatting sqref="C29:C30">
    <cfRule type="cellIs" dxfId="2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Z73"/>
  <sheetViews>
    <sheetView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" style="98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700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 t="s">
        <v>970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18942642.699999999</v>
      </c>
      <c r="G5" s="90"/>
      <c r="H5" s="90"/>
      <c r="I5" s="130">
        <f t="shared" ref="I5:I49" si="0">T5</f>
        <v>4455.012171375507</v>
      </c>
      <c r="J5" s="130"/>
      <c r="K5" s="86"/>
      <c r="L5" s="80"/>
      <c r="M5" s="80"/>
      <c r="P5" s="129" t="s">
        <v>0</v>
      </c>
      <c r="Q5" s="116">
        <v>378852854</v>
      </c>
      <c r="R5" s="116">
        <v>447315193919</v>
      </c>
      <c r="S5" s="116">
        <v>85039.69</v>
      </c>
      <c r="T5" s="130">
        <f t="shared" ref="T5:T32" si="1">Q5/S5</f>
        <v>4455.012171375507</v>
      </c>
      <c r="U5" s="85"/>
    </row>
    <row r="6" spans="1:21" ht="15" hidden="1" customHeight="1">
      <c r="A6" s="129" t="s">
        <v>1</v>
      </c>
      <c r="C6" s="79"/>
      <c r="F6" s="78">
        <f>Q6/18</f>
        <v>26258797.277777776</v>
      </c>
      <c r="G6" s="90">
        <f t="shared" ref="G6:G32" si="2">F6/F5-1</f>
        <v>0.38622671047782453</v>
      </c>
      <c r="H6" s="90"/>
      <c r="I6" s="130">
        <f t="shared" si="0"/>
        <v>5562.3957738542713</v>
      </c>
      <c r="J6" s="130"/>
      <c r="K6" s="78"/>
      <c r="P6" s="129" t="s">
        <v>1</v>
      </c>
      <c r="Q6" s="116">
        <v>472658351</v>
      </c>
      <c r="R6" s="116">
        <v>561170956920</v>
      </c>
      <c r="S6" s="116">
        <v>84973.88</v>
      </c>
      <c r="T6" s="130">
        <f t="shared" si="1"/>
        <v>5562.3957738542713</v>
      </c>
      <c r="U6" s="85"/>
    </row>
    <row r="7" spans="1:21" ht="15" hidden="1" customHeight="1">
      <c r="A7" s="129" t="s">
        <v>2</v>
      </c>
      <c r="B7" s="131">
        <f>F5+F6+F7</f>
        <v>64452281.61414142</v>
      </c>
      <c r="C7" s="131">
        <f>AVERAGE(F5:F7)</f>
        <v>21484093.871380474</v>
      </c>
      <c r="F7" s="78">
        <f>Q7/22</f>
        <v>19250841.636363637</v>
      </c>
      <c r="G7" s="90">
        <f t="shared" si="2"/>
        <v>-0.26688029795427126</v>
      </c>
      <c r="H7" s="90"/>
      <c r="I7" s="130">
        <f t="shared" si="0"/>
        <v>4732.2529668029374</v>
      </c>
      <c r="J7" s="130"/>
      <c r="K7" s="85">
        <f>R5+R6+R7</f>
        <v>1519578285623</v>
      </c>
      <c r="N7" s="88">
        <f>AVERAGE(T5:T7)</f>
        <v>4916.5536373442383</v>
      </c>
      <c r="P7" s="129" t="s">
        <v>2</v>
      </c>
      <c r="Q7" s="116">
        <v>423518516</v>
      </c>
      <c r="R7" s="116">
        <v>511092134784</v>
      </c>
      <c r="S7" s="116">
        <v>89496.17</v>
      </c>
      <c r="T7" s="130">
        <f t="shared" si="1"/>
        <v>4732.2529668029374</v>
      </c>
      <c r="U7" s="85">
        <f>Q5+Q6+Q7</f>
        <v>1275029721</v>
      </c>
    </row>
    <row r="8" spans="1:21" ht="15" hidden="1" customHeight="1">
      <c r="A8" s="129" t="s">
        <v>3</v>
      </c>
      <c r="C8" s="79"/>
      <c r="F8" s="78">
        <f>Q8/21</f>
        <v>28008149.857142858</v>
      </c>
      <c r="G8" s="90">
        <f t="shared" si="2"/>
        <v>0.4549052132992053</v>
      </c>
      <c r="H8" s="90"/>
      <c r="I8" s="130">
        <f t="shared" si="0"/>
        <v>6151.100773715084</v>
      </c>
      <c r="J8" s="130"/>
      <c r="K8" s="78"/>
      <c r="P8" s="129" t="s">
        <v>3</v>
      </c>
      <c r="Q8" s="116">
        <v>588171147</v>
      </c>
      <c r="R8" s="116">
        <v>716505836052</v>
      </c>
      <c r="S8" s="116">
        <v>95620.47</v>
      </c>
      <c r="T8" s="130">
        <f t="shared" si="1"/>
        <v>6151.100773715084</v>
      </c>
      <c r="U8" s="85"/>
    </row>
    <row r="9" spans="1:21" ht="15" hidden="1" customHeight="1">
      <c r="A9" s="129" t="s">
        <v>4</v>
      </c>
      <c r="C9" s="79"/>
      <c r="F9" s="78">
        <f>Q9/21</f>
        <v>24910570.142857142</v>
      </c>
      <c r="G9" s="90">
        <f t="shared" si="2"/>
        <v>-0.11059565626737555</v>
      </c>
      <c r="H9" s="90"/>
      <c r="I9" s="130">
        <f t="shared" si="0"/>
        <v>5370.2104426341684</v>
      </c>
      <c r="J9" s="130"/>
      <c r="K9" s="78"/>
      <c r="P9" s="129" t="s">
        <v>4</v>
      </c>
      <c r="Q9" s="116">
        <v>523121973</v>
      </c>
      <c r="R9" s="116">
        <v>658441490257</v>
      </c>
      <c r="S9" s="116">
        <v>97411.82</v>
      </c>
      <c r="T9" s="130">
        <f t="shared" si="1"/>
        <v>5370.2104426341684</v>
      </c>
      <c r="U9" s="85"/>
    </row>
    <row r="10" spans="1:21" ht="15" hidden="1" customHeight="1">
      <c r="A10" s="129" t="s">
        <v>5</v>
      </c>
      <c r="B10" s="131">
        <f>F8+F9+F10</f>
        <v>88526501.523809522</v>
      </c>
      <c r="C10" s="131">
        <f>AVERAGE(F8:F10)</f>
        <v>29508833.84126984</v>
      </c>
      <c r="D10" s="90">
        <f>C10/C7-1</f>
        <v>0.37352005711440928</v>
      </c>
      <c r="E10" s="286"/>
      <c r="F10" s="78">
        <f>Q10/21</f>
        <v>35607781.523809522</v>
      </c>
      <c r="G10" s="90">
        <f t="shared" si="2"/>
        <v>0.4294245904291234</v>
      </c>
      <c r="H10" s="90"/>
      <c r="I10" s="130">
        <f t="shared" si="0"/>
        <v>5767.974251268276</v>
      </c>
      <c r="J10" s="130"/>
      <c r="K10" s="85">
        <f>R8+R9+R10</f>
        <v>2325324610194</v>
      </c>
      <c r="L10" s="87">
        <f>U10/U7-1</f>
        <v>0.45804956651673212</v>
      </c>
      <c r="N10" s="88">
        <f>AVERAGE(T8:T10)</f>
        <v>5763.0951558725092</v>
      </c>
      <c r="O10" s="89">
        <f>N10/N7-1</f>
        <v>0.17218189426395547</v>
      </c>
      <c r="P10" s="129" t="s">
        <v>5</v>
      </c>
      <c r="Q10" s="116">
        <v>747763412</v>
      </c>
      <c r="R10" s="116">
        <v>950377283885</v>
      </c>
      <c r="S10" s="116">
        <v>129640.56</v>
      </c>
      <c r="T10" s="130">
        <f t="shared" si="1"/>
        <v>5767.974251268276</v>
      </c>
      <c r="U10" s="85">
        <f>Q8+Q9+Q10</f>
        <v>1859056532</v>
      </c>
    </row>
    <row r="11" spans="1:21" ht="15" hidden="1" customHeight="1">
      <c r="A11" s="129" t="s">
        <v>6</v>
      </c>
      <c r="C11" s="79"/>
      <c r="F11" s="78">
        <f>Q11/21</f>
        <v>19647128.428571429</v>
      </c>
      <c r="G11" s="90">
        <f t="shared" si="2"/>
        <v>-0.44823497595787687</v>
      </c>
      <c r="H11" s="90"/>
      <c r="I11" s="130">
        <f t="shared" si="0"/>
        <v>4819.3352094868751</v>
      </c>
      <c r="J11" s="130"/>
      <c r="K11" s="78"/>
      <c r="O11" s="89"/>
      <c r="P11" s="129" t="s">
        <v>6</v>
      </c>
      <c r="Q11" s="116">
        <v>412589697</v>
      </c>
      <c r="R11" s="116">
        <v>535111616240</v>
      </c>
      <c r="S11" s="116">
        <v>85611.33</v>
      </c>
      <c r="T11" s="130">
        <f t="shared" si="1"/>
        <v>4819.3352094868751</v>
      </c>
      <c r="U11" s="85"/>
    </row>
    <row r="12" spans="1:21" ht="15" hidden="1" customHeight="1">
      <c r="A12" s="129" t="s">
        <v>7</v>
      </c>
      <c r="C12" s="79"/>
      <c r="F12" s="78">
        <f>Q12/22</f>
        <v>18870527.772727273</v>
      </c>
      <c r="G12" s="90">
        <f t="shared" si="2"/>
        <v>-3.9527438254783331E-2</v>
      </c>
      <c r="H12" s="90"/>
      <c r="I12" s="130">
        <f t="shared" si="0"/>
        <v>4763.7023582845641</v>
      </c>
      <c r="J12" s="130"/>
      <c r="K12" s="78"/>
      <c r="O12" s="89"/>
      <c r="P12" s="129" t="s">
        <v>7</v>
      </c>
      <c r="Q12" s="116">
        <v>415151611</v>
      </c>
      <c r="R12" s="116">
        <v>542760538162</v>
      </c>
      <c r="S12" s="116">
        <v>87148.94</v>
      </c>
      <c r="T12" s="130">
        <f t="shared" si="1"/>
        <v>4763.7023582845641</v>
      </c>
      <c r="U12" s="85"/>
    </row>
    <row r="13" spans="1:21" ht="15" hidden="1" customHeight="1">
      <c r="A13" s="129" t="s">
        <v>96</v>
      </c>
      <c r="B13" s="131">
        <f>F11+F12+F13</f>
        <v>62809462.151298702</v>
      </c>
      <c r="C13" s="131">
        <f>AVERAGE(F11:F13)</f>
        <v>20936487.383766234</v>
      </c>
      <c r="D13" s="90">
        <f>C13/C10-1</f>
        <v>-0.29050102432427116</v>
      </c>
      <c r="E13" s="286"/>
      <c r="F13" s="78">
        <f>Q13/20</f>
        <v>24291805.949999999</v>
      </c>
      <c r="G13" s="90">
        <f t="shared" si="2"/>
        <v>0.28728810569399421</v>
      </c>
      <c r="H13" s="90"/>
      <c r="I13" s="130">
        <f t="shared" si="0"/>
        <v>4088.9410615138727</v>
      </c>
      <c r="J13" s="130"/>
      <c r="K13" s="78">
        <f>R11+R12+R13</f>
        <v>1749598782363</v>
      </c>
      <c r="L13" s="87">
        <f>U13/U10-1</f>
        <v>-0.29341716919881167</v>
      </c>
      <c r="N13" s="88">
        <f>AVERAGE(T11:T13)</f>
        <v>4557.3262097617708</v>
      </c>
      <c r="O13" s="89">
        <f>N13/N10-1</f>
        <v>-0.20922246006680589</v>
      </c>
      <c r="P13" s="129" t="s">
        <v>96</v>
      </c>
      <c r="Q13" s="116">
        <v>485836119</v>
      </c>
      <c r="R13" s="116">
        <v>671726627961</v>
      </c>
      <c r="S13" s="116">
        <v>118817.1</v>
      </c>
      <c r="T13" s="130">
        <f t="shared" si="1"/>
        <v>4088.9410615138727</v>
      </c>
      <c r="U13" s="85">
        <f>Q11+Q12+Q13</f>
        <v>1313577427</v>
      </c>
    </row>
    <row r="14" spans="1:21" ht="15" hidden="1" customHeight="1">
      <c r="A14" s="129" t="s">
        <v>97</v>
      </c>
      <c r="C14" s="79"/>
      <c r="F14" s="78">
        <f>Q14/20</f>
        <v>18906655.949999999</v>
      </c>
      <c r="G14" s="90">
        <f t="shared" si="2"/>
        <v>-0.22168586440564741</v>
      </c>
      <c r="H14" s="90"/>
      <c r="I14" s="130">
        <f t="shared" si="0"/>
        <v>4030.4402046870737</v>
      </c>
      <c r="J14" s="130"/>
      <c r="K14" s="78"/>
      <c r="O14" s="89"/>
      <c r="P14" s="129" t="s">
        <v>97</v>
      </c>
      <c r="Q14" s="116">
        <v>378133119</v>
      </c>
      <c r="R14" s="116">
        <v>540202622453</v>
      </c>
      <c r="S14" s="116">
        <v>93819.31</v>
      </c>
      <c r="T14" s="130">
        <f t="shared" si="1"/>
        <v>4030.4402046870737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12511010.136363637</v>
      </c>
      <c r="G15" s="90">
        <f t="shared" si="2"/>
        <v>-0.33827482927441554</v>
      </c>
      <c r="H15" s="90"/>
      <c r="I15" s="130">
        <f t="shared" si="0"/>
        <v>3770.4667195711318</v>
      </c>
      <c r="J15" s="130"/>
      <c r="K15" s="78"/>
      <c r="O15" s="89"/>
      <c r="P15" s="129" t="s">
        <v>98</v>
      </c>
      <c r="Q15" s="116">
        <v>275242223</v>
      </c>
      <c r="R15" s="116">
        <v>373658822993</v>
      </c>
      <c r="S15" s="116">
        <v>72999.509999999995</v>
      </c>
      <c r="T15" s="130">
        <f t="shared" si="1"/>
        <v>3770.4667195711318</v>
      </c>
      <c r="U15" s="78"/>
    </row>
    <row r="16" spans="1:21" ht="15" hidden="1" customHeight="1">
      <c r="A16" s="129" t="s">
        <v>99</v>
      </c>
      <c r="B16" s="131">
        <f>F14+F15+F16</f>
        <v>49901227.086363636</v>
      </c>
      <c r="C16" s="131">
        <f>AVERAGE(F14:F16)</f>
        <v>16633742.362121211</v>
      </c>
      <c r="D16" s="90">
        <f>C16/C13-1</f>
        <v>-0.20551417927829152</v>
      </c>
      <c r="E16" s="286"/>
      <c r="F16" s="78">
        <f>Q16/22</f>
        <v>18483561</v>
      </c>
      <c r="G16" s="90">
        <f t="shared" si="2"/>
        <v>0.47738358442192919</v>
      </c>
      <c r="H16" s="90"/>
      <c r="I16" s="130">
        <f t="shared" si="0"/>
        <v>3871.0741789141543</v>
      </c>
      <c r="J16" s="130"/>
      <c r="K16" s="78">
        <f>R14+R15+R16</f>
        <v>1443969448667</v>
      </c>
      <c r="L16" s="87">
        <f>U16/U13-1</f>
        <v>-0.19303296310374252</v>
      </c>
      <c r="N16" s="88">
        <f>AVERAGE(T14:T16)</f>
        <v>3890.6603677241201</v>
      </c>
      <c r="O16" s="89">
        <f>N16/N13-1</f>
        <v>-0.14628442454034907</v>
      </c>
      <c r="P16" s="129" t="s">
        <v>99</v>
      </c>
      <c r="Q16" s="116">
        <v>406638342</v>
      </c>
      <c r="R16" s="116">
        <v>530108003221</v>
      </c>
      <c r="S16" s="116">
        <v>105045.35</v>
      </c>
      <c r="T16" s="130">
        <f t="shared" si="1"/>
        <v>3871.0741789141543</v>
      </c>
      <c r="U16" s="85">
        <f>Q14+Q15+Q16</f>
        <v>1060013684</v>
      </c>
    </row>
    <row r="17" spans="1:21" ht="15" hidden="1" customHeight="1">
      <c r="A17" s="129" t="s">
        <v>100</v>
      </c>
      <c r="C17" s="79"/>
      <c r="F17" s="78">
        <f>Q17/20</f>
        <v>4976350.5</v>
      </c>
      <c r="G17" s="90">
        <f t="shared" si="2"/>
        <v>-0.73076884373092388</v>
      </c>
      <c r="H17" s="90">
        <f t="shared" ref="H17:H32" si="3">F17/F5-1</f>
        <v>-0.73729375679983655</v>
      </c>
      <c r="I17" s="130">
        <f t="shared" si="0"/>
        <v>2621.0541784198044</v>
      </c>
      <c r="J17" s="130">
        <f t="shared" ref="J17:J49" si="4">I17/I5-1</f>
        <v>-0.41166172445932037</v>
      </c>
      <c r="K17" s="78"/>
      <c r="O17" s="89"/>
      <c r="P17" s="129" t="s">
        <v>100</v>
      </c>
      <c r="Q17" s="116">
        <v>99527010</v>
      </c>
      <c r="R17" s="116">
        <v>124483545498</v>
      </c>
      <c r="S17" s="116">
        <v>37972.129999999997</v>
      </c>
      <c r="T17" s="130">
        <f t="shared" si="1"/>
        <v>2621.0541784198044</v>
      </c>
      <c r="U17" s="78"/>
    </row>
    <row r="18" spans="1:21" ht="15" hidden="1" customHeight="1">
      <c r="A18" s="129" t="s">
        <v>106</v>
      </c>
      <c r="C18" s="79"/>
      <c r="F18" s="78">
        <f>Q18/20</f>
        <v>5331822.5999999996</v>
      </c>
      <c r="G18" s="90">
        <f t="shared" si="2"/>
        <v>7.1432287577010367E-2</v>
      </c>
      <c r="H18" s="90">
        <f t="shared" si="3"/>
        <v>-0.7969509972754083</v>
      </c>
      <c r="I18" s="130">
        <f t="shared" si="0"/>
        <v>2895.2954228157087</v>
      </c>
      <c r="J18" s="130">
        <f t="shared" si="4"/>
        <v>-0.47948769909094169</v>
      </c>
      <c r="K18" s="78"/>
      <c r="O18" s="89"/>
      <c r="P18" s="129" t="s">
        <v>106</v>
      </c>
      <c r="Q18" s="116">
        <v>106636452</v>
      </c>
      <c r="R18" s="116">
        <v>134856270203</v>
      </c>
      <c r="S18" s="116">
        <v>36830.94</v>
      </c>
      <c r="T18" s="130">
        <f t="shared" si="1"/>
        <v>2895.2954228157087</v>
      </c>
      <c r="U18" s="78"/>
    </row>
    <row r="19" spans="1:21" hidden="1">
      <c r="A19" s="129" t="s">
        <v>114</v>
      </c>
      <c r="B19" s="131">
        <f>SUM(F17:F19)</f>
        <v>19144528.690909091</v>
      </c>
      <c r="C19" s="131">
        <f>AVERAGE(F17:F19)</f>
        <v>6381509.5636363635</v>
      </c>
      <c r="D19" s="90">
        <f>C19/C16-1</f>
        <v>-0.61635154466691144</v>
      </c>
      <c r="E19" s="286">
        <f>C19/C7-1</f>
        <v>-0.70296584990548094</v>
      </c>
      <c r="F19" s="78">
        <f>Q19/22</f>
        <v>8836355.5909090918</v>
      </c>
      <c r="G19" s="90">
        <f t="shared" si="2"/>
        <v>0.65728612030510769</v>
      </c>
      <c r="H19" s="90">
        <f t="shared" si="3"/>
        <v>-0.54098860933862913</v>
      </c>
      <c r="I19" s="130">
        <f t="shared" si="0"/>
        <v>2451.7351780555373</v>
      </c>
      <c r="J19" s="130">
        <f t="shared" si="4"/>
        <v>-0.4819095269727508</v>
      </c>
      <c r="K19" s="78">
        <f>R17+R18+R19</f>
        <v>513250624682</v>
      </c>
      <c r="L19" s="87">
        <f>U19/U16-1</f>
        <v>-0.62211498677218957</v>
      </c>
      <c r="M19" s="87">
        <f>U19/U7-1</f>
        <v>-0.68584004090050543</v>
      </c>
      <c r="N19" s="88">
        <f>AVERAGE(T17:T19)</f>
        <v>2656.0282597636838</v>
      </c>
      <c r="O19" s="89">
        <f>N19/N16-1</f>
        <v>-0.31733227557013577</v>
      </c>
      <c r="P19" s="129" t="s">
        <v>114</v>
      </c>
      <c r="Q19" s="116">
        <v>194399823</v>
      </c>
      <c r="R19" s="116">
        <v>253910808981</v>
      </c>
      <c r="S19" s="116">
        <v>79290.710000000006</v>
      </c>
      <c r="T19" s="130">
        <f t="shared" si="1"/>
        <v>2451.7351780555373</v>
      </c>
      <c r="U19" s="85">
        <f>Q17+Q18+Q19</f>
        <v>400563285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3535860.25</v>
      </c>
      <c r="G20" s="90">
        <f t="shared" si="2"/>
        <v>-0.59985084194238181</v>
      </c>
      <c r="H20" s="90">
        <f t="shared" si="3"/>
        <v>-0.87375602215659176</v>
      </c>
      <c r="I20" s="130">
        <f t="shared" si="0"/>
        <v>2253.2705098895149</v>
      </c>
      <c r="J20" s="130">
        <f t="shared" si="4"/>
        <v>-0.63368011795251311</v>
      </c>
      <c r="K20" s="78"/>
      <c r="O20" s="89"/>
      <c r="P20" s="129" t="s">
        <v>131</v>
      </c>
      <c r="Q20" s="116">
        <v>70717205</v>
      </c>
      <c r="R20" s="116">
        <v>92827435781</v>
      </c>
      <c r="S20" s="116">
        <v>31384.25</v>
      </c>
      <c r="T20" s="130">
        <f t="shared" si="1"/>
        <v>2253.2705098895149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6599407.2380952379</v>
      </c>
      <c r="G21" s="90">
        <f t="shared" si="2"/>
        <v>0.86642196565750518</v>
      </c>
      <c r="H21" s="90">
        <f t="shared" si="3"/>
        <v>-0.73507602595007038</v>
      </c>
      <c r="I21" s="130">
        <f t="shared" si="0"/>
        <v>2497.6954077024961</v>
      </c>
      <c r="J21" s="130">
        <f t="shared" si="4"/>
        <v>-0.53489803902780775</v>
      </c>
      <c r="K21" s="78"/>
      <c r="O21" s="89"/>
      <c r="P21" s="129" t="s">
        <v>141</v>
      </c>
      <c r="Q21" s="116">
        <v>138587552</v>
      </c>
      <c r="R21" s="116">
        <v>184215519724</v>
      </c>
      <c r="S21" s="116">
        <v>55486.17</v>
      </c>
      <c r="T21" s="130">
        <f t="shared" si="1"/>
        <v>2497.6954077024961</v>
      </c>
      <c r="U21" s="78"/>
    </row>
    <row r="22" spans="1:21" hidden="1">
      <c r="A22" s="129" t="s">
        <v>156</v>
      </c>
      <c r="B22" s="131">
        <f>SUM(F20:F22)</f>
        <v>16874293.488095239</v>
      </c>
      <c r="C22" s="131">
        <f>AVERAGE(F20:F22)</f>
        <v>5624764.4960317463</v>
      </c>
      <c r="D22" s="90">
        <f>C22/C19-1</f>
        <v>-0.11858402154824987</v>
      </c>
      <c r="E22" s="286">
        <f>C22/C10-1</f>
        <v>-0.80938709654580854</v>
      </c>
      <c r="F22" s="78">
        <f>Q22/21</f>
        <v>6739026</v>
      </c>
      <c r="G22" s="90">
        <f t="shared" si="2"/>
        <v>2.1156257958867775E-2</v>
      </c>
      <c r="H22" s="90">
        <f t="shared" si="3"/>
        <v>-0.81074288507713188</v>
      </c>
      <c r="I22" s="130">
        <f t="shared" si="0"/>
        <v>2480.5508901932035</v>
      </c>
      <c r="J22" s="130">
        <f t="shared" si="4"/>
        <v>-0.56994418107054234</v>
      </c>
      <c r="K22" s="78">
        <f>R20+R21+R22</f>
        <v>460646260539</v>
      </c>
      <c r="L22" s="87">
        <f>U22/U19-1</f>
        <v>-0.12417259360153288</v>
      </c>
      <c r="M22" s="87">
        <f>U22/U10-1</f>
        <v>-0.8112890614345234</v>
      </c>
      <c r="N22" s="88">
        <f>AVERAGE(T20:T22)</f>
        <v>2410.5056025950717</v>
      </c>
      <c r="O22" s="89">
        <f>N22/N19-1</f>
        <v>-9.2439775919574418E-2</v>
      </c>
      <c r="P22" s="129" t="s">
        <v>156</v>
      </c>
      <c r="Q22" s="116">
        <v>141519546</v>
      </c>
      <c r="R22" s="116">
        <v>183603305034</v>
      </c>
      <c r="S22" s="116">
        <v>57051.66</v>
      </c>
      <c r="T22" s="130">
        <f t="shared" si="1"/>
        <v>2480.5508901932035</v>
      </c>
      <c r="U22" s="85">
        <f>Q20+Q21+Q22</f>
        <v>350824303</v>
      </c>
    </row>
    <row r="23" spans="1:21" hidden="1">
      <c r="A23" s="129" t="s">
        <v>189</v>
      </c>
      <c r="B23" s="131"/>
      <c r="C23" s="131"/>
      <c r="F23" s="78">
        <f>Q23/21</f>
        <v>3355391.1428571427</v>
      </c>
      <c r="G23" s="90">
        <f t="shared" si="2"/>
        <v>-0.50209553385650341</v>
      </c>
      <c r="H23" s="90">
        <f t="shared" si="3"/>
        <v>-0.82921722352170124</v>
      </c>
      <c r="I23" s="130">
        <f t="shared" si="0"/>
        <v>2193.5412713118062</v>
      </c>
      <c r="J23" s="130">
        <f t="shared" si="4"/>
        <v>-0.5448456735290349</v>
      </c>
      <c r="K23" s="78"/>
      <c r="O23" s="89"/>
      <c r="P23" s="129" t="s">
        <v>189</v>
      </c>
      <c r="Q23" s="116">
        <v>70463214</v>
      </c>
      <c r="R23" s="116">
        <v>90913775875</v>
      </c>
      <c r="S23" s="116">
        <v>32123.040000000001</v>
      </c>
      <c r="T23" s="130">
        <f t="shared" si="1"/>
        <v>2193.5412713118062</v>
      </c>
      <c r="U23" s="78"/>
    </row>
    <row r="24" spans="1:21" hidden="1">
      <c r="A24" s="129" t="s">
        <v>204</v>
      </c>
      <c r="B24" s="131"/>
      <c r="C24" s="131"/>
      <c r="F24" s="78">
        <f>Q24/22</f>
        <v>4622592.8636363633</v>
      </c>
      <c r="G24" s="90">
        <f t="shared" si="2"/>
        <v>0.37766140125773484</v>
      </c>
      <c r="H24" s="90">
        <f t="shared" si="3"/>
        <v>-0.75503637633722209</v>
      </c>
      <c r="I24" s="130">
        <f t="shared" si="0"/>
        <v>2718.6060176236019</v>
      </c>
      <c r="J24" s="130">
        <f t="shared" si="4"/>
        <v>-0.42930816974833264</v>
      </c>
      <c r="K24" s="78"/>
      <c r="O24" s="89"/>
      <c r="P24" s="129" t="s">
        <v>204</v>
      </c>
      <c r="Q24" s="116">
        <v>101697043</v>
      </c>
      <c r="R24" s="116">
        <v>133826706995</v>
      </c>
      <c r="S24" s="116">
        <v>37407.79</v>
      </c>
      <c r="T24" s="130">
        <f t="shared" si="1"/>
        <v>2718.6060176236019</v>
      </c>
      <c r="U24" s="78"/>
    </row>
    <row r="25" spans="1:21" s="79" customFormat="1" ht="13.2" hidden="1">
      <c r="A25" s="129" t="s">
        <v>245</v>
      </c>
      <c r="B25" s="131">
        <f>SUM(F23:F25)</f>
        <v>14925969.795967191</v>
      </c>
      <c r="C25" s="131">
        <f>AVERAGE(F23:F25)</f>
        <v>4975323.2653223975</v>
      </c>
      <c r="D25" s="90">
        <f>C25/C22-1</f>
        <v>-0.1154610528436395</v>
      </c>
      <c r="E25" s="286">
        <f>C25/C13-1</f>
        <v>-0.76236112705418901</v>
      </c>
      <c r="F25" s="78">
        <f>Q25/19</f>
        <v>6947985.7894736845</v>
      </c>
      <c r="G25" s="90">
        <f t="shared" si="2"/>
        <v>0.50304947773575948</v>
      </c>
      <c r="H25" s="90">
        <f t="shared" si="3"/>
        <v>-0.71397821126289363</v>
      </c>
      <c r="I25" s="130">
        <f t="shared" si="0"/>
        <v>2226.0199281902565</v>
      </c>
      <c r="J25" s="130">
        <f t="shared" si="4"/>
        <v>-0.45559989867740869</v>
      </c>
      <c r="K25" s="78">
        <f>R23+R24+R25</f>
        <v>400038358184</v>
      </c>
      <c r="L25" s="90">
        <f>U25/U22-1</f>
        <v>-0.13297914540430222</v>
      </c>
      <c r="M25" s="90">
        <f>U25/U13-1</f>
        <v>-0.7684400015196059</v>
      </c>
      <c r="N25" s="88">
        <f>AVERAGE(T23:T25)</f>
        <v>2379.3890723752215</v>
      </c>
      <c r="O25" s="91">
        <f>N25/N22-1</f>
        <v>-1.2908715161811357E-2</v>
      </c>
      <c r="P25" s="129" t="s">
        <v>245</v>
      </c>
      <c r="Q25" s="116">
        <v>132011730</v>
      </c>
      <c r="R25" s="116">
        <v>175297875314</v>
      </c>
      <c r="S25" s="116">
        <v>59303.93</v>
      </c>
      <c r="T25" s="130">
        <f t="shared" si="1"/>
        <v>2226.0199281902565</v>
      </c>
      <c r="U25" s="85">
        <f>Q23+Q24+Q25</f>
        <v>304171987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6654160.8421052629</v>
      </c>
      <c r="G26" s="90">
        <f t="shared" si="2"/>
        <v>-4.2289226874005936E-2</v>
      </c>
      <c r="H26" s="90">
        <f t="shared" si="3"/>
        <v>-0.64805194214658235</v>
      </c>
      <c r="I26" s="130">
        <f t="shared" si="0"/>
        <v>2301.6474296925476</v>
      </c>
      <c r="J26" s="130">
        <f t="shared" si="4"/>
        <v>-0.4289339841797134</v>
      </c>
      <c r="K26" s="78"/>
      <c r="L26" s="90"/>
      <c r="M26" s="90"/>
      <c r="P26" s="129" t="s">
        <v>312</v>
      </c>
      <c r="Q26" s="116">
        <v>126429056</v>
      </c>
      <c r="R26" s="116">
        <v>170297356594</v>
      </c>
      <c r="S26" s="116">
        <v>54929.81</v>
      </c>
      <c r="T26" s="130">
        <f t="shared" si="1"/>
        <v>2301.6474296925476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4732269.5</v>
      </c>
      <c r="G27" s="90">
        <f t="shared" si="2"/>
        <v>-0.28882550147333219</v>
      </c>
      <c r="H27" s="90">
        <f t="shared" si="3"/>
        <v>-0.62175160531238705</v>
      </c>
      <c r="I27" s="130">
        <f t="shared" si="0"/>
        <v>2917.2234548176111</v>
      </c>
      <c r="J27" s="130">
        <f t="shared" si="4"/>
        <v>-0.22629645829378175</v>
      </c>
      <c r="K27" s="78"/>
      <c r="L27" s="90"/>
      <c r="M27" s="90"/>
      <c r="P27" s="129" t="s">
        <v>375</v>
      </c>
      <c r="Q27" s="116">
        <v>104109929</v>
      </c>
      <c r="R27" s="116">
        <v>137682473315</v>
      </c>
      <c r="S27" s="116">
        <v>35688.019999999997</v>
      </c>
      <c r="T27" s="130">
        <f t="shared" si="1"/>
        <v>2917.2234548176111</v>
      </c>
      <c r="U27" s="78"/>
    </row>
    <row r="28" spans="1:21" s="79" customFormat="1" ht="13.2" hidden="1">
      <c r="A28" s="123" t="s">
        <v>413</v>
      </c>
      <c r="B28" s="131">
        <f>SUM(F26:F28)</f>
        <v>21703102.763157893</v>
      </c>
      <c r="C28" s="131">
        <f>AVERAGE(F26:F28)</f>
        <v>7234367.587719298</v>
      </c>
      <c r="D28" s="90">
        <f>C28/C25-1</f>
        <v>0.45404975755892241</v>
      </c>
      <c r="E28" s="286">
        <f>C28/C16-1</f>
        <v>-0.56507877600692025</v>
      </c>
      <c r="F28" s="78">
        <f>Q28/19</f>
        <v>10316672.421052631</v>
      </c>
      <c r="G28" s="90">
        <f t="shared" si="2"/>
        <v>1.1800686586113978</v>
      </c>
      <c r="H28" s="90">
        <f t="shared" si="3"/>
        <v>-0.44184605871927862</v>
      </c>
      <c r="I28" s="130">
        <f t="shared" si="0"/>
        <v>2108.4971617324168</v>
      </c>
      <c r="J28" s="130">
        <f t="shared" si="4"/>
        <v>-0.45531987653001904</v>
      </c>
      <c r="K28" s="78">
        <f>R26+R27+R28</f>
        <v>563701390979</v>
      </c>
      <c r="L28" s="90">
        <f>U28/U25-1</f>
        <v>0.40235057543283892</v>
      </c>
      <c r="M28" s="90">
        <f>U28/U16-1</f>
        <v>-0.59759409954937903</v>
      </c>
      <c r="N28" s="88">
        <f>AVERAGE(T26:T28)</f>
        <v>2442.4560154141923</v>
      </c>
      <c r="O28" s="91">
        <f>N28/N25-1</f>
        <v>2.650551932476275E-2</v>
      </c>
      <c r="P28" s="129" t="s">
        <v>413</v>
      </c>
      <c r="Q28" s="116">
        <v>196016776</v>
      </c>
      <c r="R28" s="116">
        <v>255721561070</v>
      </c>
      <c r="S28" s="116">
        <v>92965.16</v>
      </c>
      <c r="T28" s="130">
        <f t="shared" si="1"/>
        <v>2108.4971617324168</v>
      </c>
      <c r="U28" s="85">
        <f>Q26+Q27+Q28</f>
        <v>426555761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7880690</v>
      </c>
      <c r="G29" s="190">
        <f t="shared" si="2"/>
        <v>-0.23612094303601849</v>
      </c>
      <c r="H29" s="190">
        <f t="shared" si="3"/>
        <v>0.58362840398802285</v>
      </c>
      <c r="I29" s="130">
        <f t="shared" si="0"/>
        <v>3773.235270305915</v>
      </c>
      <c r="J29" s="130">
        <f t="shared" si="4"/>
        <v>0.43958690414432566</v>
      </c>
      <c r="K29" s="136"/>
      <c r="L29" s="190"/>
      <c r="M29" s="190"/>
      <c r="N29" s="191"/>
      <c r="O29" s="192"/>
      <c r="P29" s="129" t="s">
        <v>426</v>
      </c>
      <c r="Q29" s="116">
        <v>173375180</v>
      </c>
      <c r="R29" s="116">
        <v>227689289280</v>
      </c>
      <c r="S29" s="116">
        <v>45948.68</v>
      </c>
      <c r="T29" s="130">
        <f t="shared" si="1"/>
        <v>3773.235270305915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7959770.9473684207</v>
      </c>
      <c r="G30" s="190">
        <f t="shared" si="2"/>
        <v>1.0034774539846136E-2</v>
      </c>
      <c r="H30" s="190">
        <f t="shared" si="3"/>
        <v>0.49287992953261828</v>
      </c>
      <c r="I30" s="130">
        <f t="shared" si="0"/>
        <v>3985.567004332228</v>
      </c>
      <c r="J30" s="130">
        <f t="shared" si="4"/>
        <v>0.37656660972309952</v>
      </c>
      <c r="K30" s="136"/>
      <c r="L30" s="190"/>
      <c r="M30" s="190"/>
      <c r="N30" s="191"/>
      <c r="O30" s="192"/>
      <c r="P30" s="129" t="s">
        <v>466</v>
      </c>
      <c r="Q30" s="116">
        <v>151235648</v>
      </c>
      <c r="R30" s="116">
        <v>201543619337</v>
      </c>
      <c r="S30" s="116">
        <v>37945.83</v>
      </c>
      <c r="T30" s="130">
        <f t="shared" si="1"/>
        <v>3985.567004332228</v>
      </c>
      <c r="U30" s="85"/>
    </row>
    <row r="31" spans="1:21" s="79" customFormat="1" ht="13.2" hidden="1">
      <c r="A31" s="129" t="s">
        <v>505</v>
      </c>
      <c r="B31" s="188">
        <f>SUM(F29:F31)</f>
        <v>27354187.497368421</v>
      </c>
      <c r="C31" s="188">
        <f>AVERAGE(F29:F31)</f>
        <v>9118062.4991228078</v>
      </c>
      <c r="D31" s="190">
        <f>C31/C28-1</f>
        <v>0.26038142084474347</v>
      </c>
      <c r="E31" s="287">
        <f>C31/C19-1</f>
        <v>0.42882532858370892</v>
      </c>
      <c r="F31" s="136">
        <f>Q31/20</f>
        <v>11513726.550000001</v>
      </c>
      <c r="G31" s="190">
        <f t="shared" si="2"/>
        <v>0.44648968244576848</v>
      </c>
      <c r="H31" s="190">
        <f t="shared" si="3"/>
        <v>0.30299493173921244</v>
      </c>
      <c r="I31" s="130">
        <f t="shared" si="0"/>
        <v>4101.0602137132682</v>
      </c>
      <c r="J31" s="130">
        <f t="shared" si="4"/>
        <v>0.67271744942934864</v>
      </c>
      <c r="K31" s="136">
        <f>R29+R30+R31</f>
        <v>734455988282</v>
      </c>
      <c r="L31" s="190">
        <f>U31/U28-1</f>
        <v>0.30085069698542877</v>
      </c>
      <c r="M31" s="190">
        <f>U31/U19-1</f>
        <v>0.38526265331581744</v>
      </c>
      <c r="N31" s="191">
        <f>AVERAGE(T29:T31)</f>
        <v>3953.2874961171369</v>
      </c>
      <c r="O31" s="192">
        <f>N31/N28-1</f>
        <v>0.61857059908885903</v>
      </c>
      <c r="P31" s="129" t="s">
        <v>505</v>
      </c>
      <c r="Q31" s="116">
        <v>230274531</v>
      </c>
      <c r="R31" s="116">
        <v>305223079665</v>
      </c>
      <c r="S31" s="116">
        <v>56150</v>
      </c>
      <c r="T31" s="130">
        <f t="shared" si="1"/>
        <v>4101.0602137132682</v>
      </c>
      <c r="U31" s="85">
        <f>Q29+Q30+Q31</f>
        <v>554885359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10781565.619047619</v>
      </c>
      <c r="G32" s="190">
        <f t="shared" si="2"/>
        <v>-6.3590265738279306E-2</v>
      </c>
      <c r="H32" s="190">
        <f t="shared" si="3"/>
        <v>2.0492058103958208</v>
      </c>
      <c r="I32" s="130">
        <f t="shared" si="0"/>
        <v>4627.8999482048084</v>
      </c>
      <c r="J32" s="130">
        <f t="shared" si="4"/>
        <v>1.0538590142165085</v>
      </c>
      <c r="K32" s="136"/>
      <c r="L32" s="190"/>
      <c r="M32" s="190"/>
      <c r="N32" s="191"/>
      <c r="O32" s="192"/>
      <c r="P32" s="129" t="s">
        <v>561</v>
      </c>
      <c r="Q32" s="116">
        <v>226412878</v>
      </c>
      <c r="R32" s="116">
        <v>308182519798</v>
      </c>
      <c r="S32" s="116">
        <v>48923.46</v>
      </c>
      <c r="T32" s="130">
        <f t="shared" si="1"/>
        <v>4627.8999482048084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17808851.571428571</v>
      </c>
      <c r="G33" s="190">
        <f t="shared" ref="G33" si="5">F33/F32-1</f>
        <v>0.65178715231913609</v>
      </c>
      <c r="H33" s="190">
        <f t="shared" ref="H33" si="6">F33/F21-1</f>
        <v>1.6985532077224366</v>
      </c>
      <c r="I33" s="130">
        <f t="shared" si="0"/>
        <v>5427.2830967562923</v>
      </c>
      <c r="J33" s="130">
        <f t="shared" si="4"/>
        <v>1.1729163131819087</v>
      </c>
      <c r="K33" s="136"/>
      <c r="L33" s="190"/>
      <c r="M33" s="190"/>
      <c r="N33" s="191"/>
      <c r="O33" s="192"/>
      <c r="P33" s="129" t="s">
        <v>624</v>
      </c>
      <c r="Q33" s="116">
        <v>373985883</v>
      </c>
      <c r="R33" s="116">
        <v>511599116253</v>
      </c>
      <c r="S33" s="116">
        <v>68908.490000000005</v>
      </c>
      <c r="T33" s="130">
        <f t="shared" ref="T33" si="7">Q33/S33</f>
        <v>5427.2830967562923</v>
      </c>
      <c r="U33" s="85"/>
    </row>
    <row r="34" spans="1:21" s="79" customFormat="1" ht="13.2" hidden="1">
      <c r="A34" s="129" t="s">
        <v>652</v>
      </c>
      <c r="B34" s="188">
        <f>SUM(F32:F34)</f>
        <v>48387505.927318297</v>
      </c>
      <c r="C34" s="188">
        <f>AVERAGE(F32:F34)</f>
        <v>16129168.642439432</v>
      </c>
      <c r="D34" s="190">
        <f>C34/C31-1</f>
        <v>0.76892499300055461</v>
      </c>
      <c r="E34" s="287">
        <f>C34/C22-1</f>
        <v>1.8675278145100136</v>
      </c>
      <c r="F34" s="136">
        <f>Q34/19</f>
        <v>19797088.736842107</v>
      </c>
      <c r="G34" s="190">
        <f t="shared" ref="G34" si="8">F34/F33-1</f>
        <v>0.1116431993067617</v>
      </c>
      <c r="H34" s="190">
        <f t="shared" ref="H34" si="9">F34/F22-1</f>
        <v>1.937678046774431</v>
      </c>
      <c r="I34" s="130">
        <f t="shared" si="0"/>
        <v>5422.2414650565734</v>
      </c>
      <c r="J34" s="130">
        <f t="shared" si="4"/>
        <v>1.1859021262144918</v>
      </c>
      <c r="K34" s="136">
        <f>R32+R33+R34</f>
        <v>1337832415270</v>
      </c>
      <c r="L34" s="190">
        <f>U34/U31-1</f>
        <v>0.75990126818249681</v>
      </c>
      <c r="M34" s="190">
        <f>U34/U22-1</f>
        <v>1.7835684091703303</v>
      </c>
      <c r="N34" s="191">
        <f>AVERAGE(T32:T34)</f>
        <v>5159.141503339225</v>
      </c>
      <c r="O34" s="192">
        <f>N34/N31-1</f>
        <v>0.30502562953148771</v>
      </c>
      <c r="P34" s="129" t="s">
        <v>652</v>
      </c>
      <c r="Q34" s="116">
        <v>376144686</v>
      </c>
      <c r="R34" s="116">
        <v>518050779219</v>
      </c>
      <c r="S34" s="116">
        <v>69370.7</v>
      </c>
      <c r="T34" s="130">
        <f t="shared" ref="T34" si="10">Q34/S34</f>
        <v>5422.2414650565734</v>
      </c>
      <c r="U34" s="85">
        <f>Q32+Q33+Q34</f>
        <v>976543447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19056122.695652176</v>
      </c>
      <c r="G35" s="190">
        <f t="shared" ref="G35" si="11">F35/F34-1</f>
        <v>-3.7428030506879706E-2</v>
      </c>
      <c r="H35" s="190">
        <f t="shared" ref="H35" si="12">F35/F23-1</f>
        <v>4.6792552296677199</v>
      </c>
      <c r="I35" s="130">
        <f t="shared" si="0"/>
        <v>7996.8183928849994</v>
      </c>
      <c r="J35" s="130">
        <f t="shared" si="4"/>
        <v>2.6456202112407268</v>
      </c>
      <c r="K35" s="136"/>
      <c r="L35" s="190"/>
      <c r="M35" s="190"/>
      <c r="N35" s="191"/>
      <c r="O35" s="192"/>
      <c r="P35" s="129" t="s">
        <v>660</v>
      </c>
      <c r="Q35" s="116">
        <v>438290822</v>
      </c>
      <c r="R35" s="116">
        <v>606173017059</v>
      </c>
      <c r="S35" s="116">
        <v>54808.15</v>
      </c>
      <c r="T35" s="130">
        <f t="shared" ref="T35" si="13">Q35/S35</f>
        <v>7996.8183928849994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31003083.142857142</v>
      </c>
      <c r="G36" s="190">
        <f t="shared" ref="G36" si="14">F36/F35-1</f>
        <v>0.62693553342468622</v>
      </c>
      <c r="H36" s="190">
        <f t="shared" ref="H36" si="15">F36/F24-1</f>
        <v>5.7068599933909301</v>
      </c>
      <c r="I36" s="130">
        <f t="shared" si="0"/>
        <v>7814.1500544475675</v>
      </c>
      <c r="J36" s="130">
        <f t="shared" si="4"/>
        <v>1.8743223563074807</v>
      </c>
      <c r="K36" s="136"/>
      <c r="L36" s="190"/>
      <c r="M36" s="190"/>
      <c r="N36" s="191"/>
      <c r="O36" s="192"/>
      <c r="P36" s="129" t="s">
        <v>664</v>
      </c>
      <c r="Q36" s="116">
        <v>651064746</v>
      </c>
      <c r="R36" s="116">
        <v>883747535993</v>
      </c>
      <c r="S36" s="116">
        <v>83318.69</v>
      </c>
      <c r="T36" s="130">
        <f t="shared" ref="T36" si="16">Q36/S36</f>
        <v>7814.1500544475675</v>
      </c>
      <c r="U36" s="85"/>
    </row>
    <row r="37" spans="1:21" s="79" customFormat="1" ht="13.2" hidden="1">
      <c r="A37" s="129" t="s">
        <v>702</v>
      </c>
      <c r="B37" s="188">
        <f>SUM(F35:F37)</f>
        <v>87353140.282953769</v>
      </c>
      <c r="C37" s="188">
        <f>AVERAGE(F35:F37)</f>
        <v>29117713.427651256</v>
      </c>
      <c r="D37" s="190">
        <f>C37/C34-1</f>
        <v>0.80528296734625693</v>
      </c>
      <c r="E37" s="287">
        <f>C37/C25-1</f>
        <v>4.8524264404283786</v>
      </c>
      <c r="F37" s="136">
        <f>Q37/18</f>
        <v>37293934.444444448</v>
      </c>
      <c r="G37" s="190">
        <f t="shared" ref="G37" si="17">F37/F36-1</f>
        <v>0.20291050643576614</v>
      </c>
      <c r="H37" s="190">
        <f t="shared" ref="H37" si="18">F37/F25-1</f>
        <v>4.3675893380417365</v>
      </c>
      <c r="I37" s="130">
        <f t="shared" si="0"/>
        <v>6771.9972621105462</v>
      </c>
      <c r="J37" s="130">
        <f t="shared" si="4"/>
        <v>2.0421997468891249</v>
      </c>
      <c r="K37" s="136">
        <f>R35+R36+R37</f>
        <v>2385194340422</v>
      </c>
      <c r="L37" s="190">
        <f>U37/U34-1</f>
        <v>0.80293707710477324</v>
      </c>
      <c r="M37" s="190">
        <f>U37/U25-1</f>
        <v>4.7883252345654039</v>
      </c>
      <c r="N37" s="191">
        <f>AVERAGE(T35:T37)</f>
        <v>7527.6552364810377</v>
      </c>
      <c r="O37" s="192">
        <f>N37/N34-1</f>
        <v>0.45909067072667131</v>
      </c>
      <c r="P37" s="129" t="s">
        <v>702</v>
      </c>
      <c r="Q37" s="116">
        <v>671290820</v>
      </c>
      <c r="R37" s="116">
        <v>895273787370</v>
      </c>
      <c r="S37" s="116">
        <v>99127.45</v>
      </c>
      <c r="T37" s="130">
        <f t="shared" ref="T37" si="19">Q37/S37</f>
        <v>6771.9972621105462</v>
      </c>
      <c r="U37" s="85">
        <f>Q35+Q36+Q37</f>
        <v>1760646388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21863256.75</v>
      </c>
      <c r="G38" s="190">
        <f t="shared" ref="G38" si="20">F38/F37-1</f>
        <v>-0.4137583745000416</v>
      </c>
      <c r="H38" s="190">
        <f t="shared" ref="H38" si="21">F38/F26-1</f>
        <v>2.2856519805858553</v>
      </c>
      <c r="I38" s="130">
        <f t="shared" si="0"/>
        <v>8108.0625006605833</v>
      </c>
      <c r="J38" s="130">
        <f t="shared" si="4"/>
        <v>2.522721332582051</v>
      </c>
      <c r="K38" s="136"/>
      <c r="L38" s="190"/>
      <c r="M38" s="190"/>
      <c r="N38" s="191"/>
      <c r="O38" s="192"/>
      <c r="P38" s="129" t="s">
        <v>727</v>
      </c>
      <c r="Q38" s="116">
        <v>437265135</v>
      </c>
      <c r="R38" s="116">
        <v>591467480698</v>
      </c>
      <c r="S38" s="116">
        <v>53929.67</v>
      </c>
      <c r="T38" s="130">
        <f t="shared" ref="T38" si="22">Q38/S38</f>
        <v>8108.0625006605833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35581692.714285716</v>
      </c>
      <c r="G39" s="190">
        <f t="shared" ref="G39" si="23">F39/F38-1</f>
        <v>0.62746534613539295</v>
      </c>
      <c r="H39" s="190">
        <f t="shared" ref="H39" si="24">F39/F27-1</f>
        <v>6.5189489343930465</v>
      </c>
      <c r="I39" s="130">
        <f t="shared" si="0"/>
        <v>7101.9209669208676</v>
      </c>
      <c r="J39" s="130">
        <f t="shared" si="4"/>
        <v>1.4344795922960554</v>
      </c>
      <c r="K39" s="136"/>
      <c r="L39" s="190"/>
      <c r="M39" s="190"/>
      <c r="N39" s="191"/>
      <c r="O39" s="192"/>
      <c r="P39" s="129" t="s">
        <v>762</v>
      </c>
      <c r="Q39" s="116">
        <v>747215547</v>
      </c>
      <c r="R39" s="116">
        <v>1040513304715</v>
      </c>
      <c r="S39" s="116">
        <v>105213.16</v>
      </c>
      <c r="T39" s="130">
        <f t="shared" ref="T39" si="25">Q39/S39</f>
        <v>7101.9209669208676</v>
      </c>
      <c r="U39" s="85"/>
    </row>
    <row r="40" spans="1:21" s="79" customFormat="1" ht="13.2" hidden="1">
      <c r="A40" s="129" t="s">
        <v>778</v>
      </c>
      <c r="B40" s="188">
        <f>SUM(F38:F40)</f>
        <v>97710927.130952388</v>
      </c>
      <c r="C40" s="188">
        <f>AVERAGE(F38:F40)</f>
        <v>32570309.043650795</v>
      </c>
      <c r="D40" s="190">
        <f>C40/C37-1</f>
        <v>0.1185737205834585</v>
      </c>
      <c r="E40" s="287">
        <f>C40/C28-1</f>
        <v>3.5021639623262342</v>
      </c>
      <c r="F40" s="136">
        <f>Q40/21</f>
        <v>40265977.666666664</v>
      </c>
      <c r="G40" s="190">
        <f t="shared" ref="G40" si="26">F40/F39-1</f>
        <v>0.13164873829907053</v>
      </c>
      <c r="H40" s="190">
        <f t="shared" ref="H40" si="27">F40/F28-1</f>
        <v>2.9030005047459135</v>
      </c>
      <c r="I40" s="130">
        <f t="shared" si="0"/>
        <v>6524.851079840435</v>
      </c>
      <c r="J40" s="130">
        <f t="shared" si="4"/>
        <v>2.0945505634351358</v>
      </c>
      <c r="K40" s="136">
        <f>R38+R39+R40</f>
        <v>2842456787058</v>
      </c>
      <c r="L40" s="190">
        <f>U40/U37-1</f>
        <v>0.15302324580124593</v>
      </c>
      <c r="M40" s="190">
        <f>U40/U28-1</f>
        <v>3.7592047713546179</v>
      </c>
      <c r="N40" s="191">
        <f>AVERAGE(T38:T40)</f>
        <v>7244.9448491406292</v>
      </c>
      <c r="O40" s="192">
        <f>N40/N37-1</f>
        <v>-3.7556234771528585E-2</v>
      </c>
      <c r="P40" s="129" t="s">
        <v>778</v>
      </c>
      <c r="Q40" s="116">
        <v>845585531</v>
      </c>
      <c r="R40" s="116">
        <v>1210476001645</v>
      </c>
      <c r="S40" s="116">
        <v>129594.61</v>
      </c>
      <c r="T40" s="130">
        <f t="shared" ref="T40" si="28">Q40/S40</f>
        <v>6524.851079840435</v>
      </c>
      <c r="U40" s="85">
        <f>Q38+Q39+Q40</f>
        <v>2030066213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22157692.055555556</v>
      </c>
      <c r="G41" s="190">
        <f t="shared" ref="G41" si="29">F41/F40-1</f>
        <v>-0.44971677481710992</v>
      </c>
      <c r="H41" s="190">
        <f t="shared" ref="H41" si="30">F41/F29-1</f>
        <v>1.8116436575421133</v>
      </c>
      <c r="I41" s="130">
        <f t="shared" si="0"/>
        <v>4798.3504433534636</v>
      </c>
      <c r="J41" s="130">
        <f t="shared" si="4"/>
        <v>0.27168069298907982</v>
      </c>
      <c r="K41" s="194"/>
      <c r="L41" s="202"/>
      <c r="M41" s="202"/>
      <c r="N41" s="194"/>
      <c r="O41" s="194"/>
      <c r="P41" s="129" t="s">
        <v>792</v>
      </c>
      <c r="Q41" s="116">
        <v>398838457</v>
      </c>
      <c r="R41" s="116">
        <v>581692382676</v>
      </c>
      <c r="S41" s="116">
        <v>83119.91</v>
      </c>
      <c r="T41" s="130">
        <f t="shared" ref="T41" si="31">Q41/S41</f>
        <v>4798.3504433534636</v>
      </c>
      <c r="U41" s="175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15015785.25</v>
      </c>
      <c r="G42" s="190">
        <f t="shared" ref="G42" si="32">F42/F41-1</f>
        <v>-0.32232178277632839</v>
      </c>
      <c r="H42" s="190">
        <f t="shared" ref="H42" si="33">F42/F30-1</f>
        <v>0.88645946589259172</v>
      </c>
      <c r="I42" s="130">
        <f t="shared" si="0"/>
        <v>6195.893573195197</v>
      </c>
      <c r="J42" s="130">
        <f t="shared" si="4"/>
        <v>0.55458271469539722</v>
      </c>
      <c r="K42" s="194"/>
      <c r="L42" s="202"/>
      <c r="M42" s="202"/>
      <c r="N42" s="194"/>
      <c r="O42" s="194"/>
      <c r="P42" s="129" t="s">
        <v>826</v>
      </c>
      <c r="Q42" s="116">
        <v>300315705</v>
      </c>
      <c r="R42" s="116">
        <v>433860896216</v>
      </c>
      <c r="S42" s="116">
        <v>48470.12</v>
      </c>
      <c r="T42" s="130">
        <f t="shared" ref="T42" si="34">Q42/S42</f>
        <v>6195.893573195197</v>
      </c>
      <c r="U42" s="175"/>
    </row>
    <row r="43" spans="1:21" s="79" customFormat="1" ht="13.2">
      <c r="A43" s="129" t="s">
        <v>835</v>
      </c>
      <c r="B43" s="188">
        <f>SUM(F41:F43)</f>
        <v>63811703.855555549</v>
      </c>
      <c r="C43" s="188">
        <f>AVERAGE(F41:F43)</f>
        <v>21270567.951851849</v>
      </c>
      <c r="D43" s="190">
        <f>C43/C40-1</f>
        <v>-0.34693380024902465</v>
      </c>
      <c r="E43" s="287">
        <f>C43/C31-1</f>
        <v>1.3327947087331502</v>
      </c>
      <c r="F43" s="136">
        <f>Q43/20</f>
        <v>26638226.550000001</v>
      </c>
      <c r="G43" s="190">
        <f t="shared" ref="G43" si="35">F43/F42-1</f>
        <v>0.77401488543531216</v>
      </c>
      <c r="H43" s="190">
        <f t="shared" ref="H43" si="36">F43/F31-1</f>
        <v>1.3136059758167522</v>
      </c>
      <c r="I43" s="130">
        <f t="shared" si="0"/>
        <v>5106.8457280998737</v>
      </c>
      <c r="J43" s="130">
        <f t="shared" si="4"/>
        <v>0.24525012118169465</v>
      </c>
      <c r="K43" s="136">
        <f>R41+R42+R43</f>
        <v>1790605588608</v>
      </c>
      <c r="L43" s="190">
        <f>U43/U40-1</f>
        <v>-0.39316329432452857</v>
      </c>
      <c r="M43" s="190">
        <f>K43/K31-1</f>
        <v>1.4380025722119694</v>
      </c>
      <c r="N43" s="191">
        <f>AVERAGE(T41:T43)</f>
        <v>5367.0299148828444</v>
      </c>
      <c r="O43" s="192">
        <f>N43/N40-1</f>
        <v>-0.25920348233990165</v>
      </c>
      <c r="P43" s="129" t="s">
        <v>835</v>
      </c>
      <c r="Q43" s="116">
        <v>532764531</v>
      </c>
      <c r="R43" s="116">
        <v>775052309716</v>
      </c>
      <c r="S43" s="116">
        <v>104323.6</v>
      </c>
      <c r="T43" s="130">
        <f t="shared" ref="T43" si="37">Q43/S43</f>
        <v>5106.8457280998737</v>
      </c>
      <c r="U43" s="85">
        <f>Q41+Q42+Q43</f>
        <v>1231918693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5737174.1363636367</v>
      </c>
      <c r="G44" s="190">
        <f t="shared" ref="G44" si="38">F44/F43-1</f>
        <v>-0.78462627286411313</v>
      </c>
      <c r="H44" s="190">
        <f t="shared" ref="H44" si="39">F44/F32-1</f>
        <v>-0.46787188993889139</v>
      </c>
      <c r="I44" s="130">
        <f t="shared" si="0"/>
        <v>4640.2846644081255</v>
      </c>
      <c r="J44" s="130">
        <f t="shared" si="4"/>
        <v>2.6760985202631815E-3</v>
      </c>
      <c r="K44" s="136"/>
      <c r="L44" s="190"/>
      <c r="M44" s="190"/>
      <c r="N44" s="191"/>
      <c r="O44" s="192"/>
      <c r="P44" s="129" t="s">
        <v>843</v>
      </c>
      <c r="Q44" s="116">
        <v>126217831</v>
      </c>
      <c r="R44" s="116">
        <v>182900117891</v>
      </c>
      <c r="S44" s="116">
        <v>27200.45</v>
      </c>
      <c r="T44" s="130">
        <f t="shared" ref="T44" si="40">Q44/S44</f>
        <v>4640.2846644081255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16659159.300000001</v>
      </c>
      <c r="G45" s="190">
        <f t="shared" ref="G45" si="41">F45/F44-1</f>
        <v>1.9037220945430442</v>
      </c>
      <c r="H45" s="190">
        <f t="shared" ref="H45" si="42">F45/F33-1</f>
        <v>-6.4557350417421944E-2</v>
      </c>
      <c r="I45" s="130">
        <f t="shared" si="0"/>
        <v>4546.1293867518671</v>
      </c>
      <c r="J45" s="130">
        <f t="shared" si="4"/>
        <v>-0.16235631978200316</v>
      </c>
      <c r="K45" s="136"/>
      <c r="L45" s="190"/>
      <c r="M45" s="190"/>
      <c r="N45" s="191"/>
      <c r="O45" s="192"/>
      <c r="P45" s="129" t="s">
        <v>849</v>
      </c>
      <c r="Q45" s="116">
        <v>333183186</v>
      </c>
      <c r="R45" s="116">
        <v>467894417039</v>
      </c>
      <c r="S45" s="116">
        <v>73289.42</v>
      </c>
      <c r="T45" s="130">
        <f t="shared" ref="T45" si="43">Q45/S45</f>
        <v>4546.1293867518671</v>
      </c>
      <c r="U45" s="85"/>
    </row>
    <row r="46" spans="1:21" s="79" customFormat="1" ht="13.2">
      <c r="A46" s="129" t="s">
        <v>893</v>
      </c>
      <c r="B46" s="188">
        <f>SUM(F44:F46)</f>
        <v>52017224.594258375</v>
      </c>
      <c r="C46" s="188">
        <f>AVERAGE(F44:F46)</f>
        <v>17339074.864752792</v>
      </c>
      <c r="D46" s="190">
        <f>C46/C43-1</f>
        <v>-0.1848325393096415</v>
      </c>
      <c r="E46" s="287">
        <f>C46/C34-1</f>
        <v>7.5013551481495799E-2</v>
      </c>
      <c r="F46" s="136">
        <f>Q46/19</f>
        <v>29620891.157894738</v>
      </c>
      <c r="G46" s="190">
        <f t="shared" ref="G46" si="44">F46/F45-1</f>
        <v>0.7780543798446502</v>
      </c>
      <c r="H46" s="190">
        <f t="shared" ref="H46" si="45">F46/F34-1</f>
        <v>0.49622459906292549</v>
      </c>
      <c r="I46" s="130">
        <f t="shared" si="0"/>
        <v>4855.559952731367</v>
      </c>
      <c r="J46" s="130">
        <f t="shared" si="4"/>
        <v>-0.10451056375433732</v>
      </c>
      <c r="K46" s="136">
        <f>R44+R45+R46</f>
        <v>1420981266393</v>
      </c>
      <c r="L46" s="190">
        <f>U46/U43-1</f>
        <v>-0.1702391117138442</v>
      </c>
      <c r="M46" s="190">
        <f>K46/K34-1</f>
        <v>6.2151918412157059E-2</v>
      </c>
      <c r="N46" s="191">
        <f>AVERAGE(T44:T46)</f>
        <v>4680.6580012971199</v>
      </c>
      <c r="O46" s="192">
        <f>N46/N43-1</f>
        <v>-0.12788673148297647</v>
      </c>
      <c r="P46" s="129" t="s">
        <v>928</v>
      </c>
      <c r="Q46" s="116">
        <v>562796932</v>
      </c>
      <c r="R46" s="116">
        <v>770186731463</v>
      </c>
      <c r="S46" s="116">
        <v>115907.73</v>
      </c>
      <c r="T46" s="130">
        <f t="shared" ref="T46" si="46">Q46/S46</f>
        <v>4855.559952731367</v>
      </c>
      <c r="U46" s="85">
        <f t="shared" ref="U46:U51" si="47">Q44+Q45+Q46</f>
        <v>1022197949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14287721.782608695</v>
      </c>
      <c r="G47" s="190">
        <f t="shared" ref="G47" si="48">F47/F46-1</f>
        <v>-0.51764713267917173</v>
      </c>
      <c r="H47" s="190">
        <f t="shared" ref="H47" si="49">F47/F35-1</f>
        <v>-0.25022933516960577</v>
      </c>
      <c r="I47" s="130">
        <f t="shared" si="0"/>
        <v>4564.7774880455354</v>
      </c>
      <c r="J47" s="130">
        <f t="shared" si="4"/>
        <v>-0.42917579670097927</v>
      </c>
      <c r="K47" s="136"/>
      <c r="L47" s="190"/>
      <c r="M47" s="190"/>
      <c r="N47" s="191"/>
      <c r="O47" s="192"/>
      <c r="P47" s="129" t="s">
        <v>1046</v>
      </c>
      <c r="Q47" s="116">
        <v>328617601</v>
      </c>
      <c r="R47" s="116">
        <v>451434759176</v>
      </c>
      <c r="S47" s="116">
        <v>71989.84</v>
      </c>
      <c r="T47" s="130">
        <f t="shared" ref="T47" si="50">Q47/S47</f>
        <v>4564.7774880455354</v>
      </c>
      <c r="U47" s="85">
        <f t="shared" si="47"/>
        <v>1224597719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17054258.149999999</v>
      </c>
      <c r="G48" s="190">
        <f t="shared" ref="G48" si="51">F48/F47-1</f>
        <v>0.19363033585653855</v>
      </c>
      <c r="H48" s="190">
        <f t="shared" ref="H48" si="52">F48/F36-1</f>
        <v>-0.44991734946434958</v>
      </c>
      <c r="I48" s="130">
        <f t="shared" si="0"/>
        <v>4413.7421128911201</v>
      </c>
      <c r="J48" s="130">
        <f t="shared" si="4"/>
        <v>-0.43516030762949609</v>
      </c>
      <c r="K48" s="136"/>
      <c r="L48" s="190"/>
      <c r="M48" s="190"/>
      <c r="N48" s="191"/>
      <c r="O48" s="192"/>
      <c r="P48" s="129" t="s">
        <v>1120</v>
      </c>
      <c r="Q48" s="116">
        <v>341085163</v>
      </c>
      <c r="R48" s="116">
        <v>473383470571</v>
      </c>
      <c r="S48" s="116">
        <v>77278</v>
      </c>
      <c r="T48" s="130">
        <f t="shared" ref="T48" si="53">Q48/S48</f>
        <v>4413.7421128911201</v>
      </c>
      <c r="U48" s="85">
        <f t="shared" si="47"/>
        <v>1232499696</v>
      </c>
    </row>
    <row r="49" spans="1:26" ht="13.2">
      <c r="A49" s="129" t="s">
        <v>1158</v>
      </c>
      <c r="B49" s="188">
        <f>SUM(F47:F49)</f>
        <v>48485736.15988142</v>
      </c>
      <c r="C49" s="188">
        <f>AVERAGE(F47:F49)</f>
        <v>16161912.053293807</v>
      </c>
      <c r="D49" s="190">
        <f>C49/C46-1</f>
        <v>-6.7890750841150371E-2</v>
      </c>
      <c r="E49" s="287">
        <f>C49/C37-1</f>
        <v>-0.44494569968719255</v>
      </c>
      <c r="F49" s="136">
        <f>Q49/22</f>
        <v>17143756.227272727</v>
      </c>
      <c r="G49" s="190">
        <f t="shared" ref="G49" si="54">F49/F48-1</f>
        <v>5.2478434702671883E-3</v>
      </c>
      <c r="H49" s="190">
        <f t="shared" ref="H49" si="55">F49/F37-1</f>
        <v>-0.54030711742652904</v>
      </c>
      <c r="I49" s="130">
        <f t="shared" si="0"/>
        <v>4210.9478183745023</v>
      </c>
      <c r="J49" s="130">
        <f t="shared" si="4"/>
        <v>-0.37818229166529116</v>
      </c>
      <c r="K49" s="136">
        <f>R47+R48+R49</f>
        <v>1448831808036</v>
      </c>
      <c r="L49" s="190">
        <f>U49/U46-1</f>
        <v>2.4131776065616117E-2</v>
      </c>
      <c r="M49" s="190">
        <f>K49/K37-1</f>
        <v>-0.39257284679802407</v>
      </c>
      <c r="N49" s="191">
        <f>AVERAGE(T47:T49)</f>
        <v>4396.4891397703859</v>
      </c>
      <c r="O49" s="192">
        <f>N49/N46-1</f>
        <v>-6.0711306283856681E-2</v>
      </c>
      <c r="P49" s="129" t="s">
        <v>1183</v>
      </c>
      <c r="Q49" s="116">
        <v>377162637</v>
      </c>
      <c r="R49" s="116">
        <v>524013578289</v>
      </c>
      <c r="S49" s="116">
        <v>89567.16</v>
      </c>
      <c r="T49" s="130">
        <f t="shared" ref="T49" si="56">Q49/S49</f>
        <v>4210.9478183745023</v>
      </c>
      <c r="U49" s="85">
        <f t="shared" si="47"/>
        <v>1046865401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20810995.5</v>
      </c>
      <c r="G50" s="190">
        <f t="shared" ref="G50" si="57">F50/F49-1</f>
        <v>0.21391107200260673</v>
      </c>
      <c r="H50" s="190">
        <f t="shared" ref="H50" si="58">F50/F38-1</f>
        <v>-4.8129208838019966E-2</v>
      </c>
      <c r="I50" s="130">
        <f t="shared" ref="I50" si="59">T50</f>
        <v>4522.6120873938671</v>
      </c>
      <c r="J50" s="130">
        <f t="shared" ref="J50" si="60">I50/I38-1</f>
        <v>-0.44220803835374989</v>
      </c>
      <c r="K50" s="136"/>
      <c r="L50" s="190"/>
      <c r="M50" s="190"/>
      <c r="N50" s="191"/>
      <c r="O50" s="192"/>
      <c r="P50" s="129" t="s">
        <v>1291</v>
      </c>
      <c r="Q50" s="116">
        <v>374597919</v>
      </c>
      <c r="R50" s="116">
        <v>530832572883</v>
      </c>
      <c r="S50" s="116">
        <v>82827.78</v>
      </c>
      <c r="T50" s="130">
        <f t="shared" ref="T50" si="61">Q50/S50</f>
        <v>4522.6120873938671</v>
      </c>
      <c r="U50" s="85">
        <f t="shared" si="47"/>
        <v>1092845719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27233185.050000001</v>
      </c>
      <c r="G51" s="190">
        <f t="shared" ref="G51:G52" si="62">F51/F50-1</f>
        <v>0.30859597994723509</v>
      </c>
      <c r="H51" s="190">
        <f t="shared" ref="H51:H52" si="63">F51/F39-1</f>
        <v>-0.23462930027873208</v>
      </c>
      <c r="I51" s="130">
        <f t="shared" ref="I51:I52" si="64">T51</f>
        <v>5668.8254913691135</v>
      </c>
      <c r="J51" s="130">
        <f t="shared" ref="J51:J52" si="65">I51/I39-1</f>
        <v>-0.20178983717599608</v>
      </c>
      <c r="K51" s="136"/>
      <c r="L51" s="190"/>
      <c r="M51" s="190"/>
      <c r="N51" s="191"/>
      <c r="O51" s="192"/>
      <c r="P51" s="129" t="s">
        <v>1402</v>
      </c>
      <c r="Q51" s="116">
        <v>544663701</v>
      </c>
      <c r="R51" s="116">
        <v>792403722625</v>
      </c>
      <c r="S51" s="116">
        <v>96080.52</v>
      </c>
      <c r="T51" s="130">
        <f t="shared" ref="T51:T52" si="66">Q51/S51</f>
        <v>5668.8254913691135</v>
      </c>
      <c r="U51" s="85">
        <f t="shared" si="47"/>
        <v>1296424257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94567079.322727263</v>
      </c>
      <c r="C52" s="188">
        <f>AVERAGE(F50:F52)</f>
        <v>31522359.77424242</v>
      </c>
      <c r="D52" s="190">
        <f>C52/C49-1</f>
        <v>0.95041030233908153</v>
      </c>
      <c r="E52" s="287">
        <f>C52/C40-1</f>
        <v>-3.2174986979826015E-2</v>
      </c>
      <c r="F52" s="136">
        <f>Q52/22</f>
        <v>46522898.772727273</v>
      </c>
      <c r="G52" s="190">
        <f t="shared" si="62"/>
        <v>0.70831647812444443</v>
      </c>
      <c r="H52" s="190">
        <f t="shared" si="63"/>
        <v>0.15538977242418395</v>
      </c>
      <c r="I52" s="130">
        <f t="shared" si="64"/>
        <v>6437.91089020663</v>
      </c>
      <c r="J52" s="130">
        <f t="shared" si="65"/>
        <v>-1.332447109826318E-2</v>
      </c>
      <c r="K52" s="136">
        <f>R50+R51+R52</f>
        <v>2830504736334</v>
      </c>
      <c r="L52" s="190">
        <f>U52/U49-1</f>
        <v>0.85579291391635159</v>
      </c>
      <c r="M52" s="190">
        <f>K52/K40-1</f>
        <v>-4.2048311089262214E-3</v>
      </c>
      <c r="N52" s="191">
        <f>AVERAGE(T50:T52)</f>
        <v>5543.1161563232026</v>
      </c>
      <c r="O52" s="192">
        <f>N52/N49-1</f>
        <v>0.26080515158800122</v>
      </c>
      <c r="P52" s="129" t="s">
        <v>1403</v>
      </c>
      <c r="Q52" s="116">
        <v>1023503773</v>
      </c>
      <c r="R52" s="116">
        <v>1507268440826</v>
      </c>
      <c r="S52" s="116">
        <v>158980.73000000001</v>
      </c>
      <c r="T52" s="130">
        <f t="shared" si="66"/>
        <v>6437.91089020663</v>
      </c>
      <c r="U52" s="85">
        <f t="shared" ref="U52" si="67">Q50+Q51+Q52</f>
        <v>1942765393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38505581.761904761</v>
      </c>
      <c r="G53" s="190">
        <f t="shared" ref="G53" si="68">F53/F52-1</f>
        <v>-0.17233055596962144</v>
      </c>
      <c r="H53" s="190">
        <f t="shared" ref="H53" si="69">F53/F41-1</f>
        <v>0.73779749557672591</v>
      </c>
      <c r="I53" s="130">
        <f t="shared" ref="I53" si="70">T53</f>
        <v>7409.3455000638196</v>
      </c>
      <c r="J53" s="130">
        <f t="shared" ref="J53" si="71">I53/I41-1</f>
        <v>0.54414430282536586</v>
      </c>
      <c r="K53" s="136"/>
      <c r="L53" s="190"/>
      <c r="M53" s="190"/>
      <c r="N53" s="191"/>
      <c r="O53" s="192"/>
      <c r="P53" s="129" t="s">
        <v>1414</v>
      </c>
      <c r="Q53" s="116">
        <v>808617217</v>
      </c>
      <c r="R53" s="116">
        <v>1182406850254</v>
      </c>
      <c r="S53" s="116">
        <v>109134.77</v>
      </c>
      <c r="T53" s="130">
        <f t="shared" ref="T53" si="72">Q53/S53</f>
        <v>7409.3455000638196</v>
      </c>
      <c r="U53" s="85">
        <f t="shared" ref="U53" si="73">Q51+Q52+Q53</f>
        <v>2376784691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86193612.058823526</v>
      </c>
      <c r="G54" s="190">
        <f t="shared" ref="G54" si="74">F54/F53-1</f>
        <v>1.2384705830908547</v>
      </c>
      <c r="H54" s="190">
        <f t="shared" ref="H54" si="75">F54/F42-1</f>
        <v>4.7402001043417643</v>
      </c>
      <c r="I54" s="130">
        <f t="shared" ref="I54" si="76">T54</f>
        <v>11734.436484677593</v>
      </c>
      <c r="J54" s="130">
        <f t="shared" ref="J54" si="77">I54/I42-1</f>
        <v>0.89390543043595128</v>
      </c>
      <c r="K54" s="136"/>
      <c r="L54" s="190"/>
      <c r="M54" s="190"/>
      <c r="N54" s="191"/>
      <c r="O54" s="192"/>
      <c r="P54" s="129" t="s">
        <v>1417</v>
      </c>
      <c r="Q54" s="116">
        <v>1465291405</v>
      </c>
      <c r="R54" s="116">
        <v>2122698057463</v>
      </c>
      <c r="S54" s="116">
        <v>124871.05</v>
      </c>
      <c r="T54" s="130">
        <f t="shared" ref="T54" si="78">Q54/S54</f>
        <v>11734.436484677593</v>
      </c>
      <c r="U54" s="85">
        <f t="shared" ref="U54" si="79">Q52+Q53+Q54</f>
        <v>3297412395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207624016.535014</v>
      </c>
      <c r="C55" s="188">
        <f>AVERAGE(F53:F55)</f>
        <v>69208005.511671335</v>
      </c>
      <c r="D55" s="190">
        <f>C55/C52-1</f>
        <v>1.1955210843137016</v>
      </c>
      <c r="E55" s="287">
        <f>C55/C43-1</f>
        <v>2.2536980520844994</v>
      </c>
      <c r="F55" s="136">
        <f>Q55/21</f>
        <v>82924822.714285716</v>
      </c>
      <c r="G55" s="190">
        <f t="shared" ref="G55" si="80">F55/F54-1</f>
        <v>-3.7923800458750878E-2</v>
      </c>
      <c r="H55" s="190">
        <f t="shared" ref="H55" si="81">F55/F43-1</f>
        <v>2.1130008808445138</v>
      </c>
      <c r="I55" s="130">
        <f>T55</f>
        <v>13575.8766542133</v>
      </c>
      <c r="J55" s="130">
        <f t="shared" ref="J55" si="82">I55/I43-1</f>
        <v>1.6583682721241191</v>
      </c>
      <c r="K55" s="136">
        <f>R53+R54+R55</f>
        <v>5870517046667</v>
      </c>
      <c r="L55" s="190">
        <f>U55/U52-1</f>
        <v>1.0668115221053869</v>
      </c>
      <c r="M55" s="190">
        <f>K55/K43-1</f>
        <v>2.278509284242034</v>
      </c>
      <c r="N55" s="191">
        <f>AVERAGE(T53:T55)</f>
        <v>10906.552879651572</v>
      </c>
      <c r="O55" s="192">
        <f>N55/N52-1</f>
        <v>0.96758512217178283</v>
      </c>
      <c r="P55" s="129" t="s">
        <v>1418</v>
      </c>
      <c r="Q55" s="116">
        <v>1741421277</v>
      </c>
      <c r="R55" s="116">
        <v>2565412138950</v>
      </c>
      <c r="S55" s="116">
        <v>128273.21</v>
      </c>
      <c r="T55" s="130">
        <f t="shared" ref="T55" si="83">Q55/S55</f>
        <v>13575.8766542133</v>
      </c>
      <c r="U55" s="85">
        <f t="shared" ref="U55" si="84">Q53+Q54+Q55</f>
        <v>4015329899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99770424.090909094</v>
      </c>
      <c r="G56" s="190">
        <f t="shared" ref="G56" si="85">F56/F55-1</f>
        <v>0.20314304963501995</v>
      </c>
      <c r="H56" s="190">
        <f t="shared" ref="H56" si="86">F56/F44-1</f>
        <v>16.390168351094545</v>
      </c>
      <c r="I56" s="291">
        <f>T56</f>
        <v>22144.048697450933</v>
      </c>
      <c r="J56" s="130">
        <f t="shared" ref="J56" si="87">I56/I44-1</f>
        <v>3.772131517555386</v>
      </c>
      <c r="K56" s="136"/>
      <c r="L56" s="190"/>
      <c r="M56" s="190"/>
      <c r="N56" s="191"/>
      <c r="O56" s="192"/>
      <c r="P56" s="129" t="s">
        <v>1420</v>
      </c>
      <c r="Q56" s="116">
        <v>2194949330</v>
      </c>
      <c r="R56" s="116">
        <v>3264322044271</v>
      </c>
      <c r="S56" s="116">
        <v>99121.41</v>
      </c>
      <c r="T56" s="130">
        <f t="shared" ref="T56" si="88">Q56/S56</f>
        <v>22144.048697450933</v>
      </c>
      <c r="U56" s="85">
        <f t="shared" ref="U56" si="89">Q54+Q55+Q56</f>
        <v>5401662012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96461224.083333328</v>
      </c>
      <c r="G57" s="254">
        <f t="shared" ref="G57" si="90">F57/F56-1</f>
        <v>-3.3168146148807365E-2</v>
      </c>
      <c r="H57" s="254">
        <f t="shared" ref="H57" si="91">F57/F45-1</f>
        <v>4.7902816310384475</v>
      </c>
      <c r="I57" s="282">
        <f>T57</f>
        <v>24577.903120737483</v>
      </c>
      <c r="J57" s="277">
        <f t="shared" ref="J57" si="92">I57/I45-1</f>
        <v>4.4063360344211366</v>
      </c>
      <c r="K57" s="204"/>
      <c r="L57" s="254"/>
      <c r="M57" s="254"/>
      <c r="N57" s="257"/>
      <c r="O57" s="258"/>
      <c r="P57" s="129" t="s">
        <v>1436</v>
      </c>
      <c r="Q57" s="116">
        <v>1157534689</v>
      </c>
      <c r="R57" s="116">
        <v>1702254357155</v>
      </c>
      <c r="S57" s="116">
        <v>47096.56</v>
      </c>
      <c r="T57" s="130">
        <f t="shared" ref="T57" si="93">Q57/S57</f>
        <v>24577.903120737483</v>
      </c>
      <c r="U57" s="85">
        <f t="shared" ref="U57" si="94">Q55+Q56+Q57</f>
        <v>5093905296</v>
      </c>
      <c r="V57" s="79"/>
      <c r="W57" s="79"/>
      <c r="X57" s="79"/>
      <c r="Y57" s="79"/>
      <c r="Z57" s="79"/>
    </row>
    <row r="58" spans="1:26">
      <c r="B58" s="196">
        <f>SUM(F56:F58)</f>
        <v>196231648.17424244</v>
      </c>
      <c r="C58" s="196">
        <f>AVERAGE(F56:F58)</f>
        <v>98115824.087121218</v>
      </c>
      <c r="D58" s="197">
        <f>C58/C55-1</f>
        <v>0.4176947213220128</v>
      </c>
      <c r="E58" s="233">
        <f>C58/C46-1</f>
        <v>4.6586539277578742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7367813918</v>
      </c>
      <c r="R64" s="212">
        <v>10837093448093</v>
      </c>
      <c r="S64" s="213">
        <v>508497</v>
      </c>
    </row>
    <row r="65" spans="16:19" ht="18" thickBot="1">
      <c r="P65" s="180" t="s">
        <v>976</v>
      </c>
      <c r="Q65" s="181">
        <v>808617217</v>
      </c>
      <c r="R65" s="181">
        <v>1182406850254</v>
      </c>
      <c r="S65" s="182">
        <v>109134.77</v>
      </c>
    </row>
    <row r="66" spans="16:19" ht="18" thickBot="1">
      <c r="P66" s="180" t="s">
        <v>977</v>
      </c>
      <c r="Q66" s="181">
        <v>1465291405</v>
      </c>
      <c r="R66" s="181">
        <v>2122698057463</v>
      </c>
      <c r="S66" s="182">
        <v>124871.05</v>
      </c>
    </row>
    <row r="67" spans="16:19" ht="18" thickBot="1">
      <c r="P67" s="180" t="s">
        <v>978</v>
      </c>
      <c r="Q67" s="181">
        <v>1741421277</v>
      </c>
      <c r="R67" s="181">
        <v>2565412138950</v>
      </c>
      <c r="S67" s="182">
        <v>128273.21</v>
      </c>
    </row>
    <row r="68" spans="16:19" ht="18" thickBot="1">
      <c r="P68" s="180" t="s">
        <v>979</v>
      </c>
      <c r="Q68" s="181">
        <v>2194949330</v>
      </c>
      <c r="R68" s="181">
        <v>3264322044271</v>
      </c>
      <c r="S68" s="182">
        <v>99121.41</v>
      </c>
    </row>
    <row r="69" spans="16:19" ht="18" thickBot="1">
      <c r="P69" s="180" t="s">
        <v>980</v>
      </c>
      <c r="Q69" s="181">
        <v>1157534689</v>
      </c>
      <c r="R69" s="181">
        <v>1702254357155</v>
      </c>
      <c r="S69" s="182">
        <v>47096.56</v>
      </c>
    </row>
    <row r="70" spans="16:19" ht="18" thickBot="1">
      <c r="P70" s="215" t="s">
        <v>975</v>
      </c>
      <c r="Q70" s="217"/>
      <c r="R70"/>
      <c r="S70"/>
    </row>
    <row r="71" spans="16:19" ht="18" thickBot="1">
      <c r="P71" s="180" t="s">
        <v>980</v>
      </c>
      <c r="Q71" s="181">
        <v>204645735</v>
      </c>
      <c r="R71" s="181">
        <v>302161118114</v>
      </c>
      <c r="S71" s="182">
        <v>7844.62</v>
      </c>
    </row>
    <row r="72" spans="16:19" ht="18" thickBot="1">
      <c r="P72" s="180" t="s">
        <v>975</v>
      </c>
      <c r="Q72" s="181">
        <v>5243747436</v>
      </c>
      <c r="R72" s="181">
        <v>7490923399371</v>
      </c>
      <c r="S72" s="182">
        <v>1029035.14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24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Z73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425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20" t="s">
        <v>985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17236254.25</v>
      </c>
      <c r="G5" s="90"/>
      <c r="H5" s="90"/>
      <c r="I5" s="130">
        <f t="shared" ref="I5:I49" si="0">T5</f>
        <v>11750.11018122212</v>
      </c>
      <c r="J5" s="130"/>
      <c r="K5" s="86"/>
      <c r="L5" s="80"/>
      <c r="M5" s="80"/>
      <c r="P5" s="129" t="s">
        <v>0</v>
      </c>
      <c r="Q5" s="116">
        <v>344725085</v>
      </c>
      <c r="R5" s="116">
        <v>406727803101</v>
      </c>
      <c r="S5" s="116">
        <v>29338.03</v>
      </c>
      <c r="T5" s="130">
        <f t="shared" ref="T5:T24" si="1">Q5/S5</f>
        <v>11750.11018122212</v>
      </c>
      <c r="U5" s="85"/>
    </row>
    <row r="6" spans="1:21" ht="15" hidden="1" customHeight="1">
      <c r="A6" s="129" t="s">
        <v>1</v>
      </c>
      <c r="C6" s="79"/>
      <c r="F6" s="78">
        <f>Q6/18</f>
        <v>13300201.222222222</v>
      </c>
      <c r="G6" s="90">
        <f t="shared" ref="G6:G28" si="2">F6/F5-1</f>
        <v>-0.22835895611007118</v>
      </c>
      <c r="H6" s="90"/>
      <c r="I6" s="130">
        <f t="shared" si="0"/>
        <v>10894.650325241804</v>
      </c>
      <c r="J6" s="130"/>
      <c r="K6" s="78"/>
      <c r="P6" s="129" t="s">
        <v>1</v>
      </c>
      <c r="Q6" s="116">
        <v>239403622</v>
      </c>
      <c r="R6" s="116">
        <v>284287300536</v>
      </c>
      <c r="S6" s="116">
        <v>21974.42</v>
      </c>
      <c r="T6" s="130">
        <f t="shared" si="1"/>
        <v>10894.650325241804</v>
      </c>
      <c r="U6" s="85"/>
    </row>
    <row r="7" spans="1:21" ht="15" hidden="1" customHeight="1">
      <c r="A7" s="129" t="s">
        <v>2</v>
      </c>
      <c r="B7" s="131">
        <f>F5+F6+F7</f>
        <v>42640472.88131313</v>
      </c>
      <c r="C7" s="131">
        <f>AVERAGE(F5:F7)</f>
        <v>14213490.960437709</v>
      </c>
      <c r="F7" s="78">
        <f>Q7/22</f>
        <v>12104017.409090908</v>
      </c>
      <c r="G7" s="90">
        <f t="shared" si="2"/>
        <v>-8.9937271861173618E-2</v>
      </c>
      <c r="H7" s="90"/>
      <c r="I7" s="130">
        <f t="shared" si="0"/>
        <v>10049.228764464558</v>
      </c>
      <c r="J7" s="130"/>
      <c r="K7" s="85">
        <f>R5+R6+R7</f>
        <v>1011568353511</v>
      </c>
      <c r="N7" s="88">
        <f>AVERAGE(T5:T7)</f>
        <v>10897.996423642828</v>
      </c>
      <c r="P7" s="129" t="s">
        <v>2</v>
      </c>
      <c r="Q7" s="116">
        <v>266288383</v>
      </c>
      <c r="R7" s="116">
        <v>320553249874</v>
      </c>
      <c r="S7" s="116">
        <v>26498.39</v>
      </c>
      <c r="T7" s="130">
        <f t="shared" si="1"/>
        <v>10049.228764464558</v>
      </c>
      <c r="U7" s="85">
        <f>Q5+Q6+Q7</f>
        <v>850417090</v>
      </c>
    </row>
    <row r="8" spans="1:21" ht="15" hidden="1" customHeight="1">
      <c r="A8" s="129" t="s">
        <v>3</v>
      </c>
      <c r="C8" s="79"/>
      <c r="F8" s="78">
        <f>Q8/21</f>
        <v>11142651</v>
      </c>
      <c r="G8" s="90">
        <f t="shared" si="2"/>
        <v>-7.942539874148391E-2</v>
      </c>
      <c r="H8" s="90"/>
      <c r="I8" s="130">
        <f t="shared" si="0"/>
        <v>10992.751743369932</v>
      </c>
      <c r="J8" s="130"/>
      <c r="K8" s="78"/>
      <c r="P8" s="129" t="s">
        <v>3</v>
      </c>
      <c r="Q8" s="116">
        <v>233995671</v>
      </c>
      <c r="R8" s="116">
        <v>283744734725</v>
      </c>
      <c r="S8" s="116">
        <v>21286.36</v>
      </c>
      <c r="T8" s="130">
        <f t="shared" si="1"/>
        <v>10992.751743369932</v>
      </c>
      <c r="U8" s="85"/>
    </row>
    <row r="9" spans="1:21" ht="15" hidden="1" customHeight="1">
      <c r="A9" s="129" t="s">
        <v>4</v>
      </c>
      <c r="C9" s="79"/>
      <c r="F9" s="78">
        <f>Q9/21</f>
        <v>15641995.095238095</v>
      </c>
      <c r="G9" s="90">
        <f t="shared" si="2"/>
        <v>0.40379476080136545</v>
      </c>
      <c r="H9" s="90"/>
      <c r="I9" s="130">
        <f t="shared" si="0"/>
        <v>13074.343460637092</v>
      </c>
      <c r="J9" s="130"/>
      <c r="K9" s="78"/>
      <c r="P9" s="129" t="s">
        <v>4</v>
      </c>
      <c r="Q9" s="116">
        <v>328481897</v>
      </c>
      <c r="R9" s="116">
        <v>413149309007</v>
      </c>
      <c r="S9" s="116">
        <v>25124.16</v>
      </c>
      <c r="T9" s="130">
        <f t="shared" si="1"/>
        <v>13074.343460637092</v>
      </c>
      <c r="U9" s="85"/>
    </row>
    <row r="10" spans="1:21" ht="15" hidden="1" customHeight="1">
      <c r="A10" s="129" t="s">
        <v>320</v>
      </c>
      <c r="B10" s="131">
        <f>F8+F9+F10</f>
        <v>43296608.428571433</v>
      </c>
      <c r="C10" s="131">
        <f>AVERAGE(F8:F10)</f>
        <v>14432202.809523812</v>
      </c>
      <c r="D10" s="90">
        <f>C10/C7-1</f>
        <v>1.5387623610193524E-2</v>
      </c>
      <c r="E10" s="286"/>
      <c r="F10" s="78">
        <f>Q10/21</f>
        <v>16511962.333333334</v>
      </c>
      <c r="G10" s="90">
        <f t="shared" si="2"/>
        <v>5.5617408955720871E-2</v>
      </c>
      <c r="H10" s="90"/>
      <c r="I10" s="130">
        <f t="shared" si="0"/>
        <v>14221.845622045157</v>
      </c>
      <c r="J10" s="130"/>
      <c r="K10" s="85">
        <f>R8+R9+R10</f>
        <v>1132198451243</v>
      </c>
      <c r="L10" s="87">
        <f>U10/U7-1</f>
        <v>6.915628541754737E-2</v>
      </c>
      <c r="N10" s="88">
        <f>AVERAGE(T8:T10)</f>
        <v>12762.980275350727</v>
      </c>
      <c r="O10" s="89">
        <f>N10/N7-1</f>
        <v>0.17113089224932021</v>
      </c>
      <c r="P10" s="129" t="s">
        <v>320</v>
      </c>
      <c r="Q10" s="116">
        <v>346751209</v>
      </c>
      <c r="R10" s="116">
        <v>435304407511</v>
      </c>
      <c r="S10" s="116">
        <v>24381.59</v>
      </c>
      <c r="T10" s="130">
        <f t="shared" si="1"/>
        <v>14221.845622045157</v>
      </c>
      <c r="U10" s="85">
        <f>Q8+Q9+Q10</f>
        <v>909228777</v>
      </c>
    </row>
    <row r="11" spans="1:21" ht="15" hidden="1" customHeight="1">
      <c r="A11" s="129" t="s">
        <v>6</v>
      </c>
      <c r="C11" s="79"/>
      <c r="F11" s="78">
        <f>Q11/21</f>
        <v>15392226.619047619</v>
      </c>
      <c r="G11" s="90">
        <f t="shared" si="2"/>
        <v>-6.7813606383128722E-2</v>
      </c>
      <c r="H11" s="90"/>
      <c r="I11" s="130">
        <f t="shared" si="0"/>
        <v>9962.2561882553673</v>
      </c>
      <c r="J11" s="130"/>
      <c r="K11" s="78"/>
      <c r="O11" s="89"/>
      <c r="P11" s="129" t="s">
        <v>6</v>
      </c>
      <c r="Q11" s="116">
        <v>323236759</v>
      </c>
      <c r="R11" s="116">
        <v>416995298028</v>
      </c>
      <c r="S11" s="116">
        <v>32446.14</v>
      </c>
      <c r="T11" s="130">
        <f t="shared" si="1"/>
        <v>9962.2561882553673</v>
      </c>
      <c r="U11" s="85"/>
    </row>
    <row r="12" spans="1:21" ht="15" hidden="1" customHeight="1">
      <c r="A12" s="129" t="s">
        <v>7</v>
      </c>
      <c r="C12" s="79"/>
      <c r="F12" s="78">
        <f>Q12/22</f>
        <v>15388222.454545455</v>
      </c>
      <c r="G12" s="90">
        <f t="shared" si="2"/>
        <v>-2.601419925307713E-4</v>
      </c>
      <c r="H12" s="90"/>
      <c r="I12" s="130">
        <f t="shared" si="0"/>
        <v>10579.40624356445</v>
      </c>
      <c r="J12" s="130"/>
      <c r="K12" s="78"/>
      <c r="O12" s="89"/>
      <c r="P12" s="129" t="s">
        <v>7</v>
      </c>
      <c r="Q12" s="116">
        <v>338540894</v>
      </c>
      <c r="R12" s="116">
        <v>439532620168</v>
      </c>
      <c r="S12" s="116">
        <v>31999.99</v>
      </c>
      <c r="T12" s="130">
        <f t="shared" si="1"/>
        <v>10579.40624356445</v>
      </c>
      <c r="U12" s="85"/>
    </row>
    <row r="13" spans="1:21" ht="15" hidden="1" customHeight="1">
      <c r="A13" s="129" t="s">
        <v>96</v>
      </c>
      <c r="B13" s="131">
        <f>F11+F12+F13</f>
        <v>41773645.173593074</v>
      </c>
      <c r="C13" s="131">
        <f>AVERAGE(F11:F13)</f>
        <v>13924548.391197691</v>
      </c>
      <c r="D13" s="90">
        <f>C13/C10-1</f>
        <v>-3.5175116718226818E-2</v>
      </c>
      <c r="E13" s="286"/>
      <c r="F13" s="78">
        <f>Q13/20</f>
        <v>10993196.1</v>
      </c>
      <c r="G13" s="90">
        <f t="shared" si="2"/>
        <v>-0.28560974911350001</v>
      </c>
      <c r="H13" s="90"/>
      <c r="I13" s="130">
        <f t="shared" si="0"/>
        <v>10671.239469582948</v>
      </c>
      <c r="J13" s="130"/>
      <c r="K13" s="78">
        <f>R11+R12+R13</f>
        <v>1156212176762</v>
      </c>
      <c r="L13" s="87">
        <f>U13/U10-1</f>
        <v>-3.0341320796097082E-2</v>
      </c>
      <c r="N13" s="88">
        <f>AVERAGE(T11:T13)</f>
        <v>10404.300633800922</v>
      </c>
      <c r="O13" s="89">
        <f>N13/N10-1</f>
        <v>-0.1848063376000938</v>
      </c>
      <c r="P13" s="129" t="s">
        <v>96</v>
      </c>
      <c r="Q13" s="116">
        <v>219863922</v>
      </c>
      <c r="R13" s="116">
        <v>299684258566</v>
      </c>
      <c r="S13" s="116">
        <v>20603.41</v>
      </c>
      <c r="T13" s="130">
        <f t="shared" si="1"/>
        <v>10671.239469582948</v>
      </c>
      <c r="U13" s="85">
        <f>Q11+Q12+Q13</f>
        <v>881641575</v>
      </c>
    </row>
    <row r="14" spans="1:21" ht="15" hidden="1" customHeight="1">
      <c r="A14" s="129" t="s">
        <v>97</v>
      </c>
      <c r="C14" s="79"/>
      <c r="F14" s="78">
        <f>Q14/20</f>
        <v>17957067.300000001</v>
      </c>
      <c r="G14" s="90">
        <f t="shared" si="2"/>
        <v>0.6334710248641886</v>
      </c>
      <c r="H14" s="90"/>
      <c r="I14" s="130">
        <f t="shared" si="0"/>
        <v>11536.346421879723</v>
      </c>
      <c r="J14" s="130"/>
      <c r="K14" s="78"/>
      <c r="O14" s="89"/>
      <c r="P14" s="129" t="s">
        <v>97</v>
      </c>
      <c r="Q14" s="116">
        <v>359141346</v>
      </c>
      <c r="R14" s="116">
        <v>512053154066</v>
      </c>
      <c r="S14" s="116">
        <v>31131.29</v>
      </c>
      <c r="T14" s="130">
        <f t="shared" si="1"/>
        <v>11536.346421879723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12881984.863636363</v>
      </c>
      <c r="G15" s="90">
        <f t="shared" si="2"/>
        <v>-0.28262312278373192</v>
      </c>
      <c r="H15" s="90"/>
      <c r="I15" s="130">
        <f t="shared" si="0"/>
        <v>9705.6382727338096</v>
      </c>
      <c r="J15" s="130"/>
      <c r="K15" s="78"/>
      <c r="O15" s="89"/>
      <c r="P15" s="129" t="s">
        <v>98</v>
      </c>
      <c r="Q15" s="116">
        <v>283403667</v>
      </c>
      <c r="R15" s="116">
        <v>391953945713</v>
      </c>
      <c r="S15" s="116">
        <v>29199.9</v>
      </c>
      <c r="T15" s="130">
        <f t="shared" si="1"/>
        <v>9705.6382727338096</v>
      </c>
      <c r="U15" s="85"/>
    </row>
    <row r="16" spans="1:21" ht="15" hidden="1" customHeight="1">
      <c r="A16" s="129" t="s">
        <v>99</v>
      </c>
      <c r="B16" s="131">
        <f>F14+F15+F16</f>
        <v>43021309.663636364</v>
      </c>
      <c r="C16" s="131">
        <f>AVERAGE(F14:F16)</f>
        <v>14340436.554545455</v>
      </c>
      <c r="D16" s="90">
        <f>C16/C13-1</f>
        <v>2.9867264033544227E-2</v>
      </c>
      <c r="E16" s="286"/>
      <c r="F16" s="78">
        <f>Q16/22</f>
        <v>12182257.5</v>
      </c>
      <c r="G16" s="90">
        <f t="shared" si="2"/>
        <v>-5.4318287984608138E-2</v>
      </c>
      <c r="H16" s="90"/>
      <c r="I16" s="130">
        <f t="shared" si="0"/>
        <v>8858.2042687733447</v>
      </c>
      <c r="J16" s="130"/>
      <c r="K16" s="78">
        <f>R14+R15+R16</f>
        <v>1255306334389</v>
      </c>
      <c r="L16" s="87">
        <f>U16/U13-1</f>
        <v>3.2794622916914928E-2</v>
      </c>
      <c r="N16" s="88">
        <f>AVERAGE(T14:T16)</f>
        <v>10033.396321128959</v>
      </c>
      <c r="O16" s="89">
        <f>N16/N13-1</f>
        <v>-3.5649134499919133E-2</v>
      </c>
      <c r="P16" s="129" t="s">
        <v>99</v>
      </c>
      <c r="Q16" s="116">
        <v>268009665</v>
      </c>
      <c r="R16" s="116">
        <v>351299234610</v>
      </c>
      <c r="S16" s="116">
        <v>30255.53</v>
      </c>
      <c r="T16" s="130">
        <f t="shared" si="1"/>
        <v>8858.2042687733447</v>
      </c>
      <c r="U16" s="85">
        <f>Q14+Q15+Q16</f>
        <v>910554678</v>
      </c>
    </row>
    <row r="17" spans="1:21" ht="15" hidden="1" customHeight="1">
      <c r="A17" s="129" t="s">
        <v>100</v>
      </c>
      <c r="C17" s="79"/>
      <c r="F17" s="78">
        <f>Q17/20</f>
        <v>9356553.4000000004</v>
      </c>
      <c r="G17" s="90">
        <f t="shared" si="2"/>
        <v>-0.23195241932786259</v>
      </c>
      <c r="H17" s="90">
        <f t="shared" ref="H17:H28" si="3">F17/F5-1</f>
        <v>-0.45715854127644928</v>
      </c>
      <c r="I17" s="130">
        <f t="shared" si="0"/>
        <v>7627.3835896227738</v>
      </c>
      <c r="J17" s="130">
        <f t="shared" ref="J17:J49" si="4">I17/I5-1</f>
        <v>-0.35086705809685814</v>
      </c>
      <c r="K17" s="78"/>
      <c r="O17" s="89"/>
      <c r="P17" s="129" t="s">
        <v>100</v>
      </c>
      <c r="Q17" s="116">
        <v>187131068</v>
      </c>
      <c r="R17" s="116">
        <v>235882884574</v>
      </c>
      <c r="S17" s="116">
        <v>24534.11</v>
      </c>
      <c r="T17" s="130">
        <f t="shared" si="1"/>
        <v>7627.3835896227738</v>
      </c>
      <c r="U17" s="78"/>
    </row>
    <row r="18" spans="1:21" ht="15" hidden="1" customHeight="1">
      <c r="A18" s="129" t="s">
        <v>106</v>
      </c>
      <c r="C18" s="79"/>
      <c r="F18" s="78">
        <f>Q18/20</f>
        <v>7071248.9000000004</v>
      </c>
      <c r="G18" s="90">
        <f t="shared" si="2"/>
        <v>-0.24424640167179512</v>
      </c>
      <c r="H18" s="90">
        <f t="shared" si="3"/>
        <v>-0.46833519419351133</v>
      </c>
      <c r="I18" s="130">
        <f t="shared" si="0"/>
        <v>8708.6598298724475</v>
      </c>
      <c r="J18" s="130">
        <f t="shared" si="4"/>
        <v>-0.20064806396811452</v>
      </c>
      <c r="K18" s="78"/>
      <c r="O18" s="89"/>
      <c r="P18" s="129" t="s">
        <v>106</v>
      </c>
      <c r="Q18" s="116">
        <v>141424978</v>
      </c>
      <c r="R18" s="116">
        <v>178107370627</v>
      </c>
      <c r="S18" s="116">
        <v>16239.58</v>
      </c>
      <c r="T18" s="130">
        <f t="shared" si="1"/>
        <v>8708.6598298724475</v>
      </c>
      <c r="U18" s="78"/>
    </row>
    <row r="19" spans="1:21" hidden="1">
      <c r="A19" s="129" t="s">
        <v>114</v>
      </c>
      <c r="B19" s="131">
        <f>SUM(F17:F19)</f>
        <v>24581984.254545454</v>
      </c>
      <c r="C19" s="131">
        <f>AVERAGE(F17:F19)</f>
        <v>8193994.751515151</v>
      </c>
      <c r="D19" s="90">
        <f>C19/C16-1</f>
        <v>-0.42860911379173328</v>
      </c>
      <c r="E19" s="286">
        <f>C19/C7-1</f>
        <v>-0.42350582454918495</v>
      </c>
      <c r="F19" s="78">
        <f>Q19/22</f>
        <v>8154181.9545454541</v>
      </c>
      <c r="G19" s="90">
        <f t="shared" si="2"/>
        <v>0.1531459392619392</v>
      </c>
      <c r="H19" s="90">
        <f t="shared" si="3"/>
        <v>-0.3263243368750337</v>
      </c>
      <c r="I19" s="130">
        <f t="shared" si="0"/>
        <v>7589.2646884624501</v>
      </c>
      <c r="J19" s="130">
        <f t="shared" si="4"/>
        <v>-0.24479133012683285</v>
      </c>
      <c r="K19" s="78">
        <f>R17+R18+R19</f>
        <v>648634828844</v>
      </c>
      <c r="L19" s="87">
        <f>U19/U16-1</f>
        <v>-0.44215535730848221</v>
      </c>
      <c r="M19" s="87">
        <f>U19/U7-1</f>
        <v>-0.40270714808894537</v>
      </c>
      <c r="N19" s="88">
        <f>AVERAGE(T17:T19)</f>
        <v>7975.102702652558</v>
      </c>
      <c r="O19" s="89">
        <f>N19/N16-1</f>
        <v>-0.20514425550418225</v>
      </c>
      <c r="P19" s="129" t="s">
        <v>114</v>
      </c>
      <c r="Q19" s="116">
        <v>179392003</v>
      </c>
      <c r="R19" s="116">
        <v>234644573643</v>
      </c>
      <c r="S19" s="116">
        <v>23637.599999999999</v>
      </c>
      <c r="T19" s="130">
        <f t="shared" si="1"/>
        <v>7589.2646884624501</v>
      </c>
      <c r="U19" s="85">
        <f>Q17+Q18+Q19</f>
        <v>507948049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8487284</v>
      </c>
      <c r="G20" s="90">
        <f t="shared" si="2"/>
        <v>4.0850455301510991E-2</v>
      </c>
      <c r="H20" s="90">
        <f t="shared" si="3"/>
        <v>-0.23830657533831046</v>
      </c>
      <c r="I20" s="130">
        <f t="shared" si="0"/>
        <v>7383.7140918344267</v>
      </c>
      <c r="J20" s="130">
        <f t="shared" si="4"/>
        <v>-0.32831066650006246</v>
      </c>
      <c r="K20" s="78"/>
      <c r="O20" s="89"/>
      <c r="P20" s="129" t="s">
        <v>131</v>
      </c>
      <c r="Q20" s="116">
        <v>169745680</v>
      </c>
      <c r="R20" s="116">
        <v>223080673553</v>
      </c>
      <c r="S20" s="116">
        <v>22989.200000000001</v>
      </c>
      <c r="T20" s="130">
        <f t="shared" si="1"/>
        <v>7383.7140918344267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8755821.9523809515</v>
      </c>
      <c r="G21" s="90">
        <f t="shared" si="2"/>
        <v>3.1640033770632847E-2</v>
      </c>
      <c r="H21" s="90">
        <f t="shared" si="3"/>
        <v>-0.44023624230348379</v>
      </c>
      <c r="I21" s="130">
        <f t="shared" si="0"/>
        <v>7247.7598520745169</v>
      </c>
      <c r="J21" s="130">
        <f t="shared" si="4"/>
        <v>-0.4456501870326921</v>
      </c>
      <c r="K21" s="78"/>
      <c r="O21" s="89"/>
      <c r="P21" s="129" t="s">
        <v>141</v>
      </c>
      <c r="Q21" s="116">
        <v>183872261</v>
      </c>
      <c r="R21" s="116">
        <v>244721226084</v>
      </c>
      <c r="S21" s="116">
        <v>25369.53</v>
      </c>
      <c r="T21" s="130">
        <f t="shared" si="1"/>
        <v>7247.7598520745169</v>
      </c>
      <c r="U21" s="78"/>
    </row>
    <row r="22" spans="1:21" hidden="1">
      <c r="A22" s="129" t="s">
        <v>156</v>
      </c>
      <c r="B22" s="131">
        <f>SUM(F20:F22)</f>
        <v>29100912.952380951</v>
      </c>
      <c r="C22" s="131">
        <f>AVERAGE(F20:F22)</f>
        <v>9700304.3174603172</v>
      </c>
      <c r="D22" s="90">
        <f>C22/C19-1</f>
        <v>0.18383091661934903</v>
      </c>
      <c r="E22" s="286">
        <f>C22/C10-1</f>
        <v>-0.32787084234576547</v>
      </c>
      <c r="F22" s="78">
        <f>Q22/21</f>
        <v>11857807</v>
      </c>
      <c r="G22" s="90">
        <f t="shared" si="2"/>
        <v>0.35427685310292678</v>
      </c>
      <c r="H22" s="90">
        <f t="shared" si="3"/>
        <v>-0.28186567043808064</v>
      </c>
      <c r="I22" s="130">
        <f t="shared" si="0"/>
        <v>7823.5147543538251</v>
      </c>
      <c r="J22" s="130">
        <f t="shared" si="4"/>
        <v>-0.44989455220729835</v>
      </c>
      <c r="K22" s="78">
        <f>R20+R21+R22</f>
        <v>791259646341</v>
      </c>
      <c r="L22" s="87">
        <f>U22/U19-1</f>
        <v>0.18640457264557786</v>
      </c>
      <c r="M22" s="87">
        <f>U22/U10-1</f>
        <v>-0.33720543911029333</v>
      </c>
      <c r="N22" s="88">
        <f>AVERAGE(T20:T22)</f>
        <v>7484.9962327542562</v>
      </c>
      <c r="O22" s="89">
        <f>N22/N19-1</f>
        <v>-6.1454565310524512E-2</v>
      </c>
      <c r="P22" s="129" t="s">
        <v>156</v>
      </c>
      <c r="Q22" s="116">
        <v>249013947</v>
      </c>
      <c r="R22" s="116">
        <v>323457746704</v>
      </c>
      <c r="S22" s="116">
        <v>31828.91</v>
      </c>
      <c r="T22" s="130">
        <f t="shared" si="1"/>
        <v>7823.5147543538251</v>
      </c>
      <c r="U22" s="85">
        <f>Q20+Q21+Q22</f>
        <v>602631888</v>
      </c>
    </row>
    <row r="23" spans="1:21" hidden="1">
      <c r="A23" s="129" t="s">
        <v>189</v>
      </c>
      <c r="B23" s="131"/>
      <c r="C23" s="131"/>
      <c r="F23" s="78">
        <f>Q23/21</f>
        <v>7019675</v>
      </c>
      <c r="G23" s="90">
        <f t="shared" si="2"/>
        <v>-0.40801237530683376</v>
      </c>
      <c r="H23" s="90">
        <f t="shared" si="3"/>
        <v>-0.54394674833378098</v>
      </c>
      <c r="I23" s="130">
        <f t="shared" si="0"/>
        <v>9364.0316747858815</v>
      </c>
      <c r="J23" s="130">
        <f t="shared" si="4"/>
        <v>-6.0049099537787476E-2</v>
      </c>
      <c r="K23" s="78"/>
      <c r="O23" s="89"/>
      <c r="P23" s="129" t="s">
        <v>189</v>
      </c>
      <c r="Q23" s="116">
        <v>147413175</v>
      </c>
      <c r="R23" s="116">
        <v>190302445720</v>
      </c>
      <c r="S23" s="116">
        <v>15742.49</v>
      </c>
      <c r="T23" s="130">
        <f t="shared" si="1"/>
        <v>9364.0316747858815</v>
      </c>
      <c r="U23" s="78"/>
    </row>
    <row r="24" spans="1:21" hidden="1">
      <c r="A24" s="129" t="s">
        <v>204</v>
      </c>
      <c r="B24" s="131"/>
      <c r="C24" s="131"/>
      <c r="F24" s="78">
        <f>Q24/22</f>
        <v>10609777.636363637</v>
      </c>
      <c r="G24" s="90">
        <f t="shared" si="2"/>
        <v>0.5114343094749596</v>
      </c>
      <c r="H24" s="90">
        <f t="shared" si="3"/>
        <v>-0.31052610737183206</v>
      </c>
      <c r="I24" s="130">
        <f t="shared" si="0"/>
        <v>8795.0806502663218</v>
      </c>
      <c r="J24" s="130">
        <f t="shared" si="4"/>
        <v>-0.16866027754473933</v>
      </c>
      <c r="K24" s="78"/>
      <c r="O24" s="89"/>
      <c r="P24" s="129" t="s">
        <v>204</v>
      </c>
      <c r="Q24" s="116">
        <v>233415108</v>
      </c>
      <c r="R24" s="116">
        <v>306476744789</v>
      </c>
      <c r="S24" s="116">
        <v>26539.279999999999</v>
      </c>
      <c r="T24" s="130">
        <f t="shared" si="1"/>
        <v>8795.0806502663218</v>
      </c>
      <c r="U24" s="78"/>
    </row>
    <row r="25" spans="1:21" s="79" customFormat="1" ht="13.2" hidden="1">
      <c r="A25" s="129" t="s">
        <v>219</v>
      </c>
      <c r="B25" s="131">
        <f>SUM(F23:F25)</f>
        <v>27276789.794258371</v>
      </c>
      <c r="C25" s="131">
        <f>AVERAGE(F23:F25)</f>
        <v>9092263.2647527903</v>
      </c>
      <c r="D25" s="90">
        <f>C25/C22-1</f>
        <v>-6.268267806949801E-2</v>
      </c>
      <c r="E25" s="286">
        <f>C25/C13-1</f>
        <v>-0.34703352602082216</v>
      </c>
      <c r="F25" s="78">
        <f>Q25/19</f>
        <v>9647337.1578947362</v>
      </c>
      <c r="G25" s="90">
        <f t="shared" si="2"/>
        <v>-9.071259657415065E-2</v>
      </c>
      <c r="H25" s="90">
        <f t="shared" si="3"/>
        <v>-0.12242653818440152</v>
      </c>
      <c r="I25" s="130">
        <f t="shared" si="0"/>
        <v>8803.536699052067</v>
      </c>
      <c r="J25" s="130">
        <f t="shared" si="4"/>
        <v>-0.17502210271398533</v>
      </c>
      <c r="K25" s="78">
        <f>R23+R24+R25</f>
        <v>740045231276</v>
      </c>
      <c r="L25" s="90">
        <f>U25/U22-1</f>
        <v>-6.3893397888032055E-2</v>
      </c>
      <c r="M25" s="90">
        <f>U25/U13-1</f>
        <v>-0.36013942060298143</v>
      </c>
      <c r="N25" s="88">
        <f>AVERAGE(T23:T25)</f>
        <v>8987.549674701424</v>
      </c>
      <c r="O25" s="91">
        <f>N25/N22-1</f>
        <v>0.200742043846597</v>
      </c>
      <c r="P25" s="129" t="s">
        <v>219</v>
      </c>
      <c r="Q25" s="116">
        <v>183299406</v>
      </c>
      <c r="R25" s="116">
        <v>243266040767</v>
      </c>
      <c r="S25" s="116">
        <v>20821.11</v>
      </c>
      <c r="T25" s="130">
        <f t="shared" ref="T25:T30" si="5">Q25/S25</f>
        <v>8803.536699052067</v>
      </c>
      <c r="U25" s="85">
        <f>Q23+Q24+Q25</f>
        <v>564127689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7534224.0526315793</v>
      </c>
      <c r="G26" s="90">
        <f t="shared" si="2"/>
        <v>-0.21903589256584921</v>
      </c>
      <c r="H26" s="90">
        <f t="shared" si="3"/>
        <v>-0.58043126270225764</v>
      </c>
      <c r="I26" s="130">
        <f t="shared" si="0"/>
        <v>10060.401445490503</v>
      </c>
      <c r="J26" s="130">
        <f t="shared" si="4"/>
        <v>-0.1279386837404568</v>
      </c>
      <c r="K26" s="78"/>
      <c r="L26" s="90"/>
      <c r="M26" s="90"/>
      <c r="P26" s="129" t="s">
        <v>312</v>
      </c>
      <c r="Q26" s="116">
        <v>143150257</v>
      </c>
      <c r="R26" s="116">
        <v>192987902477</v>
      </c>
      <c r="S26" s="116">
        <v>14229.08</v>
      </c>
      <c r="T26" s="130">
        <f t="shared" si="5"/>
        <v>10060.401445490503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9799419.2272727266</v>
      </c>
      <c r="G27" s="90">
        <f t="shared" si="2"/>
        <v>0.30065407649377662</v>
      </c>
      <c r="H27" s="90">
        <f t="shared" si="3"/>
        <v>-0.23929275410540118</v>
      </c>
      <c r="I27" s="130">
        <f t="shared" si="0"/>
        <v>11621.620676066937</v>
      </c>
      <c r="J27" s="130">
        <f t="shared" si="4"/>
        <v>0.19740921199543626</v>
      </c>
      <c r="K27" s="78"/>
      <c r="L27" s="90"/>
      <c r="M27" s="90"/>
      <c r="P27" s="129" t="s">
        <v>377</v>
      </c>
      <c r="Q27" s="116">
        <v>215587223</v>
      </c>
      <c r="R27" s="116">
        <v>284791007697</v>
      </c>
      <c r="S27" s="116">
        <v>18550.53</v>
      </c>
      <c r="T27" s="130">
        <f t="shared" si="5"/>
        <v>11621.620676066937</v>
      </c>
      <c r="U27" s="78"/>
    </row>
    <row r="28" spans="1:21" s="79" customFormat="1" ht="13.2" hidden="1">
      <c r="A28" s="123" t="s">
        <v>413</v>
      </c>
      <c r="B28" s="131">
        <f>SUM(F26:F28)</f>
        <v>31047422.543062203</v>
      </c>
      <c r="C28" s="131">
        <f>AVERAGE(F26:F28)</f>
        <v>10349140.847687401</v>
      </c>
      <c r="D28" s="90">
        <f>C28/C25-1</f>
        <v>0.13823594261805439</v>
      </c>
      <c r="E28" s="286">
        <f>C28/C16-1</f>
        <v>-0.27832456087907187</v>
      </c>
      <c r="F28" s="78">
        <f>Q28/19</f>
        <v>13713779.263157895</v>
      </c>
      <c r="G28" s="90">
        <f t="shared" si="2"/>
        <v>0.39944816576385755</v>
      </c>
      <c r="H28" s="90">
        <f t="shared" si="3"/>
        <v>0.1257174019805356</v>
      </c>
      <c r="I28" s="130">
        <f t="shared" si="0"/>
        <v>7880.8124899244804</v>
      </c>
      <c r="J28" s="130">
        <f t="shared" si="4"/>
        <v>-0.11033746222068219</v>
      </c>
      <c r="K28" s="78">
        <f>R26+R27+R28</f>
        <v>817430704420</v>
      </c>
      <c r="L28" s="90">
        <f>U28/U25-1</f>
        <v>9.7799838717010701E-2</v>
      </c>
      <c r="M28" s="90">
        <f>U28/U16-1</f>
        <v>-0.31986590046380503</v>
      </c>
      <c r="N28" s="88">
        <f>AVERAGE(T26:T28)</f>
        <v>9854.2782038273072</v>
      </c>
      <c r="O28" s="91">
        <f>N28/N25-1</f>
        <v>9.6436577320467176E-2</v>
      </c>
      <c r="P28" s="129" t="s">
        <v>413</v>
      </c>
      <c r="Q28" s="116">
        <v>260561806</v>
      </c>
      <c r="R28" s="116">
        <v>339651794246</v>
      </c>
      <c r="S28" s="116">
        <v>33062.81</v>
      </c>
      <c r="T28" s="130">
        <f t="shared" si="5"/>
        <v>7880.8124899244804</v>
      </c>
      <c r="U28" s="85">
        <f>Q26+Q27+Q28</f>
        <v>619299286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10561584.681818182</v>
      </c>
      <c r="G29" s="190">
        <f t="shared" ref="G29" si="6">F29/F28-1</f>
        <v>-0.22985600984610366</v>
      </c>
      <c r="H29" s="190">
        <f t="shared" ref="H29" si="7">F29/F17-1</f>
        <v>0.12879008223457378</v>
      </c>
      <c r="I29" s="130">
        <f t="shared" si="0"/>
        <v>7560.9004360727613</v>
      </c>
      <c r="J29" s="130">
        <f t="shared" si="4"/>
        <v>-8.7163773486447216E-3</v>
      </c>
      <c r="K29" s="136"/>
      <c r="L29" s="190"/>
      <c r="M29" s="190"/>
      <c r="N29" s="191"/>
      <c r="O29" s="192"/>
      <c r="P29" s="129" t="s">
        <v>426</v>
      </c>
      <c r="Q29" s="116">
        <v>232354863</v>
      </c>
      <c r="R29" s="116">
        <v>305269467559</v>
      </c>
      <c r="S29" s="116">
        <v>30731.11</v>
      </c>
      <c r="T29" s="130">
        <f t="shared" si="5"/>
        <v>7560.9004360727613</v>
      </c>
      <c r="U29" s="85"/>
    </row>
    <row r="30" spans="1:21" s="79" customFormat="1" ht="13.2" hidden="1">
      <c r="A30" s="129" t="s">
        <v>492</v>
      </c>
      <c r="B30" s="188"/>
      <c r="C30" s="188"/>
      <c r="D30" s="189"/>
      <c r="E30" s="287"/>
      <c r="F30" s="136">
        <f>Q30/19</f>
        <v>11394397.052631579</v>
      </c>
      <c r="G30" s="190">
        <f t="shared" ref="G30" si="8">F30/F29-1</f>
        <v>7.8852974804726861E-2</v>
      </c>
      <c r="H30" s="190">
        <f t="shared" ref="H30" si="9">F30/F18-1</f>
        <v>0.61136981794426415</v>
      </c>
      <c r="I30" s="130">
        <f t="shared" si="0"/>
        <v>10467.10012551225</v>
      </c>
      <c r="J30" s="130">
        <f t="shared" si="4"/>
        <v>0.20191858793335804</v>
      </c>
      <c r="K30" s="136"/>
      <c r="L30" s="190"/>
      <c r="M30" s="190"/>
      <c r="N30" s="191"/>
      <c r="O30" s="192"/>
      <c r="P30" s="129" t="s">
        <v>492</v>
      </c>
      <c r="Q30" s="116">
        <v>216493544</v>
      </c>
      <c r="R30" s="116">
        <v>288412437565</v>
      </c>
      <c r="S30" s="116">
        <v>20683.240000000002</v>
      </c>
      <c r="T30" s="130">
        <f t="shared" si="5"/>
        <v>10467.10012551225</v>
      </c>
      <c r="U30" s="85"/>
    </row>
    <row r="31" spans="1:21" s="79" customFormat="1" ht="13.2" hidden="1">
      <c r="A31" s="129" t="s">
        <v>505</v>
      </c>
      <c r="B31" s="188">
        <f>SUM(F29:F31)</f>
        <v>36888374.134449758</v>
      </c>
      <c r="C31" s="188">
        <f>AVERAGE(F29:F31)</f>
        <v>12296124.711483253</v>
      </c>
      <c r="D31" s="190">
        <f>C31/C28-1</f>
        <v>0.18812999962513044</v>
      </c>
      <c r="E31" s="287">
        <f>C31/C19-1</f>
        <v>0.50062638363413381</v>
      </c>
      <c r="F31" s="136">
        <f>Q31/20</f>
        <v>14932392.4</v>
      </c>
      <c r="G31" s="190">
        <f t="shared" ref="G31" si="10">F31/F30-1</f>
        <v>0.31050307717259229</v>
      </c>
      <c r="H31" s="190">
        <f t="shared" ref="H31" si="11">F31/F19-1</f>
        <v>0.83125572660003155</v>
      </c>
      <c r="I31" s="130">
        <f t="shared" si="0"/>
        <v>12540.82560505248</v>
      </c>
      <c r="J31" s="130">
        <f t="shared" si="4"/>
        <v>0.65244277540057616</v>
      </c>
      <c r="K31" s="136">
        <f>R29+R30+R31</f>
        <v>990575831779</v>
      </c>
      <c r="L31" s="190">
        <f>U31/U28-1</f>
        <v>0.20700325658053487</v>
      </c>
      <c r="M31" s="190">
        <f>U31/U19-1</f>
        <v>0.47159981512203819</v>
      </c>
      <c r="N31" s="191">
        <f>AVERAGE(T29:T31)</f>
        <v>10189.608722212497</v>
      </c>
      <c r="O31" s="192">
        <f>N31/N28-1</f>
        <v>3.4028927481969173E-2</v>
      </c>
      <c r="P31" s="129" t="s">
        <v>505</v>
      </c>
      <c r="Q31" s="116">
        <v>298647848</v>
      </c>
      <c r="R31" s="116">
        <v>396893926655</v>
      </c>
      <c r="S31" s="116">
        <v>23814.05</v>
      </c>
      <c r="T31" s="130">
        <f t="shared" ref="T31" si="12">Q31/S31</f>
        <v>12540.82560505248</v>
      </c>
      <c r="U31" s="85">
        <f>Q29+Q30+Q31</f>
        <v>747496255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10912307.095238095</v>
      </c>
      <c r="G32" s="190">
        <f t="shared" ref="G32" si="13">F32/F31-1</f>
        <v>-0.26921910415118111</v>
      </c>
      <c r="H32" s="190">
        <f t="shared" ref="H32" si="14">F32/F20-1</f>
        <v>0.2857242782541618</v>
      </c>
      <c r="I32" s="130">
        <f t="shared" si="0"/>
        <v>13050.538375368962</v>
      </c>
      <c r="J32" s="130">
        <f t="shared" si="4"/>
        <v>0.7674761255722804</v>
      </c>
      <c r="K32" s="136"/>
      <c r="L32" s="190"/>
      <c r="M32" s="190"/>
      <c r="N32" s="191"/>
      <c r="O32" s="192"/>
      <c r="P32" s="129" t="s">
        <v>566</v>
      </c>
      <c r="Q32" s="116">
        <v>229158449</v>
      </c>
      <c r="R32" s="116">
        <v>311792800549</v>
      </c>
      <c r="S32" s="116">
        <v>17559.310000000001</v>
      </c>
      <c r="T32" s="130">
        <f t="shared" ref="T32" si="15">Q32/S32</f>
        <v>13050.538375368962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12017694.428571429</v>
      </c>
      <c r="G33" s="190">
        <f t="shared" ref="G33:G38" si="16">F33/F32-1</f>
        <v>0.10129730804732406</v>
      </c>
      <c r="H33" s="190">
        <f t="shared" ref="H33:H38" si="17">F33/F21-1</f>
        <v>0.37253755203456174</v>
      </c>
      <c r="I33" s="130">
        <f t="shared" si="0"/>
        <v>14462.521747801151</v>
      </c>
      <c r="J33" s="130">
        <f t="shared" si="4"/>
        <v>0.99544715097887271</v>
      </c>
      <c r="K33" s="136"/>
      <c r="L33" s="190"/>
      <c r="M33" s="190"/>
      <c r="N33" s="191"/>
      <c r="O33" s="192"/>
      <c r="P33" s="129" t="s">
        <v>636</v>
      </c>
      <c r="Q33" s="116">
        <v>252371583</v>
      </c>
      <c r="R33" s="116">
        <v>345360221702</v>
      </c>
      <c r="S33" s="116">
        <v>17450.04</v>
      </c>
      <c r="T33" s="130">
        <f t="shared" ref="T33:T38" si="18">Q33/S33</f>
        <v>14462.521747801151</v>
      </c>
      <c r="U33" s="85"/>
    </row>
    <row r="34" spans="1:21" s="79" customFormat="1" ht="13.2" hidden="1">
      <c r="A34" s="129" t="s">
        <v>652</v>
      </c>
      <c r="B34" s="188">
        <f>SUM(F32:F34)</f>
        <v>44805563.576441102</v>
      </c>
      <c r="C34" s="188">
        <f>AVERAGE(F32:F34)</f>
        <v>14935187.858813701</v>
      </c>
      <c r="D34" s="190">
        <f>C34/C31-1</f>
        <v>0.21462560028086308</v>
      </c>
      <c r="E34" s="287">
        <f>C34/C22-1</f>
        <v>0.53966178482985505</v>
      </c>
      <c r="F34" s="136">
        <f>Q34/19</f>
        <v>21875562.052631579</v>
      </c>
      <c r="G34" s="190">
        <f t="shared" si="16"/>
        <v>0.82027943734561881</v>
      </c>
      <c r="H34" s="190">
        <f t="shared" si="17"/>
        <v>0.84482358775375399</v>
      </c>
      <c r="I34" s="130">
        <f t="shared" si="0"/>
        <v>15128.052521428961</v>
      </c>
      <c r="J34" s="130">
        <f t="shared" si="4"/>
        <v>0.93366447133113972</v>
      </c>
      <c r="K34" s="136">
        <f>R32+R33+R34</f>
        <v>1228336778118</v>
      </c>
      <c r="L34" s="190">
        <f>U34/U31-1</f>
        <v>0.20022770013744084</v>
      </c>
      <c r="M34" s="190">
        <f>U34/U22-1</f>
        <v>0.48874583118641746</v>
      </c>
      <c r="N34" s="191">
        <f>AVERAGE(T32:T34)</f>
        <v>14213.704214866359</v>
      </c>
      <c r="O34" s="192">
        <f>N34/N31-1</f>
        <v>0.3949214932936207</v>
      </c>
      <c r="P34" s="129" t="s">
        <v>652</v>
      </c>
      <c r="Q34" s="116">
        <v>415635679</v>
      </c>
      <c r="R34" s="116">
        <v>571183755867</v>
      </c>
      <c r="S34" s="116">
        <v>27474.5</v>
      </c>
      <c r="T34" s="130">
        <f t="shared" si="18"/>
        <v>15128.052521428961</v>
      </c>
      <c r="U34" s="85">
        <f>Q32+Q33+Q34</f>
        <v>897165711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13721360.652173912</v>
      </c>
      <c r="G35" s="190">
        <f t="shared" si="16"/>
        <v>-0.37275391511491407</v>
      </c>
      <c r="H35" s="190">
        <f t="shared" si="17"/>
        <v>0.95470027489505038</v>
      </c>
      <c r="I35" s="130">
        <f t="shared" si="0"/>
        <v>15781.174429791839</v>
      </c>
      <c r="J35" s="130">
        <f t="shared" si="4"/>
        <v>0.68529699363203966</v>
      </c>
      <c r="K35" s="136"/>
      <c r="L35" s="190"/>
      <c r="M35" s="190"/>
      <c r="N35" s="191"/>
      <c r="O35" s="192"/>
      <c r="P35" s="129" t="s">
        <v>660</v>
      </c>
      <c r="Q35" s="116">
        <v>315591295</v>
      </c>
      <c r="R35" s="116">
        <v>436900151104</v>
      </c>
      <c r="S35" s="116">
        <v>19997.96</v>
      </c>
      <c r="T35" s="130">
        <f t="shared" si="18"/>
        <v>15781.174429791839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13899715.142857144</v>
      </c>
      <c r="G36" s="190">
        <f t="shared" si="16"/>
        <v>1.2998309366277994E-2</v>
      </c>
      <c r="H36" s="190">
        <f t="shared" si="17"/>
        <v>0.3100854343278292</v>
      </c>
      <c r="I36" s="130">
        <f t="shared" si="0"/>
        <v>14951.618460069551</v>
      </c>
      <c r="J36" s="130">
        <f t="shared" si="4"/>
        <v>0.69999788002135088</v>
      </c>
      <c r="K36" s="136"/>
      <c r="L36" s="190"/>
      <c r="M36" s="190"/>
      <c r="N36" s="191"/>
      <c r="O36" s="192"/>
      <c r="P36" s="129" t="s">
        <v>664</v>
      </c>
      <c r="Q36" s="116">
        <v>291894018</v>
      </c>
      <c r="R36" s="116">
        <v>398726582570</v>
      </c>
      <c r="S36" s="116">
        <v>19522.57</v>
      </c>
      <c r="T36" s="130">
        <f t="shared" si="18"/>
        <v>14951.618460069551</v>
      </c>
      <c r="U36" s="85"/>
    </row>
    <row r="37" spans="1:21" s="79" customFormat="1" ht="13.2" hidden="1">
      <c r="A37" s="129" t="s">
        <v>702</v>
      </c>
      <c r="B37" s="188">
        <f>SUM(F35:F37)</f>
        <v>44383451.46169772</v>
      </c>
      <c r="C37" s="188">
        <f>AVERAGE(F35:F37)</f>
        <v>14794483.820565907</v>
      </c>
      <c r="D37" s="190">
        <f>C37/C34-1</f>
        <v>-9.4209754559437808E-3</v>
      </c>
      <c r="E37" s="287">
        <f>C37/C25-1</f>
        <v>0.62715084130025511</v>
      </c>
      <c r="F37" s="136">
        <f>Q37/18</f>
        <v>16762375.666666666</v>
      </c>
      <c r="G37" s="190">
        <f t="shared" si="16"/>
        <v>0.20595102089416573</v>
      </c>
      <c r="H37" s="190">
        <f t="shared" si="17"/>
        <v>0.73751320103386853</v>
      </c>
      <c r="I37" s="130">
        <f t="shared" si="0"/>
        <v>15827.689074682485</v>
      </c>
      <c r="J37" s="130">
        <f t="shared" si="4"/>
        <v>0.79787846813732854</v>
      </c>
      <c r="K37" s="136">
        <f>R35+R36+R37</f>
        <v>1238315280880</v>
      </c>
      <c r="L37" s="190">
        <f>U37/U34-1</f>
        <v>1.3422675267624085E-2</v>
      </c>
      <c r="M37" s="190">
        <f>U37/U25-1</f>
        <v>0.61170616640304631</v>
      </c>
      <c r="N37" s="191">
        <f>AVERAGE(T35:T37)</f>
        <v>15520.160654847959</v>
      </c>
      <c r="O37" s="192">
        <f>N37/N34-1</f>
        <v>9.1915268548726115E-2</v>
      </c>
      <c r="P37" s="129" t="s">
        <v>702</v>
      </c>
      <c r="Q37" s="116">
        <v>301722762</v>
      </c>
      <c r="R37" s="116">
        <v>402688547206</v>
      </c>
      <c r="S37" s="116">
        <v>19062.97</v>
      </c>
      <c r="T37" s="130">
        <f t="shared" si="18"/>
        <v>15827.689074682485</v>
      </c>
      <c r="U37" s="85">
        <f>Q35+Q36+Q37</f>
        <v>909208075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15265705.5</v>
      </c>
      <c r="G38" s="190">
        <f t="shared" si="16"/>
        <v>-8.928747311414309E-2</v>
      </c>
      <c r="H38" s="190">
        <f t="shared" si="17"/>
        <v>1.0261815142951507</v>
      </c>
      <c r="I38" s="130">
        <f t="shared" si="0"/>
        <v>19147.352544605063</v>
      </c>
      <c r="J38" s="130">
        <f t="shared" si="4"/>
        <v>0.90323941329276836</v>
      </c>
      <c r="K38" s="136"/>
      <c r="L38" s="190"/>
      <c r="M38" s="190"/>
      <c r="N38" s="191"/>
      <c r="O38" s="192"/>
      <c r="P38" s="129" t="s">
        <v>728</v>
      </c>
      <c r="Q38" s="116">
        <v>305314110</v>
      </c>
      <c r="R38" s="116">
        <v>410583623634</v>
      </c>
      <c r="S38" s="116">
        <v>15945.5</v>
      </c>
      <c r="T38" s="130">
        <f t="shared" si="18"/>
        <v>19147.352544605063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16431550.523809524</v>
      </c>
      <c r="G39" s="190">
        <f t="shared" ref="G39" si="19">F39/F38-1</f>
        <v>7.6370202727251923E-2</v>
      </c>
      <c r="H39" s="190">
        <f t="shared" ref="H39" si="20">F39/F27-1</f>
        <v>0.67678819965972448</v>
      </c>
      <c r="I39" s="130">
        <f t="shared" si="0"/>
        <v>16135.366659995474</v>
      </c>
      <c r="J39" s="130">
        <f t="shared" si="4"/>
        <v>0.38839212789176214</v>
      </c>
      <c r="K39" s="136"/>
      <c r="L39" s="190"/>
      <c r="M39" s="190"/>
      <c r="N39" s="191"/>
      <c r="O39" s="192"/>
      <c r="P39" s="129" t="s">
        <v>762</v>
      </c>
      <c r="Q39" s="116">
        <v>345062561</v>
      </c>
      <c r="R39" s="116">
        <v>479127097449</v>
      </c>
      <c r="S39" s="116">
        <v>21385.48</v>
      </c>
      <c r="T39" s="130">
        <f t="shared" ref="T39" si="21">Q39/S39</f>
        <v>16135.366659995474</v>
      </c>
      <c r="U39" s="85"/>
    </row>
    <row r="40" spans="1:21" s="79" customFormat="1" ht="13.2" hidden="1">
      <c r="A40" s="129" t="s">
        <v>778</v>
      </c>
      <c r="B40" s="188">
        <f>SUM(F38:F40)</f>
        <v>48857901.404761903</v>
      </c>
      <c r="C40" s="188">
        <f>AVERAGE(F38:F40)</f>
        <v>16285967.134920634</v>
      </c>
      <c r="D40" s="190">
        <f>C40/C37-1</f>
        <v>0.1008134742951563</v>
      </c>
      <c r="E40" s="287">
        <f>C40/C28-1</f>
        <v>0.57365402351827743</v>
      </c>
      <c r="F40" s="136">
        <f>Q40/21</f>
        <v>17160645.380952381</v>
      </c>
      <c r="G40" s="190">
        <f t="shared" ref="G40" si="22">F40/F39-1</f>
        <v>4.4371640770381804E-2</v>
      </c>
      <c r="H40" s="190">
        <f t="shared" ref="H40" si="23">F40/F28-1</f>
        <v>0.25134326954310104</v>
      </c>
      <c r="I40" s="130">
        <f t="shared" si="0"/>
        <v>10598.053244127486</v>
      </c>
      <c r="J40" s="130">
        <f t="shared" si="4"/>
        <v>0.34479195611835256</v>
      </c>
      <c r="K40" s="136">
        <f>R38+R39+R40</f>
        <v>1403006432504</v>
      </c>
      <c r="L40" s="190">
        <f>U40/U37-1</f>
        <v>0.11168197004849523</v>
      </c>
      <c r="M40" s="190">
        <f>U40/U28-1</f>
        <v>0.63208685501374862</v>
      </c>
      <c r="N40" s="191">
        <f>AVERAGE(T38:T40)</f>
        <v>15293.590816242673</v>
      </c>
      <c r="O40" s="192">
        <f>N40/N37-1</f>
        <v>-1.4598420959934688E-2</v>
      </c>
      <c r="P40" s="129" t="s">
        <v>778</v>
      </c>
      <c r="Q40" s="116">
        <v>360373553</v>
      </c>
      <c r="R40" s="116">
        <v>513295711421</v>
      </c>
      <c r="S40" s="116">
        <v>34003.75</v>
      </c>
      <c r="T40" s="130">
        <f t="shared" ref="T40" si="24">Q40/S40</f>
        <v>10598.053244127486</v>
      </c>
      <c r="U40" s="85">
        <f>Q38+Q39+Q40</f>
        <v>1010750224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25375048.5</v>
      </c>
      <c r="G41" s="190">
        <f t="shared" ref="G41" si="25">F41/F40-1</f>
        <v>0.47867681760764502</v>
      </c>
      <c r="H41" s="190">
        <f t="shared" ref="H41" si="26">F41/F29-1</f>
        <v>1.4025796567898818</v>
      </c>
      <c r="I41" s="130">
        <f t="shared" si="0"/>
        <v>8980.8839375108637</v>
      </c>
      <c r="J41" s="130">
        <f t="shared" si="4"/>
        <v>0.18780613677484981</v>
      </c>
      <c r="K41" s="193"/>
      <c r="L41" s="190"/>
      <c r="M41" s="190"/>
      <c r="N41" s="193"/>
      <c r="O41" s="193"/>
      <c r="P41" s="129" t="s">
        <v>792</v>
      </c>
      <c r="Q41" s="116">
        <v>456750873</v>
      </c>
      <c r="R41" s="116">
        <v>666615544493</v>
      </c>
      <c r="S41" s="116">
        <v>50858.12</v>
      </c>
      <c r="T41" s="130">
        <f t="shared" ref="T41" si="27">Q41/S41</f>
        <v>8980.8839375108637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17927890.899999999</v>
      </c>
      <c r="G42" s="190">
        <f t="shared" ref="G42" si="28">F42/F41-1</f>
        <v>-0.2934834824059549</v>
      </c>
      <c r="H42" s="190">
        <f t="shared" ref="H42" si="29">F42/F30-1</f>
        <v>0.57339531150175982</v>
      </c>
      <c r="I42" s="130">
        <f t="shared" si="0"/>
        <v>9376.9729787970737</v>
      </c>
      <c r="J42" s="130">
        <f t="shared" si="4"/>
        <v>-0.10414796205666621</v>
      </c>
      <c r="K42" s="193"/>
      <c r="L42" s="190"/>
      <c r="M42" s="190"/>
      <c r="N42" s="193"/>
      <c r="O42" s="193"/>
      <c r="P42" s="129" t="s">
        <v>826</v>
      </c>
      <c r="Q42" s="116">
        <v>358557818</v>
      </c>
      <c r="R42" s="116">
        <v>518462370928</v>
      </c>
      <c r="S42" s="116">
        <v>38238.120000000003</v>
      </c>
      <c r="T42" s="130">
        <f t="shared" ref="T42" si="30">Q42/S42</f>
        <v>9376.9729787970737</v>
      </c>
      <c r="U42" s="78"/>
    </row>
    <row r="43" spans="1:21" s="79" customFormat="1" ht="13.2">
      <c r="A43" s="129" t="s">
        <v>835</v>
      </c>
      <c r="B43" s="188">
        <f>SUM(F41:F43)</f>
        <v>62041419.799999997</v>
      </c>
      <c r="C43" s="188">
        <f>AVERAGE(F41:F43)</f>
        <v>20680473.266666666</v>
      </c>
      <c r="D43" s="190">
        <f>C43/C40-1</f>
        <v>0.26983390641402316</v>
      </c>
      <c r="E43" s="287">
        <f>C43/C31-1</f>
        <v>0.68186918658635065</v>
      </c>
      <c r="F43" s="136">
        <f>Q43/20</f>
        <v>18738480.399999999</v>
      </c>
      <c r="G43" s="190">
        <f t="shared" ref="G43" si="31">F43/F42-1</f>
        <v>4.5213879564606207E-2</v>
      </c>
      <c r="H43" s="190">
        <f t="shared" ref="H43" si="32">F43/F31-1</f>
        <v>0.25488802450704395</v>
      </c>
      <c r="I43" s="130">
        <f t="shared" si="0"/>
        <v>10599.791154735562</v>
      </c>
      <c r="J43" s="130">
        <f t="shared" si="4"/>
        <v>-0.15477724604789256</v>
      </c>
      <c r="K43" s="136">
        <f>R41+R42+R43</f>
        <v>1728175948132</v>
      </c>
      <c r="L43" s="190">
        <f>U43/U40-1</f>
        <v>0.1774207620655448</v>
      </c>
      <c r="M43" s="190">
        <f>K43/K31-1</f>
        <v>0.74461751709440094</v>
      </c>
      <c r="N43" s="191">
        <f>AVERAGE(T41:T43)</f>
        <v>9652.549357014499</v>
      </c>
      <c r="O43" s="192">
        <f>N43/N40-1</f>
        <v>-0.36885003182098108</v>
      </c>
      <c r="P43" s="129" t="s">
        <v>835</v>
      </c>
      <c r="Q43" s="116">
        <v>374769608</v>
      </c>
      <c r="R43" s="116">
        <v>543098032711</v>
      </c>
      <c r="S43" s="116">
        <v>35356.32</v>
      </c>
      <c r="T43" s="130">
        <f t="shared" ref="T43" si="33">Q43/S43</f>
        <v>10599.791154735562</v>
      </c>
      <c r="U43" s="85">
        <f>Q41+Q42+Q43</f>
        <v>1190078299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8707972.7727272734</v>
      </c>
      <c r="G44" s="190">
        <f t="shared" ref="G44" si="34">F44/F43-1</f>
        <v>-0.53528927710022445</v>
      </c>
      <c r="H44" s="190">
        <f t="shared" ref="H44" si="35">F44/F32-1</f>
        <v>-0.20200442521203854</v>
      </c>
      <c r="I44" s="130">
        <f t="shared" si="0"/>
        <v>9951.6018370231541</v>
      </c>
      <c r="J44" s="130">
        <f t="shared" si="4"/>
        <v>-0.2374566051768876</v>
      </c>
      <c r="K44" s="136"/>
      <c r="L44" s="190"/>
      <c r="M44" s="190"/>
      <c r="N44" s="191"/>
      <c r="O44" s="192"/>
      <c r="P44" s="129" t="s">
        <v>843</v>
      </c>
      <c r="Q44" s="116">
        <v>191575401</v>
      </c>
      <c r="R44" s="116">
        <v>278779646022</v>
      </c>
      <c r="S44" s="116">
        <v>19250.71</v>
      </c>
      <c r="T44" s="130">
        <f t="shared" ref="T44" si="36">Q44/S44</f>
        <v>9951.6018370231541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14881304.75</v>
      </c>
      <c r="G45" s="190">
        <f t="shared" ref="G45" si="37">F45/F44-1</f>
        <v>0.70892871835878335</v>
      </c>
      <c r="H45" s="190">
        <f t="shared" ref="H45" si="38">F45/F33-1</f>
        <v>0.23828283689927154</v>
      </c>
      <c r="I45" s="130">
        <f t="shared" si="0"/>
        <v>8619.2508975427154</v>
      </c>
      <c r="J45" s="130">
        <f t="shared" si="4"/>
        <v>-0.40402849186013035</v>
      </c>
      <c r="K45" s="136"/>
      <c r="L45" s="190"/>
      <c r="M45" s="190"/>
      <c r="N45" s="191"/>
      <c r="O45" s="192"/>
      <c r="P45" s="129" t="s">
        <v>849</v>
      </c>
      <c r="Q45" s="116">
        <v>297626095</v>
      </c>
      <c r="R45" s="116">
        <v>420776613937</v>
      </c>
      <c r="S45" s="116">
        <v>34530.39</v>
      </c>
      <c r="T45" s="130">
        <f t="shared" ref="T45" si="39">Q45/S45</f>
        <v>8619.2508975427154</v>
      </c>
      <c r="U45" s="85"/>
    </row>
    <row r="46" spans="1:21" s="79" customFormat="1" ht="13.2">
      <c r="A46" s="129" t="s">
        <v>893</v>
      </c>
      <c r="B46" s="188">
        <f>SUM(F44:F46)</f>
        <v>38173635.996411487</v>
      </c>
      <c r="C46" s="188">
        <f>AVERAGE(F44:F46)</f>
        <v>12724545.332137162</v>
      </c>
      <c r="D46" s="190">
        <f>C46/C43-1</f>
        <v>-0.38470724687684388</v>
      </c>
      <c r="E46" s="287">
        <f>C46/C34-1</f>
        <v>-0.14801571614460629</v>
      </c>
      <c r="F46" s="136">
        <f>Q46/19</f>
        <v>14584358.47368421</v>
      </c>
      <c r="G46" s="190">
        <f t="shared" ref="G46" si="40">F46/F45-1</f>
        <v>-1.9954317266151711E-2</v>
      </c>
      <c r="H46" s="190">
        <f t="shared" ref="H46" si="41">F46/F34-1</f>
        <v>-0.33330359976146329</v>
      </c>
      <c r="I46" s="130">
        <f t="shared" si="0"/>
        <v>12477.2245008598</v>
      </c>
      <c r="J46" s="130">
        <f t="shared" si="4"/>
        <v>-0.1752259926923343</v>
      </c>
      <c r="K46" s="136">
        <f>R44+R45+R46</f>
        <v>1079282618112</v>
      </c>
      <c r="L46" s="190">
        <f>U46/U43-1</f>
        <v>-0.35608916854974093</v>
      </c>
      <c r="M46" s="190">
        <f>K46/K34-1</f>
        <v>-0.12134632998156558</v>
      </c>
      <c r="N46" s="191">
        <f>AVERAGE(T44:T46)</f>
        <v>10349.359078475223</v>
      </c>
      <c r="O46" s="192">
        <f>N46/N43-1</f>
        <v>7.2189190201276121E-2</v>
      </c>
      <c r="P46" s="129" t="s">
        <v>946</v>
      </c>
      <c r="Q46" s="116">
        <v>277102811</v>
      </c>
      <c r="R46" s="116">
        <v>379726358153</v>
      </c>
      <c r="S46" s="116">
        <v>22208.69</v>
      </c>
      <c r="T46" s="130">
        <f t="shared" ref="T46" si="42">Q46/S46</f>
        <v>12477.2245008598</v>
      </c>
      <c r="U46" s="85">
        <f t="shared" ref="U46:U51" si="43">Q44+Q45+Q46</f>
        <v>766304307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10245923.130434783</v>
      </c>
      <c r="G47" s="190">
        <f t="shared" ref="G47" si="44">F47/F46-1</f>
        <v>-0.2974717983706745</v>
      </c>
      <c r="H47" s="190">
        <f t="shared" ref="H47" si="45">F47/F35-1</f>
        <v>-0.25328665354980706</v>
      </c>
      <c r="I47" s="130">
        <f t="shared" si="0"/>
        <v>6172.192734946364</v>
      </c>
      <c r="J47" s="130">
        <f t="shared" si="4"/>
        <v>-0.60888888451201417</v>
      </c>
      <c r="K47" s="136"/>
      <c r="L47" s="190"/>
      <c r="M47" s="190"/>
      <c r="N47" s="191"/>
      <c r="O47" s="192"/>
      <c r="P47" s="129" t="s">
        <v>991</v>
      </c>
      <c r="Q47" s="116">
        <v>235656232</v>
      </c>
      <c r="R47" s="116">
        <v>323461778902</v>
      </c>
      <c r="S47" s="116">
        <v>38180.31</v>
      </c>
      <c r="T47" s="130">
        <f t="shared" ref="T47" si="46">Q47/S47</f>
        <v>6172.192734946364</v>
      </c>
      <c r="U47" s="85">
        <f t="shared" si="43"/>
        <v>810385138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15230477.699999999</v>
      </c>
      <c r="G48" s="190">
        <f t="shared" ref="G48" si="47">F48/F47-1</f>
        <v>0.48649150555882592</v>
      </c>
      <c r="H48" s="190">
        <f t="shared" ref="H48" si="48">F48/F36-1</f>
        <v>9.5740275499581973E-2</v>
      </c>
      <c r="I48" s="130">
        <f t="shared" si="0"/>
        <v>18065.228136036509</v>
      </c>
      <c r="J48" s="130">
        <f t="shared" si="4"/>
        <v>0.20824566145011669</v>
      </c>
      <c r="K48" s="136"/>
      <c r="L48" s="190"/>
      <c r="M48" s="190"/>
      <c r="N48" s="191"/>
      <c r="O48" s="192"/>
      <c r="P48" s="129" t="s">
        <v>1070</v>
      </c>
      <c r="Q48" s="116">
        <v>304609554</v>
      </c>
      <c r="R48" s="116">
        <v>422697712616</v>
      </c>
      <c r="S48" s="116">
        <v>16861.650000000001</v>
      </c>
      <c r="T48" s="130">
        <f t="shared" ref="T48" si="49">Q48/S48</f>
        <v>18065.228136036509</v>
      </c>
      <c r="U48" s="85">
        <f t="shared" si="43"/>
        <v>817368597</v>
      </c>
    </row>
    <row r="49" spans="1:26" ht="13.2">
      <c r="A49" s="129" t="s">
        <v>1207</v>
      </c>
      <c r="B49" s="188">
        <f>SUM(F47:F49)</f>
        <v>39429446.694071144</v>
      </c>
      <c r="C49" s="188">
        <f>AVERAGE(F47:F49)</f>
        <v>13143148.898023715</v>
      </c>
      <c r="D49" s="190">
        <f>C49/C46-1</f>
        <v>3.2897329921040663E-2</v>
      </c>
      <c r="E49" s="287">
        <f>C49/C37-1</f>
        <v>-0.11161828574557364</v>
      </c>
      <c r="F49" s="136">
        <f>Q49/22</f>
        <v>13953045.863636363</v>
      </c>
      <c r="G49" s="190">
        <f t="shared" ref="G49" si="50">F49/F48-1</f>
        <v>-8.3873392648980194E-2</v>
      </c>
      <c r="H49" s="190">
        <f t="shared" ref="H49" si="51">F49/F37-1</f>
        <v>-0.1675973536744485</v>
      </c>
      <c r="I49" s="130">
        <f t="shared" si="0"/>
        <v>18892.032982757166</v>
      </c>
      <c r="J49" s="130">
        <f t="shared" si="4"/>
        <v>0.19360652674030088</v>
      </c>
      <c r="K49" s="136">
        <f>R47+R48+R49</f>
        <v>1172657590128</v>
      </c>
      <c r="L49" s="190">
        <f>U49/U46-1</f>
        <v>0.105608812661939</v>
      </c>
      <c r="M49" s="190">
        <f>K49/K37-1</f>
        <v>-5.3021788365028355E-2</v>
      </c>
      <c r="N49" s="191">
        <f>AVERAGE(T47:T49)</f>
        <v>14376.484617913346</v>
      </c>
      <c r="O49" s="192">
        <f>N49/N46-1</f>
        <v>0.38911835108840775</v>
      </c>
      <c r="P49" s="129" t="s">
        <v>1158</v>
      </c>
      <c r="Q49" s="116">
        <v>306967009</v>
      </c>
      <c r="R49" s="116">
        <v>426498098610</v>
      </c>
      <c r="S49" s="116">
        <v>16248.49</v>
      </c>
      <c r="T49" s="130">
        <f t="shared" ref="T49" si="52">Q49/S49</f>
        <v>18892.032982757166</v>
      </c>
      <c r="U49" s="85">
        <f t="shared" si="43"/>
        <v>847232795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12109278.166666666</v>
      </c>
      <c r="G50" s="190">
        <f t="shared" ref="G50" si="53">F50/F49-1</f>
        <v>-0.13214087554709619</v>
      </c>
      <c r="H50" s="190">
        <f t="shared" ref="H50" si="54">F50/F38-1</f>
        <v>-0.20676589977013071</v>
      </c>
      <c r="I50" s="130">
        <f t="shared" ref="I50" si="55">T50</f>
        <v>20065.213252778027</v>
      </c>
      <c r="J50" s="130">
        <f t="shared" ref="J50" si="56">I50/I38-1</f>
        <v>4.7936690257033954E-2</v>
      </c>
      <c r="K50" s="136"/>
      <c r="L50" s="190"/>
      <c r="M50" s="190"/>
      <c r="N50" s="191"/>
      <c r="O50" s="192"/>
      <c r="P50" s="129" t="s">
        <v>1357</v>
      </c>
      <c r="Q50" s="116">
        <v>217967007</v>
      </c>
      <c r="R50" s="116">
        <v>308126802206</v>
      </c>
      <c r="S50" s="116">
        <v>10862.93</v>
      </c>
      <c r="T50" s="130">
        <f t="shared" ref="T50" si="57">Q50/S50</f>
        <v>20065.213252778027</v>
      </c>
      <c r="U50" s="85">
        <f t="shared" si="43"/>
        <v>829543570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16521048.800000001</v>
      </c>
      <c r="G51" s="190">
        <f t="shared" ref="G51:G52" si="58">F51/F50-1</f>
        <v>0.36432977858892213</v>
      </c>
      <c r="H51" s="190">
        <f t="shared" ref="H51:H52" si="59">F51/F39-1</f>
        <v>5.446733469296916E-3</v>
      </c>
      <c r="I51" s="130">
        <f t="shared" ref="I51:I52" si="60">T51</f>
        <v>25479.835347788467</v>
      </c>
      <c r="J51" s="130">
        <f t="shared" ref="J51:J52" si="61">I51/I39-1</f>
        <v>0.579129615378422</v>
      </c>
      <c r="K51" s="136"/>
      <c r="L51" s="190"/>
      <c r="M51" s="190"/>
      <c r="N51" s="191"/>
      <c r="O51" s="192"/>
      <c r="P51" s="129" t="s">
        <v>1402</v>
      </c>
      <c r="Q51" s="116">
        <v>330420976</v>
      </c>
      <c r="R51" s="116">
        <v>480613848955</v>
      </c>
      <c r="S51" s="116">
        <v>12967.94</v>
      </c>
      <c r="T51" s="130">
        <f t="shared" ref="T51:T52" si="62">Q51/S51</f>
        <v>25479.835347788467</v>
      </c>
      <c r="U51" s="85">
        <f t="shared" si="43"/>
        <v>855354992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53148214.239393942</v>
      </c>
      <c r="C52" s="188">
        <f>AVERAGE(F50:F52)</f>
        <v>17716071.413131315</v>
      </c>
      <c r="D52" s="190">
        <f>C52/C49-1</f>
        <v>0.34793203292364838</v>
      </c>
      <c r="E52" s="287">
        <f>C52/C40-1</f>
        <v>8.7812057236946517E-2</v>
      </c>
      <c r="F52" s="136">
        <f>Q52/22</f>
        <v>24517887.272727273</v>
      </c>
      <c r="G52" s="190">
        <f t="shared" si="58"/>
        <v>0.4840393954121891</v>
      </c>
      <c r="H52" s="190">
        <f t="shared" si="59"/>
        <v>0.42872757570884445</v>
      </c>
      <c r="I52" s="130">
        <f t="shared" si="60"/>
        <v>25973.438782074743</v>
      </c>
      <c r="J52" s="130">
        <f t="shared" si="61"/>
        <v>1.4507745133727226</v>
      </c>
      <c r="K52" s="136">
        <f>R50+R51+R52</f>
        <v>1582486617212</v>
      </c>
      <c r="L52" s="190">
        <f>U52/U49-1</f>
        <v>0.28392280069847864</v>
      </c>
      <c r="M52" s="190">
        <f>K52/K40-1</f>
        <v>0.12792541826602655</v>
      </c>
      <c r="N52" s="191">
        <f>AVERAGE(T50:T52)</f>
        <v>23839.495794213744</v>
      </c>
      <c r="O52" s="192">
        <f>N52/N49-1</f>
        <v>0.65822844929067892</v>
      </c>
      <c r="P52" s="129" t="s">
        <v>1403</v>
      </c>
      <c r="Q52" s="116">
        <v>539393520</v>
      </c>
      <c r="R52" s="116">
        <v>793745966051</v>
      </c>
      <c r="S52" s="116">
        <v>20767.12</v>
      </c>
      <c r="T52" s="130">
        <f t="shared" si="62"/>
        <v>25973.438782074743</v>
      </c>
      <c r="U52" s="85">
        <f t="shared" ref="U52" si="63">Q50+Q51+Q52</f>
        <v>1087781503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28344826.714285713</v>
      </c>
      <c r="G53" s="190">
        <f t="shared" ref="G53" si="64">F53/F52-1</f>
        <v>0.1560876513946361</v>
      </c>
      <c r="H53" s="190">
        <f t="shared" ref="H53" si="65">F53/F41-1</f>
        <v>0.11703537095843242</v>
      </c>
      <c r="I53" s="130">
        <f t="shared" ref="I53" si="66">T53</f>
        <v>38145.27398669238</v>
      </c>
      <c r="J53" s="130">
        <f t="shared" ref="J53" si="67">I53/I41-1</f>
        <v>3.2473852520651434</v>
      </c>
      <c r="K53" s="136"/>
      <c r="L53" s="190"/>
      <c r="M53" s="190"/>
      <c r="N53" s="191"/>
      <c r="O53" s="192"/>
      <c r="P53" s="129" t="s">
        <v>1414</v>
      </c>
      <c r="Q53" s="116">
        <v>595241361</v>
      </c>
      <c r="R53" s="116">
        <v>867742072911</v>
      </c>
      <c r="S53" s="116">
        <v>15604.59</v>
      </c>
      <c r="T53" s="130">
        <f t="shared" ref="T53" si="68">Q53/S53</f>
        <v>38145.27398669238</v>
      </c>
      <c r="U53" s="85">
        <f t="shared" ref="U53" si="69">Q51+Q52+Q53</f>
        <v>1465055857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50439437.705882356</v>
      </c>
      <c r="G54" s="190">
        <f t="shared" ref="G54" si="70">F54/F53-1</f>
        <v>0.77949359910748806</v>
      </c>
      <c r="H54" s="190">
        <f t="shared" ref="H54" si="71">F54/F42-1</f>
        <v>1.8134618839008194</v>
      </c>
      <c r="I54" s="130">
        <f t="shared" ref="I54" si="72">T54</f>
        <v>41926.753075427237</v>
      </c>
      <c r="J54" s="130">
        <f t="shared" ref="J54" si="73">I54/I42-1</f>
        <v>3.4712460161963499</v>
      </c>
      <c r="K54" s="136"/>
      <c r="L54" s="190"/>
      <c r="M54" s="190"/>
      <c r="N54" s="191"/>
      <c r="O54" s="192"/>
      <c r="P54" s="129" t="s">
        <v>1417</v>
      </c>
      <c r="Q54" s="116">
        <v>857470441</v>
      </c>
      <c r="R54" s="116">
        <v>1243797950900</v>
      </c>
      <c r="S54" s="116">
        <v>20451.63</v>
      </c>
      <c r="T54" s="130">
        <f t="shared" ref="T54" si="74">Q54/S54</f>
        <v>41926.753075427237</v>
      </c>
      <c r="U54" s="85">
        <f t="shared" ref="U54" si="75">Q52+Q53+Q54</f>
        <v>1992105322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137713062.75350142</v>
      </c>
      <c r="C55" s="188">
        <f>AVERAGE(F53:F55)</f>
        <v>45904354.251167141</v>
      </c>
      <c r="D55" s="190">
        <f>C55/C52-1</f>
        <v>1.5911136380463229</v>
      </c>
      <c r="E55" s="287">
        <f>C55/C43-1</f>
        <v>1.2196955388422852</v>
      </c>
      <c r="F55" s="136">
        <f>Q55/21</f>
        <v>58928798.333333336</v>
      </c>
      <c r="G55" s="190">
        <f t="shared" ref="G55" si="76">F55/F54-1</f>
        <v>0.16830799496523596</v>
      </c>
      <c r="H55" s="190">
        <f t="shared" ref="H55" si="77">F55/F43-1</f>
        <v>2.1448013433006734</v>
      </c>
      <c r="I55" s="130">
        <f>T55</f>
        <v>42489.492346083913</v>
      </c>
      <c r="J55" s="130">
        <f t="shared" ref="J55" si="78">I55/I43-1</f>
        <v>3.0085216515894571</v>
      </c>
      <c r="K55" s="136">
        <f>R53+R54+R55</f>
        <v>3929216751942</v>
      </c>
      <c r="L55" s="190">
        <f>U55/U52-1</f>
        <v>1.4731221845385618</v>
      </c>
      <c r="M55" s="190">
        <f>K55/K43-1</f>
        <v>1.2736207827618036</v>
      </c>
      <c r="N55" s="191">
        <f>AVERAGE(T53:T55)</f>
        <v>40853.839802734517</v>
      </c>
      <c r="O55" s="192">
        <f>N55/N52-1</f>
        <v>0.7137040210661858</v>
      </c>
      <c r="P55" s="129" t="s">
        <v>1418</v>
      </c>
      <c r="Q55" s="116">
        <v>1237504765</v>
      </c>
      <c r="R55" s="116">
        <v>1817676728131</v>
      </c>
      <c r="S55" s="116">
        <v>29124.959999999999</v>
      </c>
      <c r="T55" s="130">
        <f t="shared" ref="T55" si="79">Q55/S55</f>
        <v>42489.492346083913</v>
      </c>
      <c r="U55" s="85">
        <f t="shared" ref="U55" si="80">Q53+Q54+Q55</f>
        <v>2690216567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65767332.5</v>
      </c>
      <c r="G56" s="190">
        <f t="shared" ref="G56" si="81">F56/F55-1</f>
        <v>0.11604740568413074</v>
      </c>
      <c r="H56" s="190">
        <f t="shared" ref="H56" si="82">F56/F44-1</f>
        <v>6.5525422755085341</v>
      </c>
      <c r="I56" s="291">
        <f>T56</f>
        <v>48653.309671605253</v>
      </c>
      <c r="J56" s="130">
        <f t="shared" ref="J56" si="83">I56/I44-1</f>
        <v>3.888992794164988</v>
      </c>
      <c r="K56" s="136"/>
      <c r="L56" s="190"/>
      <c r="M56" s="190"/>
      <c r="N56" s="191"/>
      <c r="O56" s="192"/>
      <c r="P56" s="129" t="s">
        <v>1420</v>
      </c>
      <c r="Q56" s="116">
        <v>1446881315</v>
      </c>
      <c r="R56" s="116">
        <v>2163533054368</v>
      </c>
      <c r="S56" s="116">
        <v>29738.6</v>
      </c>
      <c r="T56" s="130">
        <f t="shared" ref="T56" si="84">Q56/S56</f>
        <v>48653.309671605253</v>
      </c>
      <c r="U56" s="85">
        <f t="shared" ref="U56" si="85">Q54+Q55+Q56</f>
        <v>3541856521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93914175.416666672</v>
      </c>
      <c r="G57" s="254">
        <f t="shared" ref="G57" si="86">F57/F56-1</f>
        <v>0.42797604595969707</v>
      </c>
      <c r="H57" s="254">
        <f t="shared" ref="H57" si="87">F57/F45-1</f>
        <v>5.3108831513356831</v>
      </c>
      <c r="I57" s="282">
        <f>T57</f>
        <v>58333.74854744078</v>
      </c>
      <c r="J57" s="277">
        <f t="shared" ref="J57" si="88">I57/I45-1</f>
        <v>5.7678443568769184</v>
      </c>
      <c r="K57" s="204"/>
      <c r="L57" s="254"/>
      <c r="M57" s="254"/>
      <c r="N57" s="257"/>
      <c r="O57" s="258"/>
      <c r="P57" s="129" t="s">
        <v>1436</v>
      </c>
      <c r="Q57" s="116">
        <v>1126970105</v>
      </c>
      <c r="R57" s="116">
        <v>1661482565571</v>
      </c>
      <c r="S57" s="116">
        <v>19319.349999999999</v>
      </c>
      <c r="T57" s="130">
        <f t="shared" ref="T57" si="89">Q57/S57</f>
        <v>58333.74854744078</v>
      </c>
      <c r="U57" s="85">
        <f t="shared" ref="U57" si="90">Q55+Q56+Q57</f>
        <v>3811356185</v>
      </c>
      <c r="V57" s="79"/>
      <c r="W57" s="79"/>
      <c r="X57" s="79"/>
      <c r="Y57" s="79"/>
      <c r="Z57" s="79"/>
    </row>
    <row r="58" spans="1:26">
      <c r="B58" s="196">
        <f>SUM(F56:F58)</f>
        <v>159681507.91666669</v>
      </c>
      <c r="C58" s="196">
        <f>AVERAGE(F56:F58)</f>
        <v>79840753.958333343</v>
      </c>
      <c r="D58" s="197">
        <f>C58/C55-1</f>
        <v>0.73928498201896287</v>
      </c>
      <c r="E58" s="233">
        <f>C58/C46-1</f>
        <v>5.2745467027955195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5264067987</v>
      </c>
      <c r="R65" s="212">
        <v>7754232371881</v>
      </c>
      <c r="S65" s="213">
        <v>114239.13</v>
      </c>
    </row>
    <row r="66" spans="16:19" ht="18" thickBot="1">
      <c r="P66" s="180" t="s">
        <v>976</v>
      </c>
      <c r="Q66" s="181">
        <v>595241361</v>
      </c>
      <c r="R66" s="181">
        <v>867742072911</v>
      </c>
      <c r="S66" s="182">
        <v>15604.59</v>
      </c>
    </row>
    <row r="67" spans="16:19" ht="18" thickBot="1">
      <c r="P67" s="180" t="s">
        <v>977</v>
      </c>
      <c r="Q67" s="181">
        <v>857470441</v>
      </c>
      <c r="R67" s="181">
        <v>1243797950900</v>
      </c>
      <c r="S67" s="182">
        <v>20451.63</v>
      </c>
    </row>
    <row r="68" spans="16:19" ht="18" thickBot="1">
      <c r="P68" s="180" t="s">
        <v>978</v>
      </c>
      <c r="Q68" s="181">
        <v>1237504765</v>
      </c>
      <c r="R68" s="181">
        <v>1817676728131</v>
      </c>
      <c r="S68" s="182">
        <v>29124.959999999999</v>
      </c>
    </row>
    <row r="69" spans="16:19" ht="18" thickBot="1">
      <c r="P69" s="180" t="s">
        <v>979</v>
      </c>
      <c r="Q69" s="181">
        <v>1446881315</v>
      </c>
      <c r="R69" s="181">
        <v>2163533054368</v>
      </c>
      <c r="S69" s="182">
        <v>29738.6</v>
      </c>
    </row>
    <row r="70" spans="16:19" ht="18" thickBot="1">
      <c r="P70" s="180" t="s">
        <v>980</v>
      </c>
      <c r="Q70" s="181">
        <v>1126970105</v>
      </c>
      <c r="R70" s="181">
        <v>1661482565571</v>
      </c>
      <c r="S70" s="182">
        <v>19319.349999999999</v>
      </c>
    </row>
    <row r="71" spans="16:19" ht="18" thickBot="1">
      <c r="P71" s="180" t="s">
        <v>975</v>
      </c>
      <c r="Q71" s="181">
        <v>3891396904</v>
      </c>
      <c r="R71" s="181">
        <v>5562602773584</v>
      </c>
      <c r="S71" s="182">
        <v>316330.71000000002</v>
      </c>
    </row>
    <row r="72" spans="16:19" ht="18" thickBot="1">
      <c r="P72" s="180" t="s">
        <v>982</v>
      </c>
      <c r="Q72" s="210" t="s">
        <v>1469</v>
      </c>
      <c r="R72"/>
      <c r="S72"/>
    </row>
    <row r="73" spans="16:19" ht="18" thickBot="1">
      <c r="P73" s="180" t="s">
        <v>1386</v>
      </c>
      <c r="Q73" s="181">
        <v>2294006</v>
      </c>
      <c r="R73"/>
      <c r="S73"/>
    </row>
  </sheetData>
  <phoneticPr fontId="1" type="noConversion"/>
  <conditionalFormatting sqref="C29:C30">
    <cfRule type="cellIs" dxfId="24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7">
    <tabColor rgb="FFFF0000"/>
  </sheetPr>
  <dimension ref="A1:Z72"/>
  <sheetViews>
    <sheetView zoomScale="115" zoomScaleNormal="115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8542900000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1880664.2</v>
      </c>
      <c r="G5" s="90"/>
      <c r="H5" s="90"/>
      <c r="I5" s="130">
        <f t="shared" ref="I5:I49" si="0">T5</f>
        <v>80.872192691482056</v>
      </c>
      <c r="J5" s="130"/>
      <c r="L5" s="80"/>
      <c r="M5" s="80"/>
      <c r="P5" s="129" t="s">
        <v>0</v>
      </c>
      <c r="Q5" s="116">
        <v>37613284</v>
      </c>
      <c r="R5" s="116">
        <v>44389315072</v>
      </c>
      <c r="S5" s="116">
        <v>465095.39</v>
      </c>
      <c r="T5" s="130">
        <f t="shared" ref="T5:T17" si="1">Q5/S5</f>
        <v>80.872192691482056</v>
      </c>
      <c r="U5" s="85"/>
    </row>
    <row r="6" spans="1:21" ht="15" hidden="1" customHeight="1">
      <c r="A6" s="129" t="s">
        <v>1</v>
      </c>
      <c r="C6" s="79"/>
      <c r="F6" s="78">
        <f>Q6/18</f>
        <v>2119512.888888889</v>
      </c>
      <c r="G6" s="90">
        <f t="shared" ref="G6:G16" si="2">F6/F5-1</f>
        <v>0.12700230529665468</v>
      </c>
      <c r="H6" s="90"/>
      <c r="I6" s="130">
        <f t="shared" si="0"/>
        <v>82.381868593221597</v>
      </c>
      <c r="J6" s="130"/>
      <c r="P6" s="129" t="s">
        <v>1</v>
      </c>
      <c r="Q6" s="116">
        <v>38151232</v>
      </c>
      <c r="R6" s="116">
        <v>45347948325</v>
      </c>
      <c r="S6" s="116">
        <v>463102.29</v>
      </c>
      <c r="T6" s="130">
        <f t="shared" si="1"/>
        <v>82.381868593221597</v>
      </c>
      <c r="U6" s="85"/>
    </row>
    <row r="7" spans="1:21" ht="15" hidden="1" customHeight="1">
      <c r="A7" s="129" t="s">
        <v>2</v>
      </c>
      <c r="B7" s="131">
        <f>F5+F6+F7</f>
        <v>5982867.8161616167</v>
      </c>
      <c r="C7" s="131">
        <f>AVERAGE(F5:F7)</f>
        <v>1994289.2720538722</v>
      </c>
      <c r="F7" s="78">
        <f>Q7/22</f>
        <v>1982690.7272727273</v>
      </c>
      <c r="G7" s="90">
        <f t="shared" si="2"/>
        <v>-6.4553587917971056E-2</v>
      </c>
      <c r="H7" s="90"/>
      <c r="I7" s="130">
        <f t="shared" si="0"/>
        <v>82.561158703055753</v>
      </c>
      <c r="J7" s="130"/>
      <c r="K7" s="79">
        <f>R5+R6+R7</f>
        <v>142318345816</v>
      </c>
      <c r="N7" s="88">
        <f>AVERAGE(T5:T7)</f>
        <v>81.938406662586473</v>
      </c>
      <c r="P7" s="129" t="s">
        <v>2</v>
      </c>
      <c r="Q7" s="116">
        <v>43619196</v>
      </c>
      <c r="R7" s="116">
        <v>52581082419</v>
      </c>
      <c r="S7" s="116">
        <v>528325.87</v>
      </c>
      <c r="T7" s="130">
        <f t="shared" si="1"/>
        <v>82.561158703055753</v>
      </c>
      <c r="U7" s="85">
        <f>Q5+Q6+Q7</f>
        <v>119383712</v>
      </c>
    </row>
    <row r="8" spans="1:21" ht="15" hidden="1" customHeight="1">
      <c r="A8" s="129" t="s">
        <v>3</v>
      </c>
      <c r="C8" s="79"/>
      <c r="F8" s="78">
        <f>Q8/21</f>
        <v>1979626.857142857</v>
      </c>
      <c r="G8" s="90">
        <f t="shared" si="2"/>
        <v>-1.5453091537300789E-3</v>
      </c>
      <c r="H8" s="90"/>
      <c r="I8" s="130">
        <f t="shared" si="0"/>
        <v>84.568271644292267</v>
      </c>
      <c r="J8" s="130"/>
      <c r="K8" s="78"/>
      <c r="P8" s="129" t="s">
        <v>3</v>
      </c>
      <c r="Q8" s="116">
        <v>41572164</v>
      </c>
      <c r="R8" s="116">
        <v>50398800211</v>
      </c>
      <c r="S8" s="116">
        <v>491581.1</v>
      </c>
      <c r="T8" s="130">
        <f t="shared" si="1"/>
        <v>84.568271644292267</v>
      </c>
      <c r="U8" s="85"/>
    </row>
    <row r="9" spans="1:21" ht="15" hidden="1" customHeight="1">
      <c r="A9" s="129" t="s">
        <v>4</v>
      </c>
      <c r="C9" s="79"/>
      <c r="F9" s="78">
        <f>Q9/21</f>
        <v>2126909.7619047621</v>
      </c>
      <c r="G9" s="90">
        <f t="shared" si="2"/>
        <v>7.4399326433909119E-2</v>
      </c>
      <c r="H9" s="90"/>
      <c r="I9" s="130">
        <f t="shared" si="0"/>
        <v>86.811274947638822</v>
      </c>
      <c r="J9" s="130"/>
      <c r="K9" s="78"/>
      <c r="P9" s="129" t="s">
        <v>4</v>
      </c>
      <c r="Q9" s="116">
        <v>44665105</v>
      </c>
      <c r="R9" s="116">
        <v>56153597880</v>
      </c>
      <c r="S9" s="116">
        <v>514508.11</v>
      </c>
      <c r="T9" s="130">
        <f t="shared" si="1"/>
        <v>86.811274947638822</v>
      </c>
      <c r="U9" s="85"/>
    </row>
    <row r="10" spans="1:21" ht="15" hidden="1" customHeight="1">
      <c r="A10" s="129" t="s">
        <v>5</v>
      </c>
      <c r="B10" s="131">
        <f>F8+F9+F10</f>
        <v>6174206.2857142864</v>
      </c>
      <c r="C10" s="131">
        <f>AVERAGE(F8:F10)</f>
        <v>2058068.7619047621</v>
      </c>
      <c r="D10" s="90">
        <f>C10/C7-1</f>
        <v>3.1981062499125246E-2</v>
      </c>
      <c r="E10" s="286"/>
      <c r="F10" s="78">
        <f>Q10/21</f>
        <v>2067669.6666666667</v>
      </c>
      <c r="G10" s="90">
        <f t="shared" si="2"/>
        <v>-2.7852660370998872E-2</v>
      </c>
      <c r="H10" s="90"/>
      <c r="I10" s="130">
        <f t="shared" si="0"/>
        <v>78.739082314654013</v>
      </c>
      <c r="J10" s="130"/>
      <c r="K10" s="79">
        <f>R8+R9+R10</f>
        <v>161151964002</v>
      </c>
      <c r="L10" s="87">
        <f>U10/U7-1</f>
        <v>8.6063834235611703E-2</v>
      </c>
      <c r="N10" s="88">
        <f>AVERAGE(T8:T10)</f>
        <v>83.372876302195039</v>
      </c>
      <c r="O10" s="89">
        <f>N10/N7-1</f>
        <v>1.7506682129121209E-2</v>
      </c>
      <c r="P10" s="129" t="s">
        <v>5</v>
      </c>
      <c r="Q10" s="116">
        <v>43421063</v>
      </c>
      <c r="R10" s="116">
        <v>54599565911</v>
      </c>
      <c r="S10" s="116">
        <v>551455.03</v>
      </c>
      <c r="T10" s="130">
        <f t="shared" si="1"/>
        <v>78.739082314654013</v>
      </c>
      <c r="U10" s="85">
        <f>Q8+Q9+Q10</f>
        <v>129658332</v>
      </c>
    </row>
    <row r="11" spans="1:21" ht="15" hidden="1" customHeight="1">
      <c r="A11" s="129" t="s">
        <v>6</v>
      </c>
      <c r="C11" s="79"/>
      <c r="F11" s="78">
        <f>Q11/21</f>
        <v>1870856.8095238095</v>
      </c>
      <c r="G11" s="90">
        <f t="shared" si="2"/>
        <v>-9.5185831816231747E-2</v>
      </c>
      <c r="H11" s="90"/>
      <c r="I11" s="130">
        <f t="shared" si="0"/>
        <v>89.143945465714239</v>
      </c>
      <c r="J11" s="130"/>
      <c r="K11" s="78"/>
      <c r="O11" s="89"/>
      <c r="P11" s="129" t="s">
        <v>6</v>
      </c>
      <c r="Q11" s="116">
        <v>39287993</v>
      </c>
      <c r="R11" s="116">
        <v>50728084179</v>
      </c>
      <c r="S11" s="116">
        <v>440725.31</v>
      </c>
      <c r="T11" s="130">
        <f t="shared" si="1"/>
        <v>89.143945465714239</v>
      </c>
      <c r="U11" s="85"/>
    </row>
    <row r="12" spans="1:21" ht="15" hidden="1" customHeight="1">
      <c r="A12" s="129" t="s">
        <v>7</v>
      </c>
      <c r="C12" s="79"/>
      <c r="F12" s="78">
        <f>Q12/22</f>
        <v>1839025.4090909092</v>
      </c>
      <c r="G12" s="90">
        <f t="shared" si="2"/>
        <v>-1.7014343519428654E-2</v>
      </c>
      <c r="H12" s="90"/>
      <c r="I12" s="130">
        <f t="shared" si="0"/>
        <v>82.19145208113386</v>
      </c>
      <c r="J12" s="130"/>
      <c r="K12" s="78"/>
      <c r="O12" s="89"/>
      <c r="P12" s="129" t="s">
        <v>7</v>
      </c>
      <c r="Q12" s="116">
        <v>40458559</v>
      </c>
      <c r="R12" s="116">
        <v>52632013264</v>
      </c>
      <c r="S12" s="116">
        <v>492247.77</v>
      </c>
      <c r="T12" s="130">
        <f t="shared" si="1"/>
        <v>82.19145208113386</v>
      </c>
      <c r="U12" s="85"/>
    </row>
    <row r="13" spans="1:21" ht="15" hidden="1" customHeight="1">
      <c r="A13" s="129" t="s">
        <v>96</v>
      </c>
      <c r="B13" s="131">
        <f>F11+F12+F13</f>
        <v>5625131.4686147189</v>
      </c>
      <c r="C13" s="131">
        <f>AVERAGE(F11:F13)</f>
        <v>1875043.822871573</v>
      </c>
      <c r="D13" s="90">
        <f>C13/C10-1</f>
        <v>-8.8930429546871803E-2</v>
      </c>
      <c r="E13" s="286"/>
      <c r="F13" s="78">
        <f>Q13/20</f>
        <v>1915249.25</v>
      </c>
      <c r="G13" s="90">
        <f t="shared" si="2"/>
        <v>4.144795418937175E-2</v>
      </c>
      <c r="H13" s="90"/>
      <c r="I13" s="130">
        <f t="shared" si="0"/>
        <v>79.673319916677954</v>
      </c>
      <c r="J13" s="130"/>
      <c r="K13" s="78">
        <f>R11+R12+R13</f>
        <v>155680249730</v>
      </c>
      <c r="L13" s="87">
        <f>U13/U10-1</f>
        <v>-8.9518311865989464E-2</v>
      </c>
      <c r="N13" s="88">
        <f>AVERAGE(T11:T13)</f>
        <v>83.669572487842018</v>
      </c>
      <c r="O13" s="89">
        <f>N13/N10-1</f>
        <v>3.558665585334575E-3</v>
      </c>
      <c r="P13" s="129" t="s">
        <v>96</v>
      </c>
      <c r="Q13" s="116">
        <v>38304985</v>
      </c>
      <c r="R13" s="116">
        <v>52320152287</v>
      </c>
      <c r="S13" s="116">
        <v>480775.56</v>
      </c>
      <c r="T13" s="130">
        <f t="shared" si="1"/>
        <v>79.673319916677954</v>
      </c>
      <c r="U13" s="85">
        <f>Q11+Q12+Q13</f>
        <v>118051537</v>
      </c>
    </row>
    <row r="14" spans="1:21" ht="15" hidden="1" customHeight="1">
      <c r="A14" s="129" t="s">
        <v>97</v>
      </c>
      <c r="C14" s="79"/>
      <c r="F14" s="78">
        <f>Q14/20</f>
        <v>1897759.75</v>
      </c>
      <c r="G14" s="90">
        <f t="shared" si="2"/>
        <v>-9.1317096195181469E-3</v>
      </c>
      <c r="H14" s="90"/>
      <c r="I14" s="130">
        <f t="shared" si="0"/>
        <v>79.498239349777919</v>
      </c>
      <c r="J14" s="130"/>
      <c r="O14" s="89"/>
      <c r="P14" s="129" t="s">
        <v>97</v>
      </c>
      <c r="Q14" s="116">
        <v>37955195</v>
      </c>
      <c r="R14" s="116">
        <v>54122669958</v>
      </c>
      <c r="S14" s="116">
        <v>477434.41</v>
      </c>
      <c r="T14" s="130">
        <f t="shared" si="1"/>
        <v>79.498239349777919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1415150.6363636365</v>
      </c>
      <c r="G15" s="90">
        <f t="shared" si="2"/>
        <v>-0.25430464190020019</v>
      </c>
      <c r="H15" s="90"/>
      <c r="I15" s="130">
        <f t="shared" si="0"/>
        <v>84.448379946336374</v>
      </c>
      <c r="J15" s="130"/>
      <c r="O15" s="89"/>
      <c r="P15" s="129" t="s">
        <v>98</v>
      </c>
      <c r="Q15" s="116">
        <v>31133314</v>
      </c>
      <c r="R15" s="116">
        <v>43101904514</v>
      </c>
      <c r="S15" s="116">
        <v>368666.8</v>
      </c>
      <c r="T15" s="130">
        <f t="shared" si="1"/>
        <v>84.448379946336374</v>
      </c>
      <c r="U15" s="78"/>
    </row>
    <row r="16" spans="1:21" ht="15" hidden="1" customHeight="1">
      <c r="A16" s="129" t="s">
        <v>99</v>
      </c>
      <c r="B16" s="131">
        <f>F14+F15+F16</f>
        <v>4569398.3863636367</v>
      </c>
      <c r="C16" s="131">
        <f>AVERAGE(F14:F16)</f>
        <v>1523132.7954545456</v>
      </c>
      <c r="D16" s="90">
        <f>C16/C13-1</f>
        <v>-0.18768149475999252</v>
      </c>
      <c r="E16" s="286"/>
      <c r="F16" s="78">
        <f>Q16/22</f>
        <v>1256488</v>
      </c>
      <c r="G16" s="90">
        <f t="shared" si="2"/>
        <v>-0.11211713600421724</v>
      </c>
      <c r="H16" s="90"/>
      <c r="I16" s="130">
        <f t="shared" si="0"/>
        <v>81.789824506587522</v>
      </c>
      <c r="J16" s="130"/>
      <c r="K16" s="78">
        <f>R14+R15+R16</f>
        <v>133541914423</v>
      </c>
      <c r="L16" s="87">
        <f>U16/U13-1</f>
        <v>-0.18060156218042289</v>
      </c>
      <c r="N16" s="88">
        <f>AVERAGE(T14:T16)</f>
        <v>81.912147934233943</v>
      </c>
      <c r="O16" s="89">
        <f>N16/N13-1</f>
        <v>-2.1004344845474643E-2</v>
      </c>
      <c r="P16" s="129" t="s">
        <v>99</v>
      </c>
      <c r="Q16" s="116">
        <v>27642736</v>
      </c>
      <c r="R16" s="116">
        <v>36317339951</v>
      </c>
      <c r="S16" s="116">
        <v>337972.8</v>
      </c>
      <c r="T16" s="130">
        <f t="shared" si="1"/>
        <v>81.789824506587522</v>
      </c>
      <c r="U16" s="85">
        <f>Q14+Q15+Q16</f>
        <v>96731245</v>
      </c>
    </row>
    <row r="17" spans="1:21" ht="15" hidden="1" customHeight="1">
      <c r="A17" s="129" t="s">
        <v>100</v>
      </c>
      <c r="C17" s="79"/>
      <c r="F17" s="78">
        <f>Q17/20</f>
        <v>1916484.35</v>
      </c>
      <c r="G17" s="90">
        <f t="shared" ref="G17:G22" si="3">F17/F16-1</f>
        <v>0.52527071488147925</v>
      </c>
      <c r="H17" s="90">
        <f t="shared" ref="H17:H22" si="4">F17/F5-1</f>
        <v>1.9046542173770442E-2</v>
      </c>
      <c r="I17" s="130">
        <f t="shared" si="0"/>
        <v>82.117557224171662</v>
      </c>
      <c r="J17" s="130">
        <f t="shared" ref="J17:J49" si="5">I17/I5-1</f>
        <v>1.5399168629451232E-2</v>
      </c>
      <c r="O17" s="89"/>
      <c r="P17" s="129" t="s">
        <v>100</v>
      </c>
      <c r="Q17" s="116">
        <v>38329687</v>
      </c>
      <c r="R17" s="116">
        <v>48198558406</v>
      </c>
      <c r="S17" s="116">
        <v>466766.04</v>
      </c>
      <c r="T17" s="130">
        <f t="shared" si="1"/>
        <v>82.117557224171662</v>
      </c>
      <c r="U17" s="78"/>
    </row>
    <row r="18" spans="1:21" ht="15" hidden="1" customHeight="1">
      <c r="A18" s="129" t="s">
        <v>106</v>
      </c>
      <c r="C18" s="79"/>
      <c r="F18" s="78">
        <f>Q18/20</f>
        <v>1526563.35</v>
      </c>
      <c r="G18" s="90">
        <f t="shared" si="3"/>
        <v>-0.20345639660454307</v>
      </c>
      <c r="H18" s="90">
        <f t="shared" si="4"/>
        <v>-0.27975745842231259</v>
      </c>
      <c r="I18" s="130">
        <f t="shared" si="0"/>
        <v>86.436207799761235</v>
      </c>
      <c r="J18" s="130">
        <f t="shared" si="5"/>
        <v>4.9213974819614981E-2</v>
      </c>
      <c r="O18" s="89"/>
      <c r="P18" s="129" t="s">
        <v>106</v>
      </c>
      <c r="Q18" s="116">
        <v>30531267</v>
      </c>
      <c r="R18" s="116">
        <v>38356955412</v>
      </c>
      <c r="S18" s="116">
        <v>353223.12</v>
      </c>
      <c r="T18" s="130">
        <f t="shared" ref="T18" si="6">Q18/S18</f>
        <v>86.436207799761235</v>
      </c>
      <c r="U18" s="78"/>
    </row>
    <row r="19" spans="1:21" hidden="1">
      <c r="A19" s="129" t="s">
        <v>114</v>
      </c>
      <c r="B19" s="131">
        <f>SUM(F17:F19)</f>
        <v>4956743.0636363635</v>
      </c>
      <c r="C19" s="131">
        <f>AVERAGE(F17:F19)</f>
        <v>1652247.6878787878</v>
      </c>
      <c r="D19" s="90">
        <f>C19/C16-1</f>
        <v>8.4769294449936972E-2</v>
      </c>
      <c r="E19" s="286">
        <f>C19/C7-1</f>
        <v>-0.17151051703889664</v>
      </c>
      <c r="F19" s="78">
        <f>Q19/22</f>
        <v>1513695.3636363635</v>
      </c>
      <c r="G19" s="90">
        <f t="shared" si="3"/>
        <v>-8.4293824842818221E-3</v>
      </c>
      <c r="H19" s="90">
        <f t="shared" si="4"/>
        <v>-0.23654489184073912</v>
      </c>
      <c r="I19" s="130">
        <f t="shared" si="0"/>
        <v>84.107372186023511</v>
      </c>
      <c r="J19" s="130">
        <f t="shared" si="5"/>
        <v>1.8728098142722915E-2</v>
      </c>
      <c r="K19" s="78">
        <f>R17+R18+R19</f>
        <v>130085374348</v>
      </c>
      <c r="L19" s="87">
        <f>U19/U16-1</f>
        <v>5.6145323054613838E-2</v>
      </c>
      <c r="M19" s="87">
        <f>U19/U7-1</f>
        <v>-0.14425301166711924</v>
      </c>
      <c r="N19" s="88">
        <f>AVERAGE(T17:T19)</f>
        <v>84.220379069985469</v>
      </c>
      <c r="O19" s="89">
        <f>N19/N16-1</f>
        <v>2.8179350608712683E-2</v>
      </c>
      <c r="P19" s="129" t="s">
        <v>115</v>
      </c>
      <c r="Q19" s="116">
        <v>33301298</v>
      </c>
      <c r="R19" s="116">
        <v>43529860530</v>
      </c>
      <c r="S19" s="116">
        <v>395937.92</v>
      </c>
      <c r="T19" s="130">
        <f t="shared" ref="T19" si="7">Q19/S19</f>
        <v>84.107372186023511</v>
      </c>
      <c r="U19" s="85">
        <f>Q17+Q18+Q19</f>
        <v>102162252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1534499.5</v>
      </c>
      <c r="G20" s="90">
        <f t="shared" si="3"/>
        <v>1.3743938749774864E-2</v>
      </c>
      <c r="H20" s="90">
        <f t="shared" si="4"/>
        <v>-0.22485417165197363</v>
      </c>
      <c r="I20" s="130">
        <f t="shared" si="0"/>
        <v>86.016503514597915</v>
      </c>
      <c r="J20" s="130">
        <f t="shared" si="5"/>
        <v>1.7125002582494941E-2</v>
      </c>
      <c r="O20" s="89"/>
      <c r="P20" s="129" t="s">
        <v>132</v>
      </c>
      <c r="Q20" s="116">
        <v>30689990</v>
      </c>
      <c r="R20" s="116">
        <v>40265530131</v>
      </c>
      <c r="S20" s="116">
        <v>356791.88</v>
      </c>
      <c r="T20" s="130">
        <f t="shared" ref="T20" si="8">Q20/S20</f>
        <v>86.016503514597915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1448469.1904761905</v>
      </c>
      <c r="G21" s="90">
        <f t="shared" si="3"/>
        <v>-5.6064084428707472E-2</v>
      </c>
      <c r="H21" s="90">
        <f t="shared" si="4"/>
        <v>-0.31897948073781535</v>
      </c>
      <c r="I21" s="130">
        <f t="shared" si="0"/>
        <v>86.775697004663513</v>
      </c>
      <c r="J21" s="130">
        <f t="shared" si="5"/>
        <v>-4.0983090038437808E-4</v>
      </c>
      <c r="O21" s="89"/>
      <c r="P21" s="129" t="s">
        <v>141</v>
      </c>
      <c r="Q21" s="116">
        <v>30417853</v>
      </c>
      <c r="R21" s="116">
        <v>40508078466</v>
      </c>
      <c r="S21" s="116">
        <v>350534.24</v>
      </c>
      <c r="T21" s="130">
        <f t="shared" ref="T21" si="9">Q21/S21</f>
        <v>86.775697004663513</v>
      </c>
      <c r="U21" s="78"/>
    </row>
    <row r="22" spans="1:21" hidden="1">
      <c r="A22" s="129" t="s">
        <v>156</v>
      </c>
      <c r="B22" s="131">
        <f>SUM(F20:F22)</f>
        <v>4254388.5476190476</v>
      </c>
      <c r="C22" s="131">
        <f>AVERAGE(F20:F22)</f>
        <v>1418129.5158730159</v>
      </c>
      <c r="D22" s="90">
        <f>C22/C19-1</f>
        <v>-0.14169677689568494</v>
      </c>
      <c r="E22" s="286">
        <f>C22/C10-1</f>
        <v>-0.31094162540977321</v>
      </c>
      <c r="F22" s="78">
        <f>Q22/21</f>
        <v>1271419.857142857</v>
      </c>
      <c r="G22" s="90">
        <f t="shared" si="3"/>
        <v>-0.12223203261584581</v>
      </c>
      <c r="H22" s="90">
        <f t="shared" si="4"/>
        <v>-0.38509527046815972</v>
      </c>
      <c r="I22" s="130">
        <f t="shared" si="0"/>
        <v>91.543681858633377</v>
      </c>
      <c r="J22" s="130">
        <f t="shared" si="5"/>
        <v>0.1626206347288901</v>
      </c>
      <c r="K22" s="78">
        <f>R20+R21+R22</f>
        <v>115484419726</v>
      </c>
      <c r="L22" s="87">
        <f>U22/U19-1</f>
        <v>-0.14050778755346938</v>
      </c>
      <c r="M22" s="87">
        <f>U22/U10-1</f>
        <v>-0.3227765725075038</v>
      </c>
      <c r="N22" s="88">
        <f>AVERAGE(T20:T22)</f>
        <v>88.111960792631592</v>
      </c>
      <c r="O22" s="89">
        <f>N22/N19-1</f>
        <v>4.6207126655322783E-2</v>
      </c>
      <c r="P22" s="129" t="s">
        <v>156</v>
      </c>
      <c r="Q22" s="116">
        <v>26699817</v>
      </c>
      <c r="R22" s="116">
        <v>34710811129</v>
      </c>
      <c r="S22" s="116">
        <v>291662.03999999998</v>
      </c>
      <c r="T22" s="130">
        <f t="shared" ref="T22:T23" si="10">Q22/S22</f>
        <v>91.543681858633377</v>
      </c>
      <c r="U22" s="85">
        <f>Q20+Q21+Q22</f>
        <v>87807660</v>
      </c>
    </row>
    <row r="23" spans="1:21" hidden="1">
      <c r="A23" s="129" t="s">
        <v>189</v>
      </c>
      <c r="B23" s="131"/>
      <c r="C23" s="131"/>
      <c r="F23" s="78">
        <f>Q23/21</f>
        <v>1303090.8095238095</v>
      </c>
      <c r="G23" s="90">
        <f t="shared" ref="G23" si="11">F23/F22-1</f>
        <v>2.4909908558549354E-2</v>
      </c>
      <c r="H23" s="90">
        <f t="shared" ref="H23" si="12">F23/F11-1</f>
        <v>-0.30347913165225826</v>
      </c>
      <c r="I23" s="130">
        <f t="shared" si="0"/>
        <v>89.291523113971607</v>
      </c>
      <c r="J23" s="130">
        <f t="shared" si="5"/>
        <v>1.6554982785019767E-3</v>
      </c>
      <c r="O23" s="89"/>
      <c r="P23" s="129" t="s">
        <v>189</v>
      </c>
      <c r="Q23" s="116">
        <v>27364907</v>
      </c>
      <c r="R23" s="116">
        <v>35249093646</v>
      </c>
      <c r="S23" s="116">
        <v>306467.02</v>
      </c>
      <c r="T23" s="130">
        <f t="shared" si="10"/>
        <v>89.291523113971607</v>
      </c>
      <c r="U23" s="78"/>
    </row>
    <row r="24" spans="1:21" hidden="1">
      <c r="A24" s="129" t="s">
        <v>204</v>
      </c>
      <c r="B24" s="131"/>
      <c r="C24" s="131"/>
      <c r="F24" s="78">
        <f>Q24/22</f>
        <v>1267272.6818181819</v>
      </c>
      <c r="G24" s="90">
        <f t="shared" ref="G24" si="13">F24/F23-1</f>
        <v>-2.7487054197486538E-2</v>
      </c>
      <c r="H24" s="90">
        <f t="shared" ref="H24" si="14">F24/F12-1</f>
        <v>-0.31089985187065117</v>
      </c>
      <c r="I24" s="130">
        <f t="shared" si="0"/>
        <v>82.248083889508479</v>
      </c>
      <c r="J24" s="130">
        <f t="shared" si="5"/>
        <v>6.8902309109608595E-4</v>
      </c>
      <c r="O24" s="89"/>
      <c r="P24" s="129" t="s">
        <v>204</v>
      </c>
      <c r="Q24" s="116">
        <v>27879999</v>
      </c>
      <c r="R24" s="116">
        <v>36603748330</v>
      </c>
      <c r="S24" s="116">
        <v>338974.45</v>
      </c>
      <c r="T24" s="130">
        <f t="shared" ref="T24" si="15">Q24/S24</f>
        <v>82.248083889508479</v>
      </c>
      <c r="U24" s="78"/>
    </row>
    <row r="25" spans="1:21" s="79" customFormat="1" ht="13.2" hidden="1">
      <c r="A25" s="129" t="s">
        <v>219</v>
      </c>
      <c r="B25" s="131">
        <f>SUM(F23:F25)</f>
        <v>3926861.9123946233</v>
      </c>
      <c r="C25" s="131">
        <f>AVERAGE(F23:F25)</f>
        <v>1308953.9707982077</v>
      </c>
      <c r="D25" s="90">
        <f>C25/C22-1</f>
        <v>-7.6985595358403214E-2</v>
      </c>
      <c r="E25" s="286">
        <f>C25/C13-1</f>
        <v>-0.30190753152980487</v>
      </c>
      <c r="F25" s="78">
        <f>Q25/19</f>
        <v>1356498.4210526317</v>
      </c>
      <c r="G25" s="90">
        <f t="shared" ref="G25" si="16">F25/F24-1</f>
        <v>7.0407687717560341E-2</v>
      </c>
      <c r="H25" s="90">
        <f t="shared" ref="H25" si="17">F25/F13-1</f>
        <v>-0.29173791815731986</v>
      </c>
      <c r="I25" s="130">
        <f t="shared" si="0"/>
        <v>89.44153485301932</v>
      </c>
      <c r="J25" s="130">
        <f t="shared" si="5"/>
        <v>0.12260333756089148</v>
      </c>
      <c r="K25" s="78">
        <f>R23+R24+R25</f>
        <v>106047029656</v>
      </c>
      <c r="L25" s="90">
        <f>U25/U22-1</f>
        <v>-7.731995135731895E-2</v>
      </c>
      <c r="M25" s="90">
        <f>U25/U13-1</f>
        <v>-0.31370333619629198</v>
      </c>
      <c r="N25" s="88">
        <f>AVERAGE(T23:T25)</f>
        <v>86.993713952166459</v>
      </c>
      <c r="O25" s="91">
        <f>N25/N22-1</f>
        <v>-1.2691203673209417E-2</v>
      </c>
      <c r="P25" s="129" t="s">
        <v>219</v>
      </c>
      <c r="Q25" s="116">
        <v>25773470</v>
      </c>
      <c r="R25" s="116">
        <v>34194187680</v>
      </c>
      <c r="S25" s="116">
        <v>288159.96999999997</v>
      </c>
      <c r="T25" s="130">
        <f t="shared" ref="T25" si="18">Q25/S25</f>
        <v>89.44153485301932</v>
      </c>
      <c r="U25" s="85">
        <f>Q23+Q24+Q25</f>
        <v>81018376</v>
      </c>
    </row>
    <row r="26" spans="1:21" s="79" customFormat="1" ht="13.2" hidden="1">
      <c r="A26" s="129" t="s">
        <v>312</v>
      </c>
      <c r="B26" s="131"/>
      <c r="C26" s="131"/>
      <c r="D26" s="90"/>
      <c r="E26" s="286"/>
      <c r="F26" s="78">
        <f>Q26/19</f>
        <v>1393763.5789473683</v>
      </c>
      <c r="G26" s="90">
        <f t="shared" ref="G26" si="19">F26/F25-1</f>
        <v>2.7471582212251322E-2</v>
      </c>
      <c r="H26" s="90">
        <f t="shared" ref="H26" si="20">F26/F14-1</f>
        <v>-0.26557427569671643</v>
      </c>
      <c r="I26" s="130">
        <f t="shared" si="0"/>
        <v>86.483327662814702</v>
      </c>
      <c r="J26" s="130">
        <f t="shared" si="5"/>
        <v>8.786469197517266E-2</v>
      </c>
      <c r="L26" s="90"/>
      <c r="M26" s="90"/>
      <c r="P26" s="129" t="s">
        <v>312</v>
      </c>
      <c r="Q26" s="116">
        <v>26481508</v>
      </c>
      <c r="R26" s="116">
        <v>35698128817</v>
      </c>
      <c r="S26" s="116">
        <v>306203.62</v>
      </c>
      <c r="T26" s="130">
        <f t="shared" ref="T26" si="21">Q26/S26</f>
        <v>86.483327662814702</v>
      </c>
      <c r="U26" s="78"/>
    </row>
    <row r="27" spans="1:21" s="79" customFormat="1" ht="13.2" hidden="1">
      <c r="A27" s="129" t="s">
        <v>375</v>
      </c>
      <c r="B27" s="131"/>
      <c r="C27" s="131"/>
      <c r="D27" s="90"/>
      <c r="E27" s="286"/>
      <c r="F27" s="78">
        <f>Q27/22</f>
        <v>1186620.6818181819</v>
      </c>
      <c r="G27" s="90">
        <f t="shared" ref="G27" si="22">F27/F26-1</f>
        <v>-0.14862125848175045</v>
      </c>
      <c r="H27" s="90">
        <f t="shared" ref="H27" si="23">F27/F15-1</f>
        <v>-0.16148807672707122</v>
      </c>
      <c r="I27" s="130">
        <f t="shared" si="0"/>
        <v>91.488999464186847</v>
      </c>
      <c r="J27" s="130">
        <f t="shared" si="5"/>
        <v>8.3371871933179964E-2</v>
      </c>
      <c r="L27" s="90"/>
      <c r="M27" s="90"/>
      <c r="P27" s="129" t="s">
        <v>375</v>
      </c>
      <c r="Q27" s="116">
        <v>26105655</v>
      </c>
      <c r="R27" s="116">
        <v>34482708384</v>
      </c>
      <c r="S27" s="116">
        <v>285342.01</v>
      </c>
      <c r="T27" s="130">
        <f t="shared" ref="T27" si="24">Q27/S27</f>
        <v>91.488999464186847</v>
      </c>
      <c r="U27" s="78"/>
    </row>
    <row r="28" spans="1:21" s="79" customFormat="1" ht="13.2" hidden="1">
      <c r="A28" s="123" t="s">
        <v>413</v>
      </c>
      <c r="B28" s="131">
        <f>SUM(F26:F28)</f>
        <v>3808234.6818181816</v>
      </c>
      <c r="C28" s="131">
        <f>AVERAGE(F26:F28)</f>
        <v>1269411.5606060605</v>
      </c>
      <c r="D28" s="90">
        <f>C28/C25-1</f>
        <v>-3.0209167835011042E-2</v>
      </c>
      <c r="E28" s="286">
        <f>C28/C16-1</f>
        <v>-0.16657853839511583</v>
      </c>
      <c r="F28" s="78">
        <f>Q28/19</f>
        <v>1227850.4210526317</v>
      </c>
      <c r="G28" s="90">
        <f t="shared" ref="G28" si="25">F28/F27-1</f>
        <v>3.4745508709047801E-2</v>
      </c>
      <c r="H28" s="90">
        <f t="shared" ref="H28" si="26">F28/F16-1</f>
        <v>-2.2791764781970314E-2</v>
      </c>
      <c r="I28" s="130">
        <f t="shared" si="0"/>
        <v>100.94201816208455</v>
      </c>
      <c r="J28" s="130">
        <f t="shared" si="5"/>
        <v>0.23416352548787378</v>
      </c>
      <c r="K28" s="78">
        <f>R26+R27+R28</f>
        <v>100604913343</v>
      </c>
      <c r="L28" s="90">
        <f>U28/U25-1</f>
        <v>-6.2974046776746007E-2</v>
      </c>
      <c r="M28" s="90">
        <f>U28/U16-1</f>
        <v>-0.2151830465947171</v>
      </c>
      <c r="N28" s="88">
        <f>AVERAGE(T26:T28)</f>
        <v>92.971448429695371</v>
      </c>
      <c r="O28" s="91">
        <f>N28/N25-1</f>
        <v>6.8714556557681439E-2</v>
      </c>
      <c r="P28" s="129" t="s">
        <v>413</v>
      </c>
      <c r="Q28" s="116">
        <v>23329158</v>
      </c>
      <c r="R28" s="116">
        <v>30424076142</v>
      </c>
      <c r="S28" s="116">
        <v>231114.44</v>
      </c>
      <c r="T28" s="130">
        <f t="shared" ref="T28" si="27">Q28/S28</f>
        <v>100.94201816208455</v>
      </c>
      <c r="U28" s="85">
        <f>Q26+Q27+Q28</f>
        <v>75916321</v>
      </c>
    </row>
    <row r="29" spans="1:21" s="79" customFormat="1" ht="13.2" hidden="1">
      <c r="A29" s="129" t="s">
        <v>430</v>
      </c>
      <c r="B29" s="188"/>
      <c r="C29" s="188"/>
      <c r="D29" s="190"/>
      <c r="E29" s="287"/>
      <c r="F29" s="136">
        <f>Q29/22</f>
        <v>1339876.1818181819</v>
      </c>
      <c r="G29" s="190">
        <f t="shared" ref="G29" si="28">F29/F28-1</f>
        <v>9.1237302887033245E-2</v>
      </c>
      <c r="H29" s="190">
        <f t="shared" ref="H29" si="29">F29/F17-1</f>
        <v>-0.30086766332415826</v>
      </c>
      <c r="I29" s="130">
        <f t="shared" si="0"/>
        <v>87.025195384156234</v>
      </c>
      <c r="J29" s="130">
        <f t="shared" si="5"/>
        <v>5.9763567328084077E-2</v>
      </c>
      <c r="K29" s="136"/>
      <c r="L29" s="190"/>
      <c r="M29" s="190"/>
      <c r="N29" s="191"/>
      <c r="O29" s="192"/>
      <c r="P29" s="129" t="s">
        <v>430</v>
      </c>
      <c r="Q29" s="116">
        <v>29477276</v>
      </c>
      <c r="R29" s="116">
        <v>38762689602</v>
      </c>
      <c r="S29" s="116">
        <v>338721.17</v>
      </c>
      <c r="T29" s="130">
        <f t="shared" ref="T29" si="30">Q29/S29</f>
        <v>87.025195384156234</v>
      </c>
      <c r="U29" s="85"/>
    </row>
    <row r="30" spans="1:21" s="79" customFormat="1" ht="13.2" hidden="1">
      <c r="A30" s="129" t="s">
        <v>466</v>
      </c>
      <c r="B30" s="188"/>
      <c r="C30" s="188"/>
      <c r="D30" s="190"/>
      <c r="E30" s="287"/>
      <c r="F30" s="136">
        <f>Q30/19</f>
        <v>1335598.3157894737</v>
      </c>
      <c r="G30" s="190">
        <f t="shared" ref="G30" si="31">F30/F29-1</f>
        <v>-3.1927323485243519E-3</v>
      </c>
      <c r="H30" s="190">
        <f t="shared" ref="H30" si="32">F30/F18-1</f>
        <v>-0.12509473269519167</v>
      </c>
      <c r="I30" s="130">
        <f t="shared" si="0"/>
        <v>79.31024589382595</v>
      </c>
      <c r="J30" s="130">
        <f t="shared" si="5"/>
        <v>-8.244186189245295E-2</v>
      </c>
      <c r="K30" s="136"/>
      <c r="L30" s="190"/>
      <c r="M30" s="190"/>
      <c r="N30" s="191"/>
      <c r="O30" s="192"/>
      <c r="P30" s="129" t="s">
        <v>466</v>
      </c>
      <c r="Q30" s="116">
        <v>25376368</v>
      </c>
      <c r="R30" s="116">
        <v>33812541846</v>
      </c>
      <c r="S30" s="116">
        <v>319963.3</v>
      </c>
      <c r="T30" s="130">
        <f t="shared" ref="T30" si="33">Q30/S30</f>
        <v>79.31024589382595</v>
      </c>
      <c r="U30" s="85"/>
    </row>
    <row r="31" spans="1:21" s="79" customFormat="1" ht="13.2" hidden="1">
      <c r="A31" s="129" t="s">
        <v>505</v>
      </c>
      <c r="B31" s="188">
        <f>SUM(F29:F31)</f>
        <v>3939500.5476076556</v>
      </c>
      <c r="C31" s="188">
        <f>AVERAGE(F29:F31)</f>
        <v>1313166.8492025519</v>
      </c>
      <c r="D31" s="190">
        <f>C31/C28-1</f>
        <v>3.4468953926653167E-2</v>
      </c>
      <c r="E31" s="287">
        <f>C31/C19-1</f>
        <v>-0.20522397529365555</v>
      </c>
      <c r="F31" s="136">
        <f>Q31/20</f>
        <v>1264026.05</v>
      </c>
      <c r="G31" s="190">
        <f t="shared" ref="G31" si="34">F31/F30-1</f>
        <v>-5.3588167148269639E-2</v>
      </c>
      <c r="H31" s="190">
        <f t="shared" ref="H31" si="35">F31/F19-1</f>
        <v>-0.16494026449059129</v>
      </c>
      <c r="I31" s="130">
        <f t="shared" si="0"/>
        <v>80.639625559146765</v>
      </c>
      <c r="J31" s="130">
        <f t="shared" si="5"/>
        <v>-4.1229996096025845E-2</v>
      </c>
      <c r="K31" s="136">
        <f>R29+R30+R31</f>
        <v>106148863438</v>
      </c>
      <c r="L31" s="190">
        <f>U31/U28-1</f>
        <v>5.5559120152832486E-2</v>
      </c>
      <c r="M31" s="190">
        <f>U31/U19-1</f>
        <v>-0.21561865139777847</v>
      </c>
      <c r="N31" s="191">
        <f>AVERAGE(T29:T31)</f>
        <v>82.325022279042983</v>
      </c>
      <c r="O31" s="192">
        <f>N31/N28-1</f>
        <v>-0.11451285669388245</v>
      </c>
      <c r="P31" s="129" t="s">
        <v>526</v>
      </c>
      <c r="Q31" s="116">
        <v>25280521</v>
      </c>
      <c r="R31" s="116">
        <v>33573631990</v>
      </c>
      <c r="S31" s="116">
        <v>313499.98</v>
      </c>
      <c r="T31" s="130">
        <f t="shared" ref="T31" si="36">Q31/S31</f>
        <v>80.639625559146765</v>
      </c>
      <c r="U31" s="85">
        <f>Q29+Q30+Q31</f>
        <v>80134165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1520257.142857143</v>
      </c>
      <c r="G32" s="190">
        <f t="shared" ref="G32" si="37">F32/F31-1</f>
        <v>0.20271029450472389</v>
      </c>
      <c r="H32" s="190">
        <f t="shared" ref="H32" si="38">F32/F20-1</f>
        <v>-9.2814348540726233E-3</v>
      </c>
      <c r="I32" s="130">
        <f t="shared" si="0"/>
        <v>90.768789074514544</v>
      </c>
      <c r="J32" s="130">
        <f t="shared" si="5"/>
        <v>5.5248532150695029E-2</v>
      </c>
      <c r="K32" s="136"/>
      <c r="L32" s="190"/>
      <c r="M32" s="190"/>
      <c r="N32" s="191"/>
      <c r="O32" s="192"/>
      <c r="P32" s="129" t="s">
        <v>585</v>
      </c>
      <c r="Q32" s="116">
        <v>31925400</v>
      </c>
      <c r="R32" s="116">
        <v>43441282760</v>
      </c>
      <c r="S32" s="116">
        <v>351722.22</v>
      </c>
      <c r="T32" s="130">
        <f t="shared" ref="T32" si="39">Q32/S32</f>
        <v>90.768789074514544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1425964.5714285714</v>
      </c>
      <c r="G33" s="190">
        <f t="shared" ref="G33" si="40">F33/F32-1</f>
        <v>-6.2024093668364477E-2</v>
      </c>
      <c r="H33" s="190">
        <f t="shared" ref="H33" si="41">F33/F21-1</f>
        <v>-1.5536829637515903E-2</v>
      </c>
      <c r="I33" s="130">
        <f t="shared" si="0"/>
        <v>77.616542205218352</v>
      </c>
      <c r="J33" s="130">
        <f t="shared" si="5"/>
        <v>-0.10554976929719073</v>
      </c>
      <c r="K33" s="136"/>
      <c r="L33" s="190"/>
      <c r="M33" s="190"/>
      <c r="N33" s="191"/>
      <c r="O33" s="192"/>
      <c r="P33" s="129" t="s">
        <v>607</v>
      </c>
      <c r="Q33" s="116">
        <v>29945256</v>
      </c>
      <c r="R33" s="116">
        <v>40963187370</v>
      </c>
      <c r="S33" s="116">
        <v>385810.23</v>
      </c>
      <c r="T33" s="130">
        <f t="shared" ref="T33" si="42">Q33/S33</f>
        <v>77.616542205218352</v>
      </c>
      <c r="U33" s="85"/>
    </row>
    <row r="34" spans="1:21" s="79" customFormat="1" ht="13.2" hidden="1">
      <c r="A34" s="129" t="s">
        <v>652</v>
      </c>
      <c r="B34" s="188">
        <f>SUM(F32:F34)</f>
        <v>4681170.5563909775</v>
      </c>
      <c r="C34" s="188">
        <f>AVERAGE(F32:F34)</f>
        <v>1560390.1854636592</v>
      </c>
      <c r="D34" s="190">
        <f>C34/C31-1</f>
        <v>0.18826498430967775</v>
      </c>
      <c r="E34" s="287">
        <f>C34/C22-1</f>
        <v>0.10031571023544084</v>
      </c>
      <c r="F34" s="136">
        <f>Q34/19</f>
        <v>1734948.8421052631</v>
      </c>
      <c r="G34" s="190">
        <f t="shared" ref="G34" si="43">F34/F33-1</f>
        <v>0.21668439515796845</v>
      </c>
      <c r="H34" s="190">
        <f t="shared" ref="H34" si="44">F34/F22-1</f>
        <v>0.36457585773754664</v>
      </c>
      <c r="I34" s="130">
        <f t="shared" si="0"/>
        <v>98.972086106362354</v>
      </c>
      <c r="J34" s="130">
        <f t="shared" si="5"/>
        <v>8.1146006987137698E-2</v>
      </c>
      <c r="K34" s="136">
        <f>R32+R33+R34</f>
        <v>129722832479</v>
      </c>
      <c r="L34" s="190">
        <f>U34/U31-1</f>
        <v>0.18344883234260934</v>
      </c>
      <c r="M34" s="190">
        <f>U34/U22-1</f>
        <v>8.0027460018863961E-2</v>
      </c>
      <c r="N34" s="191">
        <f>AVERAGE(T32:T34)</f>
        <v>89.119139128698407</v>
      </c>
      <c r="O34" s="192">
        <f>N34/N31-1</f>
        <v>8.2527968551609598E-2</v>
      </c>
      <c r="P34" s="129" t="s">
        <v>652</v>
      </c>
      <c r="Q34" s="116">
        <v>32964028</v>
      </c>
      <c r="R34" s="116">
        <v>45318362349</v>
      </c>
      <c r="S34" s="116">
        <v>333063.89</v>
      </c>
      <c r="T34" s="130">
        <f t="shared" ref="T34" si="45">Q34/S34</f>
        <v>98.972086106362354</v>
      </c>
      <c r="U34" s="85">
        <f>Q32+Q33+Q34</f>
        <v>94834684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1473223.1739130435</v>
      </c>
      <c r="G35" s="190">
        <f t="shared" ref="G35" si="46">F35/F34-1</f>
        <v>-0.15085497729986685</v>
      </c>
      <c r="H35" s="190">
        <f t="shared" ref="H35" si="47">F35/F23-1</f>
        <v>0.1305606356408926</v>
      </c>
      <c r="I35" s="130">
        <f t="shared" si="0"/>
        <v>92.616391867151606</v>
      </c>
      <c r="J35" s="130">
        <f t="shared" si="5"/>
        <v>3.7236107496297688E-2</v>
      </c>
      <c r="K35" s="136"/>
      <c r="L35" s="190"/>
      <c r="M35" s="190"/>
      <c r="N35" s="191"/>
      <c r="O35" s="192"/>
      <c r="P35" s="129" t="s">
        <v>660</v>
      </c>
      <c r="Q35" s="116">
        <v>33884133</v>
      </c>
      <c r="R35" s="116">
        <v>46902216286</v>
      </c>
      <c r="S35" s="116">
        <v>365854.6</v>
      </c>
      <c r="T35" s="130">
        <f t="shared" ref="T35" si="48">Q35/S35</f>
        <v>92.616391867151606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1574631.1904761905</v>
      </c>
      <c r="G36" s="190">
        <f t="shared" ref="G36" si="49">F36/F35-1</f>
        <v>6.8834117164880082E-2</v>
      </c>
      <c r="H36" s="190">
        <f t="shared" ref="H36" si="50">F36/F24-1</f>
        <v>0.24253541725292704</v>
      </c>
      <c r="I36" s="130">
        <f t="shared" si="0"/>
        <v>92.533162754467739</v>
      </c>
      <c r="J36" s="130">
        <f t="shared" si="5"/>
        <v>0.12504946472401923</v>
      </c>
      <c r="K36" s="136"/>
      <c r="L36" s="190"/>
      <c r="M36" s="190"/>
      <c r="N36" s="191"/>
      <c r="O36" s="192"/>
      <c r="P36" s="129" t="s">
        <v>666</v>
      </c>
      <c r="Q36" s="116">
        <v>33067255</v>
      </c>
      <c r="R36" s="116">
        <v>45196471628</v>
      </c>
      <c r="S36" s="116">
        <v>357355.72</v>
      </c>
      <c r="T36" s="130">
        <f t="shared" ref="T36" si="51">Q36/S36</f>
        <v>92.533162754467739</v>
      </c>
      <c r="U36" s="85"/>
    </row>
    <row r="37" spans="1:21" s="79" customFormat="1" ht="13.2" hidden="1">
      <c r="A37" s="129" t="s">
        <v>702</v>
      </c>
      <c r="B37" s="188">
        <f>SUM(F35:F37)</f>
        <v>4890345.0310559012</v>
      </c>
      <c r="C37" s="188">
        <f>AVERAGE(F35:F37)</f>
        <v>1630115.0103519671</v>
      </c>
      <c r="D37" s="190">
        <f>C37/C34-1</f>
        <v>4.4684224201006151E-2</v>
      </c>
      <c r="E37" s="287">
        <f>C37/C25-1</f>
        <v>0.2453570153868081</v>
      </c>
      <c r="F37" s="136">
        <f>Q37/18</f>
        <v>1842490.6666666667</v>
      </c>
      <c r="G37" s="190">
        <f t="shared" ref="G37" si="52">F37/F36-1</f>
        <v>0.17010934230857688</v>
      </c>
      <c r="H37" s="190">
        <f t="shared" ref="H37" si="53">F37/F25-1</f>
        <v>0.35826967291042555</v>
      </c>
      <c r="I37" s="130">
        <f t="shared" si="0"/>
        <v>95.15457482072388</v>
      </c>
      <c r="J37" s="130">
        <f t="shared" si="5"/>
        <v>6.3874574347286162E-2</v>
      </c>
      <c r="K37" s="136">
        <f>R35+R36+R37</f>
        <v>136370856949</v>
      </c>
      <c r="L37" s="190">
        <f>U37/U34-1</f>
        <v>5.5692029300166146E-2</v>
      </c>
      <c r="M37" s="190">
        <f>U37/U25-1</f>
        <v>0.23572237488443371</v>
      </c>
      <c r="N37" s="191">
        <f>AVERAGE(T35:T37)</f>
        <v>93.434709814114413</v>
      </c>
      <c r="O37" s="192">
        <f>N37/N34-1</f>
        <v>4.8424734884207288E-2</v>
      </c>
      <c r="P37" s="129" t="s">
        <v>702</v>
      </c>
      <c r="Q37" s="116">
        <v>33164832</v>
      </c>
      <c r="R37" s="116">
        <v>44272169035</v>
      </c>
      <c r="S37" s="116">
        <v>348536.39</v>
      </c>
      <c r="T37" s="130">
        <f t="shared" ref="T37" si="54">Q37/S37</f>
        <v>95.15457482072388</v>
      </c>
      <c r="U37" s="85">
        <f>Q35+Q36+Q37</f>
        <v>100116220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1659080.7</v>
      </c>
      <c r="G38" s="190">
        <f t="shared" ref="G38" si="55">F38/F37-1</f>
        <v>-9.9544583853161117E-2</v>
      </c>
      <c r="H38" s="190">
        <f t="shared" ref="H38" si="56">F38/F26-1</f>
        <v>0.19036020531761255</v>
      </c>
      <c r="I38" s="130">
        <f t="shared" si="0"/>
        <v>78.64758055260819</v>
      </c>
      <c r="J38" s="130">
        <f t="shared" si="5"/>
        <v>-9.0604135178018241E-2</v>
      </c>
      <c r="K38" s="136"/>
      <c r="L38" s="190"/>
      <c r="M38" s="190"/>
      <c r="N38" s="191"/>
      <c r="O38" s="192"/>
      <c r="P38" s="129" t="s">
        <v>728</v>
      </c>
      <c r="Q38" s="116">
        <v>33181614</v>
      </c>
      <c r="R38" s="116">
        <v>44637368874</v>
      </c>
      <c r="S38" s="116">
        <v>421902.54</v>
      </c>
      <c r="T38" s="130">
        <f t="shared" ref="T38" si="57">Q38/S38</f>
        <v>78.64758055260819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1604308.7142857143</v>
      </c>
      <c r="G39" s="190">
        <f t="shared" ref="G39" si="58">F39/F38-1</f>
        <v>-3.3013454809211917E-2</v>
      </c>
      <c r="H39" s="190">
        <f t="shared" ref="H39" si="59">F39/F27-1</f>
        <v>0.3519979373927109</v>
      </c>
      <c r="I39" s="130">
        <f t="shared" si="0"/>
        <v>77.18782771135713</v>
      </c>
      <c r="J39" s="130">
        <f t="shared" si="5"/>
        <v>-0.15631575202030579</v>
      </c>
      <c r="K39" s="136"/>
      <c r="L39" s="190"/>
      <c r="M39" s="190"/>
      <c r="N39" s="191"/>
      <c r="O39" s="192"/>
      <c r="P39" s="129" t="s">
        <v>762</v>
      </c>
      <c r="Q39" s="116">
        <v>33690483</v>
      </c>
      <c r="R39" s="116">
        <v>46838824580</v>
      </c>
      <c r="S39" s="116">
        <v>436474.04</v>
      </c>
      <c r="T39" s="130">
        <f t="shared" ref="T39" si="60">Q39/S39</f>
        <v>77.18782771135713</v>
      </c>
      <c r="U39" s="85"/>
    </row>
    <row r="40" spans="1:21" s="79" customFormat="1" ht="13.2" hidden="1">
      <c r="A40" s="129" t="s">
        <v>778</v>
      </c>
      <c r="B40" s="188">
        <f>SUM(F38:F40)</f>
        <v>4564799.3666666672</v>
      </c>
      <c r="C40" s="188">
        <f>AVERAGE(F38:F40)</f>
        <v>1521599.7888888891</v>
      </c>
      <c r="D40" s="190">
        <f>C40/C37-1</f>
        <v>-6.6569058486031452E-2</v>
      </c>
      <c r="E40" s="287">
        <f>C40/C28-1</f>
        <v>0.19866545737335595</v>
      </c>
      <c r="F40" s="136">
        <f>Q40/21</f>
        <v>1301409.9523809524</v>
      </c>
      <c r="G40" s="190">
        <f t="shared" ref="G40" si="61">F40/F39-1</f>
        <v>-0.18880328904753307</v>
      </c>
      <c r="H40" s="190">
        <f t="shared" ref="H40" si="62">F40/F28-1</f>
        <v>5.9909195832875461E-2</v>
      </c>
      <c r="I40" s="130">
        <f t="shared" si="0"/>
        <v>82.466830313212782</v>
      </c>
      <c r="J40" s="130">
        <f t="shared" si="5"/>
        <v>-0.18302772408617596</v>
      </c>
      <c r="K40" s="136">
        <f>R38+R39+R40</f>
        <v>130207607739</v>
      </c>
      <c r="L40" s="190">
        <f>U40/U37-1</f>
        <v>-5.9076481313417584E-2</v>
      </c>
      <c r="M40" s="190">
        <f>U40/U28-1</f>
        <v>0.24086237002975941</v>
      </c>
      <c r="N40" s="191">
        <f>AVERAGE(T38:T40)</f>
        <v>79.434079525726034</v>
      </c>
      <c r="O40" s="192">
        <f>N40/N37-1</f>
        <v>-0.14984399605074195</v>
      </c>
      <c r="P40" s="129" t="s">
        <v>778</v>
      </c>
      <c r="Q40" s="116">
        <v>27329609</v>
      </c>
      <c r="R40" s="116">
        <v>38731414285</v>
      </c>
      <c r="S40" s="116">
        <v>331401.23</v>
      </c>
      <c r="T40" s="130">
        <f t="shared" ref="T40" si="63">Q40/S40</f>
        <v>82.466830313212782</v>
      </c>
      <c r="U40" s="85">
        <f>Q38+Q39+Q40</f>
        <v>94201706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1415101.9444444445</v>
      </c>
      <c r="G41" s="190">
        <f t="shared" ref="G41" si="64">F41/F40-1</f>
        <v>8.7360629028147896E-2</v>
      </c>
      <c r="H41" s="190">
        <f t="shared" ref="H41" si="65">F41/F29-1</f>
        <v>5.6143816605638053E-2</v>
      </c>
      <c r="I41" s="130">
        <f t="shared" si="0"/>
        <v>82.100978023921854</v>
      </c>
      <c r="J41" s="130">
        <f t="shared" si="5"/>
        <v>-5.6583812750978124E-2</v>
      </c>
      <c r="K41" s="193"/>
      <c r="L41" s="190"/>
      <c r="M41" s="190"/>
      <c r="N41" s="193"/>
      <c r="O41" s="193"/>
      <c r="P41" s="129" t="s">
        <v>810</v>
      </c>
      <c r="Q41" s="116">
        <v>25471835</v>
      </c>
      <c r="R41" s="116">
        <v>37278235294</v>
      </c>
      <c r="S41" s="116">
        <v>310250.08</v>
      </c>
      <c r="T41" s="130">
        <f t="shared" ref="T41" si="66">Q41/S41</f>
        <v>82.100978023921854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1289397.3</v>
      </c>
      <c r="G42" s="190">
        <f t="shared" ref="G42" si="67">F42/F41-1</f>
        <v>-8.8830804690749554E-2</v>
      </c>
      <c r="H42" s="190">
        <f t="shared" ref="H42" si="68">F42/F30-1</f>
        <v>-3.4591999138726237E-2</v>
      </c>
      <c r="I42" s="130">
        <f t="shared" si="0"/>
        <v>80.561815812398166</v>
      </c>
      <c r="J42" s="130">
        <f t="shared" si="5"/>
        <v>1.5780683875923351E-2</v>
      </c>
      <c r="K42" s="193"/>
      <c r="L42" s="190"/>
      <c r="M42" s="190"/>
      <c r="N42" s="193"/>
      <c r="O42" s="193"/>
      <c r="P42" s="129" t="s">
        <v>826</v>
      </c>
      <c r="Q42" s="116">
        <v>25787946</v>
      </c>
      <c r="R42" s="116">
        <v>37297725676</v>
      </c>
      <c r="S42" s="116">
        <v>320101.34999999998</v>
      </c>
      <c r="T42" s="130">
        <f t="shared" ref="T42" si="69">Q42/S42</f>
        <v>80.561815812398166</v>
      </c>
      <c r="U42" s="78"/>
    </row>
    <row r="43" spans="1:21" s="79" customFormat="1" ht="13.2">
      <c r="A43" s="129" t="s">
        <v>835</v>
      </c>
      <c r="B43" s="188">
        <f>SUM(F41:F43)</f>
        <v>4102855.9944444448</v>
      </c>
      <c r="C43" s="188">
        <f>AVERAGE(F41:F43)</f>
        <v>1367618.6648148149</v>
      </c>
      <c r="D43" s="190">
        <f>C43/C40-1</f>
        <v>-0.10119686214370149</v>
      </c>
      <c r="E43" s="287">
        <f>C43/C31-1</f>
        <v>4.1466029732116771E-2</v>
      </c>
      <c r="F43" s="136">
        <f>Q43/20</f>
        <v>1398356.75</v>
      </c>
      <c r="G43" s="190">
        <f t="shared" ref="G43" si="70">F43/F42-1</f>
        <v>8.4504171057283806E-2</v>
      </c>
      <c r="H43" s="190">
        <f t="shared" ref="H43" si="71">F43/F31-1</f>
        <v>0.10627209779418711</v>
      </c>
      <c r="I43" s="130">
        <f t="shared" si="0"/>
        <v>84.148129841138115</v>
      </c>
      <c r="J43" s="130">
        <f t="shared" si="5"/>
        <v>4.3508439649412312E-2</v>
      </c>
      <c r="K43" s="136">
        <f>R41+R42+R43</f>
        <v>115094917151</v>
      </c>
      <c r="L43" s="190">
        <f>U43/U40-1</f>
        <v>-0.15896516778581482</v>
      </c>
      <c r="M43" s="190">
        <f>K43/K31-1</f>
        <v>8.4278374946758161E-2</v>
      </c>
      <c r="N43" s="191">
        <f>AVERAGE(T41:T43)</f>
        <v>82.270307892486045</v>
      </c>
      <c r="O43" s="192">
        <f>N43/N40-1</f>
        <v>3.570543504367607E-2</v>
      </c>
      <c r="P43" s="129" t="s">
        <v>835</v>
      </c>
      <c r="Q43" s="116">
        <v>27967135</v>
      </c>
      <c r="R43" s="116">
        <v>40518956181</v>
      </c>
      <c r="S43" s="116">
        <v>332355.99</v>
      </c>
      <c r="T43" s="130">
        <f t="shared" ref="T43" si="72">Q43/S43</f>
        <v>84.148129841138115</v>
      </c>
      <c r="U43" s="85">
        <f>Q41+Q42+Q43</f>
        <v>79226916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1587976.7727272727</v>
      </c>
      <c r="G44" s="190">
        <f t="shared" ref="G44" si="73">F44/F43-1</f>
        <v>0.13560203626669143</v>
      </c>
      <c r="H44" s="190">
        <f t="shared" ref="H44" si="74">F44/F32-1</f>
        <v>4.4544852289171821E-2</v>
      </c>
      <c r="I44" s="130">
        <f t="shared" si="0"/>
        <v>84.276898530997144</v>
      </c>
      <c r="J44" s="130">
        <f t="shared" si="5"/>
        <v>-7.1521176053015667E-2</v>
      </c>
      <c r="K44" s="136"/>
      <c r="L44" s="190"/>
      <c r="M44" s="190"/>
      <c r="N44" s="191"/>
      <c r="O44" s="192"/>
      <c r="P44" s="129" t="s">
        <v>843</v>
      </c>
      <c r="Q44" s="116">
        <v>34935489</v>
      </c>
      <c r="R44" s="116">
        <v>50634359619</v>
      </c>
      <c r="S44" s="116">
        <v>414532.21</v>
      </c>
      <c r="T44" s="130">
        <f t="shared" ref="T44" si="75">Q44/S44</f>
        <v>84.276898530997144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1519731</v>
      </c>
      <c r="G45" s="190">
        <f t="shared" ref="G45" si="76">F45/F44-1</f>
        <v>-4.2976556017292333E-2</v>
      </c>
      <c r="H45" s="190">
        <f t="shared" ref="H45" si="77">F45/F33-1</f>
        <v>6.5756492447418102E-2</v>
      </c>
      <c r="I45" s="130">
        <f t="shared" si="0"/>
        <v>82.222254984693535</v>
      </c>
      <c r="J45" s="130">
        <f t="shared" si="5"/>
        <v>5.9339319281934255E-2</v>
      </c>
      <c r="K45" s="136"/>
      <c r="L45" s="190"/>
      <c r="M45" s="190"/>
      <c r="N45" s="191"/>
      <c r="O45" s="192"/>
      <c r="P45" s="129" t="s">
        <v>849</v>
      </c>
      <c r="Q45" s="116">
        <v>30394620</v>
      </c>
      <c r="R45" s="116">
        <v>42810850973</v>
      </c>
      <c r="S45" s="116">
        <v>369664.15</v>
      </c>
      <c r="T45" s="130">
        <f t="shared" ref="T45" si="78">Q45/S45</f>
        <v>82.222254984693535</v>
      </c>
      <c r="U45" s="85"/>
    </row>
    <row r="46" spans="1:21" s="79" customFormat="1" ht="13.2">
      <c r="A46" s="129" t="s">
        <v>888</v>
      </c>
      <c r="B46" s="188">
        <f>SUM(F44:F46)</f>
        <v>4721933.2990430621</v>
      </c>
      <c r="C46" s="188">
        <f>AVERAGE(F44:F46)</f>
        <v>1573977.7663476875</v>
      </c>
      <c r="D46" s="190">
        <f>C46/C43-1</f>
        <v>0.15088935742246168</v>
      </c>
      <c r="E46" s="287">
        <f>C46/C34-1</f>
        <v>8.7078097584871728E-3</v>
      </c>
      <c r="F46" s="136">
        <f>Q46/19</f>
        <v>1614225.5263157894</v>
      </c>
      <c r="G46" s="190">
        <f t="shared" ref="G46" si="79">F46/F45-1</f>
        <v>6.2178455473889338E-2</v>
      </c>
      <c r="H46" s="190">
        <f t="shared" ref="H46" si="80">F46/F34-1</f>
        <v>-6.958321355630448E-2</v>
      </c>
      <c r="I46" s="130">
        <f t="shared" si="0"/>
        <v>84.564066362792147</v>
      </c>
      <c r="J46" s="130">
        <f t="shared" si="5"/>
        <v>-0.14557659952813706</v>
      </c>
      <c r="K46" s="136">
        <f>R44+R45+R46</f>
        <v>135437605927</v>
      </c>
      <c r="L46" s="190">
        <f>U46/U43-1</f>
        <v>0.21171438757000205</v>
      </c>
      <c r="M46" s="190">
        <f>K46/K34-1</f>
        <v>4.4053720835344201E-2</v>
      </c>
      <c r="N46" s="191">
        <f>AVERAGE(T44:T46)</f>
        <v>83.68773995949428</v>
      </c>
      <c r="O46" s="192">
        <f>N46/N43-1</f>
        <v>1.7228962712289686E-2</v>
      </c>
      <c r="P46" s="129" t="s">
        <v>888</v>
      </c>
      <c r="Q46" s="116">
        <v>30670285</v>
      </c>
      <c r="R46" s="116">
        <v>41992395335</v>
      </c>
      <c r="S46" s="116">
        <v>362686.97</v>
      </c>
      <c r="T46" s="130">
        <f t="shared" ref="T46" si="81">Q46/S46</f>
        <v>84.564066362792147</v>
      </c>
      <c r="U46" s="85">
        <f t="shared" ref="U46:U51" si="82">Q44+Q45+Q46</f>
        <v>96000394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1486172.7826086956</v>
      </c>
      <c r="G47" s="190">
        <f t="shared" ref="G47" si="83">F47/F46-1</f>
        <v>-7.9327666190085355E-2</v>
      </c>
      <c r="H47" s="190">
        <f t="shared" ref="H47" si="84">F47/F35-1</f>
        <v>8.789984385907168E-3</v>
      </c>
      <c r="I47" s="130">
        <f t="shared" si="0"/>
        <v>78.115215665871929</v>
      </c>
      <c r="J47" s="130">
        <f t="shared" si="5"/>
        <v>-0.15657245881571458</v>
      </c>
      <c r="K47" s="136"/>
      <c r="L47" s="190"/>
      <c r="M47" s="190"/>
      <c r="N47" s="191"/>
      <c r="O47" s="192"/>
      <c r="P47" s="129" t="s">
        <v>991</v>
      </c>
      <c r="Q47" s="116">
        <v>34181974</v>
      </c>
      <c r="R47" s="116">
        <v>46888394860</v>
      </c>
      <c r="S47" s="116">
        <v>437584.07</v>
      </c>
      <c r="T47" s="130">
        <f t="shared" ref="T47" si="85">Q47/S47</f>
        <v>78.115215665871929</v>
      </c>
      <c r="U47" s="85">
        <f t="shared" si="82"/>
        <v>95246879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1580942.5</v>
      </c>
      <c r="G48" s="190">
        <f t="shared" ref="G48" si="86">F48/F47-1</f>
        <v>6.3767630857129554E-2</v>
      </c>
      <c r="H48" s="190">
        <f t="shared" ref="H48" si="87">F48/F36-1</f>
        <v>4.0081192103789132E-3</v>
      </c>
      <c r="I48" s="130">
        <f t="shared" si="0"/>
        <v>75.728169477472676</v>
      </c>
      <c r="J48" s="130">
        <f t="shared" si="5"/>
        <v>-0.181610492679109</v>
      </c>
      <c r="K48" s="136"/>
      <c r="L48" s="190"/>
      <c r="M48" s="190"/>
      <c r="N48" s="191"/>
      <c r="O48" s="192"/>
      <c r="P48" s="129" t="s">
        <v>1070</v>
      </c>
      <c r="Q48" s="116">
        <v>31618850</v>
      </c>
      <c r="R48" s="116">
        <v>43874131026</v>
      </c>
      <c r="S48" s="116">
        <v>417530.89</v>
      </c>
      <c r="T48" s="130">
        <f t="shared" ref="T48" si="88">Q48/S48</f>
        <v>75.728169477472676</v>
      </c>
      <c r="U48" s="85">
        <f t="shared" si="82"/>
        <v>96471109</v>
      </c>
    </row>
    <row r="49" spans="1:26" ht="13.2">
      <c r="A49" s="129" t="s">
        <v>1158</v>
      </c>
      <c r="B49" s="188">
        <f>SUM(F47:F49)</f>
        <v>4716569.6007905137</v>
      </c>
      <c r="C49" s="188">
        <f>AVERAGE(F47:F49)</f>
        <v>1572189.8669301711</v>
      </c>
      <c r="D49" s="190">
        <f>C49/C46-1</f>
        <v>-1.1359114821964944E-3</v>
      </c>
      <c r="E49" s="287">
        <f>C49/C37-1</f>
        <v>-3.5534390551553163E-2</v>
      </c>
      <c r="F49" s="136">
        <f>Q49/22</f>
        <v>1649454.3181818181</v>
      </c>
      <c r="G49" s="190">
        <f t="shared" ref="G49" si="89">F49/F48-1</f>
        <v>4.3336059459353038E-2</v>
      </c>
      <c r="H49" s="190">
        <f t="shared" ref="H49" si="90">F49/F37-1</f>
        <v>-0.10476924088526285</v>
      </c>
      <c r="I49" s="130">
        <f t="shared" si="0"/>
        <v>86.797167801901139</v>
      </c>
      <c r="J49" s="130">
        <f t="shared" si="5"/>
        <v>-8.7829797301585577E-2</v>
      </c>
      <c r="K49" s="136">
        <f>R47+R48+R49</f>
        <v>141197265615</v>
      </c>
      <c r="L49" s="190">
        <f>U49/U46-1</f>
        <v>6.3420833460329229E-2</v>
      </c>
      <c r="M49" s="190">
        <f>K49/K37-1</f>
        <v>3.5391789521459049E-2</v>
      </c>
      <c r="N49" s="191">
        <f>AVERAGE(T47:T49)</f>
        <v>80.213517648415248</v>
      </c>
      <c r="O49" s="192">
        <f>N49/N46-1</f>
        <v>-4.1514113211332915E-2</v>
      </c>
      <c r="P49" s="129" t="s">
        <v>1158</v>
      </c>
      <c r="Q49" s="116">
        <v>36287995</v>
      </c>
      <c r="R49" s="116">
        <v>50434739729</v>
      </c>
      <c r="S49" s="116">
        <v>418078.1</v>
      </c>
      <c r="T49" s="130">
        <f t="shared" ref="T49" si="91">Q49/S49</f>
        <v>86.797167801901139</v>
      </c>
      <c r="U49" s="85">
        <f t="shared" si="82"/>
        <v>102088819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1753769.5555555555</v>
      </c>
      <c r="G50" s="190">
        <f t="shared" ref="G50" si="92">F50/F49-1</f>
        <v>6.3242271231084057E-2</v>
      </c>
      <c r="H50" s="190">
        <f t="shared" ref="H50" si="93">F50/F38-1</f>
        <v>5.707308605033834E-2</v>
      </c>
      <c r="I50" s="130">
        <f t="shared" ref="I50" si="94">T50</f>
        <v>85.859547775794013</v>
      </c>
      <c r="J50" s="130">
        <f t="shared" ref="J50" si="95">I50/I38-1</f>
        <v>9.1699797660802274E-2</v>
      </c>
      <c r="K50" s="136"/>
      <c r="L50" s="190"/>
      <c r="M50" s="190"/>
      <c r="N50" s="191"/>
      <c r="O50" s="192"/>
      <c r="P50" s="129" t="s">
        <v>1291</v>
      </c>
      <c r="Q50" s="116">
        <v>31567852</v>
      </c>
      <c r="R50" s="116">
        <v>44631251360</v>
      </c>
      <c r="S50" s="116">
        <v>367668.51</v>
      </c>
      <c r="T50" s="130">
        <f t="shared" ref="T50" si="96">Q50/S50</f>
        <v>85.859547775794013</v>
      </c>
      <c r="U50" s="85">
        <f t="shared" si="82"/>
        <v>99474697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1498333.1</v>
      </c>
      <c r="G51" s="190">
        <f t="shared" ref="G51:G52" si="97">F51/F50-1</f>
        <v>-0.14564995426359695</v>
      </c>
      <c r="H51" s="190">
        <f t="shared" ref="H51:H52" si="98">F51/F39-1</f>
        <v>-6.6056871312886734E-2</v>
      </c>
      <c r="I51" s="130">
        <f t="shared" ref="I51:I52" si="99">T51</f>
        <v>83.01399350208095</v>
      </c>
      <c r="J51" s="130">
        <f t="shared" ref="J51:J52" si="100">I51/I39-1</f>
        <v>7.5480369942663605E-2</v>
      </c>
      <c r="K51" s="136"/>
      <c r="L51" s="190"/>
      <c r="M51" s="190"/>
      <c r="N51" s="191"/>
      <c r="O51" s="192"/>
      <c r="P51" s="129" t="s">
        <v>1402</v>
      </c>
      <c r="Q51" s="116">
        <v>29966662</v>
      </c>
      <c r="R51" s="116">
        <v>43433428936</v>
      </c>
      <c r="S51" s="116">
        <v>360983.26</v>
      </c>
      <c r="T51" s="130">
        <f t="shared" ref="T51:T52" si="101">Q51/S51</f>
        <v>83.01399350208095</v>
      </c>
      <c r="U51" s="85">
        <f t="shared" si="82"/>
        <v>97822509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4509719.8828282831</v>
      </c>
      <c r="C52" s="188">
        <f>AVERAGE(F50:F52)</f>
        <v>1503239.960942761</v>
      </c>
      <c r="D52" s="190">
        <f>C52/C49-1</f>
        <v>-4.3855966405660918E-2</v>
      </c>
      <c r="E52" s="287">
        <f>C52/C40-1</f>
        <v>-1.2066134656560923E-2</v>
      </c>
      <c r="F52" s="136">
        <f>Q52/22</f>
        <v>1257617.2272727273</v>
      </c>
      <c r="G52" s="190">
        <f t="shared" si="97"/>
        <v>-0.1606557798978564</v>
      </c>
      <c r="H52" s="190">
        <f t="shared" si="98"/>
        <v>-3.3650215313096088E-2</v>
      </c>
      <c r="I52" s="130">
        <f t="shared" si="99"/>
        <v>82.451933349644378</v>
      </c>
      <c r="J52" s="130">
        <f t="shared" si="100"/>
        <v>-1.8064188367405976E-4</v>
      </c>
      <c r="K52" s="136">
        <f>R50+R51+R52</f>
        <v>128761242556</v>
      </c>
      <c r="L52" s="190">
        <f>U52/U49-1</f>
        <v>-0.12623053265020134</v>
      </c>
      <c r="M52" s="190">
        <f>K52/K40-1</f>
        <v>-1.1108146506302652E-2</v>
      </c>
      <c r="N52" s="191">
        <f>AVERAGE(T50:T52)</f>
        <v>83.775158209173114</v>
      </c>
      <c r="O52" s="192">
        <f>N52/N49-1</f>
        <v>4.44019993783209E-2</v>
      </c>
      <c r="P52" s="129" t="s">
        <v>1403</v>
      </c>
      <c r="Q52" s="116">
        <v>27667579</v>
      </c>
      <c r="R52" s="116">
        <v>40696562260</v>
      </c>
      <c r="S52" s="116">
        <v>335560.1</v>
      </c>
      <c r="T52" s="130">
        <f t="shared" si="101"/>
        <v>82.451933349644378</v>
      </c>
      <c r="U52" s="85">
        <f t="shared" ref="U52" si="102">Q50+Q51+Q52</f>
        <v>89202093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1787852.4761904762</v>
      </c>
      <c r="G53" s="190">
        <f t="shared" ref="G53" si="103">F53/F52-1</f>
        <v>0.42161894527130395</v>
      </c>
      <c r="H53" s="190">
        <f t="shared" ref="H53" si="104">F53/F41-1</f>
        <v>0.26340896018793192</v>
      </c>
      <c r="I53" s="130">
        <f t="shared" ref="I53" si="105">T53</f>
        <v>94.389317871797275</v>
      </c>
      <c r="J53" s="130">
        <f t="shared" ref="J53" si="106">I53/I41-1</f>
        <v>0.14967348920368462</v>
      </c>
      <c r="K53" s="136"/>
      <c r="L53" s="190"/>
      <c r="M53" s="190"/>
      <c r="N53" s="191"/>
      <c r="O53" s="192"/>
      <c r="P53" s="129" t="s">
        <v>1414</v>
      </c>
      <c r="Q53" s="116">
        <v>37544902</v>
      </c>
      <c r="R53" s="116">
        <v>54605747199</v>
      </c>
      <c r="S53" s="116">
        <v>397766.43</v>
      </c>
      <c r="T53" s="130">
        <f t="shared" ref="T53" si="107">Q53/S53</f>
        <v>94.389317871797275</v>
      </c>
      <c r="U53" s="85">
        <f t="shared" ref="U53" si="108">Q51+Q52+Q53</f>
        <v>95179143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1833089.3529411764</v>
      </c>
      <c r="G54" s="190">
        <f t="shared" ref="G54" si="109">F54/F53-1</f>
        <v>2.5302354278743389E-2</v>
      </c>
      <c r="H54" s="190">
        <f t="shared" ref="H54" si="110">F54/F42-1</f>
        <v>0.42166371291546545</v>
      </c>
      <c r="I54" s="130">
        <f t="shared" ref="I54" si="111">T54</f>
        <v>93.722174531169102</v>
      </c>
      <c r="J54" s="130">
        <f t="shared" ref="J54" si="112">I54/I42-1</f>
        <v>0.1633572752309489</v>
      </c>
      <c r="K54" s="136"/>
      <c r="L54" s="190"/>
      <c r="M54" s="190"/>
      <c r="N54" s="191"/>
      <c r="O54" s="192"/>
      <c r="P54" s="129" t="s">
        <v>1417</v>
      </c>
      <c r="Q54" s="116">
        <v>31162519</v>
      </c>
      <c r="R54" s="116">
        <v>45150888296</v>
      </c>
      <c r="S54" s="116">
        <v>332498.89</v>
      </c>
      <c r="T54" s="130">
        <f t="shared" ref="T54" si="113">Q54/S54</f>
        <v>93.722174531169102</v>
      </c>
      <c r="U54" s="85">
        <f t="shared" ref="U54" si="114">Q52+Q53+Q54</f>
        <v>96375000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5509015.3053221293</v>
      </c>
      <c r="C55" s="188">
        <f>AVERAGE(F53:F55)</f>
        <v>1836338.4351073764</v>
      </c>
      <c r="D55" s="190">
        <f>C55/C52-1</f>
        <v>0.22158702723396995</v>
      </c>
      <c r="E55" s="287">
        <f>C55/C43-1</f>
        <v>0.34272694746823262</v>
      </c>
      <c r="F55" s="136">
        <f>Q55/21</f>
        <v>1888073.4761904762</v>
      </c>
      <c r="G55" s="190">
        <f t="shared" ref="G55" si="115">F55/F54-1</f>
        <v>2.9995331739327558E-2</v>
      </c>
      <c r="H55" s="190">
        <f t="shared" ref="H55" si="116">F55/F43-1</f>
        <v>0.35020871904860917</v>
      </c>
      <c r="I55" s="130">
        <f>T55</f>
        <v>95.290934507215823</v>
      </c>
      <c r="J55" s="130">
        <f t="shared" ref="J55" si="117">I55/I43-1</f>
        <v>0.13241892228756624</v>
      </c>
      <c r="K55" s="136">
        <f>R53+R54+R55</f>
        <v>158003486717</v>
      </c>
      <c r="L55" s="190">
        <f>U55/U52-1</f>
        <v>0.21473566769335783</v>
      </c>
      <c r="M55" s="190">
        <f>K55/K43-1</f>
        <v>0.37281029108961983</v>
      </c>
      <c r="N55" s="191">
        <f>AVERAGE(T53:T55)</f>
        <v>94.4674756367274</v>
      </c>
      <c r="O55" s="192">
        <f>N55/N52-1</f>
        <v>0.12763112187573888</v>
      </c>
      <c r="P55" s="129" t="s">
        <v>1418</v>
      </c>
      <c r="Q55" s="116">
        <v>39649543</v>
      </c>
      <c r="R55" s="116">
        <v>58246851222</v>
      </c>
      <c r="S55" s="116">
        <v>416089.35</v>
      </c>
      <c r="T55" s="130">
        <f t="shared" ref="T55" si="118">Q55/S55</f>
        <v>95.290934507215823</v>
      </c>
      <c r="U55" s="85">
        <f t="shared" ref="U55" si="119">Q53+Q54+Q55</f>
        <v>108356964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1833143.5</v>
      </c>
      <c r="G56" s="190">
        <f t="shared" ref="G56" si="120">F56/F55-1</f>
        <v>-2.9093134818729216E-2</v>
      </c>
      <c r="H56" s="190">
        <f t="shared" ref="H56" si="121">F56/F44-1</f>
        <v>0.15438936606841258</v>
      </c>
      <c r="I56" s="291">
        <f>T56</f>
        <v>89.951101086497289</v>
      </c>
      <c r="J56" s="130">
        <f t="shared" ref="J56" si="122">I56/I44-1</f>
        <v>6.7328089362628463E-2</v>
      </c>
      <c r="K56" s="136"/>
      <c r="L56" s="190"/>
      <c r="M56" s="190"/>
      <c r="N56" s="191"/>
      <c r="O56" s="192"/>
      <c r="P56" s="129" t="s">
        <v>1420</v>
      </c>
      <c r="Q56" s="116">
        <v>40329157</v>
      </c>
      <c r="R56" s="116">
        <v>60245880276</v>
      </c>
      <c r="S56" s="116">
        <v>448345.34</v>
      </c>
      <c r="T56" s="130">
        <f t="shared" ref="T56" si="123">Q56/S56</f>
        <v>89.951101086497289</v>
      </c>
      <c r="U56" s="85">
        <f t="shared" ref="U56" si="124">Q54+Q55+Q56</f>
        <v>111141219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2008001</v>
      </c>
      <c r="G57" s="254">
        <f t="shared" ref="G57" si="125">F57/F56-1</f>
        <v>9.538669504051378E-2</v>
      </c>
      <c r="H57" s="254">
        <f t="shared" ref="H57" si="126">F57/F45-1</f>
        <v>0.3212871225236571</v>
      </c>
      <c r="I57" s="282">
        <f>T57</f>
        <v>96.131418477497874</v>
      </c>
      <c r="J57" s="277">
        <f t="shared" ref="J57" si="127">I57/I45-1</f>
        <v>0.16916543453343214</v>
      </c>
      <c r="K57" s="204"/>
      <c r="L57" s="254"/>
      <c r="M57" s="254"/>
      <c r="N57" s="257"/>
      <c r="O57" s="258"/>
      <c r="P57" s="129" t="s">
        <v>1436</v>
      </c>
      <c r="Q57" s="116">
        <v>24096012</v>
      </c>
      <c r="R57" s="116">
        <v>35500219102</v>
      </c>
      <c r="S57" s="116">
        <v>250656.99</v>
      </c>
      <c r="T57" s="130">
        <f t="shared" ref="T57" si="128">Q57/S57</f>
        <v>96.131418477497874</v>
      </c>
      <c r="U57" s="85">
        <f t="shared" ref="U57" si="129">Q55+Q56+Q57</f>
        <v>104074712</v>
      </c>
      <c r="V57" s="79"/>
      <c r="W57" s="79"/>
      <c r="X57" s="79"/>
      <c r="Y57" s="79"/>
      <c r="Z57" s="79"/>
    </row>
    <row r="58" spans="1:26">
      <c r="B58" s="196">
        <f>SUM(F56:F58)</f>
        <v>3841144.5</v>
      </c>
      <c r="C58" s="196">
        <f>AVERAGE(F56:F58)</f>
        <v>1920572.25</v>
      </c>
      <c r="D58" s="197">
        <f>C58/C55-1</f>
        <v>4.5870528701153157E-2</v>
      </c>
      <c r="E58" s="233">
        <f>C58/C46-1</f>
        <v>0.22020290950904742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172782133</v>
      </c>
      <c r="R65" s="212">
        <v>253749586095</v>
      </c>
      <c r="S65" s="213">
        <v>1845357.02</v>
      </c>
      <c r="T65" s="214">
        <v>85</v>
      </c>
      <c r="U65" s="214">
        <v>277</v>
      </c>
    </row>
    <row r="66" spans="16:21" ht="18" thickBot="1">
      <c r="P66" s="180" t="s">
        <v>976</v>
      </c>
      <c r="Q66" s="181">
        <v>37544902</v>
      </c>
      <c r="R66" s="181">
        <v>54605747199</v>
      </c>
      <c r="S66" s="182">
        <v>397766.43</v>
      </c>
      <c r="T66" s="210">
        <v>41</v>
      </c>
      <c r="U66" s="210">
        <v>161</v>
      </c>
    </row>
    <row r="67" spans="16:21" ht="18" thickBot="1">
      <c r="P67" s="180" t="s">
        <v>977</v>
      </c>
      <c r="Q67" s="181">
        <v>31162519</v>
      </c>
      <c r="R67" s="181">
        <v>45150888296</v>
      </c>
      <c r="S67" s="182">
        <v>332498.89</v>
      </c>
      <c r="T67" s="210">
        <v>37</v>
      </c>
      <c r="U67" s="210">
        <v>141</v>
      </c>
    </row>
    <row r="68" spans="16:21" ht="18" thickBot="1">
      <c r="P68" s="180" t="s">
        <v>978</v>
      </c>
      <c r="Q68" s="181">
        <v>39649543</v>
      </c>
      <c r="R68" s="181">
        <v>58246851222</v>
      </c>
      <c r="S68" s="182">
        <v>416089.35</v>
      </c>
      <c r="T68" s="210">
        <v>45</v>
      </c>
      <c r="U68" s="210">
        <v>162</v>
      </c>
    </row>
    <row r="69" spans="16:21" ht="18" thickBot="1">
      <c r="P69" s="180" t="s">
        <v>979</v>
      </c>
      <c r="Q69" s="181">
        <v>40329157</v>
      </c>
      <c r="R69" s="181">
        <v>60245880276</v>
      </c>
      <c r="S69" s="182">
        <v>448345.34</v>
      </c>
      <c r="T69" s="210">
        <v>54</v>
      </c>
      <c r="U69" s="210">
        <v>169</v>
      </c>
    </row>
    <row r="70" spans="16:21" ht="18" thickBot="1">
      <c r="P70" s="180" t="s">
        <v>980</v>
      </c>
      <c r="Q70" s="181">
        <v>24096012</v>
      </c>
      <c r="R70" s="181">
        <v>35500219102</v>
      </c>
      <c r="S70" s="182">
        <v>250656.99</v>
      </c>
      <c r="T70" s="210">
        <v>30</v>
      </c>
      <c r="U70" s="210">
        <v>122</v>
      </c>
    </row>
    <row r="71" spans="16:21" ht="18" thickBot="1">
      <c r="P71" s="180" t="s">
        <v>975</v>
      </c>
      <c r="Q71" s="181">
        <v>366518212</v>
      </c>
      <c r="R71" s="181">
        <v>520491016571</v>
      </c>
      <c r="S71" s="182">
        <v>4446995.7300000004</v>
      </c>
      <c r="T71" s="210">
        <v>143</v>
      </c>
      <c r="U71" s="210">
        <v>492</v>
      </c>
    </row>
    <row r="72" spans="16:21" ht="18" thickBot="1">
      <c r="P72" s="215" t="s">
        <v>982</v>
      </c>
      <c r="Q72" s="217" t="s">
        <v>1470</v>
      </c>
      <c r="R72"/>
      <c r="S72"/>
      <c r="T72"/>
      <c r="U72"/>
    </row>
  </sheetData>
  <phoneticPr fontId="1" type="noConversion"/>
  <conditionalFormatting sqref="C29:C30">
    <cfRule type="cellIs" dxfId="24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C7BF-F432-422B-9B23-2A074494D760}">
  <sheetPr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1419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8486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73756812.799999997</v>
      </c>
      <c r="G5" s="90"/>
      <c r="H5" s="90"/>
      <c r="I5" s="130">
        <f t="shared" ref="I5:I54" si="0">T5</f>
        <v>412.59836852528736</v>
      </c>
      <c r="J5" s="130"/>
      <c r="K5" s="86"/>
      <c r="L5" s="80"/>
      <c r="M5" s="80"/>
      <c r="N5" s="79"/>
      <c r="O5" s="79"/>
      <c r="P5" s="129" t="s">
        <v>0</v>
      </c>
      <c r="Q5" s="116">
        <v>1475136256</v>
      </c>
      <c r="R5" s="116">
        <v>1775028440332</v>
      </c>
      <c r="S5" s="116">
        <v>3575235.31</v>
      </c>
      <c r="T5" s="130">
        <f t="shared" ref="T5:T55" si="1">Q5/S5</f>
        <v>412.59836852528736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85765436</v>
      </c>
      <c r="G6" s="90">
        <f t="shared" ref="G6:G55" si="2">F6/F5-1</f>
        <v>0.16281374891513756</v>
      </c>
      <c r="H6" s="90"/>
      <c r="I6" s="130">
        <f t="shared" si="0"/>
        <v>387.58820224838428</v>
      </c>
      <c r="J6" s="130"/>
      <c r="K6" s="78"/>
      <c r="L6" s="87"/>
      <c r="M6" s="87"/>
      <c r="N6" s="79"/>
      <c r="O6" s="79"/>
      <c r="P6" s="129" t="s">
        <v>1</v>
      </c>
      <c r="Q6" s="116">
        <v>1543777848</v>
      </c>
      <c r="R6" s="116">
        <v>1871163983330</v>
      </c>
      <c r="S6" s="116">
        <v>3983036.22</v>
      </c>
      <c r="T6" s="130">
        <f t="shared" si="1"/>
        <v>387.58820224838428</v>
      </c>
      <c r="U6" s="85"/>
    </row>
    <row r="7" spans="1:21" ht="15" hidden="1" customHeight="1">
      <c r="A7" s="129" t="s">
        <v>2</v>
      </c>
      <c r="B7" s="131">
        <f>F5+F6+F7</f>
        <v>237719266.16363639</v>
      </c>
      <c r="C7" s="131">
        <f>AVERAGE(F5:F7)</f>
        <v>79239755.38787879</v>
      </c>
      <c r="D7" s="117"/>
      <c r="F7" s="78">
        <f>Q7/22</f>
        <v>78197017.36363636</v>
      </c>
      <c r="G7" s="90">
        <f t="shared" si="2"/>
        <v>-8.8245556594193086E-2</v>
      </c>
      <c r="H7" s="90"/>
      <c r="I7" s="130">
        <f t="shared" si="0"/>
        <v>371.26614132158426</v>
      </c>
      <c r="J7" s="130"/>
      <c r="K7" s="85">
        <f>R5+R6+R7</f>
        <v>5756653146633</v>
      </c>
      <c r="L7" s="87"/>
      <c r="M7" s="87"/>
      <c r="N7" s="88">
        <f>AVERAGE(T5:T7)</f>
        <v>390.48423736508533</v>
      </c>
      <c r="O7" s="79"/>
      <c r="P7" s="129" t="s">
        <v>2</v>
      </c>
      <c r="Q7" s="116">
        <v>1720334382</v>
      </c>
      <c r="R7" s="116">
        <v>2110460722971</v>
      </c>
      <c r="S7" s="116">
        <v>4633695.8600000003</v>
      </c>
      <c r="T7" s="130">
        <f t="shared" si="1"/>
        <v>371.26614132158426</v>
      </c>
      <c r="U7" s="85">
        <f>Q5+Q6+Q7</f>
        <v>4739248486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75961378.476190478</v>
      </c>
      <c r="G8" s="90">
        <f t="shared" si="2"/>
        <v>-2.8589823024190109E-2</v>
      </c>
      <c r="H8" s="90"/>
      <c r="I8" s="130">
        <f t="shared" si="0"/>
        <v>307.26628724038261</v>
      </c>
      <c r="J8" s="130"/>
      <c r="K8" s="78"/>
      <c r="L8" s="87"/>
      <c r="M8" s="87"/>
      <c r="N8" s="79"/>
      <c r="O8" s="79"/>
      <c r="P8" s="129" t="s">
        <v>3</v>
      </c>
      <c r="Q8" s="116">
        <v>1595188948</v>
      </c>
      <c r="R8" s="116">
        <v>1970402289814</v>
      </c>
      <c r="S8" s="116">
        <v>5191552.13</v>
      </c>
      <c r="T8" s="130">
        <f t="shared" si="1"/>
        <v>307.26628724038261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94969064.761904761</v>
      </c>
      <c r="G9" s="90">
        <f t="shared" si="2"/>
        <v>0.25022829583947193</v>
      </c>
      <c r="H9" s="90"/>
      <c r="I9" s="130">
        <f t="shared" si="0"/>
        <v>408.38148338916426</v>
      </c>
      <c r="J9" s="130"/>
      <c r="K9" s="78"/>
      <c r="L9" s="87"/>
      <c r="M9" s="87"/>
      <c r="N9" s="79"/>
      <c r="O9" s="79"/>
      <c r="P9" s="129" t="s">
        <v>4</v>
      </c>
      <c r="Q9" s="116">
        <v>1994350360</v>
      </c>
      <c r="R9" s="116">
        <v>2553077430134</v>
      </c>
      <c r="S9" s="116">
        <v>4883547.47</v>
      </c>
      <c r="T9" s="130">
        <f t="shared" si="1"/>
        <v>408.38148338916426</v>
      </c>
      <c r="U9" s="85"/>
    </row>
    <row r="10" spans="1:21" ht="15" hidden="1" customHeight="1">
      <c r="A10" s="129" t="s">
        <v>5</v>
      </c>
      <c r="B10" s="131">
        <f>F8+F9+F10</f>
        <v>259696867.7142857</v>
      </c>
      <c r="C10" s="131">
        <f>AVERAGE(F8:F10)</f>
        <v>86565622.571428567</v>
      </c>
      <c r="D10" s="90">
        <f>C10/C7-1</f>
        <v>9.2451915679063301E-2</v>
      </c>
      <c r="E10" s="286"/>
      <c r="F10" s="78">
        <f>Q10/21</f>
        <v>88766424.476190478</v>
      </c>
      <c r="G10" s="90">
        <f t="shared" si="2"/>
        <v>-6.5312218260386246E-2</v>
      </c>
      <c r="H10" s="90"/>
      <c r="I10" s="130">
        <f t="shared" si="0"/>
        <v>428.69594637842397</v>
      </c>
      <c r="J10" s="130"/>
      <c r="K10" s="85">
        <f>R8+R9+R10</f>
        <v>6915921802671</v>
      </c>
      <c r="L10" s="87">
        <f>U10/U7-1</f>
        <v>0.15073818942187445</v>
      </c>
      <c r="M10" s="87"/>
      <c r="N10" s="88">
        <f>AVERAGE(T8:T10)</f>
        <v>381.44790566932357</v>
      </c>
      <c r="O10" s="89">
        <f>N10/N7-1</f>
        <v>-2.3141348180242161E-2</v>
      </c>
      <c r="P10" s="129" t="s">
        <v>5</v>
      </c>
      <c r="Q10" s="116">
        <v>1864094914</v>
      </c>
      <c r="R10" s="116">
        <v>2392442082723</v>
      </c>
      <c r="S10" s="116">
        <v>4348291.4400000004</v>
      </c>
      <c r="T10" s="130">
        <f t="shared" si="1"/>
        <v>428.69594637842397</v>
      </c>
      <c r="U10" s="85">
        <f>Q8+Q9+Q10</f>
        <v>5453634222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81215668.285714284</v>
      </c>
      <c r="G11" s="90">
        <f t="shared" si="2"/>
        <v>-8.5063200810814532E-2</v>
      </c>
      <c r="H11" s="90"/>
      <c r="I11" s="130">
        <f t="shared" si="0"/>
        <v>308.90092843243769</v>
      </c>
      <c r="J11" s="130"/>
      <c r="K11" s="78"/>
      <c r="L11" s="87"/>
      <c r="M11" s="87"/>
      <c r="N11" s="79"/>
      <c r="O11" s="89"/>
      <c r="P11" s="129" t="s">
        <v>6</v>
      </c>
      <c r="Q11" s="116">
        <v>1705529034</v>
      </c>
      <c r="R11" s="116">
        <v>2244799130665</v>
      </c>
      <c r="S11" s="116">
        <v>5521281.6699999999</v>
      </c>
      <c r="T11" s="130">
        <f t="shared" si="1"/>
        <v>308.90092843243769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80047673.545454547</v>
      </c>
      <c r="G12" s="90">
        <f t="shared" si="2"/>
        <v>-1.4381396655516854E-2</v>
      </c>
      <c r="H12" s="90"/>
      <c r="I12" s="130">
        <f t="shared" si="0"/>
        <v>262.2610598424726</v>
      </c>
      <c r="J12" s="130"/>
      <c r="K12" s="78"/>
      <c r="L12" s="87"/>
      <c r="M12" s="87"/>
      <c r="N12" s="79"/>
      <c r="O12" s="89"/>
      <c r="P12" s="129" t="s">
        <v>7</v>
      </c>
      <c r="Q12" s="116">
        <v>1761048818</v>
      </c>
      <c r="R12" s="116">
        <v>2330937211993</v>
      </c>
      <c r="S12" s="116">
        <v>6714869.5999999996</v>
      </c>
      <c r="T12" s="130">
        <f t="shared" si="1"/>
        <v>262.2610598424726</v>
      </c>
      <c r="U12" s="85"/>
    </row>
    <row r="13" spans="1:21" ht="15" hidden="1" customHeight="1">
      <c r="A13" s="129" t="s">
        <v>96</v>
      </c>
      <c r="B13" s="131">
        <f>F11+F12+F13</f>
        <v>229145096.08116883</v>
      </c>
      <c r="C13" s="131">
        <f>AVERAGE(F11:F13)</f>
        <v>76381698.693722948</v>
      </c>
      <c r="D13" s="90">
        <f>C13/C10-1</f>
        <v>-0.11764397430749696</v>
      </c>
      <c r="E13" s="286"/>
      <c r="F13" s="78">
        <f>Q13/20</f>
        <v>67881754.25</v>
      </c>
      <c r="G13" s="90">
        <f t="shared" si="2"/>
        <v>-0.15198342133636411</v>
      </c>
      <c r="H13" s="90"/>
      <c r="I13" s="130">
        <f t="shared" si="0"/>
        <v>299.89900759872887</v>
      </c>
      <c r="J13" s="130"/>
      <c r="K13" s="78">
        <f>R11+R12+R13</f>
        <v>6450054805640</v>
      </c>
      <c r="L13" s="87">
        <f>U13/U10-1</f>
        <v>-0.11541318309557869</v>
      </c>
      <c r="M13" s="87"/>
      <c r="N13" s="88">
        <f>AVERAGE(T11:T13)</f>
        <v>290.35366529121308</v>
      </c>
      <c r="O13" s="89">
        <f>N13/N10-1</f>
        <v>-0.23881174604502853</v>
      </c>
      <c r="P13" s="129" t="s">
        <v>96</v>
      </c>
      <c r="Q13" s="116">
        <v>1357635085</v>
      </c>
      <c r="R13" s="116">
        <v>1874318462982</v>
      </c>
      <c r="S13" s="116">
        <v>4526974.25</v>
      </c>
      <c r="T13" s="130">
        <f t="shared" si="1"/>
        <v>299.89900759872887</v>
      </c>
      <c r="U13" s="85">
        <f>Q11+Q12+Q13</f>
        <v>4824212937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66101703.100000001</v>
      </c>
      <c r="G14" s="90">
        <f t="shared" si="2"/>
        <v>-2.6222821871165758E-2</v>
      </c>
      <c r="H14" s="90"/>
      <c r="I14" s="130">
        <f t="shared" si="0"/>
        <v>289.36609790708383</v>
      </c>
      <c r="J14" s="130"/>
      <c r="K14" s="78"/>
      <c r="L14" s="87"/>
      <c r="M14" s="87"/>
      <c r="N14" s="79"/>
      <c r="O14" s="89"/>
      <c r="P14" s="129" t="s">
        <v>97</v>
      </c>
      <c r="Q14" s="116">
        <v>1322034062</v>
      </c>
      <c r="R14" s="116">
        <v>1884836689453</v>
      </c>
      <c r="S14" s="116">
        <v>4568724.78</v>
      </c>
      <c r="T14" s="130">
        <f t="shared" si="1"/>
        <v>289.36609790708383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70289565.681818187</v>
      </c>
      <c r="G15" s="90">
        <f t="shared" si="2"/>
        <v>6.3354836341851906E-2</v>
      </c>
      <c r="H15" s="90"/>
      <c r="I15" s="130">
        <f t="shared" si="0"/>
        <v>333.7301025728413</v>
      </c>
      <c r="J15" s="130"/>
      <c r="K15" s="78"/>
      <c r="L15" s="87"/>
      <c r="M15" s="87"/>
      <c r="N15" s="79"/>
      <c r="O15" s="89"/>
      <c r="P15" s="129" t="s">
        <v>98</v>
      </c>
      <c r="Q15" s="116">
        <v>1546370445</v>
      </c>
      <c r="R15" s="116">
        <v>2143236819199</v>
      </c>
      <c r="S15" s="116">
        <v>4633595.93</v>
      </c>
      <c r="T15" s="130">
        <f t="shared" si="1"/>
        <v>333.7301025728413</v>
      </c>
      <c r="U15" s="85"/>
    </row>
    <row r="16" spans="1:21" ht="15" hidden="1" customHeight="1">
      <c r="A16" s="129" t="s">
        <v>99</v>
      </c>
      <c r="B16" s="131">
        <f>F14+F15+F16</f>
        <v>238975076.19090909</v>
      </c>
      <c r="C16" s="131">
        <f>AVERAGE(F14:F16)</f>
        <v>79658358.730303034</v>
      </c>
      <c r="D16" s="90">
        <f>C16/C13-1</f>
        <v>4.2898496532774333E-2</v>
      </c>
      <c r="E16" s="286"/>
      <c r="F16" s="78">
        <f>Q16/22</f>
        <v>102583807.40909091</v>
      </c>
      <c r="G16" s="90">
        <f t="shared" si="2"/>
        <v>0.45944574296361429</v>
      </c>
      <c r="H16" s="90"/>
      <c r="I16" s="130">
        <f t="shared" si="0"/>
        <v>485.78401421454646</v>
      </c>
      <c r="J16" s="130"/>
      <c r="K16" s="78">
        <f>R14+R15+R16</f>
        <v>6984596336465</v>
      </c>
      <c r="L16" s="87">
        <f>U16/U13-1</f>
        <v>6.2400921545391563E-2</v>
      </c>
      <c r="M16" s="87"/>
      <c r="N16" s="88">
        <f>AVERAGE(T14:T16)</f>
        <v>369.62673823149049</v>
      </c>
      <c r="O16" s="89">
        <f>N16/N13-1</f>
        <v>0.27302246334920444</v>
      </c>
      <c r="P16" s="129" t="s">
        <v>99</v>
      </c>
      <c r="Q16" s="116">
        <v>2256843763</v>
      </c>
      <c r="R16" s="116">
        <v>2956522827813</v>
      </c>
      <c r="S16" s="116">
        <v>4645776.0999999996</v>
      </c>
      <c r="T16" s="130">
        <f t="shared" si="1"/>
        <v>485.78401421454646</v>
      </c>
      <c r="U16" s="85">
        <f>Q14+Q15+Q16</f>
        <v>5125248270</v>
      </c>
    </row>
    <row r="17" spans="1:26" ht="15" hidden="1" customHeight="1">
      <c r="A17" s="129" t="s">
        <v>100</v>
      </c>
      <c r="B17" s="79"/>
      <c r="C17" s="79"/>
      <c r="D17" s="117"/>
      <c r="F17" s="78">
        <f>Q17/20</f>
        <v>60339779.25</v>
      </c>
      <c r="G17" s="90">
        <f t="shared" si="2"/>
        <v>-0.41180015858279861</v>
      </c>
      <c r="H17" s="90">
        <f t="shared" ref="H17:H55" si="3">F17/F5-1</f>
        <v>-0.18190907443874793</v>
      </c>
      <c r="I17" s="130">
        <f t="shared" si="0"/>
        <v>318.05750915639601</v>
      </c>
      <c r="J17" s="130">
        <f t="shared" ref="J17:J55" si="4">I17/I5-1</f>
        <v>-0.22913532040080553</v>
      </c>
      <c r="K17" s="78"/>
      <c r="L17" s="87"/>
      <c r="M17" s="87"/>
      <c r="N17" s="79"/>
      <c r="O17" s="89"/>
      <c r="P17" s="129" t="s">
        <v>100</v>
      </c>
      <c r="Q17" s="116">
        <v>1206795585</v>
      </c>
      <c r="R17" s="116">
        <v>1511764782357</v>
      </c>
      <c r="S17" s="116">
        <v>3794268.49</v>
      </c>
      <c r="T17" s="130">
        <f t="shared" si="1"/>
        <v>318.05750915639601</v>
      </c>
      <c r="U17" s="78"/>
    </row>
    <row r="18" spans="1:26" hidden="1">
      <c r="A18" s="129" t="s">
        <v>106</v>
      </c>
      <c r="B18" s="79"/>
      <c r="C18" s="79"/>
      <c r="D18" s="117"/>
      <c r="F18" s="78">
        <f>Q18/20</f>
        <v>60809450.399999999</v>
      </c>
      <c r="G18" s="90">
        <f t="shared" si="2"/>
        <v>7.7837730902867719E-3</v>
      </c>
      <c r="H18" s="90">
        <f t="shared" si="3"/>
        <v>-0.29097952233344915</v>
      </c>
      <c r="I18" s="130">
        <f t="shared" si="0"/>
        <v>356.93817707102284</v>
      </c>
      <c r="J18" s="130">
        <f t="shared" si="4"/>
        <v>-7.9078839344339791E-2</v>
      </c>
      <c r="K18" s="78"/>
      <c r="L18" s="87"/>
      <c r="M18" s="87"/>
      <c r="N18" s="79"/>
      <c r="O18" s="89"/>
      <c r="P18" s="129" t="s">
        <v>106</v>
      </c>
      <c r="Q18" s="116">
        <v>1216189008</v>
      </c>
      <c r="R18" s="116">
        <v>1520739615814</v>
      </c>
      <c r="S18" s="116">
        <v>3407281.95</v>
      </c>
      <c r="T18" s="130">
        <f t="shared" si="1"/>
        <v>356.93817707102284</v>
      </c>
      <c r="U18" s="78"/>
    </row>
    <row r="19" spans="1:26" hidden="1">
      <c r="A19" s="129" t="s">
        <v>114</v>
      </c>
      <c r="B19" s="131">
        <f>SUM(F17:F19)</f>
        <v>208197571.46818182</v>
      </c>
      <c r="C19" s="131">
        <f>AVERAGE(F17:F19)</f>
        <v>69399190.489393935</v>
      </c>
      <c r="D19" s="90">
        <f>C19/C16-1</f>
        <v>-0.12878960104668069</v>
      </c>
      <c r="E19" s="286">
        <f>C19/C7-1</f>
        <v>-0.12418721953791079</v>
      </c>
      <c r="F19" s="78">
        <f>Q19/22</f>
        <v>87048341.818181813</v>
      </c>
      <c r="G19" s="90">
        <f t="shared" si="2"/>
        <v>0.43149364524073741</v>
      </c>
      <c r="H19" s="90">
        <f t="shared" si="3"/>
        <v>0.11319260955164712</v>
      </c>
      <c r="I19" s="130">
        <f t="shared" si="0"/>
        <v>473.70501692381816</v>
      </c>
      <c r="J19" s="130">
        <f t="shared" si="4"/>
        <v>0.27591763482009291</v>
      </c>
      <c r="K19" s="78">
        <f>R17+R18+R19</f>
        <v>5535120732244</v>
      </c>
      <c r="L19" s="87">
        <f>U19/U16-1</f>
        <v>-0.15359259015953974</v>
      </c>
      <c r="M19" s="87">
        <f>U19/U7-1</f>
        <v>-8.4654850697355899E-2</v>
      </c>
      <c r="N19" s="88">
        <f>AVERAGE(T17:T19)</f>
        <v>382.90023438374573</v>
      </c>
      <c r="O19" s="89">
        <f>N19/N16-1</f>
        <v>3.5910541038679744E-2</v>
      </c>
      <c r="P19" s="129" t="s">
        <v>114</v>
      </c>
      <c r="Q19" s="116">
        <v>1915063520</v>
      </c>
      <c r="R19" s="116">
        <v>2502616334073</v>
      </c>
      <c r="S19" s="116">
        <v>4042734.3</v>
      </c>
      <c r="T19" s="130">
        <f t="shared" si="1"/>
        <v>473.70501692381816</v>
      </c>
      <c r="U19" s="85">
        <f>Q17+Q18+Q19</f>
        <v>4338048113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101369686.55</v>
      </c>
      <c r="G20" s="90">
        <f t="shared" si="2"/>
        <v>0.16452174082455495</v>
      </c>
      <c r="H20" s="90">
        <f t="shared" si="3"/>
        <v>0.33448982342748779</v>
      </c>
      <c r="I20" s="130">
        <f t="shared" si="0"/>
        <v>492.00119223173095</v>
      </c>
      <c r="J20" s="130">
        <f t="shared" si="4"/>
        <v>0.60122087148085113</v>
      </c>
      <c r="K20" s="78"/>
      <c r="L20" s="87"/>
      <c r="M20" s="87"/>
      <c r="N20" s="79"/>
      <c r="O20" s="89"/>
      <c r="P20" s="129" t="s">
        <v>131</v>
      </c>
      <c r="Q20" s="116">
        <v>2027393731</v>
      </c>
      <c r="R20" s="116">
        <v>2657974543616</v>
      </c>
      <c r="S20" s="116">
        <v>4120708.98</v>
      </c>
      <c r="T20" s="130">
        <f t="shared" si="1"/>
        <v>492.00119223173095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83309007.952380955</v>
      </c>
      <c r="G21" s="90">
        <f t="shared" si="2"/>
        <v>-0.17816646388376389</v>
      </c>
      <c r="H21" s="90">
        <f t="shared" si="3"/>
        <v>-0.12277742061329677</v>
      </c>
      <c r="I21" s="130">
        <f t="shared" si="0"/>
        <v>522.17019653020043</v>
      </c>
      <c r="J21" s="130">
        <f t="shared" si="4"/>
        <v>0.27863338023237949</v>
      </c>
      <c r="K21" s="78"/>
      <c r="L21" s="87"/>
      <c r="M21" s="87"/>
      <c r="N21" s="79"/>
      <c r="O21" s="89"/>
      <c r="P21" s="129" t="s">
        <v>141</v>
      </c>
      <c r="Q21" s="116">
        <v>1749489167</v>
      </c>
      <c r="R21" s="116">
        <v>2327858208772</v>
      </c>
      <c r="S21" s="116">
        <v>3350419.42</v>
      </c>
      <c r="T21" s="130">
        <f t="shared" si="1"/>
        <v>522.17019653020043</v>
      </c>
      <c r="U21" s="78"/>
    </row>
    <row r="22" spans="1:26" hidden="1">
      <c r="A22" s="129" t="s">
        <v>155</v>
      </c>
      <c r="B22" s="131">
        <f>SUM(F20:F22)</f>
        <v>269462889.31190479</v>
      </c>
      <c r="C22" s="131">
        <f>AVERAGE(F20:F22)</f>
        <v>89820963.103968263</v>
      </c>
      <c r="D22" s="90">
        <f>C22/C19-1</f>
        <v>0.29426528566922294</v>
      </c>
      <c r="E22" s="286">
        <f>C22/C10-1</f>
        <v>3.7605465493574908E-2</v>
      </c>
      <c r="F22" s="78">
        <f>Q22/21</f>
        <v>84784194.809523806</v>
      </c>
      <c r="G22" s="90">
        <f t="shared" si="2"/>
        <v>1.770741115997998E-2</v>
      </c>
      <c r="H22" s="90">
        <f t="shared" si="3"/>
        <v>-4.4861891082870087E-2</v>
      </c>
      <c r="I22" s="130">
        <f t="shared" si="0"/>
        <v>510.71029334577622</v>
      </c>
      <c r="J22" s="130">
        <f t="shared" si="4"/>
        <v>0.1913112257304983</v>
      </c>
      <c r="K22" s="78">
        <f>R20+R21+R22</f>
        <v>7302331642472</v>
      </c>
      <c r="L22" s="87">
        <f>U22/U19-1</f>
        <v>0.28107177335033851</v>
      </c>
      <c r="M22" s="87">
        <f>U22/U10-1</f>
        <v>1.9017917736691148E-2</v>
      </c>
      <c r="N22" s="88">
        <f>AVERAGE(T20:T22)</f>
        <v>508.2938940359025</v>
      </c>
      <c r="O22" s="89">
        <f>N22/N19-1</f>
        <v>0.32748389369353648</v>
      </c>
      <c r="P22" s="129" t="s">
        <v>155</v>
      </c>
      <c r="Q22" s="116">
        <v>1780468091</v>
      </c>
      <c r="R22" s="116">
        <v>2316498890084</v>
      </c>
      <c r="S22" s="116">
        <v>3486258.48</v>
      </c>
      <c r="T22" s="130">
        <f t="shared" si="1"/>
        <v>510.71029334577622</v>
      </c>
      <c r="U22" s="85">
        <f>Q20+Q21+Q22</f>
        <v>5557350989</v>
      </c>
    </row>
    <row r="23" spans="1:26" hidden="1">
      <c r="A23" s="129" t="s">
        <v>189</v>
      </c>
      <c r="B23" s="131"/>
      <c r="C23" s="131"/>
      <c r="D23" s="117"/>
      <c r="F23" s="78">
        <f>Q23/21</f>
        <v>63626839.333333336</v>
      </c>
      <c r="G23" s="90">
        <f t="shared" si="2"/>
        <v>-0.24954362689558585</v>
      </c>
      <c r="H23" s="90">
        <f t="shared" si="3"/>
        <v>-0.21656940493925358</v>
      </c>
      <c r="I23" s="130">
        <f t="shared" si="0"/>
        <v>390.38754673650044</v>
      </c>
      <c r="J23" s="130">
        <f t="shared" si="4"/>
        <v>0.26379531689198332</v>
      </c>
      <c r="K23" s="78"/>
      <c r="L23" s="87"/>
      <c r="M23" s="87"/>
      <c r="N23" s="79"/>
      <c r="O23" s="89"/>
      <c r="P23" s="129" t="s">
        <v>189</v>
      </c>
      <c r="Q23" s="116">
        <v>1336163626</v>
      </c>
      <c r="R23" s="116">
        <v>1723389741191</v>
      </c>
      <c r="S23" s="116">
        <v>3422659.45</v>
      </c>
      <c r="T23" s="130">
        <f t="shared" si="1"/>
        <v>390.38754673650044</v>
      </c>
      <c r="U23" s="78"/>
    </row>
    <row r="24" spans="1:26" hidden="1">
      <c r="A24" s="129" t="s">
        <v>204</v>
      </c>
      <c r="B24" s="131"/>
      <c r="C24" s="131"/>
      <c r="D24" s="117"/>
      <c r="F24" s="78">
        <f>Q24/22</f>
        <v>46947994.909090906</v>
      </c>
      <c r="G24" s="90">
        <f t="shared" si="2"/>
        <v>-0.26213535984184244</v>
      </c>
      <c r="H24" s="90">
        <f t="shared" si="3"/>
        <v>-0.41349957057238151</v>
      </c>
      <c r="I24" s="130">
        <f t="shared" si="0"/>
        <v>503.34110791147367</v>
      </c>
      <c r="J24" s="130">
        <f t="shared" si="4"/>
        <v>0.91923691688657883</v>
      </c>
      <c r="K24" s="78"/>
      <c r="L24" s="87"/>
      <c r="M24" s="87"/>
      <c r="N24" s="79"/>
      <c r="O24" s="89"/>
      <c r="P24" s="129" t="s">
        <v>204</v>
      </c>
      <c r="Q24" s="116">
        <v>1032855888</v>
      </c>
      <c r="R24" s="116">
        <v>1348418494972</v>
      </c>
      <c r="S24" s="116">
        <v>2051999.87</v>
      </c>
      <c r="T24" s="130">
        <f t="shared" si="1"/>
        <v>503.34110791147367</v>
      </c>
      <c r="U24" s="78"/>
    </row>
    <row r="25" spans="1:26" ht="13.2" hidden="1">
      <c r="A25" s="129" t="s">
        <v>217</v>
      </c>
      <c r="B25" s="131">
        <f>SUM(F23:F25)</f>
        <v>175011532.55821371</v>
      </c>
      <c r="C25" s="131">
        <f>AVERAGE(F23:F25)</f>
        <v>58337177.519404568</v>
      </c>
      <c r="D25" s="90">
        <f>C25/C22-1</f>
        <v>-0.35051712313662275</v>
      </c>
      <c r="E25" s="286">
        <f>C25/C13-1</f>
        <v>-0.23624142278733162</v>
      </c>
      <c r="F25" s="78">
        <f>Q25/19</f>
        <v>64436698.315789476</v>
      </c>
      <c r="G25" s="90">
        <f t="shared" si="2"/>
        <v>0.37251225404968458</v>
      </c>
      <c r="H25" s="90">
        <f t="shared" si="3"/>
        <v>-5.0750838311025559E-2</v>
      </c>
      <c r="I25" s="130">
        <f t="shared" si="0"/>
        <v>573.67696736893947</v>
      </c>
      <c r="J25" s="130">
        <f t="shared" si="4"/>
        <v>0.91290051928591653</v>
      </c>
      <c r="K25" s="78">
        <f>R23+R24+R25</f>
        <v>4696954362764</v>
      </c>
      <c r="L25" s="90">
        <f>U25/U22-1</f>
        <v>-0.35341194228824691</v>
      </c>
      <c r="M25" s="90">
        <f>U25/U13-1</f>
        <v>-0.25514963188284323</v>
      </c>
      <c r="N25" s="88">
        <f>AVERAGE(T23:T25)</f>
        <v>489.13520733897121</v>
      </c>
      <c r="O25" s="91">
        <f>N25/N22-1</f>
        <v>-3.7692144095632263E-2</v>
      </c>
      <c r="P25" s="129" t="s">
        <v>217</v>
      </c>
      <c r="Q25" s="116">
        <v>1224297268</v>
      </c>
      <c r="R25" s="116">
        <v>1625146126601</v>
      </c>
      <c r="S25" s="116">
        <v>2134123.1</v>
      </c>
      <c r="T25" s="130">
        <f t="shared" si="1"/>
        <v>573.67696736893947</v>
      </c>
      <c r="U25" s="85">
        <f>Q23+Q24+Q25</f>
        <v>3593316782</v>
      </c>
      <c r="V25" s="92"/>
      <c r="W25" s="92"/>
      <c r="X25" s="92"/>
      <c r="Y25" s="92"/>
      <c r="Z25" s="92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53245085.736842103</v>
      </c>
      <c r="G26" s="90">
        <f t="shared" si="2"/>
        <v>-0.17368383035548851</v>
      </c>
      <c r="H26" s="90">
        <f t="shared" si="3"/>
        <v>-0.19449752064191361</v>
      </c>
      <c r="I26" s="130">
        <f t="shared" si="0"/>
        <v>339.28654281107083</v>
      </c>
      <c r="J26" s="130">
        <f t="shared" si="4"/>
        <v>0.17251656384438152</v>
      </c>
      <c r="K26" s="78"/>
      <c r="L26" s="90"/>
      <c r="M26" s="90"/>
      <c r="N26" s="79"/>
      <c r="O26" s="79"/>
      <c r="P26" s="129" t="s">
        <v>312</v>
      </c>
      <c r="Q26" s="116">
        <v>1011656629</v>
      </c>
      <c r="R26" s="116">
        <v>1364420375271</v>
      </c>
      <c r="S26" s="116">
        <v>2981717.52</v>
      </c>
      <c r="T26" s="130">
        <f t="shared" si="1"/>
        <v>339.28654281107083</v>
      </c>
      <c r="U26" s="78"/>
      <c r="V26" s="92"/>
      <c r="W26" s="92"/>
      <c r="X26" s="92"/>
      <c r="Y26" s="92"/>
      <c r="Z26" s="92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47659682.18181818</v>
      </c>
      <c r="G27" s="90">
        <f t="shared" si="2"/>
        <v>-0.10489988846349418</v>
      </c>
      <c r="H27" s="90">
        <f t="shared" si="3"/>
        <v>-0.32195224540779432</v>
      </c>
      <c r="I27" s="130">
        <f t="shared" si="0"/>
        <v>327.85386557863103</v>
      </c>
      <c r="J27" s="130">
        <f t="shared" si="4"/>
        <v>-1.7607752339115712E-2</v>
      </c>
      <c r="K27" s="78"/>
      <c r="L27" s="90"/>
      <c r="M27" s="90"/>
      <c r="N27" s="79"/>
      <c r="O27" s="79"/>
      <c r="P27" s="129" t="s">
        <v>373</v>
      </c>
      <c r="Q27" s="116">
        <v>1048513008</v>
      </c>
      <c r="R27" s="116">
        <v>1384147508697</v>
      </c>
      <c r="S27" s="116">
        <v>3198110.86</v>
      </c>
      <c r="T27" s="130">
        <f t="shared" si="1"/>
        <v>327.85386557863103</v>
      </c>
      <c r="U27" s="78"/>
      <c r="V27" s="92"/>
      <c r="W27" s="92"/>
      <c r="X27" s="92"/>
      <c r="Y27" s="92"/>
      <c r="Z27" s="92"/>
    </row>
    <row r="28" spans="1:26" ht="13.2" hidden="1">
      <c r="A28" s="123" t="s">
        <v>413</v>
      </c>
      <c r="B28" s="131">
        <f>SUM(F26:F28)</f>
        <v>194982725.91866028</v>
      </c>
      <c r="C28" s="131">
        <f>AVERAGE(F26:F28)</f>
        <v>64994241.972886764</v>
      </c>
      <c r="D28" s="90">
        <f>C28/C25-1</f>
        <v>0.11411358479363987</v>
      </c>
      <c r="E28" s="286">
        <f>C28/C16-1</f>
        <v>-0.18408760852158834</v>
      </c>
      <c r="F28" s="78">
        <f>Q28/19</f>
        <v>94077958</v>
      </c>
      <c r="G28" s="90">
        <f t="shared" si="2"/>
        <v>0.97395269320302047</v>
      </c>
      <c r="H28" s="90">
        <f t="shared" si="3"/>
        <v>-8.29161017115565E-2</v>
      </c>
      <c r="I28" s="130">
        <f t="shared" si="0"/>
        <v>431.99970532355803</v>
      </c>
      <c r="J28" s="130">
        <f t="shared" si="4"/>
        <v>-0.11071650634274388</v>
      </c>
      <c r="K28" s="78">
        <f>R26+R27+R28</f>
        <v>5079024788998</v>
      </c>
      <c r="L28" s="90">
        <f>U28/U25-1</f>
        <v>7.0779748190873626E-2</v>
      </c>
      <c r="M28" s="90">
        <f>U28/U16-1</f>
        <v>-0.24927522798812629</v>
      </c>
      <c r="N28" s="88">
        <f>AVERAGE(T26:T28)</f>
        <v>366.38003790441991</v>
      </c>
      <c r="O28" s="91">
        <f>N28/N25-1</f>
        <v>-0.25096367546791998</v>
      </c>
      <c r="P28" s="129" t="s">
        <v>413</v>
      </c>
      <c r="Q28" s="116">
        <v>1787481202</v>
      </c>
      <c r="R28" s="116">
        <v>2330456905030</v>
      </c>
      <c r="S28" s="116">
        <v>4137690.79</v>
      </c>
      <c r="T28" s="130">
        <f t="shared" si="1"/>
        <v>431.99970532355803</v>
      </c>
      <c r="U28" s="85">
        <f>Q26+Q27+Q28</f>
        <v>3847650839</v>
      </c>
      <c r="V28" s="92"/>
      <c r="W28" s="92"/>
      <c r="X28" s="92"/>
      <c r="Y28" s="92"/>
      <c r="Z28" s="92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66915734.5</v>
      </c>
      <c r="G29" s="190">
        <f t="shared" si="2"/>
        <v>-0.28872037698777431</v>
      </c>
      <c r="H29" s="190">
        <f t="shared" si="3"/>
        <v>0.10898208995353587</v>
      </c>
      <c r="I29" s="130">
        <f t="shared" si="0"/>
        <v>384.53568149371932</v>
      </c>
      <c r="J29" s="130">
        <f t="shared" si="4"/>
        <v>0.20901305714695306</v>
      </c>
      <c r="K29" s="136"/>
      <c r="L29" s="190"/>
      <c r="M29" s="190"/>
      <c r="N29" s="191"/>
      <c r="O29" s="192"/>
      <c r="P29" s="129" t="s">
        <v>426</v>
      </c>
      <c r="Q29" s="116">
        <v>1472146159</v>
      </c>
      <c r="R29" s="116">
        <v>1937120580713</v>
      </c>
      <c r="S29" s="116">
        <v>3828373.36</v>
      </c>
      <c r="T29" s="130">
        <f t="shared" si="1"/>
        <v>384.53568149371932</v>
      </c>
      <c r="U29" s="85"/>
      <c r="V29" s="92"/>
      <c r="W29" s="92"/>
      <c r="X29" s="92"/>
      <c r="Y29" s="92"/>
      <c r="Z29" s="92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75346962.631578952</v>
      </c>
      <c r="G30" s="190">
        <f t="shared" si="2"/>
        <v>0.12599769238995573</v>
      </c>
      <c r="H30" s="190">
        <f t="shared" si="3"/>
        <v>0.23906666046070613</v>
      </c>
      <c r="I30" s="130">
        <f t="shared" si="0"/>
        <v>428.23203452394387</v>
      </c>
      <c r="J30" s="130">
        <f t="shared" si="4"/>
        <v>0.19973727113739126</v>
      </c>
      <c r="K30" s="136"/>
      <c r="L30" s="190"/>
      <c r="M30" s="190"/>
      <c r="N30" s="191"/>
      <c r="O30" s="192"/>
      <c r="P30" s="129" t="s">
        <v>466</v>
      </c>
      <c r="Q30" s="116">
        <v>1431592290</v>
      </c>
      <c r="R30" s="116">
        <v>1908094691018</v>
      </c>
      <c r="S30" s="116">
        <v>3343029.42</v>
      </c>
      <c r="T30" s="130">
        <f t="shared" si="1"/>
        <v>428.23203452394387</v>
      </c>
      <c r="U30" s="85"/>
      <c r="V30" s="92"/>
      <c r="W30" s="92"/>
      <c r="X30" s="92"/>
      <c r="Y30" s="92"/>
      <c r="Z30" s="92"/>
    </row>
    <row r="31" spans="1:26" ht="13.2" hidden="1">
      <c r="A31" s="129" t="s">
        <v>505</v>
      </c>
      <c r="B31" s="188">
        <f>SUM(F29:F31)</f>
        <v>216353896.73157895</v>
      </c>
      <c r="C31" s="188">
        <f>AVERAGE(F29:F31)</f>
        <v>72117965.577192977</v>
      </c>
      <c r="D31" s="190">
        <f>C31/C28-1</f>
        <v>0.10960545716154324</v>
      </c>
      <c r="E31" s="287">
        <f>C31/C19-1</f>
        <v>3.9175890505733557E-2</v>
      </c>
      <c r="F31" s="136">
        <f>Q31/20</f>
        <v>74091199.599999994</v>
      </c>
      <c r="G31" s="190">
        <f t="shared" si="2"/>
        <v>-1.6666405488953928E-2</v>
      </c>
      <c r="H31" s="190">
        <f t="shared" si="3"/>
        <v>-0.14884996023526154</v>
      </c>
      <c r="I31" s="130">
        <f t="shared" si="0"/>
        <v>334.70667884324513</v>
      </c>
      <c r="J31" s="130">
        <f t="shared" si="4"/>
        <v>-0.2934280472332994</v>
      </c>
      <c r="K31" s="136">
        <f>R29+R30+R31</f>
        <v>5815291052390</v>
      </c>
      <c r="L31" s="190">
        <f>U31/U28-1</f>
        <v>0.13980260281096668</v>
      </c>
      <c r="M31" s="190">
        <f>U31/U19-1</f>
        <v>1.0952927851955341E-2</v>
      </c>
      <c r="N31" s="191">
        <f>AVERAGE(T29:T31)</f>
        <v>382.49146495363607</v>
      </c>
      <c r="O31" s="192">
        <f>N31/N28-1</f>
        <v>4.3974631209081405E-2</v>
      </c>
      <c r="P31" s="129" t="s">
        <v>505</v>
      </c>
      <c r="Q31" s="116">
        <v>1481823992</v>
      </c>
      <c r="R31" s="116">
        <v>1970075780659</v>
      </c>
      <c r="S31" s="116">
        <v>4427231.62</v>
      </c>
      <c r="T31" s="130">
        <f t="shared" si="1"/>
        <v>334.70667884324513</v>
      </c>
      <c r="U31" s="85">
        <f>Q29+Q30+Q31</f>
        <v>4385562441</v>
      </c>
      <c r="V31" s="92"/>
      <c r="W31" s="92"/>
      <c r="X31" s="92"/>
      <c r="Y31" s="92"/>
      <c r="Z31" s="92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63206301.714285716</v>
      </c>
      <c r="G32" s="190">
        <f t="shared" si="2"/>
        <v>-0.14691215615996422</v>
      </c>
      <c r="H32" s="190">
        <f t="shared" si="3"/>
        <v>-0.37647728955825877</v>
      </c>
      <c r="I32" s="130">
        <f t="shared" si="0"/>
        <v>343.49213180606267</v>
      </c>
      <c r="J32" s="130">
        <f t="shared" si="4"/>
        <v>-0.30184695234584102</v>
      </c>
      <c r="K32" s="136"/>
      <c r="L32" s="190"/>
      <c r="M32" s="190"/>
      <c r="N32" s="191"/>
      <c r="O32" s="192"/>
      <c r="P32" s="129" t="s">
        <v>561</v>
      </c>
      <c r="Q32" s="116">
        <v>1327332336</v>
      </c>
      <c r="R32" s="116">
        <v>1800271030872</v>
      </c>
      <c r="S32" s="116">
        <v>3864229.23</v>
      </c>
      <c r="T32" s="130">
        <f t="shared" si="1"/>
        <v>343.49213180606267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63947892.238095239</v>
      </c>
      <c r="G33" s="190">
        <f t="shared" si="2"/>
        <v>1.1732857384407103E-2</v>
      </c>
      <c r="H33" s="190">
        <f t="shared" si="3"/>
        <v>-0.23240122755215664</v>
      </c>
      <c r="I33" s="130">
        <f t="shared" si="0"/>
        <v>262.9264240305165</v>
      </c>
      <c r="J33" s="130">
        <f t="shared" si="4"/>
        <v>-0.49647370574258776</v>
      </c>
      <c r="K33" s="136"/>
      <c r="L33" s="190"/>
      <c r="M33" s="190"/>
      <c r="N33" s="191"/>
      <c r="O33" s="192"/>
      <c r="P33" s="129" t="s">
        <v>606</v>
      </c>
      <c r="Q33" s="116">
        <v>1342905737</v>
      </c>
      <c r="R33" s="116">
        <v>1836637731417</v>
      </c>
      <c r="S33" s="116">
        <v>5107534.33</v>
      </c>
      <c r="T33" s="130">
        <f t="shared" si="1"/>
        <v>262.9264240305165</v>
      </c>
      <c r="U33" s="85"/>
    </row>
    <row r="34" spans="1:21" s="92" customFormat="1" ht="13.2" hidden="1">
      <c r="A34" s="129" t="s">
        <v>652</v>
      </c>
      <c r="B34" s="188">
        <f>SUM(F32:F34)</f>
        <v>205897193.05764413</v>
      </c>
      <c r="C34" s="188">
        <f>AVERAGE(F32:F34)</f>
        <v>68632397.685881376</v>
      </c>
      <c r="D34" s="190">
        <f>C34/C31-1</f>
        <v>-4.8331478341284484E-2</v>
      </c>
      <c r="E34" s="287">
        <f>C34/C22-1</f>
        <v>-0.23589777581833549</v>
      </c>
      <c r="F34" s="136">
        <f>Q34/19</f>
        <v>78742999.105263159</v>
      </c>
      <c r="G34" s="190">
        <f t="shared" si="2"/>
        <v>0.23136191591869437</v>
      </c>
      <c r="H34" s="190">
        <f t="shared" si="3"/>
        <v>-7.1253795802776687E-2</v>
      </c>
      <c r="I34" s="130">
        <f t="shared" si="0"/>
        <v>331.97157149417569</v>
      </c>
      <c r="J34" s="130">
        <f t="shared" si="4"/>
        <v>-0.3499806527897521</v>
      </c>
      <c r="K34" s="136">
        <f>R32+R33+R34</f>
        <v>5691311600259</v>
      </c>
      <c r="L34" s="190">
        <f>U34/U31-1</f>
        <v>-4.9983870472498859E-2</v>
      </c>
      <c r="M34" s="190">
        <f>U34/U22-1</f>
        <v>-0.25029837700610991</v>
      </c>
      <c r="N34" s="191">
        <f>AVERAGE(T32:T34)</f>
        <v>312.79670911025158</v>
      </c>
      <c r="O34" s="192">
        <f>N34/N31-1</f>
        <v>-0.18221257787237832</v>
      </c>
      <c r="P34" s="129" t="s">
        <v>652</v>
      </c>
      <c r="Q34" s="116">
        <v>1496116983</v>
      </c>
      <c r="R34" s="116">
        <v>2054402837970</v>
      </c>
      <c r="S34" s="116">
        <v>4506762.3600000003</v>
      </c>
      <c r="T34" s="130">
        <f t="shared" si="1"/>
        <v>331.97157149417569</v>
      </c>
      <c r="U34" s="85">
        <f>Q32+Q33+Q34</f>
        <v>4166355056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55108987.434782609</v>
      </c>
      <c r="G35" s="190">
        <f t="shared" si="2"/>
        <v>-0.30014111653134712</v>
      </c>
      <c r="H35" s="190">
        <f t="shared" si="3"/>
        <v>-0.13387199470850231</v>
      </c>
      <c r="I35" s="130">
        <f t="shared" si="0"/>
        <v>277.22851581693493</v>
      </c>
      <c r="J35" s="130">
        <f t="shared" si="4"/>
        <v>-0.28986332137265736</v>
      </c>
      <c r="K35" s="136"/>
      <c r="L35" s="190"/>
      <c r="M35" s="190"/>
      <c r="N35" s="191"/>
      <c r="O35" s="192"/>
      <c r="P35" s="129" t="s">
        <v>659</v>
      </c>
      <c r="Q35" s="116">
        <v>1267506711</v>
      </c>
      <c r="R35" s="116">
        <v>1754413684054</v>
      </c>
      <c r="S35" s="116">
        <v>4572064.7</v>
      </c>
      <c r="T35" s="130">
        <f t="shared" si="1"/>
        <v>277.22851581693493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49173749.761904761</v>
      </c>
      <c r="G36" s="190">
        <f t="shared" si="2"/>
        <v>-0.10769999503078809</v>
      </c>
      <c r="H36" s="190">
        <f t="shared" si="3"/>
        <v>4.7408943813761484E-2</v>
      </c>
      <c r="I36" s="130">
        <f t="shared" si="0"/>
        <v>318.661310739052</v>
      </c>
      <c r="J36" s="130">
        <f t="shared" si="4"/>
        <v>-0.3669078369909391</v>
      </c>
      <c r="K36" s="136"/>
      <c r="L36" s="190"/>
      <c r="M36" s="190"/>
      <c r="N36" s="191"/>
      <c r="O36" s="192"/>
      <c r="P36" s="129" t="s">
        <v>664</v>
      </c>
      <c r="Q36" s="116">
        <v>1032648745</v>
      </c>
      <c r="R36" s="116">
        <v>1409368610893</v>
      </c>
      <c r="S36" s="116">
        <v>3240584</v>
      </c>
      <c r="T36" s="130">
        <f t="shared" si="1"/>
        <v>318.661310739052</v>
      </c>
      <c r="U36" s="85"/>
    </row>
    <row r="37" spans="1:21" s="92" customFormat="1" ht="13.2" hidden="1">
      <c r="A37" s="129" t="s">
        <v>702</v>
      </c>
      <c r="B37" s="188">
        <f>SUM(F35:F37)</f>
        <v>214976922.80779848</v>
      </c>
      <c r="C37" s="188">
        <f>AVERAGE(F35:F37)</f>
        <v>71658974.269266158</v>
      </c>
      <c r="D37" s="190">
        <f>C37/C34-1</f>
        <v>4.4098365865591571E-2</v>
      </c>
      <c r="E37" s="287">
        <f>C37/C25-1</f>
        <v>0.22835860966071575</v>
      </c>
      <c r="F37" s="136">
        <f>Q37/18</f>
        <v>110694185.6111111</v>
      </c>
      <c r="G37" s="190">
        <f t="shared" si="2"/>
        <v>1.2510828673241967</v>
      </c>
      <c r="H37" s="190">
        <f t="shared" si="3"/>
        <v>0.71787488348059503</v>
      </c>
      <c r="I37" s="130">
        <f t="shared" si="0"/>
        <v>552.3016287988288</v>
      </c>
      <c r="J37" s="130">
        <f t="shared" si="4"/>
        <v>-3.7260234916079327E-2</v>
      </c>
      <c r="K37" s="136">
        <f>R35+R36+R37</f>
        <v>5823502975909</v>
      </c>
      <c r="L37" s="190">
        <f>U37/U34-1</f>
        <v>3.0313244863305666E-2</v>
      </c>
      <c r="M37" s="190">
        <f>U37/U25-1</f>
        <v>0.19462075219840713</v>
      </c>
      <c r="N37" s="191">
        <f>AVERAGE(T35:T37)</f>
        <v>382.73048511827193</v>
      </c>
      <c r="O37" s="192">
        <f>N37/N34-1</f>
        <v>0.22357580489560314</v>
      </c>
      <c r="P37" s="129" t="s">
        <v>702</v>
      </c>
      <c r="Q37" s="116">
        <v>1992495341</v>
      </c>
      <c r="R37" s="116">
        <v>2659720680962</v>
      </c>
      <c r="S37" s="116">
        <v>3607621.7</v>
      </c>
      <c r="T37" s="130">
        <f t="shared" si="1"/>
        <v>552.3016287988288</v>
      </c>
      <c r="U37" s="85">
        <f>Q35+Q36+Q37</f>
        <v>4292650797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76983482.900000006</v>
      </c>
      <c r="G38" s="190">
        <f t="shared" si="2"/>
        <v>-0.30453905528103309</v>
      </c>
      <c r="H38" s="190">
        <f t="shared" si="3"/>
        <v>0.44583264041459691</v>
      </c>
      <c r="I38" s="130">
        <f t="shared" si="0"/>
        <v>410.56143917961055</v>
      </c>
      <c r="J38" s="130">
        <f t="shared" si="4"/>
        <v>0.21007286577890771</v>
      </c>
      <c r="K38" s="136"/>
      <c r="L38" s="190"/>
      <c r="M38" s="190"/>
      <c r="N38" s="191"/>
      <c r="O38" s="192"/>
      <c r="P38" s="129" t="s">
        <v>725</v>
      </c>
      <c r="Q38" s="116">
        <v>1539669658</v>
      </c>
      <c r="R38" s="116">
        <v>2072305439738</v>
      </c>
      <c r="S38" s="116">
        <v>3750156.52</v>
      </c>
      <c r="T38" s="130">
        <f t="shared" si="1"/>
        <v>410.56143917961055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92847433.285714284</v>
      </c>
      <c r="G39" s="190">
        <f t="shared" si="2"/>
        <v>0.20606953320521004</v>
      </c>
      <c r="H39" s="190">
        <f t="shared" si="3"/>
        <v>0.94813370621121984</v>
      </c>
      <c r="I39" s="130">
        <f t="shared" si="0"/>
        <v>512.0122142336287</v>
      </c>
      <c r="J39" s="130">
        <f t="shared" si="4"/>
        <v>0.56170863909130864</v>
      </c>
      <c r="K39" s="136"/>
      <c r="L39" s="190"/>
      <c r="M39" s="190"/>
      <c r="N39" s="191"/>
      <c r="O39" s="192"/>
      <c r="P39" s="129" t="s">
        <v>762</v>
      </c>
      <c r="Q39" s="116">
        <v>1949796099</v>
      </c>
      <c r="R39" s="116">
        <v>2706839591486</v>
      </c>
      <c r="S39" s="116">
        <v>3808104.66</v>
      </c>
      <c r="T39" s="130">
        <f t="shared" si="1"/>
        <v>512.0122142336287</v>
      </c>
      <c r="U39" s="85"/>
    </row>
    <row r="40" spans="1:21" s="92" customFormat="1" ht="13.2" hidden="1">
      <c r="A40" s="129" t="s">
        <v>777</v>
      </c>
      <c r="B40" s="188">
        <f>SUM(F38:F40)</f>
        <v>280594843.23333335</v>
      </c>
      <c r="C40" s="188">
        <f>AVERAGE(F38:F40)</f>
        <v>93531614.411111116</v>
      </c>
      <c r="D40" s="190">
        <f>C40/C37-1</f>
        <v>0.30523239224240362</v>
      </c>
      <c r="E40" s="287">
        <f>C40/C28-1</f>
        <v>0.43907539455770728</v>
      </c>
      <c r="F40" s="136">
        <f>Q40/21</f>
        <v>110763927.04761904</v>
      </c>
      <c r="G40" s="190">
        <f t="shared" si="2"/>
        <v>0.19296703342106758</v>
      </c>
      <c r="H40" s="190">
        <f t="shared" si="3"/>
        <v>0.17736321453340897</v>
      </c>
      <c r="I40" s="130">
        <f t="shared" si="0"/>
        <v>580.82797858918377</v>
      </c>
      <c r="J40" s="130">
        <f t="shared" si="4"/>
        <v>0.34451012681630577</v>
      </c>
      <c r="K40" s="136">
        <f>R38+R39+R40</f>
        <v>8079448646757</v>
      </c>
      <c r="L40" s="190">
        <f>U40/U37-1</f>
        <v>0.35475921522996412</v>
      </c>
      <c r="M40" s="190">
        <f>U40/U28-1</f>
        <v>0.51144385713321228</v>
      </c>
      <c r="N40" s="191">
        <f>AVERAGE(T38:T40)</f>
        <v>501.133877334141</v>
      </c>
      <c r="O40" s="192">
        <f>N40/N37-1</f>
        <v>0.30936493647554597</v>
      </c>
      <c r="P40" s="129" t="s">
        <v>777</v>
      </c>
      <c r="Q40" s="116">
        <v>2326042468</v>
      </c>
      <c r="R40" s="116">
        <v>3300303615533</v>
      </c>
      <c r="S40" s="116">
        <v>4004701.14</v>
      </c>
      <c r="T40" s="130">
        <f t="shared" si="1"/>
        <v>580.82797858918377</v>
      </c>
      <c r="U40" s="85">
        <f>Q38+Q39+Q40</f>
        <v>5815508225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76934289.388888896</v>
      </c>
      <c r="G41" s="190">
        <f t="shared" si="2"/>
        <v>-0.30542107489730197</v>
      </c>
      <c r="H41" s="190">
        <f t="shared" si="3"/>
        <v>0.14971897063894435</v>
      </c>
      <c r="I41" s="130">
        <f t="shared" si="0"/>
        <v>372.37916919389085</v>
      </c>
      <c r="J41" s="130">
        <f t="shared" si="4"/>
        <v>-3.1613483182124535E-2</v>
      </c>
      <c r="K41" s="194"/>
      <c r="L41" s="202"/>
      <c r="M41" s="202"/>
      <c r="N41" s="194"/>
      <c r="O41" s="194"/>
      <c r="P41" s="129" t="s">
        <v>787</v>
      </c>
      <c r="Q41" s="116">
        <v>1384817209</v>
      </c>
      <c r="R41" s="116">
        <v>2022259696887</v>
      </c>
      <c r="S41" s="116">
        <v>3718836.4</v>
      </c>
      <c r="T41" s="130">
        <f t="shared" si="1"/>
        <v>372.37916919389085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89238868.400000006</v>
      </c>
      <c r="G42" s="190">
        <f t="shared" si="2"/>
        <v>0.15993621451305917</v>
      </c>
      <c r="H42" s="190">
        <f t="shared" si="3"/>
        <v>0.18437247213730101</v>
      </c>
      <c r="I42" s="130">
        <f t="shared" si="0"/>
        <v>413.26289516641003</v>
      </c>
      <c r="J42" s="130">
        <f t="shared" si="4"/>
        <v>-3.4955673912099305E-2</v>
      </c>
      <c r="K42" s="194"/>
      <c r="L42" s="202"/>
      <c r="M42" s="202"/>
      <c r="N42" s="194"/>
      <c r="O42" s="194"/>
      <c r="P42" s="129" t="s">
        <v>826</v>
      </c>
      <c r="Q42" s="116">
        <v>1784777368</v>
      </c>
      <c r="R42" s="116">
        <v>2580225879496</v>
      </c>
      <c r="S42" s="116">
        <v>4318745.74</v>
      </c>
      <c r="T42" s="130">
        <f t="shared" si="1"/>
        <v>413.26289516641003</v>
      </c>
      <c r="U42" s="175"/>
    </row>
    <row r="43" spans="1:21" s="92" customFormat="1" ht="13.2">
      <c r="A43" s="129" t="s">
        <v>834</v>
      </c>
      <c r="B43" s="188">
        <f>SUM(F41:F43)</f>
        <v>304119741.33888888</v>
      </c>
      <c r="C43" s="188">
        <f>AVERAGE(F41:F43)</f>
        <v>101373247.11296296</v>
      </c>
      <c r="D43" s="190">
        <f>C43/C40-1</f>
        <v>8.3839381488536535E-2</v>
      </c>
      <c r="E43" s="287">
        <f>C43/C31-1</f>
        <v>0.405658719039377</v>
      </c>
      <c r="F43" s="136">
        <f>Q43/20</f>
        <v>137946583.55000001</v>
      </c>
      <c r="G43" s="190">
        <f t="shared" si="2"/>
        <v>0.54581278341265915</v>
      </c>
      <c r="H43" s="190">
        <f t="shared" si="3"/>
        <v>0.86184842862228428</v>
      </c>
      <c r="I43" s="130">
        <f t="shared" si="0"/>
        <v>579.74108768997166</v>
      </c>
      <c r="J43" s="130">
        <f t="shared" si="4"/>
        <v>0.73208700135166627</v>
      </c>
      <c r="K43" s="136">
        <f>R41+R42+R43</f>
        <v>8598744508825</v>
      </c>
      <c r="L43" s="190">
        <f>U43/U40-1</f>
        <v>1.9433903044647538E-2</v>
      </c>
      <c r="M43" s="190">
        <f>K43/K31-1</f>
        <v>0.47864387721248125</v>
      </c>
      <c r="N43" s="191">
        <f>AVERAGE(T41:T43)</f>
        <v>455.1277173500909</v>
      </c>
      <c r="O43" s="192">
        <f>N43/N40-1</f>
        <v>-9.1804130722087596E-2</v>
      </c>
      <c r="P43" s="129" t="s">
        <v>834</v>
      </c>
      <c r="Q43" s="116">
        <v>2758931671</v>
      </c>
      <c r="R43" s="116">
        <v>3996258932442</v>
      </c>
      <c r="S43" s="116">
        <v>4758903.12</v>
      </c>
      <c r="T43" s="130">
        <f t="shared" si="1"/>
        <v>579.74108768997166</v>
      </c>
      <c r="U43" s="85">
        <f>Q41+Q42+Q43</f>
        <v>5928526248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71363459.090909094</v>
      </c>
      <c r="G44" s="190">
        <f t="shared" si="2"/>
        <v>-0.48267324021806779</v>
      </c>
      <c r="H44" s="190">
        <f t="shared" si="3"/>
        <v>0.12905607756480575</v>
      </c>
      <c r="I44" s="130">
        <f t="shared" si="0"/>
        <v>380.37582183974052</v>
      </c>
      <c r="J44" s="130">
        <f t="shared" si="4"/>
        <v>0.10737855868705193</v>
      </c>
      <c r="K44" s="136"/>
      <c r="L44" s="190"/>
      <c r="M44" s="190"/>
      <c r="N44" s="191"/>
      <c r="O44" s="192"/>
      <c r="P44" s="129" t="s">
        <v>838</v>
      </c>
      <c r="Q44" s="116">
        <v>1569996100</v>
      </c>
      <c r="R44" s="116">
        <v>2276849028317</v>
      </c>
      <c r="S44" s="116">
        <v>4127486.58</v>
      </c>
      <c r="T44" s="130">
        <f t="shared" si="1"/>
        <v>380.37582183974052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74879255.099999994</v>
      </c>
      <c r="G45" s="190">
        <f t="shared" si="2"/>
        <v>4.9266053718222569E-2</v>
      </c>
      <c r="H45" s="190">
        <f t="shared" si="3"/>
        <v>0.17094172269516483</v>
      </c>
      <c r="I45" s="130">
        <f t="shared" si="0"/>
        <v>443.17222257889352</v>
      </c>
      <c r="J45" s="130">
        <f t="shared" si="4"/>
        <v>0.68553702509359371</v>
      </c>
      <c r="K45" s="136"/>
      <c r="L45" s="190"/>
      <c r="M45" s="190"/>
      <c r="N45" s="191"/>
      <c r="O45" s="192"/>
      <c r="P45" s="129" t="s">
        <v>847</v>
      </c>
      <c r="Q45" s="116">
        <v>1497585102</v>
      </c>
      <c r="R45" s="116">
        <v>2111821617632</v>
      </c>
      <c r="S45" s="116">
        <v>3379239.55</v>
      </c>
      <c r="T45" s="130">
        <f t="shared" si="1"/>
        <v>443.17222257889352</v>
      </c>
      <c r="U45" s="85"/>
    </row>
    <row r="46" spans="1:21" s="92" customFormat="1" ht="13.2">
      <c r="A46" s="129" t="s">
        <v>888</v>
      </c>
      <c r="B46" s="188">
        <f>SUM(F44:F46)</f>
        <v>247031669.29617226</v>
      </c>
      <c r="C46" s="188">
        <f>AVERAGE(F44:F46)</f>
        <v>82343889.765390754</v>
      </c>
      <c r="D46" s="190">
        <f>C46/C43-1</f>
        <v>-0.18771577205539525</v>
      </c>
      <c r="E46" s="287">
        <f>C46/C34-1</f>
        <v>0.19978162707158376</v>
      </c>
      <c r="F46" s="136">
        <f>Q46/19</f>
        <v>100788955.10526316</v>
      </c>
      <c r="G46" s="190">
        <f t="shared" si="2"/>
        <v>0.34601973498081939</v>
      </c>
      <c r="H46" s="190">
        <f t="shared" si="3"/>
        <v>0.27997353733668562</v>
      </c>
      <c r="I46" s="130">
        <f t="shared" si="0"/>
        <v>475.57615596500699</v>
      </c>
      <c r="J46" s="130">
        <f t="shared" si="4"/>
        <v>0.43258097018512554</v>
      </c>
      <c r="K46" s="136">
        <f>R44+R45+R46</f>
        <v>7011019651741</v>
      </c>
      <c r="L46" s="190">
        <f>U46/U43-1</f>
        <v>-0.15955987363961144</v>
      </c>
      <c r="M46" s="190">
        <f>K46/K34-1</f>
        <v>0.23188118032791305</v>
      </c>
      <c r="N46" s="191">
        <f>AVERAGE(T44:T46)</f>
        <v>433.04140012788031</v>
      </c>
      <c r="O46" s="192">
        <f>N46/N43-1</f>
        <v>-4.8527734919781795E-2</v>
      </c>
      <c r="P46" s="129" t="s">
        <v>888</v>
      </c>
      <c r="Q46" s="116">
        <v>1914990147</v>
      </c>
      <c r="R46" s="116">
        <v>2622349005792</v>
      </c>
      <c r="S46" s="116">
        <v>4026674.01</v>
      </c>
      <c r="T46" s="130">
        <f t="shared" si="1"/>
        <v>475.57615596500699</v>
      </c>
      <c r="U46" s="85">
        <f t="shared" ref="U46:U55" si="5">Q44+Q45+Q46</f>
        <v>4982571349</v>
      </c>
    </row>
    <row r="47" spans="1:21" s="92" customFormat="1" ht="13.2">
      <c r="A47" s="129" t="s">
        <v>989</v>
      </c>
      <c r="B47" s="188"/>
      <c r="C47" s="188"/>
      <c r="D47" s="190"/>
      <c r="E47" s="287"/>
      <c r="F47" s="136">
        <f>Q47/23</f>
        <v>71074165.043478265</v>
      </c>
      <c r="G47" s="190">
        <f t="shared" si="2"/>
        <v>-0.29482188827883982</v>
      </c>
      <c r="H47" s="190">
        <f t="shared" si="3"/>
        <v>0.28970188624113735</v>
      </c>
      <c r="I47" s="130">
        <f t="shared" si="0"/>
        <v>475.25139421699106</v>
      </c>
      <c r="J47" s="130">
        <f t="shared" si="4"/>
        <v>0.71429476804189429</v>
      </c>
      <c r="K47" s="136"/>
      <c r="L47" s="190"/>
      <c r="M47" s="190"/>
      <c r="N47" s="191"/>
      <c r="O47" s="192"/>
      <c r="P47" s="129" t="s">
        <v>989</v>
      </c>
      <c r="Q47" s="116">
        <v>1634705796</v>
      </c>
      <c r="R47" s="116">
        <v>2240126783322</v>
      </c>
      <c r="S47" s="116">
        <v>3439665.44</v>
      </c>
      <c r="T47" s="130">
        <f t="shared" si="1"/>
        <v>475.25139421699106</v>
      </c>
      <c r="U47" s="85">
        <f t="shared" si="5"/>
        <v>5047281045</v>
      </c>
    </row>
    <row r="48" spans="1:21" s="92" customFormat="1" ht="13.2">
      <c r="A48" s="129" t="s">
        <v>1067</v>
      </c>
      <c r="B48" s="188"/>
      <c r="C48" s="188"/>
      <c r="D48" s="190"/>
      <c r="E48" s="287"/>
      <c r="F48" s="136">
        <f>Q48/20</f>
        <v>59119670.299999997</v>
      </c>
      <c r="G48" s="190">
        <f t="shared" si="2"/>
        <v>-0.16819747001129504</v>
      </c>
      <c r="H48" s="190">
        <f t="shared" si="3"/>
        <v>0.20226077096525197</v>
      </c>
      <c r="I48" s="130">
        <f t="shared" si="0"/>
        <v>466.90539628486789</v>
      </c>
      <c r="J48" s="130">
        <f t="shared" si="4"/>
        <v>0.46520892417721593</v>
      </c>
      <c r="K48" s="136"/>
      <c r="L48" s="190"/>
      <c r="M48" s="190"/>
      <c r="N48" s="191"/>
      <c r="O48" s="192"/>
      <c r="P48" s="129" t="s">
        <v>1067</v>
      </c>
      <c r="Q48" s="116">
        <v>1182393406</v>
      </c>
      <c r="R48" s="116">
        <v>1640251727073</v>
      </c>
      <c r="S48" s="116">
        <v>2532404.67</v>
      </c>
      <c r="T48" s="130">
        <f t="shared" si="1"/>
        <v>466.90539628486789</v>
      </c>
      <c r="U48" s="85">
        <f t="shared" si="5"/>
        <v>4732089349</v>
      </c>
    </row>
    <row r="49" spans="1:26" ht="13.2">
      <c r="A49" s="129" t="s">
        <v>1157</v>
      </c>
      <c r="B49" s="188">
        <f>SUM(F47:F49)</f>
        <v>233833659.20711464</v>
      </c>
      <c r="C49" s="188">
        <f>AVERAGE(F47:F49)</f>
        <v>77944553.069038212</v>
      </c>
      <c r="D49" s="190">
        <f>C49/C46-1</f>
        <v>-5.3426389121121964E-2</v>
      </c>
      <c r="E49" s="287">
        <f>C49/C37-1</f>
        <v>8.7715165670015471E-2</v>
      </c>
      <c r="F49" s="136">
        <f>Q49/22</f>
        <v>103639823.86363636</v>
      </c>
      <c r="G49" s="190">
        <f t="shared" si="2"/>
        <v>0.75305145204161206</v>
      </c>
      <c r="H49" s="190">
        <f t="shared" si="3"/>
        <v>-6.372838562865446E-2</v>
      </c>
      <c r="I49" s="130">
        <f t="shared" si="0"/>
        <v>588.68102323618371</v>
      </c>
      <c r="J49" s="130">
        <f t="shared" si="4"/>
        <v>6.5868707496797629E-2</v>
      </c>
      <c r="K49" s="136">
        <f>R47+R48+R49</f>
        <v>7049307306085</v>
      </c>
      <c r="L49" s="190">
        <f>U49/U46-1</f>
        <v>2.3000970778471741E-2</v>
      </c>
      <c r="M49" s="190">
        <f>K49/K37-1</f>
        <v>0.21049260818565352</v>
      </c>
      <c r="N49" s="191">
        <f>AVERAGE(T47:T49)</f>
        <v>510.27927124601428</v>
      </c>
      <c r="O49" s="192">
        <f>N49/N46-1</f>
        <v>0.17836140169352177</v>
      </c>
      <c r="P49" s="129" t="s">
        <v>1157</v>
      </c>
      <c r="Q49" s="116">
        <v>2280076125</v>
      </c>
      <c r="R49" s="116">
        <v>3168928795690</v>
      </c>
      <c r="S49" s="116">
        <v>3873194.54</v>
      </c>
      <c r="T49" s="130">
        <f t="shared" si="1"/>
        <v>588.68102323618371</v>
      </c>
      <c r="U49" s="85">
        <f t="shared" si="5"/>
        <v>5097175327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93712747.888888896</v>
      </c>
      <c r="G50" s="190">
        <f t="shared" si="2"/>
        <v>-9.5784377131024168E-2</v>
      </c>
      <c r="H50" s="190">
        <f t="shared" si="3"/>
        <v>0.2173097963185151</v>
      </c>
      <c r="I50" s="130">
        <f t="shared" si="0"/>
        <v>496.75143458545892</v>
      </c>
      <c r="J50" s="130">
        <f t="shared" si="4"/>
        <v>0.20993202765967101</v>
      </c>
      <c r="K50" s="136"/>
      <c r="L50" s="190"/>
      <c r="M50" s="190"/>
      <c r="N50" s="191"/>
      <c r="O50" s="192"/>
      <c r="P50" s="129" t="s">
        <v>1291</v>
      </c>
      <c r="Q50" s="116">
        <v>1686829462</v>
      </c>
      <c r="R50" s="116">
        <v>2387071505315</v>
      </c>
      <c r="S50" s="116">
        <v>3395721.37</v>
      </c>
      <c r="T50" s="130">
        <f t="shared" si="1"/>
        <v>496.75143458545892</v>
      </c>
      <c r="U50" s="85">
        <f t="shared" si="5"/>
        <v>5149298993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91474836.400000006</v>
      </c>
      <c r="G51" s="190">
        <f t="shared" si="2"/>
        <v>-2.3880544955765082E-2</v>
      </c>
      <c r="H51" s="190">
        <f t="shared" si="3"/>
        <v>-1.4783358431572968E-2</v>
      </c>
      <c r="I51" s="130">
        <f t="shared" si="0"/>
        <v>498.25621668680077</v>
      </c>
      <c r="J51" s="130">
        <f t="shared" si="4"/>
        <v>-2.6866541782440967E-2</v>
      </c>
      <c r="K51" s="136"/>
      <c r="L51" s="190"/>
      <c r="M51" s="190"/>
      <c r="N51" s="191"/>
      <c r="O51" s="192"/>
      <c r="P51" s="129" t="s">
        <v>1402</v>
      </c>
      <c r="Q51" s="116">
        <v>1829496728</v>
      </c>
      <c r="R51" s="116">
        <v>2641197848405</v>
      </c>
      <c r="S51" s="116">
        <v>3671799.1</v>
      </c>
      <c r="T51" s="130">
        <f t="shared" si="1"/>
        <v>498.25621668680077</v>
      </c>
      <c r="U51" s="85">
        <f t="shared" si="5"/>
        <v>5796402315</v>
      </c>
    </row>
    <row r="52" spans="1:26" s="79" customFormat="1" ht="13.2">
      <c r="A52" s="129" t="s">
        <v>1403</v>
      </c>
      <c r="B52" s="188">
        <f>SUM(F50:F52)</f>
        <v>286702182.06161618</v>
      </c>
      <c r="C52" s="188">
        <f>AVERAGE(F50:F52)</f>
        <v>95567394.020538732</v>
      </c>
      <c r="D52" s="190">
        <f>C52/C49-1</f>
        <v>0.22609457951335421</v>
      </c>
      <c r="E52" s="287">
        <f>C52/C40-1</f>
        <v>2.1765684493368243E-2</v>
      </c>
      <c r="F52" s="136">
        <f>Q52/22</f>
        <v>101514597.77272727</v>
      </c>
      <c r="G52" s="190">
        <f t="shared" si="2"/>
        <v>0.10975435177413728</v>
      </c>
      <c r="H52" s="190">
        <f t="shared" si="3"/>
        <v>-8.3504887569717079E-2</v>
      </c>
      <c r="I52" s="130">
        <f t="shared" si="0"/>
        <v>451.89304851289882</v>
      </c>
      <c r="J52" s="130">
        <f t="shared" si="4"/>
        <v>-0.22198470946503746</v>
      </c>
      <c r="K52" s="136">
        <f>R50+R51+R52</f>
        <v>8314257997243</v>
      </c>
      <c r="L52" s="190">
        <f>U52/U49-1</f>
        <v>0.12800658642127183</v>
      </c>
      <c r="M52" s="190">
        <f>K52/K40-1</f>
        <v>2.9062546313757487E-2</v>
      </c>
      <c r="N52" s="191">
        <f>AVERAGE(T50:T52)</f>
        <v>482.30023326171948</v>
      </c>
      <c r="O52" s="192">
        <f>N52/N49-1</f>
        <v>-5.4830833939177648E-2</v>
      </c>
      <c r="P52" s="129" t="s">
        <v>1403</v>
      </c>
      <c r="Q52" s="116">
        <v>2233321151</v>
      </c>
      <c r="R52" s="116">
        <v>3285988643523</v>
      </c>
      <c r="S52" s="116">
        <v>4942145.4000000004</v>
      </c>
      <c r="T52" s="130">
        <f t="shared" si="1"/>
        <v>451.89304851289882</v>
      </c>
      <c r="U52" s="85">
        <f t="shared" si="5"/>
        <v>5749647341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115148731.71428572</v>
      </c>
      <c r="G53" s="190">
        <f t="shared" si="2"/>
        <v>0.13430712666647993</v>
      </c>
      <c r="H53" s="190">
        <f t="shared" si="3"/>
        <v>0.49671534798001105</v>
      </c>
      <c r="I53" s="130">
        <f t="shared" si="0"/>
        <v>577.95727345926241</v>
      </c>
      <c r="J53" s="130">
        <f t="shared" si="4"/>
        <v>0.55206660649251016</v>
      </c>
      <c r="K53" s="136"/>
      <c r="L53" s="190"/>
      <c r="M53" s="190"/>
      <c r="N53" s="191"/>
      <c r="O53" s="192"/>
      <c r="P53" s="129" t="s">
        <v>1414</v>
      </c>
      <c r="Q53" s="116">
        <v>2418123366</v>
      </c>
      <c r="R53" s="116">
        <v>3531158791175</v>
      </c>
      <c r="S53" s="116">
        <v>4183913.72</v>
      </c>
      <c r="T53" s="130">
        <f t="shared" si="1"/>
        <v>577.95727345926241</v>
      </c>
      <c r="U53" s="85">
        <f t="shared" si="5"/>
        <v>6480941245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150535376.70588234</v>
      </c>
      <c r="G54" s="190">
        <f t="shared" si="2"/>
        <v>0.30731250327098869</v>
      </c>
      <c r="H54" s="190">
        <f t="shared" si="3"/>
        <v>0.68688128172053697</v>
      </c>
      <c r="I54" s="130">
        <f t="shared" si="0"/>
        <v>623.10276900816552</v>
      </c>
      <c r="J54" s="130">
        <f t="shared" si="4"/>
        <v>0.50776364463414625</v>
      </c>
      <c r="K54" s="136"/>
      <c r="L54" s="190"/>
      <c r="M54" s="190"/>
      <c r="N54" s="191"/>
      <c r="O54" s="192"/>
      <c r="P54" s="129" t="s">
        <v>1417</v>
      </c>
      <c r="Q54" s="116">
        <v>2559101404</v>
      </c>
      <c r="R54" s="116">
        <v>3707473803919</v>
      </c>
      <c r="S54" s="116">
        <v>4107029.42</v>
      </c>
      <c r="T54" s="130">
        <f t="shared" si="1"/>
        <v>623.10276900816552</v>
      </c>
      <c r="U54" s="85">
        <f t="shared" si="5"/>
        <v>7210545921</v>
      </c>
    </row>
    <row r="55" spans="1:26" s="79" customFormat="1" ht="13.2">
      <c r="A55" s="129" t="s">
        <v>1418</v>
      </c>
      <c r="B55" s="188">
        <f>SUM(F53:F55)</f>
        <v>402620644.18207282</v>
      </c>
      <c r="C55" s="188">
        <f>AVERAGE(F53:F55)</f>
        <v>134206881.39402427</v>
      </c>
      <c r="D55" s="190">
        <f>C55/C52-1</f>
        <v>0.40431663717000998</v>
      </c>
      <c r="E55" s="287">
        <f>C55/C43-1</f>
        <v>0.32388855261264249</v>
      </c>
      <c r="F55" s="136">
        <f>Q55/21</f>
        <v>136936535.76190478</v>
      </c>
      <c r="G55" s="190">
        <f t="shared" si="2"/>
        <v>-9.0336512529856194E-2</v>
      </c>
      <c r="H55" s="190">
        <f t="shared" si="3"/>
        <v>-7.3220210468578628E-3</v>
      </c>
      <c r="I55" s="130">
        <f>T55</f>
        <v>533.18722615704769</v>
      </c>
      <c r="J55" s="130">
        <f t="shared" si="4"/>
        <v>-8.0301124970151516E-2</v>
      </c>
      <c r="K55" s="136">
        <f>R53+R54+R55</f>
        <v>11467537093422</v>
      </c>
      <c r="L55" s="190">
        <f>U55/U52-1</f>
        <v>0.36580411897648601</v>
      </c>
      <c r="M55" s="190">
        <f>K55/K43-1</f>
        <v>0.3336292387397628</v>
      </c>
      <c r="N55" s="191">
        <f>AVERAGE(T53:T55)</f>
        <v>578.08242287482528</v>
      </c>
      <c r="O55" s="192">
        <f>N55/N52-1</f>
        <v>0.19859453304707353</v>
      </c>
      <c r="P55" s="129" t="s">
        <v>1418</v>
      </c>
      <c r="Q55" s="116">
        <v>2875667251</v>
      </c>
      <c r="R55" s="116">
        <v>4228904498328</v>
      </c>
      <c r="S55" s="116">
        <v>5393353.6100000003</v>
      </c>
      <c r="T55" s="130">
        <f t="shared" si="1"/>
        <v>533.18722615704769</v>
      </c>
      <c r="U55" s="85">
        <f t="shared" si="5"/>
        <v>7852892021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114090944.18181819</v>
      </c>
      <c r="G56" s="190">
        <f t="shared" ref="G56" si="6">F56/F55-1</f>
        <v>-0.166833427273265</v>
      </c>
      <c r="H56" s="190">
        <f t="shared" ref="H56" si="7">F56/F44-1</f>
        <v>0.59873057773837779</v>
      </c>
      <c r="I56" s="291">
        <f>T56</f>
        <v>524.97409598735533</v>
      </c>
      <c r="J56" s="130">
        <f t="shared" ref="J56" si="8">I56/I44-1</f>
        <v>0.3801458080280844</v>
      </c>
      <c r="K56" s="136"/>
      <c r="L56" s="190"/>
      <c r="M56" s="190"/>
      <c r="N56" s="191"/>
      <c r="O56" s="192"/>
      <c r="P56" s="129" t="s">
        <v>1420</v>
      </c>
      <c r="Q56" s="116">
        <v>2510000772</v>
      </c>
      <c r="R56" s="116">
        <v>3748999120602</v>
      </c>
      <c r="S56" s="116">
        <v>4781189.76</v>
      </c>
      <c r="T56" s="130">
        <f t="shared" ref="T56" si="9">Q56/S56</f>
        <v>524.97409598735533</v>
      </c>
      <c r="U56" s="85">
        <f t="shared" ref="U56" si="10">Q54+Q55+Q56</f>
        <v>7944769427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165918923.16666666</v>
      </c>
      <c r="G57" s="254">
        <f t="shared" ref="G57" si="11">F57/F56-1</f>
        <v>0.45426899879322669</v>
      </c>
      <c r="H57" s="254">
        <f t="shared" ref="H57" si="12">F57/F45-1</f>
        <v>1.2158196278139348</v>
      </c>
      <c r="I57" s="282">
        <f>T57</f>
        <v>622.00275227007614</v>
      </c>
      <c r="J57" s="277">
        <f t="shared" ref="J57" si="13">I57/I45-1</f>
        <v>0.40352377829670316</v>
      </c>
      <c r="K57" s="204"/>
      <c r="L57" s="254"/>
      <c r="M57" s="254"/>
      <c r="N57" s="257"/>
      <c r="O57" s="258"/>
      <c r="P57" s="129" t="s">
        <v>1436</v>
      </c>
      <c r="Q57" s="116">
        <v>1991027078</v>
      </c>
      <c r="R57" s="116">
        <v>2934909116621</v>
      </c>
      <c r="S57" s="116">
        <v>3200994</v>
      </c>
      <c r="T57" s="130">
        <f t="shared" ref="T57" si="14">Q57/S57</f>
        <v>622.00275227007614</v>
      </c>
      <c r="U57" s="85">
        <f t="shared" ref="U57" si="15">Q55+Q56+Q57</f>
        <v>7376695101</v>
      </c>
    </row>
    <row r="58" spans="1:26">
      <c r="B58" s="196">
        <f>SUM(F56:F58)</f>
        <v>280009867.34848487</v>
      </c>
      <c r="C58" s="196">
        <f>AVERAGE(F56:F58)</f>
        <v>140004933.67424244</v>
      </c>
      <c r="D58" s="197">
        <f>C58/C55-1</f>
        <v>4.3202347152344611E-2</v>
      </c>
      <c r="E58" s="233">
        <f>C58/C46-1</f>
        <v>0.70024678301129639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12353919871</v>
      </c>
      <c r="R65" s="212">
        <v>18151445330645</v>
      </c>
      <c r="S65" s="213">
        <v>21666480.52</v>
      </c>
      <c r="T65" s="214">
        <v>1260</v>
      </c>
      <c r="U65" s="214">
        <v>2880</v>
      </c>
    </row>
    <row r="66" spans="16:21" ht="18" thickBot="1">
      <c r="P66" s="180" t="s">
        <v>976</v>
      </c>
      <c r="Q66" s="181">
        <v>2418123366</v>
      </c>
      <c r="R66" s="181">
        <v>3531158791175</v>
      </c>
      <c r="S66" s="182">
        <v>4183913.72</v>
      </c>
      <c r="T66" s="210">
        <v>620</v>
      </c>
      <c r="U66" s="210">
        <v>1290</v>
      </c>
    </row>
    <row r="67" spans="16:21" ht="18" thickBot="1">
      <c r="P67" s="180" t="s">
        <v>977</v>
      </c>
      <c r="Q67" s="181">
        <v>2559101404</v>
      </c>
      <c r="R67" s="181">
        <v>3707473803919</v>
      </c>
      <c r="S67" s="182">
        <v>4107029.42</v>
      </c>
      <c r="T67" s="210">
        <v>615</v>
      </c>
      <c r="U67" s="210">
        <v>1243</v>
      </c>
    </row>
    <row r="68" spans="16:21" ht="18" thickBot="1">
      <c r="P68" s="180" t="s">
        <v>978</v>
      </c>
      <c r="Q68" s="181">
        <v>2875667251</v>
      </c>
      <c r="R68" s="181">
        <v>4228904498328</v>
      </c>
      <c r="S68" s="182">
        <v>5393353.6100000003</v>
      </c>
      <c r="T68" s="210">
        <v>689</v>
      </c>
      <c r="U68" s="210">
        <v>1455</v>
      </c>
    </row>
    <row r="69" spans="16:21" ht="18" thickBot="1">
      <c r="P69" s="180" t="s">
        <v>979</v>
      </c>
      <c r="Q69" s="181">
        <v>2510000772</v>
      </c>
      <c r="R69" s="181">
        <v>3748999120602</v>
      </c>
      <c r="S69" s="182">
        <v>4781189.76</v>
      </c>
      <c r="T69" s="210">
        <v>689</v>
      </c>
      <c r="U69" s="210">
        <v>1423</v>
      </c>
    </row>
    <row r="70" spans="16:21" ht="18" thickBot="1">
      <c r="P70" s="180" t="s">
        <v>980</v>
      </c>
      <c r="Q70" s="181">
        <v>1991027078</v>
      </c>
      <c r="R70" s="181">
        <v>2934909116621</v>
      </c>
      <c r="S70" s="182">
        <v>3200994</v>
      </c>
      <c r="T70" s="210">
        <v>522</v>
      </c>
      <c r="U70" s="210">
        <v>931</v>
      </c>
    </row>
    <row r="71" spans="16:21" ht="18" thickBot="1">
      <c r="P71" s="180" t="s">
        <v>975</v>
      </c>
      <c r="Q71" s="181">
        <v>21757920265</v>
      </c>
      <c r="R71" s="181">
        <v>30973329463894</v>
      </c>
      <c r="S71" s="182">
        <v>46184815.979999997</v>
      </c>
      <c r="T71" s="210">
        <v>1902</v>
      </c>
      <c r="U71" s="210">
        <v>5365</v>
      </c>
    </row>
    <row r="72" spans="16:21" ht="18" thickBot="1">
      <c r="P72" s="215" t="s">
        <v>982</v>
      </c>
      <c r="Q72" s="217" t="s">
        <v>1471</v>
      </c>
      <c r="R72"/>
      <c r="S72"/>
      <c r="T72"/>
      <c r="U72"/>
    </row>
  </sheetData>
  <phoneticPr fontId="1" type="noConversion"/>
  <conditionalFormatting sqref="C29:C30">
    <cfRule type="cellIs" dxfId="2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0000"/>
  </sheetPr>
  <dimension ref="A1:Z73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1404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8534009000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301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12236586</v>
      </c>
      <c r="G5" s="90"/>
      <c r="H5" s="90"/>
      <c r="I5" s="130">
        <f t="shared" ref="I5:I49" si="0">T5</f>
        <v>218.56744598978085</v>
      </c>
      <c r="J5" s="130"/>
      <c r="K5" s="86"/>
      <c r="L5" s="80"/>
      <c r="M5" s="80"/>
      <c r="N5" s="79"/>
      <c r="O5" s="79"/>
      <c r="P5" s="129" t="s">
        <v>0</v>
      </c>
      <c r="Q5" s="116">
        <v>244731720</v>
      </c>
      <c r="R5" s="116">
        <v>288674903055</v>
      </c>
      <c r="S5" s="116">
        <v>1119708.01</v>
      </c>
      <c r="T5" s="130">
        <f t="shared" ref="T5:T17" si="1">Q5/S5</f>
        <v>218.56744598978085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12984353.055555556</v>
      </c>
      <c r="G6" s="90">
        <f t="shared" ref="G6:G16" si="2">F6/F5-1</f>
        <v>6.1109124355073874E-2</v>
      </c>
      <c r="H6" s="90"/>
      <c r="I6" s="130">
        <f t="shared" si="0"/>
        <v>201.26428566034141</v>
      </c>
      <c r="J6" s="130"/>
      <c r="K6" s="78"/>
      <c r="L6" s="87"/>
      <c r="M6" s="87"/>
      <c r="N6" s="79"/>
      <c r="O6" s="79"/>
      <c r="P6" s="129" t="s">
        <v>1</v>
      </c>
      <c r="Q6" s="116">
        <v>233718355</v>
      </c>
      <c r="R6" s="116">
        <v>277733002753</v>
      </c>
      <c r="S6" s="116">
        <v>1161251.01</v>
      </c>
      <c r="T6" s="130">
        <f t="shared" si="1"/>
        <v>201.26428566034141</v>
      </c>
      <c r="U6" s="85"/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D7" s="117"/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191.52695384291422</v>
      </c>
      <c r="J7" s="130"/>
      <c r="K7" s="85">
        <f>R5+R6+R7</f>
        <v>877358986554</v>
      </c>
      <c r="L7" s="87"/>
      <c r="M7" s="87"/>
      <c r="N7" s="88">
        <f>AVERAGE(T5:T7)</f>
        <v>203.78622849767885</v>
      </c>
      <c r="O7" s="79"/>
      <c r="P7" s="129" t="s">
        <v>2</v>
      </c>
      <c r="Q7" s="116">
        <v>258089155</v>
      </c>
      <c r="R7" s="116">
        <v>310951080746</v>
      </c>
      <c r="S7" s="116">
        <v>1347534.38</v>
      </c>
      <c r="T7" s="130">
        <f t="shared" si="1"/>
        <v>191.52695384291422</v>
      </c>
      <c r="U7" s="85">
        <f>Q5+Q6+Q7</f>
        <v>736539230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204.42943867840523</v>
      </c>
      <c r="J8" s="130"/>
      <c r="K8" s="78"/>
      <c r="L8" s="87"/>
      <c r="M8" s="87"/>
      <c r="N8" s="79"/>
      <c r="O8" s="79"/>
      <c r="P8" s="129" t="s">
        <v>3</v>
      </c>
      <c r="Q8" s="116">
        <v>253984537</v>
      </c>
      <c r="R8" s="116">
        <v>307767078800</v>
      </c>
      <c r="S8" s="116">
        <v>1242406.8600000001</v>
      </c>
      <c r="T8" s="130">
        <f t="shared" si="1"/>
        <v>204.42943867840523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213.30930562147771</v>
      </c>
      <c r="J9" s="130"/>
      <c r="K9" s="78"/>
      <c r="L9" s="87"/>
      <c r="M9" s="87"/>
      <c r="N9" s="79"/>
      <c r="O9" s="79"/>
      <c r="P9" s="129" t="s">
        <v>4</v>
      </c>
      <c r="Q9" s="116">
        <v>252785981</v>
      </c>
      <c r="R9" s="116">
        <v>317444068461</v>
      </c>
      <c r="S9" s="116">
        <v>1185067.76</v>
      </c>
      <c r="T9" s="130">
        <f t="shared" si="1"/>
        <v>213.30930562147771</v>
      </c>
      <c r="U9" s="85"/>
    </row>
    <row r="10" spans="1:21" ht="15" hidden="1" customHeight="1">
      <c r="A10" s="129" t="s">
        <v>5</v>
      </c>
      <c r="B10" s="131">
        <f>F8+F9+F10</f>
        <v>36120151.142857142</v>
      </c>
      <c r="C10" s="131">
        <f>AVERAGE(F8:F10)</f>
        <v>12040050.380952381</v>
      </c>
      <c r="D10" s="90">
        <f>C10/C7-1</f>
        <v>-2.2518596792939327E-2</v>
      </c>
      <c r="E10" s="286"/>
      <c r="F10" s="78">
        <f>Q10/21</f>
        <v>11988221.714285715</v>
      </c>
      <c r="G10" s="90">
        <f t="shared" si="2"/>
        <v>-4.087746464073061E-3</v>
      </c>
      <c r="H10" s="90"/>
      <c r="I10" s="130">
        <f t="shared" si="0"/>
        <v>205.39397645013003</v>
      </c>
      <c r="J10" s="130"/>
      <c r="K10" s="85">
        <f>R8+R9+R10</f>
        <v>941743428656</v>
      </c>
      <c r="L10" s="87">
        <f>U10/U7-1</f>
        <v>2.9847621286920534E-2</v>
      </c>
      <c r="M10" s="87"/>
      <c r="N10" s="88">
        <f>AVERAGE(T8:T10)</f>
        <v>207.71090691667098</v>
      </c>
      <c r="O10" s="89">
        <f>N10/N7-1</f>
        <v>1.9258800989277125E-2</v>
      </c>
      <c r="P10" s="129" t="s">
        <v>5</v>
      </c>
      <c r="Q10" s="116">
        <v>251752656</v>
      </c>
      <c r="R10" s="116">
        <v>316532281395</v>
      </c>
      <c r="S10" s="116">
        <v>1225706.1299999999</v>
      </c>
      <c r="T10" s="130">
        <f t="shared" si="1"/>
        <v>205.39397645013003</v>
      </c>
      <c r="U10" s="85">
        <f>Q8+Q9+Q10</f>
        <v>758523174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12277088.142857144</v>
      </c>
      <c r="G11" s="90">
        <f t="shared" si="2"/>
        <v>2.4095853034416415E-2</v>
      </c>
      <c r="H11" s="90"/>
      <c r="I11" s="130">
        <f t="shared" si="0"/>
        <v>232.88486312370992</v>
      </c>
      <c r="J11" s="130"/>
      <c r="K11" s="78"/>
      <c r="L11" s="87"/>
      <c r="M11" s="87"/>
      <c r="N11" s="79"/>
      <c r="O11" s="89"/>
      <c r="P11" s="129" t="s">
        <v>6</v>
      </c>
      <c r="Q11" s="116">
        <v>257818851</v>
      </c>
      <c r="R11" s="116">
        <v>332974791327</v>
      </c>
      <c r="S11" s="116">
        <v>1107065.73</v>
      </c>
      <c r="T11" s="130">
        <f t="shared" si="1"/>
        <v>232.88486312370992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248.22038672673176</v>
      </c>
      <c r="J12" s="130"/>
      <c r="K12" s="78"/>
      <c r="L12" s="87"/>
      <c r="M12" s="87"/>
      <c r="N12" s="79"/>
      <c r="O12" s="89"/>
      <c r="P12" s="129" t="s">
        <v>7</v>
      </c>
      <c r="Q12" s="116">
        <v>249284232</v>
      </c>
      <c r="R12" s="116">
        <v>323940830388</v>
      </c>
      <c r="S12" s="116">
        <v>1004285.89</v>
      </c>
      <c r="T12" s="130">
        <f t="shared" si="1"/>
        <v>248.22038672673176</v>
      </c>
      <c r="U12" s="85"/>
    </row>
    <row r="13" spans="1:21" ht="15" hidden="1" customHeight="1">
      <c r="A13" s="129" t="s">
        <v>96</v>
      </c>
      <c r="B13" s="131">
        <f>F11+F12+F13</f>
        <v>35848349.197402596</v>
      </c>
      <c r="C13" s="131">
        <f>AVERAGE(F11:F13)</f>
        <v>11949449.732467532</v>
      </c>
      <c r="D13" s="90">
        <f>C13/C10-1</f>
        <v>-7.5249393165480738E-3</v>
      </c>
      <c r="E13" s="286"/>
      <c r="F13" s="78">
        <f>Q13/20</f>
        <v>12240159.6</v>
      </c>
      <c r="G13" s="90">
        <f t="shared" si="2"/>
        <v>8.0226811938911569E-2</v>
      </c>
      <c r="H13" s="90"/>
      <c r="I13" s="130">
        <f t="shared" si="0"/>
        <v>229.09540099693197</v>
      </c>
      <c r="J13" s="130"/>
      <c r="K13" s="78">
        <f>R11+R12+R13</f>
        <v>991063946509</v>
      </c>
      <c r="L13" s="87">
        <f>U13/U10-1</f>
        <v>-8.7233972893753231E-3</v>
      </c>
      <c r="M13" s="87"/>
      <c r="N13" s="88">
        <f>AVERAGE(T11:T13)</f>
        <v>236.73355028245791</v>
      </c>
      <c r="O13" s="89">
        <f>N13/N10-1</f>
        <v>0.13972614051235244</v>
      </c>
      <c r="P13" s="129" t="s">
        <v>96</v>
      </c>
      <c r="Q13" s="116">
        <v>244803192</v>
      </c>
      <c r="R13" s="116">
        <v>334148324794</v>
      </c>
      <c r="S13" s="116">
        <v>1068564.4099999999</v>
      </c>
      <c r="T13" s="130">
        <f t="shared" si="1"/>
        <v>229.09540099693197</v>
      </c>
      <c r="U13" s="85">
        <f>Q11+Q12+Q13</f>
        <v>751906275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11317838.550000001</v>
      </c>
      <c r="G14" s="90">
        <f t="shared" si="2"/>
        <v>-7.5352044429224496E-2</v>
      </c>
      <c r="H14" s="90"/>
      <c r="I14" s="130">
        <f t="shared" si="0"/>
        <v>229.56550214534133</v>
      </c>
      <c r="J14" s="130"/>
      <c r="K14" s="78"/>
      <c r="L14" s="87"/>
      <c r="M14" s="87"/>
      <c r="N14" s="79"/>
      <c r="O14" s="89"/>
      <c r="P14" s="129" t="s">
        <v>97</v>
      </c>
      <c r="Q14" s="116">
        <v>226356771</v>
      </c>
      <c r="R14" s="116">
        <v>322765070648</v>
      </c>
      <c r="S14" s="116">
        <v>986022.59</v>
      </c>
      <c r="T14" s="130">
        <f t="shared" si="1"/>
        <v>229.56550214534133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9903851.0454545449</v>
      </c>
      <c r="G15" s="90">
        <f t="shared" si="2"/>
        <v>-0.12493441201681177</v>
      </c>
      <c r="H15" s="90"/>
      <c r="I15" s="130">
        <f t="shared" si="0"/>
        <v>230.45731733824141</v>
      </c>
      <c r="J15" s="130"/>
      <c r="K15" s="78"/>
      <c r="L15" s="87"/>
      <c r="M15" s="87"/>
      <c r="N15" s="79"/>
      <c r="O15" s="89"/>
      <c r="P15" s="129" t="s">
        <v>98</v>
      </c>
      <c r="Q15" s="116">
        <v>217884723</v>
      </c>
      <c r="R15" s="116">
        <v>301831583327</v>
      </c>
      <c r="S15" s="116">
        <v>945445.02</v>
      </c>
      <c r="T15" s="130">
        <f t="shared" si="1"/>
        <v>230.45731733824141</v>
      </c>
      <c r="U15" s="85"/>
    </row>
    <row r="16" spans="1:21" ht="15" hidden="1" customHeight="1">
      <c r="A16" s="129" t="s">
        <v>99</v>
      </c>
      <c r="B16" s="131">
        <f>F14+F15+F16</f>
        <v>29965124.413636364</v>
      </c>
      <c r="C16" s="131">
        <f>AVERAGE(F14:F16)</f>
        <v>9988374.8045454547</v>
      </c>
      <c r="D16" s="90">
        <f>C16/C13-1</f>
        <v>-0.16411424557849663</v>
      </c>
      <c r="E16" s="286"/>
      <c r="F16" s="78">
        <f>Q16/22</f>
        <v>8743434.8181818184</v>
      </c>
      <c r="G16" s="90">
        <f t="shared" si="2"/>
        <v>-0.11716818255312</v>
      </c>
      <c r="H16" s="90"/>
      <c r="I16" s="130">
        <f t="shared" si="0"/>
        <v>201.64616291506982</v>
      </c>
      <c r="J16" s="130"/>
      <c r="K16" s="78">
        <f>R14+R15+R16</f>
        <v>876970104151</v>
      </c>
      <c r="L16" s="87">
        <f>U16/U13-1</f>
        <v>-0.15335583547297837</v>
      </c>
      <c r="M16" s="87"/>
      <c r="N16" s="88">
        <f>AVERAGE(T14:T16)</f>
        <v>220.55632746621754</v>
      </c>
      <c r="O16" s="89">
        <f>N16/N13-1</f>
        <v>-6.833515062372264E-2</v>
      </c>
      <c r="P16" s="129" t="s">
        <v>99</v>
      </c>
      <c r="Q16" s="116">
        <v>192355566</v>
      </c>
      <c r="R16" s="116">
        <v>252373450176</v>
      </c>
      <c r="S16" s="116">
        <v>953926.24</v>
      </c>
      <c r="T16" s="130">
        <f t="shared" si="1"/>
        <v>201.64616291506982</v>
      </c>
      <c r="U16" s="85">
        <f>Q14+Q15+Q16</f>
        <v>636597060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9708677.3499999996</v>
      </c>
      <c r="G17" s="90">
        <f t="shared" ref="G17:G22" si="3">F17/F16-1</f>
        <v>0.11039626324096075</v>
      </c>
      <c r="H17" s="90">
        <f t="shared" ref="H17:H22" si="4">F17/F5-1</f>
        <v>-0.20658610579781</v>
      </c>
      <c r="I17" s="130">
        <f t="shared" si="0"/>
        <v>192.89526863381741</v>
      </c>
      <c r="J17" s="130">
        <f t="shared" ref="J17:J49" si="5">I17/I5-1</f>
        <v>-0.11745654637499747</v>
      </c>
      <c r="K17" s="78"/>
      <c r="L17" s="87"/>
      <c r="M17" s="87"/>
      <c r="N17" s="79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"/>
        <v>192.89526863381741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9777631.8499999996</v>
      </c>
      <c r="G18" s="90">
        <f t="shared" si="3"/>
        <v>7.1023577686408768E-3</v>
      </c>
      <c r="H18" s="90">
        <f t="shared" si="4"/>
        <v>-0.24696811553375864</v>
      </c>
      <c r="I18" s="130">
        <f t="shared" si="0"/>
        <v>188.71626754269207</v>
      </c>
      <c r="J18" s="130">
        <f t="shared" si="5"/>
        <v>-6.2345974977526253E-2</v>
      </c>
      <c r="K18" s="78"/>
      <c r="L18" s="87"/>
      <c r="M18" s="87"/>
      <c r="N18" s="79"/>
      <c r="O18" s="89"/>
      <c r="P18" s="129" t="s">
        <v>106</v>
      </c>
      <c r="Q18" s="116">
        <v>195552637</v>
      </c>
      <c r="R18" s="116">
        <v>245635316759</v>
      </c>
      <c r="S18" s="116">
        <v>1036225.65</v>
      </c>
      <c r="T18" s="130">
        <f t="shared" ref="T18" si="6">Q18/S18</f>
        <v>188.71626754269207</v>
      </c>
      <c r="U18" s="78"/>
    </row>
    <row r="19" spans="1:21" hidden="1">
      <c r="A19" s="129" t="s">
        <v>114</v>
      </c>
      <c r="B19" s="131">
        <f>SUM(F17:F19)</f>
        <v>30283428.154545456</v>
      </c>
      <c r="C19" s="131">
        <f>AVERAGE(F17:F19)</f>
        <v>10094476.051515153</v>
      </c>
      <c r="D19" s="90">
        <f>C19/C16-1</f>
        <v>1.0622473530069509E-2</v>
      </c>
      <c r="E19" s="286">
        <f>C19/C7-1</f>
        <v>-0.18047165059332604</v>
      </c>
      <c r="F19" s="78">
        <f>Q19/22</f>
        <v>10797118.954545455</v>
      </c>
      <c r="G19" s="90">
        <f t="shared" si="3"/>
        <v>0.10426728273119168</v>
      </c>
      <c r="H19" s="90">
        <f t="shared" si="4"/>
        <v>-7.9633481693564323E-2</v>
      </c>
      <c r="I19" s="130">
        <f t="shared" si="0"/>
        <v>190.13011275410946</v>
      </c>
      <c r="J19" s="130">
        <f t="shared" si="5"/>
        <v>-7.2931828172363433E-3</v>
      </c>
      <c r="K19" s="78">
        <f>R17+R18+R19</f>
        <v>800107434268</v>
      </c>
      <c r="L19" s="87">
        <f>U19/U16-1</f>
        <v>-1.4662742865950373E-2</v>
      </c>
      <c r="M19" s="87">
        <f>U19/U7-1</f>
        <v>-0.14836470964350401</v>
      </c>
      <c r="N19" s="88">
        <f>AVERAGE(T17:T19)</f>
        <v>190.58054964353968</v>
      </c>
      <c r="O19" s="89">
        <f>N19/N16-1</f>
        <v>-0.13590985199583183</v>
      </c>
      <c r="P19" s="129" t="s">
        <v>115</v>
      </c>
      <c r="Q19" s="116">
        <v>237536617</v>
      </c>
      <c r="R19" s="116">
        <v>310552189248</v>
      </c>
      <c r="S19" s="116">
        <v>1249337.17</v>
      </c>
      <c r="T19" s="130">
        <f t="shared" ref="T19" si="7">Q19/S19</f>
        <v>190.13011275410946</v>
      </c>
      <c r="U19" s="85">
        <f>Q17+Q18+Q19</f>
        <v>627262801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3"/>
        <v>-0.13078082778285927</v>
      </c>
      <c r="H20" s="90">
        <f t="shared" si="4"/>
        <v>-0.22402237109418977</v>
      </c>
      <c r="I20" s="130">
        <f t="shared" si="0"/>
        <v>184.7666225159096</v>
      </c>
      <c r="J20" s="130">
        <f t="shared" si="5"/>
        <v>-9.6183877868137535E-2</v>
      </c>
      <c r="K20" s="78"/>
      <c r="L20" s="87"/>
      <c r="M20" s="87"/>
      <c r="N20" s="79"/>
      <c r="O20" s="89"/>
      <c r="P20" s="129" t="s">
        <v>132</v>
      </c>
      <c r="Q20" s="116">
        <v>187701256</v>
      </c>
      <c r="R20" s="116">
        <v>246051315138</v>
      </c>
      <c r="S20" s="116">
        <v>1015882.92</v>
      </c>
      <c r="T20" s="130">
        <f t="shared" ref="T20" si="8">Q20/S20</f>
        <v>184.7666225159096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9521210.9047619049</v>
      </c>
      <c r="G21" s="90">
        <f t="shared" si="3"/>
        <v>1.450689331156152E-2</v>
      </c>
      <c r="H21" s="90">
        <f t="shared" si="4"/>
        <v>-0.20903276277809091</v>
      </c>
      <c r="I21" s="130">
        <f t="shared" si="0"/>
        <v>175.22975253452691</v>
      </c>
      <c r="J21" s="130">
        <f t="shared" si="5"/>
        <v>-0.17851801156075131</v>
      </c>
      <c r="K21" s="78"/>
      <c r="L21" s="87"/>
      <c r="M21" s="87"/>
      <c r="N21" s="79"/>
      <c r="O21" s="89"/>
      <c r="P21" s="129" t="s">
        <v>141</v>
      </c>
      <c r="Q21" s="116">
        <v>199945429</v>
      </c>
      <c r="R21" s="116">
        <v>266240185630</v>
      </c>
      <c r="S21" s="116">
        <v>1141047.26</v>
      </c>
      <c r="T21" s="130">
        <f t="shared" ref="T21" si="9">Q21/S21</f>
        <v>175.22975253452691</v>
      </c>
      <c r="U21" s="78"/>
    </row>
    <row r="22" spans="1:21" hidden="1">
      <c r="A22" s="129" t="s">
        <v>156</v>
      </c>
      <c r="B22" s="131">
        <f>SUM(F20:F22)</f>
        <v>28467696.133333337</v>
      </c>
      <c r="C22" s="131">
        <f>AVERAGE(F20:F22)</f>
        <v>9489232.0444444455</v>
      </c>
      <c r="D22" s="90">
        <f>C22/C19-1</f>
        <v>-5.9957941747740495E-2</v>
      </c>
      <c r="E22" s="286">
        <f>C22/C10-1</f>
        <v>-0.21186110155679949</v>
      </c>
      <c r="F22" s="78">
        <f>Q22/21</f>
        <v>9561422.4285714291</v>
      </c>
      <c r="G22" s="90">
        <f t="shared" si="3"/>
        <v>4.2233623655383301E-3</v>
      </c>
      <c r="H22" s="90">
        <f t="shared" si="4"/>
        <v>-0.20243196560357235</v>
      </c>
      <c r="I22" s="130">
        <f t="shared" si="0"/>
        <v>168.73337040556635</v>
      </c>
      <c r="J22" s="130">
        <f t="shared" si="5"/>
        <v>-0.17848919758104465</v>
      </c>
      <c r="K22" s="78">
        <f>R20+R21+R22</f>
        <v>773279047876</v>
      </c>
      <c r="L22" s="87">
        <f>U22/U19-1</f>
        <v>-6.189789182158123E-2</v>
      </c>
      <c r="M22" s="87">
        <f>U22/U10-1</f>
        <v>-0.22423391114481628</v>
      </c>
      <c r="N22" s="88">
        <f>AVERAGE(T20:T22)</f>
        <v>176.24324848533431</v>
      </c>
      <c r="O22" s="89">
        <f>N22/N19-1</f>
        <v>-7.5229613856302446E-2</v>
      </c>
      <c r="P22" s="129" t="s">
        <v>156</v>
      </c>
      <c r="Q22" s="116">
        <v>200789871</v>
      </c>
      <c r="R22" s="116">
        <v>260987547108</v>
      </c>
      <c r="S22" s="116">
        <v>1189983.17</v>
      </c>
      <c r="T22" s="130">
        <f t="shared" ref="T22:T23" si="10">Q22/S22</f>
        <v>168.73337040556635</v>
      </c>
      <c r="U22" s="85">
        <f>Q20+Q21+Q22</f>
        <v>588436556</v>
      </c>
    </row>
    <row r="23" spans="1:21" hidden="1">
      <c r="A23" s="129" t="s">
        <v>189</v>
      </c>
      <c r="B23" s="131"/>
      <c r="C23" s="131"/>
      <c r="D23" s="117"/>
      <c r="F23" s="78">
        <f>Q23/21</f>
        <v>9810868.8571428563</v>
      </c>
      <c r="G23" s="90">
        <f t="shared" ref="G23" si="11">F23/F22-1</f>
        <v>2.6088840905724719E-2</v>
      </c>
      <c r="H23" s="90">
        <f t="shared" ref="H23" si="12">F23/F11-1</f>
        <v>-0.20087982239902247</v>
      </c>
      <c r="I23" s="130">
        <f t="shared" si="0"/>
        <v>178.6242866802109</v>
      </c>
      <c r="J23" s="130">
        <f t="shared" si="5"/>
        <v>-0.23299314397550797</v>
      </c>
      <c r="K23" s="78"/>
      <c r="L23" s="87"/>
      <c r="M23" s="87"/>
      <c r="N23" s="79"/>
      <c r="O23" s="89"/>
      <c r="P23" s="129" t="s">
        <v>189</v>
      </c>
      <c r="Q23" s="116">
        <v>206028246</v>
      </c>
      <c r="R23" s="116">
        <v>266295077251</v>
      </c>
      <c r="S23" s="116">
        <v>1153416.76</v>
      </c>
      <c r="T23" s="130">
        <f t="shared" si="10"/>
        <v>178.6242866802109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8786115.9090909082</v>
      </c>
      <c r="G24" s="90">
        <f t="shared" ref="G24" si="13">F24/F23-1</f>
        <v>-0.10445078442832012</v>
      </c>
      <c r="H24" s="90">
        <f t="shared" ref="H24" si="14">F24/F12-1</f>
        <v>-0.22460177906479073</v>
      </c>
      <c r="I24" s="130">
        <f t="shared" si="0"/>
        <v>177.73215050187025</v>
      </c>
      <c r="J24" s="130">
        <f t="shared" si="5"/>
        <v>-0.283974403369465</v>
      </c>
      <c r="K24" s="78"/>
      <c r="L24" s="87"/>
      <c r="M24" s="87"/>
      <c r="N24" s="79"/>
      <c r="O24" s="89"/>
      <c r="P24" s="129" t="s">
        <v>204</v>
      </c>
      <c r="Q24" s="116">
        <v>193294550</v>
      </c>
      <c r="R24" s="116">
        <v>253399461372</v>
      </c>
      <c r="S24" s="116">
        <v>1087560.97</v>
      </c>
      <c r="T24" s="130">
        <f t="shared" ref="T24" si="15">Q24/S24</f>
        <v>177.73215050187025</v>
      </c>
      <c r="U24" s="78"/>
    </row>
    <row r="25" spans="1:21" s="92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1.1855842708749398E-2</v>
      </c>
      <c r="E25" s="286">
        <f>C25/C13-1</f>
        <v>-0.19647054032106737</v>
      </c>
      <c r="F25" s="78">
        <f>Q25/19</f>
        <v>10208219.894736841</v>
      </c>
      <c r="G25" s="90">
        <f t="shared" ref="G25" si="16">F25/F24-1</f>
        <v>0.16185809524485051</v>
      </c>
      <c r="H25" s="90">
        <f t="shared" ref="H25" si="17">F25/F13-1</f>
        <v>-0.16600598126703825</v>
      </c>
      <c r="I25" s="130">
        <f t="shared" si="0"/>
        <v>190.38855540023494</v>
      </c>
      <c r="J25" s="130">
        <f t="shared" si="5"/>
        <v>-0.16895514020910174</v>
      </c>
      <c r="K25" s="78">
        <f>R23+R24+R25</f>
        <v>777082193052</v>
      </c>
      <c r="L25" s="90">
        <f>U25/U22-1</f>
        <v>8.2292949862210474E-3</v>
      </c>
      <c r="M25" s="90">
        <f>U25/U13-1</f>
        <v>-0.21096685354833622</v>
      </c>
      <c r="N25" s="88">
        <f>AVERAGE(T23:T25)</f>
        <v>182.24833086077203</v>
      </c>
      <c r="O25" s="91">
        <f>N25/N22-1</f>
        <v>3.4072694568708206E-2</v>
      </c>
      <c r="P25" s="129" t="s">
        <v>220</v>
      </c>
      <c r="Q25" s="116">
        <v>193956178</v>
      </c>
      <c r="R25" s="116">
        <v>257387654429</v>
      </c>
      <c r="S25" s="116">
        <v>1018738.64</v>
      </c>
      <c r="T25" s="130">
        <f t="shared" ref="T25" si="18">Q25/S25</f>
        <v>190.38855540023494</v>
      </c>
      <c r="U25" s="85">
        <f>Q23+Q24+Q25</f>
        <v>593278974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19">F26/F25-1</f>
        <v>5.7141675579934326E-2</v>
      </c>
      <c r="H26" s="90">
        <f t="shared" ref="H26" si="20">F26/F14-1</f>
        <v>-4.6502153522014589E-2</v>
      </c>
      <c r="I26" s="130">
        <f t="shared" si="0"/>
        <v>198.34228065054484</v>
      </c>
      <c r="J26" s="130">
        <f t="shared" si="5"/>
        <v>-0.13601007644009422</v>
      </c>
      <c r="K26" s="78"/>
      <c r="L26" s="90"/>
      <c r="M26" s="90"/>
      <c r="N26" s="79"/>
      <c r="O26" s="79"/>
      <c r="P26" s="129" t="s">
        <v>312</v>
      </c>
      <c r="Q26" s="116">
        <v>205039159</v>
      </c>
      <c r="R26" s="116">
        <v>276353783394</v>
      </c>
      <c r="S26" s="116">
        <v>1033764.25</v>
      </c>
      <c r="T26" s="130">
        <f t="shared" ref="T26" si="21">Q26/S26</f>
        <v>198.34228065054484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22">F27/F26-1</f>
        <v>-0.11254900183149008</v>
      </c>
      <c r="H27" s="90">
        <f t="shared" ref="H27" si="23">F27/F15-1</f>
        <v>-3.30066371840122E-2</v>
      </c>
      <c r="I27" s="130">
        <f t="shared" si="0"/>
        <v>187.21026915545377</v>
      </c>
      <c r="J27" s="130">
        <f t="shared" si="5"/>
        <v>-0.18765751802670727</v>
      </c>
      <c r="K27" s="78"/>
      <c r="L27" s="90"/>
      <c r="M27" s="90"/>
      <c r="N27" s="79"/>
      <c r="O27" s="79"/>
      <c r="P27" s="129" t="s">
        <v>375</v>
      </c>
      <c r="Q27" s="116">
        <v>210693081</v>
      </c>
      <c r="R27" s="116">
        <v>278621655787</v>
      </c>
      <c r="S27" s="116">
        <v>1125435.49</v>
      </c>
      <c r="T27" s="130">
        <f t="shared" ref="T27" si="24">Q27/S27</f>
        <v>187.21026915545377</v>
      </c>
      <c r="U27" s="78"/>
    </row>
    <row r="28" spans="1:21" s="92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7.4644959717464765E-3</v>
      </c>
      <c r="F28" s="78">
        <f>Q28/19</f>
        <v>9820306.0526315793</v>
      </c>
      <c r="G28" s="90">
        <f t="shared" ref="G28" si="25">F28/F27-1</f>
        <v>2.5409719827936605E-2</v>
      </c>
      <c r="H28" s="90">
        <f t="shared" ref="H28" si="26">F28/F16-1</f>
        <v>0.12316340852801089</v>
      </c>
      <c r="I28" s="130">
        <f t="shared" si="0"/>
        <v>182.40876375526273</v>
      </c>
      <c r="J28" s="130">
        <f t="shared" si="5"/>
        <v>-9.5401761589232859E-2</v>
      </c>
      <c r="K28" s="78">
        <f>R26+R27+R28</f>
        <v>798300552776</v>
      </c>
      <c r="L28" s="90">
        <f>U28/U25-1</f>
        <v>1.5235802036025037E-2</v>
      </c>
      <c r="M28" s="90">
        <f>U28/U16-1</f>
        <v>-5.3847256222012696E-2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16">
        <v>1022899.4</v>
      </c>
      <c r="T28" s="130">
        <f t="shared" ref="T28" si="27">Q28/S28</f>
        <v>182.40876375526273</v>
      </c>
      <c r="U28" s="85">
        <f>Q26+Q27+Q28</f>
        <v>602318055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28">F29/F28-1</f>
        <v>3.4146254998976167E-2</v>
      </c>
      <c r="H29" s="190">
        <f t="shared" ref="H29" si="29">F29/F17-1</f>
        <v>4.6036690803482827E-2</v>
      </c>
      <c r="I29" s="130">
        <f t="shared" si="0"/>
        <v>193.41184938694357</v>
      </c>
      <c r="J29" s="130">
        <f t="shared" si="5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16">
        <v>1155171.83</v>
      </c>
      <c r="T29" s="130">
        <f t="shared" ref="T29" si="30">Q29/S29</f>
        <v>193.41184938694357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10167632.315789474</v>
      </c>
      <c r="G30" s="190">
        <f t="shared" ref="G30" si="31">F30/F29-1</f>
        <v>1.1815697592649776E-3</v>
      </c>
      <c r="H30" s="190">
        <f t="shared" ref="H30" si="32">F30/F18-1</f>
        <v>3.9887006564833349E-2</v>
      </c>
      <c r="I30" s="130">
        <f t="shared" si="0"/>
        <v>181.279854730648</v>
      </c>
      <c r="J30" s="130">
        <f t="shared" si="5"/>
        <v>-3.9405255884269574E-2</v>
      </c>
      <c r="K30" s="136"/>
      <c r="L30" s="190"/>
      <c r="M30" s="190"/>
      <c r="N30" s="191"/>
      <c r="O30" s="192"/>
      <c r="P30" s="129" t="s">
        <v>466</v>
      </c>
      <c r="Q30" s="116">
        <v>193185014</v>
      </c>
      <c r="R30" s="116">
        <v>257418501491</v>
      </c>
      <c r="S30" s="116">
        <v>1065672.82</v>
      </c>
      <c r="T30" s="130">
        <f t="shared" ref="T30" si="33">Q30/S30</f>
        <v>181.279854730648</v>
      </c>
      <c r="U30" s="85"/>
    </row>
    <row r="31" spans="1:21" s="92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9.4783188697102894E-3</v>
      </c>
      <c r="F31" s="136">
        <f>Q31/20</f>
        <v>10247199.1</v>
      </c>
      <c r="G31" s="190">
        <f t="shared" ref="G31" si="34">F31/F30-1</f>
        <v>7.8254977893885691E-3</v>
      </c>
      <c r="H31" s="190">
        <f t="shared" ref="H31" si="35">F31/F19-1</f>
        <v>-5.0932091871966123E-2</v>
      </c>
      <c r="I31" s="130">
        <f t="shared" si="0"/>
        <v>206.06210175218055</v>
      </c>
      <c r="J31" s="130">
        <f t="shared" si="5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-9.1028592655217899E-3</v>
      </c>
      <c r="N31" s="191">
        <f>AVERAGE(T29:T31)</f>
        <v>193.58460195659072</v>
      </c>
      <c r="O31" s="192">
        <f>N31/N28-1</f>
        <v>2.2523527576726377E-2</v>
      </c>
      <c r="P31" s="129" t="s">
        <v>506</v>
      </c>
      <c r="Q31" s="116">
        <v>204943982</v>
      </c>
      <c r="R31" s="116">
        <v>272268672955</v>
      </c>
      <c r="S31" s="116">
        <v>994573.87</v>
      </c>
      <c r="T31" s="130">
        <f t="shared" ref="T31" si="36">Q31/S31</f>
        <v>206.06210175218055</v>
      </c>
      <c r="U31" s="85">
        <f>Q29+Q30+Q31</f>
        <v>621552916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37">F32/F31-1</f>
        <v>-4.0330370676142979E-2</v>
      </c>
      <c r="H32" s="190">
        <f t="shared" ref="H32" si="38">F32/F20-1</f>
        <v>4.7827379685169591E-2</v>
      </c>
      <c r="I32" s="130">
        <f t="shared" si="0"/>
        <v>180.4264923978142</v>
      </c>
      <c r="J32" s="130">
        <f t="shared" si="5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16">
        <v>1144579.3700000001</v>
      </c>
      <c r="T32" s="130">
        <f t="shared" ref="T32" si="39">Q32/S32</f>
        <v>180.4264923978142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10323316.142857144</v>
      </c>
      <c r="G33" s="190">
        <f t="shared" ref="G33" si="40">F33/F32-1</f>
        <v>4.9765515095528956E-2</v>
      </c>
      <c r="H33" s="190">
        <f t="shared" ref="H33" si="41">F33/F21-1</f>
        <v>8.4244036406553757E-2</v>
      </c>
      <c r="I33" s="130">
        <f t="shared" si="0"/>
        <v>189.0269832260791</v>
      </c>
      <c r="J33" s="130">
        <f t="shared" si="5"/>
        <v>7.8737945423016154E-2</v>
      </c>
      <c r="K33" s="136"/>
      <c r="L33" s="190"/>
      <c r="M33" s="190"/>
      <c r="N33" s="191"/>
      <c r="O33" s="192"/>
      <c r="P33" s="129" t="s">
        <v>624</v>
      </c>
      <c r="Q33" s="116">
        <v>216789639</v>
      </c>
      <c r="R33" s="116">
        <v>296566089080</v>
      </c>
      <c r="S33" s="116">
        <v>1146871.3899999999</v>
      </c>
      <c r="T33" s="130">
        <f t="shared" ref="T33" si="42">Q33/S33</f>
        <v>189.0269832260791</v>
      </c>
      <c r="U33" s="85"/>
    </row>
    <row r="34" spans="1:21" s="92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8.5632856569492377E-2</v>
      </c>
      <c r="F34" s="136">
        <f>Q34/19</f>
        <v>10748224.368421054</v>
      </c>
      <c r="G34" s="190">
        <f t="shared" ref="G34" si="43">F34/F33-1</f>
        <v>4.1160051642699091E-2</v>
      </c>
      <c r="H34" s="190">
        <f t="shared" ref="H34" si="44">F34/F22-1</f>
        <v>0.12412399396801299</v>
      </c>
      <c r="I34" s="130">
        <f t="shared" si="0"/>
        <v>204.53973440837746</v>
      </c>
      <c r="J34" s="130">
        <f t="shared" si="5"/>
        <v>0.21220677283187772</v>
      </c>
      <c r="K34" s="136">
        <f>R32+R33+R34</f>
        <v>858102697905</v>
      </c>
      <c r="L34" s="190">
        <f>U34/U31-1</f>
        <v>9.5976172686800254E-3</v>
      </c>
      <c r="M34" s="190">
        <f>U34/U22-1</f>
        <v>6.6416313877005306E-2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16">
        <v>998418.54</v>
      </c>
      <c r="T34" s="130">
        <f t="shared" ref="T34" si="45">Q34/S34</f>
        <v>204.53973440837746</v>
      </c>
      <c r="U34" s="85">
        <f>Q32+Q33+Q34</f>
        <v>627518343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46">F35/F34-1</f>
        <v>-8.723740832403315E-2</v>
      </c>
      <c r="H35" s="190">
        <f t="shared" ref="H35" si="47">F35/F23-1</f>
        <v>-2.9735053268087341E-5</v>
      </c>
      <c r="I35" s="130">
        <f t="shared" si="0"/>
        <v>193.44036969926938</v>
      </c>
      <c r="J35" s="130">
        <f t="shared" si="5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16">
        <v>1166474.58</v>
      </c>
      <c r="T35" s="130">
        <f t="shared" ref="T35" si="48">Q35/S35</f>
        <v>193.44036969926938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49">F36/F35-1</f>
        <v>-3.9432405362187173E-2</v>
      </c>
      <c r="H36" s="190">
        <f t="shared" ref="H36" si="50">F36/F24-1</f>
        <v>7.2569787798934193E-2</v>
      </c>
      <c r="I36" s="130">
        <f t="shared" si="0"/>
        <v>194.09517212683627</v>
      </c>
      <c r="J36" s="130">
        <f t="shared" si="5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16">
        <v>1019593.48</v>
      </c>
      <c r="T36" s="130">
        <f t="shared" ref="T36" si="51">Q36/S36</f>
        <v>194.09517212683627</v>
      </c>
      <c r="U36" s="85"/>
    </row>
    <row r="37" spans="1:21" s="92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52">F37/F36-1</f>
        <v>0.11815877123581187</v>
      </c>
      <c r="H37" s="190">
        <f t="shared" ref="H37" si="53">F37/F25-1</f>
        <v>3.2228738516617117E-2</v>
      </c>
      <c r="I37" s="130">
        <f t="shared" si="0"/>
        <v>217.45791037779344</v>
      </c>
      <c r="J37" s="130">
        <f t="shared" si="5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16">
        <v>872214.41</v>
      </c>
      <c r="T37" s="130">
        <f t="shared" ref="T37" si="54">Q37/S37</f>
        <v>217.45791037779344</v>
      </c>
      <c r="U37" s="85">
        <f>Q35+Q36+Q37</f>
        <v>613211369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10676955.800000001</v>
      </c>
      <c r="G38" s="190">
        <f t="shared" ref="G38" si="55">F38/F37-1</f>
        <v>1.3261361423128948E-2</v>
      </c>
      <c r="H38" s="190">
        <f t="shared" ref="H38" si="56">F38/F26-1</f>
        <v>-1.0617478195957597E-2</v>
      </c>
      <c r="I38" s="130">
        <f t="shared" si="0"/>
        <v>199.34707913404179</v>
      </c>
      <c r="J38" s="130">
        <f t="shared" si="5"/>
        <v>5.0659823019141292E-3</v>
      </c>
      <c r="K38" s="136"/>
      <c r="L38" s="190"/>
      <c r="M38" s="190"/>
      <c r="N38" s="191"/>
      <c r="O38" s="192"/>
      <c r="P38" s="129" t="s">
        <v>727</v>
      </c>
      <c r="Q38" s="116">
        <v>213539116</v>
      </c>
      <c r="R38" s="116">
        <v>287324483481</v>
      </c>
      <c r="S38" s="116">
        <v>1071192.6000000001</v>
      </c>
      <c r="T38" s="130">
        <f t="shared" ref="T38" si="57">Q38/S38</f>
        <v>199.34707913404179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58">F39/F38-1</f>
        <v>-0.13266405285403815</v>
      </c>
      <c r="H39" s="190">
        <f t="shared" ref="H39" si="59">F39/F27-1</f>
        <v>-3.304291909126067E-2</v>
      </c>
      <c r="I39" s="130">
        <f t="shared" si="0"/>
        <v>190.39192142607737</v>
      </c>
      <c r="J39" s="130">
        <f t="shared" si="5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16">
        <v>1021422.85</v>
      </c>
      <c r="T39" s="130">
        <f t="shared" ref="T39" si="60">Q39/S39</f>
        <v>190.39192142607737</v>
      </c>
      <c r="U39" s="85"/>
    </row>
    <row r="40" spans="1:21" s="92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61">F40/F39-1</f>
        <v>-1.6092962383595366E-2</v>
      </c>
      <c r="H40" s="190">
        <f t="shared" ref="H40" si="62">F40/F28-1</f>
        <v>-7.2179774989096335E-2</v>
      </c>
      <c r="I40" s="130">
        <f t="shared" si="0"/>
        <v>179.61603664079453</v>
      </c>
      <c r="J40" s="130">
        <f t="shared" si="5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16">
        <v>1065278.21</v>
      </c>
      <c r="T40" s="130">
        <f t="shared" ref="T40" si="63">Q40/S40</f>
        <v>179.61603664079453</v>
      </c>
      <c r="U40" s="85">
        <f>Q38+Q39+Q40</f>
        <v>599350825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10345781.055555556</v>
      </c>
      <c r="G41" s="190">
        <f t="shared" ref="G41" si="64">F41/F40-1</f>
        <v>0.13546676035626803</v>
      </c>
      <c r="H41" s="190">
        <f t="shared" ref="H41" si="65">F41/F29-1</f>
        <v>1.8723434904473368E-2</v>
      </c>
      <c r="I41" s="130">
        <f t="shared" si="0"/>
        <v>184.60515486416099</v>
      </c>
      <c r="J41" s="130">
        <f t="shared" si="5"/>
        <v>-4.5533376319481511E-2</v>
      </c>
      <c r="K41" s="194"/>
      <c r="L41" s="202"/>
      <c r="M41" s="202"/>
      <c r="N41" s="194"/>
      <c r="O41" s="194"/>
      <c r="P41" s="129" t="s">
        <v>792</v>
      </c>
      <c r="Q41" s="116">
        <v>186224059</v>
      </c>
      <c r="R41" s="116">
        <v>272234092705</v>
      </c>
      <c r="S41" s="116">
        <v>1008769.55</v>
      </c>
      <c r="T41" s="130">
        <f t="shared" ref="T41" si="66">Q41/S41</f>
        <v>184.60515486416099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9488999.0500000007</v>
      </c>
      <c r="G42" s="190">
        <f t="shared" ref="G42" si="67">F42/F41-1</f>
        <v>-8.2814627620161563E-2</v>
      </c>
      <c r="H42" s="190">
        <f t="shared" ref="H42" si="68">F42/F30-1</f>
        <v>-6.6744473512836744E-2</v>
      </c>
      <c r="I42" s="130">
        <f t="shared" si="0"/>
        <v>186.73343251780926</v>
      </c>
      <c r="J42" s="130">
        <f t="shared" si="5"/>
        <v>3.0083749765049017E-2</v>
      </c>
      <c r="K42" s="194"/>
      <c r="L42" s="202"/>
      <c r="M42" s="202"/>
      <c r="N42" s="194"/>
      <c r="O42" s="194"/>
      <c r="P42" s="129" t="s">
        <v>826</v>
      </c>
      <c r="Q42" s="116">
        <v>189779981</v>
      </c>
      <c r="R42" s="116">
        <v>274152058633</v>
      </c>
      <c r="S42" s="116">
        <v>1016314.96</v>
      </c>
      <c r="T42" s="130">
        <f t="shared" ref="T42" si="69">Q42/S42</f>
        <v>186.73343251780926</v>
      </c>
      <c r="U42" s="175"/>
    </row>
    <row r="43" spans="1:21" s="92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70">F43/F42-1</f>
        <v>0.15273721626097103</v>
      </c>
      <c r="H43" s="190">
        <f t="shared" ref="H43" si="71">F43/F31-1</f>
        <v>6.7445088482763982E-2</v>
      </c>
      <c r="I43" s="130">
        <f t="shared" si="0"/>
        <v>191.59125289621502</v>
      </c>
      <c r="J43" s="130">
        <f t="shared" si="5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16">
        <v>1141839.43</v>
      </c>
      <c r="T43" s="130">
        <f t="shared" ref="T43" si="72">Q43/S43</f>
        <v>191.59125289621502</v>
      </c>
      <c r="U43" s="85">
        <f>Q41+Q42+Q43</f>
        <v>594770487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73">F44/F43-1</f>
        <v>1.0829050946738583E-2</v>
      </c>
      <c r="H44" s="190">
        <f t="shared" ref="H44" si="74">F44/F32-1</f>
        <v>0.1243499562333874</v>
      </c>
      <c r="I44" s="130">
        <f t="shared" si="0"/>
        <v>203.10995524315439</v>
      </c>
      <c r="J44" s="130">
        <f t="shared" si="5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16">
        <v>1197622.3799999999</v>
      </c>
      <c r="T44" s="130">
        <f t="shared" ref="T44" si="75">Q44/S44</f>
        <v>203.10995524315439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76">F45/F44-1</f>
        <v>1.0773870389319651E-2</v>
      </c>
      <c r="H45" s="190">
        <f t="shared" ref="H45" si="77">F45/F33-1</f>
        <v>8.2588007123347795E-2</v>
      </c>
      <c r="I45" s="130">
        <f t="shared" si="0"/>
        <v>207.52485263182709</v>
      </c>
      <c r="J45" s="130">
        <f t="shared" si="5"/>
        <v>9.7858353818323751E-2</v>
      </c>
      <c r="K45" s="136"/>
      <c r="L45" s="190"/>
      <c r="M45" s="190"/>
      <c r="N45" s="191"/>
      <c r="O45" s="192"/>
      <c r="P45" s="129" t="s">
        <v>853</v>
      </c>
      <c r="Q45" s="116">
        <v>223517965</v>
      </c>
      <c r="R45" s="116">
        <v>314781408758</v>
      </c>
      <c r="S45" s="116">
        <v>1077066.01</v>
      </c>
      <c r="T45" s="130">
        <f t="shared" ref="T45" si="78">Q45/S45</f>
        <v>207.52485263182709</v>
      </c>
      <c r="U45" s="85"/>
    </row>
    <row r="46" spans="1:21" s="92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79">F46/F45-1</f>
        <v>9.8152121098727285E-2</v>
      </c>
      <c r="H46" s="190">
        <f t="shared" ref="H46" si="80">F46/F34-1</f>
        <v>0.14184780180802736</v>
      </c>
      <c r="I46" s="130">
        <f t="shared" si="0"/>
        <v>217.92710019953205</v>
      </c>
      <c r="J46" s="130">
        <f t="shared" si="5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928</v>
      </c>
      <c r="Q46" s="116">
        <v>233183891</v>
      </c>
      <c r="R46" s="116">
        <v>319359936041</v>
      </c>
      <c r="S46" s="116">
        <v>1070008.69</v>
      </c>
      <c r="T46" s="130">
        <f t="shared" ref="T46" si="81">Q46/S46</f>
        <v>217.92710019953205</v>
      </c>
      <c r="U46" s="85">
        <f t="shared" ref="U46:U51" si="82">Q44+Q45+Q46</f>
        <v>699950884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83">F47/F46-1</f>
        <v>-0.10050226802778373</v>
      </c>
      <c r="H47" s="190">
        <f t="shared" ref="H47" si="84">F47/F35-1</f>
        <v>0.12525372681837599</v>
      </c>
      <c r="I47" s="130">
        <f t="shared" si="0"/>
        <v>210.04511968139144</v>
      </c>
      <c r="J47" s="130">
        <f t="shared" si="5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16">
        <v>1208816.1599999999</v>
      </c>
      <c r="T47" s="130">
        <f t="shared" ref="T47" si="85">Q47/S47</f>
        <v>210.04511968139144</v>
      </c>
      <c r="U47" s="85">
        <f t="shared" si="82"/>
        <v>710607791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86">F48/F47-1</f>
        <v>0.11405658694035647</v>
      </c>
      <c r="H48" s="190">
        <f t="shared" ref="H48" si="87">F48/F36-1</f>
        <v>0.30505789841252295</v>
      </c>
      <c r="I48" s="130">
        <f t="shared" si="0"/>
        <v>215.99241289651988</v>
      </c>
      <c r="J48" s="130">
        <f t="shared" si="5"/>
        <v>0.11281702955174122</v>
      </c>
      <c r="K48" s="136"/>
      <c r="L48" s="190"/>
      <c r="M48" s="190"/>
      <c r="N48" s="191"/>
      <c r="O48" s="192"/>
      <c r="P48" s="129" t="s">
        <v>1120</v>
      </c>
      <c r="Q48" s="116">
        <v>245970069</v>
      </c>
      <c r="R48" s="116">
        <v>341319517246</v>
      </c>
      <c r="S48" s="116">
        <v>1138790.32</v>
      </c>
      <c r="T48" s="130">
        <f t="shared" ref="T48" si="88">Q48/S48</f>
        <v>215.99241289651988</v>
      </c>
      <c r="U48" s="85">
        <f t="shared" si="82"/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89">F49/F48-1</f>
        <v>-0.1385452600812912</v>
      </c>
      <c r="H49" s="190">
        <f t="shared" ref="H49" si="90">F49/F37-1</f>
        <v>5.4460434212526554E-3</v>
      </c>
      <c r="I49" s="130">
        <f t="shared" si="0"/>
        <v>202.090578528333</v>
      </c>
      <c r="J49" s="130">
        <f t="shared" si="5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1165</v>
      </c>
      <c r="Q49" s="116">
        <v>233081290</v>
      </c>
      <c r="R49" s="116">
        <v>323939655281</v>
      </c>
      <c r="S49" s="116">
        <v>1153350.6000000001</v>
      </c>
      <c r="T49" s="130">
        <f t="shared" ref="T49" si="91">Q49/S49</f>
        <v>202.090578528333</v>
      </c>
      <c r="U49" s="85">
        <f t="shared" si="82"/>
        <v>732957294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92">F50/F49-1</f>
        <v>0.2442500025062786</v>
      </c>
      <c r="H50" s="190">
        <f t="shared" ref="H50" si="93">F50/F38-1</f>
        <v>0.23465306156523247</v>
      </c>
      <c r="I50" s="130">
        <f t="shared" ref="I50" si="94">T50</f>
        <v>227.53650547050933</v>
      </c>
      <c r="J50" s="130">
        <f t="shared" ref="J50" si="95">I50/I38-1</f>
        <v>0.14140877538272245</v>
      </c>
      <c r="K50" s="136"/>
      <c r="L50" s="190"/>
      <c r="M50" s="190"/>
      <c r="N50" s="191"/>
      <c r="O50" s="192"/>
      <c r="P50" s="129" t="s">
        <v>1291</v>
      </c>
      <c r="Q50" s="116">
        <v>237282051</v>
      </c>
      <c r="R50" s="116">
        <v>335067044178</v>
      </c>
      <c r="S50" s="116">
        <v>1042830.69</v>
      </c>
      <c r="T50" s="130">
        <f t="shared" ref="T50" si="96">Q50/S50</f>
        <v>227.53650547050933</v>
      </c>
      <c r="U50" s="85">
        <f t="shared" si="82"/>
        <v>716333410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97">F51/F50-1</f>
        <v>-9.2708674791419421E-2</v>
      </c>
      <c r="H51" s="190">
        <f t="shared" ref="H51:H52" si="98">F51/F39-1</f>
        <v>0.29152955793706647</v>
      </c>
      <c r="I51" s="130">
        <f t="shared" ref="I51:I52" si="99">T51</f>
        <v>224.70279889071747</v>
      </c>
      <c r="J51" s="130">
        <f t="shared" ref="J51:J52" si="100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16">
        <v>1064536.74</v>
      </c>
      <c r="T51" s="130">
        <f t="shared" ref="T51:T52" si="101">Q51/S51</f>
        <v>224.70279889071747</v>
      </c>
      <c r="U51" s="85">
        <f t="shared" si="82"/>
        <v>709567726</v>
      </c>
    </row>
    <row r="52" spans="1:26" s="79" customFormat="1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97"/>
        <v>-2.7106950249412676E-2</v>
      </c>
      <c r="H52" s="190">
        <f t="shared" si="98"/>
        <v>0.27707200215626404</v>
      </c>
      <c r="I52" s="130">
        <f t="shared" si="99"/>
        <v>232.65618685688455</v>
      </c>
      <c r="J52" s="130">
        <f t="shared" si="100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16">
        <v>1100303.05</v>
      </c>
      <c r="T52" s="130">
        <f t="shared" si="101"/>
        <v>232.65618685688455</v>
      </c>
      <c r="U52" s="85">
        <f t="shared" ref="U52" si="102">Q50+Q51+Q52</f>
        <v>732478748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03">F53/F52-1</f>
        <v>9.1177765340003436E-2</v>
      </c>
      <c r="H53" s="190">
        <f t="shared" ref="H53" si="104">F53/F41-1</f>
        <v>0.22725968046296918</v>
      </c>
      <c r="I53" s="130">
        <f t="shared" ref="I53" si="105">T53</f>
        <v>240.05332368400624</v>
      </c>
      <c r="J53" s="130">
        <f t="shared" ref="J53" si="106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16">
        <v>1110737.21</v>
      </c>
      <c r="T53" s="130">
        <f t="shared" ref="T53" si="107">Q53/S53</f>
        <v>240.05332368400624</v>
      </c>
      <c r="U53" s="85">
        <f t="shared" ref="U53" si="108">Q51+Q52+Q53</f>
        <v>761832856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09">F54/F53-1</f>
        <v>4.5645038360616397E-2</v>
      </c>
      <c r="H54" s="190">
        <f t="shared" ref="H54" si="110">F54/F42-1</f>
        <v>0.39914790870071681</v>
      </c>
      <c r="I54" s="130">
        <f t="shared" ref="I54" si="111">T54</f>
        <v>227.08853927360434</v>
      </c>
      <c r="J54" s="130">
        <f t="shared" ref="J54" si="112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16">
        <v>993888.66</v>
      </c>
      <c r="T54" s="130">
        <f t="shared" ref="T54" si="113">Q54/S54</f>
        <v>227.08853927360434</v>
      </c>
      <c r="U54" s="85">
        <f t="shared" ref="U54" si="114">Q52+Q53+Q54</f>
        <v>748329195</v>
      </c>
    </row>
    <row r="55" spans="1:26" s="79" customFormat="1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15">F55/F54-1</f>
        <v>-5.2221903921803703E-2</v>
      </c>
      <c r="H55" s="190">
        <f t="shared" ref="H55" si="116">F55/F43-1</f>
        <v>0.15037644515499049</v>
      </c>
      <c r="I55" s="130">
        <f>T55</f>
        <v>239.65450029765114</v>
      </c>
      <c r="J55" s="130">
        <f t="shared" ref="J55" si="117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16">
        <v>1102616.29</v>
      </c>
      <c r="T55" s="130">
        <f t="shared" ref="T55" si="118">Q55/S55</f>
        <v>239.65450029765114</v>
      </c>
      <c r="U55" s="85">
        <f t="shared" ref="U55" si="119">Q53+Q54+Q55</f>
        <v>756583839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20">F56/F55-1</f>
        <v>-5.1406288909668141E-2</v>
      </c>
      <c r="H56" s="190">
        <f t="shared" ref="H56" si="121">F56/F44-1</f>
        <v>7.9549366174651137E-2</v>
      </c>
      <c r="I56" s="291">
        <f>T56</f>
        <v>221.29831449135489</v>
      </c>
      <c r="J56" s="130">
        <f t="shared" ref="J56" si="122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16">
        <v>1186630.52</v>
      </c>
      <c r="T56" s="130">
        <f t="shared" ref="T56" si="123">Q56/S56</f>
        <v>221.29831449135489</v>
      </c>
      <c r="U56" s="85">
        <f t="shared" ref="U56" si="124">Q54+Q55+Q56</f>
        <v>752547014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13424501.833333334</v>
      </c>
      <c r="G57" s="254">
        <f t="shared" ref="G57" si="125">F57/F56-1</f>
        <v>0.12467551168021385</v>
      </c>
      <c r="H57" s="254">
        <f t="shared" ref="H57" si="126">F57/F45-1</f>
        <v>0.20120115028188756</v>
      </c>
      <c r="I57" s="282">
        <f>T57</f>
        <v>232.05827584155901</v>
      </c>
      <c r="J57" s="277">
        <f t="shared" ref="J57" si="127">I57/I45-1</f>
        <v>0.11821920554863397</v>
      </c>
      <c r="K57" s="204"/>
      <c r="L57" s="254"/>
      <c r="M57" s="254"/>
      <c r="N57" s="257"/>
      <c r="O57" s="258"/>
      <c r="P57" s="129" t="s">
        <v>1436</v>
      </c>
      <c r="Q57" s="116">
        <v>161094022</v>
      </c>
      <c r="R57" s="116">
        <v>237378388890</v>
      </c>
      <c r="S57" s="116">
        <v>694196.41</v>
      </c>
      <c r="T57" s="130">
        <f t="shared" ref="T57" si="128">Q57/S57</f>
        <v>232.05827584155901</v>
      </c>
      <c r="U57" s="85">
        <f t="shared" ref="U57" si="129">Q55+Q56+Q57</f>
        <v>687940312</v>
      </c>
    </row>
    <row r="58" spans="1:26">
      <c r="B58" s="196">
        <f>SUM(F56:F58)</f>
        <v>25360835.196969695</v>
      </c>
      <c r="C58" s="196">
        <f>AVERAGE(F56:F58)</f>
        <v>12680417.598484848</v>
      </c>
      <c r="D58" s="197">
        <f>C58/C55-1</f>
        <v>-1.3367565919013114E-2</v>
      </c>
      <c r="E58" s="233">
        <f>C58/C46-1</f>
        <v>0.10246897723298298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1180277195</v>
      </c>
      <c r="R65" s="212">
        <v>1733729061851</v>
      </c>
      <c r="S65" s="213">
        <v>5088069.0999999996</v>
      </c>
      <c r="T65" s="214">
        <v>729</v>
      </c>
      <c r="U65" s="214">
        <v>1760</v>
      </c>
    </row>
    <row r="66" spans="16:21" ht="18" thickBot="1">
      <c r="P66" s="180" t="s">
        <v>976</v>
      </c>
      <c r="Q66" s="181">
        <v>266636159</v>
      </c>
      <c r="R66" s="181">
        <v>388256746096</v>
      </c>
      <c r="S66" s="182">
        <v>1110737.21</v>
      </c>
      <c r="T66" s="210">
        <v>394</v>
      </c>
      <c r="U66" s="210">
        <v>944</v>
      </c>
    </row>
    <row r="67" spans="16:21" ht="18" thickBot="1">
      <c r="P67" s="180" t="s">
        <v>977</v>
      </c>
      <c r="Q67" s="181">
        <v>225700724</v>
      </c>
      <c r="R67" s="181">
        <v>326952025896</v>
      </c>
      <c r="S67" s="182">
        <v>993888.66</v>
      </c>
      <c r="T67" s="210">
        <v>377</v>
      </c>
      <c r="U67" s="210">
        <v>861</v>
      </c>
    </row>
    <row r="68" spans="16:21" ht="18" thickBot="1">
      <c r="P68" s="180" t="s">
        <v>978</v>
      </c>
      <c r="Q68" s="181">
        <v>264246956</v>
      </c>
      <c r="R68" s="181">
        <v>388870924008</v>
      </c>
      <c r="S68" s="182">
        <v>1102616.29</v>
      </c>
      <c r="T68" s="210">
        <v>404</v>
      </c>
      <c r="U68" s="210">
        <v>909</v>
      </c>
    </row>
    <row r="69" spans="16:21" ht="18" thickBot="1">
      <c r="P69" s="180" t="s">
        <v>979</v>
      </c>
      <c r="Q69" s="181">
        <v>262599334</v>
      </c>
      <c r="R69" s="181">
        <v>392270976961</v>
      </c>
      <c r="S69" s="182">
        <v>1186630.52</v>
      </c>
      <c r="T69" s="210">
        <v>411</v>
      </c>
      <c r="U69" s="210">
        <v>964</v>
      </c>
    </row>
    <row r="70" spans="16:21" ht="18" thickBot="1">
      <c r="P70" s="180" t="s">
        <v>980</v>
      </c>
      <c r="Q70" s="181">
        <v>161094022</v>
      </c>
      <c r="R70" s="181">
        <v>237378388890</v>
      </c>
      <c r="S70" s="182">
        <v>694196.41</v>
      </c>
      <c r="T70" s="210">
        <v>325</v>
      </c>
      <c r="U70" s="210">
        <v>734</v>
      </c>
    </row>
    <row r="71" spans="16:21" ht="18" thickBot="1">
      <c r="P71" s="215" t="s">
        <v>975</v>
      </c>
      <c r="Q71" s="217" t="s">
        <v>1472</v>
      </c>
      <c r="R71"/>
      <c r="S71"/>
      <c r="T71"/>
      <c r="U71"/>
    </row>
    <row r="72" spans="16:21" ht="18" thickBot="1">
      <c r="P72" s="180" t="s">
        <v>980</v>
      </c>
      <c r="Q72" s="181">
        <v>67830409</v>
      </c>
      <c r="R72" s="181">
        <v>100140210317</v>
      </c>
      <c r="S72" s="182">
        <v>246741.33</v>
      </c>
      <c r="T72" s="210">
        <v>200</v>
      </c>
      <c r="U72" s="210">
        <v>417</v>
      </c>
    </row>
    <row r="73" spans="16:21" ht="18" thickBot="1">
      <c r="P73" s="215" t="s">
        <v>975</v>
      </c>
      <c r="Q73" s="216">
        <v>2759840944</v>
      </c>
      <c r="R73" s="217"/>
      <c r="S73"/>
      <c r="T73"/>
      <c r="U73"/>
    </row>
  </sheetData>
  <phoneticPr fontId="1" type="noConversion"/>
  <conditionalFormatting sqref="C29:C30">
    <cfRule type="cellIs" dxfId="2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70"/>
  <sheetViews>
    <sheetView zoomScale="130" zoomScaleNormal="13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781</v>
      </c>
      <c r="L1" s="80" t="s">
        <v>786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7410211000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1435075.3</v>
      </c>
      <c r="G5" s="90"/>
      <c r="H5" s="90"/>
      <c r="I5" s="130">
        <f t="shared" ref="I5:I49" si="0">T5</f>
        <v>67.557473093293908</v>
      </c>
      <c r="J5" s="130"/>
      <c r="L5" s="80"/>
      <c r="M5" s="80"/>
      <c r="P5" s="129" t="s">
        <v>0</v>
      </c>
      <c r="Q5" s="116">
        <v>28701506</v>
      </c>
      <c r="R5" s="116"/>
      <c r="S5" s="116">
        <v>424845.76</v>
      </c>
      <c r="T5" s="130">
        <f t="shared" ref="T5:T40" si="1">Q5/S5</f>
        <v>67.557473093293908</v>
      </c>
      <c r="U5" s="85"/>
    </row>
    <row r="6" spans="1:21" ht="15" hidden="1" customHeight="1">
      <c r="A6" s="129" t="s">
        <v>1</v>
      </c>
      <c r="C6" s="79"/>
      <c r="F6" s="78">
        <f>Q6/18</f>
        <v>1687702.8333333333</v>
      </c>
      <c r="G6" s="90">
        <f t="shared" ref="G6:G40" si="2">F6/F5-1</f>
        <v>0.17603782417085245</v>
      </c>
      <c r="H6" s="90"/>
      <c r="I6" s="130">
        <f t="shared" si="0"/>
        <v>69.365898575337454</v>
      </c>
      <c r="J6" s="130"/>
      <c r="P6" s="129" t="s">
        <v>1</v>
      </c>
      <c r="Q6" s="116">
        <v>30378651</v>
      </c>
      <c r="R6" s="116"/>
      <c r="S6" s="116">
        <v>437947.92</v>
      </c>
      <c r="T6" s="130">
        <f t="shared" si="1"/>
        <v>69.365898575337454</v>
      </c>
      <c r="U6" s="85"/>
    </row>
    <row r="7" spans="1:21" ht="15" hidden="1" customHeight="1">
      <c r="A7" s="129" t="s">
        <v>2</v>
      </c>
      <c r="B7" s="131">
        <f>F5+F6+F7</f>
        <v>4706093.3151515154</v>
      </c>
      <c r="C7" s="131">
        <f>AVERAGE(F5:F7)</f>
        <v>1568697.7717171719</v>
      </c>
      <c r="F7" s="78">
        <f>Q7/22</f>
        <v>1583315.1818181819</v>
      </c>
      <c r="G7" s="90">
        <f t="shared" si="2"/>
        <v>-6.1851914598601621E-2</v>
      </c>
      <c r="H7" s="90"/>
      <c r="I7" s="130">
        <f t="shared" si="0"/>
        <v>70.507683202365328</v>
      </c>
      <c r="J7" s="130"/>
      <c r="K7" s="79">
        <f>R5+R6+R7</f>
        <v>0</v>
      </c>
      <c r="N7" s="88">
        <f>AVERAGE(T5:T7)</f>
        <v>69.143684956998911</v>
      </c>
      <c r="P7" s="129" t="s">
        <v>2</v>
      </c>
      <c r="Q7" s="116">
        <v>34832934</v>
      </c>
      <c r="R7" s="116"/>
      <c r="S7" s="116">
        <v>494030.33</v>
      </c>
      <c r="T7" s="130">
        <f t="shared" si="1"/>
        <v>70.507683202365328</v>
      </c>
      <c r="U7" s="85">
        <f>Q5+Q6+Q7</f>
        <v>93913091</v>
      </c>
    </row>
    <row r="8" spans="1:21" ht="15" hidden="1" customHeight="1">
      <c r="A8" s="129" t="s">
        <v>3</v>
      </c>
      <c r="C8" s="79"/>
      <c r="F8" s="78">
        <f>Q8/21</f>
        <v>1743072</v>
      </c>
      <c r="G8" s="90">
        <f t="shared" si="2"/>
        <v>0.10090019979367804</v>
      </c>
      <c r="H8" s="90"/>
      <c r="I8" s="130">
        <f t="shared" si="0"/>
        <v>68.098190770383411</v>
      </c>
      <c r="J8" s="130"/>
      <c r="K8" s="78"/>
      <c r="P8" s="129" t="s">
        <v>3</v>
      </c>
      <c r="Q8" s="116">
        <v>36604512</v>
      </c>
      <c r="R8" s="116"/>
      <c r="S8" s="116">
        <v>537525.47</v>
      </c>
      <c r="T8" s="130">
        <f t="shared" si="1"/>
        <v>68.098190770383411</v>
      </c>
      <c r="U8" s="85"/>
    </row>
    <row r="9" spans="1:21" ht="15" hidden="1" customHeight="1">
      <c r="A9" s="129" t="s">
        <v>4</v>
      </c>
      <c r="C9" s="79"/>
      <c r="F9" s="78">
        <f>Q9/21</f>
        <v>1715457.0476190476</v>
      </c>
      <c r="G9" s="90">
        <f t="shared" si="2"/>
        <v>-1.5842691742482429E-2</v>
      </c>
      <c r="H9" s="90"/>
      <c r="I9" s="130">
        <f t="shared" si="0"/>
        <v>72.707852069425797</v>
      </c>
      <c r="J9" s="130"/>
      <c r="K9" s="78"/>
      <c r="P9" s="129" t="s">
        <v>4</v>
      </c>
      <c r="Q9" s="116">
        <v>36024598</v>
      </c>
      <c r="R9" s="116"/>
      <c r="S9" s="116">
        <v>495470.53</v>
      </c>
      <c r="T9" s="130">
        <f t="shared" si="1"/>
        <v>72.707852069425797</v>
      </c>
      <c r="U9" s="85"/>
    </row>
    <row r="10" spans="1:21" ht="15" hidden="1" customHeight="1">
      <c r="A10" s="129" t="s">
        <v>5</v>
      </c>
      <c r="B10" s="131">
        <f>F8+F9+F10</f>
        <v>5253856.9523809524</v>
      </c>
      <c r="C10" s="131">
        <f>AVERAGE(F8:F10)</f>
        <v>1751285.6507936509</v>
      </c>
      <c r="D10" s="90">
        <f>C10/C7-1</f>
        <v>0.11639455500507889</v>
      </c>
      <c r="E10" s="286"/>
      <c r="F10" s="78">
        <f>Q10/21</f>
        <v>1795327.9047619049</v>
      </c>
      <c r="G10" s="90">
        <f t="shared" si="2"/>
        <v>4.6559520247804187E-2</v>
      </c>
      <c r="H10" s="90"/>
      <c r="I10" s="130">
        <f t="shared" si="0"/>
        <v>74.649406897561107</v>
      </c>
      <c r="J10" s="130"/>
      <c r="K10" s="79">
        <f>R8+R9+R10</f>
        <v>0</v>
      </c>
      <c r="L10" s="87">
        <f>U10/U7-1</f>
        <v>0.17482019625996559</v>
      </c>
      <c r="N10" s="88">
        <f>AVERAGE(T8:T10)</f>
        <v>71.818483245790105</v>
      </c>
      <c r="O10" s="89">
        <f>N10/N7-1</f>
        <v>3.8684636065530409E-2</v>
      </c>
      <c r="P10" s="129" t="s">
        <v>5</v>
      </c>
      <c r="Q10" s="116">
        <v>37701886</v>
      </c>
      <c r="R10" s="116"/>
      <c r="S10" s="116">
        <v>505052.72</v>
      </c>
      <c r="T10" s="130">
        <f t="shared" si="1"/>
        <v>74.649406897561107</v>
      </c>
      <c r="U10" s="85">
        <f>Q8+Q9+Q10</f>
        <v>110330996</v>
      </c>
    </row>
    <row r="11" spans="1:21" ht="15" hidden="1" customHeight="1">
      <c r="A11" s="129" t="s">
        <v>6</v>
      </c>
      <c r="C11" s="79"/>
      <c r="F11" s="78">
        <f>Q11/21</f>
        <v>1808015.0952380951</v>
      </c>
      <c r="G11" s="90">
        <f t="shared" si="2"/>
        <v>7.0667817519791676E-3</v>
      </c>
      <c r="H11" s="90"/>
      <c r="I11" s="130">
        <f t="shared" si="0"/>
        <v>80.211309657983847</v>
      </c>
      <c r="J11" s="130"/>
      <c r="K11" s="78"/>
      <c r="O11" s="89"/>
      <c r="P11" s="129" t="s">
        <v>6</v>
      </c>
      <c r="Q11" s="116">
        <v>37968317</v>
      </c>
      <c r="R11" s="116"/>
      <c r="S11" s="116">
        <v>473353.66</v>
      </c>
      <c r="T11" s="130">
        <f t="shared" si="1"/>
        <v>80.211309657983847</v>
      </c>
      <c r="U11" s="85"/>
    </row>
    <row r="12" spans="1:21" ht="15" hidden="1" customHeight="1">
      <c r="A12" s="129" t="s">
        <v>7</v>
      </c>
      <c r="C12" s="79"/>
      <c r="F12" s="78">
        <f>Q12/22</f>
        <v>1607569.5909090908</v>
      </c>
      <c r="G12" s="90">
        <f t="shared" si="2"/>
        <v>-0.11086495066160273</v>
      </c>
      <c r="H12" s="90"/>
      <c r="I12" s="130">
        <f t="shared" si="0"/>
        <v>74.121571132397378</v>
      </c>
      <c r="J12" s="130"/>
      <c r="K12" s="78"/>
      <c r="O12" s="89"/>
      <c r="P12" s="129" t="s">
        <v>7</v>
      </c>
      <c r="Q12" s="116">
        <v>35366531</v>
      </c>
      <c r="R12" s="116"/>
      <c r="S12" s="116">
        <v>477142.22</v>
      </c>
      <c r="T12" s="130">
        <f t="shared" si="1"/>
        <v>74.121571132397378</v>
      </c>
      <c r="U12" s="85"/>
    </row>
    <row r="13" spans="1:21" ht="15" hidden="1" customHeight="1">
      <c r="A13" s="129" t="s">
        <v>96</v>
      </c>
      <c r="B13" s="131">
        <f>F11+F12+F13</f>
        <v>4997820.0361471865</v>
      </c>
      <c r="C13" s="131">
        <f>AVERAGE(F11:F13)</f>
        <v>1665940.0120490622</v>
      </c>
      <c r="D13" s="90">
        <f>C13/C10-1</f>
        <v>-4.8733134258201471E-2</v>
      </c>
      <c r="E13" s="286"/>
      <c r="F13" s="78">
        <f>Q13/20</f>
        <v>1582235.35</v>
      </c>
      <c r="G13" s="90">
        <f t="shared" si="2"/>
        <v>-1.5759343205020482E-2</v>
      </c>
      <c r="H13" s="90"/>
      <c r="I13" s="130">
        <f t="shared" si="0"/>
        <v>77.898747675878141</v>
      </c>
      <c r="J13" s="130"/>
      <c r="K13" s="78">
        <f>R11+R12+R13</f>
        <v>0</v>
      </c>
      <c r="L13" s="87">
        <f>U13/U10-1</f>
        <v>-4.8503513917340091E-2</v>
      </c>
      <c r="N13" s="88">
        <f>AVERAGE(T11:T13)</f>
        <v>77.41054282208647</v>
      </c>
      <c r="O13" s="89">
        <f>N13/N10-1</f>
        <v>7.7863793881001619E-2</v>
      </c>
      <c r="P13" s="129" t="s">
        <v>96</v>
      </c>
      <c r="Q13" s="116">
        <v>31644707</v>
      </c>
      <c r="R13" s="116"/>
      <c r="S13" s="116">
        <v>406228.7</v>
      </c>
      <c r="T13" s="130">
        <f t="shared" si="1"/>
        <v>77.898747675878141</v>
      </c>
      <c r="U13" s="85">
        <f>Q11+Q12+Q13</f>
        <v>104979555</v>
      </c>
    </row>
    <row r="14" spans="1:21" ht="15" hidden="1" customHeight="1">
      <c r="A14" s="129" t="s">
        <v>97</v>
      </c>
      <c r="C14" s="79"/>
      <c r="F14" s="78">
        <f>Q14/20</f>
        <v>1275042.95</v>
      </c>
      <c r="G14" s="90">
        <f t="shared" si="2"/>
        <v>-0.19415088912025646</v>
      </c>
      <c r="H14" s="90"/>
      <c r="I14" s="130">
        <f t="shared" si="0"/>
        <v>74.070566248951792</v>
      </c>
      <c r="J14" s="130"/>
      <c r="O14" s="89"/>
      <c r="P14" s="129" t="s">
        <v>97</v>
      </c>
      <c r="Q14" s="116">
        <v>25500859</v>
      </c>
      <c r="R14" s="116"/>
      <c r="S14" s="116">
        <v>344277.9</v>
      </c>
      <c r="T14" s="130">
        <f t="shared" si="1"/>
        <v>74.070566248951792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947854.68181818177</v>
      </c>
      <c r="G15" s="90">
        <f t="shared" si="2"/>
        <v>-0.25660960533276012</v>
      </c>
      <c r="H15" s="90"/>
      <c r="I15" s="130">
        <f t="shared" si="0"/>
        <v>58.252373185776761</v>
      </c>
      <c r="J15" s="130"/>
      <c r="O15" s="89"/>
      <c r="P15" s="129" t="s">
        <v>98</v>
      </c>
      <c r="Q15" s="116">
        <v>20852803</v>
      </c>
      <c r="R15" s="116"/>
      <c r="S15" s="116">
        <v>357973.45</v>
      </c>
      <c r="T15" s="130">
        <f t="shared" si="1"/>
        <v>58.252373185776761</v>
      </c>
      <c r="U15" s="78"/>
    </row>
    <row r="16" spans="1:21" ht="15" hidden="1" customHeight="1">
      <c r="A16" s="129" t="s">
        <v>99</v>
      </c>
      <c r="B16" s="131">
        <f>F14+F15+F16</f>
        <v>3354285.8136363635</v>
      </c>
      <c r="C16" s="131">
        <f>AVERAGE(F14:F16)</f>
        <v>1118095.2712121212</v>
      </c>
      <c r="D16" s="90">
        <f>C16/C13-1</f>
        <v>-0.32885022082104043</v>
      </c>
      <c r="E16" s="286"/>
      <c r="F16" s="78">
        <f>Q16/22</f>
        <v>1131388.1818181819</v>
      </c>
      <c r="G16" s="90">
        <f t="shared" si="2"/>
        <v>0.19363041985290907</v>
      </c>
      <c r="H16" s="90"/>
      <c r="I16" s="130">
        <f t="shared" si="0"/>
        <v>67.325368032401599</v>
      </c>
      <c r="J16" s="130"/>
      <c r="K16" s="78">
        <f>R14+R15+R16</f>
        <v>0</v>
      </c>
      <c r="L16" s="87">
        <f>U16/U13-1</f>
        <v>-0.32135164794706927</v>
      </c>
      <c r="N16" s="88">
        <f>AVERAGE(T14:T16)</f>
        <v>66.549435822376708</v>
      </c>
      <c r="O16" s="89">
        <f>N16/N13-1</f>
        <v>-0.1403052685558861</v>
      </c>
      <c r="P16" s="129" t="s">
        <v>99</v>
      </c>
      <c r="Q16" s="116">
        <v>24890540</v>
      </c>
      <c r="R16" s="116"/>
      <c r="S16" s="116">
        <v>369705.22</v>
      </c>
      <c r="T16" s="130">
        <f t="shared" si="1"/>
        <v>67.325368032401599</v>
      </c>
      <c r="U16" s="85">
        <f>Q14+Q15+Q16</f>
        <v>71244202</v>
      </c>
    </row>
    <row r="17" spans="1:21" ht="15" hidden="1" customHeight="1">
      <c r="A17" s="129" t="s">
        <v>100</v>
      </c>
      <c r="C17" s="79"/>
      <c r="F17" s="78">
        <f>Q17/20</f>
        <v>1006121.55</v>
      </c>
      <c r="G17" s="90">
        <f t="shared" si="2"/>
        <v>-0.11071940986414919</v>
      </c>
      <c r="H17" s="90">
        <f t="shared" ref="H17:H40" si="3">F17/F5-1</f>
        <v>-0.29890678907232249</v>
      </c>
      <c r="I17" s="130">
        <f t="shared" si="0"/>
        <v>70.417120995278253</v>
      </c>
      <c r="J17" s="130">
        <f t="shared" ref="J17:J49" si="4">I17/I5-1</f>
        <v>4.2329112843449535E-2</v>
      </c>
      <c r="O17" s="89"/>
      <c r="P17" s="129" t="s">
        <v>100</v>
      </c>
      <c r="Q17" s="116">
        <v>20122431</v>
      </c>
      <c r="R17" s="116"/>
      <c r="S17" s="116">
        <v>285760.49</v>
      </c>
      <c r="T17" s="130">
        <f t="shared" si="1"/>
        <v>70.417120995278253</v>
      </c>
      <c r="U17" s="78"/>
    </row>
    <row r="18" spans="1:21" ht="15" hidden="1" customHeight="1">
      <c r="A18" s="129" t="s">
        <v>107</v>
      </c>
      <c r="C18" s="79"/>
      <c r="F18" s="78">
        <f>Q18/20</f>
        <v>819127.75</v>
      </c>
      <c r="G18" s="90">
        <f t="shared" si="2"/>
        <v>-0.18585607275780947</v>
      </c>
      <c r="H18" s="90">
        <f t="shared" si="3"/>
        <v>-0.51464930091859573</v>
      </c>
      <c r="I18" s="130">
        <f t="shared" si="0"/>
        <v>50.723009056205647</v>
      </c>
      <c r="J18" s="130">
        <f t="shared" si="4"/>
        <v>-0.26876159470325311</v>
      </c>
      <c r="O18" s="89"/>
      <c r="P18" s="129" t="s">
        <v>107</v>
      </c>
      <c r="Q18" s="116">
        <v>16382555</v>
      </c>
      <c r="R18" s="116"/>
      <c r="S18" s="116">
        <v>322980.74</v>
      </c>
      <c r="T18" s="130">
        <f t="shared" si="1"/>
        <v>50.723009056205647</v>
      </c>
      <c r="U18" s="78"/>
    </row>
    <row r="19" spans="1:21" hidden="1">
      <c r="A19" s="129" t="s">
        <v>114</v>
      </c>
      <c r="B19" s="131">
        <f>SUM(F17:F19)</f>
        <v>2912014.3909090906</v>
      </c>
      <c r="C19" s="131">
        <f>AVERAGE(F17:F19)</f>
        <v>970671.46363636351</v>
      </c>
      <c r="D19" s="90">
        <f>C19/C16-1</f>
        <v>-0.13185263489750421</v>
      </c>
      <c r="E19" s="286">
        <f>C19/C7-1</f>
        <v>-0.38122468130121712</v>
      </c>
      <c r="F19" s="78">
        <f>Q19/22</f>
        <v>1086765.0909090908</v>
      </c>
      <c r="G19" s="90">
        <f t="shared" si="2"/>
        <v>0.32673455503014126</v>
      </c>
      <c r="H19" s="90">
        <f t="shared" si="3"/>
        <v>-0.31361417904101918</v>
      </c>
      <c r="I19" s="130">
        <f t="shared" si="0"/>
        <v>69.171847551687364</v>
      </c>
      <c r="J19" s="130">
        <f t="shared" si="4"/>
        <v>-1.8945958653101114E-2</v>
      </c>
      <c r="K19" s="78">
        <f>R17+R18+R19</f>
        <v>0</v>
      </c>
      <c r="L19" s="87">
        <f>U19/U16-1</f>
        <v>-0.15201775998557754</v>
      </c>
      <c r="M19" s="87">
        <f>U19/U7-1</f>
        <v>-0.35670504125990277</v>
      </c>
      <c r="N19" s="88">
        <f>AVERAGE(T17:T19)</f>
        <v>63.437325867723757</v>
      </c>
      <c r="O19" s="89">
        <f>N19/N16-1</f>
        <v>-4.6763881860085288E-2</v>
      </c>
      <c r="P19" s="129" t="s">
        <v>114</v>
      </c>
      <c r="Q19" s="116">
        <v>23908832</v>
      </c>
      <c r="R19" s="116"/>
      <c r="S19" s="116">
        <v>345643.97</v>
      </c>
      <c r="T19" s="130">
        <f t="shared" si="1"/>
        <v>69.171847551687364</v>
      </c>
      <c r="U19" s="85">
        <f>Q17+Q18+Q19</f>
        <v>60413818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1554016.4</v>
      </c>
      <c r="G20" s="90">
        <f t="shared" si="2"/>
        <v>0.42994692505263332</v>
      </c>
      <c r="H20" s="90">
        <f t="shared" si="3"/>
        <v>-0.1084611536413872</v>
      </c>
      <c r="I20" s="130">
        <f t="shared" si="0"/>
        <v>85.532022969784151</v>
      </c>
      <c r="J20" s="130">
        <f t="shared" si="4"/>
        <v>0.25601021116970535</v>
      </c>
      <c r="O20" s="89"/>
      <c r="P20" s="129" t="s">
        <v>132</v>
      </c>
      <c r="Q20" s="116">
        <v>31080328</v>
      </c>
      <c r="R20" s="116"/>
      <c r="S20" s="116">
        <v>363376.51</v>
      </c>
      <c r="T20" s="130">
        <f t="shared" si="1"/>
        <v>85.532022969784151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1725408.4285714286</v>
      </c>
      <c r="G21" s="90">
        <f t="shared" si="2"/>
        <v>0.11028971674393451</v>
      </c>
      <c r="H21" s="90">
        <f t="shared" si="3"/>
        <v>5.8010085220105978E-3</v>
      </c>
      <c r="I21" s="130">
        <f t="shared" si="0"/>
        <v>70.0640062298407</v>
      </c>
      <c r="J21" s="130">
        <f t="shared" si="4"/>
        <v>-3.6362590343895662E-2</v>
      </c>
      <c r="O21" s="89"/>
      <c r="P21" s="129" t="s">
        <v>141</v>
      </c>
      <c r="Q21" s="116">
        <v>36233577</v>
      </c>
      <c r="R21" s="116"/>
      <c r="S21" s="116">
        <v>517149.66</v>
      </c>
      <c r="T21" s="130">
        <f t="shared" si="1"/>
        <v>70.0640062298407</v>
      </c>
      <c r="U21" s="78"/>
    </row>
    <row r="22" spans="1:21" hidden="1">
      <c r="A22" s="129" t="s">
        <v>156</v>
      </c>
      <c r="B22" s="131">
        <f>SUM(F20:F22)</f>
        <v>4682198.6857142858</v>
      </c>
      <c r="C22" s="131">
        <f>AVERAGE(F20:F22)</f>
        <v>1560732.8952380952</v>
      </c>
      <c r="D22" s="90">
        <f>C22/C19-1</f>
        <v>0.60788995422943914</v>
      </c>
      <c r="E22" s="286">
        <f>C22/C10-1</f>
        <v>-0.10880735274065689</v>
      </c>
      <c r="F22" s="78">
        <f>Q22/21</f>
        <v>1402773.857142857</v>
      </c>
      <c r="G22" s="90">
        <f t="shared" si="2"/>
        <v>-0.18699026044268285</v>
      </c>
      <c r="H22" s="90">
        <f t="shared" si="3"/>
        <v>-0.21865311989962533</v>
      </c>
      <c r="I22" s="130">
        <f t="shared" si="0"/>
        <v>81.032793740067845</v>
      </c>
      <c r="J22" s="130">
        <f t="shared" si="4"/>
        <v>8.5511554716924287E-2</v>
      </c>
      <c r="K22" s="78">
        <f>R20+R21+R22</f>
        <v>0</v>
      </c>
      <c r="L22" s="87">
        <f>U22/U19-1</f>
        <v>0.60182155678358229</v>
      </c>
      <c r="M22" s="87">
        <f>U22/U10-1</f>
        <v>-0.12289239190771017</v>
      </c>
      <c r="N22" s="88">
        <f>AVERAGE(T20:T22)</f>
        <v>78.876274313230908</v>
      </c>
      <c r="O22" s="89">
        <f>N22/N19-1</f>
        <v>0.24337325437865487</v>
      </c>
      <c r="P22" s="129" t="s">
        <v>156</v>
      </c>
      <c r="Q22" s="116">
        <v>29458251</v>
      </c>
      <c r="R22" s="116"/>
      <c r="S22" s="116">
        <v>363534.93</v>
      </c>
      <c r="T22" s="130">
        <f t="shared" si="1"/>
        <v>81.032793740067845</v>
      </c>
      <c r="U22" s="85">
        <f>Q20+Q21+Q22</f>
        <v>96772156</v>
      </c>
    </row>
    <row r="23" spans="1:21" hidden="1">
      <c r="A23" s="129" t="s">
        <v>189</v>
      </c>
      <c r="B23" s="131"/>
      <c r="C23" s="131"/>
      <c r="F23" s="78">
        <f>Q23/21</f>
        <v>1580770.857142857</v>
      </c>
      <c r="G23" s="90">
        <f t="shared" si="2"/>
        <v>0.12688930513899144</v>
      </c>
      <c r="H23" s="90">
        <f t="shared" si="3"/>
        <v>-0.12568713540818788</v>
      </c>
      <c r="I23" s="130">
        <f t="shared" si="0"/>
        <v>71.696521978133759</v>
      </c>
      <c r="J23" s="130">
        <f t="shared" si="4"/>
        <v>-0.10615445273436652</v>
      </c>
      <c r="O23" s="89"/>
      <c r="P23" s="129" t="s">
        <v>189</v>
      </c>
      <c r="Q23" s="116">
        <v>33196188</v>
      </c>
      <c r="R23" s="116"/>
      <c r="S23" s="116">
        <v>463009.74</v>
      </c>
      <c r="T23" s="130">
        <f t="shared" si="1"/>
        <v>71.696521978133759</v>
      </c>
      <c r="U23" s="78"/>
    </row>
    <row r="24" spans="1:21" hidden="1">
      <c r="A24" s="129" t="s">
        <v>204</v>
      </c>
      <c r="B24" s="131"/>
      <c r="C24" s="131"/>
      <c r="F24" s="78">
        <f>Q24/22</f>
        <v>1584081.6363636365</v>
      </c>
      <c r="G24" s="90">
        <f t="shared" si="2"/>
        <v>2.0944080578277902E-3</v>
      </c>
      <c r="H24" s="90">
        <f t="shared" si="3"/>
        <v>-1.4610847753204759E-2</v>
      </c>
      <c r="I24" s="130">
        <f t="shared" si="0"/>
        <v>73.614124666640663</v>
      </c>
      <c r="J24" s="130">
        <f t="shared" si="4"/>
        <v>-6.846137473938696E-3</v>
      </c>
      <c r="O24" s="89"/>
      <c r="P24" s="129" t="s">
        <v>204</v>
      </c>
      <c r="Q24" s="116">
        <v>34849796</v>
      </c>
      <c r="R24" s="116"/>
      <c r="S24" s="116">
        <v>473411.81</v>
      </c>
      <c r="T24" s="130">
        <f t="shared" si="1"/>
        <v>73.614124666640663</v>
      </c>
      <c r="U24" s="78"/>
    </row>
    <row r="25" spans="1:21" s="79" customFormat="1" ht="13.2" hidden="1">
      <c r="A25" s="129" t="s">
        <v>218</v>
      </c>
      <c r="B25" s="131">
        <f>SUM(F23:F25)</f>
        <v>4756201.914559125</v>
      </c>
      <c r="C25" s="131">
        <f>AVERAGE(F23:F25)</f>
        <v>1585400.6381863749</v>
      </c>
      <c r="D25" s="90">
        <f>C25/C22-1</f>
        <v>1.5805230365517842E-2</v>
      </c>
      <c r="E25" s="286">
        <f>C25/C13-1</f>
        <v>-4.8344702258292016E-2</v>
      </c>
      <c r="F25" s="78">
        <f>Q25/19</f>
        <v>1591349.4210526317</v>
      </c>
      <c r="G25" s="90">
        <f t="shared" si="2"/>
        <v>4.5880114522878213E-3</v>
      </c>
      <c r="H25" s="90">
        <f t="shared" si="3"/>
        <v>5.7602499227638049E-3</v>
      </c>
      <c r="I25" s="130">
        <f t="shared" si="0"/>
        <v>74.615357754385556</v>
      </c>
      <c r="J25" s="130">
        <f t="shared" si="4"/>
        <v>-4.2149457076693264E-2</v>
      </c>
      <c r="K25" s="78">
        <f>R23+R24+R25</f>
        <v>0</v>
      </c>
      <c r="L25" s="90">
        <f>U25/U22-1</f>
        <v>1.559815408060139E-2</v>
      </c>
      <c r="M25" s="90">
        <f>U25/U13-1</f>
        <v>-6.3802251781311159E-2</v>
      </c>
      <c r="N25" s="88">
        <f>AVERAGE(T23:T25)</f>
        <v>73.308668133053331</v>
      </c>
      <c r="O25" s="91">
        <f>N25/N22-1</f>
        <v>-7.0586576618308361E-2</v>
      </c>
      <c r="P25" s="129" t="s">
        <v>220</v>
      </c>
      <c r="Q25" s="116">
        <v>30235639</v>
      </c>
      <c r="R25" s="116"/>
      <c r="S25" s="116">
        <v>405220.05</v>
      </c>
      <c r="T25" s="130">
        <f t="shared" si="1"/>
        <v>74.615357754385556</v>
      </c>
      <c r="U25" s="85">
        <f>Q23+Q24+Q25</f>
        <v>98281623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1831432.5789473683</v>
      </c>
      <c r="G26" s="90">
        <f t="shared" si="2"/>
        <v>0.15086765654266454</v>
      </c>
      <c r="H26" s="90">
        <f t="shared" si="3"/>
        <v>0.43636932304701448</v>
      </c>
      <c r="I26" s="130">
        <f t="shared" si="0"/>
        <v>62.69057792324756</v>
      </c>
      <c r="J26" s="130">
        <f t="shared" si="4"/>
        <v>-0.15363711798092639</v>
      </c>
      <c r="L26" s="90"/>
      <c r="M26" s="90"/>
      <c r="P26" s="129" t="s">
        <v>312</v>
      </c>
      <c r="Q26" s="116">
        <v>34797219</v>
      </c>
      <c r="R26" s="116"/>
      <c r="S26" s="116">
        <v>555062.98</v>
      </c>
      <c r="T26" s="130">
        <f t="shared" si="1"/>
        <v>62.69057792324756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1513383.5</v>
      </c>
      <c r="G27" s="90">
        <f t="shared" si="2"/>
        <v>-0.17366136357046225</v>
      </c>
      <c r="H27" s="90">
        <f t="shared" si="3"/>
        <v>0.59664084487826408</v>
      </c>
      <c r="I27" s="130">
        <f t="shared" si="0"/>
        <v>74.443713050016868</v>
      </c>
      <c r="J27" s="130">
        <f t="shared" si="4"/>
        <v>0.2779515919909934</v>
      </c>
      <c r="L27" s="90"/>
      <c r="M27" s="90"/>
      <c r="P27" s="129" t="s">
        <v>374</v>
      </c>
      <c r="Q27" s="116">
        <v>33294437</v>
      </c>
      <c r="R27" s="116"/>
      <c r="S27" s="116">
        <v>447243.1</v>
      </c>
      <c r="T27" s="130">
        <f t="shared" si="1"/>
        <v>74.443713050016868</v>
      </c>
      <c r="U27" s="78"/>
    </row>
    <row r="28" spans="1:21" s="79" customFormat="1" ht="13.2" hidden="1">
      <c r="A28" s="123" t="s">
        <v>413</v>
      </c>
      <c r="B28" s="131">
        <f>SUM(F26:F28)</f>
        <v>5015531.6578947362</v>
      </c>
      <c r="C28" s="131">
        <f>AVERAGE(F26:F28)</f>
        <v>1671843.8859649121</v>
      </c>
      <c r="D28" s="90">
        <f>C28/C25-1</f>
        <v>5.4524544582891243E-2</v>
      </c>
      <c r="E28" s="286">
        <f>C28/C16-1</f>
        <v>0.49526067143855723</v>
      </c>
      <c r="F28" s="78">
        <f>Q28/19</f>
        <v>1670715.5789473683</v>
      </c>
      <c r="G28" s="90">
        <f t="shared" si="2"/>
        <v>0.10396048255274914</v>
      </c>
      <c r="H28" s="90">
        <f t="shared" si="3"/>
        <v>0.47669527205284012</v>
      </c>
      <c r="I28" s="130">
        <f t="shared" si="0"/>
        <v>61.713745090021384</v>
      </c>
      <c r="J28" s="130">
        <f t="shared" si="4"/>
        <v>-8.3350794899175518E-2</v>
      </c>
      <c r="K28" s="78">
        <f>R26+R27+R28</f>
        <v>0</v>
      </c>
      <c r="L28" s="90">
        <f>U28/U25-1</f>
        <v>1.5807929830381484E-2</v>
      </c>
      <c r="M28" s="90">
        <f>U28/U16-1</f>
        <v>0.40131055155898854</v>
      </c>
      <c r="N28" s="88">
        <f>AVERAGE(T26:T28)</f>
        <v>66.28267868776193</v>
      </c>
      <c r="O28" s="91">
        <f>N28/N25-1</f>
        <v>-9.5841182553465742E-2</v>
      </c>
      <c r="P28" s="129" t="s">
        <v>413</v>
      </c>
      <c r="Q28" s="116">
        <v>31743596</v>
      </c>
      <c r="R28" s="116"/>
      <c r="S28" s="116">
        <v>514368.33</v>
      </c>
      <c r="T28" s="130">
        <f t="shared" si="1"/>
        <v>61.713745090021384</v>
      </c>
      <c r="U28" s="85">
        <f>Q26+Q27+Q28</f>
        <v>99835252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1508999.2727272727</v>
      </c>
      <c r="G29" s="190">
        <f t="shared" si="2"/>
        <v>-9.6794635937964224E-2</v>
      </c>
      <c r="H29" s="190">
        <f t="shared" si="3"/>
        <v>0.49981806147306229</v>
      </c>
      <c r="I29" s="130">
        <f t="shared" si="0"/>
        <v>79.330289350428046</v>
      </c>
      <c r="J29" s="130">
        <f t="shared" si="4"/>
        <v>0.12657672209784687</v>
      </c>
      <c r="K29" s="136"/>
      <c r="L29" s="190"/>
      <c r="M29" s="190"/>
      <c r="N29" s="191"/>
      <c r="O29" s="192"/>
      <c r="P29" s="129" t="s">
        <v>430</v>
      </c>
      <c r="Q29" s="116">
        <v>33197984</v>
      </c>
      <c r="R29" s="116">
        <v>43635966289</v>
      </c>
      <c r="S29" s="116">
        <v>418478.04</v>
      </c>
      <c r="T29" s="130">
        <f t="shared" si="1"/>
        <v>79.330289350428046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1409265</v>
      </c>
      <c r="G30" s="190">
        <f t="shared" si="2"/>
        <v>-6.6092989261034685E-2</v>
      </c>
      <c r="H30" s="190">
        <f t="shared" si="3"/>
        <v>0.72044592555923059</v>
      </c>
      <c r="I30" s="130">
        <f t="shared" si="0"/>
        <v>78.235063567951343</v>
      </c>
      <c r="J30" s="130">
        <f t="shared" si="4"/>
        <v>0.54239791809787685</v>
      </c>
      <c r="K30" s="136"/>
      <c r="L30" s="190"/>
      <c r="M30" s="190"/>
      <c r="N30" s="191"/>
      <c r="O30" s="192"/>
      <c r="P30" s="129" t="s">
        <v>466</v>
      </c>
      <c r="Q30" s="116">
        <v>26776035</v>
      </c>
      <c r="R30" s="116">
        <v>35681537223</v>
      </c>
      <c r="S30" s="116">
        <v>342251.08</v>
      </c>
      <c r="T30" s="130">
        <f t="shared" si="1"/>
        <v>78.235063567951343</v>
      </c>
      <c r="U30" s="85"/>
    </row>
    <row r="31" spans="1:21" s="79" customFormat="1" ht="13.2" hidden="1">
      <c r="A31" s="129" t="s">
        <v>505</v>
      </c>
      <c r="B31" s="188">
        <f>SUM(F29:F31)</f>
        <v>4462077.0227272725</v>
      </c>
      <c r="C31" s="188">
        <f>AVERAGE(F29:F31)</f>
        <v>1487359.0075757576</v>
      </c>
      <c r="D31" s="190">
        <f>C31/C28-1</f>
        <v>-0.11034814909328583</v>
      </c>
      <c r="E31" s="287">
        <f>C31/C19-1</f>
        <v>0.53229909737302994</v>
      </c>
      <c r="F31" s="136">
        <f>Q31/20</f>
        <v>1543812.75</v>
      </c>
      <c r="G31" s="190">
        <f t="shared" si="2"/>
        <v>9.5473704377813995E-2</v>
      </c>
      <c r="H31" s="190">
        <f t="shared" si="3"/>
        <v>0.42055791349405958</v>
      </c>
      <c r="I31" s="130">
        <f t="shared" si="0"/>
        <v>73.232193921498222</v>
      </c>
      <c r="J31" s="130">
        <f t="shared" si="4"/>
        <v>5.869940609547597E-2</v>
      </c>
      <c r="K31" s="136">
        <f>R29+R30+R31</f>
        <v>120320629080</v>
      </c>
      <c r="L31" s="190">
        <f>U31/U28-1</f>
        <v>-8.9998049987393247E-2</v>
      </c>
      <c r="M31" s="190">
        <f>U31/U19-1</f>
        <v>0.50379957777209183</v>
      </c>
      <c r="N31" s="191">
        <f>AVERAGE(T29:T31)</f>
        <v>76.932515613292537</v>
      </c>
      <c r="O31" s="192">
        <f>N31/N28-1</f>
        <v>0.16067300139903562</v>
      </c>
      <c r="P31" s="129" t="s">
        <v>505</v>
      </c>
      <c r="Q31" s="116">
        <v>30876255</v>
      </c>
      <c r="R31" s="116">
        <v>41003125568</v>
      </c>
      <c r="S31" s="116">
        <v>421621.33</v>
      </c>
      <c r="T31" s="130">
        <f t="shared" si="1"/>
        <v>73.232193921498222</v>
      </c>
      <c r="U31" s="85">
        <f>Q29+Q30+Q31</f>
        <v>90850274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1525435.6190476189</v>
      </c>
      <c r="G32" s="190">
        <f t="shared" si="2"/>
        <v>-1.1903730521969802E-2</v>
      </c>
      <c r="H32" s="190">
        <f t="shared" si="3"/>
        <v>-1.8391556840958057E-2</v>
      </c>
      <c r="I32" s="130">
        <f t="shared" si="0"/>
        <v>61.586183134245843</v>
      </c>
      <c r="J32" s="130">
        <f t="shared" si="4"/>
        <v>-0.27996344531682171</v>
      </c>
      <c r="K32" s="136"/>
      <c r="L32" s="190"/>
      <c r="M32" s="190"/>
      <c r="N32" s="191"/>
      <c r="O32" s="192"/>
      <c r="P32" s="129" t="s">
        <v>561</v>
      </c>
      <c r="Q32" s="116">
        <v>32034148</v>
      </c>
      <c r="R32" s="116">
        <v>43481905136</v>
      </c>
      <c r="S32" s="116">
        <v>520151.54</v>
      </c>
      <c r="T32" s="130">
        <f t="shared" si="1"/>
        <v>61.586183134245843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1482997.5238095238</v>
      </c>
      <c r="G33" s="190">
        <f t="shared" si="2"/>
        <v>-2.7820312249290935E-2</v>
      </c>
      <c r="H33" s="190">
        <f t="shared" si="3"/>
        <v>-0.14049479575256951</v>
      </c>
      <c r="I33" s="130">
        <f t="shared" si="0"/>
        <v>68.121498262486568</v>
      </c>
      <c r="J33" s="130">
        <f t="shared" si="4"/>
        <v>-2.7724762997163643E-2</v>
      </c>
      <c r="K33" s="136"/>
      <c r="L33" s="190"/>
      <c r="M33" s="190"/>
      <c r="N33" s="191"/>
      <c r="O33" s="192"/>
      <c r="P33" s="129" t="s">
        <v>606</v>
      </c>
      <c r="Q33" s="116">
        <v>31142948</v>
      </c>
      <c r="R33" s="116">
        <v>42617114021</v>
      </c>
      <c r="S33" s="116">
        <v>457167.69</v>
      </c>
      <c r="T33" s="130">
        <f t="shared" si="1"/>
        <v>68.121498262486568</v>
      </c>
      <c r="U33" s="85"/>
    </row>
    <row r="34" spans="1:21" s="79" customFormat="1" ht="13.2" hidden="1">
      <c r="A34" s="129" t="s">
        <v>652</v>
      </c>
      <c r="B34" s="188">
        <f>SUM(F32:F34)</f>
        <v>4559712.1954887211</v>
      </c>
      <c r="C34" s="188">
        <f>AVERAGE(F32:F34)</f>
        <v>1519904.0651629071</v>
      </c>
      <c r="D34" s="190">
        <f>C34/C31-1</f>
        <v>2.1881104307287957E-2</v>
      </c>
      <c r="E34" s="287">
        <f>C34/C22-1</f>
        <v>-2.6160036864578018E-2</v>
      </c>
      <c r="F34" s="136">
        <f>Q34/19</f>
        <v>1551279.0526315789</v>
      </c>
      <c r="G34" s="190">
        <f t="shared" si="2"/>
        <v>4.6042914924533163E-2</v>
      </c>
      <c r="H34" s="190">
        <f t="shared" si="3"/>
        <v>0.10586538573736637</v>
      </c>
      <c r="I34" s="130">
        <f t="shared" si="0"/>
        <v>70.214567937079778</v>
      </c>
      <c r="J34" s="130">
        <f t="shared" si="4"/>
        <v>-0.13350429256690965</v>
      </c>
      <c r="K34" s="136">
        <f>R32+R33+R34</f>
        <v>126612406210</v>
      </c>
      <c r="L34" s="190">
        <f>U34/U31-1</f>
        <v>1.9825190620778921E-2</v>
      </c>
      <c r="M34" s="190">
        <f>U34/U22-1</f>
        <v>-4.2582062551132949E-2</v>
      </c>
      <c r="N34" s="191">
        <f>AVERAGE(T32:T34)</f>
        <v>66.640749777937401</v>
      </c>
      <c r="O34" s="192">
        <f>N34/N31-1</f>
        <v>-0.13377654108033488</v>
      </c>
      <c r="P34" s="129" t="s">
        <v>652</v>
      </c>
      <c r="Q34" s="116">
        <v>29474302</v>
      </c>
      <c r="R34" s="116">
        <v>40513387053</v>
      </c>
      <c r="S34" s="116">
        <v>419774.74</v>
      </c>
      <c r="T34" s="130">
        <f t="shared" si="1"/>
        <v>70.214567937079778</v>
      </c>
      <c r="U34" s="85">
        <f>Q32+Q33+Q34</f>
        <v>92651398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1656043.2608695652</v>
      </c>
      <c r="G35" s="190">
        <f t="shared" si="2"/>
        <v>6.7534082962227293E-2</v>
      </c>
      <c r="H35" s="190">
        <f t="shared" si="3"/>
        <v>4.7617530008592368E-2</v>
      </c>
      <c r="I35" s="130">
        <f t="shared" si="0"/>
        <v>72.047330651629025</v>
      </c>
      <c r="J35" s="130">
        <f t="shared" si="4"/>
        <v>4.8929664064074618E-3</v>
      </c>
      <c r="K35" s="136"/>
      <c r="L35" s="190"/>
      <c r="M35" s="190"/>
      <c r="N35" s="191"/>
      <c r="O35" s="192"/>
      <c r="P35" s="129" t="s">
        <v>659</v>
      </c>
      <c r="Q35" s="116">
        <v>38088995</v>
      </c>
      <c r="R35" s="116">
        <v>52719026419</v>
      </c>
      <c r="S35" s="116">
        <v>528666.29</v>
      </c>
      <c r="T35" s="130">
        <f t="shared" si="1"/>
        <v>72.047330651629025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1462043.4761904762</v>
      </c>
      <c r="G36" s="190">
        <f t="shared" si="2"/>
        <v>-0.11714656812601765</v>
      </c>
      <c r="H36" s="190">
        <f t="shared" si="3"/>
        <v>-7.7040322526121141E-2</v>
      </c>
      <c r="I36" s="130">
        <f t="shared" si="0"/>
        <v>69.267465877221824</v>
      </c>
      <c r="J36" s="130">
        <f t="shared" si="4"/>
        <v>-5.9046532293938858E-2</v>
      </c>
      <c r="K36" s="136"/>
      <c r="L36" s="190"/>
      <c r="M36" s="190"/>
      <c r="N36" s="191"/>
      <c r="O36" s="192"/>
      <c r="P36" s="129" t="s">
        <v>664</v>
      </c>
      <c r="Q36" s="116">
        <v>30702913</v>
      </c>
      <c r="R36" s="116">
        <v>41928288663</v>
      </c>
      <c r="S36" s="116">
        <v>443251.57</v>
      </c>
      <c r="T36" s="130">
        <f t="shared" si="1"/>
        <v>69.267465877221824</v>
      </c>
      <c r="U36" s="85"/>
    </row>
    <row r="37" spans="1:21" s="79" customFormat="1" ht="13.2" hidden="1">
      <c r="A37" s="129" t="s">
        <v>702</v>
      </c>
      <c r="B37" s="188">
        <f>SUM(F35:F37)</f>
        <v>4786851.5703933742</v>
      </c>
      <c r="C37" s="188">
        <f>AVERAGE(F35:F37)</f>
        <v>1595617.1901311248</v>
      </c>
      <c r="D37" s="190">
        <f>C37/C34-1</f>
        <v>4.9814410464191106E-2</v>
      </c>
      <c r="E37" s="287">
        <f>C37/C25-1</f>
        <v>6.4441452202499416E-3</v>
      </c>
      <c r="F37" s="136">
        <f>Q37/18</f>
        <v>1668764.8333333333</v>
      </c>
      <c r="G37" s="190">
        <f t="shared" si="2"/>
        <v>0.14139207247208097</v>
      </c>
      <c r="H37" s="190">
        <f t="shared" si="3"/>
        <v>4.8647651644912582E-2</v>
      </c>
      <c r="I37" s="130">
        <f t="shared" si="0"/>
        <v>68.668386933062209</v>
      </c>
      <c r="J37" s="130">
        <f t="shared" si="4"/>
        <v>-7.9701699493276434E-2</v>
      </c>
      <c r="K37" s="136">
        <f>R35+R36+R37</f>
        <v>134737539869</v>
      </c>
      <c r="L37" s="190">
        <f>U37/U34-1</f>
        <v>6.668304130715863E-2</v>
      </c>
      <c r="M37" s="190">
        <f>U37/U25-1</f>
        <v>5.5763425884816087E-3</v>
      </c>
      <c r="N37" s="191">
        <f>AVERAGE(T35:T37)</f>
        <v>69.994394487304348</v>
      </c>
      <c r="O37" s="192">
        <f>N37/N34-1</f>
        <v>5.0324234354236275E-2</v>
      </c>
      <c r="P37" s="129" t="s">
        <v>702</v>
      </c>
      <c r="Q37" s="116">
        <v>30037767</v>
      </c>
      <c r="R37" s="116">
        <v>40090224787</v>
      </c>
      <c r="S37" s="116">
        <v>437432.25</v>
      </c>
      <c r="T37" s="130">
        <f t="shared" si="1"/>
        <v>68.668386933062209</v>
      </c>
      <c r="U37" s="85">
        <f>Q35+Q36+Q37</f>
        <v>98829675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1730166.15</v>
      </c>
      <c r="G38" s="190">
        <f t="shared" si="2"/>
        <v>3.6794469442418931E-2</v>
      </c>
      <c r="H38" s="190">
        <f t="shared" si="3"/>
        <v>-5.5293560959569832E-2</v>
      </c>
      <c r="I38" s="130">
        <f t="shared" si="0"/>
        <v>68.336909847724243</v>
      </c>
      <c r="J38" s="130">
        <f t="shared" si="4"/>
        <v>9.0066675272790109E-2</v>
      </c>
      <c r="K38" s="136"/>
      <c r="L38" s="190"/>
      <c r="M38" s="190"/>
      <c r="N38" s="191"/>
      <c r="O38" s="192"/>
      <c r="P38" s="129" t="s">
        <v>725</v>
      </c>
      <c r="Q38" s="116">
        <v>34603323</v>
      </c>
      <c r="R38" s="116">
        <v>46558677310</v>
      </c>
      <c r="S38" s="116">
        <v>506363.59</v>
      </c>
      <c r="T38" s="130">
        <f t="shared" si="1"/>
        <v>68.336909847724243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1832928.4285714286</v>
      </c>
      <c r="G39" s="190">
        <f t="shared" si="2"/>
        <v>5.939445675285504E-2</v>
      </c>
      <c r="H39" s="190">
        <f t="shared" si="3"/>
        <v>0.21114603705632362</v>
      </c>
      <c r="I39" s="130">
        <f t="shared" si="0"/>
        <v>73.010235488969172</v>
      </c>
      <c r="J39" s="130">
        <f t="shared" si="4"/>
        <v>-1.9255857913543006E-2</v>
      </c>
      <c r="K39" s="136"/>
      <c r="L39" s="190"/>
      <c r="M39" s="190"/>
      <c r="N39" s="191"/>
      <c r="O39" s="192"/>
      <c r="P39" s="129" t="s">
        <v>762</v>
      </c>
      <c r="Q39" s="116">
        <v>38491497</v>
      </c>
      <c r="R39" s="116">
        <v>53462388090</v>
      </c>
      <c r="S39" s="116">
        <v>527206.86</v>
      </c>
      <c r="T39" s="130">
        <f t="shared" si="1"/>
        <v>73.010235488969172</v>
      </c>
      <c r="U39" s="85"/>
    </row>
    <row r="40" spans="1:21" s="79" customFormat="1" ht="13.2" hidden="1">
      <c r="A40" s="129" t="s">
        <v>778</v>
      </c>
      <c r="B40" s="188">
        <f>SUM(F38:F40)</f>
        <v>5888279.6738095237</v>
      </c>
      <c r="C40" s="188">
        <f>AVERAGE(F38:F40)</f>
        <v>1962759.8912698412</v>
      </c>
      <c r="D40" s="190">
        <f>C40/C37-1</f>
        <v>0.23009447592410637</v>
      </c>
      <c r="E40" s="287">
        <f>C40/C28-1</f>
        <v>0.17400907330353133</v>
      </c>
      <c r="F40" s="136">
        <f>Q40/21</f>
        <v>2325185.0952380951</v>
      </c>
      <c r="G40" s="190">
        <f t="shared" si="2"/>
        <v>0.26856295040954103</v>
      </c>
      <c r="H40" s="190">
        <f t="shared" si="3"/>
        <v>0.39173006138068955</v>
      </c>
      <c r="I40" s="130">
        <f t="shared" si="0"/>
        <v>77.425587010877521</v>
      </c>
      <c r="J40" s="130">
        <f t="shared" si="4"/>
        <v>0.25459226138257196</v>
      </c>
      <c r="K40" s="136">
        <f>R38+R39+R40</f>
        <v>169347408893</v>
      </c>
      <c r="L40" s="190">
        <f>U40/U37-1</f>
        <v>0.23367507785490549</v>
      </c>
      <c r="M40" s="190">
        <f>U40/U28-1</f>
        <v>0.22124905339047984</v>
      </c>
      <c r="N40" s="191">
        <f>AVERAGE(T38:T40)</f>
        <v>72.924244115856979</v>
      </c>
      <c r="O40" s="192">
        <f>N40/N37-1</f>
        <v>4.1858346657803525E-2</v>
      </c>
      <c r="P40" s="129" t="s">
        <v>778</v>
      </c>
      <c r="Q40" s="116">
        <v>48828887</v>
      </c>
      <c r="R40" s="116">
        <v>69326343493</v>
      </c>
      <c r="S40" s="116">
        <v>630655.68999999994</v>
      </c>
      <c r="T40" s="130">
        <f t="shared" si="1"/>
        <v>77.425587010877521</v>
      </c>
      <c r="U40" s="85">
        <f>Q38+Q39+Q40</f>
        <v>121923707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2273205</v>
      </c>
      <c r="G41" s="190">
        <f t="shared" ref="G41" si="5">F41/F40-1</f>
        <v>-2.2355250489326073E-2</v>
      </c>
      <c r="H41" s="190">
        <f t="shared" ref="H41" si="6">F41/F29-1</f>
        <v>0.50643213756594374</v>
      </c>
      <c r="I41" s="130">
        <f t="shared" si="0"/>
        <v>85.235658863636203</v>
      </c>
      <c r="J41" s="130">
        <f t="shared" si="4"/>
        <v>7.4440287077766731E-2</v>
      </c>
      <c r="K41" s="193"/>
      <c r="L41" s="190"/>
      <c r="M41" s="190"/>
      <c r="N41" s="193"/>
      <c r="O41" s="193"/>
      <c r="P41" s="129" t="s">
        <v>792</v>
      </c>
      <c r="Q41" s="116">
        <v>40917690</v>
      </c>
      <c r="R41" s="116">
        <v>59871588077</v>
      </c>
      <c r="S41" s="116">
        <v>480053.66</v>
      </c>
      <c r="T41" s="130">
        <f t="shared" ref="T41" si="7">Q41/S41</f>
        <v>85.235658863636203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1985745.5</v>
      </c>
      <c r="G42" s="190">
        <f t="shared" ref="G42" si="8">F42/F41-1</f>
        <v>-0.12645559903308323</v>
      </c>
      <c r="H42" s="190">
        <f t="shared" ref="H42" si="9">F42/F30-1</f>
        <v>0.40906465427013372</v>
      </c>
      <c r="I42" s="130">
        <f t="shared" si="0"/>
        <v>77.090387310631442</v>
      </c>
      <c r="J42" s="130">
        <f t="shared" si="4"/>
        <v>-1.4631243397989824E-2</v>
      </c>
      <c r="K42" s="193"/>
      <c r="L42" s="190"/>
      <c r="M42" s="190"/>
      <c r="N42" s="193"/>
      <c r="O42" s="193"/>
      <c r="P42" s="129" t="s">
        <v>826</v>
      </c>
      <c r="Q42" s="116">
        <v>39714910</v>
      </c>
      <c r="R42" s="116">
        <v>57379980326</v>
      </c>
      <c r="S42" s="116">
        <v>515173.31</v>
      </c>
      <c r="T42" s="130">
        <f t="shared" ref="T42" si="10">Q42/S42</f>
        <v>77.090387310631442</v>
      </c>
      <c r="U42" s="78"/>
    </row>
    <row r="43" spans="1:21" s="79" customFormat="1" ht="13.2">
      <c r="A43" s="129" t="s">
        <v>835</v>
      </c>
      <c r="B43" s="188">
        <f>SUM(F41:F43)</f>
        <v>6780312.25</v>
      </c>
      <c r="C43" s="188">
        <f>AVERAGE(F41:F43)</f>
        <v>2260104.0833333335</v>
      </c>
      <c r="D43" s="190">
        <f>C43/C40-1</f>
        <v>0.15149290210486233</v>
      </c>
      <c r="E43" s="287">
        <f>C43/C31-1</f>
        <v>0.51954173257542635</v>
      </c>
      <c r="F43" s="136">
        <f>Q43/20</f>
        <v>2521361.75</v>
      </c>
      <c r="G43" s="190">
        <f t="shared" ref="G43" si="11">F43/F42-1</f>
        <v>0.26973056214907709</v>
      </c>
      <c r="H43" s="190">
        <f t="shared" ref="H43" si="12">F43/F31-1</f>
        <v>0.63320438310928573</v>
      </c>
      <c r="I43" s="130">
        <f t="shared" si="0"/>
        <v>81.740806358023065</v>
      </c>
      <c r="J43" s="130">
        <f t="shared" si="4"/>
        <v>0.11618677498103791</v>
      </c>
      <c r="K43" s="136">
        <f>R41+R42+R43</f>
        <v>190279415491</v>
      </c>
      <c r="L43" s="190">
        <f>U43/U40-1</f>
        <v>7.4933154714529771E-2</v>
      </c>
      <c r="M43" s="190">
        <f>K43/K31-1</f>
        <v>0.58143634176384751</v>
      </c>
      <c r="N43" s="191">
        <f>AVERAGE(T41:T43)</f>
        <v>81.355617510763565</v>
      </c>
      <c r="O43" s="192">
        <f>N43/N40-1</f>
        <v>0.1156182487337325</v>
      </c>
      <c r="P43" s="129" t="s">
        <v>835</v>
      </c>
      <c r="Q43" s="116">
        <v>50427235</v>
      </c>
      <c r="R43" s="116">
        <v>73027847088</v>
      </c>
      <c r="S43" s="116">
        <v>616916.29</v>
      </c>
      <c r="T43" s="130">
        <f t="shared" ref="T43" si="13">Q43/S43</f>
        <v>81.740806358023065</v>
      </c>
      <c r="U43" s="85">
        <f>Q41+Q42+Q43</f>
        <v>131059835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2517908.0909090908</v>
      </c>
      <c r="G44" s="190">
        <f t="shared" ref="G44" si="14">F44/F43-1</f>
        <v>-1.3697594527676271E-3</v>
      </c>
      <c r="H44" s="190">
        <f t="shared" ref="H44" si="15">F44/F32-1</f>
        <v>0.65061577130413806</v>
      </c>
      <c r="I44" s="130">
        <f t="shared" si="0"/>
        <v>79.734033046267754</v>
      </c>
      <c r="J44" s="130">
        <f t="shared" si="4"/>
        <v>0.29467404843815603</v>
      </c>
      <c r="K44" s="136"/>
      <c r="L44" s="190"/>
      <c r="M44" s="190"/>
      <c r="N44" s="191"/>
      <c r="O44" s="192"/>
      <c r="P44" s="129" t="s">
        <v>843</v>
      </c>
      <c r="Q44" s="116">
        <v>55393978</v>
      </c>
      <c r="R44" s="116">
        <v>80376982917</v>
      </c>
      <c r="S44" s="116">
        <v>694734.43</v>
      </c>
      <c r="T44" s="130">
        <f t="shared" ref="T44" si="16">Q44/S44</f>
        <v>79.734033046267754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3283952</v>
      </c>
      <c r="G45" s="190">
        <f t="shared" ref="G45" si="17">F45/F44-1</f>
        <v>0.30423823326066235</v>
      </c>
      <c r="H45" s="190">
        <f t="shared" ref="H45" si="18">F45/F33-1</f>
        <v>1.2144015396358752</v>
      </c>
      <c r="I45" s="130">
        <f t="shared" si="0"/>
        <v>86.780329772187201</v>
      </c>
      <c r="J45" s="130">
        <f t="shared" si="4"/>
        <v>0.27390518390837792</v>
      </c>
      <c r="K45" s="136"/>
      <c r="L45" s="190"/>
      <c r="M45" s="190"/>
      <c r="N45" s="191"/>
      <c r="O45" s="192"/>
      <c r="P45" s="129" t="s">
        <v>849</v>
      </c>
      <c r="Q45" s="116">
        <v>65679040</v>
      </c>
      <c r="R45" s="116">
        <v>92714239600</v>
      </c>
      <c r="S45" s="116">
        <v>756842.48</v>
      </c>
      <c r="T45" s="130">
        <f t="shared" ref="T45" si="19">Q45/S45</f>
        <v>86.780329772187201</v>
      </c>
      <c r="U45" s="85"/>
    </row>
    <row r="46" spans="1:21" s="79" customFormat="1" ht="13.2">
      <c r="A46" s="129" t="s">
        <v>888</v>
      </c>
      <c r="B46" s="188">
        <f>SUM(F44:F46)</f>
        <v>8688756.3540669866</v>
      </c>
      <c r="C46" s="188">
        <f>AVERAGE(F44:F46)</f>
        <v>2896252.1180223287</v>
      </c>
      <c r="D46" s="190">
        <f>C46/C43-1</f>
        <v>0.28146846836839789</v>
      </c>
      <c r="E46" s="287">
        <f>C46/C34-1</f>
        <v>0.90554929380486993</v>
      </c>
      <c r="F46" s="136">
        <f>Q46/19</f>
        <v>2886896.2631578948</v>
      </c>
      <c r="G46" s="190">
        <f t="shared" ref="G46" si="20">F46/F45-1</f>
        <v>-0.12090789903205201</v>
      </c>
      <c r="H46" s="190">
        <f t="shared" ref="H46" si="21">F46/F34-1</f>
        <v>0.86097804792798849</v>
      </c>
      <c r="I46" s="130">
        <f t="shared" si="0"/>
        <v>83.358869645146058</v>
      </c>
      <c r="J46" s="130">
        <f t="shared" si="4"/>
        <v>0.18720191684217258</v>
      </c>
      <c r="K46" s="136">
        <f>R44+R45+R46</f>
        <v>248228893294</v>
      </c>
      <c r="L46" s="190">
        <f>U46/U43-1</f>
        <v>0.34231854480817869</v>
      </c>
      <c r="M46" s="190">
        <f>K46/K34-1</f>
        <v>0.96054163035402906</v>
      </c>
      <c r="N46" s="191">
        <f>AVERAGE(T44:T46)</f>
        <v>83.291077487867014</v>
      </c>
      <c r="O46" s="192">
        <f>N46/N43-1</f>
        <v>2.3790120907722034E-2</v>
      </c>
      <c r="P46" s="129" t="s">
        <v>888</v>
      </c>
      <c r="Q46" s="116">
        <v>54851029</v>
      </c>
      <c r="R46" s="116">
        <v>75137670777</v>
      </c>
      <c r="S46" s="116">
        <v>658010.71</v>
      </c>
      <c r="T46" s="130">
        <f t="shared" ref="T46" si="22">Q46/S46</f>
        <v>83.358869645146058</v>
      </c>
      <c r="U46" s="85">
        <f t="shared" ref="U46:U51" si="23">Q44+Q45+Q46</f>
        <v>175924047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200">
        <f>Q47/23</f>
        <v>2529484.3478260869</v>
      </c>
      <c r="G47" s="189">
        <f t="shared" ref="G47" si="24">F47/F46-1</f>
        <v>-0.12380490421254176</v>
      </c>
      <c r="H47" s="189">
        <f t="shared" ref="H47" si="25">F47/F35-1</f>
        <v>0.52742649156272048</v>
      </c>
      <c r="I47" s="130">
        <f t="shared" si="0"/>
        <v>91.052987912931968</v>
      </c>
      <c r="J47" s="130">
        <f t="shared" si="4"/>
        <v>0.2637940516242181</v>
      </c>
      <c r="K47" s="136"/>
      <c r="L47" s="190"/>
      <c r="M47" s="190"/>
      <c r="N47" s="191"/>
      <c r="O47" s="192"/>
      <c r="P47" s="129" t="s">
        <v>991</v>
      </c>
      <c r="Q47" s="116">
        <v>58178140</v>
      </c>
      <c r="R47" s="116">
        <v>79775608590</v>
      </c>
      <c r="S47" s="116">
        <v>638948.17000000004</v>
      </c>
      <c r="T47" s="130">
        <f t="shared" ref="T47" si="26">Q47/S47</f>
        <v>91.052987912931968</v>
      </c>
      <c r="U47" s="85">
        <f t="shared" si="23"/>
        <v>178708209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200">
        <f>Q48/20</f>
        <v>2854053.8</v>
      </c>
      <c r="G48" s="189">
        <f t="shared" ref="G48" si="27">F48/F47-1</f>
        <v>0.12831447344311786</v>
      </c>
      <c r="H48" s="189">
        <f t="shared" ref="H48" si="28">F48/F36-1</f>
        <v>0.95209913144072011</v>
      </c>
      <c r="I48" s="130">
        <f t="shared" si="0"/>
        <v>87.16538753973505</v>
      </c>
      <c r="J48" s="130">
        <f t="shared" si="4"/>
        <v>0.25838857298804174</v>
      </c>
      <c r="K48" s="136"/>
      <c r="L48" s="190"/>
      <c r="M48" s="190"/>
      <c r="N48" s="191"/>
      <c r="O48" s="192"/>
      <c r="P48" s="129" t="s">
        <v>1152</v>
      </c>
      <c r="Q48" s="116">
        <v>57081076</v>
      </c>
      <c r="R48" s="116">
        <v>79189547291</v>
      </c>
      <c r="S48" s="116">
        <v>654859.43000000005</v>
      </c>
      <c r="T48" s="130">
        <f t="shared" ref="T48" si="29">Q48/S48</f>
        <v>87.16538753973505</v>
      </c>
      <c r="U48" s="85">
        <f t="shared" si="23"/>
        <v>170110245</v>
      </c>
    </row>
    <row r="49" spans="1:26" ht="13.2">
      <c r="A49" s="129" t="s">
        <v>1207</v>
      </c>
      <c r="B49" s="188">
        <f>SUM(F47:F49)</f>
        <v>8424681.4205533601</v>
      </c>
      <c r="C49" s="188">
        <f>AVERAGE(F47:F49)</f>
        <v>2808227.1401844532</v>
      </c>
      <c r="D49" s="190">
        <f>C49/C46-1</f>
        <v>-3.0392719366566179E-2</v>
      </c>
      <c r="E49" s="287">
        <f>C49/C37-1</f>
        <v>0.75996295198704789</v>
      </c>
      <c r="F49" s="200">
        <f>Q49/22</f>
        <v>3041143.2727272729</v>
      </c>
      <c r="G49" s="189">
        <f t="shared" ref="G49" si="30">F49/F48-1</f>
        <v>6.5552188514201415E-2</v>
      </c>
      <c r="H49" s="189">
        <f t="shared" ref="H49" si="31">F49/F37-1</f>
        <v>0.82239175465642678</v>
      </c>
      <c r="I49" s="130">
        <f t="shared" si="0"/>
        <v>87.00727326093299</v>
      </c>
      <c r="J49" s="130">
        <f t="shared" si="4"/>
        <v>0.26706446950250173</v>
      </c>
      <c r="K49" s="136">
        <f>R47+R48+R49</f>
        <v>251921598902</v>
      </c>
      <c r="L49" s="190">
        <f>U49/U46-1</f>
        <v>3.5471677160769266E-2</v>
      </c>
      <c r="M49" s="190">
        <f>K49/K37-1</f>
        <v>0.86972093409849571</v>
      </c>
      <c r="N49" s="191">
        <f>AVERAGE(T47:T49)</f>
        <v>88.408549571200012</v>
      </c>
      <c r="O49" s="192">
        <f>N49/N46-1</f>
        <v>6.1440819805440361E-2</v>
      </c>
      <c r="P49" s="129" t="s">
        <v>1199</v>
      </c>
      <c r="Q49" s="116">
        <v>66905152</v>
      </c>
      <c r="R49" s="116">
        <v>92956443021</v>
      </c>
      <c r="S49" s="116">
        <v>768960.45</v>
      </c>
      <c r="T49" s="130">
        <f t="shared" ref="T49" si="32">Q49/S49</f>
        <v>87.00727326093299</v>
      </c>
      <c r="U49" s="85">
        <f t="shared" si="23"/>
        <v>182164368</v>
      </c>
      <c r="V49" s="79"/>
      <c r="W49" s="79"/>
      <c r="X49" s="79"/>
      <c r="Y49" s="79"/>
      <c r="Z49" s="79"/>
    </row>
    <row r="50" spans="1:26" ht="13.2">
      <c r="A50" s="129" t="s">
        <v>1326</v>
      </c>
      <c r="B50" s="188"/>
      <c r="C50" s="188"/>
      <c r="D50" s="190"/>
      <c r="E50" s="287"/>
      <c r="F50" s="136">
        <f>Q50/18</f>
        <v>3827114.5</v>
      </c>
      <c r="G50" s="190">
        <f t="shared" ref="G50" si="33">F50/F49-1</f>
        <v>0.25844597139544634</v>
      </c>
      <c r="H50" s="190">
        <f t="shared" ref="H50" si="34">F50/F38-1</f>
        <v>1.2119924725148508</v>
      </c>
      <c r="I50" s="130">
        <f t="shared" ref="I50" si="35">T50</f>
        <v>88.96807673823028</v>
      </c>
      <c r="J50" s="130">
        <f t="shared" ref="J50" si="36">I50/I38-1</f>
        <v>0.30190371406138583</v>
      </c>
      <c r="K50" s="136"/>
      <c r="L50" s="190"/>
      <c r="M50" s="190"/>
      <c r="N50" s="191"/>
      <c r="O50" s="192"/>
      <c r="P50" s="129" t="s">
        <v>1293</v>
      </c>
      <c r="Q50" s="116">
        <v>68888061</v>
      </c>
      <c r="R50" s="116">
        <v>97297486718</v>
      </c>
      <c r="S50" s="116">
        <v>774300.89</v>
      </c>
      <c r="T50" s="130">
        <f t="shared" ref="T50" si="37">Q50/S50</f>
        <v>88.96807673823028</v>
      </c>
      <c r="U50" s="85">
        <f t="shared" si="23"/>
        <v>192874289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3235303.95</v>
      </c>
      <c r="G51" s="190">
        <f t="shared" ref="G51:G52" si="38">F51/F50-1</f>
        <v>-0.15463622789440967</v>
      </c>
      <c r="H51" s="190">
        <f t="shared" ref="H51:H52" si="39">F51/F39-1</f>
        <v>0.76510108063606874</v>
      </c>
      <c r="I51" s="130">
        <f t="shared" ref="I51:I52" si="40">T51</f>
        <v>88.625744768110465</v>
      </c>
      <c r="J51" s="130">
        <f t="shared" ref="J51:J52" si="41">I51/I39-1</f>
        <v>0.21388109728122395</v>
      </c>
      <c r="K51" s="136"/>
      <c r="L51" s="190"/>
      <c r="M51" s="190"/>
      <c r="N51" s="191"/>
      <c r="O51" s="192"/>
      <c r="P51" s="129" t="s">
        <v>1402</v>
      </c>
      <c r="Q51" s="116">
        <v>64706079</v>
      </c>
      <c r="R51" s="116">
        <v>93712397174</v>
      </c>
      <c r="S51" s="116">
        <v>730104.77</v>
      </c>
      <c r="T51" s="130">
        <f t="shared" ref="T51:T52" si="42">Q51/S51</f>
        <v>88.625744768110465</v>
      </c>
      <c r="U51" s="85">
        <f t="shared" si="23"/>
        <v>200499292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9783533.9499999993</v>
      </c>
      <c r="C52" s="188">
        <f>AVERAGE(F50:F52)</f>
        <v>3261177.9833333329</v>
      </c>
      <c r="D52" s="190">
        <f>C52/C49-1</f>
        <v>0.16129423317201064</v>
      </c>
      <c r="E52" s="287">
        <f>C52/C40-1</f>
        <v>0.66152670932329771</v>
      </c>
      <c r="F52" s="136">
        <f>Q52/22</f>
        <v>2721115.5</v>
      </c>
      <c r="G52" s="190">
        <f t="shared" si="38"/>
        <v>-0.15893049245033075</v>
      </c>
      <c r="H52" s="190">
        <f t="shared" si="39"/>
        <v>0.17027909114537065</v>
      </c>
      <c r="I52" s="130">
        <f t="shared" si="40"/>
        <v>85.79122356147586</v>
      </c>
      <c r="J52" s="130">
        <f t="shared" si="41"/>
        <v>0.10804744107943343</v>
      </c>
      <c r="K52" s="136">
        <f>R50+R51+R52</f>
        <v>279084600987</v>
      </c>
      <c r="L52" s="190">
        <f>U52/U49-1</f>
        <v>6.2000670734904562E-2</v>
      </c>
      <c r="M52" s="190">
        <f>K52/K40-1</f>
        <v>0.6480004200320304</v>
      </c>
      <c r="N52" s="191">
        <f>AVERAGE(T50:T52)</f>
        <v>87.79501502260554</v>
      </c>
      <c r="O52" s="192">
        <f>N52/N49-1</f>
        <v>-6.9397648934435008E-3</v>
      </c>
      <c r="P52" s="129" t="s">
        <v>1403</v>
      </c>
      <c r="Q52" s="116">
        <v>59864541</v>
      </c>
      <c r="R52" s="116">
        <v>88074717095</v>
      </c>
      <c r="S52" s="116">
        <v>697793.3</v>
      </c>
      <c r="T52" s="130">
        <f t="shared" si="42"/>
        <v>85.79122356147586</v>
      </c>
      <c r="U52" s="85">
        <f t="shared" ref="U52" si="43">Q50+Q51+Q52</f>
        <v>193458681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3377532.1428571427</v>
      </c>
      <c r="G53" s="190">
        <f t="shared" ref="G53" si="44">F53/F52-1</f>
        <v>0.24123071690898179</v>
      </c>
      <c r="H53" s="190">
        <f t="shared" ref="H53" si="45">F53/F41-1</f>
        <v>0.48580182731304156</v>
      </c>
      <c r="I53" s="130">
        <f t="shared" ref="I53" si="46">T53</f>
        <v>83.098046830498248</v>
      </c>
      <c r="J53" s="130">
        <f t="shared" ref="J53" si="47">I53/I41-1</f>
        <v>-2.5078846830500878E-2</v>
      </c>
      <c r="K53" s="136"/>
      <c r="L53" s="190"/>
      <c r="M53" s="190"/>
      <c r="N53" s="191"/>
      <c r="O53" s="192"/>
      <c r="P53" s="129" t="s">
        <v>1414</v>
      </c>
      <c r="Q53" s="116">
        <v>70928175</v>
      </c>
      <c r="R53" s="116">
        <v>103340709187</v>
      </c>
      <c r="S53" s="116">
        <v>853548.04</v>
      </c>
      <c r="T53" s="130">
        <f t="shared" ref="T53" si="48">Q53/S53</f>
        <v>83.098046830498248</v>
      </c>
      <c r="U53" s="85">
        <f t="shared" ref="U53" si="49">Q51+Q52+Q53</f>
        <v>195498795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3715288.4705882352</v>
      </c>
      <c r="G54" s="190">
        <f t="shared" ref="G54" si="50">F54/F53-1</f>
        <v>0.10000092181073228</v>
      </c>
      <c r="H54" s="190">
        <f t="shared" ref="H54" si="51">F54/F42-1</f>
        <v>0.87097917159486715</v>
      </c>
      <c r="I54" s="130">
        <f t="shared" ref="I54" si="52">T54</f>
        <v>93.756088829664975</v>
      </c>
      <c r="J54" s="130">
        <f t="shared" ref="J54" si="53">I54/I42-1</f>
        <v>0.21618391216378274</v>
      </c>
      <c r="K54" s="136"/>
      <c r="L54" s="190"/>
      <c r="M54" s="190"/>
      <c r="N54" s="191"/>
      <c r="O54" s="192"/>
      <c r="P54" s="129" t="s">
        <v>1417</v>
      </c>
      <c r="Q54" s="116">
        <v>63159904</v>
      </c>
      <c r="R54" s="116">
        <v>91480186531</v>
      </c>
      <c r="S54" s="116">
        <v>673661.89</v>
      </c>
      <c r="T54" s="130">
        <f t="shared" ref="T54" si="54">Q54/S54</f>
        <v>93.756088829664975</v>
      </c>
      <c r="U54" s="85">
        <f t="shared" ref="U54" si="55">Q52+Q53+Q54</f>
        <v>193952620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10200793.232492996</v>
      </c>
      <c r="C55" s="188">
        <f>AVERAGE(F53:F55)</f>
        <v>3400264.4108309988</v>
      </c>
      <c r="D55" s="190">
        <f>C55/C52-1</f>
        <v>4.2649137277537497E-2</v>
      </c>
      <c r="E55" s="287">
        <f>C55/C43-1</f>
        <v>0.50447248686710489</v>
      </c>
      <c r="F55" s="136">
        <f>Q55/21</f>
        <v>3107972.6190476189</v>
      </c>
      <c r="G55" s="190">
        <f t="shared" ref="G55" si="56">F55/F54-1</f>
        <v>-0.16346398303883547</v>
      </c>
      <c r="H55" s="190">
        <f t="shared" ref="H55" si="57">F55/F43-1</f>
        <v>0.23265636874503182</v>
      </c>
      <c r="I55" s="130">
        <f>T55</f>
        <v>91.499197159950256</v>
      </c>
      <c r="J55" s="130">
        <f t="shared" ref="J55" si="58">I55/I43-1</f>
        <v>0.11938212059207776</v>
      </c>
      <c r="K55" s="136">
        <f>R53+R54+R55</f>
        <v>290787772517</v>
      </c>
      <c r="L55" s="190">
        <f>U55/U52-1</f>
        <v>3.0481046234363651E-2</v>
      </c>
      <c r="M55" s="190">
        <f>K55/K43-1</f>
        <v>0.52821455629683678</v>
      </c>
      <c r="N55" s="191">
        <f>AVERAGE(T53:T55)</f>
        <v>89.451110940037822</v>
      </c>
      <c r="O55" s="192">
        <f>N55/N52-1</f>
        <v>1.8863211276925806E-2</v>
      </c>
      <c r="P55" s="129" t="s">
        <v>1418</v>
      </c>
      <c r="Q55" s="116">
        <v>65267425</v>
      </c>
      <c r="R55" s="116">
        <v>95966876799</v>
      </c>
      <c r="S55" s="116">
        <v>713311.45</v>
      </c>
      <c r="T55" s="130">
        <f t="shared" ref="T55" si="59">Q55/S55</f>
        <v>91.499197159950256</v>
      </c>
      <c r="U55" s="85">
        <f t="shared" ref="U55" si="60">Q53+Q54+Q55</f>
        <v>199355504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3078132.5454545454</v>
      </c>
      <c r="G56" s="190">
        <f t="shared" ref="G56" si="61">F56/F55-1</f>
        <v>-9.6011378640193934E-3</v>
      </c>
      <c r="H56" s="190">
        <f t="shared" ref="H56" si="62">F56/F44-1</f>
        <v>0.22249599044863677</v>
      </c>
      <c r="I56" s="291">
        <f>T56</f>
        <v>86.661584537738975</v>
      </c>
      <c r="J56" s="130">
        <f t="shared" ref="J56" si="63">I56/I44-1</f>
        <v>8.6883244541904991E-2</v>
      </c>
      <c r="K56" s="136"/>
      <c r="L56" s="190"/>
      <c r="M56" s="190"/>
      <c r="N56" s="191"/>
      <c r="O56" s="192"/>
      <c r="P56" s="129" t="s">
        <v>1420</v>
      </c>
      <c r="Q56" s="116">
        <v>67718916</v>
      </c>
      <c r="R56" s="116">
        <v>101242049413</v>
      </c>
      <c r="S56" s="116">
        <v>781417.93</v>
      </c>
      <c r="T56" s="130">
        <f t="shared" ref="T56" si="64">Q56/S56</f>
        <v>86.661584537738975</v>
      </c>
      <c r="U56" s="85">
        <f t="shared" ref="U56" si="65">Q54+Q55+Q56</f>
        <v>196146245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4169261.3333333335</v>
      </c>
      <c r="G57" s="254">
        <f t="shared" ref="G57" si="66">F57/F56-1</f>
        <v>0.35447751900419289</v>
      </c>
      <c r="H57" s="254">
        <f t="shared" ref="H57" si="67">F57/F45-1</f>
        <v>0.26958656318159746</v>
      </c>
      <c r="I57" s="282">
        <f>T57</f>
        <v>92.799776350754186</v>
      </c>
      <c r="J57" s="277">
        <f t="shared" ref="J57" si="68">I57/I45-1</f>
        <v>6.9364181887405119E-2</v>
      </c>
      <c r="K57" s="204"/>
      <c r="L57" s="254"/>
      <c r="M57" s="254"/>
      <c r="N57" s="257"/>
      <c r="O57" s="258"/>
      <c r="P57" s="129" t="s">
        <v>1436</v>
      </c>
      <c r="Q57" s="116">
        <v>50031136</v>
      </c>
      <c r="R57" s="116">
        <v>73693712410</v>
      </c>
      <c r="S57" s="116">
        <v>539129.92000000004</v>
      </c>
      <c r="T57" s="130">
        <f t="shared" ref="T57" si="69">Q57/S57</f>
        <v>92.799776350754186</v>
      </c>
      <c r="U57" s="85">
        <f t="shared" ref="U57" si="70">Q55+Q56+Q57</f>
        <v>183017477</v>
      </c>
      <c r="V57" s="79"/>
      <c r="W57" s="79"/>
      <c r="X57" s="79"/>
      <c r="Y57" s="79"/>
      <c r="Z57" s="79"/>
    </row>
    <row r="58" spans="1:26">
      <c r="B58" s="196">
        <f>SUM(F56:F58)</f>
        <v>7247393.8787878789</v>
      </c>
      <c r="C58" s="196">
        <f>AVERAGE(F56:F58)</f>
        <v>3623696.9393939395</v>
      </c>
      <c r="D58" s="197">
        <f>C58/C55-1</f>
        <v>6.5710339422790698E-2</v>
      </c>
      <c r="E58" s="233">
        <f>C58/C46-1</f>
        <v>0.2511676441581121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317105556</v>
      </c>
      <c r="R63" s="212">
        <v>465723534340</v>
      </c>
      <c r="S63" s="213">
        <v>3561069.26</v>
      </c>
      <c r="T63" s="214">
        <v>53</v>
      </c>
      <c r="U63" s="214">
        <v>137</v>
      </c>
    </row>
    <row r="64" spans="1:26" ht="18" thickBot="1">
      <c r="P64" s="180" t="s">
        <v>976</v>
      </c>
      <c r="Q64" s="181">
        <v>70928175</v>
      </c>
      <c r="R64" s="181">
        <v>103340709187</v>
      </c>
      <c r="S64" s="182">
        <v>853548.04</v>
      </c>
      <c r="T64" s="210">
        <v>36</v>
      </c>
      <c r="U64" s="210">
        <v>91</v>
      </c>
    </row>
    <row r="65" spans="16:21" ht="18" thickBot="1">
      <c r="P65" s="180" t="s">
        <v>977</v>
      </c>
      <c r="Q65" s="181">
        <v>63159904</v>
      </c>
      <c r="R65" s="181">
        <v>91480186531</v>
      </c>
      <c r="S65" s="182">
        <v>673661.89</v>
      </c>
      <c r="T65" s="210">
        <v>39</v>
      </c>
      <c r="U65" s="210">
        <v>93</v>
      </c>
    </row>
    <row r="66" spans="16:21" ht="18" thickBot="1">
      <c r="P66" s="180" t="s">
        <v>978</v>
      </c>
      <c r="Q66" s="181">
        <v>65267425</v>
      </c>
      <c r="R66" s="181">
        <v>95966876799</v>
      </c>
      <c r="S66" s="182">
        <v>713311.45</v>
      </c>
      <c r="T66" s="210">
        <v>40</v>
      </c>
      <c r="U66" s="210">
        <v>93</v>
      </c>
    </row>
    <row r="67" spans="16:21" ht="18" thickBot="1">
      <c r="P67" s="180" t="s">
        <v>979</v>
      </c>
      <c r="Q67" s="181">
        <v>67718916</v>
      </c>
      <c r="R67" s="181">
        <v>101242049413</v>
      </c>
      <c r="S67" s="182">
        <v>781417.93</v>
      </c>
      <c r="T67" s="210">
        <v>36</v>
      </c>
      <c r="U67" s="210">
        <v>92</v>
      </c>
    </row>
    <row r="68" spans="16:21" ht="18" thickBot="1">
      <c r="P68" s="180" t="s">
        <v>980</v>
      </c>
      <c r="Q68" s="181">
        <v>50031136</v>
      </c>
      <c r="R68" s="181">
        <v>73693712410</v>
      </c>
      <c r="S68" s="182">
        <v>539129.92000000004</v>
      </c>
      <c r="T68" s="210">
        <v>37</v>
      </c>
      <c r="U68" s="210">
        <v>80</v>
      </c>
    </row>
    <row r="69" spans="16:21" ht="18" thickBot="1">
      <c r="P69" s="180" t="s">
        <v>975</v>
      </c>
      <c r="Q69" s="181">
        <v>682607927</v>
      </c>
      <c r="R69" s="181">
        <v>969515977703</v>
      </c>
      <c r="S69" s="182">
        <v>7986679.9500000002</v>
      </c>
      <c r="T69" s="210">
        <v>72</v>
      </c>
      <c r="U69" s="210">
        <v>219</v>
      </c>
    </row>
    <row r="70" spans="16:21" ht="18" thickBot="1">
      <c r="P70" s="180" t="s">
        <v>982</v>
      </c>
      <c r="Q70" s="181">
        <v>404604754</v>
      </c>
      <c r="R70"/>
      <c r="S70"/>
      <c r="T70"/>
      <c r="U70"/>
    </row>
  </sheetData>
  <phoneticPr fontId="1" type="noConversion"/>
  <conditionalFormatting sqref="C29:C30">
    <cfRule type="cellIs" dxfId="23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1">
    <tabColor rgb="FFFF0000"/>
  </sheetPr>
  <dimension ref="A1:Z73"/>
  <sheetViews>
    <sheetView zoomScale="115" zoomScaleNormal="115" workbookViewId="0">
      <selection activeCell="C63" sqref="C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9030901000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278</v>
      </c>
      <c r="F4" s="84" t="s">
        <v>72</v>
      </c>
      <c r="G4" s="172" t="s">
        <v>290</v>
      </c>
      <c r="H4" s="172" t="s">
        <v>278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1434317.85</v>
      </c>
      <c r="G5" s="90"/>
      <c r="H5" s="90"/>
      <c r="I5" s="130">
        <f t="shared" ref="I5:I49" si="0">T5</f>
        <v>1254.3724739375289</v>
      </c>
      <c r="J5" s="130"/>
      <c r="L5" s="80"/>
      <c r="M5" s="80"/>
      <c r="P5" s="129" t="s">
        <v>0</v>
      </c>
      <c r="Q5" s="116">
        <v>28686357</v>
      </c>
      <c r="R5" s="116"/>
      <c r="S5" s="116">
        <v>22869.09</v>
      </c>
      <c r="T5" s="130">
        <f t="shared" ref="T5:T11" si="1">Q5/S5</f>
        <v>1254.3724739375289</v>
      </c>
      <c r="U5" s="85"/>
    </row>
    <row r="6" spans="1:21" ht="15" hidden="1" customHeight="1">
      <c r="A6" s="129" t="s">
        <v>1</v>
      </c>
      <c r="C6" s="79"/>
      <c r="F6" s="78">
        <f>Q6/18</f>
        <v>1664301</v>
      </c>
      <c r="G6" s="90">
        <f t="shared" ref="G6:G16" si="2">F6/F5-1</f>
        <v>0.1603432251784358</v>
      </c>
      <c r="H6" s="90"/>
      <c r="I6" s="130">
        <f t="shared" si="0"/>
        <v>1211.8515216398462</v>
      </c>
      <c r="J6" s="130"/>
      <c r="P6" s="129" t="s">
        <v>1</v>
      </c>
      <c r="Q6" s="116">
        <v>29957418</v>
      </c>
      <c r="R6" s="116"/>
      <c r="S6" s="116">
        <v>24720.37</v>
      </c>
      <c r="T6" s="130">
        <f t="shared" si="1"/>
        <v>1211.8515216398462</v>
      </c>
      <c r="U6" s="85"/>
    </row>
    <row r="7" spans="1:21" ht="15" hidden="1" customHeight="1">
      <c r="A7" s="129" t="s">
        <v>2</v>
      </c>
      <c r="B7" s="131">
        <f>F5+F6+F7</f>
        <v>4502198.7590909097</v>
      </c>
      <c r="C7" s="131">
        <f>AVERAGE(F5:F7)</f>
        <v>1500732.9196969699</v>
      </c>
      <c r="F7" s="78">
        <f>Q7/22</f>
        <v>1403579.9090909092</v>
      </c>
      <c r="G7" s="90">
        <f t="shared" si="2"/>
        <v>-0.15665501066759613</v>
      </c>
      <c r="H7" s="90"/>
      <c r="I7" s="130">
        <f t="shared" si="0"/>
        <v>1884.5057855678158</v>
      </c>
      <c r="J7" s="130"/>
      <c r="K7" s="79">
        <f>R5+R6+R7</f>
        <v>0</v>
      </c>
      <c r="N7" s="88">
        <f>AVERAGE(T5:T7)</f>
        <v>1450.2432603817304</v>
      </c>
      <c r="P7" s="129" t="s">
        <v>2</v>
      </c>
      <c r="Q7" s="116">
        <v>30878758</v>
      </c>
      <c r="R7" s="116"/>
      <c r="S7" s="116">
        <v>16385.599999999999</v>
      </c>
      <c r="T7" s="130">
        <f t="shared" si="1"/>
        <v>1884.5057855678158</v>
      </c>
      <c r="U7" s="85">
        <f>Q5+Q6+Q7</f>
        <v>89522533</v>
      </c>
    </row>
    <row r="8" spans="1:21" ht="15" hidden="1" customHeight="1">
      <c r="A8" s="129" t="s">
        <v>3</v>
      </c>
      <c r="C8" s="79"/>
      <c r="F8" s="78">
        <f>Q8/21</f>
        <v>1523234.2857142857</v>
      </c>
      <c r="G8" s="90">
        <f t="shared" si="2"/>
        <v>8.5249422457803536E-2</v>
      </c>
      <c r="H8" s="90"/>
      <c r="I8" s="130">
        <f t="shared" si="0"/>
        <v>1602.3603666783549</v>
      </c>
      <c r="J8" s="130"/>
      <c r="K8" s="78"/>
      <c r="P8" s="129" t="s">
        <v>3</v>
      </c>
      <c r="Q8" s="116">
        <v>31987920</v>
      </c>
      <c r="R8" s="116"/>
      <c r="S8" s="116">
        <v>19963</v>
      </c>
      <c r="T8" s="130">
        <f t="shared" si="1"/>
        <v>1602.3603666783549</v>
      </c>
      <c r="U8" s="85"/>
    </row>
    <row r="9" spans="1:21" ht="15" hidden="1" customHeight="1">
      <c r="A9" s="129" t="s">
        <v>4</v>
      </c>
      <c r="C9" s="79"/>
      <c r="F9" s="78">
        <f>Q9/21</f>
        <v>1645868.4285714286</v>
      </c>
      <c r="G9" s="90">
        <f t="shared" si="2"/>
        <v>8.0509048415777107E-2</v>
      </c>
      <c r="H9" s="90"/>
      <c r="I9" s="130">
        <f t="shared" si="0"/>
        <v>1368.46873741679</v>
      </c>
      <c r="J9" s="130"/>
      <c r="K9" s="78"/>
      <c r="P9" s="129" t="s">
        <v>4</v>
      </c>
      <c r="Q9" s="116">
        <v>34563237</v>
      </c>
      <c r="R9" s="116"/>
      <c r="S9" s="116">
        <v>25256.87</v>
      </c>
      <c r="T9" s="130">
        <f t="shared" si="1"/>
        <v>1368.46873741679</v>
      </c>
      <c r="U9" s="85"/>
    </row>
    <row r="10" spans="1:21" ht="15" hidden="1" customHeight="1">
      <c r="A10" s="129" t="s">
        <v>5</v>
      </c>
      <c r="B10" s="131">
        <f>F8+F9+F10</f>
        <v>5120054.666666667</v>
      </c>
      <c r="C10" s="131">
        <f>AVERAGE(F8:F10)</f>
        <v>1706684.888888889</v>
      </c>
      <c r="D10" s="90">
        <f>C10/C7-1</f>
        <v>0.13723425833392477</v>
      </c>
      <c r="E10" s="286"/>
      <c r="F10" s="78">
        <f>Q10/21</f>
        <v>1950951.9523809524</v>
      </c>
      <c r="G10" s="90">
        <f t="shared" si="2"/>
        <v>0.18536325171163792</v>
      </c>
      <c r="H10" s="90"/>
      <c r="I10" s="130">
        <f t="shared" si="0"/>
        <v>1212.6928446962511</v>
      </c>
      <c r="J10" s="130"/>
      <c r="K10" s="79">
        <f>R8+R9+R10</f>
        <v>0</v>
      </c>
      <c r="L10" s="87">
        <f>U10/U7-1</f>
        <v>0.20105122584053792</v>
      </c>
      <c r="N10" s="88">
        <f>AVERAGE(T8:T10)</f>
        <v>1394.5073162637989</v>
      </c>
      <c r="O10" s="89">
        <f>N10/N7-1</f>
        <v>-3.8432134553247788E-2</v>
      </c>
      <c r="P10" s="129" t="s">
        <v>5</v>
      </c>
      <c r="Q10" s="116">
        <v>40969991</v>
      </c>
      <c r="R10" s="116"/>
      <c r="S10" s="116">
        <v>33784.31</v>
      </c>
      <c r="T10" s="130">
        <f t="shared" si="1"/>
        <v>1212.6928446962511</v>
      </c>
      <c r="U10" s="85">
        <f>Q8+Q9+Q10</f>
        <v>107521148</v>
      </c>
    </row>
    <row r="11" spans="1:21" ht="15" hidden="1" customHeight="1">
      <c r="A11" s="129" t="s">
        <v>6</v>
      </c>
      <c r="C11" s="79"/>
      <c r="F11" s="78">
        <f>Q11/21</f>
        <v>2015658.6190476189</v>
      </c>
      <c r="G11" s="90">
        <f t="shared" si="2"/>
        <v>3.3166714632668404E-2</v>
      </c>
      <c r="H11" s="90"/>
      <c r="I11" s="130">
        <f t="shared" si="0"/>
        <v>930.69486986732227</v>
      </c>
      <c r="J11" s="130"/>
      <c r="K11" s="78"/>
      <c r="O11" s="89"/>
      <c r="P11" s="129" t="s">
        <v>6</v>
      </c>
      <c r="Q11" s="116">
        <v>42328831</v>
      </c>
      <c r="R11" s="116"/>
      <c r="S11" s="116">
        <v>45480.89</v>
      </c>
      <c r="T11" s="130">
        <f t="shared" si="1"/>
        <v>930.69486986732227</v>
      </c>
      <c r="U11" s="85"/>
    </row>
    <row r="12" spans="1:21" ht="15" hidden="1" customHeight="1">
      <c r="A12" s="129" t="s">
        <v>7</v>
      </c>
      <c r="C12" s="79"/>
      <c r="F12" s="78">
        <f>Q12/22</f>
        <v>1569677.2272727273</v>
      </c>
      <c r="G12" s="90">
        <f t="shared" si="2"/>
        <v>-0.22125839542492265</v>
      </c>
      <c r="H12" s="90"/>
      <c r="I12" s="130">
        <f t="shared" si="0"/>
        <v>944.62595897609276</v>
      </c>
      <c r="J12" s="130"/>
      <c r="K12" s="78"/>
      <c r="O12" s="89"/>
      <c r="P12" s="129" t="s">
        <v>7</v>
      </c>
      <c r="Q12" s="116">
        <v>34532899</v>
      </c>
      <c r="R12" s="116"/>
      <c r="S12" s="116">
        <v>36557.22</v>
      </c>
      <c r="T12" s="130">
        <f>Q12/S12</f>
        <v>944.62595897609276</v>
      </c>
      <c r="U12" s="85"/>
    </row>
    <row r="13" spans="1:21" ht="15" hidden="1" customHeight="1">
      <c r="A13" s="129" t="s">
        <v>35</v>
      </c>
      <c r="B13" s="131">
        <f>F11+F12+F13</f>
        <v>5029764.9963203464</v>
      </c>
      <c r="C13" s="131">
        <f>AVERAGE(F11:F13)</f>
        <v>1676588.3321067821</v>
      </c>
      <c r="D13" s="90">
        <f>C13/C10-1</f>
        <v>-1.7634512954351367E-2</v>
      </c>
      <c r="E13" s="286"/>
      <c r="F13" s="78">
        <f>Q13/20</f>
        <v>1444429.15</v>
      </c>
      <c r="G13" s="90">
        <f t="shared" si="2"/>
        <v>-7.9792249703681151E-2</v>
      </c>
      <c r="H13" s="90"/>
      <c r="I13" s="130">
        <f t="shared" si="0"/>
        <v>889.44406865034637</v>
      </c>
      <c r="J13" s="130"/>
      <c r="K13" s="78">
        <f>R11+R12+R13</f>
        <v>0</v>
      </c>
      <c r="L13" s="87">
        <f>U13/U10-1</f>
        <v>-1.6469643720693927E-2</v>
      </c>
      <c r="N13" s="88">
        <f>AVERAGE(T11:T13)</f>
        <v>921.58829916458717</v>
      </c>
      <c r="O13" s="89">
        <f>N13/N10-1</f>
        <v>-0.33912982139546521</v>
      </c>
      <c r="P13" s="129" t="s">
        <v>35</v>
      </c>
      <c r="Q13" s="116">
        <v>28888583</v>
      </c>
      <c r="R13" s="116"/>
      <c r="S13" s="116">
        <v>32479.37</v>
      </c>
      <c r="T13" s="130">
        <f>Q13/S13</f>
        <v>889.44406865034637</v>
      </c>
      <c r="U13" s="85">
        <f>Q11+Q12+Q13</f>
        <v>105750313</v>
      </c>
    </row>
    <row r="14" spans="1:21" ht="15" hidden="1" customHeight="1">
      <c r="A14" s="129" t="s">
        <v>36</v>
      </c>
      <c r="C14" s="79"/>
      <c r="F14" s="78">
        <f>Q14/20</f>
        <v>1217615.2</v>
      </c>
      <c r="G14" s="90">
        <f t="shared" si="2"/>
        <v>-0.15702670497891846</v>
      </c>
      <c r="H14" s="90"/>
      <c r="I14" s="130">
        <f t="shared" si="0"/>
        <v>859.01021755065221</v>
      </c>
      <c r="J14" s="130"/>
      <c r="O14" s="89"/>
      <c r="P14" s="129" t="s">
        <v>36</v>
      </c>
      <c r="Q14" s="116">
        <v>24352304</v>
      </c>
      <c r="R14" s="116"/>
      <c r="S14" s="116">
        <v>28349.26</v>
      </c>
      <c r="T14" s="130">
        <f>Q14/S14</f>
        <v>859.01021755065221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1720155.6363636365</v>
      </c>
      <c r="G15" s="90">
        <f t="shared" si="2"/>
        <v>0.41272516667304782</v>
      </c>
      <c r="H15" s="90"/>
      <c r="I15" s="130">
        <f t="shared" si="0"/>
        <v>930.12054589006982</v>
      </c>
      <c r="J15" s="130"/>
      <c r="O15" s="89"/>
      <c r="P15" s="129" t="s">
        <v>37</v>
      </c>
      <c r="Q15" s="116">
        <v>37843424</v>
      </c>
      <c r="R15" s="116"/>
      <c r="S15" s="116">
        <v>40686.58</v>
      </c>
      <c r="T15" s="130">
        <f t="shared" ref="T15:T19" si="3">Q15/S15</f>
        <v>930.12054589006982</v>
      </c>
      <c r="U15" s="78"/>
    </row>
    <row r="16" spans="1:21" ht="15" hidden="1" customHeight="1">
      <c r="A16" s="123" t="s">
        <v>38</v>
      </c>
      <c r="B16" s="131">
        <f>F14+F15+F16</f>
        <v>4284758.790909091</v>
      </c>
      <c r="C16" s="131">
        <f>AVERAGE(F14:F16)</f>
        <v>1428252.9303030304</v>
      </c>
      <c r="D16" s="90">
        <f>C16/C13-1</f>
        <v>-0.14811948589174317</v>
      </c>
      <c r="E16" s="286"/>
      <c r="F16" s="78">
        <f>Q16/22</f>
        <v>1346987.9545454546</v>
      </c>
      <c r="G16" s="90">
        <f t="shared" si="2"/>
        <v>-0.21693832460825957</v>
      </c>
      <c r="H16" s="90"/>
      <c r="I16" s="130">
        <f t="shared" si="0"/>
        <v>1041.4658884714102</v>
      </c>
      <c r="J16" s="130"/>
      <c r="K16" s="78">
        <f>R14+R15+R16</f>
        <v>0</v>
      </c>
      <c r="L16" s="87">
        <f>U16/U13-1</f>
        <v>-0.1316388538727068</v>
      </c>
      <c r="N16" s="88">
        <f>AVERAGE(T14:T16)</f>
        <v>943.53221730404402</v>
      </c>
      <c r="O16" s="89">
        <f>N16/N13-1</f>
        <v>2.3810977373897702E-2</v>
      </c>
      <c r="P16" s="123" t="s">
        <v>38</v>
      </c>
      <c r="Q16" s="133">
        <v>29633735</v>
      </c>
      <c r="R16" s="133"/>
      <c r="S16" s="133">
        <v>28453.87</v>
      </c>
      <c r="T16" s="134">
        <f t="shared" si="3"/>
        <v>1041.4658884714102</v>
      </c>
      <c r="U16" s="85">
        <f>Q14+Q15+Q16</f>
        <v>91829463</v>
      </c>
    </row>
    <row r="17" spans="1:21" ht="15" hidden="1" customHeight="1">
      <c r="A17" s="129" t="s">
        <v>100</v>
      </c>
      <c r="C17" s="79"/>
      <c r="F17" s="78">
        <f>Q17/20</f>
        <v>1295264.1000000001</v>
      </c>
      <c r="G17" s="90">
        <f t="shared" ref="G17:G22" si="4">F17/F16-1</f>
        <v>-3.8399641489673786E-2</v>
      </c>
      <c r="H17" s="90">
        <f t="shared" ref="H17:H22" si="5">F17/F5-1</f>
        <v>-9.6947653548340118E-2</v>
      </c>
      <c r="I17" s="130">
        <f t="shared" si="0"/>
        <v>1053.6007496528707</v>
      </c>
      <c r="J17" s="130">
        <f t="shared" ref="J17:J49" si="6">I17/I5-1</f>
        <v>-0.16005750162424015</v>
      </c>
      <c r="O17" s="89"/>
      <c r="P17" s="129" t="s">
        <v>100</v>
      </c>
      <c r="Q17" s="116">
        <v>25905282</v>
      </c>
      <c r="R17" s="116">
        <v>32550563477</v>
      </c>
      <c r="S17" s="116">
        <v>24587.38</v>
      </c>
      <c r="T17" s="130">
        <f t="shared" si="3"/>
        <v>1053.6007496528707</v>
      </c>
      <c r="U17" s="78"/>
    </row>
    <row r="18" spans="1:21" hidden="1">
      <c r="A18" s="129" t="s">
        <v>106</v>
      </c>
      <c r="C18" s="79"/>
      <c r="F18" s="78">
        <f>Q18/20</f>
        <v>1362541.3</v>
      </c>
      <c r="G18" s="90">
        <f t="shared" si="4"/>
        <v>5.1940913053947879E-2</v>
      </c>
      <c r="H18" s="90">
        <f t="shared" si="5"/>
        <v>-0.18131317592190355</v>
      </c>
      <c r="I18" s="130">
        <f t="shared" si="0"/>
        <v>1181.0734917498557</v>
      </c>
      <c r="J18" s="130">
        <f t="shared" si="6"/>
        <v>-2.5397525472710014E-2</v>
      </c>
      <c r="O18" s="89"/>
      <c r="P18" s="129" t="s">
        <v>106</v>
      </c>
      <c r="Q18" s="116">
        <v>27250826</v>
      </c>
      <c r="R18" s="116">
        <v>34294081650</v>
      </c>
      <c r="S18" s="116">
        <v>23072.93</v>
      </c>
      <c r="T18" s="130">
        <f t="shared" si="3"/>
        <v>1181.0734917498557</v>
      </c>
      <c r="U18" s="78"/>
    </row>
    <row r="19" spans="1:21" hidden="1">
      <c r="A19" s="129" t="s">
        <v>114</v>
      </c>
      <c r="B19" s="131">
        <f>SUM(F17:F19)</f>
        <v>4064193.7181818187</v>
      </c>
      <c r="C19" s="131">
        <f>AVERAGE(F17:F19)</f>
        <v>1354731.2393939395</v>
      </c>
      <c r="D19" s="90">
        <f>C19/C16-1</f>
        <v>-5.1476660295380561E-2</v>
      </c>
      <c r="E19" s="286">
        <f>C19/C7-1</f>
        <v>-9.728691786977739E-2</v>
      </c>
      <c r="F19" s="78">
        <f>Q19/22</f>
        <v>1406388.3181818181</v>
      </c>
      <c r="G19" s="90">
        <f t="shared" si="4"/>
        <v>3.2180322300555675E-2</v>
      </c>
      <c r="H19" s="90">
        <f t="shared" si="5"/>
        <v>2.0008900617050074E-3</v>
      </c>
      <c r="I19" s="130">
        <f t="shared" si="0"/>
        <v>1009.0319822303911</v>
      </c>
      <c r="J19" s="130">
        <f t="shared" si="6"/>
        <v>-0.46456413667822083</v>
      </c>
      <c r="K19" s="78">
        <f>R17+R18+R19</f>
        <v>107289272446</v>
      </c>
      <c r="L19" s="87">
        <f>U19/U16-1</f>
        <v>-8.4208398343786461E-2</v>
      </c>
      <c r="M19" s="87">
        <f>U19/U7-1</f>
        <v>-6.0609120611008649E-2</v>
      </c>
      <c r="N19" s="88">
        <f>AVERAGE(T17:T19)</f>
        <v>1081.2354078777059</v>
      </c>
      <c r="O19" s="89">
        <f>N19/N16-1</f>
        <v>0.1459443440809276</v>
      </c>
      <c r="P19" s="129" t="s">
        <v>114</v>
      </c>
      <c r="Q19" s="116">
        <v>30940543</v>
      </c>
      <c r="R19" s="116">
        <v>40444627319</v>
      </c>
      <c r="S19" s="136">
        <v>30663.59</v>
      </c>
      <c r="T19" s="130">
        <f t="shared" si="3"/>
        <v>1009.0319822303911</v>
      </c>
      <c r="U19" s="85">
        <f>Q17+Q18+Q19</f>
        <v>84096651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2017234.45</v>
      </c>
      <c r="G20" s="90">
        <f t="shared" si="4"/>
        <v>0.434336750327879</v>
      </c>
      <c r="H20" s="90">
        <f t="shared" si="5"/>
        <v>0.32431003485065601</v>
      </c>
      <c r="I20" s="130">
        <f t="shared" si="0"/>
        <v>1021.8211985273706</v>
      </c>
      <c r="J20" s="130">
        <f t="shared" si="6"/>
        <v>-0.36230250087527105</v>
      </c>
      <c r="O20" s="89"/>
      <c r="P20" s="129" t="s">
        <v>132</v>
      </c>
      <c r="Q20" s="116">
        <v>40344689</v>
      </c>
      <c r="R20" s="116">
        <v>52933747268</v>
      </c>
      <c r="S20" s="136">
        <v>39483.120000000003</v>
      </c>
      <c r="T20" s="130">
        <f t="shared" ref="T20" si="7">Q20/S20</f>
        <v>1021.8211985273706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1860698.4285714286</v>
      </c>
      <c r="G21" s="90">
        <f t="shared" si="4"/>
        <v>-7.7599319914733456E-2</v>
      </c>
      <c r="H21" s="90">
        <f t="shared" si="5"/>
        <v>0.13052683693949141</v>
      </c>
      <c r="I21" s="130">
        <f t="shared" si="0"/>
        <v>1143.066885560112</v>
      </c>
      <c r="J21" s="130">
        <f t="shared" si="6"/>
        <v>-0.16471099828130598</v>
      </c>
      <c r="O21" s="89"/>
      <c r="P21" s="129" t="s">
        <v>141</v>
      </c>
      <c r="Q21" s="116">
        <v>39074667</v>
      </c>
      <c r="R21" s="116">
        <v>51960425095</v>
      </c>
      <c r="S21" s="136">
        <v>34184.06</v>
      </c>
      <c r="T21" s="130">
        <f t="shared" ref="T21" si="8">Q21/S21</f>
        <v>1143.066885560112</v>
      </c>
      <c r="U21" s="78"/>
    </row>
    <row r="22" spans="1:21" hidden="1">
      <c r="A22" s="129" t="s">
        <v>156</v>
      </c>
      <c r="B22" s="131">
        <f>SUM(F20:F22)</f>
        <v>5293529.4499999993</v>
      </c>
      <c r="C22" s="131">
        <f>AVERAGE(F20:F22)</f>
        <v>1764509.8166666664</v>
      </c>
      <c r="D22" s="90">
        <f>C22/C19-1</f>
        <v>0.30247961024066128</v>
      </c>
      <c r="E22" s="286">
        <f>C22/C10-1</f>
        <v>3.3881431864919875E-2</v>
      </c>
      <c r="F22" s="78">
        <f>Q22/21</f>
        <v>1415596.5714285714</v>
      </c>
      <c r="G22" s="90">
        <f t="shared" si="4"/>
        <v>-0.23921224971667709</v>
      </c>
      <c r="H22" s="90">
        <f t="shared" si="5"/>
        <v>-0.27440726067037702</v>
      </c>
      <c r="I22" s="130">
        <f t="shared" si="0"/>
        <v>1038.9594303806095</v>
      </c>
      <c r="J22" s="130">
        <f t="shared" si="6"/>
        <v>-0.14326250466098644</v>
      </c>
      <c r="K22" s="78">
        <f>R20+R21+R22</f>
        <v>143523422502</v>
      </c>
      <c r="L22" s="87">
        <f>U22/U19-1</f>
        <v>0.29787432319986196</v>
      </c>
      <c r="M22" s="87">
        <f>U22/U10-1</f>
        <v>1.5120151060887155E-2</v>
      </c>
      <c r="N22" s="88">
        <f>AVERAGE(T20:T22)</f>
        <v>1067.9491714893641</v>
      </c>
      <c r="O22" s="89">
        <f>N22/N19-1</f>
        <v>-1.2288014517042756E-2</v>
      </c>
      <c r="P22" s="129" t="s">
        <v>156</v>
      </c>
      <c r="Q22" s="116">
        <v>29727528</v>
      </c>
      <c r="R22" s="116">
        <v>38629250139</v>
      </c>
      <c r="S22" s="136">
        <v>28612.79</v>
      </c>
      <c r="T22" s="130">
        <f t="shared" ref="T22:T23" si="9">Q22/S22</f>
        <v>1038.9594303806095</v>
      </c>
      <c r="U22" s="85">
        <f>Q20+Q21+Q22</f>
        <v>109146884</v>
      </c>
    </row>
    <row r="23" spans="1:21" hidden="1">
      <c r="A23" s="129" t="s">
        <v>189</v>
      </c>
      <c r="B23" s="131"/>
      <c r="C23" s="131"/>
      <c r="F23" s="78">
        <f>Q23/21</f>
        <v>1843429.5238095238</v>
      </c>
      <c r="G23" s="90">
        <f t="shared" ref="G23" si="10">F23/F22-1</f>
        <v>0.30222802245783775</v>
      </c>
      <c r="H23" s="90">
        <f t="shared" ref="H23" si="11">F23/F11-1</f>
        <v>-8.5445567821138213E-2</v>
      </c>
      <c r="I23" s="130">
        <f t="shared" si="0"/>
        <v>1241.5538015990867</v>
      </c>
      <c r="J23" s="130">
        <f t="shared" si="6"/>
        <v>0.33400735493049383</v>
      </c>
      <c r="O23" s="89"/>
      <c r="P23" s="129" t="s">
        <v>189</v>
      </c>
      <c r="Q23" s="116">
        <v>38712020</v>
      </c>
      <c r="R23" s="116">
        <v>50073915994</v>
      </c>
      <c r="S23" s="136">
        <v>31180.3</v>
      </c>
      <c r="T23" s="130">
        <f t="shared" si="9"/>
        <v>1241.5538015990867</v>
      </c>
      <c r="U23" s="78"/>
    </row>
    <row r="24" spans="1:21" hidden="1">
      <c r="A24" s="129" t="s">
        <v>204</v>
      </c>
      <c r="B24" s="131"/>
      <c r="C24" s="131"/>
      <c r="F24" s="78">
        <f>Q24/22</f>
        <v>1152022.3181818181</v>
      </c>
      <c r="G24" s="90">
        <f t="shared" ref="G24" si="12">F24/F23-1</f>
        <v>-0.37506571132639988</v>
      </c>
      <c r="H24" s="90">
        <f t="shared" ref="H24" si="13">F24/F12-1</f>
        <v>-0.26607693724178794</v>
      </c>
      <c r="I24" s="130">
        <f t="shared" si="0"/>
        <v>1076.0913556008825</v>
      </c>
      <c r="J24" s="130">
        <f t="shared" si="6"/>
        <v>0.13917190754241915</v>
      </c>
      <c r="O24" s="89"/>
      <c r="P24" s="129" t="s">
        <v>204</v>
      </c>
      <c r="Q24" s="116">
        <v>25344491</v>
      </c>
      <c r="R24" s="116">
        <v>33314878381</v>
      </c>
      <c r="S24" s="136">
        <v>23552.36</v>
      </c>
      <c r="T24" s="130">
        <f t="shared" ref="T24" si="14">Q24/S24</f>
        <v>1076.0913556008825</v>
      </c>
      <c r="U24" s="78"/>
    </row>
    <row r="25" spans="1:21" s="79" customFormat="1" ht="13.2" hidden="1">
      <c r="A25" s="129" t="s">
        <v>219</v>
      </c>
      <c r="B25" s="131">
        <f>SUM(F23:F25)</f>
        <v>4394692.4209387098</v>
      </c>
      <c r="C25" s="131">
        <f>AVERAGE(F23:F25)</f>
        <v>1464897.4736462366</v>
      </c>
      <c r="D25" s="90">
        <f>C25/C22-1</f>
        <v>-0.16979919306225633</v>
      </c>
      <c r="E25" s="286">
        <f>C25/C13-1</f>
        <v>-0.1262628722905027</v>
      </c>
      <c r="F25" s="78">
        <f>Q25/19</f>
        <v>1399240.5789473683</v>
      </c>
      <c r="G25" s="90">
        <f t="shared" ref="G25" si="15">F25/F24-1</f>
        <v>0.21459502725235646</v>
      </c>
      <c r="H25" s="90">
        <f t="shared" ref="H25" si="16">F25/F13-1</f>
        <v>-3.128472660125392E-2</v>
      </c>
      <c r="I25" s="130">
        <f t="shared" si="0"/>
        <v>1004.7536658454205</v>
      </c>
      <c r="J25" s="130">
        <f t="shared" si="6"/>
        <v>0.12964232519988172</v>
      </c>
      <c r="K25" s="78">
        <f>R23+R24+R25</f>
        <v>118670265581</v>
      </c>
      <c r="L25" s="90">
        <f>U25/U22-1</f>
        <v>-0.16954035994284544</v>
      </c>
      <c r="M25" s="90">
        <f>U25/U13-1</f>
        <v>-0.14286700976478439</v>
      </c>
      <c r="N25" s="88">
        <f>AVERAGE(T23:T25)</f>
        <v>1107.4662743484632</v>
      </c>
      <c r="O25" s="91">
        <f>N25/N22-1</f>
        <v>3.7002793685385393E-2</v>
      </c>
      <c r="P25" s="129" t="s">
        <v>219</v>
      </c>
      <c r="Q25" s="116">
        <v>26585571</v>
      </c>
      <c r="R25" s="116">
        <v>35281471206</v>
      </c>
      <c r="S25" s="136">
        <v>26459.79</v>
      </c>
      <c r="T25" s="130">
        <f t="shared" ref="T25" si="17">Q25/S25</f>
        <v>1004.7536658454205</v>
      </c>
      <c r="U25" s="85">
        <f>Q23+Q24+Q25</f>
        <v>90642082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1180371.0526315789</v>
      </c>
      <c r="G26" s="90">
        <f t="shared" ref="G26" si="18">F26/F25-1</f>
        <v>-0.15642022509127229</v>
      </c>
      <c r="H26" s="90">
        <f t="shared" ref="H26" si="19">F26/F14-1</f>
        <v>-3.0587781236979583E-2</v>
      </c>
      <c r="I26" s="130">
        <f t="shared" si="0"/>
        <v>981.87301919479319</v>
      </c>
      <c r="J26" s="130">
        <f t="shared" si="6"/>
        <v>0.14302833555864702</v>
      </c>
      <c r="L26" s="90"/>
      <c r="M26" s="90"/>
      <c r="P26" s="129" t="s">
        <v>312</v>
      </c>
      <c r="Q26" s="116">
        <v>22427050</v>
      </c>
      <c r="R26" s="116">
        <v>30252845987</v>
      </c>
      <c r="S26" s="136">
        <v>22841.09</v>
      </c>
      <c r="T26" s="130">
        <f t="shared" ref="T26" si="20">Q26/S26</f>
        <v>981.87301919479319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1498628.0454545454</v>
      </c>
      <c r="G27" s="90">
        <f t="shared" ref="G27" si="21">F27/F26-1</f>
        <v>0.26962453214472548</v>
      </c>
      <c r="H27" s="90">
        <f t="shared" ref="H27" si="22">F27/F15-1</f>
        <v>-0.12878345786047274</v>
      </c>
      <c r="I27" s="130">
        <f t="shared" si="0"/>
        <v>1028.7700559788816</v>
      </c>
      <c r="J27" s="130">
        <f t="shared" si="6"/>
        <v>0.10606099448583839</v>
      </c>
      <c r="L27" s="90"/>
      <c r="M27" s="90"/>
      <c r="P27" s="129" t="s">
        <v>377</v>
      </c>
      <c r="Q27" s="116">
        <v>32969817</v>
      </c>
      <c r="R27" s="116">
        <v>43734912134</v>
      </c>
      <c r="S27" s="136">
        <v>32047.8</v>
      </c>
      <c r="T27" s="130">
        <f t="shared" ref="T27" si="23">Q27/S27</f>
        <v>1028.7700559788816</v>
      </c>
      <c r="U27" s="78"/>
    </row>
    <row r="28" spans="1:21" s="79" customFormat="1" ht="13.2" hidden="1">
      <c r="A28" s="123" t="s">
        <v>413</v>
      </c>
      <c r="B28" s="131">
        <f>SUM(F26:F28)</f>
        <v>3861735.9928229665</v>
      </c>
      <c r="C28" s="131">
        <f>AVERAGE(F26:F28)</f>
        <v>1287245.3309409888</v>
      </c>
      <c r="D28" s="90">
        <f>C28/C25-1</f>
        <v>-0.12127274836720048</v>
      </c>
      <c r="E28" s="286">
        <f>C28/C16-1</f>
        <v>-9.872733069213746E-2</v>
      </c>
      <c r="F28" s="78">
        <f>Q28/19</f>
        <v>1182736.894736842</v>
      </c>
      <c r="G28" s="90">
        <f t="shared" ref="G28" si="24">F28/F27-1</f>
        <v>-0.2107868938365498</v>
      </c>
      <c r="H28" s="90">
        <f t="shared" ref="H28" si="25">F28/F16-1</f>
        <v>-0.12193951642577205</v>
      </c>
      <c r="I28" s="130">
        <f t="shared" si="0"/>
        <v>1257.4077213738601</v>
      </c>
      <c r="J28" s="130">
        <f t="shared" si="6"/>
        <v>0.20734412455831275</v>
      </c>
      <c r="K28" s="78">
        <f>R26+R27+R28</f>
        <v>103295375854</v>
      </c>
      <c r="L28" s="90">
        <f>U28/U25-1</f>
        <v>-0.14091924764040609</v>
      </c>
      <c r="M28" s="90">
        <f>U28/U16-1</f>
        <v>-0.15202740540908966</v>
      </c>
      <c r="N28" s="88">
        <f>AVERAGE(T26:T28)</f>
        <v>1089.350265515845</v>
      </c>
      <c r="O28" s="91">
        <f>N28/N25-1</f>
        <v>-1.6358068188826902E-2</v>
      </c>
      <c r="P28" s="129" t="s">
        <v>413</v>
      </c>
      <c r="Q28" s="116">
        <v>22472001</v>
      </c>
      <c r="R28" s="116">
        <v>29307617733</v>
      </c>
      <c r="S28" s="136">
        <v>17871.689999999999</v>
      </c>
      <c r="T28" s="130">
        <f t="shared" ref="T28" si="26">Q28/S28</f>
        <v>1257.4077213738601</v>
      </c>
      <c r="U28" s="85">
        <f>Q26+Q27+Q28</f>
        <v>77868868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1255345.5909090908</v>
      </c>
      <c r="G29" s="190">
        <f t="shared" ref="G29" si="27">F29/F28-1</f>
        <v>6.1390404320146086E-2</v>
      </c>
      <c r="H29" s="190">
        <f t="shared" ref="H29" si="28">F29/F17-1</f>
        <v>-3.0818818410013216E-2</v>
      </c>
      <c r="I29" s="130">
        <f t="shared" si="0"/>
        <v>887.44113604895028</v>
      </c>
      <c r="J29" s="130">
        <f t="shared" si="6"/>
        <v>-0.15770643069366164</v>
      </c>
      <c r="K29" s="136"/>
      <c r="L29" s="190"/>
      <c r="M29" s="190"/>
      <c r="N29" s="191"/>
      <c r="O29" s="192"/>
      <c r="P29" s="129" t="s">
        <v>427</v>
      </c>
      <c r="Q29" s="116">
        <v>27617603</v>
      </c>
      <c r="R29" s="116">
        <v>36316223603</v>
      </c>
      <c r="S29" s="136">
        <v>31120.49</v>
      </c>
      <c r="T29" s="130">
        <f t="shared" ref="T29" si="29">Q29/S29</f>
        <v>887.44113604895028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1411567.4210526317</v>
      </c>
      <c r="G30" s="190">
        <f t="shared" ref="G30" si="30">F30/F29-1</f>
        <v>0.1244452772805047</v>
      </c>
      <c r="H30" s="190">
        <f t="shared" ref="H30" si="31">F30/F18-1</f>
        <v>3.5981383502013298E-2</v>
      </c>
      <c r="I30" s="130">
        <f t="shared" si="0"/>
        <v>1161.7899248339172</v>
      </c>
      <c r="J30" s="130">
        <f t="shared" si="6"/>
        <v>-1.632715241738969E-2</v>
      </c>
      <c r="K30" s="136"/>
      <c r="L30" s="190"/>
      <c r="M30" s="190"/>
      <c r="N30" s="191"/>
      <c r="O30" s="192"/>
      <c r="P30" s="129" t="s">
        <v>466</v>
      </c>
      <c r="Q30" s="116">
        <v>26819781</v>
      </c>
      <c r="R30" s="116">
        <v>35737221226</v>
      </c>
      <c r="S30" s="136">
        <v>23084.880000000001</v>
      </c>
      <c r="T30" s="130">
        <f t="shared" ref="T30" si="32">Q30/S30</f>
        <v>1161.7899248339172</v>
      </c>
      <c r="U30" s="85"/>
    </row>
    <row r="31" spans="1:21" s="79" customFormat="1" ht="13.2" hidden="1">
      <c r="A31" s="129" t="s">
        <v>505</v>
      </c>
      <c r="B31" s="188">
        <f>SUM(F29:F31)</f>
        <v>3868993.6119617228</v>
      </c>
      <c r="C31" s="188">
        <f>AVERAGE(F29:F31)</f>
        <v>1289664.5373205743</v>
      </c>
      <c r="D31" s="190">
        <f>C31/C28-1</f>
        <v>1.8793669873458096E-3</v>
      </c>
      <c r="E31" s="287">
        <f>C31/C19-1</f>
        <v>-4.802923279636917E-2</v>
      </c>
      <c r="F31" s="136">
        <f>Q31/20</f>
        <v>1202080.6000000001</v>
      </c>
      <c r="G31" s="190">
        <f t="shared" ref="G31" si="33">F31/F30-1</f>
        <v>-0.14840723718064663</v>
      </c>
      <c r="H31" s="190">
        <f t="shared" ref="H31" si="34">F31/F19-1</f>
        <v>-0.14527119966834445</v>
      </c>
      <c r="I31" s="130">
        <f t="shared" si="0"/>
        <v>1133.4656878529763</v>
      </c>
      <c r="J31" s="130">
        <f t="shared" si="6"/>
        <v>0.12331988263398119</v>
      </c>
      <c r="K31" s="136">
        <f>R29+R30+R31</f>
        <v>103949772373</v>
      </c>
      <c r="L31" s="190">
        <f>U31/U28-1</f>
        <v>7.8353264362338582E-3</v>
      </c>
      <c r="M31" s="190">
        <f>U31/U19-1</f>
        <v>-6.6799984698558301E-2</v>
      </c>
      <c r="N31" s="191">
        <f>AVERAGE(T29:T31)</f>
        <v>1060.8989162452813</v>
      </c>
      <c r="O31" s="192">
        <f>N31/N28-1</f>
        <v>-2.6117723721388209E-2</v>
      </c>
      <c r="P31" s="129" t="s">
        <v>506</v>
      </c>
      <c r="Q31" s="116">
        <v>24041612</v>
      </c>
      <c r="R31" s="116">
        <v>31896327544</v>
      </c>
      <c r="S31" s="136">
        <v>21210.71</v>
      </c>
      <c r="T31" s="130">
        <f t="shared" ref="T31" si="35">Q31/S31</f>
        <v>1133.4656878529763</v>
      </c>
      <c r="U31" s="85">
        <f>Q29+Q30+Q31</f>
        <v>78478996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1439496.6666666667</v>
      </c>
      <c r="G32" s="190">
        <f t="shared" ref="G32" si="36">F32/F31-1</f>
        <v>0.19750428271337772</v>
      </c>
      <c r="H32" s="190">
        <f t="shared" ref="H32" si="37">F32/F20-1</f>
        <v>-0.28640091057999395</v>
      </c>
      <c r="I32" s="130">
        <f t="shared" si="0"/>
        <v>1211.9831834663614</v>
      </c>
      <c r="J32" s="130">
        <f t="shared" si="6"/>
        <v>0.18610103725881655</v>
      </c>
      <c r="K32" s="136"/>
      <c r="L32" s="190"/>
      <c r="M32" s="190"/>
      <c r="N32" s="191"/>
      <c r="O32" s="192"/>
      <c r="P32" s="129" t="s">
        <v>562</v>
      </c>
      <c r="Q32" s="116">
        <v>30229430</v>
      </c>
      <c r="R32" s="116">
        <v>41037622089</v>
      </c>
      <c r="S32" s="136">
        <v>24942.12</v>
      </c>
      <c r="T32" s="130">
        <f t="shared" ref="T32" si="38">Q32/S32</f>
        <v>1211.9831834663614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1240273.4285714286</v>
      </c>
      <c r="G33" s="190">
        <f t="shared" ref="G33" si="39">F33/F32-1</f>
        <v>-0.13839784607251937</v>
      </c>
      <c r="H33" s="190">
        <f t="shared" ref="H33" si="40">F33/F21-1</f>
        <v>-0.33343662276123809</v>
      </c>
      <c r="I33" s="130">
        <f t="shared" si="0"/>
        <v>685.79740734099607</v>
      </c>
      <c r="J33" s="130">
        <f t="shared" si="6"/>
        <v>-0.40003737663614514</v>
      </c>
      <c r="K33" s="136"/>
      <c r="L33" s="190"/>
      <c r="M33" s="190"/>
      <c r="N33" s="191"/>
      <c r="O33" s="192"/>
      <c r="P33" s="129" t="s">
        <v>629</v>
      </c>
      <c r="Q33" s="116">
        <v>26045742</v>
      </c>
      <c r="R33" s="116">
        <v>35625188406</v>
      </c>
      <c r="S33" s="136">
        <v>37978.769999999997</v>
      </c>
      <c r="T33" s="130">
        <f t="shared" ref="T33" si="41">Q33/S33</f>
        <v>685.79740734099607</v>
      </c>
      <c r="U33" s="85"/>
    </row>
    <row r="34" spans="1:21" s="79" customFormat="1" ht="13.2" hidden="1">
      <c r="A34" s="129" t="s">
        <v>652</v>
      </c>
      <c r="B34" s="188">
        <f>SUM(F32:F34)</f>
        <v>4716257.0952380951</v>
      </c>
      <c r="C34" s="188">
        <f>AVERAGE(F32:F34)</f>
        <v>1572085.6984126985</v>
      </c>
      <c r="D34" s="190">
        <f>C34/C31-1</f>
        <v>0.21898808017074467</v>
      </c>
      <c r="E34" s="287">
        <f>C34/C22-1</f>
        <v>-0.10905244982851736</v>
      </c>
      <c r="F34" s="136">
        <f>Q34/19</f>
        <v>2036487</v>
      </c>
      <c r="G34" s="190">
        <f t="shared" ref="G34" si="42">F34/F33-1</f>
        <v>0.64196616091797254</v>
      </c>
      <c r="H34" s="190">
        <f t="shared" ref="H34" si="43">F34/F22-1</f>
        <v>0.43860690333888508</v>
      </c>
      <c r="I34" s="130">
        <f t="shared" si="0"/>
        <v>1087.0442467633022</v>
      </c>
      <c r="J34" s="130">
        <f t="shared" si="6"/>
        <v>4.628170742439619E-2</v>
      </c>
      <c r="K34" s="136">
        <f>R32+R33+R34</f>
        <v>129867387007</v>
      </c>
      <c r="L34" s="190">
        <f>U34/U31-1</f>
        <v>0.21011263956536852</v>
      </c>
      <c r="M34" s="190">
        <f>U34/U22-1</f>
        <v>-0.12990255406649998</v>
      </c>
      <c r="N34" s="191">
        <f>AVERAGE(T32:T34)</f>
        <v>994.94161252355332</v>
      </c>
      <c r="O34" s="192">
        <f>N34/N31-1</f>
        <v>-6.2171148176079938E-2</v>
      </c>
      <c r="P34" s="129" t="s">
        <v>652</v>
      </c>
      <c r="Q34" s="116">
        <v>38693253</v>
      </c>
      <c r="R34" s="116">
        <v>53204576512</v>
      </c>
      <c r="S34" s="136">
        <v>35594.92</v>
      </c>
      <c r="T34" s="130">
        <f t="shared" ref="T34" si="44">Q34/S34</f>
        <v>1087.0442467633022</v>
      </c>
      <c r="U34" s="85">
        <f>Q32+Q33+Q34</f>
        <v>94968425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1566946</v>
      </c>
      <c r="G35" s="190">
        <f t="shared" ref="G35" si="45">F35/F34-1</f>
        <v>-0.23056420198115679</v>
      </c>
      <c r="H35" s="190">
        <f t="shared" ref="H35" si="46">F35/F23-1</f>
        <v>-0.14998323518121759</v>
      </c>
      <c r="I35" s="130">
        <f t="shared" si="0"/>
        <v>900.17883806213467</v>
      </c>
      <c r="J35" s="130">
        <f t="shared" si="6"/>
        <v>-0.27495784966972081</v>
      </c>
      <c r="K35" s="136"/>
      <c r="L35" s="190"/>
      <c r="M35" s="190"/>
      <c r="N35" s="191"/>
      <c r="O35" s="192"/>
      <c r="P35" s="129" t="s">
        <v>660</v>
      </c>
      <c r="Q35" s="116">
        <v>36039758</v>
      </c>
      <c r="R35" s="116">
        <v>49894906703</v>
      </c>
      <c r="S35" s="136">
        <v>40036.22</v>
      </c>
      <c r="T35" s="130">
        <f t="shared" ref="T35" si="47">Q35/S35</f>
        <v>900.17883806213467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1724639.2857142857</v>
      </c>
      <c r="G36" s="190">
        <f t="shared" ref="G36" si="48">F36/F35-1</f>
        <v>0.10063734532924928</v>
      </c>
      <c r="H36" s="190">
        <f t="shared" ref="H36" si="49">F36/F24-1</f>
        <v>0.49705371024078904</v>
      </c>
      <c r="I36" s="130">
        <f t="shared" si="0"/>
        <v>595.04586631414838</v>
      </c>
      <c r="J36" s="130">
        <f t="shared" si="6"/>
        <v>-0.44703034438755562</v>
      </c>
      <c r="K36" s="136"/>
      <c r="L36" s="190"/>
      <c r="M36" s="190"/>
      <c r="N36" s="191"/>
      <c r="O36" s="192"/>
      <c r="P36" s="129" t="s">
        <v>664</v>
      </c>
      <c r="Q36" s="116">
        <v>36217425</v>
      </c>
      <c r="R36" s="116">
        <v>49457382693</v>
      </c>
      <c r="S36" s="136">
        <v>60864.93</v>
      </c>
      <c r="T36" s="130">
        <f t="shared" ref="T36" si="50">Q36/S36</f>
        <v>595.04586631414838</v>
      </c>
      <c r="U36" s="85"/>
    </row>
    <row r="37" spans="1:21" s="79" customFormat="1" ht="13.2" hidden="1">
      <c r="A37" s="129" t="s">
        <v>702</v>
      </c>
      <c r="B37" s="188">
        <f>SUM(F35:F37)</f>
        <v>5568705.0079365075</v>
      </c>
      <c r="C37" s="188">
        <f>AVERAGE(F35:F37)</f>
        <v>1856235.0026455026</v>
      </c>
      <c r="D37" s="190">
        <f>C37/C34-1</f>
        <v>0.18074670135330639</v>
      </c>
      <c r="E37" s="287">
        <f>C37/C25-1</f>
        <v>0.26714328889188299</v>
      </c>
      <c r="F37" s="136">
        <f>Q37/18</f>
        <v>2277119.722222222</v>
      </c>
      <c r="G37" s="190">
        <f t="shared" ref="G37" si="51">F37/F36-1</f>
        <v>0.32034550127919537</v>
      </c>
      <c r="H37" s="190">
        <f t="shared" ref="H37" si="52">F37/F25-1</f>
        <v>0.62739685832672998</v>
      </c>
      <c r="I37" s="130">
        <f t="shared" si="0"/>
        <v>922.76176861253066</v>
      </c>
      <c r="J37" s="130">
        <f t="shared" si="6"/>
        <v>-8.16039791841916E-2</v>
      </c>
      <c r="K37" s="136">
        <f>R35+R36+R37</f>
        <v>154085509522</v>
      </c>
      <c r="L37" s="190">
        <f>U37/U34-1</f>
        <v>0.19245252303594595</v>
      </c>
      <c r="M37" s="190">
        <f>U37/U25-1</f>
        <v>0.24936823494411797</v>
      </c>
      <c r="N37" s="191">
        <f>AVERAGE(T35:T37)</f>
        <v>805.99549099627131</v>
      </c>
      <c r="O37" s="192">
        <f>N37/N34-1</f>
        <v>-0.18990674341989</v>
      </c>
      <c r="P37" s="129" t="s">
        <v>702</v>
      </c>
      <c r="Q37" s="116">
        <v>40988155</v>
      </c>
      <c r="R37" s="116">
        <v>54733220126</v>
      </c>
      <c r="S37" s="136">
        <v>44419</v>
      </c>
      <c r="T37" s="130">
        <f t="shared" ref="T37" si="53">Q37/S37</f>
        <v>922.76176861253066</v>
      </c>
      <c r="U37" s="85">
        <f>Q35+Q36+Q37</f>
        <v>113245338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2006545.45</v>
      </c>
      <c r="G38" s="190">
        <f t="shared" ref="G38" si="54">F38/F37-1</f>
        <v>-0.11882303314213571</v>
      </c>
      <c r="H38" s="190">
        <f t="shared" ref="H38" si="55">F38/F26-1</f>
        <v>0.69992770114660652</v>
      </c>
      <c r="I38" s="130">
        <f t="shared" si="0"/>
        <v>1073.0740455124969</v>
      </c>
      <c r="J38" s="130">
        <f t="shared" si="6"/>
        <v>9.2884746331552304E-2</v>
      </c>
      <c r="K38" s="136"/>
      <c r="L38" s="190"/>
      <c r="M38" s="190"/>
      <c r="N38" s="191"/>
      <c r="O38" s="192"/>
      <c r="P38" s="129" t="s">
        <v>728</v>
      </c>
      <c r="Q38" s="116">
        <v>40130909</v>
      </c>
      <c r="R38" s="116">
        <v>54151811258</v>
      </c>
      <c r="S38" s="136">
        <v>37398.080000000002</v>
      </c>
      <c r="T38" s="130">
        <f t="shared" ref="T38" si="56">Q38/S38</f>
        <v>1073.0740455124969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2097906.0476190476</v>
      </c>
      <c r="G39" s="190">
        <f t="shared" ref="G39" si="57">F39/F38-1</f>
        <v>4.5531287426879619E-2</v>
      </c>
      <c r="H39" s="190">
        <f t="shared" ref="H39" si="58">F39/F27-1</f>
        <v>0.39988441693865173</v>
      </c>
      <c r="I39" s="130">
        <f t="shared" si="0"/>
        <v>1061.4362725434003</v>
      </c>
      <c r="J39" s="130">
        <f t="shared" si="6"/>
        <v>3.1752689898654207E-2</v>
      </c>
      <c r="K39" s="136"/>
      <c r="L39" s="190"/>
      <c r="M39" s="190"/>
      <c r="N39" s="191"/>
      <c r="O39" s="192"/>
      <c r="P39" s="129" t="s">
        <v>762</v>
      </c>
      <c r="Q39" s="116">
        <v>44056027</v>
      </c>
      <c r="R39" s="116">
        <v>61178628356</v>
      </c>
      <c r="S39" s="136">
        <v>41506.050000000003</v>
      </c>
      <c r="T39" s="130">
        <f t="shared" ref="T39" si="59">Q39/S39</f>
        <v>1061.4362725434003</v>
      </c>
      <c r="U39" s="85"/>
    </row>
    <row r="40" spans="1:21" s="79" customFormat="1" ht="13.2" hidden="1">
      <c r="A40" s="129" t="s">
        <v>778</v>
      </c>
      <c r="B40" s="188">
        <f>SUM(F38:F40)</f>
        <v>6105449.7357142856</v>
      </c>
      <c r="C40" s="188">
        <f>AVERAGE(F38:F40)</f>
        <v>2035149.9119047618</v>
      </c>
      <c r="D40" s="190">
        <f>C40/C37-1</f>
        <v>9.6385915039997716E-2</v>
      </c>
      <c r="E40" s="287">
        <f>C40/C28-1</f>
        <v>0.58101168672878178</v>
      </c>
      <c r="F40" s="136">
        <f>Q40/21</f>
        <v>2000998.2380952381</v>
      </c>
      <c r="G40" s="190">
        <f t="shared" ref="G40" si="60">F40/F39-1</f>
        <v>-4.6192635572880891E-2</v>
      </c>
      <c r="H40" s="190">
        <f t="shared" ref="H40" si="61">F40/F28-1</f>
        <v>0.69183716767409931</v>
      </c>
      <c r="I40" s="130">
        <f t="shared" si="0"/>
        <v>997.1794611367585</v>
      </c>
      <c r="J40" s="130">
        <f t="shared" si="6"/>
        <v>-0.20695614939661167</v>
      </c>
      <c r="K40" s="136">
        <f>R38+R39+R40</f>
        <v>174926195964</v>
      </c>
      <c r="L40" s="190">
        <f>U40/U37-1</f>
        <v>0.11446441177119371</v>
      </c>
      <c r="M40" s="190">
        <f>U40/U28-1</f>
        <v>0.62077480052747136</v>
      </c>
      <c r="N40" s="191">
        <f>AVERAGE(T38:T40)</f>
        <v>1043.8965930642187</v>
      </c>
      <c r="O40" s="192">
        <f>N40/N37-1</f>
        <v>0.29516430888947487</v>
      </c>
      <c r="P40" s="129" t="s">
        <v>778</v>
      </c>
      <c r="Q40" s="116">
        <v>42020963</v>
      </c>
      <c r="R40" s="116">
        <v>59595756350</v>
      </c>
      <c r="S40" s="136">
        <v>42139.82</v>
      </c>
      <c r="T40" s="130">
        <f t="shared" ref="T40" si="62">Q40/S40</f>
        <v>997.1794611367585</v>
      </c>
      <c r="U40" s="85">
        <f>Q38+Q39+Q40</f>
        <v>126207899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1806778</v>
      </c>
      <c r="G41" s="190">
        <f t="shared" ref="G41" si="63">F41/F40-1</f>
        <v>-9.7061673717472874E-2</v>
      </c>
      <c r="H41" s="190">
        <f t="shared" ref="H41" si="64">F41/F29-1</f>
        <v>0.43926741216462561</v>
      </c>
      <c r="I41" s="130">
        <f t="shared" si="0"/>
        <v>1099.2451774096728</v>
      </c>
      <c r="J41" s="130">
        <f t="shared" si="6"/>
        <v>0.23866827078099262</v>
      </c>
      <c r="K41" s="193"/>
      <c r="L41" s="190"/>
      <c r="M41" s="190"/>
      <c r="N41" s="193"/>
      <c r="O41" s="193"/>
      <c r="P41" s="129" t="s">
        <v>792</v>
      </c>
      <c r="Q41" s="116">
        <v>32522004</v>
      </c>
      <c r="R41" s="116">
        <v>47518651534</v>
      </c>
      <c r="S41" s="136">
        <v>29585.759999999998</v>
      </c>
      <c r="T41" s="130">
        <f t="shared" ref="T41" si="65">Q41/S41</f>
        <v>1099.2451774096728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2300510</v>
      </c>
      <c r="G42" s="190">
        <f t="shared" ref="G42" si="66">F42/F41-1</f>
        <v>0.27326655516062304</v>
      </c>
      <c r="H42" s="190">
        <f t="shared" ref="H42" si="67">F42/F30-1</f>
        <v>0.62975566429867547</v>
      </c>
      <c r="I42" s="130">
        <f t="shared" si="0"/>
        <v>856.0717288610648</v>
      </c>
      <c r="J42" s="130">
        <f t="shared" si="6"/>
        <v>-0.26314412738306037</v>
      </c>
      <c r="K42" s="193"/>
      <c r="L42" s="190"/>
      <c r="M42" s="190"/>
      <c r="N42" s="193"/>
      <c r="O42" s="193"/>
      <c r="P42" s="129" t="s">
        <v>826</v>
      </c>
      <c r="Q42" s="116">
        <v>46010200</v>
      </c>
      <c r="R42" s="116">
        <v>66457790744</v>
      </c>
      <c r="S42" s="136">
        <v>53745.73</v>
      </c>
      <c r="T42" s="130">
        <f t="shared" ref="T42" si="68">Q42/S42</f>
        <v>856.0717288610648</v>
      </c>
      <c r="U42" s="78"/>
    </row>
    <row r="43" spans="1:21" s="79" customFormat="1" ht="13.2">
      <c r="A43" s="129" t="s">
        <v>835</v>
      </c>
      <c r="B43" s="188">
        <f>SUM(F41:F43)</f>
        <v>6151670.9000000004</v>
      </c>
      <c r="C43" s="188">
        <f>AVERAGE(F41:F43)</f>
        <v>2050556.9666666668</v>
      </c>
      <c r="D43" s="190">
        <f>C43/C40-1</f>
        <v>7.5704765883732872E-3</v>
      </c>
      <c r="E43" s="287">
        <f>C43/C31-1</f>
        <v>0.58999251923832352</v>
      </c>
      <c r="F43" s="136">
        <f>Q43/20</f>
        <v>2044382.9</v>
      </c>
      <c r="G43" s="190">
        <f t="shared" ref="G43" si="69">F43/F42-1</f>
        <v>-0.11133492138699685</v>
      </c>
      <c r="H43" s="190">
        <f t="shared" ref="H43" si="70">F43/F31-1</f>
        <v>0.70070367993627025</v>
      </c>
      <c r="I43" s="130">
        <f t="shared" si="0"/>
        <v>991.04921499267755</v>
      </c>
      <c r="J43" s="130">
        <f t="shared" si="6"/>
        <v>-0.12564692022575974</v>
      </c>
      <c r="K43" s="136">
        <f>R41+R42+R43</f>
        <v>173236954593</v>
      </c>
      <c r="L43" s="190">
        <f>U43/U40-1</f>
        <v>-5.3784565417731911E-2</v>
      </c>
      <c r="M43" s="190">
        <f>K43/K31-1</f>
        <v>0.6665448190822274</v>
      </c>
      <c r="N43" s="191">
        <f>AVERAGE(T41:T43)</f>
        <v>982.12204042113842</v>
      </c>
      <c r="O43" s="192">
        <f>N43/N40-1</f>
        <v>-5.917688883508021E-2</v>
      </c>
      <c r="P43" s="129" t="s">
        <v>835</v>
      </c>
      <c r="Q43" s="116">
        <v>40887658</v>
      </c>
      <c r="R43" s="116">
        <v>59260512315</v>
      </c>
      <c r="S43" s="136">
        <v>41256.94</v>
      </c>
      <c r="T43" s="130">
        <f t="shared" ref="T43" si="71">Q43/S43</f>
        <v>991.04921499267755</v>
      </c>
      <c r="U43" s="85">
        <f>Q41+Q42+Q43</f>
        <v>119419862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1517083.5909090908</v>
      </c>
      <c r="G44" s="190">
        <f t="shared" ref="G44" si="72">F44/F43-1</f>
        <v>-0.25792590472700061</v>
      </c>
      <c r="H44" s="190">
        <f t="shared" ref="H44" si="73">F44/F32-1</f>
        <v>5.3898648075431987E-2</v>
      </c>
      <c r="I44" s="130">
        <f t="shared" si="0"/>
        <v>1127.5099429519648</v>
      </c>
      <c r="J44" s="130">
        <f t="shared" si="6"/>
        <v>-6.9698360230376233E-2</v>
      </c>
      <c r="K44" s="136"/>
      <c r="L44" s="190"/>
      <c r="M44" s="190"/>
      <c r="N44" s="191"/>
      <c r="O44" s="192"/>
      <c r="P44" s="129" t="s">
        <v>843</v>
      </c>
      <c r="Q44" s="116">
        <v>33375839</v>
      </c>
      <c r="R44" s="116">
        <v>48360363474</v>
      </c>
      <c r="S44" s="136">
        <v>29601.37</v>
      </c>
      <c r="T44" s="130">
        <f t="shared" ref="T44" si="74">Q44/S44</f>
        <v>1127.5099429519648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2076390.35</v>
      </c>
      <c r="G45" s="190">
        <f t="shared" ref="G45" si="75">F45/F44-1</f>
        <v>0.36867234109081126</v>
      </c>
      <c r="H45" s="190">
        <f t="shared" ref="H45" si="76">F45/F33-1</f>
        <v>0.67413918751095658</v>
      </c>
      <c r="I45" s="130">
        <f t="shared" si="0"/>
        <v>1260.2748169348849</v>
      </c>
      <c r="J45" s="130">
        <f t="shared" si="6"/>
        <v>0.83767801313405066</v>
      </c>
      <c r="K45" s="136"/>
      <c r="L45" s="190"/>
      <c r="M45" s="190"/>
      <c r="N45" s="191"/>
      <c r="O45" s="192"/>
      <c r="P45" s="129" t="s">
        <v>860</v>
      </c>
      <c r="Q45" s="116">
        <v>41527807</v>
      </c>
      <c r="R45" s="116">
        <v>58443361110</v>
      </c>
      <c r="S45" s="136">
        <v>32951.39</v>
      </c>
      <c r="T45" s="130">
        <f t="shared" ref="T45" si="77">Q45/S45</f>
        <v>1260.2748169348849</v>
      </c>
      <c r="U45" s="85"/>
    </row>
    <row r="46" spans="1:21" s="79" customFormat="1" ht="13.2">
      <c r="A46" s="129" t="s">
        <v>893</v>
      </c>
      <c r="B46" s="188">
        <f>SUM(F44:F46)</f>
        <v>6440698.888277512</v>
      </c>
      <c r="C46" s="188">
        <f>AVERAGE(F44:F46)</f>
        <v>2146899.6294258372</v>
      </c>
      <c r="D46" s="190">
        <f>C46/C43-1</f>
        <v>4.6983655819024861E-2</v>
      </c>
      <c r="E46" s="287">
        <f>C46/C34-1</f>
        <v>0.36563778399200264</v>
      </c>
      <c r="F46" s="136">
        <f>Q46/19</f>
        <v>2847224.9473684211</v>
      </c>
      <c r="G46" s="190">
        <f t="shared" ref="G46" si="78">F46/F45-1</f>
        <v>0.3712378057278205</v>
      </c>
      <c r="H46" s="190">
        <f t="shared" ref="H46" si="79">F46/F34-1</f>
        <v>0.39810612460006922</v>
      </c>
      <c r="I46" s="130">
        <f t="shared" si="0"/>
        <v>869.59911550401353</v>
      </c>
      <c r="J46" s="130">
        <f t="shared" si="6"/>
        <v>-0.20003337666036713</v>
      </c>
      <c r="K46" s="136">
        <f>R44+R45+R46</f>
        <v>180885757522</v>
      </c>
      <c r="L46" s="190">
        <f>U46/U43-1</f>
        <v>8.0230020697896975E-2</v>
      </c>
      <c r="M46" s="190">
        <f>K46/K34-1</f>
        <v>0.39284974997032984</v>
      </c>
      <c r="N46" s="191">
        <f>AVERAGE(T44:T46)</f>
        <v>1085.7946251302876</v>
      </c>
      <c r="O46" s="192">
        <f>N46/N43-1</f>
        <v>0.10555977815617901</v>
      </c>
      <c r="P46" s="129" t="s">
        <v>888</v>
      </c>
      <c r="Q46" s="116">
        <v>54097274</v>
      </c>
      <c r="R46" s="116">
        <v>74082032938</v>
      </c>
      <c r="S46" s="136">
        <v>62209.440000000002</v>
      </c>
      <c r="T46" s="130">
        <f t="shared" ref="T46" si="80">Q46/S46</f>
        <v>869.59911550401353</v>
      </c>
      <c r="U46" s="85">
        <f t="shared" ref="U46:U51" si="81">Q44+Q45+Q46</f>
        <v>129000920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2169851</v>
      </c>
      <c r="G47" s="190">
        <f t="shared" ref="G47" si="82">F47/F46-1</f>
        <v>-0.23790671966206656</v>
      </c>
      <c r="H47" s="190">
        <f t="shared" ref="H47" si="83">F47/F35-1</f>
        <v>0.38476437605380154</v>
      </c>
      <c r="I47" s="130">
        <f t="shared" si="0"/>
        <v>912.2116995574072</v>
      </c>
      <c r="J47" s="130">
        <f t="shared" si="6"/>
        <v>1.3367189925477918E-2</v>
      </c>
      <c r="K47" s="136"/>
      <c r="L47" s="190"/>
      <c r="M47" s="190"/>
      <c r="N47" s="191"/>
      <c r="O47" s="192"/>
      <c r="P47" s="129" t="s">
        <v>991</v>
      </c>
      <c r="Q47" s="116">
        <v>49906573</v>
      </c>
      <c r="R47" s="116">
        <v>68465726322</v>
      </c>
      <c r="S47" s="136">
        <v>54709.42</v>
      </c>
      <c r="T47" s="130">
        <f t="shared" ref="T47" si="84">Q47/S47</f>
        <v>912.2116995574072</v>
      </c>
      <c r="U47" s="85">
        <f t="shared" si="81"/>
        <v>145531654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2458740.65</v>
      </c>
      <c r="G48" s="190">
        <f t="shared" ref="G48" si="85">F48/F47-1</f>
        <v>0.13313801270225456</v>
      </c>
      <c r="H48" s="190">
        <f t="shared" ref="H48" si="86">F48/F36-1</f>
        <v>0.42565501688758922</v>
      </c>
      <c r="I48" s="130">
        <f t="shared" si="0"/>
        <v>1023.3197722571597</v>
      </c>
      <c r="J48" s="130">
        <f t="shared" si="6"/>
        <v>0.71973259573390336</v>
      </c>
      <c r="K48" s="136"/>
      <c r="L48" s="190"/>
      <c r="M48" s="190"/>
      <c r="N48" s="191"/>
      <c r="O48" s="192"/>
      <c r="P48" s="129" t="s">
        <v>1120</v>
      </c>
      <c r="Q48" s="116">
        <v>49174813</v>
      </c>
      <c r="R48" s="116">
        <v>68234834325</v>
      </c>
      <c r="S48" s="136">
        <v>48054.2</v>
      </c>
      <c r="T48" s="130">
        <f t="shared" ref="T48" si="87">Q48/S48</f>
        <v>1023.3197722571597</v>
      </c>
      <c r="U48" s="85">
        <f t="shared" si="81"/>
        <v>153178660</v>
      </c>
    </row>
    <row r="49" spans="1:26" ht="13.2">
      <c r="A49" s="129" t="s">
        <v>1207</v>
      </c>
      <c r="B49" s="188">
        <f>SUM(F47:F49)</f>
        <v>6981483.9227272738</v>
      </c>
      <c r="C49" s="188">
        <f>AVERAGE(F47:F49)</f>
        <v>2327161.3075757581</v>
      </c>
      <c r="D49" s="190">
        <f>C49/C46-1</f>
        <v>8.396371943952019E-2</v>
      </c>
      <c r="E49" s="287">
        <f>C49/C37-1</f>
        <v>0.25369972242689753</v>
      </c>
      <c r="F49" s="136">
        <f>Q49/22</f>
        <v>2352892.2727272729</v>
      </c>
      <c r="G49" s="190">
        <f t="shared" ref="G49" si="88">F49/F48-1</f>
        <v>-4.3049834179431201E-2</v>
      </c>
      <c r="H49" s="190">
        <f t="shared" ref="H49" si="89">F49/F37-1</f>
        <v>3.3275611187937537E-2</v>
      </c>
      <c r="I49" s="130">
        <f t="shared" si="0"/>
        <v>1184.5010124530929</v>
      </c>
      <c r="J49" s="130">
        <f t="shared" si="6"/>
        <v>0.28364768973265408</v>
      </c>
      <c r="K49" s="136">
        <f>R47+R48+R49</f>
        <v>208649141480</v>
      </c>
      <c r="L49" s="190">
        <f>U49/U46-1</f>
        <v>0.16933286987410634</v>
      </c>
      <c r="M49" s="190">
        <f>K49/K37-1</f>
        <v>0.35411267501574839</v>
      </c>
      <c r="N49" s="191">
        <f>AVERAGE(T47:T49)</f>
        <v>1040.01082808922</v>
      </c>
      <c r="O49" s="192">
        <f>N49/N46-1</f>
        <v>-4.2166166585668852E-2</v>
      </c>
      <c r="P49" s="129" t="s">
        <v>1204</v>
      </c>
      <c r="Q49" s="116">
        <v>51763630</v>
      </c>
      <c r="R49" s="116">
        <v>71948580833</v>
      </c>
      <c r="S49" s="136">
        <v>43700.79</v>
      </c>
      <c r="T49" s="130">
        <f t="shared" ref="T49" si="90">Q49/S49</f>
        <v>1184.5010124530929</v>
      </c>
      <c r="U49" s="85">
        <f t="shared" si="81"/>
        <v>150845016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3120992.6666666665</v>
      </c>
      <c r="G50" s="190">
        <f t="shared" ref="G50" si="91">F50/F49-1</f>
        <v>0.32644945237933776</v>
      </c>
      <c r="H50" s="190">
        <f t="shared" ref="H50" si="92">F50/F38-1</f>
        <v>0.55540591750197654</v>
      </c>
      <c r="I50" s="130">
        <f t="shared" ref="I50" si="93">T50</f>
        <v>1770.5443732340764</v>
      </c>
      <c r="J50" s="130">
        <f t="shared" ref="J50" si="94">I50/I38-1</f>
        <v>0.64997409138571571</v>
      </c>
      <c r="K50" s="136"/>
      <c r="L50" s="190"/>
      <c r="M50" s="190"/>
      <c r="N50" s="191"/>
      <c r="O50" s="192"/>
      <c r="P50" s="129" t="s">
        <v>1291</v>
      </c>
      <c r="Q50" s="116">
        <v>56177868</v>
      </c>
      <c r="R50" s="116">
        <v>79445475347</v>
      </c>
      <c r="S50" s="136">
        <v>31729.15</v>
      </c>
      <c r="T50" s="130">
        <f t="shared" ref="T50" si="95">Q50/S50</f>
        <v>1770.5443732340764</v>
      </c>
      <c r="U50" s="85">
        <f t="shared" si="81"/>
        <v>157116311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2699656.95</v>
      </c>
      <c r="G51" s="190">
        <f t="shared" ref="G51:G52" si="96">F51/F50-1</f>
        <v>-0.13500054683456475</v>
      </c>
      <c r="H51" s="190">
        <f t="shared" ref="H51:H52" si="97">F51/F39-1</f>
        <v>0.28683405677956397</v>
      </c>
      <c r="I51" s="130">
        <f t="shared" ref="I51:I52" si="98">T51</f>
        <v>1200.9131435960842</v>
      </c>
      <c r="J51" s="130">
        <f t="shared" ref="J51:J52" si="99">I51/I39-1</f>
        <v>0.13140390493578225</v>
      </c>
      <c r="K51" s="136"/>
      <c r="L51" s="190"/>
      <c r="M51" s="190"/>
      <c r="N51" s="191"/>
      <c r="O51" s="192"/>
      <c r="P51" s="129" t="s">
        <v>1402</v>
      </c>
      <c r="Q51" s="116">
        <v>53993139</v>
      </c>
      <c r="R51" s="116">
        <v>78332131344</v>
      </c>
      <c r="S51" s="136">
        <v>44960.07</v>
      </c>
      <c r="T51" s="130">
        <f t="shared" ref="T51:T52" si="100">Q51/S51</f>
        <v>1200.9131435960842</v>
      </c>
      <c r="U51" s="85">
        <f t="shared" si="81"/>
        <v>161934637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7879080.5257575763</v>
      </c>
      <c r="C52" s="188">
        <f>AVERAGE(F50:F52)</f>
        <v>2626360.1752525256</v>
      </c>
      <c r="D52" s="190">
        <f>C52/C49-1</f>
        <v>0.12856816873964272</v>
      </c>
      <c r="E52" s="287">
        <f>C52/C40-1</f>
        <v>0.29049961375790301</v>
      </c>
      <c r="F52" s="136">
        <f>Q52/22</f>
        <v>2058430.9090909092</v>
      </c>
      <c r="G52" s="190">
        <f t="shared" si="96"/>
        <v>-0.23752130466394661</v>
      </c>
      <c r="H52" s="190">
        <f t="shared" si="97"/>
        <v>2.8702009778050375E-2</v>
      </c>
      <c r="I52" s="130">
        <f t="shared" si="98"/>
        <v>1225.9656695350286</v>
      </c>
      <c r="J52" s="130">
        <f t="shared" si="99"/>
        <v>0.22943333403343447</v>
      </c>
      <c r="K52" s="136">
        <f>R50+R51+R52</f>
        <v>224394103739</v>
      </c>
      <c r="L52" s="190">
        <f>U52/U49-1</f>
        <v>3.0570920553318226E-2</v>
      </c>
      <c r="M52" s="190">
        <f>K52/K40-1</f>
        <v>0.28279302309403986</v>
      </c>
      <c r="N52" s="191">
        <f>AVERAGE(T50:T52)</f>
        <v>1399.1410621217299</v>
      </c>
      <c r="O52" s="192">
        <f>N52/N49-1</f>
        <v>0.34531393744460215</v>
      </c>
      <c r="P52" s="129" t="s">
        <v>1403</v>
      </c>
      <c r="Q52" s="116">
        <v>45285480</v>
      </c>
      <c r="R52" s="116">
        <v>66616497048</v>
      </c>
      <c r="S52" s="136">
        <v>36938.620000000003</v>
      </c>
      <c r="T52" s="130">
        <f t="shared" si="100"/>
        <v>1225.9656695350286</v>
      </c>
      <c r="U52" s="85">
        <f t="shared" ref="U52" si="101">Q50+Q51+Q52</f>
        <v>155456487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2733045.8571428573</v>
      </c>
      <c r="G53" s="190">
        <f t="shared" ref="G53" si="102">F53/F52-1</f>
        <v>0.32773261666085585</v>
      </c>
      <c r="H53" s="190">
        <f t="shared" ref="H53" si="103">F53/F41-1</f>
        <v>0.51266279373717039</v>
      </c>
      <c r="I53" s="130">
        <f t="shared" ref="I53" si="104">T53</f>
        <v>1154.2458492553226</v>
      </c>
      <c r="J53" s="130">
        <f t="shared" ref="J53" si="105">I53/I41-1</f>
        <v>5.0034944865763764E-2</v>
      </c>
      <c r="K53" s="136"/>
      <c r="L53" s="190"/>
      <c r="M53" s="190"/>
      <c r="N53" s="191"/>
      <c r="O53" s="192"/>
      <c r="P53" s="129" t="s">
        <v>1414</v>
      </c>
      <c r="Q53" s="116">
        <v>57393963</v>
      </c>
      <c r="R53" s="116">
        <v>83566007572</v>
      </c>
      <c r="S53" s="136">
        <v>49724.21</v>
      </c>
      <c r="T53" s="130">
        <f t="shared" ref="T53" si="106">Q53/S53</f>
        <v>1154.2458492553226</v>
      </c>
      <c r="U53" s="85">
        <f t="shared" ref="U53" si="107">Q51+Q52+Q53</f>
        <v>156672582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2889155.9411764704</v>
      </c>
      <c r="G54" s="190">
        <f t="shared" ref="G54" si="108">F54/F53-1</f>
        <v>5.7119452871826848E-2</v>
      </c>
      <c r="H54" s="190">
        <f t="shared" ref="H54" si="109">F54/F42-1</f>
        <v>0.25587628011896069</v>
      </c>
      <c r="I54" s="130">
        <f t="shared" ref="I54" si="110">T54</f>
        <v>1307.1082433086606</v>
      </c>
      <c r="J54" s="130">
        <f t="shared" ref="J54" si="111">I54/I42-1</f>
        <v>0.52686766685738351</v>
      </c>
      <c r="K54" s="136"/>
      <c r="L54" s="190"/>
      <c r="M54" s="190"/>
      <c r="N54" s="191"/>
      <c r="O54" s="192"/>
      <c r="P54" s="129" t="s">
        <v>1417</v>
      </c>
      <c r="Q54" s="116">
        <v>49115651</v>
      </c>
      <c r="R54" s="116">
        <v>71073648028</v>
      </c>
      <c r="S54" s="136">
        <v>37575.81</v>
      </c>
      <c r="T54" s="130">
        <f t="shared" ref="T54" si="112">Q54/S54</f>
        <v>1307.1082433086606</v>
      </c>
      <c r="U54" s="85">
        <f t="shared" ref="U54" si="113">Q52+Q53+Q54</f>
        <v>151795094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9177761.7030812316</v>
      </c>
      <c r="C55" s="188">
        <f>AVERAGE(F53:F55)</f>
        <v>3059253.9010270773</v>
      </c>
      <c r="D55" s="190">
        <f>C55/C52-1</f>
        <v>0.16482648870996108</v>
      </c>
      <c r="E55" s="287">
        <f>C55/C43-1</f>
        <v>0.49191363651804454</v>
      </c>
      <c r="F55" s="136">
        <f>Q55/21</f>
        <v>3555559.9047619049</v>
      </c>
      <c r="G55" s="190">
        <f t="shared" ref="G55" si="114">F55/F54-1</f>
        <v>0.23065697288533116</v>
      </c>
      <c r="H55" s="190">
        <f t="shared" ref="H55" si="115">F55/F43-1</f>
        <v>0.73918491724906565</v>
      </c>
      <c r="I55" s="130">
        <f>T55</f>
        <v>1136.3277867415668</v>
      </c>
      <c r="J55" s="130">
        <f t="shared" ref="J55" si="116">I55/I43-1</f>
        <v>0.14659067335012477</v>
      </c>
      <c r="K55" s="136">
        <f>R53+R54+R55</f>
        <v>264754411595</v>
      </c>
      <c r="L55" s="190">
        <f>U55/U52-1</f>
        <v>0.16544748627955297</v>
      </c>
      <c r="M55" s="190">
        <f>K55/K43-1</f>
        <v>0.52827906849903705</v>
      </c>
      <c r="N55" s="191">
        <f>AVERAGE(T53:T55)</f>
        <v>1199.2272931018499</v>
      </c>
      <c r="O55" s="192">
        <f>N55/N52-1</f>
        <v>-0.14288321201632115</v>
      </c>
      <c r="P55" s="129" t="s">
        <v>1418</v>
      </c>
      <c r="Q55" s="116">
        <v>74666758</v>
      </c>
      <c r="R55" s="116">
        <v>110114755995</v>
      </c>
      <c r="S55" s="136">
        <v>65708.820000000007</v>
      </c>
      <c r="T55" s="130">
        <f t="shared" ref="T55" si="117">Q55/S55</f>
        <v>1136.3277867415668</v>
      </c>
      <c r="U55" s="85">
        <f t="shared" ref="U55" si="118">Q53+Q54+Q55</f>
        <v>181176372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2711672.7272727271</v>
      </c>
      <c r="G56" s="190">
        <f t="shared" ref="G56" si="119">F56/F55-1</f>
        <v>-0.2373429783475095</v>
      </c>
      <c r="H56" s="190">
        <f t="shared" ref="H56" si="120">F56/F44-1</f>
        <v>0.78742472960754628</v>
      </c>
      <c r="I56" s="291">
        <f>T56</f>
        <v>797.83399054076017</v>
      </c>
      <c r="J56" s="130">
        <f t="shared" ref="J56" si="121">I56/I44-1</f>
        <v>-0.29239294471148602</v>
      </c>
      <c r="K56" s="136"/>
      <c r="L56" s="190"/>
      <c r="M56" s="190"/>
      <c r="N56" s="191"/>
      <c r="O56" s="192"/>
      <c r="P56" s="129" t="s">
        <v>1420</v>
      </c>
      <c r="Q56" s="116">
        <v>59656800</v>
      </c>
      <c r="R56" s="116">
        <v>89020447758</v>
      </c>
      <c r="S56" s="136">
        <v>74773.45</v>
      </c>
      <c r="T56" s="130">
        <f t="shared" ref="T56" si="122">Q56/S56</f>
        <v>797.83399054076017</v>
      </c>
      <c r="U56" s="85">
        <f t="shared" ref="U56" si="123">Q54+Q55+Q56</f>
        <v>183439209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3596168.25</v>
      </c>
      <c r="G57" s="254">
        <f t="shared" ref="G57" si="124">F57/F56-1</f>
        <v>0.32618077905620169</v>
      </c>
      <c r="H57" s="254">
        <f t="shared" ref="H57" si="125">F57/F45-1</f>
        <v>0.7319326541851825</v>
      </c>
      <c r="I57" s="282">
        <f>T57</f>
        <v>1106.5172798056199</v>
      </c>
      <c r="J57" s="277">
        <f t="shared" ref="J57" si="126">I57/I45-1</f>
        <v>-0.12200318141976274</v>
      </c>
      <c r="K57" s="204"/>
      <c r="L57" s="254"/>
      <c r="M57" s="254"/>
      <c r="N57" s="257"/>
      <c r="O57" s="258"/>
      <c r="P57" s="129" t="s">
        <v>1436</v>
      </c>
      <c r="Q57" s="116">
        <v>43154019</v>
      </c>
      <c r="R57" s="116">
        <v>63641558756</v>
      </c>
      <c r="S57" s="136">
        <v>38999.86</v>
      </c>
      <c r="T57" s="130">
        <f t="shared" ref="T57" si="127">Q57/S57</f>
        <v>1106.5172798056199</v>
      </c>
      <c r="U57" s="85">
        <f t="shared" ref="U57" si="128">Q55+Q56+Q57</f>
        <v>177477577</v>
      </c>
      <c r="V57" s="79"/>
      <c r="W57" s="79"/>
      <c r="X57" s="79"/>
      <c r="Y57" s="79"/>
      <c r="Z57" s="79"/>
    </row>
    <row r="58" spans="1:26">
      <c r="B58" s="196">
        <f>SUM(F56:F58)</f>
        <v>6307840.9772727266</v>
      </c>
      <c r="C58" s="196">
        <f>AVERAGE(F56:F58)</f>
        <v>3153920.4886363633</v>
      </c>
      <c r="D58" s="197">
        <f>C58/C55-1</f>
        <v>3.0944338283757311E-2</v>
      </c>
      <c r="E58" s="233">
        <f>C58/C46-1</f>
        <v>0.4690581922918502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283987191</v>
      </c>
      <c r="R65" s="212">
        <v>417416418109</v>
      </c>
      <c r="S65" s="213">
        <v>266782.15999999997</v>
      </c>
      <c r="T65" s="214">
        <v>122</v>
      </c>
      <c r="U65" s="214">
        <v>477</v>
      </c>
    </row>
    <row r="66" spans="16:21" ht="18" thickBot="1">
      <c r="P66" s="180" t="s">
        <v>976</v>
      </c>
      <c r="Q66" s="181">
        <v>57393963</v>
      </c>
      <c r="R66" s="181">
        <v>83566007572</v>
      </c>
      <c r="S66" s="182">
        <v>49724.21</v>
      </c>
      <c r="T66" s="210">
        <v>84</v>
      </c>
      <c r="U66" s="210">
        <v>230</v>
      </c>
    </row>
    <row r="67" spans="16:21" ht="18" thickBot="1">
      <c r="P67" s="180" t="s">
        <v>977</v>
      </c>
      <c r="Q67" s="181">
        <v>49115651</v>
      </c>
      <c r="R67" s="181">
        <v>71073648028</v>
      </c>
      <c r="S67" s="182">
        <v>37575.81</v>
      </c>
      <c r="T67" s="210">
        <v>73</v>
      </c>
      <c r="U67" s="210">
        <v>199</v>
      </c>
    </row>
    <row r="68" spans="16:21" ht="18" thickBot="1">
      <c r="P68" s="180" t="s">
        <v>978</v>
      </c>
      <c r="Q68" s="181">
        <v>74666758</v>
      </c>
      <c r="R68" s="181">
        <v>110114755995</v>
      </c>
      <c r="S68" s="182">
        <v>65708.820000000007</v>
      </c>
      <c r="T68" s="210">
        <v>84</v>
      </c>
      <c r="U68" s="210">
        <v>230</v>
      </c>
    </row>
    <row r="69" spans="16:21" ht="18" thickBot="1">
      <c r="P69" s="180" t="s">
        <v>979</v>
      </c>
      <c r="Q69" s="181">
        <v>59656800</v>
      </c>
      <c r="R69" s="181">
        <v>89020447758</v>
      </c>
      <c r="S69" s="182">
        <v>74773.45</v>
      </c>
      <c r="T69" s="210">
        <v>91</v>
      </c>
      <c r="U69" s="210">
        <v>254</v>
      </c>
    </row>
    <row r="70" spans="16:21" ht="18" thickBot="1">
      <c r="P70" s="180" t="s">
        <v>980</v>
      </c>
      <c r="Q70" s="181">
        <v>43154019</v>
      </c>
      <c r="R70" s="181">
        <v>63641558756</v>
      </c>
      <c r="S70" s="182">
        <v>38999.86</v>
      </c>
      <c r="T70" s="210">
        <v>71</v>
      </c>
      <c r="U70" s="210">
        <v>195</v>
      </c>
    </row>
    <row r="71" spans="16:21" ht="18" thickBot="1">
      <c r="P71" s="180" t="s">
        <v>975</v>
      </c>
      <c r="Q71" s="181">
        <v>554623781</v>
      </c>
      <c r="R71" s="181">
        <v>787024348226</v>
      </c>
      <c r="S71" s="182">
        <v>509412.84</v>
      </c>
      <c r="T71" s="210">
        <v>170</v>
      </c>
      <c r="U71" s="210">
        <v>867</v>
      </c>
    </row>
    <row r="72" spans="16:21" ht="18" thickBot="1">
      <c r="P72" s="180" t="s">
        <v>982</v>
      </c>
      <c r="Q72" s="181">
        <v>412900648</v>
      </c>
      <c r="R72" s="181">
        <v>562828850875</v>
      </c>
      <c r="S72" s="182">
        <v>440295.88</v>
      </c>
      <c r="T72" s="210">
        <v>169</v>
      </c>
      <c r="U72" s="210">
        <v>800</v>
      </c>
    </row>
    <row r="73" spans="16:21" ht="18" thickBot="1">
      <c r="P73" s="215" t="s">
        <v>1386</v>
      </c>
      <c r="Q73" s="217" t="s">
        <v>1473</v>
      </c>
      <c r="R73"/>
      <c r="S73"/>
      <c r="T73"/>
      <c r="U73"/>
    </row>
  </sheetData>
  <phoneticPr fontId="1" type="noConversion"/>
  <conditionalFormatting sqref="C29:C30">
    <cfRule type="cellIs" dxfId="2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65">
    <tabColor rgb="FFFF0000"/>
  </sheetPr>
  <dimension ref="A1:Z71"/>
  <sheetViews>
    <sheetView zoomScale="130" zoomScaleNormal="130" workbookViewId="0">
      <selection activeCell="C63" sqref="C6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8544700000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1261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757504.95</v>
      </c>
      <c r="G5" s="90"/>
      <c r="H5" s="90"/>
      <c r="I5" s="130">
        <f t="shared" ref="I5:I49" si="0">T5</f>
        <v>10.385169362154606</v>
      </c>
      <c r="J5" s="130"/>
      <c r="L5" s="80"/>
      <c r="M5" s="80"/>
      <c r="P5" s="129" t="s">
        <v>0</v>
      </c>
      <c r="Q5" s="116">
        <v>15150099</v>
      </c>
      <c r="R5" s="116">
        <v>17877402782</v>
      </c>
      <c r="S5" s="116">
        <v>1458820.6</v>
      </c>
      <c r="T5" s="130">
        <f t="shared" ref="T5:T17" si="1">Q5/S5</f>
        <v>10.385169362154606</v>
      </c>
      <c r="U5" s="85"/>
    </row>
    <row r="6" spans="1:21" ht="15" hidden="1" customHeight="1">
      <c r="A6" s="129" t="s">
        <v>1</v>
      </c>
      <c r="C6" s="79"/>
      <c r="F6" s="78">
        <f>Q6/18</f>
        <v>843592.0555555555</v>
      </c>
      <c r="G6" s="90">
        <f t="shared" ref="G6:G16" si="2">F6/F5-1</f>
        <v>0.11364560133310753</v>
      </c>
      <c r="H6" s="90"/>
      <c r="I6" s="130">
        <f t="shared" si="0"/>
        <v>10.6334506811483</v>
      </c>
      <c r="J6" s="130"/>
      <c r="P6" s="129" t="s">
        <v>1</v>
      </c>
      <c r="Q6" s="116">
        <v>15184657</v>
      </c>
      <c r="R6" s="116">
        <v>18047064131</v>
      </c>
      <c r="S6" s="116">
        <v>1428008.41</v>
      </c>
      <c r="T6" s="130">
        <f t="shared" si="1"/>
        <v>10.6334506811483</v>
      </c>
      <c r="U6" s="85"/>
    </row>
    <row r="7" spans="1:21" ht="15" hidden="1" customHeight="1">
      <c r="A7" s="129" t="s">
        <v>2</v>
      </c>
      <c r="B7" s="131">
        <f>F5+F6+F7</f>
        <v>2475367.2782828282</v>
      </c>
      <c r="C7" s="131">
        <f>AVERAGE(F5:F7)</f>
        <v>825122.42609427602</v>
      </c>
      <c r="F7" s="78">
        <f>Q7/22</f>
        <v>874270.27272727271</v>
      </c>
      <c r="G7" s="90">
        <f t="shared" si="2"/>
        <v>3.6366176008513662E-2</v>
      </c>
      <c r="H7" s="90"/>
      <c r="I7" s="130">
        <f t="shared" si="0"/>
        <v>10.639048752867003</v>
      </c>
      <c r="J7" s="130"/>
      <c r="K7" s="79">
        <f>R5+R6+R7</f>
        <v>59158363550</v>
      </c>
      <c r="N7" s="88">
        <f>AVERAGE(T5:T7)</f>
        <v>10.552556265389969</v>
      </c>
      <c r="P7" s="129" t="s">
        <v>2</v>
      </c>
      <c r="Q7" s="116">
        <v>19233946</v>
      </c>
      <c r="R7" s="116">
        <v>23233896637</v>
      </c>
      <c r="S7" s="116">
        <v>1807863.32</v>
      </c>
      <c r="T7" s="130">
        <f t="shared" si="1"/>
        <v>10.639048752867003</v>
      </c>
      <c r="U7" s="85">
        <f>Q5+Q6+Q7</f>
        <v>49568702</v>
      </c>
    </row>
    <row r="8" spans="1:21" ht="15" hidden="1" customHeight="1">
      <c r="A8" s="129" t="s">
        <v>3</v>
      </c>
      <c r="C8" s="79"/>
      <c r="F8" s="78">
        <f>Q8/21</f>
        <v>879407.57142857148</v>
      </c>
      <c r="G8" s="90">
        <f t="shared" si="2"/>
        <v>5.8760990297348492E-3</v>
      </c>
      <c r="H8" s="90"/>
      <c r="I8" s="130">
        <f t="shared" si="0"/>
        <v>10.915163318898609</v>
      </c>
      <c r="J8" s="130"/>
      <c r="K8" s="78"/>
      <c r="P8" s="129" t="s">
        <v>3</v>
      </c>
      <c r="Q8" s="116">
        <v>18467559</v>
      </c>
      <c r="R8" s="116">
        <v>22378720207</v>
      </c>
      <c r="S8" s="116">
        <v>1691917.79</v>
      </c>
      <c r="T8" s="130">
        <f t="shared" si="1"/>
        <v>10.915163318898609</v>
      </c>
      <c r="U8" s="85"/>
    </row>
    <row r="9" spans="1:21" ht="15" hidden="1" customHeight="1">
      <c r="A9" s="129" t="s">
        <v>4</v>
      </c>
      <c r="C9" s="79"/>
      <c r="F9" s="78">
        <f>Q9/21</f>
        <v>868613.85714285716</v>
      </c>
      <c r="G9" s="90">
        <f t="shared" si="2"/>
        <v>-1.2273847344957733E-2</v>
      </c>
      <c r="H9" s="90"/>
      <c r="I9" s="130">
        <f t="shared" si="0"/>
        <v>9.3292386659007729</v>
      </c>
      <c r="J9" s="130"/>
      <c r="K9" s="78"/>
      <c r="P9" s="129" t="s">
        <v>4</v>
      </c>
      <c r="Q9" s="116">
        <v>18240891</v>
      </c>
      <c r="R9" s="116">
        <v>22932211261</v>
      </c>
      <c r="S9" s="116">
        <v>1955238.97</v>
      </c>
      <c r="T9" s="130">
        <f t="shared" si="1"/>
        <v>9.3292386659007729</v>
      </c>
      <c r="U9" s="85"/>
    </row>
    <row r="10" spans="1:21" ht="15" hidden="1" customHeight="1">
      <c r="A10" s="129" t="s">
        <v>5</v>
      </c>
      <c r="B10" s="131">
        <f>F8+F9+F10</f>
        <v>2554427.1904761903</v>
      </c>
      <c r="C10" s="131">
        <f>AVERAGE(F8:F10)</f>
        <v>851475.73015873006</v>
      </c>
      <c r="D10" s="90">
        <f>C10/C7-1</f>
        <v>3.1938659320166041E-2</v>
      </c>
      <c r="E10" s="286"/>
      <c r="F10" s="78">
        <f>Q10/21</f>
        <v>806405.76190476189</v>
      </c>
      <c r="G10" s="90">
        <f t="shared" si="2"/>
        <v>-7.1617663852056368E-2</v>
      </c>
      <c r="H10" s="90"/>
      <c r="I10" s="130">
        <f t="shared" si="0"/>
        <v>10.323711995609917</v>
      </c>
      <c r="J10" s="130"/>
      <c r="K10" s="79">
        <f>R8+R9+R10</f>
        <v>66638845801</v>
      </c>
      <c r="L10" s="87">
        <f>U10/U7-1</f>
        <v>8.2194385481387133E-2</v>
      </c>
      <c r="N10" s="88">
        <f>AVERAGE(T8:T10)</f>
        <v>10.1893713268031</v>
      </c>
      <c r="O10" s="89">
        <f>N10/N7-1</f>
        <v>-3.4416773476776852E-2</v>
      </c>
      <c r="P10" s="129" t="s">
        <v>5</v>
      </c>
      <c r="Q10" s="116">
        <v>16934521</v>
      </c>
      <c r="R10" s="116">
        <v>21327914333</v>
      </c>
      <c r="S10" s="116">
        <v>1640351.94</v>
      </c>
      <c r="T10" s="130">
        <f t="shared" si="1"/>
        <v>10.323711995609917</v>
      </c>
      <c r="U10" s="85">
        <f>Q8+Q9+Q10</f>
        <v>53642971</v>
      </c>
    </row>
    <row r="11" spans="1:21" ht="15" hidden="1" customHeight="1">
      <c r="A11" s="129" t="s">
        <v>6</v>
      </c>
      <c r="C11" s="79"/>
      <c r="F11" s="78">
        <f>Q11/21</f>
        <v>934867.57142857148</v>
      </c>
      <c r="G11" s="90">
        <f t="shared" si="2"/>
        <v>0.1593017009456601</v>
      </c>
      <c r="H11" s="90"/>
      <c r="I11" s="130">
        <f t="shared" si="0"/>
        <v>11.182517977739142</v>
      </c>
      <c r="J11" s="130"/>
      <c r="K11" s="78"/>
      <c r="O11" s="89"/>
      <c r="P11" s="129" t="s">
        <v>6</v>
      </c>
      <c r="Q11" s="116">
        <v>19632219</v>
      </c>
      <c r="R11" s="116">
        <v>25359172282</v>
      </c>
      <c r="S11" s="116">
        <v>1755617.03</v>
      </c>
      <c r="T11" s="130">
        <f t="shared" si="1"/>
        <v>11.182517977739142</v>
      </c>
      <c r="U11" s="85"/>
    </row>
    <row r="12" spans="1:21" ht="15" hidden="1" customHeight="1">
      <c r="A12" s="129" t="s">
        <v>7</v>
      </c>
      <c r="C12" s="79"/>
      <c r="F12" s="78">
        <f>Q12/22</f>
        <v>806653.68181818177</v>
      </c>
      <c r="G12" s="90">
        <f t="shared" si="2"/>
        <v>-0.13714657939676533</v>
      </c>
      <c r="H12" s="90"/>
      <c r="I12" s="130">
        <f t="shared" si="0"/>
        <v>10.410688808266414</v>
      </c>
      <c r="J12" s="130"/>
      <c r="K12" s="78"/>
      <c r="O12" s="89"/>
      <c r="P12" s="129" t="s">
        <v>7</v>
      </c>
      <c r="Q12" s="116">
        <v>17746381</v>
      </c>
      <c r="R12" s="116">
        <v>23076826319</v>
      </c>
      <c r="S12" s="116">
        <v>1704630.82</v>
      </c>
      <c r="T12" s="130">
        <f t="shared" si="1"/>
        <v>10.410688808266414</v>
      </c>
      <c r="U12" s="85"/>
    </row>
    <row r="13" spans="1:21" ht="15" hidden="1" customHeight="1">
      <c r="A13" s="129" t="s">
        <v>96</v>
      </c>
      <c r="B13" s="131">
        <f>F11+F12+F13</f>
        <v>2586204.2032467532</v>
      </c>
      <c r="C13" s="131">
        <f>AVERAGE(F11:F13)</f>
        <v>862068.06774891773</v>
      </c>
      <c r="D13" s="90">
        <f>C13/C10-1</f>
        <v>1.2439975932388769E-2</v>
      </c>
      <c r="E13" s="286"/>
      <c r="F13" s="78">
        <f>Q13/20</f>
        <v>844682.95</v>
      </c>
      <c r="G13" s="90">
        <f t="shared" si="2"/>
        <v>4.7144479767452285E-2</v>
      </c>
      <c r="H13" s="90"/>
      <c r="I13" s="130">
        <f t="shared" si="0"/>
        <v>12.057491255911984</v>
      </c>
      <c r="J13" s="130"/>
      <c r="K13" s="78">
        <f>R11+R12+R13</f>
        <v>71616981835</v>
      </c>
      <c r="L13" s="87">
        <f>U13/U10-1</f>
        <v>1.1731043010276165E-2</v>
      </c>
      <c r="N13" s="88">
        <f>AVERAGE(T11:T13)</f>
        <v>11.216899347305846</v>
      </c>
      <c r="O13" s="89">
        <f>N13/N10-1</f>
        <v>0.10084312246034632</v>
      </c>
      <c r="P13" s="129" t="s">
        <v>96</v>
      </c>
      <c r="Q13" s="116">
        <v>16893659</v>
      </c>
      <c r="R13" s="116">
        <v>23180983234</v>
      </c>
      <c r="S13" s="116">
        <v>1401092.37</v>
      </c>
      <c r="T13" s="130">
        <f t="shared" si="1"/>
        <v>12.057491255911984</v>
      </c>
      <c r="U13" s="85">
        <f>Q11+Q12+Q13</f>
        <v>54272259</v>
      </c>
    </row>
    <row r="14" spans="1:21" ht="15" hidden="1" customHeight="1">
      <c r="A14" s="129" t="s">
        <v>97</v>
      </c>
      <c r="C14" s="79"/>
      <c r="F14" s="78">
        <f>Q14/20</f>
        <v>946744.4</v>
      </c>
      <c r="G14" s="90">
        <f t="shared" si="2"/>
        <v>0.12082811663240034</v>
      </c>
      <c r="H14" s="90"/>
      <c r="I14" s="130">
        <f t="shared" si="0"/>
        <v>12.324362877601821</v>
      </c>
      <c r="J14" s="130"/>
      <c r="O14" s="89"/>
      <c r="P14" s="129" t="s">
        <v>97</v>
      </c>
      <c r="Q14" s="116">
        <v>18934888</v>
      </c>
      <c r="R14" s="116">
        <v>27010080055</v>
      </c>
      <c r="S14" s="116">
        <v>1536378.65</v>
      </c>
      <c r="T14" s="130">
        <f t="shared" si="1"/>
        <v>12.324362877601821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718345.18181818177</v>
      </c>
      <c r="G15" s="90">
        <f t="shared" si="2"/>
        <v>-0.24124697033520159</v>
      </c>
      <c r="H15" s="90"/>
      <c r="I15" s="130">
        <f t="shared" si="0"/>
        <v>12.119538499369487</v>
      </c>
      <c r="J15" s="130"/>
      <c r="O15" s="89"/>
      <c r="P15" s="129" t="s">
        <v>98</v>
      </c>
      <c r="Q15" s="116">
        <v>15803594</v>
      </c>
      <c r="R15" s="116">
        <v>21841025651</v>
      </c>
      <c r="S15" s="116">
        <v>1303976.55</v>
      </c>
      <c r="T15" s="130">
        <f t="shared" si="1"/>
        <v>12.119538499369487</v>
      </c>
      <c r="U15" s="78"/>
    </row>
    <row r="16" spans="1:21" ht="15" hidden="1" customHeight="1">
      <c r="A16" s="129" t="s">
        <v>99</v>
      </c>
      <c r="B16" s="131">
        <f>F14+F15+F16</f>
        <v>2674805.1727272728</v>
      </c>
      <c r="C16" s="131">
        <f>AVERAGE(F14:F16)</f>
        <v>891601.72424242424</v>
      </c>
      <c r="D16" s="90">
        <f>C16/C13-1</f>
        <v>3.4259077210256228E-2</v>
      </c>
      <c r="E16" s="286"/>
      <c r="F16" s="78">
        <f>Q16/22</f>
        <v>1009715.5909090909</v>
      </c>
      <c r="G16" s="90">
        <f t="shared" si="2"/>
        <v>0.40561336870587805</v>
      </c>
      <c r="H16" s="90"/>
      <c r="I16" s="130">
        <f t="shared" si="0"/>
        <v>12.167393502566277</v>
      </c>
      <c r="J16" s="130"/>
      <c r="K16" s="78">
        <f>R14+R15+R16</f>
        <v>77927218936</v>
      </c>
      <c r="L16" s="87">
        <f>U16/U13-1</f>
        <v>4.9380034098083225E-2</v>
      </c>
      <c r="N16" s="88">
        <f>AVERAGE(T14:T16)</f>
        <v>12.203764959845861</v>
      </c>
      <c r="O16" s="89">
        <f>N16/N13-1</f>
        <v>8.7980250333355103E-2</v>
      </c>
      <c r="P16" s="129" t="s">
        <v>99</v>
      </c>
      <c r="Q16" s="116">
        <v>22213743</v>
      </c>
      <c r="R16" s="116">
        <v>29076113230</v>
      </c>
      <c r="S16" s="116">
        <v>1825678.03</v>
      </c>
      <c r="T16" s="130">
        <f t="shared" si="1"/>
        <v>12.167393502566277</v>
      </c>
      <c r="U16" s="85">
        <f>Q14+Q15+Q16</f>
        <v>56952225</v>
      </c>
    </row>
    <row r="17" spans="1:21" ht="15" hidden="1" customHeight="1">
      <c r="A17" s="129" t="s">
        <v>100</v>
      </c>
      <c r="C17" s="79"/>
      <c r="F17" s="78">
        <f>Q17/20</f>
        <v>938223.35</v>
      </c>
      <c r="G17" s="90">
        <f t="shared" ref="G17:G22" si="3">F17/F16-1</f>
        <v>-7.0804334956067527E-2</v>
      </c>
      <c r="H17" s="90">
        <f t="shared" ref="H17:H22" si="4">F17/F5-1</f>
        <v>0.23857058623841332</v>
      </c>
      <c r="I17" s="130">
        <f t="shared" si="0"/>
        <v>10.957969966402429</v>
      </c>
      <c r="J17" s="130">
        <f t="shared" ref="J17:J49" si="5">I17/I5-1</f>
        <v>5.5155634373687645E-2</v>
      </c>
      <c r="O17" s="89"/>
      <c r="P17" s="129" t="s">
        <v>100</v>
      </c>
      <c r="Q17" s="116">
        <v>18764467</v>
      </c>
      <c r="R17" s="116">
        <v>23521579423</v>
      </c>
      <c r="S17" s="116">
        <v>1712403.58</v>
      </c>
      <c r="T17" s="130">
        <f t="shared" si="1"/>
        <v>10.957969966402429</v>
      </c>
      <c r="U17" s="78"/>
    </row>
    <row r="18" spans="1:21" ht="15" hidden="1" customHeight="1">
      <c r="A18" s="129" t="s">
        <v>106</v>
      </c>
      <c r="C18" s="79"/>
      <c r="F18" s="78">
        <f>Q18/20</f>
        <v>1171379.8</v>
      </c>
      <c r="G18" s="90">
        <f t="shared" si="3"/>
        <v>0.24850847082413807</v>
      </c>
      <c r="H18" s="90">
        <f t="shared" si="4"/>
        <v>0.38856191483284763</v>
      </c>
      <c r="I18" s="130">
        <f t="shared" si="0"/>
        <v>11.794057920465429</v>
      </c>
      <c r="J18" s="130">
        <f t="shared" si="5"/>
        <v>0.1091468117094605</v>
      </c>
      <c r="O18" s="89"/>
      <c r="P18" s="129" t="s">
        <v>106</v>
      </c>
      <c r="Q18" s="116">
        <v>23427596</v>
      </c>
      <c r="R18" s="116">
        <v>29408428327</v>
      </c>
      <c r="S18" s="116">
        <v>1986389.77</v>
      </c>
      <c r="T18" s="130">
        <f t="shared" ref="T18" si="6">Q18/S18</f>
        <v>11.794057920465429</v>
      </c>
      <c r="U18" s="78"/>
    </row>
    <row r="19" spans="1:21" hidden="1">
      <c r="A19" s="129" t="s">
        <v>114</v>
      </c>
      <c r="B19" s="131">
        <f>SUM(F17:F19)</f>
        <v>2698332.2863636361</v>
      </c>
      <c r="C19" s="131">
        <f>AVERAGE(F17:F19)</f>
        <v>899444.09545454534</v>
      </c>
      <c r="D19" s="90">
        <f>C19/C16-1</f>
        <v>8.7958232907014988E-3</v>
      </c>
      <c r="E19" s="286">
        <f>C19/C7-1</f>
        <v>9.0073505470056769E-2</v>
      </c>
      <c r="F19" s="78">
        <f>Q19/22</f>
        <v>588729.13636363635</v>
      </c>
      <c r="G19" s="90">
        <f t="shared" si="3"/>
        <v>-0.49740542191043735</v>
      </c>
      <c r="H19" s="90">
        <f t="shared" si="4"/>
        <v>-0.32660510744909022</v>
      </c>
      <c r="I19" s="130">
        <f t="shared" si="0"/>
        <v>12.395762086877747</v>
      </c>
      <c r="J19" s="130">
        <f t="shared" si="5"/>
        <v>0.16511939881254389</v>
      </c>
      <c r="K19" s="78">
        <f>R17+R18+R19</f>
        <v>69848703487</v>
      </c>
      <c r="L19" s="87">
        <f>U19/U16-1</f>
        <v>-3.1748030915385694E-2</v>
      </c>
      <c r="M19" s="87">
        <f>U19/U7-1</f>
        <v>0.11247827308449598</v>
      </c>
      <c r="N19" s="88">
        <f>AVERAGE(T17:T19)</f>
        <v>11.715929991248535</v>
      </c>
      <c r="O19" s="89">
        <f>N19/N16-1</f>
        <v>-3.997413668670724E-2</v>
      </c>
      <c r="P19" s="129" t="s">
        <v>115</v>
      </c>
      <c r="Q19" s="116">
        <v>12952041</v>
      </c>
      <c r="R19" s="116">
        <v>16918695737</v>
      </c>
      <c r="S19" s="116">
        <v>1044876.54</v>
      </c>
      <c r="T19" s="130">
        <f t="shared" ref="T19" si="7">Q19/S19</f>
        <v>12.395762086877747</v>
      </c>
      <c r="U19" s="85">
        <f>Q17+Q18+Q19</f>
        <v>55144104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552999.55000000005</v>
      </c>
      <c r="G20" s="90">
        <f t="shared" si="3"/>
        <v>-6.0689346181038051E-2</v>
      </c>
      <c r="H20" s="90">
        <f t="shared" si="4"/>
        <v>-0.37116808182391614</v>
      </c>
      <c r="I20" s="130">
        <f t="shared" si="0"/>
        <v>13.973001965217152</v>
      </c>
      <c r="J20" s="130">
        <f t="shared" si="5"/>
        <v>0.28014593616058647</v>
      </c>
      <c r="O20" s="89"/>
      <c r="P20" s="129" t="s">
        <v>132</v>
      </c>
      <c r="Q20" s="116">
        <v>11059991</v>
      </c>
      <c r="R20" s="116">
        <v>14503829612</v>
      </c>
      <c r="S20" s="116">
        <v>791525.76</v>
      </c>
      <c r="T20" s="130">
        <f t="shared" ref="T20" si="8">Q20/S20</f>
        <v>13.973001965217152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598954.28571428568</v>
      </c>
      <c r="G21" s="90">
        <f t="shared" si="3"/>
        <v>8.3100855532858287E-2</v>
      </c>
      <c r="H21" s="90">
        <f t="shared" si="4"/>
        <v>-0.31044815738441733</v>
      </c>
      <c r="I21" s="130">
        <f t="shared" si="0"/>
        <v>11.943900235457795</v>
      </c>
      <c r="J21" s="130">
        <f t="shared" si="5"/>
        <v>0.28026526742357349</v>
      </c>
      <c r="O21" s="89"/>
      <c r="P21" s="129" t="s">
        <v>141</v>
      </c>
      <c r="Q21" s="116">
        <v>12578040</v>
      </c>
      <c r="R21" s="116">
        <v>16764422466</v>
      </c>
      <c r="S21" s="116">
        <v>1053093.19</v>
      </c>
      <c r="T21" s="130">
        <f t="shared" ref="T21" si="9">Q21/S21</f>
        <v>11.943900235457795</v>
      </c>
      <c r="U21" s="78"/>
    </row>
    <row r="22" spans="1:21" hidden="1">
      <c r="A22" s="129" t="s">
        <v>156</v>
      </c>
      <c r="B22" s="131">
        <f>SUM(F20:F22)</f>
        <v>1760313.4547619047</v>
      </c>
      <c r="C22" s="131">
        <f>AVERAGE(F20:F22)</f>
        <v>586771.15158730152</v>
      </c>
      <c r="D22" s="90">
        <f>C22/C19-1</f>
        <v>-0.34762910273954339</v>
      </c>
      <c r="E22" s="286">
        <f>C22/C10-1</f>
        <v>-0.310877420454583</v>
      </c>
      <c r="F22" s="78">
        <f>Q22/21</f>
        <v>608359.61904761905</v>
      </c>
      <c r="G22" s="90">
        <f t="shared" si="3"/>
        <v>1.5702923507955102E-2</v>
      </c>
      <c r="H22" s="90">
        <f t="shared" si="4"/>
        <v>-0.24559118028788651</v>
      </c>
      <c r="I22" s="130">
        <f t="shared" si="0"/>
        <v>12.756210013880153</v>
      </c>
      <c r="J22" s="130">
        <f t="shared" si="5"/>
        <v>0.23562242140275114</v>
      </c>
      <c r="K22" s="78">
        <f>R20+R21+R22</f>
        <v>47886767103</v>
      </c>
      <c r="L22" s="87">
        <f>U22/U19-1</f>
        <v>-0.3396649803213776</v>
      </c>
      <c r="M22" s="87">
        <f>U22/U10-1</f>
        <v>-0.32118631162319478</v>
      </c>
      <c r="N22" s="88">
        <f>AVERAGE(T20:T22)</f>
        <v>12.891037404851701</v>
      </c>
      <c r="O22" s="89">
        <f>N22/N19-1</f>
        <v>0.10029996888688641</v>
      </c>
      <c r="P22" s="129" t="s">
        <v>156</v>
      </c>
      <c r="Q22" s="116">
        <v>12775552</v>
      </c>
      <c r="R22" s="116">
        <v>16618515025</v>
      </c>
      <c r="S22" s="116">
        <v>1001516.28</v>
      </c>
      <c r="T22" s="130">
        <f t="shared" ref="T22:T23" si="10">Q22/S22</f>
        <v>12.756210013880153</v>
      </c>
      <c r="U22" s="85">
        <f>Q20+Q21+Q22</f>
        <v>36413583</v>
      </c>
    </row>
    <row r="23" spans="1:21" hidden="1">
      <c r="A23" s="129" t="s">
        <v>189</v>
      </c>
      <c r="B23" s="131"/>
      <c r="C23" s="131"/>
      <c r="F23" s="78">
        <f>Q23/21</f>
        <v>506738.09523809527</v>
      </c>
      <c r="G23" s="90">
        <f t="shared" ref="G23" si="11">F23/F22-1</f>
        <v>-0.16704186245729336</v>
      </c>
      <c r="H23" s="90">
        <f t="shared" ref="H23" si="12">F23/F11-1</f>
        <v>-0.45795735061838905</v>
      </c>
      <c r="I23" s="130">
        <f t="shared" si="0"/>
        <v>11.611878058116</v>
      </c>
      <c r="J23" s="130">
        <f t="shared" si="5"/>
        <v>3.8395653039107858E-2</v>
      </c>
      <c r="O23" s="89"/>
      <c r="P23" s="129" t="s">
        <v>189</v>
      </c>
      <c r="Q23" s="116">
        <v>10641500</v>
      </c>
      <c r="R23" s="116">
        <v>13771582311</v>
      </c>
      <c r="S23" s="116">
        <v>916432.29</v>
      </c>
      <c r="T23" s="130">
        <f t="shared" si="10"/>
        <v>11.611878058116</v>
      </c>
      <c r="U23" s="78"/>
    </row>
    <row r="24" spans="1:21" hidden="1">
      <c r="A24" s="129" t="s">
        <v>204</v>
      </c>
      <c r="B24" s="131"/>
      <c r="C24" s="131"/>
      <c r="F24" s="78">
        <f>Q24/22</f>
        <v>444957</v>
      </c>
      <c r="G24" s="90">
        <f t="shared" ref="G24" si="13">F24/F23-1</f>
        <v>-0.12191918432551807</v>
      </c>
      <c r="H24" s="90">
        <f t="shared" ref="H24" si="14">F24/F12-1</f>
        <v>-0.44839153402600784</v>
      </c>
      <c r="I24" s="130">
        <f t="shared" si="0"/>
        <v>13.158527116074467</v>
      </c>
      <c r="J24" s="130">
        <f t="shared" si="5"/>
        <v>0.26394394822619072</v>
      </c>
      <c r="O24" s="89"/>
      <c r="P24" s="129" t="s">
        <v>204</v>
      </c>
      <c r="Q24" s="116">
        <v>9789054</v>
      </c>
      <c r="R24" s="116">
        <v>12844199206</v>
      </c>
      <c r="S24" s="116">
        <v>743932.35</v>
      </c>
      <c r="T24" s="130">
        <f t="shared" ref="T24" si="15">Q24/S24</f>
        <v>13.158527116074467</v>
      </c>
      <c r="U24" s="78"/>
    </row>
    <row r="25" spans="1:21" s="79" customFormat="1" ht="13.2" hidden="1">
      <c r="A25" s="129" t="s">
        <v>219</v>
      </c>
      <c r="B25" s="131">
        <f>SUM(F23:F25)</f>
        <v>1283695.3057644111</v>
      </c>
      <c r="C25" s="131">
        <f>AVERAGE(F23:F25)</f>
        <v>427898.43525480368</v>
      </c>
      <c r="D25" s="90">
        <f>C25/C22-1</f>
        <v>-0.27075754474759706</v>
      </c>
      <c r="E25" s="286">
        <f>C25/C13-1</f>
        <v>-0.5036372981867232</v>
      </c>
      <c r="F25" s="78">
        <f>Q25/19</f>
        <v>332000.21052631579</v>
      </c>
      <c r="G25" s="90">
        <f t="shared" ref="G25" si="16">F25/F24-1</f>
        <v>-0.25386001225665444</v>
      </c>
      <c r="H25" s="90">
        <f t="shared" ref="H25" si="17">F25/F13-1</f>
        <v>-0.6069528684978005</v>
      </c>
      <c r="I25" s="130">
        <f t="shared" si="0"/>
        <v>13.008561104336225</v>
      </c>
      <c r="J25" s="130">
        <f t="shared" si="5"/>
        <v>7.8877921471260937E-2</v>
      </c>
      <c r="K25" s="78">
        <f>R23+R24+R25</f>
        <v>34989526319</v>
      </c>
      <c r="L25" s="90">
        <f>U25/U22-1</f>
        <v>-0.26569824232896833</v>
      </c>
      <c r="M25" s="90">
        <f>U25/U13-1</f>
        <v>-0.50732550122890596</v>
      </c>
      <c r="N25" s="88">
        <f>AVERAGE(T23:T25)</f>
        <v>12.592988759508897</v>
      </c>
      <c r="O25" s="91">
        <f>N25/N22-1</f>
        <v>-2.3120609768041644E-2</v>
      </c>
      <c r="P25" s="129" t="s">
        <v>219</v>
      </c>
      <c r="Q25" s="116">
        <v>6308004</v>
      </c>
      <c r="R25" s="116">
        <v>8373744802</v>
      </c>
      <c r="S25" s="116">
        <v>484911.74</v>
      </c>
      <c r="T25" s="130">
        <f t="shared" ref="T25" si="18">Q25/S25</f>
        <v>13.008561104336225</v>
      </c>
      <c r="U25" s="85">
        <f>Q23+Q24+Q25</f>
        <v>26738558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442123.21052631579</v>
      </c>
      <c r="G26" s="90">
        <f t="shared" ref="G26" si="19">F26/F25-1</f>
        <v>0.33169557279925632</v>
      </c>
      <c r="H26" s="90">
        <f t="shared" ref="H26" si="20">F26/F14-1</f>
        <v>-0.53300678564740833</v>
      </c>
      <c r="I26" s="130">
        <f t="shared" si="0"/>
        <v>11.25589128193716</v>
      </c>
      <c r="J26" s="130">
        <f t="shared" si="5"/>
        <v>-8.6695888970170776E-2</v>
      </c>
      <c r="L26" s="90"/>
      <c r="M26" s="90"/>
      <c r="P26" s="129" t="s">
        <v>312</v>
      </c>
      <c r="Q26" s="116">
        <v>8400341</v>
      </c>
      <c r="R26" s="116">
        <v>11340891925</v>
      </c>
      <c r="S26" s="116">
        <v>746306.16</v>
      </c>
      <c r="T26" s="130">
        <f t="shared" ref="T26" si="21">Q26/S26</f>
        <v>11.25589128193716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278842.95454545453</v>
      </c>
      <c r="G27" s="90">
        <f t="shared" ref="G27" si="22">F27/F26-1</f>
        <v>-0.36930939632526394</v>
      </c>
      <c r="H27" s="90">
        <f t="shared" ref="H27" si="23">F27/F15-1</f>
        <v>-0.61182595553897423</v>
      </c>
      <c r="I27" s="130">
        <f t="shared" si="0"/>
        <v>13.408323367962524</v>
      </c>
      <c r="J27" s="130">
        <f t="shared" si="5"/>
        <v>0.10633943434893056</v>
      </c>
      <c r="L27" s="90"/>
      <c r="M27" s="90"/>
      <c r="P27" s="129" t="s">
        <v>375</v>
      </c>
      <c r="Q27" s="116">
        <v>6134545</v>
      </c>
      <c r="R27" s="116">
        <v>8122052322</v>
      </c>
      <c r="S27" s="116">
        <v>457517.68</v>
      </c>
      <c r="T27" s="130">
        <f t="shared" ref="T27" si="24">Q27/S27</f>
        <v>13.408323367962524</v>
      </c>
      <c r="U27" s="78"/>
    </row>
    <row r="28" spans="1:21" s="79" customFormat="1" ht="13.2" hidden="1">
      <c r="A28" s="123" t="s">
        <v>413</v>
      </c>
      <c r="B28" s="131">
        <f>SUM(F26:F28)</f>
        <v>1006446.1124401914</v>
      </c>
      <c r="C28" s="131">
        <f>AVERAGE(F26:F28)</f>
        <v>335482.03748006379</v>
      </c>
      <c r="D28" s="90">
        <f>C28/C25-1</f>
        <v>-0.21597741463978026</v>
      </c>
      <c r="E28" s="286">
        <f>C28/C16-1</f>
        <v>-0.62373105798430795</v>
      </c>
      <c r="F28" s="78">
        <f>Q28/19</f>
        <v>285479.94736842107</v>
      </c>
      <c r="G28" s="90">
        <f t="shared" ref="G28" si="25">F28/F27-1</f>
        <v>2.3801902521745966E-2</v>
      </c>
      <c r="H28" s="90">
        <f t="shared" ref="H28" si="26">F28/F16-1</f>
        <v>-0.71726697107708226</v>
      </c>
      <c r="I28" s="130">
        <f t="shared" si="0"/>
        <v>16.463824195954547</v>
      </c>
      <c r="J28" s="130">
        <f t="shared" si="5"/>
        <v>0.35311019508673658</v>
      </c>
      <c r="K28" s="78">
        <f>R26+R27+R28</f>
        <v>26555452472</v>
      </c>
      <c r="L28" s="90">
        <f>U28/U25-1</f>
        <v>-0.25354968656125731</v>
      </c>
      <c r="M28" s="90">
        <f>U28/U16-1</f>
        <v>-0.64954828367109452</v>
      </c>
      <c r="N28" s="88">
        <f>AVERAGE(T26:T28)</f>
        <v>13.709346281951412</v>
      </c>
      <c r="O28" s="91">
        <f>N28/N25-1</f>
        <v>8.8649131970324202E-2</v>
      </c>
      <c r="P28" s="129" t="s">
        <v>413</v>
      </c>
      <c r="Q28" s="116">
        <v>5424119</v>
      </c>
      <c r="R28" s="116">
        <v>7092508225</v>
      </c>
      <c r="S28" s="116">
        <v>329456.81</v>
      </c>
      <c r="T28" s="130">
        <f t="shared" ref="T28" si="27">Q28/S28</f>
        <v>16.463824195954547</v>
      </c>
      <c r="U28" s="85">
        <f>Q26+Q27+Q28</f>
        <v>19959005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360998</v>
      </c>
      <c r="G29" s="190">
        <f t="shared" ref="G29" si="28">F29/F28-1</f>
        <v>0.26453014766084593</v>
      </c>
      <c r="H29" s="190">
        <f t="shared" ref="H29" si="29">F29/F17-1</f>
        <v>-0.61523234313023645</v>
      </c>
      <c r="I29" s="130">
        <f t="shared" si="0"/>
        <v>14.384752903369804</v>
      </c>
      <c r="J29" s="130">
        <f t="shared" si="5"/>
        <v>0.31272059947910313</v>
      </c>
      <c r="K29" s="136"/>
      <c r="L29" s="190"/>
      <c r="M29" s="190"/>
      <c r="N29" s="191"/>
      <c r="O29" s="192"/>
      <c r="P29" s="129" t="s">
        <v>427</v>
      </c>
      <c r="Q29" s="116">
        <v>7941956</v>
      </c>
      <c r="R29" s="116">
        <v>10434828051</v>
      </c>
      <c r="S29" s="116">
        <v>552109.31000000006</v>
      </c>
      <c r="T29" s="130">
        <f t="shared" ref="T29" si="30">Q29/S29</f>
        <v>14.384752903369804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267986.63157894736</v>
      </c>
      <c r="G30" s="190">
        <f t="shared" ref="G30" si="31">F30/F29-1</f>
        <v>-0.25765064743032551</v>
      </c>
      <c r="H30" s="190">
        <f t="shared" ref="H30" si="32">F30/F18-1</f>
        <v>-0.77122139926013122</v>
      </c>
      <c r="I30" s="130">
        <f t="shared" si="0"/>
        <v>11.271174295800915</v>
      </c>
      <c r="J30" s="130">
        <f t="shared" si="5"/>
        <v>-4.433449692977931E-2</v>
      </c>
      <c r="K30" s="136"/>
      <c r="L30" s="190"/>
      <c r="M30" s="190"/>
      <c r="N30" s="191"/>
      <c r="O30" s="192"/>
      <c r="P30" s="129" t="s">
        <v>469</v>
      </c>
      <c r="Q30" s="116">
        <v>5091746</v>
      </c>
      <c r="R30" s="116">
        <v>6781470103</v>
      </c>
      <c r="S30" s="116">
        <v>451749.38</v>
      </c>
      <c r="T30" s="130">
        <f t="shared" ref="T30" si="33">Q30/S30</f>
        <v>11.271174295800915</v>
      </c>
      <c r="U30" s="85"/>
    </row>
    <row r="31" spans="1:21" s="79" customFormat="1" ht="13.2" hidden="1">
      <c r="A31" s="129" t="s">
        <v>505</v>
      </c>
      <c r="B31" s="188">
        <f>SUM(F29:F31)</f>
        <v>943237.98157894739</v>
      </c>
      <c r="C31" s="188">
        <f>AVERAGE(F29:F31)</f>
        <v>314412.6605263158</v>
      </c>
      <c r="D31" s="190">
        <f>C31/C28-1</f>
        <v>-6.2803293768001089E-2</v>
      </c>
      <c r="E31" s="287">
        <f>C31/C19-1</f>
        <v>-0.65043668404157629</v>
      </c>
      <c r="F31" s="136">
        <f>Q31/20</f>
        <v>314253.34999999998</v>
      </c>
      <c r="G31" s="190">
        <f t="shared" ref="G31" si="34">F31/F30-1</f>
        <v>0.17264562097166669</v>
      </c>
      <c r="H31" s="190">
        <f t="shared" ref="H31" si="35">F31/F19-1</f>
        <v>-0.46621743244944946</v>
      </c>
      <c r="I31" s="130">
        <f t="shared" si="0"/>
        <v>11.829635044874118</v>
      </c>
      <c r="J31" s="130">
        <f t="shared" si="5"/>
        <v>-4.5671015467692366E-2</v>
      </c>
      <c r="K31" s="136">
        <f>R29+R30+R31</f>
        <v>25555361900</v>
      </c>
      <c r="L31" s="190">
        <f>U31/U28-1</f>
        <v>-3.207755096008047E-2</v>
      </c>
      <c r="M31" s="190">
        <f>U31/U19-1</f>
        <v>-0.64966755104045215</v>
      </c>
      <c r="N31" s="191">
        <f>AVERAGE(T29:T31)</f>
        <v>12.495187414681611</v>
      </c>
      <c r="O31" s="192">
        <f>N31/N28-1</f>
        <v>-8.8564315343632516E-2</v>
      </c>
      <c r="P31" s="129" t="s">
        <v>505</v>
      </c>
      <c r="Q31" s="116">
        <v>6285067</v>
      </c>
      <c r="R31" s="116">
        <v>8339063746</v>
      </c>
      <c r="S31" s="116">
        <v>531298.47</v>
      </c>
      <c r="T31" s="130">
        <f t="shared" ref="T31" si="36">Q31/S31</f>
        <v>11.829635044874118</v>
      </c>
      <c r="U31" s="85">
        <f>Q29+Q30+Q31</f>
        <v>19318769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314219.28571428574</v>
      </c>
      <c r="G32" s="190">
        <f t="shared" ref="G32" si="37">F32/F31-1</f>
        <v>-1.0839752611779829E-4</v>
      </c>
      <c r="H32" s="190">
        <f t="shared" ref="H32" si="38">F32/F20-1</f>
        <v>-0.43179106436110892</v>
      </c>
      <c r="I32" s="130">
        <f t="shared" si="0"/>
        <v>13.583847877158433</v>
      </c>
      <c r="J32" s="130">
        <f t="shared" si="5"/>
        <v>-2.7850428206296463E-2</v>
      </c>
      <c r="K32" s="136"/>
      <c r="L32" s="190"/>
      <c r="M32" s="190"/>
      <c r="N32" s="191"/>
      <c r="O32" s="192"/>
      <c r="P32" s="129" t="s">
        <v>562</v>
      </c>
      <c r="Q32" s="116">
        <v>6598605</v>
      </c>
      <c r="R32" s="116">
        <v>8984089402</v>
      </c>
      <c r="S32" s="116">
        <v>485768.47</v>
      </c>
      <c r="T32" s="130">
        <f t="shared" ref="T32" si="39">Q32/S32</f>
        <v>13.583847877158433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397715.38095238095</v>
      </c>
      <c r="G33" s="190">
        <f t="shared" ref="G33" si="40">F33/F32-1</f>
        <v>0.2657255586597469</v>
      </c>
      <c r="H33" s="190">
        <f t="shared" ref="H33" si="41">F33/F21-1</f>
        <v>-0.33598374627525429</v>
      </c>
      <c r="I33" s="130">
        <f t="shared" si="0"/>
        <v>10.743993793405352</v>
      </c>
      <c r="J33" s="130">
        <f t="shared" si="5"/>
        <v>-0.10046186073208208</v>
      </c>
      <c r="K33" s="136"/>
      <c r="L33" s="190"/>
      <c r="M33" s="190"/>
      <c r="N33" s="191"/>
      <c r="O33" s="192"/>
      <c r="P33" s="129" t="s">
        <v>607</v>
      </c>
      <c r="Q33" s="116">
        <v>8352023</v>
      </c>
      <c r="R33" s="116">
        <v>11396474701</v>
      </c>
      <c r="S33" s="116">
        <v>777366.7</v>
      </c>
      <c r="T33" s="130">
        <f t="shared" ref="T33" si="42">Q33/S33</f>
        <v>10.743993793405352</v>
      </c>
      <c r="U33" s="85"/>
    </row>
    <row r="34" spans="1:21" s="79" customFormat="1" ht="13.2" hidden="1">
      <c r="A34" s="129" t="s">
        <v>652</v>
      </c>
      <c r="B34" s="188">
        <f>SUM(F32:F34)</f>
        <v>1020520.6140350879</v>
      </c>
      <c r="C34" s="188">
        <f>AVERAGE(F32:F34)</f>
        <v>340173.53801169596</v>
      </c>
      <c r="D34" s="190">
        <f>C34/C31-1</f>
        <v>8.1933333862120428E-2</v>
      </c>
      <c r="E34" s="287">
        <f>C34/C22-1</f>
        <v>-0.42026199295674826</v>
      </c>
      <c r="F34" s="136">
        <f>Q34/19</f>
        <v>308585.94736842107</v>
      </c>
      <c r="G34" s="190">
        <f t="shared" ref="G34" si="43">F34/F33-1</f>
        <v>-0.22410356212658389</v>
      </c>
      <c r="H34" s="190">
        <f t="shared" ref="H34" si="44">F34/F22-1</f>
        <v>-0.49275734663074888</v>
      </c>
      <c r="I34" s="130">
        <f t="shared" si="0"/>
        <v>10.856067511617283</v>
      </c>
      <c r="J34" s="130">
        <f t="shared" si="5"/>
        <v>-0.14895823290736876</v>
      </c>
      <c r="K34" s="136">
        <f>R32+R33+R34</f>
        <v>28441919945</v>
      </c>
      <c r="L34" s="190">
        <f>U34/U31-1</f>
        <v>7.7385469022379194E-2</v>
      </c>
      <c r="M34" s="190">
        <f>U34/U22-1</f>
        <v>-0.42840667450934444</v>
      </c>
      <c r="N34" s="191">
        <f>AVERAGE(T32:T34)</f>
        <v>11.72796972739369</v>
      </c>
      <c r="O34" s="192">
        <f>N34/N31-1</f>
        <v>-6.1401054808225997E-2</v>
      </c>
      <c r="P34" s="129" t="s">
        <v>652</v>
      </c>
      <c r="Q34" s="116">
        <v>5863133</v>
      </c>
      <c r="R34" s="116">
        <v>8061355842</v>
      </c>
      <c r="S34" s="116">
        <v>540078.9</v>
      </c>
      <c r="T34" s="130">
        <f t="shared" ref="T34" si="45">Q34/S34</f>
        <v>10.856067511617283</v>
      </c>
      <c r="U34" s="85">
        <f>Q32+Q33+Q34</f>
        <v>20813761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340831.65217391303</v>
      </c>
      <c r="G35" s="190">
        <f t="shared" ref="G35" si="46">F35/F34-1</f>
        <v>0.1044950526116919</v>
      </c>
      <c r="H35" s="190">
        <f t="shared" ref="H35" si="47">F35/F23-1</f>
        <v>-0.32740077097663178</v>
      </c>
      <c r="I35" s="130">
        <f t="shared" si="0"/>
        <v>11.283728498723502</v>
      </c>
      <c r="J35" s="130">
        <f t="shared" si="5"/>
        <v>-2.825981789940879E-2</v>
      </c>
      <c r="K35" s="136"/>
      <c r="L35" s="190"/>
      <c r="M35" s="190"/>
      <c r="N35" s="191"/>
      <c r="O35" s="192"/>
      <c r="P35" s="129" t="s">
        <v>660</v>
      </c>
      <c r="Q35" s="116">
        <v>7839128</v>
      </c>
      <c r="R35" s="116">
        <v>10844469647</v>
      </c>
      <c r="S35" s="116">
        <v>694728.52</v>
      </c>
      <c r="T35" s="130">
        <f t="shared" ref="T35" si="48">Q35/S35</f>
        <v>11.283728498723502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325797</v>
      </c>
      <c r="G36" s="190">
        <f t="shared" ref="G36" si="49">F36/F35-1</f>
        <v>-4.4111666501682301E-2</v>
      </c>
      <c r="H36" s="190">
        <f t="shared" ref="H36" si="50">F36/F24-1</f>
        <v>-0.26780115831417417</v>
      </c>
      <c r="I36" s="130">
        <f t="shared" si="0"/>
        <v>12.449450141492839</v>
      </c>
      <c r="J36" s="130">
        <f t="shared" si="5"/>
        <v>-5.3887260202201359E-2</v>
      </c>
      <c r="K36" s="136"/>
      <c r="L36" s="190"/>
      <c r="M36" s="190"/>
      <c r="N36" s="191"/>
      <c r="O36" s="192"/>
      <c r="P36" s="129" t="s">
        <v>664</v>
      </c>
      <c r="Q36" s="116">
        <v>6841737</v>
      </c>
      <c r="R36" s="116">
        <v>9349319482</v>
      </c>
      <c r="S36" s="116">
        <v>549561.38</v>
      </c>
      <c r="T36" s="130">
        <f t="shared" ref="T36" si="51">Q36/S36</f>
        <v>12.449450141492839</v>
      </c>
      <c r="U36" s="85"/>
    </row>
    <row r="37" spans="1:21" s="79" customFormat="1" ht="13.2" hidden="1">
      <c r="A37" s="129" t="s">
        <v>702</v>
      </c>
      <c r="B37" s="188">
        <f>SUM(F35:F37)</f>
        <v>1103579.1521739131</v>
      </c>
      <c r="C37" s="188">
        <f>AVERAGE(F35:F37)</f>
        <v>367859.71739130438</v>
      </c>
      <c r="D37" s="190">
        <f>C37/C34-1</f>
        <v>8.1388398231776904E-2</v>
      </c>
      <c r="E37" s="287">
        <f>C37/C25-1</f>
        <v>-0.14031067402185671</v>
      </c>
      <c r="F37" s="136">
        <f>Q37/18</f>
        <v>436950.5</v>
      </c>
      <c r="G37" s="190">
        <f t="shared" ref="G37" si="52">F37/F36-1</f>
        <v>0.34117410534780857</v>
      </c>
      <c r="H37" s="190">
        <f t="shared" ref="H37" si="53">F37/F25-1</f>
        <v>0.31611512928653829</v>
      </c>
      <c r="I37" s="130">
        <f t="shared" si="0"/>
        <v>11.70754647567321</v>
      </c>
      <c r="J37" s="130">
        <f t="shared" si="5"/>
        <v>-0.10001218568511316</v>
      </c>
      <c r="K37" s="136">
        <f>R35+R36+R37</f>
        <v>30684849414</v>
      </c>
      <c r="L37" s="190">
        <f>U37/U34-1</f>
        <v>8.3224411003854692E-2</v>
      </c>
      <c r="M37" s="190">
        <f>U37/U25-1</f>
        <v>-0.15679918116751101</v>
      </c>
      <c r="N37" s="191">
        <f>AVERAGE(T35:T37)</f>
        <v>11.81357503862985</v>
      </c>
      <c r="O37" s="192">
        <f>N37/N34-1</f>
        <v>7.2992438781800395E-3</v>
      </c>
      <c r="P37" s="129" t="s">
        <v>702</v>
      </c>
      <c r="Q37" s="116">
        <v>7865109</v>
      </c>
      <c r="R37" s="116">
        <v>10491060285</v>
      </c>
      <c r="S37" s="116">
        <v>671798.23</v>
      </c>
      <c r="T37" s="130">
        <f t="shared" ref="T37" si="54">Q37/S37</f>
        <v>11.70754647567321</v>
      </c>
      <c r="U37" s="85">
        <f>Q35+Q36+Q37</f>
        <v>22545974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468707.65</v>
      </c>
      <c r="G38" s="190">
        <f t="shared" ref="G38" si="55">F38/F37-1</f>
        <v>7.2679056323313507E-2</v>
      </c>
      <c r="H38" s="190">
        <f t="shared" ref="H38" si="56">F38/F26-1</f>
        <v>6.0129029285834967E-2</v>
      </c>
      <c r="I38" s="130">
        <f t="shared" si="0"/>
        <v>11.762481308512653</v>
      </c>
      <c r="J38" s="130">
        <f t="shared" si="5"/>
        <v>4.5006655971210563E-2</v>
      </c>
      <c r="K38" s="136"/>
      <c r="L38" s="190"/>
      <c r="M38" s="190"/>
      <c r="N38" s="191"/>
      <c r="O38" s="192"/>
      <c r="P38" s="129" t="s">
        <v>727</v>
      </c>
      <c r="Q38" s="116">
        <v>9374153</v>
      </c>
      <c r="R38" s="116">
        <v>12623534196</v>
      </c>
      <c r="S38" s="116">
        <v>796953.7</v>
      </c>
      <c r="T38" s="130">
        <f t="shared" ref="T38" si="57">Q38/S38</f>
        <v>11.762481308512653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399101.66666666669</v>
      </c>
      <c r="G39" s="190">
        <f t="shared" ref="G39" si="58">F39/F38-1</f>
        <v>-0.14850618148292083</v>
      </c>
      <c r="H39" s="190">
        <f t="shared" ref="H39" si="59">F39/F27-1</f>
        <v>0.43127757097986374</v>
      </c>
      <c r="I39" s="130">
        <f t="shared" si="0"/>
        <v>13.735820648635942</v>
      </c>
      <c r="J39" s="130">
        <f t="shared" si="5"/>
        <v>2.4424924107657731E-2</v>
      </c>
      <c r="K39" s="136"/>
      <c r="L39" s="190"/>
      <c r="M39" s="190"/>
      <c r="N39" s="191"/>
      <c r="O39" s="192"/>
      <c r="P39" s="129" t="s">
        <v>762</v>
      </c>
      <c r="Q39" s="116">
        <v>8381135</v>
      </c>
      <c r="R39" s="116">
        <v>11640482096</v>
      </c>
      <c r="S39" s="116">
        <v>610166.31000000006</v>
      </c>
      <c r="T39" s="130">
        <f t="shared" ref="T39" si="60">Q39/S39</f>
        <v>13.735820648635942</v>
      </c>
      <c r="U39" s="85"/>
    </row>
    <row r="40" spans="1:21" s="79" customFormat="1" ht="13.2" hidden="1">
      <c r="A40" s="129" t="s">
        <v>778</v>
      </c>
      <c r="B40" s="188">
        <f>SUM(F38:F40)</f>
        <v>1110408.030952381</v>
      </c>
      <c r="C40" s="188">
        <f>AVERAGE(F38:F40)</f>
        <v>370136.01031746034</v>
      </c>
      <c r="D40" s="190">
        <f>C40/C37-1</f>
        <v>6.1879374624065342E-3</v>
      </c>
      <c r="E40" s="287">
        <f>C40/C28-1</f>
        <v>0.10329606049163176</v>
      </c>
      <c r="F40" s="136">
        <f>Q40/21</f>
        <v>242598.71428571429</v>
      </c>
      <c r="G40" s="190">
        <f t="shared" ref="G40" si="61">F40/F39-1</f>
        <v>-0.3921380576735729</v>
      </c>
      <c r="H40" s="190">
        <f t="shared" ref="H40" si="62">F40/F28-1</f>
        <v>-0.1502075136204476</v>
      </c>
      <c r="I40" s="130">
        <f t="shared" si="0"/>
        <v>11.117336177340455</v>
      </c>
      <c r="J40" s="130">
        <f t="shared" si="5"/>
        <v>-0.32474156398777743</v>
      </c>
      <c r="K40" s="136">
        <f>R38+R39+R40</f>
        <v>31518863527</v>
      </c>
      <c r="L40" s="190">
        <f>U40/U37-1</f>
        <v>1.347854832086659E-2</v>
      </c>
      <c r="M40" s="190">
        <f>U40/U28-1</f>
        <v>0.1448396851446252</v>
      </c>
      <c r="N40" s="191">
        <f>AVERAGE(T38:T40)</f>
        <v>12.205212711496349</v>
      </c>
      <c r="O40" s="192">
        <f>N40/N37-1</f>
        <v>3.3151494918842284E-2</v>
      </c>
      <c r="P40" s="129" t="s">
        <v>778</v>
      </c>
      <c r="Q40" s="116">
        <v>5094573</v>
      </c>
      <c r="R40" s="116">
        <v>7254847235</v>
      </c>
      <c r="S40" s="116">
        <v>458254.83</v>
      </c>
      <c r="T40" s="130">
        <f t="shared" ref="T40" si="63">Q40/S40</f>
        <v>11.117336177340455</v>
      </c>
      <c r="U40" s="85">
        <f>Q38+Q39+Q40</f>
        <v>22849861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245496.16666666666</v>
      </c>
      <c r="G41" s="190">
        <f t="shared" ref="G41" si="64">F41/F40-1</f>
        <v>1.1943395452376437E-2</v>
      </c>
      <c r="H41" s="190">
        <f t="shared" ref="H41" si="65">F41/F29-1</f>
        <v>-0.31995144940784537</v>
      </c>
      <c r="I41" s="130">
        <f t="shared" si="0"/>
        <v>15.076881011014995</v>
      </c>
      <c r="J41" s="130">
        <f t="shared" si="5"/>
        <v>4.8115397761406831E-2</v>
      </c>
      <c r="K41" s="193"/>
      <c r="L41" s="190"/>
      <c r="M41" s="190"/>
      <c r="N41" s="193"/>
      <c r="O41" s="193"/>
      <c r="P41" s="129" t="s">
        <v>792</v>
      </c>
      <c r="Q41" s="116">
        <v>4418931</v>
      </c>
      <c r="R41" s="116">
        <v>6468110410</v>
      </c>
      <c r="S41" s="116">
        <v>293093.18</v>
      </c>
      <c r="T41" s="130">
        <f t="shared" ref="T41" si="66">Q41/S41</f>
        <v>15.076881011014995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347586.3</v>
      </c>
      <c r="G42" s="190">
        <f t="shared" ref="G42" si="67">F42/F41-1</f>
        <v>0.41585225023880201</v>
      </c>
      <c r="H42" s="190">
        <f t="shared" ref="H42" si="68">F42/F30-1</f>
        <v>0.29702850456405328</v>
      </c>
      <c r="I42" s="130">
        <f t="shared" si="0"/>
        <v>13.084602157173535</v>
      </c>
      <c r="J42" s="130">
        <f t="shared" si="5"/>
        <v>0.16089076557428572</v>
      </c>
      <c r="K42" s="193"/>
      <c r="L42" s="190"/>
      <c r="M42" s="190"/>
      <c r="N42" s="193"/>
      <c r="O42" s="193"/>
      <c r="P42" s="129" t="s">
        <v>826</v>
      </c>
      <c r="Q42" s="116">
        <v>6951726</v>
      </c>
      <c r="R42" s="116">
        <v>10063043196</v>
      </c>
      <c r="S42" s="116">
        <v>531290.59</v>
      </c>
      <c r="T42" s="130">
        <f t="shared" ref="T42" si="69">Q42/S42</f>
        <v>13.084602157173535</v>
      </c>
      <c r="U42" s="78"/>
    </row>
    <row r="43" spans="1:21" s="79" customFormat="1" ht="13.2">
      <c r="A43" s="129" t="s">
        <v>835</v>
      </c>
      <c r="B43" s="188">
        <f>SUM(F41:F43)</f>
        <v>926198.81666666665</v>
      </c>
      <c r="C43" s="188">
        <f>AVERAGE(F41:F43)</f>
        <v>308732.93888888886</v>
      </c>
      <c r="D43" s="190">
        <f>C43/C40-1</f>
        <v>-0.16589326549423533</v>
      </c>
      <c r="E43" s="287">
        <f>C43/C31-1</f>
        <v>-1.806454494522991E-2</v>
      </c>
      <c r="F43" s="136">
        <f>Q43/20</f>
        <v>333116.34999999998</v>
      </c>
      <c r="G43" s="190">
        <f t="shared" ref="G43" si="70">F43/F42-1</f>
        <v>-4.1629805317413338E-2</v>
      </c>
      <c r="H43" s="190">
        <f t="shared" ref="H43" si="71">F43/F31-1</f>
        <v>6.002481755564415E-2</v>
      </c>
      <c r="I43" s="130">
        <f t="shared" si="0"/>
        <v>13.942854222517576</v>
      </c>
      <c r="J43" s="130">
        <f t="shared" si="5"/>
        <v>0.17863773224002655</v>
      </c>
      <c r="K43" s="136">
        <f>R41+R42+R43</f>
        <v>26196951133</v>
      </c>
      <c r="L43" s="190">
        <f>U43/U40-1</f>
        <v>-0.21080552743843828</v>
      </c>
      <c r="M43" s="190">
        <f>K43/K31-1</f>
        <v>2.5105855886940143E-2</v>
      </c>
      <c r="N43" s="191">
        <f>AVERAGE(T41:T43)</f>
        <v>14.034779130235369</v>
      </c>
      <c r="O43" s="192">
        <f>N43/N40-1</f>
        <v>0.14990041238820129</v>
      </c>
      <c r="P43" s="129" t="s">
        <v>835</v>
      </c>
      <c r="Q43" s="116">
        <v>6662327</v>
      </c>
      <c r="R43" s="116">
        <v>9665797527</v>
      </c>
      <c r="S43" s="116">
        <v>477830.93</v>
      </c>
      <c r="T43" s="130">
        <f t="shared" ref="T43" si="72">Q43/S43</f>
        <v>13.942854222517576</v>
      </c>
      <c r="U43" s="85">
        <f>Q41+Q42+Q43</f>
        <v>18032984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525383.86363636365</v>
      </c>
      <c r="G44" s="190">
        <f t="shared" ref="G44" si="73">F44/F43-1</f>
        <v>0.57717825509424459</v>
      </c>
      <c r="H44" s="190">
        <f t="shared" ref="H44" si="74">F44/F32-1</f>
        <v>0.67202933595261971</v>
      </c>
      <c r="I44" s="130">
        <f t="shared" si="0"/>
        <v>12.070118443528447</v>
      </c>
      <c r="J44" s="130">
        <f t="shared" si="5"/>
        <v>-0.11143598244907904</v>
      </c>
      <c r="K44" s="136"/>
      <c r="L44" s="190"/>
      <c r="M44" s="190"/>
      <c r="N44" s="191"/>
      <c r="O44" s="192"/>
      <c r="P44" s="129" t="s">
        <v>843</v>
      </c>
      <c r="Q44" s="116">
        <v>11558445</v>
      </c>
      <c r="R44" s="116">
        <v>16759681461</v>
      </c>
      <c r="S44" s="116">
        <v>957608.25</v>
      </c>
      <c r="T44" s="130">
        <f t="shared" ref="T44" si="75">Q44/S44</f>
        <v>12.070118443528447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411463.75</v>
      </c>
      <c r="G45" s="190">
        <f t="shared" ref="G45" si="76">F45/F44-1</f>
        <v>-0.21683215172975256</v>
      </c>
      <c r="H45" s="190">
        <f t="shared" ref="H45" si="77">F45/F33-1</f>
        <v>3.4568361461648323E-2</v>
      </c>
      <c r="I45" s="130">
        <f t="shared" si="0"/>
        <v>11.694764261738921</v>
      </c>
      <c r="J45" s="130">
        <f t="shared" si="5"/>
        <v>8.8493207145852182E-2</v>
      </c>
      <c r="K45" s="136"/>
      <c r="L45" s="190"/>
      <c r="M45" s="190"/>
      <c r="N45" s="191"/>
      <c r="O45" s="192"/>
      <c r="P45" s="129" t="s">
        <v>853</v>
      </c>
      <c r="Q45" s="116">
        <v>8229275</v>
      </c>
      <c r="R45" s="116">
        <v>11579104037</v>
      </c>
      <c r="S45" s="116">
        <v>703671.73</v>
      </c>
      <c r="T45" s="130">
        <f t="shared" ref="T45" si="78">Q45/S45</f>
        <v>11.694764261738921</v>
      </c>
      <c r="U45" s="85"/>
    </row>
    <row r="46" spans="1:21" s="79" customFormat="1" ht="13.2">
      <c r="A46" s="129" t="s">
        <v>900</v>
      </c>
      <c r="B46" s="188">
        <f>SUM(F44:F46)</f>
        <v>1500568.9820574163</v>
      </c>
      <c r="C46" s="188">
        <f>AVERAGE(F44:F46)</f>
        <v>500189.66068580543</v>
      </c>
      <c r="D46" s="190">
        <f>C46/C43-1</f>
        <v>0.62013701060197102</v>
      </c>
      <c r="E46" s="287">
        <f>C46/C34-1</f>
        <v>0.47039556224566703</v>
      </c>
      <c r="F46" s="136">
        <f>Q46/19</f>
        <v>563721.36842105258</v>
      </c>
      <c r="G46" s="190">
        <f t="shared" ref="G46" si="79">F46/F45-1</f>
        <v>0.37003896071294884</v>
      </c>
      <c r="H46" s="190">
        <f t="shared" ref="H46" si="80">F46/F34-1</f>
        <v>0.82678885162591365</v>
      </c>
      <c r="I46" s="130">
        <f t="shared" si="0"/>
        <v>11.411603126428254</v>
      </c>
      <c r="J46" s="130">
        <f t="shared" si="5"/>
        <v>5.117282240705312E-2</v>
      </c>
      <c r="K46" s="136">
        <f>R44+R45+R46</f>
        <v>42996844197</v>
      </c>
      <c r="L46" s="190">
        <f>U46/U43-1</f>
        <v>0.69125786392313104</v>
      </c>
      <c r="M46" s="190">
        <f>K46/K34-1</f>
        <v>0.51174197382405295</v>
      </c>
      <c r="N46" s="191">
        <f>AVERAGE(T44:T46)</f>
        <v>11.725495277231873</v>
      </c>
      <c r="O46" s="192">
        <f>N46/N43-1</f>
        <v>-0.16454009226469157</v>
      </c>
      <c r="P46" s="129" t="s">
        <v>928</v>
      </c>
      <c r="Q46" s="116">
        <v>10710706</v>
      </c>
      <c r="R46" s="116">
        <v>14658058699</v>
      </c>
      <c r="S46" s="116">
        <v>938580.31</v>
      </c>
      <c r="T46" s="130">
        <f t="shared" ref="T46" si="81">Q46/S46</f>
        <v>11.411603126428254</v>
      </c>
      <c r="U46" s="85">
        <f t="shared" ref="U46:U51" si="82">Q44+Q45+Q46</f>
        <v>30498426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430073.52173913043</v>
      </c>
      <c r="G47" s="190">
        <f t="shared" ref="G47" si="83">F47/F46-1</f>
        <v>-0.23708139192285937</v>
      </c>
      <c r="H47" s="190">
        <f t="shared" ref="H47" si="84">F47/F35-1</f>
        <v>0.2618356276361351</v>
      </c>
      <c r="I47" s="130">
        <f t="shared" si="0"/>
        <v>9.3483382819077399</v>
      </c>
      <c r="J47" s="130">
        <f t="shared" si="5"/>
        <v>-0.1715204523960947</v>
      </c>
      <c r="K47" s="136"/>
      <c r="L47" s="190"/>
      <c r="M47" s="190"/>
      <c r="N47" s="191"/>
      <c r="O47" s="192"/>
      <c r="P47" s="129" t="s">
        <v>991</v>
      </c>
      <c r="Q47" s="116">
        <v>9891691</v>
      </c>
      <c r="R47" s="116">
        <v>13591138329</v>
      </c>
      <c r="S47" s="116">
        <v>1058122.92</v>
      </c>
      <c r="T47" s="130">
        <f t="shared" ref="T47" si="85">Q47/S47</f>
        <v>9.3483382819077399</v>
      </c>
      <c r="U47" s="85">
        <f t="shared" si="82"/>
        <v>28831672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300537.05</v>
      </c>
      <c r="G48" s="190">
        <f t="shared" ref="G48" si="86">F48/F47-1</f>
        <v>-0.30119610994722745</v>
      </c>
      <c r="H48" s="190">
        <f t="shared" ref="H48" si="87">F48/F36-1</f>
        <v>-7.7532788822487708E-2</v>
      </c>
      <c r="I48" s="130">
        <f t="shared" si="0"/>
        <v>13.596442812811057</v>
      </c>
      <c r="J48" s="130">
        <f t="shared" si="5"/>
        <v>9.2131994448124255E-2</v>
      </c>
      <c r="K48" s="136"/>
      <c r="L48" s="190"/>
      <c r="M48" s="190"/>
      <c r="N48" s="191"/>
      <c r="O48" s="192"/>
      <c r="P48" s="129" t="s">
        <v>1070</v>
      </c>
      <c r="Q48" s="116">
        <v>6010741</v>
      </c>
      <c r="R48" s="116">
        <v>8345045496</v>
      </c>
      <c r="S48" s="116">
        <v>442081.88</v>
      </c>
      <c r="T48" s="130">
        <f t="shared" ref="T48" si="88">Q48/S48</f>
        <v>13.596442812811057</v>
      </c>
      <c r="U48" s="85">
        <f t="shared" si="82"/>
        <v>26613138</v>
      </c>
    </row>
    <row r="49" spans="1:26" ht="13.2">
      <c r="A49" s="129" t="s">
        <v>1218</v>
      </c>
      <c r="B49" s="188">
        <f>SUM(F47:F49)</f>
        <v>1116942.1626482212</v>
      </c>
      <c r="C49" s="188">
        <f>AVERAGE(F47:F49)</f>
        <v>372314.05421607377</v>
      </c>
      <c r="D49" s="190">
        <f>C49/C46-1</f>
        <v>-0.25565423782331409</v>
      </c>
      <c r="E49" s="287">
        <f>C49/C37-1</f>
        <v>1.2108792058987961E-2</v>
      </c>
      <c r="F49" s="136">
        <f>Q49/22</f>
        <v>386331.59090909088</v>
      </c>
      <c r="G49" s="190">
        <f t="shared" ref="G49" si="89">F49/F48-1</f>
        <v>0.28547076278645478</v>
      </c>
      <c r="H49" s="190">
        <f t="shared" ref="H49" si="90">F49/F37-1</f>
        <v>-0.11584586604411506</v>
      </c>
      <c r="I49" s="130">
        <f t="shared" si="0"/>
        <v>12.546306908919439</v>
      </c>
      <c r="J49" s="130">
        <f t="shared" si="5"/>
        <v>7.1642716515289084E-2</v>
      </c>
      <c r="K49" s="136">
        <f>R47+R48+R49</f>
        <v>33741585526</v>
      </c>
      <c r="L49" s="190">
        <f>U49/U46-1</f>
        <v>-0.19990208675031296</v>
      </c>
      <c r="M49" s="190">
        <f>K49/K37-1</f>
        <v>9.961711301751941E-2</v>
      </c>
      <c r="N49" s="191">
        <f>AVERAGE(T47:T49)</f>
        <v>11.830362667879413</v>
      </c>
      <c r="O49" s="192">
        <f>N49/N46-1</f>
        <v>8.9435361294432081E-3</v>
      </c>
      <c r="P49" s="129" t="s">
        <v>1158</v>
      </c>
      <c r="Q49" s="116">
        <v>8499295</v>
      </c>
      <c r="R49" s="116">
        <v>11805401701</v>
      </c>
      <c r="S49" s="116">
        <v>677434.01</v>
      </c>
      <c r="T49" s="130">
        <f t="shared" ref="T49" si="91">Q49/S49</f>
        <v>12.546306908919439</v>
      </c>
      <c r="U49" s="85">
        <f t="shared" si="82"/>
        <v>24401727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227504.61111111112</v>
      </c>
      <c r="G50" s="190">
        <f t="shared" ref="G50" si="92">F50/F49-1</f>
        <v>-0.41111569319050045</v>
      </c>
      <c r="H50" s="190">
        <f t="shared" ref="H50" si="93">F50/F38-1</f>
        <v>-0.51461297653001581</v>
      </c>
      <c r="I50" s="130">
        <f t="shared" ref="I50" si="94">T50</f>
        <v>13.104806566415062</v>
      </c>
      <c r="J50" s="130">
        <f t="shared" ref="J50" si="95">I50/I38-1</f>
        <v>0.11411922558643739</v>
      </c>
      <c r="K50" s="136"/>
      <c r="L50" s="190"/>
      <c r="M50" s="190"/>
      <c r="N50" s="191"/>
      <c r="O50" s="192"/>
      <c r="P50" s="129" t="s">
        <v>1293</v>
      </c>
      <c r="Q50" s="116">
        <v>4095083</v>
      </c>
      <c r="R50" s="116">
        <v>5781195292</v>
      </c>
      <c r="S50" s="116">
        <v>312487.09999999998</v>
      </c>
      <c r="T50" s="130">
        <f t="shared" ref="T50" si="96">Q50/S50</f>
        <v>13.104806566415062</v>
      </c>
      <c r="U50" s="85">
        <f t="shared" si="82"/>
        <v>18605119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333714.7</v>
      </c>
      <c r="G51" s="190">
        <f t="shared" ref="G51:G52" si="97">F51/F50-1</f>
        <v>0.46684807121125504</v>
      </c>
      <c r="H51" s="190">
        <f t="shared" ref="H51:H52" si="98">F51/F39-1</f>
        <v>-0.16383536358739004</v>
      </c>
      <c r="I51" s="130">
        <f t="shared" ref="I51:I52" si="99">T51</f>
        <v>12.857554645137974</v>
      </c>
      <c r="J51" s="130">
        <f t="shared" ref="J51:J52" si="100">I51/I39-1</f>
        <v>-6.3939827547558004E-2</v>
      </c>
      <c r="K51" s="136"/>
      <c r="L51" s="190"/>
      <c r="M51" s="190"/>
      <c r="N51" s="191"/>
      <c r="O51" s="192"/>
      <c r="P51" s="129" t="s">
        <v>1402</v>
      </c>
      <c r="Q51" s="116">
        <v>6674294</v>
      </c>
      <c r="R51" s="116">
        <v>9673854847</v>
      </c>
      <c r="S51" s="116">
        <v>519095.13</v>
      </c>
      <c r="T51" s="130">
        <f t="shared" ref="T51:T52" si="101">Q51/S51</f>
        <v>12.857554645137974</v>
      </c>
      <c r="U51" s="85">
        <f t="shared" si="82"/>
        <v>19268672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928367.90202020202</v>
      </c>
      <c r="C52" s="188">
        <f>AVERAGE(F50:F52)</f>
        <v>309455.96734006732</v>
      </c>
      <c r="D52" s="190">
        <f>C52/C49-1</f>
        <v>-0.16883081947673817</v>
      </c>
      <c r="E52" s="287">
        <f>C52/C40-1</f>
        <v>-0.16393985261079735</v>
      </c>
      <c r="F52" s="136">
        <f>Q52/22</f>
        <v>367148.59090909088</v>
      </c>
      <c r="G52" s="190">
        <f t="shared" si="97"/>
        <v>0.10018704872482664</v>
      </c>
      <c r="H52" s="190">
        <f t="shared" si="98"/>
        <v>0.51339874982474654</v>
      </c>
      <c r="I52" s="130">
        <f t="shared" si="99"/>
        <v>12.664848834532462</v>
      </c>
      <c r="J52" s="130">
        <f t="shared" si="100"/>
        <v>0.13919815255260271</v>
      </c>
      <c r="K52" s="136">
        <f>R50+R51+R52</f>
        <v>27338233677</v>
      </c>
      <c r="L52" s="190">
        <f>U52/U49-1</f>
        <v>-0.22765114124914188</v>
      </c>
      <c r="M52" s="190">
        <f>K52/K40-1</f>
        <v>-0.13263897812872438</v>
      </c>
      <c r="N52" s="191">
        <f>AVERAGE(T50:T52)</f>
        <v>12.875736682028501</v>
      </c>
      <c r="O52" s="192">
        <f>N52/N49-1</f>
        <v>8.8363648984944421E-2</v>
      </c>
      <c r="P52" s="129" t="s">
        <v>1403</v>
      </c>
      <c r="Q52" s="116">
        <v>8077269</v>
      </c>
      <c r="R52" s="116">
        <v>11883183538</v>
      </c>
      <c r="S52" s="116">
        <v>637770.66</v>
      </c>
      <c r="T52" s="130">
        <f t="shared" si="101"/>
        <v>12.664848834532462</v>
      </c>
      <c r="U52" s="85">
        <f t="shared" ref="U52" si="102">Q50+Q51+Q52</f>
        <v>18846646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431015.33333333331</v>
      </c>
      <c r="G53" s="190">
        <f t="shared" ref="G53" si="103">F53/F52-1</f>
        <v>0.17395339109460561</v>
      </c>
      <c r="H53" s="190">
        <f t="shared" ref="H53" si="104">F53/F41-1</f>
        <v>0.75569068627683933</v>
      </c>
      <c r="I53" s="130">
        <f t="shared" ref="I53" si="105">T53</f>
        <v>13.832802985223895</v>
      </c>
      <c r="J53" s="130">
        <f t="shared" ref="J53" si="106">I53/I41-1</f>
        <v>-8.2515609487279984E-2</v>
      </c>
      <c r="K53" s="136"/>
      <c r="L53" s="190"/>
      <c r="M53" s="190"/>
      <c r="N53" s="191"/>
      <c r="O53" s="192"/>
      <c r="P53" s="129" t="s">
        <v>1414</v>
      </c>
      <c r="Q53" s="116">
        <v>9051322</v>
      </c>
      <c r="R53" s="116">
        <v>13234258128</v>
      </c>
      <c r="S53" s="116">
        <v>654337.52</v>
      </c>
      <c r="T53" s="130">
        <f t="shared" ref="T53" si="107">Q53/S53</f>
        <v>13.832802985223895</v>
      </c>
      <c r="U53" s="85">
        <f t="shared" ref="U53" si="108">Q51+Q52+Q53</f>
        <v>23802885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581989.17647058819</v>
      </c>
      <c r="G54" s="190">
        <f t="shared" ref="G54" si="109">F54/F53-1</f>
        <v>0.35027487762366127</v>
      </c>
      <c r="H54" s="190">
        <f t="shared" ref="H54" si="110">F54/F42-1</f>
        <v>0.67437317428963173</v>
      </c>
      <c r="I54" s="130">
        <f t="shared" ref="I54" si="111">T54</f>
        <v>13.594291423609572</v>
      </c>
      <c r="J54" s="130">
        <f t="shared" ref="J54" si="112">I54/I42-1</f>
        <v>3.8953363679965269E-2</v>
      </c>
      <c r="K54" s="136"/>
      <c r="L54" s="190"/>
      <c r="M54" s="190"/>
      <c r="N54" s="191"/>
      <c r="O54" s="192"/>
      <c r="P54" s="129" t="s">
        <v>1417</v>
      </c>
      <c r="Q54" s="116">
        <v>9893816</v>
      </c>
      <c r="R54" s="116">
        <v>14323688629</v>
      </c>
      <c r="S54" s="116">
        <v>727791.96</v>
      </c>
      <c r="T54" s="130">
        <f t="shared" ref="T54" si="113">Q54/S54</f>
        <v>13.594291423609572</v>
      </c>
      <c r="U54" s="85">
        <f t="shared" ref="U54" si="114">Q52+Q53+Q54</f>
        <v>27022407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1552898.6050420166</v>
      </c>
      <c r="C55" s="188">
        <f>AVERAGE(F53:F55)</f>
        <v>517632.86834733887</v>
      </c>
      <c r="D55" s="190">
        <f>C55/C52-1</f>
        <v>0.67271897451730767</v>
      </c>
      <c r="E55" s="287">
        <f>C55/C43-1</f>
        <v>0.67663635182649506</v>
      </c>
      <c r="F55" s="136">
        <f>Q55/21</f>
        <v>539894.09523809527</v>
      </c>
      <c r="G55" s="190">
        <f t="shared" ref="G55" si="115">F55/F54-1</f>
        <v>-7.2329663393010279E-2</v>
      </c>
      <c r="H55" s="190">
        <f t="shared" ref="H55" si="116">F55/F43-1</f>
        <v>0.62073730466275623</v>
      </c>
      <c r="I55" s="130">
        <f>T55</f>
        <v>12.208423375554696</v>
      </c>
      <c r="J55" s="130">
        <f t="shared" ref="J55" si="117">I55/I43-1</f>
        <v>-0.12439568106233156</v>
      </c>
      <c r="K55" s="136">
        <f>R53+R54+R55</f>
        <v>44230641406</v>
      </c>
      <c r="L55" s="190">
        <f>U55/U52-1</f>
        <v>0.60680653735417955</v>
      </c>
      <c r="M55" s="190">
        <f>K55/K43-1</f>
        <v>0.68838889615223842</v>
      </c>
      <c r="N55" s="191">
        <f>AVERAGE(T53:T55)</f>
        <v>13.211839261462721</v>
      </c>
      <c r="O55" s="192">
        <f>N55/N52-1</f>
        <v>2.6103561119212637E-2</v>
      </c>
      <c r="P55" s="129" t="s">
        <v>1418</v>
      </c>
      <c r="Q55" s="116">
        <v>11337776</v>
      </c>
      <c r="R55" s="116">
        <v>16672694649</v>
      </c>
      <c r="S55" s="116">
        <v>928684.7</v>
      </c>
      <c r="T55" s="130">
        <f t="shared" ref="T55" si="118">Q55/S55</f>
        <v>12.208423375554696</v>
      </c>
      <c r="U55" s="85">
        <f t="shared" ref="U55" si="119">Q53+Q54+Q55</f>
        <v>30282914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624164.63636363635</v>
      </c>
      <c r="G56" s="190">
        <f t="shared" ref="G56" si="120">F56/F55-1</f>
        <v>0.15608716944455092</v>
      </c>
      <c r="H56" s="190">
        <f t="shared" ref="H56" si="121">F56/F44-1</f>
        <v>0.18801638109624608</v>
      </c>
      <c r="I56" s="291">
        <f>T56</f>
        <v>14.011632566963076</v>
      </c>
      <c r="J56" s="130">
        <f t="shared" ref="J56" si="122">I56/I44-1</f>
        <v>0.16085294709561015</v>
      </c>
      <c r="K56" s="136"/>
      <c r="L56" s="190"/>
      <c r="M56" s="190"/>
      <c r="N56" s="191"/>
      <c r="O56" s="192"/>
      <c r="P56" s="129" t="s">
        <v>1420</v>
      </c>
      <c r="Q56" s="116">
        <v>13731622</v>
      </c>
      <c r="R56" s="116">
        <v>20467983485</v>
      </c>
      <c r="S56" s="116">
        <v>980015.85</v>
      </c>
      <c r="T56" s="130">
        <f t="shared" ref="T56" si="123">Q56/S56</f>
        <v>14.011632566963076</v>
      </c>
      <c r="U56" s="85">
        <f t="shared" ref="U56" si="124">Q54+Q55+Q56</f>
        <v>34963214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503394.5</v>
      </c>
      <c r="G57" s="254">
        <f t="shared" ref="G57" si="125">F57/F56-1</f>
        <v>-0.19349083451321336</v>
      </c>
      <c r="H57" s="254">
        <f t="shared" ref="H57" si="126">F57/F45-1</f>
        <v>0.22342369163747722</v>
      </c>
      <c r="I57" s="282">
        <f>T57</f>
        <v>15.397610785093008</v>
      </c>
      <c r="J57" s="277">
        <f t="shared" ref="J57" si="127">I57/I45-1</f>
        <v>0.31662429788931057</v>
      </c>
      <c r="K57" s="204"/>
      <c r="L57" s="254"/>
      <c r="M57" s="254"/>
      <c r="N57" s="257"/>
      <c r="O57" s="258"/>
      <c r="P57" s="129" t="s">
        <v>1436</v>
      </c>
      <c r="Q57" s="116">
        <v>6040734</v>
      </c>
      <c r="R57" s="116">
        <v>8882856875</v>
      </c>
      <c r="S57" s="116">
        <v>392316.32</v>
      </c>
      <c r="T57" s="130">
        <f t="shared" ref="T57" si="128">Q57/S57</f>
        <v>15.397610785093008</v>
      </c>
      <c r="U57" s="85">
        <f t="shared" ref="U57" si="129">Q55+Q56+Q57</f>
        <v>31110132</v>
      </c>
      <c r="V57" s="79"/>
      <c r="W57" s="79"/>
      <c r="X57" s="79"/>
      <c r="Y57" s="79"/>
      <c r="Z57" s="79"/>
    </row>
    <row r="58" spans="1:26">
      <c r="B58" s="196">
        <f>SUM(F56:F58)</f>
        <v>1127559.1363636362</v>
      </c>
      <c r="C58" s="196">
        <f>AVERAGE(F56:F58)</f>
        <v>563779.56818181812</v>
      </c>
      <c r="D58" s="197">
        <f>C58/C55-1</f>
        <v>8.9149477663219345E-2</v>
      </c>
      <c r="E58" s="233">
        <f>C58/C46-1</f>
        <v>0.12713159126245266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50055270</v>
      </c>
      <c r="R64" s="212">
        <v>73581481766</v>
      </c>
      <c r="S64" s="213">
        <v>3683146.37</v>
      </c>
      <c r="T64" s="214">
        <v>192</v>
      </c>
      <c r="U64" s="214">
        <v>377</v>
      </c>
    </row>
    <row r="65" spans="16:21" ht="18" thickBot="1">
      <c r="P65" s="180" t="s">
        <v>976</v>
      </c>
      <c r="Q65" s="181">
        <v>9051322</v>
      </c>
      <c r="R65" s="181">
        <v>13234258128</v>
      </c>
      <c r="S65" s="182">
        <v>654337.52</v>
      </c>
      <c r="T65" s="210">
        <v>80</v>
      </c>
      <c r="U65" s="210">
        <v>164</v>
      </c>
    </row>
    <row r="66" spans="16:21" ht="18" thickBot="1">
      <c r="P66" s="180" t="s">
        <v>977</v>
      </c>
      <c r="Q66" s="181">
        <v>9893816</v>
      </c>
      <c r="R66" s="181">
        <v>14323688629</v>
      </c>
      <c r="S66" s="182">
        <v>727791.96</v>
      </c>
      <c r="T66" s="210">
        <v>69</v>
      </c>
      <c r="U66" s="210">
        <v>139</v>
      </c>
    </row>
    <row r="67" spans="16:21" ht="18" thickBot="1">
      <c r="P67" s="180" t="s">
        <v>978</v>
      </c>
      <c r="Q67" s="181">
        <v>11337776</v>
      </c>
      <c r="R67" s="181">
        <v>16672694649</v>
      </c>
      <c r="S67" s="182">
        <v>928684.7</v>
      </c>
      <c r="T67" s="210">
        <v>73</v>
      </c>
      <c r="U67" s="210">
        <v>145</v>
      </c>
    </row>
    <row r="68" spans="16:21" ht="18" thickBot="1">
      <c r="P68" s="180" t="s">
        <v>979</v>
      </c>
      <c r="Q68" s="181">
        <v>13731622</v>
      </c>
      <c r="R68" s="181">
        <v>20467983485</v>
      </c>
      <c r="S68" s="182">
        <v>980015.85</v>
      </c>
      <c r="T68" s="210">
        <v>96</v>
      </c>
      <c r="U68" s="210">
        <v>185</v>
      </c>
    </row>
    <row r="69" spans="16:21" ht="18" thickBot="1">
      <c r="P69" s="180" t="s">
        <v>980</v>
      </c>
      <c r="Q69" s="181">
        <v>6040734</v>
      </c>
      <c r="R69" s="181">
        <v>8882856875</v>
      </c>
      <c r="S69" s="182">
        <v>392316.32</v>
      </c>
      <c r="T69" s="210">
        <v>66</v>
      </c>
      <c r="U69" s="210">
        <v>109</v>
      </c>
    </row>
    <row r="70" spans="16:21" ht="18" thickBot="1">
      <c r="P70" s="180" t="s">
        <v>975</v>
      </c>
      <c r="Q70" s="181">
        <v>91831342</v>
      </c>
      <c r="R70" s="181">
        <v>130349391902</v>
      </c>
      <c r="S70" s="182">
        <v>7549220.8300000001</v>
      </c>
      <c r="T70" s="210">
        <v>278</v>
      </c>
      <c r="U70" s="210">
        <v>750</v>
      </c>
    </row>
    <row r="71" spans="16:21" ht="18" thickBot="1">
      <c r="P71" s="215" t="s">
        <v>982</v>
      </c>
      <c r="Q71" s="217" t="s">
        <v>1474</v>
      </c>
      <c r="R71"/>
      <c r="S71"/>
      <c r="T71"/>
      <c r="U71"/>
    </row>
  </sheetData>
  <phoneticPr fontId="1" type="noConversion"/>
  <conditionalFormatting sqref="C29:C30">
    <cfRule type="cellIs" dxfId="2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2">
    <tabColor rgb="FFFF0000"/>
  </sheetPr>
  <dimension ref="A1:Z72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7106100000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358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109119.05</v>
      </c>
      <c r="G5" s="90"/>
      <c r="H5" s="90"/>
      <c r="I5" s="130">
        <f t="shared" ref="I5:I49" si="0">T5</f>
        <v>122.40185444013453</v>
      </c>
      <c r="J5" s="130"/>
      <c r="K5" s="86"/>
      <c r="L5" s="80"/>
      <c r="M5" s="80"/>
      <c r="P5" s="129" t="s">
        <v>0</v>
      </c>
      <c r="Q5" s="116">
        <v>2182381</v>
      </c>
      <c r="R5" s="116"/>
      <c r="S5" s="116">
        <v>17829.64</v>
      </c>
      <c r="T5" s="130">
        <f t="shared" ref="T5:T11" si="1">Q5/S5</f>
        <v>122.40185444013453</v>
      </c>
      <c r="U5" s="85"/>
    </row>
    <row r="6" spans="1:21" ht="15" hidden="1" customHeight="1">
      <c r="A6" s="129" t="s">
        <v>1</v>
      </c>
      <c r="C6" s="79"/>
      <c r="F6" s="78">
        <f>Q6/18</f>
        <v>120728.33333333333</v>
      </c>
      <c r="G6" s="90">
        <f t="shared" ref="G6:G22" si="2">F6/F5-1</f>
        <v>0.1063909861140957</v>
      </c>
      <c r="H6" s="90"/>
      <c r="I6" s="130">
        <f t="shared" si="0"/>
        <v>160.22529204797814</v>
      </c>
      <c r="J6" s="130"/>
      <c r="K6" s="78"/>
      <c r="P6" s="129" t="s">
        <v>1</v>
      </c>
      <c r="Q6" s="116">
        <v>2173110</v>
      </c>
      <c r="R6" s="116"/>
      <c r="S6" s="116">
        <v>13562.84</v>
      </c>
      <c r="T6" s="130">
        <f t="shared" si="1"/>
        <v>160.22529204797814</v>
      </c>
      <c r="U6" s="85"/>
    </row>
    <row r="7" spans="1:21" ht="15" hidden="1" customHeight="1">
      <c r="A7" s="129" t="s">
        <v>2</v>
      </c>
      <c r="B7" s="131">
        <f>F5+F6+F7</f>
        <v>335911.92878787877</v>
      </c>
      <c r="C7" s="131">
        <f>AVERAGE(F5:F7)</f>
        <v>111970.64292929292</v>
      </c>
      <c r="F7" s="78">
        <f>Q7/22</f>
        <v>106064.54545454546</v>
      </c>
      <c r="G7" s="90">
        <f t="shared" si="2"/>
        <v>-0.12146103134134112</v>
      </c>
      <c r="H7" s="90"/>
      <c r="I7" s="130">
        <f t="shared" si="0"/>
        <v>148.47605594369998</v>
      </c>
      <c r="J7" s="130"/>
      <c r="K7" s="85">
        <f>R5+R6+R7</f>
        <v>0</v>
      </c>
      <c r="N7" s="88">
        <f>AVERAGE(T5:T7)</f>
        <v>143.70106747727087</v>
      </c>
      <c r="P7" s="129" t="s">
        <v>2</v>
      </c>
      <c r="Q7" s="116">
        <v>2333420</v>
      </c>
      <c r="R7" s="116"/>
      <c r="S7" s="116">
        <v>15715.8</v>
      </c>
      <c r="T7" s="130">
        <f t="shared" si="1"/>
        <v>148.47605594369998</v>
      </c>
      <c r="U7" s="85">
        <f>Q5+Q6+Q7</f>
        <v>6688911</v>
      </c>
    </row>
    <row r="8" spans="1:21" ht="15" hidden="1" customHeight="1">
      <c r="A8" s="129" t="s">
        <v>3</v>
      </c>
      <c r="C8" s="79"/>
      <c r="F8" s="78">
        <f>Q8/21</f>
        <v>115595.33333333333</v>
      </c>
      <c r="G8" s="90">
        <f t="shared" si="2"/>
        <v>8.9858376688865871E-2</v>
      </c>
      <c r="H8" s="90"/>
      <c r="I8" s="130">
        <f t="shared" si="0"/>
        <v>137.14359643037125</v>
      </c>
      <c r="J8" s="130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="shared" si="1"/>
        <v>137.14359643037125</v>
      </c>
      <c r="U8" s="85"/>
    </row>
    <row r="9" spans="1:21" ht="15" hidden="1" customHeight="1">
      <c r="A9" s="129" t="s">
        <v>4</v>
      </c>
      <c r="C9" s="79"/>
      <c r="F9" s="78">
        <f>Q9/21</f>
        <v>141259.28571428571</v>
      </c>
      <c r="G9" s="90">
        <f t="shared" si="2"/>
        <v>0.22201547104801556</v>
      </c>
      <c r="H9" s="90"/>
      <c r="I9" s="130">
        <f t="shared" si="0"/>
        <v>154.905258782479</v>
      </c>
      <c r="J9" s="130"/>
      <c r="K9" s="78"/>
      <c r="P9" s="129" t="s">
        <v>4</v>
      </c>
      <c r="Q9" s="116">
        <v>2966445</v>
      </c>
      <c r="R9" s="116"/>
      <c r="S9" s="116">
        <v>19150.060000000001</v>
      </c>
      <c r="T9" s="130">
        <f t="shared" si="1"/>
        <v>154.905258782479</v>
      </c>
      <c r="U9" s="85"/>
    </row>
    <row r="10" spans="1:21" ht="15" hidden="1" customHeight="1">
      <c r="A10" s="129" t="s">
        <v>5</v>
      </c>
      <c r="B10" s="131">
        <f>F8+F9+F10</f>
        <v>362803.52380952379</v>
      </c>
      <c r="C10" s="131">
        <f>AVERAGE(F8:F10)</f>
        <v>120934.50793650793</v>
      </c>
      <c r="D10" s="90">
        <f>C10/C7-1</f>
        <v>8.0055492874819834E-2</v>
      </c>
      <c r="E10" s="286"/>
      <c r="F10" s="78">
        <f>Q10/21</f>
        <v>105948.90476190476</v>
      </c>
      <c r="G10" s="90">
        <f t="shared" si="2"/>
        <v>-0.24996856506694032</v>
      </c>
      <c r="H10" s="90"/>
      <c r="I10" s="130">
        <f t="shared" si="0"/>
        <v>128.80647191261019</v>
      </c>
      <c r="J10" s="130"/>
      <c r="K10" s="85">
        <f>R8+R9+R10</f>
        <v>0</v>
      </c>
      <c r="L10" s="87">
        <f>U10/U7-1</f>
        <v>0.139030553702987</v>
      </c>
      <c r="N10" s="88">
        <f>AVERAGE(T8:T10)</f>
        <v>140.28510904182016</v>
      </c>
      <c r="O10" s="89">
        <f>N10/N7-1</f>
        <v>-2.3771280863943534E-2</v>
      </c>
      <c r="P10" s="129" t="s">
        <v>5</v>
      </c>
      <c r="Q10" s="116">
        <v>2224927</v>
      </c>
      <c r="R10" s="116"/>
      <c r="S10" s="116">
        <v>17273.41</v>
      </c>
      <c r="T10" s="130">
        <f t="shared" si="1"/>
        <v>128.80647191261019</v>
      </c>
      <c r="U10" s="85">
        <f>Q8+Q9+Q10</f>
        <v>7618874</v>
      </c>
    </row>
    <row r="11" spans="1:21" ht="15" hidden="1" customHeight="1">
      <c r="A11" s="129" t="s">
        <v>6</v>
      </c>
      <c r="C11" s="79"/>
      <c r="F11" s="78">
        <f>Q11/21</f>
        <v>120167.85714285714</v>
      </c>
      <c r="G11" s="90">
        <f t="shared" si="2"/>
        <v>0.13420575146959868</v>
      </c>
      <c r="H11" s="90"/>
      <c r="I11" s="130">
        <f t="shared" si="0"/>
        <v>118.25228278299433</v>
      </c>
      <c r="J11" s="130"/>
      <c r="K11" s="78"/>
      <c r="O11" s="89"/>
      <c r="P11" s="129" t="s">
        <v>6</v>
      </c>
      <c r="Q11" s="116">
        <v>2523525</v>
      </c>
      <c r="R11" s="116"/>
      <c r="S11" s="116">
        <v>21340.18</v>
      </c>
      <c r="T11" s="130">
        <f t="shared" si="1"/>
        <v>118.25228278299433</v>
      </c>
      <c r="U11" s="85"/>
    </row>
    <row r="12" spans="1:21" ht="15" hidden="1" customHeight="1">
      <c r="A12" s="129" t="s">
        <v>7</v>
      </c>
      <c r="C12" s="79"/>
      <c r="F12" s="78">
        <f>Q12/22</f>
        <v>80616.227272727279</v>
      </c>
      <c r="G12" s="90">
        <f t="shared" si="2"/>
        <v>-0.32913651629079443</v>
      </c>
      <c r="H12" s="90"/>
      <c r="I12" s="130">
        <f t="shared" si="0"/>
        <v>120.50585693319563</v>
      </c>
      <c r="J12" s="130"/>
      <c r="K12" s="78"/>
      <c r="O12" s="89"/>
      <c r="P12" s="129" t="s">
        <v>7</v>
      </c>
      <c r="Q12" s="116">
        <v>1773557</v>
      </c>
      <c r="R12" s="116"/>
      <c r="S12" s="116">
        <v>14717.6</v>
      </c>
      <c r="T12" s="130">
        <f>Q12/S12</f>
        <v>120.50585693319563</v>
      </c>
      <c r="U12" s="85"/>
    </row>
    <row r="13" spans="1:21" ht="15" hidden="1" customHeight="1">
      <c r="A13" s="129" t="s">
        <v>96</v>
      </c>
      <c r="B13" s="131">
        <f>F11+F12+F13</f>
        <v>276648.68441558443</v>
      </c>
      <c r="C13" s="131">
        <f>AVERAGE(F11:F13)</f>
        <v>92216.228138528139</v>
      </c>
      <c r="D13" s="90">
        <f>C13/C10-1</f>
        <v>-0.23746968742004748</v>
      </c>
      <c r="E13" s="286"/>
      <c r="F13" s="78">
        <f>Q13/20</f>
        <v>75864.600000000006</v>
      </c>
      <c r="G13" s="90">
        <f t="shared" si="2"/>
        <v>-5.894132525766016E-2</v>
      </c>
      <c r="H13" s="90"/>
      <c r="I13" s="130">
        <f t="shared" si="0"/>
        <v>108.3216727301803</v>
      </c>
      <c r="J13" s="130"/>
      <c r="K13" s="78">
        <f>R11+R12+R13</f>
        <v>0</v>
      </c>
      <c r="L13" s="87">
        <f>U13/U10-1</f>
        <v>-0.23684602212872929</v>
      </c>
      <c r="N13" s="88">
        <f>AVERAGE(T11:T13)</f>
        <v>115.69327081545676</v>
      </c>
      <c r="O13" s="89">
        <f>N13/N10-1</f>
        <v>-0.17529899213345856</v>
      </c>
      <c r="P13" s="129" t="s">
        <v>96</v>
      </c>
      <c r="Q13" s="116">
        <v>1517292</v>
      </c>
      <c r="R13" s="116"/>
      <c r="S13" s="116">
        <v>14007.28</v>
      </c>
      <c r="T13" s="130">
        <f>Q13/S13</f>
        <v>108.3216727301803</v>
      </c>
      <c r="U13" s="85">
        <f>Q11+Q12+Q13</f>
        <v>5814374</v>
      </c>
    </row>
    <row r="14" spans="1:21" ht="15" hidden="1" customHeight="1">
      <c r="A14" s="129" t="s">
        <v>97</v>
      </c>
      <c r="C14" s="79"/>
      <c r="F14" s="78">
        <f>Q14/20</f>
        <v>268894.15000000002</v>
      </c>
      <c r="G14" s="90">
        <f t="shared" si="2"/>
        <v>2.544395541530569</v>
      </c>
      <c r="H14" s="90"/>
      <c r="I14" s="130">
        <f t="shared" si="0"/>
        <v>422.30780768164618</v>
      </c>
      <c r="J14" s="130"/>
      <c r="K14" s="78"/>
      <c r="O14" s="89"/>
      <c r="P14" s="129" t="s">
        <v>97</v>
      </c>
      <c r="Q14" s="116">
        <v>5377883</v>
      </c>
      <c r="R14" s="116"/>
      <c r="S14" s="116">
        <v>12734.51</v>
      </c>
      <c r="T14" s="130">
        <f>Q14/S14</f>
        <v>422.30780768164618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67776.409090909088</v>
      </c>
      <c r="G15" s="90">
        <f t="shared" si="2"/>
        <v>-0.74794390621399132</v>
      </c>
      <c r="H15" s="90"/>
      <c r="I15" s="130">
        <f t="shared" si="0"/>
        <v>107.31942023311016</v>
      </c>
      <c r="J15" s="130"/>
      <c r="K15" s="78"/>
      <c r="O15" s="89"/>
      <c r="P15" s="129" t="s">
        <v>98</v>
      </c>
      <c r="Q15" s="116">
        <v>1491081</v>
      </c>
      <c r="R15" s="116"/>
      <c r="S15" s="116">
        <v>13893.86</v>
      </c>
      <c r="T15" s="130">
        <f t="shared" ref="T15:T23" si="3">Q15/S15</f>
        <v>107.31942023311016</v>
      </c>
      <c r="U15" s="85"/>
    </row>
    <row r="16" spans="1:21" ht="15" hidden="1" customHeight="1">
      <c r="A16" s="129" t="s">
        <v>99</v>
      </c>
      <c r="B16" s="131">
        <f>F14+F15+F16</f>
        <v>408076.24090909091</v>
      </c>
      <c r="C16" s="131">
        <f>AVERAGE(F14:F16)</f>
        <v>136025.41363636364</v>
      </c>
      <c r="D16" s="90">
        <f>C16/C13-1</f>
        <v>0.47507023852705088</v>
      </c>
      <c r="E16" s="286"/>
      <c r="F16" s="78">
        <f>Q16/22</f>
        <v>71405.681818181823</v>
      </c>
      <c r="G16" s="90">
        <f t="shared" si="2"/>
        <v>5.3547728124763383E-2</v>
      </c>
      <c r="H16" s="90"/>
      <c r="I16" s="130">
        <f t="shared" si="0"/>
        <v>109.74238996944392</v>
      </c>
      <c r="J16" s="130"/>
      <c r="K16" s="78">
        <f>R14+R15+R16</f>
        <v>0</v>
      </c>
      <c r="L16" s="87">
        <f>U16/U13-1</f>
        <v>0.45155591986342802</v>
      </c>
      <c r="N16" s="88">
        <f>AVERAGE(T14:T16)</f>
        <v>213.12320596140009</v>
      </c>
      <c r="O16" s="89">
        <f>N16/N13-1</f>
        <v>0.84214003510501989</v>
      </c>
      <c r="P16" s="129" t="s">
        <v>99</v>
      </c>
      <c r="Q16" s="116">
        <v>1570925</v>
      </c>
      <c r="R16" s="116"/>
      <c r="S16" s="116">
        <v>14314.66</v>
      </c>
      <c r="T16" s="130">
        <f t="shared" si="3"/>
        <v>109.74238996944392</v>
      </c>
      <c r="U16" s="85">
        <f>Q14+Q15+Q16</f>
        <v>8439889</v>
      </c>
    </row>
    <row r="17" spans="1:21" ht="15" hidden="1" customHeight="1">
      <c r="A17" s="129" t="s">
        <v>100</v>
      </c>
      <c r="C17" s="79"/>
      <c r="F17" s="78">
        <f>Q17/20</f>
        <v>58404.65</v>
      </c>
      <c r="G17" s="90">
        <f t="shared" si="2"/>
        <v>-0.18207279150818789</v>
      </c>
      <c r="H17" s="90">
        <f t="shared" ref="H17:H22" si="4">F17/F5-1</f>
        <v>-0.46476211074051688</v>
      </c>
      <c r="I17" s="130">
        <f t="shared" si="0"/>
        <v>111.51639723789768</v>
      </c>
      <c r="J17" s="130">
        <f t="shared" ref="J17:J49" si="5">I17/I5-1</f>
        <v>-8.8932126494544406E-2</v>
      </c>
      <c r="K17" s="78"/>
      <c r="O17" s="89"/>
      <c r="P17" s="129" t="s">
        <v>100</v>
      </c>
      <c r="Q17" s="116">
        <v>1168093</v>
      </c>
      <c r="R17" s="116">
        <v>1471012400</v>
      </c>
      <c r="S17" s="116">
        <v>10474.629999999999</v>
      </c>
      <c r="T17" s="130">
        <f t="shared" si="3"/>
        <v>111.51639723789768</v>
      </c>
      <c r="U17" s="78"/>
    </row>
    <row r="18" spans="1:21" ht="15" hidden="1" customHeight="1">
      <c r="A18" s="129" t="s">
        <v>106</v>
      </c>
      <c r="C18" s="79"/>
      <c r="F18" s="78">
        <f>Q18/20</f>
        <v>69568.75</v>
      </c>
      <c r="G18" s="90">
        <f t="shared" si="2"/>
        <v>0.19115087582923618</v>
      </c>
      <c r="H18" s="90">
        <f t="shared" si="4"/>
        <v>-0.42375788616314869</v>
      </c>
      <c r="I18" s="130">
        <f t="shared" si="0"/>
        <v>102.80179451979896</v>
      </c>
      <c r="J18" s="130">
        <f t="shared" si="5"/>
        <v>-0.35839221632365126</v>
      </c>
      <c r="K18" s="78"/>
      <c r="O18" s="89"/>
      <c r="P18" s="129" t="s">
        <v>106</v>
      </c>
      <c r="Q18" s="116">
        <v>1391375</v>
      </c>
      <c r="R18" s="116">
        <v>1741267256</v>
      </c>
      <c r="S18" s="116">
        <v>13534.54</v>
      </c>
      <c r="T18" s="130">
        <f t="shared" si="3"/>
        <v>102.80179451979896</v>
      </c>
      <c r="U18" s="78"/>
    </row>
    <row r="19" spans="1:21" hidden="1">
      <c r="A19" s="129" t="s">
        <v>114</v>
      </c>
      <c r="B19" s="131">
        <f>SUM(F17:F19)</f>
        <v>200091.26363636361</v>
      </c>
      <c r="C19" s="131">
        <f>AVERAGE(F17:F19)</f>
        <v>66697.087878787876</v>
      </c>
      <c r="D19" s="90">
        <f>C19/C16-1</f>
        <v>-0.50967186133990361</v>
      </c>
      <c r="E19" s="286">
        <f>C19/C7-1</f>
        <v>-0.40433415282874041</v>
      </c>
      <c r="F19" s="78">
        <f>Q19/22</f>
        <v>72117.863636363632</v>
      </c>
      <c r="G19" s="90">
        <f t="shared" si="2"/>
        <v>3.6641647814049216E-2</v>
      </c>
      <c r="H19" s="90">
        <f t="shared" si="4"/>
        <v>-0.32005682646073152</v>
      </c>
      <c r="I19" s="130">
        <f t="shared" si="0"/>
        <v>129.21222219779023</v>
      </c>
      <c r="J19" s="130">
        <f t="shared" si="5"/>
        <v>-0.1297437059697647</v>
      </c>
      <c r="K19" s="78">
        <f>R17+R18+R19</f>
        <v>5288785802</v>
      </c>
      <c r="L19" s="87">
        <f>U19/U16-1</f>
        <v>-0.50875408432504265</v>
      </c>
      <c r="M19" s="87">
        <f>U19/U7-1</f>
        <v>-0.38015904233140496</v>
      </c>
      <c r="N19" s="88">
        <f>AVERAGE(T17:T19)</f>
        <v>114.5101379851623</v>
      </c>
      <c r="O19" s="89">
        <f>N19/N16-1</f>
        <v>-0.46270450714831191</v>
      </c>
      <c r="P19" s="129" t="s">
        <v>114</v>
      </c>
      <c r="Q19" s="116">
        <v>1586593</v>
      </c>
      <c r="R19" s="116">
        <v>2076506146</v>
      </c>
      <c r="S19" s="116">
        <v>12278.97</v>
      </c>
      <c r="T19" s="130">
        <f t="shared" si="3"/>
        <v>129.21222219779023</v>
      </c>
      <c r="U19" s="85">
        <f>Q17+Q18+Q19</f>
        <v>4146061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82169.350000000006</v>
      </c>
      <c r="G20" s="90">
        <f t="shared" si="2"/>
        <v>0.13937581975969904</v>
      </c>
      <c r="H20" s="90">
        <f t="shared" si="4"/>
        <v>-0.28916377823787576</v>
      </c>
      <c r="I20" s="130">
        <f t="shared" si="0"/>
        <v>117.65893102357064</v>
      </c>
      <c r="J20" s="130">
        <f t="shared" si="5"/>
        <v>-0.14207491938344419</v>
      </c>
      <c r="K20" s="78"/>
      <c r="O20" s="89"/>
      <c r="P20" s="129" t="s">
        <v>131</v>
      </c>
      <c r="Q20" s="116">
        <v>1643387</v>
      </c>
      <c r="R20" s="116">
        <v>2153465465</v>
      </c>
      <c r="S20" s="116">
        <v>13967.38</v>
      </c>
      <c r="T20" s="130">
        <f t="shared" si="3"/>
        <v>117.65893102357064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84253.857142857145</v>
      </c>
      <c r="G21" s="90">
        <f t="shared" si="2"/>
        <v>2.536842682651308E-2</v>
      </c>
      <c r="H21" s="90">
        <f t="shared" si="4"/>
        <v>-0.40355172605593559</v>
      </c>
      <c r="I21" s="130">
        <f t="shared" si="0"/>
        <v>102.69451572255497</v>
      </c>
      <c r="J21" s="130">
        <f t="shared" si="5"/>
        <v>-0.3370495196243749</v>
      </c>
      <c r="K21" s="78"/>
      <c r="O21" s="89"/>
      <c r="P21" s="129" t="s">
        <v>141</v>
      </c>
      <c r="Q21" s="116">
        <v>1769331</v>
      </c>
      <c r="R21" s="116">
        <v>2356999031</v>
      </c>
      <c r="S21" s="116">
        <v>17229.07</v>
      </c>
      <c r="T21" s="130">
        <f t="shared" si="3"/>
        <v>102.69451572255497</v>
      </c>
      <c r="U21" s="78"/>
    </row>
    <row r="22" spans="1:21" hidden="1">
      <c r="A22" s="129" t="s">
        <v>155</v>
      </c>
      <c r="B22" s="131">
        <f>SUM(F20:F22)</f>
        <v>259981.63571428572</v>
      </c>
      <c r="C22" s="131">
        <f>AVERAGE(F20:F22)</f>
        <v>86660.545238095234</v>
      </c>
      <c r="D22" s="90">
        <f>C22/C19-1</f>
        <v>0.29931527738644292</v>
      </c>
      <c r="E22" s="286">
        <f>C22/C10-1</f>
        <v>-0.28340928725163328</v>
      </c>
      <c r="F22" s="78">
        <f>Q22/21</f>
        <v>93558.428571428565</v>
      </c>
      <c r="G22" s="90">
        <f t="shared" si="2"/>
        <v>0.11043496101068695</v>
      </c>
      <c r="H22" s="90">
        <f t="shared" si="4"/>
        <v>-0.11694765715908884</v>
      </c>
      <c r="I22" s="130">
        <f t="shared" si="0"/>
        <v>151.87187807747546</v>
      </c>
      <c r="J22" s="130">
        <f t="shared" si="5"/>
        <v>0.17907024253031456</v>
      </c>
      <c r="K22" s="78">
        <f>R20+R21+R22</f>
        <v>7070616099</v>
      </c>
      <c r="L22" s="87">
        <f>U22/U19-1</f>
        <v>0.29700093655158466</v>
      </c>
      <c r="M22" s="87">
        <f>U22/U10-1</f>
        <v>-0.29419426020170436</v>
      </c>
      <c r="N22" s="88">
        <f>AVERAGE(T20:T22)</f>
        <v>124.07510827453369</v>
      </c>
      <c r="O22" s="89">
        <f>N22/N19-1</f>
        <v>8.3529462610644867E-2</v>
      </c>
      <c r="P22" s="129" t="s">
        <v>155</v>
      </c>
      <c r="Q22" s="116">
        <v>1964727</v>
      </c>
      <c r="R22" s="116">
        <v>2560151603</v>
      </c>
      <c r="S22" s="116">
        <v>12936.74</v>
      </c>
      <c r="T22" s="130">
        <f t="shared" si="3"/>
        <v>151.87187807747546</v>
      </c>
      <c r="U22" s="85">
        <f>Q20+Q21+Q22</f>
        <v>5377445</v>
      </c>
    </row>
    <row r="23" spans="1:21" hidden="1">
      <c r="A23" s="129" t="s">
        <v>189</v>
      </c>
      <c r="B23" s="131"/>
      <c r="C23" s="131"/>
      <c r="F23" s="78">
        <f>Q23/21</f>
        <v>71564.904761904763</v>
      </c>
      <c r="G23" s="90">
        <f t="shared" ref="G23" si="6">F23/F22-1</f>
        <v>-0.23507795230584194</v>
      </c>
      <c r="H23" s="90">
        <f t="shared" ref="H23" si="7">F23/F11-1</f>
        <v>-0.4044588422940133</v>
      </c>
      <c r="I23" s="130">
        <f t="shared" si="0"/>
        <v>132.08638164578991</v>
      </c>
      <c r="J23" s="130">
        <f t="shared" si="5"/>
        <v>0.11698800680391641</v>
      </c>
      <c r="K23" s="78"/>
      <c r="O23" s="89"/>
      <c r="P23" s="129" t="s">
        <v>189</v>
      </c>
      <c r="Q23" s="116">
        <v>1502863</v>
      </c>
      <c r="R23" s="116">
        <v>1943113028</v>
      </c>
      <c r="S23" s="116">
        <v>11377.88</v>
      </c>
      <c r="T23" s="130">
        <f t="shared" si="3"/>
        <v>132.08638164578991</v>
      </c>
      <c r="U23" s="78"/>
    </row>
    <row r="24" spans="1:21" hidden="1">
      <c r="A24" s="129" t="s">
        <v>204</v>
      </c>
      <c r="B24" s="131"/>
      <c r="C24" s="131"/>
      <c r="F24" s="78">
        <f>Q24/22</f>
        <v>80369.909090909088</v>
      </c>
      <c r="G24" s="90">
        <f t="shared" ref="G24" si="8">F24/F23-1</f>
        <v>0.12303522736875605</v>
      </c>
      <c r="H24" s="90">
        <f t="shared" ref="H24" si="9">F24/F12-1</f>
        <v>-3.0554416914709837E-3</v>
      </c>
      <c r="I24" s="130">
        <f t="shared" si="0"/>
        <v>144.03784445615702</v>
      </c>
      <c r="J24" s="130">
        <f t="shared" si="5"/>
        <v>0.19527671203572061</v>
      </c>
      <c r="K24" s="78"/>
      <c r="O24" s="89"/>
      <c r="P24" s="129" t="s">
        <v>204</v>
      </c>
      <c r="Q24" s="116">
        <v>1768138</v>
      </c>
      <c r="R24" s="116">
        <v>2319514646</v>
      </c>
      <c r="S24" s="116">
        <v>12275.51</v>
      </c>
      <c r="T24" s="130">
        <f t="shared" ref="T24" si="10">Q24/S24</f>
        <v>144.03784445615702</v>
      </c>
      <c r="U24" s="78"/>
    </row>
    <row r="25" spans="1:21" s="79" customFormat="1" ht="13.2" hidden="1">
      <c r="A25" s="129" t="s">
        <v>219</v>
      </c>
      <c r="B25" s="131">
        <f>SUM(F23:F25)</f>
        <v>260428.12964228753</v>
      </c>
      <c r="C25" s="131">
        <f>AVERAGE(F23:F25)</f>
        <v>86809.376547429172</v>
      </c>
      <c r="D25" s="90">
        <f>C25/C22-1</f>
        <v>1.7174056420372619E-3</v>
      </c>
      <c r="E25" s="286">
        <f>C25/C13-1</f>
        <v>-5.8632322100365508E-2</v>
      </c>
      <c r="F25" s="78">
        <f>Q25/19</f>
        <v>108493.31578947368</v>
      </c>
      <c r="G25" s="90">
        <f t="shared" ref="G25" si="11">F25/F24-1</f>
        <v>0.34992458019024597</v>
      </c>
      <c r="H25" s="90">
        <f t="shared" ref="H25" si="12">F25/F13-1</f>
        <v>0.43009144962833346</v>
      </c>
      <c r="I25" s="130">
        <f t="shared" si="0"/>
        <v>141.91271434511665</v>
      </c>
      <c r="J25" s="130">
        <f t="shared" si="5"/>
        <v>0.31010453188447951</v>
      </c>
      <c r="K25" s="78">
        <f>R23+R24+R25</f>
        <v>6998620822</v>
      </c>
      <c r="L25" s="90">
        <f>U25/U22-1</f>
        <v>-8.3814897223495333E-3</v>
      </c>
      <c r="M25" s="90">
        <f>U25/U13-1</f>
        <v>-8.2898004153155624E-2</v>
      </c>
      <c r="N25" s="88">
        <f>AVERAGE(T23:T25)</f>
        <v>139.34564681568784</v>
      </c>
      <c r="O25" s="91">
        <f>N25/N22-1</f>
        <v>0.12307495639952148</v>
      </c>
      <c r="P25" s="129" t="s">
        <v>219</v>
      </c>
      <c r="Q25" s="116">
        <v>2061373</v>
      </c>
      <c r="R25" s="116">
        <v>2735993148</v>
      </c>
      <c r="S25" s="116">
        <v>14525.64</v>
      </c>
      <c r="T25" s="130">
        <f t="shared" ref="T25" si="13">Q25/S25</f>
        <v>141.91271434511665</v>
      </c>
      <c r="U25" s="85">
        <f>Q23+Q24+Q25</f>
        <v>5332374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100255.52631578948</v>
      </c>
      <c r="G26" s="90">
        <f t="shared" ref="G26" si="14">F26/F25-1</f>
        <v>-7.5929004600331806E-2</v>
      </c>
      <c r="H26" s="90">
        <f t="shared" ref="H26" si="15">F26/F14-1</f>
        <v>-0.62715616417914077</v>
      </c>
      <c r="I26" s="130">
        <f t="shared" si="0"/>
        <v>158.51216891943056</v>
      </c>
      <c r="J26" s="130">
        <f t="shared" si="5"/>
        <v>-0.6246525258682315</v>
      </c>
      <c r="K26" s="78"/>
      <c r="L26" s="90"/>
      <c r="M26" s="90"/>
      <c r="P26" s="129" t="s">
        <v>312</v>
      </c>
      <c r="Q26" s="116">
        <v>1904855</v>
      </c>
      <c r="R26" s="116">
        <v>2570275896</v>
      </c>
      <c r="S26" s="116">
        <v>12017.09</v>
      </c>
      <c r="T26" s="130">
        <f t="shared" ref="T26" si="16">Q26/S26</f>
        <v>158.51216891943056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96294.227272727279</v>
      </c>
      <c r="G27" s="90">
        <f t="shared" ref="G27" si="17">F27/F26-1</f>
        <v>-3.9512026804235378E-2</v>
      </c>
      <c r="H27" s="90">
        <f t="shared" ref="H27" si="18">F27/F15-1</f>
        <v>0.42076319126861672</v>
      </c>
      <c r="I27" s="130">
        <f t="shared" si="0"/>
        <v>113.20402741084636</v>
      </c>
      <c r="J27" s="130">
        <f t="shared" si="5"/>
        <v>5.4832640401468291E-2</v>
      </c>
      <c r="K27" s="78"/>
      <c r="L27" s="90"/>
      <c r="M27" s="90"/>
      <c r="P27" s="129" t="s">
        <v>378</v>
      </c>
      <c r="Q27" s="116">
        <v>2118473</v>
      </c>
      <c r="R27" s="116">
        <v>2794353903</v>
      </c>
      <c r="S27" s="116">
        <v>18713.759999999998</v>
      </c>
      <c r="T27" s="130">
        <f t="shared" ref="T27" si="19">Q27/S27</f>
        <v>113.20402741084636</v>
      </c>
      <c r="U27" s="78"/>
    </row>
    <row r="28" spans="1:21" s="79" customFormat="1" ht="13.2" hidden="1">
      <c r="A28" s="123" t="s">
        <v>413</v>
      </c>
      <c r="B28" s="131">
        <f>SUM(F26:F28)</f>
        <v>313064.49043062201</v>
      </c>
      <c r="C28" s="131">
        <f>AVERAGE(F26:F28)</f>
        <v>104354.83014354068</v>
      </c>
      <c r="D28" s="90">
        <f>C28/C25-1</f>
        <v>0.20211472877616354</v>
      </c>
      <c r="E28" s="286">
        <f>C28/C16-1</f>
        <v>-0.23282842996888686</v>
      </c>
      <c r="F28" s="78">
        <f>Q28/19</f>
        <v>116514.73684210527</v>
      </c>
      <c r="G28" s="90">
        <f t="shared" ref="G28" si="20">F28/F27-1</f>
        <v>0.20998672653666839</v>
      </c>
      <c r="H28" s="90">
        <f t="shared" ref="H28" si="21">F28/F16-1</f>
        <v>0.63172921083203559</v>
      </c>
      <c r="I28" s="130">
        <f t="shared" si="0"/>
        <v>133.48391461486608</v>
      </c>
      <c r="J28" s="130">
        <f t="shared" si="5"/>
        <v>0.21633868783095234</v>
      </c>
      <c r="K28" s="78">
        <f>R26+R27+R28</f>
        <v>8250557052</v>
      </c>
      <c r="L28" s="90">
        <f>U28/U25-1</f>
        <v>0.16966814405741237</v>
      </c>
      <c r="M28" s="90">
        <f>U28/U16-1</f>
        <v>-0.26099644201481798</v>
      </c>
      <c r="N28" s="88">
        <f>AVERAGE(T26:T28)</f>
        <v>135.06670364838101</v>
      </c>
      <c r="O28" s="91">
        <f>N28/N25-1</f>
        <v>-3.0707404681012962E-2</v>
      </c>
      <c r="P28" s="129" t="s">
        <v>413</v>
      </c>
      <c r="Q28" s="116">
        <v>2213780</v>
      </c>
      <c r="R28" s="116">
        <v>2885927253</v>
      </c>
      <c r="S28" s="116">
        <v>16584.62</v>
      </c>
      <c r="T28" s="130">
        <f t="shared" ref="T28" si="22">Q28/S28</f>
        <v>133.48391461486608</v>
      </c>
      <c r="U28" s="85">
        <f>Q26+Q27+Q28</f>
        <v>6237108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129128.68181818182</v>
      </c>
      <c r="G29" s="190">
        <f t="shared" ref="G29" si="23">F29/F28-1</f>
        <v>0.10826051122760827</v>
      </c>
      <c r="H29" s="190">
        <f t="shared" ref="H29" si="24">F29/F17-1</f>
        <v>1.2109315237430893</v>
      </c>
      <c r="I29" s="130">
        <f t="shared" si="0"/>
        <v>132.15644606872823</v>
      </c>
      <c r="J29" s="130">
        <f t="shared" si="5"/>
        <v>0.18508532684031365</v>
      </c>
      <c r="K29" s="136"/>
      <c r="L29" s="190"/>
      <c r="M29" s="190"/>
      <c r="N29" s="191"/>
      <c r="O29" s="192"/>
      <c r="P29" s="129" t="s">
        <v>446</v>
      </c>
      <c r="Q29" s="116">
        <v>2840831</v>
      </c>
      <c r="R29" s="116">
        <v>3737201313</v>
      </c>
      <c r="S29" s="116">
        <v>21495.97</v>
      </c>
      <c r="T29" s="130">
        <f t="shared" ref="T29" si="25">Q29/S29</f>
        <v>132.15644606872823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110587.21052631579</v>
      </c>
      <c r="G30" s="190">
        <f t="shared" ref="G30" si="26">F30/F29-1</f>
        <v>-0.14358910066140962</v>
      </c>
      <c r="H30" s="190">
        <f t="shared" ref="H30" si="27">F30/F18-1</f>
        <v>0.5896104289111963</v>
      </c>
      <c r="I30" s="130">
        <f t="shared" si="0"/>
        <v>106.53657769845454</v>
      </c>
      <c r="J30" s="130">
        <f t="shared" si="5"/>
        <v>3.6329941477201366E-2</v>
      </c>
      <c r="K30" s="136"/>
      <c r="L30" s="190"/>
      <c r="M30" s="190"/>
      <c r="N30" s="191"/>
      <c r="O30" s="192"/>
      <c r="P30" s="129" t="s">
        <v>469</v>
      </c>
      <c r="Q30" s="116">
        <v>2101157</v>
      </c>
      <c r="R30" s="116">
        <v>2799685324</v>
      </c>
      <c r="S30" s="116">
        <v>19722.400000000001</v>
      </c>
      <c r="T30" s="130">
        <f t="shared" ref="T30" si="28">Q30/S30</f>
        <v>106.53657769845454</v>
      </c>
      <c r="U30" s="85"/>
    </row>
    <row r="31" spans="1:21" s="79" customFormat="1" ht="13.2" hidden="1">
      <c r="A31" s="129" t="s">
        <v>505</v>
      </c>
      <c r="B31" s="188">
        <f>SUM(F29:F31)</f>
        <v>349107.14234449761</v>
      </c>
      <c r="C31" s="188">
        <f>AVERAGE(F29:F31)</f>
        <v>116369.04744816587</v>
      </c>
      <c r="D31" s="190">
        <f>C31/C28-1</f>
        <v>0.11512852148865149</v>
      </c>
      <c r="E31" s="287">
        <f>C31/C19-1</f>
        <v>0.7447395553408489</v>
      </c>
      <c r="F31" s="136">
        <f>Q31/20</f>
        <v>109391.25</v>
      </c>
      <c r="G31" s="190">
        <f t="shared" ref="G31" si="29">F31/F30-1</f>
        <v>-1.081463688815254E-2</v>
      </c>
      <c r="H31" s="190">
        <f t="shared" ref="H31" si="30">F31/F19-1</f>
        <v>0.51683985748077799</v>
      </c>
      <c r="I31" s="130">
        <f t="shared" si="0"/>
        <v>108.4926057466009</v>
      </c>
      <c r="J31" s="130">
        <f t="shared" si="5"/>
        <v>-0.16035337910583247</v>
      </c>
      <c r="K31" s="136">
        <f>R29+R30+R31</f>
        <v>9442715487</v>
      </c>
      <c r="L31" s="190">
        <f>U31/U28-1</f>
        <v>0.14312803305634603</v>
      </c>
      <c r="M31" s="190">
        <f>U31/U19-1</f>
        <v>0.71965945508278817</v>
      </c>
      <c r="N31" s="191">
        <f>AVERAGE(T29:T31)</f>
        <v>115.72854317126121</v>
      </c>
      <c r="O31" s="192">
        <f>N31/N28-1</f>
        <v>-0.1431748902931903</v>
      </c>
      <c r="P31" s="129" t="s">
        <v>533</v>
      </c>
      <c r="Q31" s="116">
        <v>2187825</v>
      </c>
      <c r="R31" s="116">
        <v>2905828850</v>
      </c>
      <c r="S31" s="116">
        <v>20165.66</v>
      </c>
      <c r="T31" s="130">
        <f t="shared" ref="T31" si="31">Q31/S31</f>
        <v>108.4926057466009</v>
      </c>
      <c r="U31" s="85">
        <f>Q29+Q30+Q31</f>
        <v>7129813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124116.42857142857</v>
      </c>
      <c r="G32" s="190">
        <f t="shared" ref="G32" si="32">F32/F31-1</f>
        <v>0.13461020485119746</v>
      </c>
      <c r="H32" s="190">
        <f t="shared" ref="H32" si="33">F32/F20-1</f>
        <v>0.51049544107904654</v>
      </c>
      <c r="I32" s="130">
        <f t="shared" si="0"/>
        <v>113.59102967113472</v>
      </c>
      <c r="J32" s="130">
        <f t="shared" si="5"/>
        <v>-3.4573672538474765E-2</v>
      </c>
      <c r="K32" s="136"/>
      <c r="L32" s="190"/>
      <c r="M32" s="190"/>
      <c r="N32" s="191"/>
      <c r="O32" s="192"/>
      <c r="P32" s="129" t="s">
        <v>562</v>
      </c>
      <c r="Q32" s="116">
        <v>2606445</v>
      </c>
      <c r="R32" s="116">
        <v>3547014353</v>
      </c>
      <c r="S32" s="116">
        <v>22945.87</v>
      </c>
      <c r="T32" s="130">
        <f t="shared" ref="T32" si="34">Q32/S32</f>
        <v>113.59102967113472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175384.66666666666</v>
      </c>
      <c r="G33" s="190">
        <f t="shared" ref="G33" si="35">F33/F32-1</f>
        <v>0.41306568908992891</v>
      </c>
      <c r="H33" s="190">
        <f t="shared" ref="H33" si="36">F33/F21-1</f>
        <v>1.0816218107295921</v>
      </c>
      <c r="I33" s="130">
        <f t="shared" si="0"/>
        <v>92.699100009715195</v>
      </c>
      <c r="J33" s="130">
        <f t="shared" si="5"/>
        <v>-9.7331543388781583E-2</v>
      </c>
      <c r="K33" s="136"/>
      <c r="L33" s="190"/>
      <c r="M33" s="190"/>
      <c r="N33" s="191"/>
      <c r="O33" s="192"/>
      <c r="P33" s="129" t="s">
        <v>607</v>
      </c>
      <c r="Q33" s="116">
        <v>3683078</v>
      </c>
      <c r="R33" s="116">
        <v>5027573997</v>
      </c>
      <c r="S33" s="116">
        <v>39731.54</v>
      </c>
      <c r="T33" s="130">
        <f t="shared" ref="T33" si="37">Q33/S33</f>
        <v>92.699100009715195</v>
      </c>
      <c r="U33" s="85"/>
    </row>
    <row r="34" spans="1:21" s="79" customFormat="1" ht="13.2" hidden="1">
      <c r="A34" s="129" t="s">
        <v>652</v>
      </c>
      <c r="B34" s="188">
        <f>SUM(F32:F34)</f>
        <v>456456.93734335835</v>
      </c>
      <c r="C34" s="188">
        <f>AVERAGE(F32:F34)</f>
        <v>152152.31244778613</v>
      </c>
      <c r="D34" s="190">
        <f>C34/C31-1</f>
        <v>0.3074981344636265</v>
      </c>
      <c r="E34" s="287">
        <f>C34/C22-1</f>
        <v>0.7557276154881758</v>
      </c>
      <c r="F34" s="136">
        <f>Q34/19</f>
        <v>156955.84210526315</v>
      </c>
      <c r="G34" s="190">
        <f t="shared" ref="G34" si="38">F34/F33-1</f>
        <v>-0.10507660054700818</v>
      </c>
      <c r="H34" s="190">
        <f t="shared" ref="H34" si="39">F34/F22-1</f>
        <v>0.67762375343267855</v>
      </c>
      <c r="I34" s="130">
        <f t="shared" si="0"/>
        <v>121.27422150992489</v>
      </c>
      <c r="J34" s="130">
        <f t="shared" si="5"/>
        <v>-0.20147019286837009</v>
      </c>
      <c r="K34" s="136">
        <f>R32+R33+R34</f>
        <v>12676312589</v>
      </c>
      <c r="L34" s="190">
        <f>U34/U31-1</f>
        <v>0.30041054372674281</v>
      </c>
      <c r="M34" s="190">
        <f>U34/U22-1</f>
        <v>0.72418016362789395</v>
      </c>
      <c r="N34" s="191">
        <f>AVERAGE(T32:T34)</f>
        <v>109.1881170635916</v>
      </c>
      <c r="O34" s="192">
        <f>N34/N31-1</f>
        <v>-5.6515237541621355E-2</v>
      </c>
      <c r="P34" s="129" t="s">
        <v>652</v>
      </c>
      <c r="Q34" s="116">
        <v>2982161</v>
      </c>
      <c r="R34" s="116">
        <v>4101724239</v>
      </c>
      <c r="S34" s="116">
        <v>24590.23</v>
      </c>
      <c r="T34" s="130">
        <f t="shared" ref="T34" si="40">Q34/S34</f>
        <v>121.27422150992489</v>
      </c>
      <c r="U34" s="85">
        <f>Q32+Q33+Q34</f>
        <v>9271684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177065.21739130435</v>
      </c>
      <c r="G35" s="190">
        <f t="shared" ref="G35" si="41">F35/F34-1</f>
        <v>0.12812122834239426</v>
      </c>
      <c r="H35" s="190">
        <f t="shared" ref="H35" si="42">F35/F23-1</f>
        <v>1.474190638279997</v>
      </c>
      <c r="I35" s="130">
        <f t="shared" si="0"/>
        <v>102.27152015031464</v>
      </c>
      <c r="J35" s="130">
        <f t="shared" si="5"/>
        <v>-0.2257224486278111</v>
      </c>
      <c r="K35" s="136"/>
      <c r="L35" s="190"/>
      <c r="M35" s="190"/>
      <c r="N35" s="191"/>
      <c r="O35" s="192"/>
      <c r="P35" s="129" t="s">
        <v>660</v>
      </c>
      <c r="Q35" s="116">
        <v>4072500</v>
      </c>
      <c r="R35" s="116">
        <v>5637246519</v>
      </c>
      <c r="S35" s="116">
        <v>39820.47</v>
      </c>
      <c r="T35" s="130">
        <f t="shared" ref="T35" si="43">Q35/S35</f>
        <v>102.27152015031464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199914.23809523811</v>
      </c>
      <c r="G36" s="190">
        <f t="shared" ref="G36" si="44">F36/F35-1</f>
        <v>0.12904296530152881</v>
      </c>
      <c r="H36" s="190">
        <f t="shared" ref="H36" si="45">F36/F24-1</f>
        <v>1.4874264554549694</v>
      </c>
      <c r="I36" s="130">
        <f t="shared" si="0"/>
        <v>104.61156139682458</v>
      </c>
      <c r="J36" s="130">
        <f t="shared" si="5"/>
        <v>-0.27372169590703099</v>
      </c>
      <c r="K36" s="136"/>
      <c r="L36" s="190"/>
      <c r="M36" s="190"/>
      <c r="N36" s="191"/>
      <c r="O36" s="192"/>
      <c r="P36" s="129" t="s">
        <v>664</v>
      </c>
      <c r="Q36" s="116">
        <v>4198199</v>
      </c>
      <c r="R36" s="116">
        <v>5713130438</v>
      </c>
      <c r="S36" s="116">
        <v>40131.31</v>
      </c>
      <c r="T36" s="130">
        <f t="shared" ref="T36" si="46">Q36/S36</f>
        <v>104.61156139682458</v>
      </c>
      <c r="U36" s="85"/>
    </row>
    <row r="37" spans="1:21" s="79" customFormat="1" ht="13.2" hidden="1">
      <c r="A37" s="129" t="s">
        <v>702</v>
      </c>
      <c r="B37" s="188">
        <f>SUM(F35:F37)</f>
        <v>557763.67770876468</v>
      </c>
      <c r="C37" s="188">
        <f>AVERAGE(F35:F37)</f>
        <v>185921.22590292155</v>
      </c>
      <c r="D37" s="190">
        <f>C37/C34-1</f>
        <v>0.22194150658553968</v>
      </c>
      <c r="E37" s="287">
        <f>C37/C25-1</f>
        <v>1.1417182486196249</v>
      </c>
      <c r="F37" s="136">
        <f>Q37/18</f>
        <v>180784.22222222222</v>
      </c>
      <c r="G37" s="190">
        <f t="shared" ref="G37" si="47">F37/F36-1</f>
        <v>-9.5691112625517216E-2</v>
      </c>
      <c r="H37" s="190">
        <f t="shared" ref="H37" si="48">F37/F25-1</f>
        <v>0.66631668418196144</v>
      </c>
      <c r="I37" s="130">
        <f t="shared" si="0"/>
        <v>115.35376967218576</v>
      </c>
      <c r="J37" s="130">
        <f t="shared" si="5"/>
        <v>-0.18714986035953307</v>
      </c>
      <c r="K37" s="136">
        <f>R35+R36+R37</f>
        <v>15694365163</v>
      </c>
      <c r="L37" s="190">
        <f>U37/U34-1</f>
        <v>0.24301205692514971</v>
      </c>
      <c r="M37" s="190">
        <f>U37/U25-1</f>
        <v>1.1612915748220209</v>
      </c>
      <c r="N37" s="191">
        <f>AVERAGE(T35:T37)</f>
        <v>107.41228373977499</v>
      </c>
      <c r="O37" s="192">
        <f>N37/N34-1</f>
        <v>-1.6263979740417711E-2</v>
      </c>
      <c r="P37" s="129" t="s">
        <v>702</v>
      </c>
      <c r="Q37" s="116">
        <v>3254116</v>
      </c>
      <c r="R37" s="116">
        <v>4343988206</v>
      </c>
      <c r="S37" s="116">
        <v>28209.88</v>
      </c>
      <c r="T37" s="130">
        <f t="shared" ref="T37" si="49">Q37/S37</f>
        <v>115.35376967218576</v>
      </c>
      <c r="U37" s="85">
        <f>Q35+Q36+Q37</f>
        <v>11524815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202016.35</v>
      </c>
      <c r="G38" s="190">
        <f t="shared" ref="G38" si="50">F38/F37-1</f>
        <v>0.11744458402835067</v>
      </c>
      <c r="H38" s="190">
        <f t="shared" ref="H38" si="51">F38/F26-1</f>
        <v>1.0150146074110626</v>
      </c>
      <c r="I38" s="130">
        <f t="shared" si="0"/>
        <v>106.037229177509</v>
      </c>
      <c r="J38" s="130">
        <f t="shared" si="5"/>
        <v>-0.33104675874187184</v>
      </c>
      <c r="K38" s="136"/>
      <c r="L38" s="190"/>
      <c r="M38" s="190"/>
      <c r="N38" s="191"/>
      <c r="O38" s="192"/>
      <c r="P38" s="129" t="s">
        <v>728</v>
      </c>
      <c r="Q38" s="116">
        <v>4040327</v>
      </c>
      <c r="R38" s="116">
        <v>5437764753</v>
      </c>
      <c r="S38" s="116">
        <v>38102.910000000003</v>
      </c>
      <c r="T38" s="130">
        <f t="shared" ref="T38" si="52">Q38/S38</f>
        <v>106.037229177509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188347.28571428571</v>
      </c>
      <c r="G39" s="190">
        <f t="shared" ref="G39" si="53">F39/F38-1</f>
        <v>-6.766315838155823E-2</v>
      </c>
      <c r="H39" s="190">
        <f t="shared" ref="H39" si="54">F39/F27-1</f>
        <v>0.95595614658024219</v>
      </c>
      <c r="I39" s="130">
        <f t="shared" si="0"/>
        <v>111.98251560065606</v>
      </c>
      <c r="J39" s="130">
        <f t="shared" si="5"/>
        <v>-1.0790356475190888E-2</v>
      </c>
      <c r="K39" s="136"/>
      <c r="L39" s="190"/>
      <c r="M39" s="190"/>
      <c r="N39" s="191"/>
      <c r="O39" s="192"/>
      <c r="P39" s="129" t="s">
        <v>762</v>
      </c>
      <c r="Q39" s="116">
        <v>3955293</v>
      </c>
      <c r="R39" s="116">
        <v>5496557639</v>
      </c>
      <c r="S39" s="116">
        <v>35320.629999999997</v>
      </c>
      <c r="T39" s="130">
        <f t="shared" ref="T39" si="55">Q39/S39</f>
        <v>111.98251560065606</v>
      </c>
      <c r="U39" s="85"/>
    </row>
    <row r="40" spans="1:21" s="79" customFormat="1" ht="13.2" hidden="1">
      <c r="A40" s="129" t="s">
        <v>778</v>
      </c>
      <c r="B40" s="188">
        <f>SUM(F38:F40)</f>
        <v>560879.25476190471</v>
      </c>
      <c r="C40" s="188">
        <f>AVERAGE(F38:F40)</f>
        <v>186959.75158730158</v>
      </c>
      <c r="D40" s="190">
        <f>C40/C37-1</f>
        <v>5.5858371164263509E-3</v>
      </c>
      <c r="E40" s="287">
        <f>C40/C28-1</f>
        <v>0.79157736474811324</v>
      </c>
      <c r="F40" s="136">
        <f>Q40/21</f>
        <v>170515.61904761905</v>
      </c>
      <c r="G40" s="190">
        <f t="shared" ref="G40" si="56">F40/F39-1</f>
        <v>-9.4674402123938628E-2</v>
      </c>
      <c r="H40" s="190">
        <f t="shared" ref="H40" si="57">F40/F28-1</f>
        <v>0.46346825877221853</v>
      </c>
      <c r="I40" s="130">
        <f t="shared" si="0"/>
        <v>108.40150503995851</v>
      </c>
      <c r="J40" s="130">
        <f t="shared" si="5"/>
        <v>-0.18790585852442587</v>
      </c>
      <c r="K40" s="136">
        <f>R38+R39+R40</f>
        <v>16011567850</v>
      </c>
      <c r="L40" s="190">
        <f>U40/U37-1</f>
        <v>4.4801586836751284E-3</v>
      </c>
      <c r="M40" s="190">
        <f>U40/U28-1</f>
        <v>0.85606021252157261</v>
      </c>
      <c r="N40" s="191">
        <f>AVERAGE(T38:T40)</f>
        <v>108.80708327270786</v>
      </c>
      <c r="O40" s="192">
        <f>N40/N37-1</f>
        <v>1.298547507203196E-2</v>
      </c>
      <c r="P40" s="129" t="s">
        <v>778</v>
      </c>
      <c r="Q40" s="116">
        <v>3580828</v>
      </c>
      <c r="R40" s="116">
        <v>5077245458</v>
      </c>
      <c r="S40" s="116">
        <v>33033.01</v>
      </c>
      <c r="T40" s="130">
        <f t="shared" ref="T40" si="58">Q40/S40</f>
        <v>108.40150503995851</v>
      </c>
      <c r="U40" s="85">
        <f>Q38+Q39+Q40</f>
        <v>11576448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214476.77777777778</v>
      </c>
      <c r="G41" s="190">
        <f t="shared" ref="G41" si="59">F41/F40-1</f>
        <v>0.25781309052915513</v>
      </c>
      <c r="H41" s="190">
        <f t="shared" ref="H41" si="60">F41/F29-1</f>
        <v>0.6609538234098089</v>
      </c>
      <c r="I41" s="130">
        <f t="shared" si="0"/>
        <v>87.151179761038591</v>
      </c>
      <c r="J41" s="130">
        <f t="shared" si="5"/>
        <v>-0.34054537365725279</v>
      </c>
      <c r="K41" s="193"/>
      <c r="L41" s="190"/>
      <c r="M41" s="190"/>
      <c r="N41" s="193"/>
      <c r="O41" s="193"/>
      <c r="P41" s="129" t="s">
        <v>792</v>
      </c>
      <c r="Q41" s="116">
        <v>3860582</v>
      </c>
      <c r="R41" s="116">
        <v>5646583586</v>
      </c>
      <c r="S41" s="116">
        <v>44297.53</v>
      </c>
      <c r="T41" s="130">
        <f t="shared" ref="T41" si="61">Q41/S41</f>
        <v>87.151179761038591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167663.4</v>
      </c>
      <c r="G42" s="190">
        <f t="shared" ref="G42" si="62">F42/F41-1</f>
        <v>-0.21826781557806574</v>
      </c>
      <c r="H42" s="190">
        <f t="shared" ref="H42" si="63">F42/F30-1</f>
        <v>0.51611926191141366</v>
      </c>
      <c r="I42" s="130">
        <f t="shared" si="0"/>
        <v>105.15362083060644</v>
      </c>
      <c r="J42" s="130">
        <f t="shared" si="5"/>
        <v>-1.2981052120544678E-2</v>
      </c>
      <c r="K42" s="193"/>
      <c r="L42" s="190"/>
      <c r="M42" s="190"/>
      <c r="N42" s="193"/>
      <c r="O42" s="193"/>
      <c r="P42" s="129" t="s">
        <v>826</v>
      </c>
      <c r="Q42" s="116">
        <v>3353268</v>
      </c>
      <c r="R42" s="116">
        <v>4845587730</v>
      </c>
      <c r="S42" s="116">
        <v>31889.23</v>
      </c>
      <c r="T42" s="130">
        <f t="shared" ref="T42" si="64">Q42/S42</f>
        <v>105.15362083060644</v>
      </c>
      <c r="U42" s="78"/>
    </row>
    <row r="43" spans="1:21" s="79" customFormat="1" ht="13.2">
      <c r="A43" s="129" t="s">
        <v>835</v>
      </c>
      <c r="B43" s="188">
        <f>SUM(F41:F43)</f>
        <v>569030.67777777778</v>
      </c>
      <c r="C43" s="188">
        <f>AVERAGE(F41:F43)</f>
        <v>189676.8925925926</v>
      </c>
      <c r="D43" s="190">
        <f>C43/C40-1</f>
        <v>1.4533293835824468E-2</v>
      </c>
      <c r="E43" s="287">
        <f>C43/C31-1</f>
        <v>0.62996000012013642</v>
      </c>
      <c r="F43" s="136">
        <f>Q43/20</f>
        <v>186890.5</v>
      </c>
      <c r="G43" s="190">
        <f t="shared" ref="G43" si="65">F43/F42-1</f>
        <v>0.11467678694336403</v>
      </c>
      <c r="H43" s="190">
        <f t="shared" ref="H43" si="66">F43/F31-1</f>
        <v>0.70845931461611422</v>
      </c>
      <c r="I43" s="130">
        <f t="shared" si="0"/>
        <v>97.755766065726704</v>
      </c>
      <c r="J43" s="130">
        <f t="shared" si="5"/>
        <v>-9.896379211272277E-2</v>
      </c>
      <c r="K43" s="136">
        <f>R41+R42+R43</f>
        <v>15908800651</v>
      </c>
      <c r="L43" s="190">
        <f>U43/U40-1</f>
        <v>-5.3970613438595327E-2</v>
      </c>
      <c r="M43" s="190">
        <f>K43/K31-1</f>
        <v>0.68476966958307761</v>
      </c>
      <c r="N43" s="191">
        <f>AVERAGE(T41:T43)</f>
        <v>96.686855552457246</v>
      </c>
      <c r="O43" s="192">
        <f>N43/N40-1</f>
        <v>-0.11139189982579689</v>
      </c>
      <c r="P43" s="129" t="s">
        <v>835</v>
      </c>
      <c r="Q43" s="116">
        <v>3737810</v>
      </c>
      <c r="R43" s="116">
        <v>5416629335</v>
      </c>
      <c r="S43" s="116">
        <v>38236.21</v>
      </c>
      <c r="T43" s="130">
        <f t="shared" ref="T43" si="67">Q43/S43</f>
        <v>97.755766065726704</v>
      </c>
      <c r="U43" s="85">
        <f>Q41+Q42+Q43</f>
        <v>10951660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190187.54545454544</v>
      </c>
      <c r="G44" s="190">
        <f t="shared" ref="G44" si="68">F44/F43-1</f>
        <v>1.76415893506916E-2</v>
      </c>
      <c r="H44" s="190">
        <f t="shared" ref="H44" si="69">F44/F32-1</f>
        <v>0.53233176013514738</v>
      </c>
      <c r="I44" s="130">
        <f t="shared" si="0"/>
        <v>104.14397919572605</v>
      </c>
      <c r="J44" s="130">
        <f t="shared" si="5"/>
        <v>-8.3167222823487763E-2</v>
      </c>
      <c r="K44" s="136"/>
      <c r="L44" s="190"/>
      <c r="M44" s="190"/>
      <c r="N44" s="191"/>
      <c r="O44" s="192"/>
      <c r="P44" s="129" t="s">
        <v>843</v>
      </c>
      <c r="Q44" s="116">
        <v>4184126</v>
      </c>
      <c r="R44" s="116">
        <v>6066324486</v>
      </c>
      <c r="S44" s="116">
        <v>40176.36</v>
      </c>
      <c r="T44" s="130">
        <f t="shared" ref="T44" si="70">Q44/S44</f>
        <v>104.14397919572605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252163.7</v>
      </c>
      <c r="G45" s="190">
        <f t="shared" ref="G45" si="71">F45/F44-1</f>
        <v>0.32586862823920715</v>
      </c>
      <c r="H45" s="190">
        <f t="shared" ref="H45" si="72">F45/F33-1</f>
        <v>0.43777506205407546</v>
      </c>
      <c r="I45" s="130">
        <f t="shared" si="0"/>
        <v>101.61005818436338</v>
      </c>
      <c r="J45" s="130">
        <f t="shared" si="5"/>
        <v>9.6127774419754841E-2</v>
      </c>
      <c r="K45" s="136"/>
      <c r="L45" s="190"/>
      <c r="M45" s="190"/>
      <c r="N45" s="191"/>
      <c r="O45" s="192"/>
      <c r="P45" s="129" t="s">
        <v>849</v>
      </c>
      <c r="Q45" s="116">
        <v>5043274</v>
      </c>
      <c r="R45" s="116">
        <v>7102853551</v>
      </c>
      <c r="S45" s="116">
        <v>49633.61</v>
      </c>
      <c r="T45" s="130">
        <f t="shared" ref="T45" si="73">Q45/S45</f>
        <v>101.61005818436338</v>
      </c>
      <c r="U45" s="85"/>
    </row>
    <row r="46" spans="1:21" s="79" customFormat="1" ht="13.2">
      <c r="A46" s="129" t="s">
        <v>888</v>
      </c>
      <c r="B46" s="188">
        <f>SUM(F44:F46)</f>
        <v>676324.03492822964</v>
      </c>
      <c r="C46" s="188">
        <f>AVERAGE(F44:F46)</f>
        <v>225441.34497607654</v>
      </c>
      <c r="D46" s="190">
        <f>C46/C43-1</f>
        <v>0.18855460933927515</v>
      </c>
      <c r="E46" s="287">
        <f>C46/C34-1</f>
        <v>0.48168201553585255</v>
      </c>
      <c r="F46" s="136">
        <f>Q46/19</f>
        <v>233972.78947368421</v>
      </c>
      <c r="G46" s="190">
        <f t="shared" ref="G46" si="74">F46/F45-1</f>
        <v>-7.2139290969778003E-2</v>
      </c>
      <c r="H46" s="190">
        <f t="shared" ref="H46" si="75">F46/F34-1</f>
        <v>0.49069181710846621</v>
      </c>
      <c r="I46" s="130">
        <f t="shared" si="0"/>
        <v>112.74392967166295</v>
      </c>
      <c r="J46" s="130">
        <f t="shared" si="5"/>
        <v>-7.0338871130694702E-2</v>
      </c>
      <c r="K46" s="136">
        <f>R44+R45+R46</f>
        <v>19260261199</v>
      </c>
      <c r="L46" s="190">
        <f>U46/U43-1</f>
        <v>0.24847584749709184</v>
      </c>
      <c r="M46" s="190">
        <f>K46/K34-1</f>
        <v>0.51938989069370911</v>
      </c>
      <c r="N46" s="191">
        <f>AVERAGE(T44:T46)</f>
        <v>106.16598901725079</v>
      </c>
      <c r="O46" s="192">
        <f>N46/N43-1</f>
        <v>9.8039525751777656E-2</v>
      </c>
      <c r="P46" s="129" t="s">
        <v>888</v>
      </c>
      <c r="Q46" s="116">
        <v>4445483</v>
      </c>
      <c r="R46" s="116">
        <v>6091083162</v>
      </c>
      <c r="S46" s="116">
        <v>39429.910000000003</v>
      </c>
      <c r="T46" s="130">
        <f t="shared" ref="T46" si="76">Q46/S46</f>
        <v>112.74392967166295</v>
      </c>
      <c r="U46" s="85">
        <f t="shared" ref="U46:U51" si="77">Q44+Q45+Q46</f>
        <v>13672883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324668.5652173913</v>
      </c>
      <c r="G47" s="190">
        <f t="shared" ref="G47" si="78">F47/F46-1</f>
        <v>0.38763386096188746</v>
      </c>
      <c r="H47" s="190">
        <f t="shared" ref="H47" si="79">F47/F35-1</f>
        <v>0.83361006752608957</v>
      </c>
      <c r="I47" s="130">
        <f t="shared" si="0"/>
        <v>103.65638567168223</v>
      </c>
      <c r="J47" s="130">
        <f t="shared" si="5"/>
        <v>1.3541067144911656E-2</v>
      </c>
      <c r="K47" s="136"/>
      <c r="L47" s="190"/>
      <c r="M47" s="190"/>
      <c r="N47" s="191"/>
      <c r="O47" s="192"/>
      <c r="P47" s="129" t="s">
        <v>1043</v>
      </c>
      <c r="Q47" s="116">
        <v>7467377</v>
      </c>
      <c r="R47" s="116">
        <v>10209579465</v>
      </c>
      <c r="S47" s="116">
        <v>72039.72</v>
      </c>
      <c r="T47" s="130">
        <f t="shared" ref="T47" si="80">Q47/S47</f>
        <v>103.65638567168223</v>
      </c>
      <c r="U47" s="85">
        <f t="shared" si="77"/>
        <v>16956134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241493.4</v>
      </c>
      <c r="G48" s="190">
        <f t="shared" ref="G48" si="81">F48/F47-1</f>
        <v>-0.25618484241521489</v>
      </c>
      <c r="H48" s="190">
        <f t="shared" ref="H48" si="82">F48/F36-1</f>
        <v>0.20798499547067673</v>
      </c>
      <c r="I48" s="130">
        <f t="shared" si="0"/>
        <v>114.74450120057388</v>
      </c>
      <c r="J48" s="130">
        <f t="shared" si="5"/>
        <v>9.6862523304779513E-2</v>
      </c>
      <c r="K48" s="136"/>
      <c r="L48" s="190"/>
      <c r="M48" s="190"/>
      <c r="N48" s="191"/>
      <c r="O48" s="192"/>
      <c r="P48" s="129" t="s">
        <v>1120</v>
      </c>
      <c r="Q48" s="116">
        <v>4829868</v>
      </c>
      <c r="R48" s="116">
        <v>6702095567</v>
      </c>
      <c r="S48" s="116">
        <v>42092.37</v>
      </c>
      <c r="T48" s="130">
        <f t="shared" ref="T48" si="83">Q48/S48</f>
        <v>114.74450120057388</v>
      </c>
      <c r="U48" s="85">
        <f t="shared" si="77"/>
        <v>16742728</v>
      </c>
    </row>
    <row r="49" spans="1:26" ht="13.2">
      <c r="A49" s="129" t="s">
        <v>1158</v>
      </c>
      <c r="B49" s="188">
        <f>SUM(F47:F49)</f>
        <v>845263.28339920938</v>
      </c>
      <c r="C49" s="188">
        <f>AVERAGE(F47:F49)</f>
        <v>281754.42779973644</v>
      </c>
      <c r="D49" s="190">
        <f>C49/C46-1</f>
        <v>0.24979039594372443</v>
      </c>
      <c r="E49" s="287">
        <f>C49/C37-1</f>
        <v>0.51545057016165563</v>
      </c>
      <c r="F49" s="136">
        <f>Q49/22</f>
        <v>279101.31818181818</v>
      </c>
      <c r="G49" s="190">
        <f t="shared" ref="G49" si="84">F49/F48-1</f>
        <v>0.15573062527513448</v>
      </c>
      <c r="H49" s="190">
        <f t="shared" ref="H49" si="85">F49/F37-1</f>
        <v>0.54383670627375524</v>
      </c>
      <c r="I49" s="130">
        <f t="shared" si="0"/>
        <v>121.69945161973153</v>
      </c>
      <c r="J49" s="130">
        <f t="shared" si="5"/>
        <v>5.5010616173004401E-2</v>
      </c>
      <c r="K49" s="136">
        <f>R47+R48+R49</f>
        <v>25443175836</v>
      </c>
      <c r="L49" s="190">
        <f>U49/U46-1</f>
        <v>0.34847010685310487</v>
      </c>
      <c r="M49" s="190">
        <f>K49/K37-1</f>
        <v>0.62116629578513649</v>
      </c>
      <c r="N49" s="191">
        <f>AVERAGE(T47:T49)</f>
        <v>113.36677949732922</v>
      </c>
      <c r="O49" s="192">
        <f>N49/N46-1</f>
        <v>6.7825774965543539E-2</v>
      </c>
      <c r="P49" s="129" t="s">
        <v>1165</v>
      </c>
      <c r="Q49" s="116">
        <v>6140229</v>
      </c>
      <c r="R49" s="116">
        <v>8531500804</v>
      </c>
      <c r="S49" s="116">
        <v>50454.04</v>
      </c>
      <c r="T49" s="130">
        <f t="shared" ref="T49" si="86">Q49/S49</f>
        <v>121.69945161973153</v>
      </c>
      <c r="U49" s="85">
        <f t="shared" si="77"/>
        <v>18437474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291159.66666666669</v>
      </c>
      <c r="G50" s="190">
        <f t="shared" ref="G50" si="87">F50/F49-1</f>
        <v>4.3204197541601097E-2</v>
      </c>
      <c r="H50" s="190">
        <f t="shared" ref="H50" si="88">F50/F38-1</f>
        <v>0.44126783137437475</v>
      </c>
      <c r="I50" s="130">
        <f t="shared" ref="I50" si="89">T50</f>
        <v>115.87768010888917</v>
      </c>
      <c r="J50" s="130">
        <f t="shared" ref="J50" si="90">I50/I38-1</f>
        <v>9.2801849008210091E-2</v>
      </c>
      <c r="K50" s="136"/>
      <c r="L50" s="190"/>
      <c r="M50" s="190"/>
      <c r="N50" s="191"/>
      <c r="O50" s="192"/>
      <c r="P50" s="129" t="s">
        <v>1352</v>
      </c>
      <c r="Q50" s="116">
        <v>5240874</v>
      </c>
      <c r="R50" s="116">
        <v>7411613894</v>
      </c>
      <c r="S50" s="116">
        <v>45227.64</v>
      </c>
      <c r="T50" s="130">
        <f t="shared" ref="T50" si="91">Q50/S50</f>
        <v>115.87768010888917</v>
      </c>
      <c r="U50" s="85">
        <f t="shared" si="77"/>
        <v>16210971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269244</v>
      </c>
      <c r="G51" s="190">
        <f t="shared" ref="G51:G52" si="92">F51/F50-1</f>
        <v>-7.5270269806143042E-2</v>
      </c>
      <c r="H51" s="190">
        <f t="shared" ref="H51:H52" si="93">F51/F39-1</f>
        <v>0.42950825640477208</v>
      </c>
      <c r="I51" s="130">
        <f t="shared" ref="I51:I52" si="94">T51</f>
        <v>110.16539293403677</v>
      </c>
      <c r="J51" s="130">
        <f t="shared" ref="J51:J52" si="95">I51/I39-1</f>
        <v>-1.6226842707297018E-2</v>
      </c>
      <c r="K51" s="136"/>
      <c r="L51" s="190"/>
      <c r="M51" s="190"/>
      <c r="N51" s="191"/>
      <c r="O51" s="192"/>
      <c r="P51" s="129" t="s">
        <v>1402</v>
      </c>
      <c r="Q51" s="116">
        <v>5384880</v>
      </c>
      <c r="R51" s="116">
        <v>7798364093</v>
      </c>
      <c r="S51" s="116">
        <v>48879.96</v>
      </c>
      <c r="T51" s="130">
        <f t="shared" ref="T51:T52" si="96">Q51/S51</f>
        <v>110.16539293403677</v>
      </c>
      <c r="U51" s="85">
        <f t="shared" si="77"/>
        <v>16765983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855527.62121212133</v>
      </c>
      <c r="C52" s="188">
        <f>AVERAGE(F50:F52)</f>
        <v>285175.8737373738</v>
      </c>
      <c r="D52" s="190">
        <f>C52/C49-1</f>
        <v>1.2143361736516312E-2</v>
      </c>
      <c r="E52" s="287">
        <f>C52/C40-1</f>
        <v>0.52533297309292704</v>
      </c>
      <c r="F52" s="136">
        <f>Q52/22</f>
        <v>295123.95454545453</v>
      </c>
      <c r="G52" s="190">
        <f t="shared" si="92"/>
        <v>9.6120821802731182E-2</v>
      </c>
      <c r="H52" s="190">
        <f t="shared" si="93"/>
        <v>0.73077373318532612</v>
      </c>
      <c r="I52" s="130">
        <f t="shared" si="94"/>
        <v>124.95805847851922</v>
      </c>
      <c r="J52" s="130">
        <f t="shared" si="95"/>
        <v>0.15273361225434745</v>
      </c>
      <c r="K52" s="136">
        <f>R50+R51+R52</f>
        <v>24767661851</v>
      </c>
      <c r="L52" s="190">
        <f>U52/U49-1</f>
        <v>-7.1538704271528752E-2</v>
      </c>
      <c r="M52" s="190">
        <f>K52/K40-1</f>
        <v>0.54686050004778264</v>
      </c>
      <c r="N52" s="191">
        <f>AVERAGE(T50:T52)</f>
        <v>117.00037717381504</v>
      </c>
      <c r="O52" s="192">
        <f>N52/N49-1</f>
        <v>3.2051697089723108E-2</v>
      </c>
      <c r="P52" s="129" t="s">
        <v>1403</v>
      </c>
      <c r="Q52" s="116">
        <v>6492727</v>
      </c>
      <c r="R52" s="116">
        <v>9557683864</v>
      </c>
      <c r="S52" s="116">
        <v>51959.25</v>
      </c>
      <c r="T52" s="130">
        <f t="shared" si="96"/>
        <v>124.95805847851922</v>
      </c>
      <c r="U52" s="85">
        <f t="shared" ref="U52" si="97">Q50+Q51+Q52</f>
        <v>17118481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415238.52380952379</v>
      </c>
      <c r="G53" s="190">
        <f t="shared" ref="G53" si="98">F53/F52-1</f>
        <v>0.40699701740262961</v>
      </c>
      <c r="H53" s="190">
        <f t="shared" ref="H53" si="99">F53/F41-1</f>
        <v>0.93605353508134992</v>
      </c>
      <c r="I53" s="130">
        <f t="shared" ref="I53" si="100">T53</f>
        <v>127.50325776336122</v>
      </c>
      <c r="J53" s="130">
        <f t="shared" ref="J53" si="101">I53/I41-1</f>
        <v>0.4630124126026145</v>
      </c>
      <c r="K53" s="136"/>
      <c r="L53" s="190"/>
      <c r="M53" s="190"/>
      <c r="N53" s="191"/>
      <c r="O53" s="192"/>
      <c r="P53" s="129" t="s">
        <v>1414</v>
      </c>
      <c r="Q53" s="116">
        <v>8720009</v>
      </c>
      <c r="R53" s="116">
        <v>12750587212</v>
      </c>
      <c r="S53" s="116">
        <v>68390.48</v>
      </c>
      <c r="T53" s="130">
        <f t="shared" ref="T53" si="102">Q53/S53</f>
        <v>127.50325776336122</v>
      </c>
      <c r="U53" s="85">
        <f t="shared" ref="U53" si="103">Q51+Q52+Q53</f>
        <v>20597616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392215.8823529412</v>
      </c>
      <c r="G54" s="190">
        <f t="shared" ref="G54" si="104">F54/F53-1</f>
        <v>-5.5444377475784012E-2</v>
      </c>
      <c r="H54" s="190">
        <f t="shared" ref="H54" si="105">F54/F42-1</f>
        <v>1.3393053126260188</v>
      </c>
      <c r="I54" s="130">
        <f t="shared" ref="I54" si="106">T54</f>
        <v>150.04058362104911</v>
      </c>
      <c r="J54" s="130">
        <f t="shared" ref="J54" si="107">I54/I42-1</f>
        <v>0.4268703486944283</v>
      </c>
      <c r="K54" s="136"/>
      <c r="L54" s="190"/>
      <c r="M54" s="190"/>
      <c r="N54" s="191"/>
      <c r="O54" s="192"/>
      <c r="P54" s="129" t="s">
        <v>1417</v>
      </c>
      <c r="Q54" s="116">
        <v>6667670</v>
      </c>
      <c r="R54" s="116">
        <v>9662043479</v>
      </c>
      <c r="S54" s="116">
        <v>44439.11</v>
      </c>
      <c r="T54" s="130">
        <f t="shared" ref="T54" si="108">Q54/S54</f>
        <v>150.04058362104911</v>
      </c>
      <c r="U54" s="85">
        <f t="shared" ref="U54" si="109">Q52+Q53+Q54</f>
        <v>21880406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1241665.5490196077</v>
      </c>
      <c r="C55" s="188">
        <f>AVERAGE(F53:F55)</f>
        <v>413888.51633986924</v>
      </c>
      <c r="D55" s="190">
        <f>C55/C52-1</f>
        <v>0.4513447821362</v>
      </c>
      <c r="E55" s="287">
        <f>C55/C43-1</f>
        <v>1.1820713671689109</v>
      </c>
      <c r="F55" s="136">
        <f>Q55/21</f>
        <v>434211.14285714284</v>
      </c>
      <c r="G55" s="190">
        <f t="shared" ref="G55" si="110">F55/F54-1</f>
        <v>0.10707179997981719</v>
      </c>
      <c r="H55" s="190">
        <f t="shared" ref="H55" si="111">F55/F43-1</f>
        <v>1.3233451826451468</v>
      </c>
      <c r="I55" s="130">
        <f>T55</f>
        <v>166.12782452139865</v>
      </c>
      <c r="J55" s="130">
        <f t="shared" ref="J55" si="112">I55/I43-1</f>
        <v>0.69941714138582434</v>
      </c>
      <c r="K55" s="136">
        <f>R53+R54+R55</f>
        <v>35798185343</v>
      </c>
      <c r="L55" s="190">
        <f>U55/U52-1</f>
        <v>0.43155885151258455</v>
      </c>
      <c r="M55" s="190">
        <f>K55/K43-1</f>
        <v>1.2502127047993268</v>
      </c>
      <c r="N55" s="191">
        <f>AVERAGE(T53:T55)</f>
        <v>147.8905553019363</v>
      </c>
      <c r="O55" s="192">
        <f>N55/N52-1</f>
        <v>0.26401776536353383</v>
      </c>
      <c r="P55" s="129" t="s">
        <v>1418</v>
      </c>
      <c r="Q55" s="116">
        <v>9118434</v>
      </c>
      <c r="R55" s="116">
        <v>13385554652</v>
      </c>
      <c r="S55" s="116">
        <v>54888.06</v>
      </c>
      <c r="T55" s="130">
        <f t="shared" ref="T55" si="113">Q55/S55</f>
        <v>166.12782452139865</v>
      </c>
      <c r="U55" s="85">
        <f t="shared" ref="U55" si="114">Q53+Q54+Q55</f>
        <v>24506113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448586.90909090912</v>
      </c>
      <c r="G56" s="190">
        <f t="shared" ref="G56" si="115">F56/F55-1</f>
        <v>3.3107778255464959E-2</v>
      </c>
      <c r="H56" s="190">
        <f t="shared" ref="H56" si="116">F56/F44-1</f>
        <v>1.358655547179985</v>
      </c>
      <c r="I56" s="291">
        <f>T56</f>
        <v>155.23854946222082</v>
      </c>
      <c r="J56" s="130">
        <f t="shared" ref="J56" si="117">I56/I44-1</f>
        <v>0.49061473030974434</v>
      </c>
      <c r="K56" s="136"/>
      <c r="L56" s="190"/>
      <c r="M56" s="190"/>
      <c r="N56" s="191"/>
      <c r="O56" s="192"/>
      <c r="P56" s="129" t="s">
        <v>1420</v>
      </c>
      <c r="Q56" s="116">
        <v>9868912</v>
      </c>
      <c r="R56" s="116">
        <v>14739306437</v>
      </c>
      <c r="S56" s="116">
        <v>63572.56</v>
      </c>
      <c r="T56" s="130">
        <f t="shared" ref="T56" si="118">Q56/S56</f>
        <v>155.23854946222082</v>
      </c>
      <c r="U56" s="85">
        <f t="shared" ref="U56" si="119">Q54+Q55+Q56</f>
        <v>25655016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497626.66666666669</v>
      </c>
      <c r="G57" s="254">
        <f t="shared" ref="G57" si="120">F57/F56-1</f>
        <v>0.10932052759885447</v>
      </c>
      <c r="H57" s="254">
        <f t="shared" ref="H57" si="121">F57/F45-1</f>
        <v>0.9734270502323159</v>
      </c>
      <c r="I57" s="282">
        <f>T57</f>
        <v>177.4794055923584</v>
      </c>
      <c r="J57" s="277">
        <f t="shared" ref="J57" si="122">I57/I45-1</f>
        <v>0.74667162644800489</v>
      </c>
      <c r="K57" s="204"/>
      <c r="L57" s="254"/>
      <c r="M57" s="254"/>
      <c r="N57" s="257"/>
      <c r="O57" s="258"/>
      <c r="P57" s="129" t="s">
        <v>1436</v>
      </c>
      <c r="Q57" s="116">
        <v>5971520</v>
      </c>
      <c r="R57" s="116">
        <v>8812319155</v>
      </c>
      <c r="S57" s="116">
        <v>33646.269999999997</v>
      </c>
      <c r="T57" s="130">
        <f t="shared" ref="T57" si="123">Q57/S57</f>
        <v>177.4794055923584</v>
      </c>
      <c r="U57" s="85">
        <f t="shared" ref="U57" si="124">Q55+Q56+Q57</f>
        <v>24958866</v>
      </c>
      <c r="V57" s="79"/>
      <c r="W57" s="79"/>
      <c r="X57" s="79"/>
      <c r="Y57" s="79"/>
      <c r="Z57" s="79"/>
    </row>
    <row r="58" spans="1:26">
      <c r="B58" s="196">
        <f>SUM(F56:F58)</f>
        <v>946213.5757575758</v>
      </c>
      <c r="C58" s="196">
        <f>AVERAGE(F56:F58)</f>
        <v>473106.7878787879</v>
      </c>
      <c r="D58" s="197">
        <f>C58/C55-1</f>
        <v>0.14307783183404621</v>
      </c>
      <c r="E58" s="233">
        <f>C58/C46-1</f>
        <v>1.0985803998330175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40346545</v>
      </c>
      <c r="R65" s="212">
        <v>59349810935</v>
      </c>
      <c r="S65" s="213">
        <v>264936.51</v>
      </c>
      <c r="T65" s="214">
        <v>31</v>
      </c>
      <c r="U65" s="214">
        <v>120</v>
      </c>
    </row>
    <row r="66" spans="16:21" ht="18" thickBot="1">
      <c r="P66" s="180" t="s">
        <v>976</v>
      </c>
      <c r="Q66" s="181">
        <v>8720009</v>
      </c>
      <c r="R66" s="181">
        <v>12750587212</v>
      </c>
      <c r="S66" s="182">
        <v>68390.48</v>
      </c>
      <c r="T66" s="210">
        <v>21</v>
      </c>
      <c r="U66" s="210">
        <v>74</v>
      </c>
    </row>
    <row r="67" spans="16:21" ht="18" thickBot="1">
      <c r="P67" s="180" t="s">
        <v>977</v>
      </c>
      <c r="Q67" s="181">
        <v>6667670</v>
      </c>
      <c r="R67" s="181">
        <v>9662043479</v>
      </c>
      <c r="S67" s="182">
        <v>44439.11</v>
      </c>
      <c r="T67" s="210">
        <v>16</v>
      </c>
      <c r="U67" s="210">
        <v>73</v>
      </c>
    </row>
    <row r="68" spans="16:21" ht="18" thickBot="1">
      <c r="P68" s="180" t="s">
        <v>978</v>
      </c>
      <c r="Q68" s="181">
        <v>9118434</v>
      </c>
      <c r="R68" s="181">
        <v>13385554652</v>
      </c>
      <c r="S68" s="182">
        <v>54888.06</v>
      </c>
      <c r="T68" s="210">
        <v>20</v>
      </c>
      <c r="U68" s="210">
        <v>77</v>
      </c>
    </row>
    <row r="69" spans="16:21" ht="18" thickBot="1">
      <c r="P69" s="180" t="s">
        <v>979</v>
      </c>
      <c r="Q69" s="181">
        <v>9868912</v>
      </c>
      <c r="R69" s="181">
        <v>14739306437</v>
      </c>
      <c r="S69" s="182">
        <v>63572.56</v>
      </c>
      <c r="T69" s="210">
        <v>18</v>
      </c>
      <c r="U69" s="210">
        <v>78</v>
      </c>
    </row>
    <row r="70" spans="16:21" ht="18" thickBot="1">
      <c r="P70" s="180" t="s">
        <v>980</v>
      </c>
      <c r="Q70" s="181">
        <v>5971520</v>
      </c>
      <c r="R70" s="181">
        <v>8812319155</v>
      </c>
      <c r="S70" s="182">
        <v>33646.269999999997</v>
      </c>
      <c r="T70" s="210">
        <v>13</v>
      </c>
      <c r="U70" s="210">
        <v>61</v>
      </c>
    </row>
    <row r="71" spans="16:21" ht="18" thickBot="1">
      <c r="P71" s="180" t="s">
        <v>975</v>
      </c>
      <c r="Q71" s="181">
        <v>60180498</v>
      </c>
      <c r="R71" s="181">
        <v>85379899537</v>
      </c>
      <c r="S71" s="182">
        <v>554315.89</v>
      </c>
      <c r="T71" s="210">
        <v>42</v>
      </c>
      <c r="U71" s="210">
        <v>182</v>
      </c>
    </row>
    <row r="72" spans="16:21" ht="18" thickBot="1">
      <c r="P72" s="215" t="s">
        <v>982</v>
      </c>
      <c r="Q72" s="217" t="s">
        <v>1475</v>
      </c>
      <c r="R72"/>
      <c r="S72"/>
      <c r="T72"/>
      <c r="U72"/>
    </row>
  </sheetData>
  <phoneticPr fontId="1" type="noConversion"/>
  <conditionalFormatting sqref="C29:C30">
    <cfRule type="cellIs" dxfId="2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72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3921957.65</v>
      </c>
      <c r="G5" s="90"/>
      <c r="H5" s="90"/>
      <c r="I5" s="130">
        <f t="shared" ref="I5:I49" si="0">T5</f>
        <v>7.9983386484043599</v>
      </c>
      <c r="J5" s="130"/>
      <c r="L5" s="80"/>
      <c r="M5" s="80"/>
      <c r="P5" s="129" t="s">
        <v>0</v>
      </c>
      <c r="Q5" s="116">
        <v>78439153</v>
      </c>
      <c r="R5" s="116">
        <v>92578799389</v>
      </c>
      <c r="S5" s="116">
        <v>9806930.7200000007</v>
      </c>
      <c r="T5" s="130">
        <f t="shared" ref="T5:T47" si="1">Q5/S5</f>
        <v>7.9983386484043599</v>
      </c>
      <c r="U5" s="85"/>
    </row>
    <row r="6" spans="1:21" ht="15" hidden="1" customHeight="1">
      <c r="A6" s="129" t="s">
        <v>1</v>
      </c>
      <c r="C6" s="79"/>
      <c r="F6" s="78">
        <f>Q6/18</f>
        <v>4352764.833333333</v>
      </c>
      <c r="G6" s="90">
        <f t="shared" ref="G6:G47" si="2">F6/F5-1</f>
        <v>0.10984493505005921</v>
      </c>
      <c r="H6" s="90"/>
      <c r="I6" s="130">
        <f t="shared" si="0"/>
        <v>9.6214846458166043</v>
      </c>
      <c r="J6" s="130"/>
      <c r="P6" s="129" t="s">
        <v>1</v>
      </c>
      <c r="Q6" s="116">
        <v>78349767</v>
      </c>
      <c r="R6" s="116">
        <v>93119288512</v>
      </c>
      <c r="S6" s="116">
        <v>8143209.6900000004</v>
      </c>
      <c r="T6" s="130">
        <f t="shared" si="1"/>
        <v>9.6214846458166043</v>
      </c>
      <c r="U6" s="85"/>
    </row>
    <row r="7" spans="1:21" ht="15" hidden="1" customHeight="1">
      <c r="A7" s="129" t="s">
        <v>2</v>
      </c>
      <c r="B7" s="131">
        <f>F5+F6+F7</f>
        <v>12588415.119696969</v>
      </c>
      <c r="C7" s="131">
        <f>AVERAGE(F5:F7)</f>
        <v>4196138.3732323227</v>
      </c>
      <c r="F7" s="78">
        <f>Q7/22</f>
        <v>4313692.6363636367</v>
      </c>
      <c r="G7" s="90">
        <f t="shared" si="2"/>
        <v>-8.9764088954410459E-3</v>
      </c>
      <c r="H7" s="90"/>
      <c r="I7" s="130">
        <f t="shared" si="0"/>
        <v>8.8748590554699938</v>
      </c>
      <c r="J7" s="130"/>
      <c r="K7" s="79">
        <f>R5+R6+R7</f>
        <v>299952956889</v>
      </c>
      <c r="N7" s="88">
        <f>AVERAGE(T5:T7)</f>
        <v>8.8315607832303193</v>
      </c>
      <c r="P7" s="129" t="s">
        <v>2</v>
      </c>
      <c r="Q7" s="116">
        <v>94901238</v>
      </c>
      <c r="R7" s="116">
        <v>114254868988</v>
      </c>
      <c r="S7" s="116">
        <v>10693267.060000001</v>
      </c>
      <c r="T7" s="130">
        <f t="shared" si="1"/>
        <v>8.8748590554699938</v>
      </c>
      <c r="U7" s="85">
        <f>Q5+Q6+Q7</f>
        <v>251690158</v>
      </c>
    </row>
    <row r="8" spans="1:21" ht="15" hidden="1" customHeight="1">
      <c r="A8" s="129" t="s">
        <v>3</v>
      </c>
      <c r="C8" s="79"/>
      <c r="F8" s="78">
        <f>Q8/21</f>
        <v>5196579.666666667</v>
      </c>
      <c r="G8" s="90">
        <f t="shared" si="2"/>
        <v>0.20467082491238586</v>
      </c>
      <c r="H8" s="90"/>
      <c r="I8" s="130">
        <f t="shared" si="0"/>
        <v>9.1320214409126912</v>
      </c>
      <c r="J8" s="130"/>
      <c r="K8" s="78"/>
      <c r="P8" s="129" t="s">
        <v>3</v>
      </c>
      <c r="Q8" s="116">
        <v>109128173</v>
      </c>
      <c r="R8" s="116">
        <v>132318055211</v>
      </c>
      <c r="S8" s="116">
        <v>11950056.59</v>
      </c>
      <c r="T8" s="130">
        <f t="shared" si="1"/>
        <v>9.1320214409126912</v>
      </c>
      <c r="U8" s="85"/>
    </row>
    <row r="9" spans="1:21" ht="15" hidden="1" customHeight="1">
      <c r="A9" s="129" t="s">
        <v>4</v>
      </c>
      <c r="C9" s="79"/>
      <c r="F9" s="78">
        <f>Q9/21</f>
        <v>3639227.3333333335</v>
      </c>
      <c r="G9" s="90">
        <f t="shared" si="2"/>
        <v>-0.29968795500681567</v>
      </c>
      <c r="H9" s="90"/>
      <c r="I9" s="130">
        <f t="shared" si="0"/>
        <v>7.6938771205060652</v>
      </c>
      <c r="J9" s="130"/>
      <c r="K9" s="78"/>
      <c r="P9" s="129" t="s">
        <v>4</v>
      </c>
      <c r="Q9" s="116">
        <v>76423774</v>
      </c>
      <c r="R9" s="116">
        <v>96113650144</v>
      </c>
      <c r="S9" s="116">
        <v>9933064.0199999996</v>
      </c>
      <c r="T9" s="130">
        <f t="shared" si="1"/>
        <v>7.6938771205060652</v>
      </c>
      <c r="U9" s="85"/>
    </row>
    <row r="10" spans="1:21" ht="15" hidden="1" customHeight="1">
      <c r="A10" s="129" t="s">
        <v>5</v>
      </c>
      <c r="B10" s="131">
        <f>F8+F9+F10</f>
        <v>12923275.285714285</v>
      </c>
      <c r="C10" s="131">
        <f>AVERAGE(F8:F10)</f>
        <v>4307758.4285714282</v>
      </c>
      <c r="D10" s="90">
        <f>C10/C7-1</f>
        <v>2.6600661229654321E-2</v>
      </c>
      <c r="E10" s="286"/>
      <c r="F10" s="78">
        <f>Q10/21</f>
        <v>4087468.2857142859</v>
      </c>
      <c r="G10" s="90">
        <f t="shared" si="2"/>
        <v>0.12316926405649631</v>
      </c>
      <c r="H10" s="90"/>
      <c r="I10" s="130">
        <f t="shared" si="0"/>
        <v>8.5780188194923603</v>
      </c>
      <c r="J10" s="130"/>
      <c r="K10" s="79">
        <f>R8+R9+R10</f>
        <v>336360393845</v>
      </c>
      <c r="L10" s="87">
        <f>U10/U7-1</f>
        <v>7.826536864425182E-2</v>
      </c>
      <c r="N10" s="88">
        <f>AVERAGE(T8:T10)</f>
        <v>8.4679724603037059</v>
      </c>
      <c r="O10" s="89">
        <f>N10/N7-1</f>
        <v>-4.116920347952624E-2</v>
      </c>
      <c r="P10" s="129" t="s">
        <v>5</v>
      </c>
      <c r="Q10" s="116">
        <v>85836834</v>
      </c>
      <c r="R10" s="116">
        <v>107928688490</v>
      </c>
      <c r="S10" s="116">
        <v>10006603.6</v>
      </c>
      <c r="T10" s="130">
        <f t="shared" si="1"/>
        <v>8.5780188194923603</v>
      </c>
      <c r="U10" s="85">
        <f>Q8+Q9+Q10</f>
        <v>271388781</v>
      </c>
    </row>
    <row r="11" spans="1:21" ht="15" hidden="1" customHeight="1">
      <c r="A11" s="129" t="s">
        <v>6</v>
      </c>
      <c r="C11" s="79"/>
      <c r="F11" s="78">
        <f>Q11/21</f>
        <v>5374599.1904761903</v>
      </c>
      <c r="G11" s="90">
        <f t="shared" si="2"/>
        <v>0.31489685418732938</v>
      </c>
      <c r="H11" s="90"/>
      <c r="I11" s="130">
        <f t="shared" si="0"/>
        <v>8.6044725148669396</v>
      </c>
      <c r="J11" s="130"/>
      <c r="K11" s="78"/>
      <c r="O11" s="89"/>
      <c r="P11" s="129" t="s">
        <v>6</v>
      </c>
      <c r="Q11" s="116">
        <v>112866583</v>
      </c>
      <c r="R11" s="116">
        <v>145789000522</v>
      </c>
      <c r="S11" s="116">
        <v>13117199.550000001</v>
      </c>
      <c r="T11" s="130">
        <f t="shared" si="1"/>
        <v>8.6044725148669396</v>
      </c>
      <c r="U11" s="85"/>
    </row>
    <row r="12" spans="1:21" ht="15" hidden="1" customHeight="1">
      <c r="A12" s="129" t="s">
        <v>7</v>
      </c>
      <c r="C12" s="79"/>
      <c r="F12" s="78">
        <f>Q12/22</f>
        <v>4791110.3636363633</v>
      </c>
      <c r="G12" s="90">
        <f t="shared" si="2"/>
        <v>-0.10856415635118821</v>
      </c>
      <c r="H12" s="90"/>
      <c r="I12" s="130">
        <f t="shared" si="0"/>
        <v>8.060022512379458</v>
      </c>
      <c r="J12" s="130"/>
      <c r="K12" s="78"/>
      <c r="O12" s="89"/>
      <c r="P12" s="129" t="s">
        <v>7</v>
      </c>
      <c r="Q12" s="116">
        <v>105404428</v>
      </c>
      <c r="R12" s="116">
        <v>137047381500</v>
      </c>
      <c r="S12" s="116">
        <v>13077435.93</v>
      </c>
      <c r="T12" s="130">
        <f t="shared" si="1"/>
        <v>8.060022512379458</v>
      </c>
      <c r="U12" s="85"/>
    </row>
    <row r="13" spans="1:21" ht="15" hidden="1" customHeight="1">
      <c r="A13" s="129" t="s">
        <v>96</v>
      </c>
      <c r="B13" s="131">
        <f>F11+F12+F13</f>
        <v>13497836.654112553</v>
      </c>
      <c r="C13" s="131">
        <f>AVERAGE(F11:F13)</f>
        <v>4499278.8847041847</v>
      </c>
      <c r="D13" s="90">
        <f>C13/C10-1</f>
        <v>4.445942345849474E-2</v>
      </c>
      <c r="E13" s="286"/>
      <c r="F13" s="78">
        <f>Q13/20</f>
        <v>3332127.1</v>
      </c>
      <c r="G13" s="90">
        <f t="shared" si="2"/>
        <v>-0.30451881774833967</v>
      </c>
      <c r="H13" s="90"/>
      <c r="I13" s="130">
        <f t="shared" si="0"/>
        <v>9.7491366765839622</v>
      </c>
      <c r="J13" s="130"/>
      <c r="K13" s="78">
        <f>R11+R12+R13</f>
        <v>373727732073</v>
      </c>
      <c r="L13" s="87">
        <f>U13/U10-1</f>
        <v>4.9835413056370959E-2</v>
      </c>
      <c r="N13" s="88">
        <f>AVERAGE(T11:T13)</f>
        <v>8.8045439012767854</v>
      </c>
      <c r="O13" s="89">
        <f>N13/N10-1</f>
        <v>3.9746402406345194E-2</v>
      </c>
      <c r="P13" s="129" t="s">
        <v>96</v>
      </c>
      <c r="Q13" s="116">
        <v>66642542</v>
      </c>
      <c r="R13" s="116">
        <v>90891350051</v>
      </c>
      <c r="S13" s="116">
        <v>6835737.79</v>
      </c>
      <c r="T13" s="130">
        <f t="shared" si="1"/>
        <v>9.7491366765839622</v>
      </c>
      <c r="U13" s="85">
        <f>Q11+Q12+Q13</f>
        <v>284913553</v>
      </c>
    </row>
    <row r="14" spans="1:21" ht="15" hidden="1" customHeight="1">
      <c r="A14" s="129" t="s">
        <v>97</v>
      </c>
      <c r="C14" s="79"/>
      <c r="F14" s="78">
        <f>Q14/20</f>
        <v>4906081.1500000004</v>
      </c>
      <c r="G14" s="90">
        <f t="shared" si="2"/>
        <v>0.47235714688074171</v>
      </c>
      <c r="H14" s="90"/>
      <c r="I14" s="130">
        <f t="shared" si="0"/>
        <v>7.9852224623108716</v>
      </c>
      <c r="J14" s="130"/>
      <c r="O14" s="89"/>
      <c r="P14" s="129" t="s">
        <v>97</v>
      </c>
      <c r="Q14" s="116">
        <v>98121623</v>
      </c>
      <c r="R14" s="116">
        <v>140010917257</v>
      </c>
      <c r="S14" s="116">
        <v>12287900.99</v>
      </c>
      <c r="T14" s="130">
        <f t="shared" si="1"/>
        <v>7.9852224623108716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5203072.5454545459</v>
      </c>
      <c r="G15" s="90">
        <f t="shared" si="2"/>
        <v>6.0535361396242937E-2</v>
      </c>
      <c r="H15" s="90"/>
      <c r="I15" s="130">
        <f t="shared" si="0"/>
        <v>8.2446499978579446</v>
      </c>
      <c r="J15" s="130"/>
      <c r="O15" s="89"/>
      <c r="P15" s="129" t="s">
        <v>98</v>
      </c>
      <c r="Q15" s="116">
        <v>114467596</v>
      </c>
      <c r="R15" s="116">
        <v>157614925792</v>
      </c>
      <c r="S15" s="116">
        <v>13883863.6</v>
      </c>
      <c r="T15" s="130">
        <f t="shared" si="1"/>
        <v>8.2446499978579446</v>
      </c>
      <c r="U15" s="78"/>
    </row>
    <row r="16" spans="1:21" ht="15" hidden="1" customHeight="1">
      <c r="A16" s="129" t="s">
        <v>99</v>
      </c>
      <c r="B16" s="131">
        <f>F14+F15+F16</f>
        <v>14220417.65</v>
      </c>
      <c r="C16" s="131">
        <f>AVERAGE(F14:F16)</f>
        <v>4740139.2166666668</v>
      </c>
      <c r="D16" s="90">
        <f>C16/C13-1</f>
        <v>5.3533096777200084E-2</v>
      </c>
      <c r="E16" s="286"/>
      <c r="F16" s="78">
        <f>Q16/22</f>
        <v>4111263.9545454546</v>
      </c>
      <c r="G16" s="90">
        <f t="shared" si="2"/>
        <v>-0.20983920200438211</v>
      </c>
      <c r="H16" s="90"/>
      <c r="I16" s="130">
        <f t="shared" si="0"/>
        <v>7.4428097358587451</v>
      </c>
      <c r="J16" s="130"/>
      <c r="K16" s="78">
        <f>R14+R15+R16</f>
        <v>415920520384</v>
      </c>
      <c r="L16" s="87">
        <f>U16/U13-1</f>
        <v>6.3610427826857441E-2</v>
      </c>
      <c r="N16" s="88">
        <f>AVERAGE(T14:T16)</f>
        <v>7.890894065342521</v>
      </c>
      <c r="O16" s="89">
        <f>N16/N13-1</f>
        <v>-0.10377026296634995</v>
      </c>
      <c r="P16" s="129" t="s">
        <v>99</v>
      </c>
      <c r="Q16" s="116">
        <v>90447807</v>
      </c>
      <c r="R16" s="116">
        <v>118294677335</v>
      </c>
      <c r="S16" s="116">
        <v>12152373.93</v>
      </c>
      <c r="T16" s="130">
        <f t="shared" si="1"/>
        <v>7.4428097358587451</v>
      </c>
      <c r="U16" s="85">
        <f>Q14+Q15+Q16</f>
        <v>303037026</v>
      </c>
    </row>
    <row r="17" spans="1:21" ht="15" hidden="1" customHeight="1">
      <c r="A17" s="129" t="s">
        <v>100</v>
      </c>
      <c r="C17" s="79"/>
      <c r="F17" s="78">
        <f>Q17/20</f>
        <v>3608403.55</v>
      </c>
      <c r="G17" s="90">
        <f t="shared" si="2"/>
        <v>-0.122312848336942</v>
      </c>
      <c r="H17" s="90">
        <f t="shared" ref="H17:H47" si="3">F17/F5-1</f>
        <v>-7.9948364562274166E-2</v>
      </c>
      <c r="I17" s="130">
        <f t="shared" si="0"/>
        <v>9.6112867858112132</v>
      </c>
      <c r="J17" s="130">
        <f t="shared" ref="J17:J49" si="4">I17/I5-1</f>
        <v>0.20166039577839467</v>
      </c>
      <c r="O17" s="89"/>
      <c r="P17" s="129" t="s">
        <v>100</v>
      </c>
      <c r="Q17" s="116">
        <v>72168071</v>
      </c>
      <c r="R17" s="116">
        <v>90229658609</v>
      </c>
      <c r="S17" s="116">
        <v>7508679.3899999997</v>
      </c>
      <c r="T17" s="130">
        <f t="shared" si="1"/>
        <v>9.6112867858112132</v>
      </c>
      <c r="U17" s="78"/>
    </row>
    <row r="18" spans="1:21" ht="15" hidden="1" customHeight="1">
      <c r="A18" s="129" t="s">
        <v>106</v>
      </c>
      <c r="C18" s="79"/>
      <c r="F18" s="78">
        <f>Q18/20</f>
        <v>5172681.5999999996</v>
      </c>
      <c r="G18" s="90">
        <f t="shared" si="2"/>
        <v>0.43350973036261431</v>
      </c>
      <c r="H18" s="90">
        <f t="shared" si="3"/>
        <v>0.18836688818742764</v>
      </c>
      <c r="I18" s="130">
        <f t="shared" si="0"/>
        <v>7.9570247879955565</v>
      </c>
      <c r="J18" s="130">
        <f t="shared" si="4"/>
        <v>-0.17299407722328497</v>
      </c>
      <c r="O18" s="89"/>
      <c r="P18" s="129" t="s">
        <v>106</v>
      </c>
      <c r="Q18" s="116">
        <v>103453632</v>
      </c>
      <c r="R18" s="116">
        <v>130141213770</v>
      </c>
      <c r="S18" s="116">
        <v>13001547.029999999</v>
      </c>
      <c r="T18" s="130">
        <f t="shared" si="1"/>
        <v>7.9570247879955565</v>
      </c>
      <c r="U18" s="78"/>
    </row>
    <row r="19" spans="1:21" hidden="1">
      <c r="A19" s="129" t="s">
        <v>114</v>
      </c>
      <c r="B19" s="131">
        <f>SUM(F17:F19)</f>
        <v>14315825.649999999</v>
      </c>
      <c r="C19" s="131">
        <f>AVERAGE(F17:F19)</f>
        <v>4771941.8833333328</v>
      </c>
      <c r="D19" s="90">
        <f>C19/C16-1</f>
        <v>6.7092262933641234E-3</v>
      </c>
      <c r="E19" s="286">
        <f>C19/C7-1</f>
        <v>0.13722224075691369</v>
      </c>
      <c r="F19" s="78">
        <f>Q19/22</f>
        <v>5534740.5</v>
      </c>
      <c r="G19" s="90">
        <f t="shared" si="2"/>
        <v>6.9994429968394112E-2</v>
      </c>
      <c r="H19" s="90">
        <f t="shared" si="3"/>
        <v>0.28306325150363154</v>
      </c>
      <c r="I19" s="130">
        <f t="shared" si="0"/>
        <v>8.75843061218659</v>
      </c>
      <c r="J19" s="130">
        <f t="shared" si="4"/>
        <v>-1.3118906177066902E-2</v>
      </c>
      <c r="K19" s="78">
        <f>R17+R18+R19</f>
        <v>379667970866</v>
      </c>
      <c r="L19" s="87">
        <f>U19/U16-1</f>
        <v>-1.8647991879381709E-2</v>
      </c>
      <c r="M19" s="87">
        <f>U19/U7-1</f>
        <v>0.181555911296301</v>
      </c>
      <c r="N19" s="88">
        <f>AVERAGE(T17:T19)</f>
        <v>8.7755807286644529</v>
      </c>
      <c r="O19" s="89">
        <f>N19/N16-1</f>
        <v>0.11211488279985304</v>
      </c>
      <c r="P19" s="129" t="s">
        <v>114</v>
      </c>
      <c r="Q19" s="116">
        <v>121764291</v>
      </c>
      <c r="R19" s="116">
        <v>159297098487</v>
      </c>
      <c r="S19" s="116">
        <v>13902523.91</v>
      </c>
      <c r="T19" s="130">
        <f t="shared" si="1"/>
        <v>8.75843061218659</v>
      </c>
      <c r="U19" s="85">
        <f>Q17+Q18+Q19</f>
        <v>297385994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5800800.1500000004</v>
      </c>
      <c r="G20" s="90">
        <f t="shared" si="2"/>
        <v>4.8070844513848465E-2</v>
      </c>
      <c r="H20" s="90">
        <f t="shared" si="3"/>
        <v>0.11627272592568749</v>
      </c>
      <c r="I20" s="130">
        <f t="shared" si="0"/>
        <v>9.3925681361596691</v>
      </c>
      <c r="J20" s="130">
        <f t="shared" si="4"/>
        <v>2.8531108575774233E-2</v>
      </c>
      <c r="O20" s="89"/>
      <c r="P20" s="129" t="s">
        <v>131</v>
      </c>
      <c r="Q20" s="116">
        <v>116016003</v>
      </c>
      <c r="R20" s="116">
        <v>152359533699</v>
      </c>
      <c r="S20" s="116">
        <v>12351893.68</v>
      </c>
      <c r="T20" s="130">
        <f t="shared" si="1"/>
        <v>9.3925681361596691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4551595.1428571427</v>
      </c>
      <c r="G21" s="90">
        <f t="shared" si="2"/>
        <v>-0.21535046456355811</v>
      </c>
      <c r="H21" s="90">
        <f t="shared" si="3"/>
        <v>0.25070371426566807</v>
      </c>
      <c r="I21" s="130">
        <f t="shared" si="0"/>
        <v>9.4788127316526332</v>
      </c>
      <c r="J21" s="130">
        <f t="shared" si="4"/>
        <v>0.23199429665821891</v>
      </c>
      <c r="O21" s="89"/>
      <c r="P21" s="129" t="s">
        <v>141</v>
      </c>
      <c r="Q21" s="116">
        <v>95583498</v>
      </c>
      <c r="R21" s="116">
        <v>127282655734</v>
      </c>
      <c r="S21" s="116">
        <v>10083910.369999999</v>
      </c>
      <c r="T21" s="130">
        <f t="shared" si="1"/>
        <v>9.4788127316526332</v>
      </c>
      <c r="U21" s="78"/>
    </row>
    <row r="22" spans="1:21" hidden="1">
      <c r="A22" s="129" t="s">
        <v>155</v>
      </c>
      <c r="B22" s="131">
        <f>SUM(F20:F22)</f>
        <v>17448843.388095237</v>
      </c>
      <c r="C22" s="131">
        <f>AVERAGE(F20:F22)</f>
        <v>5816281.1293650791</v>
      </c>
      <c r="D22" s="90">
        <f>C22/C19-1</f>
        <v>0.21884995072535252</v>
      </c>
      <c r="E22" s="286">
        <f>C22/C10-1</f>
        <v>0.35018739462925708</v>
      </c>
      <c r="F22" s="78">
        <f>Q22/21</f>
        <v>7096448.0952380951</v>
      </c>
      <c r="G22" s="90">
        <f t="shared" si="2"/>
        <v>0.55911232710901637</v>
      </c>
      <c r="H22" s="90">
        <f t="shared" si="3"/>
        <v>0.73614756108082924</v>
      </c>
      <c r="I22" s="130">
        <f t="shared" si="0"/>
        <v>8.7494706995768965</v>
      </c>
      <c r="J22" s="130">
        <f t="shared" si="4"/>
        <v>1.9987351822420285E-2</v>
      </c>
      <c r="K22" s="78">
        <f>R20+R21+R22</f>
        <v>473192846828</v>
      </c>
      <c r="L22" s="87">
        <f>U22/U19-1</f>
        <v>0.21264927829788793</v>
      </c>
      <c r="M22" s="87">
        <f>U22/U10-1</f>
        <v>0.3288128922322695</v>
      </c>
      <c r="N22" s="88">
        <f>AVERAGE(T20:T22)</f>
        <v>9.2069505224630657</v>
      </c>
      <c r="O22" s="89">
        <f>N22/N19-1</f>
        <v>4.9155697740844939E-2</v>
      </c>
      <c r="P22" s="129" t="s">
        <v>155</v>
      </c>
      <c r="Q22" s="116">
        <v>149025410</v>
      </c>
      <c r="R22" s="116">
        <v>193550657395</v>
      </c>
      <c r="S22" s="116">
        <v>17032505.75</v>
      </c>
      <c r="T22" s="130">
        <f t="shared" si="1"/>
        <v>8.7494706995768965</v>
      </c>
      <c r="U22" s="85">
        <f>Q20+Q21+Q22</f>
        <v>360624911</v>
      </c>
    </row>
    <row r="23" spans="1:21" hidden="1">
      <c r="A23" s="129" t="s">
        <v>189</v>
      </c>
      <c r="B23" s="131"/>
      <c r="C23" s="131"/>
      <c r="F23" s="78">
        <f>Q23/21</f>
        <v>6972762.0952380951</v>
      </c>
      <c r="G23" s="90">
        <f t="shared" si="2"/>
        <v>-1.742928269749433E-2</v>
      </c>
      <c r="H23" s="90">
        <f t="shared" si="3"/>
        <v>0.29735480695822969</v>
      </c>
      <c r="I23" s="130">
        <f t="shared" si="0"/>
        <v>9.1490162723398765</v>
      </c>
      <c r="J23" s="130">
        <f t="shared" si="4"/>
        <v>6.3286128990715618E-2</v>
      </c>
      <c r="O23" s="89"/>
      <c r="P23" s="129" t="s">
        <v>189</v>
      </c>
      <c r="Q23" s="116">
        <v>146428004</v>
      </c>
      <c r="R23" s="116">
        <v>188216086526</v>
      </c>
      <c r="S23" s="116">
        <v>16004781.24</v>
      </c>
      <c r="T23" s="130">
        <f t="shared" si="1"/>
        <v>9.1490162723398765</v>
      </c>
      <c r="U23" s="78"/>
    </row>
    <row r="24" spans="1:21" hidden="1">
      <c r="A24" s="129" t="s">
        <v>204</v>
      </c>
      <c r="B24" s="131"/>
      <c r="C24" s="131"/>
      <c r="F24" s="78">
        <f>Q24/22</f>
        <v>5032090.6363636367</v>
      </c>
      <c r="G24" s="90">
        <f t="shared" si="2"/>
        <v>-0.27832176580351142</v>
      </c>
      <c r="H24" s="90">
        <f t="shared" si="3"/>
        <v>5.0297374603655243E-2</v>
      </c>
      <c r="I24" s="130">
        <f t="shared" si="0"/>
        <v>8.7621593121620514</v>
      </c>
      <c r="J24" s="130">
        <f t="shared" si="4"/>
        <v>8.711350355463332E-2</v>
      </c>
      <c r="O24" s="89"/>
      <c r="P24" s="129" t="s">
        <v>204</v>
      </c>
      <c r="Q24" s="116">
        <v>110705994</v>
      </c>
      <c r="R24" s="116">
        <v>146114333746</v>
      </c>
      <c r="S24" s="116">
        <v>12634556.17</v>
      </c>
      <c r="T24" s="130">
        <f t="shared" si="1"/>
        <v>8.7621593121620514</v>
      </c>
      <c r="U24" s="78"/>
    </row>
    <row r="25" spans="1:21" s="79" customFormat="1" ht="13.2" hidden="1">
      <c r="A25" s="129" t="s">
        <v>218</v>
      </c>
      <c r="B25" s="131">
        <f>SUM(F23:F25)</f>
        <v>17405339.573706996</v>
      </c>
      <c r="C25" s="131">
        <f>AVERAGE(F23:F25)</f>
        <v>5801779.8579023322</v>
      </c>
      <c r="D25" s="90">
        <f>C25/C22-1</f>
        <v>-2.4932205201591007E-3</v>
      </c>
      <c r="E25" s="286">
        <f>C25/C13-1</f>
        <v>0.2894910510273434</v>
      </c>
      <c r="F25" s="78">
        <f>Q25/19</f>
        <v>5400486.8421052629</v>
      </c>
      <c r="G25" s="90">
        <f t="shared" si="2"/>
        <v>7.320937406800021E-2</v>
      </c>
      <c r="H25" s="90">
        <f t="shared" si="3"/>
        <v>0.62073254711840464</v>
      </c>
      <c r="I25" s="130">
        <f t="shared" si="0"/>
        <v>9.0013979709219871</v>
      </c>
      <c r="J25" s="130">
        <f t="shared" si="4"/>
        <v>-7.6697940593851488E-2</v>
      </c>
      <c r="K25" s="78">
        <f>R23+R24+R25</f>
        <v>470542744805</v>
      </c>
      <c r="L25" s="90">
        <f>U25/U22-1</f>
        <v>-2.444820014111615E-3</v>
      </c>
      <c r="M25" s="90">
        <f>U25/U13-1</f>
        <v>0.26263999803477223</v>
      </c>
      <c r="N25" s="88">
        <f>AVERAGE(T23:T25)</f>
        <v>8.9708578518079705</v>
      </c>
      <c r="O25" s="91">
        <f>N25/N22-1</f>
        <v>-2.5642873835270197E-2</v>
      </c>
      <c r="P25" s="129" t="s">
        <v>218</v>
      </c>
      <c r="Q25" s="116">
        <v>102609250</v>
      </c>
      <c r="R25" s="116">
        <v>136212324533</v>
      </c>
      <c r="S25" s="116">
        <v>11399257.130000001</v>
      </c>
      <c r="T25" s="130">
        <f t="shared" si="1"/>
        <v>9.0013979709219871</v>
      </c>
      <c r="U25" s="85">
        <f>Q23+Q24+Q25</f>
        <v>359743248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5712282.9473684207</v>
      </c>
      <c r="G26" s="90">
        <f t="shared" si="2"/>
        <v>5.7734814356405373E-2</v>
      </c>
      <c r="H26" s="90">
        <f t="shared" si="3"/>
        <v>0.1643270408130979</v>
      </c>
      <c r="I26" s="130">
        <f t="shared" si="0"/>
        <v>8.343712756730989</v>
      </c>
      <c r="J26" s="130">
        <f t="shared" si="4"/>
        <v>4.4894215046874519E-2</v>
      </c>
      <c r="L26" s="90"/>
      <c r="M26" s="90"/>
      <c r="P26" s="129" t="s">
        <v>312</v>
      </c>
      <c r="Q26" s="116">
        <v>108533376</v>
      </c>
      <c r="R26" s="116">
        <v>146318807579</v>
      </c>
      <c r="S26" s="116">
        <v>13007803.5</v>
      </c>
      <c r="T26" s="130">
        <f t="shared" si="1"/>
        <v>8.343712756730989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5745794.9545454541</v>
      </c>
      <c r="G27" s="90">
        <f t="shared" si="2"/>
        <v>5.8666574267776106E-3</v>
      </c>
      <c r="H27" s="90">
        <f t="shared" si="3"/>
        <v>0.10430806112150703</v>
      </c>
      <c r="I27" s="130">
        <f t="shared" si="0"/>
        <v>8.7846250588269186</v>
      </c>
      <c r="J27" s="130">
        <f t="shared" si="4"/>
        <v>6.5493994421748081E-2</v>
      </c>
      <c r="L27" s="90"/>
      <c r="M27" s="90"/>
      <c r="P27" s="129" t="s">
        <v>373</v>
      </c>
      <c r="Q27" s="116">
        <v>126407489</v>
      </c>
      <c r="R27" s="116">
        <v>167538683681</v>
      </c>
      <c r="S27" s="116">
        <v>14389628.26</v>
      </c>
      <c r="T27" s="130">
        <f t="shared" si="1"/>
        <v>8.7846250588269186</v>
      </c>
      <c r="U27" s="78"/>
    </row>
    <row r="28" spans="1:21" s="79" customFormat="1" ht="13.2" hidden="1">
      <c r="A28" s="123" t="s">
        <v>413</v>
      </c>
      <c r="B28" s="131">
        <f>SUM(F26:F28)</f>
        <v>20277953.796650715</v>
      </c>
      <c r="C28" s="131">
        <f>AVERAGE(F26:F28)</f>
        <v>6759317.9322169051</v>
      </c>
      <c r="D28" s="90">
        <f>C28/C25-1</f>
        <v>0.16504212461807821</v>
      </c>
      <c r="E28" s="286">
        <f>C28/C16-1</f>
        <v>0.42597455966075048</v>
      </c>
      <c r="F28" s="78">
        <f>Q28/19</f>
        <v>8819875.8947368413</v>
      </c>
      <c r="G28" s="90">
        <f t="shared" si="2"/>
        <v>0.5350140345261547</v>
      </c>
      <c r="H28" s="90">
        <f t="shared" si="3"/>
        <v>1.145295459559462</v>
      </c>
      <c r="I28" s="130">
        <f t="shared" si="0"/>
        <v>9.6239616654949671</v>
      </c>
      <c r="J28" s="130">
        <f t="shared" si="4"/>
        <v>0.29305490897176112</v>
      </c>
      <c r="K28" s="78">
        <f>R26+R27+R28</f>
        <v>532905787593</v>
      </c>
      <c r="L28" s="90">
        <f>U28/U25-1</f>
        <v>0.11890496691129004</v>
      </c>
      <c r="M28" s="90">
        <f>U28/U16-1</f>
        <v>0.32828160410998763</v>
      </c>
      <c r="N28" s="88">
        <f>AVERAGE(T26:T28)</f>
        <v>8.9174331603509582</v>
      </c>
      <c r="O28" s="91">
        <f>N28/N25-1</f>
        <v>-5.9553603835384994E-3</v>
      </c>
      <c r="P28" s="129" t="s">
        <v>413</v>
      </c>
      <c r="Q28" s="116">
        <v>167577642</v>
      </c>
      <c r="R28" s="116">
        <v>219048296333</v>
      </c>
      <c r="S28" s="116">
        <v>17412542.550000001</v>
      </c>
      <c r="T28" s="130">
        <f t="shared" si="1"/>
        <v>9.6239616654949671</v>
      </c>
      <c r="U28" s="85">
        <f>Q26+Q27+Q28</f>
        <v>402518507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3623343.2727272729</v>
      </c>
      <c r="G29" s="190">
        <f t="shared" si="2"/>
        <v>-0.58918432459016112</v>
      </c>
      <c r="H29" s="190">
        <f t="shared" si="3"/>
        <v>4.1402582943566024E-3</v>
      </c>
      <c r="I29" s="130">
        <f t="shared" si="0"/>
        <v>9.5671495100644126</v>
      </c>
      <c r="J29" s="130">
        <f t="shared" si="4"/>
        <v>-4.5922337695675219E-3</v>
      </c>
      <c r="K29" s="136"/>
      <c r="L29" s="190"/>
      <c r="M29" s="190"/>
      <c r="N29" s="191"/>
      <c r="O29" s="192"/>
      <c r="P29" s="129" t="s">
        <v>426</v>
      </c>
      <c r="Q29" s="116">
        <v>79713552</v>
      </c>
      <c r="R29" s="116">
        <v>105382827591</v>
      </c>
      <c r="S29" s="116">
        <v>8332006.5099999998</v>
      </c>
      <c r="T29" s="130">
        <f t="shared" si="1"/>
        <v>9.5671495100644126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6823529.4210526319</v>
      </c>
      <c r="G30" s="190">
        <f t="shared" si="2"/>
        <v>0.88321362549692806</v>
      </c>
      <c r="H30" s="190">
        <f t="shared" si="3"/>
        <v>0.31914738789501995</v>
      </c>
      <c r="I30" s="130">
        <f t="shared" si="0"/>
        <v>9.2946231293173405</v>
      </c>
      <c r="J30" s="130">
        <f t="shared" si="4"/>
        <v>0.16810282448029623</v>
      </c>
      <c r="K30" s="136"/>
      <c r="L30" s="190"/>
      <c r="M30" s="190"/>
      <c r="N30" s="191"/>
      <c r="O30" s="192"/>
      <c r="P30" s="129" t="s">
        <v>469</v>
      </c>
      <c r="Q30" s="116">
        <v>129647059</v>
      </c>
      <c r="R30" s="116">
        <v>172762794379</v>
      </c>
      <c r="S30" s="116">
        <v>13948608.48</v>
      </c>
      <c r="T30" s="130">
        <f t="shared" si="1"/>
        <v>9.2946231293173405</v>
      </c>
      <c r="U30" s="85"/>
    </row>
    <row r="31" spans="1:21" s="79" customFormat="1" ht="13.2" hidden="1">
      <c r="A31" s="129" t="s">
        <v>505</v>
      </c>
      <c r="B31" s="188">
        <f>SUM(F29:F31)</f>
        <v>18181515.293779902</v>
      </c>
      <c r="C31" s="188">
        <f>AVERAGE(F29:F31)</f>
        <v>6060505.0979266344</v>
      </c>
      <c r="D31" s="190">
        <f>C31/C28-1</f>
        <v>-0.10338511093841618</v>
      </c>
      <c r="E31" s="287">
        <f>C31/C19-1</f>
        <v>0.27002910892393439</v>
      </c>
      <c r="F31" s="136">
        <f>Q31/20</f>
        <v>7734642.5999999996</v>
      </c>
      <c r="G31" s="190">
        <f t="shared" si="2"/>
        <v>0.1335252070777786</v>
      </c>
      <c r="H31" s="190">
        <f t="shared" si="3"/>
        <v>0.39747158877638422</v>
      </c>
      <c r="I31" s="130">
        <f t="shared" si="0"/>
        <v>9.9885002319673255</v>
      </c>
      <c r="J31" s="130">
        <f t="shared" si="4"/>
        <v>0.14044406746446114</v>
      </c>
      <c r="K31" s="136">
        <f>R29+R30+R31</f>
        <v>483427770020</v>
      </c>
      <c r="L31" s="190">
        <f>U31/U28-1</f>
        <v>-9.5560932804513277E-2</v>
      </c>
      <c r="M31" s="190">
        <f>U31/U19-1</f>
        <v>0.22417824088917926</v>
      </c>
      <c r="N31" s="191">
        <f>AVERAGE(T29:T31)</f>
        <v>9.6167576237830268</v>
      </c>
      <c r="O31" s="192">
        <f>N31/N28-1</f>
        <v>7.8422170467330465E-2</v>
      </c>
      <c r="P31" s="129" t="s">
        <v>505</v>
      </c>
      <c r="Q31" s="116">
        <v>154692852</v>
      </c>
      <c r="R31" s="116">
        <v>205282148050</v>
      </c>
      <c r="S31" s="116">
        <v>15487095</v>
      </c>
      <c r="T31" s="130">
        <f t="shared" si="1"/>
        <v>9.9885002319673255</v>
      </c>
      <c r="U31" s="85">
        <f>Q29+Q30+Q31</f>
        <v>364053463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7935556.4285714282</v>
      </c>
      <c r="G32" s="190">
        <f t="shared" si="2"/>
        <v>2.5975838698924392E-2</v>
      </c>
      <c r="H32" s="190">
        <f t="shared" si="3"/>
        <v>0.36801065773166264</v>
      </c>
      <c r="I32" s="130">
        <f t="shared" si="0"/>
        <v>10.860785295209665</v>
      </c>
      <c r="J32" s="130">
        <f t="shared" si="4"/>
        <v>0.15631690265813747</v>
      </c>
      <c r="K32" s="136"/>
      <c r="L32" s="190"/>
      <c r="M32" s="190"/>
      <c r="N32" s="191"/>
      <c r="O32" s="192"/>
      <c r="P32" s="129" t="s">
        <v>561</v>
      </c>
      <c r="Q32" s="116">
        <v>166646685</v>
      </c>
      <c r="R32" s="116">
        <v>226733753379</v>
      </c>
      <c r="S32" s="116">
        <v>15343889.09</v>
      </c>
      <c r="T32" s="130">
        <f t="shared" si="1"/>
        <v>10.860785295209665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6340572.1428571427</v>
      </c>
      <c r="G33" s="190">
        <f t="shared" si="2"/>
        <v>-0.20099211694490049</v>
      </c>
      <c r="H33" s="190">
        <f t="shared" si="3"/>
        <v>0.39304396455547175</v>
      </c>
      <c r="I33" s="130">
        <f t="shared" si="0"/>
        <v>9.2642826609802107</v>
      </c>
      <c r="J33" s="130">
        <f t="shared" si="4"/>
        <v>-2.2632588779398666E-2</v>
      </c>
      <c r="K33" s="136"/>
      <c r="L33" s="190"/>
      <c r="M33" s="190"/>
      <c r="N33" s="191"/>
      <c r="O33" s="192"/>
      <c r="P33" s="129" t="s">
        <v>606</v>
      </c>
      <c r="Q33" s="116">
        <v>133152015</v>
      </c>
      <c r="R33" s="116">
        <v>182194955957</v>
      </c>
      <c r="S33" s="116">
        <v>14372620.08</v>
      </c>
      <c r="T33" s="130">
        <f t="shared" si="1"/>
        <v>9.2642826609802107</v>
      </c>
      <c r="U33" s="85"/>
    </row>
    <row r="34" spans="1:21" s="79" customFormat="1" ht="13.2" hidden="1">
      <c r="A34" s="129" t="s">
        <v>652</v>
      </c>
      <c r="B34" s="188">
        <f>SUM(F32:F34)</f>
        <v>21935654.097744361</v>
      </c>
      <c r="C34" s="188">
        <f>AVERAGE(F32:F34)</f>
        <v>7311884.6992481202</v>
      </c>
      <c r="D34" s="190">
        <f>C34/C31-1</f>
        <v>0.206481073953654</v>
      </c>
      <c r="E34" s="287">
        <f>C34/C22-1</f>
        <v>0.25714086658089474</v>
      </c>
      <c r="F34" s="136">
        <f>Q34/19</f>
        <v>7659525.5263157897</v>
      </c>
      <c r="G34" s="190">
        <f t="shared" si="2"/>
        <v>0.20801803902578264</v>
      </c>
      <c r="H34" s="190">
        <f t="shared" si="3"/>
        <v>7.9346374907685702E-2</v>
      </c>
      <c r="I34" s="130">
        <f t="shared" si="0"/>
        <v>9.2381375816228015</v>
      </c>
      <c r="J34" s="130">
        <f t="shared" si="4"/>
        <v>5.5851022173208253E-2</v>
      </c>
      <c r="K34" s="136">
        <f>R32+R33+R34</f>
        <v>609061050770</v>
      </c>
      <c r="L34" s="190">
        <f>U34/U31-1</f>
        <v>0.22325353350642341</v>
      </c>
      <c r="M34" s="190">
        <f>U34/U22-1</f>
        <v>0.2348833134270083</v>
      </c>
      <c r="N34" s="191">
        <f>AVERAGE(T32:T34)</f>
        <v>9.7877351792708911</v>
      </c>
      <c r="O34" s="192">
        <f>N34/N31-1</f>
        <v>1.7779127038100917E-2</v>
      </c>
      <c r="P34" s="129" t="s">
        <v>652</v>
      </c>
      <c r="Q34" s="116">
        <v>145530985</v>
      </c>
      <c r="R34" s="116">
        <v>200132341434</v>
      </c>
      <c r="S34" s="116">
        <v>15753281.84</v>
      </c>
      <c r="T34" s="130">
        <f t="shared" si="1"/>
        <v>9.2381375816228015</v>
      </c>
      <c r="U34" s="85">
        <f>Q32+Q33+Q34</f>
        <v>445329685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5546455.9565217393</v>
      </c>
      <c r="G35" s="190">
        <f t="shared" si="2"/>
        <v>-0.27587473434668885</v>
      </c>
      <c r="H35" s="190">
        <f t="shared" si="3"/>
        <v>-0.20455396573624995</v>
      </c>
      <c r="I35" s="130">
        <f t="shared" si="0"/>
        <v>9.7071193361307806</v>
      </c>
      <c r="J35" s="130">
        <f t="shared" si="4"/>
        <v>6.1001428697663451E-2</v>
      </c>
      <c r="K35" s="136"/>
      <c r="L35" s="190"/>
      <c r="M35" s="190"/>
      <c r="N35" s="191"/>
      <c r="O35" s="192"/>
      <c r="P35" s="129" t="s">
        <v>659</v>
      </c>
      <c r="Q35" s="116">
        <v>127568487</v>
      </c>
      <c r="R35" s="116">
        <v>176542008962</v>
      </c>
      <c r="S35" s="116">
        <v>13141745</v>
      </c>
      <c r="T35" s="130">
        <f t="shared" si="1"/>
        <v>9.7071193361307806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5021297.6190476194</v>
      </c>
      <c r="G36" s="190">
        <f t="shared" si="2"/>
        <v>-9.4683585624910305E-2</v>
      </c>
      <c r="H36" s="190">
        <f t="shared" si="3"/>
        <v>-2.1448376223638377E-3</v>
      </c>
      <c r="I36" s="130">
        <f t="shared" si="0"/>
        <v>8.3912079040775041</v>
      </c>
      <c r="J36" s="130">
        <f t="shared" si="4"/>
        <v>-4.2335615556505557E-2</v>
      </c>
      <c r="K36" s="136"/>
      <c r="L36" s="190"/>
      <c r="M36" s="190"/>
      <c r="N36" s="191"/>
      <c r="O36" s="192"/>
      <c r="P36" s="129" t="s">
        <v>664</v>
      </c>
      <c r="Q36" s="116">
        <v>105447250</v>
      </c>
      <c r="R36" s="116">
        <v>143304666872</v>
      </c>
      <c r="S36" s="116">
        <v>12566397.02</v>
      </c>
      <c r="T36" s="130">
        <f t="shared" si="1"/>
        <v>8.3912079040775041</v>
      </c>
      <c r="U36" s="85"/>
    </row>
    <row r="37" spans="1:21" s="79" customFormat="1" ht="13.2" hidden="1">
      <c r="A37" s="129" t="s">
        <v>702</v>
      </c>
      <c r="B37" s="188">
        <f>SUM(F35:F37)</f>
        <v>19623884.90890269</v>
      </c>
      <c r="C37" s="188">
        <f>AVERAGE(F35:F37)</f>
        <v>6541294.9696342302</v>
      </c>
      <c r="D37" s="190">
        <f>C37/C34-1</f>
        <v>-0.10538865987494705</v>
      </c>
      <c r="E37" s="287">
        <f>C37/C25-1</f>
        <v>0.12746349048811956</v>
      </c>
      <c r="F37" s="136">
        <f>Q37/18</f>
        <v>9056131.333333334</v>
      </c>
      <c r="G37" s="190">
        <f t="shared" si="2"/>
        <v>0.80354402793813962</v>
      </c>
      <c r="H37" s="190">
        <f t="shared" si="3"/>
        <v>0.67691017460251746</v>
      </c>
      <c r="I37" s="130">
        <f t="shared" si="0"/>
        <v>9.0137208752432265</v>
      </c>
      <c r="J37" s="130">
        <f t="shared" si="4"/>
        <v>1.3689989445024864E-3</v>
      </c>
      <c r="K37" s="136">
        <f>R35+R36+R37</f>
        <v>537377008009</v>
      </c>
      <c r="L37" s="190">
        <f>U37/U34-1</f>
        <v>-0.11071254771619365</v>
      </c>
      <c r="M37" s="190">
        <f>U37/U25-1</f>
        <v>0.10085763444266238</v>
      </c>
      <c r="N37" s="191">
        <f>AVERAGE(T35:T37)</f>
        <v>9.0373493718171698</v>
      </c>
      <c r="O37" s="192">
        <f>N37/N34-1</f>
        <v>-7.6665928706667219E-2</v>
      </c>
      <c r="P37" s="129" t="s">
        <v>702</v>
      </c>
      <c r="Q37" s="116">
        <v>163010364</v>
      </c>
      <c r="R37" s="116">
        <v>217530332175</v>
      </c>
      <c r="S37" s="116">
        <v>18084691.800000001</v>
      </c>
      <c r="T37" s="130">
        <f t="shared" si="1"/>
        <v>9.0137208752432265</v>
      </c>
      <c r="U37" s="85">
        <f>Q35+Q36+Q37</f>
        <v>396026101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4207157.9000000004</v>
      </c>
      <c r="G38" s="190">
        <f t="shared" si="2"/>
        <v>-0.53543541440101317</v>
      </c>
      <c r="H38" s="190">
        <f t="shared" si="3"/>
        <v>-0.26348923210497011</v>
      </c>
      <c r="I38" s="130">
        <f t="shared" si="0"/>
        <v>8.7413667465212246</v>
      </c>
      <c r="J38" s="130">
        <f t="shared" si="4"/>
        <v>4.7659117875245904E-2</v>
      </c>
      <c r="K38" s="136"/>
      <c r="L38" s="190"/>
      <c r="M38" s="190"/>
      <c r="N38" s="191"/>
      <c r="O38" s="192"/>
      <c r="P38" s="129" t="s">
        <v>725</v>
      </c>
      <c r="Q38" s="116">
        <v>84143158</v>
      </c>
      <c r="R38" s="116">
        <v>113118675878</v>
      </c>
      <c r="S38" s="116">
        <v>9625858.3399999999</v>
      </c>
      <c r="T38" s="130">
        <f t="shared" si="1"/>
        <v>8.7413667465212246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5043583.5238095243</v>
      </c>
      <c r="G39" s="190">
        <f t="shared" si="2"/>
        <v>0.19881013351305965</v>
      </c>
      <c r="H39" s="190">
        <f t="shared" si="3"/>
        <v>-0.12221310302422395</v>
      </c>
      <c r="I39" s="130">
        <f t="shared" si="0"/>
        <v>8.4142538015281492</v>
      </c>
      <c r="J39" s="130">
        <f t="shared" si="4"/>
        <v>-4.2161305100507973E-2</v>
      </c>
      <c r="K39" s="136"/>
      <c r="L39" s="190"/>
      <c r="M39" s="190"/>
      <c r="N39" s="191"/>
      <c r="O39" s="192"/>
      <c r="P39" s="129" t="s">
        <v>762</v>
      </c>
      <c r="Q39" s="116">
        <v>105915254</v>
      </c>
      <c r="R39" s="116">
        <v>146998954853</v>
      </c>
      <c r="S39" s="116">
        <v>12587599.15</v>
      </c>
      <c r="T39" s="130">
        <f t="shared" si="1"/>
        <v>8.4142538015281492</v>
      </c>
      <c r="U39" s="85"/>
    </row>
    <row r="40" spans="1:21" s="79" customFormat="1" ht="13.2" hidden="1">
      <c r="A40" s="129" t="s">
        <v>777</v>
      </c>
      <c r="B40" s="188">
        <f>SUM(F38:F40)</f>
        <v>16227386.471428573</v>
      </c>
      <c r="C40" s="188">
        <f>AVERAGE(F38:F40)</f>
        <v>5409128.8238095241</v>
      </c>
      <c r="D40" s="190">
        <f>C40/C37-1</f>
        <v>-0.17307981845802833</v>
      </c>
      <c r="E40" s="287">
        <f>C40/C28-1</f>
        <v>-0.19975227115327432</v>
      </c>
      <c r="F40" s="136">
        <f>Q40/21</f>
        <v>6976645.0476190476</v>
      </c>
      <c r="G40" s="190">
        <f t="shared" si="2"/>
        <v>0.38327144076905095</v>
      </c>
      <c r="H40" s="190">
        <f t="shared" si="3"/>
        <v>-0.20898602986213455</v>
      </c>
      <c r="I40" s="130">
        <f t="shared" si="0"/>
        <v>9.3057330968097567</v>
      </c>
      <c r="J40" s="130">
        <f t="shared" si="4"/>
        <v>-3.306627558858255E-2</v>
      </c>
      <c r="K40" s="136">
        <f>R38+R39+R40</f>
        <v>468360156511</v>
      </c>
      <c r="L40" s="190">
        <f>U40/U37-1</f>
        <v>-0.1501369299898746</v>
      </c>
      <c r="M40" s="190">
        <f>U40/U28-1</f>
        <v>-0.16384476204966147</v>
      </c>
      <c r="N40" s="191">
        <f>AVERAGE(T38:T40)</f>
        <v>8.8204512149530441</v>
      </c>
      <c r="O40" s="192">
        <f>N40/N37-1</f>
        <v>-2.4000196068608259E-2</v>
      </c>
      <c r="P40" s="129" t="s">
        <v>777</v>
      </c>
      <c r="Q40" s="116">
        <v>146509546</v>
      </c>
      <c r="R40" s="116">
        <v>208242525780</v>
      </c>
      <c r="S40" s="116">
        <v>15744009.039999999</v>
      </c>
      <c r="T40" s="130">
        <f t="shared" si="1"/>
        <v>9.3057330968097567</v>
      </c>
      <c r="U40" s="85">
        <f>Q38+Q39+Q40</f>
        <v>336567958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5829047.888888889</v>
      </c>
      <c r="G41" s="190">
        <f t="shared" si="2"/>
        <v>-0.16449126347940035</v>
      </c>
      <c r="H41" s="190">
        <f t="shared" si="3"/>
        <v>0.60874845415940748</v>
      </c>
      <c r="I41" s="130">
        <f t="shared" si="0"/>
        <v>8.1668815848926108</v>
      </c>
      <c r="J41" s="130">
        <f t="shared" si="4"/>
        <v>-0.14636208242577931</v>
      </c>
      <c r="K41" s="193"/>
      <c r="L41" s="190"/>
      <c r="M41" s="190"/>
      <c r="N41" s="193"/>
      <c r="O41" s="193"/>
      <c r="P41" s="129" t="s">
        <v>787</v>
      </c>
      <c r="Q41" s="116">
        <v>104922862</v>
      </c>
      <c r="R41" s="116">
        <v>153613985907</v>
      </c>
      <c r="S41" s="116">
        <v>12847359.289999999</v>
      </c>
      <c r="T41" s="130">
        <f t="shared" si="1"/>
        <v>8.1668815848926108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5428682.5</v>
      </c>
      <c r="G42" s="190">
        <f t="shared" si="2"/>
        <v>-6.8684525589856715E-2</v>
      </c>
      <c r="H42" s="190">
        <f t="shared" si="3"/>
        <v>-0.20441722091050296</v>
      </c>
      <c r="I42" s="130">
        <f t="shared" si="0"/>
        <v>9.8621572822193304</v>
      </c>
      <c r="J42" s="130">
        <f t="shared" si="4"/>
        <v>6.1060480345013657E-2</v>
      </c>
      <c r="K42" s="193"/>
      <c r="L42" s="190"/>
      <c r="M42" s="190"/>
      <c r="N42" s="193"/>
      <c r="O42" s="193"/>
      <c r="P42" s="129" t="s">
        <v>826</v>
      </c>
      <c r="Q42" s="116">
        <v>108573650</v>
      </c>
      <c r="R42" s="116">
        <v>157189284295</v>
      </c>
      <c r="S42" s="116">
        <v>11009117.67</v>
      </c>
      <c r="T42" s="130">
        <f t="shared" si="1"/>
        <v>9.8621572822193304</v>
      </c>
      <c r="U42" s="78"/>
    </row>
    <row r="43" spans="1:21" s="79" customFormat="1" ht="13.2">
      <c r="A43" s="129" t="s">
        <v>834</v>
      </c>
      <c r="B43" s="188">
        <f>SUM(F41:F43)</f>
        <v>18528451.688888889</v>
      </c>
      <c r="C43" s="188">
        <f>AVERAGE(F41:F43)</f>
        <v>6176150.5629629632</v>
      </c>
      <c r="D43" s="190">
        <f>C43/C40-1</f>
        <v>0.14180134438233694</v>
      </c>
      <c r="E43" s="287">
        <f>C43/C31-1</f>
        <v>1.9081819612014161E-2</v>
      </c>
      <c r="F43" s="136">
        <f>Q43/20</f>
        <v>7270721.2999999998</v>
      </c>
      <c r="G43" s="190">
        <f t="shared" si="2"/>
        <v>0.3393159942582753</v>
      </c>
      <c r="H43" s="190">
        <f t="shared" si="3"/>
        <v>-5.9979668614552395E-2</v>
      </c>
      <c r="I43" s="130">
        <f t="shared" si="0"/>
        <v>9.2422834376415608</v>
      </c>
      <c r="J43" s="130">
        <f t="shared" si="4"/>
        <v>-7.4707591429748699E-2</v>
      </c>
      <c r="K43" s="136">
        <f>R41+R42+R43</f>
        <v>521301593941</v>
      </c>
      <c r="L43" s="190">
        <f>U43/U40-1</f>
        <v>6.6384750743265997E-2</v>
      </c>
      <c r="M43" s="190">
        <f>K43/K31-1</f>
        <v>7.8344328294241539E-2</v>
      </c>
      <c r="N43" s="191">
        <f>AVERAGE(T41:T43)</f>
        <v>9.0904407682511685</v>
      </c>
      <c r="O43" s="192">
        <f>N43/N40-1</f>
        <v>3.0609494539283855E-2</v>
      </c>
      <c r="P43" s="129" t="s">
        <v>834</v>
      </c>
      <c r="Q43" s="116">
        <v>145414426</v>
      </c>
      <c r="R43" s="116">
        <v>210498323739</v>
      </c>
      <c r="S43" s="116">
        <v>15733603.82</v>
      </c>
      <c r="T43" s="130">
        <f t="shared" si="1"/>
        <v>9.2422834376415608</v>
      </c>
      <c r="U43" s="85">
        <f>Q41+Q42+Q43</f>
        <v>358910938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8999811.6363636367</v>
      </c>
      <c r="G44" s="190">
        <f t="shared" si="2"/>
        <v>0.23781551582284366</v>
      </c>
      <c r="H44" s="190">
        <f t="shared" si="3"/>
        <v>0.13411223489766022</v>
      </c>
      <c r="I44" s="130">
        <f t="shared" si="0"/>
        <v>9.6610402371961879</v>
      </c>
      <c r="J44" s="130">
        <f t="shared" si="4"/>
        <v>-0.11046577438029692</v>
      </c>
      <c r="K44" s="136"/>
      <c r="L44" s="190"/>
      <c r="M44" s="190"/>
      <c r="N44" s="191"/>
      <c r="O44" s="192"/>
      <c r="P44" s="129" t="s">
        <v>838</v>
      </c>
      <c r="Q44" s="116">
        <v>197995856</v>
      </c>
      <c r="R44" s="116">
        <v>286827376629</v>
      </c>
      <c r="S44" s="116">
        <v>20494258.5</v>
      </c>
      <c r="T44" s="130">
        <f t="shared" si="1"/>
        <v>9.6610402371961879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5259668.25</v>
      </c>
      <c r="G45" s="190">
        <f t="shared" si="2"/>
        <v>-0.41558018517316853</v>
      </c>
      <c r="H45" s="190">
        <f t="shared" si="3"/>
        <v>-0.17047418884348087</v>
      </c>
      <c r="I45" s="130">
        <f t="shared" si="0"/>
        <v>9.7588900236014897</v>
      </c>
      <c r="J45" s="130">
        <f t="shared" si="4"/>
        <v>5.3388630369029189E-2</v>
      </c>
      <c r="K45" s="136"/>
      <c r="L45" s="190"/>
      <c r="M45" s="190"/>
      <c r="N45" s="191"/>
      <c r="O45" s="192"/>
      <c r="P45" s="129" t="s">
        <v>847</v>
      </c>
      <c r="Q45" s="116">
        <v>105193365</v>
      </c>
      <c r="R45" s="116">
        <v>147691144640</v>
      </c>
      <c r="S45" s="116">
        <v>10779234.6</v>
      </c>
      <c r="T45" s="130">
        <f t="shared" si="1"/>
        <v>9.7588900236014897</v>
      </c>
      <c r="U45" s="85"/>
    </row>
    <row r="46" spans="1:21" s="79" customFormat="1" ht="13.2">
      <c r="A46" s="129" t="s">
        <v>888</v>
      </c>
      <c r="B46" s="188">
        <f>SUM(F44:F46)</f>
        <v>25124132.307416268</v>
      </c>
      <c r="C46" s="188">
        <f>AVERAGE(F44:F46)</f>
        <v>8374710.7691387562</v>
      </c>
      <c r="D46" s="189">
        <f>C46/C43-1</f>
        <v>0.35597581110798715</v>
      </c>
      <c r="E46" s="287">
        <f>C46/C34-1</f>
        <v>0.14535596684120655</v>
      </c>
      <c r="F46" s="136">
        <f>Q46/19</f>
        <v>10864652.421052631</v>
      </c>
      <c r="G46" s="190">
        <f t="shared" si="2"/>
        <v>1.0656535554409978</v>
      </c>
      <c r="H46" s="190">
        <f t="shared" si="3"/>
        <v>0.41844979610355826</v>
      </c>
      <c r="I46" s="130">
        <f t="shared" si="0"/>
        <v>9.8710751914182424</v>
      </c>
      <c r="J46" s="130">
        <f t="shared" si="4"/>
        <v>6.8513550940670909E-2</v>
      </c>
      <c r="K46" s="136">
        <f>R44+R45+R46</f>
        <v>717051899155</v>
      </c>
      <c r="L46" s="190">
        <f>U46/U43-1</f>
        <v>0.41989993350383759</v>
      </c>
      <c r="M46" s="190">
        <f>K46/K34-1</f>
        <v>0.17730709958956248</v>
      </c>
      <c r="N46" s="191">
        <f>AVERAGE(T44:T46)</f>
        <v>9.7636684840719727</v>
      </c>
      <c r="O46" s="219">
        <f>N46/N43-1</f>
        <v>7.4058863919127749E-2</v>
      </c>
      <c r="P46" s="129" t="s">
        <v>888</v>
      </c>
      <c r="Q46" s="116">
        <v>206428396</v>
      </c>
      <c r="R46" s="116">
        <v>282533377886</v>
      </c>
      <c r="S46" s="116">
        <v>20912453</v>
      </c>
      <c r="T46" s="130">
        <f t="shared" si="1"/>
        <v>9.8710751914182424</v>
      </c>
      <c r="U46" s="85">
        <f t="shared" ref="U46:U51" si="5">Q44+Q45+Q46</f>
        <v>509617617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7179239.2608695654</v>
      </c>
      <c r="G47" s="190">
        <f t="shared" si="2"/>
        <v>-0.33921132654384545</v>
      </c>
      <c r="H47" s="190">
        <f t="shared" si="3"/>
        <v>0.29438317317348139</v>
      </c>
      <c r="I47" s="130">
        <f t="shared" si="0"/>
        <v>11.142017693080451</v>
      </c>
      <c r="J47" s="130">
        <f t="shared" si="4"/>
        <v>0.14781917346053919</v>
      </c>
      <c r="K47" s="136"/>
      <c r="L47" s="190"/>
      <c r="M47" s="190"/>
      <c r="N47" s="191"/>
      <c r="O47" s="219"/>
      <c r="P47" s="129" t="s">
        <v>989</v>
      </c>
      <c r="Q47" s="116">
        <v>165122503</v>
      </c>
      <c r="R47" s="116">
        <v>226577015745</v>
      </c>
      <c r="S47" s="116">
        <v>14819802.619999999</v>
      </c>
      <c r="T47" s="130">
        <f t="shared" si="1"/>
        <v>11.142017693080451</v>
      </c>
      <c r="U47" s="85">
        <f t="shared" si="5"/>
        <v>476744264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8482134.5</v>
      </c>
      <c r="G48" s="190">
        <f t="shared" ref="G48" si="6">F48/F47-1</f>
        <v>0.18148096083548348</v>
      </c>
      <c r="H48" s="190">
        <f t="shared" ref="H48" si="7">F48/F36-1</f>
        <v>0.68923157787424505</v>
      </c>
      <c r="I48" s="130">
        <f t="shared" si="0"/>
        <v>9.4366862631279975</v>
      </c>
      <c r="J48" s="130">
        <f t="shared" si="4"/>
        <v>0.12459211724958785</v>
      </c>
      <c r="K48" s="136"/>
      <c r="L48" s="190"/>
      <c r="M48" s="190"/>
      <c r="N48" s="191"/>
      <c r="O48" s="219"/>
      <c r="P48" s="129" t="s">
        <v>1070</v>
      </c>
      <c r="Q48" s="116">
        <v>169642690</v>
      </c>
      <c r="R48" s="116">
        <v>235525734520</v>
      </c>
      <c r="S48" s="116">
        <v>17976934.41</v>
      </c>
      <c r="T48" s="130">
        <f t="shared" ref="T48" si="8">Q48/S48</f>
        <v>9.4366862631279975</v>
      </c>
      <c r="U48" s="85">
        <f t="shared" si="5"/>
        <v>541193589</v>
      </c>
    </row>
    <row r="49" spans="1:26" ht="13.2">
      <c r="A49" s="129" t="s">
        <v>1158</v>
      </c>
      <c r="B49" s="188">
        <f>SUM(F47:F49)</f>
        <v>22569670.851778656</v>
      </c>
      <c r="C49" s="188">
        <f>AVERAGE(F47:F49)</f>
        <v>7523223.6172595518</v>
      </c>
      <c r="D49" s="189">
        <f>C49/C46-1</f>
        <v>-0.10167361898836902</v>
      </c>
      <c r="E49" s="287">
        <f>C49/C37-1</f>
        <v>0.15011227168069863</v>
      </c>
      <c r="F49" s="136">
        <f>Q49/22</f>
        <v>6908297.0909090908</v>
      </c>
      <c r="G49" s="190">
        <f t="shared" ref="G49" si="9">F49/F48-1</f>
        <v>-0.1855473299899818</v>
      </c>
      <c r="H49" s="190">
        <f t="shared" ref="H49" si="10">F49/F37-1</f>
        <v>-0.23716906959140571</v>
      </c>
      <c r="I49" s="130">
        <f t="shared" si="0"/>
        <v>9.9141266288215721</v>
      </c>
      <c r="J49" s="130">
        <f t="shared" si="4"/>
        <v>9.9892793003094837E-2</v>
      </c>
      <c r="K49" s="136">
        <f>R47+R48+R49</f>
        <v>673481287266</v>
      </c>
      <c r="L49" s="190">
        <f>U49/U46-1</f>
        <v>-4.4876564775428451E-2</v>
      </c>
      <c r="M49" s="190">
        <f>K49/K37-1</f>
        <v>0.25327521875428016</v>
      </c>
      <c r="N49" s="191">
        <f>AVERAGE(T47:T49)</f>
        <v>10.164276861676674</v>
      </c>
      <c r="O49" s="219">
        <f>N49/N46-1</f>
        <v>4.1030518217433976E-2</v>
      </c>
      <c r="P49" s="129" t="s">
        <v>1201</v>
      </c>
      <c r="Q49" s="116">
        <v>151982536</v>
      </c>
      <c r="R49" s="116">
        <v>211378537001</v>
      </c>
      <c r="S49" s="116">
        <v>15329896.59</v>
      </c>
      <c r="T49" s="130">
        <f t="shared" ref="T49" si="11">Q49/S49</f>
        <v>9.9141266288215721</v>
      </c>
      <c r="U49" s="85">
        <f t="shared" si="5"/>
        <v>486747729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5759386.333333333</v>
      </c>
      <c r="G50" s="190">
        <f t="shared" ref="G50" si="12">F50/F49-1</f>
        <v>-0.16630882292072469</v>
      </c>
      <c r="H50" s="190">
        <f t="shared" ref="H50" si="13">F50/F38-1</f>
        <v>0.36894941198506781</v>
      </c>
      <c r="I50" s="130">
        <f t="shared" ref="I50" si="14">T50</f>
        <v>10.757568159680241</v>
      </c>
      <c r="J50" s="130">
        <f t="shared" ref="J50" si="15">I50/I38-1</f>
        <v>0.2306505917923416</v>
      </c>
      <c r="K50" s="136"/>
      <c r="L50" s="190"/>
      <c r="M50" s="190"/>
      <c r="N50" s="191"/>
      <c r="O50" s="192"/>
      <c r="P50" s="129" t="s">
        <v>1291</v>
      </c>
      <c r="Q50" s="116">
        <v>103668954</v>
      </c>
      <c r="R50" s="116">
        <v>146715327203</v>
      </c>
      <c r="S50" s="116">
        <v>9636839.1500000004</v>
      </c>
      <c r="T50" s="130">
        <f t="shared" ref="T50" si="16">Q50/S50</f>
        <v>10.757568159680241</v>
      </c>
      <c r="U50" s="85">
        <f t="shared" si="5"/>
        <v>425294180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7589916.8499999996</v>
      </c>
      <c r="G51" s="190">
        <f t="shared" ref="G51:G52" si="17">F51/F50-1</f>
        <v>0.31783429878148484</v>
      </c>
      <c r="H51" s="190">
        <f t="shared" ref="H51:H52" si="18">F51/F39-1</f>
        <v>0.50486589825862072</v>
      </c>
      <c r="I51" s="130">
        <f t="shared" ref="I51:I52" si="19">T51</f>
        <v>9.6768670756021198</v>
      </c>
      <c r="J51" s="130">
        <f t="shared" ref="J51:J52" si="20">I51/I39-1</f>
        <v>0.15005647605313044</v>
      </c>
      <c r="K51" s="136"/>
      <c r="L51" s="190"/>
      <c r="M51" s="190"/>
      <c r="N51" s="191"/>
      <c r="O51" s="192"/>
      <c r="P51" s="129" t="s">
        <v>1402</v>
      </c>
      <c r="Q51" s="116">
        <v>151798337</v>
      </c>
      <c r="R51" s="116">
        <v>219211319255</v>
      </c>
      <c r="S51" s="116">
        <v>15686723.380000001</v>
      </c>
      <c r="T51" s="130">
        <f t="shared" ref="T51:T52" si="21">Q51/S51</f>
        <v>9.6768670756021198</v>
      </c>
      <c r="U51" s="85">
        <f t="shared" si="5"/>
        <v>407449827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21379509.81969697</v>
      </c>
      <c r="C52" s="188">
        <f>AVERAGE(F50:F52)</f>
        <v>7126503.2732323231</v>
      </c>
      <c r="D52" s="190">
        <f>C52/C49-1</f>
        <v>-5.2732759812839425E-2</v>
      </c>
      <c r="E52" s="287">
        <f>C52/C40-1</f>
        <v>0.31749557190492128</v>
      </c>
      <c r="F52" s="136">
        <f>Q52/22</f>
        <v>8030206.6363636367</v>
      </c>
      <c r="G52" s="190">
        <f t="shared" si="17"/>
        <v>5.8009830023847631E-2</v>
      </c>
      <c r="H52" s="190">
        <f t="shared" si="18"/>
        <v>0.15101264025237215</v>
      </c>
      <c r="I52" s="130">
        <f t="shared" si="19"/>
        <v>10.879077627128941</v>
      </c>
      <c r="J52" s="130">
        <f t="shared" si="20"/>
        <v>0.16907260437746352</v>
      </c>
      <c r="K52" s="136">
        <f>R50+R51+R52</f>
        <v>625980218074</v>
      </c>
      <c r="L52" s="190">
        <f>U52/U49-1</f>
        <v>-0.11220574590497989</v>
      </c>
      <c r="M52" s="190">
        <f>K52/K40-1</f>
        <v>0.3365360169344338</v>
      </c>
      <c r="N52" s="191">
        <f>AVERAGE(T50:T52)</f>
        <v>10.437837620803768</v>
      </c>
      <c r="O52" s="192">
        <f>N52/N49-1</f>
        <v>2.6913942118059087E-2</v>
      </c>
      <c r="P52" s="129" t="s">
        <v>1403</v>
      </c>
      <c r="Q52" s="116">
        <v>176664546</v>
      </c>
      <c r="R52" s="116">
        <v>260053571616</v>
      </c>
      <c r="S52" s="116">
        <v>16238926.869999999</v>
      </c>
      <c r="T52" s="130">
        <f t="shared" si="21"/>
        <v>10.879077627128941</v>
      </c>
      <c r="U52" s="85">
        <f t="shared" ref="U52" si="22">Q50+Q51+Q52</f>
        <v>432131837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6944261.9523809524</v>
      </c>
      <c r="G53" s="190">
        <f t="shared" ref="G53" si="23">F53/F52-1</f>
        <v>-0.13523247073931322</v>
      </c>
      <c r="H53" s="190">
        <f t="shared" ref="H53" si="24">F53/F41-1</f>
        <v>0.19132010660228782</v>
      </c>
      <c r="I53" s="130">
        <f t="shared" ref="I53" si="25">T53</f>
        <v>10.469502907090741</v>
      </c>
      <c r="J53" s="130">
        <f t="shared" ref="J53" si="26">I53/I41-1</f>
        <v>0.2819462114471698</v>
      </c>
      <c r="K53" s="136"/>
      <c r="L53" s="190"/>
      <c r="M53" s="190"/>
      <c r="N53" s="191"/>
      <c r="O53" s="192"/>
      <c r="P53" s="129" t="s">
        <v>1414</v>
      </c>
      <c r="Q53" s="116">
        <v>145829501</v>
      </c>
      <c r="R53" s="116">
        <v>212149163141</v>
      </c>
      <c r="S53" s="116">
        <v>13928980.42</v>
      </c>
      <c r="T53" s="130">
        <f t="shared" ref="T53" si="27">Q53/S53</f>
        <v>10.469502907090741</v>
      </c>
      <c r="U53" s="85">
        <f t="shared" ref="U53" si="28">Q51+Q52+Q53</f>
        <v>474292384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5598897.823529412</v>
      </c>
      <c r="G54" s="190">
        <f t="shared" ref="G54" si="29">F54/F53-1</f>
        <v>-0.19373752575538439</v>
      </c>
      <c r="H54" s="190">
        <f t="shared" ref="H54" si="30">F54/F42-1</f>
        <v>3.1354812798392917E-2</v>
      </c>
      <c r="I54" s="130">
        <f t="shared" ref="I54" si="31">T54</f>
        <v>10.641060411446468</v>
      </c>
      <c r="J54" s="130">
        <f t="shared" ref="J54" si="32">I54/I42-1</f>
        <v>7.897898065684239E-2</v>
      </c>
      <c r="K54" s="136"/>
      <c r="L54" s="190"/>
      <c r="M54" s="190"/>
      <c r="N54" s="191"/>
      <c r="O54" s="192"/>
      <c r="P54" s="129" t="s">
        <v>1417</v>
      </c>
      <c r="Q54" s="116">
        <v>95181263</v>
      </c>
      <c r="R54" s="116">
        <v>137887042372</v>
      </c>
      <c r="S54" s="116">
        <v>8944715.9700000007</v>
      </c>
      <c r="T54" s="130">
        <f t="shared" ref="T54" si="33">Q54/S54</f>
        <v>10.641060411446468</v>
      </c>
      <c r="U54" s="85">
        <f t="shared" ref="U54" si="34">Q52+Q53+Q54</f>
        <v>417675310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19709651.156862743</v>
      </c>
      <c r="C55" s="188">
        <f>AVERAGE(F53:F55)</f>
        <v>6569883.7189542474</v>
      </c>
      <c r="D55" s="190">
        <f>C55/C52-1</f>
        <v>-7.8105563547382406E-2</v>
      </c>
      <c r="E55" s="287">
        <f>C55/C43-1</f>
        <v>6.3750576022614469E-2</v>
      </c>
      <c r="F55" s="136">
        <f>Q55/21</f>
        <v>7166491.3809523806</v>
      </c>
      <c r="G55" s="190">
        <f t="shared" ref="G55" si="35">F55/F54-1</f>
        <v>0.27998252635280196</v>
      </c>
      <c r="H55" s="190">
        <f t="shared" ref="H55" si="36">F55/F43-1</f>
        <v>-1.4335567923311698E-2</v>
      </c>
      <c r="I55" s="130">
        <f>T55</f>
        <v>11.988902220741467</v>
      </c>
      <c r="J55" s="130">
        <f t="shared" ref="J55" si="37">I55/I43-1</f>
        <v>0.29717967444209714</v>
      </c>
      <c r="K55" s="136">
        <f>R53+R54+R55</f>
        <v>571600871390</v>
      </c>
      <c r="L55" s="190">
        <f>U55/U52-1</f>
        <v>-9.4010092572744175E-2</v>
      </c>
      <c r="M55" s="190">
        <f>K55/K43-1</f>
        <v>9.6487864287429614E-2</v>
      </c>
      <c r="N55" s="191">
        <f>AVERAGE(T53:T55)</f>
        <v>11.033155179759559</v>
      </c>
      <c r="O55" s="192">
        <f>N55/N52-1</f>
        <v>5.703456794243067E-2</v>
      </c>
      <c r="P55" s="129" t="s">
        <v>1418</v>
      </c>
      <c r="Q55" s="116">
        <v>150496319</v>
      </c>
      <c r="R55" s="116">
        <v>221564665877</v>
      </c>
      <c r="S55" s="116">
        <v>12552969.09</v>
      </c>
      <c r="T55" s="130">
        <f t="shared" ref="T55" si="38">Q55/S55</f>
        <v>11.988902220741467</v>
      </c>
      <c r="U55" s="85">
        <f t="shared" ref="U55" si="39">Q53+Q54+Q55</f>
        <v>391507083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7694229.8636363633</v>
      </c>
      <c r="G56" s="190">
        <f t="shared" ref="G56" si="40">F56/F55-1</f>
        <v>7.3639728931600201E-2</v>
      </c>
      <c r="H56" s="190">
        <f t="shared" ref="H56" si="41">F56/F44-1</f>
        <v>-0.14506767757806005</v>
      </c>
      <c r="I56" s="291">
        <f>T56</f>
        <v>11.191368011960927</v>
      </c>
      <c r="J56" s="130">
        <f t="shared" ref="J56" si="42">I56/I44-1</f>
        <v>0.15840196678539753</v>
      </c>
      <c r="K56" s="136"/>
      <c r="L56" s="190"/>
      <c r="M56" s="190"/>
      <c r="N56" s="191"/>
      <c r="O56" s="192"/>
      <c r="P56" s="129" t="s">
        <v>1420</v>
      </c>
      <c r="Q56" s="116">
        <v>169273057</v>
      </c>
      <c r="R56" s="116">
        <v>252860155823</v>
      </c>
      <c r="S56" s="116">
        <v>15125323.09</v>
      </c>
      <c r="T56" s="130">
        <f t="shared" ref="T56" si="43">Q56/S56</f>
        <v>11.191368011960927</v>
      </c>
      <c r="U56" s="85">
        <f t="shared" ref="U56" si="44">Q54+Q55+Q56</f>
        <v>414950639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8735104.916666666</v>
      </c>
      <c r="G57" s="254">
        <f t="shared" ref="G57" si="45">F57/F56-1</f>
        <v>0.13527995283187133</v>
      </c>
      <c r="H57" s="254">
        <f t="shared" ref="H57" si="46">F57/F45-1</f>
        <v>0.66077107936734714</v>
      </c>
      <c r="I57" s="282">
        <f>T57</f>
        <v>10.978510042561513</v>
      </c>
      <c r="J57" s="277">
        <f t="shared" ref="J57" si="47">I57/I45-1</f>
        <v>0.12497528059138086</v>
      </c>
      <c r="K57" s="204"/>
      <c r="L57" s="254"/>
      <c r="M57" s="254"/>
      <c r="N57" s="257"/>
      <c r="O57" s="258"/>
      <c r="P57" s="129" t="s">
        <v>1436</v>
      </c>
      <c r="Q57" s="116">
        <v>104821259</v>
      </c>
      <c r="R57" s="116">
        <v>154392747690</v>
      </c>
      <c r="S57" s="116">
        <v>9547858.3699999992</v>
      </c>
      <c r="T57" s="130">
        <f t="shared" ref="T57" si="48">Q57/S57</f>
        <v>10.978510042561513</v>
      </c>
      <c r="U57" s="85">
        <f t="shared" ref="U57" si="49">Q55+Q56+Q57</f>
        <v>424590635</v>
      </c>
      <c r="V57" s="79"/>
      <c r="W57" s="79"/>
      <c r="X57" s="79"/>
      <c r="Y57" s="79"/>
      <c r="Z57" s="79"/>
    </row>
    <row r="58" spans="1:26">
      <c r="B58" s="196">
        <f>SUM(F56:F58)</f>
        <v>16429334.780303029</v>
      </c>
      <c r="C58" s="196">
        <f>AVERAGE(F56:F58)</f>
        <v>8214667.3901515147</v>
      </c>
      <c r="D58" s="197">
        <f>C58/C55-1</f>
        <v>0.25035202167308279</v>
      </c>
      <c r="E58" s="233">
        <f>C58/C46-1</f>
        <v>-1.9110317167848945E-2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665601399</v>
      </c>
      <c r="R66" s="212">
        <v>978853774903</v>
      </c>
      <c r="S66" s="213">
        <v>60099846.960000001</v>
      </c>
      <c r="T66" s="214">
        <v>462</v>
      </c>
      <c r="U66" s="214">
        <v>622</v>
      </c>
    </row>
    <row r="67" spans="16:21" ht="18" thickBot="1">
      <c r="P67" s="180" t="s">
        <v>976</v>
      </c>
      <c r="Q67" s="181">
        <v>145829501</v>
      </c>
      <c r="R67" s="181">
        <v>212149163141</v>
      </c>
      <c r="S67" s="182">
        <v>13928980.42</v>
      </c>
      <c r="T67" s="210">
        <v>199</v>
      </c>
      <c r="U67" s="210">
        <v>241</v>
      </c>
    </row>
    <row r="68" spans="16:21" ht="18" thickBot="1">
      <c r="P68" s="180" t="s">
        <v>977</v>
      </c>
      <c r="Q68" s="181">
        <v>95181263</v>
      </c>
      <c r="R68" s="181">
        <v>137887042372</v>
      </c>
      <c r="S68" s="182">
        <v>8944715.9700000007</v>
      </c>
      <c r="T68" s="210">
        <v>179</v>
      </c>
      <c r="U68" s="210">
        <v>231</v>
      </c>
    </row>
    <row r="69" spans="16:21" ht="18" thickBot="1">
      <c r="P69" s="180" t="s">
        <v>978</v>
      </c>
      <c r="Q69" s="181">
        <v>150496319</v>
      </c>
      <c r="R69" s="181">
        <v>221564665877</v>
      </c>
      <c r="S69" s="182">
        <v>12552969.09</v>
      </c>
      <c r="T69" s="210">
        <v>203</v>
      </c>
      <c r="U69" s="210">
        <v>243</v>
      </c>
    </row>
    <row r="70" spans="16:21" ht="18" thickBot="1">
      <c r="P70" s="180" t="s">
        <v>979</v>
      </c>
      <c r="Q70" s="181">
        <v>169273057</v>
      </c>
      <c r="R70" s="181">
        <v>252860155823</v>
      </c>
      <c r="S70" s="182">
        <v>15125323.09</v>
      </c>
      <c r="T70" s="210">
        <v>220</v>
      </c>
      <c r="U70" s="210">
        <v>290</v>
      </c>
    </row>
    <row r="71" spans="16:21" ht="18" thickBot="1">
      <c r="P71" s="180" t="s">
        <v>980</v>
      </c>
      <c r="Q71" s="181">
        <v>104821259</v>
      </c>
      <c r="R71" s="181">
        <v>154392747690</v>
      </c>
      <c r="S71" s="182">
        <v>9547858.3699999992</v>
      </c>
      <c r="T71" s="210">
        <v>157</v>
      </c>
      <c r="U71" s="210">
        <v>192</v>
      </c>
    </row>
    <row r="72" spans="16:21" ht="18" thickBot="1">
      <c r="P72" s="215" t="s">
        <v>975</v>
      </c>
      <c r="Q72" s="217" t="s">
        <v>1476</v>
      </c>
      <c r="R72"/>
      <c r="S72"/>
      <c r="T72"/>
      <c r="U72"/>
    </row>
  </sheetData>
  <phoneticPr fontId="1" type="noConversion"/>
  <conditionalFormatting sqref="C29:C30">
    <cfRule type="cellIs" dxfId="23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4F4-BEA1-46B8-AAB4-7FDE1E47D2F1}">
  <sheetPr>
    <tabColor rgb="FFFF0000"/>
  </sheetPr>
  <dimension ref="A1:Z74"/>
  <sheetViews>
    <sheetView zoomScale="90" zoomScaleNormal="90" workbookViewId="0">
      <selection activeCell="G69" sqref="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 t="s">
        <v>458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719211.15</v>
      </c>
      <c r="G5" s="90"/>
      <c r="H5" s="90"/>
      <c r="I5" s="130">
        <f t="shared" ref="I5:I54" si="0">T5</f>
        <v>18.08156875993825</v>
      </c>
      <c r="J5" s="130"/>
      <c r="L5" s="80"/>
      <c r="M5" s="80"/>
      <c r="P5" s="129" t="s">
        <v>0</v>
      </c>
      <c r="Q5" s="116">
        <v>14384223</v>
      </c>
      <c r="R5" s="116">
        <v>16990641152</v>
      </c>
      <c r="S5" s="116">
        <v>795518.53</v>
      </c>
      <c r="T5" s="130">
        <f t="shared" ref="T5:T56" si="1">Q5/S5</f>
        <v>18.08156875993825</v>
      </c>
      <c r="U5" s="85"/>
    </row>
    <row r="6" spans="1:21" ht="15" hidden="1" customHeight="1">
      <c r="A6" s="129" t="s">
        <v>1</v>
      </c>
      <c r="C6" s="79"/>
      <c r="F6" s="78">
        <f>Q6/18</f>
        <v>1082644.2222222222</v>
      </c>
      <c r="G6" s="90">
        <f t="shared" ref="G6:G56" si="2">F6/F5-1</f>
        <v>0.50532179906029295</v>
      </c>
      <c r="H6" s="90"/>
      <c r="I6" s="130">
        <f t="shared" si="0"/>
        <v>18.141753634942514</v>
      </c>
      <c r="J6" s="130"/>
      <c r="P6" s="129" t="s">
        <v>1</v>
      </c>
      <c r="Q6" s="116">
        <v>19487596</v>
      </c>
      <c r="R6" s="116">
        <v>23191487843</v>
      </c>
      <c r="S6" s="116">
        <v>1074184.8</v>
      </c>
      <c r="T6" s="130">
        <f t="shared" si="1"/>
        <v>18.141753634942514</v>
      </c>
      <c r="U6" s="85"/>
    </row>
    <row r="7" spans="1:21" ht="15" hidden="1" customHeight="1">
      <c r="A7" s="129" t="s">
        <v>2</v>
      </c>
      <c r="B7" s="131">
        <f>F5+F6+F7</f>
        <v>2443846.1449494949</v>
      </c>
      <c r="C7" s="131">
        <f>AVERAGE(F5:F7)</f>
        <v>814615.38164983166</v>
      </c>
      <c r="F7" s="78">
        <f>Q7/22</f>
        <v>641990.77272727271</v>
      </c>
      <c r="G7" s="90">
        <f t="shared" si="2"/>
        <v>-0.40701593418239435</v>
      </c>
      <c r="H7" s="90"/>
      <c r="I7" s="130">
        <f t="shared" si="0"/>
        <v>17.924031294915022</v>
      </c>
      <c r="J7" s="130"/>
      <c r="K7" s="79">
        <f>R5+R6+R7</f>
        <v>57147297387</v>
      </c>
      <c r="N7" s="88">
        <f>AVERAGE(T5:T7)</f>
        <v>18.049117896598599</v>
      </c>
      <c r="P7" s="129" t="s">
        <v>2</v>
      </c>
      <c r="Q7" s="116">
        <v>14123797</v>
      </c>
      <c r="R7" s="116">
        <v>16965168392</v>
      </c>
      <c r="S7" s="116">
        <v>787981.05</v>
      </c>
      <c r="T7" s="130">
        <f t="shared" si="1"/>
        <v>17.924031294915022</v>
      </c>
      <c r="U7" s="85">
        <f>Q5+Q6+Q7</f>
        <v>47995616</v>
      </c>
    </row>
    <row r="8" spans="1:21" ht="15" hidden="1" customHeight="1">
      <c r="A8" s="129" t="s">
        <v>3</v>
      </c>
      <c r="C8" s="79"/>
      <c r="F8" s="78">
        <f>Q8/21</f>
        <v>996648.61904761905</v>
      </c>
      <c r="G8" s="90">
        <f t="shared" si="2"/>
        <v>0.55243449187549354</v>
      </c>
      <c r="H8" s="90"/>
      <c r="I8" s="130">
        <f t="shared" si="0"/>
        <v>18.661074424797405</v>
      </c>
      <c r="J8" s="130"/>
      <c r="K8" s="78"/>
      <c r="P8" s="129" t="s">
        <v>3</v>
      </c>
      <c r="Q8" s="116">
        <v>20929621</v>
      </c>
      <c r="R8" s="116">
        <v>25324611846</v>
      </c>
      <c r="S8" s="116">
        <v>1121565.7</v>
      </c>
      <c r="T8" s="130">
        <f t="shared" si="1"/>
        <v>18.661074424797405</v>
      </c>
      <c r="U8" s="85"/>
    </row>
    <row r="9" spans="1:21" ht="15" hidden="1" customHeight="1">
      <c r="A9" s="129" t="s">
        <v>4</v>
      </c>
      <c r="C9" s="79"/>
      <c r="F9" s="78">
        <f>Q9/21</f>
        <v>537383.90476190473</v>
      </c>
      <c r="G9" s="90">
        <f t="shared" si="2"/>
        <v>-0.46080906099541896</v>
      </c>
      <c r="H9" s="90"/>
      <c r="I9" s="130">
        <f t="shared" si="0"/>
        <v>17.286644647620847</v>
      </c>
      <c r="J9" s="130"/>
      <c r="K9" s="78"/>
      <c r="P9" s="129" t="s">
        <v>4</v>
      </c>
      <c r="Q9" s="116">
        <v>11285062</v>
      </c>
      <c r="R9" s="116">
        <v>14150948999</v>
      </c>
      <c r="S9" s="116">
        <v>652819.68999999994</v>
      </c>
      <c r="T9" s="130">
        <f t="shared" si="1"/>
        <v>17.286644647620847</v>
      </c>
      <c r="U9" s="85"/>
    </row>
    <row r="10" spans="1:21" ht="15" hidden="1" customHeight="1">
      <c r="A10" s="129" t="s">
        <v>5</v>
      </c>
      <c r="B10" s="131">
        <f>F8+F9+F10</f>
        <v>2744432.2380952379</v>
      </c>
      <c r="C10" s="131">
        <f>AVERAGE(F8:F10)</f>
        <v>914810.74603174592</v>
      </c>
      <c r="D10" s="90">
        <f>C10/C7-1</f>
        <v>0.12299714274850748</v>
      </c>
      <c r="E10" s="286"/>
      <c r="F10" s="78">
        <f>Q10/21</f>
        <v>1210399.7142857143</v>
      </c>
      <c r="G10" s="90">
        <f t="shared" si="2"/>
        <v>1.2523929421034641</v>
      </c>
      <c r="H10" s="90"/>
      <c r="I10" s="130">
        <f t="shared" si="0"/>
        <v>18.236631586076637</v>
      </c>
      <c r="J10" s="130"/>
      <c r="K10" s="79">
        <f>R8+R9+R10</f>
        <v>71480785708</v>
      </c>
      <c r="L10" s="87">
        <f>U10/U7-1</f>
        <v>0.20079877712164373</v>
      </c>
      <c r="N10" s="88">
        <f>AVERAGE(T8:T10)</f>
        <v>18.061450219498298</v>
      </c>
      <c r="O10" s="89">
        <f>N10/N7-1</f>
        <v>6.8326457671497032E-4</v>
      </c>
      <c r="P10" s="129" t="s">
        <v>5</v>
      </c>
      <c r="Q10" s="116">
        <v>25418394</v>
      </c>
      <c r="R10" s="116">
        <v>32005224863</v>
      </c>
      <c r="S10" s="116">
        <v>1393809.7</v>
      </c>
      <c r="T10" s="130">
        <f t="shared" si="1"/>
        <v>18.236631586076637</v>
      </c>
      <c r="U10" s="85">
        <f>Q8+Q9+Q10</f>
        <v>57633077</v>
      </c>
    </row>
    <row r="11" spans="1:21" ht="15" hidden="1" customHeight="1">
      <c r="A11" s="129" t="s">
        <v>6</v>
      </c>
      <c r="C11" s="79"/>
      <c r="F11" s="78">
        <f>Q11/21</f>
        <v>1136480.0476190476</v>
      </c>
      <c r="G11" s="90">
        <f t="shared" si="2"/>
        <v>-6.1070459447595371E-2</v>
      </c>
      <c r="H11" s="90"/>
      <c r="I11" s="130">
        <f t="shared" si="0"/>
        <v>18.32319953640144</v>
      </c>
      <c r="J11" s="130"/>
      <c r="K11" s="78"/>
      <c r="O11" s="89"/>
      <c r="P11" s="129" t="s">
        <v>6</v>
      </c>
      <c r="Q11" s="116">
        <v>23866081</v>
      </c>
      <c r="R11" s="116">
        <v>30890117647</v>
      </c>
      <c r="S11" s="116">
        <v>1302506.2</v>
      </c>
      <c r="T11" s="130">
        <f t="shared" si="1"/>
        <v>18.32319953640144</v>
      </c>
      <c r="U11" s="85"/>
    </row>
    <row r="12" spans="1:21" ht="15" hidden="1" customHeight="1">
      <c r="A12" s="129" t="s">
        <v>7</v>
      </c>
      <c r="C12" s="79"/>
      <c r="F12" s="78">
        <f>Q12/22</f>
        <v>723481.09090909094</v>
      </c>
      <c r="G12" s="90">
        <f t="shared" si="2"/>
        <v>-0.36340185432661065</v>
      </c>
      <c r="H12" s="90"/>
      <c r="I12" s="130">
        <f t="shared" si="0"/>
        <v>19.836889570195765</v>
      </c>
      <c r="J12" s="130"/>
      <c r="K12" s="78"/>
      <c r="O12" s="89"/>
      <c r="P12" s="129" t="s">
        <v>7</v>
      </c>
      <c r="Q12" s="116">
        <v>15916584</v>
      </c>
      <c r="R12" s="116">
        <v>20780403657</v>
      </c>
      <c r="S12" s="116">
        <v>802372.97</v>
      </c>
      <c r="T12" s="130">
        <f t="shared" si="1"/>
        <v>19.836889570195765</v>
      </c>
      <c r="U12" s="85"/>
    </row>
    <row r="13" spans="1:21" ht="15" hidden="1" customHeight="1">
      <c r="A13" s="129" t="s">
        <v>96</v>
      </c>
      <c r="B13" s="131">
        <f>F11+F12+F13</f>
        <v>2920379.0885281386</v>
      </c>
      <c r="C13" s="131">
        <f>AVERAGE(F11:F13)</f>
        <v>973459.69617604616</v>
      </c>
      <c r="D13" s="90">
        <f>C13/C10-1</f>
        <v>6.4110473558281811E-2</v>
      </c>
      <c r="E13" s="286"/>
      <c r="F13" s="78">
        <f>Q13/20</f>
        <v>1060417.95</v>
      </c>
      <c r="G13" s="90">
        <f t="shared" si="2"/>
        <v>0.46571619262022534</v>
      </c>
      <c r="H13" s="90"/>
      <c r="I13" s="130">
        <f t="shared" si="0"/>
        <v>20.389410184188016</v>
      </c>
      <c r="J13" s="130"/>
      <c r="K13" s="78">
        <f>R11+R12+R13</f>
        <v>80746400533</v>
      </c>
      <c r="L13" s="87">
        <f>U13/U10-1</f>
        <v>5.8264232534382954E-2</v>
      </c>
      <c r="N13" s="88">
        <f>AVERAGE(T11:T13)</f>
        <v>19.516499763595075</v>
      </c>
      <c r="O13" s="89">
        <f>N13/N10-1</f>
        <v>8.0561058298960653E-2</v>
      </c>
      <c r="P13" s="129" t="s">
        <v>96</v>
      </c>
      <c r="Q13" s="116">
        <v>21208359</v>
      </c>
      <c r="R13" s="116">
        <v>29075879229</v>
      </c>
      <c r="S13" s="116">
        <v>1040165.4</v>
      </c>
      <c r="T13" s="130">
        <f t="shared" si="1"/>
        <v>20.389410184188016</v>
      </c>
      <c r="U13" s="85">
        <f>Q11+Q12+Q13</f>
        <v>60991024</v>
      </c>
    </row>
    <row r="14" spans="1:21" ht="15" hidden="1" customHeight="1">
      <c r="A14" s="129" t="s">
        <v>97</v>
      </c>
      <c r="C14" s="79"/>
      <c r="F14" s="78">
        <f>Q14/20</f>
        <v>755654.6</v>
      </c>
      <c r="G14" s="90">
        <f t="shared" si="2"/>
        <v>-0.28739927497455131</v>
      </c>
      <c r="H14" s="90"/>
      <c r="I14" s="130">
        <f t="shared" si="0"/>
        <v>21.981944835966718</v>
      </c>
      <c r="J14" s="130"/>
      <c r="O14" s="89"/>
      <c r="P14" s="129" t="s">
        <v>97</v>
      </c>
      <c r="Q14" s="116">
        <v>15113092</v>
      </c>
      <c r="R14" s="116">
        <v>21554002889</v>
      </c>
      <c r="S14" s="116">
        <v>687522.97</v>
      </c>
      <c r="T14" s="130">
        <f t="shared" si="1"/>
        <v>21.981944835966718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1154655.5454545454</v>
      </c>
      <c r="G15" s="90">
        <f t="shared" si="2"/>
        <v>0.52802026938570279</v>
      </c>
      <c r="H15" s="90"/>
      <c r="I15" s="130">
        <f t="shared" si="0"/>
        <v>21.50711814349021</v>
      </c>
      <c r="J15" s="130"/>
      <c r="O15" s="89"/>
      <c r="P15" s="129" t="s">
        <v>98</v>
      </c>
      <c r="Q15" s="116">
        <v>25402422</v>
      </c>
      <c r="R15" s="116">
        <v>35444380917</v>
      </c>
      <c r="S15" s="116">
        <v>1181116.96</v>
      </c>
      <c r="T15" s="130">
        <f t="shared" si="1"/>
        <v>21.50711814349021</v>
      </c>
      <c r="U15" s="78"/>
    </row>
    <row r="16" spans="1:21" ht="15" hidden="1" customHeight="1">
      <c r="A16" s="129" t="s">
        <v>99</v>
      </c>
      <c r="B16" s="131">
        <f>F14+F15+F16</f>
        <v>2741740.1</v>
      </c>
      <c r="C16" s="131">
        <f>AVERAGE(F14:F16)</f>
        <v>913913.3666666667</v>
      </c>
      <c r="D16" s="90">
        <f>C16/C13-1</f>
        <v>-6.1169794438629466E-2</v>
      </c>
      <c r="E16" s="286"/>
      <c r="F16" s="78">
        <f>Q16/22</f>
        <v>831429.95454545459</v>
      </c>
      <c r="G16" s="90">
        <f t="shared" si="2"/>
        <v>-0.27993248045402908</v>
      </c>
      <c r="H16" s="90"/>
      <c r="I16" s="130">
        <f t="shared" si="0"/>
        <v>19.520031012710209</v>
      </c>
      <c r="J16" s="130"/>
      <c r="K16" s="78">
        <f>R14+R15+R16</f>
        <v>81056685759</v>
      </c>
      <c r="L16" s="87">
        <f>U16/U13-1</f>
        <v>-3.5809384016900592E-2</v>
      </c>
      <c r="N16" s="88">
        <f>AVERAGE(T14:T16)</f>
        <v>21.003031330722379</v>
      </c>
      <c r="O16" s="89">
        <f>N16/N13-1</f>
        <v>7.6167939186523315E-2</v>
      </c>
      <c r="P16" s="129" t="s">
        <v>99</v>
      </c>
      <c r="Q16" s="116">
        <v>18291459</v>
      </c>
      <c r="R16" s="116">
        <v>24058301953</v>
      </c>
      <c r="S16" s="116">
        <v>937060.96</v>
      </c>
      <c r="T16" s="130">
        <f t="shared" si="1"/>
        <v>19.520031012710209</v>
      </c>
      <c r="U16" s="85">
        <f>Q14+Q15+Q16</f>
        <v>58806973</v>
      </c>
    </row>
    <row r="17" spans="1:26" ht="15" hidden="1" customHeight="1">
      <c r="A17" s="129" t="s">
        <v>100</v>
      </c>
      <c r="C17" s="79"/>
      <c r="F17" s="78">
        <f>Q17/20</f>
        <v>1165318</v>
      </c>
      <c r="G17" s="90">
        <f t="shared" si="2"/>
        <v>0.40158289177478945</v>
      </c>
      <c r="H17" s="90">
        <f t="shared" ref="H17:H56" si="3">F17/F5-1</f>
        <v>0.62027243320685432</v>
      </c>
      <c r="I17" s="130">
        <f t="shared" si="0"/>
        <v>20.30298598073729</v>
      </c>
      <c r="J17" s="130">
        <f t="shared" ref="J17:J56" si="4">I17/I5-1</f>
        <v>0.12285533685112759</v>
      </c>
      <c r="O17" s="89"/>
      <c r="P17" s="129" t="s">
        <v>100</v>
      </c>
      <c r="Q17" s="116">
        <v>23306360</v>
      </c>
      <c r="R17" s="116">
        <v>29124652444</v>
      </c>
      <c r="S17" s="116">
        <v>1147927.7</v>
      </c>
      <c r="T17" s="130">
        <f t="shared" si="1"/>
        <v>20.30298598073729</v>
      </c>
      <c r="U17" s="78"/>
    </row>
    <row r="18" spans="1:26" ht="15" hidden="1" customHeight="1">
      <c r="A18" s="129" t="s">
        <v>106</v>
      </c>
      <c r="C18" s="79"/>
      <c r="F18" s="78">
        <f>Q18/20</f>
        <v>959817.75</v>
      </c>
      <c r="G18" s="90">
        <f t="shared" si="2"/>
        <v>-0.17634692847789191</v>
      </c>
      <c r="H18" s="90">
        <f t="shared" si="3"/>
        <v>-0.11345044817226302</v>
      </c>
      <c r="I18" s="130">
        <f t="shared" si="0"/>
        <v>16.099759599205591</v>
      </c>
      <c r="J18" s="130">
        <f t="shared" si="4"/>
        <v>-0.11255769849083797</v>
      </c>
      <c r="O18" s="89"/>
      <c r="P18" s="129" t="s">
        <v>106</v>
      </c>
      <c r="Q18" s="116">
        <v>19196355</v>
      </c>
      <c r="R18" s="116">
        <v>23953994226</v>
      </c>
      <c r="S18" s="116">
        <v>1192337.99</v>
      </c>
      <c r="T18" s="130">
        <f t="shared" si="1"/>
        <v>16.099759599205591</v>
      </c>
      <c r="U18" s="78"/>
    </row>
    <row r="19" spans="1:26" hidden="1">
      <c r="A19" s="129" t="s">
        <v>114</v>
      </c>
      <c r="B19" s="131">
        <f>SUM(F17:F19)</f>
        <v>3186545.2954545454</v>
      </c>
      <c r="C19" s="131">
        <f>AVERAGE(F17:F19)</f>
        <v>1062181.7651515151</v>
      </c>
      <c r="D19" s="90">
        <f>C19/C16-1</f>
        <v>0.16223463174155173</v>
      </c>
      <c r="E19" s="286">
        <f>C19/C7-1</f>
        <v>0.30390585431899164</v>
      </c>
      <c r="F19" s="78">
        <f>Q19/22</f>
        <v>1061409.5454545454</v>
      </c>
      <c r="G19" s="90">
        <f t="shared" si="2"/>
        <v>0.10584488092093047</v>
      </c>
      <c r="H19" s="90">
        <f t="shared" si="3"/>
        <v>0.65330965886864556</v>
      </c>
      <c r="I19" s="130">
        <f t="shared" si="0"/>
        <v>18.274015262955619</v>
      </c>
      <c r="J19" s="130">
        <f t="shared" si="4"/>
        <v>1.9525962786055118E-2</v>
      </c>
      <c r="K19" s="78">
        <f>R17+R18+R19</f>
        <v>83633201976</v>
      </c>
      <c r="L19" s="87">
        <f>U19/U16-1</f>
        <v>0.11982851081282497</v>
      </c>
      <c r="M19" s="87">
        <f>U19/U7-1</f>
        <v>0.37207792061674971</v>
      </c>
      <c r="N19" s="88">
        <f>AVERAGE(T17:T19)</f>
        <v>18.225586947632834</v>
      </c>
      <c r="O19" s="89">
        <f>N19/N16-1</f>
        <v>-0.13224016759079971</v>
      </c>
      <c r="P19" s="129" t="s">
        <v>114</v>
      </c>
      <c r="Q19" s="116">
        <v>23351010</v>
      </c>
      <c r="R19" s="116">
        <v>30554555306</v>
      </c>
      <c r="S19" s="116">
        <v>1277825.8999999999</v>
      </c>
      <c r="T19" s="130">
        <f t="shared" si="1"/>
        <v>18.274015262955619</v>
      </c>
      <c r="U19" s="85">
        <f>Q17+Q18+Q19</f>
        <v>65853725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1189971.5</v>
      </c>
      <c r="G20" s="90">
        <f t="shared" si="2"/>
        <v>0.12112379721476718</v>
      </c>
      <c r="H20" s="90">
        <f t="shared" si="3"/>
        <v>0.19397295822986949</v>
      </c>
      <c r="I20" s="130">
        <f t="shared" si="0"/>
        <v>18.986786555405686</v>
      </c>
      <c r="J20" s="130">
        <f t="shared" si="4"/>
        <v>1.7454093113495439E-2</v>
      </c>
      <c r="O20" s="89"/>
      <c r="P20" s="129" t="s">
        <v>131</v>
      </c>
      <c r="Q20" s="116">
        <v>23799430</v>
      </c>
      <c r="R20" s="116">
        <v>31269602693</v>
      </c>
      <c r="S20" s="116">
        <v>1253473.3</v>
      </c>
      <c r="T20" s="130">
        <f t="shared" si="1"/>
        <v>18.986786555405686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925288.57142857148</v>
      </c>
      <c r="G21" s="90">
        <f t="shared" si="2"/>
        <v>-0.22242795610771227</v>
      </c>
      <c r="H21" s="90">
        <f t="shared" si="3"/>
        <v>0.72183901160667108</v>
      </c>
      <c r="I21" s="130">
        <f t="shared" si="0"/>
        <v>19.875670195740529</v>
      </c>
      <c r="J21" s="130">
        <f t="shared" si="4"/>
        <v>0.14977027647039698</v>
      </c>
      <c r="O21" s="89"/>
      <c r="P21" s="129" t="s">
        <v>141</v>
      </c>
      <c r="Q21" s="116">
        <v>19431060</v>
      </c>
      <c r="R21" s="116">
        <v>25912488236</v>
      </c>
      <c r="S21" s="116">
        <v>977630.43</v>
      </c>
      <c r="T21" s="130">
        <f t="shared" si="1"/>
        <v>19.875670195740529</v>
      </c>
      <c r="U21" s="78"/>
    </row>
    <row r="22" spans="1:26" hidden="1">
      <c r="A22" s="129" t="s">
        <v>155</v>
      </c>
      <c r="B22" s="131">
        <f>SUM(F20:F22)</f>
        <v>3496961.7380952379</v>
      </c>
      <c r="C22" s="131">
        <f>AVERAGE(F20:F22)</f>
        <v>1165653.9126984125</v>
      </c>
      <c r="D22" s="90">
        <f>C22/C19-1</f>
        <v>9.7414727819336688E-2</v>
      </c>
      <c r="E22" s="286">
        <f>C22/C10-1</f>
        <v>0.27420225194639536</v>
      </c>
      <c r="F22" s="78">
        <f>Q22/21</f>
        <v>1381701.6666666667</v>
      </c>
      <c r="G22" s="90">
        <f t="shared" si="2"/>
        <v>0.49326567876379368</v>
      </c>
      <c r="H22" s="90">
        <f t="shared" si="3"/>
        <v>0.14152510972959198</v>
      </c>
      <c r="I22" s="130">
        <f t="shared" si="0"/>
        <v>17.968308694399411</v>
      </c>
      <c r="J22" s="130">
        <f t="shared" si="4"/>
        <v>-1.4713402001391818E-2</v>
      </c>
      <c r="K22" s="78">
        <f>R20+R21+R22</f>
        <v>94874379206</v>
      </c>
      <c r="L22" s="87">
        <f>U22/U19-1</f>
        <v>9.7071198326290631E-2</v>
      </c>
      <c r="M22" s="87">
        <f>U22/U10-1</f>
        <v>0.25355488134010273</v>
      </c>
      <c r="N22" s="88">
        <f>AVERAGE(T20:T22)</f>
        <v>18.94358848184854</v>
      </c>
      <c r="O22" s="89">
        <f>N22/N19-1</f>
        <v>3.9395248903572933E-2</v>
      </c>
      <c r="P22" s="129" t="s">
        <v>155</v>
      </c>
      <c r="Q22" s="116">
        <v>29015735</v>
      </c>
      <c r="R22" s="116">
        <v>37692288277</v>
      </c>
      <c r="S22" s="116">
        <v>1614828.39</v>
      </c>
      <c r="T22" s="130">
        <f t="shared" si="1"/>
        <v>17.968308694399411</v>
      </c>
      <c r="U22" s="85">
        <f>Q20+Q21+Q22</f>
        <v>72246225</v>
      </c>
    </row>
    <row r="23" spans="1:26" hidden="1">
      <c r="A23" s="129" t="s">
        <v>189</v>
      </c>
      <c r="B23" s="131"/>
      <c r="C23" s="131"/>
      <c r="F23" s="78">
        <f>Q23/21</f>
        <v>1718883.5714285714</v>
      </c>
      <c r="G23" s="90">
        <f t="shared" si="2"/>
        <v>0.24403379752399856</v>
      </c>
      <c r="H23" s="90">
        <f t="shared" si="3"/>
        <v>0.51246260330717885</v>
      </c>
      <c r="I23" s="130">
        <f t="shared" si="0"/>
        <v>17.355876938646553</v>
      </c>
      <c r="J23" s="130">
        <f t="shared" si="4"/>
        <v>-5.2792231827917036E-2</v>
      </c>
      <c r="O23" s="89"/>
      <c r="P23" s="129" t="s">
        <v>189</v>
      </c>
      <c r="Q23" s="116">
        <v>36096555</v>
      </c>
      <c r="R23" s="116">
        <v>46586029325</v>
      </c>
      <c r="S23" s="116">
        <v>2079788.6</v>
      </c>
      <c r="T23" s="130">
        <f t="shared" si="1"/>
        <v>17.355876938646553</v>
      </c>
      <c r="U23" s="78"/>
    </row>
    <row r="24" spans="1:26" hidden="1">
      <c r="A24" s="129" t="s">
        <v>204</v>
      </c>
      <c r="B24" s="131"/>
      <c r="C24" s="131"/>
      <c r="F24" s="78">
        <f>Q24/22</f>
        <v>1137512.9090909092</v>
      </c>
      <c r="G24" s="90">
        <f t="shared" si="2"/>
        <v>-0.33822573675218881</v>
      </c>
      <c r="H24" s="90">
        <f t="shared" si="3"/>
        <v>0.57227731779633118</v>
      </c>
      <c r="I24" s="130">
        <f t="shared" si="0"/>
        <v>18.002869563694169</v>
      </c>
      <c r="J24" s="130">
        <f t="shared" si="4"/>
        <v>-9.245501922121635E-2</v>
      </c>
      <c r="O24" s="89"/>
      <c r="P24" s="129" t="s">
        <v>204</v>
      </c>
      <c r="Q24" s="116">
        <v>25025284</v>
      </c>
      <c r="R24" s="116">
        <v>32692424533</v>
      </c>
      <c r="S24" s="116">
        <v>1390071.95</v>
      </c>
      <c r="T24" s="130">
        <f t="shared" si="1"/>
        <v>18.002869563694169</v>
      </c>
      <c r="U24" s="78"/>
    </row>
    <row r="25" spans="1:26" ht="13.2" hidden="1">
      <c r="A25" s="129" t="s">
        <v>217</v>
      </c>
      <c r="B25" s="131">
        <f>SUM(F23:F25)</f>
        <v>3626107.7963089542</v>
      </c>
      <c r="C25" s="131">
        <f>AVERAGE(F23:F25)</f>
        <v>1208702.5987696515</v>
      </c>
      <c r="D25" s="90">
        <f>C25/C22-1</f>
        <v>3.6930932588373544E-2</v>
      </c>
      <c r="E25" s="286">
        <f>C25/C13-1</f>
        <v>0.24165654060223418</v>
      </c>
      <c r="F25" s="78">
        <f>Q25/19</f>
        <v>769711.31578947371</v>
      </c>
      <c r="G25" s="90">
        <f t="shared" si="2"/>
        <v>-0.32333839059055547</v>
      </c>
      <c r="H25" s="90">
        <f t="shared" si="3"/>
        <v>-0.27414344901510412</v>
      </c>
      <c r="I25" s="130">
        <f t="shared" si="0"/>
        <v>17.452638442529075</v>
      </c>
      <c r="J25" s="130">
        <f t="shared" si="4"/>
        <v>-0.14403416847910622</v>
      </c>
      <c r="K25" s="78">
        <f>R23+R24+R25</f>
        <v>98655892574</v>
      </c>
      <c r="L25" s="90">
        <f>U25/U22-1</f>
        <v>4.8447223367034109E-2</v>
      </c>
      <c r="M25" s="90">
        <f>U25/U13-1</f>
        <v>0.24192625459116734</v>
      </c>
      <c r="N25" s="88">
        <f>AVERAGE(T23:T25)</f>
        <v>17.603794981623267</v>
      </c>
      <c r="O25" s="91">
        <f>N25/N22-1</f>
        <v>-7.0725433119973147E-2</v>
      </c>
      <c r="P25" s="129" t="s">
        <v>217</v>
      </c>
      <c r="Q25" s="116">
        <v>14624515</v>
      </c>
      <c r="R25" s="116">
        <v>19377438716</v>
      </c>
      <c r="S25" s="116">
        <v>837954.39</v>
      </c>
      <c r="T25" s="130">
        <f t="shared" si="1"/>
        <v>17.452638442529075</v>
      </c>
      <c r="U25" s="85">
        <f>Q23+Q24+Q25</f>
        <v>75746354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920034.15789473685</v>
      </c>
      <c r="G26" s="90">
        <f t="shared" si="2"/>
        <v>0.19529769021400023</v>
      </c>
      <c r="H26" s="90">
        <f t="shared" si="3"/>
        <v>0.21753266359357415</v>
      </c>
      <c r="I26" s="130">
        <f t="shared" si="0"/>
        <v>18.440413514084874</v>
      </c>
      <c r="J26" s="130">
        <f t="shared" si="4"/>
        <v>-0.16111091845191117</v>
      </c>
      <c r="L26" s="90"/>
      <c r="M26" s="90"/>
      <c r="P26" s="129" t="s">
        <v>312</v>
      </c>
      <c r="Q26" s="116">
        <v>17480649</v>
      </c>
      <c r="R26" s="116">
        <v>23554218735</v>
      </c>
      <c r="S26" s="116">
        <v>947953.2</v>
      </c>
      <c r="T26" s="130">
        <f t="shared" si="1"/>
        <v>18.440413514084874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971208.72727272729</v>
      </c>
      <c r="G27" s="90">
        <f t="shared" si="2"/>
        <v>5.5622466773505908E-2</v>
      </c>
      <c r="H27" s="90">
        <f t="shared" si="3"/>
        <v>-0.15887579538675478</v>
      </c>
      <c r="I27" s="130">
        <f t="shared" si="0"/>
        <v>18.263795115061669</v>
      </c>
      <c r="J27" s="130">
        <f t="shared" si="4"/>
        <v>-0.15080230678930984</v>
      </c>
      <c r="L27" s="90"/>
      <c r="M27" s="90"/>
      <c r="P27" s="129" t="s">
        <v>373</v>
      </c>
      <c r="Q27" s="116">
        <v>21366592</v>
      </c>
      <c r="R27" s="116">
        <v>28357839561</v>
      </c>
      <c r="S27" s="116">
        <v>1169887.8500000001</v>
      </c>
      <c r="T27" s="130">
        <f t="shared" si="1"/>
        <v>18.263795115061669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3148710.9904306224</v>
      </c>
      <c r="C28" s="131">
        <f>AVERAGE(F26:F28)</f>
        <v>1049570.3301435409</v>
      </c>
      <c r="D28" s="90">
        <f>C28/C25-1</f>
        <v>-0.13165543681968805</v>
      </c>
      <c r="E28" s="286">
        <f>C28/C16-1</f>
        <v>0.14843525483346243</v>
      </c>
      <c r="F28" s="78">
        <f>Q28/19</f>
        <v>1257468.105263158</v>
      </c>
      <c r="G28" s="90">
        <f t="shared" si="2"/>
        <v>0.29474547535655082</v>
      </c>
      <c r="H28" s="90">
        <f t="shared" si="3"/>
        <v>0.51241616733741546</v>
      </c>
      <c r="I28" s="130">
        <f t="shared" si="0"/>
        <v>26.116488098996317</v>
      </c>
      <c r="J28" s="130">
        <f t="shared" si="4"/>
        <v>0.33793271547524251</v>
      </c>
      <c r="K28" s="78">
        <f>R26+R27+R28</f>
        <v>83153015878</v>
      </c>
      <c r="L28" s="90">
        <f>U28/U25-1</f>
        <v>-0.17172072731051846</v>
      </c>
      <c r="M28" s="90">
        <f>U28/U16-1</f>
        <v>6.6865573917569199E-2</v>
      </c>
      <c r="N28" s="88">
        <f>AVERAGE(T26:T28)</f>
        <v>20.940232242714288</v>
      </c>
      <c r="O28" s="91">
        <f>N28/N25-1</f>
        <v>0.18952943183977955</v>
      </c>
      <c r="P28" s="129" t="s">
        <v>413</v>
      </c>
      <c r="Q28" s="116">
        <v>23891894</v>
      </c>
      <c r="R28" s="116">
        <v>31240957582</v>
      </c>
      <c r="S28" s="116">
        <v>914820.32</v>
      </c>
      <c r="T28" s="130">
        <f t="shared" si="1"/>
        <v>26.116488098996317</v>
      </c>
      <c r="U28" s="85">
        <f>Q26+Q27+Q28</f>
        <v>62739135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856778.72727272729</v>
      </c>
      <c r="G29" s="190">
        <f t="shared" si="2"/>
        <v>-0.31864774646238525</v>
      </c>
      <c r="H29" s="190">
        <f t="shared" si="3"/>
        <v>-0.26476830592788636</v>
      </c>
      <c r="I29" s="130">
        <f t="shared" si="0"/>
        <v>18.730370214617199</v>
      </c>
      <c r="J29" s="130">
        <f t="shared" si="4"/>
        <v>-7.7457363543083191E-2</v>
      </c>
      <c r="K29" s="136"/>
      <c r="L29" s="190"/>
      <c r="M29" s="190"/>
      <c r="N29" s="191"/>
      <c r="O29" s="192"/>
      <c r="P29" s="129" t="s">
        <v>426</v>
      </c>
      <c r="Q29" s="116">
        <v>18849132</v>
      </c>
      <c r="R29" s="116">
        <v>24826245964</v>
      </c>
      <c r="S29" s="116">
        <v>1006340.6</v>
      </c>
      <c r="T29" s="130">
        <f t="shared" si="1"/>
        <v>18.730370214617199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990786.89473684214</v>
      </c>
      <c r="G30" s="190">
        <f t="shared" si="2"/>
        <v>0.15640930755912397</v>
      </c>
      <c r="H30" s="190">
        <f t="shared" si="3"/>
        <v>3.2265651199763878E-2</v>
      </c>
      <c r="I30" s="130">
        <f t="shared" si="0"/>
        <v>18.829901757770152</v>
      </c>
      <c r="J30" s="130">
        <f t="shared" si="4"/>
        <v>0.16957657918688884</v>
      </c>
      <c r="K30" s="136"/>
      <c r="L30" s="190"/>
      <c r="M30" s="190"/>
      <c r="N30" s="191"/>
      <c r="O30" s="192"/>
      <c r="P30" s="129" t="s">
        <v>466</v>
      </c>
      <c r="Q30" s="116">
        <v>18824951</v>
      </c>
      <c r="R30" s="116">
        <v>25085788775</v>
      </c>
      <c r="S30" s="116">
        <v>999737.08</v>
      </c>
      <c r="T30" s="130">
        <f t="shared" si="1"/>
        <v>18.829901757770152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2736357.6720095696</v>
      </c>
      <c r="C31" s="188">
        <f>AVERAGE(F29:F31)</f>
        <v>912119.22400318983</v>
      </c>
      <c r="D31" s="190">
        <f>C31/C28-1</f>
        <v>-0.13095940518969607</v>
      </c>
      <c r="E31" s="287">
        <f>C31/C19-1</f>
        <v>-0.14127764764152173</v>
      </c>
      <c r="F31" s="136">
        <f>Q31/20</f>
        <v>888792.05</v>
      </c>
      <c r="G31" s="190">
        <f t="shared" si="2"/>
        <v>-0.10294327193733466</v>
      </c>
      <c r="H31" s="190">
        <f t="shared" si="3"/>
        <v>-0.16263043440091018</v>
      </c>
      <c r="I31" s="130">
        <f t="shared" si="0"/>
        <v>18.209678020284613</v>
      </c>
      <c r="J31" s="130">
        <f t="shared" si="4"/>
        <v>-3.5206954654036782E-3</v>
      </c>
      <c r="K31" s="136">
        <f>R29+R30+R31</f>
        <v>73419853666</v>
      </c>
      <c r="L31" s="190">
        <f>U31/U28-1</f>
        <v>-0.11618284185779737</v>
      </c>
      <c r="M31" s="190">
        <f>U31/U19-1</f>
        <v>-0.15798348536851936</v>
      </c>
      <c r="N31" s="191">
        <f>AVERAGE(T29:T31)</f>
        <v>18.589983330890657</v>
      </c>
      <c r="O31" s="192">
        <f>N31/N28-1</f>
        <v>-0.11223604803339038</v>
      </c>
      <c r="P31" s="129" t="s">
        <v>505</v>
      </c>
      <c r="Q31" s="116">
        <v>17775841</v>
      </c>
      <c r="R31" s="116">
        <v>23507818927</v>
      </c>
      <c r="S31" s="116">
        <v>976175.47</v>
      </c>
      <c r="T31" s="130">
        <f t="shared" si="1"/>
        <v>18.209678020284613</v>
      </c>
      <c r="U31" s="85">
        <f>Q29+Q30+Q31</f>
        <v>55449924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1093225.4285714286</v>
      </c>
      <c r="G32" s="190">
        <f t="shared" si="2"/>
        <v>0.23001260932906464</v>
      </c>
      <c r="H32" s="190">
        <f t="shared" si="3"/>
        <v>-8.130116681666022E-2</v>
      </c>
      <c r="I32" s="130">
        <f t="shared" si="0"/>
        <v>18.55745007884623</v>
      </c>
      <c r="J32" s="130">
        <f t="shared" si="4"/>
        <v>-2.2612382316860247E-2</v>
      </c>
      <c r="K32" s="136"/>
      <c r="L32" s="190"/>
      <c r="M32" s="190"/>
      <c r="N32" s="191"/>
      <c r="O32" s="192"/>
      <c r="P32" s="129" t="s">
        <v>561</v>
      </c>
      <c r="Q32" s="116">
        <v>22957734</v>
      </c>
      <c r="R32" s="116">
        <v>31151294500</v>
      </c>
      <c r="S32" s="116">
        <v>1237116.8400000001</v>
      </c>
      <c r="T32" s="130">
        <f t="shared" si="1"/>
        <v>18.55745007884623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811808</v>
      </c>
      <c r="G33" s="190">
        <f t="shared" si="2"/>
        <v>-0.25741939513716816</v>
      </c>
      <c r="H33" s="190">
        <f t="shared" si="3"/>
        <v>-0.12264343787729548</v>
      </c>
      <c r="I33" s="130">
        <f t="shared" si="0"/>
        <v>17.713821332709454</v>
      </c>
      <c r="J33" s="130">
        <f t="shared" si="4"/>
        <v>-0.10876860210199968</v>
      </c>
      <c r="K33" s="136"/>
      <c r="L33" s="190"/>
      <c r="M33" s="190"/>
      <c r="N33" s="191"/>
      <c r="O33" s="192"/>
      <c r="P33" s="129" t="s">
        <v>606</v>
      </c>
      <c r="Q33" s="116">
        <v>17047968</v>
      </c>
      <c r="R33" s="116">
        <v>23337519115</v>
      </c>
      <c r="S33" s="116">
        <v>962410.52</v>
      </c>
      <c r="T33" s="130">
        <f t="shared" si="1"/>
        <v>17.713821332709454</v>
      </c>
      <c r="U33" s="85"/>
    </row>
    <row r="34" spans="1:21" s="79" customFormat="1" ht="13.2" hidden="1">
      <c r="A34" s="129" t="s">
        <v>652</v>
      </c>
      <c r="B34" s="188">
        <f>SUM(F32:F34)</f>
        <v>2759881.1127819549</v>
      </c>
      <c r="C34" s="188">
        <f>AVERAGE(F32:F34)</f>
        <v>919960.37092731835</v>
      </c>
      <c r="D34" s="190">
        <f>C34/C31-1</f>
        <v>8.5966250000899525E-3</v>
      </c>
      <c r="E34" s="287">
        <f>C34/C22-1</f>
        <v>-0.21077743496123114</v>
      </c>
      <c r="F34" s="136">
        <f>Q34/19</f>
        <v>854847.68421052629</v>
      </c>
      <c r="G34" s="190">
        <f t="shared" si="2"/>
        <v>5.3017073261813596E-2</v>
      </c>
      <c r="H34" s="190">
        <f t="shared" si="3"/>
        <v>-0.3813080603189597</v>
      </c>
      <c r="I34" s="130">
        <f t="shared" si="0"/>
        <v>18.154170193687143</v>
      </c>
      <c r="J34" s="130">
        <f t="shared" si="4"/>
        <v>1.0343850523097053E-2</v>
      </c>
      <c r="K34" s="136">
        <f>R32+R33+R34</f>
        <v>76803509910</v>
      </c>
      <c r="L34" s="190">
        <f>U34/U31-1</f>
        <v>1.4389271299993123E-2</v>
      </c>
      <c r="M34" s="190">
        <f>U34/U22-1</f>
        <v>-0.22144294736506998</v>
      </c>
      <c r="N34" s="191">
        <f>AVERAGE(T32:T34)</f>
        <v>18.141813868414278</v>
      </c>
      <c r="O34" s="192">
        <f>N34/N31-1</f>
        <v>-2.410811534896129E-2</v>
      </c>
      <c r="P34" s="129" t="s">
        <v>652</v>
      </c>
      <c r="Q34" s="116">
        <v>16242106</v>
      </c>
      <c r="R34" s="116">
        <v>22314696295</v>
      </c>
      <c r="S34" s="116">
        <v>894676.31</v>
      </c>
      <c r="T34" s="130">
        <f t="shared" si="1"/>
        <v>18.154170193687143</v>
      </c>
      <c r="U34" s="85">
        <f>Q32+Q33+Q34</f>
        <v>56247808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953158.39130434778</v>
      </c>
      <c r="G35" s="190">
        <f t="shared" si="2"/>
        <v>0.11500377074146706</v>
      </c>
      <c r="H35" s="190">
        <f t="shared" si="3"/>
        <v>-0.44547821205122473</v>
      </c>
      <c r="I35" s="130">
        <f t="shared" si="0"/>
        <v>18.147115781336698</v>
      </c>
      <c r="J35" s="130">
        <f t="shared" si="4"/>
        <v>4.5589101921337249E-2</v>
      </c>
      <c r="K35" s="136"/>
      <c r="L35" s="190"/>
      <c r="M35" s="190"/>
      <c r="N35" s="191"/>
      <c r="O35" s="192"/>
      <c r="P35" s="129" t="s">
        <v>659</v>
      </c>
      <c r="Q35" s="116">
        <v>21922643</v>
      </c>
      <c r="R35" s="116">
        <v>30338425999</v>
      </c>
      <c r="S35" s="116">
        <v>1208051.0900000001</v>
      </c>
      <c r="T35" s="130">
        <f t="shared" si="1"/>
        <v>18.147115781336698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558995.57142857148</v>
      </c>
      <c r="G36" s="190">
        <f t="shared" si="2"/>
        <v>-0.41353338906913983</v>
      </c>
      <c r="H36" s="190">
        <f t="shared" si="3"/>
        <v>-0.50858089876508206</v>
      </c>
      <c r="I36" s="130">
        <f t="shared" si="0"/>
        <v>18.223999080952982</v>
      </c>
      <c r="J36" s="130">
        <f t="shared" si="4"/>
        <v>1.2283015020269739E-2</v>
      </c>
      <c r="K36" s="136"/>
      <c r="L36" s="190"/>
      <c r="M36" s="190"/>
      <c r="N36" s="191"/>
      <c r="O36" s="192"/>
      <c r="P36" s="129" t="s">
        <v>664</v>
      </c>
      <c r="Q36" s="116">
        <v>11738907</v>
      </c>
      <c r="R36" s="116">
        <v>16037208153</v>
      </c>
      <c r="S36" s="116">
        <v>644145.5</v>
      </c>
      <c r="T36" s="130">
        <f t="shared" si="1"/>
        <v>18.223999080952982</v>
      </c>
      <c r="U36" s="85"/>
    </row>
    <row r="37" spans="1:21" s="79" customFormat="1" ht="13.2" hidden="1">
      <c r="A37" s="129" t="s">
        <v>702</v>
      </c>
      <c r="B37" s="188">
        <f>SUM(F35:F37)</f>
        <v>1896034.0738440305</v>
      </c>
      <c r="C37" s="188">
        <f>AVERAGE(F35:F37)</f>
        <v>632011.35794801021</v>
      </c>
      <c r="D37" s="190">
        <f>C37/C34-1</f>
        <v>-0.31300154015227422</v>
      </c>
      <c r="E37" s="287">
        <f>C37/C25-1</f>
        <v>-0.47711591040563672</v>
      </c>
      <c r="F37" s="136">
        <f>Q37/18</f>
        <v>383880.11111111112</v>
      </c>
      <c r="G37" s="190">
        <f t="shared" si="2"/>
        <v>-0.31326806377004834</v>
      </c>
      <c r="H37" s="190">
        <f t="shared" si="3"/>
        <v>-0.50126741904869254</v>
      </c>
      <c r="I37" s="130">
        <f t="shared" si="0"/>
        <v>18.467635984041351</v>
      </c>
      <c r="J37" s="130">
        <f t="shared" si="4"/>
        <v>5.8157254838838712E-2</v>
      </c>
      <c r="K37" s="136">
        <f>R35+R36+R37</f>
        <v>55617109983</v>
      </c>
      <c r="L37" s="190">
        <f>U37/U34-1</f>
        <v>-0.27870270073457792</v>
      </c>
      <c r="M37" s="190">
        <f>U37/U25-1</f>
        <v>-0.46437828545516524</v>
      </c>
      <c r="N37" s="191">
        <f>AVERAGE(T35:T37)</f>
        <v>18.279583615443677</v>
      </c>
      <c r="O37" s="192">
        <f>N37/N34-1</f>
        <v>7.5940447867377525E-3</v>
      </c>
      <c r="P37" s="129" t="s">
        <v>702</v>
      </c>
      <c r="Q37" s="116">
        <v>6909842</v>
      </c>
      <c r="R37" s="116">
        <v>9241475831</v>
      </c>
      <c r="S37" s="116">
        <v>374159.53</v>
      </c>
      <c r="T37" s="130">
        <f t="shared" si="1"/>
        <v>18.467635984041351</v>
      </c>
      <c r="U37" s="85">
        <f>Q35+Q36+Q37</f>
        <v>40571392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164966</v>
      </c>
      <c r="G38" s="190">
        <f t="shared" si="2"/>
        <v>-0.57026687440899515</v>
      </c>
      <c r="H38" s="190">
        <f t="shared" si="3"/>
        <v>-0.82069578766783779</v>
      </c>
      <c r="I38" s="130">
        <f t="shared" si="0"/>
        <v>16.846691087489113</v>
      </c>
      <c r="J38" s="130">
        <f t="shared" si="4"/>
        <v>-8.6425525402587522E-2</v>
      </c>
      <c r="K38" s="136"/>
      <c r="L38" s="190"/>
      <c r="M38" s="190"/>
      <c r="N38" s="191"/>
      <c r="O38" s="192"/>
      <c r="P38" s="129" t="s">
        <v>725</v>
      </c>
      <c r="Q38" s="116">
        <v>3299320</v>
      </c>
      <c r="R38" s="116">
        <v>4430296794</v>
      </c>
      <c r="S38" s="116">
        <v>195843.8</v>
      </c>
      <c r="T38" s="130">
        <f t="shared" si="1"/>
        <v>16.846691087489113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335872.66666666669</v>
      </c>
      <c r="G39" s="190">
        <f t="shared" si="2"/>
        <v>1.0360114609475084</v>
      </c>
      <c r="H39" s="190">
        <f t="shared" si="3"/>
        <v>-0.65417046075168805</v>
      </c>
      <c r="I39" s="130">
        <f t="shared" si="0"/>
        <v>17.122698993320196</v>
      </c>
      <c r="J39" s="130">
        <f t="shared" si="4"/>
        <v>-6.2478587530827134E-2</v>
      </c>
      <c r="K39" s="136"/>
      <c r="L39" s="190"/>
      <c r="M39" s="190"/>
      <c r="N39" s="191"/>
      <c r="O39" s="192"/>
      <c r="P39" s="129" t="s">
        <v>762</v>
      </c>
      <c r="Q39" s="116">
        <v>7053326</v>
      </c>
      <c r="R39" s="116">
        <v>9818374579</v>
      </c>
      <c r="S39" s="116">
        <v>411928.4</v>
      </c>
      <c r="T39" s="130">
        <f t="shared" si="1"/>
        <v>17.122698993320196</v>
      </c>
      <c r="U39" s="85"/>
    </row>
    <row r="40" spans="1:21" s="79" customFormat="1" ht="13.2" hidden="1">
      <c r="A40" s="129" t="s">
        <v>777</v>
      </c>
      <c r="B40" s="188">
        <f>SUM(F38:F40)</f>
        <v>957296.76190476189</v>
      </c>
      <c r="C40" s="188">
        <f>AVERAGE(F38:F40)</f>
        <v>319098.92063492065</v>
      </c>
      <c r="D40" s="190">
        <f>C40/C37-1</f>
        <v>-0.49510571824063643</v>
      </c>
      <c r="E40" s="287">
        <f>C40/C28-1</f>
        <v>-0.69597185489105795</v>
      </c>
      <c r="F40" s="136">
        <f>Q40/21</f>
        <v>456458.09523809527</v>
      </c>
      <c r="G40" s="190">
        <f t="shared" si="2"/>
        <v>0.35902126174233273</v>
      </c>
      <c r="H40" s="190">
        <f t="shared" si="3"/>
        <v>-0.63700224814642947</v>
      </c>
      <c r="I40" s="130">
        <f t="shared" si="0"/>
        <v>17.298692516382076</v>
      </c>
      <c r="J40" s="130">
        <f t="shared" si="4"/>
        <v>-0.33763328167209117</v>
      </c>
      <c r="K40" s="136">
        <f>R38+R39+R40</f>
        <v>27925219846</v>
      </c>
      <c r="L40" s="190">
        <f>U40/U37-1</f>
        <v>-0.5085634232120998</v>
      </c>
      <c r="M40" s="190">
        <f>U40/U28-1</f>
        <v>-0.68220368355413252</v>
      </c>
      <c r="N40" s="191">
        <f>AVERAGE(T38:T40)</f>
        <v>17.089360865730459</v>
      </c>
      <c r="O40" s="192">
        <f>N40/N37-1</f>
        <v>-6.5112136838152423E-2</v>
      </c>
      <c r="P40" s="129" t="s">
        <v>777</v>
      </c>
      <c r="Q40" s="116">
        <v>9585620</v>
      </c>
      <c r="R40" s="116">
        <v>13676548473</v>
      </c>
      <c r="S40" s="116">
        <v>554123.96</v>
      </c>
      <c r="T40" s="130">
        <f t="shared" si="1"/>
        <v>17.298692516382076</v>
      </c>
      <c r="U40" s="85">
        <f>Q38+Q39+Q40</f>
        <v>19938266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605748.16666666663</v>
      </c>
      <c r="G41" s="190">
        <f t="shared" si="2"/>
        <v>0.32706194278513001</v>
      </c>
      <c r="H41" s="190">
        <f t="shared" si="3"/>
        <v>-0.29299345632113638</v>
      </c>
      <c r="I41" s="130">
        <f t="shared" si="0"/>
        <v>18.284845602890083</v>
      </c>
      <c r="J41" s="130">
        <f t="shared" si="4"/>
        <v>-2.3786214934471972E-2</v>
      </c>
      <c r="K41" s="193"/>
      <c r="L41" s="190"/>
      <c r="M41" s="190"/>
      <c r="N41" s="193"/>
      <c r="O41" s="193"/>
      <c r="P41" s="129" t="s">
        <v>787</v>
      </c>
      <c r="Q41" s="116">
        <v>10903467</v>
      </c>
      <c r="R41" s="116">
        <v>15941913240</v>
      </c>
      <c r="S41" s="116">
        <v>596311.68000000005</v>
      </c>
      <c r="T41" s="130">
        <f t="shared" si="1"/>
        <v>18.284845602890083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848885.35</v>
      </c>
      <c r="G42" s="190">
        <f t="shared" si="2"/>
        <v>0.40138327561316056</v>
      </c>
      <c r="H42" s="190">
        <f t="shared" si="3"/>
        <v>-0.14322105539610708</v>
      </c>
      <c r="I42" s="130">
        <f t="shared" si="0"/>
        <v>18.08281952852532</v>
      </c>
      <c r="J42" s="130">
        <f t="shared" si="4"/>
        <v>-3.9675312110247662E-2</v>
      </c>
      <c r="K42" s="193"/>
      <c r="L42" s="190"/>
      <c r="M42" s="190"/>
      <c r="N42" s="193"/>
      <c r="O42" s="193"/>
      <c r="P42" s="129" t="s">
        <v>826</v>
      </c>
      <c r="Q42" s="116">
        <v>16977707</v>
      </c>
      <c r="R42" s="116">
        <v>24565403088</v>
      </c>
      <c r="S42" s="116">
        <v>938886.05</v>
      </c>
      <c r="T42" s="130">
        <f t="shared" si="1"/>
        <v>18.08281952852532</v>
      </c>
      <c r="U42" s="78"/>
    </row>
    <row r="43" spans="1:21" s="79" customFormat="1" ht="13.2">
      <c r="A43" s="129" t="s">
        <v>834</v>
      </c>
      <c r="B43" s="188">
        <f>SUM(F41:F43)</f>
        <v>2164786.2666666666</v>
      </c>
      <c r="C43" s="188">
        <f>AVERAGE(F41:F43)</f>
        <v>721595.4222222222</v>
      </c>
      <c r="D43" s="190">
        <f>C43/C40-1</f>
        <v>1.2613533784020396</v>
      </c>
      <c r="E43" s="287">
        <f>C43/C31-1</f>
        <v>-0.2088803708629009</v>
      </c>
      <c r="F43" s="136">
        <f>Q43/20</f>
        <v>710152.75</v>
      </c>
      <c r="G43" s="190">
        <f t="shared" si="2"/>
        <v>-0.16342913680863969</v>
      </c>
      <c r="H43" s="190">
        <f t="shared" si="3"/>
        <v>-0.20099110922515573</v>
      </c>
      <c r="I43" s="130">
        <f t="shared" si="0"/>
        <v>18.027850185349902</v>
      </c>
      <c r="J43" s="130">
        <f t="shared" si="4"/>
        <v>-9.9852306412098191E-3</v>
      </c>
      <c r="K43" s="136">
        <f>R41+R42+R43</f>
        <v>61045018902</v>
      </c>
      <c r="L43" s="190">
        <f>U43/U40-1</f>
        <v>1.1107266298884766</v>
      </c>
      <c r="M43" s="190">
        <f>K43/K31-1</f>
        <v>-0.16854888897348297</v>
      </c>
      <c r="N43" s="191">
        <f>AVERAGE(T41:T43)</f>
        <v>18.131838438921772</v>
      </c>
      <c r="O43" s="192">
        <f>N43/N40-1</f>
        <v>6.1001554205681652E-2</v>
      </c>
      <c r="P43" s="129" t="s">
        <v>834</v>
      </c>
      <c r="Q43" s="116">
        <v>14203055</v>
      </c>
      <c r="R43" s="116">
        <v>20537702574</v>
      </c>
      <c r="S43" s="116">
        <v>787839.64</v>
      </c>
      <c r="T43" s="130">
        <f t="shared" si="1"/>
        <v>18.027850185349902</v>
      </c>
      <c r="U43" s="85">
        <f>Q41+Q42+Q43</f>
        <v>42084229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588962.86363636365</v>
      </c>
      <c r="G44" s="190">
        <f t="shared" si="2"/>
        <v>-0.17065326630592692</v>
      </c>
      <c r="H44" s="190">
        <f t="shared" si="3"/>
        <v>-0.46126128404642919</v>
      </c>
      <c r="I44" s="130">
        <f t="shared" si="0"/>
        <v>18.304678188397304</v>
      </c>
      <c r="J44" s="130">
        <f t="shared" si="4"/>
        <v>-1.3621046500190359E-2</v>
      </c>
      <c r="K44" s="136"/>
      <c r="L44" s="190"/>
      <c r="M44" s="190"/>
      <c r="N44" s="191"/>
      <c r="O44" s="192"/>
      <c r="P44" s="129" t="s">
        <v>838</v>
      </c>
      <c r="Q44" s="116">
        <v>12957183</v>
      </c>
      <c r="R44" s="116">
        <v>18828932182</v>
      </c>
      <c r="S44" s="116">
        <v>707861.83</v>
      </c>
      <c r="T44" s="130">
        <f t="shared" si="1"/>
        <v>18.304678188397304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694827.7</v>
      </c>
      <c r="G45" s="190">
        <f t="shared" si="2"/>
        <v>0.17974789736318453</v>
      </c>
      <c r="H45" s="190">
        <f t="shared" si="3"/>
        <v>-0.14409848141432458</v>
      </c>
      <c r="I45" s="130">
        <f t="shared" si="0"/>
        <v>17.200054415158775</v>
      </c>
      <c r="J45" s="130">
        <f t="shared" si="4"/>
        <v>-2.9003731487456275E-2</v>
      </c>
      <c r="K45" s="136"/>
      <c r="L45" s="190"/>
      <c r="M45" s="190"/>
      <c r="N45" s="191"/>
      <c r="O45" s="192"/>
      <c r="P45" s="129" t="s">
        <v>847</v>
      </c>
      <c r="Q45" s="116">
        <v>13896554</v>
      </c>
      <c r="R45" s="116">
        <v>19543387740</v>
      </c>
      <c r="S45" s="116">
        <v>807936.63</v>
      </c>
      <c r="T45" s="130">
        <f t="shared" si="1"/>
        <v>17.200054415158775</v>
      </c>
      <c r="U45" s="85"/>
    </row>
    <row r="46" spans="1:21" s="79" customFormat="1" ht="13.2">
      <c r="A46" s="129" t="s">
        <v>888</v>
      </c>
      <c r="B46" s="188">
        <f>SUM(F44:F46)</f>
        <v>2004607.0899521529</v>
      </c>
      <c r="C46" s="188">
        <f>AVERAGE(F44:F46)</f>
        <v>668202.36331738427</v>
      </c>
      <c r="D46" s="189">
        <f>C46/C43-1</f>
        <v>-7.3993067667210144E-2</v>
      </c>
      <c r="E46" s="287">
        <f>C46/C34-1</f>
        <v>-0.27366179627516185</v>
      </c>
      <c r="F46" s="136">
        <f>Q46/19</f>
        <v>720816.52631578944</v>
      </c>
      <c r="G46" s="190">
        <f t="shared" si="2"/>
        <v>3.7403267480253799E-2</v>
      </c>
      <c r="H46" s="190">
        <f t="shared" si="3"/>
        <v>-0.15678951978271782</v>
      </c>
      <c r="I46" s="130">
        <f t="shared" si="0"/>
        <v>17.844563670407812</v>
      </c>
      <c r="J46" s="130">
        <f t="shared" si="4"/>
        <v>-1.7054292208133703E-2</v>
      </c>
      <c r="K46" s="136">
        <f>R44+R45+R46</f>
        <v>57138758853</v>
      </c>
      <c r="L46" s="190">
        <f>U46/U43-1</f>
        <v>-3.6473948471290707E-2</v>
      </c>
      <c r="M46" s="190">
        <f>K46/K34-1</f>
        <v>-0.25603974453828449</v>
      </c>
      <c r="N46" s="191">
        <f>AVERAGE(T44:T46)</f>
        <v>17.783098757987961</v>
      </c>
      <c r="O46" s="219">
        <f>N46/N43-1</f>
        <v>-1.9233553294033756E-2</v>
      </c>
      <c r="P46" s="129" t="s">
        <v>888</v>
      </c>
      <c r="Q46" s="116">
        <v>13695514</v>
      </c>
      <c r="R46" s="116">
        <v>18766438931</v>
      </c>
      <c r="S46" s="116">
        <v>767489.43</v>
      </c>
      <c r="T46" s="130">
        <f t="shared" si="1"/>
        <v>17.844563670407812</v>
      </c>
      <c r="U46" s="85">
        <f t="shared" ref="U46:U56" si="5">Q44+Q45+Q46</f>
        <v>40549251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1152625.956521739</v>
      </c>
      <c r="G47" s="190">
        <f t="shared" si="2"/>
        <v>0.59905595174544324</v>
      </c>
      <c r="H47" s="190">
        <f t="shared" si="3"/>
        <v>0.20927011400951967</v>
      </c>
      <c r="I47" s="130">
        <f t="shared" si="0"/>
        <v>13.211802616770877</v>
      </c>
      <c r="J47" s="130">
        <f t="shared" si="4"/>
        <v>-0.2719612980946271</v>
      </c>
      <c r="K47" s="136"/>
      <c r="L47" s="190"/>
      <c r="M47" s="190"/>
      <c r="N47" s="191"/>
      <c r="O47" s="219"/>
      <c r="P47" s="129" t="s">
        <v>989</v>
      </c>
      <c r="Q47" s="116">
        <v>26510397</v>
      </c>
      <c r="R47" s="116">
        <v>36308250413</v>
      </c>
      <c r="S47" s="116">
        <v>2006569.26</v>
      </c>
      <c r="T47" s="130">
        <f t="shared" si="1"/>
        <v>13.211802616770877</v>
      </c>
      <c r="U47" s="85">
        <f t="shared" si="5"/>
        <v>54102465</v>
      </c>
    </row>
    <row r="48" spans="1:21" s="79" customFormat="1" ht="13.2">
      <c r="A48" s="129" t="s">
        <v>1067</v>
      </c>
      <c r="B48" s="188"/>
      <c r="C48" s="188"/>
      <c r="D48" s="189"/>
      <c r="E48" s="287"/>
      <c r="F48" s="136">
        <f>Q48/20</f>
        <v>340926.4</v>
      </c>
      <c r="G48" s="190">
        <f t="shared" si="2"/>
        <v>-0.70421766222512616</v>
      </c>
      <c r="H48" s="190">
        <f t="shared" si="3"/>
        <v>-0.39010894285132336</v>
      </c>
      <c r="I48" s="130">
        <f t="shared" si="0"/>
        <v>16.767204314203504</v>
      </c>
      <c r="J48" s="130">
        <f t="shared" si="4"/>
        <v>-7.9938259449983451E-2</v>
      </c>
      <c r="K48" s="136"/>
      <c r="L48" s="190"/>
      <c r="M48" s="190"/>
      <c r="N48" s="191"/>
      <c r="O48" s="219"/>
      <c r="P48" s="129" t="s">
        <v>1067</v>
      </c>
      <c r="Q48" s="116">
        <v>6818528</v>
      </c>
      <c r="R48" s="116">
        <v>9456454512</v>
      </c>
      <c r="S48" s="116">
        <v>406658.61</v>
      </c>
      <c r="T48" s="130">
        <f t="shared" si="1"/>
        <v>16.767204314203504</v>
      </c>
      <c r="U48" s="85">
        <f t="shared" si="5"/>
        <v>47024439</v>
      </c>
    </row>
    <row r="49" spans="1:26" ht="13.2">
      <c r="A49" s="129" t="s">
        <v>1157</v>
      </c>
      <c r="B49" s="188">
        <f>SUM(F47:F49)</f>
        <v>1927117.8565217392</v>
      </c>
      <c r="C49" s="188">
        <f>AVERAGE(F47:F49)</f>
        <v>642372.61884057976</v>
      </c>
      <c r="D49" s="189">
        <f>C49/C46-1</f>
        <v>-3.8655571866835547E-2</v>
      </c>
      <c r="E49" s="287">
        <f>C49/C37-1</f>
        <v>1.6394105520840752E-2</v>
      </c>
      <c r="F49" s="136">
        <f>Q49/22</f>
        <v>433565.5</v>
      </c>
      <c r="G49" s="190">
        <f t="shared" si="2"/>
        <v>0.27172756348584315</v>
      </c>
      <c r="H49" s="190">
        <f t="shared" si="3"/>
        <v>0.12942944281504554</v>
      </c>
      <c r="I49" s="130">
        <f t="shared" si="0"/>
        <v>17.15596435551846</v>
      </c>
      <c r="J49" s="130">
        <f t="shared" si="4"/>
        <v>-7.1025421426779256E-2</v>
      </c>
      <c r="K49" s="136">
        <f>R47+R48+R49</f>
        <v>59019631139</v>
      </c>
      <c r="L49" s="190">
        <f>U49/U46-1</f>
        <v>5.7167887022130159E-2</v>
      </c>
      <c r="M49" s="190">
        <f>K49/K37-1</f>
        <v>6.1177597272494388E-2</v>
      </c>
      <c r="N49" s="191">
        <f>AVERAGE(T47:T49)</f>
        <v>15.711657095497614</v>
      </c>
      <c r="O49" s="219">
        <f>N49/N46-1</f>
        <v>-0.11648372933653528</v>
      </c>
      <c r="P49" s="129" t="s">
        <v>1157</v>
      </c>
      <c r="Q49" s="116">
        <v>9538441</v>
      </c>
      <c r="R49" s="116">
        <v>13254926214</v>
      </c>
      <c r="S49" s="116">
        <v>555983.96</v>
      </c>
      <c r="T49" s="130">
        <f t="shared" si="1"/>
        <v>17.15596435551846</v>
      </c>
      <c r="U49" s="85">
        <f t="shared" si="5"/>
        <v>42867366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655318.9444444445</v>
      </c>
      <c r="G50" s="190">
        <f t="shared" si="2"/>
        <v>0.51146469090470648</v>
      </c>
      <c r="H50" s="190">
        <f t="shared" si="3"/>
        <v>2.9724485314819082</v>
      </c>
      <c r="I50" s="130">
        <f t="shared" si="0"/>
        <v>17.819389661928724</v>
      </c>
      <c r="J50" s="130">
        <f t="shared" si="4"/>
        <v>5.7738256693147694E-2</v>
      </c>
      <c r="K50" s="136"/>
      <c r="L50" s="190"/>
      <c r="M50" s="190"/>
      <c r="N50" s="191"/>
      <c r="O50" s="192"/>
      <c r="P50" s="129" t="s">
        <v>1291</v>
      </c>
      <c r="Q50" s="116">
        <v>11795741</v>
      </c>
      <c r="R50" s="116">
        <v>16726656938</v>
      </c>
      <c r="S50" s="116">
        <v>661961</v>
      </c>
      <c r="T50" s="130">
        <f t="shared" si="1"/>
        <v>17.819389661928724</v>
      </c>
      <c r="U50" s="85">
        <f t="shared" si="5"/>
        <v>28152710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529354.9</v>
      </c>
      <c r="G51" s="190">
        <f t="shared" si="2"/>
        <v>-0.19221792001028171</v>
      </c>
      <c r="H51" s="190">
        <f t="shared" si="3"/>
        <v>0.57605828796230307</v>
      </c>
      <c r="I51" s="130">
        <f t="shared" si="0"/>
        <v>17.926743169990161</v>
      </c>
      <c r="J51" s="130">
        <f t="shared" si="4"/>
        <v>4.6957794269678832E-2</v>
      </c>
      <c r="K51" s="136"/>
      <c r="L51" s="190"/>
      <c r="M51" s="190"/>
      <c r="N51" s="191"/>
      <c r="O51" s="192"/>
      <c r="P51" s="129" t="s">
        <v>1402</v>
      </c>
      <c r="Q51" s="116">
        <v>10587098</v>
      </c>
      <c r="R51" s="116">
        <v>15346063539</v>
      </c>
      <c r="S51" s="116">
        <v>590575.65</v>
      </c>
      <c r="T51" s="130">
        <f t="shared" si="1"/>
        <v>17.926743169990161</v>
      </c>
      <c r="U51" s="85">
        <f t="shared" si="5"/>
        <v>31921280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1713157.9808080806</v>
      </c>
      <c r="C52" s="188">
        <f>AVERAGE(F50:F52)</f>
        <v>571052.66026936017</v>
      </c>
      <c r="D52" s="190">
        <f>C52/C49-1</f>
        <v>-0.11102583839881774</v>
      </c>
      <c r="E52" s="287">
        <f>C52/C40-1</f>
        <v>0.78957878996619502</v>
      </c>
      <c r="F52" s="136">
        <f>Q52/22</f>
        <v>528484.13636363635</v>
      </c>
      <c r="G52" s="190">
        <f t="shared" si="2"/>
        <v>-1.6449524437455176E-3</v>
      </c>
      <c r="H52" s="190">
        <f t="shared" si="3"/>
        <v>0.15779332621534792</v>
      </c>
      <c r="I52" s="130">
        <f t="shared" si="0"/>
        <v>16.98053112787483</v>
      </c>
      <c r="J52" s="130">
        <f t="shared" si="4"/>
        <v>-1.839222173617705E-2</v>
      </c>
      <c r="K52" s="136">
        <f>R50+R51+R52</f>
        <v>49172641486</v>
      </c>
      <c r="L52" s="190">
        <f>U52/U49-1</f>
        <v>-0.20663448274381957</v>
      </c>
      <c r="M52" s="190">
        <f>K52/K40-1</f>
        <v>0.76086855384393592</v>
      </c>
      <c r="N52" s="191">
        <f>AVERAGE(T50:T52)</f>
        <v>17.575554653264572</v>
      </c>
      <c r="O52" s="192">
        <f>N52/N49-1</f>
        <v>0.11863150694022484</v>
      </c>
      <c r="P52" s="129" t="s">
        <v>1403</v>
      </c>
      <c r="Q52" s="116">
        <v>11626651</v>
      </c>
      <c r="R52" s="116">
        <v>17099921009</v>
      </c>
      <c r="S52" s="116">
        <v>684704.79</v>
      </c>
      <c r="T52" s="130">
        <f t="shared" si="1"/>
        <v>16.98053112787483</v>
      </c>
      <c r="U52" s="85">
        <f t="shared" si="5"/>
        <v>34009490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508402.61904761905</v>
      </c>
      <c r="G53" s="190">
        <f t="shared" si="2"/>
        <v>-3.7998335114073689E-2</v>
      </c>
      <c r="H53" s="190">
        <f t="shared" si="3"/>
        <v>-0.16070299998549609</v>
      </c>
      <c r="I53" s="130">
        <f t="shared" si="0"/>
        <v>18.268702822692035</v>
      </c>
      <c r="J53" s="130">
        <f t="shared" si="4"/>
        <v>-8.8285023284517816E-4</v>
      </c>
      <c r="K53" s="136"/>
      <c r="L53" s="190"/>
      <c r="M53" s="190"/>
      <c r="N53" s="191"/>
      <c r="O53" s="192"/>
      <c r="P53" s="129" t="s">
        <v>1414</v>
      </c>
      <c r="Q53" s="116">
        <v>10676455</v>
      </c>
      <c r="R53" s="116">
        <v>15567796142</v>
      </c>
      <c r="S53" s="116">
        <v>584412.31999999995</v>
      </c>
      <c r="T53" s="130">
        <f t="shared" si="1"/>
        <v>18.268702822692035</v>
      </c>
      <c r="U53" s="85">
        <f t="shared" si="5"/>
        <v>32890204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826152.29411764711</v>
      </c>
      <c r="G54" s="190">
        <f t="shared" si="2"/>
        <v>0.62499614117893909</v>
      </c>
      <c r="H54" s="190">
        <f t="shared" si="3"/>
        <v>-2.6779889513175004E-2</v>
      </c>
      <c r="I54" s="130">
        <f t="shared" si="0"/>
        <v>17.914397034069665</v>
      </c>
      <c r="J54" s="130">
        <f t="shared" si="4"/>
        <v>-9.3139509682088617E-3</v>
      </c>
      <c r="K54" s="136"/>
      <c r="L54" s="190"/>
      <c r="M54" s="190"/>
      <c r="N54" s="191"/>
      <c r="O54" s="192"/>
      <c r="P54" s="129" t="s">
        <v>1417</v>
      </c>
      <c r="Q54" s="116">
        <v>14044589</v>
      </c>
      <c r="R54" s="116">
        <v>20323808077</v>
      </c>
      <c r="S54" s="116">
        <v>783983.35</v>
      </c>
      <c r="T54" s="130">
        <f t="shared" si="1"/>
        <v>17.914397034069665</v>
      </c>
      <c r="U54" s="85">
        <f t="shared" si="5"/>
        <v>36347695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2272615.7226890754</v>
      </c>
      <c r="C55" s="188">
        <f>AVERAGE(F53:F55)</f>
        <v>757538.57422969176</v>
      </c>
      <c r="D55" s="190">
        <f>C55/C52-1</f>
        <v>0.32656517854652489</v>
      </c>
      <c r="E55" s="287">
        <f>C55/C43-1</f>
        <v>4.9810670772798327E-2</v>
      </c>
      <c r="F55" s="136">
        <f>Q55/21</f>
        <v>938060.80952380947</v>
      </c>
      <c r="G55" s="190">
        <f t="shared" si="2"/>
        <v>0.13545748913725841</v>
      </c>
      <c r="H55" s="190">
        <f t="shared" si="3"/>
        <v>0.32092822216601924</v>
      </c>
      <c r="I55" s="130">
        <f>T55</f>
        <v>17.71942169276646</v>
      </c>
      <c r="J55" s="130">
        <f t="shared" si="4"/>
        <v>-1.7108445511383352E-2</v>
      </c>
      <c r="K55" s="136">
        <f>R53+R54+R55</f>
        <v>64833825759</v>
      </c>
      <c r="L55" s="190">
        <f>U55/U52-1</f>
        <v>0.30611546953512092</v>
      </c>
      <c r="M55" s="190">
        <f>K55/K43-1</f>
        <v>6.2065782354534971E-2</v>
      </c>
      <c r="N55" s="191">
        <f>AVERAGE(T53:T55)</f>
        <v>17.967507183176053</v>
      </c>
      <c r="O55" s="192">
        <f>N55/N52-1</f>
        <v>2.2301004869776708E-2</v>
      </c>
      <c r="P55" s="129" t="s">
        <v>1418</v>
      </c>
      <c r="Q55" s="116">
        <v>19699277</v>
      </c>
      <c r="R55" s="116">
        <v>28942221540</v>
      </c>
      <c r="S55" s="116">
        <v>1111733.6299999999</v>
      </c>
      <c r="T55" s="130">
        <f t="shared" si="1"/>
        <v>17.71942169276646</v>
      </c>
      <c r="U55" s="85">
        <f t="shared" si="5"/>
        <v>44420321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1513794.4545454546</v>
      </c>
      <c r="G56" s="190">
        <f t="shared" si="2"/>
        <v>0.61374874547195546</v>
      </c>
      <c r="H56" s="190">
        <f t="shared" si="3"/>
        <v>1.5702714857079658</v>
      </c>
      <c r="I56" s="291">
        <f>T56</f>
        <v>13.967908411965389</v>
      </c>
      <c r="J56" s="130">
        <f t="shared" si="4"/>
        <v>-0.23692138871804047</v>
      </c>
      <c r="K56" s="136"/>
      <c r="L56" s="190"/>
      <c r="M56" s="190"/>
      <c r="N56" s="191"/>
      <c r="O56" s="192"/>
      <c r="P56" s="129" t="s">
        <v>1420</v>
      </c>
      <c r="Q56" s="116">
        <v>33303478</v>
      </c>
      <c r="R56" s="116">
        <v>49543651219</v>
      </c>
      <c r="S56" s="116">
        <v>2384285.25</v>
      </c>
      <c r="T56" s="130">
        <f t="shared" si="1"/>
        <v>13.967908411965389</v>
      </c>
      <c r="U56" s="85">
        <f t="shared" si="5"/>
        <v>67047344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965460.33333333337</v>
      </c>
      <c r="G57" s="254">
        <f t="shared" ref="G57" si="6">F57/F56-1</f>
        <v>-0.36222495039907443</v>
      </c>
      <c r="H57" s="254">
        <f t="shared" ref="H57" si="7">F57/F45-1</f>
        <v>0.38949603381289122</v>
      </c>
      <c r="I57" s="282">
        <f>T57</f>
        <v>16.33044526578335</v>
      </c>
      <c r="J57" s="277">
        <f t="shared" ref="J57" si="8">I57/I45-1</f>
        <v>-5.055851152476698E-2</v>
      </c>
      <c r="K57" s="204"/>
      <c r="L57" s="254"/>
      <c r="M57" s="254"/>
      <c r="N57" s="257"/>
      <c r="O57" s="258"/>
      <c r="P57" s="129" t="s">
        <v>1436</v>
      </c>
      <c r="Q57" s="116">
        <v>11585524</v>
      </c>
      <c r="R57" s="116">
        <v>17067720331</v>
      </c>
      <c r="S57" s="116">
        <v>709443.24</v>
      </c>
      <c r="T57" s="130">
        <f t="shared" ref="T57" si="9">Q57/S57</f>
        <v>16.33044526578335</v>
      </c>
      <c r="U57" s="85">
        <f t="shared" ref="U57" si="10">Q55+Q56+Q57</f>
        <v>64588279</v>
      </c>
      <c r="V57" s="79"/>
      <c r="W57" s="79"/>
      <c r="X57" s="79"/>
      <c r="Y57" s="79"/>
      <c r="Z57" s="79"/>
    </row>
    <row r="58" spans="1:26">
      <c r="B58" s="196">
        <f>SUM(F56:F58)</f>
        <v>2479254.7878787881</v>
      </c>
      <c r="C58" s="196">
        <f>AVERAGE(F56:F58)</f>
        <v>1239627.393939394</v>
      </c>
      <c r="D58" s="197">
        <f>C58/C55-1</f>
        <v>0.63638847724674297</v>
      </c>
      <c r="E58" s="233">
        <f>C58/C46-1</f>
        <v>0.85516762883790198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89309323</v>
      </c>
      <c r="R67" s="212">
        <v>131445197309</v>
      </c>
      <c r="S67" s="213">
        <v>5573857.8099999996</v>
      </c>
    </row>
    <row r="68" spans="16:19" ht="18" thickBot="1">
      <c r="P68" s="180" t="s">
        <v>976</v>
      </c>
      <c r="Q68" s="181">
        <v>10676455</v>
      </c>
      <c r="R68" s="181">
        <v>15567796142</v>
      </c>
      <c r="S68" s="182">
        <v>584412.31999999995</v>
      </c>
    </row>
    <row r="69" spans="16:19" ht="18" thickBot="1">
      <c r="P69" s="180" t="s">
        <v>977</v>
      </c>
      <c r="Q69" s="181">
        <v>14044589</v>
      </c>
      <c r="R69" s="181">
        <v>20323808077</v>
      </c>
      <c r="S69" s="182">
        <v>783983.35</v>
      </c>
    </row>
    <row r="70" spans="16:19" ht="18" thickBot="1">
      <c r="P70" s="180" t="s">
        <v>978</v>
      </c>
      <c r="Q70" s="181">
        <v>19699277</v>
      </c>
      <c r="R70" s="181">
        <v>28942221540</v>
      </c>
      <c r="S70" s="182">
        <v>1111733.6299999999</v>
      </c>
    </row>
    <row r="71" spans="16:19" ht="18" thickBot="1">
      <c r="P71" s="180" t="s">
        <v>979</v>
      </c>
      <c r="Q71" s="181">
        <v>33303478</v>
      </c>
      <c r="R71" s="181">
        <v>49543651219</v>
      </c>
      <c r="S71" s="182">
        <v>2384285.25</v>
      </c>
    </row>
    <row r="72" spans="16:19" ht="18" thickBot="1">
      <c r="P72" s="180" t="s">
        <v>980</v>
      </c>
      <c r="Q72" s="181">
        <v>11585524</v>
      </c>
      <c r="R72" s="181">
        <v>17067720331</v>
      </c>
      <c r="S72" s="182">
        <v>709443.24</v>
      </c>
    </row>
    <row r="73" spans="16:19" ht="18" thickBot="1">
      <c r="P73" s="180" t="s">
        <v>975</v>
      </c>
      <c r="Q73" s="181">
        <v>159510336</v>
      </c>
      <c r="R73" s="181">
        <v>226376050380</v>
      </c>
      <c r="S73" s="182">
        <v>9512778.5199999996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2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Z72"/>
  <sheetViews>
    <sheetView zoomScale="115" zoomScaleNormal="115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1902301010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2884768.2</v>
      </c>
      <c r="G5" s="90"/>
      <c r="H5" s="90"/>
      <c r="I5" s="130">
        <f t="shared" ref="I5:I49" si="0">T5</f>
        <v>3.6004097570569962</v>
      </c>
      <c r="J5" s="130"/>
      <c r="L5" s="80"/>
      <c r="M5" s="80"/>
      <c r="P5" s="129" t="s">
        <v>0</v>
      </c>
      <c r="Q5" s="116">
        <v>57695364</v>
      </c>
      <c r="R5" s="116">
        <v>68056484397</v>
      </c>
      <c r="S5" s="116">
        <v>16024666.050000001</v>
      </c>
      <c r="T5" s="130">
        <f t="shared" ref="T5:T17" si="1">Q5/S5</f>
        <v>3.6004097570569962</v>
      </c>
      <c r="U5" s="85"/>
    </row>
    <row r="6" spans="1:21" ht="15" hidden="1" customHeight="1">
      <c r="A6" s="129" t="s">
        <v>1</v>
      </c>
      <c r="C6" s="79"/>
      <c r="F6" s="78">
        <f>Q6/18</f>
        <v>2927932.111111111</v>
      </c>
      <c r="G6" s="90">
        <f t="shared" ref="G6:G16" si="2">F6/F5-1</f>
        <v>1.4962696521374275E-2</v>
      </c>
      <c r="H6" s="90"/>
      <c r="I6" s="130">
        <f t="shared" si="0"/>
        <v>3.5544699201427639</v>
      </c>
      <c r="J6" s="130"/>
      <c r="P6" s="129" t="s">
        <v>1</v>
      </c>
      <c r="Q6" s="116">
        <v>52702778</v>
      </c>
      <c r="R6" s="116">
        <v>62607719988</v>
      </c>
      <c r="S6" s="116">
        <v>14827183.57</v>
      </c>
      <c r="T6" s="130">
        <f t="shared" si="1"/>
        <v>3.5544699201427639</v>
      </c>
      <c r="U6" s="85"/>
    </row>
    <row r="7" spans="1:21" ht="15" hidden="1" customHeight="1">
      <c r="A7" s="129" t="s">
        <v>2</v>
      </c>
      <c r="B7" s="131">
        <f>F5+F6+F7</f>
        <v>9064238.3111111112</v>
      </c>
      <c r="C7" s="131">
        <f>AVERAGE(F5:F7)</f>
        <v>3021412.7703703702</v>
      </c>
      <c r="F7" s="78">
        <f>Q7/22</f>
        <v>3251538</v>
      </c>
      <c r="G7" s="90">
        <f t="shared" si="2"/>
        <v>0.11052369952870422</v>
      </c>
      <c r="H7" s="90"/>
      <c r="I7" s="130">
        <f t="shared" si="0"/>
        <v>3.5557367923623864</v>
      </c>
      <c r="J7" s="130"/>
      <c r="K7" s="79">
        <f>R5+R6+R7</f>
        <v>216794793626</v>
      </c>
      <c r="N7" s="88">
        <f>AVERAGE(T5:T7)</f>
        <v>3.570205489854049</v>
      </c>
      <c r="P7" s="129" t="s">
        <v>2</v>
      </c>
      <c r="Q7" s="116">
        <v>71533836</v>
      </c>
      <c r="R7" s="116">
        <v>86130589241</v>
      </c>
      <c r="S7" s="116">
        <v>20117865.91</v>
      </c>
      <c r="T7" s="130">
        <f t="shared" si="1"/>
        <v>3.5557367923623864</v>
      </c>
      <c r="U7" s="85">
        <f>Q5+Q6+Q7</f>
        <v>181931978</v>
      </c>
    </row>
    <row r="8" spans="1:21" ht="15" hidden="1" customHeight="1">
      <c r="A8" s="129" t="s">
        <v>3</v>
      </c>
      <c r="C8" s="79"/>
      <c r="F8" s="78">
        <f>Q8/21</f>
        <v>2732101.7619047621</v>
      </c>
      <c r="G8" s="90">
        <f t="shared" si="2"/>
        <v>-0.15975093574032895</v>
      </c>
      <c r="H8" s="90"/>
      <c r="I8" s="130">
        <f t="shared" si="0"/>
        <v>3.5933840825044427</v>
      </c>
      <c r="J8" s="130"/>
      <c r="K8" s="78"/>
      <c r="P8" s="129" t="s">
        <v>3</v>
      </c>
      <c r="Q8" s="116">
        <v>57374137</v>
      </c>
      <c r="R8" s="116">
        <v>69562908596</v>
      </c>
      <c r="S8" s="116">
        <v>15966602.98</v>
      </c>
      <c r="T8" s="130">
        <f t="shared" si="1"/>
        <v>3.5933840825044427</v>
      </c>
      <c r="U8" s="85"/>
    </row>
    <row r="9" spans="1:21" ht="15" hidden="1" customHeight="1">
      <c r="A9" s="129" t="s">
        <v>4</v>
      </c>
      <c r="C9" s="79"/>
      <c r="F9" s="78">
        <f>Q9/21</f>
        <v>3649148.9523809524</v>
      </c>
      <c r="G9" s="90">
        <f t="shared" si="2"/>
        <v>0.33565630799814894</v>
      </c>
      <c r="H9" s="90"/>
      <c r="I9" s="130">
        <f t="shared" si="0"/>
        <v>3.5247055569973806</v>
      </c>
      <c r="J9" s="130"/>
      <c r="K9" s="78"/>
      <c r="P9" s="129" t="s">
        <v>4</v>
      </c>
      <c r="Q9" s="116">
        <v>76632128</v>
      </c>
      <c r="R9" s="116">
        <v>96250065753</v>
      </c>
      <c r="S9" s="116">
        <v>21741426.84</v>
      </c>
      <c r="T9" s="130">
        <f t="shared" si="1"/>
        <v>3.5247055569973806</v>
      </c>
      <c r="U9" s="85"/>
    </row>
    <row r="10" spans="1:21" ht="15" hidden="1" customHeight="1">
      <c r="A10" s="129" t="s">
        <v>5</v>
      </c>
      <c r="B10" s="131">
        <f>F8+F9+F10</f>
        <v>9588179.6190476194</v>
      </c>
      <c r="C10" s="131">
        <f>AVERAGE(F8:F10)</f>
        <v>3196059.8730158731</v>
      </c>
      <c r="D10" s="90">
        <f>C10/C7-1</f>
        <v>5.7803125861579652E-2</v>
      </c>
      <c r="E10" s="286"/>
      <c r="F10" s="78">
        <f>Q10/21</f>
        <v>3206928.9047619049</v>
      </c>
      <c r="G10" s="90">
        <f t="shared" si="2"/>
        <v>-0.12118443324450023</v>
      </c>
      <c r="H10" s="90"/>
      <c r="I10" s="130">
        <f t="shared" si="0"/>
        <v>3.5561682481549561</v>
      </c>
      <c r="J10" s="130"/>
      <c r="K10" s="79">
        <f>R8+R9+R10</f>
        <v>250442033141</v>
      </c>
      <c r="L10" s="87">
        <f>U10/U7-1</f>
        <v>0.10674205938661308</v>
      </c>
      <c r="N10" s="88">
        <f>AVERAGE(T8:T10)</f>
        <v>3.5580859625522598</v>
      </c>
      <c r="O10" s="89">
        <f>N10/N7-1</f>
        <v>-3.3946301791958344E-3</v>
      </c>
      <c r="P10" s="129" t="s">
        <v>5</v>
      </c>
      <c r="Q10" s="116">
        <v>67345507</v>
      </c>
      <c r="R10" s="116">
        <v>84629058792</v>
      </c>
      <c r="S10" s="116">
        <v>18937660.510000002</v>
      </c>
      <c r="T10" s="130">
        <f t="shared" si="1"/>
        <v>3.5561682481549561</v>
      </c>
      <c r="U10" s="85">
        <f>Q8+Q9+Q10</f>
        <v>201351772</v>
      </c>
    </row>
    <row r="11" spans="1:21" ht="15" hidden="1" customHeight="1">
      <c r="A11" s="129" t="s">
        <v>6</v>
      </c>
      <c r="C11" s="79"/>
      <c r="F11" s="78">
        <f>Q11/21</f>
        <v>2859879.7619047621</v>
      </c>
      <c r="G11" s="90">
        <f t="shared" si="2"/>
        <v>-0.1082185334204997</v>
      </c>
      <c r="H11" s="90"/>
      <c r="I11" s="130">
        <f t="shared" si="0"/>
        <v>3.5753524778104007</v>
      </c>
      <c r="J11" s="130"/>
      <c r="K11" s="78"/>
      <c r="O11" s="89"/>
      <c r="P11" s="129" t="s">
        <v>6</v>
      </c>
      <c r="Q11" s="116">
        <v>60057475</v>
      </c>
      <c r="R11" s="116">
        <v>77426720510</v>
      </c>
      <c r="S11" s="116">
        <v>16797637.539999999</v>
      </c>
      <c r="T11" s="130">
        <f t="shared" si="1"/>
        <v>3.5753524778104007</v>
      </c>
      <c r="U11" s="85"/>
    </row>
    <row r="12" spans="1:21" ht="15" hidden="1" customHeight="1">
      <c r="A12" s="129" t="s">
        <v>7</v>
      </c>
      <c r="C12" s="79"/>
      <c r="F12" s="78">
        <f>Q12/22</f>
        <v>2754705.7727272729</v>
      </c>
      <c r="G12" s="90">
        <f t="shared" si="2"/>
        <v>-3.6775668186637467E-2</v>
      </c>
      <c r="H12" s="90"/>
      <c r="I12" s="130">
        <f t="shared" si="0"/>
        <v>3.5640551703862084</v>
      </c>
      <c r="J12" s="130"/>
      <c r="K12" s="78"/>
      <c r="O12" s="89"/>
      <c r="P12" s="129" t="s">
        <v>7</v>
      </c>
      <c r="Q12" s="116">
        <v>60603527</v>
      </c>
      <c r="R12" s="116">
        <v>78696111594</v>
      </c>
      <c r="S12" s="116">
        <v>17004093.399999999</v>
      </c>
      <c r="T12" s="130">
        <f t="shared" si="1"/>
        <v>3.5640551703862084</v>
      </c>
      <c r="U12" s="85"/>
    </row>
    <row r="13" spans="1:21" ht="15" hidden="1" customHeight="1">
      <c r="A13" s="129" t="s">
        <v>96</v>
      </c>
      <c r="B13" s="131">
        <f>F11+F12+F13</f>
        <v>8824148.3346320353</v>
      </c>
      <c r="C13" s="131">
        <f>AVERAGE(F11:F13)</f>
        <v>2941382.7782106786</v>
      </c>
      <c r="D13" s="90">
        <f>C13/C10-1</f>
        <v>-7.9684707084312412E-2</v>
      </c>
      <c r="E13" s="286"/>
      <c r="F13" s="78">
        <f>Q13/20</f>
        <v>3209562.8</v>
      </c>
      <c r="G13" s="90">
        <f t="shared" si="2"/>
        <v>0.16512000365919288</v>
      </c>
      <c r="H13" s="90"/>
      <c r="I13" s="130">
        <f t="shared" si="0"/>
        <v>3.7012164865426498</v>
      </c>
      <c r="J13" s="130"/>
      <c r="K13" s="78">
        <f>R11+R12+R13</f>
        <v>243947769105</v>
      </c>
      <c r="L13" s="87">
        <f>U13/U10-1</f>
        <v>-8.1943723842668792E-2</v>
      </c>
      <c r="N13" s="88">
        <f>AVERAGE(T11:T13)</f>
        <v>3.6135413782464201</v>
      </c>
      <c r="O13" s="89">
        <f>N13/N10-1</f>
        <v>1.5585743649201067E-2</v>
      </c>
      <c r="P13" s="129" t="s">
        <v>96</v>
      </c>
      <c r="Q13" s="116">
        <v>64191256</v>
      </c>
      <c r="R13" s="116">
        <v>87824937001</v>
      </c>
      <c r="S13" s="116">
        <v>17343285.98</v>
      </c>
      <c r="T13" s="130">
        <f t="shared" si="1"/>
        <v>3.7012164865426498</v>
      </c>
      <c r="U13" s="85">
        <f>Q11+Q12+Q13</f>
        <v>184852258</v>
      </c>
    </row>
    <row r="14" spans="1:21" ht="15" hidden="1" customHeight="1">
      <c r="A14" s="129" t="s">
        <v>97</v>
      </c>
      <c r="C14" s="79"/>
      <c r="F14" s="78">
        <f>Q14/20</f>
        <v>3083808.4</v>
      </c>
      <c r="G14" s="90">
        <f t="shared" si="2"/>
        <v>-3.9181161995023084E-2</v>
      </c>
      <c r="H14" s="90"/>
      <c r="I14" s="130">
        <f t="shared" si="0"/>
        <v>3.4149036705118028</v>
      </c>
      <c r="J14" s="130"/>
      <c r="O14" s="89"/>
      <c r="P14" s="129" t="s">
        <v>97</v>
      </c>
      <c r="Q14" s="116">
        <v>61676168</v>
      </c>
      <c r="R14" s="116">
        <v>87942964436</v>
      </c>
      <c r="S14" s="116">
        <v>18060880.760000002</v>
      </c>
      <c r="T14" s="130">
        <f t="shared" si="1"/>
        <v>3.4149036705118028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3005357.1818181816</v>
      </c>
      <c r="G15" s="90">
        <f t="shared" si="2"/>
        <v>-2.5439718687392587E-2</v>
      </c>
      <c r="H15" s="90"/>
      <c r="I15" s="130">
        <f t="shared" si="0"/>
        <v>3.4067147069191397</v>
      </c>
      <c r="J15" s="130"/>
      <c r="O15" s="89"/>
      <c r="P15" s="129" t="s">
        <v>98</v>
      </c>
      <c r="Q15" s="116">
        <v>66117858</v>
      </c>
      <c r="R15" s="116">
        <v>91522523679</v>
      </c>
      <c r="S15" s="116">
        <v>19408099.5</v>
      </c>
      <c r="T15" s="130">
        <f t="shared" si="1"/>
        <v>3.4067147069191397</v>
      </c>
      <c r="U15" s="78"/>
    </row>
    <row r="16" spans="1:21" ht="15" hidden="1" customHeight="1">
      <c r="A16" s="129" t="s">
        <v>99</v>
      </c>
      <c r="B16" s="131">
        <f>F14+F15+F16</f>
        <v>9248227.8545454554</v>
      </c>
      <c r="C16" s="131">
        <f>AVERAGE(F14:F16)</f>
        <v>3082742.6181818186</v>
      </c>
      <c r="D16" s="90">
        <f>C16/C13-1</f>
        <v>4.8058974513046193E-2</v>
      </c>
      <c r="E16" s="286"/>
      <c r="F16" s="78">
        <f>Q16/22</f>
        <v>3159062.2727272729</v>
      </c>
      <c r="G16" s="90">
        <f t="shared" si="2"/>
        <v>5.1143701600254721E-2</v>
      </c>
      <c r="H16" s="90"/>
      <c r="I16" s="130">
        <f t="shared" si="0"/>
        <v>3.5243469068500191</v>
      </c>
      <c r="J16" s="130"/>
      <c r="K16" s="78">
        <f>R14+R15+R16</f>
        <v>270664525503</v>
      </c>
      <c r="L16" s="87">
        <f>U16/U13-1</f>
        <v>6.7303143248593766E-2</v>
      </c>
      <c r="N16" s="88">
        <f>AVERAGE(T14:T16)</f>
        <v>3.4486550947603205</v>
      </c>
      <c r="O16" s="89">
        <f>N16/N13-1</f>
        <v>-4.5630108037150952E-2</v>
      </c>
      <c r="P16" s="129" t="s">
        <v>99</v>
      </c>
      <c r="Q16" s="116">
        <v>69499370</v>
      </c>
      <c r="R16" s="116">
        <v>91199037388</v>
      </c>
      <c r="S16" s="116">
        <v>19719786.91</v>
      </c>
      <c r="T16" s="130">
        <f t="shared" si="1"/>
        <v>3.5243469068500191</v>
      </c>
      <c r="U16" s="85">
        <f>Q14+Q15+Q16</f>
        <v>197293396</v>
      </c>
    </row>
    <row r="17" spans="1:21" ht="15" hidden="1" customHeight="1">
      <c r="A17" s="129" t="s">
        <v>100</v>
      </c>
      <c r="C17" s="79"/>
      <c r="F17" s="78">
        <f>Q17/20</f>
        <v>3075477.6</v>
      </c>
      <c r="G17" s="90">
        <f t="shared" ref="G17:G22" si="3">F17/F16-1</f>
        <v>-2.6458697395386532E-2</v>
      </c>
      <c r="H17" s="90">
        <f t="shared" ref="H17:H22" si="4">F17/F5-1</f>
        <v>6.6109089804858412E-2</v>
      </c>
      <c r="I17" s="130">
        <f t="shared" si="0"/>
        <v>3.6544473460732703</v>
      </c>
      <c r="J17" s="130">
        <f t="shared" ref="J17:J49" si="5">I17/I5-1</f>
        <v>1.5008733078327507E-2</v>
      </c>
      <c r="O17" s="89"/>
      <c r="P17" s="129" t="s">
        <v>100</v>
      </c>
      <c r="Q17" s="116">
        <v>61509552</v>
      </c>
      <c r="R17" s="116">
        <v>77285094781</v>
      </c>
      <c r="S17" s="116">
        <v>16831423.789999999</v>
      </c>
      <c r="T17" s="130">
        <f t="shared" si="1"/>
        <v>3.6544473460732703</v>
      </c>
      <c r="U17" s="78"/>
    </row>
    <row r="18" spans="1:21" ht="15" hidden="1" customHeight="1">
      <c r="A18" s="129" t="s">
        <v>106</v>
      </c>
      <c r="C18" s="79"/>
      <c r="F18" s="78">
        <f>Q18/20</f>
        <v>3536047.6</v>
      </c>
      <c r="G18" s="90">
        <f t="shared" si="3"/>
        <v>0.1497556021867954</v>
      </c>
      <c r="H18" s="90">
        <f t="shared" si="4"/>
        <v>0.20769453177591513</v>
      </c>
      <c r="I18" s="130">
        <f t="shared" si="0"/>
        <v>3.7366643562500013</v>
      </c>
      <c r="J18" s="130">
        <f t="shared" si="5"/>
        <v>5.1257835964446663E-2</v>
      </c>
      <c r="O18" s="89"/>
      <c r="P18" s="129" t="s">
        <v>106</v>
      </c>
      <c r="Q18" s="116">
        <v>70720952</v>
      </c>
      <c r="R18" s="116">
        <v>88684990789</v>
      </c>
      <c r="S18" s="116">
        <v>18926225.440000001</v>
      </c>
      <c r="T18" s="130">
        <f t="shared" ref="T18" si="6">Q18/S18</f>
        <v>3.7366643562500013</v>
      </c>
      <c r="U18" s="78"/>
    </row>
    <row r="19" spans="1:21" hidden="1">
      <c r="A19" s="129" t="s">
        <v>114</v>
      </c>
      <c r="B19" s="131">
        <f>SUM(F17:F19)</f>
        <v>10049602.836363636</v>
      </c>
      <c r="C19" s="131">
        <f>AVERAGE(F17:F19)</f>
        <v>3349867.6121212118</v>
      </c>
      <c r="D19" s="90">
        <f>C19/C16-1</f>
        <v>8.665173419406047E-2</v>
      </c>
      <c r="E19" s="286">
        <f>C19/C7-1</f>
        <v>0.10870902677444461</v>
      </c>
      <c r="F19" s="78">
        <f>Q19/22</f>
        <v>3438077.6363636362</v>
      </c>
      <c r="G19" s="90">
        <f t="shared" si="3"/>
        <v>-2.7706064713711398E-2</v>
      </c>
      <c r="H19" s="90">
        <f t="shared" si="4"/>
        <v>5.7369662099485241E-2</v>
      </c>
      <c r="I19" s="130">
        <f t="shared" si="0"/>
        <v>3.8516193045251166</v>
      </c>
      <c r="J19" s="130">
        <f t="shared" si="5"/>
        <v>8.3212714956370393E-2</v>
      </c>
      <c r="K19" s="78">
        <f>R17+R18+R19</f>
        <v>264825286130</v>
      </c>
      <c r="L19" s="87">
        <f>U19/U16-1</f>
        <v>5.3599442324972602E-2</v>
      </c>
      <c r="M19" s="87">
        <f>U19/U7-1</f>
        <v>0.14256006165117374</v>
      </c>
      <c r="N19" s="88">
        <f>AVERAGE(T17:T19)</f>
        <v>3.7475770022827959</v>
      </c>
      <c r="O19" s="89">
        <f>N19/N16-1</f>
        <v>8.6677820573196618E-2</v>
      </c>
      <c r="P19" s="129" t="s">
        <v>115</v>
      </c>
      <c r="Q19" s="116">
        <v>75637708</v>
      </c>
      <c r="R19" s="116">
        <v>98855200560</v>
      </c>
      <c r="S19" s="116">
        <v>19637898.25</v>
      </c>
      <c r="T19" s="130">
        <f t="shared" ref="T19" si="7">Q19/S19</f>
        <v>3.8516193045251166</v>
      </c>
      <c r="U19" s="85">
        <f>Q17+Q18+Q19</f>
        <v>207868212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3697658.7</v>
      </c>
      <c r="G20" s="90">
        <f t="shared" si="3"/>
        <v>7.5501803941494527E-2</v>
      </c>
      <c r="H20" s="90">
        <f t="shared" si="4"/>
        <v>0.35341177680807645</v>
      </c>
      <c r="I20" s="130">
        <f t="shared" si="0"/>
        <v>3.9865318062349311</v>
      </c>
      <c r="J20" s="130">
        <f t="shared" si="5"/>
        <v>0.10940876753048911</v>
      </c>
      <c r="O20" s="89"/>
      <c r="P20" s="129" t="s">
        <v>132</v>
      </c>
      <c r="Q20" s="116">
        <v>73953174</v>
      </c>
      <c r="R20" s="116">
        <v>97006722877</v>
      </c>
      <c r="S20" s="116">
        <v>18550754.789999999</v>
      </c>
      <c r="T20" s="130">
        <f t="shared" ref="T20" si="8">Q20/S20</f>
        <v>3.9865318062349311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3574814.5714285714</v>
      </c>
      <c r="G21" s="90">
        <f t="shared" si="3"/>
        <v>-3.3222138260469714E-2</v>
      </c>
      <c r="H21" s="90">
        <f t="shared" si="4"/>
        <v>-2.0370333445523081E-2</v>
      </c>
      <c r="I21" s="130">
        <f t="shared" si="0"/>
        <v>3.96467748225488</v>
      </c>
      <c r="J21" s="130">
        <f t="shared" si="5"/>
        <v>0.12482515720612475</v>
      </c>
      <c r="O21" s="89"/>
      <c r="P21" s="129" t="s">
        <v>141</v>
      </c>
      <c r="Q21" s="116">
        <v>75071106</v>
      </c>
      <c r="R21" s="116">
        <v>100017970024</v>
      </c>
      <c r="S21" s="116">
        <v>18934984.329999998</v>
      </c>
      <c r="T21" s="130">
        <f t="shared" ref="T21" si="9">Q21/S21</f>
        <v>3.96467748225488</v>
      </c>
      <c r="U21" s="78"/>
    </row>
    <row r="22" spans="1:21" hidden="1">
      <c r="A22" s="129" t="s">
        <v>156</v>
      </c>
      <c r="B22" s="131">
        <f>SUM(F20:F22)</f>
        <v>11518647.223809525</v>
      </c>
      <c r="C22" s="131">
        <f>AVERAGE(F20:F22)</f>
        <v>3839549.0746031753</v>
      </c>
      <c r="D22" s="90">
        <f>C22/C19-1</f>
        <v>0.14617934771812857</v>
      </c>
      <c r="E22" s="286">
        <f>C22/C10-1</f>
        <v>0.20133828124442843</v>
      </c>
      <c r="F22" s="78">
        <f>Q22/21</f>
        <v>4246173.9523809524</v>
      </c>
      <c r="G22" s="90">
        <f t="shared" si="3"/>
        <v>0.18780257480154883</v>
      </c>
      <c r="H22" s="90">
        <f t="shared" si="4"/>
        <v>0.32406239068034637</v>
      </c>
      <c r="I22" s="130">
        <f t="shared" si="0"/>
        <v>3.9403065546655407</v>
      </c>
      <c r="J22" s="130">
        <f t="shared" si="5"/>
        <v>0.10802028467294456</v>
      </c>
      <c r="K22" s="78">
        <f>R20+R21+R22</f>
        <v>312789286845</v>
      </c>
      <c r="L22" s="87">
        <f>U22/U19-1</f>
        <v>0.14588917039417271</v>
      </c>
      <c r="M22" s="87">
        <f>U22/U10-1</f>
        <v>0.18297410861623797</v>
      </c>
      <c r="N22" s="88">
        <f>AVERAGE(T20:T22)</f>
        <v>3.9638386143851174</v>
      </c>
      <c r="O22" s="89">
        <f>N22/N19-1</f>
        <v>5.7707049640497887E-2</v>
      </c>
      <c r="P22" s="129" t="s">
        <v>156</v>
      </c>
      <c r="Q22" s="116">
        <v>89169653</v>
      </c>
      <c r="R22" s="116">
        <v>115764593944</v>
      </c>
      <c r="S22" s="116">
        <v>22630130.870000001</v>
      </c>
      <c r="T22" s="130">
        <f t="shared" ref="T22:T23" si="10">Q22/S22</f>
        <v>3.9403065546655407</v>
      </c>
      <c r="U22" s="85">
        <f>Q20+Q21+Q22</f>
        <v>238193933</v>
      </c>
    </row>
    <row r="23" spans="1:21" hidden="1">
      <c r="A23" s="129" t="s">
        <v>189</v>
      </c>
      <c r="B23" s="131"/>
      <c r="C23" s="131"/>
      <c r="F23" s="78">
        <f>Q23/21</f>
        <v>3615336.2380952379</v>
      </c>
      <c r="G23" s="90">
        <f t="shared" ref="G23" si="11">F23/F22-1</f>
        <v>-0.14856614951725788</v>
      </c>
      <c r="H23" s="90">
        <f t="shared" ref="H23" si="12">F23/F11-1</f>
        <v>0.26415672653570588</v>
      </c>
      <c r="I23" s="130">
        <f t="shared" si="0"/>
        <v>3.9410101343926982</v>
      </c>
      <c r="J23" s="130">
        <f t="shared" si="5"/>
        <v>0.10227177847545588</v>
      </c>
      <c r="O23" s="89"/>
      <c r="P23" s="129" t="s">
        <v>189</v>
      </c>
      <c r="Q23" s="116">
        <v>75922061</v>
      </c>
      <c r="R23" s="116">
        <v>98191793882</v>
      </c>
      <c r="S23" s="116">
        <v>19264619.579999998</v>
      </c>
      <c r="T23" s="130">
        <f t="shared" si="10"/>
        <v>3.9410101343926982</v>
      </c>
      <c r="U23" s="78"/>
    </row>
    <row r="24" spans="1:21" hidden="1">
      <c r="A24" s="129" t="s">
        <v>204</v>
      </c>
      <c r="B24" s="131"/>
      <c r="C24" s="131"/>
      <c r="F24" s="78">
        <f>Q24/22</f>
        <v>3893884.5454545454</v>
      </c>
      <c r="G24" s="90">
        <f t="shared" ref="G24" si="13">F24/F23-1</f>
        <v>7.7046307456609453E-2</v>
      </c>
      <c r="H24" s="90">
        <f t="shared" ref="H24" si="14">F24/F12-1</f>
        <v>0.4135391822987462</v>
      </c>
      <c r="I24" s="130">
        <f t="shared" si="0"/>
        <v>4.0544861590401906</v>
      </c>
      <c r="J24" s="130">
        <f t="shared" si="5"/>
        <v>0.13760476906445818</v>
      </c>
      <c r="O24" s="89"/>
      <c r="P24" s="129" t="s">
        <v>204</v>
      </c>
      <c r="Q24" s="116">
        <v>85665460</v>
      </c>
      <c r="R24" s="116">
        <v>112335487054</v>
      </c>
      <c r="S24" s="116">
        <v>21128561.460000001</v>
      </c>
      <c r="T24" s="130">
        <f t="shared" ref="T24" si="15">Q24/S24</f>
        <v>4.0544861590401906</v>
      </c>
      <c r="U24" s="78"/>
    </row>
    <row r="25" spans="1:21" s="79" customFormat="1" ht="13.2" hidden="1">
      <c r="A25" s="129" t="s">
        <v>218</v>
      </c>
      <c r="B25" s="131">
        <f>SUM(F23:F25)</f>
        <v>12225306.362497151</v>
      </c>
      <c r="C25" s="131">
        <f>AVERAGE(F23:F25)</f>
        <v>4075102.1208323836</v>
      </c>
      <c r="D25" s="90">
        <f>C25/C22-1</f>
        <v>6.1349143259369132E-2</v>
      </c>
      <c r="E25" s="286">
        <f>C25/C13-1</f>
        <v>0.38543754013252807</v>
      </c>
      <c r="F25" s="78">
        <f>Q25/19</f>
        <v>4716085.5789473681</v>
      </c>
      <c r="G25" s="90">
        <f t="shared" ref="G25" si="16">F25/F24-1</f>
        <v>0.21115187774445032</v>
      </c>
      <c r="H25" s="90">
        <f t="shared" ref="H25" si="17">F25/F13-1</f>
        <v>0.46938566802536741</v>
      </c>
      <c r="I25" s="130">
        <f t="shared" si="0"/>
        <v>3.9385009377140188</v>
      </c>
      <c r="J25" s="130">
        <f t="shared" si="5"/>
        <v>6.4109854701587476E-2</v>
      </c>
      <c r="K25" s="78">
        <f>R23+R24+R25</f>
        <v>329458929936</v>
      </c>
      <c r="L25" s="90">
        <f>U25/U22-1</f>
        <v>5.4574076830076201E-2</v>
      </c>
      <c r="M25" s="90">
        <f>U25/U13-1</f>
        <v>0.35888600830615758</v>
      </c>
      <c r="N25" s="88">
        <f>AVERAGE(T23:T25)</f>
        <v>3.977999077048969</v>
      </c>
      <c r="O25" s="91">
        <f>N25/N22-1</f>
        <v>3.5724115034507786E-3</v>
      </c>
      <c r="P25" s="129" t="s">
        <v>220</v>
      </c>
      <c r="Q25" s="116">
        <v>89605626</v>
      </c>
      <c r="R25" s="116">
        <v>118931649000</v>
      </c>
      <c r="S25" s="116">
        <v>22751200.879999999</v>
      </c>
      <c r="T25" s="130">
        <f t="shared" ref="T25" si="18">Q25/S25</f>
        <v>3.9385009377140188</v>
      </c>
      <c r="U25" s="85">
        <f>Q23+Q24+Q25</f>
        <v>251193147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4629266.5789473681</v>
      </c>
      <c r="G26" s="90">
        <f t="shared" ref="G26" si="19">F26/F25-1</f>
        <v>-1.8409123105729952E-2</v>
      </c>
      <c r="H26" s="90">
        <f t="shared" ref="H26" si="20">F26/F14-1</f>
        <v>0.50115246425405946</v>
      </c>
      <c r="I26" s="130">
        <f t="shared" si="0"/>
        <v>3.8736962308984229</v>
      </c>
      <c r="J26" s="130">
        <f t="shared" si="5"/>
        <v>0.13435007386836761</v>
      </c>
      <c r="L26" s="90"/>
      <c r="M26" s="90"/>
      <c r="P26" s="129" t="s">
        <v>312</v>
      </c>
      <c r="Q26" s="116">
        <v>87956065</v>
      </c>
      <c r="R26" s="116">
        <v>118587860940</v>
      </c>
      <c r="S26" s="116">
        <v>22705978.93</v>
      </c>
      <c r="T26" s="130">
        <f t="shared" ref="T26" si="21">Q26/S26</f>
        <v>3.8736962308984229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4126270.6818181816</v>
      </c>
      <c r="G27" s="90">
        <f t="shared" ref="G27" si="22">F27/F26-1</f>
        <v>-0.10865563444038273</v>
      </c>
      <c r="H27" s="90">
        <f t="shared" ref="H27" si="23">F27/F15-1</f>
        <v>0.372971807404892</v>
      </c>
      <c r="I27" s="130">
        <f t="shared" si="0"/>
        <v>3.8730801691364172</v>
      </c>
      <c r="J27" s="130">
        <f t="shared" si="5"/>
        <v>0.1368959547067663</v>
      </c>
      <c r="L27" s="90"/>
      <c r="M27" s="90"/>
      <c r="P27" s="129" t="s">
        <v>375</v>
      </c>
      <c r="Q27" s="116">
        <v>90777955</v>
      </c>
      <c r="R27" s="116">
        <v>120168885949</v>
      </c>
      <c r="S27" s="116">
        <v>23438181.25</v>
      </c>
      <c r="T27" s="130">
        <f t="shared" ref="T27" si="24">Q27/S27</f>
        <v>3.8730801691364172</v>
      </c>
      <c r="U27" s="78"/>
    </row>
    <row r="28" spans="1:21" s="79" customFormat="1" ht="13.2" hidden="1">
      <c r="A28" s="123" t="s">
        <v>413</v>
      </c>
      <c r="B28" s="131">
        <f>SUM(F26:F28)</f>
        <v>12778728.208133969</v>
      </c>
      <c r="C28" s="131">
        <f>AVERAGE(F26:F28)</f>
        <v>4259576.0693779895</v>
      </c>
      <c r="D28" s="90">
        <f>C28/C25-1</f>
        <v>4.5268546180120106E-2</v>
      </c>
      <c r="E28" s="286">
        <f>C28/C16-1</f>
        <v>0.3817488506031228</v>
      </c>
      <c r="F28" s="78">
        <f>Q28/19</f>
        <v>4023190.9473684211</v>
      </c>
      <c r="G28" s="90">
        <f t="shared" ref="G28" si="25">F28/F27-1</f>
        <v>-2.4981331182165611E-2</v>
      </c>
      <c r="H28" s="90">
        <f t="shared" ref="H28" si="26">F28/F16-1</f>
        <v>0.2735396139865045</v>
      </c>
      <c r="I28" s="130">
        <f t="shared" si="0"/>
        <v>3.9375475169777716</v>
      </c>
      <c r="J28" s="130">
        <f t="shared" si="5"/>
        <v>0.11724175316698937</v>
      </c>
      <c r="K28" s="78">
        <f>R26+R27+R28</f>
        <v>338407172727</v>
      </c>
      <c r="L28" s="90">
        <f>U28/U25-1</f>
        <v>1.5850356777448171E-2</v>
      </c>
      <c r="M28" s="90">
        <f>U28/U16-1</f>
        <v>0.2933765304541669</v>
      </c>
      <c r="N28" s="88">
        <f>AVERAGE(T26:T28)</f>
        <v>3.8947746390042037</v>
      </c>
      <c r="O28" s="91">
        <f>N28/N25-1</f>
        <v>-2.0921180833079589E-2</v>
      </c>
      <c r="P28" s="129" t="s">
        <v>413</v>
      </c>
      <c r="Q28" s="116">
        <v>76440628</v>
      </c>
      <c r="R28" s="116">
        <v>99650425838</v>
      </c>
      <c r="S28" s="116">
        <v>19413258.550000001</v>
      </c>
      <c r="T28" s="130">
        <f t="shared" ref="T28" si="27">Q28/S28</f>
        <v>3.9375475169777716</v>
      </c>
      <c r="U28" s="85">
        <f>Q26+Q27+Q28</f>
        <v>255174648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3897773.2727272729</v>
      </c>
      <c r="G29" s="190">
        <f t="shared" ref="G29" si="28">F29/F28-1</f>
        <v>-3.1173681856483615E-2</v>
      </c>
      <c r="H29" s="190">
        <f t="shared" ref="H29" si="29">F29/F17-1</f>
        <v>0.26737169951336104</v>
      </c>
      <c r="I29" s="130">
        <f t="shared" si="0"/>
        <v>4.0404482498133261</v>
      </c>
      <c r="J29" s="130">
        <f t="shared" si="5"/>
        <v>0.10562497340529942</v>
      </c>
      <c r="K29" s="136"/>
      <c r="L29" s="190"/>
      <c r="M29" s="190"/>
      <c r="N29" s="191"/>
      <c r="O29" s="192"/>
      <c r="P29" s="129" t="s">
        <v>427</v>
      </c>
      <c r="Q29" s="116">
        <v>85751012</v>
      </c>
      <c r="R29" s="116">
        <v>112761937248</v>
      </c>
      <c r="S29" s="116">
        <v>21223143.25</v>
      </c>
      <c r="T29" s="130">
        <f t="shared" ref="T29" si="30">Q29/S29</f>
        <v>4.0404482498133261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4889924.4736842103</v>
      </c>
      <c r="G30" s="190">
        <f t="shared" ref="G30" si="31">F30/F29-1</f>
        <v>0.25454307665841447</v>
      </c>
      <c r="H30" s="190">
        <f t="shared" ref="H30" si="32">F30/F18-1</f>
        <v>0.38287857711084272</v>
      </c>
      <c r="I30" s="130">
        <f t="shared" si="0"/>
        <v>4.0916521315353469</v>
      </c>
      <c r="J30" s="130">
        <f t="shared" si="5"/>
        <v>9.5001247487371376E-2</v>
      </c>
      <c r="K30" s="136"/>
      <c r="L30" s="190"/>
      <c r="M30" s="190"/>
      <c r="N30" s="191"/>
      <c r="O30" s="192"/>
      <c r="P30" s="129" t="s">
        <v>469</v>
      </c>
      <c r="Q30" s="116">
        <v>92908565</v>
      </c>
      <c r="R30" s="116">
        <v>123787845903</v>
      </c>
      <c r="S30" s="116">
        <v>22706858.260000002</v>
      </c>
      <c r="T30" s="130">
        <f t="shared" ref="T30" si="33">Q30/S30</f>
        <v>4.0916521315353469</v>
      </c>
      <c r="U30" s="85"/>
    </row>
    <row r="31" spans="1:21" s="79" customFormat="1" ht="13.2" hidden="1">
      <c r="A31" s="129" t="s">
        <v>505</v>
      </c>
      <c r="B31" s="188">
        <f>SUM(F29:F31)</f>
        <v>13368163.396411484</v>
      </c>
      <c r="C31" s="188">
        <f>AVERAGE(F29:F31)</f>
        <v>4456054.4654704947</v>
      </c>
      <c r="D31" s="190">
        <f>C31/C28-1</f>
        <v>4.6126279444798524E-2</v>
      </c>
      <c r="E31" s="287">
        <f>C31/C19-1</f>
        <v>0.33021808066284164</v>
      </c>
      <c r="F31" s="136">
        <f>Q31/20</f>
        <v>4580465.6500000004</v>
      </c>
      <c r="G31" s="190">
        <f t="shared" ref="G31" si="34">F31/F30-1</f>
        <v>-6.3284990463473356E-2</v>
      </c>
      <c r="H31" s="190">
        <f t="shared" ref="H31" si="35">F31/F19-1</f>
        <v>0.33227522309375113</v>
      </c>
      <c r="I31" s="130">
        <f t="shared" si="0"/>
        <v>3.9217891532014324</v>
      </c>
      <c r="J31" s="130">
        <f t="shared" si="5"/>
        <v>1.8218272141765413E-2</v>
      </c>
      <c r="K31" s="136">
        <f>R29+R30+R31</f>
        <v>358204252803</v>
      </c>
      <c r="L31" s="190">
        <f>U31/U28-1</f>
        <v>5.9152592619624134E-2</v>
      </c>
      <c r="M31" s="190">
        <f>U31/U19-1</f>
        <v>0.30019346103770794</v>
      </c>
      <c r="N31" s="191">
        <f>AVERAGE(T29:T31)</f>
        <v>4.0179631781833685</v>
      </c>
      <c r="O31" s="192">
        <f>N31/N28-1</f>
        <v>3.1629182840386516E-2</v>
      </c>
      <c r="P31" s="129" t="s">
        <v>506</v>
      </c>
      <c r="Q31" s="116">
        <v>91609313</v>
      </c>
      <c r="R31" s="116">
        <v>121654469652</v>
      </c>
      <c r="S31" s="116">
        <v>23359061.239999998</v>
      </c>
      <c r="T31" s="130">
        <f t="shared" ref="T31" si="36">Q31/S31</f>
        <v>3.9217891532014324</v>
      </c>
      <c r="U31" s="85">
        <f>Q29+Q30+Q31</f>
        <v>270268890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5168450.5238095243</v>
      </c>
      <c r="G32" s="190">
        <f t="shared" ref="G32" si="37">F32/F31-1</f>
        <v>0.12836792560807075</v>
      </c>
      <c r="H32" s="190">
        <f t="shared" ref="H32" si="38">F32/F20-1</f>
        <v>0.39776300170957479</v>
      </c>
      <c r="I32" s="130">
        <f t="shared" si="0"/>
        <v>4.0205002986313678</v>
      </c>
      <c r="J32" s="130">
        <f t="shared" si="5"/>
        <v>8.5208130895406686E-3</v>
      </c>
      <c r="K32" s="136"/>
      <c r="L32" s="190"/>
      <c r="M32" s="190"/>
      <c r="N32" s="191"/>
      <c r="O32" s="192"/>
      <c r="P32" s="129" t="s">
        <v>562</v>
      </c>
      <c r="Q32" s="116">
        <v>108537461</v>
      </c>
      <c r="R32" s="116">
        <v>147459461768</v>
      </c>
      <c r="S32" s="116">
        <v>26996008.690000001</v>
      </c>
      <c r="T32" s="130">
        <f t="shared" ref="T32" si="39">Q32/S32</f>
        <v>4.0205002986313678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5111329.7142857146</v>
      </c>
      <c r="G33" s="190">
        <f t="shared" ref="G33" si="40">F33/F32-1</f>
        <v>-1.1051824770435759E-2</v>
      </c>
      <c r="H33" s="190">
        <f t="shared" ref="H33" si="41">F33/F21-1</f>
        <v>0.42981673934576126</v>
      </c>
      <c r="I33" s="130">
        <f t="shared" si="0"/>
        <v>3.9877382293828618</v>
      </c>
      <c r="J33" s="130">
        <f t="shared" si="5"/>
        <v>5.8165505848073451E-3</v>
      </c>
      <c r="K33" s="136"/>
      <c r="L33" s="190"/>
      <c r="M33" s="190"/>
      <c r="N33" s="191"/>
      <c r="O33" s="192"/>
      <c r="P33" s="129" t="s">
        <v>607</v>
      </c>
      <c r="Q33" s="116">
        <v>107337924</v>
      </c>
      <c r="R33" s="116">
        <v>146775158359</v>
      </c>
      <c r="S33" s="116">
        <v>26916993.5</v>
      </c>
      <c r="T33" s="130">
        <f t="shared" ref="T33" si="42">Q33/S33</f>
        <v>3.9877382293828618</v>
      </c>
      <c r="U33" s="85"/>
    </row>
    <row r="34" spans="1:21" s="79" customFormat="1" ht="13.2" hidden="1">
      <c r="A34" s="129" t="s">
        <v>652</v>
      </c>
      <c r="B34" s="188">
        <f>SUM(F32:F34)</f>
        <v>15757762.65914787</v>
      </c>
      <c r="C34" s="188">
        <f>AVERAGE(F32:F34)</f>
        <v>5252587.5530492896</v>
      </c>
      <c r="D34" s="190">
        <f>C34/C31-1</f>
        <v>0.1787529963448713</v>
      </c>
      <c r="E34" s="287">
        <f>C34/C22-1</f>
        <v>0.36802198669440234</v>
      </c>
      <c r="F34" s="136">
        <f>Q34/19</f>
        <v>5477982.4210526319</v>
      </c>
      <c r="G34" s="190">
        <f t="shared" ref="G34" si="43">F34/F33-1</f>
        <v>7.1733331102111331E-2</v>
      </c>
      <c r="H34" s="190">
        <f t="shared" ref="H34" si="44">F34/F22-1</f>
        <v>0.29009844685731001</v>
      </c>
      <c r="I34" s="130">
        <f t="shared" si="0"/>
        <v>4.1010620135318154</v>
      </c>
      <c r="J34" s="130">
        <f t="shared" si="5"/>
        <v>4.0797703588806078E-2</v>
      </c>
      <c r="K34" s="136">
        <f>R32+R33+R34</f>
        <v>437315339248</v>
      </c>
      <c r="L34" s="190">
        <f>U34/U31-1</f>
        <v>0.1838471346073165</v>
      </c>
      <c r="M34" s="190">
        <f>U34/U22-1</f>
        <v>0.3432628067819008</v>
      </c>
      <c r="N34" s="191">
        <f>AVERAGE(T32:T34)</f>
        <v>4.0364335138486815</v>
      </c>
      <c r="O34" s="192">
        <f>N34/N31-1</f>
        <v>4.5969400032341845E-3</v>
      </c>
      <c r="P34" s="129" t="s">
        <v>652</v>
      </c>
      <c r="Q34" s="116">
        <v>104081666</v>
      </c>
      <c r="R34" s="116">
        <v>143080719121</v>
      </c>
      <c r="S34" s="116">
        <v>25379198.280000001</v>
      </c>
      <c r="T34" s="130">
        <f t="shared" ref="T34" si="45">Q34/S34</f>
        <v>4.1010620135318154</v>
      </c>
      <c r="U34" s="85">
        <f>Q32+Q33+Q34</f>
        <v>319957051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4744906</v>
      </c>
      <c r="G35" s="190">
        <f t="shared" ref="G35" si="46">F35/F34-1</f>
        <v>-0.13382233908515651</v>
      </c>
      <c r="H35" s="190">
        <f t="shared" ref="H35" si="47">F35/F23-1</f>
        <v>0.31243837018597276</v>
      </c>
      <c r="I35" s="130">
        <f t="shared" si="0"/>
        <v>4.0712294388819181</v>
      </c>
      <c r="J35" s="130">
        <f t="shared" si="5"/>
        <v>3.304211358220388E-2</v>
      </c>
      <c r="K35" s="136"/>
      <c r="L35" s="190"/>
      <c r="M35" s="190"/>
      <c r="N35" s="191"/>
      <c r="O35" s="192"/>
      <c r="P35" s="129" t="s">
        <v>660</v>
      </c>
      <c r="Q35" s="116">
        <v>109132838</v>
      </c>
      <c r="R35" s="116">
        <v>151052038188</v>
      </c>
      <c r="S35" s="116">
        <v>26805867.77</v>
      </c>
      <c r="T35" s="130">
        <f t="shared" ref="T35" si="48">Q35/S35</f>
        <v>4.0712294388819181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4791500.5238095243</v>
      </c>
      <c r="G36" s="190">
        <f t="shared" ref="G36" si="49">F36/F35-1</f>
        <v>9.8199045059110812E-3</v>
      </c>
      <c r="H36" s="190">
        <f t="shared" ref="H36" si="50">F36/F24-1</f>
        <v>0.2305194126525385</v>
      </c>
      <c r="I36" s="130">
        <f t="shared" si="0"/>
        <v>4.0436434289906709</v>
      </c>
      <c r="J36" s="130">
        <f t="shared" si="5"/>
        <v>-2.674255041010265E-3</v>
      </c>
      <c r="K36" s="136"/>
      <c r="L36" s="190"/>
      <c r="M36" s="190"/>
      <c r="N36" s="191"/>
      <c r="O36" s="192"/>
      <c r="P36" s="129" t="s">
        <v>664</v>
      </c>
      <c r="Q36" s="116">
        <v>100621511</v>
      </c>
      <c r="R36" s="116">
        <v>137334605129</v>
      </c>
      <c r="S36" s="116">
        <v>24883873.359999999</v>
      </c>
      <c r="T36" s="130">
        <f t="shared" ref="T36" si="51">Q36/S36</f>
        <v>4.0436434289906709</v>
      </c>
      <c r="U36" s="85"/>
    </row>
    <row r="37" spans="1:21" s="79" customFormat="1" ht="13.2" hidden="1">
      <c r="A37" s="129" t="s">
        <v>702</v>
      </c>
      <c r="B37" s="188">
        <f>SUM(F35:F37)</f>
        <v>15296220.301587302</v>
      </c>
      <c r="C37" s="188">
        <f>AVERAGE(F35:F37)</f>
        <v>5098740.1005291007</v>
      </c>
      <c r="D37" s="190">
        <f>C37/C34-1</f>
        <v>-2.9289840667363176E-2</v>
      </c>
      <c r="E37" s="287">
        <f>C37/C25-1</f>
        <v>0.25119320923609845</v>
      </c>
      <c r="F37" s="136">
        <f>Q37/18</f>
        <v>5759813.777777778</v>
      </c>
      <c r="G37" s="190">
        <f t="shared" ref="G37" si="52">F37/F36-1</f>
        <v>0.20208977316324872</v>
      </c>
      <c r="H37" s="190">
        <f t="shared" ref="H37" si="53">F37/F25-1</f>
        <v>0.22131239591783869</v>
      </c>
      <c r="I37" s="130">
        <f t="shared" si="0"/>
        <v>4.0568513219879332</v>
      </c>
      <c r="J37" s="130">
        <f t="shared" si="5"/>
        <v>3.0049601649354329E-2</v>
      </c>
      <c r="K37" s="136">
        <f>R35+R36+R37</f>
        <v>426764355748</v>
      </c>
      <c r="L37" s="190">
        <f>U37/U34-1</f>
        <v>-2.0396656299973226E-2</v>
      </c>
      <c r="M37" s="190">
        <f>U37/U25-1</f>
        <v>0.24776890111576177</v>
      </c>
      <c r="N37" s="191">
        <f>AVERAGE(T35:T37)</f>
        <v>4.0572413966201735</v>
      </c>
      <c r="O37" s="192">
        <f>N37/N34-1</f>
        <v>5.1550168484384429E-3</v>
      </c>
      <c r="P37" s="129" t="s">
        <v>702</v>
      </c>
      <c r="Q37" s="116">
        <v>103676648</v>
      </c>
      <c r="R37" s="116">
        <v>138377712431</v>
      </c>
      <c r="S37" s="116">
        <v>25555939.760000002</v>
      </c>
      <c r="T37" s="130">
        <f t="shared" ref="T37" si="54">Q37/S37</f>
        <v>4.0568513219879332</v>
      </c>
      <c r="U37" s="85">
        <f>Q35+Q36+Q37</f>
        <v>313430997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5848198.8499999996</v>
      </c>
      <c r="G38" s="190">
        <f t="shared" ref="G38" si="55">F38/F37-1</f>
        <v>1.5345126705871071E-2</v>
      </c>
      <c r="H38" s="190">
        <f t="shared" ref="H38" si="56">F38/F26-1</f>
        <v>0.26331001904189333</v>
      </c>
      <c r="I38" s="130">
        <f t="shared" si="0"/>
        <v>4.0533956487993068</v>
      </c>
      <c r="J38" s="130">
        <f t="shared" si="5"/>
        <v>4.6389651430981393E-2</v>
      </c>
      <c r="K38" s="136"/>
      <c r="L38" s="190"/>
      <c r="M38" s="190"/>
      <c r="N38" s="191"/>
      <c r="O38" s="192"/>
      <c r="P38" s="129" t="s">
        <v>728</v>
      </c>
      <c r="Q38" s="116">
        <v>116963977</v>
      </c>
      <c r="R38" s="116">
        <v>157331935469</v>
      </c>
      <c r="S38" s="116">
        <v>28855800.699999999</v>
      </c>
      <c r="T38" s="130">
        <f t="shared" ref="T38" si="57">Q38/S38</f>
        <v>4.0533956487993068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5597919.9047619049</v>
      </c>
      <c r="G39" s="190">
        <f t="shared" ref="G39" si="58">F39/F38-1</f>
        <v>-4.2795902064461266E-2</v>
      </c>
      <c r="H39" s="190">
        <f t="shared" ref="H39" si="59">F39/F27-1</f>
        <v>0.35665358296253657</v>
      </c>
      <c r="I39" s="130">
        <f t="shared" si="0"/>
        <v>3.9042776714874967</v>
      </c>
      <c r="J39" s="130">
        <f t="shared" si="5"/>
        <v>8.0549590993970188E-3</v>
      </c>
      <c r="K39" s="136"/>
      <c r="L39" s="190"/>
      <c r="M39" s="190"/>
      <c r="N39" s="191"/>
      <c r="O39" s="192"/>
      <c r="P39" s="129" t="s">
        <v>762</v>
      </c>
      <c r="Q39" s="116">
        <v>117556318</v>
      </c>
      <c r="R39" s="116">
        <v>163371624977</v>
      </c>
      <c r="S39" s="116">
        <v>30109620.239999998</v>
      </c>
      <c r="T39" s="130">
        <f t="shared" ref="T39" si="60">Q39/S39</f>
        <v>3.9042776714874967</v>
      </c>
      <c r="U39" s="85"/>
    </row>
    <row r="40" spans="1:21" s="79" customFormat="1" ht="13.2" hidden="1">
      <c r="A40" s="129" t="s">
        <v>777</v>
      </c>
      <c r="B40" s="188">
        <f>SUM(F38:F40)</f>
        <v>16697554.754761904</v>
      </c>
      <c r="C40" s="188">
        <f>AVERAGE(F38:F40)</f>
        <v>5565851.5849206345</v>
      </c>
      <c r="D40" s="190">
        <f>C40/C37-1</f>
        <v>9.1613119159194012E-2</v>
      </c>
      <c r="E40" s="287">
        <f>C40/C28-1</f>
        <v>0.306667962789404</v>
      </c>
      <c r="F40" s="136">
        <f>Q40/21</f>
        <v>5251436</v>
      </c>
      <c r="G40" s="190">
        <f t="shared" ref="G40" si="61">F40/F39-1</f>
        <v>-6.1895116517684756E-2</v>
      </c>
      <c r="H40" s="190">
        <f t="shared" ref="H40" si="62">F40/F28-1</f>
        <v>0.30529126474471147</v>
      </c>
      <c r="I40" s="130">
        <f t="shared" si="0"/>
        <v>3.9870609209953449</v>
      </c>
      <c r="J40" s="130">
        <f t="shared" si="5"/>
        <v>1.2574681017583522E-2</v>
      </c>
      <c r="K40" s="136">
        <f>R38+R39+R40</f>
        <v>477396481349</v>
      </c>
      <c r="L40" s="190">
        <f>U40/U37-1</f>
        <v>0.10008408325995921</v>
      </c>
      <c r="M40" s="190">
        <f>U40/U28-1</f>
        <v>0.35123317971619183</v>
      </c>
      <c r="N40" s="191">
        <f>AVERAGE(T38:T40)</f>
        <v>3.9815780804273828</v>
      </c>
      <c r="O40" s="192">
        <f>N40/N37-1</f>
        <v>-1.8648955976792725E-2</v>
      </c>
      <c r="P40" s="129" t="s">
        <v>777</v>
      </c>
      <c r="Q40" s="116">
        <v>110280156</v>
      </c>
      <c r="R40" s="116">
        <v>156692920903</v>
      </c>
      <c r="S40" s="116">
        <v>27659511.149999999</v>
      </c>
      <c r="T40" s="130">
        <f t="shared" ref="T40" si="63">Q40/S40</f>
        <v>3.9870609209953449</v>
      </c>
      <c r="U40" s="85">
        <f>Q38+Q39+Q40</f>
        <v>344800451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5970438</v>
      </c>
      <c r="G41" s="190">
        <f t="shared" ref="G41" si="64">F41/F40-1</f>
        <v>0.13691531230695753</v>
      </c>
      <c r="H41" s="190">
        <f t="shared" ref="H41" si="65">F41/F29-1</f>
        <v>0.531756103356541</v>
      </c>
      <c r="I41" s="130">
        <f t="shared" si="0"/>
        <v>3.9940186284295249</v>
      </c>
      <c r="J41" s="130">
        <f t="shared" si="5"/>
        <v>-1.1491205557686901E-2</v>
      </c>
      <c r="K41" s="193"/>
      <c r="L41" s="190"/>
      <c r="M41" s="190"/>
      <c r="N41" s="193"/>
      <c r="O41" s="193"/>
      <c r="P41" s="129" t="s">
        <v>789</v>
      </c>
      <c r="Q41" s="116">
        <v>107467884</v>
      </c>
      <c r="R41" s="116">
        <v>157145341870</v>
      </c>
      <c r="S41" s="116">
        <v>26907206.5</v>
      </c>
      <c r="T41" s="130">
        <f t="shared" ref="T41" si="66">Q41/S41</f>
        <v>3.9940186284295249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6056451.5999999996</v>
      </c>
      <c r="G42" s="190">
        <f t="shared" ref="G42" si="67">F42/F41-1</f>
        <v>1.4406581225699044E-2</v>
      </c>
      <c r="H42" s="190">
        <f t="shared" ref="H42" si="68">F42/F30-1</f>
        <v>0.23855728909385254</v>
      </c>
      <c r="I42" s="130">
        <f t="shared" si="0"/>
        <v>4.0008764661598253</v>
      </c>
      <c r="J42" s="130">
        <f t="shared" si="5"/>
        <v>-2.2185577477589535E-2</v>
      </c>
      <c r="K42" s="193"/>
      <c r="L42" s="190"/>
      <c r="M42" s="190"/>
      <c r="N42" s="193"/>
      <c r="O42" s="193"/>
      <c r="P42" s="129" t="s">
        <v>826</v>
      </c>
      <c r="Q42" s="116">
        <v>121129032</v>
      </c>
      <c r="R42" s="116">
        <v>175101482031</v>
      </c>
      <c r="S42" s="116">
        <v>30275624.109999999</v>
      </c>
      <c r="T42" s="130">
        <f t="shared" ref="T42" si="69">Q42/S42</f>
        <v>4.0008764661598253</v>
      </c>
      <c r="U42" s="78"/>
    </row>
    <row r="43" spans="1:21" s="79" customFormat="1" ht="13.2">
      <c r="A43" s="129" t="s">
        <v>835</v>
      </c>
      <c r="B43" s="188">
        <f>SUM(F41:F43)</f>
        <v>17788125.949999999</v>
      </c>
      <c r="C43" s="188">
        <f>AVERAGE(F41:F43)</f>
        <v>5929375.3166666664</v>
      </c>
      <c r="D43" s="190">
        <f>C43/C40-1</f>
        <v>6.5313227670481533E-2</v>
      </c>
      <c r="E43" s="287">
        <f>C43/C31-1</f>
        <v>0.33063349261387676</v>
      </c>
      <c r="F43" s="136">
        <f>Q43/20</f>
        <v>5761236.3499999996</v>
      </c>
      <c r="G43" s="190">
        <f t="shared" ref="G43" si="70">F43/F42-1</f>
        <v>-4.8743929531278707E-2</v>
      </c>
      <c r="H43" s="190">
        <f t="shared" ref="H43" si="71">F43/F31-1</f>
        <v>0.25778398752973919</v>
      </c>
      <c r="I43" s="130">
        <f t="shared" si="0"/>
        <v>4.0828130225369712</v>
      </c>
      <c r="J43" s="130">
        <f t="shared" si="5"/>
        <v>4.1058777778527844E-2</v>
      </c>
      <c r="K43" s="136">
        <f>R41+R42+R43</f>
        <v>499239955298</v>
      </c>
      <c r="L43" s="190">
        <f>U43/U40-1</f>
        <v>-2.8387665885042379E-3</v>
      </c>
      <c r="M43" s="190">
        <f>K43/K31-1</f>
        <v>0.39372983818973473</v>
      </c>
      <c r="N43" s="191">
        <f>AVERAGE(T41:T43)</f>
        <v>4.0259027057087735</v>
      </c>
      <c r="O43" s="192">
        <f>N43/N40-1</f>
        <v>1.1132426486694103E-2</v>
      </c>
      <c r="P43" s="129" t="s">
        <v>835</v>
      </c>
      <c r="Q43" s="116">
        <v>115224727</v>
      </c>
      <c r="R43" s="116">
        <v>166993131397</v>
      </c>
      <c r="S43" s="116">
        <v>28221896.609999999</v>
      </c>
      <c r="T43" s="130">
        <f t="shared" ref="T43" si="72">Q43/S43</f>
        <v>4.0828130225369712</v>
      </c>
      <c r="U43" s="85">
        <f>Q41+Q42+Q43</f>
        <v>343821643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6122368.7727272725</v>
      </c>
      <c r="G44" s="190">
        <f t="shared" ref="G44" si="73">F44/F43-1</f>
        <v>6.2683146600516215E-2</v>
      </c>
      <c r="H44" s="190">
        <f t="shared" ref="H44" si="74">F44/F32-1</f>
        <v>0.18456561488270595</v>
      </c>
      <c r="I44" s="130">
        <f t="shared" si="0"/>
        <v>4.1328266581860715</v>
      </c>
      <c r="J44" s="130">
        <f t="shared" si="5"/>
        <v>2.7938403484994323E-2</v>
      </c>
      <c r="K44" s="136"/>
      <c r="L44" s="190"/>
      <c r="M44" s="190"/>
      <c r="N44" s="191"/>
      <c r="O44" s="192"/>
      <c r="P44" s="129" t="s">
        <v>843</v>
      </c>
      <c r="Q44" s="116">
        <v>134692113</v>
      </c>
      <c r="R44" s="116">
        <v>195523615735</v>
      </c>
      <c r="S44" s="116">
        <v>32590796.600000001</v>
      </c>
      <c r="T44" s="130">
        <f t="shared" ref="T44" si="75">Q44/S44</f>
        <v>4.1328266581860715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6340094.2999999998</v>
      </c>
      <c r="G45" s="190">
        <f t="shared" ref="G45" si="76">F45/F44-1</f>
        <v>3.5562302003533164E-2</v>
      </c>
      <c r="H45" s="190">
        <f t="shared" ref="H45" si="77">F45/F33-1</f>
        <v>0.24040018046184675</v>
      </c>
      <c r="I45" s="130">
        <f t="shared" si="0"/>
        <v>4.1206979921162636</v>
      </c>
      <c r="J45" s="130">
        <f t="shared" si="5"/>
        <v>3.3342149129477416E-2</v>
      </c>
      <c r="K45" s="136"/>
      <c r="L45" s="190"/>
      <c r="M45" s="190"/>
      <c r="N45" s="191"/>
      <c r="O45" s="192"/>
      <c r="P45" s="129" t="s">
        <v>853</v>
      </c>
      <c r="Q45" s="116">
        <v>126801886</v>
      </c>
      <c r="R45" s="116">
        <v>178562422013</v>
      </c>
      <c r="S45" s="116">
        <v>30771943.550000001</v>
      </c>
      <c r="T45" s="130">
        <f t="shared" ref="T45" si="78">Q45/S45</f>
        <v>4.1206979921162636</v>
      </c>
      <c r="U45" s="85"/>
    </row>
    <row r="46" spans="1:21" s="79" customFormat="1" ht="13.2">
      <c r="A46" s="129" t="s">
        <v>927</v>
      </c>
      <c r="B46" s="188">
        <f>SUM(F44:F46)</f>
        <v>19112686.599043064</v>
      </c>
      <c r="C46" s="188">
        <f>AVERAGE(F44:F46)</f>
        <v>6370895.5330143543</v>
      </c>
      <c r="D46" s="189">
        <f>C46/C43-1</f>
        <v>7.4463192624463215E-2</v>
      </c>
      <c r="E46" s="287">
        <f>C46/C34-1</f>
        <v>0.21290610935477927</v>
      </c>
      <c r="F46" s="136">
        <f>Q46/19</f>
        <v>6650223.5263157897</v>
      </c>
      <c r="G46" s="190">
        <f t="shared" ref="G46" si="79">F46/F45-1</f>
        <v>4.891555419227589E-2</v>
      </c>
      <c r="H46" s="190">
        <f t="shared" ref="H46" si="80">F46/F34-1</f>
        <v>0.21399139594863903</v>
      </c>
      <c r="I46" s="130">
        <f t="shared" si="0"/>
        <v>4.2742043217894166</v>
      </c>
      <c r="J46" s="130">
        <f t="shared" si="5"/>
        <v>4.221889541935786E-2</v>
      </c>
      <c r="K46" s="136">
        <f>R44+R45+R46</f>
        <v>547086669546</v>
      </c>
      <c r="L46" s="190">
        <f>U46/U43-1</f>
        <v>0.12805070273019425</v>
      </c>
      <c r="M46" s="190">
        <f>K46/K34-1</f>
        <v>0.25101184533513266</v>
      </c>
      <c r="N46" s="191">
        <f>AVERAGE(T44:T46)</f>
        <v>4.1759096573639169</v>
      </c>
      <c r="O46" s="219">
        <f>N46/N43-1</f>
        <v>3.726045128771549E-2</v>
      </c>
      <c r="P46" s="129" t="s">
        <v>888</v>
      </c>
      <c r="Q46" s="116">
        <v>126354247</v>
      </c>
      <c r="R46" s="116">
        <v>173000631798</v>
      </c>
      <c r="S46" s="116">
        <v>29562051.199999999</v>
      </c>
      <c r="T46" s="130">
        <f t="shared" ref="T46" si="81">Q46/S46</f>
        <v>4.2742043217894166</v>
      </c>
      <c r="U46" s="85">
        <f>Q44+Q45+Q46</f>
        <v>387848246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5703107.4782608692</v>
      </c>
      <c r="G47" s="190">
        <f t="shared" ref="G47" si="82">F47/F46-1</f>
        <v>-0.14241867875674563</v>
      </c>
      <c r="H47" s="190">
        <f t="shared" ref="H47" si="83">F47/F35-1</f>
        <v>0.20194319513618808</v>
      </c>
      <c r="I47" s="130">
        <f t="shared" si="0"/>
        <v>4.0146387739024201</v>
      </c>
      <c r="J47" s="130">
        <f t="shared" si="5"/>
        <v>-1.3900141426330337E-2</v>
      </c>
      <c r="K47" s="136"/>
      <c r="L47" s="190"/>
      <c r="M47" s="190"/>
      <c r="N47" s="191"/>
      <c r="O47" s="219"/>
      <c r="P47" s="129" t="s">
        <v>1057</v>
      </c>
      <c r="Q47" s="116">
        <v>131171472</v>
      </c>
      <c r="R47" s="116">
        <v>179887927467</v>
      </c>
      <c r="S47" s="116">
        <v>32673293.760000002</v>
      </c>
      <c r="T47" s="130">
        <f t="shared" ref="T47" si="84">Q47/S47</f>
        <v>4.0146387739024201</v>
      </c>
      <c r="U47" s="85"/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5749714.1500000004</v>
      </c>
      <c r="G48" s="190">
        <f t="shared" ref="G48" si="85">F48/F47-1</f>
        <v>8.1721538506482894E-3</v>
      </c>
      <c r="H48" s="190">
        <f t="shared" ref="H48" si="86">F48/F36-1</f>
        <v>0.19998195167234178</v>
      </c>
      <c r="I48" s="130">
        <f t="shared" si="0"/>
        <v>4.0575134293046808</v>
      </c>
      <c r="J48" s="130">
        <f t="shared" si="5"/>
        <v>3.4300750196147867E-3</v>
      </c>
      <c r="K48" s="136"/>
      <c r="L48" s="190"/>
      <c r="M48" s="190"/>
      <c r="N48" s="191"/>
      <c r="O48" s="219"/>
      <c r="P48" s="129" t="s">
        <v>1070</v>
      </c>
      <c r="Q48" s="116">
        <v>114994283</v>
      </c>
      <c r="R48" s="116">
        <v>159553621138</v>
      </c>
      <c r="S48" s="116">
        <v>28341072.68</v>
      </c>
      <c r="T48" s="130">
        <f t="shared" ref="T48" si="87">Q48/S48</f>
        <v>4.0575134293046808</v>
      </c>
      <c r="U48" s="85"/>
    </row>
    <row r="49" spans="1:26" ht="13.2">
      <c r="A49" s="129" t="s">
        <v>1158</v>
      </c>
      <c r="B49" s="188">
        <f>SUM(F47:F49)</f>
        <v>18144758.400988143</v>
      </c>
      <c r="C49" s="188">
        <f>AVERAGE(F47:F49)</f>
        <v>6048252.8003293807</v>
      </c>
      <c r="D49" s="189">
        <f>C49/C46-1</f>
        <v>-5.0643230769209735E-2</v>
      </c>
      <c r="E49" s="287">
        <f>C49/C37-1</f>
        <v>0.18622496559527479</v>
      </c>
      <c r="F49" s="136">
        <f>Q49/22</f>
        <v>6691936.7727272725</v>
      </c>
      <c r="G49" s="190">
        <f t="shared" ref="G49" si="88">F49/F48-1</f>
        <v>0.16387295057568596</v>
      </c>
      <c r="H49" s="190">
        <f t="shared" ref="H49" si="89">F49/F37-1</f>
        <v>0.16183214091847287</v>
      </c>
      <c r="I49" s="130">
        <f t="shared" si="0"/>
        <v>4.0281925304116095</v>
      </c>
      <c r="J49" s="130">
        <f t="shared" si="5"/>
        <v>-7.0642942769418848E-3</v>
      </c>
      <c r="K49" s="136">
        <f>R47+R48+R49</f>
        <v>544085317231</v>
      </c>
      <c r="L49" s="190">
        <f>U49/U46-1</f>
        <v>1.4284241471083092E-2</v>
      </c>
      <c r="M49" s="190">
        <f>K49/K37-1</f>
        <v>0.2749080608603518</v>
      </c>
      <c r="N49" s="191">
        <f>AVERAGE(T47:T49)</f>
        <v>4.0334482445395698</v>
      </c>
      <c r="O49" s="219">
        <f>N49/N46-1</f>
        <v>-3.4115061031822491E-2</v>
      </c>
      <c r="P49" s="129" t="s">
        <v>1158</v>
      </c>
      <c r="Q49" s="116">
        <v>147222609</v>
      </c>
      <c r="R49" s="116">
        <v>204643768626</v>
      </c>
      <c r="S49" s="116">
        <v>36548056.700000003</v>
      </c>
      <c r="T49" s="130">
        <f t="shared" ref="T49" si="90">Q49/S49</f>
        <v>4.0281925304116095</v>
      </c>
      <c r="U49" s="85">
        <f t="shared" ref="U49:U54" si="91">Q47+Q48+Q49</f>
        <v>393388364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7235442.944444444</v>
      </c>
      <c r="G50" s="190">
        <f t="shared" ref="G50" si="92">F50/F49-1</f>
        <v>8.1218067381062298E-2</v>
      </c>
      <c r="H50" s="190">
        <f t="shared" ref="H50" si="93">F50/F38-1</f>
        <v>0.23720877658673389</v>
      </c>
      <c r="I50" s="130">
        <f t="shared" ref="I50" si="94">T50</f>
        <v>3.98767398625345</v>
      </c>
      <c r="J50" s="130">
        <f t="shared" ref="J50" si="95">I50/I38-1</f>
        <v>-1.621397668528235E-2</v>
      </c>
      <c r="K50" s="136"/>
      <c r="L50" s="190"/>
      <c r="M50" s="190"/>
      <c r="N50" s="191"/>
      <c r="O50" s="192"/>
      <c r="P50" s="129" t="s">
        <v>1291</v>
      </c>
      <c r="Q50" s="116">
        <v>130237973</v>
      </c>
      <c r="R50" s="116">
        <v>184131293348</v>
      </c>
      <c r="S50" s="116">
        <v>32660135.57</v>
      </c>
      <c r="T50" s="130">
        <f t="shared" ref="T50" si="96">Q50/S50</f>
        <v>3.98767398625345</v>
      </c>
      <c r="U50" s="85">
        <f t="shared" si="91"/>
        <v>392454865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6323546.7999999998</v>
      </c>
      <c r="G51" s="190">
        <f t="shared" ref="G51:G52" si="97">F51/F50-1</f>
        <v>-0.1260318340488914</v>
      </c>
      <c r="H51" s="190">
        <f t="shared" ref="H51:H52" si="98">F51/F39-1</f>
        <v>0.1296243796951857</v>
      </c>
      <c r="I51" s="130">
        <f t="shared" ref="I51:I52" si="99">T51</f>
        <v>3.947632656567472</v>
      </c>
      <c r="J51" s="130">
        <f t="shared" ref="J51:J52" si="100">I51/I39-1</f>
        <v>1.1104483012720046E-2</v>
      </c>
      <c r="K51" s="136"/>
      <c r="L51" s="190"/>
      <c r="M51" s="190"/>
      <c r="N51" s="191"/>
      <c r="O51" s="192"/>
      <c r="P51" s="129" t="s">
        <v>1402</v>
      </c>
      <c r="Q51" s="116">
        <v>126470936</v>
      </c>
      <c r="R51" s="116">
        <v>183199980357</v>
      </c>
      <c r="S51" s="116">
        <v>32037159.23</v>
      </c>
      <c r="T51" s="130">
        <f t="shared" ref="T51:T52" si="101">Q51/S51</f>
        <v>3.947632656567472</v>
      </c>
      <c r="U51" s="85">
        <f t="shared" si="91"/>
        <v>403931518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19907062.380808081</v>
      </c>
      <c r="C52" s="188">
        <f>AVERAGE(F50:F52)</f>
        <v>6635687.4602693608</v>
      </c>
      <c r="D52" s="190">
        <f>C52/C49-1</f>
        <v>9.7124686968770302E-2</v>
      </c>
      <c r="E52" s="287">
        <f>C52/C40-1</f>
        <v>0.19221422975905345</v>
      </c>
      <c r="F52" s="136">
        <f>Q52/22</f>
        <v>6348072.6363636367</v>
      </c>
      <c r="G52" s="190">
        <f t="shared" si="97"/>
        <v>3.878493690224083E-3</v>
      </c>
      <c r="H52" s="190">
        <f t="shared" si="98"/>
        <v>0.20882604993446297</v>
      </c>
      <c r="I52" s="130">
        <f t="shared" si="99"/>
        <v>4.1247469520504936</v>
      </c>
      <c r="J52" s="130">
        <f t="shared" si="100"/>
        <v>3.4533214762310749E-2</v>
      </c>
      <c r="K52" s="136">
        <f>R50+R51+R52</f>
        <v>572795575599</v>
      </c>
      <c r="L52" s="190">
        <f>U52/U49-1</f>
        <v>7.5704908241769342E-3</v>
      </c>
      <c r="M52" s="190">
        <f>K52/K40-1</f>
        <v>0.19983200123391498</v>
      </c>
      <c r="N52" s="191">
        <f>AVERAGE(T50:T52)</f>
        <v>4.020017864957139</v>
      </c>
      <c r="O52" s="192">
        <f>N52/N49-1</f>
        <v>-3.3297513115763122E-3</v>
      </c>
      <c r="P52" s="129" t="s">
        <v>1403</v>
      </c>
      <c r="Q52" s="116">
        <v>139657598</v>
      </c>
      <c r="R52" s="116">
        <v>205464301894</v>
      </c>
      <c r="S52" s="116">
        <v>33858464.439999998</v>
      </c>
      <c r="T52" s="130">
        <f t="shared" si="101"/>
        <v>4.1247469520504936</v>
      </c>
      <c r="U52" s="85">
        <f t="shared" si="91"/>
        <v>396366507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6174943.2857142854</v>
      </c>
      <c r="G53" s="190">
        <f t="shared" ref="G53" si="102">F53/F52-1</f>
        <v>-2.7272742541982753E-2</v>
      </c>
      <c r="H53" s="190">
        <f t="shared" ref="H53" si="103">F53/F41-1</f>
        <v>3.4252978711827309E-2</v>
      </c>
      <c r="I53" s="130">
        <f t="shared" ref="I53" si="104">T53</f>
        <v>4.1261780198481777</v>
      </c>
      <c r="J53" s="130">
        <f t="shared" ref="J53" si="105">I53/I41-1</f>
        <v>3.3089327745729369E-2</v>
      </c>
      <c r="K53" s="136"/>
      <c r="L53" s="190"/>
      <c r="M53" s="190"/>
      <c r="N53" s="191"/>
      <c r="O53" s="192"/>
      <c r="P53" s="129" t="s">
        <v>1414</v>
      </c>
      <c r="Q53" s="116">
        <v>129673809</v>
      </c>
      <c r="R53" s="116">
        <v>188847173747</v>
      </c>
      <c r="S53" s="116">
        <v>31427099.940000001</v>
      </c>
      <c r="T53" s="130">
        <f t="shared" ref="T53" si="106">Q53/S53</f>
        <v>4.1261780198481777</v>
      </c>
      <c r="U53" s="85">
        <f t="shared" si="91"/>
        <v>395802343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8245117.5882352944</v>
      </c>
      <c r="G54" s="190">
        <f t="shared" ref="G54" si="107">F54/F53-1</f>
        <v>0.3352539783337527</v>
      </c>
      <c r="H54" s="190">
        <f t="shared" ref="H54" si="108">F54/F42-1</f>
        <v>0.36137760734937507</v>
      </c>
      <c r="I54" s="130">
        <f t="shared" ref="I54" si="109">T54</f>
        <v>4.1643171209434673</v>
      </c>
      <c r="J54" s="130">
        <f t="shared" ref="J54" si="110">I54/I42-1</f>
        <v>4.0851212519570135E-2</v>
      </c>
      <c r="K54" s="136"/>
      <c r="L54" s="190"/>
      <c r="M54" s="190"/>
      <c r="N54" s="191"/>
      <c r="O54" s="192"/>
      <c r="P54" s="129" t="s">
        <v>1417</v>
      </c>
      <c r="Q54" s="116">
        <v>140166999</v>
      </c>
      <c r="R54" s="116">
        <v>203039543855</v>
      </c>
      <c r="S54" s="116">
        <v>33659059.799999997</v>
      </c>
      <c r="T54" s="130">
        <f t="shared" ref="T54" si="111">Q54/S54</f>
        <v>4.1643171209434673</v>
      </c>
      <c r="U54" s="85">
        <f t="shared" si="91"/>
        <v>409498406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22261880.302521009</v>
      </c>
      <c r="C55" s="188">
        <f>AVERAGE(F53:F55)</f>
        <v>7420626.7675070027</v>
      </c>
      <c r="D55" s="190">
        <f>C55/C52-1</f>
        <v>0.11829057832174916</v>
      </c>
      <c r="E55" s="287">
        <f>C55/C43-1</f>
        <v>0.25150228669934793</v>
      </c>
      <c r="F55" s="136">
        <f>Q55/21</f>
        <v>7841819.4285714282</v>
      </c>
      <c r="G55" s="190">
        <f t="shared" ref="G55" si="112">F55/F54-1</f>
        <v>-4.8913572832402052E-2</v>
      </c>
      <c r="H55" s="190">
        <f t="shared" ref="H55" si="113">F55/F43-1</f>
        <v>0.36113482457136636</v>
      </c>
      <c r="I55" s="130">
        <f>T55</f>
        <v>4.1425100587190435</v>
      </c>
      <c r="J55" s="130">
        <f t="shared" ref="J55" si="114">I55/I43-1</f>
        <v>1.4621545452252471E-2</v>
      </c>
      <c r="K55" s="136">
        <f>R53+R54+R55</f>
        <v>634030108653</v>
      </c>
      <c r="L55" s="190">
        <f>U55/U52-1</f>
        <v>9.6255632921073309E-2</v>
      </c>
      <c r="M55" s="190">
        <f>K55/K43-1</f>
        <v>0.26999071673769137</v>
      </c>
      <c r="N55" s="191">
        <f>AVERAGE(T53:T55)</f>
        <v>4.1443350665035625</v>
      </c>
      <c r="O55" s="192">
        <f>N55/N52-1</f>
        <v>3.0924539572350529E-2</v>
      </c>
      <c r="P55" s="129" t="s">
        <v>1418</v>
      </c>
      <c r="Q55" s="116">
        <v>164678208</v>
      </c>
      <c r="R55" s="116">
        <v>242143391051</v>
      </c>
      <c r="S55" s="116">
        <v>39753242.759999998</v>
      </c>
      <c r="T55" s="130">
        <f t="shared" ref="T55" si="115">Q55/S55</f>
        <v>4.1425100587190435</v>
      </c>
      <c r="U55" s="85">
        <f t="shared" ref="U55" si="116">Q53+Q54+Q55</f>
        <v>434519016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8277465.5</v>
      </c>
      <c r="G56" s="190">
        <f t="shared" ref="G56" si="117">F56/F55-1</f>
        <v>5.5554208483978629E-2</v>
      </c>
      <c r="H56" s="190">
        <f t="shared" ref="H56" si="118">F56/F44-1</f>
        <v>0.3520037435302541</v>
      </c>
      <c r="I56" s="291">
        <f>T56</f>
        <v>4.1840147786492539</v>
      </c>
      <c r="J56" s="130">
        <f t="shared" ref="J56" si="119">I56/I44-1</f>
        <v>1.2385740970236814E-2</v>
      </c>
      <c r="K56" s="136"/>
      <c r="L56" s="190"/>
      <c r="M56" s="190"/>
      <c r="N56" s="191"/>
      <c r="O56" s="192"/>
      <c r="P56" s="129" t="s">
        <v>1420</v>
      </c>
      <c r="Q56" s="116">
        <v>182104241</v>
      </c>
      <c r="R56" s="116">
        <v>272029540643</v>
      </c>
      <c r="S56" s="116">
        <v>43523804.439999998</v>
      </c>
      <c r="T56" s="130">
        <f t="shared" ref="T56" si="120">Q56/S56</f>
        <v>4.1840147786492539</v>
      </c>
      <c r="U56" s="85">
        <f t="shared" ref="U56" si="121">Q54+Q55+Q56</f>
        <v>486949448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8925867.916666666</v>
      </c>
      <c r="G57" s="254">
        <f t="shared" ref="G57" si="122">F57/F56-1</f>
        <v>7.8333448404788397E-2</v>
      </c>
      <c r="H57" s="254">
        <f t="shared" ref="H57" si="123">F57/F45-1</f>
        <v>0.4078446619739815</v>
      </c>
      <c r="I57" s="282">
        <f>T57</f>
        <v>4.3294245547418431</v>
      </c>
      <c r="J57" s="277">
        <f t="shared" ref="J57" si="124">I57/I45-1</f>
        <v>5.0653205603738982E-2</v>
      </c>
      <c r="K57" s="204"/>
      <c r="L57" s="254"/>
      <c r="M57" s="254"/>
      <c r="N57" s="257"/>
      <c r="O57" s="258"/>
      <c r="P57" s="129" t="s">
        <v>1436</v>
      </c>
      <c r="Q57" s="116">
        <v>107110415</v>
      </c>
      <c r="R57" s="116">
        <v>157825255591</v>
      </c>
      <c r="S57" s="116">
        <v>24740104.289999999</v>
      </c>
      <c r="T57" s="130">
        <f t="shared" ref="T57" si="125">Q57/S57</f>
        <v>4.3294245547418431</v>
      </c>
      <c r="U57" s="85">
        <f t="shared" ref="U57" si="126">Q55+Q56+Q57</f>
        <v>453892864</v>
      </c>
      <c r="V57" s="79"/>
      <c r="W57" s="79"/>
      <c r="X57" s="79"/>
      <c r="Y57" s="79"/>
      <c r="Z57" s="79"/>
    </row>
    <row r="58" spans="1:26">
      <c r="B58" s="196">
        <f>SUM(F56:F58)</f>
        <v>17203333.416666664</v>
      </c>
      <c r="C58" s="196">
        <f>AVERAGE(F56:F58)</f>
        <v>8601666.7083333321</v>
      </c>
      <c r="D58" s="197">
        <f>C58/C55-1</f>
        <v>0.15915635940589223</v>
      </c>
      <c r="E58" s="233">
        <f>C58/C46-1</f>
        <v>0.3501503303199669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723733672</v>
      </c>
      <c r="R65" s="212">
        <v>1063884904887</v>
      </c>
      <c r="S65" s="213">
        <v>173103311.25999999</v>
      </c>
      <c r="T65" s="214">
        <v>456</v>
      </c>
      <c r="U65" s="214">
        <v>1126</v>
      </c>
    </row>
    <row r="66" spans="16:21" ht="18" thickBot="1">
      <c r="P66" s="180" t="s">
        <v>976</v>
      </c>
      <c r="Q66" s="181">
        <v>129673809</v>
      </c>
      <c r="R66" s="181">
        <v>188847173747</v>
      </c>
      <c r="S66" s="182">
        <v>31427099.940000001</v>
      </c>
      <c r="T66" s="210">
        <v>237</v>
      </c>
      <c r="U66" s="210">
        <v>549</v>
      </c>
    </row>
    <row r="67" spans="16:21" ht="18" thickBot="1">
      <c r="P67" s="180" t="s">
        <v>977</v>
      </c>
      <c r="Q67" s="181">
        <v>140166999</v>
      </c>
      <c r="R67" s="181">
        <v>203039543855</v>
      </c>
      <c r="S67" s="182">
        <v>33659059.799999997</v>
      </c>
      <c r="T67" s="210">
        <v>219</v>
      </c>
      <c r="U67" s="210">
        <v>535</v>
      </c>
    </row>
    <row r="68" spans="16:21" ht="18" thickBot="1">
      <c r="P68" s="180" t="s">
        <v>978</v>
      </c>
      <c r="Q68" s="181">
        <v>164678208</v>
      </c>
      <c r="R68" s="181">
        <v>242143391051</v>
      </c>
      <c r="S68" s="182">
        <v>39753242.759999998</v>
      </c>
      <c r="T68" s="210">
        <v>245</v>
      </c>
      <c r="U68" s="210">
        <v>582</v>
      </c>
    </row>
    <row r="69" spans="16:21" ht="18" thickBot="1">
      <c r="P69" s="180" t="s">
        <v>979</v>
      </c>
      <c r="Q69" s="181">
        <v>182104241</v>
      </c>
      <c r="R69" s="181">
        <v>272029540643</v>
      </c>
      <c r="S69" s="182">
        <v>43523804.439999998</v>
      </c>
      <c r="T69" s="210">
        <v>264</v>
      </c>
      <c r="U69" s="210">
        <v>592</v>
      </c>
    </row>
    <row r="70" spans="16:21" ht="18" thickBot="1">
      <c r="P70" s="180" t="s">
        <v>980</v>
      </c>
      <c r="Q70" s="181">
        <v>107110415</v>
      </c>
      <c r="R70" s="181">
        <v>157825255591</v>
      </c>
      <c r="S70" s="182">
        <v>24740104.289999999</v>
      </c>
      <c r="T70" s="210">
        <v>176</v>
      </c>
      <c r="U70" s="210">
        <v>394</v>
      </c>
    </row>
    <row r="71" spans="16:21" ht="18" thickBot="1">
      <c r="P71" s="180" t="s">
        <v>975</v>
      </c>
      <c r="Q71" s="181">
        <v>1520855134</v>
      </c>
      <c r="R71" s="181">
        <v>2162386796732</v>
      </c>
      <c r="S71" s="182">
        <v>374312544.60000002</v>
      </c>
      <c r="T71" s="210">
        <v>680</v>
      </c>
      <c r="U71" s="210">
        <v>1701</v>
      </c>
    </row>
    <row r="72" spans="16:21" ht="18" thickBot="1">
      <c r="P72" s="215" t="s">
        <v>982</v>
      </c>
      <c r="Q72" s="217" t="s">
        <v>1477</v>
      </c>
      <c r="R72"/>
      <c r="S72"/>
      <c r="T72"/>
      <c r="U72"/>
    </row>
  </sheetData>
  <phoneticPr fontId="1" type="noConversion"/>
  <conditionalFormatting sqref="C29:C30">
    <cfRule type="cellIs" dxfId="23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9">
    <tabColor rgb="FFFF0000"/>
  </sheetPr>
  <dimension ref="A1:Z71"/>
  <sheetViews>
    <sheetView zoomScaleNormal="100" workbookViewId="0">
      <selection activeCell="J65" sqref="J6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3707901010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279</v>
      </c>
      <c r="F4" s="84" t="s">
        <v>73</v>
      </c>
      <c r="G4" s="172" t="s">
        <v>290</v>
      </c>
      <c r="H4" s="172" t="s">
        <v>279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724094.3</v>
      </c>
      <c r="G5" s="90"/>
      <c r="H5" s="90"/>
      <c r="I5" s="130">
        <f t="shared" ref="I5:I49" si="0">T5</f>
        <v>278.36403236213982</v>
      </c>
      <c r="J5" s="130"/>
      <c r="K5" s="86"/>
      <c r="L5" s="80"/>
      <c r="M5" s="80"/>
      <c r="N5" s="79"/>
      <c r="O5" s="79"/>
      <c r="P5" s="129" t="s">
        <v>0</v>
      </c>
      <c r="Q5" s="116">
        <v>14481886</v>
      </c>
      <c r="R5" s="116">
        <v>17092725815</v>
      </c>
      <c r="S5" s="116">
        <v>52024.99</v>
      </c>
      <c r="T5" s="130">
        <f t="shared" ref="T5:T17" si="1">Q5/S5</f>
        <v>278.36403236213982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858996.33333333337</v>
      </c>
      <c r="G6" s="90">
        <f t="shared" ref="G6:G16" si="2">F6/F5-1</f>
        <v>0.18630450941725862</v>
      </c>
      <c r="H6" s="90"/>
      <c r="I6" s="130">
        <f t="shared" si="0"/>
        <v>307.53940178935312</v>
      </c>
      <c r="J6" s="130"/>
      <c r="K6" s="78"/>
      <c r="L6" s="87"/>
      <c r="M6" s="87"/>
      <c r="N6" s="79"/>
      <c r="O6" s="79"/>
      <c r="P6" s="129" t="s">
        <v>1</v>
      </c>
      <c r="Q6" s="116">
        <v>15461934</v>
      </c>
      <c r="R6" s="116">
        <v>18369185340</v>
      </c>
      <c r="S6" s="116">
        <v>50276.27</v>
      </c>
      <c r="T6" s="130">
        <f t="shared" si="1"/>
        <v>307.53940178935312</v>
      </c>
      <c r="U6" s="85"/>
    </row>
    <row r="7" spans="1:21" ht="15" hidden="1" customHeight="1">
      <c r="A7" s="129" t="s">
        <v>2</v>
      </c>
      <c r="B7" s="131">
        <f>F5+F6+F7</f>
        <v>2327041.4060606062</v>
      </c>
      <c r="C7" s="131">
        <f>AVERAGE(F5:F7)</f>
        <v>775680.46868686879</v>
      </c>
      <c r="D7" s="117"/>
      <c r="F7" s="78">
        <f>Q7/22</f>
        <v>743950.77272727271</v>
      </c>
      <c r="G7" s="90">
        <f t="shared" si="2"/>
        <v>-0.13393021150582407</v>
      </c>
      <c r="H7" s="90"/>
      <c r="I7" s="130">
        <f t="shared" si="0"/>
        <v>298.8434933697929</v>
      </c>
      <c r="J7" s="130"/>
      <c r="K7" s="85">
        <f>R5+R6+R7</f>
        <v>55179592035</v>
      </c>
      <c r="L7" s="87"/>
      <c r="M7" s="87"/>
      <c r="N7" s="88">
        <f>AVERAGE(T5:T7)</f>
        <v>294.9156425070953</v>
      </c>
      <c r="O7" s="79"/>
      <c r="P7" s="129" t="s">
        <v>2</v>
      </c>
      <c r="Q7" s="116">
        <v>16366917</v>
      </c>
      <c r="R7" s="116">
        <v>19717680880</v>
      </c>
      <c r="S7" s="116">
        <v>54767.519999999997</v>
      </c>
      <c r="T7" s="130">
        <f t="shared" si="1"/>
        <v>298.8434933697929</v>
      </c>
      <c r="U7" s="85">
        <f>Q5+Q6+Q7</f>
        <v>46310737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806994.71428571432</v>
      </c>
      <c r="G8" s="90">
        <f t="shared" si="2"/>
        <v>8.4742087607929895E-2</v>
      </c>
      <c r="H8" s="90"/>
      <c r="I8" s="130">
        <f t="shared" si="0"/>
        <v>288.51307961766958</v>
      </c>
      <c r="J8" s="130"/>
      <c r="K8" s="78"/>
      <c r="L8" s="87"/>
      <c r="M8" s="87"/>
      <c r="N8" s="79"/>
      <c r="O8" s="79"/>
      <c r="P8" s="129" t="s">
        <v>3</v>
      </c>
      <c r="Q8" s="116">
        <v>16946889</v>
      </c>
      <c r="R8" s="116">
        <v>20516518118</v>
      </c>
      <c r="S8" s="116">
        <v>58738.720000000001</v>
      </c>
      <c r="T8" s="130">
        <f t="shared" si="1"/>
        <v>288.51307961766958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905555.47619047621</v>
      </c>
      <c r="G9" s="90">
        <f t="shared" si="2"/>
        <v>0.12213309475267109</v>
      </c>
      <c r="H9" s="90"/>
      <c r="I9" s="130">
        <f t="shared" si="0"/>
        <v>289.64344609425302</v>
      </c>
      <c r="J9" s="130"/>
      <c r="K9" s="78"/>
      <c r="L9" s="87"/>
      <c r="M9" s="87"/>
      <c r="N9" s="79"/>
      <c r="O9" s="79"/>
      <c r="P9" s="129" t="s">
        <v>4</v>
      </c>
      <c r="Q9" s="116">
        <v>19016665</v>
      </c>
      <c r="R9" s="116">
        <v>23929738722</v>
      </c>
      <c r="S9" s="116">
        <v>65655.429999999993</v>
      </c>
      <c r="T9" s="130">
        <f t="shared" si="1"/>
        <v>289.64344609425302</v>
      </c>
      <c r="U9" s="85"/>
    </row>
    <row r="10" spans="1:21" ht="15" hidden="1" customHeight="1">
      <c r="A10" s="129" t="s">
        <v>5</v>
      </c>
      <c r="B10" s="131">
        <f>F8+F9+F10</f>
        <v>2482272.6190476189</v>
      </c>
      <c r="C10" s="131">
        <f>AVERAGE(F8:F10)</f>
        <v>827424.20634920627</v>
      </c>
      <c r="D10" s="90">
        <f>C10/C7-1</f>
        <v>6.6707542282111731E-2</v>
      </c>
      <c r="E10" s="286"/>
      <c r="F10" s="78">
        <f>Q10/21</f>
        <v>769722.42857142852</v>
      </c>
      <c r="G10" s="90">
        <f t="shared" si="2"/>
        <v>-0.1499996976336283</v>
      </c>
      <c r="H10" s="90"/>
      <c r="I10" s="130">
        <f t="shared" si="0"/>
        <v>273.62594726577544</v>
      </c>
      <c r="J10" s="130"/>
      <c r="K10" s="85">
        <f>R8+R9+R10</f>
        <v>64710082163</v>
      </c>
      <c r="L10" s="87">
        <f>U10/U7-1</f>
        <v>0.12560776132757301</v>
      </c>
      <c r="M10" s="87"/>
      <c r="N10" s="88">
        <f>AVERAGE(T8:T10)</f>
        <v>283.92749099256599</v>
      </c>
      <c r="O10" s="89">
        <f>N10/N7-1</f>
        <v>-3.7258625622969221E-2</v>
      </c>
      <c r="P10" s="129" t="s">
        <v>5</v>
      </c>
      <c r="Q10" s="116">
        <v>16164171</v>
      </c>
      <c r="R10" s="116">
        <v>20263825323</v>
      </c>
      <c r="S10" s="116">
        <v>59073.97</v>
      </c>
      <c r="T10" s="130">
        <f t="shared" si="1"/>
        <v>273.62594726577544</v>
      </c>
      <c r="U10" s="85">
        <f>Q8+Q9+Q10</f>
        <v>52127725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840570.57142857148</v>
      </c>
      <c r="G11" s="90">
        <f t="shared" si="2"/>
        <v>9.2043755290636353E-2</v>
      </c>
      <c r="H11" s="90"/>
      <c r="I11" s="130">
        <f t="shared" si="0"/>
        <v>305.09600025165435</v>
      </c>
      <c r="J11" s="130"/>
      <c r="K11" s="78"/>
      <c r="L11" s="87"/>
      <c r="M11" s="87"/>
      <c r="N11" s="79"/>
      <c r="O11" s="89"/>
      <c r="P11" s="129" t="s">
        <v>6</v>
      </c>
      <c r="Q11" s="116">
        <v>17651982</v>
      </c>
      <c r="R11" s="116">
        <v>22767058144</v>
      </c>
      <c r="S11" s="116">
        <v>57857.14</v>
      </c>
      <c r="T11" s="130">
        <f t="shared" si="1"/>
        <v>305.09600025165435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821859.36363636365</v>
      </c>
      <c r="G12" s="90">
        <f t="shared" si="2"/>
        <v>-2.2260127142457065E-2</v>
      </c>
      <c r="H12" s="90"/>
      <c r="I12" s="130">
        <f t="shared" si="0"/>
        <v>304.07108583590804</v>
      </c>
      <c r="J12" s="130"/>
      <c r="K12" s="78"/>
      <c r="L12" s="87"/>
      <c r="M12" s="87"/>
      <c r="N12" s="79"/>
      <c r="O12" s="89"/>
      <c r="P12" s="129" t="s">
        <v>7</v>
      </c>
      <c r="Q12" s="116">
        <v>18080906</v>
      </c>
      <c r="R12" s="116">
        <v>23458318451</v>
      </c>
      <c r="S12" s="116">
        <v>59462.76</v>
      </c>
      <c r="T12" s="130">
        <f t="shared" si="1"/>
        <v>304.07108583590804</v>
      </c>
      <c r="U12" s="85"/>
    </row>
    <row r="13" spans="1:21" ht="15" hidden="1" customHeight="1">
      <c r="A13" s="129" t="s">
        <v>96</v>
      </c>
      <c r="B13" s="131">
        <f>F11+F12+F13</f>
        <v>2484109.5350649352</v>
      </c>
      <c r="C13" s="131">
        <f>AVERAGE(F11:F13)</f>
        <v>828036.5116883117</v>
      </c>
      <c r="D13" s="90">
        <f>C13/C10-1</f>
        <v>7.4001380961163932E-4</v>
      </c>
      <c r="E13" s="286"/>
      <c r="F13" s="78">
        <f>Q13/20</f>
        <v>821679.6</v>
      </c>
      <c r="G13" s="90">
        <f t="shared" si="2"/>
        <v>-2.1872797745869921E-4</v>
      </c>
      <c r="H13" s="90"/>
      <c r="I13" s="130">
        <f t="shared" si="0"/>
        <v>303.51920359784646</v>
      </c>
      <c r="J13" s="130"/>
      <c r="K13" s="78">
        <f>R11+R12+R13</f>
        <v>68600299826</v>
      </c>
      <c r="L13" s="87">
        <f>U13/U10-1</f>
        <v>7.434623321851408E-4</v>
      </c>
      <c r="M13" s="87"/>
      <c r="N13" s="88">
        <f>AVERAGE(T11:T13)</f>
        <v>304.22876322846963</v>
      </c>
      <c r="O13" s="89">
        <f>N13/N10-1</f>
        <v>7.1501608262495298E-2</v>
      </c>
      <c r="P13" s="129" t="s">
        <v>96</v>
      </c>
      <c r="Q13" s="116">
        <v>16433592</v>
      </c>
      <c r="R13" s="116">
        <v>22374923231</v>
      </c>
      <c r="S13" s="116">
        <v>54143.5</v>
      </c>
      <c r="T13" s="130">
        <f t="shared" si="1"/>
        <v>303.51920359784646</v>
      </c>
      <c r="U13" s="85">
        <f>Q11+Q12+Q13</f>
        <v>52166480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810649.1</v>
      </c>
      <c r="G14" s="90">
        <f t="shared" si="2"/>
        <v>-1.342433230665574E-2</v>
      </c>
      <c r="H14" s="90"/>
      <c r="I14" s="130">
        <f t="shared" si="0"/>
        <v>291.61502888364362</v>
      </c>
      <c r="J14" s="130"/>
      <c r="K14" s="78"/>
      <c r="L14" s="87"/>
      <c r="M14" s="87"/>
      <c r="N14" s="79"/>
      <c r="O14" s="89"/>
      <c r="P14" s="129" t="s">
        <v>97</v>
      </c>
      <c r="Q14" s="116">
        <v>16212982</v>
      </c>
      <c r="R14" s="116">
        <v>23126458785</v>
      </c>
      <c r="S14" s="116">
        <v>55597.21</v>
      </c>
      <c r="T14" s="130">
        <f t="shared" si="1"/>
        <v>291.61502888364362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700013.95454545459</v>
      </c>
      <c r="G15" s="90">
        <f t="shared" si="2"/>
        <v>-0.13647723220138697</v>
      </c>
      <c r="H15" s="90"/>
      <c r="I15" s="130">
        <f t="shared" si="0"/>
        <v>278.98389208103703</v>
      </c>
      <c r="J15" s="130"/>
      <c r="K15" s="78"/>
      <c r="L15" s="87"/>
      <c r="M15" s="87"/>
      <c r="N15" s="79"/>
      <c r="O15" s="89"/>
      <c r="P15" s="129" t="s">
        <v>98</v>
      </c>
      <c r="Q15" s="116">
        <v>15400307</v>
      </c>
      <c r="R15" s="116">
        <v>21366183966</v>
      </c>
      <c r="S15" s="116">
        <v>55201.42</v>
      </c>
      <c r="T15" s="130">
        <f t="shared" si="1"/>
        <v>278.98389208103703</v>
      </c>
      <c r="U15" s="78"/>
    </row>
    <row r="16" spans="1:21" ht="15" hidden="1" customHeight="1">
      <c r="A16" s="129" t="s">
        <v>99</v>
      </c>
      <c r="B16" s="131">
        <f>F14+F15+F16</f>
        <v>2233623.2363636363</v>
      </c>
      <c r="C16" s="131">
        <f>AVERAGE(F14:F16)</f>
        <v>744541.07878787874</v>
      </c>
      <c r="D16" s="90">
        <f>C16/C13-1</f>
        <v>-0.10083544834296165</v>
      </c>
      <c r="E16" s="286"/>
      <c r="F16" s="78">
        <f>Q16/22</f>
        <v>722960.18181818177</v>
      </c>
      <c r="G16" s="90">
        <f t="shared" si="2"/>
        <v>3.2779671210450445E-2</v>
      </c>
      <c r="H16" s="90"/>
      <c r="I16" s="130">
        <f t="shared" si="0"/>
        <v>291.27169641320154</v>
      </c>
      <c r="J16" s="130"/>
      <c r="K16" s="78">
        <f>R14+R15+R16</f>
        <v>65373447749</v>
      </c>
      <c r="L16" s="87">
        <f>U16/U13-1</f>
        <v>-8.9100644705182308E-2</v>
      </c>
      <c r="M16" s="87"/>
      <c r="N16" s="88">
        <f>AVERAGE(T14:T16)</f>
        <v>287.29020579262743</v>
      </c>
      <c r="O16" s="89">
        <f>N16/N13-1</f>
        <v>-5.5677041368773161E-2</v>
      </c>
      <c r="P16" s="129" t="s">
        <v>99</v>
      </c>
      <c r="Q16" s="116">
        <v>15905124</v>
      </c>
      <c r="R16" s="116">
        <v>20880804998</v>
      </c>
      <c r="S16" s="116">
        <v>54605.8</v>
      </c>
      <c r="T16" s="130">
        <f t="shared" si="1"/>
        <v>291.27169641320154</v>
      </c>
      <c r="U16" s="85">
        <f>Q14+Q15+Q16</f>
        <v>47518413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761540.45</v>
      </c>
      <c r="G17" s="90">
        <f t="shared" ref="G17:G22" si="3">F17/F16-1</f>
        <v>5.3364305741973483E-2</v>
      </c>
      <c r="H17" s="90">
        <f t="shared" ref="H17:H22" si="4">F17/F5-1</f>
        <v>5.1714465919701302E-2</v>
      </c>
      <c r="I17" s="130">
        <f t="shared" si="0"/>
        <v>302.52410480562719</v>
      </c>
      <c r="J17" s="130">
        <f t="shared" ref="J17:J49" si="5">I17/I5-1</f>
        <v>8.6793082563397128E-2</v>
      </c>
      <c r="K17" s="78"/>
      <c r="L17" s="87"/>
      <c r="M17" s="87"/>
      <c r="N17" s="79"/>
      <c r="O17" s="89"/>
      <c r="P17" s="129" t="s">
        <v>100</v>
      </c>
      <c r="Q17" s="116">
        <v>15230809</v>
      </c>
      <c r="R17" s="116">
        <v>19169870244</v>
      </c>
      <c r="S17" s="116">
        <v>50345.77</v>
      </c>
      <c r="T17" s="130">
        <f t="shared" si="1"/>
        <v>302.52410480562719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776775.1</v>
      </c>
      <c r="G18" s="90">
        <f t="shared" si="3"/>
        <v>2.0005043724204086E-2</v>
      </c>
      <c r="H18" s="90">
        <f t="shared" si="4"/>
        <v>-9.5717793129889261E-2</v>
      </c>
      <c r="I18" s="130">
        <f t="shared" si="0"/>
        <v>313.42891042638473</v>
      </c>
      <c r="J18" s="130">
        <f t="shared" si="5"/>
        <v>1.9150419760085136E-2</v>
      </c>
      <c r="K18" s="78"/>
      <c r="L18" s="87"/>
      <c r="M18" s="87"/>
      <c r="N18" s="79"/>
      <c r="O18" s="89"/>
      <c r="P18" s="129" t="s">
        <v>106</v>
      </c>
      <c r="Q18" s="116">
        <v>15535502</v>
      </c>
      <c r="R18" s="116">
        <v>19548287740</v>
      </c>
      <c r="S18" s="116">
        <v>49566.27</v>
      </c>
      <c r="T18" s="130">
        <f t="shared" ref="T18" si="6">Q18/S18</f>
        <v>313.42891042638473</v>
      </c>
      <c r="U18" s="78"/>
    </row>
    <row r="19" spans="1:21" hidden="1">
      <c r="A19" s="129" t="s">
        <v>114</v>
      </c>
      <c r="B19" s="131">
        <f>SUM(F17:F19)</f>
        <v>2240974.0045454544</v>
      </c>
      <c r="C19" s="131">
        <f>AVERAGE(F17:F19)</f>
        <v>746991.33484848484</v>
      </c>
      <c r="D19" s="90">
        <f>C19/C16-1</f>
        <v>3.2909615472058729E-3</v>
      </c>
      <c r="E19" s="286">
        <f>C19/C7-1</f>
        <v>-3.6985762819258694E-2</v>
      </c>
      <c r="F19" s="78">
        <f>Q19/22</f>
        <v>702658.45454545459</v>
      </c>
      <c r="G19" s="90">
        <f t="shared" si="3"/>
        <v>-9.5415835876491606E-2</v>
      </c>
      <c r="H19" s="90">
        <f t="shared" si="4"/>
        <v>-5.5504100130769785E-2</v>
      </c>
      <c r="I19" s="130">
        <f t="shared" si="0"/>
        <v>327.19384747590516</v>
      </c>
      <c r="J19" s="130">
        <f t="shared" si="5"/>
        <v>9.4866894327965801E-2</v>
      </c>
      <c r="K19" s="78">
        <f>R17+R18+R19</f>
        <v>58920625652</v>
      </c>
      <c r="L19" s="87">
        <f>U19/U16-1</f>
        <v>-2.7223468090148528E-2</v>
      </c>
      <c r="M19" s="87">
        <f>U19/U7-1</f>
        <v>-1.8557251636914796E-3</v>
      </c>
      <c r="N19" s="88">
        <f>AVERAGE(T17:T19)</f>
        <v>314.38228756930567</v>
      </c>
      <c r="O19" s="89">
        <f>N19/N16-1</f>
        <v>9.4302141981943866E-2</v>
      </c>
      <c r="P19" s="129" t="s">
        <v>115</v>
      </c>
      <c r="Q19" s="116">
        <v>15458486</v>
      </c>
      <c r="R19" s="116">
        <v>20202467668</v>
      </c>
      <c r="S19" s="116">
        <v>47245.65</v>
      </c>
      <c r="T19" s="130">
        <f t="shared" ref="T19" si="7">Q19/S19</f>
        <v>327.19384747590516</v>
      </c>
      <c r="U19" s="85">
        <f>Q17+Q18+Q19</f>
        <v>46224797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651332.94999999995</v>
      </c>
      <c r="G20" s="90">
        <f t="shared" si="3"/>
        <v>-7.3044740603963487E-2</v>
      </c>
      <c r="H20" s="90">
        <f t="shared" si="4"/>
        <v>-0.19289068630826589</v>
      </c>
      <c r="I20" s="130">
        <f t="shared" si="0"/>
        <v>291.47213053424457</v>
      </c>
      <c r="J20" s="130">
        <f t="shared" si="5"/>
        <v>1.0256210638686758E-2</v>
      </c>
      <c r="K20" s="78"/>
      <c r="L20" s="87"/>
      <c r="M20" s="87"/>
      <c r="N20" s="79"/>
      <c r="O20" s="89"/>
      <c r="P20" s="129" t="s">
        <v>132</v>
      </c>
      <c r="Q20" s="116">
        <v>13026659</v>
      </c>
      <c r="R20" s="116">
        <v>17081330486</v>
      </c>
      <c r="S20" s="116">
        <v>44692.639999999999</v>
      </c>
      <c r="T20" s="130">
        <f t="shared" ref="T20" si="8">Q20/S20</f>
        <v>291.47213053424457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702270.14285714284</v>
      </c>
      <c r="G21" s="90">
        <f t="shared" si="3"/>
        <v>7.8204538642092203E-2</v>
      </c>
      <c r="H21" s="90">
        <f t="shared" si="4"/>
        <v>-0.22448689084021833</v>
      </c>
      <c r="I21" s="130">
        <f t="shared" si="0"/>
        <v>325.85191129596399</v>
      </c>
      <c r="J21" s="130">
        <f t="shared" si="5"/>
        <v>0.12501047646673946</v>
      </c>
      <c r="K21" s="78"/>
      <c r="L21" s="87"/>
      <c r="M21" s="87"/>
      <c r="N21" s="79"/>
      <c r="O21" s="89"/>
      <c r="P21" s="129" t="s">
        <v>141</v>
      </c>
      <c r="Q21" s="116">
        <v>14747673</v>
      </c>
      <c r="R21" s="116">
        <v>19634350750</v>
      </c>
      <c r="S21" s="116">
        <v>45258.82</v>
      </c>
      <c r="T21" s="130">
        <f t="shared" ref="T21" si="9">Q21/S21</f>
        <v>325.85191129596399</v>
      </c>
      <c r="U21" s="78"/>
    </row>
    <row r="22" spans="1:21" hidden="1">
      <c r="A22" s="129" t="s">
        <v>156</v>
      </c>
      <c r="B22" s="131">
        <f>SUM(F20:F22)</f>
        <v>1978308.8071428572</v>
      </c>
      <c r="C22" s="131">
        <f>AVERAGE(F20:F22)</f>
        <v>659436.26904761908</v>
      </c>
      <c r="D22" s="90">
        <f>C22/C19-1</f>
        <v>-0.11721028305987635</v>
      </c>
      <c r="E22" s="286">
        <f>C22/C10-1</f>
        <v>-0.20302516655004599</v>
      </c>
      <c r="F22" s="78">
        <f>Q22/21</f>
        <v>624705.71428571432</v>
      </c>
      <c r="G22" s="90">
        <f t="shared" si="3"/>
        <v>-0.1104481364619353</v>
      </c>
      <c r="H22" s="90">
        <f t="shared" si="4"/>
        <v>-0.18840131052808085</v>
      </c>
      <c r="I22" s="130">
        <f t="shared" si="0"/>
        <v>299.07485910642896</v>
      </c>
      <c r="J22" s="130">
        <f t="shared" si="5"/>
        <v>9.3006208274300617E-2</v>
      </c>
      <c r="K22" s="78">
        <f>R20+R21+R22</f>
        <v>53810870215</v>
      </c>
      <c r="L22" s="87">
        <f>U22/U19-1</f>
        <v>-0.11534166391255329</v>
      </c>
      <c r="M22" s="87">
        <f>U22/U10-1</f>
        <v>-0.21552010950027078</v>
      </c>
      <c r="N22" s="88">
        <f>AVERAGE(T20:T22)</f>
        <v>305.46630031221252</v>
      </c>
      <c r="O22" s="89">
        <f>N22/N19-1</f>
        <v>-2.8360335838346518E-2</v>
      </c>
      <c r="P22" s="129" t="s">
        <v>156</v>
      </c>
      <c r="Q22" s="116">
        <v>13118820</v>
      </c>
      <c r="R22" s="116">
        <v>17095188979</v>
      </c>
      <c r="S22" s="116">
        <v>43864.67</v>
      </c>
      <c r="T22" s="130">
        <f t="shared" ref="T22:T23" si="10">Q22/S22</f>
        <v>299.07485910642896</v>
      </c>
      <c r="U22" s="85">
        <f>Q20+Q21+Q22</f>
        <v>40893152</v>
      </c>
    </row>
    <row r="23" spans="1:21" hidden="1">
      <c r="A23" s="129" t="s">
        <v>189</v>
      </c>
      <c r="B23" s="131"/>
      <c r="C23" s="131"/>
      <c r="D23" s="117"/>
      <c r="F23" s="78">
        <f>Q23/21</f>
        <v>484340.61904761905</v>
      </c>
      <c r="G23" s="90">
        <f t="shared" ref="G23" si="11">F23/F22-1</f>
        <v>-0.22468994924848429</v>
      </c>
      <c r="H23" s="90">
        <f t="shared" ref="H23" si="12">F23/F11-1</f>
        <v>-0.42379541288904554</v>
      </c>
      <c r="I23" s="130">
        <f t="shared" si="0"/>
        <v>271.1824400346818</v>
      </c>
      <c r="J23" s="130">
        <f t="shared" si="5"/>
        <v>-0.11115701349411133</v>
      </c>
      <c r="K23" s="98"/>
      <c r="L23" s="87"/>
      <c r="M23" s="87"/>
      <c r="N23" s="79"/>
      <c r="O23" s="89"/>
      <c r="P23" s="129" t="s">
        <v>189</v>
      </c>
      <c r="Q23" s="116">
        <v>10171153</v>
      </c>
      <c r="R23" s="116">
        <v>13151195915</v>
      </c>
      <c r="S23" s="116">
        <v>37506.68</v>
      </c>
      <c r="T23" s="130">
        <f t="shared" si="10"/>
        <v>271.1824400346818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419628.22727272729</v>
      </c>
      <c r="G24" s="90">
        <f t="shared" ref="G24" si="13">F24/F23-1</f>
        <v>-0.1336092601569091</v>
      </c>
      <c r="H24" s="90">
        <f t="shared" ref="H24" si="14">F24/F12-1</f>
        <v>-0.48941601709560345</v>
      </c>
      <c r="I24" s="130">
        <f t="shared" si="0"/>
        <v>268.66750035141064</v>
      </c>
      <c r="J24" s="130">
        <f t="shared" si="5"/>
        <v>-0.11643193691755005</v>
      </c>
      <c r="K24" s="98"/>
      <c r="L24" s="87"/>
      <c r="M24" s="87"/>
      <c r="N24" s="79"/>
      <c r="O24" s="89"/>
      <c r="P24" s="129" t="s">
        <v>204</v>
      </c>
      <c r="Q24" s="116">
        <v>9231821</v>
      </c>
      <c r="R24" s="116">
        <v>12084564135</v>
      </c>
      <c r="S24" s="116">
        <v>34361.51</v>
      </c>
      <c r="T24" s="130">
        <f t="shared" ref="T24" si="15">Q24/S24</f>
        <v>268.66750035141064</v>
      </c>
      <c r="U24" s="78"/>
    </row>
    <row r="25" spans="1:21" s="92" customFormat="1" ht="13.2" hidden="1">
      <c r="A25" s="129" t="s">
        <v>219</v>
      </c>
      <c r="B25" s="131">
        <f>SUM(F23:F25)</f>
        <v>1422274.5305308728</v>
      </c>
      <c r="C25" s="131">
        <f>AVERAGE(F23:F25)</f>
        <v>474091.51017695758</v>
      </c>
      <c r="D25" s="90">
        <f>C25/C22-1</f>
        <v>-0.28106546086453943</v>
      </c>
      <c r="E25" s="286">
        <f>C25/C13-1</f>
        <v>-0.4274509596076671</v>
      </c>
      <c r="F25" s="78">
        <f>Q25/19</f>
        <v>518305.68421052629</v>
      </c>
      <c r="G25" s="90">
        <f t="shared" ref="G25" si="16">F25/F24-1</f>
        <v>0.23515447847521931</v>
      </c>
      <c r="H25" s="90">
        <f t="shared" ref="H25" si="17">F25/F13-1</f>
        <v>-0.36921193588044987</v>
      </c>
      <c r="I25" s="130">
        <f t="shared" si="0"/>
        <v>267.18426034803002</v>
      </c>
      <c r="J25" s="130">
        <f t="shared" si="5"/>
        <v>-0.11971217247248422</v>
      </c>
      <c r="K25" s="78">
        <f>R23+R24+R25</f>
        <v>38303115672</v>
      </c>
      <c r="L25" s="90">
        <f>U25/U22-1</f>
        <v>-0.28470219170192601</v>
      </c>
      <c r="M25" s="90">
        <f>U25/U13-1</f>
        <v>-0.43928012777553704</v>
      </c>
      <c r="N25" s="88">
        <f>AVERAGE(T23:T25)</f>
        <v>269.01140024470743</v>
      </c>
      <c r="O25" s="91">
        <f>N25/N22-1</f>
        <v>-0.1193418063800985</v>
      </c>
      <c r="P25" s="129" t="s">
        <v>219</v>
      </c>
      <c r="Q25" s="116">
        <v>9847808</v>
      </c>
      <c r="R25" s="116">
        <v>13067355622</v>
      </c>
      <c r="S25" s="116">
        <v>36857.74</v>
      </c>
      <c r="T25" s="130">
        <f t="shared" ref="T25" si="18">Q25/S25</f>
        <v>267.18426034803002</v>
      </c>
      <c r="U25" s="85">
        <f>Q23+Q24+Q25</f>
        <v>29250782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649639.57894736843</v>
      </c>
      <c r="G26" s="90">
        <f t="shared" ref="G26" si="19">F26/F25-1</f>
        <v>0.25339080534470226</v>
      </c>
      <c r="H26" s="90">
        <f t="shared" ref="H26" si="20">F26/F14-1</f>
        <v>-0.19861802233868087</v>
      </c>
      <c r="I26" s="130">
        <f t="shared" si="0"/>
        <v>280.91454617827327</v>
      </c>
      <c r="J26" s="130">
        <f t="shared" si="5"/>
        <v>-3.6693865697984718E-2</v>
      </c>
      <c r="K26" s="78"/>
      <c r="L26" s="90"/>
      <c r="M26" s="90"/>
      <c r="N26" s="79"/>
      <c r="O26" s="79"/>
      <c r="P26" s="129" t="s">
        <v>312</v>
      </c>
      <c r="Q26" s="116">
        <v>12343152</v>
      </c>
      <c r="R26" s="116">
        <v>16645949636</v>
      </c>
      <c r="S26" s="116">
        <v>43939.17</v>
      </c>
      <c r="T26" s="130">
        <f t="shared" ref="T26" si="21">Q26/S26</f>
        <v>280.91454617827327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578410.5</v>
      </c>
      <c r="G27" s="90">
        <f t="shared" ref="G27" si="22">F27/F26-1</f>
        <v>-0.10964399531011204</v>
      </c>
      <c r="H27" s="90">
        <f t="shared" ref="H27" si="23">F27/F15-1</f>
        <v>-0.17371575774430992</v>
      </c>
      <c r="I27" s="130">
        <f t="shared" si="0"/>
        <v>273.6499306575991</v>
      </c>
      <c r="J27" s="130">
        <f t="shared" si="5"/>
        <v>-1.9119245142255603E-2</v>
      </c>
      <c r="K27" s="78"/>
      <c r="L27" s="90"/>
      <c r="M27" s="90"/>
      <c r="N27" s="79"/>
      <c r="O27" s="79"/>
      <c r="P27" s="129" t="s">
        <v>377</v>
      </c>
      <c r="Q27" s="116">
        <v>12725031</v>
      </c>
      <c r="R27" s="116">
        <v>16888552388</v>
      </c>
      <c r="S27" s="116">
        <v>46501.13</v>
      </c>
      <c r="T27" s="130">
        <f t="shared" ref="T27" si="24">Q27/S27</f>
        <v>273.6499306575991</v>
      </c>
      <c r="U27" s="78"/>
    </row>
    <row r="28" spans="1:21" s="92" customFormat="1" ht="13.2" hidden="1">
      <c r="A28" s="123" t="s">
        <v>413</v>
      </c>
      <c r="B28" s="131">
        <f>SUM(F26:F28)</f>
        <v>1875772.6578947371</v>
      </c>
      <c r="C28" s="131">
        <f>AVERAGE(F26:F28)</f>
        <v>625257.55263157899</v>
      </c>
      <c r="D28" s="90">
        <f>C28/C25-1</f>
        <v>0.31885414357704422</v>
      </c>
      <c r="E28" s="286">
        <f>C28/C16-1</f>
        <v>-0.16021080576305435</v>
      </c>
      <c r="F28" s="78">
        <f>Q28/19</f>
        <v>647722.57894736843</v>
      </c>
      <c r="G28" s="90">
        <f t="shared" ref="G28" si="25">F28/F27-1</f>
        <v>0.11983198601575951</v>
      </c>
      <c r="H28" s="90">
        <f t="shared" ref="H28" si="26">F28/F16-1</f>
        <v>-0.10406880594944712</v>
      </c>
      <c r="I28" s="130">
        <f t="shared" si="0"/>
        <v>297.25515401354016</v>
      </c>
      <c r="J28" s="130">
        <f t="shared" si="5"/>
        <v>2.0542530132589443E-2</v>
      </c>
      <c r="K28" s="78">
        <f>R26+R27+R28</f>
        <v>49598229697</v>
      </c>
      <c r="L28" s="90">
        <f>U28/U25-1</f>
        <v>0.27774060878098927</v>
      </c>
      <c r="M28" s="90">
        <f>U28/U16-1</f>
        <v>-0.21346464159061873</v>
      </c>
      <c r="N28" s="88">
        <f>AVERAGE(T26:T28)</f>
        <v>283.93987694980416</v>
      </c>
      <c r="O28" s="91">
        <f>N28/N25-1</f>
        <v>5.5493844095517719E-2</v>
      </c>
      <c r="P28" s="129" t="s">
        <v>413</v>
      </c>
      <c r="Q28" s="116">
        <v>12306729</v>
      </c>
      <c r="R28" s="116">
        <v>16063727673</v>
      </c>
      <c r="S28" s="116">
        <v>41401.230000000003</v>
      </c>
      <c r="T28" s="130">
        <f t="shared" ref="T28" si="27">Q28/S28</f>
        <v>297.25515401354016</v>
      </c>
      <c r="U28" s="85">
        <f>Q26+Q27+Q28</f>
        <v>37374912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736211.54545454541</v>
      </c>
      <c r="G29" s="190">
        <f t="shared" ref="G29" si="28">F29/F28-1</f>
        <v>0.1366155347725917</v>
      </c>
      <c r="H29" s="190">
        <f t="shared" ref="H29" si="29">F29/F17-1</f>
        <v>-3.3260090840157686E-2</v>
      </c>
      <c r="I29" s="130">
        <f t="shared" si="0"/>
        <v>270.60704017707371</v>
      </c>
      <c r="J29" s="130">
        <f t="shared" si="5"/>
        <v>-0.10550255044655132</v>
      </c>
      <c r="K29" s="136"/>
      <c r="L29" s="190"/>
      <c r="M29" s="190"/>
      <c r="N29" s="191"/>
      <c r="O29" s="192"/>
      <c r="P29" s="129" t="s">
        <v>427</v>
      </c>
      <c r="Q29" s="116">
        <v>16196654</v>
      </c>
      <c r="R29" s="116">
        <v>21365500040</v>
      </c>
      <c r="S29" s="116">
        <v>59853.04</v>
      </c>
      <c r="T29" s="130">
        <f t="shared" ref="T29" si="30">Q29/S29</f>
        <v>270.60704017707371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712949.63157894742</v>
      </c>
      <c r="G30" s="190">
        <f t="shared" ref="G30" si="31">F30/F29-1</f>
        <v>-3.1596779511568029E-2</v>
      </c>
      <c r="H30" s="190">
        <f t="shared" ref="H30" si="32">F30/F18-1</f>
        <v>-8.2167243029613757E-2</v>
      </c>
      <c r="I30" s="130">
        <f t="shared" si="0"/>
        <v>304.62102283166223</v>
      </c>
      <c r="J30" s="130">
        <f t="shared" si="5"/>
        <v>-2.8101707601702608E-2</v>
      </c>
      <c r="K30" s="136"/>
      <c r="L30" s="190"/>
      <c r="M30" s="190"/>
      <c r="N30" s="191"/>
      <c r="O30" s="192"/>
      <c r="P30" s="129" t="s">
        <v>466</v>
      </c>
      <c r="Q30" s="116">
        <v>13546043</v>
      </c>
      <c r="R30" s="116">
        <v>18053836695</v>
      </c>
      <c r="S30" s="116">
        <v>44468.51</v>
      </c>
      <c r="T30" s="130">
        <f t="shared" ref="T30" si="33">Q30/S30</f>
        <v>304.62102283166223</v>
      </c>
      <c r="U30" s="85"/>
    </row>
    <row r="31" spans="1:21" s="92" customFormat="1" ht="13.2" hidden="1">
      <c r="A31" s="129" t="s">
        <v>505</v>
      </c>
      <c r="B31" s="188">
        <f>SUM(F29:F31)</f>
        <v>2478536.2270334931</v>
      </c>
      <c r="C31" s="188">
        <f>AVERAGE(F29:F31)</f>
        <v>826178.7423444977</v>
      </c>
      <c r="D31" s="190">
        <f>C31/C28-1</f>
        <v>0.32134148378901339</v>
      </c>
      <c r="E31" s="287">
        <f>C31/C19-1</f>
        <v>0.10600846864184144</v>
      </c>
      <c r="F31" s="136">
        <f>Q31/20</f>
        <v>1029375.05</v>
      </c>
      <c r="G31" s="190">
        <f t="shared" ref="G31" si="34">F31/F30-1</f>
        <v>0.44382576889797254</v>
      </c>
      <c r="H31" s="190">
        <f t="shared" ref="H31" si="35">F31/F19-1</f>
        <v>0.46497212598956983</v>
      </c>
      <c r="I31" s="130">
        <f t="shared" si="0"/>
        <v>302.99325680905105</v>
      </c>
      <c r="J31" s="130">
        <f t="shared" si="5"/>
        <v>-7.3964076199923845E-2</v>
      </c>
      <c r="K31" s="136">
        <f>R29+R30+R31</f>
        <v>66754844327</v>
      </c>
      <c r="L31" s="190">
        <f>U31/U28-1</f>
        <v>0.34663054189933606</v>
      </c>
      <c r="M31" s="190">
        <f>U31/U19-1</f>
        <v>8.8813824320310264E-2</v>
      </c>
      <c r="N31" s="191">
        <f>AVERAGE(T29:T31)</f>
        <v>292.74043993926233</v>
      </c>
      <c r="O31" s="192">
        <f>N31/N28-1</f>
        <v>3.0994459404565911E-2</v>
      </c>
      <c r="P31" s="129" t="s">
        <v>505</v>
      </c>
      <c r="Q31" s="116">
        <v>20587501</v>
      </c>
      <c r="R31" s="116">
        <v>27335507592</v>
      </c>
      <c r="S31" s="116">
        <v>67947.06</v>
      </c>
      <c r="T31" s="130">
        <f t="shared" ref="T31" si="36">Q31/S31</f>
        <v>302.99325680905105</v>
      </c>
      <c r="U31" s="85">
        <f>Q29+Q30+Q31</f>
        <v>50330198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778928.38095238095</v>
      </c>
      <c r="G32" s="190">
        <f t="shared" ref="G32" si="37">F32/F31-1</f>
        <v>-0.24329972739053574</v>
      </c>
      <c r="H32" s="190">
        <f t="shared" ref="H32" si="38">F32/F20-1</f>
        <v>0.19589893456546448</v>
      </c>
      <c r="I32" s="130">
        <f t="shared" si="0"/>
        <v>289.11018905327722</v>
      </c>
      <c r="J32" s="130">
        <f t="shared" si="5"/>
        <v>-8.1034899516400083E-3</v>
      </c>
      <c r="K32" s="136"/>
      <c r="L32" s="190"/>
      <c r="M32" s="190"/>
      <c r="N32" s="191"/>
      <c r="O32" s="192"/>
      <c r="P32" s="129" t="s">
        <v>566</v>
      </c>
      <c r="Q32" s="116">
        <v>16357496</v>
      </c>
      <c r="R32" s="116">
        <v>22235635399</v>
      </c>
      <c r="S32" s="116">
        <v>56578.76</v>
      </c>
      <c r="T32" s="130">
        <f t="shared" ref="T32" si="39">Q32/S32</f>
        <v>289.11018905327722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854851.52380952379</v>
      </c>
      <c r="G33" s="190">
        <f t="shared" ref="G33" si="40">F33/F32-1</f>
        <v>9.7471275554644743E-2</v>
      </c>
      <c r="H33" s="190">
        <f t="shared" ref="H33" si="41">F33/F21-1</f>
        <v>0.2172687853873625</v>
      </c>
      <c r="I33" s="130">
        <f t="shared" si="0"/>
        <v>285.06109354168507</v>
      </c>
      <c r="J33" s="130">
        <f t="shared" si="5"/>
        <v>-0.12518207302221263</v>
      </c>
      <c r="K33" s="136"/>
      <c r="L33" s="190"/>
      <c r="M33" s="190"/>
      <c r="N33" s="191"/>
      <c r="O33" s="192"/>
      <c r="P33" s="129" t="s">
        <v>607</v>
      </c>
      <c r="Q33" s="116">
        <v>17951882</v>
      </c>
      <c r="R33" s="116">
        <v>24545011310</v>
      </c>
      <c r="S33" s="116">
        <v>62975.56</v>
      </c>
      <c r="T33" s="130">
        <f t="shared" ref="T33" si="42">Q33/S33</f>
        <v>285.06109354168507</v>
      </c>
      <c r="U33" s="85"/>
    </row>
    <row r="34" spans="1:21" s="92" customFormat="1" ht="13.2" hidden="1">
      <c r="A34" s="129" t="s">
        <v>652</v>
      </c>
      <c r="B34" s="188">
        <f>SUM(F32:F34)</f>
        <v>2384707.852130326</v>
      </c>
      <c r="C34" s="188">
        <f>AVERAGE(F32:F34)</f>
        <v>794902.61737677536</v>
      </c>
      <c r="D34" s="190">
        <f>C34/C31-1</f>
        <v>-3.7856366140537778E-2</v>
      </c>
      <c r="E34" s="287">
        <f>C34/C22-1</f>
        <v>0.20542750632263762</v>
      </c>
      <c r="F34" s="136">
        <f>Q34/19</f>
        <v>750927.94736842101</v>
      </c>
      <c r="G34" s="190">
        <f t="shared" ref="G34" si="43">F34/F33-1</f>
        <v>-0.12156915387830414</v>
      </c>
      <c r="H34" s="190">
        <f t="shared" ref="H34" si="44">F34/F22-1</f>
        <v>0.20205070995233121</v>
      </c>
      <c r="I34" s="130">
        <f t="shared" si="0"/>
        <v>290.97976121013841</v>
      </c>
      <c r="J34" s="130">
        <f t="shared" si="5"/>
        <v>-2.7067129348407826E-2</v>
      </c>
      <c r="K34" s="136">
        <f>R32+R33+R34</f>
        <v>66402872185</v>
      </c>
      <c r="L34" s="190">
        <f>U34/U31-1</f>
        <v>-3.4833739378493989E-2</v>
      </c>
      <c r="M34" s="190">
        <f>U34/U22-1</f>
        <v>0.18790082505745698</v>
      </c>
      <c r="N34" s="191">
        <f>AVERAGE(T32:T34)</f>
        <v>288.3836812683669</v>
      </c>
      <c r="O34" s="192">
        <f>N34/N31-1</f>
        <v>-1.488266763484869E-2</v>
      </c>
      <c r="P34" s="129" t="s">
        <v>652</v>
      </c>
      <c r="Q34" s="116">
        <v>14267631</v>
      </c>
      <c r="R34" s="116">
        <v>19622225476</v>
      </c>
      <c r="S34" s="116">
        <v>49033.07</v>
      </c>
      <c r="T34" s="130">
        <f t="shared" ref="T34" si="45">Q34/S34</f>
        <v>290.97976121013841</v>
      </c>
      <c r="U34" s="85">
        <f>Q32+Q33+Q34</f>
        <v>48577009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772219</v>
      </c>
      <c r="G35" s="190">
        <f t="shared" ref="G35" si="46">F35/F34-1</f>
        <v>2.8352990065414474E-2</v>
      </c>
      <c r="H35" s="190">
        <f t="shared" ref="H35" si="47">F35/F23-1</f>
        <v>0.59437174920090174</v>
      </c>
      <c r="I35" s="130">
        <f t="shared" si="0"/>
        <v>288.9451579621055</v>
      </c>
      <c r="J35" s="130">
        <f t="shared" si="5"/>
        <v>6.5500988652333003E-2</v>
      </c>
      <c r="K35" s="136"/>
      <c r="L35" s="190"/>
      <c r="M35" s="190"/>
      <c r="N35" s="191"/>
      <c r="O35" s="192"/>
      <c r="P35" s="129" t="s">
        <v>660</v>
      </c>
      <c r="Q35" s="116">
        <v>17761037</v>
      </c>
      <c r="R35" s="116">
        <v>24588836722</v>
      </c>
      <c r="S35" s="116">
        <v>61468.54</v>
      </c>
      <c r="T35" s="130">
        <f t="shared" ref="T35" si="48">Q35/S35</f>
        <v>288.9451579621055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821930.85714285716</v>
      </c>
      <c r="G36" s="190">
        <f t="shared" ref="G36" si="49">F36/F35-1</f>
        <v>6.4375335420207458E-2</v>
      </c>
      <c r="H36" s="190">
        <f t="shared" ref="H36" si="50">F36/F24-1</f>
        <v>0.95871203061052168</v>
      </c>
      <c r="I36" s="130">
        <f t="shared" si="0"/>
        <v>268.39626969019093</v>
      </c>
      <c r="J36" s="130">
        <f t="shared" si="5"/>
        <v>-1.009540271394771E-3</v>
      </c>
      <c r="K36" s="136"/>
      <c r="L36" s="190"/>
      <c r="M36" s="190"/>
      <c r="N36" s="191"/>
      <c r="O36" s="192"/>
      <c r="P36" s="129" t="s">
        <v>688</v>
      </c>
      <c r="Q36" s="116">
        <v>17260548</v>
      </c>
      <c r="R36" s="116">
        <v>23589421265</v>
      </c>
      <c r="S36" s="116">
        <v>64309.94</v>
      </c>
      <c r="T36" s="130">
        <f t="shared" ref="T36" si="51">Q36/S36</f>
        <v>268.39626969019093</v>
      </c>
      <c r="U36" s="85"/>
    </row>
    <row r="37" spans="1:21" s="92" customFormat="1" ht="13.2" hidden="1">
      <c r="A37" s="129" t="s">
        <v>702</v>
      </c>
      <c r="B37" s="188">
        <f>SUM(F35:F37)</f>
        <v>2709867.1349206353</v>
      </c>
      <c r="C37" s="188">
        <f>AVERAGE(F35:F37)</f>
        <v>903289.04497354513</v>
      </c>
      <c r="D37" s="190">
        <f>C37/C34-1</f>
        <v>0.13635183131545259</v>
      </c>
      <c r="E37" s="287">
        <f>C37/C25-1</f>
        <v>0.90530525348658308</v>
      </c>
      <c r="F37" s="136">
        <f>Q37/18</f>
        <v>1115717.2777777778</v>
      </c>
      <c r="G37" s="190">
        <f t="shared" ref="G37" si="52">F37/F36-1</f>
        <v>0.35743447040808518</v>
      </c>
      <c r="H37" s="190">
        <f t="shared" ref="H37" si="53">F37/F25-1</f>
        <v>1.1526240436224771</v>
      </c>
      <c r="I37" s="130">
        <f t="shared" si="0"/>
        <v>297.10658944001307</v>
      </c>
      <c r="J37" s="130">
        <f t="shared" si="5"/>
        <v>0.11199136151585676</v>
      </c>
      <c r="K37" s="136">
        <f>R35+R36+R37</f>
        <v>74980077741</v>
      </c>
      <c r="L37" s="190">
        <f>U37/U34-1</f>
        <v>0.1343739998483644</v>
      </c>
      <c r="M37" s="190">
        <f>U37/U25-1</f>
        <v>0.88386402797709818</v>
      </c>
      <c r="N37" s="191">
        <f>AVERAGE(T35:T37)</f>
        <v>284.81600569743654</v>
      </c>
      <c r="O37" s="192">
        <f>N37/N34-1</f>
        <v>-1.2371281049049054E-2</v>
      </c>
      <c r="P37" s="129" t="s">
        <v>702</v>
      </c>
      <c r="Q37" s="116">
        <v>20082911</v>
      </c>
      <c r="R37" s="116">
        <v>26801819754</v>
      </c>
      <c r="S37" s="116">
        <v>67594.97</v>
      </c>
      <c r="T37" s="130">
        <f t="shared" ref="T37" si="54">Q37/S37</f>
        <v>297.10658944001307</v>
      </c>
      <c r="U37" s="85">
        <f>Q35+Q36+Q37</f>
        <v>55104496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800383.4</v>
      </c>
      <c r="G38" s="190">
        <f t="shared" ref="G38" si="55">F38/F37-1</f>
        <v>-0.28262883802054395</v>
      </c>
      <c r="H38" s="190">
        <f t="shared" ref="H38" si="56">F38/F26-1</f>
        <v>0.23204223686137881</v>
      </c>
      <c r="I38" s="130">
        <f t="shared" si="0"/>
        <v>286.82282661085856</v>
      </c>
      <c r="J38" s="130">
        <f t="shared" si="5"/>
        <v>2.103230506559739E-2</v>
      </c>
      <c r="K38" s="136"/>
      <c r="L38" s="190"/>
      <c r="M38" s="190"/>
      <c r="N38" s="191"/>
      <c r="O38" s="192"/>
      <c r="P38" s="129" t="s">
        <v>728</v>
      </c>
      <c r="Q38" s="116">
        <v>16007668</v>
      </c>
      <c r="R38" s="116">
        <v>21511286638</v>
      </c>
      <c r="S38" s="116">
        <v>55810.3</v>
      </c>
      <c r="T38" s="130">
        <f t="shared" ref="T38" si="57">Q38/S38</f>
        <v>286.82282661085856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843020</v>
      </c>
      <c r="G39" s="190">
        <f t="shared" ref="G39" si="58">F39/F38-1</f>
        <v>5.3270220246946609E-2</v>
      </c>
      <c r="H39" s="190">
        <f t="shared" ref="H39" si="59">F39/F27-1</f>
        <v>0.45747699946664167</v>
      </c>
      <c r="I39" s="130">
        <f t="shared" si="0"/>
        <v>295.97773741146415</v>
      </c>
      <c r="J39" s="130">
        <f t="shared" si="5"/>
        <v>8.159259057807855E-2</v>
      </c>
      <c r="K39" s="136"/>
      <c r="L39" s="190"/>
      <c r="M39" s="190"/>
      <c r="N39" s="191"/>
      <c r="O39" s="192"/>
      <c r="P39" s="129" t="s">
        <v>762</v>
      </c>
      <c r="Q39" s="116">
        <v>17703420</v>
      </c>
      <c r="R39" s="116">
        <v>24613146238</v>
      </c>
      <c r="S39" s="116">
        <v>59813.35</v>
      </c>
      <c r="T39" s="130">
        <f t="shared" ref="T39" si="60">Q39/S39</f>
        <v>295.97773741146415</v>
      </c>
      <c r="U39" s="85"/>
    </row>
    <row r="40" spans="1:21" s="92" customFormat="1" ht="13.2" hidden="1">
      <c r="A40" s="129" t="s">
        <v>778</v>
      </c>
      <c r="B40" s="188">
        <f>SUM(F38:F40)</f>
        <v>2500281.4476190475</v>
      </c>
      <c r="C40" s="188">
        <f>AVERAGE(F38:F40)</f>
        <v>833427.14920634916</v>
      </c>
      <c r="D40" s="190">
        <f>C40/C37-1</f>
        <v>-7.7341683878433432E-2</v>
      </c>
      <c r="E40" s="287">
        <f>C40/C28-1</f>
        <v>0.33293415761013634</v>
      </c>
      <c r="F40" s="136">
        <f>Q40/21</f>
        <v>856878.04761904757</v>
      </c>
      <c r="G40" s="190">
        <f t="shared" ref="G40" si="61">F40/F39-1</f>
        <v>1.6438575145367285E-2</v>
      </c>
      <c r="H40" s="190">
        <f t="shared" ref="H40" si="62">F40/F28-1</f>
        <v>0.32290902844792502</v>
      </c>
      <c r="I40" s="130">
        <f t="shared" si="0"/>
        <v>300.09938027003949</v>
      </c>
      <c r="J40" s="130">
        <f t="shared" si="5"/>
        <v>9.5682992139802803E-3</v>
      </c>
      <c r="K40" s="136">
        <f>R38+R39+R40</f>
        <v>71708706472</v>
      </c>
      <c r="L40" s="190">
        <f>U40/U37-1</f>
        <v>-6.1682244584906454E-2</v>
      </c>
      <c r="M40" s="190">
        <f>U40/U28-1</f>
        <v>0.38342872887566926</v>
      </c>
      <c r="N40" s="191">
        <f>AVERAGE(T38:T40)</f>
        <v>294.29998143078745</v>
      </c>
      <c r="O40" s="192">
        <f>N40/N37-1</f>
        <v>3.3298605217523702E-2</v>
      </c>
      <c r="P40" s="129" t="s">
        <v>778</v>
      </c>
      <c r="Q40" s="116">
        <v>17994439</v>
      </c>
      <c r="R40" s="116">
        <v>25584273596</v>
      </c>
      <c r="S40" s="116">
        <v>59961.599999999999</v>
      </c>
      <c r="T40" s="130">
        <f t="shared" ref="T40" si="63">Q40/S40</f>
        <v>300.09938027003949</v>
      </c>
      <c r="U40" s="85">
        <f>Q38+Q39+Q40</f>
        <v>51705527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1107478</v>
      </c>
      <c r="G41" s="190">
        <f t="shared" ref="G41" si="64">F41/F40-1</f>
        <v>0.29245696406539823</v>
      </c>
      <c r="H41" s="190">
        <f t="shared" ref="H41" si="65">F41/F29-1</f>
        <v>0.50429317067586932</v>
      </c>
      <c r="I41" s="130">
        <f t="shared" si="0"/>
        <v>334.88969839673098</v>
      </c>
      <c r="J41" s="130">
        <f t="shared" si="5"/>
        <v>0.23754983675810304</v>
      </c>
      <c r="K41" s="194"/>
      <c r="L41" s="202"/>
      <c r="M41" s="202"/>
      <c r="N41" s="194"/>
      <c r="O41" s="194"/>
      <c r="P41" s="129" t="s">
        <v>793</v>
      </c>
      <c r="Q41" s="116">
        <v>19934604</v>
      </c>
      <c r="R41" s="116">
        <v>29183439646</v>
      </c>
      <c r="S41" s="116">
        <v>59525.88</v>
      </c>
      <c r="T41" s="130">
        <f t="shared" ref="T41" si="66">Q41/S41</f>
        <v>334.88969839673098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926733.45</v>
      </c>
      <c r="G42" s="190">
        <f t="shared" ref="G42" si="67">F42/F41-1</f>
        <v>-0.16320373858442339</v>
      </c>
      <c r="H42" s="190">
        <f t="shared" ref="H42" si="68">F42/F30-1</f>
        <v>0.29985823535330569</v>
      </c>
      <c r="I42" s="130">
        <f t="shared" si="0"/>
        <v>347.80776798940434</v>
      </c>
      <c r="J42" s="130">
        <f t="shared" si="5"/>
        <v>0.14177204434641966</v>
      </c>
      <c r="K42" s="194"/>
      <c r="L42" s="202"/>
      <c r="M42" s="202"/>
      <c r="N42" s="194"/>
      <c r="O42" s="194"/>
      <c r="P42" s="129" t="s">
        <v>826</v>
      </c>
      <c r="Q42" s="116">
        <v>18534669</v>
      </c>
      <c r="R42" s="116">
        <v>26822630713</v>
      </c>
      <c r="S42" s="116">
        <v>53289.98</v>
      </c>
      <c r="T42" s="130">
        <f t="shared" ref="T42" si="69">Q42/S42</f>
        <v>347.80776798940434</v>
      </c>
      <c r="U42" s="175"/>
    </row>
    <row r="43" spans="1:21" s="92" customFormat="1" ht="13.2">
      <c r="A43" s="129" t="s">
        <v>835</v>
      </c>
      <c r="B43" s="188">
        <f>SUM(F41:F43)</f>
        <v>3034152</v>
      </c>
      <c r="C43" s="188">
        <f>AVERAGE(F41:F43)</f>
        <v>1011384</v>
      </c>
      <c r="D43" s="190">
        <f>C43/C40-1</f>
        <v>0.21352418260325989</v>
      </c>
      <c r="E43" s="287">
        <f>C43/C31-1</f>
        <v>0.22417093077211603</v>
      </c>
      <c r="F43" s="136">
        <f>Q43/20</f>
        <v>999940.55</v>
      </c>
      <c r="G43" s="190">
        <f t="shared" ref="G43" si="70">F43/F42-1</f>
        <v>7.8994774603204476E-2</v>
      </c>
      <c r="H43" s="190">
        <f t="shared" ref="H43" si="71">F43/F31-1</f>
        <v>-2.8594534130198745E-2</v>
      </c>
      <c r="I43" s="130">
        <f t="shared" si="0"/>
        <v>343.04448813947505</v>
      </c>
      <c r="J43" s="130">
        <f t="shared" si="5"/>
        <v>0.13218522336840199</v>
      </c>
      <c r="K43" s="136">
        <f>R41+R42+R43</f>
        <v>85002087625</v>
      </c>
      <c r="L43" s="190">
        <f>U43/U40-1</f>
        <v>0.13078982832918418</v>
      </c>
      <c r="M43" s="190">
        <f>K43/K31-1</f>
        <v>0.2733471028501766</v>
      </c>
      <c r="N43" s="191">
        <f>AVERAGE(T41:T43)</f>
        <v>341.91398484187016</v>
      </c>
      <c r="O43" s="192">
        <f>N43/N40-1</f>
        <v>0.16178731367769528</v>
      </c>
      <c r="P43" s="129" t="s">
        <v>835</v>
      </c>
      <c r="Q43" s="116">
        <v>19998811</v>
      </c>
      <c r="R43" s="116">
        <v>28996017266</v>
      </c>
      <c r="S43" s="116">
        <v>58298.01</v>
      </c>
      <c r="T43" s="130">
        <f t="shared" ref="T43" si="72">Q43/S43</f>
        <v>343.04448813947505</v>
      </c>
      <c r="U43" s="85">
        <f>Q41+Q42+Q43</f>
        <v>58468084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839322.31818181823</v>
      </c>
      <c r="G44" s="190">
        <f t="shared" ref="G44" si="73">F44/F43-1</f>
        <v>-0.16062778113977061</v>
      </c>
      <c r="H44" s="190">
        <f t="shared" ref="H44" si="74">F44/F32-1</f>
        <v>7.7534647223400421E-2</v>
      </c>
      <c r="I44" s="130">
        <f t="shared" si="0"/>
        <v>319.93446097329939</v>
      </c>
      <c r="J44" s="130">
        <f t="shared" si="5"/>
        <v>0.10661772945796066</v>
      </c>
      <c r="K44" s="136"/>
      <c r="L44" s="190"/>
      <c r="M44" s="190"/>
      <c r="N44" s="191"/>
      <c r="O44" s="192"/>
      <c r="P44" s="129" t="s">
        <v>843</v>
      </c>
      <c r="Q44" s="116">
        <v>18465091</v>
      </c>
      <c r="R44" s="116">
        <v>26835730445</v>
      </c>
      <c r="S44" s="116">
        <v>57715.23</v>
      </c>
      <c r="T44" s="130">
        <f t="shared" ref="T44" si="75">Q44/S44</f>
        <v>319.93446097329939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979914</v>
      </c>
      <c r="G45" s="190">
        <f t="shared" ref="G45" si="76">F45/F44-1</f>
        <v>0.16750618775721171</v>
      </c>
      <c r="H45" s="190">
        <f t="shared" ref="H45" si="77">F45/F33-1</f>
        <v>0.14629730743551006</v>
      </c>
      <c r="I45" s="130">
        <f t="shared" si="0"/>
        <v>333.39366700576005</v>
      </c>
      <c r="J45" s="130">
        <f t="shared" si="5"/>
        <v>0.16955163141899332</v>
      </c>
      <c r="K45" s="136"/>
      <c r="L45" s="190"/>
      <c r="M45" s="190"/>
      <c r="N45" s="191"/>
      <c r="O45" s="192"/>
      <c r="P45" s="129" t="s">
        <v>849</v>
      </c>
      <c r="Q45" s="116">
        <v>19598280</v>
      </c>
      <c r="R45" s="116">
        <v>27589953565</v>
      </c>
      <c r="S45" s="116">
        <v>58784.2</v>
      </c>
      <c r="T45" s="130">
        <f t="shared" ref="T45" si="78">Q45/S45</f>
        <v>333.39366700576005</v>
      </c>
      <c r="U45" s="85"/>
    </row>
    <row r="46" spans="1:21" s="92" customFormat="1" ht="13.2">
      <c r="A46" s="129" t="s">
        <v>888</v>
      </c>
      <c r="B46" s="188">
        <f>SUM(F44:F46)</f>
        <v>2694826.7918660287</v>
      </c>
      <c r="C46" s="188">
        <f>AVERAGE(F44:F46)</f>
        <v>898275.59728867619</v>
      </c>
      <c r="D46" s="190">
        <f>C46/C43-1</f>
        <v>-0.11183526999767035</v>
      </c>
      <c r="E46" s="287">
        <f>C46/C34-1</f>
        <v>0.13004483524414301</v>
      </c>
      <c r="F46" s="136">
        <f>Q46/19</f>
        <v>875590.47368421056</v>
      </c>
      <c r="G46" s="190">
        <f t="shared" ref="G46" si="79">F46/F45-1</f>
        <v>-0.10646192044994707</v>
      </c>
      <c r="H46" s="190">
        <f t="shared" ref="H46" si="80">F46/F34-1</f>
        <v>0.16601130208652037</v>
      </c>
      <c r="I46" s="130">
        <f t="shared" si="0"/>
        <v>309.22828706401492</v>
      </c>
      <c r="J46" s="130">
        <f t="shared" si="5"/>
        <v>6.2714072545746236E-2</v>
      </c>
      <c r="K46" s="136">
        <f>R44+R45+R46</f>
        <v>77196841850</v>
      </c>
      <c r="L46" s="190">
        <f>U46/U43-1</f>
        <v>-6.4453865120669973E-2</v>
      </c>
      <c r="M46" s="190">
        <f>K46/K34-1</f>
        <v>0.16255275276237668</v>
      </c>
      <c r="N46" s="191">
        <f>AVERAGE(T44:T46)</f>
        <v>320.85213834769144</v>
      </c>
      <c r="O46" s="192">
        <f>N46/N43-1</f>
        <v>-6.1599839222486019E-2</v>
      </c>
      <c r="P46" s="129" t="s">
        <v>946</v>
      </c>
      <c r="Q46" s="116">
        <v>16636219</v>
      </c>
      <c r="R46" s="116">
        <v>22771157840</v>
      </c>
      <c r="S46" s="116">
        <v>53799.15</v>
      </c>
      <c r="T46" s="130">
        <f t="shared" ref="T46" si="81">Q46/S46</f>
        <v>309.22828706401492</v>
      </c>
      <c r="U46" s="85">
        <f t="shared" ref="U46:U51" si="82">Q44+Q45+Q46</f>
        <v>54699590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849822.73913043481</v>
      </c>
      <c r="G47" s="190">
        <f t="shared" ref="G47" si="83">F47/F46-1</f>
        <v>-2.9428980017739526E-2</v>
      </c>
      <c r="H47" s="190">
        <f t="shared" ref="H47" si="84">F47/F35-1</f>
        <v>0.10049447000194878</v>
      </c>
      <c r="I47" s="130">
        <f t="shared" si="0"/>
        <v>323.25113599754445</v>
      </c>
      <c r="J47" s="130">
        <f t="shared" si="5"/>
        <v>0.11872833681448336</v>
      </c>
      <c r="K47" s="136"/>
      <c r="L47" s="190"/>
      <c r="M47" s="190"/>
      <c r="N47" s="191"/>
      <c r="O47" s="192"/>
      <c r="P47" s="129" t="s">
        <v>991</v>
      </c>
      <c r="Q47" s="116">
        <v>19545923</v>
      </c>
      <c r="R47" s="116">
        <v>26827947285</v>
      </c>
      <c r="S47" s="116">
        <v>60466.68</v>
      </c>
      <c r="T47" s="130">
        <f t="shared" ref="T47" si="85">Q47/S47</f>
        <v>323.25113599754445</v>
      </c>
      <c r="U47" s="85">
        <f t="shared" si="82"/>
        <v>55780422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784193.85</v>
      </c>
      <c r="G48" s="190">
        <f t="shared" ref="G48" si="86">F48/F47-1</f>
        <v>-7.7226562797776399E-2</v>
      </c>
      <c r="H48" s="190">
        <f t="shared" ref="H48" si="87">F48/F36-1</f>
        <v>-4.5912629772820734E-2</v>
      </c>
      <c r="I48" s="130">
        <f t="shared" si="0"/>
        <v>288.96544621228259</v>
      </c>
      <c r="J48" s="130">
        <f t="shared" si="5"/>
        <v>7.6637341293284811E-2</v>
      </c>
      <c r="K48" s="136"/>
      <c r="L48" s="190"/>
      <c r="M48" s="190"/>
      <c r="N48" s="191"/>
      <c r="O48" s="192"/>
      <c r="P48" s="129" t="s">
        <v>1070</v>
      </c>
      <c r="Q48" s="116">
        <v>15683877</v>
      </c>
      <c r="R48" s="116">
        <v>21766616999</v>
      </c>
      <c r="S48" s="116">
        <v>54275.96</v>
      </c>
      <c r="T48" s="130">
        <f t="shared" ref="T48" si="88">Q48/S48</f>
        <v>288.96544621228259</v>
      </c>
      <c r="U48" s="85">
        <f t="shared" si="82"/>
        <v>51866019</v>
      </c>
    </row>
    <row r="49" spans="1:26" ht="13.2">
      <c r="A49" s="129" t="s">
        <v>1158</v>
      </c>
      <c r="B49" s="188">
        <f>SUM(F47:F49)</f>
        <v>2627519.0436758893</v>
      </c>
      <c r="C49" s="188">
        <f>AVERAGE(F47:F49)</f>
        <v>875839.68122529646</v>
      </c>
      <c r="D49" s="190">
        <f>C49/C46-1</f>
        <v>-2.497665096446966E-2</v>
      </c>
      <c r="E49" s="287">
        <f>C49/C37-1</f>
        <v>-3.0388239402430295E-2</v>
      </c>
      <c r="F49" s="136">
        <f>Q49/22</f>
        <v>993502.45454545459</v>
      </c>
      <c r="G49" s="190">
        <f t="shared" ref="G49" si="89">F49/F48-1</f>
        <v>0.26690926554123662</v>
      </c>
      <c r="H49" s="190">
        <f t="shared" ref="H49" si="90">F49/F37-1</f>
        <v>-0.10953924051059216</v>
      </c>
      <c r="I49" s="130">
        <f t="shared" si="0"/>
        <v>332.66817113016032</v>
      </c>
      <c r="J49" s="130">
        <f t="shared" si="5"/>
        <v>0.11969300902135416</v>
      </c>
      <c r="K49" s="136">
        <f>R47+R48+R49</f>
        <v>78948730010</v>
      </c>
      <c r="L49" s="190">
        <f>U49/U46-1</f>
        <v>4.3643179043937996E-2</v>
      </c>
      <c r="M49" s="190">
        <f>K49/K37-1</f>
        <v>5.2929423235712258E-2</v>
      </c>
      <c r="N49" s="191">
        <f>AVERAGE(T47:T49)</f>
        <v>314.96158444666247</v>
      </c>
      <c r="O49" s="192">
        <f>N49/N46-1</f>
        <v>-1.8359091921169246E-2</v>
      </c>
      <c r="P49" s="129" t="s">
        <v>1165</v>
      </c>
      <c r="Q49" s="116">
        <v>21857054</v>
      </c>
      <c r="R49" s="116">
        <v>30354165726</v>
      </c>
      <c r="S49" s="116">
        <v>65702.27</v>
      </c>
      <c r="T49" s="130">
        <f t="shared" ref="T49" si="91">Q49/S49</f>
        <v>332.66817113016032</v>
      </c>
      <c r="U49" s="85">
        <f t="shared" si="82"/>
        <v>57086854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974307.9444444445</v>
      </c>
      <c r="G50" s="190">
        <f t="shared" ref="G50" si="92">F50/F49-1</f>
        <v>-1.9320042958315464E-2</v>
      </c>
      <c r="H50" s="190">
        <f t="shared" ref="H50" si="93">F50/F38-1</f>
        <v>0.217301538793089</v>
      </c>
      <c r="I50" s="130">
        <f t="shared" ref="I50" si="94">T50</f>
        <v>308.94955295571731</v>
      </c>
      <c r="J50" s="130">
        <f t="shared" ref="J50" si="95">I50/I38-1</f>
        <v>7.7144230835151761E-2</v>
      </c>
      <c r="K50" s="136"/>
      <c r="L50" s="190"/>
      <c r="M50" s="190"/>
      <c r="N50" s="191"/>
      <c r="O50" s="192"/>
      <c r="P50" s="129" t="s">
        <v>1358</v>
      </c>
      <c r="Q50" s="116">
        <v>17537543</v>
      </c>
      <c r="R50" s="116">
        <v>24787156567</v>
      </c>
      <c r="S50" s="116">
        <v>56765.07</v>
      </c>
      <c r="T50" s="130">
        <f t="shared" ref="T50" si="96">Q50/S50</f>
        <v>308.94955295571731</v>
      </c>
      <c r="U50" s="85">
        <f t="shared" si="82"/>
        <v>55078474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837181.25</v>
      </c>
      <c r="G51" s="190">
        <f t="shared" ref="G51:G52" si="97">F51/F50-1</f>
        <v>-0.14074266275498226</v>
      </c>
      <c r="H51" s="190">
        <f t="shared" ref="H51:H52" si="98">F51/F39-1</f>
        <v>-6.9259922659011819E-3</v>
      </c>
      <c r="I51" s="130">
        <f t="shared" ref="I51:I52" si="99">T51</f>
        <v>309.09046101180661</v>
      </c>
      <c r="J51" s="130">
        <f t="shared" ref="J51:J52" si="100">I51/I39-1</f>
        <v>4.430307399138389E-2</v>
      </c>
      <c r="K51" s="136"/>
      <c r="L51" s="190"/>
      <c r="M51" s="190"/>
      <c r="N51" s="191"/>
      <c r="O51" s="192"/>
      <c r="P51" s="129" t="s">
        <v>1402</v>
      </c>
      <c r="Q51" s="116">
        <v>16743625</v>
      </c>
      <c r="R51" s="116">
        <v>24198656125</v>
      </c>
      <c r="S51" s="116">
        <v>54170.63</v>
      </c>
      <c r="T51" s="130">
        <f t="shared" ref="T51:T52" si="101">Q51/S51</f>
        <v>309.09046101180661</v>
      </c>
      <c r="U51" s="85">
        <f t="shared" si="82"/>
        <v>56138222</v>
      </c>
    </row>
    <row r="52" spans="1:26" s="79" customFormat="1" ht="13.2">
      <c r="A52" s="129" t="s">
        <v>1403</v>
      </c>
      <c r="B52" s="188">
        <f>SUM(F50:F52)</f>
        <v>2685922.7853535353</v>
      </c>
      <c r="C52" s="188">
        <f>AVERAGE(F50:F52)</f>
        <v>895307.59511784511</v>
      </c>
      <c r="D52" s="190">
        <f>C52/C49-1</f>
        <v>2.2227713941109783E-2</v>
      </c>
      <c r="E52" s="287">
        <f>C52/C40-1</f>
        <v>7.424817630481928E-2</v>
      </c>
      <c r="F52" s="136">
        <f>Q52/22</f>
        <v>874433.59090909094</v>
      </c>
      <c r="G52" s="190">
        <f t="shared" si="97"/>
        <v>4.4497342611401036E-2</v>
      </c>
      <c r="H52" s="190">
        <f t="shared" si="98"/>
        <v>2.0487796762705957E-2</v>
      </c>
      <c r="I52" s="130">
        <f t="shared" si="99"/>
        <v>314.60937492334097</v>
      </c>
      <c r="J52" s="130">
        <f t="shared" si="100"/>
        <v>4.8350631848172787E-2</v>
      </c>
      <c r="K52" s="136">
        <f>R50+R51+R52</f>
        <v>77291733127</v>
      </c>
      <c r="L52" s="190">
        <f>U52/U49-1</f>
        <v>-6.2503829690807589E-2</v>
      </c>
      <c r="M52" s="190">
        <f>K52/K40-1</f>
        <v>7.7857026429280163E-2</v>
      </c>
      <c r="N52" s="191">
        <f>AVERAGE(T50:T52)</f>
        <v>310.88312963028829</v>
      </c>
      <c r="O52" s="192">
        <f>N52/N49-1</f>
        <v>-1.2949054798347515E-2</v>
      </c>
      <c r="P52" s="129" t="s">
        <v>1403</v>
      </c>
      <c r="Q52" s="116">
        <v>19237539</v>
      </c>
      <c r="R52" s="116">
        <v>28305920435</v>
      </c>
      <c r="S52" s="116">
        <v>61147.38</v>
      </c>
      <c r="T52" s="130">
        <f t="shared" si="101"/>
        <v>314.60937492334097</v>
      </c>
      <c r="U52" s="85">
        <f t="shared" ref="U52" si="102">Q50+Q51+Q52</f>
        <v>53518707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1054044.5238095238</v>
      </c>
      <c r="G53" s="190">
        <f t="shared" ref="G53" si="103">F53/F52-1</f>
        <v>0.20540259977170283</v>
      </c>
      <c r="H53" s="190">
        <f t="shared" ref="H53" si="104">F53/F41-1</f>
        <v>-4.8247889520583009E-2</v>
      </c>
      <c r="I53" s="130">
        <f t="shared" ref="I53" si="105">T53</f>
        <v>300.8001429603251</v>
      </c>
      <c r="J53" s="130">
        <f t="shared" ref="J53" si="106">I53/I41-1</f>
        <v>-0.10179338331279841</v>
      </c>
      <c r="K53" s="136"/>
      <c r="L53" s="190"/>
      <c r="M53" s="190"/>
      <c r="N53" s="191"/>
      <c r="O53" s="192"/>
      <c r="P53" s="129" t="s">
        <v>1414</v>
      </c>
      <c r="Q53" s="116">
        <v>22134935</v>
      </c>
      <c r="R53" s="116">
        <v>32202675298</v>
      </c>
      <c r="S53" s="116">
        <v>73586.850000000006</v>
      </c>
      <c r="T53" s="130">
        <f t="shared" ref="T53" si="107">Q53/S53</f>
        <v>300.8001429603251</v>
      </c>
      <c r="U53" s="85">
        <f t="shared" ref="U53" si="108">Q51+Q52+Q53</f>
        <v>58116099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1256801.4117647058</v>
      </c>
      <c r="G54" s="190">
        <f t="shared" ref="G54" si="109">F54/F53-1</f>
        <v>0.19236083806249371</v>
      </c>
      <c r="H54" s="190">
        <f t="shared" ref="H54" si="110">F54/F42-1</f>
        <v>0.35616277988531198</v>
      </c>
      <c r="I54" s="130">
        <f t="shared" ref="I54" si="111">T54</f>
        <v>318.22429920461889</v>
      </c>
      <c r="J54" s="130">
        <f t="shared" ref="J54" si="112">I54/I42-1</f>
        <v>-8.5056952453364087E-2</v>
      </c>
      <c r="K54" s="136"/>
      <c r="L54" s="190"/>
      <c r="M54" s="190"/>
      <c r="N54" s="191"/>
      <c r="O54" s="192"/>
      <c r="P54" s="129" t="s">
        <v>1417</v>
      </c>
      <c r="Q54" s="116">
        <v>21365624</v>
      </c>
      <c r="R54" s="116">
        <v>30909327745</v>
      </c>
      <c r="S54" s="116">
        <v>67140.14</v>
      </c>
      <c r="T54" s="130">
        <f t="shared" ref="T54" si="113">Q54/S54</f>
        <v>318.22429920461889</v>
      </c>
      <c r="U54" s="85">
        <f t="shared" ref="U54" si="114">Q52+Q53+Q54</f>
        <v>62738098</v>
      </c>
    </row>
    <row r="55" spans="1:26" s="79" customFormat="1" ht="13.2">
      <c r="A55" s="129" t="s">
        <v>1418</v>
      </c>
      <c r="B55" s="188">
        <f>SUM(F53:F55)</f>
        <v>3268442.2689075633</v>
      </c>
      <c r="C55" s="188">
        <f>AVERAGE(F53:F55)</f>
        <v>1089480.7563025211</v>
      </c>
      <c r="D55" s="190">
        <f>C55/C52-1</f>
        <v>0.21687871547556559</v>
      </c>
      <c r="E55" s="287">
        <f>C55/C43-1</f>
        <v>7.7217709893098174E-2</v>
      </c>
      <c r="F55" s="136">
        <f>Q55/21</f>
        <v>957596.33333333337</v>
      </c>
      <c r="G55" s="190">
        <f t="shared" ref="G55" si="115">F55/F54-1</f>
        <v>-0.23806870013875236</v>
      </c>
      <c r="H55" s="190">
        <f t="shared" ref="H55" si="116">F55/F43-1</f>
        <v>-4.2346734180013668E-2</v>
      </c>
      <c r="I55" s="130">
        <f>T55</f>
        <v>316.54851303672461</v>
      </c>
      <c r="J55" s="130">
        <f t="shared" ref="J55" si="117">I55/I43-1</f>
        <v>-7.7237722857618651E-2</v>
      </c>
      <c r="K55" s="136">
        <f>R53+R54+R55</f>
        <v>92711287415</v>
      </c>
      <c r="L55" s="190">
        <f>U55/U52-1</f>
        <v>0.18855789995075933</v>
      </c>
      <c r="M55" s="190">
        <f>K55/K43-1</f>
        <v>9.0694240640422086E-2</v>
      </c>
      <c r="N55" s="191">
        <f>AVERAGE(T53:T55)</f>
        <v>311.85765173388955</v>
      </c>
      <c r="O55" s="192">
        <f>N55/N52-1</f>
        <v>3.1346895689070564E-3</v>
      </c>
      <c r="P55" s="129" t="s">
        <v>1418</v>
      </c>
      <c r="Q55" s="116">
        <v>20109523</v>
      </c>
      <c r="R55" s="116">
        <v>29599284372</v>
      </c>
      <c r="S55" s="116">
        <v>63527.46</v>
      </c>
      <c r="T55" s="130">
        <f t="shared" ref="T55" si="118">Q55/S55</f>
        <v>316.54851303672461</v>
      </c>
      <c r="U55" s="85">
        <f t="shared" ref="U55" si="119">Q53+Q54+Q55</f>
        <v>63610082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930179.09090909094</v>
      </c>
      <c r="G56" s="190">
        <f t="shared" ref="G56" si="120">F56/F55-1</f>
        <v>-2.8631315168892391E-2</v>
      </c>
      <c r="H56" s="190">
        <f t="shared" ref="H56" si="121">F56/F44-1</f>
        <v>0.10825015701249452</v>
      </c>
      <c r="I56" s="291">
        <f>T56</f>
        <v>324.73099408059238</v>
      </c>
      <c r="J56" s="130">
        <f t="shared" ref="J56" si="122">I56/I44-1</f>
        <v>1.4992236512131329E-2</v>
      </c>
      <c r="K56" s="136"/>
      <c r="L56" s="190"/>
      <c r="M56" s="190"/>
      <c r="N56" s="191"/>
      <c r="O56" s="192"/>
      <c r="P56" s="129" t="s">
        <v>1420</v>
      </c>
      <c r="Q56" s="116">
        <v>20463940</v>
      </c>
      <c r="R56" s="116">
        <v>30553003931</v>
      </c>
      <c r="S56" s="116">
        <v>63018.13</v>
      </c>
      <c r="T56" s="130">
        <f t="shared" ref="T56" si="123">Q56/S56</f>
        <v>324.73099408059238</v>
      </c>
      <c r="U56" s="85">
        <f t="shared" ref="U56" si="124">Q54+Q55+Q56</f>
        <v>61939087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1281542.5</v>
      </c>
      <c r="G57" s="254">
        <f t="shared" ref="G57" si="125">F57/F56-1</f>
        <v>0.37773737608691182</v>
      </c>
      <c r="H57" s="254">
        <f t="shared" ref="H57" si="126">F57/F45-1</f>
        <v>0.30781119567635518</v>
      </c>
      <c r="I57" s="282">
        <f>T57</f>
        <v>299.35639924620284</v>
      </c>
      <c r="J57" s="277">
        <f t="shared" ref="J57" si="127">I57/I45-1</f>
        <v>-0.1020933242831189</v>
      </c>
      <c r="K57" s="204"/>
      <c r="L57" s="254"/>
      <c r="M57" s="254"/>
      <c r="N57" s="257"/>
      <c r="O57" s="258"/>
      <c r="P57" s="129" t="s">
        <v>1436</v>
      </c>
      <c r="Q57" s="116">
        <v>15378510</v>
      </c>
      <c r="R57" s="116">
        <v>22651527129</v>
      </c>
      <c r="S57" s="116">
        <v>51371.91</v>
      </c>
      <c r="T57" s="130">
        <f t="shared" ref="T57" si="128">Q57/S57</f>
        <v>299.35639924620284</v>
      </c>
      <c r="U57" s="85">
        <f t="shared" ref="U57" si="129">Q55+Q56+Q57</f>
        <v>55951973</v>
      </c>
    </row>
    <row r="58" spans="1:26">
      <c r="B58" s="196">
        <f>SUM(F56:F58)</f>
        <v>2211721.5909090908</v>
      </c>
      <c r="C58" s="196">
        <f>AVERAGE(F56:F58)</f>
        <v>1105860.7954545454</v>
      </c>
      <c r="D58" s="197">
        <f>C58/C55-1</f>
        <v>1.5034720950569902E-2</v>
      </c>
      <c r="E58" s="233">
        <f>C58/C46-1</f>
        <v>0.23109299505901881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99452532</v>
      </c>
      <c r="R64" s="212">
        <v>145915818475</v>
      </c>
      <c r="S64" s="213">
        <v>318644.52</v>
      </c>
      <c r="T64" s="214">
        <v>26</v>
      </c>
      <c r="U64" s="214">
        <v>81</v>
      </c>
    </row>
    <row r="65" spans="16:21" ht="18" thickBot="1">
      <c r="P65" s="180" t="s">
        <v>976</v>
      </c>
      <c r="Q65" s="181">
        <v>22134935</v>
      </c>
      <c r="R65" s="181">
        <v>32202675298</v>
      </c>
      <c r="S65" s="182">
        <v>73586.850000000006</v>
      </c>
      <c r="T65" s="210">
        <v>17</v>
      </c>
      <c r="U65" s="210">
        <v>50</v>
      </c>
    </row>
    <row r="66" spans="16:21" ht="18" thickBot="1">
      <c r="P66" s="180" t="s">
        <v>977</v>
      </c>
      <c r="Q66" s="181">
        <v>21365624</v>
      </c>
      <c r="R66" s="181">
        <v>30909327745</v>
      </c>
      <c r="S66" s="182">
        <v>67140.14</v>
      </c>
      <c r="T66" s="210">
        <v>16</v>
      </c>
      <c r="U66" s="210">
        <v>52</v>
      </c>
    </row>
    <row r="67" spans="16:21" ht="18" thickBot="1">
      <c r="P67" s="180" t="s">
        <v>978</v>
      </c>
      <c r="Q67" s="181">
        <v>20109523</v>
      </c>
      <c r="R67" s="181">
        <v>29599284372</v>
      </c>
      <c r="S67" s="182">
        <v>63527.46</v>
      </c>
      <c r="T67" s="210">
        <v>22</v>
      </c>
      <c r="U67" s="210">
        <v>55</v>
      </c>
    </row>
    <row r="68" spans="16:21" ht="18" thickBot="1">
      <c r="P68" s="180" t="s">
        <v>979</v>
      </c>
      <c r="Q68" s="181">
        <v>20463940</v>
      </c>
      <c r="R68" s="181">
        <v>30553003931</v>
      </c>
      <c r="S68" s="182">
        <v>63018.13</v>
      </c>
      <c r="T68" s="210">
        <v>18</v>
      </c>
      <c r="U68" s="210">
        <v>48</v>
      </c>
    </row>
    <row r="69" spans="16:21" ht="18" thickBot="1">
      <c r="P69" s="180" t="s">
        <v>980</v>
      </c>
      <c r="Q69" s="181">
        <v>15378510</v>
      </c>
      <c r="R69" s="181">
        <v>22651527129</v>
      </c>
      <c r="S69" s="182">
        <v>51371.91</v>
      </c>
      <c r="T69" s="210">
        <v>17</v>
      </c>
      <c r="U69" s="210">
        <v>45</v>
      </c>
    </row>
    <row r="70" spans="16:21" ht="18" thickBot="1">
      <c r="P70" s="180" t="s">
        <v>975</v>
      </c>
      <c r="Q70" s="181">
        <v>223773235</v>
      </c>
      <c r="R70" s="181">
        <v>318439392612</v>
      </c>
      <c r="S70" s="182">
        <v>693940.49</v>
      </c>
      <c r="T70" s="210">
        <v>36</v>
      </c>
      <c r="U70" s="210">
        <v>131</v>
      </c>
    </row>
    <row r="71" spans="16:21" ht="18" thickBot="1">
      <c r="P71" s="215" t="s">
        <v>982</v>
      </c>
      <c r="Q71" s="216">
        <v>205695</v>
      </c>
      <c r="R71"/>
      <c r="S71"/>
      <c r="T71"/>
      <c r="U71"/>
    </row>
  </sheetData>
  <phoneticPr fontId="1" type="noConversion"/>
  <conditionalFormatting sqref="C29:C30">
    <cfRule type="cellIs" dxfId="2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6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865563.1</v>
      </c>
      <c r="G5" s="90"/>
      <c r="H5" s="90"/>
      <c r="I5" s="130">
        <f t="shared" ref="I5:I49" si="0">T5</f>
        <v>9.365589513035669</v>
      </c>
      <c r="J5" s="130"/>
      <c r="K5" s="86"/>
      <c r="L5" s="80"/>
      <c r="M5" s="80"/>
      <c r="N5" s="79"/>
      <c r="O5" s="79"/>
      <c r="P5" s="129" t="s">
        <v>0</v>
      </c>
      <c r="Q5" s="116">
        <v>17311262</v>
      </c>
      <c r="R5" s="116">
        <v>20410507688</v>
      </c>
      <c r="S5" s="116">
        <v>1848390</v>
      </c>
      <c r="T5" s="130">
        <f t="shared" ref="T5:T17" si="1">Q5/S5</f>
        <v>9.365589513035669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1462147.3333333333</v>
      </c>
      <c r="G6" s="90">
        <f t="shared" ref="G6:G16" si="2">F6/F5-1</f>
        <v>0.68924406936170612</v>
      </c>
      <c r="H6" s="90"/>
      <c r="I6" s="130">
        <f t="shared" si="0"/>
        <v>10.349104335875522</v>
      </c>
      <c r="J6" s="130"/>
      <c r="K6" s="78"/>
      <c r="L6" s="87"/>
      <c r="M6" s="87"/>
      <c r="N6" s="79"/>
      <c r="O6" s="79"/>
      <c r="P6" s="129" t="s">
        <v>1</v>
      </c>
      <c r="Q6" s="116">
        <v>26318652</v>
      </c>
      <c r="R6" s="116">
        <v>31237373323</v>
      </c>
      <c r="S6" s="116">
        <v>2543085</v>
      </c>
      <c r="T6" s="130">
        <f t="shared" si="1"/>
        <v>10.349104335875522</v>
      </c>
      <c r="U6" s="85"/>
    </row>
    <row r="7" spans="1:21" ht="15" hidden="1" customHeight="1">
      <c r="A7" s="129" t="s">
        <v>2</v>
      </c>
      <c r="B7" s="131">
        <f>F5+F6+F7</f>
        <v>2942939.9787878785</v>
      </c>
      <c r="C7" s="131">
        <f>AVERAGE(F5:F7)</f>
        <v>980979.99292929284</v>
      </c>
      <c r="D7" s="117"/>
      <c r="F7" s="78">
        <f>Q7/22</f>
        <v>615229.54545454541</v>
      </c>
      <c r="G7" s="90">
        <f t="shared" si="2"/>
        <v>-0.5792287607214146</v>
      </c>
      <c r="H7" s="90"/>
      <c r="I7" s="130">
        <f t="shared" si="0"/>
        <v>7.5819211368840085</v>
      </c>
      <c r="J7" s="130"/>
      <c r="K7" s="85">
        <f>R5+R6+R7</f>
        <v>68004342033</v>
      </c>
      <c r="L7" s="87"/>
      <c r="M7" s="87"/>
      <c r="N7" s="88">
        <f>AVERAGE(T5:T7)</f>
        <v>9.0988716619317334</v>
      </c>
      <c r="O7" s="79"/>
      <c r="P7" s="129" t="s">
        <v>2</v>
      </c>
      <c r="Q7" s="116">
        <v>13535050</v>
      </c>
      <c r="R7" s="116">
        <v>16356461022</v>
      </c>
      <c r="S7" s="116">
        <v>1785174.2</v>
      </c>
      <c r="T7" s="130">
        <f t="shared" si="1"/>
        <v>7.5819211368840085</v>
      </c>
      <c r="U7" s="85">
        <f>Q5+Q6+Q7</f>
        <v>57164964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1341003.142857143</v>
      </c>
      <c r="G8" s="90">
        <f t="shared" si="2"/>
        <v>1.17967936157289</v>
      </c>
      <c r="H8" s="90"/>
      <c r="I8" s="130">
        <f t="shared" si="0"/>
        <v>10.503212384370201</v>
      </c>
      <c r="J8" s="130"/>
      <c r="K8" s="78"/>
      <c r="L8" s="87"/>
      <c r="M8" s="87"/>
      <c r="N8" s="79"/>
      <c r="O8" s="79"/>
      <c r="P8" s="129" t="s">
        <v>3</v>
      </c>
      <c r="Q8" s="116">
        <v>28161066</v>
      </c>
      <c r="R8" s="116">
        <v>34200675129</v>
      </c>
      <c r="S8" s="116">
        <v>2681186</v>
      </c>
      <c r="T8" s="130">
        <f t="shared" si="1"/>
        <v>10.503212384370201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1277977.0952380951</v>
      </c>
      <c r="G9" s="90">
        <f t="shared" si="2"/>
        <v>-4.6999179647531975E-2</v>
      </c>
      <c r="H9" s="90"/>
      <c r="I9" s="130">
        <f t="shared" si="0"/>
        <v>9.0078073762100743</v>
      </c>
      <c r="J9" s="130"/>
      <c r="K9" s="78"/>
      <c r="L9" s="87"/>
      <c r="M9" s="87"/>
      <c r="N9" s="79"/>
      <c r="O9" s="79"/>
      <c r="P9" s="129" t="s">
        <v>4</v>
      </c>
      <c r="Q9" s="116">
        <v>26837519</v>
      </c>
      <c r="R9" s="116">
        <v>33747194517</v>
      </c>
      <c r="S9" s="116">
        <v>2979362</v>
      </c>
      <c r="T9" s="130">
        <f t="shared" si="1"/>
        <v>9.0078073762100743</v>
      </c>
      <c r="U9" s="85"/>
    </row>
    <row r="10" spans="1:21" ht="15" hidden="1" customHeight="1">
      <c r="A10" s="129" t="s">
        <v>5</v>
      </c>
      <c r="B10" s="131">
        <f>F8+F9+F10</f>
        <v>4243330.8571428563</v>
      </c>
      <c r="C10" s="131">
        <f>AVERAGE(F8:F10)</f>
        <v>1414443.6190476187</v>
      </c>
      <c r="D10" s="90">
        <f>C10/C7-1</f>
        <v>0.44186795780000088</v>
      </c>
      <c r="E10" s="286"/>
      <c r="F10" s="78">
        <f>Q10/21</f>
        <v>1624350.6190476189</v>
      </c>
      <c r="G10" s="90">
        <f t="shared" si="2"/>
        <v>0.27103265394986775</v>
      </c>
      <c r="H10" s="90"/>
      <c r="I10" s="130">
        <f t="shared" si="0"/>
        <v>10.551199420217591</v>
      </c>
      <c r="J10" s="130"/>
      <c r="K10" s="85">
        <f>R8+R9+R10</f>
        <v>110626901905</v>
      </c>
      <c r="L10" s="87">
        <f>U10/U7-1</f>
        <v>0.55882102890854624</v>
      </c>
      <c r="M10" s="87"/>
      <c r="N10" s="88">
        <f>AVERAGE(T8:T10)</f>
        <v>10.020739726932623</v>
      </c>
      <c r="O10" s="89">
        <f>N10/N7-1</f>
        <v>0.10131674555404957</v>
      </c>
      <c r="P10" s="129" t="s">
        <v>5</v>
      </c>
      <c r="Q10" s="116">
        <v>34111363</v>
      </c>
      <c r="R10" s="116">
        <v>42679032259</v>
      </c>
      <c r="S10" s="116">
        <v>3232937</v>
      </c>
      <c r="T10" s="130">
        <f t="shared" si="1"/>
        <v>10.551199420217591</v>
      </c>
      <c r="U10" s="85">
        <f>Q8+Q9+Q10</f>
        <v>89109948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1839712.2857142857</v>
      </c>
      <c r="G11" s="90">
        <f t="shared" si="2"/>
        <v>0.13258323919803505</v>
      </c>
      <c r="H11" s="90"/>
      <c r="I11" s="130">
        <f t="shared" si="0"/>
        <v>10.160757994317212</v>
      </c>
      <c r="J11" s="130"/>
      <c r="K11" s="78"/>
      <c r="L11" s="87"/>
      <c r="M11" s="87"/>
      <c r="N11" s="79"/>
      <c r="O11" s="89"/>
      <c r="P11" s="129" t="s">
        <v>6</v>
      </c>
      <c r="Q11" s="116">
        <v>38633958</v>
      </c>
      <c r="R11" s="116">
        <v>50074553230</v>
      </c>
      <c r="S11" s="116">
        <v>3802271.25</v>
      </c>
      <c r="T11" s="130">
        <f t="shared" si="1"/>
        <v>10.160757994317212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1309162.0454545454</v>
      </c>
      <c r="G12" s="90">
        <f t="shared" si="2"/>
        <v>-0.28838761603081275</v>
      </c>
      <c r="H12" s="90"/>
      <c r="I12" s="130">
        <f t="shared" si="0"/>
        <v>9.1888695018531479</v>
      </c>
      <c r="J12" s="130"/>
      <c r="K12" s="78"/>
      <c r="L12" s="87"/>
      <c r="M12" s="87"/>
      <c r="N12" s="79"/>
      <c r="O12" s="89"/>
      <c r="P12" s="129" t="s">
        <v>7</v>
      </c>
      <c r="Q12" s="116">
        <v>28801565</v>
      </c>
      <c r="R12" s="116">
        <v>37390832176</v>
      </c>
      <c r="S12" s="116">
        <v>3134397</v>
      </c>
      <c r="T12" s="130">
        <f t="shared" si="1"/>
        <v>9.1888695018531479</v>
      </c>
      <c r="U12" s="85"/>
    </row>
    <row r="13" spans="1:21" ht="15" hidden="1" customHeight="1">
      <c r="A13" s="129" t="s">
        <v>96</v>
      </c>
      <c r="B13" s="131">
        <f>F11+F12+F13</f>
        <v>5664939.8811688311</v>
      </c>
      <c r="C13" s="131">
        <f>AVERAGE(F11:F13)</f>
        <v>1888313.2937229436</v>
      </c>
      <c r="D13" s="90">
        <f>C13/C10-1</f>
        <v>0.33502196078652724</v>
      </c>
      <c r="E13" s="286"/>
      <c r="F13" s="78">
        <f>Q13/20</f>
        <v>2516065.5499999998</v>
      </c>
      <c r="G13" s="90">
        <f t="shared" si="2"/>
        <v>0.92189008132023376</v>
      </c>
      <c r="H13" s="90"/>
      <c r="I13" s="130">
        <f t="shared" si="0"/>
        <v>10.949017770972176</v>
      </c>
      <c r="J13" s="130"/>
      <c r="K13" s="78">
        <f>R11+R12+R13</f>
        <v>156778196439</v>
      </c>
      <c r="L13" s="87">
        <f>U13/U10-1</f>
        <v>0.32147797909162734</v>
      </c>
      <c r="M13" s="87"/>
      <c r="N13" s="88">
        <f>AVERAGE(T11:T13)</f>
        <v>10.099548422380845</v>
      </c>
      <c r="O13" s="89">
        <f>N13/N10-1</f>
        <v>7.8645586649066512E-3</v>
      </c>
      <c r="P13" s="129" t="s">
        <v>96</v>
      </c>
      <c r="Q13" s="116">
        <v>50321311</v>
      </c>
      <c r="R13" s="116">
        <v>69312811033</v>
      </c>
      <c r="S13" s="116">
        <v>4595965.78</v>
      </c>
      <c r="T13" s="130">
        <f t="shared" si="1"/>
        <v>10.949017770972176</v>
      </c>
      <c r="U13" s="85">
        <f>Q11+Q12+Q13</f>
        <v>117756834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911393.3</v>
      </c>
      <c r="G14" s="90">
        <f t="shared" si="2"/>
        <v>-0.6377704467993689</v>
      </c>
      <c r="H14" s="90"/>
      <c r="I14" s="130">
        <f t="shared" si="0"/>
        <v>11.982628085493538</v>
      </c>
      <c r="J14" s="130"/>
      <c r="K14" s="78"/>
      <c r="L14" s="87"/>
      <c r="M14" s="87"/>
      <c r="N14" s="79"/>
      <c r="O14" s="89"/>
      <c r="P14" s="129" t="s">
        <v>97</v>
      </c>
      <c r="Q14" s="116">
        <v>18227866</v>
      </c>
      <c r="R14" s="116">
        <v>26014244472</v>
      </c>
      <c r="S14" s="116">
        <v>1521191</v>
      </c>
      <c r="T14" s="130">
        <f t="shared" si="1"/>
        <v>11.982628085493538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2854548.6818181816</v>
      </c>
      <c r="G15" s="90">
        <f t="shared" si="2"/>
        <v>2.1320711725861727</v>
      </c>
      <c r="H15" s="90"/>
      <c r="I15" s="130">
        <f t="shared" si="0"/>
        <v>11.326956851826544</v>
      </c>
      <c r="J15" s="130"/>
      <c r="K15" s="78"/>
      <c r="L15" s="87"/>
      <c r="M15" s="87"/>
      <c r="N15" s="79"/>
      <c r="O15" s="89"/>
      <c r="P15" s="129" t="s">
        <v>98</v>
      </c>
      <c r="Q15" s="116">
        <v>62800071</v>
      </c>
      <c r="R15" s="116">
        <v>86501804985</v>
      </c>
      <c r="S15" s="116">
        <v>5544302.1299999999</v>
      </c>
      <c r="T15" s="130">
        <f t="shared" si="1"/>
        <v>11.326956851826544</v>
      </c>
      <c r="U15" s="78"/>
    </row>
    <row r="16" spans="1:21" ht="15" hidden="1" customHeight="1">
      <c r="A16" s="129" t="s">
        <v>99</v>
      </c>
      <c r="B16" s="131">
        <f>F14+F15+F16</f>
        <v>5627194.0727272723</v>
      </c>
      <c r="C16" s="131">
        <f>AVERAGE(F14:F16)</f>
        <v>1875731.3575757574</v>
      </c>
      <c r="D16" s="90">
        <f>C16/C13-1</f>
        <v>-6.6630554310085355E-3</v>
      </c>
      <c r="E16" s="286"/>
      <c r="F16" s="78">
        <f>Q16/22</f>
        <v>1861252.0909090908</v>
      </c>
      <c r="G16" s="90">
        <f t="shared" si="2"/>
        <v>-0.3479697499068114</v>
      </c>
      <c r="H16" s="90"/>
      <c r="I16" s="130">
        <f t="shared" si="0"/>
        <v>11.096181870095698</v>
      </c>
      <c r="J16" s="130"/>
      <c r="K16" s="78">
        <f>R14+R15+R16</f>
        <v>165999369176</v>
      </c>
      <c r="L16" s="87">
        <f>U16/U13-1</f>
        <v>3.5825088503992797E-2</v>
      </c>
      <c r="M16" s="87"/>
      <c r="N16" s="88">
        <f>AVERAGE(T14:T16)</f>
        <v>11.46858893580526</v>
      </c>
      <c r="O16" s="89">
        <f>N16/N13-1</f>
        <v>0.13555462642177019</v>
      </c>
      <c r="P16" s="129" t="s">
        <v>99</v>
      </c>
      <c r="Q16" s="116">
        <v>40947546</v>
      </c>
      <c r="R16" s="116">
        <v>53483319719</v>
      </c>
      <c r="S16" s="116">
        <v>3690237.46</v>
      </c>
      <c r="T16" s="130">
        <f t="shared" si="1"/>
        <v>11.096181870095698</v>
      </c>
      <c r="U16" s="85">
        <f>Q14+Q15+Q16</f>
        <v>121975483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2579580.65</v>
      </c>
      <c r="G17" s="90">
        <f t="shared" ref="G17:G22" si="3">F17/F16-1</f>
        <v>0.38593834902829105</v>
      </c>
      <c r="H17" s="90">
        <f t="shared" ref="H17:H22" si="4">F17/F5-1</f>
        <v>1.9802340811432466</v>
      </c>
      <c r="I17" s="130">
        <f t="shared" si="0"/>
        <v>11.027914886140179</v>
      </c>
      <c r="J17" s="130">
        <f t="shared" ref="J17:J49" si="5">I17/I5-1</f>
        <v>0.1774928711952164</v>
      </c>
      <c r="K17" s="78"/>
      <c r="L17" s="87"/>
      <c r="M17" s="87"/>
      <c r="N17" s="79"/>
      <c r="O17" s="89"/>
      <c r="P17" s="129" t="s">
        <v>100</v>
      </c>
      <c r="Q17" s="116">
        <v>51591613</v>
      </c>
      <c r="R17" s="116">
        <v>64368947946</v>
      </c>
      <c r="S17" s="116">
        <v>4678274.5</v>
      </c>
      <c r="T17" s="130">
        <f t="shared" si="1"/>
        <v>11.027914886140179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2638633</v>
      </c>
      <c r="G18" s="90">
        <f t="shared" si="3"/>
        <v>2.2892228626385513E-2</v>
      </c>
      <c r="H18" s="90">
        <f t="shared" si="4"/>
        <v>0.80462867171160601</v>
      </c>
      <c r="I18" s="130">
        <f t="shared" si="0"/>
        <v>12.671701667326513</v>
      </c>
      <c r="J18" s="130">
        <f t="shared" si="5"/>
        <v>0.22442496046731586</v>
      </c>
      <c r="K18" s="78"/>
      <c r="L18" s="87"/>
      <c r="M18" s="87"/>
      <c r="N18" s="79"/>
      <c r="O18" s="89"/>
      <c r="P18" s="129" t="s">
        <v>106</v>
      </c>
      <c r="Q18" s="116">
        <v>52772660</v>
      </c>
      <c r="R18" s="116">
        <v>66026798273</v>
      </c>
      <c r="S18" s="116">
        <v>4164607.2</v>
      </c>
      <c r="T18" s="130">
        <f t="shared" ref="T18" si="6">Q18/S18</f>
        <v>12.671701667326513</v>
      </c>
      <c r="U18" s="78"/>
    </row>
    <row r="19" spans="1:21" hidden="1">
      <c r="A19" s="129" t="s">
        <v>114</v>
      </c>
      <c r="B19" s="131">
        <f>SUM(F17:F19)</f>
        <v>7362064.377272727</v>
      </c>
      <c r="C19" s="131">
        <f>AVERAGE(F17:F19)</f>
        <v>2454021.459090909</v>
      </c>
      <c r="D19" s="90">
        <f>C19/C16-1</f>
        <v>0.30830113234474488</v>
      </c>
      <c r="E19" s="286">
        <f>C19/C7-1</f>
        <v>1.5016019457878893</v>
      </c>
      <c r="F19" s="78">
        <f>Q19/22</f>
        <v>2143850.7272727271</v>
      </c>
      <c r="G19" s="90">
        <f t="shared" si="3"/>
        <v>-0.18751462318832246</v>
      </c>
      <c r="H19" s="90">
        <f t="shared" si="4"/>
        <v>2.4846355203711843</v>
      </c>
      <c r="I19" s="130">
        <f t="shared" si="0"/>
        <v>11.489201761263702</v>
      </c>
      <c r="J19" s="130">
        <f t="shared" si="5"/>
        <v>0.51534176547574773</v>
      </c>
      <c r="K19" s="78">
        <f>R17+R18+R19</f>
        <v>191997391013</v>
      </c>
      <c r="L19" s="87">
        <f>U19/U16-1</f>
        <v>0.24229054292820473</v>
      </c>
      <c r="M19" s="87">
        <f>U19/U7-1</f>
        <v>1.6507318188812294</v>
      </c>
      <c r="N19" s="88">
        <f>AVERAGE(T17:T19)</f>
        <v>11.729606104910131</v>
      </c>
      <c r="O19" s="89">
        <f>N19/N16-1</f>
        <v>2.2759309847610654E-2</v>
      </c>
      <c r="P19" s="129" t="s">
        <v>115</v>
      </c>
      <c r="Q19" s="116">
        <v>47164716</v>
      </c>
      <c r="R19" s="116">
        <v>61601644794</v>
      </c>
      <c r="S19" s="116">
        <v>4105134.28</v>
      </c>
      <c r="T19" s="130">
        <f t="shared" ref="T19" si="7">Q19/S19</f>
        <v>11.489201761263702</v>
      </c>
      <c r="U19" s="85">
        <f>Q17+Q18+Q19</f>
        <v>151528989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2517014.1</v>
      </c>
      <c r="G20" s="90">
        <f t="shared" si="3"/>
        <v>0.17406219937802669</v>
      </c>
      <c r="H20" s="90">
        <f t="shared" si="4"/>
        <v>0.87696360997129852</v>
      </c>
      <c r="I20" s="130">
        <f t="shared" si="0"/>
        <v>13.320802428894204</v>
      </c>
      <c r="J20" s="130">
        <f t="shared" si="5"/>
        <v>0.26825983722054891</v>
      </c>
      <c r="K20" s="78"/>
      <c r="L20" s="87"/>
      <c r="M20" s="87"/>
      <c r="N20" s="79"/>
      <c r="O20" s="89"/>
      <c r="P20" s="129" t="s">
        <v>132</v>
      </c>
      <c r="Q20" s="116">
        <v>50340282</v>
      </c>
      <c r="R20" s="116">
        <v>65984050077</v>
      </c>
      <c r="S20" s="116">
        <v>3779072.79</v>
      </c>
      <c r="T20" s="130">
        <f t="shared" ref="T20" si="8">Q20/S20</f>
        <v>13.320802428894204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3102101.7142857141</v>
      </c>
      <c r="G21" s="90">
        <f t="shared" si="3"/>
        <v>0.23245305391245674</v>
      </c>
      <c r="H21" s="90">
        <f t="shared" si="4"/>
        <v>1.4273531394612147</v>
      </c>
      <c r="I21" s="130">
        <f t="shared" si="0"/>
        <v>13.840706195106195</v>
      </c>
      <c r="J21" s="130">
        <f t="shared" si="5"/>
        <v>0.53652333104501881</v>
      </c>
      <c r="K21" s="78"/>
      <c r="L21" s="87"/>
      <c r="M21" s="87"/>
      <c r="N21" s="79"/>
      <c r="O21" s="89"/>
      <c r="P21" s="129" t="s">
        <v>141</v>
      </c>
      <c r="Q21" s="116">
        <v>65144136</v>
      </c>
      <c r="R21" s="116">
        <v>86821656916</v>
      </c>
      <c r="S21" s="116">
        <v>4706706.08</v>
      </c>
      <c r="T21" s="130">
        <f t="shared" ref="T21" si="9">Q21/S21</f>
        <v>13.840706195106195</v>
      </c>
      <c r="U21" s="78"/>
    </row>
    <row r="22" spans="1:21" hidden="1">
      <c r="A22" s="129" t="s">
        <v>156</v>
      </c>
      <c r="B22" s="131">
        <f>SUM(F20:F22)</f>
        <v>7670150.0047619045</v>
      </c>
      <c r="C22" s="131">
        <f>AVERAGE(F20:F22)</f>
        <v>2556716.668253968</v>
      </c>
      <c r="D22" s="90">
        <f>C22/C19-1</f>
        <v>4.1847722554595013E-2</v>
      </c>
      <c r="E22" s="286">
        <f>C22/C10-1</f>
        <v>0.80757764666185228</v>
      </c>
      <c r="F22" s="78">
        <f>Q22/21</f>
        <v>2051034.1904761905</v>
      </c>
      <c r="G22" s="90">
        <f t="shared" si="3"/>
        <v>-0.33882432641366211</v>
      </c>
      <c r="H22" s="90">
        <f t="shared" si="4"/>
        <v>0.26267947721702023</v>
      </c>
      <c r="I22" s="130">
        <f t="shared" si="0"/>
        <v>13.618241809983434</v>
      </c>
      <c r="J22" s="130">
        <f t="shared" si="5"/>
        <v>0.29068187109504873</v>
      </c>
      <c r="K22" s="78">
        <f>R20+R21+R22</f>
        <v>208804094650</v>
      </c>
      <c r="L22" s="87">
        <f>U22/U19-1</f>
        <v>4.637493489777067E-2</v>
      </c>
      <c r="M22" s="87">
        <f>U22/U10-1</f>
        <v>0.77933148384285889</v>
      </c>
      <c r="N22" s="88">
        <f>AVERAGE(T20:T22)</f>
        <v>13.593250144661278</v>
      </c>
      <c r="O22" s="89">
        <f>N22/N19-1</f>
        <v>0.15888377010128307</v>
      </c>
      <c r="P22" s="129" t="s">
        <v>156</v>
      </c>
      <c r="Q22" s="116">
        <v>43071718</v>
      </c>
      <c r="R22" s="116">
        <v>55998387657</v>
      </c>
      <c r="S22" s="116">
        <v>3162795.8</v>
      </c>
      <c r="T22" s="130">
        <f t="shared" ref="T22:T23" si="10">Q22/S22</f>
        <v>13.618241809983434</v>
      </c>
      <c r="U22" s="85">
        <f>Q20+Q21+Q22</f>
        <v>158556136</v>
      </c>
    </row>
    <row r="23" spans="1:21" hidden="1">
      <c r="A23" s="129" t="s">
        <v>189</v>
      </c>
      <c r="B23" s="131"/>
      <c r="C23" s="131"/>
      <c r="D23" s="117"/>
      <c r="F23" s="78">
        <f>Q23/21</f>
        <v>3029773.4761904762</v>
      </c>
      <c r="G23" s="90">
        <f t="shared" ref="G23" si="11">F23/F22-1</f>
        <v>0.47719306204595791</v>
      </c>
      <c r="H23" s="90">
        <f t="shared" ref="H23" si="12">F23/F11-1</f>
        <v>0.6468735354529298</v>
      </c>
      <c r="I23" s="130">
        <f t="shared" si="0"/>
        <v>14.439981199159545</v>
      </c>
      <c r="J23" s="130">
        <f t="shared" si="5"/>
        <v>0.42115196594935633</v>
      </c>
      <c r="K23" s="78"/>
      <c r="L23" s="87"/>
      <c r="M23" s="87"/>
      <c r="N23" s="79"/>
      <c r="O23" s="89"/>
      <c r="P23" s="129" t="s">
        <v>189</v>
      </c>
      <c r="Q23" s="116">
        <v>63625243</v>
      </c>
      <c r="R23" s="116">
        <v>82126338480</v>
      </c>
      <c r="S23" s="116">
        <v>4406186</v>
      </c>
      <c r="T23" s="130">
        <f t="shared" si="10"/>
        <v>14.439981199159545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1101879.2272727273</v>
      </c>
      <c r="G24" s="90">
        <f t="shared" ref="G24" si="13">F24/F23-1</f>
        <v>-0.63631630023436969</v>
      </c>
      <c r="H24" s="90">
        <f t="shared" ref="H24" si="14">F24/F12-1</f>
        <v>-0.15833243783801332</v>
      </c>
      <c r="I24" s="130">
        <f t="shared" si="0"/>
        <v>14.537514364295443</v>
      </c>
      <c r="J24" s="130">
        <f t="shared" si="5"/>
        <v>0.58207866172912981</v>
      </c>
      <c r="K24" s="78"/>
      <c r="L24" s="87"/>
      <c r="M24" s="87"/>
      <c r="N24" s="79"/>
      <c r="O24" s="89"/>
      <c r="P24" s="129" t="s">
        <v>204</v>
      </c>
      <c r="Q24" s="116">
        <v>24241343</v>
      </c>
      <c r="R24" s="116">
        <v>31542380304</v>
      </c>
      <c r="S24" s="116">
        <v>1667502.6</v>
      </c>
      <c r="T24" s="130">
        <f t="shared" ref="T24" si="15">Q24/S24</f>
        <v>14.537514364295443</v>
      </c>
      <c r="U24" s="78"/>
    </row>
    <row r="25" spans="1:21" s="92" customFormat="1" ht="13.2" hidden="1">
      <c r="A25" s="129" t="s">
        <v>219</v>
      </c>
      <c r="B25" s="131">
        <f>SUM(F23:F25)</f>
        <v>8435274.0192526765</v>
      </c>
      <c r="C25" s="131">
        <f>AVERAGE(F23:F25)</f>
        <v>2811758.006417559</v>
      </c>
      <c r="D25" s="90">
        <f>C25/C22-1</f>
        <v>9.9753461668384169E-2</v>
      </c>
      <c r="E25" s="286">
        <f>C25/C13-1</f>
        <v>0.48903151599064287</v>
      </c>
      <c r="F25" s="78">
        <f>Q25/19</f>
        <v>4303621.3157894732</v>
      </c>
      <c r="G25" s="90">
        <f t="shared" ref="G25" si="16">F25/F24-1</f>
        <v>2.905710543651332</v>
      </c>
      <c r="H25" s="90">
        <f t="shared" ref="H25" si="17">F25/F13-1</f>
        <v>0.71045675490826277</v>
      </c>
      <c r="I25" s="130">
        <f t="shared" si="0"/>
        <v>16.217797473104483</v>
      </c>
      <c r="J25" s="130">
        <f t="shared" si="5"/>
        <v>0.48121026126204614</v>
      </c>
      <c r="K25" s="78">
        <f>R23+R24+R25</f>
        <v>222135290638</v>
      </c>
      <c r="L25" s="90">
        <f>U25/U22-1</f>
        <v>6.9875914483688017E-2</v>
      </c>
      <c r="M25" s="90">
        <f>U25/U13-1</f>
        <v>0.44055665593047455</v>
      </c>
      <c r="N25" s="88">
        <f>AVERAGE(T23:T25)</f>
        <v>15.065097678853157</v>
      </c>
      <c r="O25" s="91">
        <f>N25/N22-1</f>
        <v>0.10827782307603195</v>
      </c>
      <c r="P25" s="129" t="s">
        <v>219</v>
      </c>
      <c r="Q25" s="116">
        <v>81768805</v>
      </c>
      <c r="R25" s="116">
        <v>108466571854</v>
      </c>
      <c r="S25" s="116">
        <v>5041918</v>
      </c>
      <c r="T25" s="130">
        <f t="shared" ref="T25" si="18">Q25/S25</f>
        <v>16.217797473104483</v>
      </c>
      <c r="U25" s="85">
        <f>Q23+Q24+Q25</f>
        <v>169635391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2609889.789473684</v>
      </c>
      <c r="G26" s="90">
        <f t="shared" ref="G26" si="19">F26/F25-1</f>
        <v>-0.39355960992703753</v>
      </c>
      <c r="H26" s="90">
        <f t="shared" ref="H26:H31" si="20">F26/F14-1</f>
        <v>1.8636262626395035</v>
      </c>
      <c r="I26" s="130">
        <f t="shared" si="0"/>
        <v>13.384707696842328</v>
      </c>
      <c r="J26" s="130">
        <f t="shared" si="5"/>
        <v>0.11700935732505813</v>
      </c>
      <c r="K26" s="78"/>
      <c r="L26" s="90"/>
      <c r="M26" s="90"/>
      <c r="N26" s="79"/>
      <c r="O26" s="79"/>
      <c r="P26" s="129" t="s">
        <v>312</v>
      </c>
      <c r="Q26" s="116">
        <v>49587906</v>
      </c>
      <c r="R26" s="116">
        <v>67091429729</v>
      </c>
      <c r="S26" s="116">
        <v>3704818</v>
      </c>
      <c r="T26" s="130">
        <f t="shared" ref="T26:T31" si="21">Q26/S26</f>
        <v>13.384707696842328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2355544.2727272729</v>
      </c>
      <c r="G27" s="90">
        <f t="shared" ref="G27" si="22">F27/F26-1</f>
        <v>-9.7454504696806721E-2</v>
      </c>
      <c r="H27" s="90">
        <f t="shared" si="20"/>
        <v>-0.17481026414763112</v>
      </c>
      <c r="I27" s="130">
        <f t="shared" si="0"/>
        <v>13.959491540444752</v>
      </c>
      <c r="J27" s="130">
        <f t="shared" si="5"/>
        <v>0.23241323535135505</v>
      </c>
      <c r="K27" s="78"/>
      <c r="L27" s="90"/>
      <c r="M27" s="90"/>
      <c r="N27" s="79"/>
      <c r="O27" s="79"/>
      <c r="P27" s="129" t="s">
        <v>373</v>
      </c>
      <c r="Q27" s="116">
        <v>51821974</v>
      </c>
      <c r="R27" s="116">
        <v>68704625747</v>
      </c>
      <c r="S27" s="116">
        <v>3712311</v>
      </c>
      <c r="T27" s="130">
        <f t="shared" si="21"/>
        <v>13.959491540444752</v>
      </c>
      <c r="U27" s="78"/>
    </row>
    <row r="28" spans="1:21" s="92" customFormat="1" ht="13.2" hidden="1">
      <c r="A28" s="123" t="s">
        <v>413</v>
      </c>
      <c r="B28" s="131">
        <f>SUM(F26:F28)</f>
        <v>10348112.799043063</v>
      </c>
      <c r="C28" s="131">
        <f>AVERAGE(F26:F28)</f>
        <v>3449370.9330143542</v>
      </c>
      <c r="D28" s="90">
        <f>C28/C25-1</f>
        <v>0.22676664390801293</v>
      </c>
      <c r="E28" s="286">
        <f>C28/C16-1</f>
        <v>0.83894720269133227</v>
      </c>
      <c r="F28" s="78">
        <f>Q28/19</f>
        <v>5382678.7368421052</v>
      </c>
      <c r="G28" s="90">
        <f t="shared" ref="G28" si="23">F28/F27-1</f>
        <v>1.2851104091582135</v>
      </c>
      <c r="H28" s="90">
        <f t="shared" si="20"/>
        <v>1.8919665224999398</v>
      </c>
      <c r="I28" s="130">
        <f t="shared" si="0"/>
        <v>14.53396380084196</v>
      </c>
      <c r="J28" s="130">
        <f t="shared" si="5"/>
        <v>0.30981665324097762</v>
      </c>
      <c r="K28" s="78">
        <f>R26+R27+R28</f>
        <v>269023888271</v>
      </c>
      <c r="L28" s="90">
        <f>U28/U25-1</f>
        <v>0.20069741814666497</v>
      </c>
      <c r="M28" s="90">
        <f>U28/U16-1</f>
        <v>0.66985012881646067</v>
      </c>
      <c r="N28" s="88">
        <f>AVERAGE(T26:T28)</f>
        <v>13.959387679376347</v>
      </c>
      <c r="O28" s="91">
        <f>N28/N25-1</f>
        <v>-7.3395474961233886E-2</v>
      </c>
      <c r="P28" s="129" t="s">
        <v>413</v>
      </c>
      <c r="Q28" s="116">
        <v>102270896</v>
      </c>
      <c r="R28" s="116">
        <v>133227832795</v>
      </c>
      <c r="S28" s="116">
        <v>7036683</v>
      </c>
      <c r="T28" s="130">
        <f t="shared" si="21"/>
        <v>14.53396380084196</v>
      </c>
      <c r="U28" s="85">
        <f>Q26+Q27+Q28</f>
        <v>203680776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3109674.5909090908</v>
      </c>
      <c r="G29" s="190">
        <f t="shared" ref="G29" si="24">F29/F28-1</f>
        <v>-0.42228122038480309</v>
      </c>
      <c r="H29" s="190">
        <f t="shared" si="20"/>
        <v>0.20549616888663325</v>
      </c>
      <c r="I29" s="130">
        <f t="shared" si="0"/>
        <v>15.490144094698564</v>
      </c>
      <c r="J29" s="130">
        <f t="shared" si="5"/>
        <v>0.40463036345760073</v>
      </c>
      <c r="K29" s="136"/>
      <c r="L29" s="190"/>
      <c r="M29" s="190"/>
      <c r="N29" s="191"/>
      <c r="O29" s="192"/>
      <c r="P29" s="129" t="s">
        <v>427</v>
      </c>
      <c r="Q29" s="116">
        <v>68412841</v>
      </c>
      <c r="R29" s="116">
        <v>90540360417</v>
      </c>
      <c r="S29" s="116">
        <v>4416540</v>
      </c>
      <c r="T29" s="130">
        <f t="shared" si="21"/>
        <v>15.490144094698564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4617749.2105263155</v>
      </c>
      <c r="G30" s="190">
        <f t="shared" ref="G30" si="25">F30/F29-1</f>
        <v>0.48496219637449278</v>
      </c>
      <c r="H30" s="190">
        <f t="shared" si="20"/>
        <v>0.75005361129278514</v>
      </c>
      <c r="I30" s="130">
        <f t="shared" si="0"/>
        <v>12.042748547639111</v>
      </c>
      <c r="J30" s="130">
        <f t="shared" si="5"/>
        <v>-4.9634463957523023E-2</v>
      </c>
      <c r="K30" s="136"/>
      <c r="L30" s="190"/>
      <c r="M30" s="190"/>
      <c r="N30" s="191"/>
      <c r="O30" s="192"/>
      <c r="P30" s="129" t="s">
        <v>500</v>
      </c>
      <c r="Q30" s="116">
        <v>87737235</v>
      </c>
      <c r="R30" s="116">
        <v>116967191984</v>
      </c>
      <c r="S30" s="116">
        <v>7285482.5999999996</v>
      </c>
      <c r="T30" s="130">
        <f t="shared" si="21"/>
        <v>12.042748547639111</v>
      </c>
      <c r="U30" s="85"/>
    </row>
    <row r="31" spans="1:21" s="92" customFormat="1" ht="13.2" hidden="1">
      <c r="A31" s="129" t="s">
        <v>505</v>
      </c>
      <c r="B31" s="188">
        <f>SUM(F29:F31)</f>
        <v>13606001.451435406</v>
      </c>
      <c r="C31" s="188">
        <f>AVERAGE(F29:F31)</f>
        <v>4535333.8171451353</v>
      </c>
      <c r="D31" s="190">
        <f>C31/C28-1</f>
        <v>0.31482925589037025</v>
      </c>
      <c r="E31" s="287">
        <f>C31/C19-1</f>
        <v>0.84812312881128893</v>
      </c>
      <c r="F31" s="136">
        <f>Q31/20</f>
        <v>5878577.6500000004</v>
      </c>
      <c r="G31" s="190">
        <f t="shared" ref="G31" si="26">F31/F30-1</f>
        <v>0.27303960912376612</v>
      </c>
      <c r="H31" s="190">
        <f t="shared" si="20"/>
        <v>1.742064815995076</v>
      </c>
      <c r="I31" s="130">
        <f t="shared" si="0"/>
        <v>13.352651428182808</v>
      </c>
      <c r="J31" s="130">
        <f t="shared" si="5"/>
        <v>0.1621913955068488</v>
      </c>
      <c r="K31" s="136">
        <f>R29+R30+R31</f>
        <v>363094514974</v>
      </c>
      <c r="L31" s="190">
        <f>U31/U28-1</f>
        <v>0.34387561936625777</v>
      </c>
      <c r="M31" s="190">
        <f>U31/U19-1</f>
        <v>0.80639777778758881</v>
      </c>
      <c r="N31" s="191">
        <f>AVERAGE(T29:T31)</f>
        <v>13.628514690173494</v>
      </c>
      <c r="O31" s="192">
        <f>N31/N28-1</f>
        <v>-2.3702543177569702E-2</v>
      </c>
      <c r="P31" s="129" t="s">
        <v>505</v>
      </c>
      <c r="Q31" s="116">
        <v>117571553</v>
      </c>
      <c r="R31" s="116">
        <v>155586962573</v>
      </c>
      <c r="S31" s="116">
        <v>8805109.1300000008</v>
      </c>
      <c r="T31" s="130">
        <f t="shared" si="21"/>
        <v>13.352651428182808</v>
      </c>
      <c r="U31" s="85">
        <f>Q29+Q30+Q31</f>
        <v>273721629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2857185.3333333335</v>
      </c>
      <c r="G32" s="190">
        <f t="shared" ref="G32" si="27">F32/F31-1</f>
        <v>-0.51396655731283336</v>
      </c>
      <c r="H32" s="190">
        <f t="shared" ref="H32" si="28">F32/F20-1</f>
        <v>0.13514871979991416</v>
      </c>
      <c r="I32" s="130">
        <f t="shared" si="0"/>
        <v>16.797148334531514</v>
      </c>
      <c r="J32" s="130">
        <f t="shared" si="5"/>
        <v>0.26097120831825826</v>
      </c>
      <c r="K32" s="136"/>
      <c r="L32" s="190"/>
      <c r="M32" s="190"/>
      <c r="N32" s="191"/>
      <c r="O32" s="192"/>
      <c r="P32" s="129" t="s">
        <v>562</v>
      </c>
      <c r="Q32" s="116">
        <v>60000892</v>
      </c>
      <c r="R32" s="116">
        <v>81444311344</v>
      </c>
      <c r="S32" s="116">
        <v>3572088</v>
      </c>
      <c r="T32" s="130">
        <f t="shared" ref="T32" si="29">Q32/S32</f>
        <v>16.797148334531514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2920859.0952380951</v>
      </c>
      <c r="G33" s="190">
        <f t="shared" ref="G33" si="30">F33/F32-1</f>
        <v>2.228548535578434E-2</v>
      </c>
      <c r="H33" s="190">
        <f t="shared" ref="H33" si="31">F33/F21-1</f>
        <v>-5.8425749940101968E-2</v>
      </c>
      <c r="I33" s="130">
        <f t="shared" si="0"/>
        <v>16.158037768867771</v>
      </c>
      <c r="J33" s="130">
        <f t="shared" si="5"/>
        <v>0.16742870927936759</v>
      </c>
      <c r="K33" s="136"/>
      <c r="L33" s="190"/>
      <c r="M33" s="190"/>
      <c r="N33" s="191"/>
      <c r="O33" s="192"/>
      <c r="P33" s="129" t="s">
        <v>606</v>
      </c>
      <c r="Q33" s="116">
        <v>61338041</v>
      </c>
      <c r="R33" s="116">
        <v>83709620889</v>
      </c>
      <c r="S33" s="116">
        <v>3796131.8</v>
      </c>
      <c r="T33" s="130">
        <f t="shared" ref="T33" si="32">Q33/S33</f>
        <v>16.158037768867771</v>
      </c>
      <c r="U33" s="85"/>
    </row>
    <row r="34" spans="1:21" s="92" customFormat="1" ht="13.2" hidden="1">
      <c r="A34" s="129" t="s">
        <v>652</v>
      </c>
      <c r="B34" s="188">
        <f>SUM(F32:F34)</f>
        <v>10046512.165413534</v>
      </c>
      <c r="C34" s="188">
        <f>AVERAGE(F32:F34)</f>
        <v>3348837.3884711782</v>
      </c>
      <c r="D34" s="190">
        <f>C34/C31-1</f>
        <v>-0.2616117085336892</v>
      </c>
      <c r="E34" s="287">
        <f>C34/C22-1</f>
        <v>0.30981951580820444</v>
      </c>
      <c r="F34" s="136">
        <f>Q34/19</f>
        <v>4268467.7368421052</v>
      </c>
      <c r="G34" s="190">
        <f t="shared" ref="G34" si="33">F34/F33-1</f>
        <v>0.46137406758204436</v>
      </c>
      <c r="H34" s="190">
        <f t="shared" ref="H34" si="34">F34/F22-1</f>
        <v>1.0811294890462508</v>
      </c>
      <c r="I34" s="130">
        <f t="shared" si="0"/>
        <v>17.765782731891861</v>
      </c>
      <c r="J34" s="130">
        <f t="shared" si="5"/>
        <v>0.30455773805307929</v>
      </c>
      <c r="K34" s="136">
        <f>R32+R33+R34</f>
        <v>276625484707</v>
      </c>
      <c r="L34" s="190">
        <f>U34/U31-1</f>
        <v>-0.26041715906929663</v>
      </c>
      <c r="M34" s="190">
        <f>U34/U22-1</f>
        <v>0.27677064481440183</v>
      </c>
      <c r="N34" s="191">
        <f>AVERAGE(T32:T34)</f>
        <v>16.906989611763716</v>
      </c>
      <c r="O34" s="206">
        <f>N34/N31-1</f>
        <v>0.24055995800878338</v>
      </c>
      <c r="P34" s="129" t="s">
        <v>652</v>
      </c>
      <c r="Q34" s="116">
        <v>81100887</v>
      </c>
      <c r="R34" s="116">
        <v>111471552474</v>
      </c>
      <c r="S34" s="116">
        <v>4565005</v>
      </c>
      <c r="T34" s="130">
        <f t="shared" ref="T34" si="35">Q34/S34</f>
        <v>17.765782731891861</v>
      </c>
      <c r="U34" s="85">
        <f>Q32+Q33+Q34</f>
        <v>202439820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1698636.0869565217</v>
      </c>
      <c r="G35" s="190">
        <f t="shared" ref="G35" si="36">F35/F34-1</f>
        <v>-0.60205015202640244</v>
      </c>
      <c r="H35" s="190">
        <f t="shared" ref="H35" si="37">F35/F23-1</f>
        <v>-0.43935211648485251</v>
      </c>
      <c r="I35" s="130">
        <f t="shared" si="0"/>
        <v>15.536483403833213</v>
      </c>
      <c r="J35" s="130">
        <f t="shared" si="5"/>
        <v>7.5935154592686516E-2</v>
      </c>
      <c r="K35" s="136"/>
      <c r="L35" s="190"/>
      <c r="M35" s="190"/>
      <c r="N35" s="191"/>
      <c r="O35" s="206"/>
      <c r="P35" s="129" t="s">
        <v>659</v>
      </c>
      <c r="Q35" s="116">
        <v>39068630</v>
      </c>
      <c r="R35" s="116">
        <v>54060950670</v>
      </c>
      <c r="S35" s="116">
        <v>2514637.9</v>
      </c>
      <c r="T35" s="130">
        <f t="shared" ref="T35" si="38">Q35/S35</f>
        <v>15.536483403833213</v>
      </c>
      <c r="U35" s="85"/>
    </row>
    <row r="36" spans="1:21" s="92" customFormat="1" ht="13.2" hidden="1">
      <c r="A36" s="129" t="s">
        <v>691</v>
      </c>
      <c r="B36" s="188"/>
      <c r="C36" s="188"/>
      <c r="D36" s="190"/>
      <c r="E36" s="287"/>
      <c r="F36" s="136">
        <f>Q36/21</f>
        <v>2602826.2380952379</v>
      </c>
      <c r="G36" s="190">
        <f t="shared" ref="G36" si="39">F36/F35-1</f>
        <v>0.53230362764679673</v>
      </c>
      <c r="H36" s="190">
        <f t="shared" ref="H36" si="40">F36/F24-1</f>
        <v>1.3621701668135811</v>
      </c>
      <c r="I36" s="130">
        <f t="shared" si="0"/>
        <v>16.710303516337788</v>
      </c>
      <c r="J36" s="130">
        <f t="shared" si="5"/>
        <v>0.14946084300207318</v>
      </c>
      <c r="K36" s="136"/>
      <c r="L36" s="190"/>
      <c r="M36" s="190"/>
      <c r="N36" s="191"/>
      <c r="O36" s="206"/>
      <c r="P36" s="129" t="s">
        <v>691</v>
      </c>
      <c r="Q36" s="116">
        <v>54659351</v>
      </c>
      <c r="R36" s="116">
        <v>74725114844</v>
      </c>
      <c r="S36" s="116">
        <v>3270996.9</v>
      </c>
      <c r="T36" s="130">
        <f t="shared" ref="T36" si="41">Q36/S36</f>
        <v>16.710303516337788</v>
      </c>
      <c r="U36" s="85"/>
    </row>
    <row r="37" spans="1:21" s="92" customFormat="1" ht="13.2" hidden="1">
      <c r="A37" s="129" t="s">
        <v>702</v>
      </c>
      <c r="B37" s="188">
        <f>SUM(F35:F37)</f>
        <v>9994839.0472739823</v>
      </c>
      <c r="C37" s="188">
        <f>AVERAGE(F35:F37)</f>
        <v>3331613.0157579943</v>
      </c>
      <c r="D37" s="190">
        <f>C37/C34-1</f>
        <v>-5.1433887988951987E-3</v>
      </c>
      <c r="E37" s="287">
        <f>C37/C25-1</f>
        <v>0.18488611329777238</v>
      </c>
      <c r="F37" s="136">
        <f>Q37/18</f>
        <v>5693376.722222222</v>
      </c>
      <c r="G37" s="190">
        <f t="shared" ref="G37" si="42">F37/F36-1</f>
        <v>1.1873825608845352</v>
      </c>
      <c r="H37" s="190">
        <f t="shared" ref="H37" si="43">F37/F25-1</f>
        <v>0.32292697346160582</v>
      </c>
      <c r="I37" s="130">
        <f t="shared" si="0"/>
        <v>16.776794536909648</v>
      </c>
      <c r="J37" s="130">
        <f t="shared" si="5"/>
        <v>3.4468124585487203E-2</v>
      </c>
      <c r="K37" s="136">
        <f>R35+R36+R37</f>
        <v>265363530901</v>
      </c>
      <c r="L37" s="190">
        <f>U37/U34-1</f>
        <v>-3.0779804091902507E-2</v>
      </c>
      <c r="M37" s="190">
        <f>U37/U25-1</f>
        <v>0.15664992336416406</v>
      </c>
      <c r="N37" s="191">
        <f>AVERAGE(T35:T37)</f>
        <v>16.341193819026884</v>
      </c>
      <c r="O37" s="206">
        <f>N37/N34-1</f>
        <v>-3.346520023547872E-2</v>
      </c>
      <c r="P37" s="129" t="s">
        <v>702</v>
      </c>
      <c r="Q37" s="116">
        <v>102480781</v>
      </c>
      <c r="R37" s="116">
        <v>136577465387</v>
      </c>
      <c r="S37" s="116">
        <v>6108484</v>
      </c>
      <c r="T37" s="130">
        <f t="shared" ref="T37" si="44">Q37/S37</f>
        <v>16.776794536909648</v>
      </c>
      <c r="U37" s="85">
        <f>Q35+Q36+Q37</f>
        <v>196208762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5256595.1500000004</v>
      </c>
      <c r="G38" s="190">
        <f t="shared" ref="G38" si="45">F38/F37-1</f>
        <v>-7.671749008235984E-2</v>
      </c>
      <c r="H38" s="190">
        <f t="shared" ref="H38" si="46">F38/F26-1</f>
        <v>1.0141061784298779</v>
      </c>
      <c r="I38" s="130">
        <f t="shared" si="0"/>
        <v>19.990134601257513</v>
      </c>
      <c r="J38" s="130">
        <f t="shared" si="5"/>
        <v>0.49350550299828466</v>
      </c>
      <c r="K38" s="136"/>
      <c r="L38" s="190"/>
      <c r="M38" s="190"/>
      <c r="N38" s="191"/>
      <c r="O38" s="206"/>
      <c r="P38" s="129" t="s">
        <v>728</v>
      </c>
      <c r="Q38" s="116">
        <v>105131903</v>
      </c>
      <c r="R38" s="116">
        <v>141706929459</v>
      </c>
      <c r="S38" s="116">
        <v>5259189.3499999996</v>
      </c>
      <c r="T38" s="130">
        <f t="shared" ref="T38" si="47">Q38/S38</f>
        <v>19.990134601257513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2338180.2380952379</v>
      </c>
      <c r="G39" s="190">
        <f t="shared" ref="G39" si="48">F39/F38-1</f>
        <v>-0.55519111299731017</v>
      </c>
      <c r="H39" s="190">
        <f t="shared" ref="H39" si="49">F39/F27-1</f>
        <v>-7.3715594451259081E-3</v>
      </c>
      <c r="I39" s="130">
        <f t="shared" si="0"/>
        <v>18.875159573870206</v>
      </c>
      <c r="J39" s="130">
        <f t="shared" si="5"/>
        <v>0.35213804307866936</v>
      </c>
      <c r="K39" s="136"/>
      <c r="L39" s="190"/>
      <c r="M39" s="190"/>
      <c r="N39" s="191"/>
      <c r="O39" s="206"/>
      <c r="P39" s="129" t="s">
        <v>762</v>
      </c>
      <c r="Q39" s="116">
        <v>49101785</v>
      </c>
      <c r="R39" s="116">
        <v>68366160208</v>
      </c>
      <c r="S39" s="116">
        <v>2601397.08</v>
      </c>
      <c r="T39" s="130">
        <f t="shared" ref="T39" si="50">Q39/S39</f>
        <v>18.875159573870206</v>
      </c>
      <c r="U39" s="85"/>
    </row>
    <row r="40" spans="1:21" s="92" customFormat="1" ht="13.2" hidden="1">
      <c r="A40" s="129" t="s">
        <v>778</v>
      </c>
      <c r="B40" s="188">
        <f>SUM(F38:F40)</f>
        <v>13292332.197619047</v>
      </c>
      <c r="C40" s="188">
        <f>AVERAGE(F38:F40)</f>
        <v>4430777.3992063487</v>
      </c>
      <c r="D40" s="190">
        <f>C40/C37-1</f>
        <v>0.3299195849726495</v>
      </c>
      <c r="E40" s="287">
        <f>C40/C28-1</f>
        <v>0.28451752080323756</v>
      </c>
      <c r="F40" s="136">
        <f>Q40/21</f>
        <v>5697556.8095238097</v>
      </c>
      <c r="G40" s="190">
        <f t="shared" ref="G40" si="51">F40/F39-1</f>
        <v>1.4367483381714132</v>
      </c>
      <c r="H40" s="190">
        <f t="shared" ref="H40" si="52">F40/F28-1</f>
        <v>5.8498396073037195E-2</v>
      </c>
      <c r="I40" s="130">
        <f t="shared" si="0"/>
        <v>18.109689917552711</v>
      </c>
      <c r="J40" s="130">
        <f t="shared" si="5"/>
        <v>0.24602552790888388</v>
      </c>
      <c r="K40" s="136">
        <f>R38+R39+R40</f>
        <v>378982420546</v>
      </c>
      <c r="L40" s="190">
        <f>U40/U37-1</f>
        <v>0.39587232602792732</v>
      </c>
      <c r="M40" s="190">
        <f>U40/U28-1</f>
        <v>0.34466485437977701</v>
      </c>
      <c r="N40" s="191">
        <f>AVERAGE(T38:T40)</f>
        <v>18.991661364226811</v>
      </c>
      <c r="O40" s="206">
        <f>N40/N37-1</f>
        <v>0.16219546592207057</v>
      </c>
      <c r="P40" s="129" t="s">
        <v>778</v>
      </c>
      <c r="Q40" s="116">
        <v>119648693</v>
      </c>
      <c r="R40" s="116">
        <v>168909330879</v>
      </c>
      <c r="S40" s="116">
        <v>6606888</v>
      </c>
      <c r="T40" s="130">
        <f t="shared" ref="T40" si="53">Q40/S40</f>
        <v>18.109689917552711</v>
      </c>
      <c r="U40" s="85">
        <f>Q38+Q39+Q40</f>
        <v>273882381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4743318.5</v>
      </c>
      <c r="G41" s="190">
        <f t="shared" ref="G41" si="54">F41/F40-1</f>
        <v>-0.16748201754280767</v>
      </c>
      <c r="H41" s="190">
        <f t="shared" ref="H41" si="55">F41/F29-1</f>
        <v>0.52534239880492617</v>
      </c>
      <c r="I41" s="130">
        <f t="shared" si="0"/>
        <v>18.582852805041213</v>
      </c>
      <c r="J41" s="130">
        <f t="shared" si="5"/>
        <v>0.19965654879873673</v>
      </c>
      <c r="K41" s="194"/>
      <c r="L41" s="202"/>
      <c r="M41" s="202"/>
      <c r="N41" s="194"/>
      <c r="O41" s="194"/>
      <c r="P41" s="129" t="s">
        <v>824</v>
      </c>
      <c r="Q41" s="116">
        <v>85379733</v>
      </c>
      <c r="R41" s="116">
        <v>124952910243</v>
      </c>
      <c r="S41" s="116">
        <v>4594543.9000000004</v>
      </c>
      <c r="T41" s="130">
        <f t="shared" ref="T41" si="56">Q41/S41</f>
        <v>18.582852805041213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6093863.5999999996</v>
      </c>
      <c r="G42" s="190">
        <f t="shared" ref="G42" si="57">F42/F41-1</f>
        <v>0.2847257884959653</v>
      </c>
      <c r="H42" s="190">
        <f t="shared" ref="H42" si="58">F42/F30-1</f>
        <v>0.31966101279576464</v>
      </c>
      <c r="I42" s="130">
        <f t="shared" si="0"/>
        <v>19.027792908656838</v>
      </c>
      <c r="J42" s="130">
        <f t="shared" si="5"/>
        <v>0.58002077626930881</v>
      </c>
      <c r="K42" s="194"/>
      <c r="L42" s="202"/>
      <c r="M42" s="202"/>
      <c r="N42" s="194"/>
      <c r="O42" s="194"/>
      <c r="P42" s="129" t="s">
        <v>826</v>
      </c>
      <c r="Q42" s="116">
        <v>121877272</v>
      </c>
      <c r="R42" s="116">
        <v>176064957326</v>
      </c>
      <c r="S42" s="116">
        <v>6405223.7999999998</v>
      </c>
      <c r="T42" s="130">
        <f t="shared" ref="T42" si="59">Q42/S42</f>
        <v>19.027792908656838</v>
      </c>
      <c r="U42" s="175"/>
    </row>
    <row r="43" spans="1:21" s="92" customFormat="1" ht="13.2">
      <c r="A43" s="129" t="s">
        <v>835</v>
      </c>
      <c r="B43" s="188">
        <f>SUM(F41:F43)</f>
        <v>14547533.699999999</v>
      </c>
      <c r="C43" s="188">
        <f>AVERAGE(F41:F43)</f>
        <v>4849177.8999999994</v>
      </c>
      <c r="D43" s="190">
        <f>C43/C40-1</f>
        <v>9.4430494492590666E-2</v>
      </c>
      <c r="E43" s="287">
        <f>C43/C31-1</f>
        <v>6.9199775696427102E-2</v>
      </c>
      <c r="F43" s="136">
        <f>Q43/20</f>
        <v>3710351.6</v>
      </c>
      <c r="G43" s="190">
        <f t="shared" ref="G43" si="60">F43/F42-1</f>
        <v>-0.39113313924519078</v>
      </c>
      <c r="H43" s="190">
        <f t="shared" ref="H43" si="61">F43/F31-1</f>
        <v>-0.36883514671274265</v>
      </c>
      <c r="I43" s="130">
        <f t="shared" si="0"/>
        <v>18.897579933262723</v>
      </c>
      <c r="J43" s="130">
        <f t="shared" si="5"/>
        <v>0.41526797392287929</v>
      </c>
      <c r="K43" s="136">
        <f>R41+R42+R43</f>
        <v>408290533674</v>
      </c>
      <c r="L43" s="190">
        <f>U43/U40-1</f>
        <v>2.7682160394246091E-2</v>
      </c>
      <c r="M43" s="190">
        <f>K43/K31-1</f>
        <v>0.12447452890671262</v>
      </c>
      <c r="N43" s="191">
        <f>AVERAGE(T41:T43)</f>
        <v>18.83607521565359</v>
      </c>
      <c r="O43" s="206">
        <f>N43/N40-1</f>
        <v>-8.1923400796460877E-3</v>
      </c>
      <c r="P43" s="129" t="s">
        <v>835</v>
      </c>
      <c r="Q43" s="116">
        <v>74207032</v>
      </c>
      <c r="R43" s="116">
        <v>107272666105</v>
      </c>
      <c r="S43" s="116">
        <v>3926800.8</v>
      </c>
      <c r="T43" s="130">
        <f t="shared" ref="T43" si="62">Q43/S43</f>
        <v>18.897579933262723</v>
      </c>
      <c r="U43" s="85">
        <f>Q41+Q42+Q43</f>
        <v>281464037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4476750.3636363633</v>
      </c>
      <c r="G44" s="190">
        <f t="shared" ref="G44" si="63">F44/F43-1</f>
        <v>0.20655691057320902</v>
      </c>
      <c r="H44" s="190">
        <f t="shared" ref="H44" si="64">F44/F32-1</f>
        <v>0.56683933359463423</v>
      </c>
      <c r="I44" s="130">
        <f t="shared" si="0"/>
        <v>21.374802829703025</v>
      </c>
      <c r="J44" s="130">
        <f t="shared" si="5"/>
        <v>0.2725256932904967</v>
      </c>
      <c r="K44" s="136"/>
      <c r="L44" s="190"/>
      <c r="M44" s="190"/>
      <c r="N44" s="191"/>
      <c r="O44" s="206"/>
      <c r="P44" s="129" t="s">
        <v>843</v>
      </c>
      <c r="Q44" s="116">
        <v>98488508</v>
      </c>
      <c r="R44" s="116">
        <v>143904294657</v>
      </c>
      <c r="S44" s="116">
        <v>4607692</v>
      </c>
      <c r="T44" s="130">
        <f t="shared" ref="T44" si="65">Q44/S44</f>
        <v>21.374802829703025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5116412</v>
      </c>
      <c r="G45" s="190">
        <f t="shared" ref="G45" si="66">F45/F44-1</f>
        <v>0.1428852592629386</v>
      </c>
      <c r="H45" s="190">
        <f t="shared" ref="H45" si="67">F45/F33-1</f>
        <v>0.75168052726039947</v>
      </c>
      <c r="I45" s="130">
        <f t="shared" si="0"/>
        <v>21.55868179023777</v>
      </c>
      <c r="J45" s="130">
        <f t="shared" si="5"/>
        <v>0.33423885366672423</v>
      </c>
      <c r="K45" s="136"/>
      <c r="L45" s="190"/>
      <c r="M45" s="190"/>
      <c r="N45" s="191"/>
      <c r="O45" s="206"/>
      <c r="P45" s="129" t="s">
        <v>849</v>
      </c>
      <c r="Q45" s="116">
        <v>102328240</v>
      </c>
      <c r="R45" s="116">
        <v>143679110084</v>
      </c>
      <c r="S45" s="116">
        <v>4746498</v>
      </c>
      <c r="T45" s="130">
        <f t="shared" ref="T45" si="68">Q45/S45</f>
        <v>21.55868179023777</v>
      </c>
      <c r="U45" s="85"/>
    </row>
    <row r="46" spans="1:21" s="92" customFormat="1" ht="13.2">
      <c r="A46" s="129" t="s">
        <v>888</v>
      </c>
      <c r="B46" s="188">
        <f>SUM(F44:F46)</f>
        <v>18814546.574162677</v>
      </c>
      <c r="C46" s="188">
        <f>AVERAGE(F44:F46)</f>
        <v>6271515.5247208923</v>
      </c>
      <c r="D46" s="190">
        <f>C46/C43-1</f>
        <v>0.29331520807287625</v>
      </c>
      <c r="E46" s="287">
        <f>C46/C34-1</f>
        <v>0.87274411899228843</v>
      </c>
      <c r="F46" s="136">
        <f>Q46/19</f>
        <v>9221384.2105263155</v>
      </c>
      <c r="G46" s="190">
        <f t="shared" ref="G46" si="69">F46/F45-1</f>
        <v>0.8023146319190706</v>
      </c>
      <c r="H46" s="190">
        <f t="shared" ref="H46" si="70">F46/F34-1</f>
        <v>1.160349984828156</v>
      </c>
      <c r="I46" s="130">
        <f t="shared" si="0"/>
        <v>19.75809676439092</v>
      </c>
      <c r="J46" s="130">
        <f t="shared" si="5"/>
        <v>0.11214332982484354</v>
      </c>
      <c r="K46" s="136">
        <f>R44+R45+R46</f>
        <v>527504212412</v>
      </c>
      <c r="L46" s="190">
        <f>U46/U43-1</f>
        <v>0.3359541489131701</v>
      </c>
      <c r="M46" s="190">
        <f>K46/K34-1</f>
        <v>0.90692557835272902</v>
      </c>
      <c r="N46" s="191">
        <f>AVERAGE(T44:T46)</f>
        <v>20.897193794777241</v>
      </c>
      <c r="O46" s="206">
        <f>N46/N43-1</f>
        <v>0.10942399388014623</v>
      </c>
      <c r="P46" s="129" t="s">
        <v>966</v>
      </c>
      <c r="Q46" s="116">
        <v>175206300</v>
      </c>
      <c r="R46" s="116">
        <v>239920807671</v>
      </c>
      <c r="S46" s="116">
        <v>8867569.6899999995</v>
      </c>
      <c r="T46" s="130">
        <f t="shared" ref="T46" si="71">Q46/S46</f>
        <v>19.75809676439092</v>
      </c>
      <c r="U46" s="85">
        <f t="shared" ref="U46:U51" si="72">Q44+Q45+Q46</f>
        <v>376023048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3907413.4782608696</v>
      </c>
      <c r="G47" s="190">
        <f t="shared" ref="G47" si="73">F47/F46-1</f>
        <v>-0.57626605842965395</v>
      </c>
      <c r="H47" s="190">
        <f t="shared" ref="H47" si="74">F47/F35-1</f>
        <v>1.3003240707442263</v>
      </c>
      <c r="I47" s="130">
        <f t="shared" si="0"/>
        <v>21.101996002219373</v>
      </c>
      <c r="J47" s="130">
        <f t="shared" si="5"/>
        <v>0.35822215708176408</v>
      </c>
      <c r="K47" s="136"/>
      <c r="L47" s="190"/>
      <c r="M47" s="190"/>
      <c r="N47" s="191"/>
      <c r="O47" s="206"/>
      <c r="P47" s="129" t="s">
        <v>991</v>
      </c>
      <c r="Q47" s="116">
        <v>89870510</v>
      </c>
      <c r="R47" s="116">
        <v>123156340554</v>
      </c>
      <c r="S47" s="116">
        <v>4258863</v>
      </c>
      <c r="T47" s="130">
        <f t="shared" ref="T47" si="75">Q47/S47</f>
        <v>21.101996002219373</v>
      </c>
      <c r="U47" s="85">
        <f t="shared" si="72"/>
        <v>367405050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5135226.0999999996</v>
      </c>
      <c r="G48" s="190">
        <f t="shared" ref="G48" si="76">F48/F47-1</f>
        <v>0.31422643868383515</v>
      </c>
      <c r="H48" s="190">
        <f t="shared" ref="H48" si="77">F48/F36-1</f>
        <v>0.97294234430262438</v>
      </c>
      <c r="I48" s="130">
        <f t="shared" si="0"/>
        <v>20.855810453194881</v>
      </c>
      <c r="J48" s="130">
        <f t="shared" si="5"/>
        <v>0.24808088810619155</v>
      </c>
      <c r="K48" s="136"/>
      <c r="L48" s="190"/>
      <c r="M48" s="190"/>
      <c r="N48" s="191"/>
      <c r="O48" s="206"/>
      <c r="P48" s="129" t="s">
        <v>1070</v>
      </c>
      <c r="Q48" s="116">
        <v>102704522</v>
      </c>
      <c r="R48" s="116">
        <v>142513999835</v>
      </c>
      <c r="S48" s="116">
        <v>4924504</v>
      </c>
      <c r="T48" s="130">
        <f t="shared" ref="T48" si="78">Q48/S48</f>
        <v>20.855810453194881</v>
      </c>
      <c r="U48" s="85">
        <f t="shared" si="72"/>
        <v>367781332</v>
      </c>
    </row>
    <row r="49" spans="1:26" ht="13.2">
      <c r="A49" s="129" t="s">
        <v>1245</v>
      </c>
      <c r="B49" s="188">
        <f>SUM(F47:F49)</f>
        <v>13991341.350988142</v>
      </c>
      <c r="C49" s="188">
        <f>AVERAGE(F47:F49)</f>
        <v>4663780.450329381</v>
      </c>
      <c r="D49" s="190">
        <f>C49/C46-1</f>
        <v>-0.25635511353741913</v>
      </c>
      <c r="E49" s="287">
        <f>C49/C37-1</f>
        <v>0.39985659446954047</v>
      </c>
      <c r="F49" s="136">
        <f>Q49/22</f>
        <v>4948701.7727272725</v>
      </c>
      <c r="G49" s="190">
        <f t="shared" ref="G49" si="79">F49/F48-1</f>
        <v>-3.6322515044221126E-2</v>
      </c>
      <c r="H49" s="190">
        <f t="shared" ref="H49" si="80">F49/F37-1</f>
        <v>-0.13079671095509204</v>
      </c>
      <c r="I49" s="130">
        <f t="shared" si="0"/>
        <v>20.292736232137337</v>
      </c>
      <c r="J49" s="130">
        <f t="shared" si="5"/>
        <v>0.20957172047928885</v>
      </c>
      <c r="K49" s="136">
        <f>R47+R48+R49</f>
        <v>416894630065</v>
      </c>
      <c r="L49" s="190">
        <f>U49/U46-1</f>
        <v>-0.19832980291144287</v>
      </c>
      <c r="M49" s="190">
        <f>K49/K37-1</f>
        <v>0.57103211827751932</v>
      </c>
      <c r="N49" s="191">
        <f>AVERAGE(T47:T49)</f>
        <v>20.75018089585053</v>
      </c>
      <c r="O49" s="206">
        <f>N49/N46-1</f>
        <v>-7.0350545805558662E-3</v>
      </c>
      <c r="P49" s="129" t="s">
        <v>1158</v>
      </c>
      <c r="Q49" s="116">
        <v>108871439</v>
      </c>
      <c r="R49" s="116">
        <v>151224289676</v>
      </c>
      <c r="S49" s="116">
        <v>5365044.8</v>
      </c>
      <c r="T49" s="130">
        <f t="shared" ref="T49" si="81">Q49/S49</f>
        <v>20.292736232137337</v>
      </c>
      <c r="U49" s="85">
        <f t="shared" si="72"/>
        <v>301446471</v>
      </c>
      <c r="V49" s="92"/>
      <c r="W49" s="92"/>
      <c r="X49" s="92"/>
      <c r="Y49" s="92"/>
      <c r="Z49" s="92"/>
    </row>
    <row r="50" spans="1:26" s="79" customFormat="1" ht="13.2">
      <c r="A50" s="129" t="s">
        <v>1327</v>
      </c>
      <c r="B50" s="188"/>
      <c r="C50" s="188"/>
      <c r="D50" s="190"/>
      <c r="E50" s="287"/>
      <c r="F50" s="136">
        <f>Q50/18</f>
        <v>4417801.055555556</v>
      </c>
      <c r="G50" s="190">
        <f t="shared" ref="G50" si="82">F50/F49-1</f>
        <v>-0.10728080647283222</v>
      </c>
      <c r="H50" s="190">
        <f t="shared" ref="H50" si="83">F50/F38-1</f>
        <v>-0.15956984901993909</v>
      </c>
      <c r="I50" s="130">
        <f t="shared" ref="I50" si="84">T50</f>
        <v>19.671266227441336</v>
      </c>
      <c r="J50" s="130">
        <f t="shared" ref="J50" si="85">I50/I38-1</f>
        <v>-1.5951286981135016E-2</v>
      </c>
      <c r="K50" s="136"/>
      <c r="L50" s="190"/>
      <c r="M50" s="190"/>
      <c r="N50" s="191"/>
      <c r="O50" s="192"/>
      <c r="P50" s="129" t="s">
        <v>1375</v>
      </c>
      <c r="Q50" s="116">
        <v>79520419</v>
      </c>
      <c r="R50" s="116">
        <v>112707862174</v>
      </c>
      <c r="S50" s="116">
        <v>4042465.7</v>
      </c>
      <c r="T50" s="130">
        <f t="shared" ref="T50" si="86">Q50/S50</f>
        <v>19.671266227441336</v>
      </c>
      <c r="U50" s="85">
        <f t="shared" si="72"/>
        <v>291096380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6423795.5499999998</v>
      </c>
      <c r="G51" s="190">
        <f t="shared" ref="G51:G52" si="87">F51/F50-1</f>
        <v>0.45407080790155274</v>
      </c>
      <c r="H51" s="190">
        <f t="shared" ref="H51:H52" si="88">F51/F39-1</f>
        <v>1.7473483204327502</v>
      </c>
      <c r="I51" s="130">
        <f t="shared" ref="I51:I52" si="89">T51</f>
        <v>20.939110362630714</v>
      </c>
      <c r="J51" s="130">
        <f t="shared" ref="J51:J52" si="90">I51/I39-1</f>
        <v>0.10934746170928977</v>
      </c>
      <c r="K51" s="136"/>
      <c r="L51" s="190"/>
      <c r="M51" s="190"/>
      <c r="N51" s="191"/>
      <c r="O51" s="192"/>
      <c r="P51" s="129" t="s">
        <v>1402</v>
      </c>
      <c r="Q51" s="116">
        <v>128475911</v>
      </c>
      <c r="R51" s="116">
        <v>186945922399</v>
      </c>
      <c r="S51" s="116">
        <v>6135691</v>
      </c>
      <c r="T51" s="130">
        <f t="shared" ref="T51:T52" si="91">Q51/S51</f>
        <v>20.939110362630714</v>
      </c>
      <c r="U51" s="85">
        <f t="shared" si="72"/>
        <v>316867769</v>
      </c>
    </row>
    <row r="52" spans="1:26" s="79" customFormat="1" ht="13.2">
      <c r="A52" s="129" t="s">
        <v>1403</v>
      </c>
      <c r="B52" s="188">
        <f>SUM(F50:F52)</f>
        <v>16843710.287373737</v>
      </c>
      <c r="C52" s="188">
        <f>AVERAGE(F50:F52)</f>
        <v>5614570.0957912458</v>
      </c>
      <c r="D52" s="190">
        <f>C52/C49-1</f>
        <v>0.2038667247714705</v>
      </c>
      <c r="E52" s="287">
        <f>C52/C40-1</f>
        <v>0.2671749424371761</v>
      </c>
      <c r="F52" s="136">
        <f>Q52/22</f>
        <v>6002113.6818181816</v>
      </c>
      <c r="G52" s="190">
        <f t="shared" si="87"/>
        <v>-6.5643724944175474E-2</v>
      </c>
      <c r="H52" s="190">
        <f t="shared" si="88"/>
        <v>5.3453942185409442E-2</v>
      </c>
      <c r="I52" s="130">
        <f t="shared" si="89"/>
        <v>15.080201962431087</v>
      </c>
      <c r="J52" s="130">
        <f t="shared" si="90"/>
        <v>-0.16728546810651412</v>
      </c>
      <c r="K52" s="136">
        <f>R50+R51+R52</f>
        <v>494211390422</v>
      </c>
      <c r="L52" s="190">
        <f>U52/U49-1</f>
        <v>0.12803719304446592</v>
      </c>
      <c r="M52" s="190">
        <f>K52/K40-1</f>
        <v>0.30404832422039418</v>
      </c>
      <c r="N52" s="191">
        <f>AVERAGE(T50:T52)</f>
        <v>18.563526184167713</v>
      </c>
      <c r="O52" s="192">
        <f>N52/N49-1</f>
        <v>-0.10538003127096052</v>
      </c>
      <c r="P52" s="129" t="s">
        <v>1403</v>
      </c>
      <c r="Q52" s="116">
        <v>132046501</v>
      </c>
      <c r="R52" s="116">
        <v>194557605849</v>
      </c>
      <c r="S52" s="116">
        <v>8756282</v>
      </c>
      <c r="T52" s="130">
        <f t="shared" si="91"/>
        <v>15.080201962431087</v>
      </c>
      <c r="U52" s="85">
        <f t="shared" ref="U52" si="92">Q50+Q51+Q52</f>
        <v>340042831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5852471.2857142854</v>
      </c>
      <c r="G53" s="190">
        <f t="shared" ref="G53" si="93">F53/F52-1</f>
        <v>-2.4931616433257253E-2</v>
      </c>
      <c r="H53" s="190">
        <f t="shared" ref="H53" si="94">F53/F41-1</f>
        <v>0.23383476899438338</v>
      </c>
      <c r="I53" s="130">
        <f t="shared" ref="I53" si="95">T53</f>
        <v>21.830577968508678</v>
      </c>
      <c r="J53" s="130">
        <f t="shared" ref="J53" si="96">I53/I41-1</f>
        <v>0.17476999885541855</v>
      </c>
      <c r="K53" s="136"/>
      <c r="L53" s="190"/>
      <c r="M53" s="190"/>
      <c r="N53" s="191"/>
      <c r="O53" s="192"/>
      <c r="P53" s="129" t="s">
        <v>1414</v>
      </c>
      <c r="Q53" s="116">
        <v>122901897</v>
      </c>
      <c r="R53" s="116">
        <v>179693191441</v>
      </c>
      <c r="S53" s="116">
        <v>5629805</v>
      </c>
      <c r="T53" s="130">
        <f t="shared" ref="T53" si="97">Q53/S53</f>
        <v>21.830577968508678</v>
      </c>
      <c r="U53" s="85">
        <f t="shared" ref="U53" si="98">Q51+Q52+Q53</f>
        <v>383424309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6511310.2352941176</v>
      </c>
      <c r="G54" s="190">
        <f t="shared" ref="G54" si="99">F54/F53-1</f>
        <v>0.11257448647173018</v>
      </c>
      <c r="H54" s="190">
        <f t="shared" ref="H54" si="100">F54/F42-1</f>
        <v>6.850278619529937E-2</v>
      </c>
      <c r="I54" s="130">
        <f t="shared" ref="I54" si="101">T54</f>
        <v>20.611267471200257</v>
      </c>
      <c r="J54" s="130">
        <f t="shared" ref="J54" si="102">I54/I42-1</f>
        <v>8.3219034921438784E-2</v>
      </c>
      <c r="K54" s="136"/>
      <c r="L54" s="190"/>
      <c r="M54" s="190"/>
      <c r="N54" s="191"/>
      <c r="O54" s="192"/>
      <c r="P54" s="129" t="s">
        <v>1417</v>
      </c>
      <c r="Q54" s="116">
        <v>110692274</v>
      </c>
      <c r="R54" s="116">
        <v>160428675729</v>
      </c>
      <c r="S54" s="116">
        <v>5370473.9000000004</v>
      </c>
      <c r="T54" s="130">
        <f t="shared" ref="T54" si="103">Q54/S54</f>
        <v>20.611267471200257</v>
      </c>
      <c r="U54" s="85">
        <f t="shared" ref="U54" si="104">Q52+Q53+Q54</f>
        <v>365640672</v>
      </c>
    </row>
    <row r="55" spans="1:26" s="79" customFormat="1" ht="13.2">
      <c r="A55" s="129" t="s">
        <v>1418</v>
      </c>
      <c r="B55" s="188">
        <f>SUM(F53:F55)</f>
        <v>18654603.759103641</v>
      </c>
      <c r="C55" s="188">
        <f>AVERAGE(F53:F55)</f>
        <v>6218201.253034547</v>
      </c>
      <c r="D55" s="190">
        <f>C55/C52-1</f>
        <v>0.10751155421423819</v>
      </c>
      <c r="E55" s="287">
        <f>C55/C43-1</f>
        <v>0.28232071111157775</v>
      </c>
      <c r="F55" s="136">
        <f>Q55/21</f>
        <v>6290822.2380952379</v>
      </c>
      <c r="G55" s="190">
        <f t="shared" ref="G55" si="105">F55/F54-1</f>
        <v>-3.3862308695374321E-2</v>
      </c>
      <c r="H55" s="190">
        <f t="shared" ref="H55" si="106">F55/F43-1</f>
        <v>0.69547873524849724</v>
      </c>
      <c r="I55" s="130">
        <f>T55</f>
        <v>20.766012607310053</v>
      </c>
      <c r="J55" s="130">
        <f t="shared" ref="J55" si="107">I55/I43-1</f>
        <v>9.8871531732938722E-2</v>
      </c>
      <c r="K55" s="136">
        <f>R53+R54+R55</f>
        <v>534142383027</v>
      </c>
      <c r="L55" s="190">
        <f>U55/U52-1</f>
        <v>7.545698559367664E-2</v>
      </c>
      <c r="M55" s="190">
        <f>K55/K43-1</f>
        <v>0.30824091908407203</v>
      </c>
      <c r="N55" s="191">
        <f>AVERAGE(T53:T55)</f>
        <v>21.069286015672997</v>
      </c>
      <c r="O55" s="192">
        <f>N55/N52-1</f>
        <v>0.13498296641735941</v>
      </c>
      <c r="P55" s="129" t="s">
        <v>1418</v>
      </c>
      <c r="Q55" s="116">
        <v>132107267</v>
      </c>
      <c r="R55" s="116">
        <v>194020515857</v>
      </c>
      <c r="S55" s="116">
        <v>6361706</v>
      </c>
      <c r="T55" s="130">
        <f t="shared" ref="T55" si="108">Q55/S55</f>
        <v>20.766012607310053</v>
      </c>
      <c r="U55" s="85">
        <f t="shared" ref="U55" si="109">Q53+Q54+Q55</f>
        <v>365701438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6335446.3636363633</v>
      </c>
      <c r="G56" s="190">
        <f t="shared" ref="G56" si="110">F56/F55-1</f>
        <v>7.093528294424889E-3</v>
      </c>
      <c r="H56" s="190">
        <f t="shared" ref="H56" si="111">F56/F44-1</f>
        <v>0.41518866343269201</v>
      </c>
      <c r="I56" s="291">
        <f>T56</f>
        <v>19.391639329400682</v>
      </c>
      <c r="J56" s="130">
        <f t="shared" ref="J56" si="112">I56/I44-1</f>
        <v>-9.2780434799917044E-2</v>
      </c>
      <c r="K56" s="136"/>
      <c r="L56" s="190"/>
      <c r="M56" s="190"/>
      <c r="N56" s="191"/>
      <c r="O56" s="192"/>
      <c r="P56" s="129" t="s">
        <v>1420</v>
      </c>
      <c r="Q56" s="116">
        <v>139379820</v>
      </c>
      <c r="R56" s="116">
        <v>207776342303</v>
      </c>
      <c r="S56" s="116">
        <v>7187624.4000000004</v>
      </c>
      <c r="T56" s="130">
        <f t="shared" ref="T56" si="113">Q56/S56</f>
        <v>19.391639329400682</v>
      </c>
      <c r="U56" s="85">
        <f t="shared" ref="U56" si="114">Q54+Q55+Q56</f>
        <v>382179361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5090223.166666667</v>
      </c>
      <c r="G57" s="254">
        <f t="shared" ref="G57" si="115">F57/F56-1</f>
        <v>-0.19654861323061923</v>
      </c>
      <c r="H57" s="254">
        <f t="shared" ref="H57" si="116">F57/F45-1</f>
        <v>-5.1185935247851644E-3</v>
      </c>
      <c r="I57" s="282">
        <f>T57</f>
        <v>21.145657350822855</v>
      </c>
      <c r="J57" s="277">
        <f t="shared" ref="J57" si="117">I57/I45-1</f>
        <v>-1.9158149066513919E-2</v>
      </c>
      <c r="K57" s="204"/>
      <c r="L57" s="254"/>
      <c r="M57" s="254"/>
      <c r="N57" s="257"/>
      <c r="O57" s="258"/>
      <c r="P57" s="129" t="s">
        <v>1436</v>
      </c>
      <c r="Q57" s="116">
        <v>61082678</v>
      </c>
      <c r="R57" s="116">
        <v>90017471050</v>
      </c>
      <c r="S57" s="116">
        <v>2888663</v>
      </c>
      <c r="T57" s="130">
        <f t="shared" ref="T57" si="118">Q57/S57</f>
        <v>21.145657350822855</v>
      </c>
      <c r="U57" s="85">
        <f t="shared" ref="U57" si="119">Q55+Q56+Q57</f>
        <v>332569765</v>
      </c>
    </row>
    <row r="58" spans="1:26">
      <c r="B58" s="196">
        <f>SUM(F56:F58)</f>
        <v>11425669.530303031</v>
      </c>
      <c r="C58" s="196">
        <f>AVERAGE(F56:F58)</f>
        <v>5712834.7651515156</v>
      </c>
      <c r="D58" s="197">
        <f>C58/C55-1</f>
        <v>-8.1272134387160189E-2</v>
      </c>
      <c r="E58" s="233">
        <f>C58/C46-1</f>
        <v>-8.9082257289674893E-2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566163936</v>
      </c>
      <c r="R65" s="212">
        <v>831936196380</v>
      </c>
      <c r="S65" s="213">
        <v>27438272.300000001</v>
      </c>
      <c r="T65" s="214">
        <v>7</v>
      </c>
      <c r="U65" s="214">
        <v>24</v>
      </c>
    </row>
    <row r="66" spans="16:21" ht="18" thickBot="1">
      <c r="P66" s="180" t="s">
        <v>976</v>
      </c>
      <c r="Q66" s="181">
        <v>122901897</v>
      </c>
      <c r="R66" s="181">
        <v>179693191441</v>
      </c>
      <c r="S66" s="182">
        <v>5629805</v>
      </c>
      <c r="T66" s="210">
        <v>5</v>
      </c>
      <c r="U66" s="210">
        <v>10</v>
      </c>
    </row>
    <row r="67" spans="16:21" ht="18" thickBot="1">
      <c r="P67" s="180" t="s">
        <v>977</v>
      </c>
      <c r="Q67" s="181">
        <v>110692274</v>
      </c>
      <c r="R67" s="181">
        <v>160428675729</v>
      </c>
      <c r="S67" s="182">
        <v>5370473.9000000004</v>
      </c>
      <c r="T67" s="210">
        <v>5</v>
      </c>
      <c r="U67" s="210">
        <v>10</v>
      </c>
    </row>
    <row r="68" spans="16:21" ht="18" thickBot="1">
      <c r="P68" s="180" t="s">
        <v>978</v>
      </c>
      <c r="Q68" s="181">
        <v>132107267</v>
      </c>
      <c r="R68" s="181">
        <v>194020515857</v>
      </c>
      <c r="S68" s="182">
        <v>6361706</v>
      </c>
      <c r="T68" s="210">
        <v>5</v>
      </c>
      <c r="U68" s="210">
        <v>10</v>
      </c>
    </row>
    <row r="69" spans="16:21" ht="18" thickBot="1">
      <c r="P69" s="180" t="s">
        <v>979</v>
      </c>
      <c r="Q69" s="181">
        <v>139379820</v>
      </c>
      <c r="R69" s="181">
        <v>207776342303</v>
      </c>
      <c r="S69" s="182">
        <v>7187624.4000000004</v>
      </c>
      <c r="T69" s="210">
        <v>7</v>
      </c>
      <c r="U69" s="210">
        <v>15</v>
      </c>
    </row>
    <row r="70" spans="16:21" ht="18" thickBot="1">
      <c r="P70" s="180" t="s">
        <v>980</v>
      </c>
      <c r="Q70" s="181">
        <v>61082678</v>
      </c>
      <c r="R70" s="181">
        <v>90017471050</v>
      </c>
      <c r="S70" s="182">
        <v>2888663</v>
      </c>
      <c r="T70" s="210">
        <v>5</v>
      </c>
      <c r="U70" s="210">
        <v>6</v>
      </c>
    </row>
    <row r="71" spans="16:21" ht="18" thickBot="1">
      <c r="P71" s="215" t="s">
        <v>975</v>
      </c>
      <c r="Q71" s="216">
        <v>1297551063</v>
      </c>
      <c r="R71"/>
      <c r="S71"/>
      <c r="T71"/>
      <c r="U71"/>
    </row>
    <row r="72" spans="16:21" ht="18" thickBot="1">
      <c r="P72" s="215" t="s">
        <v>982</v>
      </c>
      <c r="Q72" s="217" t="s">
        <v>1442</v>
      </c>
      <c r="R72"/>
      <c r="S72"/>
      <c r="T72"/>
      <c r="U72"/>
    </row>
  </sheetData>
  <phoneticPr fontId="1" type="noConversion"/>
  <conditionalFormatting sqref="C29:C30">
    <cfRule type="cellIs" dxfId="23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Z74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256855.55</v>
      </c>
      <c r="G5" s="90"/>
      <c r="H5" s="90"/>
      <c r="I5" s="130">
        <f t="shared" ref="I5:I49" si="0">T5</f>
        <v>12.001782589497441</v>
      </c>
      <c r="J5" s="130"/>
      <c r="K5" s="86"/>
      <c r="L5" s="80"/>
      <c r="M5" s="80"/>
      <c r="N5" s="79"/>
      <c r="O5" s="79"/>
      <c r="P5" s="129" t="s">
        <v>0</v>
      </c>
      <c r="Q5" s="116">
        <v>5137111</v>
      </c>
      <c r="R5" s="116">
        <v>6070481060</v>
      </c>
      <c r="S5" s="116">
        <v>428029</v>
      </c>
      <c r="T5" s="130">
        <f t="shared" ref="T5:T32" si="1">Q5/S5</f>
        <v>12.001782589497441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376051.38888888888</v>
      </c>
      <c r="G6" s="90">
        <f t="shared" ref="G6:G32" si="2">F6/F5-1</f>
        <v>0.46405786789068371</v>
      </c>
      <c r="H6" s="90"/>
      <c r="I6" s="130">
        <f t="shared" si="0"/>
        <v>12.282036347537034</v>
      </c>
      <c r="J6" s="130"/>
      <c r="K6" s="78"/>
      <c r="L6" s="87"/>
      <c r="M6" s="87"/>
      <c r="N6" s="79"/>
      <c r="O6" s="79"/>
      <c r="P6" s="129" t="s">
        <v>1</v>
      </c>
      <c r="Q6" s="116">
        <v>6768925</v>
      </c>
      <c r="R6" s="116">
        <v>8027051973</v>
      </c>
      <c r="S6" s="116">
        <v>551124</v>
      </c>
      <c r="T6" s="130">
        <f t="shared" si="1"/>
        <v>12.282036347537034</v>
      </c>
      <c r="U6" s="85"/>
    </row>
    <row r="7" spans="1:21" ht="15" hidden="1" customHeight="1">
      <c r="A7" s="129" t="s">
        <v>2</v>
      </c>
      <c r="B7" s="131">
        <f>F5+F6+F7</f>
        <v>805285.89343434339</v>
      </c>
      <c r="C7" s="131">
        <f>AVERAGE(F5:F7)</f>
        <v>268428.63114478113</v>
      </c>
      <c r="D7" s="117"/>
      <c r="F7" s="78">
        <f>Q7/22</f>
        <v>172378.95454545456</v>
      </c>
      <c r="G7" s="90">
        <f t="shared" si="2"/>
        <v>-0.54160798327383119</v>
      </c>
      <c r="H7" s="90"/>
      <c r="I7" s="130">
        <f t="shared" si="0"/>
        <v>12.802001822907876</v>
      </c>
      <c r="J7" s="130"/>
      <c r="K7" s="85">
        <f>R5+R6+R7</f>
        <v>18648022746</v>
      </c>
      <c r="L7" s="87"/>
      <c r="M7" s="87"/>
      <c r="N7" s="88">
        <f>AVERAGE(T5:T7)</f>
        <v>12.361940253314117</v>
      </c>
      <c r="O7" s="79"/>
      <c r="P7" s="129" t="s">
        <v>2</v>
      </c>
      <c r="Q7" s="116">
        <v>3792337</v>
      </c>
      <c r="R7" s="116">
        <v>4550489713</v>
      </c>
      <c r="S7" s="116">
        <v>296230</v>
      </c>
      <c r="T7" s="130">
        <f t="shared" si="1"/>
        <v>12.802001822907876</v>
      </c>
      <c r="U7" s="85">
        <f>Q5+Q6+Q7</f>
        <v>15698373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218874.57142857142</v>
      </c>
      <c r="G8" s="90">
        <f t="shared" si="2"/>
        <v>0.2697290803608885</v>
      </c>
      <c r="H8" s="90"/>
      <c r="I8" s="130">
        <f t="shared" si="0"/>
        <v>13.218583918095019</v>
      </c>
      <c r="J8" s="130"/>
      <c r="K8" s="78"/>
      <c r="L8" s="87"/>
      <c r="M8" s="87"/>
      <c r="N8" s="79"/>
      <c r="O8" s="79"/>
      <c r="P8" s="129" t="s">
        <v>3</v>
      </c>
      <c r="Q8" s="116">
        <v>4596366</v>
      </c>
      <c r="R8" s="116">
        <v>5597849922</v>
      </c>
      <c r="S8" s="116">
        <v>347720</v>
      </c>
      <c r="T8" s="130">
        <f t="shared" si="1"/>
        <v>13.218583918095019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208690.57142857142</v>
      </c>
      <c r="G9" s="90">
        <f t="shared" si="2"/>
        <v>-4.652893176914108E-2</v>
      </c>
      <c r="H9" s="90"/>
      <c r="I9" s="130">
        <f t="shared" si="0"/>
        <v>12.476341223862326</v>
      </c>
      <c r="J9" s="130"/>
      <c r="K9" s="78"/>
      <c r="L9" s="87"/>
      <c r="M9" s="87"/>
      <c r="N9" s="79"/>
      <c r="O9" s="79"/>
      <c r="P9" s="129" t="s">
        <v>4</v>
      </c>
      <c r="Q9" s="116">
        <v>4382502</v>
      </c>
      <c r="R9" s="116">
        <v>5520715639</v>
      </c>
      <c r="S9" s="116">
        <v>351265</v>
      </c>
      <c r="T9" s="130">
        <f t="shared" si="1"/>
        <v>12.476341223862326</v>
      </c>
      <c r="U9" s="85"/>
    </row>
    <row r="10" spans="1:21" ht="15" hidden="1" customHeight="1">
      <c r="A10" s="129" t="s">
        <v>5</v>
      </c>
      <c r="B10" s="131">
        <f>F8+F9+F10</f>
        <v>678508.80952380947</v>
      </c>
      <c r="C10" s="131">
        <f>AVERAGE(F8:F10)</f>
        <v>226169.60317460317</v>
      </c>
      <c r="D10" s="90">
        <f>C10/C7-1</f>
        <v>-0.15743114953853377</v>
      </c>
      <c r="E10" s="286"/>
      <c r="F10" s="78">
        <f>Q10/21</f>
        <v>250943.66666666666</v>
      </c>
      <c r="G10" s="90">
        <f t="shared" si="2"/>
        <v>0.20246767713967961</v>
      </c>
      <c r="H10" s="90"/>
      <c r="I10" s="130">
        <f t="shared" si="0"/>
        <v>11.979089284821262</v>
      </c>
      <c r="J10" s="130"/>
      <c r="K10" s="85">
        <f>R8+R9+R10</f>
        <v>17777074245</v>
      </c>
      <c r="L10" s="87">
        <f>U10/U7-1</f>
        <v>-9.2346385195459457E-2</v>
      </c>
      <c r="M10" s="87"/>
      <c r="N10" s="88">
        <f>AVERAGE(T8:T10)</f>
        <v>12.558004808926201</v>
      </c>
      <c r="O10" s="89">
        <f>N10/N7-1</f>
        <v>1.5860338393038242E-2</v>
      </c>
      <c r="P10" s="129" t="s">
        <v>5</v>
      </c>
      <c r="Q10" s="116">
        <v>5269817</v>
      </c>
      <c r="R10" s="116">
        <v>6658508684</v>
      </c>
      <c r="S10" s="116">
        <v>439918</v>
      </c>
      <c r="T10" s="130">
        <f t="shared" si="1"/>
        <v>11.979089284821262</v>
      </c>
      <c r="U10" s="85">
        <f>Q8+Q9+Q10</f>
        <v>14248685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502294.61904761905</v>
      </c>
      <c r="G11" s="90">
        <f t="shared" si="2"/>
        <v>1.0016230165108202</v>
      </c>
      <c r="H11" s="90"/>
      <c r="I11" s="130">
        <f t="shared" si="0"/>
        <v>11.831927466231146</v>
      </c>
      <c r="J11" s="130"/>
      <c r="K11" s="78"/>
      <c r="L11" s="87"/>
      <c r="M11" s="87"/>
      <c r="N11" s="79"/>
      <c r="O11" s="89"/>
      <c r="P11" s="129" t="s">
        <v>6</v>
      </c>
      <c r="Q11" s="116">
        <v>10548187</v>
      </c>
      <c r="R11" s="116">
        <v>13592242017</v>
      </c>
      <c r="S11" s="116">
        <v>891502</v>
      </c>
      <c r="T11" s="130">
        <f t="shared" si="1"/>
        <v>11.831927466231146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338419.13636363635</v>
      </c>
      <c r="G12" s="90">
        <f t="shared" si="2"/>
        <v>-0.32625370941600074</v>
      </c>
      <c r="H12" s="90"/>
      <c r="I12" s="130">
        <f t="shared" si="0"/>
        <v>12.300295066150328</v>
      </c>
      <c r="J12" s="130"/>
      <c r="K12" s="78"/>
      <c r="L12" s="87"/>
      <c r="M12" s="87"/>
      <c r="N12" s="79"/>
      <c r="O12" s="89"/>
      <c r="P12" s="129" t="s">
        <v>7</v>
      </c>
      <c r="Q12" s="116">
        <v>7445221</v>
      </c>
      <c r="R12" s="116">
        <v>9619101219</v>
      </c>
      <c r="S12" s="116">
        <v>605288</v>
      </c>
      <c r="T12" s="130">
        <f t="shared" si="1"/>
        <v>12.300295066150328</v>
      </c>
      <c r="U12" s="85"/>
    </row>
    <row r="13" spans="1:21" ht="15" hidden="1" customHeight="1">
      <c r="A13" s="129" t="s">
        <v>96</v>
      </c>
      <c r="B13" s="131">
        <f>F11+F12+F13</f>
        <v>1448654.3554112553</v>
      </c>
      <c r="C13" s="131">
        <f>AVERAGE(F11:F13)</f>
        <v>482884.78513708507</v>
      </c>
      <c r="D13" s="90">
        <f>C13/C10-1</f>
        <v>1.1350560745525891</v>
      </c>
      <c r="E13" s="286"/>
      <c r="F13" s="78">
        <f>Q13/20</f>
        <v>607940.6</v>
      </c>
      <c r="G13" s="90">
        <f t="shared" si="2"/>
        <v>0.79641318907793335</v>
      </c>
      <c r="H13" s="90"/>
      <c r="I13" s="130">
        <f t="shared" si="0"/>
        <v>12.221987453145308</v>
      </c>
      <c r="J13" s="130"/>
      <c r="K13" s="78">
        <f>R11+R12+R13</f>
        <v>39929946484</v>
      </c>
      <c r="L13" s="87">
        <f>U13/U10-1</f>
        <v>1.11614054209213</v>
      </c>
      <c r="M13" s="87"/>
      <c r="N13" s="88">
        <f>AVERAGE(T11:T13)</f>
        <v>12.118069995175595</v>
      </c>
      <c r="O13" s="89">
        <f>N13/N10-1</f>
        <v>-3.5032222112058808E-2</v>
      </c>
      <c r="P13" s="129" t="s">
        <v>96</v>
      </c>
      <c r="Q13" s="116">
        <v>12158812</v>
      </c>
      <c r="R13" s="116">
        <v>16718603248</v>
      </c>
      <c r="S13" s="116">
        <v>994831</v>
      </c>
      <c r="T13" s="130">
        <f t="shared" si="1"/>
        <v>12.221987453145308</v>
      </c>
      <c r="U13" s="85">
        <f>Q11+Q12+Q13</f>
        <v>30152220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430852</v>
      </c>
      <c r="G14" s="90">
        <f t="shared" si="2"/>
        <v>-0.29129260325762085</v>
      </c>
      <c r="H14" s="90"/>
      <c r="I14" s="130">
        <f t="shared" si="0"/>
        <v>12.59125586125573</v>
      </c>
      <c r="J14" s="130"/>
      <c r="K14" s="78"/>
      <c r="L14" s="87"/>
      <c r="M14" s="87"/>
      <c r="N14" s="79"/>
      <c r="O14" s="89"/>
      <c r="P14" s="129" t="s">
        <v>97</v>
      </c>
      <c r="Q14" s="116">
        <v>8617040</v>
      </c>
      <c r="R14" s="116">
        <v>12304913455</v>
      </c>
      <c r="S14" s="116">
        <v>684367</v>
      </c>
      <c r="T14" s="130">
        <f t="shared" si="1"/>
        <v>12.59125586125573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1116015.9090909092</v>
      </c>
      <c r="G15" s="90">
        <f t="shared" si="2"/>
        <v>1.5902535188206373</v>
      </c>
      <c r="H15" s="90"/>
      <c r="I15" s="130">
        <f t="shared" si="0"/>
        <v>15.463407506498104</v>
      </c>
      <c r="J15" s="130"/>
      <c r="K15" s="78"/>
      <c r="L15" s="87"/>
      <c r="M15" s="87"/>
      <c r="N15" s="79"/>
      <c r="O15" s="89"/>
      <c r="P15" s="129" t="s">
        <v>98</v>
      </c>
      <c r="Q15" s="116">
        <v>24552350</v>
      </c>
      <c r="R15" s="116">
        <v>33503241031</v>
      </c>
      <c r="S15" s="116">
        <v>1587771</v>
      </c>
      <c r="T15" s="130">
        <f t="shared" si="1"/>
        <v>15.463407506498104</v>
      </c>
      <c r="U15" s="78"/>
    </row>
    <row r="16" spans="1:21" ht="15" hidden="1" customHeight="1">
      <c r="A16" s="129" t="s">
        <v>99</v>
      </c>
      <c r="B16" s="131">
        <f>F14+F15+F16</f>
        <v>2335456.9090909092</v>
      </c>
      <c r="C16" s="131">
        <f>AVERAGE(F14:F16)</f>
        <v>778485.63636363635</v>
      </c>
      <c r="D16" s="90">
        <f>C16/C13-1</f>
        <v>0.61215606771009323</v>
      </c>
      <c r="E16" s="286"/>
      <c r="F16" s="78">
        <f>Q16/22</f>
        <v>788589</v>
      </c>
      <c r="G16" s="90">
        <f t="shared" si="2"/>
        <v>-0.2933891053198574</v>
      </c>
      <c r="H16" s="90"/>
      <c r="I16" s="130">
        <f t="shared" si="0"/>
        <v>14.967985567752105</v>
      </c>
      <c r="J16" s="130"/>
      <c r="K16" s="78">
        <f>R14+R15+R16</f>
        <v>68506917572</v>
      </c>
      <c r="L16" s="87">
        <f>U16/U13-1</f>
        <v>0.67544373183798734</v>
      </c>
      <c r="M16" s="87"/>
      <c r="N16" s="88">
        <f>AVERAGE(T14:T16)</f>
        <v>14.34088297850198</v>
      </c>
      <c r="O16" s="89">
        <f>N16/N13-1</f>
        <v>0.18342962074087077</v>
      </c>
      <c r="P16" s="129" t="s">
        <v>99</v>
      </c>
      <c r="Q16" s="116">
        <v>17348958</v>
      </c>
      <c r="R16" s="116">
        <v>22698763086</v>
      </c>
      <c r="S16" s="116">
        <v>1159071</v>
      </c>
      <c r="T16" s="130">
        <f t="shared" si="1"/>
        <v>14.967985567752105</v>
      </c>
      <c r="U16" s="85">
        <f>Q14+Q15+Q16</f>
        <v>50518348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758901.9</v>
      </c>
      <c r="G17" s="90">
        <f t="shared" si="2"/>
        <v>-3.764584593495468E-2</v>
      </c>
      <c r="H17" s="90">
        <f t="shared" ref="H17:H32" si="3">F17/F5-1</f>
        <v>1.9545863424014005</v>
      </c>
      <c r="I17" s="130">
        <f t="shared" si="0"/>
        <v>15.438987771310693</v>
      </c>
      <c r="J17" s="130">
        <f t="shared" ref="J17:J49" si="4">I17/I5-1</f>
        <v>0.28639122198573164</v>
      </c>
      <c r="K17" s="78"/>
      <c r="L17" s="87"/>
      <c r="M17" s="87"/>
      <c r="N17" s="79"/>
      <c r="O17" s="89"/>
      <c r="P17" s="129" t="s">
        <v>100</v>
      </c>
      <c r="Q17" s="116">
        <v>15178038</v>
      </c>
      <c r="R17" s="116">
        <v>18881446855</v>
      </c>
      <c r="S17" s="116">
        <v>983098</v>
      </c>
      <c r="T17" s="130">
        <f t="shared" si="1"/>
        <v>15.438987771310693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1596857.65</v>
      </c>
      <c r="G18" s="90">
        <f t="shared" si="2"/>
        <v>1.1041687337981365</v>
      </c>
      <c r="H18" s="90">
        <f t="shared" si="3"/>
        <v>3.2463814712085002</v>
      </c>
      <c r="I18" s="130">
        <f t="shared" si="0"/>
        <v>14.449432521921301</v>
      </c>
      <c r="J18" s="130">
        <f t="shared" si="4"/>
        <v>0.17646879662743409</v>
      </c>
      <c r="K18" s="78"/>
      <c r="L18" s="87"/>
      <c r="M18" s="87"/>
      <c r="N18" s="79"/>
      <c r="O18" s="89"/>
      <c r="P18" s="129" t="s">
        <v>106</v>
      </c>
      <c r="Q18" s="116">
        <v>31937153</v>
      </c>
      <c r="R18" s="116">
        <v>39896838334</v>
      </c>
      <c r="S18" s="116">
        <v>2210270.4</v>
      </c>
      <c r="T18" s="130">
        <f t="shared" si="1"/>
        <v>14.449432521921301</v>
      </c>
      <c r="U18" s="78"/>
    </row>
    <row r="19" spans="1:21" hidden="1">
      <c r="A19" s="129" t="s">
        <v>114</v>
      </c>
      <c r="B19" s="131">
        <f>SUM(F17:F19)</f>
        <v>2967799.55</v>
      </c>
      <c r="C19" s="131">
        <f>AVERAGE(F17:F19)</f>
        <v>989266.5166666666</v>
      </c>
      <c r="D19" s="90">
        <f>C19/C16-1</f>
        <v>0.27075757144037138</v>
      </c>
      <c r="E19" s="286">
        <f>C19/C7-1</f>
        <v>2.6853986567963775</v>
      </c>
      <c r="F19" s="78">
        <f>Q19/22</f>
        <v>612040</v>
      </c>
      <c r="G19" s="90">
        <f t="shared" si="2"/>
        <v>-0.61672225448523854</v>
      </c>
      <c r="H19" s="90">
        <f t="shared" si="3"/>
        <v>2.5505494369303148</v>
      </c>
      <c r="I19" s="130">
        <f t="shared" si="0"/>
        <v>14.786643253815296</v>
      </c>
      <c r="J19" s="130">
        <f t="shared" si="4"/>
        <v>0.15502586691997711</v>
      </c>
      <c r="K19" s="78">
        <f>R17+R18+R19</f>
        <v>76389650674</v>
      </c>
      <c r="L19" s="87">
        <f>U19/U16-1</f>
        <v>0.19916967593635482</v>
      </c>
      <c r="M19" s="87">
        <f>U19/U7-1</f>
        <v>2.8590031591171901</v>
      </c>
      <c r="N19" s="88">
        <f>AVERAGE(T17:T19)</f>
        <v>14.891687849015762</v>
      </c>
      <c r="O19" s="89">
        <f>N19/N16-1</f>
        <v>3.8408016531442213E-2</v>
      </c>
      <c r="P19" s="129" t="s">
        <v>115</v>
      </c>
      <c r="Q19" s="116">
        <v>13464880</v>
      </c>
      <c r="R19" s="116">
        <v>17611365485</v>
      </c>
      <c r="S19" s="116">
        <v>910611</v>
      </c>
      <c r="T19" s="130">
        <f t="shared" si="1"/>
        <v>14.786643253815296</v>
      </c>
      <c r="U19" s="85">
        <f>Q17+Q18+Q19</f>
        <v>60580071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675031</v>
      </c>
      <c r="G20" s="90">
        <f t="shared" si="2"/>
        <v>0.10291974380759417</v>
      </c>
      <c r="H20" s="90">
        <f t="shared" si="3"/>
        <v>2.0840996996322749</v>
      </c>
      <c r="I20" s="130">
        <f t="shared" si="0"/>
        <v>15.478155593032628</v>
      </c>
      <c r="J20" s="130">
        <f t="shared" si="4"/>
        <v>0.17093901199541239</v>
      </c>
      <c r="K20" s="78"/>
      <c r="L20" s="87"/>
      <c r="M20" s="87"/>
      <c r="N20" s="79"/>
      <c r="O20" s="89"/>
      <c r="P20" s="129" t="s">
        <v>131</v>
      </c>
      <c r="Q20" s="116">
        <v>13500620</v>
      </c>
      <c r="R20" s="116">
        <v>17720964743</v>
      </c>
      <c r="S20" s="116">
        <v>872237</v>
      </c>
      <c r="T20" s="130">
        <f t="shared" si="1"/>
        <v>15.478155593032628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597758.71428571432</v>
      </c>
      <c r="G21" s="90">
        <f t="shared" si="2"/>
        <v>-0.11447220307554129</v>
      </c>
      <c r="H21" s="90">
        <f t="shared" si="3"/>
        <v>1.864330238754027</v>
      </c>
      <c r="I21" s="130">
        <f t="shared" si="0"/>
        <v>16.877893109243697</v>
      </c>
      <c r="J21" s="130">
        <f t="shared" si="4"/>
        <v>0.35279188076091872</v>
      </c>
      <c r="K21" s="78"/>
      <c r="L21" s="87"/>
      <c r="M21" s="87"/>
      <c r="N21" s="79"/>
      <c r="O21" s="89"/>
      <c r="P21" s="129" t="s">
        <v>141</v>
      </c>
      <c r="Q21" s="116">
        <v>12552933</v>
      </c>
      <c r="R21" s="116">
        <v>16754099575</v>
      </c>
      <c r="S21" s="116">
        <v>743750</v>
      </c>
      <c r="T21" s="130">
        <f t="shared" si="1"/>
        <v>16.877893109243697</v>
      </c>
      <c r="U21" s="78"/>
    </row>
    <row r="22" spans="1:21" hidden="1">
      <c r="A22" s="129" t="s">
        <v>156</v>
      </c>
      <c r="B22" s="131">
        <f>SUM(F20:F22)</f>
        <v>1907386.3333333335</v>
      </c>
      <c r="C22" s="131">
        <f>AVERAGE(F20:F22)</f>
        <v>635795.4444444445</v>
      </c>
      <c r="D22" s="90">
        <f>C22/C19-1</f>
        <v>-0.35730621249897632</v>
      </c>
      <c r="E22" s="286">
        <f>C22/C10-1</f>
        <v>1.8111445371976433</v>
      </c>
      <c r="F22" s="78">
        <f>Q22/21</f>
        <v>634596.61904761905</v>
      </c>
      <c r="G22" s="90">
        <f t="shared" si="2"/>
        <v>6.1626713055825233E-2</v>
      </c>
      <c r="H22" s="90">
        <f t="shared" si="3"/>
        <v>1.5288409445716997</v>
      </c>
      <c r="I22" s="130">
        <f t="shared" si="0"/>
        <v>16.776815276039791</v>
      </c>
      <c r="J22" s="130">
        <f t="shared" si="4"/>
        <v>0.40050840904055551</v>
      </c>
      <c r="K22" s="78">
        <f>R20+R21+R22</f>
        <v>51914353378</v>
      </c>
      <c r="L22" s="87">
        <f>U22/U19-1</f>
        <v>-0.34994988698511098</v>
      </c>
      <c r="M22" s="87">
        <f>U22/U10-1</f>
        <v>1.7637695689110959</v>
      </c>
      <c r="N22" s="88">
        <f>AVERAGE(T20:T22)</f>
        <v>16.377621326105373</v>
      </c>
      <c r="O22" s="89">
        <f>N22/N19-1</f>
        <v>9.978274404857479E-2</v>
      </c>
      <c r="P22" s="129" t="s">
        <v>156</v>
      </c>
      <c r="Q22" s="116">
        <v>13326529</v>
      </c>
      <c r="R22" s="116">
        <v>17439289060</v>
      </c>
      <c r="S22" s="116">
        <v>794342</v>
      </c>
      <c r="T22" s="130">
        <f t="shared" si="1"/>
        <v>16.776815276039791</v>
      </c>
      <c r="U22" s="85">
        <f>Q20+Q21+Q22</f>
        <v>39380082</v>
      </c>
    </row>
    <row r="23" spans="1:21" hidden="1">
      <c r="A23" s="129" t="s">
        <v>189</v>
      </c>
      <c r="B23" s="131"/>
      <c r="C23" s="131"/>
      <c r="D23" s="117"/>
      <c r="F23" s="78">
        <f>Q23/21</f>
        <v>992903.04761904757</v>
      </c>
      <c r="G23" s="90">
        <f t="shared" si="2"/>
        <v>0.56462076509194548</v>
      </c>
      <c r="H23" s="90">
        <f t="shared" si="3"/>
        <v>0.97673439046918675</v>
      </c>
      <c r="I23" s="130">
        <f t="shared" si="0"/>
        <v>17.623337798832772</v>
      </c>
      <c r="J23" s="130">
        <f t="shared" si="4"/>
        <v>0.48947310986570636</v>
      </c>
      <c r="K23" s="78"/>
      <c r="L23" s="87"/>
      <c r="M23" s="87"/>
      <c r="N23" s="79"/>
      <c r="O23" s="89"/>
      <c r="P23" s="129" t="s">
        <v>189</v>
      </c>
      <c r="Q23" s="116">
        <v>20850964</v>
      </c>
      <c r="R23" s="116">
        <v>26795067774</v>
      </c>
      <c r="S23" s="116">
        <v>1183145</v>
      </c>
      <c r="T23" s="130">
        <f t="shared" si="1"/>
        <v>17.623337798832772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213095.63636363635</v>
      </c>
      <c r="G24" s="90">
        <f t="shared" si="2"/>
        <v>-0.78538122440591407</v>
      </c>
      <c r="H24" s="90">
        <f t="shared" si="3"/>
        <v>-0.37032037061089251</v>
      </c>
      <c r="I24" s="130">
        <f t="shared" si="0"/>
        <v>16.597467243033503</v>
      </c>
      <c r="J24" s="130">
        <f t="shared" si="4"/>
        <v>0.34935521089317056</v>
      </c>
      <c r="K24" s="78"/>
      <c r="L24" s="87"/>
      <c r="M24" s="87"/>
      <c r="N24" s="79"/>
      <c r="O24" s="89"/>
      <c r="P24" s="129" t="s">
        <v>204</v>
      </c>
      <c r="Q24" s="116">
        <v>4688104</v>
      </c>
      <c r="R24" s="116">
        <v>6212205898</v>
      </c>
      <c r="S24" s="116">
        <v>282459</v>
      </c>
      <c r="T24" s="130">
        <f t="shared" si="1"/>
        <v>16.597467243033503</v>
      </c>
      <c r="U24" s="78"/>
    </row>
    <row r="25" spans="1:21" s="92" customFormat="1" ht="13.2" hidden="1">
      <c r="A25" s="129" t="s">
        <v>219</v>
      </c>
      <c r="B25" s="131">
        <f>SUM(F23:F25)</f>
        <v>2676296.3681932101</v>
      </c>
      <c r="C25" s="131">
        <f>AVERAGE(F23:F25)</f>
        <v>892098.78939773666</v>
      </c>
      <c r="D25" s="90">
        <f>C25/C22-1</f>
        <v>0.40312233626846594</v>
      </c>
      <c r="E25" s="286">
        <f>C25/C13-1</f>
        <v>0.84743611075772618</v>
      </c>
      <c r="F25" s="78">
        <f>Q25/19</f>
        <v>1470297.6842105263</v>
      </c>
      <c r="G25" s="90">
        <f t="shared" si="2"/>
        <v>5.8997080808428271</v>
      </c>
      <c r="H25" s="90">
        <f t="shared" si="3"/>
        <v>1.4184890500988523</v>
      </c>
      <c r="I25" s="130">
        <f t="shared" si="0"/>
        <v>17.038788484281806</v>
      </c>
      <c r="J25" s="130">
        <f t="shared" si="4"/>
        <v>0.39410947275165964</v>
      </c>
      <c r="K25" s="78">
        <f>R23+R24+R25</f>
        <v>70055159964</v>
      </c>
      <c r="L25" s="90">
        <f>U25/U22-1</f>
        <v>0.35791296727111943</v>
      </c>
      <c r="M25" s="90">
        <f>U25/U13-1</f>
        <v>0.77349210107912447</v>
      </c>
      <c r="N25" s="88">
        <f>AVERAGE(T23:T25)</f>
        <v>17.086531175382692</v>
      </c>
      <c r="O25" s="91">
        <f>N25/N22-1</f>
        <v>4.3285275386563127E-2</v>
      </c>
      <c r="P25" s="129" t="s">
        <v>219</v>
      </c>
      <c r="Q25" s="116">
        <v>27935656</v>
      </c>
      <c r="R25" s="116">
        <v>37047886292</v>
      </c>
      <c r="S25" s="116">
        <v>1639533</v>
      </c>
      <c r="T25" s="130">
        <f t="shared" si="1"/>
        <v>17.038788484281806</v>
      </c>
      <c r="U25" s="85">
        <f>Q23+Q24+Q25</f>
        <v>53474724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1152691.8421052631</v>
      </c>
      <c r="G26" s="90">
        <f t="shared" si="2"/>
        <v>-0.21601465166953659</v>
      </c>
      <c r="H26" s="90">
        <f t="shared" si="3"/>
        <v>1.6753777215964254</v>
      </c>
      <c r="I26" s="130">
        <f t="shared" si="0"/>
        <v>21.719375546055065</v>
      </c>
      <c r="J26" s="130">
        <f t="shared" si="4"/>
        <v>0.7249570483979495</v>
      </c>
      <c r="K26" s="78"/>
      <c r="L26" s="90"/>
      <c r="M26" s="90"/>
      <c r="N26" s="79"/>
      <c r="O26" s="79"/>
      <c r="P26" s="129" t="s">
        <v>312</v>
      </c>
      <c r="Q26" s="116">
        <v>21901145</v>
      </c>
      <c r="R26" s="116">
        <v>29611538993</v>
      </c>
      <c r="S26" s="116">
        <v>1008369</v>
      </c>
      <c r="T26" s="130">
        <f t="shared" si="1"/>
        <v>21.719375546055065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1337604.7272727273</v>
      </c>
      <c r="G27" s="90">
        <f t="shared" si="2"/>
        <v>0.1604183168588591</v>
      </c>
      <c r="H27" s="90">
        <f t="shared" si="3"/>
        <v>0.19855345822293979</v>
      </c>
      <c r="I27" s="130">
        <f t="shared" si="0"/>
        <v>18.047592851198285</v>
      </c>
      <c r="J27" s="130">
        <f t="shared" si="4"/>
        <v>0.16711616399000295</v>
      </c>
      <c r="K27" s="78"/>
      <c r="L27" s="90"/>
      <c r="M27" s="90"/>
      <c r="N27" s="79"/>
      <c r="O27" s="79"/>
      <c r="P27" s="129" t="s">
        <v>373</v>
      </c>
      <c r="Q27" s="116">
        <v>29427304</v>
      </c>
      <c r="R27" s="116">
        <v>38903908565</v>
      </c>
      <c r="S27" s="116">
        <v>1630539</v>
      </c>
      <c r="T27" s="130">
        <f t="shared" si="1"/>
        <v>18.047592851198285</v>
      </c>
      <c r="U27" s="78"/>
    </row>
    <row r="28" spans="1:21" s="92" customFormat="1" ht="13.2" hidden="1">
      <c r="A28" s="123" t="s">
        <v>413</v>
      </c>
      <c r="B28" s="131">
        <f>SUM(F26:F28)</f>
        <v>5290857.6746411482</v>
      </c>
      <c r="C28" s="131">
        <f>AVERAGE(F26:F28)</f>
        <v>1763619.2248803827</v>
      </c>
      <c r="D28" s="90">
        <f>C28/C25-1</f>
        <v>0.97693265122690809</v>
      </c>
      <c r="E28" s="286">
        <f>C28/C16-1</f>
        <v>1.2654486383568715</v>
      </c>
      <c r="F28" s="78">
        <f>Q28/19</f>
        <v>2800561.1052631577</v>
      </c>
      <c r="G28" s="90">
        <f t="shared" si="2"/>
        <v>1.0937135225092134</v>
      </c>
      <c r="H28" s="90">
        <f t="shared" si="3"/>
        <v>2.5513570507110268</v>
      </c>
      <c r="I28" s="130">
        <f t="shared" si="0"/>
        <v>19.133849340338084</v>
      </c>
      <c r="J28" s="130">
        <f t="shared" si="4"/>
        <v>0.27831826492144396</v>
      </c>
      <c r="K28" s="78">
        <f>R26+R27+R28</f>
        <v>137776152765</v>
      </c>
      <c r="L28" s="90">
        <f>U28/U25-1</f>
        <v>0.95492565796132012</v>
      </c>
      <c r="M28" s="90">
        <f>U28/U16-1</f>
        <v>1.0693295433967873</v>
      </c>
      <c r="N28" s="88">
        <f>AVERAGE(T26:T28)</f>
        <v>19.633605912530481</v>
      </c>
      <c r="O28" s="91">
        <f>N28/N25-1</f>
        <v>0.14906915341701832</v>
      </c>
      <c r="P28" s="129" t="s">
        <v>413</v>
      </c>
      <c r="Q28" s="116">
        <v>53210661</v>
      </c>
      <c r="R28" s="116">
        <v>69260705207</v>
      </c>
      <c r="S28" s="116">
        <v>2780970</v>
      </c>
      <c r="T28" s="130">
        <f t="shared" si="1"/>
        <v>19.133849340338084</v>
      </c>
      <c r="U28" s="85">
        <f>Q26+Q27+Q28</f>
        <v>104539110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1449151.5454545454</v>
      </c>
      <c r="G29" s="190">
        <f t="shared" si="2"/>
        <v>-0.48254957096593176</v>
      </c>
      <c r="H29" s="190">
        <f t="shared" si="3"/>
        <v>0.90953737954081459</v>
      </c>
      <c r="I29" s="130">
        <f t="shared" si="0"/>
        <v>17.656019963537524</v>
      </c>
      <c r="J29" s="130">
        <f t="shared" si="4"/>
        <v>0.14359958211422419</v>
      </c>
      <c r="K29" s="136"/>
      <c r="L29" s="190"/>
      <c r="M29" s="190"/>
      <c r="N29" s="191"/>
      <c r="O29" s="192"/>
      <c r="P29" s="129" t="s">
        <v>426</v>
      </c>
      <c r="Q29" s="116">
        <v>31881334</v>
      </c>
      <c r="R29" s="116">
        <v>42040211947</v>
      </c>
      <c r="S29" s="116">
        <v>1805692</v>
      </c>
      <c r="T29" s="130">
        <f t="shared" si="1"/>
        <v>17.656019963537524</v>
      </c>
      <c r="U29" s="85"/>
    </row>
    <row r="30" spans="1:21" s="92" customFormat="1" ht="13.2" hidden="1">
      <c r="A30" s="129" t="s">
        <v>484</v>
      </c>
      <c r="B30" s="188"/>
      <c r="C30" s="188"/>
      <c r="D30" s="189"/>
      <c r="E30" s="287"/>
      <c r="F30" s="136">
        <f>Q30/19</f>
        <v>708577.21052631584</v>
      </c>
      <c r="G30" s="190">
        <f t="shared" si="2"/>
        <v>-0.5110399511018282</v>
      </c>
      <c r="H30" s="190">
        <f t="shared" si="3"/>
        <v>-0.55626776718243121</v>
      </c>
      <c r="I30" s="130">
        <f t="shared" si="0"/>
        <v>16.698564314374842</v>
      </c>
      <c r="J30" s="130">
        <f t="shared" si="4"/>
        <v>0.15565537186608358</v>
      </c>
      <c r="K30" s="136"/>
      <c r="L30" s="190"/>
      <c r="M30" s="190"/>
      <c r="N30" s="191"/>
      <c r="O30" s="192"/>
      <c r="P30" s="129" t="s">
        <v>486</v>
      </c>
      <c r="Q30" s="116">
        <v>13462967</v>
      </c>
      <c r="R30" s="116">
        <v>17941460836</v>
      </c>
      <c r="S30" s="116">
        <v>806235</v>
      </c>
      <c r="T30" s="130">
        <f t="shared" si="1"/>
        <v>16.698564314374842</v>
      </c>
      <c r="U30" s="85"/>
    </row>
    <row r="31" spans="1:21" s="92" customFormat="1" ht="13.2" hidden="1">
      <c r="A31" s="129" t="s">
        <v>505</v>
      </c>
      <c r="B31" s="188">
        <f>SUM(F29:F31)</f>
        <v>3240988.2059808616</v>
      </c>
      <c r="C31" s="188">
        <f>AVERAGE(F29:F31)</f>
        <v>1080329.4019936204</v>
      </c>
      <c r="D31" s="190">
        <f>C31/C28-1</f>
        <v>-0.38743613884856931</v>
      </c>
      <c r="E31" s="287">
        <f>C31/C19-1</f>
        <v>9.2050912259509454E-2</v>
      </c>
      <c r="F31" s="136">
        <f>Q31/20</f>
        <v>1083259.45</v>
      </c>
      <c r="G31" s="190">
        <f t="shared" si="2"/>
        <v>0.52878110374927001</v>
      </c>
      <c r="H31" s="190">
        <f t="shared" si="3"/>
        <v>0.76991610025488533</v>
      </c>
      <c r="I31" s="130">
        <f t="shared" si="0"/>
        <v>16.358617174699294</v>
      </c>
      <c r="J31" s="130">
        <f t="shared" si="4"/>
        <v>0.10631039742426962</v>
      </c>
      <c r="K31" s="136">
        <f>R29+R30+R31</f>
        <v>88641403914</v>
      </c>
      <c r="L31" s="190">
        <f>U31/U28-1</f>
        <v>-0.35900076057659192</v>
      </c>
      <c r="M31" s="190">
        <f>U31/U19-1</f>
        <v>0.1061309254655709</v>
      </c>
      <c r="N31" s="191">
        <f>AVERAGE(T29:T31)</f>
        <v>16.904400484203887</v>
      </c>
      <c r="O31" s="192">
        <f>N31/N28-1</f>
        <v>-0.13900683554948867</v>
      </c>
      <c r="P31" s="129" t="s">
        <v>505</v>
      </c>
      <c r="Q31" s="116">
        <v>21665189</v>
      </c>
      <c r="R31" s="116">
        <v>28659731131</v>
      </c>
      <c r="S31" s="116">
        <v>1324390</v>
      </c>
      <c r="T31" s="130">
        <f t="shared" si="1"/>
        <v>16.358617174699294</v>
      </c>
      <c r="U31" s="85">
        <f>Q29+Q30+Q31</f>
        <v>67009490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1745771.4285714286</v>
      </c>
      <c r="G32" s="190">
        <f t="shared" si="2"/>
        <v>0.61159122920315045</v>
      </c>
      <c r="H32" s="190">
        <f t="shared" si="3"/>
        <v>1.5862092682727589</v>
      </c>
      <c r="I32" s="130">
        <f t="shared" si="0"/>
        <v>18.779524533984908</v>
      </c>
      <c r="J32" s="130">
        <f t="shared" si="4"/>
        <v>0.21329214072756608</v>
      </c>
      <c r="K32" s="136"/>
      <c r="L32" s="190"/>
      <c r="M32" s="190"/>
      <c r="N32" s="191"/>
      <c r="O32" s="192"/>
      <c r="P32" s="129" t="s">
        <v>561</v>
      </c>
      <c r="Q32" s="116">
        <v>36661200</v>
      </c>
      <c r="R32" s="116">
        <v>49738257914</v>
      </c>
      <c r="S32" s="116">
        <v>1952190</v>
      </c>
      <c r="T32" s="130">
        <f t="shared" si="1"/>
        <v>18.779524533984908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853775.52380952379</v>
      </c>
      <c r="G33" s="190">
        <f t="shared" ref="G33" si="5">F33/F32-1</f>
        <v>-0.51094655930520561</v>
      </c>
      <c r="H33" s="190">
        <f t="shared" ref="H33" si="6">F33/F21-1</f>
        <v>0.42829456669608601</v>
      </c>
      <c r="I33" s="130">
        <f t="shared" si="0"/>
        <v>19.624338213161856</v>
      </c>
      <c r="J33" s="130">
        <f t="shared" si="4"/>
        <v>0.16272440441123437</v>
      </c>
      <c r="K33" s="136"/>
      <c r="L33" s="190"/>
      <c r="M33" s="190"/>
      <c r="N33" s="191"/>
      <c r="O33" s="192"/>
      <c r="P33" s="129" t="s">
        <v>607</v>
      </c>
      <c r="Q33" s="116">
        <v>17929286</v>
      </c>
      <c r="R33" s="116">
        <v>24512901315</v>
      </c>
      <c r="S33" s="116">
        <v>913625</v>
      </c>
      <c r="T33" s="130">
        <f t="shared" ref="T33" si="7">Q33/S33</f>
        <v>19.624338213161856</v>
      </c>
      <c r="U33" s="85"/>
    </row>
    <row r="34" spans="1:21" s="92" customFormat="1" ht="13.2" hidden="1">
      <c r="A34" s="129" t="s">
        <v>652</v>
      </c>
      <c r="B34" s="188">
        <f>SUM(F32:F34)</f>
        <v>5368733.2155388473</v>
      </c>
      <c r="C34" s="188">
        <f>AVERAGE(F32:F34)</f>
        <v>1789577.7385129491</v>
      </c>
      <c r="D34" s="190">
        <f>C34/C31-1</f>
        <v>0.65651118557959687</v>
      </c>
      <c r="E34" s="287">
        <f>C34/C22-1</f>
        <v>1.8147067648096709</v>
      </c>
      <c r="F34" s="136">
        <f>Q34/19</f>
        <v>2769186.2631578948</v>
      </c>
      <c r="G34" s="190">
        <f t="shared" ref="G34" si="8">F34/F33-1</f>
        <v>2.2434594175315064</v>
      </c>
      <c r="H34" s="190">
        <f t="shared" ref="H34" si="9">F34/F22-1</f>
        <v>3.3636952672609493</v>
      </c>
      <c r="I34" s="130">
        <f t="shared" si="0"/>
        <v>18.986775720242573</v>
      </c>
      <c r="J34" s="130">
        <f t="shared" si="4"/>
        <v>0.13172705354627046</v>
      </c>
      <c r="K34" s="136">
        <f>R32+R33+R34</f>
        <v>146560211811</v>
      </c>
      <c r="L34" s="190">
        <f>U34/U31-1</f>
        <v>0.59984839460798756</v>
      </c>
      <c r="M34" s="190">
        <f>U34/U22-1</f>
        <v>1.722315941343139</v>
      </c>
      <c r="N34" s="191">
        <f>AVERAGE(T32:T34)</f>
        <v>19.130212822463111</v>
      </c>
      <c r="O34" s="192">
        <f>N34/N31-1</f>
        <v>0.13167058721420544</v>
      </c>
      <c r="P34" s="129" t="s">
        <v>652</v>
      </c>
      <c r="Q34" s="116">
        <v>52614539</v>
      </c>
      <c r="R34" s="116">
        <v>72309052582</v>
      </c>
      <c r="S34" s="116">
        <v>2771115</v>
      </c>
      <c r="T34" s="130">
        <f t="shared" ref="T34" si="10">Q34/S34</f>
        <v>18.986775720242573</v>
      </c>
      <c r="U34" s="85">
        <f>Q32+Q33+Q34</f>
        <v>107205025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585823.73913043481</v>
      </c>
      <c r="G35" s="190">
        <f t="shared" ref="G35" si="11">F35/F34-1</f>
        <v>-0.78844913867860245</v>
      </c>
      <c r="H35" s="190">
        <f t="shared" ref="H35" si="12">F35/F23-1</f>
        <v>-0.40998898076179446</v>
      </c>
      <c r="I35" s="130">
        <f t="shared" si="0"/>
        <v>16.05300587008141</v>
      </c>
      <c r="J35" s="130">
        <f t="shared" si="4"/>
        <v>-8.9105250473912379E-2</v>
      </c>
      <c r="K35" s="136"/>
      <c r="L35" s="190"/>
      <c r="M35" s="190"/>
      <c r="N35" s="191"/>
      <c r="O35" s="192"/>
      <c r="P35" s="129" t="s">
        <v>660</v>
      </c>
      <c r="Q35" s="116">
        <v>13473946</v>
      </c>
      <c r="R35" s="116">
        <v>18635433123</v>
      </c>
      <c r="S35" s="116">
        <v>839341</v>
      </c>
      <c r="T35" s="130">
        <f t="shared" ref="T35" si="13">Q35/S35</f>
        <v>16.05300587008141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710997.52380952379</v>
      </c>
      <c r="G36" s="190">
        <f t="shared" ref="G36" si="14">F36/F35-1</f>
        <v>0.21367141055924121</v>
      </c>
      <c r="H36" s="190">
        <f t="shared" ref="H36" si="15">F36/F24-1</f>
        <v>2.3365184568878004</v>
      </c>
      <c r="I36" s="130">
        <f t="shared" si="0"/>
        <v>17.387162963152733</v>
      </c>
      <c r="J36" s="130">
        <f t="shared" si="4"/>
        <v>4.757929077707268E-2</v>
      </c>
      <c r="K36" s="136"/>
      <c r="L36" s="190"/>
      <c r="M36" s="190"/>
      <c r="N36" s="191"/>
      <c r="O36" s="192"/>
      <c r="P36" s="129" t="s">
        <v>664</v>
      </c>
      <c r="Q36" s="116">
        <v>14930948</v>
      </c>
      <c r="R36" s="116">
        <v>20402051118</v>
      </c>
      <c r="S36" s="116">
        <v>858734</v>
      </c>
      <c r="T36" s="130">
        <f t="shared" ref="T36" si="16">Q36/S36</f>
        <v>17.387162963152733</v>
      </c>
      <c r="U36" s="85"/>
    </row>
    <row r="37" spans="1:21" s="92" customFormat="1" ht="13.2" hidden="1">
      <c r="A37" s="129" t="s">
        <v>702</v>
      </c>
      <c r="B37" s="188">
        <f>SUM(F35:F37)</f>
        <v>2464211.9851621808</v>
      </c>
      <c r="C37" s="188">
        <f>AVERAGE(F35:F37)</f>
        <v>821403.99505406024</v>
      </c>
      <c r="D37" s="190">
        <f>C37/C34-1</f>
        <v>-0.54100680994355321</v>
      </c>
      <c r="E37" s="287">
        <f>C37/C25-1</f>
        <v>-7.9245477276572718E-2</v>
      </c>
      <c r="F37" s="136">
        <f>Q37/18</f>
        <v>1167390.7222222222</v>
      </c>
      <c r="G37" s="190">
        <f t="shared" ref="G37" si="17">F37/F36-1</f>
        <v>0.64190546820380523</v>
      </c>
      <c r="H37" s="190">
        <f t="shared" ref="H37" si="18">F37/F25-1</f>
        <v>-0.20601743799314309</v>
      </c>
      <c r="I37" s="130">
        <f t="shared" si="0"/>
        <v>20.157778762657948</v>
      </c>
      <c r="J37" s="130">
        <f t="shared" si="4"/>
        <v>0.18305235030374334</v>
      </c>
      <c r="K37" s="136">
        <f>R35+R36+R37</f>
        <v>67044230045</v>
      </c>
      <c r="L37" s="190">
        <f>U37/U34-1</f>
        <v>-0.53903348280549346</v>
      </c>
      <c r="M37" s="190">
        <f>U37/U25-1</f>
        <v>-7.5863823065267288E-2</v>
      </c>
      <c r="N37" s="191">
        <f>AVERAGE(T35:T37)</f>
        <v>17.865982531964029</v>
      </c>
      <c r="O37" s="192">
        <f>N37/N34-1</f>
        <v>-6.6085531940062614E-2</v>
      </c>
      <c r="P37" s="129" t="s">
        <v>702</v>
      </c>
      <c r="Q37" s="116">
        <v>21013033</v>
      </c>
      <c r="R37" s="116">
        <v>28006745804</v>
      </c>
      <c r="S37" s="116">
        <v>1042428</v>
      </c>
      <c r="T37" s="130">
        <f t="shared" ref="T37" si="19">Q37/S37</f>
        <v>20.157778762657948</v>
      </c>
      <c r="U37" s="85">
        <f>Q35+Q36+Q37</f>
        <v>49417927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3891848.95</v>
      </c>
      <c r="G38" s="190">
        <f t="shared" ref="G38" si="20">F38/F37-1</f>
        <v>2.3338015078546728</v>
      </c>
      <c r="H38" s="190">
        <f t="shared" ref="H38" si="21">F38/F26-1</f>
        <v>2.3763134324712247</v>
      </c>
      <c r="I38" s="130">
        <f t="shared" si="0"/>
        <v>22.929734603944457</v>
      </c>
      <c r="J38" s="130">
        <f t="shared" si="4"/>
        <v>5.5727157317339682E-2</v>
      </c>
      <c r="K38" s="136"/>
      <c r="L38" s="190"/>
      <c r="M38" s="190"/>
      <c r="N38" s="191"/>
      <c r="O38" s="192"/>
      <c r="P38" s="129" t="s">
        <v>728</v>
      </c>
      <c r="Q38" s="116">
        <v>77836979</v>
      </c>
      <c r="R38" s="116">
        <v>105238457549</v>
      </c>
      <c r="S38" s="116">
        <v>3394587</v>
      </c>
      <c r="T38" s="130">
        <f t="shared" ref="T38" si="22">Q38/S38</f>
        <v>22.929734603944457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994885.23809523811</v>
      </c>
      <c r="G39" s="190">
        <f t="shared" ref="G39" si="23">F39/F38-1</f>
        <v>-0.74436694463816799</v>
      </c>
      <c r="H39" s="190">
        <f t="shared" ref="H39" si="24">F39/F27-1</f>
        <v>-0.25621880828446808</v>
      </c>
      <c r="I39" s="130">
        <f t="shared" si="0"/>
        <v>18.797310221536041</v>
      </c>
      <c r="J39" s="130">
        <f t="shared" si="4"/>
        <v>4.1541128311079811E-2</v>
      </c>
      <c r="K39" s="136"/>
      <c r="L39" s="190"/>
      <c r="M39" s="190"/>
      <c r="N39" s="191"/>
      <c r="O39" s="192"/>
      <c r="P39" s="129" t="s">
        <v>762</v>
      </c>
      <c r="Q39" s="116">
        <v>20892590</v>
      </c>
      <c r="R39" s="116">
        <v>29171451270</v>
      </c>
      <c r="S39" s="116">
        <v>1111467</v>
      </c>
      <c r="T39" s="130">
        <f t="shared" ref="T39" si="25">Q39/S39</f>
        <v>18.797310221536041</v>
      </c>
      <c r="U39" s="85"/>
    </row>
    <row r="40" spans="1:21" s="92" customFormat="1" ht="13.2" hidden="1">
      <c r="A40" s="129" t="s">
        <v>778</v>
      </c>
      <c r="B40" s="188">
        <f>SUM(F38:F40)</f>
        <v>8839875.6166666672</v>
      </c>
      <c r="C40" s="188">
        <f>AVERAGE(F38:F40)</f>
        <v>2946625.2055555559</v>
      </c>
      <c r="D40" s="190">
        <f>C40/C37-1</f>
        <v>2.5873032311726525</v>
      </c>
      <c r="E40" s="287">
        <f>C40/C28-1</f>
        <v>0.6707831055512623</v>
      </c>
      <c r="F40" s="136">
        <f>Q40/21</f>
        <v>3953141.4285714286</v>
      </c>
      <c r="G40" s="190">
        <f t="shared" ref="G40" si="26">F40/F39-1</f>
        <v>2.9734647547288295</v>
      </c>
      <c r="H40" s="190">
        <f t="shared" ref="H40" si="27">F40/F28-1</f>
        <v>0.41155335662635628</v>
      </c>
      <c r="I40" s="130">
        <f t="shared" si="0"/>
        <v>19.10792589300285</v>
      </c>
      <c r="J40" s="130">
        <f t="shared" si="4"/>
        <v>-1.354847468176823E-3</v>
      </c>
      <c r="K40" s="136">
        <f>R38+R39+R40</f>
        <v>251423906700</v>
      </c>
      <c r="L40" s="190">
        <f>U40/U37-1</f>
        <v>2.6777248669293634</v>
      </c>
      <c r="M40" s="190">
        <f>U40/U28-1</f>
        <v>0.73854109720275973</v>
      </c>
      <c r="N40" s="191">
        <f>AVERAGE(T38:T40)</f>
        <v>20.278323572827784</v>
      </c>
      <c r="O40" s="192">
        <f>N40/N37-1</f>
        <v>0.13502425833831611</v>
      </c>
      <c r="P40" s="129" t="s">
        <v>778</v>
      </c>
      <c r="Q40" s="116">
        <v>83015970</v>
      </c>
      <c r="R40" s="116">
        <v>117013997881</v>
      </c>
      <c r="S40" s="116">
        <v>4344583</v>
      </c>
      <c r="T40" s="130">
        <f t="shared" ref="T40" si="28">Q40/S40</f>
        <v>19.10792589300285</v>
      </c>
      <c r="U40" s="85">
        <f>Q38+Q39+Q40</f>
        <v>181745539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3154346.222222222</v>
      </c>
      <c r="G41" s="190">
        <f t="shared" ref="G41" si="29">F41/F40-1</f>
        <v>-0.20206593181207588</v>
      </c>
      <c r="H41" s="190">
        <f t="shared" ref="H41" si="30">F41/F29-1</f>
        <v>1.176684855435751</v>
      </c>
      <c r="I41" s="130">
        <f t="shared" si="0"/>
        <v>20.601306942907421</v>
      </c>
      <c r="J41" s="130">
        <f t="shared" si="4"/>
        <v>0.16681488724255988</v>
      </c>
      <c r="K41" s="194"/>
      <c r="L41" s="202"/>
      <c r="M41" s="202"/>
      <c r="N41" s="194"/>
      <c r="O41" s="194"/>
      <c r="P41" s="129" t="s">
        <v>792</v>
      </c>
      <c r="Q41" s="116">
        <v>56778232</v>
      </c>
      <c r="R41" s="116">
        <v>83141734662</v>
      </c>
      <c r="S41" s="116">
        <v>2756050</v>
      </c>
      <c r="T41" s="130">
        <f t="shared" ref="T41" si="31">Q41/S41</f>
        <v>20.601306942907421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2474614.1</v>
      </c>
      <c r="G42" s="190">
        <f t="shared" ref="G42" si="32">F42/F41-1</f>
        <v>-0.21549065141725432</v>
      </c>
      <c r="H42" s="190">
        <f t="shared" ref="H42" si="33">F42/F30-1</f>
        <v>2.4923704336495809</v>
      </c>
      <c r="I42" s="130">
        <f t="shared" si="0"/>
        <v>24.276785762461451</v>
      </c>
      <c r="J42" s="130">
        <f t="shared" si="4"/>
        <v>0.4538247304028975</v>
      </c>
      <c r="K42" s="194"/>
      <c r="L42" s="202"/>
      <c r="M42" s="202"/>
      <c r="N42" s="194"/>
      <c r="O42" s="194"/>
      <c r="P42" s="129" t="s">
        <v>826</v>
      </c>
      <c r="Q42" s="116">
        <v>49492282</v>
      </c>
      <c r="R42" s="116">
        <v>71612375216</v>
      </c>
      <c r="S42" s="116">
        <v>2038667</v>
      </c>
      <c r="T42" s="130">
        <f t="shared" ref="T42" si="34">Q42/S42</f>
        <v>24.276785762461451</v>
      </c>
      <c r="U42" s="175"/>
    </row>
    <row r="43" spans="1:21" s="92" customFormat="1" ht="13.2">
      <c r="A43" s="129" t="s">
        <v>835</v>
      </c>
      <c r="B43" s="188">
        <f>SUM(F41:F43)</f>
        <v>7815908.972222222</v>
      </c>
      <c r="C43" s="188">
        <f>AVERAGE(F41:F43)</f>
        <v>2605302.9907407407</v>
      </c>
      <c r="D43" s="190">
        <f>C43/C40-1</f>
        <v>-0.11583496067680665</v>
      </c>
      <c r="E43" s="287">
        <f>C43/C31-1</f>
        <v>1.4115820470432086</v>
      </c>
      <c r="F43" s="136">
        <f>Q43/20</f>
        <v>2186948.65</v>
      </c>
      <c r="G43" s="190">
        <f t="shared" ref="G43" si="35">F43/F42-1</f>
        <v>-0.11624658972079738</v>
      </c>
      <c r="H43" s="190">
        <f t="shared" ref="H43" si="36">F43/F31-1</f>
        <v>1.0188595169882895</v>
      </c>
      <c r="I43" s="130">
        <f t="shared" si="0"/>
        <v>23.904905539520808</v>
      </c>
      <c r="J43" s="130">
        <f t="shared" si="4"/>
        <v>0.46130356155609653</v>
      </c>
      <c r="K43" s="136">
        <f>R41+R42+R43</f>
        <v>218187881736</v>
      </c>
      <c r="L43" s="190">
        <f>U43/U40-1</f>
        <v>-0.17461805211075909</v>
      </c>
      <c r="M43" s="190">
        <f>K43/K31-1</f>
        <v>1.4614669003627938</v>
      </c>
      <c r="N43" s="191">
        <f>AVERAGE(T41:T43)</f>
        <v>22.927666081629894</v>
      </c>
      <c r="O43" s="192">
        <f>N43/N40-1</f>
        <v>0.13064899074557301</v>
      </c>
      <c r="P43" s="129" t="s">
        <v>835</v>
      </c>
      <c r="Q43" s="116">
        <v>43738973</v>
      </c>
      <c r="R43" s="116">
        <v>63433771858</v>
      </c>
      <c r="S43" s="116">
        <v>1829707</v>
      </c>
      <c r="T43" s="130">
        <f t="shared" ref="T43" si="37">Q43/S43</f>
        <v>23.904905539520808</v>
      </c>
      <c r="U43" s="85">
        <f>Q41+Q42+Q43</f>
        <v>150009487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3484524.0454545454</v>
      </c>
      <c r="G44" s="190">
        <f t="shared" ref="G44" si="38">F44/F43-1</f>
        <v>0.5933268691308986</v>
      </c>
      <c r="H44" s="190">
        <f t="shared" ref="H44" si="39">F44/F32-1</f>
        <v>0.99597953570929088</v>
      </c>
      <c r="I44" s="130">
        <f t="shared" si="0"/>
        <v>23.388372008590231</v>
      </c>
      <c r="J44" s="130">
        <f t="shared" si="4"/>
        <v>0.2454187520171125</v>
      </c>
      <c r="K44" s="136"/>
      <c r="L44" s="190"/>
      <c r="M44" s="190"/>
      <c r="N44" s="191"/>
      <c r="O44" s="192"/>
      <c r="P44" s="129" t="s">
        <v>843</v>
      </c>
      <c r="Q44" s="116">
        <v>76659529</v>
      </c>
      <c r="R44" s="116">
        <v>112151123612</v>
      </c>
      <c r="S44" s="116">
        <v>3277677</v>
      </c>
      <c r="T44" s="130">
        <f t="shared" ref="T44" si="40">Q44/S44</f>
        <v>23.388372008590231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3552387.55</v>
      </c>
      <c r="G45" s="190">
        <f t="shared" ref="G45" si="41">F45/F44-1</f>
        <v>1.9475688403981728E-2</v>
      </c>
      <c r="H45" s="190">
        <f t="shared" ref="H45" si="42">F45/F33-1</f>
        <v>3.1607980680323804</v>
      </c>
      <c r="I45" s="130">
        <f t="shared" si="0"/>
        <v>24.017735148845372</v>
      </c>
      <c r="J45" s="130">
        <f t="shared" si="4"/>
        <v>0.22387490920518816</v>
      </c>
      <c r="K45" s="136"/>
      <c r="L45" s="190"/>
      <c r="M45" s="190"/>
      <c r="N45" s="191"/>
      <c r="O45" s="192"/>
      <c r="P45" s="129" t="s">
        <v>849</v>
      </c>
      <c r="Q45" s="116">
        <v>71047751</v>
      </c>
      <c r="R45" s="116">
        <v>99836462966</v>
      </c>
      <c r="S45" s="116">
        <v>2958137</v>
      </c>
      <c r="T45" s="130">
        <f t="shared" ref="T45" si="43">Q45/S45</f>
        <v>24.017735148845372</v>
      </c>
      <c r="U45" s="85"/>
    </row>
    <row r="46" spans="1:21" s="92" customFormat="1" ht="13.2">
      <c r="A46" s="129" t="s">
        <v>925</v>
      </c>
      <c r="B46" s="188">
        <f>SUM(F44:F46)</f>
        <v>11682741.43755981</v>
      </c>
      <c r="C46" s="188">
        <f>AVERAGE(F44:F46)</f>
        <v>3894247.1458532698</v>
      </c>
      <c r="D46" s="189">
        <f>C46/C43-1</f>
        <v>0.49473867711104735</v>
      </c>
      <c r="E46" s="287">
        <f>C46/C34-1</f>
        <v>1.1760704003220321</v>
      </c>
      <c r="F46" s="136">
        <f>Q46/19</f>
        <v>4645829.8421052629</v>
      </c>
      <c r="G46" s="190">
        <f t="shared" ref="G46" si="44">F46/F45-1</f>
        <v>0.30780489930082755</v>
      </c>
      <c r="H46" s="190">
        <f t="shared" ref="H46" si="45">F46/F34-1</f>
        <v>0.67768773950485417</v>
      </c>
      <c r="I46" s="130">
        <f t="shared" si="0"/>
        <v>23.622545405498997</v>
      </c>
      <c r="J46" s="130">
        <f t="shared" si="4"/>
        <v>0.24415781560605065</v>
      </c>
      <c r="K46" s="136">
        <f>R44+R45+R46</f>
        <v>332944199986</v>
      </c>
      <c r="L46" s="190">
        <f>U46/U43-1</f>
        <v>0.57308748746004312</v>
      </c>
      <c r="M46" s="190">
        <f>K46/K34-1</f>
        <v>1.2717229722303869</v>
      </c>
      <c r="N46" s="191">
        <f>AVERAGE(T44:T46)</f>
        <v>23.676217520978199</v>
      </c>
      <c r="O46" s="219">
        <f>N46/N43-1</f>
        <v>3.2648392413044514E-2</v>
      </c>
      <c r="P46" s="129" t="s">
        <v>888</v>
      </c>
      <c r="Q46" s="116">
        <v>88270767</v>
      </c>
      <c r="R46" s="116">
        <v>120956613408</v>
      </c>
      <c r="S46" s="116">
        <v>3736717</v>
      </c>
      <c r="T46" s="130">
        <f t="shared" ref="T46" si="46">Q46/S46</f>
        <v>23.622545405498997</v>
      </c>
      <c r="U46" s="85">
        <f t="shared" ref="U46:U51" si="47">Q44+Q45+Q46</f>
        <v>235978047</v>
      </c>
    </row>
    <row r="47" spans="1:21" s="92" customFormat="1" ht="13.2">
      <c r="A47" s="129" t="s">
        <v>991</v>
      </c>
      <c r="B47" s="188"/>
      <c r="C47" s="188"/>
      <c r="D47" s="189"/>
      <c r="E47" s="287"/>
      <c r="F47" s="136">
        <f>Q47/23</f>
        <v>2672443.3913043477</v>
      </c>
      <c r="G47" s="190">
        <f t="shared" ref="G47" si="48">F47/F46-1</f>
        <v>-0.42476511578535836</v>
      </c>
      <c r="H47" s="190">
        <f t="shared" ref="H47" si="49">F47/F35-1</f>
        <v>3.5618557473809078</v>
      </c>
      <c r="I47" s="130">
        <f t="shared" si="0"/>
        <v>22.523390670701364</v>
      </c>
      <c r="J47" s="130">
        <f t="shared" si="4"/>
        <v>0.40306375347928158</v>
      </c>
      <c r="K47" s="136"/>
      <c r="L47" s="190"/>
      <c r="M47" s="190"/>
      <c r="N47" s="191"/>
      <c r="O47" s="219"/>
      <c r="P47" s="129" t="s">
        <v>1029</v>
      </c>
      <c r="Q47" s="116">
        <v>61466198</v>
      </c>
      <c r="R47" s="116">
        <v>84203523924</v>
      </c>
      <c r="S47" s="116">
        <v>2728994</v>
      </c>
      <c r="T47" s="130">
        <f t="shared" ref="T47" si="50">Q47/S47</f>
        <v>22.523390670701364</v>
      </c>
      <c r="U47" s="85">
        <f t="shared" si="47"/>
        <v>220784716</v>
      </c>
    </row>
    <row r="48" spans="1:21" s="92" customFormat="1" ht="13.2">
      <c r="A48" s="129" t="s">
        <v>1071</v>
      </c>
      <c r="B48" s="188"/>
      <c r="C48" s="188"/>
      <c r="D48" s="189"/>
      <c r="E48" s="287"/>
      <c r="F48" s="136">
        <f>Q48/20</f>
        <v>3152077.85</v>
      </c>
      <c r="G48" s="190">
        <f t="shared" ref="G48" si="51">F48/F47-1</f>
        <v>0.17947413227022779</v>
      </c>
      <c r="H48" s="190">
        <f t="shared" ref="H48" si="52">F48/F36-1</f>
        <v>3.4333176198858908</v>
      </c>
      <c r="I48" s="130">
        <f t="shared" si="0"/>
        <v>23.782805049194181</v>
      </c>
      <c r="J48" s="130">
        <f t="shared" si="4"/>
        <v>0.36783701283499992</v>
      </c>
      <c r="K48" s="136"/>
      <c r="L48" s="190"/>
      <c r="M48" s="190"/>
      <c r="N48" s="191"/>
      <c r="O48" s="219"/>
      <c r="P48" s="129" t="s">
        <v>1070</v>
      </c>
      <c r="Q48" s="116">
        <v>63041557</v>
      </c>
      <c r="R48" s="116">
        <v>87460552652</v>
      </c>
      <c r="S48" s="116">
        <v>2650720</v>
      </c>
      <c r="T48" s="130">
        <f t="shared" ref="T48" si="53">Q48/S48</f>
        <v>23.782805049194181</v>
      </c>
      <c r="U48" s="85">
        <f t="shared" si="47"/>
        <v>212778522</v>
      </c>
    </row>
    <row r="49" spans="1:26" ht="13.2">
      <c r="A49" s="129" t="s">
        <v>1158</v>
      </c>
      <c r="B49" s="188">
        <f>SUM(F47:F49)</f>
        <v>8144040.6049407106</v>
      </c>
      <c r="C49" s="188">
        <f>AVERAGE(F47:F49)</f>
        <v>2714680.2016469035</v>
      </c>
      <c r="D49" s="189">
        <f>C49/C46-1</f>
        <v>-0.3028998674268556</v>
      </c>
      <c r="E49" s="287">
        <f>C49/C37-1</f>
        <v>2.3049269518931892</v>
      </c>
      <c r="F49" s="136">
        <f>Q49/22</f>
        <v>2319519.3636363638</v>
      </c>
      <c r="G49" s="190">
        <f t="shared" ref="G49" si="54">F49/F48-1</f>
        <v>-0.26413005197940664</v>
      </c>
      <c r="H49" s="190">
        <f t="shared" ref="H49" si="55">F49/F37-1</f>
        <v>0.98692633021870502</v>
      </c>
      <c r="I49" s="130">
        <f t="shared" si="0"/>
        <v>23.84464592194961</v>
      </c>
      <c r="J49" s="130">
        <f t="shared" si="4"/>
        <v>0.18290046749206024</v>
      </c>
      <c r="K49" s="136">
        <f>R47+R48+R49</f>
        <v>242551837459</v>
      </c>
      <c r="L49" s="190">
        <f>U49/U46-1</f>
        <v>-0.25612918984790145</v>
      </c>
      <c r="M49" s="190">
        <f>K49/K37-1</f>
        <v>2.617788395753065</v>
      </c>
      <c r="N49" s="191">
        <f>AVERAGE(T47:T49)</f>
        <v>23.383613880615048</v>
      </c>
      <c r="O49" s="219">
        <f>N49/N46-1</f>
        <v>-1.2358546719039465E-2</v>
      </c>
      <c r="P49" s="129" t="s">
        <v>1158</v>
      </c>
      <c r="Q49" s="116">
        <v>51029426</v>
      </c>
      <c r="R49" s="116">
        <v>70887760883</v>
      </c>
      <c r="S49" s="116">
        <v>2140079</v>
      </c>
      <c r="T49" s="130">
        <f t="shared" ref="T49" si="56">Q49/S49</f>
        <v>23.84464592194961</v>
      </c>
      <c r="U49" s="85">
        <f t="shared" si="47"/>
        <v>175537181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3825485.1666666665</v>
      </c>
      <c r="G50" s="190">
        <f t="shared" ref="G50" si="57">F50/F49-1</f>
        <v>0.64925769822820767</v>
      </c>
      <c r="H50" s="190">
        <f t="shared" ref="H50" si="58">F50/F38-1</f>
        <v>-1.7051993586065017E-2</v>
      </c>
      <c r="I50" s="130">
        <f t="shared" ref="I50" si="59">T50</f>
        <v>22.20507515585599</v>
      </c>
      <c r="J50" s="130">
        <f t="shared" ref="J50" si="60">I50/I38-1</f>
        <v>-3.1603481706404368E-2</v>
      </c>
      <c r="K50" s="136"/>
      <c r="L50" s="190"/>
      <c r="M50" s="190"/>
      <c r="N50" s="191"/>
      <c r="O50" s="192"/>
      <c r="P50" s="129" t="s">
        <v>1376</v>
      </c>
      <c r="Q50" s="116">
        <v>68858733</v>
      </c>
      <c r="R50" s="116">
        <v>97614575421</v>
      </c>
      <c r="S50" s="116">
        <v>3101035.8</v>
      </c>
      <c r="T50" s="130">
        <f t="shared" ref="T50" si="61">Q50/S50</f>
        <v>22.20507515585599</v>
      </c>
      <c r="U50" s="85">
        <f t="shared" si="47"/>
        <v>182929716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3027428.25</v>
      </c>
      <c r="G51" s="190">
        <f t="shared" ref="G51:G52" si="62">F51/F50-1</f>
        <v>-0.20861587011773797</v>
      </c>
      <c r="H51" s="190">
        <f t="shared" ref="H51:H52" si="63">F51/F39-1</f>
        <v>2.042992431766478</v>
      </c>
      <c r="I51" s="130">
        <f t="shared" ref="I51:I52" si="64">T51</f>
        <v>21.544494331439815</v>
      </c>
      <c r="J51" s="130">
        <f t="shared" ref="J51:J52" si="65">I51/I39-1</f>
        <v>0.1461477241970679</v>
      </c>
      <c r="K51" s="136"/>
      <c r="L51" s="190"/>
      <c r="M51" s="190"/>
      <c r="N51" s="191"/>
      <c r="O51" s="192"/>
      <c r="P51" s="129" t="s">
        <v>1402</v>
      </c>
      <c r="Q51" s="116">
        <v>60548565</v>
      </c>
      <c r="R51" s="116">
        <v>88020632106</v>
      </c>
      <c r="S51" s="116">
        <v>2810396.2</v>
      </c>
      <c r="T51" s="130">
        <f t="shared" ref="T51:T52" si="66">Q51/S51</f>
        <v>21.544494331439815</v>
      </c>
      <c r="U51" s="85">
        <f t="shared" si="47"/>
        <v>180436724</v>
      </c>
    </row>
    <row r="52" spans="1:26" s="79" customFormat="1" ht="13.2">
      <c r="A52" s="129" t="s">
        <v>1403</v>
      </c>
      <c r="B52" s="188">
        <f>SUM(F50:F52)</f>
        <v>9005347.3712121211</v>
      </c>
      <c r="C52" s="188">
        <f>AVERAGE(F50:F52)</f>
        <v>3001782.4570707069</v>
      </c>
      <c r="D52" s="190">
        <f>C52/C49-1</f>
        <v>0.1057591443918986</v>
      </c>
      <c r="E52" s="287">
        <f>C52/C40-1</f>
        <v>1.8718787652789226E-2</v>
      </c>
      <c r="F52" s="136">
        <f>Q52/22</f>
        <v>2152433.9545454546</v>
      </c>
      <c r="G52" s="190">
        <f t="shared" si="62"/>
        <v>-0.28902230645913585</v>
      </c>
      <c r="H52" s="190">
        <f t="shared" si="63"/>
        <v>-0.45551304109974811</v>
      </c>
      <c r="I52" s="130">
        <f t="shared" si="64"/>
        <v>21.742935108513684</v>
      </c>
      <c r="J52" s="130">
        <f t="shared" si="65"/>
        <v>0.13790137298343574</v>
      </c>
      <c r="K52" s="136">
        <f>R50+R51+R52</f>
        <v>255357167735</v>
      </c>
      <c r="L52" s="190">
        <f>U52/U49-1</f>
        <v>6.9709675923301795E-3</v>
      </c>
      <c r="M52" s="190">
        <f>K52/K40-1</f>
        <v>1.5643942084207607E-2</v>
      </c>
      <c r="N52" s="191">
        <f>AVERAGE(T50:T52)</f>
        <v>21.830834865269832</v>
      </c>
      <c r="O52" s="192">
        <f>N52/N49-1</f>
        <v>-6.6404578149165672E-2</v>
      </c>
      <c r="P52" s="129" t="s">
        <v>1403</v>
      </c>
      <c r="Q52" s="116">
        <v>47353547</v>
      </c>
      <c r="R52" s="116">
        <v>69721960208</v>
      </c>
      <c r="S52" s="116">
        <v>2177882</v>
      </c>
      <c r="T52" s="130">
        <f t="shared" si="66"/>
        <v>21.742935108513684</v>
      </c>
      <c r="U52" s="85">
        <f t="shared" ref="U52" si="67">Q50+Q51+Q52</f>
        <v>176760845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5101417.7142857146</v>
      </c>
      <c r="G53" s="190">
        <f t="shared" ref="G53" si="68">F53/F52-1</f>
        <v>1.3700693363959773</v>
      </c>
      <c r="H53" s="190">
        <f t="shared" ref="H53" si="69">F53/F41-1</f>
        <v>0.61726625896246423</v>
      </c>
      <c r="I53" s="130">
        <f t="shared" ref="I53" si="70">T53</f>
        <v>23.382544968333203</v>
      </c>
      <c r="J53" s="130">
        <f t="shared" ref="J53" si="71">I53/I41-1</f>
        <v>0.13500298952554091</v>
      </c>
      <c r="K53" s="136"/>
      <c r="L53" s="190"/>
      <c r="M53" s="190"/>
      <c r="N53" s="191"/>
      <c r="O53" s="192"/>
      <c r="P53" s="129" t="s">
        <v>1414</v>
      </c>
      <c r="Q53" s="116">
        <v>107129772</v>
      </c>
      <c r="R53" s="116">
        <v>156529094468</v>
      </c>
      <c r="S53" s="116">
        <v>4581613</v>
      </c>
      <c r="T53" s="130">
        <f t="shared" ref="T53" si="72">Q53/S53</f>
        <v>23.382544968333203</v>
      </c>
      <c r="U53" s="85">
        <f t="shared" ref="U53" si="73">Q51+Q52+Q53</f>
        <v>215031884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4432021.2352941176</v>
      </c>
      <c r="G54" s="190">
        <f t="shared" ref="G54" si="74">F54/F53-1</f>
        <v>-0.1312177352419226</v>
      </c>
      <c r="H54" s="190">
        <f t="shared" ref="H54" si="75">F54/F42-1</f>
        <v>0.79099490110159709</v>
      </c>
      <c r="I54" s="130">
        <f t="shared" ref="I54" si="76">T54</f>
        <v>23.847159443564724</v>
      </c>
      <c r="J54" s="130">
        <f t="shared" ref="J54" si="77">I54/I42-1</f>
        <v>-1.7697001699502057E-2</v>
      </c>
      <c r="K54" s="136"/>
      <c r="L54" s="190"/>
      <c r="M54" s="190"/>
      <c r="N54" s="191"/>
      <c r="O54" s="192"/>
      <c r="P54" s="129" t="s">
        <v>1417</v>
      </c>
      <c r="Q54" s="116">
        <v>75344361</v>
      </c>
      <c r="R54" s="116">
        <v>109202569664</v>
      </c>
      <c r="S54" s="116">
        <v>3159469</v>
      </c>
      <c r="T54" s="130">
        <f t="shared" ref="T54" si="78">Q54/S54</f>
        <v>23.847159443564724</v>
      </c>
      <c r="U54" s="85">
        <f t="shared" ref="U54" si="79">Q52+Q53+Q54</f>
        <v>229827680</v>
      </c>
    </row>
    <row r="55" spans="1:26" s="79" customFormat="1" ht="13.2">
      <c r="A55" s="129" t="s">
        <v>1418</v>
      </c>
      <c r="B55" s="188">
        <f>SUM(F53:F55)</f>
        <v>14146339.806722689</v>
      </c>
      <c r="C55" s="188">
        <f>AVERAGE(F53:F55)</f>
        <v>4715446.6022408968</v>
      </c>
      <c r="D55" s="190">
        <f>C55/C52-1</f>
        <v>0.57088219072426427</v>
      </c>
      <c r="E55" s="287">
        <f>C55/C43-1</f>
        <v>0.80994173000208303</v>
      </c>
      <c r="F55" s="136">
        <f>Q55/21</f>
        <v>4612900.8571428573</v>
      </c>
      <c r="G55" s="190">
        <f t="shared" ref="G55" si="80">F55/F54-1</f>
        <v>4.0811993500463384E-2</v>
      </c>
      <c r="H55" s="190">
        <f t="shared" ref="H55" si="81">F55/F43-1</f>
        <v>1.1092863141266975</v>
      </c>
      <c r="I55" s="130">
        <f>T55</f>
        <v>22.858937129669613</v>
      </c>
      <c r="J55" s="130">
        <f t="shared" ref="J55" si="82">I55/I43-1</f>
        <v>-4.3755387701572279E-2</v>
      </c>
      <c r="K55" s="136">
        <f>R53+R54+R55</f>
        <v>408126934996</v>
      </c>
      <c r="L55" s="190">
        <f>U55/U52-1</f>
        <v>0.58035593799067886</v>
      </c>
      <c r="M55" s="190">
        <f>K55/K43-1</f>
        <v>0.87052980096218113</v>
      </c>
      <c r="N55" s="191">
        <f>AVERAGE(T53:T55)</f>
        <v>23.362880513855846</v>
      </c>
      <c r="O55" s="192">
        <f>N55/N52-1</f>
        <v>7.0178060437959155E-2</v>
      </c>
      <c r="P55" s="129" t="s">
        <v>1418</v>
      </c>
      <c r="Q55" s="116">
        <v>96870918</v>
      </c>
      <c r="R55" s="116">
        <v>142395270864</v>
      </c>
      <c r="S55" s="116">
        <v>4237770</v>
      </c>
      <c r="T55" s="130">
        <f t="shared" ref="T55" si="83">Q55/S55</f>
        <v>22.858937129669613</v>
      </c>
      <c r="U55" s="85">
        <f t="shared" ref="U55" si="84">Q53+Q54+Q55</f>
        <v>279345051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3363254.1363636362</v>
      </c>
      <c r="G56" s="190">
        <f t="shared" ref="G56" si="85">F56/F55-1</f>
        <v>-0.27090257507793658</v>
      </c>
      <c r="H56" s="190">
        <f t="shared" ref="H56" si="86">F56/F44-1</f>
        <v>-3.4802431410712154E-2</v>
      </c>
      <c r="I56" s="291">
        <f>T56</f>
        <v>22.395732159582884</v>
      </c>
      <c r="J56" s="130">
        <f t="shared" ref="J56" si="87">I56/I44-1</f>
        <v>-4.2441596561007433E-2</v>
      </c>
      <c r="K56" s="136"/>
      <c r="L56" s="190"/>
      <c r="M56" s="190"/>
      <c r="N56" s="191"/>
      <c r="O56" s="192"/>
      <c r="P56" s="129" t="s">
        <v>1420</v>
      </c>
      <c r="Q56" s="116">
        <v>73991591</v>
      </c>
      <c r="R56" s="116">
        <v>110267286888</v>
      </c>
      <c r="S56" s="116">
        <v>3303825.5</v>
      </c>
      <c r="T56" s="130">
        <f t="shared" ref="T56" si="88">Q56/S56</f>
        <v>22.395732159582884</v>
      </c>
      <c r="U56" s="85">
        <f t="shared" ref="U56" si="89">Q54+Q55+Q56</f>
        <v>246206870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4514389.666666667</v>
      </c>
      <c r="G57" s="254">
        <f t="shared" ref="G57" si="90">F57/F56-1</f>
        <v>0.34226837569510682</v>
      </c>
      <c r="H57" s="254">
        <f t="shared" ref="H57" si="91">F57/F45-1</f>
        <v>0.27080438244038629</v>
      </c>
      <c r="I57" s="282">
        <f>T57</f>
        <v>21.710206900034184</v>
      </c>
      <c r="J57" s="277">
        <f t="shared" ref="J57" si="92">I57/I45-1</f>
        <v>-9.6076013600396415E-2</v>
      </c>
      <c r="K57" s="204"/>
      <c r="L57" s="254"/>
      <c r="M57" s="254"/>
      <c r="N57" s="257"/>
      <c r="O57" s="258"/>
      <c r="P57" s="129" t="s">
        <v>1436</v>
      </c>
      <c r="Q57" s="116">
        <v>54172676</v>
      </c>
      <c r="R57" s="116">
        <v>79776571390</v>
      </c>
      <c r="S57" s="116">
        <v>2495263</v>
      </c>
      <c r="T57" s="130">
        <f t="shared" ref="T57" si="93">Q57/S57</f>
        <v>21.710206900034184</v>
      </c>
      <c r="U57" s="85">
        <f t="shared" ref="U57" si="94">Q55+Q56+Q57</f>
        <v>225035185</v>
      </c>
    </row>
    <row r="58" spans="1:26">
      <c r="B58" s="196">
        <f>SUM(F56:F58)</f>
        <v>7877643.8030303027</v>
      </c>
      <c r="C58" s="196">
        <f>AVERAGE(F56:F58)</f>
        <v>3938821.9015151514</v>
      </c>
      <c r="D58" s="197">
        <f>C58/C55-1</f>
        <v>-0.16469801616599244</v>
      </c>
      <c r="E58" s="233">
        <f>C58/C46-1</f>
        <v>1.1446308873679589E-2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407509318</v>
      </c>
      <c r="R66" s="212">
        <v>598170793274</v>
      </c>
      <c r="S66" s="213">
        <v>17777940.5</v>
      </c>
    </row>
    <row r="67" spans="16:19" ht="18" thickBot="1">
      <c r="P67" s="180" t="s">
        <v>976</v>
      </c>
      <c r="Q67" s="181">
        <v>107129772</v>
      </c>
      <c r="R67" s="181">
        <v>156529094468</v>
      </c>
      <c r="S67" s="182">
        <v>4581613</v>
      </c>
    </row>
    <row r="68" spans="16:19" ht="18" thickBot="1">
      <c r="P68" s="180" t="s">
        <v>977</v>
      </c>
      <c r="Q68" s="181">
        <v>75344361</v>
      </c>
      <c r="R68" s="181">
        <v>109202569664</v>
      </c>
      <c r="S68" s="182">
        <v>3159469</v>
      </c>
    </row>
    <row r="69" spans="16:19" ht="18" thickBot="1">
      <c r="P69" s="180" t="s">
        <v>978</v>
      </c>
      <c r="Q69" s="181">
        <v>96870918</v>
      </c>
      <c r="R69" s="181">
        <v>142395270864</v>
      </c>
      <c r="S69" s="182">
        <v>4237770</v>
      </c>
    </row>
    <row r="70" spans="16:19" ht="18" thickBot="1">
      <c r="P70" s="180" t="s">
        <v>979</v>
      </c>
      <c r="Q70" s="181">
        <v>73991591</v>
      </c>
      <c r="R70" s="181">
        <v>110267286888</v>
      </c>
      <c r="S70" s="182">
        <v>3303825.5</v>
      </c>
    </row>
    <row r="71" spans="16:19" ht="18" thickBot="1">
      <c r="P71" s="180" t="s">
        <v>980</v>
      </c>
      <c r="Q71" s="181">
        <v>54172676</v>
      </c>
      <c r="R71" s="181">
        <v>79776571390</v>
      </c>
      <c r="S71" s="182">
        <v>2495263</v>
      </c>
    </row>
    <row r="72" spans="16:19" ht="18" thickBot="1">
      <c r="P72" s="180" t="s">
        <v>975</v>
      </c>
      <c r="Q72" s="181">
        <v>738285560</v>
      </c>
      <c r="R72" s="181">
        <v>1049041086916</v>
      </c>
      <c r="S72" s="182">
        <v>32206062</v>
      </c>
    </row>
    <row r="73" spans="16:19" ht="18" thickBot="1">
      <c r="P73" s="215" t="s">
        <v>982</v>
      </c>
      <c r="Q73" s="217"/>
      <c r="R73"/>
      <c r="S73"/>
    </row>
    <row r="74" spans="16:19" ht="18" thickBot="1">
      <c r="P74" s="180" t="s">
        <v>982</v>
      </c>
      <c r="Q74" s="210">
        <v>40</v>
      </c>
      <c r="R74"/>
      <c r="S74"/>
    </row>
  </sheetData>
  <phoneticPr fontId="1" type="noConversion"/>
  <conditionalFormatting sqref="C29:C30">
    <cfRule type="cellIs" dxfId="22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601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1893106.35</v>
      </c>
      <c r="G5" s="90"/>
      <c r="H5" s="90"/>
      <c r="I5" s="130">
        <f t="shared" ref="I5:I49" si="0">T5</f>
        <v>17.794003457867738</v>
      </c>
      <c r="J5" s="130"/>
      <c r="K5" s="79"/>
      <c r="L5" s="80"/>
      <c r="M5" s="80"/>
      <c r="N5" s="79"/>
      <c r="O5" s="79"/>
      <c r="P5" s="129" t="s">
        <v>0</v>
      </c>
      <c r="Q5" s="116">
        <v>37862127</v>
      </c>
      <c r="R5" s="116">
        <v>44703603866</v>
      </c>
      <c r="S5" s="116">
        <v>2127802.61</v>
      </c>
      <c r="T5" s="130">
        <f t="shared" ref="T5:T40" si="1">Q5/S5</f>
        <v>17.794003457867738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1659034.0555555555</v>
      </c>
      <c r="G6" s="90">
        <f t="shared" ref="G6:G32" si="2">F6/F5-1</f>
        <v>-0.12364455617849712</v>
      </c>
      <c r="H6" s="90"/>
      <c r="I6" s="130">
        <f t="shared" si="0"/>
        <v>13.443119980831229</v>
      </c>
      <c r="J6" s="130"/>
      <c r="K6" s="79"/>
      <c r="L6" s="87"/>
      <c r="M6" s="87"/>
      <c r="N6" s="79"/>
      <c r="O6" s="79"/>
      <c r="P6" s="129" t="s">
        <v>1</v>
      </c>
      <c r="Q6" s="116">
        <v>29862613</v>
      </c>
      <c r="R6" s="116">
        <v>35466115041</v>
      </c>
      <c r="S6" s="116">
        <v>2221404.9300000002</v>
      </c>
      <c r="T6" s="130">
        <f t="shared" si="1"/>
        <v>13.443119980831229</v>
      </c>
      <c r="U6" s="85"/>
    </row>
    <row r="7" spans="1:21" ht="15" hidden="1" customHeight="1">
      <c r="A7" s="129" t="s">
        <v>2</v>
      </c>
      <c r="B7" s="131">
        <f>F5+F6+F7</f>
        <v>5711284.5419191923</v>
      </c>
      <c r="C7" s="131">
        <f>AVERAGE(F5:F7)</f>
        <v>1903761.513973064</v>
      </c>
      <c r="D7" s="117"/>
      <c r="F7" s="78">
        <f>Q7/22</f>
        <v>2159144.1363636362</v>
      </c>
      <c r="G7" s="90">
        <f t="shared" si="2"/>
        <v>0.3014465430250679</v>
      </c>
      <c r="H7" s="90"/>
      <c r="I7" s="130">
        <f t="shared" si="0"/>
        <v>17.935754043877605</v>
      </c>
      <c r="J7" s="130"/>
      <c r="K7" s="79">
        <f>R5+R6+R7</f>
        <v>137395866466</v>
      </c>
      <c r="L7" s="87"/>
      <c r="M7" s="87"/>
      <c r="N7" s="88">
        <f>AVERAGE(T5:T7)</f>
        <v>16.390959160858856</v>
      </c>
      <c r="O7" s="79"/>
      <c r="P7" s="129" t="s">
        <v>2</v>
      </c>
      <c r="Q7" s="116">
        <v>47501171</v>
      </c>
      <c r="R7" s="116">
        <v>57226147559</v>
      </c>
      <c r="S7" s="116">
        <v>2648406.69</v>
      </c>
      <c r="T7" s="130">
        <f t="shared" si="1"/>
        <v>17.935754043877605</v>
      </c>
      <c r="U7" s="85">
        <f>Q5+Q6+Q7</f>
        <v>115225911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2446979.1904761903</v>
      </c>
      <c r="G8" s="90">
        <f t="shared" si="2"/>
        <v>0.13330979125706577</v>
      </c>
      <c r="H8" s="90"/>
      <c r="I8" s="130">
        <f t="shared" si="0"/>
        <v>17.201800921051849</v>
      </c>
      <c r="J8" s="130"/>
      <c r="K8" s="78"/>
      <c r="L8" s="87"/>
      <c r="M8" s="87"/>
      <c r="N8" s="79"/>
      <c r="O8" s="79"/>
      <c r="P8" s="129" t="s">
        <v>3</v>
      </c>
      <c r="Q8" s="116">
        <v>51386563</v>
      </c>
      <c r="R8" s="116">
        <v>62329909399</v>
      </c>
      <c r="S8" s="116">
        <v>2987278.09</v>
      </c>
      <c r="T8" s="130">
        <f t="shared" si="1"/>
        <v>17.201800921051849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2598647.1904761903</v>
      </c>
      <c r="G9" s="90">
        <f t="shared" si="2"/>
        <v>6.1981728569781902E-2</v>
      </c>
      <c r="H9" s="90"/>
      <c r="I9" s="130">
        <f t="shared" si="0"/>
        <v>14.782704507011449</v>
      </c>
      <c r="J9" s="130"/>
      <c r="K9" s="78"/>
      <c r="L9" s="87"/>
      <c r="M9" s="87"/>
      <c r="N9" s="79"/>
      <c r="O9" s="79"/>
      <c r="P9" s="129" t="s">
        <v>4</v>
      </c>
      <c r="Q9" s="116">
        <v>54571591</v>
      </c>
      <c r="R9" s="116">
        <v>68638250854</v>
      </c>
      <c r="S9" s="116">
        <v>3691583.7</v>
      </c>
      <c r="T9" s="130">
        <f t="shared" si="1"/>
        <v>14.782704507011449</v>
      </c>
      <c r="U9" s="85"/>
    </row>
    <row r="10" spans="1:21" ht="15" hidden="1" customHeight="1">
      <c r="A10" s="129" t="s">
        <v>5</v>
      </c>
      <c r="B10" s="131">
        <f>F8+F9+F10</f>
        <v>7857491.5714285709</v>
      </c>
      <c r="C10" s="131">
        <f>AVERAGE(F8:F10)</f>
        <v>2619163.8571428568</v>
      </c>
      <c r="D10" s="90">
        <f>C10/C7-1</f>
        <v>0.37578359364812486</v>
      </c>
      <c r="E10" s="286"/>
      <c r="F10" s="78">
        <f>Q10/21</f>
        <v>2811865.1904761903</v>
      </c>
      <c r="G10" s="90">
        <f t="shared" si="2"/>
        <v>8.204961442300629E-2</v>
      </c>
      <c r="H10" s="90"/>
      <c r="I10" s="130">
        <f t="shared" si="0"/>
        <v>16.777399058771543</v>
      </c>
      <c r="J10" s="130"/>
      <c r="K10" s="79">
        <f>R8+R9+R10</f>
        <v>205324883791</v>
      </c>
      <c r="L10" s="87">
        <f>U10/U7-1</f>
        <v>0.43203313879635985</v>
      </c>
      <c r="M10" s="87"/>
      <c r="N10" s="88">
        <f>AVERAGE(T8:T10)</f>
        <v>16.25396816227828</v>
      </c>
      <c r="O10" s="89">
        <f>N10/N7-1</f>
        <v>-8.3577170338943185E-3</v>
      </c>
      <c r="P10" s="129" t="s">
        <v>5</v>
      </c>
      <c r="Q10" s="116">
        <v>59049169</v>
      </c>
      <c r="R10" s="116">
        <v>74356723538</v>
      </c>
      <c r="S10" s="116">
        <v>3519566.34</v>
      </c>
      <c r="T10" s="130">
        <f t="shared" si="1"/>
        <v>16.777399058771543</v>
      </c>
      <c r="U10" s="85">
        <f>Q8+Q9+Q10</f>
        <v>165007323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3223718.1428571427</v>
      </c>
      <c r="G11" s="90">
        <f t="shared" si="2"/>
        <v>0.14646966496683467</v>
      </c>
      <c r="H11" s="90"/>
      <c r="I11" s="130">
        <f t="shared" si="0"/>
        <v>16.350161398056581</v>
      </c>
      <c r="J11" s="130"/>
      <c r="K11" s="78"/>
      <c r="L11" s="87"/>
      <c r="M11" s="87"/>
      <c r="N11" s="79"/>
      <c r="O11" s="89"/>
      <c r="P11" s="129" t="s">
        <v>6</v>
      </c>
      <c r="Q11" s="116">
        <v>67698081</v>
      </c>
      <c r="R11" s="116">
        <v>87336624529</v>
      </c>
      <c r="S11" s="116">
        <v>4140514.54</v>
      </c>
      <c r="T11" s="130">
        <f t="shared" si="1"/>
        <v>16.350161398056581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3116539.8181818184</v>
      </c>
      <c r="G12" s="90">
        <f t="shared" si="2"/>
        <v>-3.3246803822723048E-2</v>
      </c>
      <c r="H12" s="90"/>
      <c r="I12" s="130">
        <f t="shared" si="0"/>
        <v>17.455835483957305</v>
      </c>
      <c r="J12" s="130"/>
      <c r="K12" s="78"/>
      <c r="L12" s="87"/>
      <c r="M12" s="87"/>
      <c r="N12" s="79"/>
      <c r="O12" s="89"/>
      <c r="P12" s="129" t="s">
        <v>7</v>
      </c>
      <c r="Q12" s="116">
        <v>68563876</v>
      </c>
      <c r="R12" s="116">
        <v>89065122073</v>
      </c>
      <c r="S12" s="116">
        <v>3927848.43</v>
      </c>
      <c r="T12" s="130">
        <f t="shared" si="1"/>
        <v>17.455835483957305</v>
      </c>
      <c r="U12" s="85"/>
    </row>
    <row r="13" spans="1:21" ht="15" hidden="1" customHeight="1">
      <c r="A13" s="129" t="s">
        <v>96</v>
      </c>
      <c r="B13" s="131">
        <f>F11+F12+F13</f>
        <v>10297888.111038961</v>
      </c>
      <c r="C13" s="131">
        <f>AVERAGE(F11:F13)</f>
        <v>3432629.3703463203</v>
      </c>
      <c r="D13" s="90">
        <f>C13/C10-1</f>
        <v>0.31058213902311604</v>
      </c>
      <c r="E13" s="286"/>
      <c r="F13" s="78">
        <f>Q13/20</f>
        <v>3957630.15</v>
      </c>
      <c r="G13" s="90">
        <f t="shared" si="2"/>
        <v>0.26987953977397661</v>
      </c>
      <c r="H13" s="90"/>
      <c r="I13" s="130">
        <f t="shared" si="0"/>
        <v>15.709329344997764</v>
      </c>
      <c r="J13" s="130"/>
      <c r="K13" s="78">
        <f>R11+R12+R13</f>
        <v>284814002518</v>
      </c>
      <c r="L13" s="87">
        <f>U13/U10-1</f>
        <v>0.30548484808762089</v>
      </c>
      <c r="M13" s="87"/>
      <c r="N13" s="88">
        <f>AVERAGE(T11:T13)</f>
        <v>16.505108742337217</v>
      </c>
      <c r="O13" s="89">
        <f>N13/N10-1</f>
        <v>1.5451031868130238E-2</v>
      </c>
      <c r="P13" s="129" t="s">
        <v>96</v>
      </c>
      <c r="Q13" s="116">
        <v>79152603</v>
      </c>
      <c r="R13" s="116">
        <v>108412255916</v>
      </c>
      <c r="S13" s="116">
        <v>5038573.0199999996</v>
      </c>
      <c r="T13" s="130">
        <f t="shared" si="1"/>
        <v>15.709329344997764</v>
      </c>
      <c r="U13" s="85">
        <f>Q11+Q12+Q13</f>
        <v>215414560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2963557.1</v>
      </c>
      <c r="G14" s="90">
        <f t="shared" si="2"/>
        <v>-0.25117886521053512</v>
      </c>
      <c r="H14" s="90"/>
      <c r="I14" s="130">
        <f t="shared" si="0"/>
        <v>17.171575721907441</v>
      </c>
      <c r="J14" s="130"/>
      <c r="K14" s="79"/>
      <c r="L14" s="87"/>
      <c r="M14" s="87"/>
      <c r="N14" s="79"/>
      <c r="O14" s="89"/>
      <c r="P14" s="129" t="s">
        <v>97</v>
      </c>
      <c r="Q14" s="116">
        <v>59271142</v>
      </c>
      <c r="R14" s="116">
        <v>84560454197</v>
      </c>
      <c r="S14" s="116">
        <v>3451700.82</v>
      </c>
      <c r="T14" s="130">
        <f t="shared" si="1"/>
        <v>17.171575721907441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3645871.6818181816</v>
      </c>
      <c r="G15" s="90">
        <f t="shared" si="2"/>
        <v>0.23023500435276967</v>
      </c>
      <c r="H15" s="90"/>
      <c r="I15" s="130">
        <f t="shared" si="0"/>
        <v>16.057631066873647</v>
      </c>
      <c r="J15" s="130"/>
      <c r="K15" s="79"/>
      <c r="L15" s="87"/>
      <c r="M15" s="87"/>
      <c r="N15" s="79"/>
      <c r="O15" s="89"/>
      <c r="P15" s="129" t="s">
        <v>98</v>
      </c>
      <c r="Q15" s="116">
        <v>80209177</v>
      </c>
      <c r="R15" s="116">
        <v>110449807500</v>
      </c>
      <c r="S15" s="116">
        <v>4995081.57</v>
      </c>
      <c r="T15" s="130">
        <f t="shared" si="1"/>
        <v>16.057631066873647</v>
      </c>
      <c r="U15" s="78"/>
    </row>
    <row r="16" spans="1:21" ht="15" hidden="1" customHeight="1">
      <c r="A16" s="129" t="s">
        <v>99</v>
      </c>
      <c r="B16" s="131">
        <f>F14+F15+F16</f>
        <v>12610350.918181818</v>
      </c>
      <c r="C16" s="131">
        <f>AVERAGE(F14:F16)</f>
        <v>4203450.3060606057</v>
      </c>
      <c r="D16" s="90">
        <f>C16/C13-1</f>
        <v>0.22455699481372116</v>
      </c>
      <c r="E16" s="286"/>
      <c r="F16" s="78">
        <f>Q16/22</f>
        <v>6000922.1363636367</v>
      </c>
      <c r="G16" s="90">
        <f t="shared" si="2"/>
        <v>0.64594990171760536</v>
      </c>
      <c r="H16" s="90"/>
      <c r="I16" s="130">
        <f t="shared" si="0"/>
        <v>22.597199759792392</v>
      </c>
      <c r="J16" s="130"/>
      <c r="K16" s="78">
        <f>R14+R15+R16</f>
        <v>367961579424</v>
      </c>
      <c r="L16" s="87">
        <f>U16/U13-1</f>
        <v>0.26036330134787544</v>
      </c>
      <c r="M16" s="87"/>
      <c r="N16" s="88">
        <f>AVERAGE(T14:T16)</f>
        <v>18.608802182857826</v>
      </c>
      <c r="O16" s="89">
        <f>N16/N13-1</f>
        <v>0.12745710878744032</v>
      </c>
      <c r="P16" s="129" t="s">
        <v>99</v>
      </c>
      <c r="Q16" s="116">
        <v>132020287</v>
      </c>
      <c r="R16" s="116">
        <v>172951317727</v>
      </c>
      <c r="S16" s="116">
        <v>5842329.5099999998</v>
      </c>
      <c r="T16" s="130">
        <f t="shared" si="1"/>
        <v>22.597199759792392</v>
      </c>
      <c r="U16" s="85">
        <f>Q14+Q15+Q16</f>
        <v>271500606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4668315.7</v>
      </c>
      <c r="G17" s="90">
        <f t="shared" si="2"/>
        <v>-0.22206694339332866</v>
      </c>
      <c r="H17" s="90">
        <f t="shared" ref="H17:H32" si="3">F17/F5-1</f>
        <v>1.4659553331486106</v>
      </c>
      <c r="I17" s="130">
        <f t="shared" si="0"/>
        <v>16.282900476774369</v>
      </c>
      <c r="J17" s="130">
        <f t="shared" ref="J17:J49" si="4">I17/I5-1</f>
        <v>-8.4922034811970581E-2</v>
      </c>
      <c r="K17" s="79"/>
      <c r="L17" s="87"/>
      <c r="M17" s="87"/>
      <c r="N17" s="79"/>
      <c r="O17" s="89"/>
      <c r="P17" s="129" t="s">
        <v>100</v>
      </c>
      <c r="Q17" s="116">
        <v>93366314</v>
      </c>
      <c r="R17" s="116">
        <v>117114358416</v>
      </c>
      <c r="S17" s="116">
        <v>5734009.9900000002</v>
      </c>
      <c r="T17" s="130">
        <f t="shared" si="1"/>
        <v>16.282900476774369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5645496.7999999998</v>
      </c>
      <c r="G18" s="90">
        <f t="shared" si="2"/>
        <v>0.20932198308696215</v>
      </c>
      <c r="H18" s="90">
        <f t="shared" si="3"/>
        <v>2.4028818040805739</v>
      </c>
      <c r="I18" s="130">
        <f t="shared" si="0"/>
        <v>17.565469861603685</v>
      </c>
      <c r="J18" s="130">
        <f t="shared" si="4"/>
        <v>0.30665127490125688</v>
      </c>
      <c r="K18" s="79"/>
      <c r="L18" s="87"/>
      <c r="M18" s="87"/>
      <c r="N18" s="79"/>
      <c r="O18" s="89"/>
      <c r="P18" s="129" t="s">
        <v>106</v>
      </c>
      <c r="Q18" s="116">
        <v>112909936</v>
      </c>
      <c r="R18" s="116">
        <v>141458413399</v>
      </c>
      <c r="S18" s="116">
        <v>6427948.5199999996</v>
      </c>
      <c r="T18" s="130">
        <f t="shared" si="1"/>
        <v>17.565469861603685</v>
      </c>
      <c r="U18" s="78"/>
    </row>
    <row r="19" spans="1:21" hidden="1">
      <c r="A19" s="129" t="s">
        <v>114</v>
      </c>
      <c r="B19" s="131">
        <f>SUM(F17:F19)</f>
        <v>14046596.272727273</v>
      </c>
      <c r="C19" s="131">
        <f>AVERAGE(F17:F19)</f>
        <v>4682198.7575757578</v>
      </c>
      <c r="D19" s="90">
        <f>C19/C16-1</f>
        <v>0.11389416233252114</v>
      </c>
      <c r="E19" s="286">
        <f>C19/C7-1</f>
        <v>1.4594460614996998</v>
      </c>
      <c r="F19" s="78">
        <f>Q19/22</f>
        <v>3732783.7727272729</v>
      </c>
      <c r="G19" s="90">
        <f t="shared" si="2"/>
        <v>-0.33880331439966926</v>
      </c>
      <c r="H19" s="90">
        <f t="shared" si="3"/>
        <v>0.72882565358230877</v>
      </c>
      <c r="I19" s="130">
        <f t="shared" si="0"/>
        <v>15.176239134198093</v>
      </c>
      <c r="J19" s="130">
        <f t="shared" si="4"/>
        <v>-0.15385552806582314</v>
      </c>
      <c r="K19" s="78">
        <f>R17+R18+R19</f>
        <v>365933288549</v>
      </c>
      <c r="L19" s="87">
        <f>U19/U16-1</f>
        <v>6.2235172322230525E-2</v>
      </c>
      <c r="M19" s="87">
        <f>U19/U7-1</f>
        <v>1.5028875059186992</v>
      </c>
      <c r="N19" s="88">
        <f>AVERAGE(T17:T19)</f>
        <v>16.341536490858715</v>
      </c>
      <c r="O19" s="89">
        <f>N19/N16-1</f>
        <v>-0.12183834669851479</v>
      </c>
      <c r="P19" s="129" t="s">
        <v>115</v>
      </c>
      <c r="Q19" s="116">
        <v>82121243</v>
      </c>
      <c r="R19" s="116">
        <v>107360516734</v>
      </c>
      <c r="S19" s="116">
        <v>5411172.1799999997</v>
      </c>
      <c r="T19" s="130">
        <f t="shared" si="1"/>
        <v>15.176239134198093</v>
      </c>
      <c r="U19" s="85">
        <f>Q17+Q18+Q19</f>
        <v>288397493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4444031.5</v>
      </c>
      <c r="G20" s="90">
        <f t="shared" si="2"/>
        <v>0.19054083241287523</v>
      </c>
      <c r="H20" s="90">
        <f t="shared" si="3"/>
        <v>0.81612966603740378</v>
      </c>
      <c r="I20" s="130">
        <f t="shared" si="0"/>
        <v>17.088473423218002</v>
      </c>
      <c r="J20" s="130">
        <f t="shared" si="4"/>
        <v>-6.5881182065742339E-3</v>
      </c>
      <c r="K20" s="79"/>
      <c r="L20" s="87"/>
      <c r="M20" s="87"/>
      <c r="N20" s="79"/>
      <c r="O20" s="89"/>
      <c r="P20" s="129" t="s">
        <v>131</v>
      </c>
      <c r="Q20" s="116">
        <v>88880630</v>
      </c>
      <c r="R20" s="116">
        <v>116628527958</v>
      </c>
      <c r="S20" s="116">
        <v>5201203.63</v>
      </c>
      <c r="T20" s="130">
        <f t="shared" si="1"/>
        <v>17.088473423218002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4527860.8571428573</v>
      </c>
      <c r="G21" s="90">
        <f t="shared" si="2"/>
        <v>1.8863357998893049E-2</v>
      </c>
      <c r="H21" s="90">
        <f t="shared" si="3"/>
        <v>0.74239153115400303</v>
      </c>
      <c r="I21" s="130">
        <f t="shared" si="0"/>
        <v>14.247535921138747</v>
      </c>
      <c r="J21" s="130">
        <f t="shared" si="4"/>
        <v>-3.6202346168718424E-2</v>
      </c>
      <c r="K21" s="79"/>
      <c r="L21" s="87"/>
      <c r="M21" s="87"/>
      <c r="N21" s="79"/>
      <c r="O21" s="89"/>
      <c r="P21" s="129" t="s">
        <v>141</v>
      </c>
      <c r="Q21" s="116">
        <v>95085078</v>
      </c>
      <c r="R21" s="116">
        <v>126628123354</v>
      </c>
      <c r="S21" s="116">
        <v>6673791.0700000003</v>
      </c>
      <c r="T21" s="130">
        <f t="shared" si="1"/>
        <v>14.247535921138747</v>
      </c>
      <c r="U21" s="78"/>
    </row>
    <row r="22" spans="1:21" hidden="1">
      <c r="A22" s="129" t="s">
        <v>156</v>
      </c>
      <c r="B22" s="131">
        <f>SUM(F20:F22)</f>
        <v>14513150.452380953</v>
      </c>
      <c r="C22" s="131">
        <f>AVERAGE(F20:F22)</f>
        <v>4837716.8174603181</v>
      </c>
      <c r="D22" s="90">
        <f>C22/C19-1</f>
        <v>3.3214749722645376E-2</v>
      </c>
      <c r="E22" s="286">
        <f>C22/C10-1</f>
        <v>0.84704626412247208</v>
      </c>
      <c r="F22" s="78">
        <f>Q22/21</f>
        <v>5541258.0952380951</v>
      </c>
      <c r="G22" s="90">
        <f t="shared" si="2"/>
        <v>0.2238136882003714</v>
      </c>
      <c r="H22" s="90">
        <f t="shared" si="3"/>
        <v>0.97066990053661906</v>
      </c>
      <c r="I22" s="130">
        <f t="shared" si="0"/>
        <v>16.041537625583224</v>
      </c>
      <c r="J22" s="130">
        <f t="shared" si="4"/>
        <v>-4.3860280762863302E-2</v>
      </c>
      <c r="K22" s="78">
        <f>R20+R21+R22</f>
        <v>394348860414</v>
      </c>
      <c r="L22" s="87">
        <f>U22/U19-1</f>
        <v>4.1382589272369374E-2</v>
      </c>
      <c r="M22" s="87">
        <f>U22/U10-1</f>
        <v>0.82011393518577358</v>
      </c>
      <c r="N22" s="88">
        <f>AVERAGE(T20:T22)</f>
        <v>15.792515656646657</v>
      </c>
      <c r="O22" s="89">
        <f>N22/N19-1</f>
        <v>-3.3596647079004782E-2</v>
      </c>
      <c r="P22" s="129" t="s">
        <v>156</v>
      </c>
      <c r="Q22" s="116">
        <v>116366420</v>
      </c>
      <c r="R22" s="116">
        <v>151092209102</v>
      </c>
      <c r="S22" s="116">
        <v>7254068.9500000002</v>
      </c>
      <c r="T22" s="130">
        <f t="shared" si="1"/>
        <v>16.041537625583224</v>
      </c>
      <c r="U22" s="85">
        <f>Q20+Q21+Q22</f>
        <v>300332128</v>
      </c>
    </row>
    <row r="23" spans="1:21" hidden="1">
      <c r="A23" s="129" t="s">
        <v>189</v>
      </c>
      <c r="B23" s="131"/>
      <c r="C23" s="131"/>
      <c r="D23" s="117"/>
      <c r="F23" s="78">
        <f>Q23/21</f>
        <v>5418028.4761904757</v>
      </c>
      <c r="G23" s="90">
        <f t="shared" si="2"/>
        <v>-2.2238563324368021E-2</v>
      </c>
      <c r="H23" s="90">
        <f t="shared" si="3"/>
        <v>0.68067685699983138</v>
      </c>
      <c r="I23" s="130">
        <f t="shared" si="0"/>
        <v>18.014161525166926</v>
      </c>
      <c r="J23" s="130">
        <f t="shared" si="4"/>
        <v>0.10177270343692957</v>
      </c>
      <c r="K23" s="79"/>
      <c r="L23" s="87"/>
      <c r="M23" s="87"/>
      <c r="N23" s="79"/>
      <c r="O23" s="89"/>
      <c r="P23" s="129" t="s">
        <v>189</v>
      </c>
      <c r="Q23" s="116">
        <v>113778598</v>
      </c>
      <c r="R23" s="116">
        <v>146837481209</v>
      </c>
      <c r="S23" s="116">
        <v>6316064.0499999998</v>
      </c>
      <c r="T23" s="130">
        <f t="shared" si="1"/>
        <v>18.014161525166926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4894917.1363636367</v>
      </c>
      <c r="G24" s="90">
        <f t="shared" si="2"/>
        <v>-9.6550127435773292E-2</v>
      </c>
      <c r="H24" s="90">
        <f t="shared" si="3"/>
        <v>0.57062557256827207</v>
      </c>
      <c r="I24" s="130">
        <f t="shared" si="0"/>
        <v>19.287299214880441</v>
      </c>
      <c r="J24" s="130">
        <f t="shared" si="4"/>
        <v>0.10491985517429603</v>
      </c>
      <c r="K24" s="79"/>
      <c r="L24" s="87"/>
      <c r="M24" s="87"/>
      <c r="N24" s="79"/>
      <c r="O24" s="89"/>
      <c r="P24" s="129" t="s">
        <v>204</v>
      </c>
      <c r="Q24" s="116">
        <v>107688177</v>
      </c>
      <c r="R24" s="116">
        <v>141774942712</v>
      </c>
      <c r="S24" s="116">
        <v>5583372.5499999998</v>
      </c>
      <c r="T24" s="130">
        <f t="shared" si="1"/>
        <v>19.287299214880441</v>
      </c>
      <c r="U24" s="78"/>
    </row>
    <row r="25" spans="1:21" s="92" customFormat="1" ht="13.2" hidden="1">
      <c r="A25" s="129" t="s">
        <v>219</v>
      </c>
      <c r="B25" s="131">
        <f>SUM(F23:F25)</f>
        <v>18198396.823080428</v>
      </c>
      <c r="C25" s="131">
        <f>AVERAGE(F23:F25)</f>
        <v>6066132.2743601426</v>
      </c>
      <c r="D25" s="90">
        <f>C25/C22-1</f>
        <v>0.25392463082299899</v>
      </c>
      <c r="E25" s="286">
        <f>C25/C13-1</f>
        <v>0.76719698513449663</v>
      </c>
      <c r="F25" s="78">
        <f>Q25/19</f>
        <v>7885451.2105263155</v>
      </c>
      <c r="G25" s="90">
        <f t="shared" si="2"/>
        <v>0.61094682317427407</v>
      </c>
      <c r="H25" s="90">
        <f t="shared" si="3"/>
        <v>0.99246794461739074</v>
      </c>
      <c r="I25" s="130">
        <f t="shared" si="0"/>
        <v>16.317397057051295</v>
      </c>
      <c r="J25" s="130">
        <f t="shared" si="4"/>
        <v>3.8707426567968328E-2</v>
      </c>
      <c r="K25" s="78">
        <f>R23+R24+R25</f>
        <v>487414346742</v>
      </c>
      <c r="L25" s="90">
        <f>U25/U22-1</f>
        <v>0.23626583167286053</v>
      </c>
      <c r="M25" s="90">
        <f>U25/U13-1</f>
        <v>0.72360841347028715</v>
      </c>
      <c r="N25" s="88">
        <f>AVERAGE(T23:T25)</f>
        <v>17.872952599032889</v>
      </c>
      <c r="O25" s="91">
        <f>N25/N22-1</f>
        <v>0.13173562639531911</v>
      </c>
      <c r="P25" s="129" t="s">
        <v>219</v>
      </c>
      <c r="Q25" s="116">
        <v>149823573</v>
      </c>
      <c r="R25" s="116">
        <v>198801922821</v>
      </c>
      <c r="S25" s="116">
        <v>9181830.4399999995</v>
      </c>
      <c r="T25" s="130">
        <f t="shared" si="1"/>
        <v>16.317397057051295</v>
      </c>
      <c r="U25" s="85">
        <f>Q23+Q24+Q25</f>
        <v>371290348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6395637.3157894732</v>
      </c>
      <c r="G26" s="90">
        <f t="shared" si="2"/>
        <v>-0.18893197801390038</v>
      </c>
      <c r="H26" s="90">
        <f t="shared" si="3"/>
        <v>1.1580948502019659</v>
      </c>
      <c r="I26" s="130">
        <f t="shared" si="0"/>
        <v>18.470881657877069</v>
      </c>
      <c r="J26" s="130">
        <f t="shared" si="4"/>
        <v>7.5666086619644135E-2</v>
      </c>
      <c r="K26" s="79"/>
      <c r="L26" s="90"/>
      <c r="M26" s="90"/>
      <c r="N26" s="79"/>
      <c r="O26" s="79"/>
      <c r="P26" s="129" t="s">
        <v>312</v>
      </c>
      <c r="Q26" s="116">
        <v>121517109</v>
      </c>
      <c r="R26" s="116">
        <v>163847662621</v>
      </c>
      <c r="S26" s="116">
        <v>6578847.25</v>
      </c>
      <c r="T26" s="130">
        <f t="shared" si="1"/>
        <v>18.470881657877069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6027393.5909090908</v>
      </c>
      <c r="G27" s="90">
        <f t="shared" si="2"/>
        <v>-5.7577330717498154E-2</v>
      </c>
      <c r="H27" s="90">
        <f t="shared" si="3"/>
        <v>0.653210567164902</v>
      </c>
      <c r="I27" s="130">
        <f t="shared" si="0"/>
        <v>17.375599788009879</v>
      </c>
      <c r="J27" s="130">
        <f t="shared" si="4"/>
        <v>8.2077407037651762E-2</v>
      </c>
      <c r="K27" s="79"/>
      <c r="L27" s="90"/>
      <c r="M27" s="90"/>
      <c r="N27" s="79"/>
      <c r="O27" s="79"/>
      <c r="P27" s="129" t="s">
        <v>375</v>
      </c>
      <c r="Q27" s="116">
        <v>132602659</v>
      </c>
      <c r="R27" s="116">
        <v>175649474996</v>
      </c>
      <c r="S27" s="116">
        <v>7631544.2699999996</v>
      </c>
      <c r="T27" s="130">
        <f t="shared" si="1"/>
        <v>17.375599788009879</v>
      </c>
      <c r="U27" s="78"/>
    </row>
    <row r="28" spans="1:21" s="92" customFormat="1" ht="13.2" hidden="1">
      <c r="A28" s="123" t="s">
        <v>413</v>
      </c>
      <c r="B28" s="131">
        <f>SUM(F26:F28)</f>
        <v>21765735.959330142</v>
      </c>
      <c r="C28" s="131">
        <f>AVERAGE(F26:F28)</f>
        <v>7255245.3197767138</v>
      </c>
      <c r="D28" s="90">
        <f>C28/C25-1</f>
        <v>0.19602491202551287</v>
      </c>
      <c r="E28" s="286">
        <f>C28/C16-1</f>
        <v>0.72602143275393982</v>
      </c>
      <c r="F28" s="78">
        <f>Q28/19</f>
        <v>9342705.0526315793</v>
      </c>
      <c r="G28" s="90">
        <f t="shared" si="2"/>
        <v>0.5500406455491571</v>
      </c>
      <c r="H28" s="90">
        <f t="shared" si="3"/>
        <v>0.55687823309984719</v>
      </c>
      <c r="I28" s="130">
        <f t="shared" si="0"/>
        <v>159920176.57657656</v>
      </c>
      <c r="J28" s="130">
        <f t="shared" si="4"/>
        <v>7076989.878362081</v>
      </c>
      <c r="K28" s="78">
        <f>R26+R27+R28</f>
        <v>570977799701</v>
      </c>
      <c r="L28" s="90">
        <f>U28/U25-1</f>
        <v>0.162516521975411</v>
      </c>
      <c r="M28" s="90">
        <f>U28/U16-1</f>
        <v>0.58979816052417955</v>
      </c>
      <c r="N28" s="88">
        <f>AVERAGE(T26:T28)</f>
        <v>53306737.474352665</v>
      </c>
      <c r="O28" s="91">
        <f>N28/N25-1</f>
        <v>2982535.7229607664</v>
      </c>
      <c r="P28" s="129" t="s">
        <v>413</v>
      </c>
      <c r="Q28" s="116">
        <v>177511396</v>
      </c>
      <c r="R28" s="116">
        <v>231480662084</v>
      </c>
      <c r="S28" s="116">
        <v>1.1100000000000001</v>
      </c>
      <c r="T28" s="130">
        <f t="shared" si="1"/>
        <v>159920176.57657656</v>
      </c>
      <c r="U28" s="85">
        <f>Q26+Q27+Q28</f>
        <v>431631164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6402804.3181818184</v>
      </c>
      <c r="G29" s="190">
        <f t="shared" si="2"/>
        <v>-0.31467339682543793</v>
      </c>
      <c r="H29" s="190">
        <f t="shared" si="3"/>
        <v>0.37154484178990255</v>
      </c>
      <c r="I29" s="130">
        <f t="shared" si="0"/>
        <v>15.723733390517653</v>
      </c>
      <c r="J29" s="130">
        <f t="shared" si="4"/>
        <v>-3.4340754403940577E-2</v>
      </c>
      <c r="K29" s="136"/>
      <c r="L29" s="190"/>
      <c r="M29" s="190"/>
      <c r="N29" s="191"/>
      <c r="O29" s="192"/>
      <c r="P29" s="129" t="s">
        <v>426</v>
      </c>
      <c r="Q29" s="116">
        <v>140861695</v>
      </c>
      <c r="R29" s="116">
        <v>185416549078</v>
      </c>
      <c r="S29" s="116">
        <v>8958540.0299999993</v>
      </c>
      <c r="T29" s="130">
        <f t="shared" si="1"/>
        <v>15.723733390517653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7098444.3157894732</v>
      </c>
      <c r="G30" s="190">
        <f t="shared" si="2"/>
        <v>0.10864614363307501</v>
      </c>
      <c r="H30" s="190">
        <f t="shared" si="3"/>
        <v>0.25736397827547663</v>
      </c>
      <c r="I30" s="130">
        <f t="shared" si="0"/>
        <v>14.555718942224747</v>
      </c>
      <c r="J30" s="130">
        <f t="shared" si="4"/>
        <v>-0.17134474301526914</v>
      </c>
      <c r="K30" s="136"/>
      <c r="L30" s="190"/>
      <c r="M30" s="190"/>
      <c r="N30" s="191"/>
      <c r="O30" s="192"/>
      <c r="P30" s="129" t="s">
        <v>466</v>
      </c>
      <c r="Q30" s="116">
        <v>134870442</v>
      </c>
      <c r="R30" s="116">
        <v>179764304787</v>
      </c>
      <c r="S30" s="116">
        <v>9265804.2200000007</v>
      </c>
      <c r="T30" s="130">
        <f t="shared" si="1"/>
        <v>14.555718942224747</v>
      </c>
      <c r="U30" s="85"/>
    </row>
    <row r="31" spans="1:21" s="92" customFormat="1" ht="13.2" hidden="1">
      <c r="A31" s="129" t="s">
        <v>505</v>
      </c>
      <c r="B31" s="188">
        <f>SUM(F29:F31)</f>
        <v>19507370.833971292</v>
      </c>
      <c r="C31" s="188">
        <f>AVERAGE(F29:F31)</f>
        <v>6502456.9446570976</v>
      </c>
      <c r="D31" s="190">
        <f>C31/C28-1</f>
        <v>-0.10375781134066242</v>
      </c>
      <c r="E31" s="287">
        <f>C31/C19-1</f>
        <v>0.38876140918541258</v>
      </c>
      <c r="F31" s="136">
        <f>Q31/20</f>
        <v>6006122.2000000002</v>
      </c>
      <c r="G31" s="190">
        <f t="shared" si="2"/>
        <v>-0.15388190245569144</v>
      </c>
      <c r="H31" s="190">
        <f t="shared" si="3"/>
        <v>0.60901958583359472</v>
      </c>
      <c r="I31" s="130">
        <f t="shared" si="0"/>
        <v>12.079806491953754</v>
      </c>
      <c r="J31" s="130">
        <f t="shared" si="4"/>
        <v>-0.20403161908979461</v>
      </c>
      <c r="K31" s="136">
        <f>R29+R30+R31</f>
        <v>524602259069</v>
      </c>
      <c r="L31" s="190">
        <f>U31/U28-1</f>
        <v>-8.2886932140052827E-2</v>
      </c>
      <c r="M31" s="190">
        <f>U31/U19-1</f>
        <v>0.37260063144862365</v>
      </c>
      <c r="N31" s="191">
        <f>AVERAGE(T29:T31)</f>
        <v>14.119752941565386</v>
      </c>
      <c r="O31" s="192">
        <f>N31/N28-1</f>
        <v>-0.99999973512254525</v>
      </c>
      <c r="P31" s="129" t="s">
        <v>505</v>
      </c>
      <c r="Q31" s="116">
        <v>120122444</v>
      </c>
      <c r="R31" s="116">
        <v>159421405204</v>
      </c>
      <c r="S31" s="116">
        <v>9944070.2200000007</v>
      </c>
      <c r="T31" s="130">
        <f t="shared" si="1"/>
        <v>12.079806491953754</v>
      </c>
      <c r="U31" s="85">
        <f>Q29+Q30+Q31</f>
        <v>395854581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7723078.7142857146</v>
      </c>
      <c r="G32" s="190">
        <f t="shared" si="2"/>
        <v>0.285867729145723</v>
      </c>
      <c r="H32" s="190">
        <f t="shared" si="3"/>
        <v>0.7378541790907005</v>
      </c>
      <c r="I32" s="130">
        <f t="shared" si="0"/>
        <v>12.530833925695326</v>
      </c>
      <c r="J32" s="130">
        <f t="shared" si="4"/>
        <v>-0.26670840540561336</v>
      </c>
      <c r="K32" s="136"/>
      <c r="L32" s="190"/>
      <c r="M32" s="190"/>
      <c r="N32" s="191"/>
      <c r="O32" s="192"/>
      <c r="P32" s="129" t="s">
        <v>571</v>
      </c>
      <c r="Q32" s="116">
        <v>162184653</v>
      </c>
      <c r="R32" s="116">
        <v>220634367469</v>
      </c>
      <c r="S32" s="116">
        <v>12942845.939999999</v>
      </c>
      <c r="T32" s="130">
        <f t="shared" si="1"/>
        <v>12.530833925695326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87"/>
      <c r="F33" s="136">
        <f>Q33/21</f>
        <v>6589770.7619047621</v>
      </c>
      <c r="G33" s="190">
        <f t="shared" ref="G33" si="5">F33/F32-1</f>
        <v>-0.14674302752924473</v>
      </c>
      <c r="H33" s="190">
        <f t="shared" ref="H33" si="6">F33/F21-1</f>
        <v>0.45538278887461181</v>
      </c>
      <c r="I33" s="130">
        <f t="shared" si="0"/>
        <v>12.976256892187267</v>
      </c>
      <c r="J33" s="130">
        <f t="shared" si="4"/>
        <v>-8.922799254468361E-2</v>
      </c>
      <c r="K33" s="136"/>
      <c r="L33" s="190"/>
      <c r="M33" s="190"/>
      <c r="N33" s="191"/>
      <c r="O33" s="192"/>
      <c r="P33" s="129" t="s">
        <v>624</v>
      </c>
      <c r="Q33" s="116">
        <v>138385186</v>
      </c>
      <c r="R33" s="116">
        <v>189035571422</v>
      </c>
      <c r="S33" s="116">
        <v>10664491.859999999</v>
      </c>
      <c r="T33" s="130">
        <f t="shared" si="1"/>
        <v>12.976256892187267</v>
      </c>
      <c r="U33" s="85"/>
    </row>
    <row r="34" spans="1:21" s="92" customFormat="1" ht="13.2" hidden="1">
      <c r="A34" s="129" t="s">
        <v>652</v>
      </c>
      <c r="B34" s="188">
        <f>SUM(F32:F34)</f>
        <v>23852105.055137847</v>
      </c>
      <c r="C34" s="188">
        <f>AVERAGE(F32:F34)</f>
        <v>7950701.6850459492</v>
      </c>
      <c r="D34" s="190">
        <f>C34/C31-1</f>
        <v>0.22272269585403981</v>
      </c>
      <c r="E34" s="287">
        <f>C34/C22-1</f>
        <v>0.64348224277002464</v>
      </c>
      <c r="F34" s="136">
        <f>Q34/19</f>
        <v>9539255.578947369</v>
      </c>
      <c r="G34" s="190">
        <f t="shared" ref="G34" si="7">F34/F33-1</f>
        <v>0.44758534456061461</v>
      </c>
      <c r="H34" s="190">
        <f t="shared" ref="H34" si="8">F34/F22-1</f>
        <v>0.72149634884268798</v>
      </c>
      <c r="I34" s="130">
        <f t="shared" si="0"/>
        <v>13.982364981001995</v>
      </c>
      <c r="J34" s="130">
        <f t="shared" si="4"/>
        <v>-0.12836504159658846</v>
      </c>
      <c r="K34" s="136">
        <f>R32+R33+R34</f>
        <v>658764783435</v>
      </c>
      <c r="L34" s="190">
        <f>U34/U31-1</f>
        <v>0.21715326315751282</v>
      </c>
      <c r="M34" s="190">
        <f>U34/U22-1</f>
        <v>0.60427623314412759</v>
      </c>
      <c r="N34" s="191">
        <f>AVERAGE(T32:T34)</f>
        <v>13.163151932961528</v>
      </c>
      <c r="O34" s="192">
        <f>N34/N31-1</f>
        <v>-6.77491321953545E-2</v>
      </c>
      <c r="P34" s="129" t="s">
        <v>652</v>
      </c>
      <c r="Q34" s="116">
        <v>181245856</v>
      </c>
      <c r="R34" s="116">
        <v>249094844544</v>
      </c>
      <c r="S34" s="116">
        <v>12962460.66</v>
      </c>
      <c r="T34" s="130">
        <f t="shared" si="1"/>
        <v>13.982364981001995</v>
      </c>
      <c r="U34" s="85">
        <f>Q32+Q33+Q34</f>
        <v>481815695</v>
      </c>
    </row>
    <row r="35" spans="1:21" s="92" customFormat="1" ht="11.25" hidden="1" customHeight="1">
      <c r="A35" s="129" t="s">
        <v>659</v>
      </c>
      <c r="B35" s="188"/>
      <c r="C35" s="188"/>
      <c r="D35" s="190"/>
      <c r="E35" s="287"/>
      <c r="F35" s="136">
        <f>Q35/23</f>
        <v>5873635.4782608692</v>
      </c>
      <c r="G35" s="190">
        <f t="shared" ref="G35" si="9">F35/F34-1</f>
        <v>-0.3842668927726739</v>
      </c>
      <c r="H35" s="190">
        <f t="shared" ref="H35" si="10">F35/F23-1</f>
        <v>8.409092053918843E-2</v>
      </c>
      <c r="I35" s="130">
        <f t="shared" si="0"/>
        <v>12.770524609942097</v>
      </c>
      <c r="J35" s="130">
        <f t="shared" si="4"/>
        <v>-0.2910841510940787</v>
      </c>
      <c r="K35" s="136"/>
      <c r="L35" s="190"/>
      <c r="M35" s="190"/>
      <c r="N35" s="191"/>
      <c r="O35" s="192"/>
      <c r="P35" s="129" t="s">
        <v>660</v>
      </c>
      <c r="Q35" s="116">
        <v>135093616</v>
      </c>
      <c r="R35" s="116">
        <v>186997359954</v>
      </c>
      <c r="S35" s="116">
        <v>10578548.66</v>
      </c>
      <c r="T35" s="130">
        <f t="shared" si="1"/>
        <v>12.770524609942097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5345426.2857142854</v>
      </c>
      <c r="G36" s="190">
        <f t="shared" ref="G36" si="11">F36/F35-1</f>
        <v>-8.9928834450411221E-2</v>
      </c>
      <c r="H36" s="190">
        <f t="shared" ref="H36" si="12">F36/F24-1</f>
        <v>9.2036113543962017E-2</v>
      </c>
      <c r="I36" s="130">
        <f t="shared" si="0"/>
        <v>12.639522537829128</v>
      </c>
      <c r="J36" s="130">
        <f t="shared" si="4"/>
        <v>-0.34467120580171506</v>
      </c>
      <c r="K36" s="136"/>
      <c r="L36" s="190"/>
      <c r="M36" s="190"/>
      <c r="N36" s="191"/>
      <c r="O36" s="192"/>
      <c r="P36" s="129" t="s">
        <v>664</v>
      </c>
      <c r="Q36" s="116">
        <v>112253952</v>
      </c>
      <c r="R36" s="116">
        <v>153109609362</v>
      </c>
      <c r="S36" s="116">
        <v>8881186.1099999994</v>
      </c>
      <c r="T36" s="130">
        <f t="shared" si="1"/>
        <v>12.639522537829128</v>
      </c>
      <c r="U36" s="85"/>
    </row>
    <row r="37" spans="1:21" s="92" customFormat="1" ht="13.2" hidden="1">
      <c r="A37" s="129" t="s">
        <v>702</v>
      </c>
      <c r="B37" s="188">
        <f>SUM(F35:F37)</f>
        <v>18594109.652864043</v>
      </c>
      <c r="C37" s="188">
        <f>AVERAGE(F35:F37)</f>
        <v>6198036.5509546809</v>
      </c>
      <c r="D37" s="190">
        <f>C37/C34-1</f>
        <v>-0.22044156648308955</v>
      </c>
      <c r="E37" s="287">
        <f>C37/C25-1</f>
        <v>2.1744378564255928E-2</v>
      </c>
      <c r="F37" s="136">
        <f>Q37/18</f>
        <v>7375047.888888889</v>
      </c>
      <c r="G37" s="190">
        <f t="shared" ref="G37" si="13">F37/F36-1</f>
        <v>0.3796931235585066</v>
      </c>
      <c r="H37" s="190">
        <f t="shared" ref="H37" si="14">F37/F25-1</f>
        <v>-6.4727218266988573E-2</v>
      </c>
      <c r="I37" s="130">
        <f t="shared" si="0"/>
        <v>12.68722714604762</v>
      </c>
      <c r="J37" s="130">
        <f t="shared" si="4"/>
        <v>-0.22247236482089261</v>
      </c>
      <c r="K37" s="136">
        <f>R35+R36+R37</f>
        <v>517223599978</v>
      </c>
      <c r="L37" s="190">
        <f>U37/U34-1</f>
        <v>-0.21111239433576356</v>
      </c>
      <c r="M37" s="190">
        <f>U37/U25-1</f>
        <v>2.3722895161282231E-2</v>
      </c>
      <c r="N37" s="191">
        <f>AVERAGE(T35:T37)</f>
        <v>12.699091431272947</v>
      </c>
      <c r="O37" s="192">
        <f>N37/N34-1</f>
        <v>-3.5254512297053897E-2</v>
      </c>
      <c r="P37" s="129" t="s">
        <v>702</v>
      </c>
      <c r="Q37" s="116">
        <v>132750862</v>
      </c>
      <c r="R37" s="116">
        <v>177116630662</v>
      </c>
      <c r="S37" s="116">
        <v>10463347.15</v>
      </c>
      <c r="T37" s="130">
        <f t="shared" si="1"/>
        <v>12.68722714604762</v>
      </c>
      <c r="U37" s="85">
        <f>Q35+Q36+Q37</f>
        <v>380098430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9770968.6999999993</v>
      </c>
      <c r="G38" s="190">
        <f t="shared" ref="G38" si="15">F38/F37-1</f>
        <v>0.32486850895175334</v>
      </c>
      <c r="H38" s="190">
        <f t="shared" ref="H38" si="16">F38/F26-1</f>
        <v>0.52775528341445321</v>
      </c>
      <c r="I38" s="130">
        <f t="shared" si="0"/>
        <v>13.983035189565641</v>
      </c>
      <c r="J38" s="130">
        <f t="shared" si="4"/>
        <v>-0.24296871970903167</v>
      </c>
      <c r="K38" s="136"/>
      <c r="L38" s="190"/>
      <c r="M38" s="190"/>
      <c r="N38" s="191"/>
      <c r="O38" s="192"/>
      <c r="P38" s="129" t="s">
        <v>727</v>
      </c>
      <c r="Q38" s="116">
        <v>195419374</v>
      </c>
      <c r="R38" s="116">
        <v>263776507198</v>
      </c>
      <c r="S38" s="116">
        <v>13975461.789999999</v>
      </c>
      <c r="T38" s="130">
        <f t="shared" si="1"/>
        <v>13.983035189565641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6132794.4285714282</v>
      </c>
      <c r="G39" s="190">
        <f t="shared" ref="G39" si="17">F39/F38-1</f>
        <v>-0.37234529995255961</v>
      </c>
      <c r="H39" s="190">
        <f t="shared" ref="H39" si="18">F39/F27-1</f>
        <v>1.7486967803348685E-2</v>
      </c>
      <c r="I39" s="130">
        <f t="shared" si="0"/>
        <v>12.243630430692427</v>
      </c>
      <c r="J39" s="130">
        <f t="shared" si="4"/>
        <v>-0.29535494716325095</v>
      </c>
      <c r="K39" s="136"/>
      <c r="L39" s="190"/>
      <c r="M39" s="190"/>
      <c r="N39" s="191"/>
      <c r="O39" s="192"/>
      <c r="P39" s="129" t="s">
        <v>762</v>
      </c>
      <c r="Q39" s="116">
        <v>128788683</v>
      </c>
      <c r="R39" s="116">
        <v>179079056439</v>
      </c>
      <c r="S39" s="116">
        <v>10518831.300000001</v>
      </c>
      <c r="T39" s="130">
        <f t="shared" si="1"/>
        <v>12.243630430692427</v>
      </c>
      <c r="U39" s="85"/>
    </row>
    <row r="40" spans="1:21" s="92" customFormat="1" ht="13.2" hidden="1">
      <c r="A40" s="129" t="s">
        <v>778</v>
      </c>
      <c r="B40" s="188">
        <f>SUM(F38:F40)</f>
        <v>27583883.557142857</v>
      </c>
      <c r="C40" s="188">
        <f>AVERAGE(F38:F40)</f>
        <v>9194627.8523809519</v>
      </c>
      <c r="D40" s="190">
        <f>C40/C37-1</f>
        <v>0.48347428686342742</v>
      </c>
      <c r="E40" s="287">
        <f>C40/C28-1</f>
        <v>0.26730764393559125</v>
      </c>
      <c r="F40" s="136">
        <f>Q40/21</f>
        <v>11680120.428571429</v>
      </c>
      <c r="G40" s="190">
        <f t="shared" ref="G40" si="19">F40/F39-1</f>
        <v>0.90453480295314481</v>
      </c>
      <c r="H40" s="190">
        <f t="shared" ref="H40" si="20">F40/F28-1</f>
        <v>0.2501861466001718</v>
      </c>
      <c r="I40" s="130">
        <f t="shared" si="0"/>
        <v>14.591328661831914</v>
      </c>
      <c r="J40" s="130">
        <f t="shared" si="4"/>
        <v>-0.99999990875867595</v>
      </c>
      <c r="K40" s="136">
        <f>R38+R39+R40</f>
        <v>790313432217</v>
      </c>
      <c r="L40" s="190">
        <f>U40/U37-1</f>
        <v>0.49827134513552185</v>
      </c>
      <c r="M40" s="190">
        <f>U40/U28-1</f>
        <v>0.3193917249218825</v>
      </c>
      <c r="N40" s="191">
        <f>AVERAGE(T38:T40)</f>
        <v>13.605998094029994</v>
      </c>
      <c r="O40" s="192">
        <f>N40/N37-1</f>
        <v>7.1415082540762453E-2</v>
      </c>
      <c r="P40" s="129" t="s">
        <v>778</v>
      </c>
      <c r="Q40" s="116">
        <v>245282529</v>
      </c>
      <c r="R40" s="116">
        <v>347457868580</v>
      </c>
      <c r="S40" s="116">
        <v>16810157.23</v>
      </c>
      <c r="T40" s="130">
        <f t="shared" si="1"/>
        <v>14.591328661831914</v>
      </c>
      <c r="U40" s="85">
        <f>Q38+Q39+Q40</f>
        <v>569490586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7878529.277777778</v>
      </c>
      <c r="G41" s="190">
        <f t="shared" ref="G41" si="21">F41/F40-1</f>
        <v>-0.32547533854996524</v>
      </c>
      <c r="H41" s="190">
        <f t="shared" ref="H41" si="22">F41/F29-1</f>
        <v>0.23048103397528408</v>
      </c>
      <c r="I41" s="130">
        <f t="shared" si="0"/>
        <v>14.94139490811717</v>
      </c>
      <c r="J41" s="130">
        <f t="shared" si="4"/>
        <v>-4.9755262504786568E-2</v>
      </c>
      <c r="K41" s="194"/>
      <c r="L41" s="202"/>
      <c r="M41" s="202"/>
      <c r="N41" s="194"/>
      <c r="O41" s="194"/>
      <c r="P41" s="129" t="s">
        <v>792</v>
      </c>
      <c r="Q41" s="116">
        <v>141813527</v>
      </c>
      <c r="R41" s="116">
        <v>207546420288</v>
      </c>
      <c r="S41" s="116">
        <v>9491317.7699999996</v>
      </c>
      <c r="T41" s="130">
        <f t="shared" ref="T41" si="23">Q41/S41</f>
        <v>14.94139490811717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7568591.2000000002</v>
      </c>
      <c r="G42" s="190">
        <f t="shared" ref="G42" si="24">F42/F41-1</f>
        <v>-3.9339585708209612E-2</v>
      </c>
      <c r="H42" s="190">
        <f t="shared" ref="H42" si="25">F42/F30-1</f>
        <v>6.623238322300451E-2</v>
      </c>
      <c r="I42" s="130">
        <f t="shared" si="0"/>
        <v>14.110830415933869</v>
      </c>
      <c r="J42" s="130">
        <f t="shared" si="4"/>
        <v>-3.0564517496988741E-2</v>
      </c>
      <c r="K42" s="194"/>
      <c r="L42" s="202"/>
      <c r="M42" s="202"/>
      <c r="N42" s="194"/>
      <c r="O42" s="194"/>
      <c r="P42" s="129" t="s">
        <v>826</v>
      </c>
      <c r="Q42" s="116">
        <v>151371824</v>
      </c>
      <c r="R42" s="116">
        <v>218866724351</v>
      </c>
      <c r="S42" s="116">
        <v>10727350.52</v>
      </c>
      <c r="T42" s="130">
        <f t="shared" ref="T42" si="26">Q42/S42</f>
        <v>14.110830415933869</v>
      </c>
      <c r="U42" s="175"/>
    </row>
    <row r="43" spans="1:21" s="92" customFormat="1" ht="13.2">
      <c r="A43" s="129" t="s">
        <v>835</v>
      </c>
      <c r="B43" s="188">
        <f>SUM(F41:F43)</f>
        <v>23476565.227777779</v>
      </c>
      <c r="C43" s="188">
        <f>AVERAGE(F41:F43)</f>
        <v>7825521.7425925927</v>
      </c>
      <c r="D43" s="190">
        <f>C43/C40-1</f>
        <v>-0.14890283019272266</v>
      </c>
      <c r="E43" s="287">
        <f>C43/C31-1</f>
        <v>0.20347151994948987</v>
      </c>
      <c r="F43" s="136">
        <f>Q43/20</f>
        <v>8029444.75</v>
      </c>
      <c r="G43" s="190">
        <f t="shared" ref="G43" si="27">F43/F42-1</f>
        <v>6.0890268455772834E-2</v>
      </c>
      <c r="H43" s="190">
        <f t="shared" ref="H43" si="28">F43/F31-1</f>
        <v>0.33687668725754527</v>
      </c>
      <c r="I43" s="130">
        <f t="shared" si="0"/>
        <v>14.19771638234948</v>
      </c>
      <c r="J43" s="130">
        <f t="shared" si="4"/>
        <v>0.1753264749568999</v>
      </c>
      <c r="K43" s="136">
        <f>R41+R42+R43</f>
        <v>659158345980</v>
      </c>
      <c r="L43" s="190">
        <f>U43/U40-1</f>
        <v>-0.20319271792141613</v>
      </c>
      <c r="M43" s="190">
        <f>K43/K31-1</f>
        <v>0.25649162691329952</v>
      </c>
      <c r="N43" s="191">
        <f>AVERAGE(T41:T43)</f>
        <v>14.41664723546684</v>
      </c>
      <c r="O43" s="192">
        <f>N43/N40-1</f>
        <v>5.9580277450761887E-2</v>
      </c>
      <c r="P43" s="129" t="s">
        <v>835</v>
      </c>
      <c r="Q43" s="116">
        <v>160588895</v>
      </c>
      <c r="R43" s="116">
        <v>232745201341</v>
      </c>
      <c r="S43" s="116">
        <v>11310896.109999999</v>
      </c>
      <c r="T43" s="130">
        <f t="shared" ref="T43" si="29">Q43/S43</f>
        <v>14.19771638234948</v>
      </c>
      <c r="U43" s="85">
        <f>Q41+Q42+Q43</f>
        <v>453774246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10016187.909090908</v>
      </c>
      <c r="G44" s="190">
        <f t="shared" ref="G44" si="30">F44/F43-1</f>
        <v>0.24743219748674505</v>
      </c>
      <c r="H44" s="190">
        <f t="shared" ref="H44" si="31">F44/F32-1</f>
        <v>0.29691646034417984</v>
      </c>
      <c r="I44" s="130">
        <f t="shared" si="0"/>
        <v>13.763070570581117</v>
      </c>
      <c r="J44" s="130">
        <f t="shared" si="4"/>
        <v>9.8336363899852453E-2</v>
      </c>
      <c r="K44" s="136"/>
      <c r="L44" s="190"/>
      <c r="M44" s="190"/>
      <c r="N44" s="191"/>
      <c r="O44" s="192"/>
      <c r="P44" s="129" t="s">
        <v>843</v>
      </c>
      <c r="Q44" s="116">
        <v>220356134</v>
      </c>
      <c r="R44" s="116">
        <v>320642259974</v>
      </c>
      <c r="S44" s="116">
        <v>16010681.109999999</v>
      </c>
      <c r="T44" s="130">
        <f t="shared" ref="T44" si="32">Q44/S44</f>
        <v>13.763070570581117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9477246</v>
      </c>
      <c r="G45" s="190">
        <f t="shared" ref="G45" si="33">F45/F44-1</f>
        <v>-5.3807088483409204E-2</v>
      </c>
      <c r="H45" s="190">
        <f t="shared" ref="H45" si="34">F45/F33-1</f>
        <v>0.43817536943585855</v>
      </c>
      <c r="I45" s="130">
        <f t="shared" si="0"/>
        <v>13.84057839170983</v>
      </c>
      <c r="J45" s="130">
        <f t="shared" si="4"/>
        <v>6.6607921429403305E-2</v>
      </c>
      <c r="K45" s="136"/>
      <c r="L45" s="190"/>
      <c r="M45" s="190"/>
      <c r="N45" s="191"/>
      <c r="O45" s="192"/>
      <c r="P45" s="129" t="s">
        <v>849</v>
      </c>
      <c r="Q45" s="116">
        <v>189544920</v>
      </c>
      <c r="R45" s="116">
        <v>266287185073</v>
      </c>
      <c r="S45" s="116">
        <v>13694869.869999999</v>
      </c>
      <c r="T45" s="130">
        <f t="shared" ref="T45" si="35">Q45/S45</f>
        <v>13.84057839170983</v>
      </c>
      <c r="U45" s="85"/>
    </row>
    <row r="46" spans="1:21" s="92" customFormat="1" ht="13.2">
      <c r="A46" s="129" t="s">
        <v>893</v>
      </c>
      <c r="B46" s="188">
        <f>SUM(F44:F46)</f>
        <v>31716874.382775117</v>
      </c>
      <c r="C46" s="188">
        <f>AVERAGE(F44:F46)</f>
        <v>10572291.460925039</v>
      </c>
      <c r="D46" s="190">
        <f>C46/C43-1</f>
        <v>0.35100148062746839</v>
      </c>
      <c r="E46" s="287">
        <f>C46/C34-1</f>
        <v>0.32973061746360055</v>
      </c>
      <c r="F46" s="136">
        <f>Q46/19</f>
        <v>12223440.47368421</v>
      </c>
      <c r="G46" s="190">
        <f t="shared" ref="G46" si="36">F46/F45-1</f>
        <v>0.28976714054739228</v>
      </c>
      <c r="H46" s="190">
        <f t="shared" ref="H46" si="37">F46/F34-1</f>
        <v>0.28138305683524134</v>
      </c>
      <c r="I46" s="130">
        <f t="shared" si="0"/>
        <v>15.410609672556626</v>
      </c>
      <c r="J46" s="130">
        <f t="shared" si="4"/>
        <v>0.10214614576970371</v>
      </c>
      <c r="K46" s="136">
        <f>R44+R45+R46</f>
        <v>905056463563</v>
      </c>
      <c r="L46" s="190">
        <f>U46/U43-1</f>
        <v>0.41512311168051608</v>
      </c>
      <c r="M46" s="190">
        <f>K46/K34-1</f>
        <v>0.37386892305286912</v>
      </c>
      <c r="N46" s="191">
        <f>AVERAGE(T44:T46)</f>
        <v>14.338086211615858</v>
      </c>
      <c r="O46" s="192">
        <f>N46/N43-1</f>
        <v>-5.4493269182387394E-3</v>
      </c>
      <c r="P46" s="129" t="s">
        <v>888</v>
      </c>
      <c r="Q46" s="116">
        <v>232245369</v>
      </c>
      <c r="R46" s="116">
        <v>318127018516</v>
      </c>
      <c r="S46" s="116">
        <v>15070485.460000001</v>
      </c>
      <c r="T46" s="130">
        <f t="shared" ref="T46" si="38">Q46/S46</f>
        <v>15.410609672556626</v>
      </c>
      <c r="U46" s="85">
        <f t="shared" ref="U46:U51" si="39">Q44+Q45+Q46</f>
        <v>642146423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9104611.1304347832</v>
      </c>
      <c r="G47" s="190">
        <f t="shared" ref="G47" si="40">F47/F46-1</f>
        <v>-0.25515151400818292</v>
      </c>
      <c r="H47" s="190">
        <f t="shared" ref="H47" si="41">F47/F35-1</f>
        <v>0.5500810637861675</v>
      </c>
      <c r="I47" s="130">
        <f t="shared" si="0"/>
        <v>12.801637979307854</v>
      </c>
      <c r="J47" s="130">
        <f t="shared" si="4"/>
        <v>2.4363423051183553E-3</v>
      </c>
      <c r="K47" s="136"/>
      <c r="L47" s="190"/>
      <c r="M47" s="190"/>
      <c r="N47" s="191"/>
      <c r="O47" s="192"/>
      <c r="P47" s="129" t="s">
        <v>991</v>
      </c>
      <c r="Q47" s="116">
        <v>209406056</v>
      </c>
      <c r="R47" s="116">
        <v>286961205347</v>
      </c>
      <c r="S47" s="116">
        <v>16357754.869999999</v>
      </c>
      <c r="T47" s="130">
        <f t="shared" ref="T47" si="42">Q47/S47</f>
        <v>12.801637979307854</v>
      </c>
      <c r="U47" s="85">
        <f t="shared" si="39"/>
        <v>631196345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7611772.2000000002</v>
      </c>
      <c r="G48" s="190">
        <f t="shared" ref="G48" si="43">F48/F47-1</f>
        <v>-0.16396515008142842</v>
      </c>
      <c r="H48" s="190">
        <f t="shared" ref="H48" si="44">F48/F36-1</f>
        <v>0.42397851792336017</v>
      </c>
      <c r="I48" s="130">
        <f t="shared" si="0"/>
        <v>14.319249526441126</v>
      </c>
      <c r="J48" s="130">
        <f t="shared" si="4"/>
        <v>0.13289481335902553</v>
      </c>
      <c r="K48" s="136"/>
      <c r="L48" s="190"/>
      <c r="M48" s="190"/>
      <c r="N48" s="191"/>
      <c r="O48" s="192"/>
      <c r="P48" s="129" t="s">
        <v>1070</v>
      </c>
      <c r="Q48" s="116">
        <v>152235444</v>
      </c>
      <c r="R48" s="116">
        <v>211232973347</v>
      </c>
      <c r="S48" s="116">
        <v>10631523.93</v>
      </c>
      <c r="T48" s="130">
        <f t="shared" ref="T48" si="45">Q48/S48</f>
        <v>14.319249526441126</v>
      </c>
      <c r="U48" s="85">
        <f t="shared" si="39"/>
        <v>593886869</v>
      </c>
    </row>
    <row r="49" spans="1:26" ht="13.2">
      <c r="A49" s="129" t="s">
        <v>1158</v>
      </c>
      <c r="B49" s="188">
        <f>SUM(F47:F49)</f>
        <v>23990804.875889331</v>
      </c>
      <c r="C49" s="188">
        <f>AVERAGE(F47:F49)</f>
        <v>7996934.9586297767</v>
      </c>
      <c r="D49" s="190">
        <f>C49/C46-1</f>
        <v>-0.24359492091319312</v>
      </c>
      <c r="E49" s="287">
        <f>C49/C37-1</f>
        <v>0.29023681820624514</v>
      </c>
      <c r="F49" s="136">
        <f>Q49/22</f>
        <v>7274421.5454545459</v>
      </c>
      <c r="G49" s="190">
        <f t="shared" ref="G49" si="46">F49/F48-1</f>
        <v>-4.4319594134130114E-2</v>
      </c>
      <c r="H49" s="190">
        <f t="shared" ref="H49" si="47">F49/F37-1</f>
        <v>-1.3644161360083507E-2</v>
      </c>
      <c r="I49" s="130">
        <f t="shared" si="0"/>
        <v>13.134909661618117</v>
      </c>
      <c r="J49" s="130">
        <f t="shared" si="4"/>
        <v>3.5286080277199261E-2</v>
      </c>
      <c r="K49" s="136">
        <f>R47+R48+R49</f>
        <v>720614109776</v>
      </c>
      <c r="L49" s="190">
        <f>U49/U46-1</f>
        <v>-0.18760152620206993</v>
      </c>
      <c r="M49" s="190">
        <f>K49/K37-1</f>
        <v>0.39323516909640466</v>
      </c>
      <c r="N49" s="191">
        <f>AVERAGE(T47:T49)</f>
        <v>13.418599055789032</v>
      </c>
      <c r="O49" s="192">
        <f>N49/N46-1</f>
        <v>-6.4129001754914317E-2</v>
      </c>
      <c r="P49" s="129" t="s">
        <v>1200</v>
      </c>
      <c r="Q49" s="116">
        <v>160037274</v>
      </c>
      <c r="R49" s="116">
        <v>222419931082</v>
      </c>
      <c r="S49" s="116">
        <v>12184116.84</v>
      </c>
      <c r="T49" s="130">
        <f t="shared" ref="T49" si="48">Q49/S49</f>
        <v>13.134909661618117</v>
      </c>
      <c r="U49" s="85">
        <f t="shared" si="39"/>
        <v>521678774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8224064.777777778</v>
      </c>
      <c r="G50" s="190">
        <f t="shared" ref="G50" si="49">F50/F49-1</f>
        <v>0.13054553223089216</v>
      </c>
      <c r="H50" s="190">
        <f t="shared" ref="H50" si="50">F50/F38-1</f>
        <v>-0.15831633174940185</v>
      </c>
      <c r="I50" s="130">
        <f t="shared" ref="I50" si="51">T50</f>
        <v>15.771135598422186</v>
      </c>
      <c r="J50" s="130">
        <f t="shared" ref="J50" si="52">I50/I38-1</f>
        <v>0.12787641485668666</v>
      </c>
      <c r="K50" s="136"/>
      <c r="L50" s="190"/>
      <c r="M50" s="190"/>
      <c r="N50" s="191"/>
      <c r="O50" s="192"/>
      <c r="P50" s="129" t="s">
        <v>1291</v>
      </c>
      <c r="Q50" s="116">
        <v>148033166</v>
      </c>
      <c r="R50" s="116">
        <v>209679737376</v>
      </c>
      <c r="S50" s="116">
        <v>9386335.25</v>
      </c>
      <c r="T50" s="130">
        <f t="shared" ref="T50" si="53">Q50/S50</f>
        <v>15.771135598422186</v>
      </c>
      <c r="U50" s="85">
        <f t="shared" si="39"/>
        <v>460305884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7869810.3499999996</v>
      </c>
      <c r="G51" s="190">
        <f t="shared" ref="G51:G52" si="54">F51/F50-1</f>
        <v>-4.3075345020993527E-2</v>
      </c>
      <c r="H51" s="190">
        <f t="shared" ref="H51:H52" si="55">F51/F39-1</f>
        <v>0.28323400395359277</v>
      </c>
      <c r="I51" s="130">
        <f t="shared" ref="I51:I52" si="56">T51</f>
        <v>12.685240026559278</v>
      </c>
      <c r="J51" s="130">
        <f t="shared" ref="J51:J52" si="57">I51/I39-1</f>
        <v>3.6068517288778912E-2</v>
      </c>
      <c r="K51" s="136"/>
      <c r="L51" s="190"/>
      <c r="M51" s="190"/>
      <c r="N51" s="191"/>
      <c r="O51" s="192"/>
      <c r="P51" s="129" t="s">
        <v>1402</v>
      </c>
      <c r="Q51" s="116">
        <v>157396207</v>
      </c>
      <c r="R51" s="116">
        <v>228326008151</v>
      </c>
      <c r="S51" s="116">
        <v>12407822.529999999</v>
      </c>
      <c r="T51" s="130">
        <f t="shared" ref="T51:T52" si="58">Q51/S51</f>
        <v>12.685240026559278</v>
      </c>
      <c r="U51" s="85">
        <f t="shared" si="39"/>
        <v>465466647</v>
      </c>
    </row>
    <row r="52" spans="1:26" s="79" customFormat="1" ht="13.2">
      <c r="A52" s="129" t="s">
        <v>1403</v>
      </c>
      <c r="B52" s="188">
        <f>SUM(F50:F52)</f>
        <v>23781692.445959598</v>
      </c>
      <c r="C52" s="188">
        <f>AVERAGE(F50:F52)</f>
        <v>7927230.8153198659</v>
      </c>
      <c r="D52" s="190">
        <f>C52/C49-1</f>
        <v>-8.7163574132474997E-3</v>
      </c>
      <c r="E52" s="287">
        <f>C52/C40-1</f>
        <v>-0.13784103689774596</v>
      </c>
      <c r="F52" s="136">
        <f>Q52/22</f>
        <v>7687817.3181818184</v>
      </c>
      <c r="G52" s="190">
        <f t="shared" si="54"/>
        <v>-2.3125466018146357E-2</v>
      </c>
      <c r="H52" s="190">
        <f t="shared" si="55"/>
        <v>-0.34180324893087599</v>
      </c>
      <c r="I52" s="130">
        <f t="shared" si="56"/>
        <v>13.195996753331283</v>
      </c>
      <c r="J52" s="130">
        <f t="shared" si="57"/>
        <v>-9.5627474429422543E-2</v>
      </c>
      <c r="K52" s="136">
        <f>R50+R51+R52</f>
        <v>686865902717</v>
      </c>
      <c r="L52" s="190">
        <f>U52/U49-1</f>
        <v>-9.0318836702372729E-2</v>
      </c>
      <c r="M52" s="190">
        <f>K52/K40-1</f>
        <v>-0.13089430760376586</v>
      </c>
      <c r="N52" s="191">
        <f>AVERAGE(T50:T52)</f>
        <v>13.884124126104249</v>
      </c>
      <c r="O52" s="192">
        <f>N52/N49-1</f>
        <v>3.4692524039190209E-2</v>
      </c>
      <c r="P52" s="129" t="s">
        <v>1403</v>
      </c>
      <c r="Q52" s="116">
        <v>169131981</v>
      </c>
      <c r="R52" s="116">
        <v>248860157190</v>
      </c>
      <c r="S52" s="116">
        <v>12816915.93</v>
      </c>
      <c r="T52" s="130">
        <f t="shared" si="58"/>
        <v>13.195996753331283</v>
      </c>
      <c r="U52" s="85">
        <f t="shared" ref="U52" si="59">Q50+Q51+Q52</f>
        <v>474561354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10835418.476190476</v>
      </c>
      <c r="G53" s="190">
        <f t="shared" ref="G53" si="60">F53/F52-1</f>
        <v>0.40942715308342814</v>
      </c>
      <c r="H53" s="190">
        <f t="shared" ref="H53" si="61">F53/F41-1</f>
        <v>0.37530979376479756</v>
      </c>
      <c r="I53" s="130">
        <f t="shared" ref="I53" si="62">T53</f>
        <v>15.55098221711228</v>
      </c>
      <c r="J53" s="130">
        <f t="shared" ref="J53" si="63">I53/I41-1</f>
        <v>4.0798554133921083E-2</v>
      </c>
      <c r="K53" s="136"/>
      <c r="L53" s="190"/>
      <c r="M53" s="190"/>
      <c r="N53" s="191"/>
      <c r="O53" s="192"/>
      <c r="P53" s="129" t="s">
        <v>1414</v>
      </c>
      <c r="Q53" s="116">
        <v>227543788</v>
      </c>
      <c r="R53" s="116">
        <v>331945095538</v>
      </c>
      <c r="S53" s="116">
        <v>14632116.789999999</v>
      </c>
      <c r="T53" s="130">
        <f t="shared" ref="T53" si="64">Q53/S53</f>
        <v>15.55098221711228</v>
      </c>
      <c r="U53" s="85">
        <f t="shared" ref="U53" si="65">Q51+Q52+Q53</f>
        <v>554071976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9172766.5294117648</v>
      </c>
      <c r="G54" s="190">
        <f t="shared" ref="G54" si="66">F54/F53-1</f>
        <v>-0.15344602983559774</v>
      </c>
      <c r="H54" s="190">
        <f t="shared" ref="H54" si="67">F54/F42-1</f>
        <v>0.21195164159636004</v>
      </c>
      <c r="I54" s="130">
        <f t="shared" ref="I54" si="68">T54</f>
        <v>15.607682526654743</v>
      </c>
      <c r="J54" s="130">
        <f t="shared" ref="J54" si="69">I54/I42-1</f>
        <v>0.10607824391615095</v>
      </c>
      <c r="K54" s="136"/>
      <c r="L54" s="190"/>
      <c r="M54" s="190"/>
      <c r="N54" s="191"/>
      <c r="O54" s="192"/>
      <c r="P54" s="129" t="s">
        <v>1417</v>
      </c>
      <c r="Q54" s="116">
        <v>155937031</v>
      </c>
      <c r="R54" s="116">
        <v>225929774157</v>
      </c>
      <c r="S54" s="116">
        <v>9991043.2400000002</v>
      </c>
      <c r="T54" s="130">
        <f t="shared" ref="T54" si="70">Q54/S54</f>
        <v>15.607682526654743</v>
      </c>
      <c r="U54" s="85">
        <f t="shared" ref="U54" si="71">Q52+Q53+Q54</f>
        <v>552612800</v>
      </c>
    </row>
    <row r="55" spans="1:26" s="79" customFormat="1" ht="13.2">
      <c r="A55" s="129" t="s">
        <v>1418</v>
      </c>
      <c r="B55" s="188">
        <f>SUM(F53:F55)</f>
        <v>29948428.291316524</v>
      </c>
      <c r="C55" s="188">
        <f>AVERAGE(F53:F55)</f>
        <v>9982809.4304388408</v>
      </c>
      <c r="D55" s="190">
        <f>C55/C52-1</f>
        <v>0.25930601278146725</v>
      </c>
      <c r="E55" s="287">
        <f>C55/C43-1</f>
        <v>0.27567333639936176</v>
      </c>
      <c r="F55" s="136">
        <f>Q55/21</f>
        <v>9940243.2857142854</v>
      </c>
      <c r="G55" s="190">
        <f t="shared" ref="G55" si="72">F55/F54-1</f>
        <v>8.36690603474608E-2</v>
      </c>
      <c r="H55" s="190">
        <f t="shared" ref="H55" si="73">F55/F43-1</f>
        <v>0.2379739315989795</v>
      </c>
      <c r="I55" s="130">
        <f>T55</f>
        <v>16.157522621019108</v>
      </c>
      <c r="J55" s="130">
        <f t="shared" ref="J55" si="74">I55/I43-1</f>
        <v>0.13803672265957134</v>
      </c>
      <c r="K55" s="136">
        <f>R53+R54+R55</f>
        <v>864788220383</v>
      </c>
      <c r="L55" s="190">
        <f>U55/U52-1</f>
        <v>0.24794386017366254</v>
      </c>
      <c r="M55" s="190">
        <f>K55/K43-1</f>
        <v>0.31195823531185196</v>
      </c>
      <c r="N55" s="191">
        <f>AVERAGE(T53:T55)</f>
        <v>15.77206245492871</v>
      </c>
      <c r="O55" s="192">
        <f>N55/N52-1</f>
        <v>0.13597820875678091</v>
      </c>
      <c r="P55" s="129" t="s">
        <v>1418</v>
      </c>
      <c r="Q55" s="116">
        <v>208745109</v>
      </c>
      <c r="R55" s="116">
        <v>306913350688</v>
      </c>
      <c r="S55" s="116">
        <v>12919375.939999999</v>
      </c>
      <c r="T55" s="130">
        <f t="shared" ref="T55" si="75">Q55/S55</f>
        <v>16.157522621019108</v>
      </c>
      <c r="U55" s="85">
        <f t="shared" ref="U55" si="76">Q53+Q54+Q55</f>
        <v>592225928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8375311.3636363633</v>
      </c>
      <c r="G56" s="190">
        <f t="shared" ref="G56" si="77">F56/F55-1</f>
        <v>-0.15743396585946534</v>
      </c>
      <c r="H56" s="190">
        <f t="shared" ref="H56" si="78">F56/F44-1</f>
        <v>-0.16382246023611935</v>
      </c>
      <c r="I56" s="291">
        <f>T56</f>
        <v>15.260585094755911</v>
      </c>
      <c r="J56" s="130">
        <f t="shared" ref="J56" si="79">I56/I44-1</f>
        <v>0.10880671696734345</v>
      </c>
      <c r="K56" s="136"/>
      <c r="L56" s="190"/>
      <c r="M56" s="190"/>
      <c r="N56" s="191"/>
      <c r="O56" s="192"/>
      <c r="P56" s="129" t="s">
        <v>1420</v>
      </c>
      <c r="Q56" s="116">
        <v>184256850</v>
      </c>
      <c r="R56" s="116">
        <v>275024056182</v>
      </c>
      <c r="S56" s="116">
        <v>12074035.75</v>
      </c>
      <c r="T56" s="130">
        <f t="shared" ref="T56" si="80">Q56/S56</f>
        <v>15.260585094755911</v>
      </c>
      <c r="U56" s="85">
        <f t="shared" ref="U56" si="81">Q54+Q55+Q56</f>
        <v>548938990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9924015.083333334</v>
      </c>
      <c r="G57" s="254">
        <f t="shared" ref="G57" si="82">F57/F56-1</f>
        <v>0.18491297248017302</v>
      </c>
      <c r="H57" s="254">
        <f t="shared" ref="H57" si="83">F57/F45-1</f>
        <v>4.71412352632119E-2</v>
      </c>
      <c r="I57" s="282">
        <f>T57</f>
        <v>16.384714137742115</v>
      </c>
      <c r="J57" s="277">
        <f t="shared" ref="J57" si="84">I57/I45-1</f>
        <v>0.18381715518161879</v>
      </c>
      <c r="K57" s="204"/>
      <c r="L57" s="254"/>
      <c r="M57" s="254"/>
      <c r="N57" s="257"/>
      <c r="O57" s="258"/>
      <c r="P57" s="129" t="s">
        <v>1436</v>
      </c>
      <c r="Q57" s="116">
        <v>119088181</v>
      </c>
      <c r="R57" s="116">
        <v>175310728878</v>
      </c>
      <c r="S57" s="116">
        <v>7268248.9299999997</v>
      </c>
      <c r="T57" s="130">
        <f t="shared" ref="T57" si="85">Q57/S57</f>
        <v>16.384714137742115</v>
      </c>
      <c r="U57" s="85">
        <f t="shared" ref="U57" si="86">Q55+Q56+Q57</f>
        <v>512090140</v>
      </c>
    </row>
    <row r="58" spans="1:26">
      <c r="B58" s="196">
        <f>SUM(F56:F58)</f>
        <v>18299326.446969695</v>
      </c>
      <c r="C58" s="196">
        <f>AVERAGE(F56:F58)</f>
        <v>9149663.2234848477</v>
      </c>
      <c r="D58" s="197">
        <f>C58/C55-1</f>
        <v>-8.3458089905395272E-2</v>
      </c>
      <c r="E58" s="233">
        <f>C58/C46-1</f>
        <v>-0.13456195780244939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895570959</v>
      </c>
      <c r="R65" s="212">
        <v>1315123005443</v>
      </c>
      <c r="S65" s="213">
        <v>56884820.659999996</v>
      </c>
    </row>
    <row r="66" spans="16:19" ht="18" thickBot="1">
      <c r="P66" s="180" t="s">
        <v>976</v>
      </c>
      <c r="Q66" s="181">
        <v>227543788</v>
      </c>
      <c r="R66" s="181">
        <v>331945095538</v>
      </c>
      <c r="S66" s="182">
        <v>14632116.789999999</v>
      </c>
    </row>
    <row r="67" spans="16:19" ht="18" thickBot="1">
      <c r="P67" s="180" t="s">
        <v>977</v>
      </c>
      <c r="Q67" s="181">
        <v>155937031</v>
      </c>
      <c r="R67" s="181">
        <v>225929774157</v>
      </c>
      <c r="S67" s="182">
        <v>9991043.2400000002</v>
      </c>
    </row>
    <row r="68" spans="16:19" ht="18" thickBot="1">
      <c r="P68" s="180" t="s">
        <v>978</v>
      </c>
      <c r="Q68" s="181">
        <v>208745109</v>
      </c>
      <c r="R68" s="181">
        <v>306913350688</v>
      </c>
      <c r="S68" s="182">
        <v>12919375.939999999</v>
      </c>
    </row>
    <row r="69" spans="16:19" ht="18" thickBot="1">
      <c r="P69" s="180" t="s">
        <v>979</v>
      </c>
      <c r="Q69" s="181">
        <v>184256850</v>
      </c>
      <c r="R69" s="181">
        <v>275024056182</v>
      </c>
      <c r="S69" s="182">
        <v>12074035.75</v>
      </c>
    </row>
    <row r="70" spans="16:19" ht="18" thickBot="1">
      <c r="P70" s="180" t="s">
        <v>980</v>
      </c>
      <c r="Q70" s="181">
        <v>119088181</v>
      </c>
      <c r="R70" s="181">
        <v>175310728878</v>
      </c>
      <c r="S70" s="182">
        <v>7268248.9299999997</v>
      </c>
    </row>
    <row r="71" spans="16:19" ht="18" thickBot="1">
      <c r="P71" s="180" t="s">
        <v>975</v>
      </c>
      <c r="Q71" s="181">
        <v>2092578890</v>
      </c>
      <c r="R71" s="181">
        <v>2972278125621</v>
      </c>
      <c r="S71" s="182">
        <v>150134541.50999999</v>
      </c>
    </row>
    <row r="72" spans="16:19" ht="18" thickBot="1">
      <c r="P72" s="215" t="s">
        <v>982</v>
      </c>
      <c r="Q72" s="216">
        <v>1823</v>
      </c>
      <c r="R72"/>
      <c r="S72"/>
    </row>
  </sheetData>
  <phoneticPr fontId="1" type="noConversion"/>
  <conditionalFormatting sqref="C29:C30">
    <cfRule type="cellIs" dxfId="22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4">
    <tabColor rgb="FFFF0000"/>
  </sheetPr>
  <dimension ref="A1:Z74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597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8544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1286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2783710.5</v>
      </c>
      <c r="G5" s="90"/>
      <c r="H5" s="90"/>
      <c r="I5" s="130">
        <f t="shared" ref="I5:I49" si="0">T5</f>
        <v>9.6943028722400797</v>
      </c>
      <c r="J5" s="130"/>
      <c r="K5" s="79"/>
      <c r="L5" s="80"/>
      <c r="M5" s="80"/>
      <c r="N5" s="79"/>
      <c r="O5" s="79"/>
      <c r="P5" s="129" t="s">
        <v>0</v>
      </c>
      <c r="Q5" s="116">
        <v>55674210</v>
      </c>
      <c r="R5" s="116">
        <v>65696889595</v>
      </c>
      <c r="S5" s="116">
        <v>5742982.3200000003</v>
      </c>
      <c r="T5" s="130">
        <f t="shared" ref="T5:T24" si="1">Q5/S5</f>
        <v>9.6943028722400797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1954811.888888889</v>
      </c>
      <c r="G6" s="90">
        <f t="shared" ref="G6:G24" si="2">F6/F5-1</f>
        <v>-0.29776753405611356</v>
      </c>
      <c r="H6" s="90"/>
      <c r="I6" s="130">
        <f t="shared" si="0"/>
        <v>8.7067184314679746</v>
      </c>
      <c r="J6" s="130"/>
      <c r="K6" s="79"/>
      <c r="L6" s="87"/>
      <c r="M6" s="87"/>
      <c r="N6" s="79"/>
      <c r="O6" s="79"/>
      <c r="P6" s="129" t="s">
        <v>1</v>
      </c>
      <c r="Q6" s="116">
        <v>35186614</v>
      </c>
      <c r="R6" s="116">
        <v>41802588299</v>
      </c>
      <c r="S6" s="116">
        <v>4041317.55</v>
      </c>
      <c r="T6" s="130">
        <f t="shared" si="1"/>
        <v>8.7067184314679746</v>
      </c>
      <c r="U6" s="85"/>
    </row>
    <row r="7" spans="1:21" ht="15" hidden="1" customHeight="1">
      <c r="A7" s="129" t="s">
        <v>2</v>
      </c>
      <c r="B7" s="131">
        <f>F5+F6+F7</f>
        <v>7095203.9797979798</v>
      </c>
      <c r="C7" s="131">
        <f>AVERAGE(F5:F7)</f>
        <v>2365067.9932659934</v>
      </c>
      <c r="D7" s="117"/>
      <c r="F7" s="78">
        <f>Q7/22</f>
        <v>2356681.5909090908</v>
      </c>
      <c r="G7" s="90">
        <f t="shared" si="2"/>
        <v>0.20557973087048476</v>
      </c>
      <c r="H7" s="90"/>
      <c r="I7" s="130">
        <f t="shared" si="0"/>
        <v>7.8872426585838857</v>
      </c>
      <c r="J7" s="130"/>
      <c r="K7" s="79">
        <f>R5+R6+R7</f>
        <v>169998365165</v>
      </c>
      <c r="L7" s="87"/>
      <c r="M7" s="87"/>
      <c r="N7" s="88">
        <f>AVERAGE(T5:T7)</f>
        <v>8.7627546540973142</v>
      </c>
      <c r="O7" s="79"/>
      <c r="P7" s="129" t="s">
        <v>2</v>
      </c>
      <c r="Q7" s="116">
        <v>51846995</v>
      </c>
      <c r="R7" s="116">
        <v>62498887271</v>
      </c>
      <c r="S7" s="116">
        <v>6573526.04</v>
      </c>
      <c r="T7" s="130">
        <f t="shared" si="1"/>
        <v>7.8872426585838857</v>
      </c>
      <c r="U7" s="85">
        <f>Q5+Q6+Q7</f>
        <v>142707819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2556218.2380952379</v>
      </c>
      <c r="G8" s="90">
        <f t="shared" si="2"/>
        <v>8.4668479592602042E-2</v>
      </c>
      <c r="H8" s="90"/>
      <c r="I8" s="130">
        <f t="shared" si="0"/>
        <v>8.1517700040733345</v>
      </c>
      <c r="J8" s="130"/>
      <c r="K8" s="78"/>
      <c r="L8" s="87"/>
      <c r="M8" s="87"/>
      <c r="N8" s="79"/>
      <c r="O8" s="79"/>
      <c r="P8" s="129" t="s">
        <v>3</v>
      </c>
      <c r="Q8" s="116">
        <v>53680583</v>
      </c>
      <c r="R8" s="116">
        <v>65088614963</v>
      </c>
      <c r="S8" s="116">
        <v>6585144.4500000002</v>
      </c>
      <c r="T8" s="130">
        <f t="shared" si="1"/>
        <v>8.1517700040733345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2697817.0952380951</v>
      </c>
      <c r="G9" s="90">
        <f t="shared" si="2"/>
        <v>5.5393884228120305E-2</v>
      </c>
      <c r="H9" s="90"/>
      <c r="I9" s="130">
        <f t="shared" si="0"/>
        <v>8.678757223774797</v>
      </c>
      <c r="J9" s="130"/>
      <c r="K9" s="78"/>
      <c r="L9" s="87"/>
      <c r="M9" s="87"/>
      <c r="N9" s="79"/>
      <c r="O9" s="79"/>
      <c r="P9" s="129" t="s">
        <v>4</v>
      </c>
      <c r="Q9" s="116">
        <v>56654159</v>
      </c>
      <c r="R9" s="116">
        <v>71300839048</v>
      </c>
      <c r="S9" s="116">
        <v>6527911.4900000002</v>
      </c>
      <c r="T9" s="130">
        <f t="shared" si="1"/>
        <v>8.678757223774797</v>
      </c>
      <c r="U9" s="85"/>
    </row>
    <row r="10" spans="1:21" ht="15" hidden="1" customHeight="1">
      <c r="A10" s="129" t="s">
        <v>5</v>
      </c>
      <c r="B10" s="131">
        <f>F8+F9+F10</f>
        <v>7619591.666666666</v>
      </c>
      <c r="C10" s="131">
        <f>AVERAGE(F8:F10)</f>
        <v>2539863.8888888885</v>
      </c>
      <c r="D10" s="90">
        <f>C10/C7-1</f>
        <v>7.3907344786952267E-2</v>
      </c>
      <c r="E10" s="286"/>
      <c r="F10" s="78">
        <f>Q10/21</f>
        <v>2365556.3333333335</v>
      </c>
      <c r="G10" s="90">
        <f t="shared" si="2"/>
        <v>-0.1231591135259813</v>
      </c>
      <c r="H10" s="90"/>
      <c r="I10" s="130">
        <f t="shared" si="0"/>
        <v>8.5513774933964939</v>
      </c>
      <c r="J10" s="130"/>
      <c r="K10" s="79">
        <f>R8+R9+R10</f>
        <v>198962020843</v>
      </c>
      <c r="L10" s="87">
        <f>U10/U7-1</f>
        <v>0.12125198269619686</v>
      </c>
      <c r="M10" s="87"/>
      <c r="N10" s="88">
        <f>AVERAGE(T8:T10)</f>
        <v>8.4606349070815412</v>
      </c>
      <c r="O10" s="89">
        <f>N10/N7-1</f>
        <v>-3.4477713794543674E-2</v>
      </c>
      <c r="P10" s="129" t="s">
        <v>5</v>
      </c>
      <c r="Q10" s="116">
        <v>49676683</v>
      </c>
      <c r="R10" s="116">
        <v>62572566832</v>
      </c>
      <c r="S10" s="116">
        <v>5809202.4400000004</v>
      </c>
      <c r="T10" s="130">
        <f t="shared" si="1"/>
        <v>8.5513774933964939</v>
      </c>
      <c r="U10" s="85">
        <f>Q8+Q9+Q10</f>
        <v>160011425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2862808.5714285714</v>
      </c>
      <c r="G11" s="90">
        <f t="shared" si="2"/>
        <v>0.2102051982818578</v>
      </c>
      <c r="H11" s="90"/>
      <c r="I11" s="130">
        <f t="shared" si="0"/>
        <v>8.9382193799708922</v>
      </c>
      <c r="J11" s="130"/>
      <c r="K11" s="78"/>
      <c r="L11" s="87"/>
      <c r="M11" s="87"/>
      <c r="N11" s="79"/>
      <c r="O11" s="89"/>
      <c r="P11" s="129" t="s">
        <v>6</v>
      </c>
      <c r="Q11" s="116">
        <v>60118980</v>
      </c>
      <c r="R11" s="116">
        <v>77703477677</v>
      </c>
      <c r="S11" s="116">
        <v>6726057.7800000003</v>
      </c>
      <c r="T11" s="130">
        <f t="shared" si="1"/>
        <v>8.9382193799708922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2949704.7272727271</v>
      </c>
      <c r="G12" s="90">
        <f t="shared" si="2"/>
        <v>3.0353463627081911E-2</v>
      </c>
      <c r="H12" s="90"/>
      <c r="I12" s="130">
        <f t="shared" si="0"/>
        <v>8.7050082854621511</v>
      </c>
      <c r="J12" s="130"/>
      <c r="K12" s="78"/>
      <c r="L12" s="87"/>
      <c r="M12" s="87"/>
      <c r="N12" s="79"/>
      <c r="O12" s="89"/>
      <c r="P12" s="129" t="s">
        <v>7</v>
      </c>
      <c r="Q12" s="116">
        <v>64893504</v>
      </c>
      <c r="R12" s="116">
        <v>84198892558</v>
      </c>
      <c r="S12" s="116">
        <v>7454732.0199999996</v>
      </c>
      <c r="T12" s="130">
        <f t="shared" si="1"/>
        <v>8.7050082854621511</v>
      </c>
      <c r="U12" s="85"/>
    </row>
    <row r="13" spans="1:21" ht="15" hidden="1" customHeight="1">
      <c r="A13" s="129" t="s">
        <v>96</v>
      </c>
      <c r="B13" s="131">
        <f>F11+F12+F13</f>
        <v>8402930.5987012982</v>
      </c>
      <c r="C13" s="131">
        <f>AVERAGE(F11:F13)</f>
        <v>2800976.8662337661</v>
      </c>
      <c r="D13" s="90">
        <f>C13/C10-1</f>
        <v>0.10280589384618799</v>
      </c>
      <c r="E13" s="286"/>
      <c r="F13" s="78">
        <f>Q13/20</f>
        <v>2590417.2999999998</v>
      </c>
      <c r="G13" s="90">
        <f t="shared" si="2"/>
        <v>-0.12180453994285778</v>
      </c>
      <c r="H13" s="90"/>
      <c r="I13" s="130">
        <f t="shared" si="0"/>
        <v>9.7197860747306457</v>
      </c>
      <c r="J13" s="130"/>
      <c r="K13" s="78">
        <f>R11+R12+R13</f>
        <v>232885600744</v>
      </c>
      <c r="L13" s="87">
        <f>U13/U10-1</f>
        <v>0.10505127993204244</v>
      </c>
      <c r="M13" s="87"/>
      <c r="N13" s="88">
        <f>AVERAGE(T11:T13)</f>
        <v>9.1210045800545636</v>
      </c>
      <c r="O13" s="89">
        <f>N13/N10-1</f>
        <v>7.8052023308592844E-2</v>
      </c>
      <c r="P13" s="129" t="s">
        <v>96</v>
      </c>
      <c r="Q13" s="116">
        <v>51808346</v>
      </c>
      <c r="R13" s="116">
        <v>70983230509</v>
      </c>
      <c r="S13" s="116">
        <v>5330194.0599999996</v>
      </c>
      <c r="T13" s="130">
        <f t="shared" si="1"/>
        <v>9.7197860747306457</v>
      </c>
      <c r="U13" s="85">
        <f>Q11+Q12+Q13</f>
        <v>176820830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3069427.7</v>
      </c>
      <c r="G14" s="90">
        <f t="shared" si="2"/>
        <v>0.18491630672787762</v>
      </c>
      <c r="H14" s="90"/>
      <c r="I14" s="130">
        <f t="shared" si="0"/>
        <v>8.600756446711614</v>
      </c>
      <c r="J14" s="130"/>
      <c r="K14" s="79"/>
      <c r="L14" s="87"/>
      <c r="M14" s="87"/>
      <c r="N14" s="79"/>
      <c r="O14" s="89"/>
      <c r="P14" s="129" t="s">
        <v>97</v>
      </c>
      <c r="Q14" s="116">
        <v>61388554</v>
      </c>
      <c r="R14" s="116">
        <v>87516488203</v>
      </c>
      <c r="S14" s="116">
        <v>7137576.1399999997</v>
      </c>
      <c r="T14" s="130">
        <f t="shared" si="1"/>
        <v>8.600756446711614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2750330.9545454546</v>
      </c>
      <c r="G15" s="90">
        <f t="shared" si="2"/>
        <v>-0.103959687812339</v>
      </c>
      <c r="H15" s="90"/>
      <c r="I15" s="130">
        <f t="shared" si="0"/>
        <v>8.7702540824312596</v>
      </c>
      <c r="J15" s="130"/>
      <c r="K15" s="79"/>
      <c r="L15" s="87"/>
      <c r="M15" s="87"/>
      <c r="N15" s="79"/>
      <c r="O15" s="89"/>
      <c r="P15" s="129" t="s">
        <v>98</v>
      </c>
      <c r="Q15" s="116">
        <v>60507281</v>
      </c>
      <c r="R15" s="116">
        <v>83847200391</v>
      </c>
      <c r="S15" s="116">
        <v>6899148.0099999998</v>
      </c>
      <c r="T15" s="130">
        <f t="shared" si="1"/>
        <v>8.7702540824312596</v>
      </c>
      <c r="U15" s="78"/>
    </row>
    <row r="16" spans="1:21" ht="15" hidden="1" customHeight="1">
      <c r="A16" s="129" t="s">
        <v>99</v>
      </c>
      <c r="B16" s="131">
        <f>F14+F15+F16</f>
        <v>10492874.018181818</v>
      </c>
      <c r="C16" s="131">
        <f>AVERAGE(F14:F16)</f>
        <v>3497624.6727272724</v>
      </c>
      <c r="D16" s="90">
        <f>C16/C13-1</f>
        <v>0.2487160157913868</v>
      </c>
      <c r="E16" s="286"/>
      <c r="F16" s="78">
        <f>Q16/22</f>
        <v>4673115.3636363633</v>
      </c>
      <c r="G16" s="90">
        <f t="shared" si="2"/>
        <v>0.69911019468880098</v>
      </c>
      <c r="H16" s="90"/>
      <c r="I16" s="130">
        <f t="shared" si="0"/>
        <v>89398728.695652187</v>
      </c>
      <c r="J16" s="130"/>
      <c r="K16" s="78">
        <f>R14+R15+R16</f>
        <v>305816533600</v>
      </c>
      <c r="L16" s="87">
        <f>U16/U13-1</f>
        <v>0.27080261414902296</v>
      </c>
      <c r="M16" s="87"/>
      <c r="N16" s="88">
        <f>AVERAGE(T14:T16)</f>
        <v>29799582.022220906</v>
      </c>
      <c r="O16" s="89">
        <f>N16/N13-1</f>
        <v>3267137.1491667489</v>
      </c>
      <c r="P16" s="129" t="s">
        <v>99</v>
      </c>
      <c r="Q16" s="116">
        <v>102808538</v>
      </c>
      <c r="R16" s="116">
        <v>134452845006</v>
      </c>
      <c r="S16" s="116">
        <v>1.1499999999999999</v>
      </c>
      <c r="T16" s="130">
        <f t="shared" si="1"/>
        <v>89398728.695652187</v>
      </c>
      <c r="U16" s="85">
        <f>Q14+Q15+Q16</f>
        <v>224704373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3361686.3</v>
      </c>
      <c r="G17" s="90">
        <f t="shared" si="2"/>
        <v>-0.28063271748889185</v>
      </c>
      <c r="H17" s="90">
        <f t="shared" ref="H17:H24" si="3">F17/F5-1</f>
        <v>0.20762784061058071</v>
      </c>
      <c r="I17" s="130">
        <f t="shared" si="0"/>
        <v>8.8015821432673231</v>
      </c>
      <c r="J17" s="130">
        <f t="shared" ref="J17:J49" si="4">I17/I5-1</f>
        <v>-9.2087150642785054E-2</v>
      </c>
      <c r="K17" s="79"/>
      <c r="L17" s="87"/>
      <c r="M17" s="87"/>
      <c r="N17" s="79"/>
      <c r="O17" s="89"/>
      <c r="P17" s="129" t="s">
        <v>100</v>
      </c>
      <c r="Q17" s="116">
        <v>67233726</v>
      </c>
      <c r="R17" s="116">
        <v>84484895136</v>
      </c>
      <c r="S17" s="116">
        <v>7638822.7599999998</v>
      </c>
      <c r="T17" s="130">
        <f t="shared" si="1"/>
        <v>8.8015821432673231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3650294.3</v>
      </c>
      <c r="G18" s="90">
        <f t="shared" si="2"/>
        <v>8.5852151046931446E-2</v>
      </c>
      <c r="H18" s="90">
        <f t="shared" si="3"/>
        <v>0.86733788593582761</v>
      </c>
      <c r="I18" s="130">
        <f t="shared" si="0"/>
        <v>9.1379915328639605</v>
      </c>
      <c r="J18" s="130">
        <f t="shared" si="4"/>
        <v>4.9533369522697601E-2</v>
      </c>
      <c r="K18" s="79"/>
      <c r="L18" s="87"/>
      <c r="M18" s="87"/>
      <c r="N18" s="79"/>
      <c r="O18" s="89"/>
      <c r="P18" s="129" t="s">
        <v>106</v>
      </c>
      <c r="Q18" s="116">
        <v>73005886</v>
      </c>
      <c r="R18" s="116">
        <v>91426534380</v>
      </c>
      <c r="S18" s="116">
        <v>7989270.4800000004</v>
      </c>
      <c r="T18" s="130">
        <f t="shared" si="1"/>
        <v>9.1379915328639605</v>
      </c>
      <c r="U18" s="78"/>
    </row>
    <row r="19" spans="1:21" hidden="1">
      <c r="A19" s="129" t="s">
        <v>114</v>
      </c>
      <c r="B19" s="131">
        <f>SUM(F17:F19)</f>
        <v>10633318.6</v>
      </c>
      <c r="C19" s="131">
        <f>AVERAGE(F17:F19)</f>
        <v>3544439.5333333332</v>
      </c>
      <c r="D19" s="90">
        <f>C19/C16-1</f>
        <v>1.3384758224946225E-2</v>
      </c>
      <c r="E19" s="286">
        <f>C19/C7-1</f>
        <v>0.49866284750600776</v>
      </c>
      <c r="F19" s="78">
        <f>Q19/22</f>
        <v>3621338</v>
      </c>
      <c r="G19" s="90">
        <f t="shared" si="2"/>
        <v>-7.9325932706302282E-3</v>
      </c>
      <c r="H19" s="90">
        <f t="shared" si="3"/>
        <v>0.53662591245645008</v>
      </c>
      <c r="I19" s="130">
        <f t="shared" si="0"/>
        <v>8.593311297943961</v>
      </c>
      <c r="J19" s="130">
        <f t="shared" si="4"/>
        <v>8.9520339353530876E-2</v>
      </c>
      <c r="K19" s="78">
        <f>R17+R18+R19</f>
        <v>280076390288</v>
      </c>
      <c r="L19" s="87">
        <f>U19/U16-1</f>
        <v>-2.1340594915791877E-2</v>
      </c>
      <c r="M19" s="87">
        <f>U19/U7-1</f>
        <v>0.54097406533835413</v>
      </c>
      <c r="N19" s="88">
        <f>AVERAGE(T17:T19)</f>
        <v>8.8442949913584155</v>
      </c>
      <c r="O19" s="89">
        <f>N19/N16-1</f>
        <v>-0.9999997032074146</v>
      </c>
      <c r="P19" s="129" t="s">
        <v>114</v>
      </c>
      <c r="Q19" s="116">
        <v>79669436</v>
      </c>
      <c r="R19" s="116">
        <v>104164960772</v>
      </c>
      <c r="S19" s="116">
        <v>9271098.5600000005</v>
      </c>
      <c r="T19" s="130">
        <f t="shared" si="1"/>
        <v>8.593311297943961</v>
      </c>
      <c r="U19" s="85">
        <f>Q17+Q18+Q19</f>
        <v>219909048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2856355.5</v>
      </c>
      <c r="G20" s="90">
        <f t="shared" si="2"/>
        <v>-0.21124305436277968</v>
      </c>
      <c r="H20" s="90">
        <f t="shared" si="3"/>
        <v>0.1174145686905077</v>
      </c>
      <c r="I20" s="130">
        <f t="shared" si="0"/>
        <v>9.0917979888657552</v>
      </c>
      <c r="J20" s="130">
        <f t="shared" si="4"/>
        <v>0.11531581292439563</v>
      </c>
      <c r="K20" s="79"/>
      <c r="L20" s="87"/>
      <c r="M20" s="87"/>
      <c r="N20" s="79"/>
      <c r="O20" s="89"/>
      <c r="P20" s="129" t="s">
        <v>131</v>
      </c>
      <c r="Q20" s="116">
        <v>57127110</v>
      </c>
      <c r="R20" s="116">
        <v>74952267712</v>
      </c>
      <c r="S20" s="116">
        <v>6283367.7199999997</v>
      </c>
      <c r="T20" s="130">
        <f t="shared" si="1"/>
        <v>9.0917979888657552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3649853.6190476189</v>
      </c>
      <c r="G21" s="90">
        <f t="shared" si="2"/>
        <v>0.27780089664876062</v>
      </c>
      <c r="H21" s="90">
        <f t="shared" si="3"/>
        <v>0.35289142673532581</v>
      </c>
      <c r="I21" s="130">
        <f t="shared" si="0"/>
        <v>8.7501010954049878</v>
      </c>
      <c r="J21" s="130">
        <f t="shared" si="4"/>
        <v>8.2205170384015425E-3</v>
      </c>
      <c r="K21" s="79"/>
      <c r="L21" s="87"/>
      <c r="M21" s="87"/>
      <c r="N21" s="79"/>
      <c r="O21" s="89"/>
      <c r="P21" s="129" t="s">
        <v>141</v>
      </c>
      <c r="Q21" s="116">
        <v>76646926</v>
      </c>
      <c r="R21" s="116">
        <v>102018059286</v>
      </c>
      <c r="S21" s="116">
        <v>8759547.4800000004</v>
      </c>
      <c r="T21" s="130">
        <f t="shared" si="1"/>
        <v>8.7501010954049878</v>
      </c>
      <c r="U21" s="78"/>
    </row>
    <row r="22" spans="1:21" hidden="1">
      <c r="A22" s="129" t="s">
        <v>156</v>
      </c>
      <c r="B22" s="131">
        <f>SUM(F20:F22)</f>
        <v>9744699.2619047612</v>
      </c>
      <c r="C22" s="131">
        <f>AVERAGE(F20:F22)</f>
        <v>3248233.0873015872</v>
      </c>
      <c r="D22" s="90">
        <f>C22/C19-1</f>
        <v>-8.3569332540759045E-2</v>
      </c>
      <c r="E22" s="286">
        <f>C22/C10-1</f>
        <v>0.27890045663926832</v>
      </c>
      <c r="F22" s="78">
        <f>Q22/21</f>
        <v>3238490.1428571427</v>
      </c>
      <c r="G22" s="90">
        <f t="shared" si="2"/>
        <v>-0.11270684228092853</v>
      </c>
      <c r="H22" s="90">
        <f t="shared" si="3"/>
        <v>0.36901839843050688</v>
      </c>
      <c r="I22" s="130">
        <f t="shared" si="0"/>
        <v>9.052026388028656</v>
      </c>
      <c r="J22" s="130">
        <f t="shared" si="4"/>
        <v>5.8545993907855198E-2</v>
      </c>
      <c r="K22" s="78">
        <f>R20+R21+R22</f>
        <v>265688976660</v>
      </c>
      <c r="L22" s="87">
        <f>U22/U19-1</f>
        <v>-8.2428254611879415E-2</v>
      </c>
      <c r="M22" s="87">
        <f>U22/U10-1</f>
        <v>0.26104950943346705</v>
      </c>
      <c r="N22" s="88">
        <f>AVERAGE(T20:T22)</f>
        <v>8.9646418240998003</v>
      </c>
      <c r="O22" s="89">
        <f>N22/N19-1</f>
        <v>1.3607283888537491E-2</v>
      </c>
      <c r="P22" s="129" t="s">
        <v>156</v>
      </c>
      <c r="Q22" s="116">
        <v>68008293</v>
      </c>
      <c r="R22" s="116">
        <v>88718649662</v>
      </c>
      <c r="S22" s="116">
        <v>7513046.2599999998</v>
      </c>
      <c r="T22" s="130">
        <f t="shared" si="1"/>
        <v>9.052026388028656</v>
      </c>
      <c r="U22" s="85">
        <f>Q20+Q21+Q22</f>
        <v>201782329</v>
      </c>
    </row>
    <row r="23" spans="1:21" hidden="1">
      <c r="A23" s="129" t="s">
        <v>189</v>
      </c>
      <c r="B23" s="131"/>
      <c r="C23" s="131"/>
      <c r="D23" s="117"/>
      <c r="F23" s="78">
        <f>Q23/21</f>
        <v>7338412.4285714282</v>
      </c>
      <c r="G23" s="90">
        <f t="shared" si="2"/>
        <v>1.2659980746759811</v>
      </c>
      <c r="H23" s="90">
        <f t="shared" si="3"/>
        <v>1.5633612047310184</v>
      </c>
      <c r="I23" s="130">
        <f t="shared" si="0"/>
        <v>89078994.797687858</v>
      </c>
      <c r="J23" s="130">
        <f t="shared" si="4"/>
        <v>9966077.366492046</v>
      </c>
      <c r="K23" s="79"/>
      <c r="L23" s="87"/>
      <c r="M23" s="87"/>
      <c r="N23" s="79"/>
      <c r="O23" s="89"/>
      <c r="P23" s="129" t="s">
        <v>189</v>
      </c>
      <c r="Q23" s="116">
        <v>154106661</v>
      </c>
      <c r="R23" s="116">
        <v>200571022844</v>
      </c>
      <c r="S23" s="116">
        <v>1.73</v>
      </c>
      <c r="T23" s="130">
        <f t="shared" si="1"/>
        <v>89078994.797687858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2671862.1818181816</v>
      </c>
      <c r="G24" s="90">
        <f t="shared" si="2"/>
        <v>-0.635907329027252</v>
      </c>
      <c r="H24" s="90">
        <f t="shared" si="3"/>
        <v>-9.4193341755748006E-2</v>
      </c>
      <c r="I24" s="130">
        <f t="shared" si="0"/>
        <v>8.9550452264917357</v>
      </c>
      <c r="J24" s="130">
        <f t="shared" si="4"/>
        <v>2.8723343255992129E-2</v>
      </c>
      <c r="K24" s="79"/>
      <c r="L24" s="87"/>
      <c r="M24" s="87"/>
      <c r="N24" s="79"/>
      <c r="O24" s="89"/>
      <c r="P24" s="129" t="s">
        <v>204</v>
      </c>
      <c r="Q24" s="116">
        <v>58780968</v>
      </c>
      <c r="R24" s="116">
        <v>77369340494</v>
      </c>
      <c r="S24" s="116">
        <v>6564005.71</v>
      </c>
      <c r="T24" s="130">
        <f t="shared" si="1"/>
        <v>8.9550452264917357</v>
      </c>
      <c r="U24" s="78"/>
    </row>
    <row r="25" spans="1:21" s="92" customFormat="1" ht="13.2" hidden="1">
      <c r="A25" s="129" t="s">
        <v>219</v>
      </c>
      <c r="B25" s="131">
        <f>SUM(F23:F25)</f>
        <v>15715474.715652768</v>
      </c>
      <c r="C25" s="131">
        <f>AVERAGE(F23:F25)</f>
        <v>5238491.5718842559</v>
      </c>
      <c r="D25" s="90">
        <f>C25/C22-1</f>
        <v>0.6127203409026416</v>
      </c>
      <c r="E25" s="286">
        <f>C25/C13-1</f>
        <v>0.87023735720031392</v>
      </c>
      <c r="F25" s="78">
        <f>Q25/19</f>
        <v>5705200.1052631577</v>
      </c>
      <c r="G25" s="90">
        <f t="shared" ref="G25" si="5">F25/F24-1</f>
        <v>1.1352898155026891</v>
      </c>
      <c r="H25" s="90">
        <f t="shared" ref="H25" si="6">F25/F13-1</f>
        <v>1.202425109368733</v>
      </c>
      <c r="I25" s="130">
        <f t="shared" si="0"/>
        <v>93447243.103448287</v>
      </c>
      <c r="J25" s="130">
        <f t="shared" si="4"/>
        <v>9614124.4946331624</v>
      </c>
      <c r="K25" s="78">
        <f>R23+R24+R25</f>
        <v>421788577847</v>
      </c>
      <c r="L25" s="90">
        <f>U25/U22-1</f>
        <v>0.59224265371622309</v>
      </c>
      <c r="M25" s="90">
        <f>U25/U13-1</f>
        <v>0.81701686956225683</v>
      </c>
      <c r="N25" s="88">
        <f>AVERAGE(T23:T25)</f>
        <v>60842082.285393797</v>
      </c>
      <c r="O25" s="91">
        <f>N25/N22-1</f>
        <v>6786893.9456330743</v>
      </c>
      <c r="P25" s="129" t="s">
        <v>219</v>
      </c>
      <c r="Q25" s="116">
        <v>108398802</v>
      </c>
      <c r="R25" s="116">
        <v>143848214509</v>
      </c>
      <c r="S25" s="116">
        <v>1.1599999999999999</v>
      </c>
      <c r="T25" s="130">
        <f t="shared" ref="T25" si="7">Q25/S25</f>
        <v>93447243.103448287</v>
      </c>
      <c r="U25" s="85">
        <f>Q23+Q24+Q25</f>
        <v>321286431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3419349.8421052634</v>
      </c>
      <c r="G26" s="90">
        <f t="shared" ref="G26" si="8">F26/F25-1</f>
        <v>-0.40066083940669373</v>
      </c>
      <c r="H26" s="90">
        <f t="shared" ref="H26" si="9">F26/F14-1</f>
        <v>0.11400240575963494</v>
      </c>
      <c r="I26" s="130">
        <f t="shared" si="0"/>
        <v>10.304410936760995</v>
      </c>
      <c r="J26" s="130">
        <f t="shared" si="4"/>
        <v>0.19808193623489379</v>
      </c>
      <c r="K26" s="79"/>
      <c r="L26" s="90"/>
      <c r="M26" s="90"/>
      <c r="N26" s="79"/>
      <c r="O26" s="79"/>
      <c r="P26" s="129" t="s">
        <v>312</v>
      </c>
      <c r="Q26" s="116">
        <v>64967647</v>
      </c>
      <c r="R26" s="116">
        <v>87616639807</v>
      </c>
      <c r="S26" s="116">
        <v>6304838.5199999996</v>
      </c>
      <c r="T26" s="130">
        <f t="shared" ref="T26" si="10">Q26/S26</f>
        <v>10.304410936760995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3529687.1363636362</v>
      </c>
      <c r="G27" s="90">
        <f t="shared" ref="G27" si="11">F27/F26-1</f>
        <v>3.2268501134250505E-2</v>
      </c>
      <c r="H27" s="90">
        <f t="shared" ref="H27" si="12">F27/F15-1</f>
        <v>0.28336814539724564</v>
      </c>
      <c r="I27" s="130">
        <f t="shared" si="0"/>
        <v>8.8598375390993969</v>
      </c>
      <c r="J27" s="130">
        <f t="shared" si="4"/>
        <v>1.0214465376503945E-2</v>
      </c>
      <c r="K27" s="79"/>
      <c r="L27" s="90"/>
      <c r="M27" s="90"/>
      <c r="N27" s="79"/>
      <c r="O27" s="79"/>
      <c r="P27" s="129" t="s">
        <v>377</v>
      </c>
      <c r="Q27" s="116">
        <v>77653117</v>
      </c>
      <c r="R27" s="116">
        <v>102618493414</v>
      </c>
      <c r="S27" s="116">
        <v>8764620.8699999992</v>
      </c>
      <c r="T27" s="130">
        <f t="shared" ref="T27" si="13">Q27/S27</f>
        <v>8.8598375390993969</v>
      </c>
      <c r="U27" s="78"/>
    </row>
    <row r="28" spans="1:21" s="92" customFormat="1" ht="13.2" hidden="1">
      <c r="A28" s="123" t="s">
        <v>413</v>
      </c>
      <c r="B28" s="131">
        <f>SUM(F26:F28)</f>
        <v>9814851.452153109</v>
      </c>
      <c r="C28" s="131">
        <f>AVERAGE(F26:F28)</f>
        <v>3271617.1507177032</v>
      </c>
      <c r="D28" s="90">
        <f>C28/C25-1</f>
        <v>-0.37546579853694007</v>
      </c>
      <c r="E28" s="286">
        <f>C28/C16-1</f>
        <v>-6.461743130183828E-2</v>
      </c>
      <c r="F28" s="78">
        <f>Q28/19</f>
        <v>2865814.4736842103</v>
      </c>
      <c r="G28" s="90">
        <f t="shared" ref="G28" si="14">F28/F27-1</f>
        <v>-0.18808257985249155</v>
      </c>
      <c r="H28" s="90">
        <f t="shared" ref="H28" si="15">F28/F16-1</f>
        <v>-0.38674433420060272</v>
      </c>
      <c r="I28" s="130">
        <f t="shared" si="0"/>
        <v>8.5207770701251118</v>
      </c>
      <c r="J28" s="130">
        <f t="shared" si="4"/>
        <v>-0.99999990468793909</v>
      </c>
      <c r="K28" s="78">
        <f>R26+R27+R28</f>
        <v>261247688759</v>
      </c>
      <c r="L28" s="90">
        <f>U28/U25-1</f>
        <v>-0.38661823225270286</v>
      </c>
      <c r="M28" s="90">
        <f>U28/U16-1</f>
        <v>-0.12297550613311825</v>
      </c>
      <c r="N28" s="88">
        <f>AVERAGE(T26:T28)</f>
        <v>9.2283418486618345</v>
      </c>
      <c r="O28" s="91">
        <f>N28/N25-1</f>
        <v>-0.99999984832304378</v>
      </c>
      <c r="P28" s="129" t="s">
        <v>413</v>
      </c>
      <c r="Q28" s="116">
        <v>54450475</v>
      </c>
      <c r="R28" s="116">
        <v>71012555538</v>
      </c>
      <c r="S28" s="116">
        <v>6390317.9900000002</v>
      </c>
      <c r="T28" s="130">
        <f t="shared" ref="T28" si="16">Q28/S28</f>
        <v>8.5207770701251118</v>
      </c>
      <c r="U28" s="85">
        <f>Q26+Q27+Q28</f>
        <v>197071239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3085114.6363636362</v>
      </c>
      <c r="G29" s="190">
        <f t="shared" ref="G29" si="17">F29/F28-1</f>
        <v>7.6522805189653376E-2</v>
      </c>
      <c r="H29" s="190">
        <f t="shared" ref="H29" si="18">F29/F17-1</f>
        <v>-8.2271705017914254E-2</v>
      </c>
      <c r="I29" s="130">
        <f t="shared" si="0"/>
        <v>8.0114642378320564</v>
      </c>
      <c r="J29" s="130">
        <f t="shared" si="4"/>
        <v>-8.9769985960951204E-2</v>
      </c>
      <c r="K29" s="136"/>
      <c r="L29" s="190"/>
      <c r="M29" s="190"/>
      <c r="N29" s="191"/>
      <c r="O29" s="192"/>
      <c r="P29" s="129" t="s">
        <v>430</v>
      </c>
      <c r="Q29" s="116">
        <v>67872522</v>
      </c>
      <c r="R29" s="116">
        <v>89348737607</v>
      </c>
      <c r="S29" s="116">
        <v>8471924.7300000004</v>
      </c>
      <c r="T29" s="130">
        <f t="shared" ref="T29" si="19">Q29/S29</f>
        <v>8.0114642378320564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4219822.3684210526</v>
      </c>
      <c r="G30" s="190">
        <f t="shared" ref="G30" si="20">F30/F29-1</f>
        <v>0.36780083264422037</v>
      </c>
      <c r="H30" s="190">
        <f t="shared" ref="H30" si="21">F30/F18-1</f>
        <v>0.1560225071225223</v>
      </c>
      <c r="I30" s="130">
        <f t="shared" si="0"/>
        <v>9.1189927238430037</v>
      </c>
      <c r="J30" s="130">
        <f t="shared" si="4"/>
        <v>-2.0791011846125196E-3</v>
      </c>
      <c r="K30" s="136"/>
      <c r="L30" s="190"/>
      <c r="M30" s="190"/>
      <c r="N30" s="191"/>
      <c r="O30" s="192"/>
      <c r="P30" s="129" t="s">
        <v>466</v>
      </c>
      <c r="Q30" s="116">
        <v>80176625</v>
      </c>
      <c r="R30" s="116">
        <v>106794991003</v>
      </c>
      <c r="S30" s="116">
        <v>8792267.6799999997</v>
      </c>
      <c r="T30" s="130">
        <f t="shared" ref="T30" si="22">Q30/S30</f>
        <v>9.1189927238430037</v>
      </c>
      <c r="U30" s="85"/>
    </row>
    <row r="31" spans="1:21" s="92" customFormat="1" ht="13.2" hidden="1">
      <c r="A31" s="129" t="s">
        <v>505</v>
      </c>
      <c r="B31" s="188">
        <f>SUM(F29:F31)</f>
        <v>10528829.404784689</v>
      </c>
      <c r="C31" s="188">
        <f>AVERAGE(F29:F31)</f>
        <v>3509609.8015948962</v>
      </c>
      <c r="D31" s="190">
        <f>C31/C28-1</f>
        <v>7.2744651930004789E-2</v>
      </c>
      <c r="E31" s="287">
        <f>C31/C19-1</f>
        <v>-9.8265836984617883E-3</v>
      </c>
      <c r="F31" s="136">
        <f>Q31/20</f>
        <v>3223892.4</v>
      </c>
      <c r="G31" s="190">
        <f t="shared" ref="G31" si="23">F31/F30-1</f>
        <v>-0.23601229660140977</v>
      </c>
      <c r="H31" s="190">
        <f t="shared" ref="H31" si="24">F31/F19-1</f>
        <v>-0.10975103677149167</v>
      </c>
      <c r="I31" s="130">
        <f t="shared" si="0"/>
        <v>8.7128229136459012</v>
      </c>
      <c r="J31" s="130">
        <f t="shared" si="4"/>
        <v>1.3907516155097888E-2</v>
      </c>
      <c r="K31" s="136">
        <f>R29+R30+R31</f>
        <v>281742410499</v>
      </c>
      <c r="L31" s="190">
        <f>U31/U28-1</f>
        <v>7.8427253405556563E-2</v>
      </c>
      <c r="M31" s="190">
        <f>U31/U19-1</f>
        <v>-3.3568664259780667E-2</v>
      </c>
      <c r="N31" s="191">
        <f>AVERAGE(T29:T31)</f>
        <v>8.6144266251069865</v>
      </c>
      <c r="O31" s="192">
        <f>N31/N28-1</f>
        <v>-6.6524976384990442E-2</v>
      </c>
      <c r="P31" s="129" t="s">
        <v>505</v>
      </c>
      <c r="Q31" s="116">
        <v>64477848</v>
      </c>
      <c r="R31" s="116">
        <v>85598681889</v>
      </c>
      <c r="S31" s="116">
        <v>7400339.5499999998</v>
      </c>
      <c r="T31" s="130">
        <f t="shared" ref="T31" si="25">Q31/S31</f>
        <v>8.7128229136459012</v>
      </c>
      <c r="U31" s="85">
        <f>Q29+Q30+Q31</f>
        <v>212526995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3940266.0952380951</v>
      </c>
      <c r="G32" s="190">
        <f t="shared" ref="G32" si="26">F32/F31-1</f>
        <v>0.22220769379216732</v>
      </c>
      <c r="H32" s="190">
        <f t="shared" ref="H32" si="27">F32/F20-1</f>
        <v>0.37947328168293315</v>
      </c>
      <c r="I32" s="130">
        <f t="shared" si="0"/>
        <v>9.3196454325009253</v>
      </c>
      <c r="J32" s="130">
        <f t="shared" si="4"/>
        <v>2.5060768388629251E-2</v>
      </c>
      <c r="K32" s="136"/>
      <c r="L32" s="190"/>
      <c r="M32" s="190"/>
      <c r="N32" s="191"/>
      <c r="O32" s="192"/>
      <c r="P32" s="129" t="s">
        <v>566</v>
      </c>
      <c r="Q32" s="116">
        <v>82745588</v>
      </c>
      <c r="R32" s="116">
        <v>112326990612</v>
      </c>
      <c r="S32" s="116">
        <v>8878619.75</v>
      </c>
      <c r="T32" s="130">
        <f t="shared" ref="T32" si="28">Q32/S32</f>
        <v>9.3196454325009253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3641519.7619047621</v>
      </c>
      <c r="G33" s="190">
        <f t="shared" ref="G33" si="29">F33/F32-1</f>
        <v>-7.5818821905042189E-2</v>
      </c>
      <c r="H33" s="190">
        <f t="shared" ref="H33" si="30">F33/F21-1</f>
        <v>-2.2833401042070545E-3</v>
      </c>
      <c r="I33" s="130">
        <f t="shared" si="0"/>
        <v>8.444871366339985</v>
      </c>
      <c r="J33" s="130">
        <f t="shared" si="4"/>
        <v>-3.488299457766153E-2</v>
      </c>
      <c r="K33" s="136"/>
      <c r="L33" s="190"/>
      <c r="M33" s="190"/>
      <c r="N33" s="191"/>
      <c r="O33" s="192"/>
      <c r="P33" s="129" t="s">
        <v>607</v>
      </c>
      <c r="Q33" s="116">
        <v>76471915</v>
      </c>
      <c r="R33" s="116">
        <v>104568052292</v>
      </c>
      <c r="S33" s="116">
        <v>9055426.8599999994</v>
      </c>
      <c r="T33" s="130">
        <f t="shared" ref="T33" si="31">Q33/S33</f>
        <v>8.444871366339985</v>
      </c>
      <c r="U33" s="85"/>
    </row>
    <row r="34" spans="1:21" s="92" customFormat="1" ht="13.2" hidden="1">
      <c r="A34" s="129" t="s">
        <v>652</v>
      </c>
      <c r="B34" s="188">
        <f>SUM(F32:F34)</f>
        <v>11542115.7518797</v>
      </c>
      <c r="C34" s="188">
        <f>AVERAGE(F32:F34)</f>
        <v>3847371.9172932333</v>
      </c>
      <c r="D34" s="190">
        <f>C34/C31-1</f>
        <v>9.6239221677818954E-2</v>
      </c>
      <c r="E34" s="287">
        <f>C34/C22-1</f>
        <v>0.18445068869407089</v>
      </c>
      <c r="F34" s="136">
        <f>Q34/19</f>
        <v>3960329.8947368423</v>
      </c>
      <c r="G34" s="190">
        <f t="shared" ref="G34" si="32">F34/F33-1</f>
        <v>8.7548648277915975E-2</v>
      </c>
      <c r="H34" s="190">
        <f t="shared" ref="H34" si="33">F34/F22-1</f>
        <v>0.22289391662092872</v>
      </c>
      <c r="I34" s="130">
        <f t="shared" si="0"/>
        <v>9.0843750845552798</v>
      </c>
      <c r="J34" s="130">
        <f t="shared" si="4"/>
        <v>3.5736414301006381E-3</v>
      </c>
      <c r="K34" s="136">
        <f>R32+R33+R34</f>
        <v>320358158776</v>
      </c>
      <c r="L34" s="190">
        <f>U34/U31-1</f>
        <v>0.1032187746314297</v>
      </c>
      <c r="M34" s="190">
        <f>U34/U22-1</f>
        <v>0.16196384570424893</v>
      </c>
      <c r="N34" s="191">
        <f>AVERAGE(T32:T34)</f>
        <v>8.9496306277987294</v>
      </c>
      <c r="O34" s="192">
        <f>N34/N31-1</f>
        <v>3.8911934279500571E-2</v>
      </c>
      <c r="P34" s="129" t="s">
        <v>652</v>
      </c>
      <c r="Q34" s="116">
        <v>75246268</v>
      </c>
      <c r="R34" s="116">
        <v>103463115872</v>
      </c>
      <c r="S34" s="116">
        <v>8283042.8399999999</v>
      </c>
      <c r="T34" s="130">
        <f t="shared" ref="T34" si="34">Q34/S34</f>
        <v>9.0843750845552798</v>
      </c>
      <c r="U34" s="85">
        <f>Q32+Q33+Q34</f>
        <v>234463771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3249472.8260869565</v>
      </c>
      <c r="G35" s="190">
        <f t="shared" ref="G35" si="35">F35/F34-1</f>
        <v>-0.17949440767411651</v>
      </c>
      <c r="H35" s="190">
        <f t="shared" ref="H35" si="36">F35/F23-1</f>
        <v>-0.55719675642167021</v>
      </c>
      <c r="I35" s="130">
        <f t="shared" si="0"/>
        <v>9.3926972042918901</v>
      </c>
      <c r="J35" s="130">
        <f t="shared" si="4"/>
        <v>-0.99999989455766503</v>
      </c>
      <c r="K35" s="136"/>
      <c r="L35" s="190"/>
      <c r="M35" s="190"/>
      <c r="N35" s="191"/>
      <c r="O35" s="192"/>
      <c r="P35" s="129" t="s">
        <v>660</v>
      </c>
      <c r="Q35" s="116">
        <v>74737875</v>
      </c>
      <c r="R35" s="116">
        <v>103412823220</v>
      </c>
      <c r="S35" s="116">
        <v>7957019.5199999996</v>
      </c>
      <c r="T35" s="130">
        <f t="shared" ref="T35" si="37">Q35/S35</f>
        <v>9.3926972042918901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2851688.1904761903</v>
      </c>
      <c r="G36" s="190">
        <f t="shared" ref="G36" si="38">F36/F35-1</f>
        <v>-0.12241512913027863</v>
      </c>
      <c r="H36" s="190">
        <f t="shared" ref="H36" si="39">F36/F24-1</f>
        <v>6.7303624371687576E-2</v>
      </c>
      <c r="I36" s="130">
        <f t="shared" si="0"/>
        <v>9.4214279847330946</v>
      </c>
      <c r="J36" s="130">
        <f t="shared" si="4"/>
        <v>5.208044699335046E-2</v>
      </c>
      <c r="K36" s="136"/>
      <c r="L36" s="190"/>
      <c r="M36" s="190"/>
      <c r="N36" s="191"/>
      <c r="O36" s="192"/>
      <c r="P36" s="129" t="s">
        <v>664</v>
      </c>
      <c r="Q36" s="116">
        <v>59885452</v>
      </c>
      <c r="R36" s="116">
        <v>81603766520</v>
      </c>
      <c r="S36" s="116">
        <v>6356303.1100000003</v>
      </c>
      <c r="T36" s="130">
        <f t="shared" ref="T36" si="40">Q36/S36</f>
        <v>9.4214279847330946</v>
      </c>
      <c r="U36" s="85"/>
    </row>
    <row r="37" spans="1:21" s="92" customFormat="1" ht="13.2" hidden="1">
      <c r="A37" s="129" t="s">
        <v>702</v>
      </c>
      <c r="B37" s="188">
        <f>SUM(F35:F37)</f>
        <v>10053796.349896481</v>
      </c>
      <c r="C37" s="188">
        <f>AVERAGE(F35:F37)</f>
        <v>3351265.4499654938</v>
      </c>
      <c r="D37" s="190">
        <f>C37/C34-1</f>
        <v>-0.12894684423354852</v>
      </c>
      <c r="E37" s="287">
        <f>C37/C25-1</f>
        <v>-0.36026136455917546</v>
      </c>
      <c r="F37" s="136">
        <f>Q37/18</f>
        <v>3952635.3333333335</v>
      </c>
      <c r="G37" s="190">
        <f t="shared" ref="G37" si="41">F37/F36-1</f>
        <v>0.38606855634987958</v>
      </c>
      <c r="H37" s="190">
        <f t="shared" ref="H37" si="42">F37/F25-1</f>
        <v>-0.30718725716790363</v>
      </c>
      <c r="I37" s="130">
        <f t="shared" si="0"/>
        <v>11.293253453603743</v>
      </c>
      <c r="J37" s="130">
        <f t="shared" si="4"/>
        <v>-0.99999987914835065</v>
      </c>
      <c r="K37" s="136">
        <f>R35+R36+R37</f>
        <v>279971673258</v>
      </c>
      <c r="L37" s="190">
        <f>U37/U34-1</f>
        <v>-0.122377149687659</v>
      </c>
      <c r="M37" s="190">
        <f>U37/U25-1</f>
        <v>-0.35954107255777634</v>
      </c>
      <c r="N37" s="191">
        <f>AVERAGE(T35:T37)</f>
        <v>10.035792880876242</v>
      </c>
      <c r="O37" s="192">
        <f>N37/N34-1</f>
        <v>0.12136391972465876</v>
      </c>
      <c r="P37" s="129" t="s">
        <v>702</v>
      </c>
      <c r="Q37" s="116">
        <v>71147436</v>
      </c>
      <c r="R37" s="116">
        <v>94955083518</v>
      </c>
      <c r="S37" s="116">
        <v>6299994.6200000001</v>
      </c>
      <c r="T37" s="130">
        <f t="shared" ref="T37" si="43">Q37/S37</f>
        <v>11.293253453603743</v>
      </c>
      <c r="U37" s="85">
        <f>Q35+Q36+Q37</f>
        <v>205770763</v>
      </c>
    </row>
    <row r="38" spans="1:21" s="92" customFormat="1" ht="13.2" hidden="1">
      <c r="A38" s="129" t="s">
        <v>754</v>
      </c>
      <c r="B38" s="188"/>
      <c r="C38" s="188"/>
      <c r="D38" s="190"/>
      <c r="E38" s="287"/>
      <c r="F38" s="136">
        <f>Q38/20</f>
        <v>4754851.3</v>
      </c>
      <c r="G38" s="190">
        <f t="shared" ref="G38" si="44">F38/F37-1</f>
        <v>0.20295724219773703</v>
      </c>
      <c r="H38" s="190">
        <f t="shared" ref="H38" si="45">F38/F26-1</f>
        <v>0.39057175181363712</v>
      </c>
      <c r="I38" s="130">
        <f t="shared" si="0"/>
        <v>9.2869825830339305</v>
      </c>
      <c r="J38" s="130">
        <f t="shared" si="4"/>
        <v>-9.8737167992532959E-2</v>
      </c>
      <c r="K38" s="136"/>
      <c r="L38" s="190"/>
      <c r="M38" s="190"/>
      <c r="N38" s="191"/>
      <c r="O38" s="192"/>
      <c r="P38" s="129" t="s">
        <v>754</v>
      </c>
      <c r="Q38" s="116">
        <v>95097026</v>
      </c>
      <c r="R38" s="116">
        <v>128292465897</v>
      </c>
      <c r="S38" s="116">
        <v>10239819.57</v>
      </c>
      <c r="T38" s="130">
        <f t="shared" ref="T38" si="46">Q38/S38</f>
        <v>9.2869825830339305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3106907.2857142859</v>
      </c>
      <c r="G39" s="190">
        <f t="shared" ref="G39" si="47">F39/F38-1</f>
        <v>-0.34658160903700896</v>
      </c>
      <c r="H39" s="190">
        <f t="shared" ref="H39" si="48">F39/F27-1</f>
        <v>-0.11977827901339377</v>
      </c>
      <c r="I39" s="130">
        <f t="shared" si="0"/>
        <v>9.2992414198255275</v>
      </c>
      <c r="J39" s="130">
        <f t="shared" si="4"/>
        <v>4.9595026859916347E-2</v>
      </c>
      <c r="K39" s="136"/>
      <c r="L39" s="190"/>
      <c r="M39" s="190"/>
      <c r="N39" s="191"/>
      <c r="O39" s="192"/>
      <c r="P39" s="129" t="s">
        <v>762</v>
      </c>
      <c r="Q39" s="116">
        <v>65245053</v>
      </c>
      <c r="R39" s="116">
        <v>90642441628</v>
      </c>
      <c r="S39" s="116">
        <v>7016169.3899999997</v>
      </c>
      <c r="T39" s="130">
        <f t="shared" ref="T39" si="49">Q39/S39</f>
        <v>9.2992414198255275</v>
      </c>
      <c r="U39" s="85"/>
    </row>
    <row r="40" spans="1:21" s="92" customFormat="1" ht="13.2" hidden="1">
      <c r="A40" s="129" t="s">
        <v>778</v>
      </c>
      <c r="B40" s="188">
        <f>SUM(F38:F40)</f>
        <v>11517899.680952381</v>
      </c>
      <c r="C40" s="188">
        <f>AVERAGE(F38:F40)</f>
        <v>3839299.8936507939</v>
      </c>
      <c r="D40" s="190">
        <f>C40/C37-1</f>
        <v>0.14562691346647139</v>
      </c>
      <c r="E40" s="287">
        <f>C40/C28-1</f>
        <v>0.17351747370824144</v>
      </c>
      <c r="F40" s="136">
        <f>Q40/21</f>
        <v>3656141.0952380951</v>
      </c>
      <c r="G40" s="190">
        <f t="shared" ref="G40" si="50">F40/F39-1</f>
        <v>0.17677830685492735</v>
      </c>
      <c r="H40" s="190">
        <f t="shared" ref="H40" si="51">F40/F28-1</f>
        <v>0.27577731524883498</v>
      </c>
      <c r="I40" s="130">
        <f t="shared" si="0"/>
        <v>9.0315988905809554</v>
      </c>
      <c r="J40" s="130">
        <f t="shared" si="4"/>
        <v>5.9950144951784745E-2</v>
      </c>
      <c r="K40" s="136">
        <f>R38+R39+R40</f>
        <v>328160624607</v>
      </c>
      <c r="L40" s="190">
        <f>U40/U37-1</f>
        <v>0.15235536158263652</v>
      </c>
      <c r="M40" s="190">
        <f>U40/U28-1</f>
        <v>0.20322500230487717</v>
      </c>
      <c r="N40" s="191">
        <f>AVERAGE(T38:T40)</f>
        <v>9.2059409644801384</v>
      </c>
      <c r="O40" s="192">
        <f>N40/N37-1</f>
        <v>-8.2689223088435071E-2</v>
      </c>
      <c r="P40" s="129" t="s">
        <v>778</v>
      </c>
      <c r="Q40" s="116">
        <v>76778963</v>
      </c>
      <c r="R40" s="116">
        <v>109225717082</v>
      </c>
      <c r="S40" s="116">
        <v>8501148.4600000009</v>
      </c>
      <c r="T40" s="130">
        <f t="shared" ref="T40" si="52">Q40/S40</f>
        <v>9.0315988905809554</v>
      </c>
      <c r="U40" s="85">
        <f>Q38+Q39+Q40</f>
        <v>237121042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3439505</v>
      </c>
      <c r="G41" s="190">
        <f t="shared" ref="G41" si="53">F41/F40-1</f>
        <v>-5.9252662737838691E-2</v>
      </c>
      <c r="H41" s="190">
        <f t="shared" ref="H41" si="54">F41/F29-1</f>
        <v>0.11487105194057778</v>
      </c>
      <c r="I41" s="130">
        <f t="shared" si="0"/>
        <v>9.1516180644308474</v>
      </c>
      <c r="J41" s="130">
        <f t="shared" si="4"/>
        <v>0.14231528628870493</v>
      </c>
      <c r="K41" s="194"/>
      <c r="L41" s="202"/>
      <c r="M41" s="202"/>
      <c r="N41" s="194"/>
      <c r="O41" s="194"/>
      <c r="P41" s="129" t="s">
        <v>792</v>
      </c>
      <c r="Q41" s="116">
        <v>61911090</v>
      </c>
      <c r="R41" s="116">
        <v>90451516968</v>
      </c>
      <c r="S41" s="116">
        <v>6765043.0300000003</v>
      </c>
      <c r="T41" s="130">
        <f t="shared" ref="T41" si="55">Q41/S41</f>
        <v>9.1516180644308474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3873322</v>
      </c>
      <c r="G42" s="190">
        <f t="shared" ref="G42" si="56">F42/F41-1</f>
        <v>0.12612774221872036</v>
      </c>
      <c r="H42" s="190">
        <f t="shared" ref="H42" si="57">F42/F30-1</f>
        <v>-8.2112548389259299E-2</v>
      </c>
      <c r="I42" s="130">
        <f t="shared" si="0"/>
        <v>9.4175284675627982</v>
      </c>
      <c r="J42" s="130">
        <f t="shared" si="4"/>
        <v>3.2737798215281666E-2</v>
      </c>
      <c r="K42" s="194"/>
      <c r="L42" s="202"/>
      <c r="M42" s="202"/>
      <c r="N42" s="194"/>
      <c r="O42" s="194"/>
      <c r="P42" s="129" t="s">
        <v>826</v>
      </c>
      <c r="Q42" s="116">
        <v>77466440</v>
      </c>
      <c r="R42" s="116">
        <v>112106921515</v>
      </c>
      <c r="S42" s="116">
        <v>8225771.79</v>
      </c>
      <c r="T42" s="130">
        <f t="shared" ref="T42" si="58">Q42/S42</f>
        <v>9.4175284675627982</v>
      </c>
      <c r="U42" s="175"/>
    </row>
    <row r="43" spans="1:21" s="92" customFormat="1" ht="13.2">
      <c r="A43" s="129" t="s">
        <v>835</v>
      </c>
      <c r="B43" s="188">
        <f>SUM(F41:F43)</f>
        <v>11723097.4</v>
      </c>
      <c r="C43" s="188">
        <f>AVERAGE(F41:F43)</f>
        <v>3907699.1333333333</v>
      </c>
      <c r="D43" s="190">
        <f>C43/C40-1</f>
        <v>1.7815550120388934E-2</v>
      </c>
      <c r="E43" s="287">
        <f>C43/C31-1</f>
        <v>0.11342837359228097</v>
      </c>
      <c r="F43" s="136">
        <f>Q43/20</f>
        <v>4410270.4000000004</v>
      </c>
      <c r="G43" s="190">
        <f t="shared" ref="G43" si="59">F43/F42-1</f>
        <v>0.13862735915062063</v>
      </c>
      <c r="H43" s="190">
        <f t="shared" ref="H43" si="60">F43/F31-1</f>
        <v>0.36799553235709737</v>
      </c>
      <c r="I43" s="130">
        <f t="shared" si="0"/>
        <v>9.0083362526247015</v>
      </c>
      <c r="J43" s="130">
        <f t="shared" si="4"/>
        <v>3.3917060166111179E-2</v>
      </c>
      <c r="K43" s="136">
        <f>R41+R42+R43</f>
        <v>330428408221</v>
      </c>
      <c r="L43" s="190">
        <f>U43/U40-1</f>
        <v>-4.0224620807798206E-2</v>
      </c>
      <c r="M43" s="190">
        <f>K43/K31-1</f>
        <v>0.17280322701779682</v>
      </c>
      <c r="N43" s="191">
        <f>AVERAGE(T41:T43)</f>
        <v>9.1924942615394496</v>
      </c>
      <c r="O43" s="192">
        <f>N43/N40-1</f>
        <v>-1.4606549175767425E-3</v>
      </c>
      <c r="P43" s="129" t="s">
        <v>835</v>
      </c>
      <c r="Q43" s="116">
        <v>88205408</v>
      </c>
      <c r="R43" s="116">
        <v>127869969738</v>
      </c>
      <c r="S43" s="116">
        <v>9791531.4800000004</v>
      </c>
      <c r="T43" s="130">
        <f t="shared" ref="T43" si="61">Q43/S43</f>
        <v>9.0083362526247015</v>
      </c>
      <c r="U43" s="85">
        <f>Q41+Q42+Q43</f>
        <v>227582938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4651307.6818181816</v>
      </c>
      <c r="G44" s="190">
        <f t="shared" ref="G44" si="62">F44/F43-1</f>
        <v>5.4653628906332186E-2</v>
      </c>
      <c r="H44" s="190">
        <f t="shared" ref="H44" si="63">F44/F32-1</f>
        <v>0.18045522038204398</v>
      </c>
      <c r="I44" s="130">
        <f t="shared" si="0"/>
        <v>9.6121581660022812</v>
      </c>
      <c r="J44" s="130">
        <f t="shared" si="4"/>
        <v>3.1386680493365127E-2</v>
      </c>
      <c r="K44" s="136"/>
      <c r="L44" s="190"/>
      <c r="M44" s="190"/>
      <c r="N44" s="191"/>
      <c r="O44" s="192"/>
      <c r="P44" s="129" t="s">
        <v>843</v>
      </c>
      <c r="Q44" s="116">
        <v>102328769</v>
      </c>
      <c r="R44" s="116">
        <v>148329965051</v>
      </c>
      <c r="S44" s="116">
        <v>10645764.17</v>
      </c>
      <c r="T44" s="130">
        <f t="shared" ref="T44" si="64">Q44/S44</f>
        <v>9.6121581660022812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4523236.5</v>
      </c>
      <c r="G45" s="190">
        <f t="shared" ref="G45" si="65">F45/F44-1</f>
        <v>-2.7534446349100516E-2</v>
      </c>
      <c r="H45" s="190">
        <f t="shared" ref="H45" si="66">F45/F33-1</f>
        <v>0.24212878021950934</v>
      </c>
      <c r="I45" s="130">
        <f t="shared" si="0"/>
        <v>8.0959133253988824</v>
      </c>
      <c r="J45" s="130">
        <f t="shared" si="4"/>
        <v>-4.1321889440731785E-2</v>
      </c>
      <c r="K45" s="136"/>
      <c r="L45" s="190"/>
      <c r="M45" s="190"/>
      <c r="N45" s="191"/>
      <c r="O45" s="192"/>
      <c r="P45" s="129" t="s">
        <v>849</v>
      </c>
      <c r="Q45" s="116">
        <v>90464730</v>
      </c>
      <c r="R45" s="116">
        <v>127118333564</v>
      </c>
      <c r="S45" s="116">
        <v>11174122.84</v>
      </c>
      <c r="T45" s="130">
        <f t="shared" ref="T45" si="67">Q45/S45</f>
        <v>8.0959133253988824</v>
      </c>
      <c r="U45" s="85"/>
    </row>
    <row r="46" spans="1:21" s="92" customFormat="1" ht="13.2">
      <c r="A46" s="129" t="s">
        <v>893</v>
      </c>
      <c r="B46" s="188">
        <f>SUM(F44:F46)</f>
        <v>15344056.602870815</v>
      </c>
      <c r="C46" s="188">
        <f>AVERAGE(F44:F46)</f>
        <v>5114685.5342902718</v>
      </c>
      <c r="D46" s="190">
        <f>C46/C43-1</f>
        <v>0.3088739331698136</v>
      </c>
      <c r="E46" s="287">
        <f>C46/C34-1</f>
        <v>0.32939722081473222</v>
      </c>
      <c r="F46" s="136">
        <f>Q46/19</f>
        <v>6169512.4210526319</v>
      </c>
      <c r="G46" s="190">
        <f t="shared" ref="G46" si="68">F46/F45-1</f>
        <v>0.36395972685766753</v>
      </c>
      <c r="H46" s="190">
        <f t="shared" ref="H46" si="69">F46/F34-1</f>
        <v>0.55782790450152286</v>
      </c>
      <c r="I46" s="130">
        <f t="shared" si="0"/>
        <v>8.5780047844212817</v>
      </c>
      <c r="J46" s="130">
        <f t="shared" si="4"/>
        <v>-5.574079619355421E-2</v>
      </c>
      <c r="K46" s="136">
        <f>R44+R45+R46</f>
        <v>435993965147</v>
      </c>
      <c r="L46" s="190">
        <f>U46/U43-1</f>
        <v>0.36220332562891855</v>
      </c>
      <c r="M46" s="190">
        <f>K46/K34-1</f>
        <v>0.36095789416699264</v>
      </c>
      <c r="N46" s="191">
        <f>AVERAGE(T44:T46)</f>
        <v>8.7620254252741478</v>
      </c>
      <c r="O46" s="192">
        <f>N46/N43-1</f>
        <v>-4.6828295348123716E-2</v>
      </c>
      <c r="P46" s="129" t="s">
        <v>888</v>
      </c>
      <c r="Q46" s="116">
        <v>117220736</v>
      </c>
      <c r="R46" s="116">
        <v>160545666532</v>
      </c>
      <c r="S46" s="116">
        <v>13665268.199999999</v>
      </c>
      <c r="T46" s="130">
        <f t="shared" ref="T46" si="70">Q46/S46</f>
        <v>8.5780047844212817</v>
      </c>
      <c r="U46" s="85">
        <f t="shared" ref="U46:U51" si="71">Q44+Q45+Q46</f>
        <v>310014235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5426203.9130434785</v>
      </c>
      <c r="G47" s="190">
        <f t="shared" ref="G47" si="72">F47/F46-1</f>
        <v>-0.12048091604009303</v>
      </c>
      <c r="H47" s="190">
        <f t="shared" ref="H47" si="73">F47/F35-1</f>
        <v>0.6698720695497431</v>
      </c>
      <c r="I47" s="130">
        <f t="shared" si="0"/>
        <v>8.8317241289267354</v>
      </c>
      <c r="J47" s="130">
        <f t="shared" si="4"/>
        <v>-5.9724386208130364E-2</v>
      </c>
      <c r="K47" s="136"/>
      <c r="L47" s="190"/>
      <c r="M47" s="190"/>
      <c r="N47" s="191"/>
      <c r="O47" s="192"/>
      <c r="P47" s="129" t="s">
        <v>1029</v>
      </c>
      <c r="Q47" s="116">
        <v>124802690</v>
      </c>
      <c r="R47" s="116">
        <v>171015748382</v>
      </c>
      <c r="S47" s="116">
        <v>14131180.75</v>
      </c>
      <c r="T47" s="130">
        <f t="shared" ref="T47" si="74">Q47/S47</f>
        <v>8.8317241289267354</v>
      </c>
      <c r="U47" s="85">
        <f t="shared" si="71"/>
        <v>332488156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3479522.15</v>
      </c>
      <c r="G48" s="190">
        <f t="shared" ref="G48" si="75">F48/F47-1</f>
        <v>-0.35875573314966214</v>
      </c>
      <c r="H48" s="190">
        <f t="shared" ref="H48" si="76">F48/F36-1</f>
        <v>0.2201622048373284</v>
      </c>
      <c r="I48" s="130">
        <f t="shared" si="0"/>
        <v>9.6532344043506289</v>
      </c>
      <c r="J48" s="130">
        <f t="shared" si="4"/>
        <v>2.4604170407412029E-2</v>
      </c>
      <c r="K48" s="136"/>
      <c r="L48" s="190"/>
      <c r="M48" s="190"/>
      <c r="N48" s="191"/>
      <c r="O48" s="192"/>
      <c r="P48" s="129" t="s">
        <v>1120</v>
      </c>
      <c r="Q48" s="116">
        <v>69590443</v>
      </c>
      <c r="R48" s="116">
        <v>96538706899</v>
      </c>
      <c r="S48" s="116">
        <v>7209028.6100000003</v>
      </c>
      <c r="T48" s="130">
        <f t="shared" ref="T48" si="77">Q48/S48</f>
        <v>9.6532344043506289</v>
      </c>
      <c r="U48" s="85">
        <f t="shared" si="71"/>
        <v>311613869</v>
      </c>
    </row>
    <row r="49" spans="1:26" ht="13.2">
      <c r="A49" s="129" t="s">
        <v>1158</v>
      </c>
      <c r="B49" s="188">
        <f>SUM(F47:F49)</f>
        <v>14364247.608498026</v>
      </c>
      <c r="C49" s="188">
        <f>AVERAGE(F47:F49)</f>
        <v>4788082.5361660086</v>
      </c>
      <c r="D49" s="190">
        <f>C49/C46-1</f>
        <v>-6.3855929349835083E-2</v>
      </c>
      <c r="E49" s="287">
        <f>C49/C37-1</f>
        <v>0.42873866831865226</v>
      </c>
      <c r="F49" s="136">
        <f>Q49/22</f>
        <v>5458521.5454545459</v>
      </c>
      <c r="G49" s="190">
        <f t="shared" ref="G49" si="78">F49/F48-1</f>
        <v>0.56875608492808305</v>
      </c>
      <c r="H49" s="190">
        <f t="shared" ref="H49" si="79">F49/F37-1</f>
        <v>0.38098283426800972</v>
      </c>
      <c r="I49" s="130">
        <f t="shared" si="0"/>
        <v>7.7645962124697849</v>
      </c>
      <c r="J49" s="130">
        <f t="shared" si="4"/>
        <v>-0.31245710154569695</v>
      </c>
      <c r="K49" s="136">
        <f>R47+R48+R49</f>
        <v>434522198029</v>
      </c>
      <c r="L49" s="190">
        <f>U49/U46-1</f>
        <v>1.4406990053214885E-2</v>
      </c>
      <c r="M49" s="190">
        <f>K49/K37-1</f>
        <v>0.55202200627124998</v>
      </c>
      <c r="N49" s="191">
        <f>AVERAGE(T47:T49)</f>
        <v>8.7498515819157152</v>
      </c>
      <c r="O49" s="192">
        <f>N49/N46-1</f>
        <v>-1.3893869017221894E-3</v>
      </c>
      <c r="P49" s="129" t="s">
        <v>1158</v>
      </c>
      <c r="Q49" s="116">
        <v>120087474</v>
      </c>
      <c r="R49" s="116">
        <v>166967742748</v>
      </c>
      <c r="S49" s="116">
        <v>15466029.49</v>
      </c>
      <c r="T49" s="130">
        <f t="shared" ref="T49" si="80">Q49/S49</f>
        <v>7.7645962124697849</v>
      </c>
      <c r="U49" s="85">
        <f t="shared" si="71"/>
        <v>314480607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4440405.222222222</v>
      </c>
      <c r="G50" s="190">
        <f t="shared" ref="G50" si="81">F50/F49-1</f>
        <v>-0.18651869645547814</v>
      </c>
      <c r="H50" s="190">
        <f t="shared" ref="H50" si="82">F50/F38-1</f>
        <v>-6.6131632292639297E-2</v>
      </c>
      <c r="I50" s="130">
        <f t="shared" ref="I50" si="83">T50</f>
        <v>8.7353353148319464</v>
      </c>
      <c r="J50" s="130">
        <f t="shared" ref="J50" si="84">I50/I38-1</f>
        <v>-5.9400054137042302E-2</v>
      </c>
      <c r="K50" s="136"/>
      <c r="L50" s="190"/>
      <c r="M50" s="190"/>
      <c r="N50" s="191"/>
      <c r="O50" s="192"/>
      <c r="P50" s="129" t="s">
        <v>1375</v>
      </c>
      <c r="Q50" s="116">
        <v>79927294</v>
      </c>
      <c r="R50" s="116">
        <v>113091919560</v>
      </c>
      <c r="S50" s="116">
        <v>9149882.7599999998</v>
      </c>
      <c r="T50" s="130">
        <f t="shared" ref="T50" si="85">Q50/S50</f>
        <v>8.7353353148319464</v>
      </c>
      <c r="U50" s="85">
        <f t="shared" si="71"/>
        <v>269605211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4877299</v>
      </c>
      <c r="G51" s="190">
        <f t="shared" ref="G51:G52" si="86">F51/F50-1</f>
        <v>9.8390519764124607E-2</v>
      </c>
      <c r="H51" s="190">
        <f t="shared" ref="H51:H52" si="87">F51/F39-1</f>
        <v>0.56982444324169679</v>
      </c>
      <c r="I51" s="130">
        <f t="shared" ref="I51:I52" si="88">T51</f>
        <v>8.6558450886905387</v>
      </c>
      <c r="J51" s="130">
        <f t="shared" ref="J51:J52" si="89">I51/I39-1</f>
        <v>-6.9188044711184671E-2</v>
      </c>
      <c r="K51" s="136"/>
      <c r="L51" s="190"/>
      <c r="M51" s="190"/>
      <c r="N51" s="191"/>
      <c r="O51" s="192"/>
      <c r="P51" s="129" t="s">
        <v>1402</v>
      </c>
      <c r="Q51" s="116">
        <v>97545980</v>
      </c>
      <c r="R51" s="116">
        <v>141024372760</v>
      </c>
      <c r="S51" s="116">
        <v>11269376.82</v>
      </c>
      <c r="T51" s="130">
        <f t="shared" ref="T51:T52" si="90">Q51/S51</f>
        <v>8.6558450886905387</v>
      </c>
      <c r="U51" s="85">
        <f t="shared" si="71"/>
        <v>297560748</v>
      </c>
    </row>
    <row r="52" spans="1:26" s="79" customFormat="1" ht="13.2">
      <c r="A52" s="129" t="s">
        <v>1403</v>
      </c>
      <c r="B52" s="188">
        <f>SUM(F50:F52)</f>
        <v>13950628.722222222</v>
      </c>
      <c r="C52" s="188">
        <f>AVERAGE(F50:F52)</f>
        <v>4650209.5740740737</v>
      </c>
      <c r="D52" s="190">
        <f>C52/C49-1</f>
        <v>-2.8795026203189633E-2</v>
      </c>
      <c r="E52" s="287">
        <f>C52/C40-1</f>
        <v>0.21121290414544425</v>
      </c>
      <c r="F52" s="136">
        <f>Q52/22</f>
        <v>4632924.5</v>
      </c>
      <c r="G52" s="190">
        <f t="shared" si="86"/>
        <v>-5.0104473808146643E-2</v>
      </c>
      <c r="H52" s="190">
        <f t="shared" si="87"/>
        <v>0.267162393167514</v>
      </c>
      <c r="I52" s="130">
        <f t="shared" si="88"/>
        <v>8.4584698656166761</v>
      </c>
      <c r="J52" s="130">
        <f t="shared" si="89"/>
        <v>-6.3458201798797242E-2</v>
      </c>
      <c r="K52" s="136">
        <f>R50+R51+R52</f>
        <v>404055257924</v>
      </c>
      <c r="L52" s="190">
        <f>U52/U49-1</f>
        <v>-0.11155852926727527</v>
      </c>
      <c r="M52" s="190">
        <f>K52/K40-1</f>
        <v>0.23127282076541089</v>
      </c>
      <c r="N52" s="191">
        <f>AVERAGE(T50:T52)</f>
        <v>8.6165500897130531</v>
      </c>
      <c r="O52" s="192">
        <f>N52/N49-1</f>
        <v>-1.5234714663980298E-2</v>
      </c>
      <c r="P52" s="129" t="s">
        <v>1403</v>
      </c>
      <c r="Q52" s="116">
        <v>101924339</v>
      </c>
      <c r="R52" s="116">
        <v>149938965604</v>
      </c>
      <c r="S52" s="116">
        <v>12049973.65</v>
      </c>
      <c r="T52" s="130">
        <f t="shared" si="90"/>
        <v>8.4584698656166761</v>
      </c>
      <c r="U52" s="85">
        <f t="shared" ref="U52" si="91">Q50+Q51+Q52</f>
        <v>279397613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5828373.333333333</v>
      </c>
      <c r="G53" s="190">
        <f t="shared" ref="G53" si="92">F53/F52-1</f>
        <v>0.25803330775913413</v>
      </c>
      <c r="H53" s="190">
        <f t="shared" ref="H53" si="93">F53/F41-1</f>
        <v>0.6945384098390126</v>
      </c>
      <c r="I53" s="130">
        <f t="shared" ref="I53" si="94">T53</f>
        <v>9.149379657441548</v>
      </c>
      <c r="J53" s="130">
        <f t="shared" ref="J53" si="95">I53/I41-1</f>
        <v>-2.4459139067434243E-4</v>
      </c>
      <c r="K53" s="136"/>
      <c r="L53" s="190"/>
      <c r="M53" s="190"/>
      <c r="N53" s="191"/>
      <c r="O53" s="192"/>
      <c r="P53" s="129" t="s">
        <v>1414</v>
      </c>
      <c r="Q53" s="116">
        <v>122395840</v>
      </c>
      <c r="R53" s="116">
        <v>178657295078</v>
      </c>
      <c r="S53" s="116">
        <v>13377501.49</v>
      </c>
      <c r="T53" s="130">
        <f t="shared" ref="T53" si="96">Q53/S53</f>
        <v>9.149379657441548</v>
      </c>
      <c r="U53" s="85">
        <f t="shared" ref="U53" si="97">Q51+Q52+Q53</f>
        <v>321866159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4457014.9411764704</v>
      </c>
      <c r="G54" s="190">
        <f t="shared" ref="G54" si="98">F54/F53-1</f>
        <v>-0.23529007387256073</v>
      </c>
      <c r="H54" s="190">
        <f t="shared" ref="H54" si="99">F54/F42-1</f>
        <v>0.15069569252865378</v>
      </c>
      <c r="I54" s="130">
        <f t="shared" ref="I54" si="100">T54</f>
        <v>8.5523424942653232</v>
      </c>
      <c r="J54" s="130">
        <f t="shared" ref="J54" si="101">I54/I42-1</f>
        <v>-9.1869748658310102E-2</v>
      </c>
      <c r="K54" s="136"/>
      <c r="L54" s="190"/>
      <c r="M54" s="190"/>
      <c r="N54" s="191"/>
      <c r="O54" s="192"/>
      <c r="P54" s="129" t="s">
        <v>1417</v>
      </c>
      <c r="Q54" s="116">
        <v>75769254</v>
      </c>
      <c r="R54" s="116">
        <v>109746607695</v>
      </c>
      <c r="S54" s="116">
        <v>8859473.7699999996</v>
      </c>
      <c r="T54" s="130">
        <f t="shared" ref="T54" si="102">Q54/S54</f>
        <v>8.5523424942653232</v>
      </c>
      <c r="U54" s="85">
        <f t="shared" ref="U54" si="103">Q52+Q53+Q54</f>
        <v>300089433</v>
      </c>
    </row>
    <row r="55" spans="1:26" s="79" customFormat="1" ht="13.2">
      <c r="A55" s="129" t="s">
        <v>1418</v>
      </c>
      <c r="B55" s="188">
        <f>SUM(F53:F55)</f>
        <v>14589561.464985993</v>
      </c>
      <c r="C55" s="188">
        <f>AVERAGE(F53:F55)</f>
        <v>4863187.1549953306</v>
      </c>
      <c r="D55" s="190">
        <f>C55/C52-1</f>
        <v>4.5799566133245539E-2</v>
      </c>
      <c r="E55" s="287">
        <f>C55/C43-1</f>
        <v>0.24451422411503576</v>
      </c>
      <c r="F55" s="136">
        <f>Q55/21</f>
        <v>4304173.1904761903</v>
      </c>
      <c r="G55" s="190">
        <f t="shared" ref="G55" si="104">F55/F54-1</f>
        <v>-3.4292402587265292E-2</v>
      </c>
      <c r="H55" s="190">
        <f t="shared" ref="H55" si="105">F55/F43-1</f>
        <v>-2.405684910471928E-2</v>
      </c>
      <c r="I55" s="130">
        <f>T55</f>
        <v>8.6714506414524823</v>
      </c>
      <c r="J55" s="130">
        <f t="shared" ref="J55" si="106">I55/I43-1</f>
        <v>-3.7397095504074107E-2</v>
      </c>
      <c r="K55" s="136">
        <f>R53+R54+R55</f>
        <v>421513042638</v>
      </c>
      <c r="L55" s="190">
        <f>U55/U52-1</f>
        <v>3.2767345081076371E-2</v>
      </c>
      <c r="M55" s="190">
        <f>K55/K43-1</f>
        <v>0.2756561849732968</v>
      </c>
      <c r="N55" s="191">
        <f>AVERAGE(T53:T55)</f>
        <v>8.7910575977197851</v>
      </c>
      <c r="O55" s="192">
        <f>N55/N52-1</f>
        <v>2.0252596014624258E-2</v>
      </c>
      <c r="P55" s="129" t="s">
        <v>1418</v>
      </c>
      <c r="Q55" s="116">
        <v>90387637</v>
      </c>
      <c r="R55" s="116">
        <v>133109139865</v>
      </c>
      <c r="S55" s="116">
        <v>10423588.939999999</v>
      </c>
      <c r="T55" s="130">
        <f t="shared" ref="T55" si="107">Q55/S55</f>
        <v>8.6714506414524823</v>
      </c>
      <c r="U55" s="85">
        <f t="shared" ref="U55" si="108">Q53+Q54+Q55</f>
        <v>288552731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5441685.5</v>
      </c>
      <c r="G56" s="190">
        <f t="shared" ref="G56" si="109">F56/F55-1</f>
        <v>0.26428125895137633</v>
      </c>
      <c r="H56" s="190">
        <f t="shared" ref="H56" si="110">F56/F44-1</f>
        <v>0.16992593744580287</v>
      </c>
      <c r="I56" s="291">
        <f>T56</f>
        <v>9.3383491548250586</v>
      </c>
      <c r="J56" s="130">
        <f t="shared" ref="J56" si="111">I56/I44-1</f>
        <v>-2.848569555853453E-2</v>
      </c>
      <c r="K56" s="136"/>
      <c r="L56" s="190"/>
      <c r="M56" s="190"/>
      <c r="N56" s="191"/>
      <c r="O56" s="192"/>
      <c r="P56" s="129" t="s">
        <v>1420</v>
      </c>
      <c r="Q56" s="116">
        <v>119717081</v>
      </c>
      <c r="R56" s="116">
        <v>178635575786</v>
      </c>
      <c r="S56" s="116">
        <v>12819940.550000001</v>
      </c>
      <c r="T56" s="130">
        <f t="shared" ref="T56" si="112">Q56/S56</f>
        <v>9.3383491548250586</v>
      </c>
      <c r="U56" s="85">
        <f t="shared" ref="U56" si="113">Q54+Q55+Q56</f>
        <v>285873972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6059037.583333333</v>
      </c>
      <c r="G57" s="254">
        <f t="shared" ref="G57" si="114">F57/F56-1</f>
        <v>0.1134486885236814</v>
      </c>
      <c r="H57" s="254">
        <f t="shared" ref="H57" si="115">F57/F45-1</f>
        <v>0.33953587952638187</v>
      </c>
      <c r="I57" s="282">
        <f>T57</f>
        <v>9.1177737795991671</v>
      </c>
      <c r="J57" s="277">
        <f t="shared" ref="J57" si="116">I57/I45-1</f>
        <v>0.12621929276273947</v>
      </c>
      <c r="K57" s="204"/>
      <c r="L57" s="254"/>
      <c r="M57" s="254"/>
      <c r="N57" s="257"/>
      <c r="O57" s="258"/>
      <c r="P57" s="129" t="s">
        <v>1436</v>
      </c>
      <c r="Q57" s="116">
        <v>72708451</v>
      </c>
      <c r="R57" s="116">
        <v>107128792202</v>
      </c>
      <c r="S57" s="116">
        <v>7974364.4400000004</v>
      </c>
      <c r="T57" s="130">
        <f t="shared" ref="T57" si="117">Q57/S57</f>
        <v>9.1177737795991671</v>
      </c>
      <c r="U57" s="85">
        <f t="shared" ref="U57" si="118">Q55+Q56+Q57</f>
        <v>282813169</v>
      </c>
    </row>
    <row r="58" spans="1:26">
      <c r="B58" s="196">
        <f>SUM(F56:F58)</f>
        <v>11500723.083333332</v>
      </c>
      <c r="C58" s="196">
        <f>AVERAGE(F56:F58)</f>
        <v>5750361.541666666</v>
      </c>
      <c r="D58" s="197">
        <f>C58/C55-1</f>
        <v>0.18242653601353886</v>
      </c>
      <c r="E58" s="233">
        <f>C58/C46-1</f>
        <v>0.12428447518711483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480978263</v>
      </c>
      <c r="R67" s="212">
        <v>707277410626</v>
      </c>
      <c r="S67" s="213">
        <v>53454869.200000003</v>
      </c>
    </row>
    <row r="68" spans="16:19" ht="18" thickBot="1">
      <c r="P68" s="180" t="s">
        <v>976</v>
      </c>
      <c r="Q68" s="181">
        <v>122395840</v>
      </c>
      <c r="R68" s="181">
        <v>178657295078</v>
      </c>
      <c r="S68" s="182">
        <v>13377501.49</v>
      </c>
    </row>
    <row r="69" spans="16:19" ht="18" thickBot="1">
      <c r="P69" s="180" t="s">
        <v>977</v>
      </c>
      <c r="Q69" s="181">
        <v>75769254</v>
      </c>
      <c r="R69" s="181">
        <v>109746607695</v>
      </c>
      <c r="S69" s="182">
        <v>8859473.7699999996</v>
      </c>
    </row>
    <row r="70" spans="16:19" ht="18" thickBot="1">
      <c r="P70" s="180" t="s">
        <v>978</v>
      </c>
      <c r="Q70" s="181">
        <v>90387637</v>
      </c>
      <c r="R70" s="181">
        <v>133109139865</v>
      </c>
      <c r="S70" s="182">
        <v>10423588.939999999</v>
      </c>
    </row>
    <row r="71" spans="16:19" ht="18" thickBot="1">
      <c r="P71" s="180" t="s">
        <v>979</v>
      </c>
      <c r="Q71" s="181">
        <v>119717081</v>
      </c>
      <c r="R71" s="181">
        <v>178635575786</v>
      </c>
      <c r="S71" s="182">
        <v>12819940.550000001</v>
      </c>
    </row>
    <row r="72" spans="16:19" ht="18" thickBot="1">
      <c r="P72" s="180" t="s">
        <v>980</v>
      </c>
      <c r="Q72" s="181">
        <v>72708451</v>
      </c>
      <c r="R72" s="181">
        <v>107128792202</v>
      </c>
      <c r="S72" s="182">
        <v>7974364.4400000004</v>
      </c>
    </row>
    <row r="73" spans="16:19" ht="18" thickBot="1">
      <c r="P73" s="180" t="s">
        <v>975</v>
      </c>
      <c r="Q73" s="181">
        <v>1131479957</v>
      </c>
      <c r="R73" s="181">
        <v>1605006317484</v>
      </c>
      <c r="S73" s="182">
        <v>129542692.25</v>
      </c>
    </row>
    <row r="74" spans="16:19" ht="18" thickBot="1">
      <c r="P74" s="180" t="s">
        <v>982</v>
      </c>
      <c r="Q74" s="210"/>
      <c r="R74"/>
      <c r="S74"/>
    </row>
  </sheetData>
  <phoneticPr fontId="1" type="noConversion"/>
  <conditionalFormatting sqref="C29:C30">
    <cfRule type="cellIs" dxfId="22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0">
    <tabColor rgb="FFFFFF00"/>
  </sheetPr>
  <dimension ref="A1:Z72"/>
  <sheetViews>
    <sheetView zoomScaleNormal="10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293499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995152.45</v>
      </c>
      <c r="G5" s="90"/>
      <c r="H5" s="90"/>
      <c r="I5" s="130">
        <f t="shared" ref="I5:I49" si="0">T5</f>
        <v>435.22083089515803</v>
      </c>
      <c r="J5" s="130"/>
      <c r="L5" s="80"/>
      <c r="M5" s="80"/>
      <c r="P5" s="129" t="s">
        <v>0</v>
      </c>
      <c r="Q5" s="116">
        <v>19903049</v>
      </c>
      <c r="R5" s="116">
        <v>23508967913</v>
      </c>
      <c r="S5" s="116">
        <v>45730.92</v>
      </c>
      <c r="T5" s="130">
        <f t="shared" ref="T5:T17" si="1">Q5/S5</f>
        <v>435.22083089515803</v>
      </c>
      <c r="U5" s="85"/>
    </row>
    <row r="6" spans="1:21" ht="15" hidden="1" customHeight="1">
      <c r="A6" s="129" t="s">
        <v>1</v>
      </c>
      <c r="C6" s="79"/>
      <c r="F6" s="78">
        <f>Q6/18</f>
        <v>1362685.111111111</v>
      </c>
      <c r="G6" s="90">
        <f t="shared" ref="G6:G16" si="2">F6/F5-1</f>
        <v>0.36932297268736169</v>
      </c>
      <c r="H6" s="90"/>
      <c r="I6" s="130">
        <f t="shared" si="0"/>
        <v>652.04993665142013</v>
      </c>
      <c r="J6" s="130"/>
      <c r="P6" s="129" t="s">
        <v>1</v>
      </c>
      <c r="Q6" s="116">
        <v>24528332</v>
      </c>
      <c r="R6" s="116">
        <v>29208685452</v>
      </c>
      <c r="S6" s="116">
        <v>37617.26</v>
      </c>
      <c r="T6" s="130">
        <f t="shared" si="1"/>
        <v>652.04993665142013</v>
      </c>
      <c r="U6" s="85"/>
    </row>
    <row r="7" spans="1:21" ht="15" hidden="1" customHeight="1">
      <c r="A7" s="129" t="s">
        <v>2</v>
      </c>
      <c r="B7" s="131">
        <f>F5+F6+F7</f>
        <v>3700012.5156565658</v>
      </c>
      <c r="C7" s="131">
        <f>AVERAGE(F5:F7)</f>
        <v>1233337.5052188553</v>
      </c>
      <c r="F7" s="78">
        <f>Q7/22</f>
        <v>1342174.9545454546</v>
      </c>
      <c r="G7" s="90">
        <f t="shared" si="2"/>
        <v>-1.5051281032147479E-2</v>
      </c>
      <c r="H7" s="90"/>
      <c r="I7" s="130">
        <f t="shared" si="0"/>
        <v>750.96640878132644</v>
      </c>
      <c r="J7" s="130"/>
      <c r="K7" s="79">
        <f>R5+R6+R7</f>
        <v>88367925617</v>
      </c>
      <c r="N7" s="88">
        <f>AVERAGE(T5:T7)</f>
        <v>612.74572544263481</v>
      </c>
      <c r="P7" s="129" t="s">
        <v>2</v>
      </c>
      <c r="Q7" s="116">
        <v>29527849</v>
      </c>
      <c r="R7" s="116">
        <v>35650272252</v>
      </c>
      <c r="S7" s="116">
        <v>39319.800000000003</v>
      </c>
      <c r="T7" s="130">
        <f t="shared" si="1"/>
        <v>750.96640878132644</v>
      </c>
      <c r="U7" s="85">
        <f>Q5+Q6+Q7</f>
        <v>73959230</v>
      </c>
    </row>
    <row r="8" spans="1:21" ht="15" hidden="1" customHeight="1">
      <c r="A8" s="129" t="s">
        <v>3</v>
      </c>
      <c r="C8" s="79"/>
      <c r="F8" s="78">
        <f>Q8/21</f>
        <v>877879.95238095243</v>
      </c>
      <c r="G8" s="90">
        <f t="shared" si="2"/>
        <v>-0.34592733279078502</v>
      </c>
      <c r="H8" s="90"/>
      <c r="I8" s="130">
        <f t="shared" si="0"/>
        <v>383.57431202891911</v>
      </c>
      <c r="J8" s="130"/>
      <c r="K8" s="78"/>
      <c r="P8" s="129" t="s">
        <v>3</v>
      </c>
      <c r="Q8" s="116">
        <v>18435479</v>
      </c>
      <c r="R8" s="116">
        <v>22414796559</v>
      </c>
      <c r="S8" s="116">
        <v>48062.34</v>
      </c>
      <c r="T8" s="130">
        <f t="shared" si="1"/>
        <v>383.57431202891911</v>
      </c>
      <c r="U8" s="85"/>
    </row>
    <row r="9" spans="1:21" ht="15" hidden="1" customHeight="1">
      <c r="A9" s="129" t="s">
        <v>4</v>
      </c>
      <c r="C9" s="79"/>
      <c r="F9" s="78">
        <f>Q9/21</f>
        <v>766910.38095238095</v>
      </c>
      <c r="G9" s="90">
        <f t="shared" si="2"/>
        <v>-0.12640631686326143</v>
      </c>
      <c r="H9" s="90"/>
      <c r="I9" s="130">
        <f t="shared" si="0"/>
        <v>308.56050347202262</v>
      </c>
      <c r="J9" s="130"/>
      <c r="K9" s="78"/>
      <c r="P9" s="129" t="s">
        <v>4</v>
      </c>
      <c r="Q9" s="116">
        <v>16105118</v>
      </c>
      <c r="R9" s="116">
        <v>20287259371</v>
      </c>
      <c r="S9" s="116">
        <v>52194.36</v>
      </c>
      <c r="T9" s="130">
        <f t="shared" si="1"/>
        <v>308.56050347202262</v>
      </c>
      <c r="U9" s="85"/>
    </row>
    <row r="10" spans="1:21" ht="15" hidden="1" customHeight="1">
      <c r="A10" s="129" t="s">
        <v>5</v>
      </c>
      <c r="B10" s="131">
        <f>F8+F9+F10</f>
        <v>2708569.7619047621</v>
      </c>
      <c r="C10" s="131">
        <f>AVERAGE(F8:F10)</f>
        <v>902856.58730158734</v>
      </c>
      <c r="D10" s="90">
        <f>C10/C7-1</f>
        <v>-0.267956594621376</v>
      </c>
      <c r="E10" s="286"/>
      <c r="F10" s="78">
        <f>Q10/21</f>
        <v>1063779.4285714286</v>
      </c>
      <c r="G10" s="90">
        <f t="shared" si="2"/>
        <v>0.38709744318545214</v>
      </c>
      <c r="H10" s="90"/>
      <c r="I10" s="130">
        <f t="shared" si="0"/>
        <v>845.89980688401681</v>
      </c>
      <c r="J10" s="130"/>
      <c r="K10" s="79">
        <f>R8+R9+R10</f>
        <v>71131588261</v>
      </c>
      <c r="L10" s="87">
        <f>U10/U7-1</f>
        <v>-0.23092810728289082</v>
      </c>
      <c r="N10" s="88">
        <f>AVERAGE(T8:T10)</f>
        <v>512.67820746165285</v>
      </c>
      <c r="O10" s="89">
        <f>N10/N7-1</f>
        <v>-0.16331002212817602</v>
      </c>
      <c r="P10" s="129" t="s">
        <v>5</v>
      </c>
      <c r="Q10" s="116">
        <v>22339368</v>
      </c>
      <c r="R10" s="116">
        <v>28429532331</v>
      </c>
      <c r="S10" s="116">
        <v>26409</v>
      </c>
      <c r="T10" s="130">
        <f t="shared" si="1"/>
        <v>845.89980688401681</v>
      </c>
      <c r="U10" s="85">
        <f>Q8+Q9+Q10</f>
        <v>56879965</v>
      </c>
    </row>
    <row r="11" spans="1:21" ht="15" hidden="1" customHeight="1">
      <c r="A11" s="129" t="s">
        <v>6</v>
      </c>
      <c r="C11" s="79"/>
      <c r="F11" s="78">
        <f>Q11/21</f>
        <v>837958.09523809527</v>
      </c>
      <c r="G11" s="90">
        <f t="shared" si="2"/>
        <v>-0.21228210216152943</v>
      </c>
      <c r="H11" s="90"/>
      <c r="I11" s="130">
        <f t="shared" si="0"/>
        <v>403.19520339142662</v>
      </c>
      <c r="J11" s="130"/>
      <c r="K11" s="78"/>
      <c r="O11" s="89"/>
      <c r="P11" s="129" t="s">
        <v>6</v>
      </c>
      <c r="Q11" s="116">
        <v>17597120</v>
      </c>
      <c r="R11" s="116">
        <v>22724763943</v>
      </c>
      <c r="S11" s="116">
        <v>43644.17</v>
      </c>
      <c r="T11" s="130">
        <f t="shared" si="1"/>
        <v>403.19520339142662</v>
      </c>
      <c r="U11" s="85"/>
    </row>
    <row r="12" spans="1:21" ht="15" hidden="1" customHeight="1">
      <c r="A12" s="129" t="s">
        <v>7</v>
      </c>
      <c r="C12" s="79"/>
      <c r="F12" s="78">
        <f>Q12/22</f>
        <v>752066.36363636365</v>
      </c>
      <c r="G12" s="90">
        <f t="shared" si="2"/>
        <v>-0.1025012254071328</v>
      </c>
      <c r="H12" s="90"/>
      <c r="I12" s="130">
        <f t="shared" si="0"/>
        <v>898.07839906031427</v>
      </c>
      <c r="J12" s="130"/>
      <c r="K12" s="78"/>
      <c r="O12" s="89"/>
      <c r="P12" s="129" t="s">
        <v>7</v>
      </c>
      <c r="Q12" s="116">
        <v>16545460</v>
      </c>
      <c r="R12" s="116">
        <v>21406477511</v>
      </c>
      <c r="S12" s="116">
        <v>18423.18</v>
      </c>
      <c r="T12" s="130">
        <f t="shared" si="1"/>
        <v>898.07839906031427</v>
      </c>
      <c r="U12" s="85"/>
    </row>
    <row r="13" spans="1:21" ht="15" hidden="1" customHeight="1">
      <c r="A13" s="129" t="s">
        <v>96</v>
      </c>
      <c r="B13" s="131">
        <f>F11+F12+F13</f>
        <v>3116442.5088744592</v>
      </c>
      <c r="C13" s="131">
        <f>AVERAGE(F11:F13)</f>
        <v>1038814.1696248198</v>
      </c>
      <c r="D13" s="90">
        <f>C13/C10-1</f>
        <v>0.150586022448566</v>
      </c>
      <c r="E13" s="286"/>
      <c r="F13" s="78">
        <f>Q13/20</f>
        <v>1526418.05</v>
      </c>
      <c r="G13" s="90">
        <f t="shared" si="2"/>
        <v>1.0296321226487506</v>
      </c>
      <c r="H13" s="90"/>
      <c r="I13" s="130">
        <f t="shared" si="0"/>
        <v>465.03930729948314</v>
      </c>
      <c r="J13" s="130"/>
      <c r="K13" s="78">
        <f>R11+R12+R13</f>
        <v>86300328853</v>
      </c>
      <c r="L13" s="87">
        <f>U13/U10-1</f>
        <v>0.13697223618193144</v>
      </c>
      <c r="N13" s="88">
        <f>AVERAGE(T11:T13)</f>
        <v>588.77096991707469</v>
      </c>
      <c r="O13" s="89">
        <f>N13/N10-1</f>
        <v>0.14842207323804257</v>
      </c>
      <c r="P13" s="129" t="s">
        <v>96</v>
      </c>
      <c r="Q13" s="116">
        <v>30528361</v>
      </c>
      <c r="R13" s="116">
        <v>42169087399</v>
      </c>
      <c r="S13" s="116">
        <v>65646.84</v>
      </c>
      <c r="T13" s="130">
        <f t="shared" si="1"/>
        <v>465.03930729948314</v>
      </c>
      <c r="U13" s="85">
        <f>Q11+Q12+Q13</f>
        <v>64670941</v>
      </c>
    </row>
    <row r="14" spans="1:21" ht="15" hidden="1" customHeight="1">
      <c r="A14" s="129" t="s">
        <v>97</v>
      </c>
      <c r="C14" s="79"/>
      <c r="F14" s="78">
        <f>Q14/20</f>
        <v>738089.4</v>
      </c>
      <c r="G14" s="90">
        <f t="shared" si="2"/>
        <v>-0.51645658278215456</v>
      </c>
      <c r="H14" s="90"/>
      <c r="I14" s="130">
        <f t="shared" si="0"/>
        <v>438.4926117300389</v>
      </c>
      <c r="J14" s="130"/>
      <c r="O14" s="89"/>
      <c r="P14" s="129" t="s">
        <v>97</v>
      </c>
      <c r="Q14" s="116">
        <v>14761788</v>
      </c>
      <c r="R14" s="116">
        <v>21084919150</v>
      </c>
      <c r="S14" s="116">
        <v>33664.85</v>
      </c>
      <c r="T14" s="130">
        <f t="shared" si="1"/>
        <v>438.4926117300389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1616642.6363636365</v>
      </c>
      <c r="G15" s="90">
        <f t="shared" si="2"/>
        <v>1.1903073480849833</v>
      </c>
      <c r="H15" s="90"/>
      <c r="I15" s="130">
        <f t="shared" si="0"/>
        <v>1555.3593567626119</v>
      </c>
      <c r="J15" s="130"/>
      <c r="O15" s="89"/>
      <c r="P15" s="129" t="s">
        <v>98</v>
      </c>
      <c r="Q15" s="116">
        <v>35566138</v>
      </c>
      <c r="R15" s="116">
        <v>48398653712</v>
      </c>
      <c r="S15" s="116">
        <v>22866.83</v>
      </c>
      <c r="T15" s="130">
        <f t="shared" si="1"/>
        <v>1555.3593567626119</v>
      </c>
      <c r="U15" s="85"/>
    </row>
    <row r="16" spans="1:21" ht="15" hidden="1" customHeight="1">
      <c r="A16" s="129" t="s">
        <v>99</v>
      </c>
      <c r="B16" s="131">
        <f>F14+F15+F16</f>
        <v>3568825.9909090912</v>
      </c>
      <c r="C16" s="131">
        <f>AVERAGE(F14:F16)</f>
        <v>1189608.6636363638</v>
      </c>
      <c r="D16" s="90">
        <f>C16/C13-1</f>
        <v>0.14516022058690758</v>
      </c>
      <c r="E16" s="286"/>
      <c r="F16" s="78">
        <f>Q16/22</f>
        <v>1214093.9545454546</v>
      </c>
      <c r="G16" s="90">
        <f t="shared" si="2"/>
        <v>-0.24900288583483543</v>
      </c>
      <c r="H16" s="90"/>
      <c r="I16" s="130">
        <f t="shared" si="0"/>
        <v>1081.6446059235586</v>
      </c>
      <c r="J16" s="130"/>
      <c r="K16" s="78">
        <f>R14+R15+R16</f>
        <v>104544258858</v>
      </c>
      <c r="L16" s="87">
        <f>U16/U13-1</f>
        <v>0.19123043222766767</v>
      </c>
      <c r="N16" s="88">
        <f>AVERAGE(T14:T16)</f>
        <v>1025.1655248054033</v>
      </c>
      <c r="O16" s="89">
        <f>N16/N13-1</f>
        <v>0.74119577422404581</v>
      </c>
      <c r="P16" s="129" t="s">
        <v>99</v>
      </c>
      <c r="Q16" s="116">
        <v>26710067</v>
      </c>
      <c r="R16" s="116">
        <v>35060685996</v>
      </c>
      <c r="S16" s="116">
        <v>24693.94</v>
      </c>
      <c r="T16" s="130">
        <f t="shared" si="1"/>
        <v>1081.6446059235586</v>
      </c>
      <c r="U16" s="85">
        <f>Q14+Q15+Q16</f>
        <v>77037993</v>
      </c>
    </row>
    <row r="17" spans="1:26" ht="15" hidden="1" customHeight="1">
      <c r="A17" s="129" t="s">
        <v>100</v>
      </c>
      <c r="C17" s="79"/>
      <c r="F17" s="78">
        <f>Q17/20</f>
        <v>1114201.3</v>
      </c>
      <c r="G17" s="90">
        <f t="shared" ref="G17:G22" si="3">F17/F16-1</f>
        <v>-8.2277532287732602E-2</v>
      </c>
      <c r="H17" s="90">
        <f t="shared" ref="H17:H22" si="4">F17/F5-1</f>
        <v>0.11962875637798009</v>
      </c>
      <c r="I17" s="130">
        <f t="shared" si="0"/>
        <v>837.27633769054171</v>
      </c>
      <c r="J17" s="130">
        <f t="shared" ref="J17:J49" si="5">I17/I5-1</f>
        <v>0.92379656085955197</v>
      </c>
      <c r="O17" s="89"/>
      <c r="P17" s="129" t="s">
        <v>100</v>
      </c>
      <c r="Q17" s="116">
        <v>22284026</v>
      </c>
      <c r="R17" s="116">
        <v>27807521091</v>
      </c>
      <c r="S17" s="116">
        <v>26614.9</v>
      </c>
      <c r="T17" s="130">
        <f t="shared" si="1"/>
        <v>837.27633769054171</v>
      </c>
      <c r="U17" s="78"/>
    </row>
    <row r="18" spans="1:26" hidden="1">
      <c r="A18" s="129" t="s">
        <v>106</v>
      </c>
      <c r="C18" s="79"/>
      <c r="F18" s="78">
        <f>Q18/20</f>
        <v>1001774.45</v>
      </c>
      <c r="G18" s="90">
        <f t="shared" si="3"/>
        <v>-0.10090353511524364</v>
      </c>
      <c r="H18" s="90">
        <f t="shared" si="4"/>
        <v>-0.26485257538099205</v>
      </c>
      <c r="I18" s="130">
        <f t="shared" si="0"/>
        <v>806.86655473772339</v>
      </c>
      <c r="J18" s="130">
        <f t="shared" si="5"/>
        <v>0.23743061594539627</v>
      </c>
      <c r="O18" s="89"/>
      <c r="P18" s="129" t="s">
        <v>106</v>
      </c>
      <c r="Q18" s="116">
        <v>20035489</v>
      </c>
      <c r="R18" s="116">
        <v>25243820573</v>
      </c>
      <c r="S18" s="116">
        <v>24831.23</v>
      </c>
      <c r="T18" s="130">
        <f t="shared" ref="T18" si="6">Q18/S18</f>
        <v>806.86655473772339</v>
      </c>
      <c r="U18" s="78"/>
    </row>
    <row r="19" spans="1:26" hidden="1">
      <c r="A19" s="129" t="s">
        <v>114</v>
      </c>
      <c r="B19" s="131">
        <f>SUM(F17:F19)</f>
        <v>3031679.5227272725</v>
      </c>
      <c r="C19" s="131">
        <f>AVERAGE(F17:F19)</f>
        <v>1010559.8409090908</v>
      </c>
      <c r="D19" s="90">
        <f>C19/C16-1</f>
        <v>-0.15051069162522857</v>
      </c>
      <c r="E19" s="286">
        <f>C19/C7-1</f>
        <v>-0.18062992762896046</v>
      </c>
      <c r="F19" s="78">
        <f>Q19/22</f>
        <v>915703.77272727271</v>
      </c>
      <c r="G19" s="90">
        <f t="shared" si="3"/>
        <v>-8.5918219687802222E-2</v>
      </c>
      <c r="H19" s="90">
        <f t="shared" si="4"/>
        <v>-0.3177463417670553</v>
      </c>
      <c r="I19" s="130">
        <f t="shared" si="0"/>
        <v>875.83725338457657</v>
      </c>
      <c r="J19" s="130">
        <f t="shared" si="5"/>
        <v>0.16628019994381837</v>
      </c>
      <c r="K19" s="78">
        <f>R17+R18+R19</f>
        <v>79363384771</v>
      </c>
      <c r="L19" s="87">
        <f>U19/U16-1</f>
        <v>-0.18916633770560454</v>
      </c>
      <c r="M19" s="87">
        <f>U19/U7-1</f>
        <v>-0.15541308366785322</v>
      </c>
      <c r="N19" s="88">
        <f>AVERAGE(T17:T19)</f>
        <v>839.99338193761378</v>
      </c>
      <c r="O19" s="89">
        <f>N19/N16-1</f>
        <v>-0.1806265801836624</v>
      </c>
      <c r="P19" s="129" t="s">
        <v>115</v>
      </c>
      <c r="Q19" s="116">
        <v>20145483</v>
      </c>
      <c r="R19" s="116">
        <v>26312043107</v>
      </c>
      <c r="S19" s="116">
        <v>23001.4</v>
      </c>
      <c r="T19" s="130">
        <f t="shared" ref="T19" si="7">Q19/S19</f>
        <v>875.83725338457657</v>
      </c>
      <c r="U19" s="85">
        <f>Q17+Q18+Q19</f>
        <v>62464998</v>
      </c>
    </row>
    <row r="20" spans="1:26" hidden="1">
      <c r="A20" s="129" t="s">
        <v>132</v>
      </c>
      <c r="B20" s="131"/>
      <c r="C20" s="131"/>
      <c r="D20" s="90"/>
      <c r="E20" s="286"/>
      <c r="F20" s="78">
        <f>Q20/20</f>
        <v>487289.25</v>
      </c>
      <c r="G20" s="90">
        <f t="shared" si="3"/>
        <v>-0.46785274396250509</v>
      </c>
      <c r="H20" s="90">
        <f t="shared" si="4"/>
        <v>-0.44492495963896572</v>
      </c>
      <c r="I20" s="130">
        <f t="shared" si="0"/>
        <v>524.78882249458434</v>
      </c>
      <c r="J20" s="130">
        <f t="shared" si="5"/>
        <v>0.36815424296457722</v>
      </c>
      <c r="O20" s="89"/>
      <c r="P20" s="129" t="s">
        <v>132</v>
      </c>
      <c r="Q20" s="116">
        <v>9745785</v>
      </c>
      <c r="R20" s="116">
        <v>12777264404</v>
      </c>
      <c r="S20" s="116">
        <v>18570.87</v>
      </c>
      <c r="T20" s="130">
        <f t="shared" ref="T20" si="8">Q20/S20</f>
        <v>524.78882249458434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587630.33333333337</v>
      </c>
      <c r="G21" s="90">
        <f t="shared" si="3"/>
        <v>0.20591688270023067</v>
      </c>
      <c r="H21" s="90">
        <f t="shared" si="4"/>
        <v>-0.23376922789389054</v>
      </c>
      <c r="I21" s="130">
        <f t="shared" si="0"/>
        <v>315.50573524208085</v>
      </c>
      <c r="J21" s="130">
        <f t="shared" si="5"/>
        <v>2.2508492473625852E-2</v>
      </c>
      <c r="O21" s="89"/>
      <c r="P21" s="129" t="s">
        <v>141</v>
      </c>
      <c r="Q21" s="116">
        <v>12340237</v>
      </c>
      <c r="R21" s="116">
        <v>16387958823</v>
      </c>
      <c r="S21" s="116">
        <v>39112.559999999998</v>
      </c>
      <c r="T21" s="130">
        <f t="shared" ref="T21" si="9">Q21/S21</f>
        <v>315.50573524208085</v>
      </c>
      <c r="U21" s="78"/>
    </row>
    <row r="22" spans="1:26" hidden="1">
      <c r="A22" s="129" t="s">
        <v>156</v>
      </c>
      <c r="B22" s="131">
        <f>SUM(F20:F22)</f>
        <v>2616200.9642857146</v>
      </c>
      <c r="C22" s="131">
        <f>AVERAGE(F20:F22)</f>
        <v>872066.98809523822</v>
      </c>
      <c r="D22" s="90">
        <f>C22/C19-1</f>
        <v>-0.13704567231690667</v>
      </c>
      <c r="E22" s="286">
        <f>C22/C10-1</f>
        <v>-3.4102425168510475E-2</v>
      </c>
      <c r="F22" s="78">
        <f>Q22/21</f>
        <v>1541281.3809523811</v>
      </c>
      <c r="G22" s="90">
        <f t="shared" si="3"/>
        <v>1.6228758005214972</v>
      </c>
      <c r="H22" s="90">
        <f t="shared" si="4"/>
        <v>0.44887308360737865</v>
      </c>
      <c r="I22" s="130">
        <f t="shared" si="0"/>
        <v>816.22984826812615</v>
      </c>
      <c r="J22" s="130">
        <f t="shared" si="5"/>
        <v>-3.5075027059273012E-2</v>
      </c>
      <c r="K22" s="78">
        <f>R20+R21+R22</f>
        <v>71066476478</v>
      </c>
      <c r="L22" s="87">
        <f>U22/U19-1</f>
        <v>-0.1282649044509695</v>
      </c>
      <c r="M22" s="87">
        <f>U22/U10-1</f>
        <v>-4.2669400376740718E-2</v>
      </c>
      <c r="N22" s="88">
        <f>AVERAGE(T20:T22)</f>
        <v>552.17480200159707</v>
      </c>
      <c r="O22" s="89">
        <f>N22/N19-1</f>
        <v>-0.3426438661601181</v>
      </c>
      <c r="P22" s="129" t="s">
        <v>156</v>
      </c>
      <c r="Q22" s="116">
        <v>32366909</v>
      </c>
      <c r="R22" s="116">
        <v>41901253251</v>
      </c>
      <c r="S22" s="116">
        <v>39654.160000000003</v>
      </c>
      <c r="T22" s="130">
        <f t="shared" ref="T22:T23" si="10">Q22/S22</f>
        <v>816.22984826812615</v>
      </c>
      <c r="U22" s="85">
        <f>Q20+Q21+Q22</f>
        <v>54452931</v>
      </c>
    </row>
    <row r="23" spans="1:26" hidden="1">
      <c r="A23" s="129" t="s">
        <v>189</v>
      </c>
      <c r="B23" s="131"/>
      <c r="C23" s="131"/>
      <c r="F23" s="78">
        <f>Q23/21</f>
        <v>513031.14285714284</v>
      </c>
      <c r="G23" s="90">
        <f t="shared" ref="G23" si="11">F23/F22-1</f>
        <v>-0.66713985570880441</v>
      </c>
      <c r="H23" s="90">
        <f t="shared" ref="H23" si="12">F23/F11-1</f>
        <v>-0.38776038351730291</v>
      </c>
      <c r="I23" s="130">
        <f t="shared" si="0"/>
        <v>371.12433202192096</v>
      </c>
      <c r="J23" s="130">
        <f t="shared" si="5"/>
        <v>-7.9541797867994202E-2</v>
      </c>
      <c r="O23" s="89"/>
      <c r="P23" s="129" t="s">
        <v>189</v>
      </c>
      <c r="Q23" s="116">
        <v>10773654</v>
      </c>
      <c r="R23" s="116">
        <v>13894710409</v>
      </c>
      <c r="S23" s="116">
        <v>29029.77</v>
      </c>
      <c r="T23" s="130">
        <f t="shared" si="10"/>
        <v>371.12433202192096</v>
      </c>
      <c r="U23" s="78"/>
    </row>
    <row r="24" spans="1:26" hidden="1">
      <c r="A24" s="129" t="s">
        <v>204</v>
      </c>
      <c r="B24" s="131"/>
      <c r="C24" s="131"/>
      <c r="F24" s="78">
        <f>Q24/22</f>
        <v>1014549.9090909091</v>
      </c>
      <c r="G24" s="90">
        <f t="shared" ref="G24" si="13">F24/F23-1</f>
        <v>0.97756008229975566</v>
      </c>
      <c r="H24" s="90">
        <f t="shared" ref="H24" si="14">F24/F12-1</f>
        <v>0.34901646735720848</v>
      </c>
      <c r="I24" s="130">
        <f t="shared" si="0"/>
        <v>523.09660581633068</v>
      </c>
      <c r="J24" s="130">
        <f t="shared" si="5"/>
        <v>-0.41753792724147243</v>
      </c>
      <c r="O24" s="89"/>
      <c r="P24" s="129" t="s">
        <v>204</v>
      </c>
      <c r="Q24" s="116">
        <v>22320098</v>
      </c>
      <c r="R24" s="116">
        <v>29411962009</v>
      </c>
      <c r="S24" s="116">
        <v>42669.17</v>
      </c>
      <c r="T24" s="130">
        <f t="shared" ref="T24" si="15">Q24/S24</f>
        <v>523.09660581633068</v>
      </c>
      <c r="U24" s="78"/>
    </row>
    <row r="25" spans="1:26" ht="13.2" hidden="1">
      <c r="A25" s="129" t="s">
        <v>218</v>
      </c>
      <c r="B25" s="131">
        <f>SUM(F23:F25)</f>
        <v>2300662.7887901571</v>
      </c>
      <c r="C25" s="131">
        <f>AVERAGE(F23:F25)</f>
        <v>766887.59626338573</v>
      </c>
      <c r="D25" s="90">
        <f>C25/C22-1</f>
        <v>-0.12060930326187957</v>
      </c>
      <c r="E25" s="286">
        <f>C25/C13-1</f>
        <v>-0.26176633060332977</v>
      </c>
      <c r="F25" s="78">
        <f>Q25/19</f>
        <v>773081.73684210528</v>
      </c>
      <c r="G25" s="90">
        <f t="shared" ref="G25" si="16">F25/F24-1</f>
        <v>-0.23800521796426177</v>
      </c>
      <c r="H25" s="90">
        <f t="shared" ref="H25" si="17">F25/F13-1</f>
        <v>-0.49353210488954502</v>
      </c>
      <c r="I25" s="130">
        <f t="shared" si="0"/>
        <v>351.27666611582464</v>
      </c>
      <c r="J25" s="130">
        <f t="shared" si="5"/>
        <v>-0.24463016222066558</v>
      </c>
      <c r="K25" s="78">
        <f>R23+R24+R25</f>
        <v>62801182323</v>
      </c>
      <c r="L25" s="90">
        <f>U25/U22-1</f>
        <v>-0.1225026068844669</v>
      </c>
      <c r="M25" s="90">
        <f>U25/U13-1</f>
        <v>-0.26114721293447707</v>
      </c>
      <c r="N25" s="88">
        <f>AVERAGE(T23:T25)</f>
        <v>415.16586798469211</v>
      </c>
      <c r="O25" s="91">
        <f>N25/N22-1</f>
        <v>-0.24812601647206034</v>
      </c>
      <c r="P25" s="129" t="s">
        <v>226</v>
      </c>
      <c r="Q25" s="116">
        <v>14688553</v>
      </c>
      <c r="R25" s="116">
        <v>19494509905</v>
      </c>
      <c r="S25" s="116">
        <v>41814.769999999997</v>
      </c>
      <c r="T25" s="130">
        <f t="shared" ref="T25" si="18">Q25/S25</f>
        <v>351.27666611582464</v>
      </c>
      <c r="U25" s="85">
        <f>Q23+Q24+Q25</f>
        <v>47782305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994901.94736842101</v>
      </c>
      <c r="G26" s="90">
        <f t="shared" ref="G26" si="19">F26/F25-1</f>
        <v>0.28692982896273023</v>
      </c>
      <c r="H26" s="90">
        <f t="shared" ref="H26" si="20">F26/F14-1</f>
        <v>0.34794233241721262</v>
      </c>
      <c r="I26" s="130">
        <f t="shared" si="0"/>
        <v>341.4443988658702</v>
      </c>
      <c r="J26" s="130">
        <f t="shared" si="5"/>
        <v>-0.22132234447753274</v>
      </c>
      <c r="L26" s="90"/>
      <c r="M26" s="90"/>
      <c r="P26" s="129" t="s">
        <v>312</v>
      </c>
      <c r="Q26" s="116">
        <v>18903137</v>
      </c>
      <c r="R26" s="116">
        <v>25427348988</v>
      </c>
      <c r="S26" s="116">
        <v>55362.27</v>
      </c>
      <c r="T26" s="130">
        <f t="shared" ref="T26" si="21">Q26/S26</f>
        <v>341.4443988658702</v>
      </c>
      <c r="U26" s="78"/>
      <c r="V26" s="79"/>
      <c r="W26" s="79"/>
      <c r="X26" s="79"/>
      <c r="Y26" s="79"/>
      <c r="Z26" s="79"/>
    </row>
    <row r="27" spans="1:26" ht="13.2" hidden="1">
      <c r="A27" s="129" t="s">
        <v>375</v>
      </c>
      <c r="B27" s="131"/>
      <c r="C27" s="131"/>
      <c r="D27" s="132"/>
      <c r="E27" s="286"/>
      <c r="F27" s="78">
        <f>Q27/22</f>
        <v>1137976.0909090908</v>
      </c>
      <c r="G27" s="90">
        <f t="shared" ref="G27" si="22">F27/F26-1</f>
        <v>0.14380728062610593</v>
      </c>
      <c r="H27" s="90">
        <f t="shared" ref="H27" si="23">F27/F15-1</f>
        <v>-0.29608680031551371</v>
      </c>
      <c r="I27" s="130">
        <f t="shared" si="0"/>
        <v>2894.4016037698761</v>
      </c>
      <c r="J27" s="130">
        <f t="shared" si="5"/>
        <v>0.86092145920181506</v>
      </c>
      <c r="L27" s="90"/>
      <c r="M27" s="90"/>
      <c r="P27" s="129" t="s">
        <v>375</v>
      </c>
      <c r="Q27" s="116">
        <v>25035474</v>
      </c>
      <c r="R27" s="116">
        <v>32732004272</v>
      </c>
      <c r="S27" s="116">
        <v>8649.6200000000008</v>
      </c>
      <c r="T27" s="130">
        <f t="shared" ref="T27" si="24">Q27/S27</f>
        <v>2894.4016037698761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3777569.4593301434</v>
      </c>
      <c r="C28" s="131">
        <f>AVERAGE(F26:F28)</f>
        <v>1259189.8197767145</v>
      </c>
      <c r="D28" s="90">
        <f>C28/C25-1</f>
        <v>0.64194834537948209</v>
      </c>
      <c r="E28" s="286">
        <f>C28/C16-1</f>
        <v>5.8490794718707662E-2</v>
      </c>
      <c r="F28" s="78">
        <f>Q28/19</f>
        <v>1644691.4210526317</v>
      </c>
      <c r="G28" s="90">
        <f t="shared" ref="G28" si="25">F28/F27-1</f>
        <v>0.44527765933882058</v>
      </c>
      <c r="H28" s="90">
        <f t="shared" ref="H28" si="26">F28/F16-1</f>
        <v>0.35466568702945955</v>
      </c>
      <c r="I28" s="130">
        <f t="shared" si="0"/>
        <v>1318.0179078239282</v>
      </c>
      <c r="J28" s="130">
        <f t="shared" si="5"/>
        <v>0.21853139247945785</v>
      </c>
      <c r="K28" s="78">
        <f>R26+R27+R28</f>
        <v>98832173268</v>
      </c>
      <c r="L28" s="90">
        <f>U28/U25-1</f>
        <v>0.5735479483461503</v>
      </c>
      <c r="M28" s="90">
        <f>U28/U16-1</f>
        <v>-2.4017305331409666E-2</v>
      </c>
      <c r="N28" s="88">
        <f>AVERAGE(T26:T28)</f>
        <v>1517.9546368198914</v>
      </c>
      <c r="O28" s="91">
        <f>N28/N25-1</f>
        <v>2.6562606752534412</v>
      </c>
      <c r="P28" s="129" t="s">
        <v>413</v>
      </c>
      <c r="Q28" s="116">
        <v>31249137</v>
      </c>
      <c r="R28" s="116">
        <v>40672820008</v>
      </c>
      <c r="S28" s="116">
        <v>23709.19</v>
      </c>
      <c r="T28" s="130">
        <f t="shared" ref="T28" si="27">Q28/S28</f>
        <v>1318.0179078239282</v>
      </c>
      <c r="U28" s="85">
        <f>Q26+Q27+Q28</f>
        <v>75187748</v>
      </c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87"/>
      <c r="F29" s="136">
        <f>Q29/22</f>
        <v>1086798.9545454546</v>
      </c>
      <c r="G29" s="190">
        <f t="shared" ref="G29" si="28">F29/F28-1</f>
        <v>-0.33920798720413825</v>
      </c>
      <c r="H29" s="190">
        <f t="shared" ref="H29" si="29">F29/F17-1</f>
        <v>-2.4593711616155423E-2</v>
      </c>
      <c r="I29" s="130">
        <f t="shared" si="0"/>
        <v>927.55144199752567</v>
      </c>
      <c r="J29" s="130">
        <f t="shared" si="5"/>
        <v>0.10781996366455271</v>
      </c>
      <c r="K29" s="136"/>
      <c r="L29" s="190"/>
      <c r="M29" s="190"/>
      <c r="N29" s="191"/>
      <c r="O29" s="192"/>
      <c r="P29" s="129" t="s">
        <v>427</v>
      </c>
      <c r="Q29" s="116">
        <v>23909577</v>
      </c>
      <c r="R29" s="116">
        <v>31449400297</v>
      </c>
      <c r="S29" s="116">
        <v>25777.09</v>
      </c>
      <c r="T29" s="130">
        <f t="shared" ref="T29" si="30">Q29/S29</f>
        <v>927.55144199752567</v>
      </c>
      <c r="U29" s="85"/>
      <c r="V29" s="79"/>
      <c r="W29" s="79"/>
      <c r="X29" s="79"/>
      <c r="Y29" s="79"/>
      <c r="Z29" s="79"/>
    </row>
    <row r="30" spans="1:26" ht="13.2" hidden="1">
      <c r="A30" s="129" t="s">
        <v>472</v>
      </c>
      <c r="B30" s="188"/>
      <c r="C30" s="188"/>
      <c r="D30" s="189"/>
      <c r="E30" s="287"/>
      <c r="F30" s="136">
        <f>Q30/19</f>
        <v>535321.42105263157</v>
      </c>
      <c r="G30" s="190">
        <f t="shared" ref="G30" si="31">F30/F29-1</f>
        <v>-0.50743288920762186</v>
      </c>
      <c r="H30" s="190">
        <f t="shared" ref="H30" si="32">F30/F18-1</f>
        <v>-0.46562679747658609</v>
      </c>
      <c r="I30" s="130">
        <f t="shared" si="0"/>
        <v>390.26578927173665</v>
      </c>
      <c r="J30" s="130">
        <f t="shared" si="5"/>
        <v>-0.51631928851159925</v>
      </c>
      <c r="K30" s="136"/>
      <c r="L30" s="190"/>
      <c r="M30" s="190"/>
      <c r="N30" s="191"/>
      <c r="O30" s="192"/>
      <c r="P30" s="129" t="s">
        <v>472</v>
      </c>
      <c r="Q30" s="116">
        <v>10171107</v>
      </c>
      <c r="R30" s="116">
        <v>13551286036</v>
      </c>
      <c r="S30" s="116">
        <v>26062</v>
      </c>
      <c r="T30" s="130">
        <f t="shared" ref="T30" si="33">Q30/S30</f>
        <v>390.26578927173665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3665043.0755980862</v>
      </c>
      <c r="C31" s="188">
        <f>AVERAGE(F29:F31)</f>
        <v>1221681.0251993621</v>
      </c>
      <c r="D31" s="190">
        <f>C31/C28-1</f>
        <v>-2.9788038299105479E-2</v>
      </c>
      <c r="E31" s="287">
        <f>C31/C19-1</f>
        <v>0.20891507434171186</v>
      </c>
      <c r="F31" s="136">
        <f>Q31/20</f>
        <v>2042922.7</v>
      </c>
      <c r="G31" s="190">
        <f t="shared" ref="G31" si="34">F31/F30-1</f>
        <v>2.8162543467490804</v>
      </c>
      <c r="H31" s="190">
        <f t="shared" ref="H31" si="35">F31/F19-1</f>
        <v>1.2309864399875643</v>
      </c>
      <c r="I31" s="130">
        <f t="shared" si="0"/>
        <v>1583.184825029371</v>
      </c>
      <c r="J31" s="130">
        <f t="shared" si="5"/>
        <v>0.80762444039840475</v>
      </c>
      <c r="K31" s="136">
        <f>R29+R30+R31</f>
        <v>99164585455</v>
      </c>
      <c r="L31" s="190">
        <f>U31/U28-1</f>
        <v>-3.3065227595325819E-3</v>
      </c>
      <c r="M31" s="190">
        <f>U31/U19-1</f>
        <v>0.19969807731363409</v>
      </c>
      <c r="N31" s="191">
        <f>AVERAGE(T29:T31)</f>
        <v>967.00068543287773</v>
      </c>
      <c r="O31" s="192">
        <f>N31/N28-1</f>
        <v>-0.36295811351863583</v>
      </c>
      <c r="P31" s="129" t="s">
        <v>507</v>
      </c>
      <c r="Q31" s="116">
        <v>40858454</v>
      </c>
      <c r="R31" s="116">
        <v>54163899122</v>
      </c>
      <c r="S31" s="116">
        <v>25807.759999999998</v>
      </c>
      <c r="T31" s="130">
        <f t="shared" ref="T31" si="36">Q31/S31</f>
        <v>1583.184825029371</v>
      </c>
      <c r="U31" s="85">
        <f>Q29+Q30+Q31</f>
        <v>74939138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810398.04761904757</v>
      </c>
      <c r="G32" s="190">
        <f t="shared" ref="G32" si="37">F32/F31-1</f>
        <v>-0.6033143850136633</v>
      </c>
      <c r="H32" s="190">
        <f t="shared" ref="H32" si="38">F32/F20-1</f>
        <v>0.66307392912740748</v>
      </c>
      <c r="I32" s="130">
        <f t="shared" si="0"/>
        <v>572.17704098117315</v>
      </c>
      <c r="J32" s="130">
        <f t="shared" si="5"/>
        <v>9.0299595676083255E-2</v>
      </c>
      <c r="K32" s="136"/>
      <c r="L32" s="190"/>
      <c r="M32" s="190"/>
      <c r="N32" s="191"/>
      <c r="O32" s="192"/>
      <c r="P32" s="129" t="s">
        <v>562</v>
      </c>
      <c r="Q32" s="116">
        <v>17018359</v>
      </c>
      <c r="R32" s="116">
        <v>23301539048</v>
      </c>
      <c r="S32" s="116">
        <v>29743.17</v>
      </c>
      <c r="T32" s="130">
        <f t="shared" ref="T32" si="39">Q32/S32</f>
        <v>572.17704098117315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1068598.0952380951</v>
      </c>
      <c r="G33" s="190">
        <f t="shared" ref="G33" si="40">F33/F32-1</f>
        <v>0.31860892110690564</v>
      </c>
      <c r="H33" s="190">
        <f t="shared" ref="H33" si="41">F33/F21-1</f>
        <v>0.81848695450500641</v>
      </c>
      <c r="I33" s="130">
        <f t="shared" si="0"/>
        <v>529.58073544751289</v>
      </c>
      <c r="J33" s="130">
        <f t="shared" si="5"/>
        <v>0.67851381541821043</v>
      </c>
      <c r="K33" s="136"/>
      <c r="L33" s="190"/>
      <c r="M33" s="190"/>
      <c r="N33" s="191"/>
      <c r="O33" s="192"/>
      <c r="P33" s="129" t="s">
        <v>607</v>
      </c>
      <c r="Q33" s="116">
        <v>22440560</v>
      </c>
      <c r="R33" s="116">
        <v>30765036216</v>
      </c>
      <c r="S33" s="116">
        <v>42374.2</v>
      </c>
      <c r="T33" s="130">
        <f t="shared" ref="T33" si="42">Q33/S33</f>
        <v>529.58073544751289</v>
      </c>
      <c r="U33" s="85"/>
    </row>
    <row r="34" spans="1:21" s="79" customFormat="1" ht="13.2" hidden="1">
      <c r="A34" s="129" t="s">
        <v>652</v>
      </c>
      <c r="B34" s="188">
        <f>SUM(F32:F34)</f>
        <v>2518459.3007518798</v>
      </c>
      <c r="C34" s="188">
        <f>AVERAGE(F32:F34)</f>
        <v>839486.43358395994</v>
      </c>
      <c r="D34" s="190">
        <f>C34/C31-1</f>
        <v>-0.31284319207055955</v>
      </c>
      <c r="E34" s="287">
        <f>C34/C22-1</f>
        <v>-3.7360151176505929E-2</v>
      </c>
      <c r="F34" s="136">
        <f>Q34/19</f>
        <v>639463.15789473685</v>
      </c>
      <c r="G34" s="190">
        <f t="shared" ref="G34" si="43">F34/F33-1</f>
        <v>-0.40158684472270412</v>
      </c>
      <c r="H34" s="190">
        <f t="shared" ref="H34" si="44">F34/F22-1</f>
        <v>-0.58510939936249473</v>
      </c>
      <c r="I34" s="130">
        <f t="shared" si="0"/>
        <v>432.89747144522084</v>
      </c>
      <c r="J34" s="130">
        <f t="shared" si="5"/>
        <v>-0.46963778356826658</v>
      </c>
      <c r="K34" s="136">
        <f>R32+R33+R34</f>
        <v>70774591950</v>
      </c>
      <c r="L34" s="190">
        <f>U34/U31-1</f>
        <v>-0.31132489140721098</v>
      </c>
      <c r="M34" s="190">
        <f>U34/U22-1</f>
        <v>-5.2232486805898426E-2</v>
      </c>
      <c r="N34" s="191">
        <f>AVERAGE(T32:T34)</f>
        <v>511.55174929130231</v>
      </c>
      <c r="O34" s="192">
        <f>N34/N31-1</f>
        <v>-0.47099132710303482</v>
      </c>
      <c r="P34" s="129" t="s">
        <v>652</v>
      </c>
      <c r="Q34" s="116">
        <v>12149800</v>
      </c>
      <c r="R34" s="116">
        <v>16708016686</v>
      </c>
      <c r="S34" s="116">
        <v>28066.23</v>
      </c>
      <c r="T34" s="130">
        <f t="shared" ref="T34" si="45">Q34/S34</f>
        <v>432.89747144522084</v>
      </c>
      <c r="U34" s="85">
        <f>Q32+Q33+Q34</f>
        <v>51608719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556550.43478260865</v>
      </c>
      <c r="G35" s="190">
        <f t="shared" ref="G35" si="46">F35/F34-1</f>
        <v>-0.12965989062621908</v>
      </c>
      <c r="H35" s="190">
        <f t="shared" ref="H35" si="47">F35/F23-1</f>
        <v>8.4827778062557257E-2</v>
      </c>
      <c r="I35" s="130">
        <f t="shared" si="0"/>
        <v>368.93688535906227</v>
      </c>
      <c r="J35" s="130">
        <f t="shared" si="5"/>
        <v>-5.8941073762026619E-3</v>
      </c>
      <c r="K35" s="136"/>
      <c r="L35" s="190"/>
      <c r="M35" s="190"/>
      <c r="N35" s="191"/>
      <c r="O35" s="192"/>
      <c r="P35" s="129" t="s">
        <v>660</v>
      </c>
      <c r="Q35" s="116">
        <v>12800660</v>
      </c>
      <c r="R35" s="116">
        <v>17725420142</v>
      </c>
      <c r="S35" s="116">
        <v>34696.07</v>
      </c>
      <c r="T35" s="130">
        <f t="shared" ref="T35" si="48">Q35/S35</f>
        <v>368.93688535906227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544348.61904761905</v>
      </c>
      <c r="G36" s="190">
        <f t="shared" ref="G36" si="49">F36/F35-1</f>
        <v>-2.1924007192188566E-2</v>
      </c>
      <c r="H36" s="190">
        <f t="shared" ref="H36" si="50">F36/F24-1</f>
        <v>-0.46345801801373721</v>
      </c>
      <c r="I36" s="130">
        <f t="shared" si="0"/>
        <v>443.94824386913467</v>
      </c>
      <c r="J36" s="130">
        <f t="shared" si="5"/>
        <v>-0.1513073513900538</v>
      </c>
      <c r="K36" s="136"/>
      <c r="L36" s="190"/>
      <c r="M36" s="190"/>
      <c r="N36" s="191"/>
      <c r="O36" s="192"/>
      <c r="P36" s="129" t="s">
        <v>666</v>
      </c>
      <c r="Q36" s="116">
        <v>11431321</v>
      </c>
      <c r="R36" s="116">
        <v>15631766306</v>
      </c>
      <c r="S36" s="116">
        <v>25749.22</v>
      </c>
      <c r="T36" s="130">
        <f t="shared" ref="T36" si="51">Q36/S36</f>
        <v>443.94824386913467</v>
      </c>
      <c r="U36" s="85"/>
    </row>
    <row r="37" spans="1:21" s="79" customFormat="1" ht="13.2" hidden="1">
      <c r="A37" s="129" t="s">
        <v>702</v>
      </c>
      <c r="B37" s="188">
        <f>SUM(F35:F37)</f>
        <v>1852543.8871635613</v>
      </c>
      <c r="C37" s="188">
        <f>AVERAGE(F35:F37)</f>
        <v>617514.6290545204</v>
      </c>
      <c r="D37" s="190">
        <f>C37/C34-1</f>
        <v>-0.26441380783461987</v>
      </c>
      <c r="E37" s="287">
        <f>C37/C25-1</f>
        <v>-0.19477817601520253</v>
      </c>
      <c r="F37" s="136">
        <f>Q37/18</f>
        <v>751644.83333333337</v>
      </c>
      <c r="G37" s="190">
        <f t="shared" ref="G37" si="52">F37/F36-1</f>
        <v>0.38081517437923407</v>
      </c>
      <c r="H37" s="190">
        <f t="shared" ref="H37" si="53">F37/F25-1</f>
        <v>-2.7729155258973903E-2</v>
      </c>
      <c r="I37" s="130">
        <f t="shared" si="0"/>
        <v>512.26662415954411</v>
      </c>
      <c r="J37" s="130">
        <f t="shared" si="5"/>
        <v>0.45829960704146822</v>
      </c>
      <c r="K37" s="136">
        <f>R35+R36+R37</f>
        <v>51408744163</v>
      </c>
      <c r="L37" s="190">
        <f>U37/U34-1</f>
        <v>-0.26830991484210254</v>
      </c>
      <c r="M37" s="190">
        <f>U37/U25-1</f>
        <v>-0.20971606539282694</v>
      </c>
      <c r="N37" s="191">
        <f>AVERAGE(T35:T37)</f>
        <v>441.71725112924702</v>
      </c>
      <c r="O37" s="192">
        <f>N37/N34-1</f>
        <v>-0.13651502171344965</v>
      </c>
      <c r="P37" s="129" t="s">
        <v>702</v>
      </c>
      <c r="Q37" s="116">
        <v>13529607</v>
      </c>
      <c r="R37" s="116">
        <v>18051557715</v>
      </c>
      <c r="S37" s="116">
        <v>26411.26</v>
      </c>
      <c r="T37" s="130">
        <f t="shared" ref="T37" si="54">Q37/S37</f>
        <v>512.26662415954411</v>
      </c>
      <c r="U37" s="85">
        <f>Q35+Q36+Q37</f>
        <v>37761588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712242.5</v>
      </c>
      <c r="G38" s="190">
        <f t="shared" ref="G38" si="55">F38/F37-1</f>
        <v>-5.2421478317884684E-2</v>
      </c>
      <c r="H38" s="190">
        <f t="shared" ref="H38" si="56">F38/F26-1</f>
        <v>-0.28410784411074197</v>
      </c>
      <c r="I38" s="130">
        <f t="shared" si="0"/>
        <v>744.22326201532235</v>
      </c>
      <c r="J38" s="130">
        <f t="shared" si="5"/>
        <v>1.179632363240716</v>
      </c>
      <c r="K38" s="136"/>
      <c r="L38" s="190"/>
      <c r="M38" s="190"/>
      <c r="N38" s="191"/>
      <c r="O38" s="192"/>
      <c r="P38" s="129" t="s">
        <v>728</v>
      </c>
      <c r="Q38" s="116">
        <v>14244850</v>
      </c>
      <c r="R38" s="116">
        <v>19169481877</v>
      </c>
      <c r="S38" s="116">
        <v>19140.560000000001</v>
      </c>
      <c r="T38" s="130">
        <f t="shared" ref="T38" si="57">Q38/S38</f>
        <v>744.22326201532235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1680127.3333333333</v>
      </c>
      <c r="G39" s="190">
        <f t="shared" ref="G39" si="58">F39/F38-1</f>
        <v>1.358925974416485</v>
      </c>
      <c r="H39" s="190">
        <f t="shared" ref="H39" si="59">F39/F27-1</f>
        <v>0.47641707655838017</v>
      </c>
      <c r="I39" s="130">
        <f t="shared" si="0"/>
        <v>1177.1391414475045</v>
      </c>
      <c r="J39" s="130">
        <f t="shared" si="5"/>
        <v>-0.59330483374721943</v>
      </c>
      <c r="K39" s="136"/>
      <c r="L39" s="190"/>
      <c r="M39" s="190"/>
      <c r="N39" s="191"/>
      <c r="O39" s="192"/>
      <c r="P39" s="129" t="s">
        <v>762</v>
      </c>
      <c r="Q39" s="116">
        <v>35282674</v>
      </c>
      <c r="R39" s="116">
        <v>49002819670</v>
      </c>
      <c r="S39" s="116">
        <v>29973.24</v>
      </c>
      <c r="T39" s="130">
        <f t="shared" ref="T39" si="60">Q39/S39</f>
        <v>1177.1391414475045</v>
      </c>
      <c r="U39" s="85"/>
    </row>
    <row r="40" spans="1:21" s="79" customFormat="1" ht="13.2" hidden="1">
      <c r="A40" s="129" t="s">
        <v>778</v>
      </c>
      <c r="B40" s="188">
        <f>SUM(F38:F40)</f>
        <v>3254619.9761904757</v>
      </c>
      <c r="C40" s="188">
        <f>AVERAGE(F38:F40)</f>
        <v>1084873.3253968253</v>
      </c>
      <c r="D40" s="190">
        <f>C40/C37-1</f>
        <v>0.75683825832252771</v>
      </c>
      <c r="E40" s="287">
        <f>C40/C28-1</f>
        <v>-0.138435438122268</v>
      </c>
      <c r="F40" s="136">
        <f>Q40/21</f>
        <v>862250.14285714284</v>
      </c>
      <c r="G40" s="190">
        <f t="shared" ref="G40" si="61">F40/F39-1</f>
        <v>-0.48679476504530239</v>
      </c>
      <c r="H40" s="190">
        <f t="shared" ref="H40" si="62">F40/F28-1</f>
        <v>-0.47573743510786515</v>
      </c>
      <c r="I40" s="130">
        <f t="shared" si="0"/>
        <v>613.81642240230838</v>
      </c>
      <c r="J40" s="130">
        <f t="shared" si="5"/>
        <v>-0.5342882530209847</v>
      </c>
      <c r="K40" s="136">
        <f>R38+R39+R40</f>
        <v>93608587226</v>
      </c>
      <c r="L40" s="190">
        <f>U40/U37-1</f>
        <v>0.7910999134888077</v>
      </c>
      <c r="M40" s="190">
        <f>U40/U28-1</f>
        <v>-0.10045481080241958</v>
      </c>
      <c r="N40" s="191">
        <f>AVERAGE(T38:T40)</f>
        <v>845.05960862171185</v>
      </c>
      <c r="O40" s="192">
        <f>N40/N37-1</f>
        <v>0.91312339842132717</v>
      </c>
      <c r="P40" s="129" t="s">
        <v>778</v>
      </c>
      <c r="Q40" s="116">
        <v>18107253</v>
      </c>
      <c r="R40" s="116">
        <v>25436285679</v>
      </c>
      <c r="S40" s="116">
        <v>29499.46</v>
      </c>
      <c r="T40" s="130">
        <f t="shared" ref="T40" si="63">Q40/S40</f>
        <v>613.81642240230838</v>
      </c>
      <c r="U40" s="85">
        <f>Q38+Q39+Q40</f>
        <v>67634777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836081.0555555555</v>
      </c>
      <c r="G41" s="190">
        <f t="shared" ref="G41" si="64">F41/F40-1</f>
        <v>-3.0349762790266133E-2</v>
      </c>
      <c r="H41" s="190">
        <f t="shared" ref="H41" si="65">F41/F29-1</f>
        <v>-0.23069390887918173</v>
      </c>
      <c r="I41" s="130">
        <f t="shared" si="0"/>
        <v>556.26865230296107</v>
      </c>
      <c r="J41" s="130">
        <f t="shared" si="5"/>
        <v>-0.40028269364229507</v>
      </c>
      <c r="K41" s="193"/>
      <c r="L41" s="190"/>
      <c r="M41" s="190"/>
      <c r="N41" s="193"/>
      <c r="O41" s="193"/>
      <c r="P41" s="129" t="s">
        <v>792</v>
      </c>
      <c r="Q41" s="116">
        <v>15049459</v>
      </c>
      <c r="R41" s="116">
        <v>22017928957</v>
      </c>
      <c r="S41" s="116">
        <v>27054.3</v>
      </c>
      <c r="T41" s="130">
        <f t="shared" ref="T41" si="66">Q41/S41</f>
        <v>556.26865230296107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408535.6</v>
      </c>
      <c r="G42" s="190">
        <f t="shared" ref="G42" si="67">F42/F41-1</f>
        <v>-0.51136842859268228</v>
      </c>
      <c r="H42" s="190">
        <f t="shared" ref="H42" si="68">F42/F30-1</f>
        <v>-0.23684055236072143</v>
      </c>
      <c r="I42" s="130">
        <f t="shared" si="0"/>
        <v>230.43515169462248</v>
      </c>
      <c r="J42" s="130">
        <f t="shared" si="5"/>
        <v>-0.40954303956636673</v>
      </c>
      <c r="K42" s="193"/>
      <c r="L42" s="190"/>
      <c r="M42" s="190"/>
      <c r="N42" s="193"/>
      <c r="O42" s="193"/>
      <c r="P42" s="129" t="s">
        <v>826</v>
      </c>
      <c r="Q42" s="116">
        <v>8170712</v>
      </c>
      <c r="R42" s="116">
        <v>11863334811</v>
      </c>
      <c r="S42" s="116">
        <v>35457.75</v>
      </c>
      <c r="T42" s="130">
        <f t="shared" ref="T42" si="69">Q42/S42</f>
        <v>230.43515169462248</v>
      </c>
      <c r="U42" s="78"/>
    </row>
    <row r="43" spans="1:21" s="79" customFormat="1" ht="13.2">
      <c r="A43" s="129" t="s">
        <v>835</v>
      </c>
      <c r="B43" s="188">
        <f>SUM(F41:F43)</f>
        <v>3164006.8555555558</v>
      </c>
      <c r="C43" s="188">
        <f>AVERAGE(F41:F43)</f>
        <v>1054668.951851852</v>
      </c>
      <c r="D43" s="190">
        <f>C43/C40-1</f>
        <v>-2.7841382802849535E-2</v>
      </c>
      <c r="E43" s="287">
        <f>C43/C31-1</f>
        <v>-0.1367067752568687</v>
      </c>
      <c r="F43" s="136">
        <f>Q43/20</f>
        <v>1919390.2</v>
      </c>
      <c r="G43" s="190">
        <f t="shared" ref="G43" si="70">F43/F42-1</f>
        <v>3.6982201795877767</v>
      </c>
      <c r="H43" s="190">
        <f t="shared" ref="H43" si="71">F43/F31-1</f>
        <v>-6.0468514055867173E-2</v>
      </c>
      <c r="I43" s="130">
        <f t="shared" si="0"/>
        <v>1079.5029221923235</v>
      </c>
      <c r="J43" s="130">
        <f t="shared" si="5"/>
        <v>-0.31814472629732493</v>
      </c>
      <c r="K43" s="136">
        <f>R41+R42+R43</f>
        <v>89626144082</v>
      </c>
      <c r="L43" s="190">
        <f>U43/U40-1</f>
        <v>-8.9108033874348402E-2</v>
      </c>
      <c r="M43" s="190">
        <f>K43/K31-1</f>
        <v>-9.6187982123199234E-2</v>
      </c>
      <c r="N43" s="191">
        <f>AVERAGE(T41:T43)</f>
        <v>622.06890872996894</v>
      </c>
      <c r="O43" s="192">
        <f>N43/N40-1</f>
        <v>-0.26387570488126832</v>
      </c>
      <c r="P43" s="129" t="s">
        <v>835</v>
      </c>
      <c r="Q43" s="116">
        <v>38387804</v>
      </c>
      <c r="R43" s="116">
        <v>55744880314</v>
      </c>
      <c r="S43" s="116">
        <v>35560.629999999997</v>
      </c>
      <c r="T43" s="130">
        <f t="shared" ref="T43" si="72">Q43/S43</f>
        <v>1079.5029221923235</v>
      </c>
      <c r="U43" s="85">
        <f>Q41+Q42+Q43</f>
        <v>61607975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1617090.8636363635</v>
      </c>
      <c r="G44" s="190">
        <f t="shared" ref="G44" si="73">F44/F43-1</f>
        <v>-0.15749759291447696</v>
      </c>
      <c r="H44" s="190">
        <f t="shared" ref="H44" si="74">F44/F32-1</f>
        <v>0.99542788681115701</v>
      </c>
      <c r="I44" s="130">
        <f t="shared" si="0"/>
        <v>562.8775326799971</v>
      </c>
      <c r="J44" s="130">
        <f t="shared" si="5"/>
        <v>-1.6252851189605955E-2</v>
      </c>
      <c r="K44" s="136"/>
      <c r="L44" s="190"/>
      <c r="M44" s="190"/>
      <c r="N44" s="191"/>
      <c r="O44" s="192"/>
      <c r="P44" s="129" t="s">
        <v>843</v>
      </c>
      <c r="Q44" s="116">
        <v>35575999</v>
      </c>
      <c r="R44" s="116">
        <v>51657415524</v>
      </c>
      <c r="S44" s="116">
        <v>63203.8</v>
      </c>
      <c r="T44" s="130">
        <f t="shared" ref="T44" si="75">Q44/S44</f>
        <v>562.8775326799971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1583389.45</v>
      </c>
      <c r="G45" s="190">
        <f t="shared" ref="G45" si="76">F45/F44-1</f>
        <v>-2.0840766832717739E-2</v>
      </c>
      <c r="H45" s="190">
        <f t="shared" ref="H45" si="77">F45/F33-1</f>
        <v>0.48174459327218222</v>
      </c>
      <c r="I45" s="130">
        <f t="shared" si="0"/>
        <v>827.56685152983812</v>
      </c>
      <c r="J45" s="130">
        <f t="shared" si="5"/>
        <v>0.56268307386694749</v>
      </c>
      <c r="K45" s="136"/>
      <c r="L45" s="190"/>
      <c r="M45" s="190"/>
      <c r="N45" s="191"/>
      <c r="O45" s="192"/>
      <c r="P45" s="129" t="s">
        <v>849</v>
      </c>
      <c r="Q45" s="116">
        <v>31667789</v>
      </c>
      <c r="R45" s="116">
        <v>44231840799</v>
      </c>
      <c r="S45" s="116">
        <v>38266.14</v>
      </c>
      <c r="T45" s="130">
        <f t="shared" ref="T45" si="78">Q45/S45</f>
        <v>827.56685152983812</v>
      </c>
      <c r="U45" s="85"/>
    </row>
    <row r="46" spans="1:21" s="79" customFormat="1" ht="13.2">
      <c r="A46" s="129" t="s">
        <v>888</v>
      </c>
      <c r="B46" s="188">
        <f>SUM(F44:F46)</f>
        <v>4343556.7873205738</v>
      </c>
      <c r="C46" s="188">
        <f>AVERAGE(F44:F46)</f>
        <v>1447852.2624401913</v>
      </c>
      <c r="D46" s="190">
        <f>C46/C43-1</f>
        <v>0.37280258406959277</v>
      </c>
      <c r="E46" s="287">
        <f>C46/C34-1</f>
        <v>0.72468810038892273</v>
      </c>
      <c r="F46" s="136">
        <f>Q46/19</f>
        <v>1143076.4736842106</v>
      </c>
      <c r="G46" s="190">
        <f t="shared" ref="G46" si="79">F46/F45-1</f>
        <v>-0.27808255026316453</v>
      </c>
      <c r="H46" s="190">
        <f t="shared" ref="H46" si="80">F46/F34-1</f>
        <v>0.78755642068182197</v>
      </c>
      <c r="I46" s="130">
        <f t="shared" si="0"/>
        <v>332.21297286168175</v>
      </c>
      <c r="J46" s="130">
        <f t="shared" si="5"/>
        <v>-0.23258278281784739</v>
      </c>
      <c r="K46" s="136">
        <f>R44+R45+R46</f>
        <v>125647577715</v>
      </c>
      <c r="L46" s="190">
        <f>U46/U43-1</f>
        <v>0.44400527691423064</v>
      </c>
      <c r="M46" s="190">
        <f>K46/K34-1</f>
        <v>0.77532041164950871</v>
      </c>
      <c r="N46" s="191">
        <f>AVERAGE(T44:T46)</f>
        <v>574.21911902383897</v>
      </c>
      <c r="O46" s="192">
        <f>N46/N43-1</f>
        <v>-7.6920400673650913E-2</v>
      </c>
      <c r="P46" s="129" t="s">
        <v>888</v>
      </c>
      <c r="Q46" s="116">
        <v>21718453</v>
      </c>
      <c r="R46" s="116">
        <v>29758321392</v>
      </c>
      <c r="S46" s="116">
        <v>65375.09</v>
      </c>
      <c r="T46" s="130">
        <f t="shared" ref="T46" si="81">Q46/S46</f>
        <v>332.21297286168175</v>
      </c>
      <c r="U46" s="85">
        <f t="shared" ref="U46:U51" si="82">Q44+Q45+Q46</f>
        <v>88962241</v>
      </c>
    </row>
    <row r="47" spans="1:21" s="79" customFormat="1" ht="13.2">
      <c r="A47" s="129" t="s">
        <v>1016</v>
      </c>
      <c r="B47" s="188"/>
      <c r="C47" s="188"/>
      <c r="D47" s="190"/>
      <c r="E47" s="287"/>
      <c r="F47" s="136">
        <f>Q47/23</f>
        <v>553276.17391304346</v>
      </c>
      <c r="G47" s="190">
        <f t="shared" ref="G47" si="83">F47/F46-1</f>
        <v>-0.51597623899143152</v>
      </c>
      <c r="H47" s="190">
        <f t="shared" ref="H47" si="84">F47/F35-1</f>
        <v>-5.8831341508952528E-3</v>
      </c>
      <c r="I47" s="130">
        <f t="shared" si="0"/>
        <v>866.90510155282425</v>
      </c>
      <c r="J47" s="130">
        <f t="shared" si="5"/>
        <v>1.3497382234067539</v>
      </c>
      <c r="K47" s="136"/>
      <c r="L47" s="190"/>
      <c r="M47" s="190"/>
      <c r="N47" s="191"/>
      <c r="O47" s="192"/>
      <c r="P47" s="129" t="s">
        <v>1029</v>
      </c>
      <c r="Q47" s="116">
        <v>12725352</v>
      </c>
      <c r="R47" s="116">
        <v>17440569703</v>
      </c>
      <c r="S47" s="116">
        <v>14679.06</v>
      </c>
      <c r="T47" s="130">
        <f t="shared" ref="T47" si="85">Q47/S47</f>
        <v>866.90510155282425</v>
      </c>
      <c r="U47" s="85">
        <f t="shared" si="82"/>
        <v>66111594</v>
      </c>
    </row>
    <row r="48" spans="1:21" s="79" customFormat="1" ht="13.2">
      <c r="A48" s="129" t="s">
        <v>1103</v>
      </c>
      <c r="B48" s="188"/>
      <c r="C48" s="188"/>
      <c r="D48" s="190"/>
      <c r="E48" s="287"/>
      <c r="F48" s="136">
        <f>Q48/20</f>
        <v>631973.25</v>
      </c>
      <c r="G48" s="190">
        <f t="shared" ref="G48" si="86">F48/F47-1</f>
        <v>0.14223832472374842</v>
      </c>
      <c r="H48" s="190">
        <f t="shared" ref="H48" si="87">F48/F36-1</f>
        <v>0.16097153163663247</v>
      </c>
      <c r="I48" s="130">
        <f t="shared" si="0"/>
        <v>544.41592552901886</v>
      </c>
      <c r="J48" s="130">
        <f t="shared" si="5"/>
        <v>0.22630494218037644</v>
      </c>
      <c r="K48" s="136"/>
      <c r="L48" s="190"/>
      <c r="M48" s="190"/>
      <c r="N48" s="191"/>
      <c r="O48" s="192"/>
      <c r="P48" s="129" t="s">
        <v>1120</v>
      </c>
      <c r="Q48" s="116">
        <v>12639465</v>
      </c>
      <c r="R48" s="116">
        <v>17530367302</v>
      </c>
      <c r="S48" s="116">
        <v>23216.560000000001</v>
      </c>
      <c r="T48" s="130">
        <f t="shared" ref="T48" si="88">Q48/S48</f>
        <v>544.41592552901886</v>
      </c>
      <c r="U48" s="85">
        <f t="shared" si="82"/>
        <v>47083270</v>
      </c>
    </row>
    <row r="49" spans="1:26" ht="13.2">
      <c r="A49" s="129" t="s">
        <v>1207</v>
      </c>
      <c r="B49" s="188">
        <f>SUM(F47:F49)</f>
        <v>2775314.378458498</v>
      </c>
      <c r="C49" s="188">
        <f>AVERAGE(F47:F49)</f>
        <v>925104.79281949939</v>
      </c>
      <c r="D49" s="190">
        <f>C49/C46-1</f>
        <v>-0.36105028336224043</v>
      </c>
      <c r="E49" s="287">
        <f>C49/C37-1</f>
        <v>0.49810992208546012</v>
      </c>
      <c r="F49" s="136">
        <f>Q49/22</f>
        <v>1590064.9545454546</v>
      </c>
      <c r="G49" s="190">
        <f t="shared" ref="G49" si="89">F49/F48-1</f>
        <v>1.5160320544349855</v>
      </c>
      <c r="H49" s="190">
        <f t="shared" ref="H49" si="90">F49/F37-1</f>
        <v>1.1154471953115994</v>
      </c>
      <c r="I49" s="130">
        <f t="shared" si="0"/>
        <v>544.92510545614743</v>
      </c>
      <c r="J49" s="130">
        <f t="shared" si="5"/>
        <v>6.3752896941480008E-2</v>
      </c>
      <c r="K49" s="136">
        <f>R47+R48+R49</f>
        <v>83570069809</v>
      </c>
      <c r="L49" s="190">
        <f>U49/U46-1</f>
        <v>-0.32166450258374224</v>
      </c>
      <c r="M49" s="190">
        <f>K49/K37-1</f>
        <v>0.62560029756858393</v>
      </c>
      <c r="N49" s="191">
        <f>AVERAGE(T47:T49)</f>
        <v>652.08204417933018</v>
      </c>
      <c r="O49" s="192">
        <f>N49/N46-1</f>
        <v>0.13559793217588556</v>
      </c>
      <c r="P49" s="129" t="s">
        <v>1165</v>
      </c>
      <c r="Q49" s="116">
        <v>34981429</v>
      </c>
      <c r="R49" s="116">
        <v>48599132804</v>
      </c>
      <c r="S49" s="116">
        <v>64194.93</v>
      </c>
      <c r="T49" s="130">
        <f t="shared" ref="T49" si="91">Q49/S49</f>
        <v>544.92510545614743</v>
      </c>
      <c r="U49" s="85">
        <f t="shared" si="82"/>
        <v>60346246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948031.72222222225</v>
      </c>
      <c r="G50" s="190">
        <f t="shared" ref="G50" si="92">F50/F49-1</f>
        <v>-0.40377799063357622</v>
      </c>
      <c r="H50" s="190">
        <f t="shared" ref="H50" si="93">F50/F38-1</f>
        <v>0.33105188502823446</v>
      </c>
      <c r="I50" s="130">
        <f t="shared" ref="I50" si="94">T50</f>
        <v>269.23965692972297</v>
      </c>
      <c r="J50" s="130">
        <f t="shared" ref="J50" si="95">I50/I38-1</f>
        <v>-0.63822730265023653</v>
      </c>
      <c r="K50" s="136"/>
      <c r="L50" s="190"/>
      <c r="M50" s="190"/>
      <c r="N50" s="191"/>
      <c r="O50" s="192"/>
      <c r="P50" s="129" t="s">
        <v>1291</v>
      </c>
      <c r="Q50" s="116">
        <v>17064571</v>
      </c>
      <c r="R50" s="116">
        <v>24162186952</v>
      </c>
      <c r="S50" s="116">
        <v>63380.6</v>
      </c>
      <c r="T50" s="130">
        <f t="shared" ref="T50" si="96">Q50/S50</f>
        <v>269.23965692972297</v>
      </c>
      <c r="U50" s="85">
        <f t="shared" si="82"/>
        <v>64685465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383042.45</v>
      </c>
      <c r="G51" s="190">
        <f t="shared" ref="G51:G52" si="97">F51/F50-1</f>
        <v>-0.59596030278171064</v>
      </c>
      <c r="H51" s="190">
        <f t="shared" ref="H51:H52" si="98">F51/F39-1</f>
        <v>-0.77201582141988445</v>
      </c>
      <c r="I51" s="130">
        <f t="shared" ref="I51:I52" si="99">T51</f>
        <v>455.8070281700364</v>
      </c>
      <c r="J51" s="130">
        <f t="shared" ref="J51:J52" si="100">I51/I39-1</f>
        <v>-0.61278406934159069</v>
      </c>
      <c r="K51" s="136"/>
      <c r="L51" s="190"/>
      <c r="M51" s="190"/>
      <c r="N51" s="191"/>
      <c r="O51" s="192"/>
      <c r="P51" s="129" t="s">
        <v>1402</v>
      </c>
      <c r="Q51" s="116">
        <v>7660849</v>
      </c>
      <c r="R51" s="116">
        <v>11078840910</v>
      </c>
      <c r="S51" s="116">
        <v>16807.22</v>
      </c>
      <c r="T51" s="130">
        <f t="shared" ref="T51:T52" si="101">Q51/S51</f>
        <v>455.8070281700364</v>
      </c>
      <c r="U51" s="85">
        <f t="shared" si="82"/>
        <v>59706849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2744563.3085858589</v>
      </c>
      <c r="C52" s="188">
        <f>AVERAGE(F50:F52)</f>
        <v>914854.43619528634</v>
      </c>
      <c r="D52" s="190">
        <f>C52/C49-1</f>
        <v>-1.1080211348784008E-2</v>
      </c>
      <c r="E52" s="287">
        <f>C52/C40-1</f>
        <v>-0.15671773397078359</v>
      </c>
      <c r="F52" s="136">
        <f>Q52/22</f>
        <v>1413489.1363636365</v>
      </c>
      <c r="G52" s="190">
        <f t="shared" si="97"/>
        <v>2.690163156495152</v>
      </c>
      <c r="H52" s="190">
        <f t="shared" si="98"/>
        <v>0.63930287292260002</v>
      </c>
      <c r="I52" s="130">
        <f t="shared" si="99"/>
        <v>106.58808330105937</v>
      </c>
      <c r="J52" s="130">
        <f t="shared" si="100"/>
        <v>-0.82635185470616279</v>
      </c>
      <c r="K52" s="136">
        <f>R50+R51+R52</f>
        <v>81015380181</v>
      </c>
      <c r="L52" s="190">
        <f>U52/U49-1</f>
        <v>-7.4968457855688286E-2</v>
      </c>
      <c r="M52" s="190">
        <f>K52/K40-1</f>
        <v>-0.13453046796439849</v>
      </c>
      <c r="N52" s="191">
        <f>AVERAGE(T50:T52)</f>
        <v>277.21158946693953</v>
      </c>
      <c r="O52" s="192">
        <f>N52/N49-1</f>
        <v>-0.5748823450340198</v>
      </c>
      <c r="P52" s="129" t="s">
        <v>1403</v>
      </c>
      <c r="Q52" s="116">
        <v>31096761</v>
      </c>
      <c r="R52" s="116">
        <v>45774352319</v>
      </c>
      <c r="S52" s="116">
        <v>291747.07</v>
      </c>
      <c r="T52" s="130">
        <f t="shared" si="101"/>
        <v>106.58808330105937</v>
      </c>
      <c r="U52" s="85">
        <f t="shared" ref="U52" si="102">Q50+Q51+Q52</f>
        <v>55822181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1517792.1904761905</v>
      </c>
      <c r="G53" s="190">
        <f t="shared" ref="G53" si="103">F53/F52-1</f>
        <v>7.3791196146640203E-2</v>
      </c>
      <c r="H53" s="190">
        <f t="shared" ref="H53" si="104">F53/F41-1</f>
        <v>0.81536488644352145</v>
      </c>
      <c r="I53" s="130">
        <f t="shared" ref="I53" si="105">T53</f>
        <v>1311.1817842625949</v>
      </c>
      <c r="J53" s="130">
        <f t="shared" ref="J53" si="106">I53/I41-1</f>
        <v>1.3571016968766467</v>
      </c>
      <c r="K53" s="136"/>
      <c r="L53" s="190"/>
      <c r="M53" s="190"/>
      <c r="N53" s="191"/>
      <c r="O53" s="192"/>
      <c r="P53" s="129" t="s">
        <v>1414</v>
      </c>
      <c r="Q53" s="116">
        <v>31873636</v>
      </c>
      <c r="R53" s="116">
        <v>46579401015</v>
      </c>
      <c r="S53" s="116">
        <v>24309.09</v>
      </c>
      <c r="T53" s="130">
        <f t="shared" ref="T53" si="107">Q53/S53</f>
        <v>1311.1817842625949</v>
      </c>
      <c r="U53" s="85">
        <f t="shared" ref="U53" si="108">Q51+Q52+Q53</f>
        <v>70631246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1821986.5882352942</v>
      </c>
      <c r="G54" s="190">
        <f t="shared" ref="G54" si="109">F54/F53-1</f>
        <v>0.20041900312035876</v>
      </c>
      <c r="H54" s="190">
        <f t="shared" ref="H54" si="110">F54/F42-1</f>
        <v>3.4597988234937036</v>
      </c>
      <c r="I54" s="130">
        <f t="shared" ref="I54" si="111">T54</f>
        <v>1547.5975437316692</v>
      </c>
      <c r="J54" s="130">
        <f t="shared" ref="J54" si="112">I54/I42-1</f>
        <v>5.7159785837821229</v>
      </c>
      <c r="K54" s="136"/>
      <c r="L54" s="190"/>
      <c r="M54" s="190"/>
      <c r="N54" s="191"/>
      <c r="O54" s="192"/>
      <c r="P54" s="129" t="s">
        <v>1417</v>
      </c>
      <c r="Q54" s="116">
        <v>30973772</v>
      </c>
      <c r="R54" s="116">
        <v>44797665576</v>
      </c>
      <c r="S54" s="116">
        <v>20014.099999999999</v>
      </c>
      <c r="T54" s="130">
        <f t="shared" ref="T54" si="113">Q54/S54</f>
        <v>1547.5975437316692</v>
      </c>
      <c r="U54" s="85">
        <f t="shared" ref="U54" si="114">Q52+Q53+Q54</f>
        <v>93944169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4803911.2072829138</v>
      </c>
      <c r="C55" s="188">
        <f>AVERAGE(F53:F55)</f>
        <v>1601303.7357609712</v>
      </c>
      <c r="D55" s="190">
        <f>C55/C52-1</f>
        <v>0.75033718196798938</v>
      </c>
      <c r="E55" s="287">
        <f>C55/C43-1</f>
        <v>0.51829987310170123</v>
      </c>
      <c r="F55" s="136">
        <f>Q55/21</f>
        <v>1464132.4285714286</v>
      </c>
      <c r="G55" s="190">
        <f t="shared" ref="G55" si="115">F55/F54-1</f>
        <v>-0.19640877818451408</v>
      </c>
      <c r="H55" s="190">
        <f t="shared" ref="H55" si="116">F55/F43-1</f>
        <v>-0.23718875475584456</v>
      </c>
      <c r="I55" s="130">
        <f>T55</f>
        <v>632.65684433530748</v>
      </c>
      <c r="J55" s="130">
        <f t="shared" ref="J55" si="117">I55/I43-1</f>
        <v>-0.41393688583031574</v>
      </c>
      <c r="K55" s="136">
        <f>R53+R54+R55</f>
        <v>136536938928</v>
      </c>
      <c r="L55" s="190">
        <f>U55/U52-1</f>
        <v>0.67664873215899601</v>
      </c>
      <c r="M55" s="190">
        <f>K55/K43-1</f>
        <v>0.52340525553660733</v>
      </c>
      <c r="N55" s="191">
        <f>AVERAGE(T53:T55)</f>
        <v>1163.8120574431907</v>
      </c>
      <c r="O55" s="192">
        <f>N55/N52-1</f>
        <v>3.1982806695821351</v>
      </c>
      <c r="P55" s="129" t="s">
        <v>1418</v>
      </c>
      <c r="Q55" s="116">
        <v>30746781</v>
      </c>
      <c r="R55" s="116">
        <v>45159872337</v>
      </c>
      <c r="S55" s="116">
        <v>48599.46</v>
      </c>
      <c r="T55" s="130">
        <f t="shared" ref="T55" si="118">Q55/S55</f>
        <v>632.65684433530748</v>
      </c>
      <c r="U55" s="85">
        <f t="shared" ref="U55" si="119">Q53+Q54+Q55</f>
        <v>93594189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1271033</v>
      </c>
      <c r="G56" s="190">
        <f t="shared" ref="G56" si="120">F56/F55-1</f>
        <v>-0.13188658676171661</v>
      </c>
      <c r="H56" s="190">
        <f t="shared" ref="H56" si="121">F56/F44-1</f>
        <v>-0.21400025899483521</v>
      </c>
      <c r="I56" s="291">
        <f>T56</f>
        <v>1157.2931747052626</v>
      </c>
      <c r="J56" s="130">
        <f t="shared" ref="J56" si="122">I56/I44-1</f>
        <v>1.056030144239561</v>
      </c>
      <c r="K56" s="136"/>
      <c r="L56" s="190"/>
      <c r="M56" s="190"/>
      <c r="N56" s="191"/>
      <c r="O56" s="192"/>
      <c r="P56" s="129" t="s">
        <v>1420</v>
      </c>
      <c r="Q56" s="116">
        <v>27962726</v>
      </c>
      <c r="R56" s="116">
        <v>41693269571</v>
      </c>
      <c r="S56" s="116">
        <v>24162.18</v>
      </c>
      <c r="T56" s="130">
        <f t="shared" ref="T56" si="123">Q56/S56</f>
        <v>1157.2931747052626</v>
      </c>
      <c r="U56" s="85">
        <f t="shared" ref="U56" si="124">Q54+Q55+Q56</f>
        <v>89683279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1544065.5833333333</v>
      </c>
      <c r="G57" s="254">
        <f t="shared" ref="G57" si="125">F57/F56-1</f>
        <v>0.21481156140976143</v>
      </c>
      <c r="H57" s="254">
        <f t="shared" ref="H57" si="126">F57/F45-1</f>
        <v>-2.4835246102382857E-2</v>
      </c>
      <c r="I57" s="282">
        <f>T57</f>
        <v>1029.1094870889124</v>
      </c>
      <c r="J57" s="277">
        <f t="shared" ref="J57" si="127">I57/I45-1</f>
        <v>0.24353638039815517</v>
      </c>
      <c r="K57" s="204"/>
      <c r="L57" s="254"/>
      <c r="M57" s="254"/>
      <c r="N57" s="257"/>
      <c r="O57" s="258"/>
      <c r="P57" s="129" t="s">
        <v>1436</v>
      </c>
      <c r="Q57" s="116">
        <v>18528787</v>
      </c>
      <c r="R57" s="116">
        <v>27294821826</v>
      </c>
      <c r="S57" s="116">
        <v>18004.68</v>
      </c>
      <c r="T57" s="130">
        <f t="shared" ref="T57" si="128">Q57/S57</f>
        <v>1029.1094870889124</v>
      </c>
      <c r="U57" s="85">
        <f t="shared" ref="U57" si="129">Q55+Q56+Q57</f>
        <v>77238294</v>
      </c>
      <c r="V57" s="79"/>
      <c r="W57" s="79"/>
      <c r="X57" s="79"/>
      <c r="Y57" s="79"/>
      <c r="Z57" s="79"/>
    </row>
    <row r="58" spans="1:26">
      <c r="B58" s="196">
        <f>SUM(F56:F58)</f>
        <v>2815098.583333333</v>
      </c>
      <c r="C58" s="196">
        <f>AVERAGE(F56:F58)</f>
        <v>1407549.2916666665</v>
      </c>
      <c r="D58" s="197">
        <f>C58/C55-1</f>
        <v>-0.12099793422528227</v>
      </c>
      <c r="E58" s="233">
        <f>C58/C46-1</f>
        <v>-2.7836383461941616E-2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140085702</v>
      </c>
      <c r="R65" s="212">
        <v>205525030325</v>
      </c>
      <c r="S65" s="213">
        <v>135089.53</v>
      </c>
      <c r="T65" s="214">
        <v>105</v>
      </c>
      <c r="U65" s="214">
        <v>172</v>
      </c>
    </row>
    <row r="66" spans="16:21" ht="18" thickBot="1">
      <c r="P66" s="180" t="s">
        <v>976</v>
      </c>
      <c r="Q66" s="181">
        <v>31873636</v>
      </c>
      <c r="R66" s="181">
        <v>46579401015</v>
      </c>
      <c r="S66" s="182">
        <v>24309.09</v>
      </c>
      <c r="T66" s="210">
        <v>44</v>
      </c>
      <c r="U66" s="210">
        <v>67</v>
      </c>
    </row>
    <row r="67" spans="16:21" ht="18" thickBot="1">
      <c r="P67" s="180" t="s">
        <v>977</v>
      </c>
      <c r="Q67" s="181">
        <v>30973772</v>
      </c>
      <c r="R67" s="181">
        <v>44797665576</v>
      </c>
      <c r="S67" s="182">
        <v>20014.099999999999</v>
      </c>
      <c r="T67" s="210">
        <v>43</v>
      </c>
      <c r="U67" s="210">
        <v>58</v>
      </c>
    </row>
    <row r="68" spans="16:21" ht="18" thickBot="1">
      <c r="P68" s="180" t="s">
        <v>978</v>
      </c>
      <c r="Q68" s="181">
        <v>30746781</v>
      </c>
      <c r="R68" s="181">
        <v>45159872337</v>
      </c>
      <c r="S68" s="182">
        <v>48599.46</v>
      </c>
      <c r="T68" s="210">
        <v>50</v>
      </c>
      <c r="U68" s="210">
        <v>79</v>
      </c>
    </row>
    <row r="69" spans="16:21" ht="18" thickBot="1">
      <c r="P69" s="180" t="s">
        <v>979</v>
      </c>
      <c r="Q69" s="181">
        <v>27962726</v>
      </c>
      <c r="R69" s="181">
        <v>41693269571</v>
      </c>
      <c r="S69" s="182">
        <v>24162.18</v>
      </c>
      <c r="T69" s="210">
        <v>50</v>
      </c>
      <c r="U69" s="210">
        <v>72</v>
      </c>
    </row>
    <row r="70" spans="16:21" ht="18" thickBot="1">
      <c r="P70" s="180" t="s">
        <v>980</v>
      </c>
      <c r="Q70" s="181">
        <v>18528787</v>
      </c>
      <c r="R70" s="181">
        <v>27294821826</v>
      </c>
      <c r="S70" s="182">
        <v>18004.68</v>
      </c>
      <c r="T70" s="210">
        <v>26</v>
      </c>
      <c r="U70" s="210">
        <v>41</v>
      </c>
    </row>
    <row r="71" spans="16:21" ht="18" thickBot="1">
      <c r="P71" s="180" t="s">
        <v>975</v>
      </c>
      <c r="Q71" s="181">
        <v>266738643</v>
      </c>
      <c r="R71" s="181">
        <v>379859171787</v>
      </c>
      <c r="S71" s="182">
        <v>738943.19</v>
      </c>
      <c r="T71" s="210">
        <v>167</v>
      </c>
      <c r="U71" s="210">
        <v>365</v>
      </c>
    </row>
    <row r="72" spans="16:21" ht="18" thickBot="1">
      <c r="P72" s="215" t="s">
        <v>982</v>
      </c>
      <c r="Q72" s="217" t="s">
        <v>1478</v>
      </c>
      <c r="R72"/>
      <c r="S72"/>
      <c r="T72"/>
      <c r="U72"/>
    </row>
  </sheetData>
  <phoneticPr fontId="1" type="noConversion"/>
  <conditionalFormatting sqref="C29:C30">
    <cfRule type="cellIs" dxfId="2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</sheetPr>
  <dimension ref="A1:Z70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0.796875" style="92" bestFit="1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5" style="93" bestFit="1" customWidth="1"/>
    <col min="19" max="19" width="20.69921875" style="93" customWidth="1"/>
    <col min="20" max="20" width="14.296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8536909090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3905950.25</v>
      </c>
      <c r="G5" s="90"/>
      <c r="H5" s="90"/>
      <c r="I5" s="130">
        <f t="shared" ref="I5:I49" si="0">T5</f>
        <v>64.586030515155059</v>
      </c>
      <c r="J5" s="130"/>
      <c r="K5" s="86"/>
      <c r="L5" s="80"/>
      <c r="M5" s="80"/>
      <c r="N5" s="79"/>
      <c r="O5" s="79"/>
      <c r="P5" s="129" t="s">
        <v>0</v>
      </c>
      <c r="Q5" s="116">
        <v>78119005</v>
      </c>
      <c r="R5" s="116">
        <v>92146456337</v>
      </c>
      <c r="S5" s="116">
        <v>1209534.08</v>
      </c>
      <c r="T5" s="130">
        <f t="shared" ref="T5:T17" si="1">Q5/S5</f>
        <v>64.586030515155059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4188186.3333333335</v>
      </c>
      <c r="G6" s="90">
        <f t="shared" ref="G6:G16" si="2">F6/F5-1</f>
        <v>7.2257982121849418E-2</v>
      </c>
      <c r="H6" s="90"/>
      <c r="I6" s="130">
        <f t="shared" si="0"/>
        <v>66.436614654110329</v>
      </c>
      <c r="J6" s="130"/>
      <c r="K6" s="78"/>
      <c r="L6" s="87"/>
      <c r="M6" s="87"/>
      <c r="N6" s="79"/>
      <c r="O6" s="79"/>
      <c r="P6" s="129" t="s">
        <v>1</v>
      </c>
      <c r="Q6" s="116">
        <v>75387354</v>
      </c>
      <c r="R6" s="116">
        <v>89587473105</v>
      </c>
      <c r="S6" s="116">
        <v>1134726</v>
      </c>
      <c r="T6" s="130">
        <f t="shared" si="1"/>
        <v>66.436614654110329</v>
      </c>
      <c r="U6" s="85"/>
    </row>
    <row r="7" spans="1:21" ht="15" hidden="1" customHeight="1">
      <c r="A7" s="129" t="s">
        <v>2</v>
      </c>
      <c r="B7" s="131">
        <f>F5+F6+F7</f>
        <v>12414783.674242426</v>
      </c>
      <c r="C7" s="131">
        <f>AVERAGE(F5:F7)</f>
        <v>4138261.2247474752</v>
      </c>
      <c r="D7" s="117"/>
      <c r="F7" s="78">
        <f>Q7/22</f>
        <v>4320647.0909090908</v>
      </c>
      <c r="G7" s="90">
        <f t="shared" si="2"/>
        <v>3.1627235999868608E-2</v>
      </c>
      <c r="H7" s="90"/>
      <c r="I7" s="130">
        <f t="shared" si="0"/>
        <v>67.032592600835642</v>
      </c>
      <c r="J7" s="130"/>
      <c r="K7" s="85">
        <f>R5+R6+R7</f>
        <v>296347688395</v>
      </c>
      <c r="L7" s="87"/>
      <c r="M7" s="87"/>
      <c r="N7" s="88">
        <f>AVERAGE(T5:T7)</f>
        <v>66.018412590033677</v>
      </c>
      <c r="O7" s="79"/>
      <c r="P7" s="129" t="s">
        <v>2</v>
      </c>
      <c r="Q7" s="116">
        <v>95054236</v>
      </c>
      <c r="R7" s="116">
        <v>114613758953</v>
      </c>
      <c r="S7" s="116">
        <v>1418030.13</v>
      </c>
      <c r="T7" s="130">
        <f>Q7/S7</f>
        <v>67.032592600835642</v>
      </c>
      <c r="U7" s="85">
        <f>Q5+Q6+Q7</f>
        <v>248560595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4125428.6666666665</v>
      </c>
      <c r="G8" s="90">
        <f t="shared" si="2"/>
        <v>-4.5182682161932664E-2</v>
      </c>
      <c r="H8" s="90"/>
      <c r="I8" s="130">
        <f t="shared" si="0"/>
        <v>65.345081518956547</v>
      </c>
      <c r="J8" s="130"/>
      <c r="K8" s="78"/>
      <c r="L8" s="87"/>
      <c r="M8" s="87"/>
      <c r="N8" s="79"/>
      <c r="O8" s="79"/>
      <c r="P8" s="129" t="s">
        <v>3</v>
      </c>
      <c r="Q8" s="116">
        <v>86634002</v>
      </c>
      <c r="R8" s="116">
        <v>104952725535</v>
      </c>
      <c r="S8" s="116">
        <v>1325792.24</v>
      </c>
      <c r="T8" s="130">
        <f t="shared" si="1"/>
        <v>65.345081518956547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3496948.1428571427</v>
      </c>
      <c r="G9" s="90">
        <f t="shared" si="2"/>
        <v>-0.1523430834927838</v>
      </c>
      <c r="H9" s="90"/>
      <c r="I9" s="130">
        <f t="shared" si="0"/>
        <v>57.529649748545239</v>
      </c>
      <c r="J9" s="130"/>
      <c r="K9" s="78"/>
      <c r="L9" s="87"/>
      <c r="M9" s="87"/>
      <c r="N9" s="79"/>
      <c r="O9" s="79"/>
      <c r="P9" s="129" t="s">
        <v>4</v>
      </c>
      <c r="Q9" s="116">
        <v>73435911</v>
      </c>
      <c r="R9" s="116">
        <v>92256262068</v>
      </c>
      <c r="S9" s="116">
        <v>1276488.06</v>
      </c>
      <c r="T9" s="130">
        <f t="shared" si="1"/>
        <v>57.529649748545239</v>
      </c>
      <c r="U9" s="85"/>
    </row>
    <row r="10" spans="1:21" ht="15" hidden="1" customHeight="1">
      <c r="A10" s="129" t="s">
        <v>5</v>
      </c>
      <c r="B10" s="131">
        <f>F8+F9+F10</f>
        <v>11098566.285714285</v>
      </c>
      <c r="C10" s="131">
        <f>AVERAGE(F8:F10)</f>
        <v>3699522.0952380951</v>
      </c>
      <c r="D10" s="90">
        <f>C10/C7-1</f>
        <v>-0.10602016298189409</v>
      </c>
      <c r="E10" s="286"/>
      <c r="F10" s="78">
        <f>Q10/21</f>
        <v>3476189.4761904762</v>
      </c>
      <c r="G10" s="90">
        <f t="shared" si="2"/>
        <v>-5.936223763874815E-3</v>
      </c>
      <c r="H10" s="90"/>
      <c r="I10" s="130">
        <f t="shared" si="0"/>
        <v>55.712533592759456</v>
      </c>
      <c r="J10" s="130"/>
      <c r="K10" s="85">
        <f>R8+R9+R10</f>
        <v>288935207207</v>
      </c>
      <c r="L10" s="87">
        <f>U10/U7-1</f>
        <v>-6.2321636299591199E-2</v>
      </c>
      <c r="M10" s="87"/>
      <c r="N10" s="88">
        <f>AVERAGE(T8:T10)</f>
        <v>59.529088286753755</v>
      </c>
      <c r="O10" s="89">
        <f>N10/N7-1</f>
        <v>-9.8295673111346016E-2</v>
      </c>
      <c r="P10" s="129" t="s">
        <v>5</v>
      </c>
      <c r="Q10" s="116">
        <v>72999979</v>
      </c>
      <c r="R10" s="116">
        <v>91726219604</v>
      </c>
      <c r="S10" s="116">
        <v>1310297.24</v>
      </c>
      <c r="T10" s="130">
        <f t="shared" si="1"/>
        <v>55.712533592759456</v>
      </c>
      <c r="U10" s="85">
        <f>Q8+Q9+Q10</f>
        <v>233069892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3638167</v>
      </c>
      <c r="G11" s="90">
        <f t="shared" si="2"/>
        <v>4.6596287377014267E-2</v>
      </c>
      <c r="H11" s="90"/>
      <c r="I11" s="130">
        <f t="shared" si="0"/>
        <v>53.74274428351147</v>
      </c>
      <c r="J11" s="130"/>
      <c r="K11" s="78"/>
      <c r="L11" s="87"/>
      <c r="M11" s="87"/>
      <c r="N11" s="79"/>
      <c r="O11" s="89"/>
      <c r="P11" s="129" t="s">
        <v>6</v>
      </c>
      <c r="Q11" s="116">
        <v>76401507</v>
      </c>
      <c r="R11" s="116">
        <v>98583678956</v>
      </c>
      <c r="S11" s="116">
        <v>1421615.29</v>
      </c>
      <c r="T11" s="130">
        <f t="shared" si="1"/>
        <v>53.74274428351147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3155508.7272727271</v>
      </c>
      <c r="G12" s="90">
        <f t="shared" si="2"/>
        <v>-0.13266523299432731</v>
      </c>
      <c r="H12" s="90"/>
      <c r="I12" s="130">
        <f t="shared" si="0"/>
        <v>54.930598453688269</v>
      </c>
      <c r="J12" s="130"/>
      <c r="K12" s="78"/>
      <c r="L12" s="87"/>
      <c r="M12" s="87"/>
      <c r="N12" s="79"/>
      <c r="O12" s="89"/>
      <c r="P12" s="129" t="s">
        <v>7</v>
      </c>
      <c r="Q12" s="116">
        <v>69421192</v>
      </c>
      <c r="R12" s="116">
        <v>90117748383</v>
      </c>
      <c r="S12" s="116">
        <v>1263798.21</v>
      </c>
      <c r="T12" s="130">
        <f t="shared" si="1"/>
        <v>54.930598453688269</v>
      </c>
      <c r="U12" s="85"/>
    </row>
    <row r="13" spans="1:21" ht="15" hidden="1" customHeight="1">
      <c r="A13" s="129" t="s">
        <v>96</v>
      </c>
      <c r="B13" s="131">
        <f>F11+F12+F13</f>
        <v>10580217.027272727</v>
      </c>
      <c r="C13" s="131">
        <f>AVERAGE(F11:F13)</f>
        <v>3526739.0090909093</v>
      </c>
      <c r="D13" s="90">
        <f>C13/C10-1</f>
        <v>-4.6704163862026027E-2</v>
      </c>
      <c r="E13" s="286"/>
      <c r="F13" s="78">
        <f>Q13/20</f>
        <v>3786541.3</v>
      </c>
      <c r="G13" s="90">
        <f t="shared" si="2"/>
        <v>0.19997807873999052</v>
      </c>
      <c r="H13" s="90"/>
      <c r="I13" s="130">
        <f t="shared" si="0"/>
        <v>50.41522338603361</v>
      </c>
      <c r="J13" s="130"/>
      <c r="K13" s="78">
        <f>R11+R12+R13</f>
        <v>291801230669</v>
      </c>
      <c r="L13" s="87">
        <f>U13/U10-1</f>
        <v>-4.9411646013891808E-2</v>
      </c>
      <c r="M13" s="87"/>
      <c r="N13" s="88">
        <f>AVERAGE(T11:T13)</f>
        <v>53.029522041077776</v>
      </c>
      <c r="O13" s="89">
        <f>N13/N10-1</f>
        <v>-0.10918303022494369</v>
      </c>
      <c r="P13" s="129" t="s">
        <v>96</v>
      </c>
      <c r="Q13" s="116">
        <v>75730826</v>
      </c>
      <c r="R13" s="116">
        <v>103099803330</v>
      </c>
      <c r="S13" s="116">
        <v>1502142.03</v>
      </c>
      <c r="T13" s="130">
        <f t="shared" si="1"/>
        <v>50.41522338603361</v>
      </c>
      <c r="U13" s="85">
        <f>Q11+Q12+Q13</f>
        <v>221553525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3584510.75</v>
      </c>
      <c r="G14" s="90">
        <f t="shared" si="2"/>
        <v>-5.3354904646094825E-2</v>
      </c>
      <c r="H14" s="90"/>
      <c r="I14" s="130">
        <f t="shared" si="0"/>
        <v>54.746997578348022</v>
      </c>
      <c r="J14" s="130"/>
      <c r="K14" s="78"/>
      <c r="L14" s="87"/>
      <c r="M14" s="87"/>
      <c r="N14" s="79"/>
      <c r="O14" s="89"/>
      <c r="P14" s="129" t="s">
        <v>97</v>
      </c>
      <c r="Q14" s="116">
        <v>71690215</v>
      </c>
      <c r="R14" s="116">
        <v>102204523325</v>
      </c>
      <c r="S14" s="116">
        <v>1309482.1299999999</v>
      </c>
      <c r="T14" s="130">
        <f t="shared" si="1"/>
        <v>54.746997578348022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3445613.1818181816</v>
      </c>
      <c r="G15" s="90">
        <f t="shared" si="2"/>
        <v>-3.874937972548087E-2</v>
      </c>
      <c r="H15" s="90"/>
      <c r="I15" s="130">
        <f t="shared" si="0"/>
        <v>60.969886171889492</v>
      </c>
      <c r="J15" s="130"/>
      <c r="K15" s="78"/>
      <c r="L15" s="87"/>
      <c r="M15" s="87"/>
      <c r="N15" s="79"/>
      <c r="O15" s="89"/>
      <c r="P15" s="129" t="s">
        <v>98</v>
      </c>
      <c r="Q15" s="116">
        <v>75803490</v>
      </c>
      <c r="R15" s="116">
        <v>105274091914</v>
      </c>
      <c r="S15" s="116">
        <v>1243293.94</v>
      </c>
      <c r="T15" s="130">
        <f t="shared" si="1"/>
        <v>60.969886171889492</v>
      </c>
      <c r="U15" s="85"/>
    </row>
    <row r="16" spans="1:21" ht="15" hidden="1" customHeight="1">
      <c r="A16" s="129" t="s">
        <v>99</v>
      </c>
      <c r="B16" s="131">
        <f>F14+F15+F16</f>
        <v>10668399.977272727</v>
      </c>
      <c r="C16" s="131">
        <f>AVERAGE(F14:F16)</f>
        <v>3556133.3257575757</v>
      </c>
      <c r="D16" s="90">
        <f>C16/C13-1</f>
        <v>8.3347014312362688E-3</v>
      </c>
      <c r="E16" s="286"/>
      <c r="F16" s="78">
        <f>Q16/22</f>
        <v>3638276.0454545454</v>
      </c>
      <c r="G16" s="90">
        <f t="shared" si="2"/>
        <v>5.5915407061073452E-2</v>
      </c>
      <c r="H16" s="90"/>
      <c r="I16" s="130">
        <f t="shared" si="0"/>
        <v>53.904046251868046</v>
      </c>
      <c r="J16" s="130"/>
      <c r="K16" s="78">
        <f>R14+R15+R16</f>
        <v>312540987654</v>
      </c>
      <c r="L16" s="87">
        <f>U16/U13-1</f>
        <v>2.7001389393375819E-2</v>
      </c>
      <c r="M16" s="87"/>
      <c r="N16" s="88">
        <f>AVERAGE(T14:T16)</f>
        <v>56.540310000701851</v>
      </c>
      <c r="O16" s="89">
        <f>N16/N13-1</f>
        <v>6.6204405102963992E-2</v>
      </c>
      <c r="P16" s="129" t="s">
        <v>99</v>
      </c>
      <c r="Q16" s="116">
        <v>80042073</v>
      </c>
      <c r="R16" s="116">
        <v>105062372415</v>
      </c>
      <c r="S16" s="116">
        <v>1484899.16</v>
      </c>
      <c r="T16" s="130">
        <f t="shared" si="1"/>
        <v>53.904046251868046</v>
      </c>
      <c r="U16" s="85">
        <f>Q14+Q15+Q16</f>
        <v>227535778</v>
      </c>
    </row>
    <row r="17" spans="1:21" hidden="1">
      <c r="A17" s="129" t="s">
        <v>100</v>
      </c>
      <c r="B17" s="79"/>
      <c r="C17" s="79"/>
      <c r="D17" s="117"/>
      <c r="F17" s="78">
        <f>Q17/20</f>
        <v>3533967.35</v>
      </c>
      <c r="G17" s="90">
        <f t="shared" ref="G17:G22" si="3">F17/F16-1</f>
        <v>-2.866981343674091E-2</v>
      </c>
      <c r="H17" s="90">
        <f t="shared" ref="H17:H22" si="4">F17/F5-1</f>
        <v>-9.5234930347615099E-2</v>
      </c>
      <c r="I17" s="130">
        <f t="shared" si="0"/>
        <v>61.64334817735385</v>
      </c>
      <c r="J17" s="130">
        <f t="shared" ref="J17:J49" si="5">I17/I5-1</f>
        <v>-4.5562210811372128E-2</v>
      </c>
      <c r="K17" s="78"/>
      <c r="L17" s="87"/>
      <c r="M17" s="87"/>
      <c r="N17" s="79"/>
      <c r="O17" s="89"/>
      <c r="P17" s="129" t="s">
        <v>100</v>
      </c>
      <c r="Q17" s="116">
        <v>70679347</v>
      </c>
      <c r="R17" s="116">
        <v>88841008500</v>
      </c>
      <c r="S17" s="116">
        <v>1146585.1399999999</v>
      </c>
      <c r="T17" s="130">
        <f t="shared" si="1"/>
        <v>61.64334817735385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3456229.7</v>
      </c>
      <c r="G18" s="90">
        <f t="shared" si="3"/>
        <v>-2.1997274536223355E-2</v>
      </c>
      <c r="H18" s="90">
        <f t="shared" si="4"/>
        <v>-0.17476696953709236</v>
      </c>
      <c r="I18" s="130">
        <f t="shared" si="0"/>
        <v>54.437750537190546</v>
      </c>
      <c r="J18" s="130">
        <f t="shared" si="5"/>
        <v>-0.18060619403004807</v>
      </c>
      <c r="K18" s="78"/>
      <c r="L18" s="87"/>
      <c r="M18" s="87"/>
      <c r="N18" s="79"/>
      <c r="O18" s="89"/>
      <c r="P18" s="129" t="s">
        <v>106</v>
      </c>
      <c r="Q18" s="116">
        <v>69124594</v>
      </c>
      <c r="R18" s="116">
        <v>86606303408</v>
      </c>
      <c r="S18" s="116">
        <v>1269791.52</v>
      </c>
      <c r="T18" s="130">
        <f t="shared" ref="T18" si="6">Q18/S18</f>
        <v>54.437750537190546</v>
      </c>
      <c r="U18" s="78"/>
    </row>
    <row r="19" spans="1:21" hidden="1">
      <c r="A19" s="129" t="s">
        <v>114</v>
      </c>
      <c r="B19" s="131">
        <f>SUM(F17:F19)</f>
        <v>10522114.550000001</v>
      </c>
      <c r="C19" s="131">
        <f>AVERAGE(F17:F19)</f>
        <v>3507371.5166666671</v>
      </c>
      <c r="D19" s="90">
        <f>C19/C16-1</f>
        <v>-1.3712030631056527E-2</v>
      </c>
      <c r="E19" s="286">
        <f>C19/C7-1</f>
        <v>-0.15245284766171485</v>
      </c>
      <c r="F19" s="78">
        <f>Q19/22</f>
        <v>3531917.5</v>
      </c>
      <c r="G19" s="90">
        <f t="shared" si="3"/>
        <v>2.1898949598170514E-2</v>
      </c>
      <c r="H19" s="90">
        <f t="shared" si="4"/>
        <v>-0.18254895026456264</v>
      </c>
      <c r="I19" s="130">
        <f t="shared" si="0"/>
        <v>50.192968449671241</v>
      </c>
      <c r="J19" s="130">
        <f t="shared" si="5"/>
        <v>-0.25121546844295073</v>
      </c>
      <c r="K19" s="78">
        <f>R17+R18+R19</f>
        <v>276999300907</v>
      </c>
      <c r="L19" s="87">
        <f>U19/U16-1</f>
        <v>-4.4079450221670147E-2</v>
      </c>
      <c r="M19" s="87">
        <f>U19/U7-1</f>
        <v>-0.12493721701945559</v>
      </c>
      <c r="N19" s="88">
        <f>AVERAGE(T17:T19)</f>
        <v>55.424689054738543</v>
      </c>
      <c r="O19" s="89">
        <f>N19/N16-1</f>
        <v>-1.9731426056020185E-2</v>
      </c>
      <c r="P19" s="129" t="s">
        <v>115</v>
      </c>
      <c r="Q19" s="116">
        <v>77702185</v>
      </c>
      <c r="R19" s="116">
        <v>101551988999</v>
      </c>
      <c r="S19" s="116">
        <v>1548069.13</v>
      </c>
      <c r="T19" s="130">
        <f t="shared" ref="T19" si="7">Q19/S19</f>
        <v>50.192968449671241</v>
      </c>
      <c r="U19" s="85">
        <f>Q17+Q18+Q19</f>
        <v>217506126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3213037.45</v>
      </c>
      <c r="G20" s="90">
        <f t="shared" si="3"/>
        <v>-9.0285248735283208E-2</v>
      </c>
      <c r="H20" s="90">
        <f t="shared" si="4"/>
        <v>-0.22116276643897848</v>
      </c>
      <c r="I20" s="130">
        <f t="shared" si="0"/>
        <v>49.058817255783588</v>
      </c>
      <c r="J20" s="130">
        <f t="shared" si="5"/>
        <v>-0.24923473786544026</v>
      </c>
      <c r="K20" s="78"/>
      <c r="L20" s="87"/>
      <c r="M20" s="87"/>
      <c r="N20" s="79"/>
      <c r="O20" s="89"/>
      <c r="P20" s="129" t="s">
        <v>132</v>
      </c>
      <c r="Q20" s="116">
        <v>64260749</v>
      </c>
      <c r="R20" s="116">
        <v>84269546856</v>
      </c>
      <c r="S20" s="116">
        <v>1309871.55</v>
      </c>
      <c r="T20" s="130">
        <f t="shared" ref="T20" si="8">Q20/S20</f>
        <v>49.058817255783588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3493034.7142857141</v>
      </c>
      <c r="G21" s="90">
        <f t="shared" si="3"/>
        <v>8.7144102315307226E-2</v>
      </c>
      <c r="H21" s="90">
        <f t="shared" si="4"/>
        <v>-1.1190982569821983E-3</v>
      </c>
      <c r="I21" s="130">
        <f t="shared" si="0"/>
        <v>48.431015872205975</v>
      </c>
      <c r="J21" s="130">
        <f t="shared" si="5"/>
        <v>-0.15815555832702322</v>
      </c>
      <c r="K21" s="78"/>
      <c r="L21" s="87"/>
      <c r="M21" s="87"/>
      <c r="N21" s="79"/>
      <c r="O21" s="89"/>
      <c r="P21" s="129" t="s">
        <v>141</v>
      </c>
      <c r="Q21" s="116">
        <v>73353729</v>
      </c>
      <c r="R21" s="116">
        <v>97673950707</v>
      </c>
      <c r="S21" s="116">
        <v>1514602.32</v>
      </c>
      <c r="T21" s="130">
        <f t="shared" ref="T21" si="9">Q21/S21</f>
        <v>48.431015872205975</v>
      </c>
      <c r="U21" s="78"/>
    </row>
    <row r="22" spans="1:21" hidden="1">
      <c r="A22" s="129" t="s">
        <v>156</v>
      </c>
      <c r="B22" s="131">
        <f>SUM(F20:F22)</f>
        <v>10595454.735714285</v>
      </c>
      <c r="C22" s="131">
        <f>AVERAGE(F20:F22)</f>
        <v>3531818.2452380951</v>
      </c>
      <c r="D22" s="90">
        <f>C22/C19-1</f>
        <v>6.9700995332999671E-3</v>
      </c>
      <c r="E22" s="286">
        <f>C22/C10-1</f>
        <v>-4.5331220001595063E-2</v>
      </c>
      <c r="F22" s="78">
        <f>Q22/21</f>
        <v>3889382.5714285714</v>
      </c>
      <c r="G22" s="90">
        <f t="shared" si="3"/>
        <v>0.11346805559128437</v>
      </c>
      <c r="H22" s="90">
        <f t="shared" si="4"/>
        <v>0.11886380131698382</v>
      </c>
      <c r="I22" s="130">
        <f t="shared" si="0"/>
        <v>45.0279148754286</v>
      </c>
      <c r="J22" s="130">
        <f t="shared" si="5"/>
        <v>-0.19178123894762988</v>
      </c>
      <c r="K22" s="78">
        <f>R20+R21+R22</f>
        <v>288214122404</v>
      </c>
      <c r="L22" s="87">
        <f>U22/U19-1</f>
        <v>8.2084400694075743E-3</v>
      </c>
      <c r="M22" s="87">
        <f>U22/U10-1</f>
        <v>-5.9116945057836934E-2</v>
      </c>
      <c r="N22" s="88">
        <f>AVERAGE(T20:T22)</f>
        <v>47.505916001139383</v>
      </c>
      <c r="O22" s="89">
        <f>N22/N19-1</f>
        <v>-0.14287446963894412</v>
      </c>
      <c r="P22" s="129" t="s">
        <v>156</v>
      </c>
      <c r="Q22" s="116">
        <v>81677034</v>
      </c>
      <c r="R22" s="116">
        <v>106270624841</v>
      </c>
      <c r="S22" s="116">
        <v>1813919.97</v>
      </c>
      <c r="T22" s="130">
        <f t="shared" ref="T22:T23" si="10">Q22/S22</f>
        <v>45.0279148754286</v>
      </c>
      <c r="U22" s="85">
        <f>Q20+Q21+Q22</f>
        <v>219291512</v>
      </c>
    </row>
    <row r="23" spans="1:21" hidden="1">
      <c r="A23" s="129" t="s">
        <v>189</v>
      </c>
      <c r="B23" s="131"/>
      <c r="C23" s="131"/>
      <c r="D23" s="117"/>
      <c r="F23" s="78">
        <f>Q23/21</f>
        <v>3713148.1904761903</v>
      </c>
      <c r="G23" s="90">
        <f t="shared" ref="G23" si="11">F23/F22-1</f>
        <v>-4.5311660068361514E-2</v>
      </c>
      <c r="H23" s="90">
        <f t="shared" ref="H23" si="12">F23/F11-1</f>
        <v>2.0609606561818206E-2</v>
      </c>
      <c r="I23" s="130">
        <f t="shared" si="0"/>
        <v>47.730953630163782</v>
      </c>
      <c r="J23" s="130">
        <f t="shared" si="5"/>
        <v>-0.11186236827865403</v>
      </c>
      <c r="K23" s="98"/>
      <c r="L23" s="87"/>
      <c r="M23" s="87"/>
      <c r="N23" s="79"/>
      <c r="O23" s="89"/>
      <c r="P23" s="129" t="s">
        <v>189</v>
      </c>
      <c r="Q23" s="116">
        <v>77976112</v>
      </c>
      <c r="R23" s="116">
        <v>100701485108</v>
      </c>
      <c r="S23" s="116">
        <v>1633659.21</v>
      </c>
      <c r="T23" s="130">
        <f t="shared" si="10"/>
        <v>47.730953630163782</v>
      </c>
      <c r="U23" s="78"/>
    </row>
    <row r="24" spans="1:21" hidden="1">
      <c r="A24" s="129" t="s">
        <v>205</v>
      </c>
      <c r="B24" s="131"/>
      <c r="C24" s="131"/>
      <c r="D24" s="117"/>
      <c r="F24" s="78">
        <f>Q24/22</f>
        <v>3418738.8181818184</v>
      </c>
      <c r="G24" s="90">
        <f t="shared" ref="G24" si="13">F24/F23-1</f>
        <v>-7.9288344335272987E-2</v>
      </c>
      <c r="H24" s="90">
        <f t="shared" ref="H24" si="14">F24/F12-1</f>
        <v>8.3419224492716992E-2</v>
      </c>
      <c r="I24" s="130">
        <f t="shared" si="0"/>
        <v>43.648261568711781</v>
      </c>
      <c r="J24" s="130">
        <f t="shared" si="5"/>
        <v>-0.20539257176468906</v>
      </c>
      <c r="K24" s="98"/>
      <c r="L24" s="87"/>
      <c r="M24" s="87"/>
      <c r="N24" s="79"/>
      <c r="O24" s="89"/>
      <c r="P24" s="129" t="s">
        <v>205</v>
      </c>
      <c r="Q24" s="116">
        <v>75212254</v>
      </c>
      <c r="R24" s="116">
        <v>98424303730</v>
      </c>
      <c r="S24" s="116">
        <v>1723144.32</v>
      </c>
      <c r="T24" s="130">
        <f t="shared" ref="T24" si="15">Q24/S24</f>
        <v>43.648261568711781</v>
      </c>
      <c r="U24" s="78"/>
    </row>
    <row r="25" spans="1:21" s="92" customFormat="1" ht="13.2" hidden="1">
      <c r="A25" s="129" t="s">
        <v>219</v>
      </c>
      <c r="B25" s="131">
        <f>SUM(F23:F25)</f>
        <v>10785607.745500114</v>
      </c>
      <c r="C25" s="131">
        <f>AVERAGE(F23:F25)</f>
        <v>3595202.5818333714</v>
      </c>
      <c r="D25" s="90">
        <f>C25/C22-1</f>
        <v>1.7946658687982175E-2</v>
      </c>
      <c r="E25" s="286">
        <f>C25/C13-1</f>
        <v>1.9412713151152561E-2</v>
      </c>
      <c r="F25" s="78">
        <f>Q25/19</f>
        <v>3653720.7368421052</v>
      </c>
      <c r="G25" s="90">
        <f t="shared" ref="G25" si="16">F25/F24-1</f>
        <v>6.873350997466865E-2</v>
      </c>
      <c r="H25" s="90">
        <f t="shared" ref="H25" si="17">F25/F13-1</f>
        <v>-3.507701425517129E-2</v>
      </c>
      <c r="I25" s="130">
        <f t="shared" si="0"/>
        <v>45.827213197260477</v>
      </c>
      <c r="J25" s="130">
        <f t="shared" si="5"/>
        <v>-9.100446017351449E-2</v>
      </c>
      <c r="K25" s="78">
        <f>R23+R24+R25</f>
        <v>291261673359</v>
      </c>
      <c r="L25" s="90">
        <f>U25/U22-1</f>
        <v>1.5128483404318827E-2</v>
      </c>
      <c r="M25" s="90">
        <f>U25/U13-1</f>
        <v>4.7642437645711855E-3</v>
      </c>
      <c r="N25" s="88">
        <f>AVERAGE(T23:T25)</f>
        <v>45.735476132045342</v>
      </c>
      <c r="O25" s="91">
        <f>N25/N22-1</f>
        <v>-3.7267776692308741E-2</v>
      </c>
      <c r="P25" s="129" t="s">
        <v>219</v>
      </c>
      <c r="Q25" s="116">
        <v>69420694</v>
      </c>
      <c r="R25" s="116">
        <v>92135884521</v>
      </c>
      <c r="S25" s="116">
        <v>1514835.6</v>
      </c>
      <c r="T25" s="130">
        <f t="shared" ref="T25" si="18">Q25/S25</f>
        <v>45.827213197260477</v>
      </c>
      <c r="U25" s="85">
        <f>Q23+Q24+Q25</f>
        <v>222609060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3158409.210526316</v>
      </c>
      <c r="G26" s="90">
        <f t="shared" ref="G26" si="19">F26/F25-1</f>
        <v>-0.13556359721785549</v>
      </c>
      <c r="H26" s="90">
        <f t="shared" ref="H26" si="20">F26/F14-1</f>
        <v>-0.11887299807196394</v>
      </c>
      <c r="I26" s="130">
        <f t="shared" si="0"/>
        <v>46.667678101589381</v>
      </c>
      <c r="J26" s="130">
        <f t="shared" si="5"/>
        <v>-0.14757557188768911</v>
      </c>
      <c r="K26" s="78"/>
      <c r="L26" s="90"/>
      <c r="M26" s="90"/>
      <c r="N26" s="79"/>
      <c r="O26" s="79"/>
      <c r="P26" s="129" t="s">
        <v>312</v>
      </c>
      <c r="Q26" s="116">
        <v>60009775</v>
      </c>
      <c r="R26" s="116">
        <v>80900652167</v>
      </c>
      <c r="S26" s="116">
        <v>1285895.8799999999</v>
      </c>
      <c r="T26" s="130">
        <f t="shared" ref="T26" si="21">Q26/S26</f>
        <v>46.667678101589381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2684393.8636363638</v>
      </c>
      <c r="G27" s="90">
        <f t="shared" ref="G27" si="22">F27/F26-1</f>
        <v>-0.1500804092484781</v>
      </c>
      <c r="H27" s="90">
        <f t="shared" ref="H27" si="23">F27/F15-1</f>
        <v>-0.22092419491503612</v>
      </c>
      <c r="I27" s="130">
        <f t="shared" si="0"/>
        <v>49.513615281814232</v>
      </c>
      <c r="J27" s="130">
        <f t="shared" si="5"/>
        <v>-0.18790048021046224</v>
      </c>
      <c r="K27" s="78"/>
      <c r="L27" s="90"/>
      <c r="M27" s="90"/>
      <c r="N27" s="79"/>
      <c r="O27" s="79"/>
      <c r="P27" s="129" t="s">
        <v>375</v>
      </c>
      <c r="Q27" s="116">
        <v>59056665</v>
      </c>
      <c r="R27" s="116">
        <v>78155676740</v>
      </c>
      <c r="S27" s="116">
        <v>1192735.8700000001</v>
      </c>
      <c r="T27" s="130">
        <f t="shared" ref="T27" si="24">Q27/S27</f>
        <v>49.513615281814232</v>
      </c>
      <c r="U27" s="78"/>
    </row>
    <row r="28" spans="1:21" s="92" customFormat="1" ht="13.2" hidden="1">
      <c r="A28" s="123" t="s">
        <v>413</v>
      </c>
      <c r="B28" s="131">
        <f>SUM(F26:F28)</f>
        <v>8549803.7057416271</v>
      </c>
      <c r="C28" s="131">
        <f>AVERAGE(F26:F28)</f>
        <v>2849934.5685805422</v>
      </c>
      <c r="D28" s="90">
        <f>C28/C25-1</f>
        <v>-0.20729513741970562</v>
      </c>
      <c r="E28" s="286">
        <f>C28/C16-1</f>
        <v>-0.19858613063293662</v>
      </c>
      <c r="F28" s="78">
        <f>Q28/19</f>
        <v>2707000.6315789474</v>
      </c>
      <c r="G28" s="90">
        <f t="shared" ref="G28" si="25">F28/F27-1</f>
        <v>8.4215540233576469E-3</v>
      </c>
      <c r="H28" s="90">
        <f t="shared" ref="H28" si="26">F28/F16-1</f>
        <v>-0.2559661230321103</v>
      </c>
      <c r="I28" s="130">
        <f t="shared" si="0"/>
        <v>49.353339747772274</v>
      </c>
      <c r="J28" s="130">
        <f t="shared" si="5"/>
        <v>-8.4422354545194533E-2</v>
      </c>
      <c r="K28" s="78">
        <f>R26+R27+R28</f>
        <v>226100873592</v>
      </c>
      <c r="L28" s="90">
        <f>U28/U25-1</f>
        <v>-0.2340857465549695</v>
      </c>
      <c r="M28" s="90">
        <f>U28/U16-1</f>
        <v>-0.2506697034696671</v>
      </c>
      <c r="N28" s="88">
        <f>AVERAGE(T26:T28)</f>
        <v>48.511544377058634</v>
      </c>
      <c r="O28" s="91">
        <f>N28/N25-1</f>
        <v>6.0698356719810942E-2</v>
      </c>
      <c r="P28" s="129" t="s">
        <v>413</v>
      </c>
      <c r="Q28" s="116">
        <v>51433012</v>
      </c>
      <c r="R28" s="116">
        <v>67044544685</v>
      </c>
      <c r="S28" s="116">
        <v>1042138.43</v>
      </c>
      <c r="T28" s="130">
        <f t="shared" ref="T28" si="27">Q28/S28</f>
        <v>49.353339747772274</v>
      </c>
      <c r="U28" s="85">
        <f>Q26+Q27+Q28</f>
        <v>170499452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3073363.1363636362</v>
      </c>
      <c r="G29" s="190">
        <f t="shared" ref="G29" si="28">F29/F28-1</f>
        <v>0.13533890628277967</v>
      </c>
      <c r="H29" s="190">
        <f t="shared" ref="H29" si="29">F29/F17-1</f>
        <v>-0.13033629573186745</v>
      </c>
      <c r="I29" s="130">
        <f t="shared" si="0"/>
        <v>48.963292594333012</v>
      </c>
      <c r="J29" s="130">
        <f t="shared" si="5"/>
        <v>-0.20570030600121036</v>
      </c>
      <c r="K29" s="136"/>
      <c r="L29" s="190"/>
      <c r="M29" s="190"/>
      <c r="N29" s="191"/>
      <c r="O29" s="192"/>
      <c r="P29" s="129" t="s">
        <v>427</v>
      </c>
      <c r="Q29" s="116">
        <v>67613989</v>
      </c>
      <c r="R29" s="116">
        <v>88906914195</v>
      </c>
      <c r="S29" s="116">
        <v>1380911.81</v>
      </c>
      <c r="T29" s="130">
        <f t="shared" ref="T29" si="30">Q29/S29</f>
        <v>48.963292594333012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3427569.6842105263</v>
      </c>
      <c r="G30" s="190">
        <f t="shared" ref="G30" si="31">F30/F29-1</f>
        <v>0.11525047061831506</v>
      </c>
      <c r="H30" s="190">
        <f t="shared" ref="H30" si="32">F30/F18-1</f>
        <v>-8.2922775038574148E-3</v>
      </c>
      <c r="I30" s="130">
        <f t="shared" si="0"/>
        <v>44.54441969717373</v>
      </c>
      <c r="J30" s="130">
        <f t="shared" si="5"/>
        <v>-0.18173658430757411</v>
      </c>
      <c r="K30" s="136"/>
      <c r="L30" s="190"/>
      <c r="M30" s="190"/>
      <c r="N30" s="191"/>
      <c r="O30" s="192"/>
      <c r="P30" s="129" t="s">
        <v>466</v>
      </c>
      <c r="Q30" s="116">
        <v>65123824</v>
      </c>
      <c r="R30" s="116">
        <v>86790818965</v>
      </c>
      <c r="S30" s="116">
        <v>1461997.36</v>
      </c>
      <c r="T30" s="130">
        <f t="shared" ref="T30" si="33">Q30/S30</f>
        <v>44.54441969717373</v>
      </c>
      <c r="U30" s="85"/>
    </row>
    <row r="31" spans="1:21" s="92" customFormat="1" ht="13.2" hidden="1">
      <c r="A31" s="129" t="s">
        <v>505</v>
      </c>
      <c r="B31" s="188">
        <f>SUM(F29:F31)</f>
        <v>9812444.1205741614</v>
      </c>
      <c r="C31" s="188">
        <f>AVERAGE(F29:F31)</f>
        <v>3270814.7068580538</v>
      </c>
      <c r="D31" s="190">
        <f>C31/C28-1</f>
        <v>0.14768063201083881</v>
      </c>
      <c r="E31" s="287">
        <f>C31/C19-1</f>
        <v>-6.7445609535379925E-2</v>
      </c>
      <c r="F31" s="136">
        <f>Q31/20</f>
        <v>3311511.3</v>
      </c>
      <c r="G31" s="190">
        <f t="shared" ref="G31" si="34">F31/F30-1</f>
        <v>-3.3860255196316524E-2</v>
      </c>
      <c r="H31" s="190">
        <f t="shared" ref="H31" si="35">F31/F19-1</f>
        <v>-6.2404119009008663E-2</v>
      </c>
      <c r="I31" s="130">
        <f t="shared" si="0"/>
        <v>44.948232578477743</v>
      </c>
      <c r="J31" s="130">
        <f t="shared" si="5"/>
        <v>-0.10449144637564967</v>
      </c>
      <c r="K31" s="136">
        <f>R29+R30+R31</f>
        <v>263694095047</v>
      </c>
      <c r="L31" s="190">
        <f>U31/U28-1</f>
        <v>0.16697172141057681</v>
      </c>
      <c r="M31" s="190">
        <f>U31/U19-1</f>
        <v>-8.52301833558472E-2</v>
      </c>
      <c r="N31" s="191">
        <f>AVERAGE(T29:T31)</f>
        <v>46.151981623328162</v>
      </c>
      <c r="O31" s="192">
        <f>N31/N28-1</f>
        <v>-4.8639200916603342E-2</v>
      </c>
      <c r="P31" s="129" t="s">
        <v>506</v>
      </c>
      <c r="Q31" s="116">
        <v>66230226</v>
      </c>
      <c r="R31" s="116">
        <v>87996361887</v>
      </c>
      <c r="S31" s="116">
        <v>1473477.87</v>
      </c>
      <c r="T31" s="130">
        <f t="shared" ref="T31" si="36">Q31/S31</f>
        <v>44.948232578477743</v>
      </c>
      <c r="U31" s="85">
        <f>Q29+Q30+Q31</f>
        <v>198968039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3248380.7142857141</v>
      </c>
      <c r="G32" s="190">
        <f t="shared" ref="G32" si="37">F32/F31-1</f>
        <v>-1.9063980157424165E-2</v>
      </c>
      <c r="H32" s="190">
        <f t="shared" ref="H32" si="38">F32/F20-1</f>
        <v>1.0999954042152149E-2</v>
      </c>
      <c r="I32" s="130">
        <f t="shared" si="0"/>
        <v>43.434734582017953</v>
      </c>
      <c r="J32" s="130">
        <f t="shared" si="5"/>
        <v>-0.11463958954498865</v>
      </c>
      <c r="K32" s="136"/>
      <c r="L32" s="190"/>
      <c r="M32" s="190"/>
      <c r="N32" s="191"/>
      <c r="O32" s="192"/>
      <c r="P32" s="129" t="s">
        <v>562</v>
      </c>
      <c r="Q32" s="116">
        <v>68215995</v>
      </c>
      <c r="R32" s="116">
        <v>92683642907</v>
      </c>
      <c r="S32" s="116">
        <v>1570540.16</v>
      </c>
      <c r="T32" s="130">
        <f t="shared" ref="T32" si="39">Q32/S32</f>
        <v>43.434734582017953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3504812.6666666665</v>
      </c>
      <c r="G33" s="190">
        <f t="shared" ref="G33" si="40">F33/F32-1</f>
        <v>7.8941471131513952E-2</v>
      </c>
      <c r="H33" s="190">
        <f t="shared" ref="H33" si="41">F33/F21-1</f>
        <v>3.3718394875330571E-3</v>
      </c>
      <c r="I33" s="130">
        <f t="shared" si="0"/>
        <v>43.591142164190799</v>
      </c>
      <c r="J33" s="130">
        <f t="shared" si="5"/>
        <v>-9.9933350991151193E-2</v>
      </c>
      <c r="K33" s="136"/>
      <c r="L33" s="190"/>
      <c r="M33" s="190"/>
      <c r="N33" s="191"/>
      <c r="O33" s="192"/>
      <c r="P33" s="129" t="s">
        <v>635</v>
      </c>
      <c r="Q33" s="116">
        <v>73601066</v>
      </c>
      <c r="R33" s="116">
        <v>100716426570</v>
      </c>
      <c r="S33" s="116">
        <v>1688440.87</v>
      </c>
      <c r="T33" s="130">
        <f t="shared" ref="T33" si="42">Q33/S33</f>
        <v>43.591142164190799</v>
      </c>
      <c r="U33" s="85"/>
    </row>
    <row r="34" spans="1:21" s="92" customFormat="1" ht="13.2" hidden="1">
      <c r="A34" s="129" t="s">
        <v>652</v>
      </c>
      <c r="B34" s="188">
        <f>SUM(F32:F34)</f>
        <v>10632491.170426065</v>
      </c>
      <c r="C34" s="188">
        <f>AVERAGE(F32:F34)</f>
        <v>3544163.7234753552</v>
      </c>
      <c r="D34" s="190">
        <f>C34/C31-1</f>
        <v>8.3572149790130057E-2</v>
      </c>
      <c r="E34" s="287">
        <f>C34/C22-1</f>
        <v>3.495502140832274E-3</v>
      </c>
      <c r="F34" s="136">
        <f>Q34/19</f>
        <v>3879297.789473684</v>
      </c>
      <c r="G34" s="190">
        <f t="shared" ref="G34" si="43">F34/F33-1</f>
        <v>0.10684882714806565</v>
      </c>
      <c r="H34" s="190">
        <f t="shared" ref="H34" si="44">F34/F22-1</f>
        <v>-2.5929004847633497E-3</v>
      </c>
      <c r="I34" s="130">
        <f t="shared" si="0"/>
        <v>48.814430743060122</v>
      </c>
      <c r="J34" s="130">
        <f t="shared" si="5"/>
        <v>8.4092631828657005E-2</v>
      </c>
      <c r="K34" s="136">
        <f>R32+R33+R34</f>
        <v>294714560920</v>
      </c>
      <c r="L34" s="190">
        <f>U34/U31-1</f>
        <v>8.3207735690655316E-2</v>
      </c>
      <c r="M34" s="190">
        <f>U34/U22-1</f>
        <v>-1.7181663647793166E-2</v>
      </c>
      <c r="N34" s="191">
        <f>AVERAGE(T32:T34)</f>
        <v>45.280102496422955</v>
      </c>
      <c r="O34" s="192">
        <f>N34/N31-1</f>
        <v>-1.8891477597237194E-2</v>
      </c>
      <c r="P34" s="129" t="s">
        <v>652</v>
      </c>
      <c r="Q34" s="116">
        <v>73706658</v>
      </c>
      <c r="R34" s="116">
        <v>101314491443</v>
      </c>
      <c r="S34" s="116">
        <v>1509935.83</v>
      </c>
      <c r="T34" s="130">
        <f t="shared" ref="T34" si="45">Q34/S34</f>
        <v>48.814430743060122</v>
      </c>
      <c r="U34" s="85">
        <f>Q32+Q33+Q34</f>
        <v>215523719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3113836.2608695654</v>
      </c>
      <c r="G35" s="190">
        <f t="shared" ref="G35" si="46">F35/F34-1</f>
        <v>-0.19731961044113888</v>
      </c>
      <c r="H35" s="190">
        <f t="shared" ref="H35" si="47">F35/F23-1</f>
        <v>-0.16140264241103897</v>
      </c>
      <c r="I35" s="130">
        <f t="shared" si="0"/>
        <v>48.840495855234131</v>
      </c>
      <c r="J35" s="130">
        <f t="shared" si="5"/>
        <v>2.3245758583988696E-2</v>
      </c>
      <c r="K35" s="136"/>
      <c r="L35" s="190"/>
      <c r="M35" s="190"/>
      <c r="N35" s="191"/>
      <c r="O35" s="192"/>
      <c r="P35" s="129" t="s">
        <v>660</v>
      </c>
      <c r="Q35" s="116">
        <v>71618234</v>
      </c>
      <c r="R35" s="116">
        <v>99126015470</v>
      </c>
      <c r="S35" s="116">
        <v>1466369.92</v>
      </c>
      <c r="T35" s="130">
        <f t="shared" ref="T35" si="48">Q35/S35</f>
        <v>48.840495855234131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3324328.8095238097</v>
      </c>
      <c r="G36" s="190">
        <f t="shared" ref="G36" si="49">F36/F35-1</f>
        <v>6.75991063818695E-2</v>
      </c>
      <c r="H36" s="190">
        <f t="shared" ref="H36" si="50">F36/F24-1</f>
        <v>-2.7615449345211651E-2</v>
      </c>
      <c r="I36" s="130">
        <f t="shared" si="0"/>
        <v>48.050082252263515</v>
      </c>
      <c r="J36" s="130">
        <f t="shared" si="5"/>
        <v>0.10084756013987684</v>
      </c>
      <c r="K36" s="136"/>
      <c r="L36" s="190"/>
      <c r="M36" s="190"/>
      <c r="N36" s="191"/>
      <c r="O36" s="192"/>
      <c r="P36" s="129" t="s">
        <v>664</v>
      </c>
      <c r="Q36" s="116">
        <v>69810905</v>
      </c>
      <c r="R36" s="116">
        <v>95271645291</v>
      </c>
      <c r="S36" s="116">
        <v>1452877.95</v>
      </c>
      <c r="T36" s="130">
        <f t="shared" ref="T36" si="51">Q36/S36</f>
        <v>48.050082252263515</v>
      </c>
      <c r="U36" s="85"/>
    </row>
    <row r="37" spans="1:21" s="92" customFormat="1" ht="13.2" hidden="1">
      <c r="A37" s="129" t="s">
        <v>702</v>
      </c>
      <c r="B37" s="188">
        <f>SUM(F35:F37)</f>
        <v>10301039.51483782</v>
      </c>
      <c r="C37" s="188">
        <f>AVERAGE(F35:F37)</f>
        <v>3433679.8382792734</v>
      </c>
      <c r="D37" s="190">
        <f>C37/C34-1</f>
        <v>-3.117347104036805E-2</v>
      </c>
      <c r="E37" s="287">
        <f>C37/C25-1</f>
        <v>-4.492729961039621E-2</v>
      </c>
      <c r="F37" s="136">
        <f>Q37/18</f>
        <v>3862874.4444444445</v>
      </c>
      <c r="G37" s="190">
        <f t="shared" ref="G37" si="52">F37/F36-1</f>
        <v>0.16200131388259953</v>
      </c>
      <c r="H37" s="190">
        <f t="shared" ref="H37" si="53">F37/F25-1</f>
        <v>5.7244032225382879E-2</v>
      </c>
      <c r="I37" s="130">
        <f t="shared" si="0"/>
        <v>50.665226594828624</v>
      </c>
      <c r="J37" s="130">
        <f t="shared" si="5"/>
        <v>0.10557075283507222</v>
      </c>
      <c r="K37" s="136">
        <f>R35+R36+R37</f>
        <v>287206343569</v>
      </c>
      <c r="L37" s="190">
        <f>U37/U34-1</f>
        <v>-2.1170941282801503E-2</v>
      </c>
      <c r="M37" s="190">
        <f>U37/U25-1</f>
        <v>-5.232572744343833E-2</v>
      </c>
      <c r="N37" s="191">
        <f>AVERAGE(T35:T37)</f>
        <v>49.185268234108754</v>
      </c>
      <c r="O37" s="192">
        <f>N37/N34-1</f>
        <v>8.6244631137800454E-2</v>
      </c>
      <c r="P37" s="129" t="s">
        <v>702</v>
      </c>
      <c r="Q37" s="116">
        <v>69531740</v>
      </c>
      <c r="R37" s="116">
        <v>92808682808</v>
      </c>
      <c r="S37" s="116">
        <v>1372375.98</v>
      </c>
      <c r="T37" s="130">
        <f t="shared" ref="T37" si="54">Q37/S37</f>
        <v>50.665226594828624</v>
      </c>
      <c r="U37" s="85">
        <f>Q35+Q36+Q37</f>
        <v>210960879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3601852.5</v>
      </c>
      <c r="G38" s="190">
        <f t="shared" ref="G38" si="55">F38/F37-1</f>
        <v>-6.7571946279497697E-2</v>
      </c>
      <c r="H38" s="205">
        <f t="shared" ref="H38" si="56">F38/F26-1</f>
        <v>0.1404008346973471</v>
      </c>
      <c r="I38" s="130">
        <f t="shared" si="0"/>
        <v>44.908009307385285</v>
      </c>
      <c r="J38" s="130">
        <f t="shared" si="5"/>
        <v>-3.7706371214216605E-2</v>
      </c>
      <c r="K38" s="136"/>
      <c r="L38" s="190"/>
      <c r="M38" s="190"/>
      <c r="N38" s="191"/>
      <c r="O38" s="192"/>
      <c r="P38" s="129" t="s">
        <v>728</v>
      </c>
      <c r="Q38" s="116">
        <v>72037050</v>
      </c>
      <c r="R38" s="116">
        <v>96900776370</v>
      </c>
      <c r="S38" s="116">
        <v>1604102.5</v>
      </c>
      <c r="T38" s="130">
        <f t="shared" ref="T38" si="57">Q38/S38</f>
        <v>44.908009307385285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3208774.8095238097</v>
      </c>
      <c r="G39" s="190">
        <f t="shared" ref="G39" si="58">F39/F38-1</f>
        <v>-0.10913208979995437</v>
      </c>
      <c r="H39" s="205">
        <f t="shared" ref="H39" si="59">F39/F27-1</f>
        <v>0.1953442648602628</v>
      </c>
      <c r="I39" s="130">
        <f t="shared" si="0"/>
        <v>49.034848964263773</v>
      </c>
      <c r="J39" s="130">
        <f t="shared" si="5"/>
        <v>-9.6693871943199783E-3</v>
      </c>
      <c r="K39" s="136"/>
      <c r="L39" s="190"/>
      <c r="M39" s="190"/>
      <c r="N39" s="191"/>
      <c r="O39" s="192"/>
      <c r="P39" s="129" t="s">
        <v>762</v>
      </c>
      <c r="Q39" s="116">
        <v>67384271</v>
      </c>
      <c r="R39" s="116">
        <v>93644134143</v>
      </c>
      <c r="S39" s="116">
        <v>1374211.86</v>
      </c>
      <c r="T39" s="130">
        <f t="shared" ref="T39" si="60">Q39/S39</f>
        <v>49.034848964263773</v>
      </c>
      <c r="U39" s="85"/>
    </row>
    <row r="40" spans="1:21" s="92" customFormat="1" ht="13.2" hidden="1">
      <c r="A40" s="129" t="s">
        <v>778</v>
      </c>
      <c r="B40" s="188">
        <f>SUM(F38:F40)</f>
        <v>10253537.023809524</v>
      </c>
      <c r="C40" s="188">
        <f>AVERAGE(F38:F40)</f>
        <v>3417845.6746031749</v>
      </c>
      <c r="D40" s="190">
        <f>C40/C37-1</f>
        <v>-4.6114269302502953E-3</v>
      </c>
      <c r="E40" s="287">
        <f>C40/C28-1</f>
        <v>0.19927162970113033</v>
      </c>
      <c r="F40" s="136">
        <f>Q40/21</f>
        <v>3442909.7142857141</v>
      </c>
      <c r="G40" s="190">
        <f t="shared" ref="G40" si="61">F40/F39-1</f>
        <v>7.2967072686740186E-2</v>
      </c>
      <c r="H40" s="205">
        <f t="shared" ref="H40" si="62">F40/F28-1</f>
        <v>0.27185404913537958</v>
      </c>
      <c r="I40" s="130">
        <f t="shared" si="0"/>
        <v>51.471830538014231</v>
      </c>
      <c r="J40" s="130">
        <f t="shared" si="5"/>
        <v>4.292497328587741E-2</v>
      </c>
      <c r="K40" s="136">
        <f>R38+R39+R40</f>
        <v>293066930272</v>
      </c>
      <c r="L40" s="190">
        <f>U40/U37-1</f>
        <v>3.6098920501748122E-3</v>
      </c>
      <c r="M40" s="190">
        <f>U40/U28-1</f>
        <v>0.24177774483404213</v>
      </c>
      <c r="N40" s="191">
        <f>AVERAGE(T38:T40)</f>
        <v>48.471562936554427</v>
      </c>
      <c r="O40" s="192">
        <f>N40/N37-1</f>
        <v>-1.4510550072783568E-2</v>
      </c>
      <c r="P40" s="129" t="s">
        <v>778</v>
      </c>
      <c r="Q40" s="116">
        <v>72301104</v>
      </c>
      <c r="R40" s="116">
        <v>102522019759</v>
      </c>
      <c r="S40" s="116">
        <v>1404673.26</v>
      </c>
      <c r="T40" s="130">
        <f t="shared" ref="T40" si="63">Q40/S40</f>
        <v>51.471830538014231</v>
      </c>
      <c r="U40" s="85">
        <f>Q38+Q39+Q40</f>
        <v>211722425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3343609.777777778</v>
      </c>
      <c r="G41" s="190">
        <f t="shared" ref="G41" si="64">F41/F40-1</f>
        <v>-2.8841864802875761E-2</v>
      </c>
      <c r="H41" s="205">
        <f t="shared" ref="H41" si="65">F41/F29-1</f>
        <v>8.7931893962226004E-2</v>
      </c>
      <c r="I41" s="130">
        <f t="shared" si="0"/>
        <v>51.349419514140358</v>
      </c>
      <c r="J41" s="130">
        <f t="shared" si="5"/>
        <v>4.873297512029473E-2</v>
      </c>
      <c r="K41" s="194"/>
      <c r="L41" s="202"/>
      <c r="M41" s="202"/>
      <c r="N41" s="194"/>
      <c r="O41" s="194"/>
      <c r="P41" s="129" t="s">
        <v>817</v>
      </c>
      <c r="Q41" s="116">
        <v>60184976</v>
      </c>
      <c r="R41" s="116">
        <v>88041548082</v>
      </c>
      <c r="S41" s="116">
        <v>1172067.31</v>
      </c>
      <c r="T41" s="130">
        <f t="shared" ref="T41" si="66">Q41/S41</f>
        <v>51.349419514140358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3266933.35</v>
      </c>
      <c r="G42" s="190">
        <f t="shared" ref="G42" si="67">F42/F41-1</f>
        <v>-2.2932229797682391E-2</v>
      </c>
      <c r="H42" s="205">
        <f t="shared" ref="H42" si="68">F42/F30-1</f>
        <v>-4.6865957226344679E-2</v>
      </c>
      <c r="I42" s="130">
        <f t="shared" si="0"/>
        <v>49.515034147920758</v>
      </c>
      <c r="J42" s="130">
        <f t="shared" si="5"/>
        <v>0.11158781469236212</v>
      </c>
      <c r="K42" s="194"/>
      <c r="L42" s="202"/>
      <c r="M42" s="202"/>
      <c r="N42" s="194"/>
      <c r="O42" s="194"/>
      <c r="P42" s="129" t="s">
        <v>826</v>
      </c>
      <c r="Q42" s="116">
        <v>65338667</v>
      </c>
      <c r="R42" s="116">
        <v>94465983148</v>
      </c>
      <c r="S42" s="116">
        <v>1319572.29</v>
      </c>
      <c r="T42" s="130">
        <f t="shared" ref="T42" si="69">Q42/S42</f>
        <v>49.515034147920758</v>
      </c>
      <c r="U42" s="175"/>
    </row>
    <row r="43" spans="1:21" s="92" customFormat="1" ht="13.2">
      <c r="A43" s="129" t="s">
        <v>835</v>
      </c>
      <c r="B43" s="188">
        <f>SUM(F41:F43)</f>
        <v>10227413.977777777</v>
      </c>
      <c r="C43" s="188">
        <f>AVERAGE(F41:F43)</f>
        <v>3409137.9925925923</v>
      </c>
      <c r="D43" s="190">
        <f>C43/C40-1</f>
        <v>-2.5477107042271019E-3</v>
      </c>
      <c r="E43" s="287">
        <f>C43/C31-1</f>
        <v>4.2290162583808355E-2</v>
      </c>
      <c r="F43" s="136">
        <f>Q43/20</f>
        <v>3616870.85</v>
      </c>
      <c r="G43" s="190">
        <f t="shared" ref="G43" si="70">F43/F42-1</f>
        <v>0.10711497986330198</v>
      </c>
      <c r="H43" s="205">
        <f t="shared" ref="H43" si="71">F43/F31-1</f>
        <v>9.2211537976633284E-2</v>
      </c>
      <c r="I43" s="130">
        <f t="shared" si="0"/>
        <v>49.920970019095904</v>
      </c>
      <c r="J43" s="130">
        <f t="shared" si="5"/>
        <v>0.11063254671773737</v>
      </c>
      <c r="K43" s="136">
        <f>R41+R42+R43</f>
        <v>287350528627</v>
      </c>
      <c r="L43" s="190">
        <f>U43/U40-1</f>
        <v>-6.5469517459003201E-2</v>
      </c>
      <c r="M43" s="190">
        <f>K43/K31-1</f>
        <v>8.9711654619279768E-2</v>
      </c>
      <c r="N43" s="191">
        <f>AVERAGE(T41:T43)</f>
        <v>50.261807893719009</v>
      </c>
      <c r="O43" s="192">
        <f>N43/N40-1</f>
        <v>3.6933922669419195E-2</v>
      </c>
      <c r="P43" s="129" t="s">
        <v>835</v>
      </c>
      <c r="Q43" s="116">
        <v>72337417</v>
      </c>
      <c r="R43" s="116">
        <v>104842997397</v>
      </c>
      <c r="S43" s="116">
        <v>1449038.69</v>
      </c>
      <c r="T43" s="130">
        <f t="shared" ref="T43" si="72">Q43/S43</f>
        <v>49.920970019095904</v>
      </c>
      <c r="U43" s="85">
        <f>Q41+Q42+Q43</f>
        <v>197861060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3513282.3636363638</v>
      </c>
      <c r="G44" s="190">
        <f t="shared" ref="G44" si="73">F44/F43-1</f>
        <v>-2.8640360869848669E-2</v>
      </c>
      <c r="H44" s="205">
        <f t="shared" ref="H44" si="74">F44/F32-1</f>
        <v>8.1548830833056751E-2</v>
      </c>
      <c r="I44" s="130">
        <f t="shared" si="0"/>
        <v>49.695549050919333</v>
      </c>
      <c r="J44" s="130">
        <f t="shared" si="5"/>
        <v>0.14414303504212889</v>
      </c>
      <c r="K44" s="136"/>
      <c r="L44" s="190"/>
      <c r="M44" s="190"/>
      <c r="N44" s="191"/>
      <c r="O44" s="192"/>
      <c r="P44" s="129" t="s">
        <v>843</v>
      </c>
      <c r="Q44" s="116">
        <v>77292212</v>
      </c>
      <c r="R44" s="116">
        <v>112147757592</v>
      </c>
      <c r="S44" s="116">
        <v>1555314.58</v>
      </c>
      <c r="T44" s="130">
        <f t="shared" ref="T44" si="75">Q44/S44</f>
        <v>49.695549050919333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3680279</v>
      </c>
      <c r="G45" s="190">
        <f t="shared" ref="G45" si="76">F45/F44-1</f>
        <v>4.7532939023662513E-2</v>
      </c>
      <c r="H45" s="205">
        <f t="shared" ref="H45" si="77">F45/F33-1</f>
        <v>5.0064397165117125E-2</v>
      </c>
      <c r="I45" s="130">
        <f t="shared" si="0"/>
        <v>51.224758990991347</v>
      </c>
      <c r="J45" s="130">
        <f t="shared" si="5"/>
        <v>0.17511853206432848</v>
      </c>
      <c r="K45" s="136"/>
      <c r="L45" s="190"/>
      <c r="M45" s="190"/>
      <c r="N45" s="191"/>
      <c r="O45" s="192"/>
      <c r="P45" s="129" t="s">
        <v>849</v>
      </c>
      <c r="Q45" s="116">
        <v>73605580</v>
      </c>
      <c r="R45" s="116">
        <v>103628695024</v>
      </c>
      <c r="S45" s="116">
        <v>1436914.13</v>
      </c>
      <c r="T45" s="130">
        <f t="shared" ref="T45" si="78">Q45/S45</f>
        <v>51.224758990991347</v>
      </c>
      <c r="U45" s="85"/>
    </row>
    <row r="46" spans="1:21" s="92" customFormat="1" ht="13.2">
      <c r="A46" s="129" t="s">
        <v>893</v>
      </c>
      <c r="B46" s="188">
        <f>SUM(F44:F46)</f>
        <v>11513125.521531101</v>
      </c>
      <c r="C46" s="188">
        <f>AVERAGE(F44:F46)</f>
        <v>3837708.5071770339</v>
      </c>
      <c r="D46" s="190">
        <f>C46/C43-1</f>
        <v>0.12571228137894197</v>
      </c>
      <c r="E46" s="287">
        <f>C46/C34-1</f>
        <v>8.2824837283147046E-2</v>
      </c>
      <c r="F46" s="136">
        <f>Q46/19</f>
        <v>4319564.1578947371</v>
      </c>
      <c r="G46" s="190">
        <f t="shared" ref="G46" si="79">F46/F45-1</f>
        <v>0.17370562337658013</v>
      </c>
      <c r="H46" s="205">
        <f t="shared" ref="H46" si="80">F46/F34-1</f>
        <v>0.11349125339531763</v>
      </c>
      <c r="I46" s="130">
        <f t="shared" si="0"/>
        <v>48.386966954834591</v>
      </c>
      <c r="J46" s="130">
        <f t="shared" si="5"/>
        <v>-8.7569143328850574E-3</v>
      </c>
      <c r="K46" s="136">
        <f>R44+R45+R46</f>
        <v>328167637581</v>
      </c>
      <c r="L46" s="190">
        <f>U46/U43-1</f>
        <v>0.17743992173093592</v>
      </c>
      <c r="M46" s="190">
        <f>K46/K34-1</f>
        <v>0.11351009110839549</v>
      </c>
      <c r="N46" s="191">
        <f>AVERAGE(T44:T46)</f>
        <v>49.769091665581755</v>
      </c>
      <c r="O46" s="192">
        <f>N46/N43-1</f>
        <v>-9.8029945357144266E-3</v>
      </c>
      <c r="P46" s="129" t="s">
        <v>888</v>
      </c>
      <c r="Q46" s="116">
        <v>82071719</v>
      </c>
      <c r="R46" s="116">
        <v>112391184965</v>
      </c>
      <c r="S46" s="116">
        <v>1696153.41</v>
      </c>
      <c r="T46" s="130">
        <f t="shared" ref="T46" si="81">Q46/S46</f>
        <v>48.386966954834591</v>
      </c>
      <c r="U46" s="85">
        <f t="shared" ref="U46:U51" si="82">Q44+Q45+Q46</f>
        <v>232969511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3791245.1304347827</v>
      </c>
      <c r="G47" s="190">
        <f t="shared" ref="G47" si="83">F47/F46-1</f>
        <v>-0.12230841079055665</v>
      </c>
      <c r="H47" s="205">
        <f t="shared" ref="H47" si="84">F47/F35-1</f>
        <v>0.21754800600081814</v>
      </c>
      <c r="I47" s="130">
        <f t="shared" si="0"/>
        <v>44.362540125577659</v>
      </c>
      <c r="J47" s="130">
        <f t="shared" si="5"/>
        <v>-9.1685304402505996E-2</v>
      </c>
      <c r="K47" s="136"/>
      <c r="L47" s="190"/>
      <c r="M47" s="190"/>
      <c r="N47" s="191"/>
      <c r="O47" s="192"/>
      <c r="P47" s="129" t="s">
        <v>1053</v>
      </c>
      <c r="Q47" s="116">
        <v>87198638</v>
      </c>
      <c r="R47" s="116">
        <v>119508316218</v>
      </c>
      <c r="S47" s="116">
        <v>1965591.64</v>
      </c>
      <c r="T47" s="130">
        <f t="shared" ref="T47" si="85">Q47/S47</f>
        <v>44.362540125577659</v>
      </c>
      <c r="U47" s="85">
        <f t="shared" si="82"/>
        <v>242875937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4065940.8</v>
      </c>
      <c r="G48" s="190">
        <f t="shared" ref="G48" si="86">F48/F47-1</f>
        <v>7.2455264725579616E-2</v>
      </c>
      <c r="H48" s="205">
        <f t="shared" ref="H48" si="87">F48/F36-1</f>
        <v>0.22308623273111827</v>
      </c>
      <c r="I48" s="130">
        <f t="shared" si="0"/>
        <v>46.480787033839057</v>
      </c>
      <c r="J48" s="130">
        <f t="shared" si="5"/>
        <v>-3.2659574029148097E-2</v>
      </c>
      <c r="K48" s="136"/>
      <c r="L48" s="190"/>
      <c r="M48" s="190"/>
      <c r="N48" s="191"/>
      <c r="O48" s="192"/>
      <c r="P48" s="129" t="s">
        <v>1070</v>
      </c>
      <c r="Q48" s="116">
        <v>81318816</v>
      </c>
      <c r="R48" s="116">
        <v>112836389705</v>
      </c>
      <c r="S48" s="116">
        <v>1749514.61</v>
      </c>
      <c r="T48" s="130">
        <f t="shared" ref="T48" si="88">Q48/S48</f>
        <v>46.480787033839057</v>
      </c>
      <c r="U48" s="85">
        <f t="shared" si="82"/>
        <v>250589173</v>
      </c>
    </row>
    <row r="49" spans="1:26" ht="13.2">
      <c r="A49" s="129" t="s">
        <v>1207</v>
      </c>
      <c r="B49" s="188">
        <f>SUM(F47:F49)</f>
        <v>12019982.839525692</v>
      </c>
      <c r="C49" s="188">
        <f>AVERAGE(F47:F49)</f>
        <v>4006660.9465085641</v>
      </c>
      <c r="D49" s="190">
        <f>C49/C46-1</f>
        <v>4.4024302266721493E-2</v>
      </c>
      <c r="E49" s="287">
        <f>C49/C37-1</f>
        <v>0.16687086018958297</v>
      </c>
      <c r="F49" s="136">
        <f>Q49/22</f>
        <v>4162796.9090909092</v>
      </c>
      <c r="G49" s="190">
        <f t="shared" ref="G49" si="89">F49/F48-1</f>
        <v>2.3821327917737944E-2</v>
      </c>
      <c r="H49" s="205">
        <f t="shared" ref="H49" si="90">F49/F37-1</f>
        <v>7.764230211463663E-2</v>
      </c>
      <c r="I49" s="130">
        <f t="shared" si="0"/>
        <v>45.266512787482036</v>
      </c>
      <c r="J49" s="130">
        <f t="shared" si="5"/>
        <v>-0.10655659058865496</v>
      </c>
      <c r="K49" s="136">
        <f>R47+R48+R49</f>
        <v>359629104355</v>
      </c>
      <c r="L49" s="190">
        <f>U49/U46-1</f>
        <v>0.11645075307729869</v>
      </c>
      <c r="M49" s="190">
        <f>K49/K37-1</f>
        <v>0.2521628174574102</v>
      </c>
      <c r="N49" s="191">
        <f>AVERAGE(T47:T49)</f>
        <v>45.369946648966248</v>
      </c>
      <c r="O49" s="192">
        <f>N49/N46-1</f>
        <v>-8.8391105189845609E-2</v>
      </c>
      <c r="P49" s="129" t="s">
        <v>1158</v>
      </c>
      <c r="Q49" s="116">
        <v>91581532</v>
      </c>
      <c r="R49" s="116">
        <v>127284398432</v>
      </c>
      <c r="S49" s="116">
        <v>2023162.96</v>
      </c>
      <c r="T49" s="130">
        <f t="shared" ref="T49" si="91">Q49/S49</f>
        <v>45.266512787482036</v>
      </c>
      <c r="U49" s="85">
        <f t="shared" si="82"/>
        <v>260098986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3667172.611111111</v>
      </c>
      <c r="G50" s="190">
        <f t="shared" ref="G50" si="92">F50/F49-1</f>
        <v>-0.11906040789485328</v>
      </c>
      <c r="H50" s="190">
        <f t="shared" ref="H50" si="93">F50/F38-1</f>
        <v>1.8135143266169607E-2</v>
      </c>
      <c r="I50" s="130">
        <f t="shared" ref="I50" si="94">T50</f>
        <v>50.164083838761748</v>
      </c>
      <c r="J50" s="130">
        <f t="shared" ref="J50" si="95">I50/I38-1</f>
        <v>0.11704091569501118</v>
      </c>
      <c r="K50" s="136"/>
      <c r="L50" s="190"/>
      <c r="M50" s="190"/>
      <c r="N50" s="191"/>
      <c r="O50" s="192"/>
      <c r="P50" s="129" t="s">
        <v>1293</v>
      </c>
      <c r="Q50" s="116">
        <v>66009107</v>
      </c>
      <c r="R50" s="116">
        <v>93283877537</v>
      </c>
      <c r="S50" s="116">
        <v>1315863.8999999999</v>
      </c>
      <c r="T50" s="130">
        <f t="shared" ref="T50" si="96">Q50/S50</f>
        <v>50.164083838761748</v>
      </c>
      <c r="U50" s="85">
        <f t="shared" si="82"/>
        <v>238909455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3944990.5</v>
      </c>
      <c r="G51" s="190">
        <f t="shared" ref="G51:G52" si="97">F51/F50-1</f>
        <v>7.5758061686851841E-2</v>
      </c>
      <c r="H51" s="190">
        <f t="shared" ref="H51:H52" si="98">F51/F39-1</f>
        <v>0.22943825421810971</v>
      </c>
      <c r="I51" s="130">
        <f t="shared" ref="I51:I52" si="99">T51</f>
        <v>52.136728867674087</v>
      </c>
      <c r="J51" s="130">
        <f t="shared" ref="J51:J52" si="100">I51/I39-1</f>
        <v>6.3258681711672926E-2</v>
      </c>
      <c r="K51" s="136"/>
      <c r="L51" s="190"/>
      <c r="M51" s="190"/>
      <c r="N51" s="191"/>
      <c r="O51" s="192"/>
      <c r="P51" s="129" t="s">
        <v>1402</v>
      </c>
      <c r="Q51" s="116">
        <v>78899810</v>
      </c>
      <c r="R51" s="116">
        <v>114284648481</v>
      </c>
      <c r="S51" s="116">
        <v>1513324.9</v>
      </c>
      <c r="T51" s="130">
        <f t="shared" ref="T51:T52" si="101">Q51/S51</f>
        <v>52.136728867674087</v>
      </c>
      <c r="U51" s="85">
        <f t="shared" si="82"/>
        <v>236490449</v>
      </c>
    </row>
    <row r="52" spans="1:26" s="79" customFormat="1" ht="13.2">
      <c r="A52" s="129" t="s">
        <v>1403</v>
      </c>
      <c r="B52" s="188">
        <f>SUM(F50:F52)</f>
        <v>11488578.065656565</v>
      </c>
      <c r="C52" s="188">
        <f>AVERAGE(F50:F52)</f>
        <v>3829526.0218855217</v>
      </c>
      <c r="D52" s="190">
        <f>C52/C49-1</f>
        <v>-4.4210110859866814E-2</v>
      </c>
      <c r="E52" s="287">
        <f>C52/C40-1</f>
        <v>0.12045024453309883</v>
      </c>
      <c r="F52" s="136">
        <f>Q52/22</f>
        <v>3876414.9545454546</v>
      </c>
      <c r="G52" s="190">
        <f t="shared" si="97"/>
        <v>-1.7382943115970884E-2</v>
      </c>
      <c r="H52" s="190">
        <f t="shared" si="98"/>
        <v>0.12591246249095378</v>
      </c>
      <c r="I52" s="130">
        <f t="shared" si="99"/>
        <v>50.800874294823295</v>
      </c>
      <c r="J52" s="130">
        <f t="shared" si="100"/>
        <v>-1.3035406671526917E-2</v>
      </c>
      <c r="K52" s="136">
        <f>R50+R51+R52</f>
        <v>333041140309</v>
      </c>
      <c r="L52" s="190">
        <f>U52/U49-1</f>
        <v>-0.11499060592262367</v>
      </c>
      <c r="M52" s="190">
        <f>K52/K40-1</f>
        <v>0.13639959308919414</v>
      </c>
      <c r="N52" s="191">
        <f>AVERAGE(T50:T52)</f>
        <v>51.033895667086377</v>
      </c>
      <c r="O52" s="192">
        <f>N52/N49-1</f>
        <v>0.12483922588542828</v>
      </c>
      <c r="P52" s="129" t="s">
        <v>1403</v>
      </c>
      <c r="Q52" s="116">
        <v>85281129</v>
      </c>
      <c r="R52" s="116">
        <v>125472614291</v>
      </c>
      <c r="S52" s="116">
        <v>1678733.49</v>
      </c>
      <c r="T52" s="130">
        <f t="shared" si="101"/>
        <v>50.800874294823295</v>
      </c>
      <c r="U52" s="85">
        <f t="shared" ref="U52" si="102">Q50+Q51+Q52</f>
        <v>230190046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4334975.9523809524</v>
      </c>
      <c r="G53" s="190">
        <f t="shared" ref="G53" si="103">F53/F52-1</f>
        <v>0.11829512660861874</v>
      </c>
      <c r="H53" s="190">
        <f t="shared" ref="H53" si="104">F53/F41-1</f>
        <v>0.29649577567094387</v>
      </c>
      <c r="I53" s="130">
        <f t="shared" ref="I53" si="105">T53</f>
        <v>50.089641615388487</v>
      </c>
      <c r="J53" s="130">
        <f t="shared" ref="J53" si="106">I53/I41-1</f>
        <v>-2.4533439923404732E-2</v>
      </c>
      <c r="K53" s="136"/>
      <c r="L53" s="190"/>
      <c r="M53" s="190"/>
      <c r="N53" s="191"/>
      <c r="O53" s="192"/>
      <c r="P53" s="129" t="s">
        <v>1414</v>
      </c>
      <c r="Q53" s="116">
        <v>91034495</v>
      </c>
      <c r="R53" s="116">
        <v>132595406368</v>
      </c>
      <c r="S53" s="116">
        <v>1817431.55</v>
      </c>
      <c r="T53" s="130">
        <f t="shared" ref="T53" si="107">Q53/S53</f>
        <v>50.089641615388487</v>
      </c>
      <c r="U53" s="85">
        <f t="shared" ref="U53" si="108">Q51+Q52+Q53</f>
        <v>255215434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4125799.6470588236</v>
      </c>
      <c r="G54" s="190">
        <f t="shared" ref="G54" si="109">F54/F53-1</f>
        <v>-4.8253163943675514E-2</v>
      </c>
      <c r="H54" s="190">
        <f t="shared" ref="H54" si="110">F54/F42-1</f>
        <v>0.26289679189776649</v>
      </c>
      <c r="I54" s="130">
        <f t="shared" ref="I54" si="111">T54</f>
        <v>47.618292210599222</v>
      </c>
      <c r="J54" s="130">
        <f t="shared" ref="J54" si="112">I54/I42-1</f>
        <v>-3.8306384514554259E-2</v>
      </c>
      <c r="K54" s="136"/>
      <c r="L54" s="190"/>
      <c r="M54" s="190"/>
      <c r="N54" s="191"/>
      <c r="O54" s="192"/>
      <c r="P54" s="129" t="s">
        <v>1417</v>
      </c>
      <c r="Q54" s="116">
        <v>70138594</v>
      </c>
      <c r="R54" s="116">
        <v>101576425736</v>
      </c>
      <c r="S54" s="116">
        <v>1472933.84</v>
      </c>
      <c r="T54" s="130">
        <f t="shared" ref="T54" si="113">Q54/S54</f>
        <v>47.618292210599222</v>
      </c>
      <c r="U54" s="85">
        <f t="shared" ref="U54" si="114">Q52+Q53+Q54</f>
        <v>246454218</v>
      </c>
    </row>
    <row r="55" spans="1:26" s="79" customFormat="1" ht="13.2">
      <c r="A55" s="129" t="s">
        <v>1418</v>
      </c>
      <c r="B55" s="188">
        <f>SUM(F53:F55)</f>
        <v>12908047.31372549</v>
      </c>
      <c r="C55" s="188">
        <f>AVERAGE(F53:F55)</f>
        <v>4302682.4379084967</v>
      </c>
      <c r="D55" s="190">
        <f>C55/C52-1</f>
        <v>0.12355482462292033</v>
      </c>
      <c r="E55" s="287">
        <f>C55/C43-1</f>
        <v>0.26210275068284306</v>
      </c>
      <c r="F55" s="136">
        <f>Q55/21</f>
        <v>4447271.7142857146</v>
      </c>
      <c r="G55" s="190">
        <f t="shared" ref="G55" si="115">F55/F54-1</f>
        <v>7.7917517748604226E-2</v>
      </c>
      <c r="H55" s="190">
        <f t="shared" ref="H55" si="116">F55/F43-1</f>
        <v>0.22959096377071764</v>
      </c>
      <c r="I55" s="130">
        <f>T55</f>
        <v>45.550711829598512</v>
      </c>
      <c r="J55" s="130">
        <f t="shared" ref="J55" si="117">I55/I43-1</f>
        <v>-8.7543535068041911E-2</v>
      </c>
      <c r="K55" s="136">
        <f>R53+R54+R55</f>
        <v>371592976369</v>
      </c>
      <c r="L55" s="190">
        <f>U55/U52-1</f>
        <v>0.10589401854500702</v>
      </c>
      <c r="M55" s="190">
        <f>K55/K43-1</f>
        <v>0.29316962855270146</v>
      </c>
      <c r="N55" s="191">
        <f>AVERAGE(T53:T55)</f>
        <v>47.752881885195414</v>
      </c>
      <c r="O55" s="192">
        <f>N55/N52-1</f>
        <v>-6.4290874506117812E-2</v>
      </c>
      <c r="P55" s="129" t="s">
        <v>1418</v>
      </c>
      <c r="Q55" s="116">
        <v>93392706</v>
      </c>
      <c r="R55" s="116">
        <v>137421144265</v>
      </c>
      <c r="S55" s="116">
        <v>2050301.79</v>
      </c>
      <c r="T55" s="130">
        <f t="shared" ref="T55" si="118">Q55/S55</f>
        <v>45.550711829598512</v>
      </c>
      <c r="U55" s="85">
        <f t="shared" ref="U55" si="119">Q53+Q54+Q55</f>
        <v>254565795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4462452.1818181816</v>
      </c>
      <c r="G56" s="190">
        <f t="shared" ref="G56" si="120">F56/F55-1</f>
        <v>3.4134337876643439E-3</v>
      </c>
      <c r="H56" s="190">
        <f t="shared" ref="H56" si="121">F56/F44-1</f>
        <v>0.27016610677412101</v>
      </c>
      <c r="I56" s="291">
        <f>T56</f>
        <v>49.69333279212956</v>
      </c>
      <c r="J56" s="130">
        <f t="shared" ref="J56" si="122">I56/I44-1</f>
        <v>-4.459672610723775E-5</v>
      </c>
      <c r="K56" s="136"/>
      <c r="L56" s="190"/>
      <c r="M56" s="190"/>
      <c r="N56" s="191"/>
      <c r="O56" s="192"/>
      <c r="P56" s="129" t="s">
        <v>1420</v>
      </c>
      <c r="Q56" s="116">
        <v>98173948</v>
      </c>
      <c r="R56" s="116">
        <v>146626662116</v>
      </c>
      <c r="S56" s="116">
        <v>1975595.97</v>
      </c>
      <c r="T56" s="130">
        <f t="shared" ref="T56" si="123">Q56/S56</f>
        <v>49.69333279212956</v>
      </c>
      <c r="U56" s="85">
        <f t="shared" ref="U56" si="124">Q54+Q55+Q56</f>
        <v>261705248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4815155</v>
      </c>
      <c r="G57" s="254">
        <f t="shared" ref="G57" si="125">F57/F56-1</f>
        <v>7.9037893026365769E-2</v>
      </c>
      <c r="H57" s="254">
        <f t="shared" ref="H57" si="126">F57/F45-1</f>
        <v>0.30836683849240787</v>
      </c>
      <c r="I57" s="282">
        <f>T57</f>
        <v>48.190490727619874</v>
      </c>
      <c r="J57" s="277">
        <f t="shared" ref="J57" si="127">I57/I45-1</f>
        <v>-5.9234407796922905E-2</v>
      </c>
      <c r="K57" s="204"/>
      <c r="L57" s="254"/>
      <c r="M57" s="254"/>
      <c r="N57" s="257"/>
      <c r="O57" s="258"/>
      <c r="P57" s="129" t="s">
        <v>1436</v>
      </c>
      <c r="Q57" s="116">
        <v>57781860</v>
      </c>
      <c r="R57" s="116">
        <v>85115829881</v>
      </c>
      <c r="S57" s="116">
        <v>1199030.33</v>
      </c>
      <c r="T57" s="130">
        <f t="shared" ref="T57" si="128">Q57/S57</f>
        <v>48.190490727619874</v>
      </c>
      <c r="U57" s="85">
        <f t="shared" ref="U57" si="129">Q55+Q56+Q57</f>
        <v>249348514</v>
      </c>
    </row>
    <row r="58" spans="1:26">
      <c r="B58" s="196">
        <f>SUM(F56:F58)</f>
        <v>9277607.1818181816</v>
      </c>
      <c r="C58" s="196">
        <f>AVERAGE(F56:F58)</f>
        <v>4638803.5909090908</v>
      </c>
      <c r="D58" s="197">
        <f>C58/C55-1</f>
        <v>7.8118977603185646E-2</v>
      </c>
      <c r="E58" s="233">
        <f>C58/C46-1</f>
        <v>0.20874307734261244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410521603</v>
      </c>
      <c r="R63" s="212">
        <v>603335468366</v>
      </c>
      <c r="S63" s="213">
        <v>8515293.4900000002</v>
      </c>
      <c r="T63" s="214">
        <v>1116</v>
      </c>
      <c r="U63" s="214">
        <v>2347</v>
      </c>
    </row>
    <row r="64" spans="1:26" ht="18" thickBot="1">
      <c r="P64" s="180" t="s">
        <v>976</v>
      </c>
      <c r="Q64" s="181">
        <v>91034495</v>
      </c>
      <c r="R64" s="181">
        <v>132595406368</v>
      </c>
      <c r="S64" s="182">
        <v>1817431.55</v>
      </c>
      <c r="T64" s="210">
        <v>571</v>
      </c>
      <c r="U64" s="210">
        <v>1203</v>
      </c>
    </row>
    <row r="65" spans="16:21" ht="18" thickBot="1">
      <c r="P65" s="180" t="s">
        <v>977</v>
      </c>
      <c r="Q65" s="181">
        <v>70138594</v>
      </c>
      <c r="R65" s="181">
        <v>101576425736</v>
      </c>
      <c r="S65" s="182">
        <v>1472933.84</v>
      </c>
      <c r="T65" s="210">
        <v>532</v>
      </c>
      <c r="U65" s="210">
        <v>1109</v>
      </c>
    </row>
    <row r="66" spans="16:21" ht="18" thickBot="1">
      <c r="P66" s="180" t="s">
        <v>978</v>
      </c>
      <c r="Q66" s="181">
        <v>93392706</v>
      </c>
      <c r="R66" s="181">
        <v>137421144265</v>
      </c>
      <c r="S66" s="182">
        <v>2050301.79</v>
      </c>
      <c r="T66" s="210">
        <v>625</v>
      </c>
      <c r="U66" s="210">
        <v>1270</v>
      </c>
    </row>
    <row r="67" spans="16:21" ht="18" thickBot="1">
      <c r="P67" s="180" t="s">
        <v>979</v>
      </c>
      <c r="Q67" s="181">
        <v>98173948</v>
      </c>
      <c r="R67" s="181">
        <v>146626662116</v>
      </c>
      <c r="S67" s="182">
        <v>1975595.97</v>
      </c>
      <c r="T67" s="210">
        <v>629</v>
      </c>
      <c r="U67" s="210">
        <v>1297</v>
      </c>
    </row>
    <row r="68" spans="16:21" ht="18" thickBot="1">
      <c r="P68" s="180" t="s">
        <v>980</v>
      </c>
      <c r="Q68" s="181">
        <v>57781860</v>
      </c>
      <c r="R68" s="181">
        <v>85115829881</v>
      </c>
      <c r="S68" s="182">
        <v>1199030.33</v>
      </c>
      <c r="T68" s="210">
        <v>502</v>
      </c>
      <c r="U68" s="210">
        <v>974</v>
      </c>
    </row>
    <row r="69" spans="16:21" ht="18" thickBot="1">
      <c r="P69" s="180" t="s">
        <v>975</v>
      </c>
      <c r="Q69" s="181">
        <v>920672314</v>
      </c>
      <c r="R69" s="181">
        <v>1307543140086</v>
      </c>
      <c r="S69" s="182">
        <v>18868482.93</v>
      </c>
      <c r="T69" s="210">
        <v>1665</v>
      </c>
      <c r="U69" s="210">
        <v>4282</v>
      </c>
    </row>
    <row r="70" spans="16:21" ht="18" thickBot="1">
      <c r="P70" s="215" t="s">
        <v>982</v>
      </c>
      <c r="Q70" s="216">
        <v>837480415</v>
      </c>
      <c r="R70" s="217"/>
      <c r="S70"/>
      <c r="T70"/>
      <c r="U70"/>
    </row>
  </sheetData>
  <phoneticPr fontId="1" type="noConversion"/>
  <conditionalFormatting sqref="C29:C30">
    <cfRule type="cellIs" dxfId="2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7">
    <tabColor rgb="FFFF0000"/>
  </sheetPr>
  <dimension ref="A1:Z72"/>
  <sheetViews>
    <sheetView zoomScale="115" zoomScaleNormal="115" workbookViewId="0">
      <selection activeCell="O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8536691000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304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4614678.75</v>
      </c>
      <c r="G5" s="90"/>
      <c r="H5" s="90"/>
      <c r="I5" s="130">
        <f t="shared" ref="I5:I49" si="0">T5</f>
        <v>126.99886985153844</v>
      </c>
      <c r="J5" s="130"/>
      <c r="K5" s="86"/>
      <c r="L5" s="80"/>
      <c r="M5" s="80"/>
      <c r="P5" s="129" t="s">
        <v>0</v>
      </c>
      <c r="Q5" s="116">
        <v>92293575</v>
      </c>
      <c r="R5" s="116"/>
      <c r="S5" s="116">
        <v>726727.53</v>
      </c>
      <c r="T5" s="130">
        <f t="shared" ref="T5:T20" si="1">Q5/S5</f>
        <v>126.99886985153844</v>
      </c>
      <c r="U5" s="85"/>
    </row>
    <row r="6" spans="1:21" ht="15" hidden="1" customHeight="1">
      <c r="A6" s="129" t="s">
        <v>1</v>
      </c>
      <c r="C6" s="79"/>
      <c r="F6" s="78">
        <f>Q6/18</f>
        <v>4141383.388888889</v>
      </c>
      <c r="G6" s="90">
        <f t="shared" ref="G6:G16" si="2">F6/F5-1</f>
        <v>-0.10256301397168999</v>
      </c>
      <c r="H6" s="90"/>
      <c r="I6" s="130">
        <f t="shared" si="0"/>
        <v>117.93560291443475</v>
      </c>
      <c r="J6" s="130"/>
      <c r="K6" s="78"/>
      <c r="P6" s="129" t="s">
        <v>1</v>
      </c>
      <c r="Q6" s="116">
        <v>74544901</v>
      </c>
      <c r="R6" s="116"/>
      <c r="S6" s="116">
        <v>632081.4</v>
      </c>
      <c r="T6" s="130">
        <f t="shared" si="1"/>
        <v>117.93560291443475</v>
      </c>
      <c r="U6" s="85"/>
    </row>
    <row r="7" spans="1:21" ht="15" hidden="1" customHeight="1">
      <c r="A7" s="129" t="s">
        <v>2</v>
      </c>
      <c r="B7" s="131">
        <f>F5+F6+F7</f>
        <v>12760111.366161615</v>
      </c>
      <c r="C7" s="131">
        <f>AVERAGE(F5:F7)</f>
        <v>4253370.4553872049</v>
      </c>
      <c r="F7" s="78">
        <f>Q7/22</f>
        <v>4004049.2272727271</v>
      </c>
      <c r="G7" s="90">
        <f t="shared" si="2"/>
        <v>-3.3161421853533768E-2</v>
      </c>
      <c r="H7" s="90"/>
      <c r="I7" s="130">
        <f t="shared" si="0"/>
        <v>114.97213113876846</v>
      </c>
      <c r="J7" s="130"/>
      <c r="K7" s="85">
        <f>R5+R6+R7</f>
        <v>0</v>
      </c>
      <c r="N7" s="88">
        <f>AVERAGE(T5:T7)</f>
        <v>119.96886796824721</v>
      </c>
      <c r="P7" s="129" t="s">
        <v>2</v>
      </c>
      <c r="Q7" s="116">
        <v>88089083</v>
      </c>
      <c r="R7" s="116"/>
      <c r="S7" s="116">
        <v>766177.7</v>
      </c>
      <c r="T7" s="130">
        <f t="shared" si="1"/>
        <v>114.97213113876846</v>
      </c>
      <c r="U7" s="85">
        <f>Q5+Q6+Q7</f>
        <v>254927559</v>
      </c>
    </row>
    <row r="8" spans="1:21" ht="15" hidden="1" customHeight="1">
      <c r="A8" s="129" t="s">
        <v>3</v>
      </c>
      <c r="C8" s="79"/>
      <c r="F8" s="78">
        <f>Q8/21</f>
        <v>4216450.7619047621</v>
      </c>
      <c r="G8" s="90">
        <f t="shared" si="2"/>
        <v>5.3046684137973976E-2</v>
      </c>
      <c r="H8" s="90"/>
      <c r="I8" s="130">
        <f t="shared" si="0"/>
        <v>124.45438050267977</v>
      </c>
      <c r="J8" s="130"/>
      <c r="K8" s="78"/>
      <c r="P8" s="129" t="s">
        <v>3</v>
      </c>
      <c r="Q8" s="116">
        <v>88545466</v>
      </c>
      <c r="R8" s="116"/>
      <c r="S8" s="116">
        <v>711469.26</v>
      </c>
      <c r="T8" s="130">
        <f t="shared" si="1"/>
        <v>124.45438050267977</v>
      </c>
      <c r="U8" s="85"/>
    </row>
    <row r="9" spans="1:21" ht="15" hidden="1" customHeight="1">
      <c r="A9" s="129" t="s">
        <v>4</v>
      </c>
      <c r="C9" s="79"/>
      <c r="F9" s="78">
        <f>Q9/21</f>
        <v>4031645</v>
      </c>
      <c r="G9" s="90">
        <f t="shared" si="2"/>
        <v>-4.3829697615460073E-2</v>
      </c>
      <c r="H9" s="90"/>
      <c r="I9" s="130">
        <f t="shared" si="0"/>
        <v>131.15642651663978</v>
      </c>
      <c r="J9" s="130"/>
      <c r="K9" s="78"/>
      <c r="P9" s="129" t="s">
        <v>4</v>
      </c>
      <c r="Q9" s="116">
        <v>84664545</v>
      </c>
      <c r="R9" s="116"/>
      <c r="S9" s="116">
        <v>645523.42000000004</v>
      </c>
      <c r="T9" s="130">
        <f t="shared" si="1"/>
        <v>131.15642651663978</v>
      </c>
      <c r="U9" s="85"/>
    </row>
    <row r="10" spans="1:21" ht="15" hidden="1" customHeight="1">
      <c r="A10" s="129" t="s">
        <v>5</v>
      </c>
      <c r="B10" s="131">
        <f>F8+F9+F10</f>
        <v>12114397.80952381</v>
      </c>
      <c r="C10" s="131">
        <f>AVERAGE(F8:F10)</f>
        <v>4038132.6031746031</v>
      </c>
      <c r="D10" s="90">
        <f>C10/C7-1</f>
        <v>-5.0604069048344358E-2</v>
      </c>
      <c r="E10" s="286"/>
      <c r="F10" s="78">
        <f>Q10/21</f>
        <v>3866302.0476190476</v>
      </c>
      <c r="G10" s="90">
        <f t="shared" si="2"/>
        <v>-4.1011287546634745E-2</v>
      </c>
      <c r="H10" s="90"/>
      <c r="I10" s="130">
        <f t="shared" si="0"/>
        <v>138.89200123365518</v>
      </c>
      <c r="J10" s="130"/>
      <c r="K10" s="85">
        <f>R8+R9+R10</f>
        <v>0</v>
      </c>
      <c r="L10" s="87">
        <f>U10/U7-1</f>
        <v>-2.0602127210577192E-3</v>
      </c>
      <c r="N10" s="88">
        <f>AVERAGE(T8:T10)</f>
        <v>131.50093608432493</v>
      </c>
      <c r="O10" s="89">
        <f>N10/N7-1</f>
        <v>9.6125505819809609E-2</v>
      </c>
      <c r="P10" s="129" t="s">
        <v>5</v>
      </c>
      <c r="Q10" s="116">
        <v>81192343</v>
      </c>
      <c r="R10" s="116"/>
      <c r="S10" s="116">
        <v>584571.77</v>
      </c>
      <c r="T10" s="130">
        <f t="shared" si="1"/>
        <v>138.89200123365518</v>
      </c>
      <c r="U10" s="85">
        <f>Q8+Q9+Q10</f>
        <v>254402354</v>
      </c>
    </row>
    <row r="11" spans="1:21" ht="15" hidden="1" customHeight="1">
      <c r="A11" s="129" t="s">
        <v>6</v>
      </c>
      <c r="C11" s="79"/>
      <c r="F11" s="78">
        <f>Q11/21</f>
        <v>3658676.8095238097</v>
      </c>
      <c r="G11" s="90">
        <f t="shared" si="2"/>
        <v>-5.3701246187709994E-2</v>
      </c>
      <c r="H11" s="90"/>
      <c r="I11" s="130">
        <f t="shared" si="0"/>
        <v>139.7160273071047</v>
      </c>
      <c r="J11" s="130"/>
      <c r="K11" s="78"/>
      <c r="O11" s="89"/>
      <c r="P11" s="129" t="s">
        <v>6</v>
      </c>
      <c r="Q11" s="116">
        <v>76832213</v>
      </c>
      <c r="R11" s="116"/>
      <c r="S11" s="116">
        <v>549916.96</v>
      </c>
      <c r="T11" s="130">
        <f t="shared" si="1"/>
        <v>139.7160273071047</v>
      </c>
      <c r="U11" s="85"/>
    </row>
    <row r="12" spans="1:21" ht="15" hidden="1" customHeight="1">
      <c r="A12" s="129" t="s">
        <v>7</v>
      </c>
      <c r="C12" s="79"/>
      <c r="F12" s="78">
        <f>Q12/22</f>
        <v>3481074.7727272729</v>
      </c>
      <c r="G12" s="90">
        <f t="shared" si="2"/>
        <v>-4.8542696183009437E-2</v>
      </c>
      <c r="H12" s="90"/>
      <c r="I12" s="130">
        <f t="shared" si="0"/>
        <v>141.58940276871573</v>
      </c>
      <c r="J12" s="130"/>
      <c r="K12" s="78"/>
      <c r="O12" s="89"/>
      <c r="P12" s="129" t="s">
        <v>7</v>
      </c>
      <c r="Q12" s="116">
        <v>76583645</v>
      </c>
      <c r="R12" s="116"/>
      <c r="S12" s="116">
        <v>540885.43000000005</v>
      </c>
      <c r="T12" s="130">
        <f t="shared" si="1"/>
        <v>141.58940276871573</v>
      </c>
      <c r="U12" s="85"/>
    </row>
    <row r="13" spans="1:21" ht="15" hidden="1" customHeight="1">
      <c r="A13" s="129" t="s">
        <v>96</v>
      </c>
      <c r="B13" s="131">
        <f>F11+F12+F13</f>
        <v>10768037.032251082</v>
      </c>
      <c r="C13" s="131">
        <f>AVERAGE(F11:F13)</f>
        <v>3589345.6774170273</v>
      </c>
      <c r="D13" s="90">
        <f>C13/C10-1</f>
        <v>-0.11113724333984454</v>
      </c>
      <c r="E13" s="286"/>
      <c r="F13" s="78">
        <f>Q13/20</f>
        <v>3628285.45</v>
      </c>
      <c r="G13" s="90">
        <f t="shared" si="2"/>
        <v>4.2288858149804653E-2</v>
      </c>
      <c r="H13" s="90"/>
      <c r="I13" s="130">
        <f t="shared" si="0"/>
        <v>123.902632349863</v>
      </c>
      <c r="J13" s="130"/>
      <c r="K13" s="78">
        <f>R11+R12+R13</f>
        <v>0</v>
      </c>
      <c r="L13" s="87">
        <f>U13/U10-1</f>
        <v>-0.11171589630809786</v>
      </c>
      <c r="N13" s="88">
        <f>AVERAGE(T11:T13)</f>
        <v>135.06935414189448</v>
      </c>
      <c r="O13" s="89">
        <f>N13/N10-1</f>
        <v>2.7136065824514777E-2</v>
      </c>
      <c r="P13" s="129" t="s">
        <v>96</v>
      </c>
      <c r="Q13" s="116">
        <v>72565709</v>
      </c>
      <c r="R13" s="116"/>
      <c r="S13" s="116">
        <v>585667.21</v>
      </c>
      <c r="T13" s="130">
        <f t="shared" si="1"/>
        <v>123.902632349863</v>
      </c>
      <c r="U13" s="85">
        <f>Q11+Q12+Q13</f>
        <v>225981567</v>
      </c>
    </row>
    <row r="14" spans="1:21" ht="15" hidden="1" customHeight="1">
      <c r="A14" s="129" t="s">
        <v>97</v>
      </c>
      <c r="C14" s="79"/>
      <c r="F14" s="78">
        <f>Q14/20</f>
        <v>3297052</v>
      </c>
      <c r="G14" s="90">
        <f t="shared" si="2"/>
        <v>-9.1292004051114595E-2</v>
      </c>
      <c r="H14" s="90"/>
      <c r="I14" s="130">
        <f t="shared" si="0"/>
        <v>125.28281284471704</v>
      </c>
      <c r="J14" s="130"/>
      <c r="K14" s="78"/>
      <c r="O14" s="89"/>
      <c r="P14" s="129" t="s">
        <v>97</v>
      </c>
      <c r="Q14" s="116">
        <v>65941040</v>
      </c>
      <c r="R14" s="116"/>
      <c r="S14" s="116">
        <v>526337.48</v>
      </c>
      <c r="T14" s="130">
        <f t="shared" si="1"/>
        <v>125.28281284471704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2889111.2272727271</v>
      </c>
      <c r="G15" s="90">
        <f t="shared" si="2"/>
        <v>-0.12372894717076743</v>
      </c>
      <c r="H15" s="90"/>
      <c r="I15" s="130">
        <f t="shared" si="0"/>
        <v>118.65570638646594</v>
      </c>
      <c r="J15" s="130"/>
      <c r="K15" s="78"/>
      <c r="O15" s="89"/>
      <c r="P15" s="129" t="s">
        <v>98</v>
      </c>
      <c r="Q15" s="116">
        <v>63560447</v>
      </c>
      <c r="R15" s="116"/>
      <c r="S15" s="116">
        <v>535671.22</v>
      </c>
      <c r="T15" s="130">
        <f t="shared" si="1"/>
        <v>118.65570638646594</v>
      </c>
      <c r="U15" s="85"/>
    </row>
    <row r="16" spans="1:21" ht="15" hidden="1" customHeight="1">
      <c r="A16" s="129" t="s">
        <v>99</v>
      </c>
      <c r="B16" s="131">
        <f>F14+F15+F16</f>
        <v>8823438.3181818165</v>
      </c>
      <c r="C16" s="131">
        <f>AVERAGE(F14:F16)</f>
        <v>2941146.1060606055</v>
      </c>
      <c r="D16" s="90">
        <f>C16/C13-1</f>
        <v>-0.18058989844156792</v>
      </c>
      <c r="E16" s="286"/>
      <c r="F16" s="78">
        <f>Q16/22</f>
        <v>2637275.0909090908</v>
      </c>
      <c r="G16" s="90">
        <f t="shared" si="2"/>
        <v>-8.7167338517930792E-2</v>
      </c>
      <c r="H16" s="90"/>
      <c r="I16" s="130">
        <f t="shared" si="0"/>
        <v>111.18394932929233</v>
      </c>
      <c r="J16" s="130"/>
      <c r="K16" s="78">
        <f>R14+R15+R16</f>
        <v>0</v>
      </c>
      <c r="L16" s="87">
        <f>U16/U13-1</f>
        <v>-0.17019099615323929</v>
      </c>
      <c r="N16" s="88">
        <f>AVERAGE(T14:T16)</f>
        <v>118.37415618682509</v>
      </c>
      <c r="O16" s="89">
        <f>N16/N13-1</f>
        <v>-0.12360463305044445</v>
      </c>
      <c r="P16" s="129" t="s">
        <v>99</v>
      </c>
      <c r="Q16" s="116">
        <v>58020052</v>
      </c>
      <c r="R16" s="116"/>
      <c r="S16" s="116">
        <v>521838.38</v>
      </c>
      <c r="T16" s="130">
        <f t="shared" si="1"/>
        <v>111.18394932929233</v>
      </c>
      <c r="U16" s="85">
        <f>Q14+Q15+Q16</f>
        <v>187521539</v>
      </c>
    </row>
    <row r="17" spans="1:21" ht="15" hidden="1" customHeight="1">
      <c r="A17" s="129" t="s">
        <v>100</v>
      </c>
      <c r="C17" s="79"/>
      <c r="F17" s="78">
        <f>Q17/20</f>
        <v>3163054.7</v>
      </c>
      <c r="G17" s="90">
        <f t="shared" ref="G17:G22" si="3">F17/F16-1</f>
        <v>0.19936471963175784</v>
      </c>
      <c r="H17" s="90">
        <f t="shared" ref="H17:H22" si="4">F17/F5-1</f>
        <v>-0.31456665320419108</v>
      </c>
      <c r="I17" s="130">
        <f t="shared" si="0"/>
        <v>118.61772353274374</v>
      </c>
      <c r="J17" s="130">
        <f t="shared" ref="J17:J49" si="5">I17/I5-1</f>
        <v>-6.5993865367402593E-2</v>
      </c>
      <c r="K17" s="78"/>
      <c r="O17" s="89"/>
      <c r="P17" s="129" t="s">
        <v>100</v>
      </c>
      <c r="Q17" s="116">
        <v>63261094</v>
      </c>
      <c r="R17" s="116">
        <v>79684984305</v>
      </c>
      <c r="S17" s="116">
        <v>533319.06999999995</v>
      </c>
      <c r="T17" s="130">
        <f t="shared" si="1"/>
        <v>118.61772353274374</v>
      </c>
      <c r="U17" s="78"/>
    </row>
    <row r="18" spans="1:21" hidden="1">
      <c r="A18" s="129" t="s">
        <v>106</v>
      </c>
      <c r="C18" s="79"/>
      <c r="F18" s="78">
        <f>Q18/20</f>
        <v>2760263.1</v>
      </c>
      <c r="G18" s="90">
        <f t="shared" si="3"/>
        <v>-0.12734259701547368</v>
      </c>
      <c r="H18" s="90">
        <f t="shared" si="4"/>
        <v>-0.33349249736075171</v>
      </c>
      <c r="I18" s="130">
        <f t="shared" si="0"/>
        <v>91.533615948490848</v>
      </c>
      <c r="J18" s="130">
        <f t="shared" si="5"/>
        <v>-0.22386782543604933</v>
      </c>
      <c r="K18" s="78"/>
      <c r="O18" s="89"/>
      <c r="P18" s="129" t="s">
        <v>106</v>
      </c>
      <c r="Q18" s="116">
        <v>55205262</v>
      </c>
      <c r="R18" s="116">
        <v>69097391693</v>
      </c>
      <c r="S18" s="116">
        <v>603114.62</v>
      </c>
      <c r="T18" s="130">
        <f t="shared" si="1"/>
        <v>91.533615948490848</v>
      </c>
      <c r="U18" s="78"/>
    </row>
    <row r="19" spans="1:21" hidden="1">
      <c r="A19" s="129" t="s">
        <v>114</v>
      </c>
      <c r="B19" s="131">
        <f>SUM(F17:F19)</f>
        <v>8728150.6181818191</v>
      </c>
      <c r="C19" s="131">
        <f>AVERAGE(F17:F19)</f>
        <v>2909383.5393939395</v>
      </c>
      <c r="D19" s="90">
        <f>C19/C16-1</f>
        <v>-1.0799384158853953E-2</v>
      </c>
      <c r="E19" s="286">
        <f>C19/C7-1</f>
        <v>-0.31598162682749809</v>
      </c>
      <c r="F19" s="78">
        <f>Q19/22</f>
        <v>2804832.8181818184</v>
      </c>
      <c r="G19" s="90">
        <f t="shared" si="3"/>
        <v>1.6146909394911813E-2</v>
      </c>
      <c r="H19" s="90">
        <f t="shared" si="4"/>
        <v>-0.2995009154539614</v>
      </c>
      <c r="I19" s="130">
        <f t="shared" si="0"/>
        <v>97.73137250330636</v>
      </c>
      <c r="J19" s="130">
        <f t="shared" si="5"/>
        <v>-0.14995598032929336</v>
      </c>
      <c r="K19" s="78">
        <f>R17+R18+R19</f>
        <v>229468580081</v>
      </c>
      <c r="L19" s="87">
        <f>U19/U16-1</f>
        <v>-3.9189423461376327E-2</v>
      </c>
      <c r="M19" s="87">
        <f>U19/U7-1</f>
        <v>-0.29323970030246904</v>
      </c>
      <c r="N19" s="88">
        <f>AVERAGE(T17:T19)</f>
        <v>102.62757066151364</v>
      </c>
      <c r="O19" s="89">
        <f>N19/N16-1</f>
        <v>-0.13302384601972794</v>
      </c>
      <c r="P19" s="129" t="s">
        <v>114</v>
      </c>
      <c r="Q19" s="116">
        <v>61706322</v>
      </c>
      <c r="R19" s="116">
        <v>80686204083</v>
      </c>
      <c r="S19" s="116">
        <v>631387.04</v>
      </c>
      <c r="T19" s="130">
        <f t="shared" si="1"/>
        <v>97.73137250330636</v>
      </c>
      <c r="U19" s="85">
        <f>Q17+Q18+Q19</f>
        <v>180172678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2874962.05</v>
      </c>
      <c r="G20" s="90">
        <f t="shared" si="3"/>
        <v>2.5002998882351024E-2</v>
      </c>
      <c r="H20" s="90">
        <f t="shared" si="4"/>
        <v>-0.31815590591617648</v>
      </c>
      <c r="I20" s="130">
        <f t="shared" si="0"/>
        <v>108.39782004770434</v>
      </c>
      <c r="J20" s="130">
        <f t="shared" si="5"/>
        <v>-0.1290156311904963</v>
      </c>
      <c r="K20" s="78"/>
      <c r="O20" s="89"/>
      <c r="P20" s="129" t="s">
        <v>131</v>
      </c>
      <c r="Q20" s="116">
        <v>57499241</v>
      </c>
      <c r="R20" s="116">
        <v>75370431217</v>
      </c>
      <c r="S20" s="116">
        <v>530446.47</v>
      </c>
      <c r="T20" s="130">
        <f t="shared" si="1"/>
        <v>108.39782004770434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3079264.4285714286</v>
      </c>
      <c r="G21" s="90">
        <f t="shared" si="3"/>
        <v>7.1062634921190915E-2</v>
      </c>
      <c r="H21" s="90">
        <f t="shared" si="4"/>
        <v>-0.23622629756056679</v>
      </c>
      <c r="I21" s="130">
        <f t="shared" si="0"/>
        <v>112.84050991315051</v>
      </c>
      <c r="J21" s="130">
        <f t="shared" si="5"/>
        <v>-0.13964940254883762</v>
      </c>
      <c r="K21" s="78"/>
      <c r="O21" s="89"/>
      <c r="P21" s="129" t="s">
        <v>141</v>
      </c>
      <c r="Q21" s="116">
        <v>64664553</v>
      </c>
      <c r="R21" s="116">
        <v>86143480701</v>
      </c>
      <c r="S21" s="116">
        <v>573061.51</v>
      </c>
      <c r="T21" s="130">
        <f t="shared" ref="T21" si="6">Q21/S21</f>
        <v>112.84050991315051</v>
      </c>
      <c r="U21" s="78"/>
    </row>
    <row r="22" spans="1:21" hidden="1">
      <c r="A22" s="129" t="s">
        <v>156</v>
      </c>
      <c r="B22" s="131">
        <f>SUM(F20:F22)</f>
        <v>9760831.0499999989</v>
      </c>
      <c r="C22" s="131">
        <f>AVERAGE(F20:F22)</f>
        <v>3253610.3499999996</v>
      </c>
      <c r="D22" s="90">
        <f>C22/C19-1</f>
        <v>0.11831606453570798</v>
      </c>
      <c r="E22" s="286">
        <f>C22/C10-1</f>
        <v>-0.19427847727383851</v>
      </c>
      <c r="F22" s="78">
        <f>Q22/21</f>
        <v>3806604.5714285714</v>
      </c>
      <c r="G22" s="90">
        <f t="shared" si="3"/>
        <v>0.23620580814963632</v>
      </c>
      <c r="H22" s="90">
        <f t="shared" si="4"/>
        <v>-1.5440458467863127E-2</v>
      </c>
      <c r="I22" s="130">
        <f t="shared" si="0"/>
        <v>139.95117210580929</v>
      </c>
      <c r="J22" s="130">
        <f t="shared" si="5"/>
        <v>7.6258593925238038E-3</v>
      </c>
      <c r="K22" s="78">
        <f>R20+R21+R22</f>
        <v>265580952510</v>
      </c>
      <c r="L22" s="87">
        <f>U22/U19-1</f>
        <v>0.12171552448146428</v>
      </c>
      <c r="M22" s="87">
        <f>U22/U10-1</f>
        <v>-0.20557932415987001</v>
      </c>
      <c r="N22" s="88">
        <f>AVERAGE(T20:T22)</f>
        <v>120.39650068888805</v>
      </c>
      <c r="O22" s="89">
        <f>N22/N19-1</f>
        <v>0.17313992636520559</v>
      </c>
      <c r="P22" s="129" t="s">
        <v>156</v>
      </c>
      <c r="Q22" s="116">
        <v>79938696</v>
      </c>
      <c r="R22" s="116">
        <v>104067040592</v>
      </c>
      <c r="S22" s="116">
        <v>571189.9</v>
      </c>
      <c r="T22" s="130">
        <f t="shared" ref="T22:T23" si="7">Q22/S22</f>
        <v>139.95117210580929</v>
      </c>
      <c r="U22" s="85">
        <f>Q20+Q21+Q22</f>
        <v>202102490</v>
      </c>
    </row>
    <row r="23" spans="1:21" hidden="1">
      <c r="A23" s="129" t="s">
        <v>189</v>
      </c>
      <c r="B23" s="131"/>
      <c r="C23" s="131"/>
      <c r="F23" s="78">
        <f>Q23/21</f>
        <v>3539959.9047619049</v>
      </c>
      <c r="G23" s="90">
        <f t="shared" ref="G23" si="8">F23/F22-1</f>
        <v>-7.0047902707845E-2</v>
      </c>
      <c r="H23" s="90">
        <f t="shared" ref="H23" si="9">F23/F11-1</f>
        <v>-3.2448043635031065E-2</v>
      </c>
      <c r="I23" s="130">
        <f t="shared" si="0"/>
        <v>138.69694331721581</v>
      </c>
      <c r="J23" s="130">
        <f t="shared" si="5"/>
        <v>-7.2939662652221626E-3</v>
      </c>
      <c r="K23" s="98"/>
      <c r="O23" s="89"/>
      <c r="P23" s="129" t="s">
        <v>189</v>
      </c>
      <c r="Q23" s="116">
        <v>74339158</v>
      </c>
      <c r="R23" s="116">
        <v>96022960205</v>
      </c>
      <c r="S23" s="116">
        <v>535982.67000000004</v>
      </c>
      <c r="T23" s="130">
        <f t="shared" si="7"/>
        <v>138.69694331721581</v>
      </c>
      <c r="U23" s="78"/>
    </row>
    <row r="24" spans="1:21" hidden="1">
      <c r="A24" s="129" t="s">
        <v>204</v>
      </c>
      <c r="B24" s="131"/>
      <c r="C24" s="131"/>
      <c r="F24" s="78">
        <f>Q24/22</f>
        <v>3763051.5</v>
      </c>
      <c r="G24" s="90">
        <f t="shared" ref="G24" si="10">F24/F23-1</f>
        <v>6.3020938440007557E-2</v>
      </c>
      <c r="H24" s="90">
        <f t="shared" ref="H24" si="11">F24/F12-1</f>
        <v>8.1002778073568926E-2</v>
      </c>
      <c r="I24" s="130">
        <f t="shared" si="0"/>
        <v>151.24518522988376</v>
      </c>
      <c r="J24" s="130">
        <f t="shared" si="5"/>
        <v>6.8195657813040045E-2</v>
      </c>
      <c r="K24" s="98"/>
      <c r="O24" s="89"/>
      <c r="P24" s="129" t="s">
        <v>204</v>
      </c>
      <c r="Q24" s="116">
        <v>82787133</v>
      </c>
      <c r="R24" s="116">
        <v>108481064103</v>
      </c>
      <c r="S24" s="116">
        <v>547370.37</v>
      </c>
      <c r="T24" s="130">
        <f t="shared" ref="T24" si="12">Q24/S24</f>
        <v>151.24518522988376</v>
      </c>
      <c r="U24" s="78"/>
    </row>
    <row r="25" spans="1:21" s="79" customFormat="1" ht="13.2" hidden="1">
      <c r="A25" s="129" t="s">
        <v>218</v>
      </c>
      <c r="B25" s="131">
        <f>SUM(F23:F25)</f>
        <v>11422184.6679198</v>
      </c>
      <c r="C25" s="131">
        <f>AVERAGE(F23:F25)</f>
        <v>3807394.8893065997</v>
      </c>
      <c r="D25" s="90">
        <f>C25/C22-1</f>
        <v>0.17020616476296868</v>
      </c>
      <c r="E25" s="286">
        <f>C25/C13-1</f>
        <v>6.0749014301259896E-2</v>
      </c>
      <c r="F25" s="78">
        <f>Q25/19</f>
        <v>4119173.2631578948</v>
      </c>
      <c r="G25" s="90">
        <f t="shared" ref="G25" si="13">F25/F24-1</f>
        <v>9.4636430874755373E-2</v>
      </c>
      <c r="H25" s="90">
        <f t="shared" ref="H25" si="14">F25/F13-1</f>
        <v>0.13529470597686699</v>
      </c>
      <c r="I25" s="130">
        <f t="shared" si="0"/>
        <v>144.08184077230257</v>
      </c>
      <c r="J25" s="130">
        <f t="shared" si="5"/>
        <v>0.16286343590715391</v>
      </c>
      <c r="K25" s="78">
        <f>R23+R24+R25</f>
        <v>308368463043</v>
      </c>
      <c r="L25" s="90">
        <f>U25/U22-1</f>
        <v>0.16470897018636443</v>
      </c>
      <c r="M25" s="90">
        <f>U25/U13-1</f>
        <v>4.1636210089648573E-2</v>
      </c>
      <c r="N25" s="88">
        <f>AVERAGE(T23:T25)</f>
        <v>144.67465643980071</v>
      </c>
      <c r="O25" s="91">
        <f>N25/N22-1</f>
        <v>0.20165167269810369</v>
      </c>
      <c r="P25" s="129" t="s">
        <v>220</v>
      </c>
      <c r="Q25" s="116">
        <v>78264292</v>
      </c>
      <c r="R25" s="116">
        <v>103864438735</v>
      </c>
      <c r="S25" s="116">
        <v>543193.31000000006</v>
      </c>
      <c r="T25" s="130">
        <f t="shared" ref="T25" si="15">Q25/S25</f>
        <v>144.08184077230257</v>
      </c>
      <c r="U25" s="85">
        <f>Q23+Q24+Q25</f>
        <v>235390583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3569728.2631578948</v>
      </c>
      <c r="G26" s="90">
        <f t="shared" ref="G26" si="16">F26/F25-1</f>
        <v>-0.13338720294051853</v>
      </c>
      <c r="H26" s="90">
        <f t="shared" ref="H26" si="17">F26/F14-1</f>
        <v>8.2703052047069514E-2</v>
      </c>
      <c r="I26" s="130">
        <f t="shared" si="0"/>
        <v>138.45746116235915</v>
      </c>
      <c r="J26" s="130">
        <f t="shared" si="5"/>
        <v>0.1051592634176528</v>
      </c>
      <c r="K26" s="78"/>
      <c r="L26" s="90"/>
      <c r="M26" s="90"/>
      <c r="P26" s="129" t="s">
        <v>312</v>
      </c>
      <c r="Q26" s="116">
        <v>67824837</v>
      </c>
      <c r="R26" s="116">
        <v>91403623998</v>
      </c>
      <c r="S26" s="116">
        <v>489860.47</v>
      </c>
      <c r="T26" s="130">
        <f t="shared" ref="T26" si="18">Q26/S26</f>
        <v>138.45746116235915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3564658.3636363638</v>
      </c>
      <c r="G27" s="90">
        <f t="shared" ref="G27" si="19">F27/F26-1</f>
        <v>-1.4202480266792827E-3</v>
      </c>
      <c r="H27" s="90">
        <f t="shared" ref="H27" si="20">F27/F15-1</f>
        <v>0.23382524355122936</v>
      </c>
      <c r="I27" s="130">
        <f t="shared" si="0"/>
        <v>142.1812962241147</v>
      </c>
      <c r="J27" s="130">
        <f t="shared" si="5"/>
        <v>0.19826766494503922</v>
      </c>
      <c r="K27" s="78"/>
      <c r="L27" s="90"/>
      <c r="M27" s="90"/>
      <c r="P27" s="129" t="s">
        <v>375</v>
      </c>
      <c r="Q27" s="116">
        <v>78422484</v>
      </c>
      <c r="R27" s="116">
        <v>103747848830</v>
      </c>
      <c r="S27" s="116">
        <v>551566.81000000006</v>
      </c>
      <c r="T27" s="130">
        <f t="shared" ref="T27" si="21">Q27/S27</f>
        <v>142.1812962241147</v>
      </c>
      <c r="U27" s="78"/>
    </row>
    <row r="28" spans="1:21" s="79" customFormat="1" ht="13.2" hidden="1">
      <c r="A28" s="123" t="s">
        <v>413</v>
      </c>
      <c r="B28" s="131">
        <f>SUM(F26:F28)</f>
        <v>10515625.889952153</v>
      </c>
      <c r="C28" s="131">
        <f>AVERAGE(F26:F28)</f>
        <v>3505208.629984051</v>
      </c>
      <c r="D28" s="90">
        <f>C28/C25-1</f>
        <v>-7.9368247347094245E-2</v>
      </c>
      <c r="E28" s="286">
        <f>C28/C16-1</f>
        <v>0.19178323809249842</v>
      </c>
      <c r="F28" s="78">
        <f>Q28/19</f>
        <v>3381239.2631578948</v>
      </c>
      <c r="G28" s="90">
        <f t="shared" ref="G28" si="22">F28/F27-1</f>
        <v>-5.1454889015327798E-2</v>
      </c>
      <c r="H28" s="90">
        <f t="shared" ref="H28" si="23">F28/F16-1</f>
        <v>0.28209577939491837</v>
      </c>
      <c r="I28" s="130">
        <f t="shared" si="0"/>
        <v>122.13206016801165</v>
      </c>
      <c r="J28" s="130">
        <f t="shared" si="5"/>
        <v>9.8468447152334937E-2</v>
      </c>
      <c r="K28" s="78">
        <f>R26+R27+R28</f>
        <v>278931434873</v>
      </c>
      <c r="L28" s="90">
        <f>U28/U25-1</f>
        <v>-0.10578042537920895</v>
      </c>
      <c r="M28" s="90">
        <f>U28/U16-1</f>
        <v>0.1224890117822679</v>
      </c>
      <c r="N28" s="88">
        <f>AVERAGE(T26:T28)</f>
        <v>134.2569391848285</v>
      </c>
      <c r="O28" s="91">
        <f>N28/N25-1</f>
        <v>-7.2007893513174048E-2</v>
      </c>
      <c r="P28" s="129" t="s">
        <v>413</v>
      </c>
      <c r="Q28" s="116">
        <v>64243546</v>
      </c>
      <c r="R28" s="116">
        <v>83779962045</v>
      </c>
      <c r="S28" s="116">
        <v>526017.05000000005</v>
      </c>
      <c r="T28" s="130">
        <f t="shared" ref="T28" si="24">Q28/S28</f>
        <v>122.13206016801165</v>
      </c>
      <c r="U28" s="85">
        <f>Q26+Q27+Q28</f>
        <v>210490867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3865535.9545454546</v>
      </c>
      <c r="G29" s="190">
        <f t="shared" ref="G29" si="25">F29/F28-1</f>
        <v>0.1432305299020018</v>
      </c>
      <c r="H29" s="190">
        <f t="shared" ref="H29" si="26">F29/F17-1</f>
        <v>0.22208950561160212</v>
      </c>
      <c r="I29" s="130">
        <f t="shared" si="0"/>
        <v>122.56569712333673</v>
      </c>
      <c r="J29" s="130">
        <f t="shared" si="5"/>
        <v>3.3283167751092302E-2</v>
      </c>
      <c r="K29" s="136"/>
      <c r="L29" s="190"/>
      <c r="M29" s="190"/>
      <c r="N29" s="191"/>
      <c r="O29" s="192"/>
      <c r="P29" s="129" t="s">
        <v>427</v>
      </c>
      <c r="Q29" s="116">
        <v>85041791</v>
      </c>
      <c r="R29" s="116">
        <v>111638743026</v>
      </c>
      <c r="S29" s="116">
        <v>693846.59</v>
      </c>
      <c r="T29" s="130">
        <f t="shared" ref="T29" si="27">Q29/S29</f>
        <v>122.56569712333673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3591062</v>
      </c>
      <c r="G30" s="190">
        <f t="shared" ref="G30" si="28">F30/F29-1</f>
        <v>-7.1005407212084704E-2</v>
      </c>
      <c r="H30" s="190">
        <f t="shared" ref="H30" si="29">F30/F18-1</f>
        <v>0.30098540244225269</v>
      </c>
      <c r="I30" s="130">
        <f t="shared" si="0"/>
        <v>121.05573525997684</v>
      </c>
      <c r="J30" s="130">
        <f t="shared" si="5"/>
        <v>0.32252762010515479</v>
      </c>
      <c r="K30" s="136"/>
      <c r="L30" s="190"/>
      <c r="M30" s="190"/>
      <c r="N30" s="191"/>
      <c r="O30" s="192"/>
      <c r="P30" s="129" t="s">
        <v>469</v>
      </c>
      <c r="Q30" s="116">
        <v>68230178</v>
      </c>
      <c r="R30" s="116">
        <v>90910993569</v>
      </c>
      <c r="S30" s="116">
        <v>563626.15</v>
      </c>
      <c r="T30" s="130">
        <f t="shared" ref="T30" si="30">Q30/S30</f>
        <v>121.05573525997684</v>
      </c>
      <c r="U30" s="85"/>
    </row>
    <row r="31" spans="1:21" s="79" customFormat="1" ht="13.2" hidden="1">
      <c r="A31" s="129" t="s">
        <v>505</v>
      </c>
      <c r="B31" s="188">
        <f>SUM(F29:F31)</f>
        <v>11212521.704545455</v>
      </c>
      <c r="C31" s="188">
        <f>AVERAGE(F29:F31)</f>
        <v>3737507.2348484849</v>
      </c>
      <c r="D31" s="190">
        <f>C31/C28-1</f>
        <v>6.6272404694350806E-2</v>
      </c>
      <c r="E31" s="287">
        <f>C31/C19-1</f>
        <v>0.28463888801235671</v>
      </c>
      <c r="F31" s="136">
        <f>Q31/20</f>
        <v>3755923.75</v>
      </c>
      <c r="G31" s="190">
        <f t="shared" ref="G31" si="31">F31/F30-1</f>
        <v>4.5908912182524242E-2</v>
      </c>
      <c r="H31" s="190">
        <f t="shared" ref="H31" si="32">F31/F19-1</f>
        <v>0.33909006114478824</v>
      </c>
      <c r="I31" s="130">
        <f t="shared" si="0"/>
        <v>127.0375549712401</v>
      </c>
      <c r="J31" s="130">
        <f t="shared" si="5"/>
        <v>0.29986463627063342</v>
      </c>
      <c r="K31" s="136">
        <f>R29+R30+R31</f>
        <v>302337499021</v>
      </c>
      <c r="L31" s="190">
        <f>U31/U28-1</f>
        <v>8.5037309480985757E-2</v>
      </c>
      <c r="M31" s="190">
        <f>U31/U19-1</f>
        <v>0.26761974421005164</v>
      </c>
      <c r="N31" s="191">
        <f>AVERAGE(T29:T31)</f>
        <v>123.55299578485123</v>
      </c>
      <c r="O31" s="192">
        <f>N31/N28-1</f>
        <v>-7.9727300986963456E-2</v>
      </c>
      <c r="P31" s="129" t="s">
        <v>505</v>
      </c>
      <c r="Q31" s="116">
        <v>75118475</v>
      </c>
      <c r="R31" s="116">
        <v>99787762426</v>
      </c>
      <c r="S31" s="116">
        <v>591309.19999999995</v>
      </c>
      <c r="T31" s="130">
        <f t="shared" ref="T31" si="33">Q31/S31</f>
        <v>127.0375549712401</v>
      </c>
      <c r="U31" s="85">
        <f>Q29+Q30+Q31</f>
        <v>228390444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4029663.0952380951</v>
      </c>
      <c r="G32" s="190">
        <f t="shared" ref="G32" si="34">F32/F31-1</f>
        <v>7.2882029417688621E-2</v>
      </c>
      <c r="H32" s="190">
        <f t="shared" ref="H32" si="35">F32/F20-1</f>
        <v>0.40164044782368369</v>
      </c>
      <c r="I32" s="130">
        <f t="shared" si="0"/>
        <v>138.11306567765766</v>
      </c>
      <c r="J32" s="130">
        <f t="shared" si="5"/>
        <v>0.27413139504905226</v>
      </c>
      <c r="K32" s="136"/>
      <c r="L32" s="190"/>
      <c r="M32" s="190"/>
      <c r="N32" s="191"/>
      <c r="O32" s="192"/>
      <c r="P32" s="129" t="s">
        <v>562</v>
      </c>
      <c r="Q32" s="116">
        <v>84622925</v>
      </c>
      <c r="R32" s="116">
        <v>114938554757</v>
      </c>
      <c r="S32" s="116">
        <v>612707.6</v>
      </c>
      <c r="T32" s="130">
        <f t="shared" ref="T32" si="36">Q32/S32</f>
        <v>138.11306567765766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3825771.7142857141</v>
      </c>
      <c r="G33" s="190">
        <f t="shared" ref="G33" si="37">F33/F32-1</f>
        <v>-5.0597624698035415E-2</v>
      </c>
      <c r="H33" s="190">
        <f t="shared" ref="H33" si="38">F33/F21-1</f>
        <v>0.24243039304702219</v>
      </c>
      <c r="I33" s="130">
        <f t="shared" si="0"/>
        <v>128.26249001905629</v>
      </c>
      <c r="J33" s="130">
        <f t="shared" si="5"/>
        <v>0.13667059921809588</v>
      </c>
      <c r="K33" s="136"/>
      <c r="L33" s="190"/>
      <c r="M33" s="190"/>
      <c r="N33" s="191"/>
      <c r="O33" s="192"/>
      <c r="P33" s="129" t="s">
        <v>607</v>
      </c>
      <c r="Q33" s="116">
        <v>80341206</v>
      </c>
      <c r="R33" s="116">
        <v>109901366093</v>
      </c>
      <c r="S33" s="116">
        <v>626381.15</v>
      </c>
      <c r="T33" s="130">
        <f t="shared" ref="T33" si="39">Q33/S33</f>
        <v>128.26249001905629</v>
      </c>
      <c r="U33" s="85"/>
    </row>
    <row r="34" spans="1:21" s="79" customFormat="1" ht="13.2" hidden="1">
      <c r="A34" s="129" t="s">
        <v>652</v>
      </c>
      <c r="B34" s="188">
        <f>SUM(F32:F34)</f>
        <v>11960061.546365915</v>
      </c>
      <c r="C34" s="188">
        <f>AVERAGE(F32:F34)</f>
        <v>3986687.1821219716</v>
      </c>
      <c r="D34" s="190">
        <f>C34/C31-1</f>
        <v>6.6670090949961347E-2</v>
      </c>
      <c r="E34" s="287">
        <f>C34/C22-1</f>
        <v>0.22531180850281363</v>
      </c>
      <c r="F34" s="136">
        <f>Q34/19</f>
        <v>4104626.7368421052</v>
      </c>
      <c r="G34" s="190">
        <f t="shared" ref="G34" si="40">F34/F33-1</f>
        <v>7.2888568210990101E-2</v>
      </c>
      <c r="H34" s="190">
        <f t="shared" ref="H34" si="41">F34/F22-1</f>
        <v>7.8290812670802179E-2</v>
      </c>
      <c r="I34" s="130">
        <f t="shared" si="0"/>
        <v>137.38941586192871</v>
      </c>
      <c r="J34" s="130">
        <f t="shared" si="5"/>
        <v>-1.8304643007518218E-2</v>
      </c>
      <c r="K34" s="136">
        <f>R32+R33+R34</f>
        <v>332031679448</v>
      </c>
      <c r="L34" s="190">
        <f>U34/U31-1</f>
        <v>6.3757461761403622E-2</v>
      </c>
      <c r="M34" s="190">
        <f>U34/U22-1</f>
        <v>0.20212293772333045</v>
      </c>
      <c r="N34" s="191">
        <f>AVERAGE(T32:T34)</f>
        <v>134.58832385288088</v>
      </c>
      <c r="O34" s="192">
        <f>N34/N31-1</f>
        <v>8.9316556008451453E-2</v>
      </c>
      <c r="P34" s="129" t="s">
        <v>652</v>
      </c>
      <c r="Q34" s="116">
        <v>77987908</v>
      </c>
      <c r="R34" s="116">
        <v>107191758598</v>
      </c>
      <c r="S34" s="116">
        <v>567641.31000000006</v>
      </c>
      <c r="T34" s="130">
        <f t="shared" ref="T34" si="42">Q34/S34</f>
        <v>137.38941586192871</v>
      </c>
      <c r="U34" s="85">
        <f>Q32+Q33+Q34</f>
        <v>242952039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3985009.6521739131</v>
      </c>
      <c r="G35" s="190">
        <f t="shared" ref="G35" si="43">F35/F34-1</f>
        <v>-2.9142012742483736E-2</v>
      </c>
      <c r="H35" s="190">
        <f t="shared" ref="H35" si="44">F35/F23-1</f>
        <v>0.12572169159693969</v>
      </c>
      <c r="I35" s="130">
        <f t="shared" si="0"/>
        <v>128.18557909504486</v>
      </c>
      <c r="J35" s="130">
        <f t="shared" si="5"/>
        <v>-7.5786560040694284E-2</v>
      </c>
      <c r="K35" s="136"/>
      <c r="L35" s="190"/>
      <c r="M35" s="190"/>
      <c r="N35" s="191"/>
      <c r="O35" s="192"/>
      <c r="P35" s="129" t="s">
        <v>660</v>
      </c>
      <c r="Q35" s="116">
        <v>91655222</v>
      </c>
      <c r="R35" s="116">
        <v>126873487843</v>
      </c>
      <c r="S35" s="116">
        <v>715019.76</v>
      </c>
      <c r="T35" s="130">
        <f t="shared" ref="T35" si="45">Q35/S35</f>
        <v>128.18557909504486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3989259.5714285714</v>
      </c>
      <c r="G36" s="190">
        <f t="shared" ref="G36" si="46">F36/F35-1</f>
        <v>1.0664765271872767E-3</v>
      </c>
      <c r="H36" s="190">
        <f t="shared" ref="H36" si="47">F36/F24-1</f>
        <v>6.0112935320861594E-2</v>
      </c>
      <c r="I36" s="130">
        <f t="shared" si="0"/>
        <v>148.54339019427758</v>
      </c>
      <c r="J36" s="130">
        <f t="shared" si="5"/>
        <v>-1.7863676331247302E-2</v>
      </c>
      <c r="K36" s="136"/>
      <c r="L36" s="190"/>
      <c r="M36" s="190"/>
      <c r="N36" s="191"/>
      <c r="O36" s="192"/>
      <c r="P36" s="129" t="s">
        <v>666</v>
      </c>
      <c r="Q36" s="116">
        <v>83774451</v>
      </c>
      <c r="R36" s="116">
        <v>114444879665</v>
      </c>
      <c r="S36" s="116">
        <v>563972.93000000005</v>
      </c>
      <c r="T36" s="148">
        <f t="shared" ref="T36" si="48">Q36/S36</f>
        <v>148.54339019427758</v>
      </c>
      <c r="U36" s="85"/>
    </row>
    <row r="37" spans="1:21" s="79" customFormat="1" ht="13.2" hidden="1">
      <c r="A37" s="129" t="s">
        <v>702</v>
      </c>
      <c r="B37" s="188">
        <f>SUM(F35:F37)</f>
        <v>12455474.279158041</v>
      </c>
      <c r="C37" s="188">
        <f>AVERAGE(F35:F37)</f>
        <v>4151824.7597193471</v>
      </c>
      <c r="D37" s="190">
        <f>C37/C34-1</f>
        <v>4.1422256137357394E-2</v>
      </c>
      <c r="E37" s="287">
        <f>C37/C25-1</f>
        <v>9.0463395688245685E-2</v>
      </c>
      <c r="F37" s="136">
        <f>Q37/18</f>
        <v>4481205.055555556</v>
      </c>
      <c r="G37" s="190">
        <f t="shared" ref="G37" si="49">F37/F36-1</f>
        <v>0.12331749170957473</v>
      </c>
      <c r="H37" s="190">
        <f t="shared" ref="H37" si="50">F37/F25-1</f>
        <v>8.7889430540757374E-2</v>
      </c>
      <c r="I37" s="130">
        <f t="shared" si="0"/>
        <v>159.19910869315291</v>
      </c>
      <c r="J37" s="130">
        <f t="shared" si="5"/>
        <v>0.10492139633849251</v>
      </c>
      <c r="K37" s="136">
        <f>R35+R36+R37</f>
        <v>348990587285</v>
      </c>
      <c r="L37" s="190">
        <f>U37/U34-1</f>
        <v>5.4081970474839203E-2</v>
      </c>
      <c r="M37" s="190">
        <f>U37/U25-1</f>
        <v>8.7942264878115406E-2</v>
      </c>
      <c r="N37" s="191">
        <f>AVERAGE(T35:T37)</f>
        <v>145.30935932749176</v>
      </c>
      <c r="O37" s="192">
        <f>N37/N34-1</f>
        <v>7.9657990884336227E-2</v>
      </c>
      <c r="P37" s="129" t="s">
        <v>702</v>
      </c>
      <c r="Q37" s="116">
        <v>80661691</v>
      </c>
      <c r="R37" s="116">
        <v>107672219777</v>
      </c>
      <c r="S37" s="116">
        <v>506671.75</v>
      </c>
      <c r="T37" s="148">
        <f t="shared" ref="T37" si="51">Q37/S37</f>
        <v>159.19910869315291</v>
      </c>
      <c r="U37" s="85">
        <f>Q35+Q36+Q37</f>
        <v>256091364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4365354.5999999996</v>
      </c>
      <c r="G38" s="190">
        <f t="shared" ref="G38" si="52">F38/F37-1</f>
        <v>-2.5852522729780336E-2</v>
      </c>
      <c r="H38" s="190">
        <f t="shared" ref="H38" si="53">F38/F26-1</f>
        <v>0.22288148514090778</v>
      </c>
      <c r="I38" s="130">
        <f t="shared" si="0"/>
        <v>148.67736934159973</v>
      </c>
      <c r="J38" s="130">
        <f t="shared" si="5"/>
        <v>7.3812621533312806E-2</v>
      </c>
      <c r="K38" s="136"/>
      <c r="L38" s="190"/>
      <c r="M38" s="190"/>
      <c r="N38" s="191"/>
      <c r="O38" s="192"/>
      <c r="P38" s="129" t="s">
        <v>728</v>
      </c>
      <c r="Q38" s="116">
        <v>87307092</v>
      </c>
      <c r="R38" s="116">
        <v>117310572765</v>
      </c>
      <c r="S38" s="116">
        <v>587225.16</v>
      </c>
      <c r="T38" s="148">
        <f t="shared" ref="T38" si="54">Q38/S38</f>
        <v>148.67736934159973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4018979</v>
      </c>
      <c r="G39" s="190">
        <f t="shared" ref="G39" si="55">F39/F38-1</f>
        <v>-7.9346497991251264E-2</v>
      </c>
      <c r="H39" s="190">
        <f t="shared" ref="H39" si="56">F39/F27-1</f>
        <v>0.12745138243772014</v>
      </c>
      <c r="I39" s="130">
        <f t="shared" si="0"/>
        <v>137.05413126528325</v>
      </c>
      <c r="J39" s="130">
        <f t="shared" si="5"/>
        <v>-3.6060755493111496E-2</v>
      </c>
      <c r="K39" s="136"/>
      <c r="L39" s="190"/>
      <c r="M39" s="190"/>
      <c r="N39" s="191"/>
      <c r="O39" s="192"/>
      <c r="P39" s="129" t="s">
        <v>762</v>
      </c>
      <c r="Q39" s="116">
        <v>84398559</v>
      </c>
      <c r="R39" s="116">
        <v>117259419473</v>
      </c>
      <c r="S39" s="116">
        <v>615804.56000000006</v>
      </c>
      <c r="T39" s="148">
        <f t="shared" ref="T39" si="57">Q39/S39</f>
        <v>137.05413126528325</v>
      </c>
      <c r="U39" s="85"/>
    </row>
    <row r="40" spans="1:21" s="79" customFormat="1" ht="13.2" hidden="1">
      <c r="A40" s="129" t="s">
        <v>778</v>
      </c>
      <c r="B40" s="188">
        <f>SUM(F38:F40)</f>
        <v>12331929.457142856</v>
      </c>
      <c r="C40" s="188">
        <f>AVERAGE(F38:F40)</f>
        <v>4110643.1523809521</v>
      </c>
      <c r="D40" s="190">
        <f>C40/C37-1</f>
        <v>-9.9189175174095867E-3</v>
      </c>
      <c r="E40" s="287">
        <f>C40/C28-1</f>
        <v>0.17272424734377534</v>
      </c>
      <c r="F40" s="136">
        <f>Q40/21</f>
        <v>3947595.8571428573</v>
      </c>
      <c r="G40" s="190">
        <f t="shared" ref="G40" si="58">F40/F39-1</f>
        <v>-1.7761511781261508E-2</v>
      </c>
      <c r="H40" s="190">
        <f t="shared" ref="H40" si="59">F40/F28-1</f>
        <v>0.16749970939826841</v>
      </c>
      <c r="I40" s="130">
        <f t="shared" si="0"/>
        <v>138.33138233209857</v>
      </c>
      <c r="J40" s="130">
        <f t="shared" si="5"/>
        <v>0.1326377540983279</v>
      </c>
      <c r="K40" s="136">
        <f>R38+R39+R40</f>
        <v>352126790911</v>
      </c>
      <c r="L40" s="190">
        <f>U40/U37-1</f>
        <v>-5.8033975718134734E-3</v>
      </c>
      <c r="M40" s="190">
        <f>U40/U28-1</f>
        <v>0.20957819989406001</v>
      </c>
      <c r="N40" s="191">
        <f>AVERAGE(T38:T40)</f>
        <v>141.35429431299383</v>
      </c>
      <c r="O40" s="192">
        <f>N40/N37-1</f>
        <v>-2.7218239986759429E-2</v>
      </c>
      <c r="P40" s="129" t="s">
        <v>778</v>
      </c>
      <c r="Q40" s="116">
        <v>82899513</v>
      </c>
      <c r="R40" s="116">
        <v>117556798673</v>
      </c>
      <c r="S40" s="116">
        <v>599282.04</v>
      </c>
      <c r="T40" s="148">
        <f t="shared" ref="T40" si="60">Q40/S40</f>
        <v>138.33138233209857</v>
      </c>
      <c r="U40" s="85">
        <f>Q38+Q39+Q40</f>
        <v>254605164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4688816.333333333</v>
      </c>
      <c r="G41" s="190">
        <f t="shared" ref="G41" si="61">F41/F40-1</f>
        <v>0.18776503548338086</v>
      </c>
      <c r="H41" s="190">
        <f t="shared" ref="H41" si="62">F41/F29-1</f>
        <v>0.21297962002391646</v>
      </c>
      <c r="I41" s="130">
        <f t="shared" si="0"/>
        <v>146.03673358251785</v>
      </c>
      <c r="J41" s="130">
        <f t="shared" si="5"/>
        <v>0.19149759688114387</v>
      </c>
      <c r="K41" s="193"/>
      <c r="L41" s="190"/>
      <c r="M41" s="190"/>
      <c r="N41" s="193"/>
      <c r="O41" s="193"/>
      <c r="P41" s="129" t="s">
        <v>816</v>
      </c>
      <c r="Q41" s="116">
        <v>84398694</v>
      </c>
      <c r="R41" s="116">
        <v>123515630733</v>
      </c>
      <c r="S41" s="116">
        <v>577927.84</v>
      </c>
      <c r="T41" s="148">
        <f t="shared" ref="T41" si="63">Q41/S41</f>
        <v>146.03673358251785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4288249.95</v>
      </c>
      <c r="G42" s="190">
        <f t="shared" ref="G42" si="64">F42/F41-1</f>
        <v>-8.5430171466871152E-2</v>
      </c>
      <c r="H42" s="190">
        <f t="shared" ref="H42" si="65">F42/F30-1</f>
        <v>0.1941453391782153</v>
      </c>
      <c r="I42" s="130">
        <f t="shared" si="0"/>
        <v>140.76667442129411</v>
      </c>
      <c r="J42" s="130">
        <f t="shared" si="5"/>
        <v>0.16282532272416872</v>
      </c>
      <c r="K42" s="193"/>
      <c r="L42" s="190"/>
      <c r="M42" s="190"/>
      <c r="N42" s="193"/>
      <c r="O42" s="193"/>
      <c r="P42" s="129" t="s">
        <v>826</v>
      </c>
      <c r="Q42" s="116">
        <v>85764999</v>
      </c>
      <c r="R42" s="116">
        <v>123948517312</v>
      </c>
      <c r="S42" s="116">
        <v>609270.62</v>
      </c>
      <c r="T42" s="148">
        <f t="shared" ref="T42" si="66">Q42/S42</f>
        <v>140.76667442129411</v>
      </c>
      <c r="U42" s="78"/>
    </row>
    <row r="43" spans="1:21" s="79" customFormat="1" ht="13.2">
      <c r="A43" s="129" t="s">
        <v>835</v>
      </c>
      <c r="B43" s="188">
        <f>SUM(F41:F43)</f>
        <v>12890891.233333334</v>
      </c>
      <c r="C43" s="188">
        <f>AVERAGE(F41:F43)</f>
        <v>4296963.7444444448</v>
      </c>
      <c r="D43" s="190">
        <f>C43/C40-1</f>
        <v>4.5326384499119632E-2</v>
      </c>
      <c r="E43" s="287">
        <f>C43/C31-1</f>
        <v>0.1496870706709521</v>
      </c>
      <c r="F43" s="136">
        <f>Q43/20</f>
        <v>3913824.95</v>
      </c>
      <c r="G43" s="190">
        <f t="shared" ref="G43" si="67">F43/F42-1</f>
        <v>-8.731417346603132E-2</v>
      </c>
      <c r="H43" s="190">
        <f t="shared" ref="H43" si="68">F43/F31-1</f>
        <v>4.2040576569212895E-2</v>
      </c>
      <c r="I43" s="130">
        <f t="shared" si="0"/>
        <v>135.84038249420203</v>
      </c>
      <c r="J43" s="130">
        <f t="shared" si="5"/>
        <v>6.9293111985308631E-2</v>
      </c>
      <c r="K43" s="136">
        <f>R41+R42+R43</f>
        <v>360848768316</v>
      </c>
      <c r="L43" s="190">
        <f>U43/U40-1</f>
        <v>-2.42138529444752E-2</v>
      </c>
      <c r="M43" s="190">
        <f>K43/K31-1</f>
        <v>0.19352964645293924</v>
      </c>
      <c r="N43" s="191">
        <f>AVERAGE(T41:T43)</f>
        <v>140.88126349933802</v>
      </c>
      <c r="O43" s="192">
        <f>N43/N40-1</f>
        <v>-3.346419830786318E-3</v>
      </c>
      <c r="P43" s="129" t="s">
        <v>835</v>
      </c>
      <c r="Q43" s="116">
        <v>78276499</v>
      </c>
      <c r="R43" s="116">
        <v>113384620271</v>
      </c>
      <c r="S43" s="116">
        <v>576238.80000000005</v>
      </c>
      <c r="T43" s="148">
        <f t="shared" ref="T43" si="69">Q43/S43</f>
        <v>135.84038249420203</v>
      </c>
      <c r="U43" s="85">
        <f>Q41+Q42+Q43</f>
        <v>248440192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4002875.2727272729</v>
      </c>
      <c r="G44" s="190">
        <f t="shared" ref="G44" si="70">F44/F43-1</f>
        <v>2.2752760755759605E-2</v>
      </c>
      <c r="H44" s="190">
        <f t="shared" ref="H44" si="71">F44/F32-1</f>
        <v>-6.6476580988812373E-3</v>
      </c>
      <c r="I44" s="130">
        <f t="shared" si="0"/>
        <v>140.83953089919615</v>
      </c>
      <c r="J44" s="130">
        <f t="shared" si="5"/>
        <v>1.9740820379020363E-2</v>
      </c>
      <c r="K44" s="136"/>
      <c r="L44" s="190"/>
      <c r="M44" s="190"/>
      <c r="N44" s="191"/>
      <c r="O44" s="192"/>
      <c r="P44" s="129" t="s">
        <v>843</v>
      </c>
      <c r="Q44" s="116">
        <v>88063256</v>
      </c>
      <c r="R44" s="116">
        <v>127994056562</v>
      </c>
      <c r="S44" s="116">
        <v>625273.71</v>
      </c>
      <c r="T44" s="148">
        <f t="shared" ref="T44" si="72">Q44/S44</f>
        <v>140.83953089919615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4826944.6500000004</v>
      </c>
      <c r="G45" s="190">
        <f t="shared" ref="G45" si="73">F45/F44-1</f>
        <v>0.20586936167792835</v>
      </c>
      <c r="H45" s="190">
        <f t="shared" ref="H45" si="74">F45/F33-1</f>
        <v>0.2616917606389928</v>
      </c>
      <c r="I45" s="130">
        <f t="shared" si="0"/>
        <v>178.40627811019127</v>
      </c>
      <c r="J45" s="130">
        <f t="shared" si="5"/>
        <v>0.39094662893013377</v>
      </c>
      <c r="K45" s="136"/>
      <c r="L45" s="190"/>
      <c r="M45" s="190"/>
      <c r="N45" s="191"/>
      <c r="O45" s="192"/>
      <c r="P45" s="129" t="s">
        <v>853</v>
      </c>
      <c r="Q45" s="116">
        <v>96538893</v>
      </c>
      <c r="R45" s="116">
        <v>135971195187</v>
      </c>
      <c r="S45" s="116">
        <v>541118.25</v>
      </c>
      <c r="T45" s="148">
        <f t="shared" ref="T45" si="75">Q45/S45</f>
        <v>178.40627811019127</v>
      </c>
      <c r="U45" s="85"/>
    </row>
    <row r="46" spans="1:21" s="79" customFormat="1" ht="13.2">
      <c r="A46" s="129" t="s">
        <v>893</v>
      </c>
      <c r="B46" s="188">
        <f>SUM(F44:F46)</f>
        <v>13485668.817464117</v>
      </c>
      <c r="C46" s="188">
        <f>AVERAGE(F44:F46)</f>
        <v>4495222.939154706</v>
      </c>
      <c r="D46" s="190">
        <f>C46/C43-1</f>
        <v>4.6139368749990251E-2</v>
      </c>
      <c r="E46" s="287">
        <f>C46/C34-1</f>
        <v>0.12755847996131431</v>
      </c>
      <c r="F46" s="136">
        <f>Q46/19</f>
        <v>4655848.8947368423</v>
      </c>
      <c r="G46" s="190">
        <f t="shared" ref="G46" si="76">F46/F45-1</f>
        <v>-3.544597414498174E-2</v>
      </c>
      <c r="H46" s="190">
        <f t="shared" ref="H46" si="77">F46/F34-1</f>
        <v>0.1342928829428276</v>
      </c>
      <c r="I46" s="130">
        <f t="shared" si="0"/>
        <v>169.43957264537019</v>
      </c>
      <c r="J46" s="130">
        <f t="shared" si="5"/>
        <v>0.23327966410200562</v>
      </c>
      <c r="K46" s="136">
        <f>R44+R45+R46</f>
        <v>385133448668</v>
      </c>
      <c r="L46" s="190">
        <f>U46/U43-1</f>
        <v>9.9110718768080863E-2</v>
      </c>
      <c r="M46" s="190">
        <f>K46/K34-1</f>
        <v>0.15992982750405393</v>
      </c>
      <c r="N46" s="191">
        <f>AVERAGE(T44:T46)</f>
        <v>162.89512721825255</v>
      </c>
      <c r="O46" s="192">
        <f>N46/N43-1</f>
        <v>0.15625827858236074</v>
      </c>
      <c r="P46" s="129" t="s">
        <v>928</v>
      </c>
      <c r="Q46" s="116">
        <v>88461129</v>
      </c>
      <c r="R46" s="116">
        <v>121168196919</v>
      </c>
      <c r="S46" s="116">
        <v>522080.69</v>
      </c>
      <c r="T46" s="148">
        <f t="shared" ref="T46" si="78">Q46/S46</f>
        <v>169.43957264537019</v>
      </c>
      <c r="U46" s="85">
        <f t="shared" ref="U46:U51" si="79">Q44+Q45+Q46</f>
        <v>273063278</v>
      </c>
    </row>
    <row r="47" spans="1:21" s="79" customFormat="1" ht="13.2">
      <c r="A47" s="129" t="s">
        <v>1018</v>
      </c>
      <c r="B47" s="188"/>
      <c r="C47" s="188"/>
      <c r="D47" s="190"/>
      <c r="E47" s="287"/>
      <c r="F47" s="136">
        <f>Q47/23</f>
        <v>4542779.5652173916</v>
      </c>
      <c r="G47" s="190">
        <f t="shared" ref="G47" si="80">F47/F46-1</f>
        <v>-2.4285437967557111E-2</v>
      </c>
      <c r="H47" s="190">
        <f t="shared" ref="H47" si="81">F47/F35-1</f>
        <v>0.13996701682747559</v>
      </c>
      <c r="I47" s="130">
        <f t="shared" si="0"/>
        <v>173.18201074553295</v>
      </c>
      <c r="J47" s="130">
        <f t="shared" si="5"/>
        <v>0.35102569234504055</v>
      </c>
      <c r="K47" s="136"/>
      <c r="L47" s="190"/>
      <c r="M47" s="190"/>
      <c r="N47" s="191"/>
      <c r="O47" s="192"/>
      <c r="P47" s="129" t="s">
        <v>991</v>
      </c>
      <c r="Q47" s="116">
        <v>104483930</v>
      </c>
      <c r="R47" s="116">
        <v>143209885621</v>
      </c>
      <c r="S47" s="116">
        <v>603318.61</v>
      </c>
      <c r="T47" s="148">
        <f t="shared" ref="T47" si="82">Q47/S47</f>
        <v>173.18201074553295</v>
      </c>
      <c r="U47" s="85">
        <f t="shared" si="79"/>
        <v>289483952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4024032.35</v>
      </c>
      <c r="G48" s="190">
        <f t="shared" ref="G48" si="83">F48/F47-1</f>
        <v>-0.1141915886012328</v>
      </c>
      <c r="H48" s="190">
        <f t="shared" ref="H48" si="84">F48/F36-1</f>
        <v>8.7165996468303586E-3</v>
      </c>
      <c r="I48" s="130">
        <f t="shared" si="0"/>
        <v>155.72565122374553</v>
      </c>
      <c r="J48" s="130">
        <f t="shared" si="5"/>
        <v>4.8351266388052538E-2</v>
      </c>
      <c r="K48" s="136"/>
      <c r="L48" s="190"/>
      <c r="M48" s="190"/>
      <c r="N48" s="191"/>
      <c r="O48" s="192"/>
      <c r="P48" s="129" t="s">
        <v>1070</v>
      </c>
      <c r="Q48" s="116">
        <v>80480647</v>
      </c>
      <c r="R48" s="116">
        <v>111640775296</v>
      </c>
      <c r="S48" s="116">
        <v>516810.47</v>
      </c>
      <c r="T48" s="148">
        <f t="shared" ref="T48" si="85">Q48/S48</f>
        <v>155.72565122374553</v>
      </c>
      <c r="U48" s="85">
        <f t="shared" si="79"/>
        <v>273425706</v>
      </c>
    </row>
    <row r="49" spans="1:26" ht="13.2">
      <c r="A49" s="129" t="s">
        <v>1158</v>
      </c>
      <c r="B49" s="188">
        <f>SUM(F47:F49)</f>
        <v>12933308.824308302</v>
      </c>
      <c r="C49" s="188">
        <f>AVERAGE(F47:F49)</f>
        <v>4311102.9414361008</v>
      </c>
      <c r="D49" s="190">
        <f>C49/C46-1</f>
        <v>-4.0959035894497342E-2</v>
      </c>
      <c r="E49" s="287">
        <f>C49/C37-1</f>
        <v>3.8363416313245358E-2</v>
      </c>
      <c r="F49" s="136">
        <f>Q49/22</f>
        <v>4366496.9090909092</v>
      </c>
      <c r="G49" s="190">
        <f t="shared" ref="G49" si="86">F49/F48-1</f>
        <v>8.5104822552162007E-2</v>
      </c>
      <c r="H49" s="190">
        <f t="shared" ref="H49" si="87">F49/F37-1</f>
        <v>-2.5597611589417868E-2</v>
      </c>
      <c r="I49" s="130">
        <f t="shared" si="0"/>
        <v>161.60969650117272</v>
      </c>
      <c r="J49" s="130">
        <f t="shared" si="5"/>
        <v>1.514196799095191E-2</v>
      </c>
      <c r="K49" s="136">
        <f>R47+R48+R49</f>
        <v>388360084776</v>
      </c>
      <c r="L49" s="190">
        <f>U49/U46-1</f>
        <v>2.9166246953206132E-2</v>
      </c>
      <c r="M49" s="190">
        <f>K49/K37-1</f>
        <v>0.11280962560416929</v>
      </c>
      <c r="N49" s="191">
        <f>AVERAGE(T47:T49)</f>
        <v>163.50578615681707</v>
      </c>
      <c r="O49" s="192">
        <f>N49/N46-1</f>
        <v>3.7487857923848011E-3</v>
      </c>
      <c r="P49" s="129" t="s">
        <v>1158</v>
      </c>
      <c r="Q49" s="116">
        <v>96062932</v>
      </c>
      <c r="R49" s="116">
        <v>133509423859</v>
      </c>
      <c r="S49" s="116">
        <v>594413.17000000004</v>
      </c>
      <c r="T49" s="148">
        <f t="shared" ref="T49" si="88">Q49/S49</f>
        <v>161.60969650117272</v>
      </c>
      <c r="U49" s="85">
        <f t="shared" si="79"/>
        <v>281027509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4320213.222222222</v>
      </c>
      <c r="G50" s="190">
        <f t="shared" ref="G50" si="89">F50/F49-1</f>
        <v>-1.0599729676282643E-2</v>
      </c>
      <c r="H50" s="190">
        <f t="shared" ref="H50" si="90">F50/F38-1</f>
        <v>-1.0340827244086359E-2</v>
      </c>
      <c r="I50" s="130">
        <f t="shared" ref="I50" si="91">T50</f>
        <v>173.394173489656</v>
      </c>
      <c r="J50" s="130">
        <f t="shared" ref="J50" si="92">I50/I38-1</f>
        <v>0.16624456201714977</v>
      </c>
      <c r="K50" s="136"/>
      <c r="L50" s="190"/>
      <c r="M50" s="190"/>
      <c r="N50" s="191"/>
      <c r="O50" s="192"/>
      <c r="P50" s="129" t="s">
        <v>1291</v>
      </c>
      <c r="Q50" s="116">
        <v>77763838</v>
      </c>
      <c r="R50" s="116">
        <v>109881939273</v>
      </c>
      <c r="S50" s="116">
        <v>448480.11</v>
      </c>
      <c r="T50" s="130">
        <f t="shared" ref="T50" si="93">Q50/S50</f>
        <v>173.394173489656</v>
      </c>
      <c r="U50" s="85">
        <f t="shared" si="79"/>
        <v>254307417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4143835.65</v>
      </c>
      <c r="G51" s="190">
        <f t="shared" ref="G51:G52" si="94">F51/F50-1</f>
        <v>-4.0826126663141227E-2</v>
      </c>
      <c r="H51" s="190">
        <f t="shared" ref="H51:H52" si="95">F51/F39-1</f>
        <v>3.1066758497618308E-2</v>
      </c>
      <c r="I51" s="130">
        <f t="shared" ref="I51:I52" si="96">T51</f>
        <v>159.94323835529218</v>
      </c>
      <c r="J51" s="130">
        <f t="shared" ref="J51:J52" si="97">I51/I39-1</f>
        <v>0.16700778647602066</v>
      </c>
      <c r="K51" s="136"/>
      <c r="L51" s="190"/>
      <c r="M51" s="190"/>
      <c r="N51" s="191"/>
      <c r="O51" s="192"/>
      <c r="P51" s="129" t="s">
        <v>1402</v>
      </c>
      <c r="Q51" s="116">
        <v>82876713</v>
      </c>
      <c r="R51" s="116">
        <v>120058933250</v>
      </c>
      <c r="S51" s="116">
        <v>518163.28</v>
      </c>
      <c r="T51" s="130">
        <f t="shared" ref="T51:T52" si="98">Q51/S51</f>
        <v>159.94323835529218</v>
      </c>
      <c r="U51" s="85">
        <f t="shared" si="79"/>
        <v>256703483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12214424.144949496</v>
      </c>
      <c r="C52" s="188">
        <f>AVERAGE(F50:F52)</f>
        <v>4071474.7149831653</v>
      </c>
      <c r="D52" s="190">
        <f>C52/C49-1</f>
        <v>-5.5583972293900108E-2</v>
      </c>
      <c r="E52" s="287">
        <f>C52/C40-1</f>
        <v>-9.5285423584141604E-3</v>
      </c>
      <c r="F52" s="136">
        <f>Q52/22</f>
        <v>3750375.2727272729</v>
      </c>
      <c r="G52" s="190">
        <f t="shared" si="94"/>
        <v>-9.4950767961255123E-2</v>
      </c>
      <c r="H52" s="190">
        <f t="shared" si="95"/>
        <v>-4.9959669518532257E-2</v>
      </c>
      <c r="I52" s="130">
        <f t="shared" si="96"/>
        <v>152.70918973023336</v>
      </c>
      <c r="J52" s="130">
        <f t="shared" si="97"/>
        <v>0.1039374229892196</v>
      </c>
      <c r="K52" s="136">
        <f>R50+R51+R52</f>
        <v>351312124549</v>
      </c>
      <c r="L52" s="190">
        <f>U52/U49-1</f>
        <v>-0.1347864560832015</v>
      </c>
      <c r="M52" s="190">
        <f>K52/K40-1</f>
        <v>-2.3135597262916585E-3</v>
      </c>
      <c r="N52" s="191">
        <f>AVERAGE(T50:T52)</f>
        <v>162.01553385839384</v>
      </c>
      <c r="O52" s="192">
        <f>N52/N49-1</f>
        <v>-9.1143704051790397E-3</v>
      </c>
      <c r="P52" s="129" t="s">
        <v>1403</v>
      </c>
      <c r="Q52" s="116">
        <v>82508256</v>
      </c>
      <c r="R52" s="116">
        <v>121371252026</v>
      </c>
      <c r="S52" s="116">
        <v>540296.6</v>
      </c>
      <c r="T52" s="130">
        <f t="shared" si="98"/>
        <v>152.70918973023336</v>
      </c>
      <c r="U52" s="85">
        <f t="shared" ref="U52" si="99">Q50+Q51+Q52</f>
        <v>243148807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4635861.4285714282</v>
      </c>
      <c r="G53" s="190">
        <f t="shared" ref="G53" si="100">F53/F52-1</f>
        <v>0.23610601378571627</v>
      </c>
      <c r="H53" s="190">
        <f t="shared" ref="H53" si="101">F53/F41-1</f>
        <v>-1.1293874828374517E-2</v>
      </c>
      <c r="I53" s="130">
        <f t="shared" ref="I53" si="102">T53</f>
        <v>176.41358062029576</v>
      </c>
      <c r="J53" s="130">
        <f t="shared" ref="J53" si="103">I53/I41-1</f>
        <v>0.20800826129552874</v>
      </c>
      <c r="K53" s="136"/>
      <c r="L53" s="190"/>
      <c r="M53" s="190"/>
      <c r="N53" s="191"/>
      <c r="O53" s="192"/>
      <c r="P53" s="129" t="s">
        <v>1414</v>
      </c>
      <c r="Q53" s="116">
        <v>97353090</v>
      </c>
      <c r="R53" s="116">
        <v>141693294320</v>
      </c>
      <c r="S53" s="116">
        <v>551845.78</v>
      </c>
      <c r="T53" s="130">
        <f t="shared" ref="T53" si="104">Q53/S53</f>
        <v>176.41358062029576</v>
      </c>
      <c r="U53" s="85">
        <f t="shared" ref="U53" si="105">Q51+Q52+Q53</f>
        <v>262738059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4252020.7647058824</v>
      </c>
      <c r="G54" s="190">
        <f t="shared" ref="G54" si="106">F54/F53-1</f>
        <v>-8.2798131432463618E-2</v>
      </c>
      <c r="H54" s="190">
        <f t="shared" ref="H54" si="107">F54/F42-1</f>
        <v>-8.4484779843856384E-3</v>
      </c>
      <c r="I54" s="130">
        <f t="shared" ref="I54" si="108">T54</f>
        <v>163.19242827314201</v>
      </c>
      <c r="J54" s="130">
        <f t="shared" ref="J54" si="109">I54/I42-1</f>
        <v>0.15931152699346218</v>
      </c>
      <c r="K54" s="136"/>
      <c r="L54" s="190"/>
      <c r="M54" s="190"/>
      <c r="N54" s="191"/>
      <c r="O54" s="192"/>
      <c r="P54" s="129" t="s">
        <v>1417</v>
      </c>
      <c r="Q54" s="116">
        <v>72284353</v>
      </c>
      <c r="R54" s="116">
        <v>104658038918</v>
      </c>
      <c r="S54" s="116">
        <v>442939.38</v>
      </c>
      <c r="T54" s="130">
        <f t="shared" ref="T54" si="110">Q54/S54</f>
        <v>163.19242827314201</v>
      </c>
      <c r="U54" s="85">
        <f t="shared" ref="U54" si="111">Q52+Q53+Q54</f>
        <v>252145699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12577027.81232493</v>
      </c>
      <c r="C55" s="188">
        <f>AVERAGE(F53:F55)</f>
        <v>4192342.6041083098</v>
      </c>
      <c r="D55" s="190">
        <f>C55/C52-1</f>
        <v>2.9686513508323298E-2</v>
      </c>
      <c r="E55" s="287">
        <f>C55/C43-1</f>
        <v>-2.4347689801060057E-2</v>
      </c>
      <c r="F55" s="136">
        <f>Q55/21</f>
        <v>3689145.6190476189</v>
      </c>
      <c r="G55" s="190">
        <f t="shared" ref="G55" si="112">F55/F54-1</f>
        <v>-0.13237826831196065</v>
      </c>
      <c r="H55" s="190">
        <f t="shared" ref="H55" si="113">F55/F43-1</f>
        <v>-5.7406586605867838E-2</v>
      </c>
      <c r="I55" s="130">
        <f>T55</f>
        <v>147.34227425688269</v>
      </c>
      <c r="J55" s="130">
        <f t="shared" ref="J55" si="114">I55/I43-1</f>
        <v>8.4672109659081451E-2</v>
      </c>
      <c r="K55" s="136">
        <f>R53+R54+R55</f>
        <v>360213340662</v>
      </c>
      <c r="L55" s="190">
        <f>U55/U52-1</f>
        <v>1.6289177186873838E-2</v>
      </c>
      <c r="M55" s="190">
        <f>K55/K43-1</f>
        <v>-1.7609251015747729E-3</v>
      </c>
      <c r="N55" s="191">
        <f>AVERAGE(T53:T55)</f>
        <v>162.31609438344015</v>
      </c>
      <c r="O55" s="192">
        <f>N55/N52-1</f>
        <v>1.8551339978856163E-3</v>
      </c>
      <c r="P55" s="129" t="s">
        <v>1418</v>
      </c>
      <c r="Q55" s="116">
        <v>77472058</v>
      </c>
      <c r="R55" s="116">
        <v>113862007424</v>
      </c>
      <c r="S55" s="116">
        <v>525796.54</v>
      </c>
      <c r="T55" s="130">
        <f t="shared" ref="T55" si="115">Q55/S55</f>
        <v>147.34227425688269</v>
      </c>
      <c r="U55" s="85">
        <f t="shared" ref="U55" si="116">Q53+Q54+Q55</f>
        <v>247109501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4479523.1818181816</v>
      </c>
      <c r="G56" s="190">
        <f t="shared" ref="G56" si="117">F56/F55-1</f>
        <v>0.2142440674311481</v>
      </c>
      <c r="H56" s="190">
        <f t="shared" ref="H56" si="118">F56/F44-1</f>
        <v>0.11907638300359902</v>
      </c>
      <c r="I56" s="291">
        <f>T56</f>
        <v>174.7257757951667</v>
      </c>
      <c r="J56" s="130">
        <f t="shared" ref="J56" si="119">I56/I44-1</f>
        <v>0.24060180177839507</v>
      </c>
      <c r="K56" s="136"/>
      <c r="L56" s="190"/>
      <c r="M56" s="190"/>
      <c r="N56" s="191"/>
      <c r="O56" s="192"/>
      <c r="P56" s="129" t="s">
        <v>1420</v>
      </c>
      <c r="Q56" s="116">
        <v>98549510</v>
      </c>
      <c r="R56" s="116">
        <v>147294104881</v>
      </c>
      <c r="S56" s="116">
        <v>564023.88</v>
      </c>
      <c r="T56" s="130">
        <f t="shared" ref="T56" si="120">Q56/S56</f>
        <v>174.7257757951667</v>
      </c>
      <c r="U56" s="85">
        <f t="shared" ref="U56" si="121">Q54+Q55+Q56</f>
        <v>248305921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4613826.916666667</v>
      </c>
      <c r="G57" s="254">
        <f t="shared" ref="G57" si="122">F57/F56-1</f>
        <v>2.9981703274492899E-2</v>
      </c>
      <c r="H57" s="254">
        <f t="shared" ref="H57" si="123">F57/F45-1</f>
        <v>-4.4151683681173615E-2</v>
      </c>
      <c r="I57" s="282">
        <f>T57</f>
        <v>176.67348629101699</v>
      </c>
      <c r="J57" s="277">
        <f t="shared" ref="J57" si="124">I57/I45-1</f>
        <v>-9.7126168290111448E-3</v>
      </c>
      <c r="K57" s="204"/>
      <c r="L57" s="254"/>
      <c r="M57" s="254"/>
      <c r="N57" s="257"/>
      <c r="O57" s="258"/>
      <c r="P57" s="129" t="s">
        <v>1436</v>
      </c>
      <c r="Q57" s="116">
        <v>55365923</v>
      </c>
      <c r="R57" s="116">
        <v>81532184243</v>
      </c>
      <c r="S57" s="116">
        <v>313379.92</v>
      </c>
      <c r="T57" s="130">
        <f t="shared" ref="T57" si="125">Q57/S57</f>
        <v>176.67348629101699</v>
      </c>
      <c r="U57" s="85">
        <f t="shared" ref="U57" si="126">Q55+Q56+Q57</f>
        <v>231387491</v>
      </c>
      <c r="V57" s="79"/>
      <c r="W57" s="79"/>
      <c r="X57" s="79"/>
      <c r="Y57" s="79"/>
      <c r="Z57" s="79"/>
    </row>
    <row r="58" spans="1:26">
      <c r="B58" s="196">
        <f>SUM(F56:F58)</f>
        <v>9093350.0984848477</v>
      </c>
      <c r="C58" s="196">
        <f>AVERAGE(F56:F58)</f>
        <v>4546675.0492424238</v>
      </c>
      <c r="D58" s="197">
        <f>C58/C55-1</f>
        <v>8.4518961972927409E-2</v>
      </c>
      <c r="E58" s="233">
        <f>C58/C46-1</f>
        <v>1.1445952911379509E-2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401024934</v>
      </c>
      <c r="R64" s="212">
        <v>589039629786</v>
      </c>
      <c r="S64" s="213">
        <v>2397985.52</v>
      </c>
      <c r="T64" s="214">
        <v>458</v>
      </c>
      <c r="U64" s="214">
        <v>1430</v>
      </c>
    </row>
    <row r="65" spans="16:21" ht="18" thickBot="1">
      <c r="P65" s="180" t="s">
        <v>976</v>
      </c>
      <c r="Q65" s="181">
        <v>97353090</v>
      </c>
      <c r="R65" s="181">
        <v>141693294320</v>
      </c>
      <c r="S65" s="182">
        <v>551845.78</v>
      </c>
      <c r="T65" s="210">
        <v>273</v>
      </c>
      <c r="U65" s="210">
        <v>783</v>
      </c>
    </row>
    <row r="66" spans="16:21" ht="18" thickBot="1">
      <c r="P66" s="180" t="s">
        <v>977</v>
      </c>
      <c r="Q66" s="181">
        <v>72284353</v>
      </c>
      <c r="R66" s="181">
        <v>104658038918</v>
      </c>
      <c r="S66" s="182">
        <v>442939.38</v>
      </c>
      <c r="T66" s="210">
        <v>255</v>
      </c>
      <c r="U66" s="210">
        <v>741</v>
      </c>
    </row>
    <row r="67" spans="16:21" ht="18" thickBot="1">
      <c r="P67" s="180" t="s">
        <v>978</v>
      </c>
      <c r="Q67" s="181">
        <v>77472058</v>
      </c>
      <c r="R67" s="181">
        <v>113862007424</v>
      </c>
      <c r="S67" s="182">
        <v>525796.54</v>
      </c>
      <c r="T67" s="210">
        <v>274</v>
      </c>
      <c r="U67" s="210">
        <v>818</v>
      </c>
    </row>
    <row r="68" spans="16:21" ht="18" thickBot="1">
      <c r="P68" s="180" t="s">
        <v>979</v>
      </c>
      <c r="Q68" s="181">
        <v>98549510</v>
      </c>
      <c r="R68" s="181">
        <v>147294104881</v>
      </c>
      <c r="S68" s="182">
        <v>564023.88</v>
      </c>
      <c r="T68" s="210">
        <v>309</v>
      </c>
      <c r="U68" s="210">
        <v>879</v>
      </c>
    </row>
    <row r="69" spans="16:21" ht="18" thickBot="1">
      <c r="P69" s="180" t="s">
        <v>980</v>
      </c>
      <c r="Q69" s="181">
        <v>55365923</v>
      </c>
      <c r="R69" s="181">
        <v>81532184243</v>
      </c>
      <c r="S69" s="182">
        <v>313379.92</v>
      </c>
      <c r="T69" s="210">
        <v>233</v>
      </c>
      <c r="U69" s="210">
        <v>649</v>
      </c>
    </row>
    <row r="70" spans="16:21" ht="18" thickBot="1">
      <c r="P70" s="180" t="s">
        <v>975</v>
      </c>
      <c r="Q70" s="181">
        <v>1045631871</v>
      </c>
      <c r="R70" s="181">
        <v>1485584297211</v>
      </c>
      <c r="S70" s="182">
        <v>6673195.0300000003</v>
      </c>
      <c r="T70" s="210">
        <v>617</v>
      </c>
      <c r="U70" s="210">
        <v>2508</v>
      </c>
    </row>
    <row r="71" spans="16:21" ht="18" thickBot="1">
      <c r="P71" s="180" t="s">
        <v>982</v>
      </c>
      <c r="Q71" s="181">
        <v>982028298</v>
      </c>
      <c r="R71" s="181">
        <v>1335471905033</v>
      </c>
      <c r="S71" s="182">
        <v>7243483.1799999997</v>
      </c>
      <c r="T71" s="210">
        <v>596</v>
      </c>
      <c r="U71" s="210">
        <v>2325</v>
      </c>
    </row>
    <row r="72" spans="16:21" ht="18" thickBot="1">
      <c r="P72" s="215" t="s">
        <v>1386</v>
      </c>
      <c r="Q72" s="217" t="s">
        <v>1479</v>
      </c>
      <c r="R72"/>
      <c r="S72"/>
      <c r="T72"/>
      <c r="U72"/>
    </row>
  </sheetData>
  <phoneticPr fontId="1" type="noConversion"/>
  <conditionalFormatting sqref="C29:C30">
    <cfRule type="cellIs" dxfId="2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4">
    <tabColor rgb="FFFF0000"/>
  </sheetPr>
  <dimension ref="A1:Z73"/>
  <sheetViews>
    <sheetView zoomScale="115" zoomScaleNormal="115" workbookViewId="0">
      <selection activeCell="C61" sqref="C6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289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120303996.7</v>
      </c>
      <c r="G5" s="90"/>
      <c r="H5" s="90"/>
      <c r="I5" s="130">
        <f t="shared" ref="I5:I49" si="0">T5</f>
        <v>4394.0529035890258</v>
      </c>
      <c r="J5" s="130"/>
      <c r="L5" s="80"/>
      <c r="M5" s="80"/>
      <c r="P5" s="129" t="s">
        <v>0</v>
      </c>
      <c r="Q5" s="116">
        <v>2406079934</v>
      </c>
      <c r="R5" s="116">
        <v>2839145155504</v>
      </c>
      <c r="S5" s="116">
        <v>547576.46</v>
      </c>
      <c r="T5" s="130">
        <f t="shared" ref="T5:T17" si="1">Q5/S5</f>
        <v>4394.0529035890258</v>
      </c>
      <c r="U5" s="85"/>
    </row>
    <row r="6" spans="1:21" ht="15" hidden="1" customHeight="1">
      <c r="A6" s="129" t="s">
        <v>1</v>
      </c>
      <c r="C6" s="79"/>
      <c r="F6" s="78">
        <f>Q6/18</f>
        <v>126074751.33333333</v>
      </c>
      <c r="G6" s="90">
        <f t="shared" ref="G6:G16" si="2">F6/F5-1</f>
        <v>4.796810406659846E-2</v>
      </c>
      <c r="H6" s="90"/>
      <c r="I6" s="130">
        <f t="shared" si="0"/>
        <v>4299.4984278053998</v>
      </c>
      <c r="J6" s="130"/>
      <c r="P6" s="129" t="s">
        <v>1</v>
      </c>
      <c r="Q6" s="116">
        <v>2269345524</v>
      </c>
      <c r="R6" s="116">
        <v>2696690180013</v>
      </c>
      <c r="S6" s="116">
        <v>527816.34</v>
      </c>
      <c r="T6" s="130">
        <f t="shared" si="1"/>
        <v>4299.4984278053998</v>
      </c>
      <c r="U6" s="85"/>
    </row>
    <row r="7" spans="1:21" ht="15" hidden="1" customHeight="1">
      <c r="A7" s="129" t="s">
        <v>2</v>
      </c>
      <c r="B7" s="131">
        <f>F5+F6+F7</f>
        <v>380294204.5333333</v>
      </c>
      <c r="C7" s="131">
        <f>AVERAGE(F5:F7)</f>
        <v>126764734.84444444</v>
      </c>
      <c r="F7" s="78">
        <f>Q7/22</f>
        <v>133915456.5</v>
      </c>
      <c r="G7" s="90">
        <f t="shared" si="2"/>
        <v>6.2190923113037533E-2</v>
      </c>
      <c r="H7" s="90"/>
      <c r="I7" s="130">
        <f t="shared" si="0"/>
        <v>4779.9568753515132</v>
      </c>
      <c r="J7" s="130"/>
      <c r="K7" s="79">
        <f>R5+R6+R7</f>
        <v>9086238676655</v>
      </c>
      <c r="N7" s="88">
        <f>AVERAGE(T5:T7)</f>
        <v>4491.1694022486454</v>
      </c>
      <c r="P7" s="129" t="s">
        <v>2</v>
      </c>
      <c r="Q7" s="116">
        <v>2946140043</v>
      </c>
      <c r="R7" s="116">
        <v>3550403341138</v>
      </c>
      <c r="S7" s="116">
        <v>616352.85</v>
      </c>
      <c r="T7" s="130">
        <f t="shared" si="1"/>
        <v>4779.9568753515132</v>
      </c>
      <c r="U7" s="85">
        <f>Q5+Q6+Q7</f>
        <v>7621565501</v>
      </c>
    </row>
    <row r="8" spans="1:21" ht="15" hidden="1" customHeight="1">
      <c r="A8" s="129" t="s">
        <v>3</v>
      </c>
      <c r="C8" s="79"/>
      <c r="F8" s="78">
        <f>Q8/21</f>
        <v>117177926.71428572</v>
      </c>
      <c r="G8" s="90">
        <f t="shared" si="2"/>
        <v>-0.12498579494230588</v>
      </c>
      <c r="H8" s="90"/>
      <c r="I8" s="130">
        <f t="shared" si="0"/>
        <v>4249.3487551191702</v>
      </c>
      <c r="J8" s="130"/>
      <c r="K8" s="78"/>
      <c r="P8" s="129" t="s">
        <v>3</v>
      </c>
      <c r="Q8" s="116">
        <v>2460736461</v>
      </c>
      <c r="R8" s="116">
        <v>2982487590221</v>
      </c>
      <c r="S8" s="116">
        <v>579085.55000000005</v>
      </c>
      <c r="T8" s="130">
        <f t="shared" si="1"/>
        <v>4249.3487551191702</v>
      </c>
      <c r="U8" s="85"/>
    </row>
    <row r="9" spans="1:21" ht="15" hidden="1" customHeight="1">
      <c r="A9" s="129" t="s">
        <v>4</v>
      </c>
      <c r="C9" s="79"/>
      <c r="F9" s="78">
        <f>Q9/21</f>
        <v>116969003.23809524</v>
      </c>
      <c r="G9" s="90">
        <f t="shared" si="2"/>
        <v>-1.7829593170725078E-3</v>
      </c>
      <c r="H9" s="90"/>
      <c r="I9" s="130">
        <f t="shared" si="0"/>
        <v>4136.2468422660313</v>
      </c>
      <c r="J9" s="130"/>
      <c r="K9" s="78"/>
      <c r="P9" s="129" t="s">
        <v>4</v>
      </c>
      <c r="Q9" s="116">
        <v>2456349068</v>
      </c>
      <c r="R9" s="116">
        <v>3087425835422</v>
      </c>
      <c r="S9" s="116">
        <v>593859.4</v>
      </c>
      <c r="T9" s="130">
        <f t="shared" si="1"/>
        <v>4136.2468422660313</v>
      </c>
      <c r="U9" s="85"/>
    </row>
    <row r="10" spans="1:21" ht="15" hidden="1" customHeight="1">
      <c r="A10" s="129" t="s">
        <v>5</v>
      </c>
      <c r="B10" s="131">
        <f>F8+F9+F10</f>
        <v>369819202.90476191</v>
      </c>
      <c r="C10" s="131">
        <f>AVERAGE(F8:F10)</f>
        <v>123273067.63492064</v>
      </c>
      <c r="D10" s="90">
        <f>C10/C7-1</f>
        <v>-2.7544468213565043E-2</v>
      </c>
      <c r="E10" s="286"/>
      <c r="F10" s="78">
        <f>Q10/21</f>
        <v>135672272.95238096</v>
      </c>
      <c r="G10" s="90">
        <f t="shared" si="2"/>
        <v>0.15989936817888784</v>
      </c>
      <c r="H10" s="90"/>
      <c r="I10" s="130">
        <f t="shared" si="0"/>
        <v>5131.3805752041726</v>
      </c>
      <c r="J10" s="130"/>
      <c r="K10" s="79">
        <f>R8+R9+R10</f>
        <v>9654456654494</v>
      </c>
      <c r="L10" s="87">
        <f>U10/U7-1</f>
        <v>1.8977434489150902E-2</v>
      </c>
      <c r="N10" s="88">
        <f>AVERAGE(T8:T10)</f>
        <v>4505.658724196458</v>
      </c>
      <c r="O10" s="89">
        <f>N10/N7-1</f>
        <v>3.2261802328270583E-3</v>
      </c>
      <c r="P10" s="129" t="s">
        <v>5</v>
      </c>
      <c r="Q10" s="116">
        <v>2849117732</v>
      </c>
      <c r="R10" s="116">
        <v>3584543228851</v>
      </c>
      <c r="S10" s="116">
        <v>555234.15</v>
      </c>
      <c r="T10" s="130">
        <f t="shared" si="1"/>
        <v>5131.3805752041726</v>
      </c>
      <c r="U10" s="85">
        <f>Q8+Q9+Q10</f>
        <v>7766203261</v>
      </c>
    </row>
    <row r="11" spans="1:21" ht="15" hidden="1" customHeight="1">
      <c r="A11" s="129" t="s">
        <v>6</v>
      </c>
      <c r="C11" s="79"/>
      <c r="F11" s="78">
        <f>Q11/21</f>
        <v>143421731.47619048</v>
      </c>
      <c r="G11" s="90">
        <f t="shared" si="2"/>
        <v>5.7118955518121739E-2</v>
      </c>
      <c r="H11" s="90"/>
      <c r="I11" s="130">
        <f t="shared" si="0"/>
        <v>6027.9705186961755</v>
      </c>
      <c r="J11" s="130"/>
      <c r="K11" s="78"/>
      <c r="O11" s="89"/>
      <c r="P11" s="129" t="s">
        <v>6</v>
      </c>
      <c r="Q11" s="116">
        <v>3011856361</v>
      </c>
      <c r="R11" s="116">
        <v>3887002025148</v>
      </c>
      <c r="S11" s="116">
        <v>499646.83</v>
      </c>
      <c r="T11" s="130">
        <f t="shared" si="1"/>
        <v>6027.9705186961755</v>
      </c>
      <c r="U11" s="85"/>
    </row>
    <row r="12" spans="1:21" ht="15" hidden="1" customHeight="1">
      <c r="A12" s="129" t="s">
        <v>7</v>
      </c>
      <c r="C12" s="79"/>
      <c r="F12" s="78">
        <f>Q12/22</f>
        <v>132666926.27272727</v>
      </c>
      <c r="G12" s="90">
        <f t="shared" si="2"/>
        <v>-7.4987277679384512E-2</v>
      </c>
      <c r="H12" s="90"/>
      <c r="I12" s="130">
        <f t="shared" si="0"/>
        <v>5573.7103733504646</v>
      </c>
      <c r="J12" s="130"/>
      <c r="K12" s="78"/>
      <c r="O12" s="89"/>
      <c r="P12" s="129" t="s">
        <v>7</v>
      </c>
      <c r="Q12" s="116">
        <v>2918672378</v>
      </c>
      <c r="R12" s="116">
        <v>3789855819803</v>
      </c>
      <c r="S12" s="116">
        <v>523649.81</v>
      </c>
      <c r="T12" s="130">
        <f t="shared" si="1"/>
        <v>5573.7103733504646</v>
      </c>
      <c r="U12" s="85"/>
    </row>
    <row r="13" spans="1:21" ht="15" hidden="1" customHeight="1">
      <c r="A13" s="129" t="s">
        <v>96</v>
      </c>
      <c r="B13" s="131">
        <f>F11+F12+F13</f>
        <v>406242618.49891776</v>
      </c>
      <c r="C13" s="131">
        <f>AVERAGE(F11:F13)</f>
        <v>135414206.16630593</v>
      </c>
      <c r="D13" s="90">
        <f>C13/C10-1</f>
        <v>9.8489789897513447E-2</v>
      </c>
      <c r="E13" s="286"/>
      <c r="F13" s="78">
        <f>Q13/20</f>
        <v>130153960.75</v>
      </c>
      <c r="G13" s="90">
        <f t="shared" si="2"/>
        <v>-1.8941914110237934E-2</v>
      </c>
      <c r="H13" s="90"/>
      <c r="I13" s="130">
        <f t="shared" si="0"/>
        <v>4944.8760267262887</v>
      </c>
      <c r="J13" s="130"/>
      <c r="K13" s="78">
        <f>R11+R12+R13</f>
        <v>11222117870525</v>
      </c>
      <c r="L13" s="87">
        <f>U13/U10-1</f>
        <v>9.8813366996679308E-2</v>
      </c>
      <c r="N13" s="88">
        <f>AVERAGE(T11:T13)</f>
        <v>5515.5189729243093</v>
      </c>
      <c r="O13" s="89">
        <f>N13/N10-1</f>
        <v>0.22413154447421002</v>
      </c>
      <c r="P13" s="129" t="s">
        <v>96</v>
      </c>
      <c r="Q13" s="116">
        <v>2603079215</v>
      </c>
      <c r="R13" s="116">
        <v>3545260025574</v>
      </c>
      <c r="S13" s="116">
        <v>526419.51</v>
      </c>
      <c r="T13" s="130">
        <f t="shared" si="1"/>
        <v>4944.8760267262887</v>
      </c>
      <c r="U13" s="85">
        <f>Q11+Q12+Q13</f>
        <v>8533607954</v>
      </c>
    </row>
    <row r="14" spans="1:21" ht="15" hidden="1" customHeight="1">
      <c r="A14" s="129" t="s">
        <v>97</v>
      </c>
      <c r="C14" s="79"/>
      <c r="F14" s="78">
        <f>Q14/20</f>
        <v>127223556.45</v>
      </c>
      <c r="G14" s="90">
        <f t="shared" si="2"/>
        <v>-2.2514906831216042E-2</v>
      </c>
      <c r="H14" s="90"/>
      <c r="I14" s="130">
        <f t="shared" si="0"/>
        <v>5193.5730187503477</v>
      </c>
      <c r="J14" s="130"/>
      <c r="O14" s="89"/>
      <c r="P14" s="129" t="s">
        <v>97</v>
      </c>
      <c r="Q14" s="116">
        <v>2544471129</v>
      </c>
      <c r="R14" s="116">
        <v>3627806207967</v>
      </c>
      <c r="S14" s="116">
        <v>489926.9</v>
      </c>
      <c r="T14" s="130">
        <f t="shared" si="1"/>
        <v>5193.5730187503477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114266481.95454545</v>
      </c>
      <c r="G15" s="90">
        <f t="shared" si="2"/>
        <v>-0.10184493231445546</v>
      </c>
      <c r="H15" s="90"/>
      <c r="I15" s="130">
        <f t="shared" si="0"/>
        <v>5245.0527060630739</v>
      </c>
      <c r="J15" s="130"/>
      <c r="O15" s="89"/>
      <c r="P15" s="129" t="s">
        <v>98</v>
      </c>
      <c r="Q15" s="116">
        <v>2513862603</v>
      </c>
      <c r="R15" s="116">
        <v>3477953885720</v>
      </c>
      <c r="S15" s="116">
        <v>479282.62</v>
      </c>
      <c r="T15" s="130">
        <f t="shared" si="1"/>
        <v>5245.0527060630739</v>
      </c>
      <c r="U15" s="85"/>
    </row>
    <row r="16" spans="1:21" ht="15" hidden="1" customHeight="1">
      <c r="A16" s="129" t="s">
        <v>99</v>
      </c>
      <c r="B16" s="131">
        <f>F14+F15+F16</f>
        <v>345429694.04090911</v>
      </c>
      <c r="C16" s="131">
        <f>AVERAGE(F14:F16)</f>
        <v>115143231.34696971</v>
      </c>
      <c r="D16" s="90">
        <f>C16/C13-1</f>
        <v>-0.14969607246702665</v>
      </c>
      <c r="E16" s="286"/>
      <c r="F16" s="78">
        <f>Q16/22</f>
        <v>103939655.63636364</v>
      </c>
      <c r="G16" s="90">
        <f t="shared" si="2"/>
        <v>-9.037493884068093E-2</v>
      </c>
      <c r="H16" s="90"/>
      <c r="I16" s="130">
        <f t="shared" si="0"/>
        <v>4753.3834283252354</v>
      </c>
      <c r="J16" s="130"/>
      <c r="K16" s="78">
        <f>R14+R15+R16</f>
        <v>10103100289931</v>
      </c>
      <c r="L16" s="87">
        <f>U16/U13-1</f>
        <v>-0.13928479072475564</v>
      </c>
      <c r="N16" s="88">
        <f>AVERAGE(T14:T16)</f>
        <v>5064.0030510462193</v>
      </c>
      <c r="O16" s="89">
        <f>N16/N13-1</f>
        <v>-8.1862817278769651E-2</v>
      </c>
      <c r="P16" s="129" t="s">
        <v>99</v>
      </c>
      <c r="Q16" s="116">
        <v>2286672424</v>
      </c>
      <c r="R16" s="116">
        <v>2997340196244</v>
      </c>
      <c r="S16" s="116">
        <v>481062.06</v>
      </c>
      <c r="T16" s="130">
        <f t="shared" si="1"/>
        <v>4753.3834283252354</v>
      </c>
      <c r="U16" s="85">
        <f>Q14+Q15+Q16</f>
        <v>7345006156</v>
      </c>
    </row>
    <row r="17" spans="1:21" ht="15" hidden="1" customHeight="1">
      <c r="A17" s="129" t="s">
        <v>100</v>
      </c>
      <c r="C17" s="79"/>
      <c r="F17" s="78">
        <f>Q17/20</f>
        <v>85126332.400000006</v>
      </c>
      <c r="G17" s="90">
        <f t="shared" ref="G17:G22" si="3">F17/F16-1</f>
        <v>-0.18100236258413893</v>
      </c>
      <c r="H17" s="90">
        <f t="shared" ref="H17:H22" si="4">F17/F5-1</f>
        <v>-0.29240644754074074</v>
      </c>
      <c r="I17" s="130">
        <f t="shared" si="0"/>
        <v>4150.2161369481146</v>
      </c>
      <c r="J17" s="130">
        <f t="shared" ref="J17:J49" si="5">I17/I5-1</f>
        <v>-5.5492451272434073E-2</v>
      </c>
      <c r="O17" s="89"/>
      <c r="P17" s="129" t="s">
        <v>100</v>
      </c>
      <c r="Q17" s="116">
        <v>1702526648</v>
      </c>
      <c r="R17" s="116">
        <v>2139664272532</v>
      </c>
      <c r="S17" s="116">
        <v>410226.02</v>
      </c>
      <c r="T17" s="130">
        <f t="shared" si="1"/>
        <v>4150.2161369481146</v>
      </c>
      <c r="U17" s="78"/>
    </row>
    <row r="18" spans="1:21" ht="15" hidden="1" customHeight="1">
      <c r="A18" s="129" t="s">
        <v>106</v>
      </c>
      <c r="C18" s="79"/>
      <c r="F18" s="78">
        <f>Q18/20</f>
        <v>77461327.950000003</v>
      </c>
      <c r="G18" s="90">
        <f t="shared" si="3"/>
        <v>-9.004269576636903E-2</v>
      </c>
      <c r="H18" s="90">
        <f t="shared" si="4"/>
        <v>-0.3855920624011594</v>
      </c>
      <c r="I18" s="130">
        <f t="shared" si="0"/>
        <v>3746.8283503893895</v>
      </c>
      <c r="J18" s="130">
        <f t="shared" si="5"/>
        <v>-0.12854291883021129</v>
      </c>
      <c r="O18" s="89"/>
      <c r="P18" s="129" t="s">
        <v>106</v>
      </c>
      <c r="Q18" s="116">
        <v>1549226559</v>
      </c>
      <c r="R18" s="116">
        <v>1944722340065</v>
      </c>
      <c r="S18" s="116">
        <v>413476.79</v>
      </c>
      <c r="T18" s="130">
        <f t="shared" ref="T18" si="6">Q18/S18</f>
        <v>3746.8283503893895</v>
      </c>
      <c r="U18" s="78"/>
    </row>
    <row r="19" spans="1:21" hidden="1">
      <c r="A19" s="129" t="s">
        <v>114</v>
      </c>
      <c r="B19" s="131">
        <f>SUM(F17:F19)</f>
        <v>260227456.2136364</v>
      </c>
      <c r="C19" s="131">
        <f>AVERAGE(F17:F19)</f>
        <v>86742485.404545471</v>
      </c>
      <c r="D19" s="90">
        <f>C19/C16-1</f>
        <v>-0.24665580086806971</v>
      </c>
      <c r="E19" s="286">
        <f>C19/C7-1</f>
        <v>-0.31572068910972029</v>
      </c>
      <c r="F19" s="78">
        <f>Q19/22</f>
        <v>97639795.86363636</v>
      </c>
      <c r="G19" s="90">
        <f t="shared" si="3"/>
        <v>0.26049731456529157</v>
      </c>
      <c r="H19" s="90">
        <f t="shared" si="4"/>
        <v>-0.27088479242396968</v>
      </c>
      <c r="I19" s="130">
        <f t="shared" si="0"/>
        <v>4511.2052235568035</v>
      </c>
      <c r="J19" s="130">
        <f t="shared" si="5"/>
        <v>-5.6224702189378251E-2</v>
      </c>
      <c r="K19" s="78">
        <f>R17+R18+R19</f>
        <v>6891952397543</v>
      </c>
      <c r="L19" s="87">
        <f>U19/U16-1</f>
        <v>-0.26482992644070424</v>
      </c>
      <c r="M19" s="87">
        <f>U19/U7-1</f>
        <v>-0.29150661825428037</v>
      </c>
      <c r="N19" s="88">
        <f>AVERAGE(T17:T19)</f>
        <v>4136.0832369647687</v>
      </c>
      <c r="O19" s="89">
        <f>N19/N16-1</f>
        <v>-0.18323839948906484</v>
      </c>
      <c r="P19" s="129" t="s">
        <v>115</v>
      </c>
      <c r="Q19" s="116">
        <v>2148075509</v>
      </c>
      <c r="R19" s="116">
        <v>2807565784946</v>
      </c>
      <c r="S19" s="116">
        <v>476164.44</v>
      </c>
      <c r="T19" s="130">
        <f t="shared" ref="T19" si="7">Q19/S19</f>
        <v>4511.2052235568035</v>
      </c>
      <c r="U19" s="85">
        <f>Q17+Q18+Q19</f>
        <v>5399828716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92670057.549999997</v>
      </c>
      <c r="G20" s="90">
        <f t="shared" si="3"/>
        <v>-5.0898696271109545E-2</v>
      </c>
      <c r="H20" s="90">
        <f t="shared" si="4"/>
        <v>-0.20915090283209326</v>
      </c>
      <c r="I20" s="130">
        <f t="shared" si="0"/>
        <v>4304.2175383727472</v>
      </c>
      <c r="J20" s="130">
        <f t="shared" si="5"/>
        <v>1.2912280543571963E-2</v>
      </c>
      <c r="O20" s="89"/>
      <c r="P20" s="129" t="s">
        <v>132</v>
      </c>
      <c r="Q20" s="116">
        <v>1853401151</v>
      </c>
      <c r="R20" s="116">
        <v>2429620836105</v>
      </c>
      <c r="S20" s="116">
        <v>430601.18</v>
      </c>
      <c r="T20" s="130">
        <f t="shared" ref="T20" si="8">Q20/S20</f>
        <v>4304.2175383727472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112653549.95238096</v>
      </c>
      <c r="G21" s="90">
        <f t="shared" si="3"/>
        <v>0.21564130778270951</v>
      </c>
      <c r="H21" s="90">
        <f t="shared" si="4"/>
        <v>-3.6893990426933865E-2</v>
      </c>
      <c r="I21" s="130">
        <f t="shared" si="0"/>
        <v>4900.6070769359776</v>
      </c>
      <c r="J21" s="130">
        <f t="shared" si="5"/>
        <v>0.18479560428052055</v>
      </c>
      <c r="O21" s="89"/>
      <c r="P21" s="129" t="s">
        <v>142</v>
      </c>
      <c r="Q21" s="116">
        <v>2365724549</v>
      </c>
      <c r="R21" s="116">
        <v>3149542846491</v>
      </c>
      <c r="S21" s="116">
        <v>482741.12</v>
      </c>
      <c r="T21" s="130">
        <f t="shared" ref="T21" si="9">Q21/S21</f>
        <v>4900.6070769359776</v>
      </c>
      <c r="U21" s="78"/>
    </row>
    <row r="22" spans="1:21" hidden="1">
      <c r="A22" s="129" t="s">
        <v>156</v>
      </c>
      <c r="B22" s="131">
        <f>SUM(F20:F22)</f>
        <v>305220263.83571428</v>
      </c>
      <c r="C22" s="131">
        <f>AVERAGE(F20:F22)</f>
        <v>101740087.9452381</v>
      </c>
      <c r="D22" s="90">
        <f>C22/C19-1</f>
        <v>0.17289800344949224</v>
      </c>
      <c r="E22" s="286">
        <f>C22/C10-1</f>
        <v>-0.17467708156215878</v>
      </c>
      <c r="F22" s="78">
        <f>Q22/21</f>
        <v>99896656.333333328</v>
      </c>
      <c r="G22" s="90">
        <f t="shared" si="3"/>
        <v>-0.11324004990912417</v>
      </c>
      <c r="H22" s="90">
        <f t="shared" si="4"/>
        <v>-0.26369143702342457</v>
      </c>
      <c r="I22" s="130">
        <f t="shared" si="0"/>
        <v>4455.5857869468437</v>
      </c>
      <c r="J22" s="130">
        <f t="shared" si="5"/>
        <v>-0.13169843443748852</v>
      </c>
      <c r="K22" s="78">
        <f>R20+R21+R22</f>
        <v>8310274805985</v>
      </c>
      <c r="L22" s="87">
        <f>U22/U19-1</f>
        <v>0.16984367750082541</v>
      </c>
      <c r="M22" s="87">
        <f>U22/U10-1</f>
        <v>-0.18660956059156641</v>
      </c>
      <c r="N22" s="88">
        <f>AVERAGE(T20:T22)</f>
        <v>4553.4701340851889</v>
      </c>
      <c r="O22" s="89">
        <f>N22/N19-1</f>
        <v>0.10091356319673972</v>
      </c>
      <c r="P22" s="129" t="s">
        <v>156</v>
      </c>
      <c r="Q22" s="116">
        <v>2097829783</v>
      </c>
      <c r="R22" s="116">
        <v>2731111123389</v>
      </c>
      <c r="S22" s="116">
        <v>470831.42</v>
      </c>
      <c r="T22" s="130">
        <f t="shared" ref="T22:T23" si="10">Q22/S22</f>
        <v>4455.5857869468437</v>
      </c>
      <c r="U22" s="85">
        <f>Q20+Q21+Q22</f>
        <v>6316955483</v>
      </c>
    </row>
    <row r="23" spans="1:21" hidden="1">
      <c r="A23" s="129" t="s">
        <v>189</v>
      </c>
      <c r="B23" s="131"/>
      <c r="C23" s="131"/>
      <c r="F23" s="78">
        <f>Q23/21</f>
        <v>97697911.571428567</v>
      </c>
      <c r="G23" s="90">
        <f t="shared" ref="G23" si="11">F23/F22-1</f>
        <v>-2.2010193760319985E-2</v>
      </c>
      <c r="H23" s="90">
        <f t="shared" ref="H23" si="12">F23/F11-1</f>
        <v>-0.31880677658917089</v>
      </c>
      <c r="I23" s="130">
        <f t="shared" si="0"/>
        <v>4616.9379534814598</v>
      </c>
      <c r="J23" s="130">
        <f t="shared" si="5"/>
        <v>-0.23408086699135289</v>
      </c>
      <c r="O23" s="89"/>
      <c r="P23" s="129" t="s">
        <v>189</v>
      </c>
      <c r="Q23" s="116">
        <v>2051656143</v>
      </c>
      <c r="R23" s="116">
        <v>2648486972368</v>
      </c>
      <c r="S23" s="116">
        <v>444375.94</v>
      </c>
      <c r="T23" s="130">
        <f t="shared" si="10"/>
        <v>4616.9379534814598</v>
      </c>
      <c r="U23" s="78"/>
    </row>
    <row r="24" spans="1:21" hidden="1">
      <c r="A24" s="129" t="s">
        <v>204</v>
      </c>
      <c r="B24" s="131"/>
      <c r="C24" s="131"/>
      <c r="F24" s="78">
        <f>Q24/22</f>
        <v>107638409.68181819</v>
      </c>
      <c r="G24" s="90">
        <f t="shared" ref="G24" si="13">F24/F23-1</f>
        <v>0.10174729378039937</v>
      </c>
      <c r="H24" s="90">
        <f t="shared" ref="H24" si="14">F24/F12-1</f>
        <v>-0.18865679106378952</v>
      </c>
      <c r="I24" s="130">
        <f t="shared" si="0"/>
        <v>4876.9033936753531</v>
      </c>
      <c r="J24" s="130">
        <f t="shared" si="5"/>
        <v>-0.12501671830792449</v>
      </c>
      <c r="O24" s="89"/>
      <c r="P24" s="129" t="s">
        <v>204</v>
      </c>
      <c r="Q24" s="116">
        <v>2368045013</v>
      </c>
      <c r="R24" s="116">
        <v>3100471617422</v>
      </c>
      <c r="S24" s="116">
        <v>485563.24</v>
      </c>
      <c r="T24" s="130">
        <f t="shared" ref="T24" si="15">Q24/S24</f>
        <v>4876.9033936753531</v>
      </c>
      <c r="U24" s="78"/>
    </row>
    <row r="25" spans="1:21" s="79" customFormat="1" ht="13.2" hidden="1">
      <c r="A25" s="129" t="s">
        <v>218</v>
      </c>
      <c r="B25" s="131">
        <f>SUM(F23:F25)</f>
        <v>314657039.93745726</v>
      </c>
      <c r="C25" s="131">
        <f>AVERAGE(F23:F25)</f>
        <v>104885679.97915243</v>
      </c>
      <c r="D25" s="90">
        <f>C25/C22-1</f>
        <v>3.0917921317381358E-2</v>
      </c>
      <c r="E25" s="286">
        <f>C25/C13-1</f>
        <v>-0.22544552046231081</v>
      </c>
      <c r="F25" s="78">
        <f>Q25/19</f>
        <v>109320718.68421052</v>
      </c>
      <c r="G25" s="90">
        <f t="shared" ref="G25" si="16">F25/F24-1</f>
        <v>1.5629262893843254E-2</v>
      </c>
      <c r="H25" s="90">
        <f t="shared" ref="H25" si="17">F25/F13-1</f>
        <v>-0.16006613971438033</v>
      </c>
      <c r="I25" s="130">
        <f t="shared" si="0"/>
        <v>4642.9219856405834</v>
      </c>
      <c r="J25" s="130">
        <f t="shared" si="5"/>
        <v>-6.1064026570876728E-2</v>
      </c>
      <c r="K25" s="78">
        <f>R23+R24+R25</f>
        <v>8506383400198</v>
      </c>
      <c r="L25" s="90">
        <f>U25/U22-1</f>
        <v>2.8469304316609101E-2</v>
      </c>
      <c r="M25" s="90">
        <f>U25/U13-1</f>
        <v>-0.23868135892571374</v>
      </c>
      <c r="N25" s="88">
        <f>AVERAGE(T23:T25)</f>
        <v>4712.2544442657991</v>
      </c>
      <c r="O25" s="91">
        <f>N25/N22-1</f>
        <v>3.4871055591651601E-2</v>
      </c>
      <c r="P25" s="129" t="s">
        <v>222</v>
      </c>
      <c r="Q25" s="116">
        <v>2077093655</v>
      </c>
      <c r="R25" s="116">
        <v>2757424810408</v>
      </c>
      <c r="S25" s="116">
        <v>447367.77</v>
      </c>
      <c r="T25" s="130">
        <f t="shared" ref="T25" si="18">Q25/S25</f>
        <v>4642.9219856405834</v>
      </c>
      <c r="U25" s="85">
        <f>Q23+Q24+Q25</f>
        <v>6496794811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114045045.31578948</v>
      </c>
      <c r="G26" s="90">
        <f t="shared" ref="G26" si="19">F26/F25-1</f>
        <v>4.32152906461023E-2</v>
      </c>
      <c r="H26" s="90">
        <f t="shared" ref="H26" si="20">F26/F14-1</f>
        <v>-0.10358546405979308</v>
      </c>
      <c r="I26" s="130">
        <f t="shared" si="0"/>
        <v>4623.4790227956728</v>
      </c>
      <c r="J26" s="130">
        <f t="shared" si="5"/>
        <v>-0.10976913078846984</v>
      </c>
      <c r="L26" s="90"/>
      <c r="M26" s="90"/>
      <c r="P26" s="129" t="s">
        <v>312</v>
      </c>
      <c r="Q26" s="116">
        <v>2166855861</v>
      </c>
      <c r="R26" s="116">
        <v>2921735933867</v>
      </c>
      <c r="S26" s="116">
        <v>468663.5</v>
      </c>
      <c r="T26" s="130">
        <f t="shared" ref="T26" si="21">Q26/S26</f>
        <v>4623.4790227956728</v>
      </c>
      <c r="U26" s="78"/>
    </row>
    <row r="27" spans="1:21" s="79" customFormat="1" ht="13.2" hidden="1">
      <c r="A27" s="129" t="s">
        <v>405</v>
      </c>
      <c r="B27" s="131"/>
      <c r="C27" s="131"/>
      <c r="D27" s="132"/>
      <c r="E27" s="286"/>
      <c r="F27" s="78">
        <f>Q27/22</f>
        <v>97328423.227272734</v>
      </c>
      <c r="G27" s="90">
        <f t="shared" ref="G27" si="22">F27/F26-1</f>
        <v>-0.14657911742003871</v>
      </c>
      <c r="H27" s="90">
        <f t="shared" ref="H27" si="23">F27/F15-1</f>
        <v>-0.1482329589355047</v>
      </c>
      <c r="I27" s="130">
        <f t="shared" si="0"/>
        <v>4634.0992326124533</v>
      </c>
      <c r="J27" s="130">
        <f t="shared" si="5"/>
        <v>-0.11648185589143512</v>
      </c>
      <c r="L27" s="90"/>
      <c r="M27" s="90"/>
      <c r="P27" s="129" t="s">
        <v>405</v>
      </c>
      <c r="Q27" s="116">
        <v>2141225311</v>
      </c>
      <c r="R27" s="116">
        <v>2834604314633</v>
      </c>
      <c r="S27" s="116">
        <v>462058.58</v>
      </c>
      <c r="T27" s="130">
        <f t="shared" ref="T27" si="24">Q27/S27</f>
        <v>4634.0992326124533</v>
      </c>
      <c r="U27" s="78"/>
    </row>
    <row r="28" spans="1:21" s="79" customFormat="1" ht="13.2" hidden="1">
      <c r="A28" s="123" t="s">
        <v>413</v>
      </c>
      <c r="B28" s="131">
        <f>SUM(F26:F28)</f>
        <v>315765001.33253586</v>
      </c>
      <c r="C28" s="131">
        <f>AVERAGE(F26:F28)</f>
        <v>105255000.44417863</v>
      </c>
      <c r="D28" s="90">
        <f>C28/C25-1</f>
        <v>3.5211714802212413E-3</v>
      </c>
      <c r="E28" s="286">
        <f>C28/C16-1</f>
        <v>-8.5877656785522505E-2</v>
      </c>
      <c r="F28" s="78">
        <f>Q28/19</f>
        <v>104391532.78947368</v>
      </c>
      <c r="G28" s="90">
        <f t="shared" ref="G28" si="25">F28/F27-1</f>
        <v>7.2569855012525997E-2</v>
      </c>
      <c r="H28" s="109">
        <f t="shared" ref="H28" si="26">F28/F16-1</f>
        <v>4.3474951917383819E-3</v>
      </c>
      <c r="I28" s="130">
        <f t="shared" si="0"/>
        <v>4577.0638356967565</v>
      </c>
      <c r="J28" s="130">
        <f t="shared" si="5"/>
        <v>-3.7093492516887427E-2</v>
      </c>
      <c r="K28" s="78">
        <f>R26+R27+R28</f>
        <v>8343039982228</v>
      </c>
      <c r="L28" s="90">
        <f>U28/U25-1</f>
        <v>-3.1596275082051428E-2</v>
      </c>
      <c r="M28" s="90">
        <f>U28/U16-1</f>
        <v>-0.1434288601840622</v>
      </c>
      <c r="N28" s="88">
        <f>AVERAGE(T26:T28)</f>
        <v>4611.5473637016285</v>
      </c>
      <c r="O28" s="91">
        <f>N28/N25-1</f>
        <v>-2.1371316374207638E-2</v>
      </c>
      <c r="P28" s="129" t="s">
        <v>413</v>
      </c>
      <c r="Q28" s="116">
        <v>1983439123</v>
      </c>
      <c r="R28" s="116">
        <v>2586699733728</v>
      </c>
      <c r="S28" s="116">
        <v>433343.12</v>
      </c>
      <c r="T28" s="130">
        <f t="shared" ref="T28" si="27">Q28/S28</f>
        <v>4577.0638356967565</v>
      </c>
      <c r="U28" s="85">
        <f>Q26+Q27+Q28</f>
        <v>6291520295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94242826.5</v>
      </c>
      <c r="G29" s="190">
        <f t="shared" ref="G29" si="28">F29/F28-1</f>
        <v>-9.721771506067034E-2</v>
      </c>
      <c r="H29" s="197">
        <f t="shared" ref="H29" si="29">F29/F17-1</f>
        <v>0.10709370230074655</v>
      </c>
      <c r="I29" s="130">
        <f t="shared" si="0"/>
        <v>4757.6311994576508</v>
      </c>
      <c r="J29" s="130">
        <f t="shared" si="5"/>
        <v>0.14635745283285484</v>
      </c>
      <c r="K29" s="136"/>
      <c r="L29" s="190"/>
      <c r="M29" s="190"/>
      <c r="N29" s="191"/>
      <c r="O29" s="192"/>
      <c r="P29" s="129" t="s">
        <v>427</v>
      </c>
      <c r="Q29" s="116">
        <v>2073342183</v>
      </c>
      <c r="R29" s="116">
        <v>2722740615218</v>
      </c>
      <c r="S29" s="116">
        <v>435792.96</v>
      </c>
      <c r="T29" s="130">
        <f t="shared" ref="T29" si="30">Q29/S29</f>
        <v>4757.6311994576508</v>
      </c>
      <c r="U29" s="85"/>
    </row>
    <row r="30" spans="1:21" s="79" customFormat="1" ht="13.2" hidden="1">
      <c r="A30" s="129" t="s">
        <v>498</v>
      </c>
      <c r="B30" s="188"/>
      <c r="C30" s="188"/>
      <c r="D30" s="189"/>
      <c r="E30" s="287"/>
      <c r="F30" s="136">
        <f>Q30/19</f>
        <v>102853123.94736843</v>
      </c>
      <c r="G30" s="190">
        <f t="shared" ref="G30" si="31">F30/F29-1</f>
        <v>9.1362894844504883E-2</v>
      </c>
      <c r="H30" s="197">
        <f t="shared" ref="H30" si="32">F30/F18-1</f>
        <v>0.32779964750615176</v>
      </c>
      <c r="I30" s="130">
        <f t="shared" si="0"/>
        <v>4756.2369759025296</v>
      </c>
      <c r="J30" s="130">
        <f t="shared" si="5"/>
        <v>0.26940348772802403</v>
      </c>
      <c r="K30" s="136"/>
      <c r="L30" s="190"/>
      <c r="M30" s="190"/>
      <c r="N30" s="191"/>
      <c r="O30" s="192"/>
      <c r="P30" s="129" t="s">
        <v>498</v>
      </c>
      <c r="Q30" s="116">
        <v>1954209355</v>
      </c>
      <c r="R30" s="116">
        <v>2603926690458</v>
      </c>
      <c r="S30" s="116">
        <v>410873</v>
      </c>
      <c r="T30" s="130">
        <f t="shared" ref="T30" si="33">Q30/S30</f>
        <v>4756.2369759025296</v>
      </c>
      <c r="U30" s="85"/>
    </row>
    <row r="31" spans="1:21" s="79" customFormat="1" ht="13.2" hidden="1">
      <c r="A31" s="129" t="s">
        <v>505</v>
      </c>
      <c r="B31" s="188">
        <f>SUM(F29:F31)</f>
        <v>307504046.64736843</v>
      </c>
      <c r="C31" s="188">
        <f>AVERAGE(F29:F31)</f>
        <v>102501348.88245614</v>
      </c>
      <c r="D31" s="190">
        <f>C31/C28-1</f>
        <v>-2.6161717259056694E-2</v>
      </c>
      <c r="E31" s="287">
        <f>C31/C19-1</f>
        <v>0.18167410588266208</v>
      </c>
      <c r="F31" s="136">
        <f>Q31/20</f>
        <v>110408096.2</v>
      </c>
      <c r="G31" s="190">
        <f t="shared" ref="G31" si="34">F31/F30-1</f>
        <v>7.3453989170981115E-2</v>
      </c>
      <c r="H31" s="197">
        <f t="shared" ref="H31" si="35">F31/F19-1</f>
        <v>0.13076942883202913</v>
      </c>
      <c r="I31" s="130">
        <f t="shared" si="0"/>
        <v>4988.2964892874479</v>
      </c>
      <c r="J31" s="130">
        <f t="shared" si="5"/>
        <v>0.10575694123586943</v>
      </c>
      <c r="K31" s="136">
        <f>R29+R30+R31</f>
        <v>8260355653128</v>
      </c>
      <c r="L31" s="190">
        <f>U31/U28-1</f>
        <v>-8.8701665707652255E-3</v>
      </c>
      <c r="M31" s="190">
        <f>U31/U19-1</f>
        <v>0.15479838157147952</v>
      </c>
      <c r="N31" s="191">
        <f>AVERAGE(T29:T31)</f>
        <v>4834.0548882158764</v>
      </c>
      <c r="O31" s="192">
        <f>N31/N28-1</f>
        <v>4.8250078979053201E-2</v>
      </c>
      <c r="P31" s="129" t="s">
        <v>506</v>
      </c>
      <c r="Q31" s="116">
        <v>2208161924</v>
      </c>
      <c r="R31" s="116">
        <v>2933688347452</v>
      </c>
      <c r="S31" s="116">
        <v>442668.54</v>
      </c>
      <c r="T31" s="130">
        <f t="shared" ref="T31" si="36">Q31/S31</f>
        <v>4988.2964892874479</v>
      </c>
      <c r="U31" s="85">
        <f>Q29+Q30+Q31</f>
        <v>6235713462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99418721.428571433</v>
      </c>
      <c r="G32" s="190">
        <f t="shared" ref="G32" si="37">F32/F31-1</f>
        <v>-9.9534138796504079E-2</v>
      </c>
      <c r="H32" s="197">
        <f t="shared" ref="H32" si="38">F32/F20-1</f>
        <v>7.2824643223408092E-2</v>
      </c>
      <c r="I32" s="130">
        <f t="shared" si="0"/>
        <v>4728.8206779019301</v>
      </c>
      <c r="J32" s="130">
        <f t="shared" si="5"/>
        <v>9.8648159797636081E-2</v>
      </c>
      <c r="K32" s="136"/>
      <c r="L32" s="190"/>
      <c r="M32" s="190"/>
      <c r="N32" s="191"/>
      <c r="O32" s="192"/>
      <c r="P32" s="129" t="s">
        <v>566</v>
      </c>
      <c r="Q32" s="116">
        <v>2087793150</v>
      </c>
      <c r="R32" s="116">
        <v>2839822840961</v>
      </c>
      <c r="S32" s="116">
        <v>441503.98</v>
      </c>
      <c r="T32" s="130">
        <f t="shared" ref="T32" si="39">Q32/S32</f>
        <v>4728.8206779019301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116775900.80952381</v>
      </c>
      <c r="G33" s="190">
        <f t="shared" ref="G33" si="40">F33/F32-1</f>
        <v>0.17458662846939599</v>
      </c>
      <c r="H33" s="197">
        <f t="shared" ref="H33" si="41">F33/F21-1</f>
        <v>3.6593173130233136E-2</v>
      </c>
      <c r="I33" s="130">
        <f t="shared" si="0"/>
        <v>5331.1764157022671</v>
      </c>
      <c r="J33" s="130">
        <f t="shared" si="5"/>
        <v>8.786040831404418E-2</v>
      </c>
      <c r="K33" s="136"/>
      <c r="L33" s="190"/>
      <c r="M33" s="190"/>
      <c r="N33" s="191"/>
      <c r="O33" s="192"/>
      <c r="P33" s="129" t="s">
        <v>609</v>
      </c>
      <c r="Q33" s="116">
        <v>2452293917</v>
      </c>
      <c r="R33" s="116">
        <v>3354476624748</v>
      </c>
      <c r="S33" s="116">
        <v>459991.14</v>
      </c>
      <c r="T33" s="130">
        <f t="shared" ref="T33" si="42">Q33/S33</f>
        <v>5331.1764157022671</v>
      </c>
      <c r="U33" s="85"/>
    </row>
    <row r="34" spans="1:21" s="79" customFormat="1" ht="13.2" hidden="1">
      <c r="A34" s="129" t="s">
        <v>652</v>
      </c>
      <c r="B34" s="188">
        <f>SUM(F32:F34)</f>
        <v>327837550.3433584</v>
      </c>
      <c r="C34" s="188">
        <f>AVERAGE(F32:F34)</f>
        <v>109279183.44778614</v>
      </c>
      <c r="D34" s="190">
        <f>C34/C31-1</f>
        <v>6.6124345086448599E-2</v>
      </c>
      <c r="E34" s="287">
        <f>C34/C22-1</f>
        <v>7.4101523350421861E-2</v>
      </c>
      <c r="F34" s="136">
        <f>Q34/19</f>
        <v>111642928.10526316</v>
      </c>
      <c r="G34" s="190">
        <f t="shared" ref="G34" si="43">F34/F33-1</f>
        <v>-4.3955753444652745E-2</v>
      </c>
      <c r="H34" s="197">
        <f t="shared" ref="H34" si="44">F34/F22-1</f>
        <v>0.11758423357769932</v>
      </c>
      <c r="I34" s="130">
        <f t="shared" si="0"/>
        <v>4806.7916800968205</v>
      </c>
      <c r="J34" s="130">
        <f t="shared" si="5"/>
        <v>7.8823730468589703E-2</v>
      </c>
      <c r="K34" s="136">
        <f>R32+R33+R34</f>
        <v>9108176961013</v>
      </c>
      <c r="L34" s="190">
        <f>U34/U31-1</f>
        <v>6.8250287893039108E-2</v>
      </c>
      <c r="M34" s="190">
        <f>U34/U22-1</f>
        <v>5.451157902358128E-2</v>
      </c>
      <c r="N34" s="191">
        <f>AVERAGE(T32:T34)</f>
        <v>4955.596257900339</v>
      </c>
      <c r="O34" s="192">
        <f>N34/N31-1</f>
        <v>2.5142736790338738E-2</v>
      </c>
      <c r="P34" s="129" t="s">
        <v>652</v>
      </c>
      <c r="Q34" s="116">
        <v>2121215634</v>
      </c>
      <c r="R34" s="116">
        <v>2913877495304</v>
      </c>
      <c r="S34" s="116">
        <v>441295.52</v>
      </c>
      <c r="T34" s="130">
        <f t="shared" ref="T34" si="45">Q34/S34</f>
        <v>4806.7916800968205</v>
      </c>
      <c r="U34" s="85">
        <f>Q32+Q33+Q34</f>
        <v>6661302701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99343650.217391297</v>
      </c>
      <c r="G35" s="190">
        <f t="shared" ref="G35" si="46">F35/F34-1</f>
        <v>-0.11016620664298071</v>
      </c>
      <c r="H35" s="197">
        <f t="shared" ref="H35" si="47">F35/F23-1</f>
        <v>1.6845177337895256E-2</v>
      </c>
      <c r="I35" s="130">
        <f t="shared" si="0"/>
        <v>4842.3212571643671</v>
      </c>
      <c r="J35" s="130">
        <f t="shared" si="5"/>
        <v>4.8816619576391274E-2</v>
      </c>
      <c r="K35" s="136"/>
      <c r="L35" s="190"/>
      <c r="M35" s="190"/>
      <c r="N35" s="191"/>
      <c r="O35" s="192"/>
      <c r="P35" s="129" t="s">
        <v>660</v>
      </c>
      <c r="Q35" s="116">
        <v>2284903955</v>
      </c>
      <c r="R35" s="116">
        <v>3162717391067</v>
      </c>
      <c r="S35" s="116">
        <v>471861.29</v>
      </c>
      <c r="T35" s="130">
        <f t="shared" ref="T35" si="48">Q35/S35</f>
        <v>4842.3212571643671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109490248.33333333</v>
      </c>
      <c r="G36" s="190">
        <f t="shared" ref="G36" si="49">F36/F35-1</f>
        <v>0.10213635288957557</v>
      </c>
      <c r="H36" s="197">
        <f t="shared" ref="H36" si="50">F36/F24-1</f>
        <v>1.7204255033024252E-2</v>
      </c>
      <c r="I36" s="130">
        <f t="shared" si="0"/>
        <v>5233.8381096501944</v>
      </c>
      <c r="J36" s="130">
        <f t="shared" si="5"/>
        <v>7.318880181996934E-2</v>
      </c>
      <c r="K36" s="136"/>
      <c r="L36" s="190"/>
      <c r="M36" s="190"/>
      <c r="N36" s="191"/>
      <c r="O36" s="192"/>
      <c r="P36" s="129" t="s">
        <v>664</v>
      </c>
      <c r="Q36" s="116">
        <v>2299295215</v>
      </c>
      <c r="R36" s="116">
        <v>3140545446146</v>
      </c>
      <c r="S36" s="116">
        <v>439313.4</v>
      </c>
      <c r="T36" s="130">
        <f t="shared" ref="T36" si="51">Q36/S36</f>
        <v>5233.8381096501944</v>
      </c>
      <c r="U36" s="85"/>
    </row>
    <row r="37" spans="1:21" s="79" customFormat="1" ht="13.2" hidden="1">
      <c r="A37" s="129" t="s">
        <v>702</v>
      </c>
      <c r="B37" s="188">
        <f>SUM(F35:F37)</f>
        <v>325155343.88405794</v>
      </c>
      <c r="C37" s="188">
        <f>AVERAGE(F35:F37)</f>
        <v>108385114.62801932</v>
      </c>
      <c r="D37" s="190">
        <f>C37/C34-1</f>
        <v>-8.1815108015883542E-3</v>
      </c>
      <c r="E37" s="287">
        <f>C37/C25-1</f>
        <v>3.3364274794828619E-2</v>
      </c>
      <c r="F37" s="136">
        <f>Q37/18</f>
        <v>116321445.33333333</v>
      </c>
      <c r="G37" s="190">
        <f t="shared" ref="G37" si="52">F37/F36-1</f>
        <v>6.2390917035853422E-2</v>
      </c>
      <c r="H37" s="197">
        <f t="shared" ref="H37" si="53">F37/F25-1</f>
        <v>6.4038425043156488E-2</v>
      </c>
      <c r="I37" s="130">
        <f t="shared" si="0"/>
        <v>4740.649908998068</v>
      </c>
      <c r="J37" s="130">
        <f t="shared" si="5"/>
        <v>2.1048797214282988E-2</v>
      </c>
      <c r="K37" s="136">
        <f>R35+R36+R37</f>
        <v>9098658460749</v>
      </c>
      <c r="L37" s="190">
        <f>U37/U34-1</f>
        <v>2.5043877675001713E-3</v>
      </c>
      <c r="M37" s="190">
        <f>U37/U25-1</f>
        <v>2.788919463690287E-2</v>
      </c>
      <c r="N37" s="191">
        <f>AVERAGE(T35:T37)</f>
        <v>4938.9364252708765</v>
      </c>
      <c r="O37" s="192">
        <f>N37/N34-1</f>
        <v>-3.3618220214980399E-3</v>
      </c>
      <c r="P37" s="129" t="s">
        <v>702</v>
      </c>
      <c r="Q37" s="116">
        <v>2093786016</v>
      </c>
      <c r="R37" s="116">
        <v>2795395623536</v>
      </c>
      <c r="S37" s="116">
        <v>441666.45</v>
      </c>
      <c r="T37" s="130">
        <f t="shared" ref="T37:T42" si="54">Q37/S37</f>
        <v>4740.649908998068</v>
      </c>
      <c r="U37" s="85">
        <f>Q35+Q36+Q37</f>
        <v>6677985186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122238211.3</v>
      </c>
      <c r="G38" s="190">
        <f t="shared" ref="G38" si="55">F38/F37-1</f>
        <v>5.0865650351157976E-2</v>
      </c>
      <c r="H38" s="197">
        <f t="shared" ref="H38" si="56">F38/F26-1</f>
        <v>7.1841490014088238E-2</v>
      </c>
      <c r="I38" s="130">
        <f t="shared" si="0"/>
        <v>5608.1822346391527</v>
      </c>
      <c r="J38" s="130">
        <f t="shared" si="5"/>
        <v>0.21297884276936996</v>
      </c>
      <c r="K38" s="136"/>
      <c r="L38" s="190"/>
      <c r="M38" s="190"/>
      <c r="N38" s="191"/>
      <c r="O38" s="192"/>
      <c r="P38" s="129" t="s">
        <v>728</v>
      </c>
      <c r="Q38" s="116">
        <v>2444764226</v>
      </c>
      <c r="R38" s="116">
        <v>3286203763047</v>
      </c>
      <c r="S38" s="116">
        <v>435928.1</v>
      </c>
      <c r="T38" s="130">
        <f t="shared" si="54"/>
        <v>5608.1822346391527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106522891.42857143</v>
      </c>
      <c r="G39" s="190">
        <f t="shared" ref="G39" si="57">F39/F38-1</f>
        <v>-0.1285630712712218</v>
      </c>
      <c r="H39" s="190">
        <f t="shared" ref="H39" si="58">F39/F27-1</f>
        <v>9.4468479981727249E-2</v>
      </c>
      <c r="I39" s="130">
        <f t="shared" si="0"/>
        <v>5473.4730016476351</v>
      </c>
      <c r="J39" s="130">
        <f t="shared" si="5"/>
        <v>0.18112986513713225</v>
      </c>
      <c r="K39" s="136"/>
      <c r="L39" s="190"/>
      <c r="M39" s="190"/>
      <c r="N39" s="191"/>
      <c r="O39" s="192"/>
      <c r="P39" s="129" t="s">
        <v>762</v>
      </c>
      <c r="Q39" s="116">
        <v>2236980720</v>
      </c>
      <c r="R39" s="116">
        <v>3107139011718</v>
      </c>
      <c r="S39" s="116">
        <v>408694.94</v>
      </c>
      <c r="T39" s="130">
        <f t="shared" si="54"/>
        <v>5473.4730016476351</v>
      </c>
      <c r="U39" s="85"/>
    </row>
    <row r="40" spans="1:21" s="79" customFormat="1" ht="13.2" hidden="1">
      <c r="A40" s="129" t="s">
        <v>778</v>
      </c>
      <c r="B40" s="188">
        <f>SUM(F38:F40)</f>
        <v>325610192.77619046</v>
      </c>
      <c r="C40" s="188">
        <f>AVERAGE(F38:F40)</f>
        <v>108536730.92539681</v>
      </c>
      <c r="D40" s="190">
        <f>C40/C37-1</f>
        <v>1.3988664208903767E-3</v>
      </c>
      <c r="E40" s="287">
        <f>C40/C28-1</f>
        <v>3.1178855801332173E-2</v>
      </c>
      <c r="F40" s="136">
        <f>Q40/21</f>
        <v>96849090.047619045</v>
      </c>
      <c r="G40" s="190">
        <f t="shared" ref="G40" si="59">F40/F39-1</f>
        <v>-9.0814295887181373E-2</v>
      </c>
      <c r="H40" s="190">
        <f t="shared" ref="H40" si="60">F40/F28-1</f>
        <v>-7.2251479984161926E-2</v>
      </c>
      <c r="I40" s="130">
        <f t="shared" si="0"/>
        <v>4839.6237833842233</v>
      </c>
      <c r="J40" s="130">
        <f t="shared" si="5"/>
        <v>5.7364274808611615E-2</v>
      </c>
      <c r="K40" s="136">
        <f>R38+R39+R40</f>
        <v>9277675809873</v>
      </c>
      <c r="L40" s="190">
        <f>U40/U37-1</f>
        <v>5.6290407889503236E-3</v>
      </c>
      <c r="M40" s="190">
        <f>U40/U28-1</f>
        <v>6.7401124389125044E-2</v>
      </c>
      <c r="N40" s="191">
        <f>AVERAGE(T38:T40)</f>
        <v>5307.0930065570037</v>
      </c>
      <c r="O40" s="192">
        <f>N40/N37-1</f>
        <v>7.4541672454497165E-2</v>
      </c>
      <c r="P40" s="129" t="s">
        <v>778</v>
      </c>
      <c r="Q40" s="116">
        <v>2033830891</v>
      </c>
      <c r="R40" s="116">
        <v>2884333035108</v>
      </c>
      <c r="S40" s="116">
        <v>420245.66</v>
      </c>
      <c r="T40" s="130">
        <f t="shared" si="54"/>
        <v>4839.6237833842233</v>
      </c>
      <c r="U40" s="85">
        <f>Q38+Q39+Q40</f>
        <v>6715575837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106455508.22222222</v>
      </c>
      <c r="G41" s="190">
        <f t="shared" ref="G41" si="61">F41/F40-1</f>
        <v>9.9189555316212763E-2</v>
      </c>
      <c r="H41" s="190">
        <f t="shared" ref="H41" si="62">F41/F29-1</f>
        <v>0.12958738798249247</v>
      </c>
      <c r="I41" s="130">
        <f t="shared" si="0"/>
        <v>4481.1028148129299</v>
      </c>
      <c r="J41" s="130">
        <f t="shared" si="5"/>
        <v>-5.8123123262737164E-2</v>
      </c>
      <c r="K41" s="193"/>
      <c r="L41" s="190"/>
      <c r="M41" s="190"/>
      <c r="N41" s="193"/>
      <c r="O41" s="193"/>
      <c r="P41" s="129" t="s">
        <v>792</v>
      </c>
      <c r="Q41" s="116">
        <v>1916199148</v>
      </c>
      <c r="R41" s="116">
        <v>2799924324321</v>
      </c>
      <c r="S41" s="116">
        <v>427617.76</v>
      </c>
      <c r="T41" s="130">
        <f t="shared" si="54"/>
        <v>4481.1028148129299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96994697.799999997</v>
      </c>
      <c r="G42" s="190">
        <f t="shared" ref="G42:G47" si="63">F42/F41-1</f>
        <v>-8.887102772054889E-2</v>
      </c>
      <c r="H42" s="190">
        <f t="shared" ref="H42:H47" si="64">F42/F30-1</f>
        <v>-5.6959146426765583E-2</v>
      </c>
      <c r="I42" s="130">
        <f t="shared" si="0"/>
        <v>4537.6426359624556</v>
      </c>
      <c r="J42" s="130">
        <f t="shared" si="5"/>
        <v>-4.5959514012355096E-2</v>
      </c>
      <c r="K42" s="193"/>
      <c r="L42" s="190"/>
      <c r="M42" s="190"/>
      <c r="N42" s="193"/>
      <c r="O42" s="193"/>
      <c r="P42" s="129" t="s">
        <v>826</v>
      </c>
      <c r="Q42" s="116">
        <v>1939893956</v>
      </c>
      <c r="R42" s="116">
        <v>2804811496371</v>
      </c>
      <c r="S42" s="116">
        <v>427511.4</v>
      </c>
      <c r="T42" s="130">
        <f t="shared" si="54"/>
        <v>4537.6426359624556</v>
      </c>
      <c r="U42" s="78"/>
    </row>
    <row r="43" spans="1:21" s="79" customFormat="1" ht="13.2">
      <c r="A43" s="129" t="s">
        <v>835</v>
      </c>
      <c r="B43" s="188">
        <f>SUM(F41:F43)</f>
        <v>304930550.42222226</v>
      </c>
      <c r="C43" s="188">
        <f>AVERAGE(F41:F43)</f>
        <v>101643516.80740742</v>
      </c>
      <c r="D43" s="190">
        <f>C43/C40-1</f>
        <v>-6.351042692383535E-2</v>
      </c>
      <c r="E43" s="287">
        <f>C43/C31-1</f>
        <v>-8.3689832807218867E-3</v>
      </c>
      <c r="F43" s="136">
        <f>Q43/20</f>
        <v>101480344.40000001</v>
      </c>
      <c r="G43" s="190">
        <f t="shared" si="63"/>
        <v>4.6246307290417787E-2</v>
      </c>
      <c r="H43" s="190">
        <f t="shared" si="64"/>
        <v>-8.0861387047447275E-2</v>
      </c>
      <c r="I43" s="130">
        <f t="shared" si="0"/>
        <v>4410.9028211165914</v>
      </c>
      <c r="J43" s="130">
        <f t="shared" si="5"/>
        <v>-0.11574966913270512</v>
      </c>
      <c r="K43" s="136">
        <f>R41+R42+R43</f>
        <v>8544599569710</v>
      </c>
      <c r="L43" s="190">
        <f>U43/U40-1</f>
        <v>-0.12357478571349501</v>
      </c>
      <c r="M43" s="190">
        <f>K43/K31-1</f>
        <v>3.4410614811041906E-2</v>
      </c>
      <c r="N43" s="191">
        <f>AVERAGE(T41:T43)</f>
        <v>4476.5494239639929</v>
      </c>
      <c r="O43" s="192">
        <f>N43/N40-1</f>
        <v>-0.15649689605342509</v>
      </c>
      <c r="P43" s="129" t="s">
        <v>835</v>
      </c>
      <c r="Q43" s="116">
        <v>2029606888</v>
      </c>
      <c r="R43" s="116">
        <v>2939863749018</v>
      </c>
      <c r="S43" s="116">
        <v>460134.12</v>
      </c>
      <c r="T43" s="130">
        <f t="shared" ref="T43" si="65">Q43/S43</f>
        <v>4410.9028211165914</v>
      </c>
      <c r="U43" s="85">
        <f>Q41+Q42+Q43</f>
        <v>5885699992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105402326.18181819</v>
      </c>
      <c r="G44" s="190">
        <f t="shared" si="63"/>
        <v>3.8647698773657035E-2</v>
      </c>
      <c r="H44" s="190">
        <f t="shared" si="64"/>
        <v>6.0185895244546428E-2</v>
      </c>
      <c r="I44" s="130">
        <f t="shared" si="0"/>
        <v>4875.7820092450675</v>
      </c>
      <c r="J44" s="130">
        <f t="shared" si="5"/>
        <v>3.1077797479167835E-2</v>
      </c>
      <c r="K44" s="136"/>
      <c r="L44" s="190"/>
      <c r="M44" s="190"/>
      <c r="N44" s="191"/>
      <c r="O44" s="192"/>
      <c r="P44" s="129" t="s">
        <v>843</v>
      </c>
      <c r="Q44" s="116">
        <v>2318851176</v>
      </c>
      <c r="R44" s="116">
        <v>3367679950442</v>
      </c>
      <c r="S44" s="116">
        <v>475585.49</v>
      </c>
      <c r="T44" s="130">
        <f t="shared" ref="T44" si="66">Q44/S44</f>
        <v>4875.7820092450675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121709449.75</v>
      </c>
      <c r="G45" s="190">
        <f t="shared" si="63"/>
        <v>0.15471312786828029</v>
      </c>
      <c r="H45" s="190">
        <f t="shared" si="64"/>
        <v>4.2248005849455428E-2</v>
      </c>
      <c r="I45" s="130">
        <f t="shared" si="0"/>
        <v>5265.5862229906024</v>
      </c>
      <c r="J45" s="130">
        <f t="shared" si="5"/>
        <v>-1.2303136793312186E-2</v>
      </c>
      <c r="K45" s="136"/>
      <c r="L45" s="190"/>
      <c r="M45" s="190"/>
      <c r="N45" s="191"/>
      <c r="O45" s="192"/>
      <c r="P45" s="129" t="s">
        <v>849</v>
      </c>
      <c r="Q45" s="116">
        <v>2434188995</v>
      </c>
      <c r="R45" s="116">
        <v>3434846160739</v>
      </c>
      <c r="S45" s="116">
        <v>462282.62</v>
      </c>
      <c r="T45" s="130">
        <f t="shared" ref="T45" si="67">Q45/S45</f>
        <v>5265.5862229906024</v>
      </c>
      <c r="U45" s="85"/>
    </row>
    <row r="46" spans="1:21" s="79" customFormat="1" ht="13.2">
      <c r="A46" s="129" t="s">
        <v>893</v>
      </c>
      <c r="B46" s="188">
        <f>SUM(F44:F46)</f>
        <v>340300876.30023921</v>
      </c>
      <c r="C46" s="188">
        <f>AVERAGE(F44:F46)</f>
        <v>113433625.43341307</v>
      </c>
      <c r="D46" s="190">
        <f>C46/C43-1</f>
        <v>0.11599469396897555</v>
      </c>
      <c r="E46" s="287">
        <f>C46/C34-1</f>
        <v>3.801677368509937E-2</v>
      </c>
      <c r="F46" s="136">
        <f>Q46/19</f>
        <v>113189100.36842105</v>
      </c>
      <c r="G46" s="190">
        <f t="shared" si="63"/>
        <v>-7.0005651977561034E-2</v>
      </c>
      <c r="H46" s="190">
        <f t="shared" si="64"/>
        <v>1.3849262908081972E-2</v>
      </c>
      <c r="I46" s="130">
        <f t="shared" si="0"/>
        <v>4822.0439008791145</v>
      </c>
      <c r="J46" s="130">
        <f t="shared" si="5"/>
        <v>3.1730563330729655E-3</v>
      </c>
      <c r="K46" s="136">
        <f>R44+R45+R46</f>
        <v>9748321496748</v>
      </c>
      <c r="L46" s="190">
        <f>U46/U43-1</f>
        <v>0.17295021618220452</v>
      </c>
      <c r="M46" s="190">
        <f>K46/K34-1</f>
        <v>7.0282399922080963E-2</v>
      </c>
      <c r="N46" s="191">
        <f>AVERAGE(T44:T46)</f>
        <v>4987.8040443715945</v>
      </c>
      <c r="O46" s="192">
        <f>N46/N43-1</f>
        <v>0.11420729941475427</v>
      </c>
      <c r="P46" s="129" t="s">
        <v>963</v>
      </c>
      <c r="Q46" s="116">
        <v>2150592907</v>
      </c>
      <c r="R46" s="116">
        <v>2945795385567</v>
      </c>
      <c r="S46" s="116">
        <v>445991.98</v>
      </c>
      <c r="T46" s="130">
        <f t="shared" ref="T46" si="68">Q46/S46</f>
        <v>4822.0439008791145</v>
      </c>
      <c r="U46" s="85">
        <f t="shared" ref="U46:U51" si="69">Q44+Q45+Q46</f>
        <v>6903633078</v>
      </c>
    </row>
    <row r="47" spans="1:21" s="79" customFormat="1" ht="13.2">
      <c r="A47" s="129" t="s">
        <v>1021</v>
      </c>
      <c r="B47" s="188"/>
      <c r="C47" s="188"/>
      <c r="D47" s="190"/>
      <c r="E47" s="287"/>
      <c r="F47" s="136">
        <f>Q47/23</f>
        <v>126893246.34782609</v>
      </c>
      <c r="G47" s="190">
        <f t="shared" si="63"/>
        <v>0.12107301793899938</v>
      </c>
      <c r="H47" s="190">
        <f t="shared" si="64"/>
        <v>0.27731612508850523</v>
      </c>
      <c r="I47" s="130">
        <f t="shared" si="0"/>
        <v>5922.7317968735188</v>
      </c>
      <c r="J47" s="130">
        <f t="shared" si="5"/>
        <v>0.22311831089493506</v>
      </c>
      <c r="K47" s="136"/>
      <c r="L47" s="190"/>
      <c r="M47" s="190"/>
      <c r="N47" s="191"/>
      <c r="O47" s="192"/>
      <c r="P47" s="129" t="s">
        <v>1054</v>
      </c>
      <c r="Q47" s="116">
        <v>2918544666</v>
      </c>
      <c r="R47" s="116">
        <v>4007422707232</v>
      </c>
      <c r="S47" s="116">
        <v>492770.02</v>
      </c>
      <c r="T47" s="130">
        <f t="shared" ref="T47" si="70">Q47/S47</f>
        <v>5922.7317968735188</v>
      </c>
      <c r="U47" s="85">
        <f t="shared" si="69"/>
        <v>7503326568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113711238.65000001</v>
      </c>
      <c r="G48" s="190">
        <f t="shared" ref="G48" si="71">F48/F47-1</f>
        <v>-0.10388265788151552</v>
      </c>
      <c r="H48" s="190">
        <f t="shared" ref="H48" si="72">F48/F36-1</f>
        <v>3.8551290009099626E-2</v>
      </c>
      <c r="I48" s="130">
        <f t="shared" si="0"/>
        <v>4839.6086284204421</v>
      </c>
      <c r="J48" s="130">
        <f t="shared" si="5"/>
        <v>-7.5323208890024418E-2</v>
      </c>
      <c r="K48" s="136"/>
      <c r="L48" s="190"/>
      <c r="M48" s="190"/>
      <c r="N48" s="191"/>
      <c r="O48" s="192"/>
      <c r="P48" s="129" t="s">
        <v>1070</v>
      </c>
      <c r="Q48" s="116">
        <v>2274224773</v>
      </c>
      <c r="R48" s="116">
        <v>3155313491764</v>
      </c>
      <c r="S48" s="116">
        <v>469919.15</v>
      </c>
      <c r="T48" s="130">
        <f t="shared" ref="T48" si="73">Q48/S48</f>
        <v>4839.6086284204421</v>
      </c>
      <c r="U48" s="85">
        <f t="shared" si="69"/>
        <v>7343362346</v>
      </c>
    </row>
    <row r="49" spans="1:26" ht="13.2">
      <c r="A49" s="129" t="s">
        <v>1158</v>
      </c>
      <c r="B49" s="188">
        <f>SUM(F47:F49)</f>
        <v>342396967.67964429</v>
      </c>
      <c r="C49" s="188">
        <f>AVERAGE(F47:F49)</f>
        <v>114132322.55988143</v>
      </c>
      <c r="D49" s="190">
        <f>C49/C46-1</f>
        <v>6.1595238960117094E-3</v>
      </c>
      <c r="E49" s="287">
        <f>C49/C37-1</f>
        <v>5.3025804803424226E-2</v>
      </c>
      <c r="F49" s="136">
        <f>Q49/22</f>
        <v>101792482.68181819</v>
      </c>
      <c r="G49" s="190">
        <f t="shared" ref="G49" si="74">F49/F48-1</f>
        <v>-0.10481598925210389</v>
      </c>
      <c r="H49" s="190">
        <f t="shared" ref="H49" si="75">F49/F37-1</f>
        <v>-0.12490356021523474</v>
      </c>
      <c r="I49" s="130">
        <f t="shared" si="0"/>
        <v>4571.6172953649047</v>
      </c>
      <c r="J49" s="130">
        <f t="shared" si="5"/>
        <v>-3.5656000100814933E-2</v>
      </c>
      <c r="K49" s="136">
        <f>R47+R48+R49</f>
        <v>10275099800239</v>
      </c>
      <c r="L49" s="190">
        <f>U49/U46-1</f>
        <v>7.6564176286310959E-2</v>
      </c>
      <c r="M49" s="190">
        <f>K49/K37-1</f>
        <v>0.12929832948066888</v>
      </c>
      <c r="N49" s="191">
        <f>AVERAGE(T47:T49)</f>
        <v>5111.3192402196219</v>
      </c>
      <c r="O49" s="192">
        <f>N49/N46-1</f>
        <v>2.4763441937420527E-2</v>
      </c>
      <c r="P49" s="129" t="s">
        <v>1158</v>
      </c>
      <c r="Q49" s="116">
        <v>2239434619</v>
      </c>
      <c r="R49" s="116">
        <v>3112363601243</v>
      </c>
      <c r="S49" s="116">
        <v>489856.1</v>
      </c>
      <c r="T49" s="130">
        <f t="shared" ref="T49" si="76">Q49/S49</f>
        <v>4571.6172953649047</v>
      </c>
      <c r="U49" s="85">
        <f t="shared" si="69"/>
        <v>7432204058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140098135.44444445</v>
      </c>
      <c r="G50" s="190">
        <f t="shared" ref="G50" si="77">F50/F49-1</f>
        <v>0.37631121428054404</v>
      </c>
      <c r="H50" s="190">
        <f t="shared" ref="H50" si="78">F50/F38-1</f>
        <v>0.14610753834259071</v>
      </c>
      <c r="I50" s="130">
        <f t="shared" ref="I50" si="79">T50</f>
        <v>5323.9120173512274</v>
      </c>
      <c r="J50" s="130">
        <f t="shared" ref="J50" si="80">I50/I38-1</f>
        <v>-5.0688477191793035E-2</v>
      </c>
      <c r="K50" s="136"/>
      <c r="L50" s="190"/>
      <c r="M50" s="190"/>
      <c r="N50" s="191"/>
      <c r="O50" s="192"/>
      <c r="P50" s="129" t="s">
        <v>1293</v>
      </c>
      <c r="Q50" s="116">
        <v>2521766438</v>
      </c>
      <c r="R50" s="116">
        <v>3558625976045</v>
      </c>
      <c r="S50" s="116">
        <v>473667.94</v>
      </c>
      <c r="T50" s="130">
        <f t="shared" ref="T50" si="81">Q50/S50</f>
        <v>5323.9120173512274</v>
      </c>
      <c r="U50" s="85">
        <f t="shared" si="69"/>
        <v>7035425830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105728103.09999999</v>
      </c>
      <c r="G51" s="190">
        <f t="shared" ref="G51:G52" si="82">F51/F50-1</f>
        <v>-0.24532826390165485</v>
      </c>
      <c r="H51" s="190">
        <f t="shared" ref="H51:H52" si="83">F51/F39-1</f>
        <v>-7.4611974751397359E-3</v>
      </c>
      <c r="I51" s="130">
        <f t="shared" ref="I51:I52" si="84">T51</f>
        <v>4638.7729578245135</v>
      </c>
      <c r="J51" s="130">
        <f t="shared" ref="J51:J52" si="85">I51/I39-1</f>
        <v>-0.15249916160577726</v>
      </c>
      <c r="K51" s="136"/>
      <c r="L51" s="190"/>
      <c r="M51" s="190"/>
      <c r="N51" s="191"/>
      <c r="O51" s="192"/>
      <c r="P51" s="129" t="s">
        <v>1402</v>
      </c>
      <c r="Q51" s="116">
        <v>2114562062</v>
      </c>
      <c r="R51" s="116">
        <v>3060512250477</v>
      </c>
      <c r="S51" s="116">
        <v>455845.13</v>
      </c>
      <c r="T51" s="130">
        <f t="shared" ref="T51:T52" si="86">Q51/S51</f>
        <v>4638.7729578245135</v>
      </c>
      <c r="U51" s="85">
        <f t="shared" si="69"/>
        <v>6875763119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338995472.77171719</v>
      </c>
      <c r="C52" s="188">
        <f>AVERAGE(F50:F52)</f>
        <v>112998490.92390573</v>
      </c>
      <c r="D52" s="190">
        <f>C52/C49-1</f>
        <v>-9.9343604909190031E-3</v>
      </c>
      <c r="E52" s="287">
        <f>C52/C40-1</f>
        <v>4.1108295417297214E-2</v>
      </c>
      <c r="F52" s="136">
        <f>Q52/22</f>
        <v>93169234.227272734</v>
      </c>
      <c r="G52" s="190">
        <f t="shared" si="82"/>
        <v>-0.1187845852190198</v>
      </c>
      <c r="H52" s="190">
        <f t="shared" si="83"/>
        <v>-3.7995770724711941E-2</v>
      </c>
      <c r="I52" s="130">
        <f t="shared" si="84"/>
        <v>4103.3433332304357</v>
      </c>
      <c r="J52" s="130">
        <f t="shared" si="85"/>
        <v>-0.15213588557888391</v>
      </c>
      <c r="K52" s="136">
        <f>R50+R51+R52</f>
        <v>9634647467527</v>
      </c>
      <c r="L52" s="190">
        <f>U52/U49-1</f>
        <v>-0.10039449928676869</v>
      </c>
      <c r="M52" s="190">
        <f>K52/K40-1</f>
        <v>3.8476409929534494E-2</v>
      </c>
      <c r="N52" s="191">
        <f>AVERAGE(T50:T52)</f>
        <v>4688.6761028020583</v>
      </c>
      <c r="O52" s="192">
        <f>N52/N49-1</f>
        <v>-8.2687681507329081E-2</v>
      </c>
      <c r="P52" s="129" t="s">
        <v>1403</v>
      </c>
      <c r="Q52" s="116">
        <v>2049723153</v>
      </c>
      <c r="R52" s="116">
        <v>3015509241005</v>
      </c>
      <c r="S52" s="116">
        <v>499525.14</v>
      </c>
      <c r="T52" s="130">
        <f t="shared" si="86"/>
        <v>4103.3433332304357</v>
      </c>
      <c r="U52" s="85">
        <f t="shared" ref="U52" si="87">Q50+Q51+Q52</f>
        <v>6686051653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114691062.80952381</v>
      </c>
      <c r="G53" s="190">
        <f t="shared" ref="G53" si="88">F53/F52-1</f>
        <v>0.23099716081975852</v>
      </c>
      <c r="H53" s="190">
        <f t="shared" ref="H53" si="89">F53/F41-1</f>
        <v>7.7361469827471385E-2</v>
      </c>
      <c r="I53" s="130">
        <f t="shared" ref="I53" si="90">T53</f>
        <v>4638.8311749894146</v>
      </c>
      <c r="J53" s="130">
        <f t="shared" ref="J53" si="91">I53/I41-1</f>
        <v>3.5198558634961685E-2</v>
      </c>
      <c r="K53" s="136"/>
      <c r="L53" s="190"/>
      <c r="M53" s="190"/>
      <c r="N53" s="191"/>
      <c r="O53" s="192"/>
      <c r="P53" s="129" t="s">
        <v>1414</v>
      </c>
      <c r="Q53" s="116">
        <v>2408512319</v>
      </c>
      <c r="R53" s="116">
        <v>3512966097168</v>
      </c>
      <c r="S53" s="116">
        <v>519206.72</v>
      </c>
      <c r="T53" s="130">
        <f t="shared" ref="T53" si="92">Q53/S53</f>
        <v>4638.8311749894146</v>
      </c>
      <c r="U53" s="85">
        <f t="shared" ref="U53" si="93">Q51+Q52+Q53</f>
        <v>6572797534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119792032.88235295</v>
      </c>
      <c r="G54" s="190">
        <f t="shared" ref="G54" si="94">F54/F53-1</f>
        <v>4.4475741595495721E-2</v>
      </c>
      <c r="H54" s="190">
        <f t="shared" ref="H54" si="95">F54/F42-1</f>
        <v>0.23503692056817727</v>
      </c>
      <c r="I54" s="130">
        <f t="shared" ref="I54" si="96">T54</f>
        <v>4499.7306389836976</v>
      </c>
      <c r="J54" s="130">
        <f t="shared" ref="J54" si="97">I54/I42-1</f>
        <v>-8.354998403420244E-3</v>
      </c>
      <c r="K54" s="136"/>
      <c r="L54" s="190"/>
      <c r="M54" s="190"/>
      <c r="N54" s="191"/>
      <c r="O54" s="192"/>
      <c r="P54" s="129" t="s">
        <v>1417</v>
      </c>
      <c r="Q54" s="116">
        <v>2036464559</v>
      </c>
      <c r="R54" s="116">
        <v>2950810056207</v>
      </c>
      <c r="S54" s="116">
        <v>452574.77</v>
      </c>
      <c r="T54" s="130">
        <f t="shared" ref="T54" si="98">Q54/S54</f>
        <v>4499.7306389836976</v>
      </c>
      <c r="U54" s="85">
        <f t="shared" ref="U54" si="99">Q52+Q53+Q54</f>
        <v>6494700031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343847113.31092441</v>
      </c>
      <c r="C55" s="188">
        <f>AVERAGE(F53:F55)</f>
        <v>114615704.43697481</v>
      </c>
      <c r="D55" s="190">
        <f>C55/C52-1</f>
        <v>1.4311815138824402E-2</v>
      </c>
      <c r="E55" s="287">
        <f>C55/C43-1</f>
        <v>0.12762434867485828</v>
      </c>
      <c r="F55" s="136">
        <f>Q55/21</f>
        <v>109364017.61904761</v>
      </c>
      <c r="G55" s="190">
        <f t="shared" ref="G55" si="100">F55/F54-1</f>
        <v>-8.705099172619124E-2</v>
      </c>
      <c r="H55" s="190">
        <f t="shared" ref="H55" si="101">F55/F43-1</f>
        <v>7.7686701455928597E-2</v>
      </c>
      <c r="I55" s="130">
        <f>T55</f>
        <v>4510.8561813199522</v>
      </c>
      <c r="J55" s="130">
        <f t="shared" ref="J55" si="102">I55/I43-1</f>
        <v>2.2660521951390011E-2</v>
      </c>
      <c r="K55" s="136">
        <f>R53+R54+R55</f>
        <v>9838777064589</v>
      </c>
      <c r="L55" s="190">
        <f>U55/U52-1</f>
        <v>8.311272165399064E-3</v>
      </c>
      <c r="M55" s="190">
        <f>K55/K43-1</f>
        <v>0.15146145636441144</v>
      </c>
      <c r="N55" s="191">
        <f>AVERAGE(T53:T55)</f>
        <v>4549.8059984310212</v>
      </c>
      <c r="O55" s="192">
        <f>N55/N52-1</f>
        <v>-2.9618191004502359E-2</v>
      </c>
      <c r="P55" s="129" t="s">
        <v>1418</v>
      </c>
      <c r="Q55" s="116">
        <v>2296644370</v>
      </c>
      <c r="R55" s="116">
        <v>3375000911214</v>
      </c>
      <c r="S55" s="116">
        <v>509137.13</v>
      </c>
      <c r="T55" s="130">
        <f t="shared" ref="T55" si="103">Q55/S55</f>
        <v>4510.8561813199522</v>
      </c>
      <c r="U55" s="85">
        <f t="shared" ref="U55" si="104">Q53+Q54+Q55</f>
        <v>6741621248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106064322.45454545</v>
      </c>
      <c r="G56" s="190">
        <f t="shared" ref="G56" si="105">F56/F55-1</f>
        <v>-3.0171671051772542E-2</v>
      </c>
      <c r="H56" s="190">
        <f t="shared" ref="H56" si="106">F56/F44-1</f>
        <v>6.2806609370775757E-3</v>
      </c>
      <c r="I56" s="291">
        <f>T56</f>
        <v>4626.6389456105962</v>
      </c>
      <c r="J56" s="130">
        <f t="shared" ref="J56" si="107">I56/I44-1</f>
        <v>-5.1098072711631914E-2</v>
      </c>
      <c r="K56" s="136"/>
      <c r="L56" s="190"/>
      <c r="M56" s="190"/>
      <c r="N56" s="191"/>
      <c r="O56" s="192"/>
      <c r="P56" s="129" t="s">
        <v>1420</v>
      </c>
      <c r="Q56" s="116">
        <v>2333415094</v>
      </c>
      <c r="R56" s="116">
        <v>3488239012083</v>
      </c>
      <c r="S56" s="116">
        <v>504343.46</v>
      </c>
      <c r="T56" s="130">
        <f t="shared" ref="T56" si="108">Q56/S56</f>
        <v>4626.6389456105962</v>
      </c>
      <c r="U56" s="85">
        <f t="shared" ref="U56" si="109">Q54+Q55+Q56</f>
        <v>6666524023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127758337.16666667</v>
      </c>
      <c r="G57" s="254">
        <f t="shared" ref="G57" si="110">F57/F56-1</f>
        <v>0.20453640027180975</v>
      </c>
      <c r="H57" s="254">
        <f t="shared" ref="H57" si="111">F57/F45-1</f>
        <v>4.9699406488908915E-2</v>
      </c>
      <c r="I57" s="282">
        <f>T57</f>
        <v>4503.2923763148501</v>
      </c>
      <c r="J57" s="277">
        <f t="shared" ref="J57" si="112">I57/I45-1</f>
        <v>-0.14476903698726362</v>
      </c>
      <c r="K57" s="204"/>
      <c r="L57" s="254"/>
      <c r="M57" s="254"/>
      <c r="N57" s="257"/>
      <c r="O57" s="258"/>
      <c r="P57" s="129" t="s">
        <v>1436</v>
      </c>
      <c r="Q57" s="116">
        <v>1533100046</v>
      </c>
      <c r="R57" s="116">
        <v>2259408120629</v>
      </c>
      <c r="S57" s="116">
        <v>340439.82</v>
      </c>
      <c r="T57" s="130">
        <f t="shared" ref="T57" si="113">Q57/S57</f>
        <v>4503.2923763148501</v>
      </c>
      <c r="U57" s="85">
        <f t="shared" ref="U57" si="114">Q55+Q56+Q57</f>
        <v>6163159510</v>
      </c>
      <c r="V57" s="79"/>
      <c r="W57" s="79"/>
      <c r="X57" s="79"/>
      <c r="Y57" s="79"/>
      <c r="Z57" s="79"/>
    </row>
    <row r="58" spans="1:26">
      <c r="B58" s="196">
        <f>SUM(F56:F58)</f>
        <v>233822659.62121212</v>
      </c>
      <c r="C58" s="196">
        <f>AVERAGE(F56:F58)</f>
        <v>116911329.81060606</v>
      </c>
      <c r="D58" s="197">
        <f>C58/C55-1</f>
        <v>2.0028890324480519E-2</v>
      </c>
      <c r="E58" s="233">
        <f>C58/C46-1</f>
        <v>3.0658496225481668E-2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10608136388</v>
      </c>
      <c r="R66" s="212">
        <v>15586424197301</v>
      </c>
      <c r="S66" s="213">
        <v>2325701.91</v>
      </c>
      <c r="T66" s="214">
        <v>552</v>
      </c>
      <c r="U66" s="214">
        <v>1930</v>
      </c>
    </row>
    <row r="67" spans="16:21" ht="18" thickBot="1">
      <c r="P67" s="180" t="s">
        <v>976</v>
      </c>
      <c r="Q67" s="181">
        <v>2408512319</v>
      </c>
      <c r="R67" s="181">
        <v>3512966097168</v>
      </c>
      <c r="S67" s="182">
        <v>519206.72</v>
      </c>
      <c r="T67" s="210">
        <v>321</v>
      </c>
      <c r="U67" s="210">
        <v>1149</v>
      </c>
    </row>
    <row r="68" spans="16:21" ht="18" thickBot="1">
      <c r="P68" s="180" t="s">
        <v>977</v>
      </c>
      <c r="Q68" s="181">
        <v>2036464559</v>
      </c>
      <c r="R68" s="181">
        <v>2950810056207</v>
      </c>
      <c r="S68" s="182">
        <v>452574.77</v>
      </c>
      <c r="T68" s="210">
        <v>308</v>
      </c>
      <c r="U68" s="210">
        <v>1063</v>
      </c>
    </row>
    <row r="69" spans="16:21" ht="18" thickBot="1">
      <c r="P69" s="180" t="s">
        <v>978</v>
      </c>
      <c r="Q69" s="181">
        <v>2296644370</v>
      </c>
      <c r="R69" s="181">
        <v>3375000911214</v>
      </c>
      <c r="S69" s="182">
        <v>509137.13</v>
      </c>
      <c r="T69" s="210">
        <v>344</v>
      </c>
      <c r="U69" s="210">
        <v>1166</v>
      </c>
    </row>
    <row r="70" spans="16:21" ht="18" thickBot="1">
      <c r="P70" s="180" t="s">
        <v>979</v>
      </c>
      <c r="Q70" s="181">
        <v>2333415094</v>
      </c>
      <c r="R70" s="181">
        <v>3488239012083</v>
      </c>
      <c r="S70" s="182">
        <v>504343.46</v>
      </c>
      <c r="T70" s="210">
        <v>340</v>
      </c>
      <c r="U70" s="210">
        <v>1187</v>
      </c>
    </row>
    <row r="71" spans="16:21" ht="18" thickBot="1">
      <c r="P71" s="180" t="s">
        <v>980</v>
      </c>
      <c r="Q71" s="181">
        <v>1533100046</v>
      </c>
      <c r="R71" s="181">
        <v>2259408120629</v>
      </c>
      <c r="S71" s="182">
        <v>340439.82</v>
      </c>
      <c r="T71" s="210">
        <v>274</v>
      </c>
      <c r="U71" s="210">
        <v>959</v>
      </c>
    </row>
    <row r="72" spans="16:21" ht="18" thickBot="1">
      <c r="P72" s="180" t="s">
        <v>975</v>
      </c>
      <c r="Q72" s="181">
        <v>26907736775</v>
      </c>
      <c r="R72" s="181">
        <v>38202886723343</v>
      </c>
      <c r="S72" s="182">
        <v>5580706.3700000001</v>
      </c>
      <c r="T72" s="210">
        <v>756</v>
      </c>
      <c r="U72" s="210">
        <v>3049</v>
      </c>
    </row>
    <row r="73" spans="16:21" ht="18" thickBot="1">
      <c r="P73" s="180" t="s">
        <v>982</v>
      </c>
      <c r="Q73" s="210" t="s">
        <v>1480</v>
      </c>
      <c r="R73"/>
      <c r="S73"/>
      <c r="T73"/>
      <c r="U73"/>
    </row>
  </sheetData>
  <phoneticPr fontId="1" type="noConversion"/>
  <conditionalFormatting sqref="C29:C30">
    <cfRule type="cellIs" dxfId="2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2">
    <tabColor rgb="FFFF0000"/>
  </sheetPr>
  <dimension ref="A1:Z58"/>
  <sheetViews>
    <sheetView zoomScale="90" zoomScaleNormal="90" workbookViewId="0">
      <selection activeCell="P59" sqref="P5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0.1992187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/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1290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6953610.9000000004</v>
      </c>
      <c r="G5" s="90"/>
      <c r="H5" s="90"/>
      <c r="I5" s="130">
        <f t="shared" ref="I5:I49" si="0">T5</f>
        <v>210.30934579290854</v>
      </c>
      <c r="J5" s="130"/>
      <c r="K5" s="79"/>
      <c r="L5" s="80"/>
      <c r="M5" s="80"/>
      <c r="N5" s="79"/>
      <c r="O5" s="79"/>
      <c r="P5" s="129" t="s">
        <v>0</v>
      </c>
      <c r="Q5" s="116">
        <f>'cvd 포커스링'!Q5+실리콘링!Q5</f>
        <v>139072218</v>
      </c>
      <c r="R5" s="116">
        <f>'cvd 포커스링'!R5+실리콘링!R5</f>
        <v>0</v>
      </c>
      <c r="S5" s="116">
        <f>'cvd 포커스링'!S5+실리콘링!S5</f>
        <v>661274.55000000005</v>
      </c>
      <c r="T5" s="130">
        <f t="shared" ref="T5:T24" si="1">Q5/S5</f>
        <v>210.30934579290854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8543900.8888888881</v>
      </c>
      <c r="G6" s="90">
        <f t="shared" ref="G6:G24" si="2">F6/F5-1</f>
        <v>0.22869988150888454</v>
      </c>
      <c r="H6" s="90"/>
      <c r="I6" s="130">
        <f t="shared" si="0"/>
        <v>237.12621989388592</v>
      </c>
      <c r="J6" s="130"/>
      <c r="K6" s="79"/>
      <c r="L6" s="87"/>
      <c r="M6" s="87"/>
      <c r="N6" s="79"/>
      <c r="O6" s="79"/>
      <c r="P6" s="129" t="s">
        <v>1</v>
      </c>
      <c r="Q6" s="116">
        <f>'cvd 포커스링'!Q6+실리콘링!Q6</f>
        <v>153790216</v>
      </c>
      <c r="R6" s="116">
        <f>'cvd 포커스링'!R6+실리콘링!R6</f>
        <v>0</v>
      </c>
      <c r="S6" s="116">
        <f>'cvd 포커스링'!S6+실리콘링!S6</f>
        <v>648558.46</v>
      </c>
      <c r="T6" s="130">
        <f t="shared" si="1"/>
        <v>237.12621989388592</v>
      </c>
      <c r="U6" s="85"/>
    </row>
    <row r="7" spans="1:21" ht="15" hidden="1" customHeight="1">
      <c r="A7" s="129" t="s">
        <v>2</v>
      </c>
      <c r="B7" s="131">
        <f>F5+F6+F7</f>
        <v>24937758.697979797</v>
      </c>
      <c r="C7" s="131">
        <f>AVERAGE(F5:F7)</f>
        <v>8312586.2326599322</v>
      </c>
      <c r="D7" s="117"/>
      <c r="F7" s="78">
        <f>Q7/22</f>
        <v>9440246.9090909082</v>
      </c>
      <c r="G7" s="90">
        <f t="shared" si="2"/>
        <v>0.10491062944886154</v>
      </c>
      <c r="H7" s="90"/>
      <c r="I7" s="130">
        <f t="shared" si="0"/>
        <v>274.02640902665405</v>
      </c>
      <c r="J7" s="130"/>
      <c r="K7" s="79">
        <f>R5+R6+R7</f>
        <v>0</v>
      </c>
      <c r="L7" s="87"/>
      <c r="M7" s="87"/>
      <c r="N7" s="88">
        <f>AVERAGE(T5:T7)</f>
        <v>240.48732490448285</v>
      </c>
      <c r="O7" s="79"/>
      <c r="P7" s="129" t="s">
        <v>2</v>
      </c>
      <c r="Q7" s="116">
        <f>'cvd 포커스링'!Q7+실리콘링!Q7</f>
        <v>207685432</v>
      </c>
      <c r="R7" s="116">
        <f>'cvd 포커스링'!R7+실리콘링!R7</f>
        <v>0</v>
      </c>
      <c r="S7" s="116">
        <f>'cvd 포커스링'!S7+실리콘링!S7</f>
        <v>757902.98</v>
      </c>
      <c r="T7" s="130">
        <f t="shared" si="1"/>
        <v>274.02640902665405</v>
      </c>
      <c r="U7" s="85">
        <f>Q5+Q6+Q7</f>
        <v>500547866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8451902.7619047612</v>
      </c>
      <c r="G8" s="90">
        <f t="shared" si="2"/>
        <v>-0.10469473486274783</v>
      </c>
      <c r="H8" s="90"/>
      <c r="I8" s="130">
        <f t="shared" si="0"/>
        <v>251.7661586740526</v>
      </c>
      <c r="J8" s="130"/>
      <c r="K8" s="78"/>
      <c r="L8" s="87"/>
      <c r="M8" s="87"/>
      <c r="N8" s="79"/>
      <c r="O8" s="79"/>
      <c r="P8" s="129" t="s">
        <v>3</v>
      </c>
      <c r="Q8" s="116">
        <f>'cvd 포커스링'!Q8+실리콘링!Q8</f>
        <v>177489958</v>
      </c>
      <c r="R8" s="116">
        <f>'cvd 포커스링'!R8+실리콘링!R8</f>
        <v>0</v>
      </c>
      <c r="S8" s="116">
        <f>'cvd 포커스링'!S8+실리콘링!S8</f>
        <v>704979.41</v>
      </c>
      <c r="T8" s="130">
        <f t="shared" si="1"/>
        <v>251.7661586740526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8744205.0476190485</v>
      </c>
      <c r="G9" s="90">
        <f t="shared" si="2"/>
        <v>3.4584198842393388E-2</v>
      </c>
      <c r="H9" s="90"/>
      <c r="I9" s="130">
        <f t="shared" si="0"/>
        <v>265.14815352922909</v>
      </c>
      <c r="J9" s="130"/>
      <c r="K9" s="78"/>
      <c r="L9" s="87"/>
      <c r="M9" s="87"/>
      <c r="N9" s="79"/>
      <c r="O9" s="79"/>
      <c r="P9" s="129" t="s">
        <v>4</v>
      </c>
      <c r="Q9" s="116">
        <f>'cvd 포커스링'!Q9+실리콘링!Q9</f>
        <v>183628306</v>
      </c>
      <c r="R9" s="116">
        <f>'cvd 포커스링'!R9+실리콘링!R9</f>
        <v>0</v>
      </c>
      <c r="S9" s="116">
        <f>'cvd 포커스링'!S9+실리콘링!S9</f>
        <v>692549.82000000007</v>
      </c>
      <c r="T9" s="130">
        <f t="shared" si="1"/>
        <v>265.14815352922909</v>
      </c>
      <c r="U9" s="85"/>
    </row>
    <row r="10" spans="1:21" ht="15" hidden="1" customHeight="1">
      <c r="A10" s="129" t="s">
        <v>5</v>
      </c>
      <c r="B10" s="131">
        <f>F8+F9+F10</f>
        <v>26468096.238095239</v>
      </c>
      <c r="C10" s="131">
        <f>AVERAGE(F8:F10)</f>
        <v>8822698.7460317463</v>
      </c>
      <c r="D10" s="90">
        <f>C10/C7-1</f>
        <v>6.1366282297030006E-2</v>
      </c>
      <c r="E10" s="286"/>
      <c r="F10" s="78">
        <f>Q10/21</f>
        <v>9271988.4285714291</v>
      </c>
      <c r="G10" s="90">
        <f t="shared" si="2"/>
        <v>6.0358074642370196E-2</v>
      </c>
      <c r="H10" s="90"/>
      <c r="I10" s="130">
        <f t="shared" si="0"/>
        <v>246.67103460443761</v>
      </c>
      <c r="J10" s="130"/>
      <c r="K10" s="79">
        <f>R8+R9+R10</f>
        <v>0</v>
      </c>
      <c r="L10" s="87">
        <f>U10/U7-1</f>
        <v>0.11044329374885398</v>
      </c>
      <c r="M10" s="87"/>
      <c r="N10" s="88">
        <f>AVERAGE(T8:T10)</f>
        <v>254.52844893590645</v>
      </c>
      <c r="O10" s="89">
        <f>N10/N7-1</f>
        <v>5.8386129235711293E-2</v>
      </c>
      <c r="P10" s="129" t="s">
        <v>5</v>
      </c>
      <c r="Q10" s="116">
        <f>'cvd 포커스링'!Q10+실리콘링!Q10</f>
        <v>194711757</v>
      </c>
      <c r="R10" s="116">
        <f>'cvd 포커스링'!R10+실리콘링!R10</f>
        <v>0</v>
      </c>
      <c r="S10" s="116">
        <f>'cvd 포커스링'!S10+실리콘링!S10</f>
        <v>789358.01</v>
      </c>
      <c r="T10" s="130">
        <f t="shared" si="1"/>
        <v>246.67103460443761</v>
      </c>
      <c r="U10" s="85">
        <f>Q8+Q9+Q10</f>
        <v>555830021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9671785.1904761903</v>
      </c>
      <c r="G11" s="90">
        <f t="shared" si="2"/>
        <v>4.3118772740569522E-2</v>
      </c>
      <c r="H11" s="90"/>
      <c r="I11" s="130">
        <f t="shared" si="0"/>
        <v>263.15241837613553</v>
      </c>
      <c r="J11" s="130"/>
      <c r="K11" s="78"/>
      <c r="L11" s="87"/>
      <c r="M11" s="87"/>
      <c r="N11" s="79"/>
      <c r="O11" s="89"/>
      <c r="P11" s="129" t="s">
        <v>6</v>
      </c>
      <c r="Q11" s="116">
        <f>'cvd 포커스링'!Q11+실리콘링!Q11</f>
        <v>203107489</v>
      </c>
      <c r="R11" s="116">
        <f>'cvd 포커스링'!R11+실리콘링!R11</f>
        <v>0</v>
      </c>
      <c r="S11" s="116">
        <f>'cvd 포커스링'!S11+실리콘링!S11</f>
        <v>771824.52</v>
      </c>
      <c r="T11" s="130">
        <f t="shared" si="1"/>
        <v>263.15241837613553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9133065.6363636367</v>
      </c>
      <c r="G12" s="90">
        <f t="shared" si="2"/>
        <v>-5.5700115697671859E-2</v>
      </c>
      <c r="H12" s="90"/>
      <c r="I12" s="130">
        <f t="shared" si="0"/>
        <v>246.91889884739643</v>
      </c>
      <c r="J12" s="130"/>
      <c r="K12" s="78"/>
      <c r="L12" s="87"/>
      <c r="M12" s="87"/>
      <c r="N12" s="79"/>
      <c r="O12" s="89"/>
      <c r="P12" s="129" t="s">
        <v>7</v>
      </c>
      <c r="Q12" s="116">
        <f>'cvd 포커스링'!Q12+실리콘링!Q12</f>
        <v>200927444</v>
      </c>
      <c r="R12" s="116">
        <f>'cvd 포커스링'!R12+실리콘링!R12</f>
        <v>0</v>
      </c>
      <c r="S12" s="116">
        <f>'cvd 포커스링'!S12+실리콘링!S12</f>
        <v>813738.62000000011</v>
      </c>
      <c r="T12" s="130">
        <f t="shared" si="1"/>
        <v>246.91889884739643</v>
      </c>
      <c r="U12" s="85"/>
    </row>
    <row r="13" spans="1:21" ht="15" hidden="1" customHeight="1">
      <c r="A13" s="129" t="s">
        <v>96</v>
      </c>
      <c r="B13" s="131">
        <f>F11+F12+F13</f>
        <v>28461987.826839827</v>
      </c>
      <c r="C13" s="131">
        <f>AVERAGE(F11:F13)</f>
        <v>9487329.2756132763</v>
      </c>
      <c r="D13" s="90">
        <f>C13/C10-1</f>
        <v>7.5331885255683906E-2</v>
      </c>
      <c r="E13" s="286"/>
      <c r="F13" s="78">
        <f>Q13/20</f>
        <v>9657137</v>
      </c>
      <c r="G13" s="90">
        <f t="shared" si="2"/>
        <v>5.7381758163409513E-2</v>
      </c>
      <c r="H13" s="90"/>
      <c r="I13" s="130">
        <f t="shared" si="0"/>
        <v>203.6051215122352</v>
      </c>
      <c r="J13" s="130"/>
      <c r="K13" s="78">
        <f>R11+R12+R13</f>
        <v>0</v>
      </c>
      <c r="L13" s="87">
        <f>U13/U10-1</f>
        <v>7.4389022610925171E-2</v>
      </c>
      <c r="M13" s="87"/>
      <c r="N13" s="88">
        <f>AVERAGE(T11:T13)</f>
        <v>237.89214624525573</v>
      </c>
      <c r="O13" s="89">
        <f>N13/N10-1</f>
        <v>-6.5361270067064159E-2</v>
      </c>
      <c r="P13" s="129" t="s">
        <v>96</v>
      </c>
      <c r="Q13" s="116">
        <f>'cvd 포커스링'!Q13+실리콘링!Q13</f>
        <v>193142740</v>
      </c>
      <c r="R13" s="116">
        <f>'cvd 포커스링'!R13+실리콘링!R13</f>
        <v>0</v>
      </c>
      <c r="S13" s="116">
        <f>'cvd 포커스링'!S13+실리콘링!S13</f>
        <v>948614.35</v>
      </c>
      <c r="T13" s="130">
        <f t="shared" si="1"/>
        <v>203.6051215122352</v>
      </c>
      <c r="U13" s="85">
        <f>Q11+Q12+Q13</f>
        <v>597177673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7876827.5499999998</v>
      </c>
      <c r="G14" s="90">
        <f t="shared" si="2"/>
        <v>-0.18435168207720365</v>
      </c>
      <c r="H14" s="90"/>
      <c r="I14" s="130">
        <f t="shared" si="0"/>
        <v>195.908488363174</v>
      </c>
      <c r="J14" s="130"/>
      <c r="K14" s="79"/>
      <c r="L14" s="87"/>
      <c r="M14" s="87"/>
      <c r="N14" s="79"/>
      <c r="O14" s="89"/>
      <c r="P14" s="129" t="s">
        <v>97</v>
      </c>
      <c r="Q14" s="116">
        <f>'cvd 포커스링'!Q14+실리콘링!Q14</f>
        <v>157536551</v>
      </c>
      <c r="R14" s="116">
        <f>'cvd 포커스링'!R14+실리콘링!R14</f>
        <v>0</v>
      </c>
      <c r="S14" s="116">
        <f>'cvd 포커스링'!S14+실리콘링!S14</f>
        <v>804133.36</v>
      </c>
      <c r="T14" s="130">
        <f t="shared" si="1"/>
        <v>195.908488363174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7217375.1363636367</v>
      </c>
      <c r="G15" s="90">
        <f t="shared" si="2"/>
        <v>-8.3720560016115053E-2</v>
      </c>
      <c r="H15" s="90"/>
      <c r="I15" s="130">
        <f t="shared" si="0"/>
        <v>254.41222700824179</v>
      </c>
      <c r="J15" s="130"/>
      <c r="K15" s="79"/>
      <c r="L15" s="87"/>
      <c r="M15" s="87"/>
      <c r="N15" s="79"/>
      <c r="O15" s="89"/>
      <c r="P15" s="129" t="s">
        <v>98</v>
      </c>
      <c r="Q15" s="116">
        <f>'cvd 포커스링'!Q15+실리콘링!Q15</f>
        <v>158782253</v>
      </c>
      <c r="R15" s="116">
        <f>'cvd 포커스링'!R15+실리콘링!R15</f>
        <v>0</v>
      </c>
      <c r="S15" s="116">
        <f>'cvd 포커스링'!S15+실리콘링!S15</f>
        <v>624114.08000000007</v>
      </c>
      <c r="T15" s="130">
        <f t="shared" si="1"/>
        <v>254.41222700824179</v>
      </c>
      <c r="U15" s="78"/>
    </row>
    <row r="16" spans="1:21" ht="15" hidden="1" customHeight="1">
      <c r="A16" s="129" t="s">
        <v>99</v>
      </c>
      <c r="B16" s="131">
        <f>F14+F15+F16</f>
        <v>23154215.459090911</v>
      </c>
      <c r="C16" s="131">
        <f>AVERAGE(F14:F16)</f>
        <v>7718071.8196969703</v>
      </c>
      <c r="D16" s="90">
        <f>C16/C13-1</f>
        <v>-0.18648635506560285</v>
      </c>
      <c r="E16" s="286"/>
      <c r="F16" s="78">
        <f>Q16/22</f>
        <v>8060012.7727272725</v>
      </c>
      <c r="G16" s="90">
        <f t="shared" si="2"/>
        <v>0.11675125934886421</v>
      </c>
      <c r="H16" s="90"/>
      <c r="I16" s="130">
        <f t="shared" si="0"/>
        <v>322.19965750078052</v>
      </c>
      <c r="J16" s="130"/>
      <c r="K16" s="78">
        <f>R14+R15+R16</f>
        <v>0</v>
      </c>
      <c r="L16" s="87">
        <f>U16/U13-1</f>
        <v>-0.17337987115268461</v>
      </c>
      <c r="M16" s="87"/>
      <c r="N16" s="88">
        <f>AVERAGE(T14:T16)</f>
        <v>257.50679095739878</v>
      </c>
      <c r="O16" s="89">
        <f>N16/N13-1</f>
        <v>8.2451838035549452E-2</v>
      </c>
      <c r="P16" s="129" t="s">
        <v>99</v>
      </c>
      <c r="Q16" s="116">
        <f>'cvd 포커스링'!Q16+실리콘링!Q16</f>
        <v>177320281</v>
      </c>
      <c r="R16" s="116">
        <f>'cvd 포커스링'!R16+실리콘링!R16</f>
        <v>0</v>
      </c>
      <c r="S16" s="116">
        <f>'cvd 포커스링'!S16+실리콘링!S16</f>
        <v>550342.86</v>
      </c>
      <c r="T16" s="130">
        <f t="shared" si="1"/>
        <v>322.19965750078052</v>
      </c>
      <c r="U16" s="85">
        <f>Q14+Q15+Q16</f>
        <v>493639085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6977087.9000000004</v>
      </c>
      <c r="G17" s="90">
        <f t="shared" si="2"/>
        <v>-0.13435771173856859</v>
      </c>
      <c r="H17" s="90">
        <f t="shared" ref="H17:H24" si="3">F17/F5-1</f>
        <v>3.3762314770877655E-3</v>
      </c>
      <c r="I17" s="130">
        <f t="shared" si="0"/>
        <v>291.53166748434762</v>
      </c>
      <c r="J17" s="130">
        <f t="shared" ref="J17:J49" si="4">I17/I5-1</f>
        <v>0.38620405282140258</v>
      </c>
      <c r="K17" s="79"/>
      <c r="L17" s="87"/>
      <c r="M17" s="87"/>
      <c r="N17" s="79"/>
      <c r="O17" s="89"/>
      <c r="P17" s="129" t="s">
        <v>100</v>
      </c>
      <c r="Q17" s="116">
        <f>'cvd 포커스링'!Q17+실리콘링!Q17</f>
        <v>139541758</v>
      </c>
      <c r="R17" s="116">
        <f>'cvd 포커스링'!R17+실리콘링!R17</f>
        <v>175265568060</v>
      </c>
      <c r="S17" s="116">
        <f>'cvd 포커스링'!S17+실리콘링!S17</f>
        <v>478650.43</v>
      </c>
      <c r="T17" s="130">
        <f t="shared" si="1"/>
        <v>291.53166748434762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7857247.25</v>
      </c>
      <c r="G18" s="90">
        <f t="shared" si="2"/>
        <v>0.12614995863818756</v>
      </c>
      <c r="H18" s="90">
        <f t="shared" si="3"/>
        <v>-8.036769712320313E-2</v>
      </c>
      <c r="I18" s="130">
        <f t="shared" si="0"/>
        <v>338.43286479853759</v>
      </c>
      <c r="J18" s="130">
        <f t="shared" si="4"/>
        <v>0.42722666835403711</v>
      </c>
      <c r="K18" s="79"/>
      <c r="L18" s="87"/>
      <c r="M18" s="87"/>
      <c r="N18" s="79"/>
      <c r="O18" s="89"/>
      <c r="P18" s="129" t="s">
        <v>106</v>
      </c>
      <c r="Q18" s="116">
        <f>'cvd 포커스링'!Q18+실리콘링!Q18</f>
        <v>157144945</v>
      </c>
      <c r="R18" s="116">
        <f>'cvd 포커스링'!R18+실리콘링!R18</f>
        <v>196656406210</v>
      </c>
      <c r="S18" s="116">
        <f>'cvd 포커스링'!S18+실리콘링!S18</f>
        <v>464331.22</v>
      </c>
      <c r="T18" s="130">
        <f t="shared" si="1"/>
        <v>338.43286479853759</v>
      </c>
      <c r="U18" s="78"/>
    </row>
    <row r="19" spans="1:21" hidden="1">
      <c r="A19" s="129" t="s">
        <v>114</v>
      </c>
      <c r="B19" s="131">
        <f>SUM(F17:F19)</f>
        <v>22590298.649999999</v>
      </c>
      <c r="C19" s="131">
        <f>AVERAGE(F17:F19)</f>
        <v>7530099.5499999998</v>
      </c>
      <c r="D19" s="90">
        <f>C19/C16-1</f>
        <v>-2.4354822562968947E-2</v>
      </c>
      <c r="E19" s="286">
        <f>C19/C7-1</f>
        <v>-9.4132759740351624E-2</v>
      </c>
      <c r="F19" s="78">
        <f>Q19/22</f>
        <v>7755963.5</v>
      </c>
      <c r="G19" s="90">
        <f t="shared" si="2"/>
        <v>-1.2890487823200458E-2</v>
      </c>
      <c r="H19" s="90">
        <f t="shared" si="3"/>
        <v>-0.17841518609740514</v>
      </c>
      <c r="I19" s="130">
        <f t="shared" si="0"/>
        <v>341.49279235714755</v>
      </c>
      <c r="J19" s="130">
        <f t="shared" si="4"/>
        <v>0.24620394643762666</v>
      </c>
      <c r="K19" s="78">
        <f>R17+R18+R19</f>
        <v>594924509522</v>
      </c>
      <c r="L19" s="87">
        <f>U19/U16-1</f>
        <v>-5.3320706969546383E-2</v>
      </c>
      <c r="M19" s="87">
        <f>U19/U7-1</f>
        <v>-6.6387189432149163E-2</v>
      </c>
      <c r="N19" s="88">
        <f>AVERAGE(T17:T19)</f>
        <v>323.81910821334424</v>
      </c>
      <c r="O19" s="89">
        <f>N19/N16-1</f>
        <v>0.25751677075932333</v>
      </c>
      <c r="P19" s="129" t="s">
        <v>114</v>
      </c>
      <c r="Q19" s="116">
        <f>'cvd 포커스링'!Q19+실리콘링!Q19</f>
        <v>170631197</v>
      </c>
      <c r="R19" s="116">
        <f>'cvd 포커스링'!R19+실리콘링!R19</f>
        <v>223002535252</v>
      </c>
      <c r="S19" s="116">
        <f>'cvd 포커스링'!S19+실리콘링!S19</f>
        <v>499662.66</v>
      </c>
      <c r="T19" s="130">
        <f t="shared" si="1"/>
        <v>341.49279235714755</v>
      </c>
      <c r="U19" s="85">
        <f>Q17+Q18+Q19</f>
        <v>467317900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7455371.6500000004</v>
      </c>
      <c r="G20" s="90">
        <f t="shared" si="2"/>
        <v>-3.8756222872889934E-2</v>
      </c>
      <c r="H20" s="90">
        <f t="shared" si="3"/>
        <v>-0.11790612599051931</v>
      </c>
      <c r="I20" s="130">
        <f t="shared" si="0"/>
        <v>330.71602282949095</v>
      </c>
      <c r="J20" s="130">
        <f t="shared" si="4"/>
        <v>0.31358409951215993</v>
      </c>
      <c r="K20" s="79"/>
      <c r="L20" s="87"/>
      <c r="M20" s="87"/>
      <c r="N20" s="79"/>
      <c r="O20" s="89"/>
      <c r="P20" s="129" t="s">
        <v>131</v>
      </c>
      <c r="Q20" s="116">
        <f>'cvd 포커스링'!Q20+실리콘링!Q20</f>
        <v>149107433</v>
      </c>
      <c r="R20" s="116">
        <f>'cvd 포커스링'!R20+실리콘링!R20</f>
        <v>195657191595</v>
      </c>
      <c r="S20" s="116">
        <f>'cvd 포커스링'!S20+실리콘링!S20</f>
        <v>450862.44</v>
      </c>
      <c r="T20" s="130">
        <f t="shared" si="1"/>
        <v>330.71602282949095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7167025.4761904757</v>
      </c>
      <c r="G21" s="90">
        <f t="shared" si="2"/>
        <v>-3.8676297754991817E-2</v>
      </c>
      <c r="H21" s="90">
        <f t="shared" si="3"/>
        <v>-0.18036854840887129</v>
      </c>
      <c r="I21" s="130">
        <f t="shared" si="0"/>
        <v>253.85455897601307</v>
      </c>
      <c r="J21" s="130">
        <f t="shared" si="4"/>
        <v>-4.2593525177881508E-2</v>
      </c>
      <c r="K21" s="79"/>
      <c r="L21" s="87"/>
      <c r="M21" s="87"/>
      <c r="N21" s="79"/>
      <c r="O21" s="89"/>
      <c r="P21" s="129" t="s">
        <v>141</v>
      </c>
      <c r="Q21" s="116">
        <f>'cvd 포커스링'!Q21+실리콘링!Q21</f>
        <v>150507535</v>
      </c>
      <c r="R21" s="116">
        <f>'cvd 포커스링'!R21+실리콘링!R21</f>
        <v>200432336741</v>
      </c>
      <c r="S21" s="116">
        <f>'cvd 포커스링'!S21+실리콘링!S21</f>
        <v>592888.84000000008</v>
      </c>
      <c r="T21" s="130">
        <f t="shared" si="1"/>
        <v>253.85455897601307</v>
      </c>
      <c r="U21" s="78"/>
    </row>
    <row r="22" spans="1:21" hidden="1">
      <c r="A22" s="129" t="s">
        <v>156</v>
      </c>
      <c r="B22" s="131">
        <f>SUM(F20:F22)</f>
        <v>23338757.697619047</v>
      </c>
      <c r="C22" s="131">
        <f>AVERAGE(F20:F22)</f>
        <v>7779585.8992063487</v>
      </c>
      <c r="D22" s="90">
        <f>C22/C19-1</f>
        <v>3.3131879273275766E-2</v>
      </c>
      <c r="E22" s="286">
        <f>C22/C10-1</f>
        <v>-0.11823058645117701</v>
      </c>
      <c r="F22" s="78">
        <f>Q22/21</f>
        <v>8716360.5714285709</v>
      </c>
      <c r="G22" s="90">
        <f t="shared" si="2"/>
        <v>0.21617546922152431</v>
      </c>
      <c r="H22" s="90">
        <f t="shared" si="3"/>
        <v>-5.9925426074810773E-2</v>
      </c>
      <c r="I22" s="130">
        <f t="shared" si="0"/>
        <v>311.23321168995244</v>
      </c>
      <c r="J22" s="130">
        <f t="shared" si="4"/>
        <v>0.26173392100554871</v>
      </c>
      <c r="K22" s="78">
        <f>R20+R21+R22</f>
        <v>634266706320</v>
      </c>
      <c r="L22" s="87">
        <f>U22/U19-1</f>
        <v>3.2826989935544892E-2</v>
      </c>
      <c r="M22" s="87">
        <f>U22/U10-1</f>
        <v>-0.13164362887120851</v>
      </c>
      <c r="N22" s="88">
        <f>AVERAGE(T20:T22)</f>
        <v>298.60126449848548</v>
      </c>
      <c r="O22" s="89">
        <f>N22/N19-1</f>
        <v>-7.7876329948522671E-2</v>
      </c>
      <c r="P22" s="129" t="s">
        <v>156</v>
      </c>
      <c r="Q22" s="116">
        <f>'cvd 포커스링'!Q22+실리콘링!Q22</f>
        <v>183043572</v>
      </c>
      <c r="R22" s="116">
        <f>'cvd 포커스링'!R22+실리콘링!R22</f>
        <v>238177177984</v>
      </c>
      <c r="S22" s="116">
        <f>'cvd 포커스링'!S22+실리콘링!S22</f>
        <v>588123.52</v>
      </c>
      <c r="T22" s="130">
        <f t="shared" si="1"/>
        <v>311.23321168995244</v>
      </c>
      <c r="U22" s="85">
        <f>Q20+Q21+Q22</f>
        <v>482658540</v>
      </c>
    </row>
    <row r="23" spans="1:21" hidden="1">
      <c r="A23" s="129" t="s">
        <v>189</v>
      </c>
      <c r="B23" s="131"/>
      <c r="C23" s="131"/>
      <c r="D23" s="117"/>
      <c r="F23" s="78">
        <f>Q23/21</f>
        <v>8623039.8571428563</v>
      </c>
      <c r="G23" s="90">
        <f t="shared" si="2"/>
        <v>-1.0706385253452133E-2</v>
      </c>
      <c r="H23" s="90">
        <f t="shared" si="3"/>
        <v>-0.1084334807565861</v>
      </c>
      <c r="I23" s="130">
        <f t="shared" si="0"/>
        <v>276.52230181155835</v>
      </c>
      <c r="J23" s="130">
        <f t="shared" si="4"/>
        <v>5.0806614348923196E-2</v>
      </c>
      <c r="K23" s="79"/>
      <c r="L23" s="87"/>
      <c r="M23" s="87"/>
      <c r="N23" s="79"/>
      <c r="O23" s="89"/>
      <c r="P23" s="129" t="s">
        <v>189</v>
      </c>
      <c r="Q23" s="116">
        <f>'cvd 포커스링'!Q23+실리콘링!Q23</f>
        <v>181083837</v>
      </c>
      <c r="R23" s="116">
        <f>'cvd 포커스링'!R23+실리콘링!R23</f>
        <v>233938404049</v>
      </c>
      <c r="S23" s="116">
        <f>'cvd 포커스링'!S23+실리콘링!S23</f>
        <v>654861.6</v>
      </c>
      <c r="T23" s="130">
        <f t="shared" si="1"/>
        <v>276.52230181155835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9250439.3181818184</v>
      </c>
      <c r="G24" s="90">
        <f t="shared" si="2"/>
        <v>7.2758501808298792E-2</v>
      </c>
      <c r="H24" s="90">
        <f t="shared" si="3"/>
        <v>1.2851509722086485E-2</v>
      </c>
      <c r="I24" s="130">
        <f t="shared" si="0"/>
        <v>247.95411022353846</v>
      </c>
      <c r="J24" s="130">
        <f t="shared" si="4"/>
        <v>4.1925157651938605E-3</v>
      </c>
      <c r="K24" s="79"/>
      <c r="L24" s="87"/>
      <c r="M24" s="87"/>
      <c r="N24" s="79"/>
      <c r="O24" s="89"/>
      <c r="P24" s="129" t="s">
        <v>204</v>
      </c>
      <c r="Q24" s="116">
        <f>'cvd 포커스링'!Q24+실리콘링!Q24</f>
        <v>203509665</v>
      </c>
      <c r="R24" s="116">
        <f>'cvd 포커스링'!R24+실리콘링!R24</f>
        <v>265988110788</v>
      </c>
      <c r="S24" s="116">
        <f>'cvd 포커스링'!S24+실리콘링!S24</f>
        <v>820755.36</v>
      </c>
      <c r="T24" s="130">
        <f t="shared" si="1"/>
        <v>247.95411022353846</v>
      </c>
      <c r="U24" s="78"/>
    </row>
    <row r="25" spans="1:21" s="92" customFormat="1" ht="13.2" hidden="1">
      <c r="A25" s="129" t="s">
        <v>218</v>
      </c>
      <c r="B25" s="131">
        <f>SUM(F23:F25)</f>
        <v>27545648.175324675</v>
      </c>
      <c r="C25" s="131">
        <f>AVERAGE(F23:F25)</f>
        <v>9181882.7251082249</v>
      </c>
      <c r="D25" s="90">
        <f>C25/C22-1</f>
        <v>0.1802534021823623</v>
      </c>
      <c r="E25" s="286">
        <f>C25/C13-1</f>
        <v>-3.2195209171266725E-2</v>
      </c>
      <c r="F25" s="78">
        <f>Q25/19</f>
        <v>9672169</v>
      </c>
      <c r="G25" s="90">
        <f t="shared" ref="G25" si="5">F25/F24-1</f>
        <v>4.5590232778379258E-2</v>
      </c>
      <c r="H25" s="90">
        <f t="shared" ref="H25" si="6">F25/F13-1</f>
        <v>1.5565689914101011E-3</v>
      </c>
      <c r="I25" s="130">
        <f t="shared" si="0"/>
        <v>263.46836171127575</v>
      </c>
      <c r="J25" s="130">
        <f t="shared" si="4"/>
        <v>0.29401637716388773</v>
      </c>
      <c r="K25" s="78">
        <f>R23+R24+R25</f>
        <v>743774739552</v>
      </c>
      <c r="L25" s="90">
        <f>U25/U22-1</f>
        <v>0.17757102774976286</v>
      </c>
      <c r="M25" s="90">
        <f>U25/U13-1</f>
        <v>-4.824855533405048E-2</v>
      </c>
      <c r="N25" s="88">
        <f>AVERAGE(T23:T25)</f>
        <v>262.64825791545752</v>
      </c>
      <c r="O25" s="91">
        <f>N25/N22-1</f>
        <v>-0.12040473654193218</v>
      </c>
      <c r="P25" s="129" t="s">
        <v>220</v>
      </c>
      <c r="Q25" s="116">
        <f>'cvd 포커스링'!Q25+실리콘링!Q25</f>
        <v>183771211</v>
      </c>
      <c r="R25" s="116">
        <f>'cvd 포커스링'!R25+실리콘링!R25</f>
        <v>243848224715</v>
      </c>
      <c r="S25" s="116">
        <f>'cvd 포커스링'!S25+실리콘링!S25</f>
        <v>697507.7</v>
      </c>
      <c r="T25" s="130">
        <f t="shared" ref="T25" si="7">Q25/S25</f>
        <v>263.46836171127575</v>
      </c>
      <c r="U25" s="85">
        <f>Q23+Q24+Q25</f>
        <v>568364713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9172131</v>
      </c>
      <c r="G26" s="90">
        <f t="shared" ref="G26" si="8">F26/F25-1</f>
        <v>-5.1698641742095264E-2</v>
      </c>
      <c r="H26" s="90">
        <f t="shared" ref="H26" si="9">F26/F14-1</f>
        <v>0.16444481509564102</v>
      </c>
      <c r="I26" s="130">
        <f t="shared" si="0"/>
        <v>221.82779788164785</v>
      </c>
      <c r="J26" s="130">
        <f t="shared" si="4"/>
        <v>0.13230314691839595</v>
      </c>
      <c r="K26" s="79"/>
      <c r="L26" s="90"/>
      <c r="M26" s="90"/>
      <c r="N26" s="79"/>
      <c r="O26" s="79"/>
      <c r="P26" s="129" t="s">
        <v>312</v>
      </c>
      <c r="Q26" s="116">
        <f>'cvd 포커스링'!Q26+실리콘링!Q26</f>
        <v>174270489</v>
      </c>
      <c r="R26" s="116">
        <f>'cvd 포커스링'!R26+실리콘링!R26</f>
        <v>235099613106</v>
      </c>
      <c r="S26" s="116">
        <f>'cvd 포커스링'!S26+실리콘링!S26</f>
        <v>785611.59</v>
      </c>
      <c r="T26" s="130">
        <f t="shared" ref="T26" si="10">Q26/S26</f>
        <v>221.82779788164785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9355134.8636363633</v>
      </c>
      <c r="G27" s="90">
        <f t="shared" ref="G27" si="11">F27/F26-1</f>
        <v>1.9952164184785737E-2</v>
      </c>
      <c r="H27" s="90">
        <f t="shared" ref="H27" si="12">F27/F15-1</f>
        <v>0.29619628838494938</v>
      </c>
      <c r="I27" s="130">
        <f t="shared" si="0"/>
        <v>243.50813315615071</v>
      </c>
      <c r="J27" s="130">
        <f t="shared" si="4"/>
        <v>-4.2859944194969191E-2</v>
      </c>
      <c r="K27" s="79"/>
      <c r="L27" s="90"/>
      <c r="M27" s="90"/>
      <c r="N27" s="79"/>
      <c r="O27" s="79"/>
      <c r="P27" s="129" t="s">
        <v>377</v>
      </c>
      <c r="Q27" s="116">
        <f>'cvd 포커스링'!Q27+실리콘링!Q27</f>
        <v>205812967</v>
      </c>
      <c r="R27" s="116">
        <f>'cvd 포커스링'!R27+실리콘링!R27</f>
        <v>271919110998</v>
      </c>
      <c r="S27" s="116">
        <f>'cvd 포커스링'!S27+실리콘링!S27</f>
        <v>845199.56</v>
      </c>
      <c r="T27" s="130">
        <f t="shared" ref="T27" si="13">Q27/S27</f>
        <v>243.50813315615071</v>
      </c>
      <c r="U27" s="78"/>
    </row>
    <row r="28" spans="1:21" s="92" customFormat="1" ht="13.2" hidden="1">
      <c r="A28" s="123" t="s">
        <v>413</v>
      </c>
      <c r="B28" s="131">
        <f>SUM(F26:F28)</f>
        <v>28878892.705741629</v>
      </c>
      <c r="C28" s="131">
        <f>AVERAGE(F26:F28)</f>
        <v>9626297.5685805436</v>
      </c>
      <c r="D28" s="90">
        <f>C28/C25-1</f>
        <v>4.8401276380610758E-2</v>
      </c>
      <c r="E28" s="286">
        <f>C28/C16-1</f>
        <v>0.24724125318627777</v>
      </c>
      <c r="F28" s="78">
        <f>Q28/19</f>
        <v>10351626.842105264</v>
      </c>
      <c r="G28" s="90">
        <f t="shared" ref="G28" si="14">F28/F27-1</f>
        <v>0.1065181841837779</v>
      </c>
      <c r="H28" s="90">
        <f t="shared" ref="H28" si="15">F28/F16-1</f>
        <v>0.28431891288462263</v>
      </c>
      <c r="I28" s="130">
        <f t="shared" si="0"/>
        <v>299.52047402108974</v>
      </c>
      <c r="J28" s="130">
        <f t="shared" si="4"/>
        <v>-7.0388602072414819E-2</v>
      </c>
      <c r="K28" s="78">
        <f>R26+R27+R28</f>
        <v>763475908747</v>
      </c>
      <c r="L28" s="90">
        <f>U28/U25-1</f>
        <v>1.477863211398911E-2</v>
      </c>
      <c r="M28" s="90">
        <f>U28/U16-1</f>
        <v>0.16839282691726076</v>
      </c>
      <c r="N28" s="88">
        <f>AVERAGE(T26:T28)</f>
        <v>254.95213501962942</v>
      </c>
      <c r="O28" s="91">
        <f>N28/N25-1</f>
        <v>-2.9302013867936516E-2</v>
      </c>
      <c r="P28" s="129" t="s">
        <v>413</v>
      </c>
      <c r="Q28" s="116">
        <f>'cvd 포커스링'!Q28+실리콘링!Q28</f>
        <v>196680910</v>
      </c>
      <c r="R28" s="116">
        <f>'cvd 포커스링'!R28+실리콘링!R28</f>
        <v>256457184643</v>
      </c>
      <c r="S28" s="116">
        <f>'cvd 포커스링'!S28+실리콘링!S28</f>
        <v>656652.64</v>
      </c>
      <c r="T28" s="130">
        <f t="shared" ref="T28" si="16">Q28/S28</f>
        <v>299.52047402108974</v>
      </c>
      <c r="U28" s="85">
        <f>Q26+Q27+Q28</f>
        <v>576764366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9157792.8181818184</v>
      </c>
      <c r="G29" s="190">
        <f t="shared" ref="G29" si="17">F29/F28-1</f>
        <v>-0.11532815490097881</v>
      </c>
      <c r="H29" s="190">
        <f t="shared" ref="H29" si="18">F29/F17-1</f>
        <v>0.31255230684162916</v>
      </c>
      <c r="I29" s="130">
        <f t="shared" si="0"/>
        <v>323.02429576814427</v>
      </c>
      <c r="J29" s="130">
        <f t="shared" si="4"/>
        <v>0.10802472525729123</v>
      </c>
      <c r="K29" s="136"/>
      <c r="L29" s="190"/>
      <c r="M29" s="190"/>
      <c r="N29" s="191"/>
      <c r="O29" s="192"/>
      <c r="P29" s="129" t="s">
        <v>427</v>
      </c>
      <c r="Q29" s="116">
        <f>'cvd 포커스링'!Q29+실리콘링!Q29</f>
        <v>201471442</v>
      </c>
      <c r="R29" s="116">
        <f>'cvd 포커스링'!R29+실리콘링!R29</f>
        <v>264606808633</v>
      </c>
      <c r="S29" s="116">
        <f>'cvd 포커스링'!S29+실리콘링!S29</f>
        <v>623703.67999999993</v>
      </c>
      <c r="T29" s="130">
        <f t="shared" ref="T29" si="19">Q29/S29</f>
        <v>323.02429576814427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87"/>
      <c r="F30" s="136">
        <f>Q30/19</f>
        <v>10720405.52631579</v>
      </c>
      <c r="G30" s="190">
        <f t="shared" ref="G30" si="20">F30/F29-1</f>
        <v>0.17063202227414132</v>
      </c>
      <c r="H30" s="190">
        <f t="shared" ref="H30" si="21">F30/F18-1</f>
        <v>0.36439712092753473</v>
      </c>
      <c r="I30" s="130">
        <f t="shared" si="0"/>
        <v>265.66119681111155</v>
      </c>
      <c r="J30" s="130">
        <f t="shared" si="4"/>
        <v>-0.21502541731798297</v>
      </c>
      <c r="K30" s="136"/>
      <c r="L30" s="190"/>
      <c r="M30" s="190"/>
      <c r="N30" s="191"/>
      <c r="O30" s="192"/>
      <c r="P30" s="129" t="s">
        <v>469</v>
      </c>
      <c r="Q30" s="116">
        <f>'cvd 포커스링'!Q30+실리콘링!Q30</f>
        <v>203687705</v>
      </c>
      <c r="R30" s="116">
        <f>'cvd 포커스링'!R30+실리콘링!R30</f>
        <v>271416885808</v>
      </c>
      <c r="S30" s="116">
        <f>'cvd 포커스링'!S30+실리콘링!S30</f>
        <v>766719.82</v>
      </c>
      <c r="T30" s="130">
        <f t="shared" ref="T30" si="22">Q30/S30</f>
        <v>265.66119681111155</v>
      </c>
      <c r="U30" s="85"/>
    </row>
    <row r="31" spans="1:21" s="92" customFormat="1" ht="13.2" hidden="1">
      <c r="A31" s="129" t="s">
        <v>505</v>
      </c>
      <c r="B31" s="188">
        <f>SUM(F29:F31)</f>
        <v>29899253.094497606</v>
      </c>
      <c r="C31" s="188">
        <f>AVERAGE(F29:F31)</f>
        <v>9966417.6981658693</v>
      </c>
      <c r="D31" s="190">
        <f>C31/C28-1</f>
        <v>3.5332393078669311E-2</v>
      </c>
      <c r="E31" s="287">
        <f>C31/C19-1</f>
        <v>0.32354394945095644</v>
      </c>
      <c r="F31" s="136">
        <f>Q31/20</f>
        <v>10021054.75</v>
      </c>
      <c r="G31" s="190">
        <f t="shared" ref="G31" si="23">F31/F30-1</f>
        <v>-6.5235477762391247E-2</v>
      </c>
      <c r="H31" s="190">
        <f t="shared" ref="H31" si="24">F31/F19-1</f>
        <v>0.29204511470431749</v>
      </c>
      <c r="I31" s="130">
        <f t="shared" si="0"/>
        <v>350.18478777427401</v>
      </c>
      <c r="J31" s="130">
        <f t="shared" si="4"/>
        <v>2.5452939598315183E-2</v>
      </c>
      <c r="K31" s="136">
        <f>R29+R30+R31</f>
        <v>802220118409</v>
      </c>
      <c r="L31" s="190">
        <f>U31/U28-1</f>
        <v>4.996126269007406E-2</v>
      </c>
      <c r="M31" s="190">
        <f>U31/U19-1</f>
        <v>0.29586356953157589</v>
      </c>
      <c r="N31" s="191">
        <f>AVERAGE(T29:T31)</f>
        <v>312.95676011784332</v>
      </c>
      <c r="O31" s="192">
        <f>N31/N28-1</f>
        <v>0.2275118233222404</v>
      </c>
      <c r="P31" s="129" t="s">
        <v>505</v>
      </c>
      <c r="Q31" s="116">
        <f>'cvd 포커스링'!Q31+실리콘링!Q31</f>
        <v>200421095</v>
      </c>
      <c r="R31" s="116">
        <f>'cvd 포커스링'!R31+실리콘링!R31</f>
        <v>266196423968</v>
      </c>
      <c r="S31" s="116">
        <f>'cvd 포커스링'!S31+실리콘링!S31</f>
        <v>572329.53</v>
      </c>
      <c r="T31" s="130">
        <f t="shared" ref="T31" si="25">Q31/S31</f>
        <v>350.18478777427401</v>
      </c>
      <c r="U31" s="85">
        <f>Q29+Q30+Q31</f>
        <v>605580242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11452084.571428571</v>
      </c>
      <c r="G32" s="190">
        <f t="shared" ref="G32" si="26">F32/F31-1</f>
        <v>0.14280231543776067</v>
      </c>
      <c r="H32" s="190">
        <f t="shared" ref="H32" si="27">F32/F20-1</f>
        <v>0.53608500140010729</v>
      </c>
      <c r="I32" s="130">
        <f t="shared" si="0"/>
        <v>453.3833946909221</v>
      </c>
      <c r="J32" s="130">
        <f t="shared" si="4"/>
        <v>0.37091451092067418</v>
      </c>
      <c r="K32" s="136"/>
      <c r="L32" s="190"/>
      <c r="M32" s="190"/>
      <c r="N32" s="191"/>
      <c r="O32" s="192"/>
      <c r="P32" s="129" t="s">
        <v>562</v>
      </c>
      <c r="Q32" s="116">
        <f>'cvd 포커스링'!Q32+실리콘링!Q32</f>
        <v>240493776</v>
      </c>
      <c r="R32" s="116">
        <f>'cvd 포커스링'!R32+실리콘링!R32</f>
        <v>326727648434</v>
      </c>
      <c r="S32" s="116">
        <f>'cvd 포커스링'!S32+실리콘링!S32</f>
        <v>530442.4</v>
      </c>
      <c r="T32" s="130">
        <f t="shared" ref="T32" si="28">Q32/S32</f>
        <v>453.3833946909221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10085902.571428571</v>
      </c>
      <c r="G33" s="190">
        <f t="shared" ref="G33" si="29">F33/F32-1</f>
        <v>-0.11929548646614452</v>
      </c>
      <c r="H33" s="190">
        <f t="shared" ref="H33" si="30">F33/F21-1</f>
        <v>0.40726478577966208</v>
      </c>
      <c r="I33" s="130">
        <f t="shared" si="0"/>
        <v>355.39050806588</v>
      </c>
      <c r="J33" s="130">
        <f t="shared" si="4"/>
        <v>0.39997685879441369</v>
      </c>
      <c r="K33" s="136"/>
      <c r="L33" s="190"/>
      <c r="M33" s="190"/>
      <c r="N33" s="191"/>
      <c r="O33" s="192"/>
      <c r="P33" s="129" t="s">
        <v>607</v>
      </c>
      <c r="Q33" s="116">
        <f>'cvd 포커스링'!Q33+실리콘링!Q33</f>
        <v>211803954</v>
      </c>
      <c r="R33" s="116">
        <f>'cvd 포커스링'!R33+실리콘링!R33</f>
        <v>289446539035</v>
      </c>
      <c r="S33" s="116">
        <f>'cvd 포커스링'!S33+실리콘링!S33</f>
        <v>595975.27</v>
      </c>
      <c r="T33" s="130">
        <f t="shared" ref="T33" si="31">Q33/S33</f>
        <v>355.39050806588</v>
      </c>
      <c r="U33" s="85"/>
    </row>
    <row r="34" spans="1:21" s="92" customFormat="1" ht="13.2" hidden="1">
      <c r="A34" s="129" t="s">
        <v>652</v>
      </c>
      <c r="B34" s="188">
        <f>SUM(F32:F34)</f>
        <v>34248368.984962404</v>
      </c>
      <c r="C34" s="188">
        <f>AVERAGE(F32:F34)</f>
        <v>11416122.994987467</v>
      </c>
      <c r="D34" s="190">
        <f>C34/C31-1</f>
        <v>0.14545901453522148</v>
      </c>
      <c r="E34" s="287">
        <f>C34/C22-1</f>
        <v>0.46744610097461714</v>
      </c>
      <c r="F34" s="136">
        <f>Q34/19</f>
        <v>12710381.842105264</v>
      </c>
      <c r="G34" s="190">
        <f t="shared" ref="G34" si="32">F34/F33-1</f>
        <v>0.26021263363294223</v>
      </c>
      <c r="H34" s="190">
        <f t="shared" ref="H34" si="33">F34/F22-1</f>
        <v>0.45822120803133459</v>
      </c>
      <c r="I34" s="130">
        <f t="shared" si="0"/>
        <v>353.11525252830842</v>
      </c>
      <c r="J34" s="130">
        <f t="shared" si="4"/>
        <v>0.13456803215486679</v>
      </c>
      <c r="K34" s="136">
        <f>R32+R33+R34</f>
        <v>948155841065</v>
      </c>
      <c r="L34" s="190">
        <f>U34/U31-1</f>
        <v>0.14566978392270591</v>
      </c>
      <c r="M34" s="190">
        <f>U34/U22-1</f>
        <v>0.43744475131425209</v>
      </c>
      <c r="N34" s="191">
        <f>AVERAGE(T32:T34)</f>
        <v>387.29638509503684</v>
      </c>
      <c r="O34" s="192">
        <f>N34/N31-1</f>
        <v>0.2375396043504574</v>
      </c>
      <c r="P34" s="129" t="s">
        <v>652</v>
      </c>
      <c r="Q34" s="116">
        <f>'cvd 포커스링'!Q34+실리콘링!Q34</f>
        <v>241497255</v>
      </c>
      <c r="R34" s="116">
        <f>'cvd 포커스링'!R34+실리콘링!R34</f>
        <v>331981653596</v>
      </c>
      <c r="S34" s="116">
        <f>'cvd 포커스링'!S34+실리콘링!S34</f>
        <v>683904.90999999992</v>
      </c>
      <c r="T34" s="130">
        <f t="shared" ref="T34" si="34">Q34/S34</f>
        <v>353.11525252830842</v>
      </c>
      <c r="U34" s="85">
        <f>Q32+Q33+Q34</f>
        <v>693794985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11291509.478260869</v>
      </c>
      <c r="G35" s="190">
        <f t="shared" ref="G35" si="35">F35/F34-1</f>
        <v>-0.11163097863387106</v>
      </c>
      <c r="H35" s="190">
        <f t="shared" ref="H35" si="36">F35/F23-1</f>
        <v>0.30945811051860073</v>
      </c>
      <c r="I35" s="130">
        <f t="shared" si="0"/>
        <v>343.70885717928252</v>
      </c>
      <c r="J35" s="130">
        <f t="shared" si="4"/>
        <v>0.24296975299124268</v>
      </c>
      <c r="K35" s="136"/>
      <c r="L35" s="190"/>
      <c r="M35" s="190"/>
      <c r="N35" s="191"/>
      <c r="O35" s="192"/>
      <c r="P35" s="129" t="s">
        <v>660</v>
      </c>
      <c r="Q35" s="116">
        <f>'cvd 포커스링'!Q35+실리콘링!Q35</f>
        <v>259704718</v>
      </c>
      <c r="R35" s="116">
        <f>'cvd 포커스링'!R35+실리콘링!R35</f>
        <v>359483260021</v>
      </c>
      <c r="S35" s="116">
        <f>'cvd 포커스링'!S35+실리콘링!S35</f>
        <v>755595.07000000007</v>
      </c>
      <c r="T35" s="130">
        <f t="shared" ref="T35" si="37">Q35/S35</f>
        <v>343.70885717928252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10682157.142857144</v>
      </c>
      <c r="G36" s="190">
        <f t="shared" ref="G36" si="38">F36/F35-1</f>
        <v>-5.3965533711581193E-2</v>
      </c>
      <c r="H36" s="190">
        <f t="shared" ref="H36" si="39">F36/F24-1</f>
        <v>0.15477295460565554</v>
      </c>
      <c r="I36" s="130">
        <f t="shared" si="0"/>
        <v>277.99814980442375</v>
      </c>
      <c r="J36" s="130">
        <f t="shared" si="4"/>
        <v>0.12116774169946054</v>
      </c>
      <c r="K36" s="136"/>
      <c r="L36" s="190"/>
      <c r="M36" s="190"/>
      <c r="N36" s="191"/>
      <c r="O36" s="192"/>
      <c r="P36" s="129" t="s">
        <v>664</v>
      </c>
      <c r="Q36" s="116">
        <f>'cvd 포커스링'!Q36+실리콘링!Q36</f>
        <v>224325300</v>
      </c>
      <c r="R36" s="116">
        <f>'cvd 포커스링'!R36+실리콘링!R36</f>
        <v>306616557917</v>
      </c>
      <c r="S36" s="116">
        <f>'cvd 포커스링'!S36+실리콘링!S36</f>
        <v>806930.91</v>
      </c>
      <c r="T36" s="130">
        <f t="shared" ref="T36" si="40">Q36/S36</f>
        <v>277.99814980442375</v>
      </c>
      <c r="U36" s="85"/>
    </row>
    <row r="37" spans="1:21" s="92" customFormat="1" ht="13.2" hidden="1">
      <c r="A37" s="129" t="s">
        <v>702</v>
      </c>
      <c r="B37" s="188">
        <f>SUM(F35:F37)</f>
        <v>33758987.232229128</v>
      </c>
      <c r="C37" s="188">
        <f>AVERAGE(F35:F37)</f>
        <v>11252995.744076377</v>
      </c>
      <c r="D37" s="190">
        <f>C37/C34-1</f>
        <v>-1.4289198792156954E-2</v>
      </c>
      <c r="E37" s="287">
        <f>C37/C25-1</f>
        <v>0.22556517883904248</v>
      </c>
      <c r="F37" s="136">
        <f>Q37/18</f>
        <v>11785320.611111112</v>
      </c>
      <c r="G37" s="190">
        <f t="shared" ref="G37" si="41">F37/F36-1</f>
        <v>0.103271600810668</v>
      </c>
      <c r="H37" s="190">
        <f t="shared" ref="H37" si="42">F37/F25-1</f>
        <v>0.21847753188670627</v>
      </c>
      <c r="I37" s="130">
        <f t="shared" si="0"/>
        <v>334.0782989062883</v>
      </c>
      <c r="J37" s="130">
        <f t="shared" si="4"/>
        <v>0.26800157991034657</v>
      </c>
      <c r="K37" s="136">
        <f>R35+R36+R37</f>
        <v>949264839941</v>
      </c>
      <c r="L37" s="190">
        <f>U37/U34-1</f>
        <v>3.4171535558158439E-3</v>
      </c>
      <c r="M37" s="190">
        <f>U37/U25-1</f>
        <v>0.22485751327774639</v>
      </c>
      <c r="N37" s="191">
        <f>AVERAGE(T35:T37)</f>
        <v>318.5951019633315</v>
      </c>
      <c r="O37" s="192">
        <f>N37/N34-1</f>
        <v>-0.17738684319206088</v>
      </c>
      <c r="P37" s="129" t="s">
        <v>702</v>
      </c>
      <c r="Q37" s="116">
        <f>'cvd 포커스링'!Q37+실리콘링!Q37</f>
        <v>212135771</v>
      </c>
      <c r="R37" s="116">
        <f>'cvd 포커스링'!R37+실리콘링!R37</f>
        <v>283165022003</v>
      </c>
      <c r="S37" s="116">
        <f>'cvd 포커스링'!S37+실리콘링!S37</f>
        <v>634988.18000000005</v>
      </c>
      <c r="T37" s="130">
        <f t="shared" ref="T37" si="43">Q37/S37</f>
        <v>334.0782989062883</v>
      </c>
      <c r="U37" s="85">
        <f>Q35+Q36+Q37</f>
        <v>696165789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11723198.800000001</v>
      </c>
      <c r="G38" s="190">
        <f t="shared" ref="G38" si="44">F38/F37-1</f>
        <v>-5.2711176183483088E-3</v>
      </c>
      <c r="H38" s="190">
        <f t="shared" ref="H38" si="45">F38/F26-1</f>
        <v>0.27813250813796708</v>
      </c>
      <c r="I38" s="130">
        <f t="shared" si="0"/>
        <v>268.49927733395617</v>
      </c>
      <c r="J38" s="130">
        <f t="shared" si="4"/>
        <v>0.2103950897858573</v>
      </c>
      <c r="K38" s="136"/>
      <c r="L38" s="190"/>
      <c r="M38" s="190"/>
      <c r="N38" s="191"/>
      <c r="O38" s="192"/>
      <c r="P38" s="129" t="s">
        <v>728</v>
      </c>
      <c r="Q38" s="116">
        <f>'cvd 포커스링'!Q38+실리콘링!Q38</f>
        <v>234463976</v>
      </c>
      <c r="R38" s="116">
        <f>'cvd 포커스링'!R38+실리콘링!R38</f>
        <v>315595302947</v>
      </c>
      <c r="S38" s="116">
        <f>'cvd 포커스링'!S38+실리콘링!S38</f>
        <v>873238.76</v>
      </c>
      <c r="T38" s="130">
        <f t="shared" ref="T38" si="46">Q38/S38</f>
        <v>268.49927733395617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11101744.380952381</v>
      </c>
      <c r="G39" s="190">
        <f t="shared" ref="G39" si="47">F39/F38-1</f>
        <v>-5.3010652608537212E-2</v>
      </c>
      <c r="H39" s="190">
        <f t="shared" ref="H39" si="48">F39/F27-1</f>
        <v>0.18670062407172039</v>
      </c>
      <c r="I39" s="130">
        <f t="shared" si="0"/>
        <v>316.00500789915498</v>
      </c>
      <c r="J39" s="130">
        <f t="shared" si="4"/>
        <v>0.2977184942587332</v>
      </c>
      <c r="K39" s="136"/>
      <c r="L39" s="190"/>
      <c r="M39" s="190"/>
      <c r="N39" s="191"/>
      <c r="O39" s="192"/>
      <c r="P39" s="129" t="s">
        <v>762</v>
      </c>
      <c r="Q39" s="116">
        <f>'cvd 포커스링'!Q39+실리콘링!Q39</f>
        <v>233136632</v>
      </c>
      <c r="R39" s="116">
        <f>'cvd 포커스링'!R39+실리콘링!R39</f>
        <v>324017444968</v>
      </c>
      <c r="S39" s="116">
        <f>'cvd 포커스링'!S39+실리콘링!S39</f>
        <v>737762.46</v>
      </c>
      <c r="T39" s="130">
        <f t="shared" ref="T39" si="49">Q39/S39</f>
        <v>316.00500789915498</v>
      </c>
      <c r="U39" s="85"/>
    </row>
    <row r="40" spans="1:21" s="92" customFormat="1" ht="13.2" hidden="1">
      <c r="A40" s="129" t="s">
        <v>778</v>
      </c>
      <c r="B40" s="188">
        <f>SUM(F38:F40)</f>
        <v>34859311.038095236</v>
      </c>
      <c r="C40" s="188">
        <f>AVERAGE(F38:F40)</f>
        <v>11619770.346031746</v>
      </c>
      <c r="D40" s="190">
        <f>C40/C37-1</f>
        <v>3.2593507568723812E-2</v>
      </c>
      <c r="E40" s="287">
        <f>C40/C28-1</f>
        <v>0.20708613703753942</v>
      </c>
      <c r="F40" s="136">
        <f>Q40/21</f>
        <v>12034367.857142856</v>
      </c>
      <c r="G40" s="190">
        <f t="shared" ref="G40" si="50">F40/F39-1</f>
        <v>8.4006931180167221E-2</v>
      </c>
      <c r="H40" s="190">
        <f t="shared" ref="H40" si="51">F40/F28-1</f>
        <v>0.16255812160780758</v>
      </c>
      <c r="I40" s="130">
        <f t="shared" si="0"/>
        <v>319.9643678707223</v>
      </c>
      <c r="J40" s="130">
        <f t="shared" si="4"/>
        <v>6.8255413645589513E-2</v>
      </c>
      <c r="K40" s="136">
        <f>R38+R39+R40</f>
        <v>998788064264</v>
      </c>
      <c r="L40" s="190">
        <f>U40/U37-1</f>
        <v>3.4699412671081342E-2</v>
      </c>
      <c r="M40" s="190">
        <f>U40/U28-1</f>
        <v>0.24890228221900945</v>
      </c>
      <c r="N40" s="191">
        <f>AVERAGE(T38:T40)</f>
        <v>301.48955103461117</v>
      </c>
      <c r="O40" s="192">
        <f>N40/N37-1</f>
        <v>-5.3690564680084374E-2</v>
      </c>
      <c r="P40" s="129" t="s">
        <v>778</v>
      </c>
      <c r="Q40" s="116">
        <f>'cvd 포커스링'!Q40+실리콘링!Q40</f>
        <v>252721725</v>
      </c>
      <c r="R40" s="116">
        <f>'cvd 포커스링'!R40+실리콘링!R40</f>
        <v>359175316349</v>
      </c>
      <c r="S40" s="116">
        <f>'cvd 포커스링'!S40+실리콘링!S40</f>
        <v>789843.34000000008</v>
      </c>
      <c r="T40" s="130">
        <f t="shared" ref="T40" si="52">Q40/S40</f>
        <v>319.9643678707223</v>
      </c>
      <c r="U40" s="85">
        <f>Q38+Q39+Q40</f>
        <v>720322333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12098359.555555556</v>
      </c>
      <c r="G41" s="190">
        <f t="shared" ref="G41" si="53">F41/F40-1</f>
        <v>5.3174125282133833E-3</v>
      </c>
      <c r="H41" s="190">
        <f t="shared" ref="H41" si="54">F41/F29-1</f>
        <v>0.32109994141116149</v>
      </c>
      <c r="I41" s="130">
        <f t="shared" si="0"/>
        <v>343.5111581653058</v>
      </c>
      <c r="J41" s="130">
        <f t="shared" si="4"/>
        <v>6.3422048017918398E-2</v>
      </c>
      <c r="K41" s="194"/>
      <c r="L41" s="202"/>
      <c r="M41" s="202"/>
      <c r="N41" s="194"/>
      <c r="O41" s="194"/>
      <c r="P41" s="129" t="s">
        <v>792</v>
      </c>
      <c r="Q41" s="116">
        <f>'cvd 포커스링'!Q41+실리콘링!Q41</f>
        <v>217770472</v>
      </c>
      <c r="R41" s="116">
        <f>'cvd 포커스링'!R41+실리콘링!R41</f>
        <v>318172087901</v>
      </c>
      <c r="S41" s="116">
        <f>'cvd 포커스링'!S41+실리콘링!S41</f>
        <v>633954.57999999996</v>
      </c>
      <c r="T41" s="130">
        <f t="shared" ref="T41:T46" si="55">Q41/S41</f>
        <v>343.5111581653058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11070465.300000001</v>
      </c>
      <c r="G42" s="190">
        <f t="shared" ref="G42" si="56">F42/F41-1</f>
        <v>-8.4961457033532084E-2</v>
      </c>
      <c r="H42" s="190">
        <f t="shared" ref="H42" si="57">F42/F30-1</f>
        <v>3.2653594383617923E-2</v>
      </c>
      <c r="I42" s="130">
        <f t="shared" si="0"/>
        <v>326.95733182370253</v>
      </c>
      <c r="J42" s="130">
        <f t="shared" si="4"/>
        <v>0.2307304783248918</v>
      </c>
      <c r="K42" s="194"/>
      <c r="L42" s="202"/>
      <c r="M42" s="202"/>
      <c r="N42" s="194"/>
      <c r="O42" s="194"/>
      <c r="P42" s="129" t="s">
        <v>826</v>
      </c>
      <c r="Q42" s="116">
        <f>'cvd 포커스링'!Q42+실리콘링!Q42</f>
        <v>221409306</v>
      </c>
      <c r="R42" s="116">
        <f>'cvd 포커스링'!R42+실리콘링!R42</f>
        <v>320208861260</v>
      </c>
      <c r="S42" s="116">
        <f>'cvd 포커스링'!S42+실리콘링!S42</f>
        <v>677181.04</v>
      </c>
      <c r="T42" s="130">
        <f t="shared" si="55"/>
        <v>326.95733182370253</v>
      </c>
      <c r="U42" s="175"/>
    </row>
    <row r="43" spans="1:21" s="92" customFormat="1" ht="13.2">
      <c r="A43" s="129" t="s">
        <v>835</v>
      </c>
      <c r="B43" s="188">
        <f>SUM(F41:F43)</f>
        <v>34786606.555555552</v>
      </c>
      <c r="C43" s="188">
        <f>AVERAGE(F41:F43)</f>
        <v>11595535.518518517</v>
      </c>
      <c r="D43" s="190">
        <f>C43/C40-1</f>
        <v>-2.0856546034496715E-3</v>
      </c>
      <c r="E43" s="287">
        <f>C43/C31-1</f>
        <v>0.16346072076152862</v>
      </c>
      <c r="F43" s="136">
        <f>Q43/20</f>
        <v>11617781.699999999</v>
      </c>
      <c r="G43" s="190">
        <f t="shared" ref="G43" si="58">F43/F42-1</f>
        <v>4.9439331154400357E-2</v>
      </c>
      <c r="H43" s="190">
        <f t="shared" ref="H43" si="59">F43/F31-1</f>
        <v>0.15933721447834603</v>
      </c>
      <c r="I43" s="130">
        <f t="shared" si="0"/>
        <v>318.75591273765343</v>
      </c>
      <c r="J43" s="130">
        <f t="shared" si="4"/>
        <v>-8.9749401270049933E-2</v>
      </c>
      <c r="K43" s="136">
        <f>R41+R42+R43</f>
        <v>975218914016</v>
      </c>
      <c r="L43" s="190">
        <f>U43/U40-1</f>
        <v>-6.77292911311137E-2</v>
      </c>
      <c r="M43" s="190">
        <f>K43/K31-1</f>
        <v>0.2156500337464724</v>
      </c>
      <c r="N43" s="191">
        <f>AVERAGE(T41:T43)</f>
        <v>329.74146757555394</v>
      </c>
      <c r="O43" s="192">
        <f>N43/N40-1</f>
        <v>9.3707780067308066E-2</v>
      </c>
      <c r="P43" s="129" t="s">
        <v>835</v>
      </c>
      <c r="Q43" s="116">
        <f>'cvd 포커스링'!Q43+실리콘링!Q43</f>
        <v>232355634</v>
      </c>
      <c r="R43" s="116">
        <f>'cvd 포커스링'!R43+실리콘링!R43</f>
        <v>336837964855</v>
      </c>
      <c r="S43" s="116">
        <f>'cvd 포커스링'!S43+실리콘링!S43</f>
        <v>728945.33000000007</v>
      </c>
      <c r="T43" s="130">
        <f t="shared" si="55"/>
        <v>318.75591273765343</v>
      </c>
      <c r="U43" s="85">
        <f>Q41+Q42+Q43</f>
        <v>671535412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9952112.4090909082</v>
      </c>
      <c r="G44" s="190">
        <f t="shared" ref="G44" si="60">F44/F43-1</f>
        <v>-0.14337240395118556</v>
      </c>
      <c r="H44" s="190">
        <f t="shared" ref="H44" si="61">F44/F32-1</f>
        <v>-0.13097808988242143</v>
      </c>
      <c r="I44" s="130">
        <f t="shared" si="0"/>
        <v>293.5113770703208</v>
      </c>
      <c r="J44" s="130">
        <f t="shared" si="4"/>
        <v>-0.35261992276887055</v>
      </c>
      <c r="K44" s="136"/>
      <c r="L44" s="190"/>
      <c r="M44" s="190"/>
      <c r="N44" s="191"/>
      <c r="O44" s="192"/>
      <c r="P44" s="129" t="s">
        <v>843</v>
      </c>
      <c r="Q44" s="116">
        <f>'cvd 포커스링'!Q44+실리콘링!Q44</f>
        <v>218946473</v>
      </c>
      <c r="R44" s="116">
        <f>'cvd 포커스링'!R44+실리콘링!R44</f>
        <v>317316538028</v>
      </c>
      <c r="S44" s="116">
        <f>'cvd 포커스링'!S44+실리콘링!S44</f>
        <v>745955.65999999992</v>
      </c>
      <c r="T44" s="130">
        <f t="shared" si="55"/>
        <v>293.5113770703208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11145183.65</v>
      </c>
      <c r="G45" s="190">
        <f t="shared" ref="G45" si="62">F45/F44-1</f>
        <v>0.11988120630744303</v>
      </c>
      <c r="H45" s="190">
        <f t="shared" ref="H45" si="63">F45/F33-1</f>
        <v>0.10502590829819924</v>
      </c>
      <c r="I45" s="130">
        <f t="shared" si="0"/>
        <v>380.59134451537471</v>
      </c>
      <c r="J45" s="130">
        <f t="shared" si="4"/>
        <v>7.0910268781920083E-2</v>
      </c>
      <c r="K45" s="136"/>
      <c r="L45" s="190"/>
      <c r="M45" s="190"/>
      <c r="N45" s="191"/>
      <c r="O45" s="192"/>
      <c r="P45" s="129" t="s">
        <v>849</v>
      </c>
      <c r="Q45" s="116">
        <f>'cvd 포커스링'!Q45+실리콘링!Q45</f>
        <v>222903673</v>
      </c>
      <c r="R45" s="116">
        <f>'cvd 포커스링'!R45+실리콘링!R45</f>
        <v>313899850606</v>
      </c>
      <c r="S45" s="116">
        <f>'cvd 포커스링'!S45+실리콘링!S45</f>
        <v>585677.19999999995</v>
      </c>
      <c r="T45" s="130">
        <f t="shared" si="55"/>
        <v>380.59134451537471</v>
      </c>
      <c r="U45" s="85"/>
    </row>
    <row r="46" spans="1:21" s="92" customFormat="1" ht="13.2">
      <c r="A46" s="129" t="s">
        <v>888</v>
      </c>
      <c r="B46" s="188">
        <f>SUM(F44:F46)</f>
        <v>35107411.269617222</v>
      </c>
      <c r="C46" s="188">
        <f>AVERAGE(F44:F46)</f>
        <v>11702470.423205741</v>
      </c>
      <c r="D46" s="190">
        <f>C46/C43-1</f>
        <v>9.2220755579976998E-3</v>
      </c>
      <c r="E46" s="287">
        <f>C46/C34-1</f>
        <v>2.5082721020437626E-2</v>
      </c>
      <c r="F46" s="136">
        <f>Q46/19</f>
        <v>14010115.210526315</v>
      </c>
      <c r="G46" s="190">
        <f t="shared" ref="G46" si="64">F46/F45-1</f>
        <v>0.25705557220910524</v>
      </c>
      <c r="H46" s="190">
        <f t="shared" ref="H46" si="65">F46/F34-1</f>
        <v>0.10225761779362652</v>
      </c>
      <c r="I46" s="130">
        <f t="shared" si="0"/>
        <v>429.17108412538573</v>
      </c>
      <c r="J46" s="130">
        <f t="shared" si="4"/>
        <v>0.21538529149482177</v>
      </c>
      <c r="K46" s="136">
        <f>R44+R45+R46</f>
        <v>995745279721</v>
      </c>
      <c r="L46" s="190">
        <f>U46/U43-1</f>
        <v>5.4363362449157071E-2</v>
      </c>
      <c r="M46" s="190">
        <f>K46/K34-1</f>
        <v>5.0191578846939366E-2</v>
      </c>
      <c r="N46" s="191">
        <f>AVERAGE(T44:T46)</f>
        <v>367.75793523702708</v>
      </c>
      <c r="O46" s="192">
        <f>N46/N43-1</f>
        <v>0.1152917403473448</v>
      </c>
      <c r="P46" s="129" t="s">
        <v>928</v>
      </c>
      <c r="Q46" s="116">
        <f>'cvd 포커스링'!Q46+실리콘링!Q46</f>
        <v>266192189</v>
      </c>
      <c r="R46" s="116">
        <f>'cvd 포커스링'!R46+실리콘링!R46</f>
        <v>364528891087</v>
      </c>
      <c r="S46" s="116">
        <f>'cvd 포커스링'!S46+실리콘링!S46</f>
        <v>620247.26</v>
      </c>
      <c r="T46" s="130">
        <f t="shared" si="55"/>
        <v>429.17108412538573</v>
      </c>
      <c r="U46" s="85">
        <f t="shared" ref="U46:U51" si="66">Q44+Q45+Q46</f>
        <v>708042335</v>
      </c>
    </row>
    <row r="47" spans="1:21" s="92" customFormat="1" ht="13.2">
      <c r="A47" s="129" t="s">
        <v>1008</v>
      </c>
      <c r="B47" s="188"/>
      <c r="C47" s="188"/>
      <c r="D47" s="190"/>
      <c r="E47" s="287"/>
      <c r="F47" s="136">
        <f>Q47/23</f>
        <v>11796077.565217391</v>
      </c>
      <c r="G47" s="190">
        <f t="shared" ref="G47" si="67">F47/F46-1</f>
        <v>-0.15803136605510826</v>
      </c>
      <c r="H47" s="190">
        <f t="shared" ref="H47" si="68">F47/F35-1</f>
        <v>4.4685618687912987E-2</v>
      </c>
      <c r="I47" s="130">
        <f t="shared" si="0"/>
        <v>354.29954085323379</v>
      </c>
      <c r="J47" s="130">
        <f t="shared" si="4"/>
        <v>3.0812949543593149E-2</v>
      </c>
      <c r="K47" s="136"/>
      <c r="L47" s="190"/>
      <c r="M47" s="190"/>
      <c r="N47" s="191"/>
      <c r="O47" s="192"/>
      <c r="P47" s="129" t="s">
        <v>991</v>
      </c>
      <c r="Q47" s="116">
        <f>'cvd 포커스링'!Q47+실리콘링!Q47</f>
        <v>271309784</v>
      </c>
      <c r="R47" s="116">
        <f>'cvd 포커스링'!R47+실리콘링!R47</f>
        <v>372091027455</v>
      </c>
      <c r="S47" s="116">
        <f>'cvd 포커스링'!S47+실리콘링!S47</f>
        <v>765763.86</v>
      </c>
      <c r="T47" s="130">
        <f t="shared" ref="T47" si="69">Q47/S47</f>
        <v>354.29954085323379</v>
      </c>
      <c r="U47" s="85">
        <f t="shared" si="66"/>
        <v>760405646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13289632.449999999</v>
      </c>
      <c r="G48" s="190">
        <f t="shared" ref="G48" si="70">F48/F47-1</f>
        <v>0.12661453576624426</v>
      </c>
      <c r="H48" s="190">
        <f t="shared" ref="H48" si="71">F48/F36-1</f>
        <v>0.24409632551477678</v>
      </c>
      <c r="I48" s="130">
        <f t="shared" si="0"/>
        <v>428.40876251995968</v>
      </c>
      <c r="J48" s="130">
        <f t="shared" si="4"/>
        <v>0.5410489703667174</v>
      </c>
      <c r="K48" s="136"/>
      <c r="L48" s="190"/>
      <c r="M48" s="190"/>
      <c r="N48" s="191"/>
      <c r="O48" s="192"/>
      <c r="P48" s="129" t="s">
        <v>1070</v>
      </c>
      <c r="Q48" s="116">
        <f>'cvd 포커스링'!Q48+실리콘링!Q48</f>
        <v>265792649</v>
      </c>
      <c r="R48" s="116">
        <f>'cvd 포커스링'!R48+실리콘링!R48</f>
        <v>368796957888</v>
      </c>
      <c r="S48" s="116">
        <f>'cvd 포커스링'!S48+실리콘링!S48</f>
        <v>620418.33000000007</v>
      </c>
      <c r="T48" s="130">
        <f t="shared" ref="T48" si="72">Q48/S48</f>
        <v>428.40876251995968</v>
      </c>
      <c r="U48" s="85">
        <f t="shared" si="66"/>
        <v>803294622</v>
      </c>
    </row>
    <row r="49" spans="1:26" ht="13.2">
      <c r="A49" s="129" t="s">
        <v>1158</v>
      </c>
      <c r="B49" s="188">
        <f>SUM(F47:F49)</f>
        <v>36808074.833399206</v>
      </c>
      <c r="C49" s="188">
        <f>AVERAGE(F47:F49)</f>
        <v>12269358.277799735</v>
      </c>
      <c r="D49" s="190">
        <f>C49/C46-1</f>
        <v>4.8441725045497153E-2</v>
      </c>
      <c r="E49" s="287">
        <f>C49/C37-1</f>
        <v>9.0319285356379453E-2</v>
      </c>
      <c r="F49" s="136">
        <f>Q49/22</f>
        <v>11722364.818181818</v>
      </c>
      <c r="G49" s="190">
        <f t="shared" ref="G49" si="73">F49/F48-1</f>
        <v>-0.11793160102168065</v>
      </c>
      <c r="H49" s="190">
        <f t="shared" ref="H49" si="74">F49/F37-1</f>
        <v>-5.3418820757357155E-3</v>
      </c>
      <c r="I49" s="130">
        <f t="shared" si="0"/>
        <v>344.08610899039678</v>
      </c>
      <c r="J49" s="130">
        <f t="shared" si="4"/>
        <v>2.9956480612096659E-2</v>
      </c>
      <c r="K49" s="136">
        <f>R47+R48+R49</f>
        <v>1099294374666</v>
      </c>
      <c r="L49" s="190">
        <f>U49/U46-1</f>
        <v>0.12280639123082948</v>
      </c>
      <c r="M49" s="190">
        <f>K49/K37-1</f>
        <v>0.15804813199899503</v>
      </c>
      <c r="N49" s="191">
        <f>AVERAGE(T47:T49)</f>
        <v>375.5981374545301</v>
      </c>
      <c r="O49" s="192">
        <f>N49/N46-1</f>
        <v>2.1318920589571633E-2</v>
      </c>
      <c r="P49" s="129" t="s">
        <v>1158</v>
      </c>
      <c r="Q49" s="116">
        <f>'cvd 포커스링'!Q49+실리콘링!Q49</f>
        <v>257892026</v>
      </c>
      <c r="R49" s="116">
        <f>'cvd 포커스링'!R49+실리콘링!R49</f>
        <v>358406389323</v>
      </c>
      <c r="S49" s="116">
        <f>'cvd 포커스링'!S49+실리콘링!S49</f>
        <v>749498.51</v>
      </c>
      <c r="T49" s="130">
        <f t="shared" ref="T49" si="75">Q49/S49</f>
        <v>344.08610899039678</v>
      </c>
      <c r="U49" s="85">
        <f t="shared" si="66"/>
        <v>794994459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14144602.222222222</v>
      </c>
      <c r="G50" s="190">
        <f t="shared" ref="G50" si="76">F50/F49-1</f>
        <v>0.2066338526065512</v>
      </c>
      <c r="H50" s="190">
        <f t="shared" ref="H50" si="77">F50/F38-1</f>
        <v>0.20654801334787742</v>
      </c>
      <c r="I50" s="130">
        <f t="shared" ref="I50" si="78">T50</f>
        <v>444.92943814129922</v>
      </c>
      <c r="J50" s="130">
        <f t="shared" ref="J50" si="79">I50/I38-1</f>
        <v>0.65709733955038296</v>
      </c>
      <c r="K50" s="136"/>
      <c r="L50" s="190"/>
      <c r="M50" s="190"/>
      <c r="N50" s="191"/>
      <c r="O50" s="192"/>
      <c r="P50" s="129" t="s">
        <v>1291</v>
      </c>
      <c r="Q50" s="116">
        <f>'cvd 포커스링'!Q50+실리콘링!Q50</f>
        <v>254602840</v>
      </c>
      <c r="R50" s="116">
        <f>'cvd 포커스링'!R50+실리콘링!R50</f>
        <v>359958937246</v>
      </c>
      <c r="S50" s="116">
        <f>'cvd 포커스링'!S50+실리콘링!S50</f>
        <v>572231.94999999995</v>
      </c>
      <c r="T50" s="130">
        <f t="shared" ref="T50" si="80">Q50/S50</f>
        <v>444.92943814129922</v>
      </c>
      <c r="U50" s="85">
        <f t="shared" si="66"/>
        <v>778287515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13662020.800000001</v>
      </c>
      <c r="G51" s="190">
        <f t="shared" ref="G51:G52" si="81">F51/F50-1</f>
        <v>-3.411770897763744E-2</v>
      </c>
      <c r="H51" s="190">
        <f t="shared" ref="H51:H52" si="82">F51/F39-1</f>
        <v>0.23061929109450308</v>
      </c>
      <c r="I51" s="130">
        <f t="shared" ref="I51:I52" si="83">T51</f>
        <v>482.66687491992434</v>
      </c>
      <c r="J51" s="130">
        <f t="shared" ref="J51:J52" si="84">I51/I39-1</f>
        <v>0.52740261342299766</v>
      </c>
      <c r="K51" s="136"/>
      <c r="L51" s="190"/>
      <c r="M51" s="190"/>
      <c r="N51" s="191"/>
      <c r="O51" s="192"/>
      <c r="P51" s="129" t="s">
        <v>1402</v>
      </c>
      <c r="Q51" s="116">
        <f>'cvd 포커스링'!Q51+실리콘링!Q51</f>
        <v>273240416</v>
      </c>
      <c r="R51" s="116">
        <f>'cvd 포커스링'!R51+실리콘링!R51</f>
        <v>395895938491</v>
      </c>
      <c r="S51" s="116">
        <f>'cvd 포커스링'!S51+실리콘링!S51</f>
        <v>566105.59000000008</v>
      </c>
      <c r="T51" s="130">
        <f t="shared" ref="T51:T52" si="85">Q51/S51</f>
        <v>482.66687491992434</v>
      </c>
      <c r="U51" s="85">
        <f t="shared" si="66"/>
        <v>785735282</v>
      </c>
    </row>
    <row r="52" spans="1:26" s="79" customFormat="1" ht="13.2">
      <c r="A52" s="129" t="s">
        <v>1403</v>
      </c>
      <c r="B52" s="188">
        <f>SUM(F50:F52)</f>
        <v>41458973.294949494</v>
      </c>
      <c r="C52" s="188">
        <f>AVERAGE(F50:F52)</f>
        <v>13819657.764983164</v>
      </c>
      <c r="D52" s="190">
        <f>C52/C49-1</f>
        <v>0.12635538486055564</v>
      </c>
      <c r="E52" s="287">
        <f>C52/C40-1</f>
        <v>0.18932279670249241</v>
      </c>
      <c r="F52" s="136">
        <f>Q52/22</f>
        <v>13652350.272727273</v>
      </c>
      <c r="G52" s="190">
        <f t="shared" si="81"/>
        <v>-7.0784018076797128E-4</v>
      </c>
      <c r="H52" s="190">
        <f t="shared" si="82"/>
        <v>0.13444681389094182</v>
      </c>
      <c r="I52" s="130">
        <f t="shared" si="83"/>
        <v>408.6476480532836</v>
      </c>
      <c r="J52" s="130">
        <f t="shared" si="84"/>
        <v>0.27716611312917405</v>
      </c>
      <c r="K52" s="136">
        <f>R50+R51+R52</f>
        <v>1197707438972</v>
      </c>
      <c r="L52" s="190">
        <f>U52/U49-1</f>
        <v>4.1761930066483544E-2</v>
      </c>
      <c r="M52" s="190">
        <f>K52/K40-1</f>
        <v>0.19916074473174872</v>
      </c>
      <c r="N52" s="191">
        <f>AVERAGE(T50:T52)</f>
        <v>445.4146537048357</v>
      </c>
      <c r="O52" s="192">
        <f>N52/N49-1</f>
        <v>0.18588089047368506</v>
      </c>
      <c r="P52" s="129" t="s">
        <v>1403</v>
      </c>
      <c r="Q52" s="116">
        <f>'cvd 포커스링'!Q52+실리콘링!Q52</f>
        <v>300351706</v>
      </c>
      <c r="R52" s="116">
        <f>'cvd 포커스링'!R52+실리콘링!R52</f>
        <v>441852563235</v>
      </c>
      <c r="S52" s="116">
        <f>'cvd 포커스링'!S52+실리콘링!S52</f>
        <v>734989.44</v>
      </c>
      <c r="T52" s="130">
        <f t="shared" si="85"/>
        <v>408.6476480532836</v>
      </c>
      <c r="U52" s="85">
        <f t="shared" ref="U52" si="86">Q50+Q51+Q52</f>
        <v>828194962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13137093.285714285</v>
      </c>
      <c r="G53" s="190">
        <f t="shared" ref="G53" si="87">F53/F52-1</f>
        <v>-3.7741266281622998E-2</v>
      </c>
      <c r="H53" s="190">
        <f t="shared" ref="H53" si="88">F53/F41-1</f>
        <v>8.5857402847788977E-2</v>
      </c>
      <c r="I53" s="130">
        <f t="shared" ref="I53" si="89">T53</f>
        <v>312.05814388635883</v>
      </c>
      <c r="J53" s="130">
        <f t="shared" ref="J53" si="90">I53/I41-1</f>
        <v>-9.1563297235925711E-2</v>
      </c>
      <c r="K53" s="136"/>
      <c r="L53" s="190"/>
      <c r="M53" s="190"/>
      <c r="N53" s="191"/>
      <c r="O53" s="192"/>
      <c r="P53" s="129" t="s">
        <v>1414</v>
      </c>
      <c r="Q53" s="116">
        <f>'cvd 포커스링'!Q53+실리콘링!Q53</f>
        <v>275878959</v>
      </c>
      <c r="R53" s="116">
        <f>'cvd 포커스링'!R53+실리콘링!R53</f>
        <v>401918739914</v>
      </c>
      <c r="S53" s="116">
        <f>'cvd 포커스링'!S53+실리콘링!S53</f>
        <v>884062.67999999993</v>
      </c>
      <c r="T53" s="130">
        <f t="shared" ref="T53" si="91">Q53/S53</f>
        <v>312.05814388635883</v>
      </c>
      <c r="U53" s="85">
        <f t="shared" ref="U53" si="92">Q51+Q52+Q53</f>
        <v>849471081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17998708</v>
      </c>
      <c r="G54" s="190">
        <f t="shared" ref="G54" si="93">F54/F53-1</f>
        <v>0.37006776221741511</v>
      </c>
      <c r="H54" s="190">
        <f t="shared" ref="H54" si="94">F54/F42-1</f>
        <v>0.62583121054541402</v>
      </c>
      <c r="I54" s="130">
        <f t="shared" ref="I54" si="95">T54</f>
        <v>401.99968470977331</v>
      </c>
      <c r="J54" s="130">
        <f t="shared" ref="J54" si="96">I54/I42-1</f>
        <v>0.22951726596097277</v>
      </c>
      <c r="K54" s="136"/>
      <c r="L54" s="190"/>
      <c r="M54" s="190"/>
      <c r="N54" s="191"/>
      <c r="O54" s="192"/>
      <c r="P54" s="129" t="s">
        <v>1417</v>
      </c>
      <c r="Q54" s="116">
        <f>'cvd 포커스링'!Q54+실리콘링!Q54</f>
        <v>305978036</v>
      </c>
      <c r="R54" s="116">
        <f>'cvd 포커스링'!R54+실리콘링!R54</f>
        <v>443273256447</v>
      </c>
      <c r="S54" s="116">
        <f>'cvd 포커스링'!S54+실리콘링!S54</f>
        <v>761139.99</v>
      </c>
      <c r="T54" s="130">
        <f t="shared" ref="T54" si="97">Q54/S54</f>
        <v>401.99968470977331</v>
      </c>
      <c r="U54" s="85">
        <f t="shared" ref="U54" si="98">Q52+Q53+Q54</f>
        <v>882208701</v>
      </c>
    </row>
    <row r="55" spans="1:26" s="79" customFormat="1" ht="13.2">
      <c r="A55" s="129" t="s">
        <v>1418</v>
      </c>
      <c r="B55" s="188">
        <f>SUM(F53:F55)</f>
        <v>46240637.714285716</v>
      </c>
      <c r="C55" s="188">
        <f>AVERAGE(F53:F55)</f>
        <v>15413545.904761905</v>
      </c>
      <c r="D55" s="190">
        <f>C55/C52-1</f>
        <v>0.11533484887139545</v>
      </c>
      <c r="E55" s="287">
        <f>C55/C43-1</f>
        <v>0.3292655505341584</v>
      </c>
      <c r="F55" s="136">
        <f>Q55/21</f>
        <v>15104836.428571429</v>
      </c>
      <c r="G55" s="190">
        <f t="shared" ref="G55" si="99">F55/F54-1</f>
        <v>-0.16078218344497675</v>
      </c>
      <c r="H55" s="190">
        <f t="shared" ref="H55" si="100">F55/F43-1</f>
        <v>0.3001480677306434</v>
      </c>
      <c r="I55" s="130">
        <f>T55</f>
        <v>323.56869476898601</v>
      </c>
      <c r="J55" s="130">
        <f t="shared" ref="J55" si="101">I55/I43-1</f>
        <v>1.5098643943567192E-2</v>
      </c>
      <c r="K55" s="136">
        <f>R53+R54+R55</f>
        <v>1311789140168</v>
      </c>
      <c r="L55" s="190">
        <f>U55/U52-1</f>
        <v>8.5563908561906876E-2</v>
      </c>
      <c r="M55" s="190">
        <f>K55/K43-1</f>
        <v>0.3451227425091532</v>
      </c>
      <c r="N55" s="191">
        <f>AVERAGE(T53:T55)</f>
        <v>345.87550778837272</v>
      </c>
      <c r="O55" s="192">
        <f>N55/N52-1</f>
        <v>-0.22347523838410777</v>
      </c>
      <c r="P55" s="129" t="s">
        <v>1418</v>
      </c>
      <c r="Q55" s="116">
        <f>'cvd 포커스링'!Q55+실리콘링!Q55</f>
        <v>317201565</v>
      </c>
      <c r="R55" s="116">
        <f>'cvd 포커스링'!R55+실리콘링!R55</f>
        <v>466597143807</v>
      </c>
      <c r="S55" s="116">
        <f>'cvd 포커스링'!S55+실리콘링!S55</f>
        <v>980322.17</v>
      </c>
      <c r="T55" s="130">
        <f t="shared" ref="T55" si="102">Q55/S55</f>
        <v>323.56869476898601</v>
      </c>
      <c r="U55" s="85">
        <f t="shared" ref="U55" si="103">Q53+Q54+Q55</f>
        <v>899058560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13644539.772727273</v>
      </c>
      <c r="G56" s="190">
        <f t="shared" ref="G56" si="104">F56/F55-1</f>
        <v>-9.6677422675160107E-2</v>
      </c>
      <c r="H56" s="190">
        <f t="shared" ref="H56" si="105">F56/F44-1</f>
        <v>0.37101945917164891</v>
      </c>
      <c r="I56" s="291">
        <f>T56</f>
        <v>357.32519635901446</v>
      </c>
      <c r="J56" s="130">
        <f t="shared" ref="J56" si="106">I56/I44-1</f>
        <v>0.217415147329723</v>
      </c>
      <c r="K56" s="136"/>
      <c r="L56" s="190"/>
      <c r="M56" s="190"/>
      <c r="N56" s="191"/>
      <c r="O56" s="192"/>
      <c r="P56" s="129" t="s">
        <v>1420</v>
      </c>
      <c r="Q56" s="116">
        <f>'cvd 포커스링'!Q56+실리콘링!Q56</f>
        <v>300179875</v>
      </c>
      <c r="R56" s="116">
        <f>'cvd 포커스링'!R56+실리콘링!R56</f>
        <v>447766591664</v>
      </c>
      <c r="S56" s="116">
        <f>'cvd 포커스링'!S56+실리콘링!S56</f>
        <v>840074.75</v>
      </c>
      <c r="T56" s="130">
        <f t="shared" ref="T56" si="107">Q56/S56</f>
        <v>357.32519635901446</v>
      </c>
      <c r="U56" s="85">
        <f t="shared" ref="U56" si="108">Q54+Q55+Q56</f>
        <v>923359476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13452336</v>
      </c>
      <c r="G57" s="254">
        <f t="shared" ref="G57" si="109">F57/F56-1</f>
        <v>-1.4086497304324652E-2</v>
      </c>
      <c r="H57" s="254">
        <f t="shared" ref="H57" si="110">F57/F45-1</f>
        <v>0.20700891276923916</v>
      </c>
      <c r="I57" s="282">
        <f>T57</f>
        <v>380.24170033404107</v>
      </c>
      <c r="J57" s="277">
        <f t="shared" ref="J57" si="111">I57/I45-1</f>
        <v>-9.1868663429239827E-4</v>
      </c>
      <c r="K57" s="204"/>
      <c r="L57" s="254"/>
      <c r="M57" s="254"/>
      <c r="N57" s="257"/>
      <c r="O57" s="258"/>
      <c r="P57" s="129" t="s">
        <v>1436</v>
      </c>
      <c r="Q57" s="116">
        <f>'cvd 포커스링'!Q57+실리콘링!Q57</f>
        <v>161428032</v>
      </c>
      <c r="R57" s="116">
        <f>'cvd 포커스링'!R57+실리콘링!R57</f>
        <v>237892483874</v>
      </c>
      <c r="S57" s="116">
        <f>'cvd 포커스링'!S57+실리콘링!S57</f>
        <v>424540.58</v>
      </c>
      <c r="T57" s="130">
        <f t="shared" ref="T57" si="112">Q57/S57</f>
        <v>380.24170033404107</v>
      </c>
      <c r="U57" s="85">
        <f t="shared" ref="U57" si="113">Q55+Q56+Q57</f>
        <v>778809472</v>
      </c>
    </row>
    <row r="58" spans="1:26">
      <c r="B58" s="196">
        <f>SUM(F56:F58)</f>
        <v>27096875.772727273</v>
      </c>
      <c r="C58" s="196">
        <f>AVERAGE(F56:F58)</f>
        <v>13548437.886363637</v>
      </c>
      <c r="D58" s="197">
        <f>C58/C55-1</f>
        <v>-0.12100447424119687</v>
      </c>
      <c r="E58" s="233">
        <f>C58/C46-1</f>
        <v>0.15774169012188932</v>
      </c>
    </row>
  </sheetData>
  <phoneticPr fontId="1" type="noConversion"/>
  <conditionalFormatting sqref="C29:C30">
    <cfRule type="cellIs" dxfId="22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3">
    <tabColor rgb="FFFF0000"/>
  </sheetPr>
  <dimension ref="A1:Z72"/>
  <sheetViews>
    <sheetView zoomScaleNormal="100" workbookViewId="0">
      <selection activeCell="F64" sqref="F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0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2817201</v>
      </c>
      <c r="G5" s="90"/>
      <c r="H5" s="90"/>
      <c r="I5" s="130">
        <f t="shared" ref="I5:I49" si="0">T5</f>
        <v>357.31955635162814</v>
      </c>
      <c r="J5" s="130"/>
      <c r="L5" s="80"/>
      <c r="P5" s="129" t="s">
        <v>0</v>
      </c>
      <c r="Q5" s="116">
        <v>56344020</v>
      </c>
      <c r="R5" s="116"/>
      <c r="S5" s="116">
        <v>157685.24</v>
      </c>
      <c r="T5" s="130">
        <f t="shared" ref="T5:T24" si="1">Q5/S5</f>
        <v>357.31955635162814</v>
      </c>
      <c r="U5" s="85"/>
    </row>
    <row r="6" spans="1:21" ht="15" hidden="1" customHeight="1">
      <c r="A6" s="129" t="s">
        <v>1</v>
      </c>
      <c r="C6" s="79"/>
      <c r="F6" s="78">
        <f>Q6/18</f>
        <v>3969025.222222222</v>
      </c>
      <c r="G6" s="90">
        <f t="shared" ref="G6:G24" si="2">F6/F5-1</f>
        <v>0.4088541152094658</v>
      </c>
      <c r="H6" s="90"/>
      <c r="I6" s="130">
        <f t="shared" si="0"/>
        <v>359.49352604288663</v>
      </c>
      <c r="J6" s="130"/>
      <c r="P6" s="129" t="s">
        <v>1</v>
      </c>
      <c r="Q6" s="116">
        <v>71442454</v>
      </c>
      <c r="R6" s="116"/>
      <c r="S6" s="116">
        <v>198730.85</v>
      </c>
      <c r="T6" s="130">
        <f t="shared" si="1"/>
        <v>359.49352604288663</v>
      </c>
      <c r="U6" s="85"/>
    </row>
    <row r="7" spans="1:21" ht="15" hidden="1" customHeight="1">
      <c r="A7" s="129" t="s">
        <v>2</v>
      </c>
      <c r="B7" s="131">
        <f>F5+F6+F7</f>
        <v>11699120.904040404</v>
      </c>
      <c r="C7" s="131">
        <f>AVERAGE(F5:F7)</f>
        <v>3899706.9680134677</v>
      </c>
      <c r="F7" s="78">
        <f>Q7/22</f>
        <v>4912894.6818181816</v>
      </c>
      <c r="G7" s="90">
        <f t="shared" si="2"/>
        <v>0.2378088842346775</v>
      </c>
      <c r="H7" s="90"/>
      <c r="I7" s="130">
        <f t="shared" si="0"/>
        <v>254.97651526450011</v>
      </c>
      <c r="J7" s="130"/>
      <c r="K7" s="79">
        <f>R5+R6+R7</f>
        <v>0</v>
      </c>
      <c r="L7" s="102">
        <f>S5+S6+S7</f>
        <v>780312.71</v>
      </c>
      <c r="N7" s="88">
        <f>AVERAGE(T5:T7)</f>
        <v>323.92986588633829</v>
      </c>
      <c r="P7" s="129" t="s">
        <v>2</v>
      </c>
      <c r="Q7" s="116">
        <v>108083683</v>
      </c>
      <c r="R7" s="116"/>
      <c r="S7" s="116">
        <v>423896.62</v>
      </c>
      <c r="T7" s="130">
        <f t="shared" si="1"/>
        <v>254.97651526450011</v>
      </c>
      <c r="U7" s="85">
        <f>Q5+Q6+Q7</f>
        <v>235870157</v>
      </c>
    </row>
    <row r="8" spans="1:21" ht="15" hidden="1" customHeight="1">
      <c r="A8" s="129" t="s">
        <v>3</v>
      </c>
      <c r="C8" s="79"/>
      <c r="F8" s="78">
        <f>Q8/21</f>
        <v>3706550.3333333335</v>
      </c>
      <c r="G8" s="90">
        <f t="shared" si="2"/>
        <v>-0.2455465518015949</v>
      </c>
      <c r="H8" s="90"/>
      <c r="I8" s="130">
        <f t="shared" si="0"/>
        <v>188.78211245955936</v>
      </c>
      <c r="J8" s="130"/>
      <c r="K8" s="78"/>
      <c r="P8" s="129" t="s">
        <v>3</v>
      </c>
      <c r="Q8" s="116">
        <v>77837557</v>
      </c>
      <c r="R8" s="116"/>
      <c r="S8" s="116">
        <v>412314.26</v>
      </c>
      <c r="T8" s="130">
        <f t="shared" si="1"/>
        <v>188.78211245955936</v>
      </c>
      <c r="U8" s="85"/>
    </row>
    <row r="9" spans="1:21" ht="15" hidden="1" customHeight="1">
      <c r="A9" s="129" t="s">
        <v>4</v>
      </c>
      <c r="C9" s="79"/>
      <c r="F9" s="78">
        <f>Q9/21</f>
        <v>4270404.1428571427</v>
      </c>
      <c r="G9" s="90">
        <f t="shared" si="2"/>
        <v>0.15212360788764223</v>
      </c>
      <c r="H9" s="90"/>
      <c r="I9" s="130">
        <f t="shared" si="0"/>
        <v>236.37394303376209</v>
      </c>
      <c r="J9" s="130"/>
      <c r="K9" s="78"/>
      <c r="P9" s="129" t="s">
        <v>4</v>
      </c>
      <c r="Q9" s="116">
        <v>89678487</v>
      </c>
      <c r="R9" s="116"/>
      <c r="S9" s="116">
        <v>379392.44</v>
      </c>
      <c r="T9" s="130">
        <f t="shared" si="1"/>
        <v>236.37394303376209</v>
      </c>
      <c r="U9" s="85"/>
    </row>
    <row r="10" spans="1:21" ht="15" hidden="1" customHeight="1">
      <c r="A10" s="129" t="s">
        <v>5</v>
      </c>
      <c r="B10" s="131">
        <f>F8+F9+F10</f>
        <v>12611542.571428571</v>
      </c>
      <c r="C10" s="131">
        <f>AVERAGE(F8:F10)</f>
        <v>4203847.5238095233</v>
      </c>
      <c r="D10" s="90">
        <f>C10/C7-1</f>
        <v>7.7990617831212639E-2</v>
      </c>
      <c r="E10" s="286"/>
      <c r="F10" s="78">
        <f>Q10/21</f>
        <v>4634588.0952380951</v>
      </c>
      <c r="G10" s="90">
        <f t="shared" si="2"/>
        <v>8.5280910236587681E-2</v>
      </c>
      <c r="H10" s="90"/>
      <c r="I10" s="130">
        <f t="shared" si="0"/>
        <v>205.53948090982328</v>
      </c>
      <c r="J10" s="130"/>
      <c r="K10" s="79">
        <f>R8+R9+R10</f>
        <v>0</v>
      </c>
      <c r="L10" s="102">
        <f>U10/U7-1</f>
        <v>0.12283129569460538</v>
      </c>
      <c r="N10" s="88">
        <f>AVERAGE(T8:T10)</f>
        <v>210.23184546771492</v>
      </c>
      <c r="O10" s="89">
        <f>N10/N7-1</f>
        <v>-0.35099579381951196</v>
      </c>
      <c r="P10" s="129" t="s">
        <v>5</v>
      </c>
      <c r="Q10" s="116">
        <v>97326350</v>
      </c>
      <c r="R10" s="116"/>
      <c r="S10" s="116">
        <v>473516.57</v>
      </c>
      <c r="T10" s="130">
        <f t="shared" si="1"/>
        <v>205.53948090982328</v>
      </c>
      <c r="U10" s="85">
        <f>Q8+Q9+Q10</f>
        <v>264842394</v>
      </c>
    </row>
    <row r="11" spans="1:21" ht="15" hidden="1" customHeight="1">
      <c r="A11" s="129" t="s">
        <v>6</v>
      </c>
      <c r="C11" s="79"/>
      <c r="F11" s="78">
        <f>Q11/21</f>
        <v>4868321.0952380951</v>
      </c>
      <c r="G11" s="90">
        <f t="shared" si="2"/>
        <v>5.043231355126343E-2</v>
      </c>
      <c r="H11" s="90"/>
      <c r="I11" s="130">
        <f t="shared" si="0"/>
        <v>242.83234362505479</v>
      </c>
      <c r="J11" s="130"/>
      <c r="K11" s="78"/>
      <c r="O11" s="89"/>
      <c r="P11" s="129" t="s">
        <v>6</v>
      </c>
      <c r="Q11" s="116">
        <v>102234743</v>
      </c>
      <c r="R11" s="116"/>
      <c r="S11" s="116">
        <v>421009.58</v>
      </c>
      <c r="T11" s="130">
        <f t="shared" si="1"/>
        <v>242.83234362505479</v>
      </c>
      <c r="U11" s="85"/>
    </row>
    <row r="12" spans="1:21" ht="15" hidden="1" customHeight="1">
      <c r="A12" s="129" t="s">
        <v>7</v>
      </c>
      <c r="C12" s="79"/>
      <c r="F12" s="78">
        <f>Q12/22</f>
        <v>4778154</v>
      </c>
      <c r="G12" s="90">
        <f t="shared" si="2"/>
        <v>-1.8521189024752527E-2</v>
      </c>
      <c r="H12" s="90"/>
      <c r="I12" s="130">
        <f t="shared" si="0"/>
        <v>214.87323059694876</v>
      </c>
      <c r="J12" s="130"/>
      <c r="K12" s="78"/>
      <c r="O12" s="89"/>
      <c r="P12" s="129" t="s">
        <v>7</v>
      </c>
      <c r="Q12" s="116">
        <v>105119388</v>
      </c>
      <c r="R12" s="116"/>
      <c r="S12" s="116">
        <v>489215.84</v>
      </c>
      <c r="T12" s="130">
        <f t="shared" si="1"/>
        <v>214.87323059694876</v>
      </c>
      <c r="U12" s="85"/>
    </row>
    <row r="13" spans="1:21" ht="15" hidden="1" customHeight="1">
      <c r="A13" s="129" t="s">
        <v>96</v>
      </c>
      <c r="B13" s="131">
        <f>F11+F12+F13</f>
        <v>14620449.545238096</v>
      </c>
      <c r="C13" s="131">
        <f>AVERAGE(F11:F13)</f>
        <v>4873483.1817460321</v>
      </c>
      <c r="D13" s="90">
        <f>C13/C10-1</f>
        <v>0.15929113844968512</v>
      </c>
      <c r="E13" s="286"/>
      <c r="F13" s="78">
        <f>Q13/20</f>
        <v>4973974.45</v>
      </c>
      <c r="G13" s="90">
        <f t="shared" si="2"/>
        <v>4.0982448451849951E-2</v>
      </c>
      <c r="H13" s="90"/>
      <c r="I13" s="130">
        <f t="shared" si="0"/>
        <v>169.94355036655244</v>
      </c>
      <c r="J13" s="130"/>
      <c r="K13" s="78">
        <f>R11+R12+R13</f>
        <v>0</v>
      </c>
      <c r="L13" s="102">
        <f>U13/U10-1</f>
        <v>0.15855175361388696</v>
      </c>
      <c r="N13" s="88">
        <f>AVERAGE(T11:T13)</f>
        <v>209.21637486285201</v>
      </c>
      <c r="O13" s="89">
        <f>N13/N10-1</f>
        <v>-4.8302415963848988E-3</v>
      </c>
      <c r="P13" s="129" t="s">
        <v>96</v>
      </c>
      <c r="Q13" s="116">
        <v>99479489</v>
      </c>
      <c r="R13" s="116"/>
      <c r="S13" s="116">
        <v>585367.84</v>
      </c>
      <c r="T13" s="130">
        <f t="shared" si="1"/>
        <v>169.94355036655244</v>
      </c>
      <c r="U13" s="85">
        <f>Q11+Q12+Q13</f>
        <v>306833620</v>
      </c>
    </row>
    <row r="14" spans="1:21" ht="15" hidden="1" customHeight="1">
      <c r="A14" s="129" t="s">
        <v>97</v>
      </c>
      <c r="C14" s="79"/>
      <c r="F14" s="78">
        <f>Q14/20</f>
        <v>3992916.2</v>
      </c>
      <c r="G14" s="90">
        <f t="shared" si="2"/>
        <v>-0.19723829703226559</v>
      </c>
      <c r="H14" s="90"/>
      <c r="I14" s="130">
        <f t="shared" si="0"/>
        <v>165.28832914684492</v>
      </c>
      <c r="J14" s="130"/>
      <c r="O14" s="89"/>
      <c r="P14" s="129" t="s">
        <v>97</v>
      </c>
      <c r="Q14" s="116">
        <v>79858324</v>
      </c>
      <c r="R14" s="116"/>
      <c r="S14" s="116">
        <v>483145.57</v>
      </c>
      <c r="T14" s="130">
        <f t="shared" si="1"/>
        <v>165.28832914684492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2890543.4545454546</v>
      </c>
      <c r="G15" s="90">
        <f t="shared" si="2"/>
        <v>-0.27608211398339533</v>
      </c>
      <c r="H15" s="90"/>
      <c r="I15" s="130">
        <f t="shared" si="0"/>
        <v>212.92816950690514</v>
      </c>
      <c r="J15" s="130"/>
      <c r="O15" s="89"/>
      <c r="P15" s="129" t="s">
        <v>98</v>
      </c>
      <c r="Q15" s="116">
        <v>63591956</v>
      </c>
      <c r="R15" s="116"/>
      <c r="S15" s="116">
        <v>298654.5</v>
      </c>
      <c r="T15" s="130">
        <f t="shared" si="1"/>
        <v>212.92816950690514</v>
      </c>
      <c r="U15" s="78"/>
    </row>
    <row r="16" spans="1:21" ht="15" hidden="1" customHeight="1">
      <c r="A16" s="129" t="s">
        <v>99</v>
      </c>
      <c r="B16" s="131">
        <f>F14+F15+F16</f>
        <v>10164433.018181818</v>
      </c>
      <c r="C16" s="131">
        <f>AVERAGE(F14:F16)</f>
        <v>3388144.3393939394</v>
      </c>
      <c r="D16" s="90">
        <f>C16/C13-1</f>
        <v>-0.30477972057347646</v>
      </c>
      <c r="E16" s="286"/>
      <c r="F16" s="78">
        <f>Q16/22</f>
        <v>3280973.3636363638</v>
      </c>
      <c r="G16" s="90">
        <f t="shared" si="2"/>
        <v>0.13507145463492276</v>
      </c>
      <c r="H16" s="90"/>
      <c r="I16" s="130">
        <f t="shared" si="0"/>
        <v>286.01564631058136</v>
      </c>
      <c r="J16" s="130"/>
      <c r="K16" s="78">
        <f>R14+R15+R16</f>
        <v>0</v>
      </c>
      <c r="L16" s="102">
        <f>U16/U13-1</f>
        <v>-0.29723576575474353</v>
      </c>
      <c r="N16" s="88">
        <f>AVERAGE(T14:T16)</f>
        <v>221.41071498811047</v>
      </c>
      <c r="O16" s="89">
        <f>N16/N13-1</f>
        <v>5.8285782521813712E-2</v>
      </c>
      <c r="P16" s="129" t="s">
        <v>99</v>
      </c>
      <c r="Q16" s="116">
        <v>72181414</v>
      </c>
      <c r="R16" s="116"/>
      <c r="S16" s="116">
        <v>252368.76</v>
      </c>
      <c r="T16" s="130">
        <f t="shared" si="1"/>
        <v>286.01564631058136</v>
      </c>
      <c r="U16" s="85">
        <f>Q14+Q15+Q16</f>
        <v>215631694</v>
      </c>
    </row>
    <row r="17" spans="1:21" ht="15" hidden="1" customHeight="1">
      <c r="A17" s="129" t="s">
        <v>100</v>
      </c>
      <c r="C17" s="79"/>
      <c r="F17" s="78">
        <f>Q17/20</f>
        <v>2684398.5</v>
      </c>
      <c r="G17" s="90">
        <f t="shared" si="2"/>
        <v>-0.18182862142323786</v>
      </c>
      <c r="H17" s="90">
        <f t="shared" ref="H17:H24" si="3">F17/F5-1</f>
        <v>-4.7139873938707222E-2</v>
      </c>
      <c r="I17" s="130">
        <f t="shared" si="0"/>
        <v>205.64113066986656</v>
      </c>
      <c r="J17" s="130">
        <f t="shared" ref="J17:J49" si="4">I17/I5-1</f>
        <v>-0.42448957238852913</v>
      </c>
      <c r="O17" s="89"/>
      <c r="P17" s="129" t="s">
        <v>100</v>
      </c>
      <c r="Q17" s="116">
        <v>53687970</v>
      </c>
      <c r="R17" s="116">
        <v>67457746604</v>
      </c>
      <c r="S17" s="116">
        <v>261076.03</v>
      </c>
      <c r="T17" s="130">
        <f t="shared" si="1"/>
        <v>205.64113066986656</v>
      </c>
      <c r="U17" s="78"/>
    </row>
    <row r="18" spans="1:21" ht="15" hidden="1" customHeight="1">
      <c r="A18" s="129" t="s">
        <v>106</v>
      </c>
      <c r="C18" s="79"/>
      <c r="F18" s="78">
        <f>Q18/20</f>
        <v>3176389.9</v>
      </c>
      <c r="G18" s="90">
        <f t="shared" si="2"/>
        <v>0.18327807886943748</v>
      </c>
      <c r="H18" s="90">
        <f t="shared" si="3"/>
        <v>-0.19970528727918557</v>
      </c>
      <c r="I18" s="130">
        <f t="shared" si="0"/>
        <v>285.52410906131581</v>
      </c>
      <c r="J18" s="130">
        <f t="shared" si="4"/>
        <v>-0.20576008084425546</v>
      </c>
      <c r="O18" s="89"/>
      <c r="P18" s="129" t="s">
        <v>106</v>
      </c>
      <c r="Q18" s="116">
        <v>63527798</v>
      </c>
      <c r="R18" s="116">
        <v>79607676571</v>
      </c>
      <c r="S18" s="116">
        <v>222495.39</v>
      </c>
      <c r="T18" s="130">
        <f t="shared" si="1"/>
        <v>285.52410906131581</v>
      </c>
      <c r="U18" s="78"/>
    </row>
    <row r="19" spans="1:21" hidden="1">
      <c r="A19" s="129" t="s">
        <v>114</v>
      </c>
      <c r="B19" s="131">
        <f>SUM(F17:F19)</f>
        <v>9327272.4454545453</v>
      </c>
      <c r="C19" s="131">
        <f>AVERAGE(F17:F19)</f>
        <v>3109090.815151515</v>
      </c>
      <c r="D19" s="90">
        <f>C19/C16-1</f>
        <v>-8.2361758027209797E-2</v>
      </c>
      <c r="E19" s="286">
        <f>C19/C7-1</f>
        <v>-0.20273732343143136</v>
      </c>
      <c r="F19" s="78">
        <f>Q19/22</f>
        <v>3466484.0454545454</v>
      </c>
      <c r="G19" s="90">
        <f t="shared" si="2"/>
        <v>9.1328254586927615E-2</v>
      </c>
      <c r="H19" s="90">
        <f t="shared" si="3"/>
        <v>-0.29441108145805872</v>
      </c>
      <c r="I19" s="130">
        <f t="shared" si="0"/>
        <v>310.35315342401526</v>
      </c>
      <c r="J19" s="130">
        <f t="shared" si="4"/>
        <v>0.21718328882983662</v>
      </c>
      <c r="K19" s="78">
        <f>R17+R18+R19</f>
        <v>246732729910</v>
      </c>
      <c r="L19" s="102">
        <f>U19/U16-1</f>
        <v>-0.10273664594036902</v>
      </c>
      <c r="M19" s="87">
        <f>U19/U7-1</f>
        <v>-0.17972489838975259</v>
      </c>
      <c r="N19" s="88">
        <f>AVERAGE(T17:T19)</f>
        <v>267.17279771839918</v>
      </c>
      <c r="O19" s="89">
        <f>N19/N16-1</f>
        <v>0.20668413781485717</v>
      </c>
      <c r="P19" s="129" t="s">
        <v>114</v>
      </c>
      <c r="Q19" s="116">
        <v>76262649</v>
      </c>
      <c r="R19" s="116">
        <v>99667306735</v>
      </c>
      <c r="S19" s="116">
        <v>245728.61</v>
      </c>
      <c r="T19" s="130">
        <f t="shared" si="1"/>
        <v>310.35315342401526</v>
      </c>
      <c r="U19" s="85">
        <f>Q17+Q18+Q19</f>
        <v>193478417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2621777.25</v>
      </c>
      <c r="G20" s="90">
        <f t="shared" si="2"/>
        <v>-0.24367825854042913</v>
      </c>
      <c r="H20" s="90">
        <f t="shared" si="3"/>
        <v>-0.29266379403454301</v>
      </c>
      <c r="I20" s="130">
        <f t="shared" si="0"/>
        <v>259.90775563918623</v>
      </c>
      <c r="J20" s="130">
        <f t="shared" si="4"/>
        <v>0.3767605005207435</v>
      </c>
      <c r="O20" s="89"/>
      <c r="P20" s="129" t="s">
        <v>131</v>
      </c>
      <c r="Q20" s="116">
        <v>52435545</v>
      </c>
      <c r="R20" s="116">
        <v>68825591354</v>
      </c>
      <c r="S20" s="116">
        <v>201746.75</v>
      </c>
      <c r="T20" s="130">
        <f t="shared" si="1"/>
        <v>259.90775563918623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3422737.2380952379</v>
      </c>
      <c r="G21" s="90">
        <f t="shared" si="2"/>
        <v>0.30550268452258411</v>
      </c>
      <c r="H21" s="90">
        <f t="shared" si="3"/>
        <v>-0.19849805226977124</v>
      </c>
      <c r="I21" s="130">
        <f t="shared" si="0"/>
        <v>217.99615872944912</v>
      </c>
      <c r="J21" s="130">
        <f t="shared" si="4"/>
        <v>-7.7748774117999964E-2</v>
      </c>
      <c r="O21" s="89"/>
      <c r="P21" s="129" t="s">
        <v>141</v>
      </c>
      <c r="Q21" s="116">
        <v>71877482</v>
      </c>
      <c r="R21" s="116">
        <v>95707881306</v>
      </c>
      <c r="S21" s="116">
        <v>329719.03000000003</v>
      </c>
      <c r="T21" s="130">
        <f t="shared" si="1"/>
        <v>217.99615872944912</v>
      </c>
      <c r="U21" s="78"/>
    </row>
    <row r="22" spans="1:21" hidden="1">
      <c r="A22" s="129" t="s">
        <v>156</v>
      </c>
      <c r="B22" s="131">
        <f>SUM(F20:F22)</f>
        <v>9383172.1071428563</v>
      </c>
      <c r="C22" s="131">
        <f>AVERAGE(F20:F22)</f>
        <v>3127724.0357142854</v>
      </c>
      <c r="D22" s="90">
        <f>C22/C19-1</f>
        <v>5.9931412977598519E-3</v>
      </c>
      <c r="E22" s="286">
        <f>C22/C10-1</f>
        <v>-0.25598537577786729</v>
      </c>
      <c r="F22" s="78">
        <f>Q22/21</f>
        <v>3338657.6190476189</v>
      </c>
      <c r="G22" s="90">
        <f t="shared" si="2"/>
        <v>-2.4565023020700627E-2</v>
      </c>
      <c r="H22" s="90">
        <f t="shared" si="3"/>
        <v>-0.27962150024119881</v>
      </c>
      <c r="I22" s="130">
        <f t="shared" si="0"/>
        <v>193.15511856528158</v>
      </c>
      <c r="J22" s="130">
        <f t="shared" si="4"/>
        <v>-6.0252961084275136E-2</v>
      </c>
      <c r="K22" s="78">
        <f>R20+R21+R22</f>
        <v>255904763841</v>
      </c>
      <c r="L22" s="102">
        <f>U22/U19-1</f>
        <v>4.8916050414036238E-3</v>
      </c>
      <c r="M22" s="87">
        <f>U22/U10-1</f>
        <v>-0.26588476239193037</v>
      </c>
      <c r="N22" s="88">
        <f>AVERAGE(T20:T22)</f>
        <v>223.68634431130565</v>
      </c>
      <c r="O22" s="89">
        <f>N22/N19-1</f>
        <v>-0.16276527318072387</v>
      </c>
      <c r="P22" s="129" t="s">
        <v>156</v>
      </c>
      <c r="Q22" s="116">
        <v>70111810</v>
      </c>
      <c r="R22" s="116">
        <v>91371291181</v>
      </c>
      <c r="S22" s="116">
        <v>362981.89</v>
      </c>
      <c r="T22" s="130">
        <f t="shared" si="1"/>
        <v>193.15511856528158</v>
      </c>
      <c r="U22" s="85">
        <f>Q20+Q21+Q22</f>
        <v>194424837</v>
      </c>
    </row>
    <row r="23" spans="1:21" hidden="1">
      <c r="A23" s="129" t="s">
        <v>189</v>
      </c>
      <c r="B23" s="131"/>
      <c r="C23" s="131"/>
      <c r="F23" s="78">
        <f>Q23/21</f>
        <v>3863252.7619047621</v>
      </c>
      <c r="G23" s="90">
        <f t="shared" si="2"/>
        <v>0.15712756524186156</v>
      </c>
      <c r="H23" s="90">
        <f t="shared" si="3"/>
        <v>-0.20645070727081494</v>
      </c>
      <c r="I23" s="130">
        <f t="shared" si="0"/>
        <v>189.05114479578393</v>
      </c>
      <c r="J23" s="130">
        <f t="shared" si="4"/>
        <v>-0.22147461094520304</v>
      </c>
      <c r="O23" s="89"/>
      <c r="P23" s="129" t="s">
        <v>189</v>
      </c>
      <c r="Q23" s="116">
        <v>81128308</v>
      </c>
      <c r="R23" s="116">
        <v>104638704754</v>
      </c>
      <c r="S23" s="116">
        <v>429134.18</v>
      </c>
      <c r="T23" s="130">
        <f t="shared" si="1"/>
        <v>189.05114479578393</v>
      </c>
      <c r="U23" s="78"/>
    </row>
    <row r="24" spans="1:21" hidden="1">
      <c r="A24" s="129" t="s">
        <v>204</v>
      </c>
      <c r="B24" s="131"/>
      <c r="C24" s="131"/>
      <c r="F24" s="78">
        <f>Q24/22</f>
        <v>4018339.8181818184</v>
      </c>
      <c r="G24" s="90">
        <f t="shared" si="2"/>
        <v>4.0144164991314568E-2</v>
      </c>
      <c r="H24" s="90">
        <f t="shared" si="3"/>
        <v>-0.15901835349345828</v>
      </c>
      <c r="I24" s="130">
        <f t="shared" si="0"/>
        <v>169.06585265296923</v>
      </c>
      <c r="J24" s="130">
        <f t="shared" si="4"/>
        <v>-0.213183270045878</v>
      </c>
      <c r="O24" s="89"/>
      <c r="P24" s="129" t="s">
        <v>204</v>
      </c>
      <c r="Q24" s="116">
        <v>88403476</v>
      </c>
      <c r="R24" s="116">
        <v>115834236093</v>
      </c>
      <c r="S24" s="116">
        <v>522893.74</v>
      </c>
      <c r="T24" s="130">
        <f t="shared" si="1"/>
        <v>169.06585265296923</v>
      </c>
      <c r="U24" s="78"/>
    </row>
    <row r="25" spans="1:21" s="79" customFormat="1" ht="13.2" hidden="1">
      <c r="A25" s="129" t="s">
        <v>219</v>
      </c>
      <c r="B25" s="131">
        <f>SUM(F23:F25)</f>
        <v>13162918.106402371</v>
      </c>
      <c r="C25" s="131">
        <f>AVERAGE(F23:F25)</f>
        <v>4387639.36880079</v>
      </c>
      <c r="D25" s="90">
        <f>C25/C22-1</f>
        <v>0.40282177030326616</v>
      </c>
      <c r="E25" s="286">
        <f>C25/C13-1</f>
        <v>-9.9691287489203528E-2</v>
      </c>
      <c r="F25" s="78">
        <f>Q25/19</f>
        <v>5281325.5263157897</v>
      </c>
      <c r="G25" s="90">
        <f t="shared" ref="G25" si="5">F25/F24-1</f>
        <v>0.31430535128446047</v>
      </c>
      <c r="H25" s="90">
        <f t="shared" ref="H25" si="6">F25/F13-1</f>
        <v>6.1791848632392954E-2</v>
      </c>
      <c r="I25" s="130">
        <f t="shared" si="0"/>
        <v>229.68017966589923</v>
      </c>
      <c r="J25" s="130">
        <f t="shared" si="4"/>
        <v>0.35150865784844698</v>
      </c>
      <c r="K25" s="78">
        <f>R23+R24+R25</f>
        <v>353601346134</v>
      </c>
      <c r="L25" s="102">
        <f>U25/U22-1</f>
        <v>0.38807866918772316</v>
      </c>
      <c r="M25" s="90">
        <f>U25/U13-1</f>
        <v>-0.12044524651503308</v>
      </c>
      <c r="N25" s="88">
        <f>AVERAGE(T23:T25)</f>
        <v>195.9323923715508</v>
      </c>
      <c r="O25" s="91">
        <f>N25/N22-1</f>
        <v>-0.12407530743642314</v>
      </c>
      <c r="P25" s="129" t="s">
        <v>219</v>
      </c>
      <c r="Q25" s="116">
        <v>100345185</v>
      </c>
      <c r="R25" s="116">
        <v>133128405287</v>
      </c>
      <c r="S25" s="116">
        <v>436890.92</v>
      </c>
      <c r="T25" s="130">
        <f t="shared" ref="T25" si="7">Q25/S25</f>
        <v>229.68017966589923</v>
      </c>
      <c r="U25" s="85">
        <f>Q23+Q24+Q25</f>
        <v>269876969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3728332.1578947366</v>
      </c>
      <c r="G26" s="90">
        <f t="shared" ref="G26" si="8">F26/F25-1</f>
        <v>-0.29405371069872466</v>
      </c>
      <c r="H26" s="90">
        <f t="shared" ref="H26" si="9">F26/F14-1</f>
        <v>-6.6263359623040308E-2</v>
      </c>
      <c r="I26" s="130">
        <f t="shared" si="0"/>
        <v>549.56890706416141</v>
      </c>
      <c r="J26" s="130">
        <f t="shared" si="4"/>
        <v>2.3249105360361844</v>
      </c>
      <c r="L26" s="90"/>
      <c r="M26" s="90"/>
      <c r="P26" s="129" t="s">
        <v>312</v>
      </c>
      <c r="Q26" s="116">
        <v>70838311</v>
      </c>
      <c r="R26" s="116">
        <v>95523278786</v>
      </c>
      <c r="S26" s="116">
        <v>128897.96</v>
      </c>
      <c r="T26" s="130">
        <f t="shared" ref="T26" si="10">Q26/S26</f>
        <v>549.56890706416141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4059969.9545454546</v>
      </c>
      <c r="G27" s="90">
        <f t="shared" ref="G27" si="11">F27/F26-1</f>
        <v>8.8950711097045332E-2</v>
      </c>
      <c r="H27" s="90">
        <f t="shared" ref="H27" si="12">F27/F15-1</f>
        <v>0.40456976979918657</v>
      </c>
      <c r="I27" s="130">
        <f t="shared" si="0"/>
        <v>465.02929362610473</v>
      </c>
      <c r="J27" s="130">
        <f t="shared" si="4"/>
        <v>1.183972626557634</v>
      </c>
      <c r="L27" s="90"/>
      <c r="M27" s="90"/>
      <c r="P27" s="129" t="s">
        <v>375</v>
      </c>
      <c r="Q27" s="116">
        <v>89319339</v>
      </c>
      <c r="R27" s="116">
        <v>118206370757</v>
      </c>
      <c r="S27" s="116">
        <v>192072.5</v>
      </c>
      <c r="T27" s="130">
        <f t="shared" ref="T27" si="13">Q27/S27</f>
        <v>465.02929362610473</v>
      </c>
      <c r="U27" s="78"/>
    </row>
    <row r="28" spans="1:21" s="79" customFormat="1" ht="13.2" hidden="1">
      <c r="A28" s="123" t="s">
        <v>413</v>
      </c>
      <c r="B28" s="131">
        <f>SUM(F26:F28)</f>
        <v>12116984.849282296</v>
      </c>
      <c r="C28" s="131">
        <f>AVERAGE(F26:F28)</f>
        <v>4038994.9497607653</v>
      </c>
      <c r="D28" s="90">
        <f>C28/C25-1</f>
        <v>-7.9460591387508384E-2</v>
      </c>
      <c r="E28" s="286">
        <f>C28/C16-1</f>
        <v>0.1920964826673377</v>
      </c>
      <c r="F28" s="78">
        <f>Q28/19</f>
        <v>4328682.7368421052</v>
      </c>
      <c r="G28" s="90">
        <f t="shared" ref="G28" si="14">F28/F27-1</f>
        <v>6.6185904158183595E-2</v>
      </c>
      <c r="H28" s="90">
        <f t="shared" ref="H28" si="15">F28/F16-1</f>
        <v>0.31932882626165116</v>
      </c>
      <c r="I28" s="130">
        <f t="shared" si="0"/>
        <v>446.33994068987045</v>
      </c>
      <c r="J28" s="130">
        <f t="shared" si="4"/>
        <v>0.56054378998970789</v>
      </c>
      <c r="K28" s="78">
        <f>R26+R27+R28</f>
        <v>320915338186</v>
      </c>
      <c r="L28" s="102">
        <f>U28/U25-1</f>
        <v>-0.10180322945601183</v>
      </c>
      <c r="M28" s="90">
        <f>U28/U16-1</f>
        <v>0.12415117417757715</v>
      </c>
      <c r="N28" s="88">
        <f>AVERAGE(T26:T28)</f>
        <v>486.97938046004555</v>
      </c>
      <c r="O28" s="91">
        <f>N28/N25-1</f>
        <v>1.4854459978040593</v>
      </c>
      <c r="P28" s="129" t="s">
        <v>413</v>
      </c>
      <c r="Q28" s="116">
        <v>82244972</v>
      </c>
      <c r="R28" s="116">
        <v>107185688643</v>
      </c>
      <c r="S28" s="116">
        <v>184265.32</v>
      </c>
      <c r="T28" s="130">
        <f t="shared" ref="T28" si="16">Q28/S28</f>
        <v>446.33994068987045</v>
      </c>
      <c r="U28" s="85">
        <f>Q26+Q27+Q28</f>
        <v>242402622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3578616.0909090908</v>
      </c>
      <c r="G29" s="190">
        <f t="shared" ref="G29" si="17">F29/F28-1</f>
        <v>-0.17327826766999532</v>
      </c>
      <c r="H29" s="190">
        <f t="shared" ref="H29" si="18">F29/F17-1</f>
        <v>0.33311655885260349</v>
      </c>
      <c r="I29" s="130">
        <f t="shared" si="0"/>
        <v>491.3714546456211</v>
      </c>
      <c r="J29" s="130">
        <f t="shared" si="4"/>
        <v>1.3894609655422587</v>
      </c>
      <c r="K29" s="193"/>
      <c r="L29" s="190"/>
      <c r="M29" s="190"/>
      <c r="N29" s="191"/>
      <c r="O29" s="192"/>
      <c r="P29" s="129" t="s">
        <v>427</v>
      </c>
      <c r="Q29" s="116">
        <v>78729554</v>
      </c>
      <c r="R29" s="116">
        <v>103443747731</v>
      </c>
      <c r="S29" s="116">
        <v>160224.10999999999</v>
      </c>
      <c r="T29" s="130">
        <f t="shared" ref="T29" si="19">Q29/S29</f>
        <v>491.3714546456211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4513656.1578947371</v>
      </c>
      <c r="G30" s="190">
        <f t="shared" ref="G30" si="20">F30/F29-1</f>
        <v>0.26128538050252659</v>
      </c>
      <c r="H30" s="190">
        <f t="shared" ref="H30" si="21">F30/F18-1</f>
        <v>0.42100192356572386</v>
      </c>
      <c r="I30" s="130">
        <f t="shared" si="0"/>
        <v>577.65805354026236</v>
      </c>
      <c r="J30" s="130">
        <f t="shared" si="4"/>
        <v>1.0231498329137989</v>
      </c>
      <c r="K30" s="193"/>
      <c r="L30" s="190"/>
      <c r="M30" s="190"/>
      <c r="N30" s="191"/>
      <c r="O30" s="192"/>
      <c r="P30" s="129" t="s">
        <v>469</v>
      </c>
      <c r="Q30" s="116">
        <v>85759467</v>
      </c>
      <c r="R30" s="116">
        <v>114234280048</v>
      </c>
      <c r="S30" s="116">
        <v>148460.60999999999</v>
      </c>
      <c r="T30" s="130">
        <f t="shared" ref="T30" si="22">Q30/S30</f>
        <v>577.65805354026236</v>
      </c>
      <c r="U30" s="85"/>
    </row>
    <row r="31" spans="1:21" s="79" customFormat="1" ht="13.2" hidden="1">
      <c r="A31" s="129" t="s">
        <v>505</v>
      </c>
      <c r="B31" s="188">
        <f>SUM(F29:F31)</f>
        <v>12563503.248803828</v>
      </c>
      <c r="C31" s="188">
        <f>AVERAGE(F29:F31)</f>
        <v>4187834.4162679426</v>
      </c>
      <c r="D31" s="190">
        <f>C31/C28-1</f>
        <v>3.685061961169156E-2</v>
      </c>
      <c r="E31" s="287">
        <f>C31/C19-1</f>
        <v>0.34696432663188626</v>
      </c>
      <c r="F31" s="136">
        <f>Q31/20</f>
        <v>4471231</v>
      </c>
      <c r="G31" s="190">
        <f t="shared" ref="G31" si="23">F31/F30-1</f>
        <v>-9.3992888272032005E-3</v>
      </c>
      <c r="H31" s="190">
        <f t="shared" ref="H31" si="24">F31/F19-1</f>
        <v>0.28984612113329566</v>
      </c>
      <c r="I31" s="130">
        <f t="shared" si="0"/>
        <v>309.75579189504288</v>
      </c>
      <c r="J31" s="130">
        <f t="shared" si="4"/>
        <v>-1.9247799559369838E-3</v>
      </c>
      <c r="K31" s="136">
        <f>R29+R30+R31</f>
        <v>336504276027</v>
      </c>
      <c r="L31" s="190">
        <f>U31/U28-1</f>
        <v>4.7487188484289566E-2</v>
      </c>
      <c r="M31" s="190">
        <f>U31/U19-1</f>
        <v>0.31236157984484647</v>
      </c>
      <c r="N31" s="191">
        <f>AVERAGE(T29:T31)</f>
        <v>459.59510002697544</v>
      </c>
      <c r="O31" s="192">
        <f>N31/N28-1</f>
        <v>-5.6232936201940142E-2</v>
      </c>
      <c r="P31" s="129" t="s">
        <v>505</v>
      </c>
      <c r="Q31" s="116">
        <v>89424620</v>
      </c>
      <c r="R31" s="116">
        <v>118826248248</v>
      </c>
      <c r="S31" s="116">
        <v>288693.94</v>
      </c>
      <c r="T31" s="130">
        <f t="shared" ref="T31" si="25">Q31/S31</f>
        <v>309.75579189504288</v>
      </c>
      <c r="U31" s="85">
        <f>Q29+Q30+Q31</f>
        <v>253913641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4301466.7619047621</v>
      </c>
      <c r="G32" s="190">
        <f t="shared" ref="G32" si="26">F32/F31-1</f>
        <v>-3.7968120657429161E-2</v>
      </c>
      <c r="H32" s="190">
        <f t="shared" ref="H32" si="27">F32/F20-1</f>
        <v>0.64066827641622193</v>
      </c>
      <c r="I32" s="130">
        <f t="shared" si="0"/>
        <v>294.35419139962892</v>
      </c>
      <c r="J32" s="130">
        <f t="shared" si="4"/>
        <v>0.13253331235048837</v>
      </c>
      <c r="K32" s="136"/>
      <c r="L32" s="190"/>
      <c r="M32" s="190"/>
      <c r="N32" s="191"/>
      <c r="O32" s="192"/>
      <c r="P32" s="129" t="s">
        <v>562</v>
      </c>
      <c r="Q32" s="116">
        <v>90330802</v>
      </c>
      <c r="R32" s="116">
        <v>122655324346</v>
      </c>
      <c r="S32" s="116">
        <v>306877.92</v>
      </c>
      <c r="T32" s="130">
        <f t="shared" ref="T32" si="28">Q32/S32</f>
        <v>294.35419139962892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4321178.5238095243</v>
      </c>
      <c r="G33" s="190">
        <f t="shared" ref="G33" si="29">F33/F32-1</f>
        <v>4.5825675277411104E-3</v>
      </c>
      <c r="H33" s="190">
        <f t="shared" ref="H33" si="30">F33/F21-1</f>
        <v>0.26249204166612317</v>
      </c>
      <c r="I33" s="130">
        <f t="shared" si="0"/>
        <v>275.50009956527367</v>
      </c>
      <c r="J33" s="130">
        <f t="shared" si="4"/>
        <v>0.26378419312971291</v>
      </c>
      <c r="K33" s="136"/>
      <c r="L33" s="190"/>
      <c r="M33" s="190"/>
      <c r="N33" s="191"/>
      <c r="O33" s="192"/>
      <c r="P33" s="129" t="s">
        <v>607</v>
      </c>
      <c r="Q33" s="116">
        <v>90744749</v>
      </c>
      <c r="R33" s="116">
        <v>124094360713</v>
      </c>
      <c r="S33" s="116">
        <v>329381.90999999997</v>
      </c>
      <c r="T33" s="130">
        <f t="shared" ref="T33" si="31">Q33/S33</f>
        <v>275.50009956527367</v>
      </c>
      <c r="U33" s="85"/>
    </row>
    <row r="34" spans="1:21" s="79" customFormat="1" ht="13.2" hidden="1">
      <c r="A34" s="129" t="s">
        <v>652</v>
      </c>
      <c r="B34" s="188">
        <f>SUM(F32:F34)</f>
        <v>13989330.812030077</v>
      </c>
      <c r="C34" s="188">
        <f>AVERAGE(F32:F34)</f>
        <v>4663110.270676692</v>
      </c>
      <c r="D34" s="190">
        <f>C34/C31-1</f>
        <v>0.11348964814905438</v>
      </c>
      <c r="E34" s="287">
        <f>C34/C22-1</f>
        <v>0.49089568562648678</v>
      </c>
      <c r="F34" s="136">
        <f>Q34/19</f>
        <v>5366685.5263157897</v>
      </c>
      <c r="G34" s="190">
        <f t="shared" ref="G34" si="32">F34/F33-1</f>
        <v>0.24194950445707408</v>
      </c>
      <c r="H34" s="190">
        <f t="shared" ref="H34" si="33">F34/F22-1</f>
        <v>0.60743811994914387</v>
      </c>
      <c r="I34" s="130">
        <f t="shared" si="0"/>
        <v>246.3236446024668</v>
      </c>
      <c r="J34" s="130">
        <f t="shared" si="4"/>
        <v>0.2752633553390178</v>
      </c>
      <c r="K34" s="136">
        <f>R32+R33+R34</f>
        <v>386933468094</v>
      </c>
      <c r="L34" s="190">
        <f>U34/U31-1</f>
        <v>0.11471985075429636</v>
      </c>
      <c r="M34" s="190">
        <f>U34/U22-1</f>
        <v>0.45579433351923027</v>
      </c>
      <c r="N34" s="191">
        <f>AVERAGE(T32:T34)</f>
        <v>272.05931185578976</v>
      </c>
      <c r="O34" s="192">
        <f>N34/N31-1</f>
        <v>-0.40804566489107141</v>
      </c>
      <c r="P34" s="129" t="s">
        <v>652</v>
      </c>
      <c r="Q34" s="116">
        <v>101967025</v>
      </c>
      <c r="R34" s="116">
        <v>140183783035</v>
      </c>
      <c r="S34" s="116">
        <v>413955.49</v>
      </c>
      <c r="T34" s="130">
        <f t="shared" ref="T34" si="34">Q34/S34</f>
        <v>246.3236446024668</v>
      </c>
      <c r="U34" s="85">
        <f>Q32+Q33+Q34</f>
        <v>283042576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5069496.6956521738</v>
      </c>
      <c r="G35" s="190">
        <f t="shared" ref="G35" si="35">F35/F34-1</f>
        <v>-5.5376606139177831E-2</v>
      </c>
      <c r="H35" s="190">
        <f t="shared" ref="H35" si="36">F35/F23-1</f>
        <v>0.31223531259515047</v>
      </c>
      <c r="I35" s="130">
        <f t="shared" si="0"/>
        <v>302.85470128538361</v>
      </c>
      <c r="J35" s="130">
        <f t="shared" si="4"/>
        <v>0.60197232136590406</v>
      </c>
      <c r="K35" s="136"/>
      <c r="L35" s="190"/>
      <c r="M35" s="190"/>
      <c r="N35" s="191"/>
      <c r="O35" s="192"/>
      <c r="P35" s="129" t="s">
        <v>660</v>
      </c>
      <c r="Q35" s="116">
        <v>116598424</v>
      </c>
      <c r="R35" s="116">
        <v>161423556271</v>
      </c>
      <c r="S35" s="116">
        <v>384997.9</v>
      </c>
      <c r="T35" s="130">
        <f t="shared" ref="T35" si="37">Q35/S35</f>
        <v>302.85470128538361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5904783.7619047621</v>
      </c>
      <c r="G36" s="190">
        <f t="shared" ref="G36" si="38">F36/F35-1</f>
        <v>0.16476725726421071</v>
      </c>
      <c r="H36" s="190">
        <f t="shared" ref="H36" si="39">F36/F24-1</f>
        <v>0.46945853986448172</v>
      </c>
      <c r="I36" s="130">
        <f t="shared" si="0"/>
        <v>244.58560773272683</v>
      </c>
      <c r="J36" s="130">
        <f t="shared" si="4"/>
        <v>0.44668839919301861</v>
      </c>
      <c r="K36" s="136"/>
      <c r="L36" s="190"/>
      <c r="M36" s="190"/>
      <c r="N36" s="191"/>
      <c r="O36" s="192"/>
      <c r="P36" s="129" t="s">
        <v>664</v>
      </c>
      <c r="Q36" s="116">
        <v>124000459</v>
      </c>
      <c r="R36" s="116">
        <v>169377541734</v>
      </c>
      <c r="S36" s="116">
        <v>506981.83</v>
      </c>
      <c r="T36" s="130">
        <f t="shared" ref="T36" si="40">Q36/S36</f>
        <v>244.58560773272683</v>
      </c>
      <c r="U36" s="85"/>
    </row>
    <row r="37" spans="1:21" s="79" customFormat="1" ht="13.2" hidden="1">
      <c r="A37" s="129" t="s">
        <v>702</v>
      </c>
      <c r="B37" s="188">
        <f>SUM(F35:F37)</f>
        <v>17601902.679779157</v>
      </c>
      <c r="C37" s="188">
        <f>AVERAGE(F35:F37)</f>
        <v>5867300.893259719</v>
      </c>
      <c r="D37" s="190">
        <f>C37/C34-1</f>
        <v>0.25823764669589933</v>
      </c>
      <c r="E37" s="287">
        <f>C37/C25-1</f>
        <v>0.33723407966943819</v>
      </c>
      <c r="F37" s="136">
        <f>Q37/18</f>
        <v>6627622.222222222</v>
      </c>
      <c r="G37" s="190">
        <f t="shared" ref="G37" si="41">F37/F36-1</f>
        <v>0.12241573772454073</v>
      </c>
      <c r="H37" s="190">
        <f t="shared" ref="H37" si="42">F37/F25-1</f>
        <v>0.25491643891256177</v>
      </c>
      <c r="I37" s="130">
        <f t="shared" si="0"/>
        <v>330.42389145445043</v>
      </c>
      <c r="J37" s="130">
        <f t="shared" si="4"/>
        <v>0.43862605791712839</v>
      </c>
      <c r="K37" s="136">
        <f>R35+R36+R37</f>
        <v>490029523021</v>
      </c>
      <c r="L37" s="190">
        <f>U37/U34-1</f>
        <v>0.27152631270568994</v>
      </c>
      <c r="M37" s="190">
        <f>U37/U25-1</f>
        <v>0.33355611756555636</v>
      </c>
      <c r="N37" s="191">
        <f>AVERAGE(T35:T37)</f>
        <v>292.62140015752027</v>
      </c>
      <c r="O37" s="192">
        <f>N37/N34-1</f>
        <v>7.557943215202223E-2</v>
      </c>
      <c r="P37" s="129" t="s">
        <v>702</v>
      </c>
      <c r="Q37" s="116">
        <v>119297200</v>
      </c>
      <c r="R37" s="116">
        <v>159228425016</v>
      </c>
      <c r="S37" s="116">
        <v>361042.9</v>
      </c>
      <c r="T37" s="130">
        <f t="shared" ref="T37" si="43">Q37/S37</f>
        <v>330.42389145445043</v>
      </c>
      <c r="U37" s="85">
        <f>Q35+Q36+Q37</f>
        <v>359896083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6058047.2999999998</v>
      </c>
      <c r="G38" s="190">
        <f t="shared" ref="G38" si="44">F38/F37-1</f>
        <v>-8.5939557676123157E-2</v>
      </c>
      <c r="H38" s="190">
        <f t="shared" ref="H38" si="45">F38/F26-1</f>
        <v>0.62486791504670403</v>
      </c>
      <c r="I38" s="130">
        <f t="shared" si="0"/>
        <v>278.40082356000732</v>
      </c>
      <c r="J38" s="130">
        <f t="shared" si="4"/>
        <v>-0.4934196240335984</v>
      </c>
      <c r="K38" s="136"/>
      <c r="L38" s="190"/>
      <c r="M38" s="190"/>
      <c r="N38" s="191"/>
      <c r="O38" s="192"/>
      <c r="P38" s="129" t="s">
        <v>728</v>
      </c>
      <c r="Q38" s="116">
        <v>121160946</v>
      </c>
      <c r="R38" s="116">
        <v>163105633893</v>
      </c>
      <c r="S38" s="116">
        <v>435203.26</v>
      </c>
      <c r="T38" s="130">
        <f t="shared" ref="T38" si="46">Q38/S38</f>
        <v>278.40082356000732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5905961.7619047621</v>
      </c>
      <c r="G39" s="190">
        <f t="shared" ref="G39" si="47">F39/F38-1</f>
        <v>-2.5104712882522029E-2</v>
      </c>
      <c r="H39" s="190">
        <f t="shared" ref="H39" si="48">F39/F27-1</f>
        <v>0.45468114986727293</v>
      </c>
      <c r="I39" s="130">
        <f t="shared" si="0"/>
        <v>334.62588790723726</v>
      </c>
      <c r="J39" s="130">
        <f t="shared" si="4"/>
        <v>-0.28041976603675012</v>
      </c>
      <c r="K39" s="136"/>
      <c r="L39" s="190"/>
      <c r="M39" s="190"/>
      <c r="N39" s="191"/>
      <c r="O39" s="192"/>
      <c r="P39" s="129" t="s">
        <v>762</v>
      </c>
      <c r="Q39" s="116">
        <v>124025197</v>
      </c>
      <c r="R39" s="116">
        <v>172429211794</v>
      </c>
      <c r="S39" s="116">
        <v>370638.38</v>
      </c>
      <c r="T39" s="130">
        <f t="shared" ref="T39" si="49">Q39/S39</f>
        <v>334.62588790723726</v>
      </c>
      <c r="U39" s="85"/>
    </row>
    <row r="40" spans="1:21" s="79" customFormat="1" ht="13.2" hidden="1">
      <c r="A40" s="129" t="s">
        <v>778</v>
      </c>
      <c r="B40" s="188">
        <f>SUM(F38:F40)</f>
        <v>18466625.10952381</v>
      </c>
      <c r="C40" s="188">
        <f>AVERAGE(F38:F40)</f>
        <v>6155541.7031746032</v>
      </c>
      <c r="D40" s="190">
        <f>C40/C37-1</f>
        <v>4.9126645310795469E-2</v>
      </c>
      <c r="E40" s="287">
        <f>C40/C28-1</f>
        <v>0.52402807622703351</v>
      </c>
      <c r="F40" s="136">
        <f>Q40/21</f>
        <v>6502616.0476190476</v>
      </c>
      <c r="G40" s="190">
        <f t="shared" ref="G40" si="50">F40/F39-1</f>
        <v>0.10102576172485334</v>
      </c>
      <c r="H40" s="190">
        <f t="shared" ref="H40" si="51">F40/F28-1</f>
        <v>0.50221590329876831</v>
      </c>
      <c r="I40" s="130">
        <f t="shared" si="0"/>
        <v>288.01290597067657</v>
      </c>
      <c r="J40" s="130">
        <f t="shared" si="4"/>
        <v>-0.35472298193722251</v>
      </c>
      <c r="K40" s="136">
        <f>R38+R39+R40</f>
        <v>529499201169</v>
      </c>
      <c r="L40" s="190">
        <f>U40/U37-1</f>
        <v>6.0698068225432777E-2</v>
      </c>
      <c r="M40" s="190">
        <f>U40/U28-1</f>
        <v>0.57482240435501564</v>
      </c>
      <c r="N40" s="191">
        <f>AVERAGE(T38:T40)</f>
        <v>300.34653914597374</v>
      </c>
      <c r="O40" s="192">
        <f>N40/N37-1</f>
        <v>2.6399774535611487E-2</v>
      </c>
      <c r="P40" s="129" t="s">
        <v>778</v>
      </c>
      <c r="Q40" s="116">
        <v>136554937</v>
      </c>
      <c r="R40" s="116">
        <v>193964355482</v>
      </c>
      <c r="S40" s="116">
        <v>474127.84</v>
      </c>
      <c r="T40" s="130">
        <f t="shared" ref="T40" si="52">Q40/S40</f>
        <v>288.01290597067657</v>
      </c>
      <c r="U40" s="85">
        <f>Q38+Q39+Q40</f>
        <v>381741080</v>
      </c>
    </row>
    <row r="41" spans="1:21" s="79" customFormat="1" ht="13.2">
      <c r="A41" s="129" t="s">
        <v>811</v>
      </c>
      <c r="B41" s="193"/>
      <c r="C41" s="194"/>
      <c r="D41" s="195"/>
      <c r="E41" s="288"/>
      <c r="F41" s="136">
        <f>Q41/18</f>
        <v>5536768</v>
      </c>
      <c r="G41" s="190">
        <f t="shared" ref="G41" si="53">F41/F40-1</f>
        <v>-0.14853222772897623</v>
      </c>
      <c r="H41" s="190">
        <f t="shared" ref="H41" si="54">F41/F29-1</f>
        <v>0.54718132913594308</v>
      </c>
      <c r="I41" s="130">
        <f t="shared" si="0"/>
        <v>295.41253712485985</v>
      </c>
      <c r="J41" s="130">
        <f t="shared" si="4"/>
        <v>-0.39879996216322244</v>
      </c>
      <c r="K41" s="193"/>
      <c r="L41" s="190"/>
      <c r="M41" s="190"/>
      <c r="N41" s="193"/>
      <c r="O41" s="193"/>
      <c r="P41" s="129" t="s">
        <v>811</v>
      </c>
      <c r="Q41" s="116">
        <v>99661824</v>
      </c>
      <c r="R41" s="116">
        <v>145687211216</v>
      </c>
      <c r="S41" s="116">
        <v>337364.91</v>
      </c>
      <c r="T41" s="130">
        <f t="shared" ref="T41" si="55">Q41/S41</f>
        <v>295.41253712485985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5756698</v>
      </c>
      <c r="G42" s="190">
        <f t="shared" ref="G42" si="56">F42/F41-1</f>
        <v>3.972172935546503E-2</v>
      </c>
      <c r="H42" s="190">
        <f t="shared" ref="H42" si="57">F42/F30-1</f>
        <v>0.27539577642197788</v>
      </c>
      <c r="I42" s="130">
        <f t="shared" si="0"/>
        <v>285.01288058945363</v>
      </c>
      <c r="J42" s="130">
        <f t="shared" si="4"/>
        <v>-0.50660623730127141</v>
      </c>
      <c r="K42" s="193"/>
      <c r="L42" s="190"/>
      <c r="M42" s="190"/>
      <c r="N42" s="193"/>
      <c r="O42" s="193"/>
      <c r="P42" s="129" t="s">
        <v>826</v>
      </c>
      <c r="Q42" s="116">
        <v>115133960</v>
      </c>
      <c r="R42" s="116">
        <v>166586614270</v>
      </c>
      <c r="S42" s="116">
        <v>403960.55</v>
      </c>
      <c r="T42" s="130">
        <f t="shared" ref="T42" si="58">Q42/S42</f>
        <v>285.01288058945363</v>
      </c>
      <c r="U42" s="78"/>
    </row>
    <row r="43" spans="1:21" s="79" customFormat="1" ht="13.2">
      <c r="A43" s="129" t="s">
        <v>835</v>
      </c>
      <c r="B43" s="188">
        <f>SUM(F41:F43)</f>
        <v>16889788.449999999</v>
      </c>
      <c r="C43" s="188">
        <f>AVERAGE(F41:F43)</f>
        <v>5629929.4833333334</v>
      </c>
      <c r="D43" s="190">
        <f>C43/C40-1</f>
        <v>-8.5388458918277732E-2</v>
      </c>
      <c r="E43" s="287">
        <f>C43/C31-1</f>
        <v>0.34435341126752039</v>
      </c>
      <c r="F43" s="136">
        <f>Q43/20</f>
        <v>5596322.4500000002</v>
      </c>
      <c r="G43" s="190">
        <f t="shared" ref="G43" si="59">F43/F42-1</f>
        <v>-2.7858947959403135E-2</v>
      </c>
      <c r="H43" s="190">
        <f t="shared" ref="H43" si="60">F43/F31-1</f>
        <v>0.25162901447051156</v>
      </c>
      <c r="I43" s="130">
        <f t="shared" si="0"/>
        <v>289.63635911017406</v>
      </c>
      <c r="J43" s="130">
        <f t="shared" si="4"/>
        <v>-6.4952563636601957E-2</v>
      </c>
      <c r="K43" s="136">
        <f>R41+R42+R43</f>
        <v>474583162572</v>
      </c>
      <c r="L43" s="190">
        <f>U43/U40-1</f>
        <v>-0.14412608409867755</v>
      </c>
      <c r="M43" s="190">
        <f>K43/K31-1</f>
        <v>0.41033323016056111</v>
      </c>
      <c r="N43" s="191">
        <f>AVERAGE(T41:T43)</f>
        <v>290.02059227482914</v>
      </c>
      <c r="O43" s="192">
        <f>N43/N40-1</f>
        <v>-3.438010939132552E-2</v>
      </c>
      <c r="P43" s="129" t="s">
        <v>835</v>
      </c>
      <c r="Q43" s="116">
        <v>111926449</v>
      </c>
      <c r="R43" s="116">
        <v>162309337086</v>
      </c>
      <c r="S43" s="116">
        <v>386437.84</v>
      </c>
      <c r="T43" s="130">
        <f t="shared" ref="T43" si="61">Q43/S43</f>
        <v>289.63635911017406</v>
      </c>
      <c r="U43" s="85">
        <f>Q41+Q42+Q43</f>
        <v>326722233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4992487.6363636367</v>
      </c>
      <c r="G44" s="190">
        <f t="shared" ref="G44" si="62">F44/F43-1</f>
        <v>-0.10789850281703539</v>
      </c>
      <c r="H44" s="190">
        <f t="shared" ref="H44" si="63">F44/F32-1</f>
        <v>0.16064773081098482</v>
      </c>
      <c r="I44" s="130">
        <f t="shared" si="0"/>
        <v>241.91861950698168</v>
      </c>
      <c r="J44" s="130">
        <f t="shared" si="4"/>
        <v>-0.17813767707305472</v>
      </c>
      <c r="K44" s="136"/>
      <c r="L44" s="190"/>
      <c r="M44" s="190"/>
      <c r="N44" s="191"/>
      <c r="O44" s="192"/>
      <c r="P44" s="129" t="s">
        <v>843</v>
      </c>
      <c r="Q44" s="116">
        <v>109834728</v>
      </c>
      <c r="R44" s="116">
        <v>159110195040</v>
      </c>
      <c r="S44" s="116">
        <v>454015.19</v>
      </c>
      <c r="T44" s="130">
        <f t="shared" ref="T44" si="64">Q44/S44</f>
        <v>241.91861950698168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6293437</v>
      </c>
      <c r="G45" s="190">
        <f t="shared" ref="G45" si="65">F45/F44-1</f>
        <v>0.26058138915771689</v>
      </c>
      <c r="H45" s="190">
        <f t="shared" ref="H45" si="66">F45/F33-1</f>
        <v>0.45641680049167355</v>
      </c>
      <c r="I45" s="130">
        <f t="shared" si="0"/>
        <v>353.83197369827349</v>
      </c>
      <c r="J45" s="130">
        <f t="shared" si="4"/>
        <v>0.28432611914334638</v>
      </c>
      <c r="K45" s="136"/>
      <c r="L45" s="190"/>
      <c r="M45" s="190"/>
      <c r="N45" s="191"/>
      <c r="O45" s="192"/>
      <c r="P45" s="129" t="s">
        <v>849</v>
      </c>
      <c r="Q45" s="116">
        <v>125868740</v>
      </c>
      <c r="R45" s="116">
        <v>177111494423</v>
      </c>
      <c r="S45" s="116">
        <v>355730.26</v>
      </c>
      <c r="T45" s="130">
        <f t="shared" ref="T45" si="67">Q45/S45</f>
        <v>353.83197369827349</v>
      </c>
      <c r="U45" s="85"/>
    </row>
    <row r="46" spans="1:21" s="79" customFormat="1" ht="13.2">
      <c r="A46" s="129" t="s">
        <v>888</v>
      </c>
      <c r="B46" s="188">
        <f>SUM(F44:F46)</f>
        <v>19128001.583732057</v>
      </c>
      <c r="C46" s="188">
        <f>AVERAGE(F44:F46)</f>
        <v>6376000.5279106861</v>
      </c>
      <c r="D46" s="190">
        <f>C46/C43-1</f>
        <v>0.13251871924612879</v>
      </c>
      <c r="E46" s="287">
        <f>C46/C34-1</f>
        <v>0.36732784725363699</v>
      </c>
      <c r="F46" s="136">
        <f>Q46/19</f>
        <v>7842076.9473684207</v>
      </c>
      <c r="G46" s="190">
        <f t="shared" ref="G46" si="68">F46/F45-1</f>
        <v>0.24607220940932928</v>
      </c>
      <c r="H46" s="190">
        <f t="shared" ref="H46" si="69">F46/F34-1</f>
        <v>0.46125143888428632</v>
      </c>
      <c r="I46" s="130">
        <f t="shared" si="0"/>
        <v>408.25803776669005</v>
      </c>
      <c r="J46" s="130">
        <f t="shared" si="4"/>
        <v>0.65740499019314025</v>
      </c>
      <c r="K46" s="136">
        <f>R44+R45+R46</f>
        <v>540289523720</v>
      </c>
      <c r="L46" s="190">
        <f>U46/U43-1</f>
        <v>0.17746174316824037</v>
      </c>
      <c r="M46" s="190">
        <f>K46/K34-1</f>
        <v>0.39633701468476823</v>
      </c>
      <c r="N46" s="191">
        <f>AVERAGE(T44:T46)</f>
        <v>334.66954365731505</v>
      </c>
      <c r="O46" s="192">
        <f>N46/N43-1</f>
        <v>0.1539509695924477</v>
      </c>
      <c r="P46" s="129" t="s">
        <v>928</v>
      </c>
      <c r="Q46" s="116">
        <v>148999462</v>
      </c>
      <c r="R46" s="116">
        <v>204067834257</v>
      </c>
      <c r="S46" s="116">
        <v>364963.94</v>
      </c>
      <c r="T46" s="130">
        <f t="shared" ref="T46" si="70">Q46/S46</f>
        <v>408.25803776669005</v>
      </c>
      <c r="U46" s="85">
        <f t="shared" ref="U46:U51" si="71">Q44+Q45+Q46</f>
        <v>384702930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5740068.3913043477</v>
      </c>
      <c r="G47" s="190">
        <f t="shared" ref="G47" si="72">F47/F46-1</f>
        <v>-0.26804232732878852</v>
      </c>
      <c r="H47" s="190">
        <f t="shared" ref="H47" si="73">F47/F35-1</f>
        <v>0.13227579302444092</v>
      </c>
      <c r="I47" s="130">
        <f t="shared" si="0"/>
        <v>294.31301601973786</v>
      </c>
      <c r="J47" s="130">
        <f t="shared" si="4"/>
        <v>-2.8203905137984986E-2</v>
      </c>
      <c r="K47" s="136"/>
      <c r="L47" s="190"/>
      <c r="M47" s="190"/>
      <c r="N47" s="191"/>
      <c r="O47" s="192"/>
      <c r="P47" s="129" t="s">
        <v>1044</v>
      </c>
      <c r="Q47" s="116">
        <v>132021573</v>
      </c>
      <c r="R47" s="116">
        <v>181013735318</v>
      </c>
      <c r="S47" s="116">
        <v>448575.38</v>
      </c>
      <c r="T47" s="130">
        <f t="shared" ref="T47" si="74">Q47/S47</f>
        <v>294.31301601973786</v>
      </c>
      <c r="U47" s="85">
        <f t="shared" si="71"/>
        <v>406889775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6366359.4000000004</v>
      </c>
      <c r="G48" s="190">
        <f t="shared" ref="G48" si="75">F48/F47-1</f>
        <v>0.10910863181428709</v>
      </c>
      <c r="H48" s="190">
        <f t="shared" ref="H48" si="76">F48/F36-1</f>
        <v>7.8169778387675137E-2</v>
      </c>
      <c r="I48" s="130">
        <f t="shared" si="0"/>
        <v>347.00365145401906</v>
      </c>
      <c r="J48" s="130">
        <f t="shared" si="4"/>
        <v>0.41874108894097528</v>
      </c>
      <c r="K48" s="136"/>
      <c r="L48" s="190"/>
      <c r="M48" s="190"/>
      <c r="N48" s="191"/>
      <c r="O48" s="192"/>
      <c r="P48" s="129" t="s">
        <v>1070</v>
      </c>
      <c r="Q48" s="116">
        <v>127327188</v>
      </c>
      <c r="R48" s="116">
        <v>176622552077</v>
      </c>
      <c r="S48" s="116">
        <v>366933.28</v>
      </c>
      <c r="T48" s="130">
        <f t="shared" ref="T48" si="77">Q48/S48</f>
        <v>347.00365145401906</v>
      </c>
      <c r="U48" s="85">
        <f t="shared" si="71"/>
        <v>408348223</v>
      </c>
    </row>
    <row r="49" spans="1:26" ht="13.2">
      <c r="A49" s="129" t="s">
        <v>1158</v>
      </c>
      <c r="B49" s="188">
        <f>SUM(F47:F49)</f>
        <v>17055778.88221344</v>
      </c>
      <c r="C49" s="188">
        <f>AVERAGE(F47:F49)</f>
        <v>5685259.6274044802</v>
      </c>
      <c r="D49" s="190">
        <f>C49/C46-1</f>
        <v>-0.10833451118495285</v>
      </c>
      <c r="E49" s="287">
        <f>C49/C37-1</f>
        <v>-3.1026407059567274E-2</v>
      </c>
      <c r="F49" s="136">
        <f>Q49/22</f>
        <v>4949351.0909090908</v>
      </c>
      <c r="G49" s="190">
        <f t="shared" ref="G49" si="78">F49/F48-1</f>
        <v>-0.22257749210497124</v>
      </c>
      <c r="H49" s="190">
        <f t="shared" ref="H49" si="79">F49/F37-1</f>
        <v>-0.2532237165971738</v>
      </c>
      <c r="I49" s="130">
        <f t="shared" si="0"/>
        <v>238.6115571024657</v>
      </c>
      <c r="J49" s="130">
        <f t="shared" si="4"/>
        <v>-0.27786227547847042</v>
      </c>
      <c r="K49" s="136">
        <f>R47+R48+R49</f>
        <v>508945462236</v>
      </c>
      <c r="L49" s="190">
        <f>U49/U46-1</f>
        <v>-4.2808213080155144E-2</v>
      </c>
      <c r="M49" s="190">
        <f>K49/K37-1</f>
        <v>3.8601631792273494E-2</v>
      </c>
      <c r="N49" s="191">
        <f>AVERAGE(T47:T49)</f>
        <v>293.30940819207422</v>
      </c>
      <c r="O49" s="192">
        <f>N49/N46-1</f>
        <v>-0.12358499973810444</v>
      </c>
      <c r="P49" s="129" t="s">
        <v>1158</v>
      </c>
      <c r="Q49" s="116">
        <v>108885724</v>
      </c>
      <c r="R49" s="116">
        <v>151309174841</v>
      </c>
      <c r="S49" s="116">
        <v>456330.47</v>
      </c>
      <c r="T49" s="130">
        <f t="shared" ref="T49" si="80">Q49/S49</f>
        <v>238.6115571024657</v>
      </c>
      <c r="U49" s="85">
        <f t="shared" si="71"/>
        <v>368234485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6358421.944444444</v>
      </c>
      <c r="G50" s="190">
        <f t="shared" ref="G50" si="81">F50/F49-1</f>
        <v>0.2846981003476432</v>
      </c>
      <c r="H50" s="190">
        <f t="shared" ref="H50" si="82">F50/F38-1</f>
        <v>4.9582749947238547E-2</v>
      </c>
      <c r="I50" s="130">
        <f t="shared" ref="I50" si="83">T50</f>
        <v>357.37623799320784</v>
      </c>
      <c r="J50" s="130">
        <f t="shared" ref="J50" si="84">I50/I38-1</f>
        <v>0.28367521842541499</v>
      </c>
      <c r="K50" s="136"/>
      <c r="L50" s="190"/>
      <c r="M50" s="190"/>
      <c r="N50" s="191"/>
      <c r="O50" s="192"/>
      <c r="P50" s="129" t="s">
        <v>1293</v>
      </c>
      <c r="Q50" s="116">
        <v>114451595</v>
      </c>
      <c r="R50" s="116">
        <v>161610748772</v>
      </c>
      <c r="S50" s="116">
        <v>320255.19</v>
      </c>
      <c r="T50" s="130">
        <f t="shared" ref="T50" si="85">Q50/S50</f>
        <v>357.37623799320784</v>
      </c>
      <c r="U50" s="85">
        <f t="shared" si="71"/>
        <v>350664507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6188333.5</v>
      </c>
      <c r="G51" s="190">
        <f t="shared" ref="G51:G52" si="86">F51/F50-1</f>
        <v>-2.6750103395238756E-2</v>
      </c>
      <c r="H51" s="190">
        <f t="shared" ref="H51:H52" si="87">F51/F39-1</f>
        <v>4.7811304827034329E-2</v>
      </c>
      <c r="I51" s="130">
        <f t="shared" ref="I51:I52" si="88">T51</f>
        <v>369.96148195904254</v>
      </c>
      <c r="J51" s="130">
        <f t="shared" ref="J51:J52" si="89">I51/I39-1</f>
        <v>0.10559731129230743</v>
      </c>
      <c r="K51" s="136"/>
      <c r="L51" s="190"/>
      <c r="M51" s="190"/>
      <c r="N51" s="191"/>
      <c r="O51" s="192"/>
      <c r="P51" s="129" t="s">
        <v>1402</v>
      </c>
      <c r="Q51" s="116">
        <v>123766670</v>
      </c>
      <c r="R51" s="116">
        <v>179231917011</v>
      </c>
      <c r="S51" s="116">
        <v>334539.34000000003</v>
      </c>
      <c r="T51" s="130">
        <f t="shared" ref="T51:T52" si="90">Q51/S51</f>
        <v>369.96148195904254</v>
      </c>
      <c r="U51" s="85">
        <f t="shared" si="71"/>
        <v>347103989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18031582.580808081</v>
      </c>
      <c r="C52" s="188">
        <f>AVERAGE(F50:F52)</f>
        <v>6010527.5269360272</v>
      </c>
      <c r="D52" s="190">
        <f>C52/C49-1</f>
        <v>5.7212497027166132E-2</v>
      </c>
      <c r="E52" s="287">
        <f>C52/C40-1</f>
        <v>-2.3558312693062855E-2</v>
      </c>
      <c r="F52" s="136">
        <f>Q52/22</f>
        <v>5484827.1363636367</v>
      </c>
      <c r="G52" s="190">
        <f t="shared" si="86"/>
        <v>-0.11368268430206019</v>
      </c>
      <c r="H52" s="190">
        <f t="shared" si="87"/>
        <v>-0.15651991503143992</v>
      </c>
      <c r="I52" s="130">
        <f t="shared" si="88"/>
        <v>307.39684519937327</v>
      </c>
      <c r="J52" s="130">
        <f t="shared" si="89"/>
        <v>6.7302328565339575E-2</v>
      </c>
      <c r="K52" s="136">
        <f>R50+R51+R52</f>
        <v>518342179110</v>
      </c>
      <c r="L52" s="190">
        <f>U52/U49-1</f>
        <v>-2.5391492054308795E-2</v>
      </c>
      <c r="M52" s="190">
        <f>K52/K40-1</f>
        <v>-2.107089497844028E-2</v>
      </c>
      <c r="N52" s="191">
        <f>AVERAGE(T50:T52)</f>
        <v>344.9115217172079</v>
      </c>
      <c r="O52" s="192">
        <f>N52/N49-1</f>
        <v>0.17593064553640891</v>
      </c>
      <c r="P52" s="129" t="s">
        <v>1403</v>
      </c>
      <c r="Q52" s="116">
        <v>120666197</v>
      </c>
      <c r="R52" s="116">
        <v>177499513327</v>
      </c>
      <c r="S52" s="116">
        <v>392542.08</v>
      </c>
      <c r="T52" s="130">
        <f t="shared" si="90"/>
        <v>307.39684519937327</v>
      </c>
      <c r="U52" s="85">
        <f t="shared" ref="U52" si="91">Q50+Q51+Q52</f>
        <v>358884462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7003216.333333333</v>
      </c>
      <c r="G53" s="190">
        <f t="shared" ref="G53" si="92">F53/F52-1</f>
        <v>0.27683446701592263</v>
      </c>
      <c r="H53" s="190">
        <f t="shared" ref="H53" si="93">F53/F41-1</f>
        <v>0.26485638071404338</v>
      </c>
      <c r="I53" s="130">
        <f t="shared" ref="I53" si="94">T53</f>
        <v>272.22203938454396</v>
      </c>
      <c r="J53" s="130">
        <f t="shared" ref="J53" si="95">I53/I41-1</f>
        <v>-7.8502077014132032E-2</v>
      </c>
      <c r="K53" s="136"/>
      <c r="L53" s="190"/>
      <c r="M53" s="190"/>
      <c r="N53" s="191"/>
      <c r="O53" s="192"/>
      <c r="P53" s="129" t="s">
        <v>1414</v>
      </c>
      <c r="Q53" s="116">
        <v>147067543</v>
      </c>
      <c r="R53" s="116">
        <v>214034771532</v>
      </c>
      <c r="S53" s="116">
        <v>540248.48</v>
      </c>
      <c r="T53" s="130">
        <f t="shared" ref="T53" si="96">Q53/S53</f>
        <v>272.22203938454396</v>
      </c>
      <c r="U53" s="85">
        <f t="shared" ref="U53" si="97">Q51+Q52+Q53</f>
        <v>391500410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7595023.4705882352</v>
      </c>
      <c r="G54" s="190">
        <f t="shared" ref="G54" si="98">F54/F53-1</f>
        <v>8.4505048692850915E-2</v>
      </c>
      <c r="H54" s="190">
        <f t="shared" ref="H54" si="99">F54/F42-1</f>
        <v>0.31933679178380303</v>
      </c>
      <c r="I54" s="130">
        <f t="shared" ref="I54" si="100">T54</f>
        <v>263.78440405349249</v>
      </c>
      <c r="J54" s="130">
        <f t="shared" ref="J54" si="101">I54/I42-1</f>
        <v>-7.4482516341216387E-2</v>
      </c>
      <c r="K54" s="136"/>
      <c r="L54" s="190"/>
      <c r="M54" s="190"/>
      <c r="N54" s="191"/>
      <c r="O54" s="192"/>
      <c r="P54" s="129" t="s">
        <v>1417</v>
      </c>
      <c r="Q54" s="116">
        <v>129115399</v>
      </c>
      <c r="R54" s="116">
        <v>187005825393</v>
      </c>
      <c r="S54" s="116">
        <v>489473.21</v>
      </c>
      <c r="T54" s="130">
        <f t="shared" ref="T54" si="102">Q54/S54</f>
        <v>263.78440405349249</v>
      </c>
      <c r="U54" s="85">
        <f t="shared" ref="U54" si="103">Q52+Q53+Q54</f>
        <v>396849139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23219613.137254901</v>
      </c>
      <c r="C55" s="188">
        <f>AVERAGE(F53:F55)</f>
        <v>7739871.0457516341</v>
      </c>
      <c r="D55" s="190">
        <f>C55/C52-1</f>
        <v>0.28771909138850082</v>
      </c>
      <c r="E55" s="287">
        <f>C55/C43-1</f>
        <v>0.37477228954012753</v>
      </c>
      <c r="F55" s="136">
        <f>Q55/21</f>
        <v>8621373.333333334</v>
      </c>
      <c r="G55" s="190">
        <f t="shared" ref="G55" si="104">F55/F54-1</f>
        <v>0.13513452153500816</v>
      </c>
      <c r="H55" s="190">
        <f t="shared" ref="H55" si="105">F55/F43-1</f>
        <v>0.54054263498225219</v>
      </c>
      <c r="I55" s="130">
        <f>T55</f>
        <v>292.01395663075442</v>
      </c>
      <c r="J55" s="130">
        <f t="shared" ref="J55" si="106">I55/I43-1</f>
        <v>8.2089055665692801E-3</v>
      </c>
      <c r="K55" s="136">
        <f>R53+R54+R55</f>
        <v>667370693422</v>
      </c>
      <c r="L55" s="190">
        <f>U55/U52-1</f>
        <v>0.27403616041755519</v>
      </c>
      <c r="M55" s="190">
        <f>K55/K43-1</f>
        <v>0.40622496972962407</v>
      </c>
      <c r="N55" s="191">
        <f>AVERAGE(T53:T55)</f>
        <v>276.00680002293029</v>
      </c>
      <c r="O55" s="192">
        <f>N55/N52-1</f>
        <v>-0.19977506506950615</v>
      </c>
      <c r="P55" s="129" t="s">
        <v>1418</v>
      </c>
      <c r="Q55" s="116">
        <v>181048840</v>
      </c>
      <c r="R55" s="116">
        <v>266330096497</v>
      </c>
      <c r="S55" s="116">
        <v>620000.64</v>
      </c>
      <c r="T55" s="130">
        <f t="shared" ref="T55" si="107">Q55/S55</f>
        <v>292.01395663075442</v>
      </c>
      <c r="U55" s="85">
        <f t="shared" ref="U55" si="108">Q53+Q54+Q55</f>
        <v>457231782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5617761.4545454541</v>
      </c>
      <c r="G56" s="190">
        <f t="shared" ref="G56" si="109">F56/F55-1</f>
        <v>-0.34839134818287409</v>
      </c>
      <c r="H56" s="190">
        <f t="shared" ref="H56" si="110">F56/F44-1</f>
        <v>0.12524293773459316</v>
      </c>
      <c r="I56" s="291">
        <f>T56</f>
        <v>249.55341437332095</v>
      </c>
      <c r="J56" s="130">
        <f t="shared" ref="J56" si="111">I56/I44-1</f>
        <v>3.1559351991585549E-2</v>
      </c>
      <c r="K56" s="136"/>
      <c r="L56" s="190"/>
      <c r="M56" s="190"/>
      <c r="N56" s="191"/>
      <c r="O56" s="192"/>
      <c r="P56" s="129" t="s">
        <v>1420</v>
      </c>
      <c r="Q56" s="116">
        <v>123590752</v>
      </c>
      <c r="R56" s="116">
        <v>184450421965</v>
      </c>
      <c r="S56" s="116">
        <v>495247.69</v>
      </c>
      <c r="T56" s="130">
        <f t="shared" ref="T56" si="112">Q56/S56</f>
        <v>249.55341437332095</v>
      </c>
      <c r="U56" s="85">
        <f t="shared" ref="U56" si="113">Q54+Q55+Q56</f>
        <v>433754991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6945007.333333333</v>
      </c>
      <c r="G57" s="254">
        <f t="shared" ref="G57" si="114">F57/F56-1</f>
        <v>0.23625885319747342</v>
      </c>
      <c r="H57" s="254">
        <f t="shared" ref="H57" si="115">F57/F45-1</f>
        <v>0.10353171618836154</v>
      </c>
      <c r="I57" s="282">
        <f>T57</f>
        <v>357.28766389546803</v>
      </c>
      <c r="J57" s="277">
        <f t="shared" ref="J57" si="116">I57/I45-1</f>
        <v>9.7664723769179673E-3</v>
      </c>
      <c r="K57" s="204"/>
      <c r="L57" s="254"/>
      <c r="M57" s="254"/>
      <c r="N57" s="257"/>
      <c r="O57" s="258"/>
      <c r="P57" s="129" t="s">
        <v>1436</v>
      </c>
      <c r="Q57" s="116">
        <v>83340088</v>
      </c>
      <c r="R57" s="116">
        <v>122804213809</v>
      </c>
      <c r="S57" s="116">
        <v>233257.67</v>
      </c>
      <c r="T57" s="130">
        <f t="shared" ref="T57" si="117">Q57/S57</f>
        <v>357.28766389546803</v>
      </c>
      <c r="U57" s="85">
        <f t="shared" ref="U57" si="118">Q55+Q56+Q57</f>
        <v>387979680</v>
      </c>
      <c r="V57" s="79"/>
      <c r="W57" s="79"/>
      <c r="X57" s="79"/>
      <c r="Y57" s="79"/>
      <c r="Z57" s="79"/>
    </row>
    <row r="58" spans="1:26">
      <c r="B58" s="196">
        <f>SUM(F56:F58)</f>
        <v>12562768.787878787</v>
      </c>
      <c r="C58" s="196">
        <f>AVERAGE(F56:F58)</f>
        <v>6281384.3939393936</v>
      </c>
      <c r="D58" s="197">
        <f>C58/C55-1</f>
        <v>-0.18843810745565259</v>
      </c>
      <c r="E58" s="233">
        <f>C58/C46-1</f>
        <v>-1.4839417524687204E-2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664162622</v>
      </c>
      <c r="R65" s="212">
        <v>974625329196</v>
      </c>
      <c r="S65" s="213">
        <v>2378227.7200000002</v>
      </c>
      <c r="T65" s="214">
        <v>185</v>
      </c>
      <c r="U65" s="214">
        <v>639</v>
      </c>
    </row>
    <row r="66" spans="16:21" ht="18" thickBot="1">
      <c r="P66" s="180" t="s">
        <v>976</v>
      </c>
      <c r="Q66" s="181">
        <v>147067543</v>
      </c>
      <c r="R66" s="181">
        <v>214034771532</v>
      </c>
      <c r="S66" s="182">
        <v>540248.48</v>
      </c>
      <c r="T66" s="210">
        <v>117</v>
      </c>
      <c r="U66" s="210">
        <v>341</v>
      </c>
    </row>
    <row r="67" spans="16:21" ht="18" thickBot="1">
      <c r="P67" s="180" t="s">
        <v>977</v>
      </c>
      <c r="Q67" s="181">
        <v>129115399</v>
      </c>
      <c r="R67" s="181">
        <v>187005825393</v>
      </c>
      <c r="S67" s="182">
        <v>489473.21</v>
      </c>
      <c r="T67" s="210">
        <v>103</v>
      </c>
      <c r="U67" s="210">
        <v>320</v>
      </c>
    </row>
    <row r="68" spans="16:21" ht="18" thickBot="1">
      <c r="P68" s="180" t="s">
        <v>978</v>
      </c>
      <c r="Q68" s="181">
        <v>181048840</v>
      </c>
      <c r="R68" s="181">
        <v>266330096497</v>
      </c>
      <c r="S68" s="182">
        <v>620000.64</v>
      </c>
      <c r="T68" s="210">
        <v>118</v>
      </c>
      <c r="U68" s="210">
        <v>381</v>
      </c>
    </row>
    <row r="69" spans="16:21" ht="18" thickBot="1">
      <c r="P69" s="180" t="s">
        <v>979</v>
      </c>
      <c r="Q69" s="181">
        <v>123590752</v>
      </c>
      <c r="R69" s="181">
        <v>184450421965</v>
      </c>
      <c r="S69" s="182">
        <v>495247.69</v>
      </c>
      <c r="T69" s="210">
        <v>113</v>
      </c>
      <c r="U69" s="210">
        <v>362</v>
      </c>
    </row>
    <row r="70" spans="16:21" ht="18" thickBot="1">
      <c r="P70" s="180" t="s">
        <v>980</v>
      </c>
      <c r="Q70" s="181">
        <v>83340088</v>
      </c>
      <c r="R70" s="181">
        <v>122804213809</v>
      </c>
      <c r="S70" s="182">
        <v>233257.67</v>
      </c>
      <c r="T70" s="210">
        <v>99</v>
      </c>
      <c r="U70" s="210">
        <v>283</v>
      </c>
    </row>
    <row r="71" spans="16:21" ht="18" thickBot="1">
      <c r="P71" s="180" t="s">
        <v>975</v>
      </c>
      <c r="Q71" s="181">
        <v>1438693031</v>
      </c>
      <c r="R71" s="181">
        <v>2042378088190</v>
      </c>
      <c r="S71" s="182">
        <v>4621464.4400000004</v>
      </c>
      <c r="T71" s="210">
        <v>242</v>
      </c>
      <c r="U71" s="210">
        <v>1138</v>
      </c>
    </row>
    <row r="72" spans="16:21" ht="18" thickBot="1">
      <c r="P72" s="215" t="s">
        <v>982</v>
      </c>
      <c r="Q72" s="217" t="s">
        <v>1481</v>
      </c>
      <c r="R72"/>
      <c r="S72"/>
      <c r="T72"/>
      <c r="U72"/>
    </row>
  </sheetData>
  <phoneticPr fontId="1" type="noConversion"/>
  <conditionalFormatting sqref="C29:C30">
    <cfRule type="cellIs" dxfId="22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0">
    <tabColor rgb="FFFF0000"/>
  </sheetPr>
  <dimension ref="A1:Z73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1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P5" s="129" t="s">
        <v>0</v>
      </c>
      <c r="Q5" s="116">
        <v>82728198</v>
      </c>
      <c r="R5" s="116"/>
      <c r="S5" s="116">
        <v>503589.31</v>
      </c>
      <c r="T5" s="130">
        <f t="shared" ref="T5:T19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1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L7" s="102">
        <f>S5+S6+S7</f>
        <v>1287423.2799999998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102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102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78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102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ref="G17:G22" si="3">F17/F16-1</f>
        <v>-0.10176731503108161</v>
      </c>
      <c r="H17" s="90">
        <f t="shared" ref="H17:H22" si="4">F17/F5-1</f>
        <v>3.778143457204286E-2</v>
      </c>
      <c r="I17" s="130">
        <f t="shared" si="0"/>
        <v>394.59508103894575</v>
      </c>
      <c r="J17" s="130">
        <f t="shared" ref="J17:J49" si="5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t="15" hidden="1" customHeight="1">
      <c r="A18" s="129" t="s">
        <v>106</v>
      </c>
      <c r="C18" s="79"/>
      <c r="F18" s="78">
        <f>Q18/20</f>
        <v>4680857.3499999996</v>
      </c>
      <c r="G18" s="90">
        <f t="shared" si="3"/>
        <v>9.0425351994952052E-2</v>
      </c>
      <c r="H18" s="90">
        <f t="shared" si="4"/>
        <v>2.3166024839873511E-2</v>
      </c>
      <c r="I18" s="130">
        <f t="shared" si="0"/>
        <v>387.11032604225767</v>
      </c>
      <c r="J18" s="130">
        <f t="shared" si="5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3"/>
        <v>-8.3612438104858189E-2</v>
      </c>
      <c r="H19" s="90">
        <f t="shared" si="4"/>
        <v>-5.2541256077742293E-2</v>
      </c>
      <c r="I19" s="130">
        <f t="shared" si="0"/>
        <v>371.62620767084996</v>
      </c>
      <c r="J19" s="130">
        <f t="shared" si="5"/>
        <v>0.24621824567302197</v>
      </c>
      <c r="K19" s="78">
        <f>R17+R18+R19</f>
        <v>348191779612</v>
      </c>
      <c r="L19" s="102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4833594.4000000004</v>
      </c>
      <c r="G20" s="90">
        <f t="shared" si="3"/>
        <v>0.12684871234852557</v>
      </c>
      <c r="H20" s="90">
        <f t="shared" si="4"/>
        <v>1.8595451603820479E-2</v>
      </c>
      <c r="I20" s="130">
        <f t="shared" si="0"/>
        <v>388.06021411176471</v>
      </c>
      <c r="J20" s="130">
        <f t="shared" si="5"/>
        <v>0.13967851885527316</v>
      </c>
      <c r="O20" s="89"/>
      <c r="P20" s="129" t="s">
        <v>132</v>
      </c>
      <c r="Q20" s="116">
        <v>96671888</v>
      </c>
      <c r="R20" s="116">
        <v>126831600241</v>
      </c>
      <c r="S20" s="116">
        <v>249115.69</v>
      </c>
      <c r="T20" s="130">
        <f t="shared" ref="T20" si="6">Q20/S20</f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3"/>
        <v>-0.22536151603965004</v>
      </c>
      <c r="H21" s="90">
        <f t="shared" si="4"/>
        <v>-0.16306328381537394</v>
      </c>
      <c r="I21" s="130">
        <f t="shared" si="0"/>
        <v>298.78067320867848</v>
      </c>
      <c r="J21" s="130">
        <f t="shared" si="5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ref="T21" si="7">Q21/S21</f>
        <v>298.78067320867848</v>
      </c>
      <c r="U21" s="78"/>
    </row>
    <row r="22" spans="1:21" hidden="1">
      <c r="A22" s="129" t="s">
        <v>156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3"/>
        <v>0.43624171282194113</v>
      </c>
      <c r="H22" s="90">
        <f t="shared" si="4"/>
        <v>0.15963741877671689</v>
      </c>
      <c r="I22" s="130">
        <f t="shared" si="0"/>
        <v>501.60319972810004</v>
      </c>
      <c r="J22" s="130">
        <f t="shared" si="5"/>
        <v>0.62680510141248091</v>
      </c>
      <c r="K22" s="78">
        <f>R20+R21+R22</f>
        <v>378361942479</v>
      </c>
      <c r="L22" s="102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156</v>
      </c>
      <c r="Q22" s="116">
        <v>112931762</v>
      </c>
      <c r="R22" s="116">
        <v>146805886803</v>
      </c>
      <c r="S22" s="116">
        <v>225141.63</v>
      </c>
      <c r="T22" s="130">
        <f t="shared" ref="T22:T23" si="8">Q22/S22</f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ref="G23" si="9">F23/F22-1</f>
        <v>-0.11490330771603474</v>
      </c>
      <c r="H23" s="90">
        <f t="shared" ref="H23" si="10">F23/F11-1</f>
        <v>-9.0928128396544627E-3</v>
      </c>
      <c r="I23" s="130">
        <f t="shared" si="0"/>
        <v>442.8151839063238</v>
      </c>
      <c r="J23" s="130">
        <f t="shared" si="5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8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ref="G24" si="11">F24/F23-1</f>
        <v>9.9229733454764713E-2</v>
      </c>
      <c r="H24" s="90">
        <f t="shared" ref="H24" si="12">F24/F12-1</f>
        <v>0.20142495115442061</v>
      </c>
      <c r="I24" s="130">
        <f t="shared" si="0"/>
        <v>386.44182825568464</v>
      </c>
      <c r="J24" s="130">
        <f t="shared" si="5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ref="T24" si="13">Q24/S24</f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ref="G25" si="14">F25/F24-1</f>
        <v>-0.1607874671182743</v>
      </c>
      <c r="H25" s="90">
        <f t="shared" ref="H25" si="15">F25/F13-1</f>
        <v>-6.2419160811701846E-2</v>
      </c>
      <c r="I25" s="130">
        <f t="shared" si="0"/>
        <v>320.10995608187625</v>
      </c>
      <c r="J25" s="130">
        <f t="shared" si="5"/>
        <v>0.24145620744036322</v>
      </c>
      <c r="K25" s="78">
        <f>R23+R24+R25</f>
        <v>390173393418</v>
      </c>
      <c r="L25" s="102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ref="T25" si="16">Q25/S25</f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ref="G26" si="17">F26/F25-1</f>
        <v>0.2398070837031121</v>
      </c>
      <c r="H26" s="90">
        <f t="shared" ref="H26" si="18">F26/F14-1</f>
        <v>0.40162798569160518</v>
      </c>
      <c r="I26" s="130">
        <f t="shared" si="0"/>
        <v>157.49966694006335</v>
      </c>
      <c r="J26" s="130">
        <f t="shared" si="5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ref="T26" si="19">Q26/S26</f>
        <v>157.49966694006335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5295164.9090909092</v>
      </c>
      <c r="G27" s="90">
        <f t="shared" ref="G27" si="20">F27/F26-1</f>
        <v>-2.730334777705945E-2</v>
      </c>
      <c r="H27" s="90">
        <f t="shared" ref="H27" si="21">F27/F15-1</f>
        <v>0.22379729522222225</v>
      </c>
      <c r="I27" s="130">
        <f t="shared" si="0"/>
        <v>178.36288700088463</v>
      </c>
      <c r="J27" s="130">
        <f t="shared" si="5"/>
        <v>-0.39016987948997184</v>
      </c>
      <c r="L27" s="90"/>
      <c r="M27" s="90"/>
      <c r="P27" s="129" t="s">
        <v>378</v>
      </c>
      <c r="Q27" s="116">
        <v>116493628</v>
      </c>
      <c r="R27" s="116">
        <v>153712740241</v>
      </c>
      <c r="S27" s="116">
        <v>653127.06000000006</v>
      </c>
      <c r="T27" s="130">
        <f t="shared" ref="T27" si="22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23">F28/F27-1</f>
        <v>0.13744221542992441</v>
      </c>
      <c r="H28" s="90">
        <f t="shared" ref="H28" si="24">F28/F16-1</f>
        <v>0.26028341465568072</v>
      </c>
      <c r="I28" s="130">
        <f t="shared" si="0"/>
        <v>242.25023228819944</v>
      </c>
      <c r="J28" s="130">
        <f t="shared" si="5"/>
        <v>-0.31343853133906074</v>
      </c>
      <c r="K28" s="78">
        <f>R26+R27+R28</f>
        <v>442560570561</v>
      </c>
      <c r="L28" s="102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25">Q28/S28</f>
        <v>242.25023228819944</v>
      </c>
      <c r="U28" s="85">
        <f>Q26+Q27+Q28</f>
        <v>334361744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5579176.7272727275</v>
      </c>
      <c r="G29" s="190">
        <f t="shared" ref="G29" si="26">F29/F28-1</f>
        <v>-7.3679478048392255E-2</v>
      </c>
      <c r="H29" s="190">
        <f t="shared" ref="H29" si="27">F29/F17-1</f>
        <v>0.29969261863500463</v>
      </c>
      <c r="I29" s="130">
        <f t="shared" si="0"/>
        <v>264.82696529644232</v>
      </c>
      <c r="J29" s="130">
        <f t="shared" si="5"/>
        <v>-0.32886399749543649</v>
      </c>
      <c r="K29" s="193"/>
      <c r="L29" s="190"/>
      <c r="M29" s="190"/>
      <c r="N29" s="191"/>
      <c r="O29" s="192"/>
      <c r="P29" s="129" t="s">
        <v>427</v>
      </c>
      <c r="Q29" s="116">
        <v>122741888</v>
      </c>
      <c r="R29" s="116">
        <v>161163060902</v>
      </c>
      <c r="S29" s="116">
        <v>463479.57</v>
      </c>
      <c r="T29" s="130">
        <f t="shared" ref="T29" si="28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29">F30/F29-1</f>
        <v>0.11248481125908016</v>
      </c>
      <c r="H30" s="190">
        <f t="shared" ref="H30" si="30">F30/F18-1</f>
        <v>0.32598558433340274</v>
      </c>
      <c r="I30" s="130">
        <f t="shared" si="0"/>
        <v>190.74238780850513</v>
      </c>
      <c r="J30" s="130">
        <f t="shared" si="5"/>
        <v>-0.50726608158811204</v>
      </c>
      <c r="K30" s="193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31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32">F31/F30-1</f>
        <v>-0.10584052608332872</v>
      </c>
      <c r="H31" s="190">
        <f t="shared" ref="H31" si="33">F31/F19-1</f>
        <v>0.29382220122746849</v>
      </c>
      <c r="I31" s="130">
        <f t="shared" si="0"/>
        <v>391.33479335227287</v>
      </c>
      <c r="J31" s="130">
        <f t="shared" si="5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520</v>
      </c>
      <c r="Q31" s="116">
        <v>110996475</v>
      </c>
      <c r="R31" s="116">
        <v>147370175720</v>
      </c>
      <c r="S31" s="116">
        <v>283635.59000000003</v>
      </c>
      <c r="T31" s="130">
        <f t="shared" ref="T31" si="34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35">F32/F31-1</f>
        <v>0.28844052201185844</v>
      </c>
      <c r="H32" s="190">
        <f t="shared" ref="H32" si="36">F32/F20-1</f>
        <v>0.47935826173660923</v>
      </c>
      <c r="I32" s="130">
        <f t="shared" si="0"/>
        <v>671.67635037551577</v>
      </c>
      <c r="J32" s="130">
        <f t="shared" si="5"/>
        <v>0.73085600107942827</v>
      </c>
      <c r="K32" s="136"/>
      <c r="L32" s="190"/>
      <c r="M32" s="190"/>
      <c r="N32" s="191"/>
      <c r="O32" s="192"/>
      <c r="P32" s="129" t="s">
        <v>562</v>
      </c>
      <c r="Q32" s="116">
        <v>150162974</v>
      </c>
      <c r="R32" s="116">
        <v>204072324088</v>
      </c>
      <c r="S32" s="116">
        <v>223564.48</v>
      </c>
      <c r="T32" s="130">
        <f t="shared" ref="T32" si="37">Q32/S32</f>
        <v>671.67635037551577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5764724.0476190476</v>
      </c>
      <c r="G33" s="190">
        <f t="shared" ref="G33" si="38">F33/F32-1</f>
        <v>-0.19381454845187074</v>
      </c>
      <c r="H33" s="190">
        <f t="shared" ref="H33" si="39">F33/F21-1</f>
        <v>0.53960477427123199</v>
      </c>
      <c r="I33" s="130">
        <f t="shared" si="0"/>
        <v>454.09684997405787</v>
      </c>
      <c r="J33" s="130">
        <f t="shared" si="5"/>
        <v>0.51983341190513133</v>
      </c>
      <c r="K33" s="136"/>
      <c r="L33" s="190"/>
      <c r="M33" s="190"/>
      <c r="N33" s="191"/>
      <c r="O33" s="192"/>
      <c r="P33" s="129" t="s">
        <v>624</v>
      </c>
      <c r="Q33" s="116">
        <v>121059205</v>
      </c>
      <c r="R33" s="116">
        <v>165352178322</v>
      </c>
      <c r="S33" s="116">
        <v>266593.36</v>
      </c>
      <c r="T33" s="130">
        <f t="shared" ref="T33" si="40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41">F34/F33-1</f>
        <v>0.2739024895428559</v>
      </c>
      <c r="H34" s="190">
        <f t="shared" ref="H34" si="42">F34/F22-1</f>
        <v>0.3655823649645964</v>
      </c>
      <c r="I34" s="130">
        <f t="shared" si="0"/>
        <v>516.87545763202604</v>
      </c>
      <c r="J34" s="130">
        <f t="shared" si="5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43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44">F35/F34-1</f>
        <v>-0.15274100193509876</v>
      </c>
      <c r="H35" s="190">
        <f t="shared" ref="H35" si="45">F35/F23-1</f>
        <v>0.3072040110435772</v>
      </c>
      <c r="I35" s="130">
        <f t="shared" si="0"/>
        <v>386.15053104695863</v>
      </c>
      <c r="J35" s="130">
        <f t="shared" si="5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46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47">F36/F35-1</f>
        <v>-0.23218200478376749</v>
      </c>
      <c r="H36" s="190">
        <f t="shared" ref="H36" si="48">F36/F24-1</f>
        <v>-8.6910831693399415E-2</v>
      </c>
      <c r="I36" s="130">
        <f t="shared" si="0"/>
        <v>334.47290786822879</v>
      </c>
      <c r="J36" s="130">
        <f t="shared" si="5"/>
        <v>-0.13448057789715051</v>
      </c>
      <c r="K36" s="136"/>
      <c r="L36" s="190"/>
      <c r="M36" s="190"/>
      <c r="N36" s="191"/>
      <c r="O36" s="192"/>
      <c r="P36" s="129" t="s">
        <v>664</v>
      </c>
      <c r="Q36" s="116">
        <v>100324841</v>
      </c>
      <c r="R36" s="116">
        <v>137239016183</v>
      </c>
      <c r="S36" s="116">
        <v>299949.08</v>
      </c>
      <c r="T36" s="130">
        <f t="shared" ref="T36" si="49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50">F37/F36-1</f>
        <v>7.9609646893601171E-2</v>
      </c>
      <c r="H37" s="190">
        <f t="shared" ref="H37" si="51">F37/F25-1</f>
        <v>0.17464865686984643</v>
      </c>
      <c r="I37" s="130">
        <f t="shared" si="0"/>
        <v>338.89458142881671</v>
      </c>
      <c r="J37" s="130">
        <f t="shared" si="5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52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53">F38/F37-1</f>
        <v>9.8387511802610517E-2</v>
      </c>
      <c r="H38" s="190">
        <f t="shared" ref="H38" si="54">F38/F26-1</f>
        <v>4.0661432267238951E-2</v>
      </c>
      <c r="I38" s="130">
        <f t="shared" si="0"/>
        <v>258.661752300898</v>
      </c>
      <c r="J38" s="130">
        <f t="shared" si="5"/>
        <v>0.64230031292276935</v>
      </c>
      <c r="K38" s="136"/>
      <c r="L38" s="190"/>
      <c r="M38" s="190"/>
      <c r="N38" s="191"/>
      <c r="O38" s="192"/>
      <c r="P38" s="129" t="s">
        <v>751</v>
      </c>
      <c r="Q38" s="116">
        <v>113303030</v>
      </c>
      <c r="R38" s="116">
        <v>152489669054</v>
      </c>
      <c r="S38" s="116">
        <v>438035.5</v>
      </c>
      <c r="T38" s="130">
        <f t="shared" ref="T38" si="55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56">F39/F38-1</f>
        <v>-8.2851955671861655E-2</v>
      </c>
      <c r="H39" s="190">
        <f t="shared" ref="H39" si="57">F39/F27-1</f>
        <v>-1.8768497629349956E-2</v>
      </c>
      <c r="I39" s="130">
        <f t="shared" si="0"/>
        <v>297.20587927656499</v>
      </c>
      <c r="J39" s="130">
        <f t="shared" si="5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58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59">F40/F39-1</f>
        <v>6.4661902760237755E-2</v>
      </c>
      <c r="H40" s="190">
        <f t="shared" ref="H40" si="60">F40/F28-1</f>
        <v>-8.1553520529954571E-2</v>
      </c>
      <c r="I40" s="130">
        <f t="shared" si="0"/>
        <v>367.9476870790316</v>
      </c>
      <c r="J40" s="130">
        <f t="shared" si="5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61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62">F41/F40-1</f>
        <v>0.18616882707187066</v>
      </c>
      <c r="H41" s="190">
        <f t="shared" ref="H41" si="63">F41/F29-1</f>
        <v>0.17608598477988391</v>
      </c>
      <c r="I41" s="130">
        <f t="shared" si="0"/>
        <v>398.22239257355119</v>
      </c>
      <c r="J41" s="130">
        <f t="shared" si="5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64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65">F42/F41-1</f>
        <v>-0.1901709737630729</v>
      </c>
      <c r="H42" s="190">
        <f t="shared" ref="H42" si="66">F42/F30-1</f>
        <v>-0.14387274488066215</v>
      </c>
      <c r="I42" s="130">
        <f t="shared" si="0"/>
        <v>388.97282557395312</v>
      </c>
      <c r="J42" s="130">
        <f t="shared" si="5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67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68">F43/F42-1</f>
        <v>0.13318083198712904</v>
      </c>
      <c r="H43" s="190">
        <f t="shared" ref="H43" si="69">F43/F31-1</f>
        <v>8.4982068124235477E-2</v>
      </c>
      <c r="I43" s="130">
        <f t="shared" si="0"/>
        <v>351.6103691630218</v>
      </c>
      <c r="J43" s="130">
        <f t="shared" si="5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70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71">F44/F43-1</f>
        <v>-0.1763417193718827</v>
      </c>
      <c r="H44" s="190">
        <f t="shared" ref="H44" si="72">F44/F32-1</f>
        <v>-0.30640611694815845</v>
      </c>
      <c r="I44" s="130">
        <f t="shared" si="0"/>
        <v>373.74655524806138</v>
      </c>
      <c r="J44" s="130">
        <f t="shared" si="5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73">Q44/S44</f>
        <v>373.74655524806138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4851746.6500000004</v>
      </c>
      <c r="G45" s="190">
        <f t="shared" ref="G45" si="74">F45/F44-1</f>
        <v>-2.1751267015296949E-2</v>
      </c>
      <c r="H45" s="190">
        <f t="shared" ref="H45" si="75">F45/F33-1</f>
        <v>-0.15837313114686313</v>
      </c>
      <c r="I45" s="130">
        <f t="shared" si="0"/>
        <v>421.9883639243036</v>
      </c>
      <c r="J45" s="130">
        <f t="shared" si="5"/>
        <v>-7.0708453607613908E-2</v>
      </c>
      <c r="K45" s="136"/>
      <c r="L45" s="190"/>
      <c r="M45" s="190"/>
      <c r="N45" s="191"/>
      <c r="O45" s="192"/>
      <c r="P45" s="129" t="s">
        <v>849</v>
      </c>
      <c r="Q45" s="116">
        <v>97034933</v>
      </c>
      <c r="R45" s="116">
        <v>136788356183</v>
      </c>
      <c r="S45" s="116">
        <v>229946.94</v>
      </c>
      <c r="T45" s="130">
        <f t="shared" ref="T45" si="76">Q45/S45</f>
        <v>421.9883639243036</v>
      </c>
      <c r="U45" s="85"/>
    </row>
    <row r="46" spans="1:21" s="79" customFormat="1" ht="13.2">
      <c r="A46" s="129" t="s">
        <v>888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77">F46/F45-1</f>
        <v>0.27130262730389987</v>
      </c>
      <c r="H46" s="190">
        <f t="shared" ref="H46" si="78">F46/F34-1</f>
        <v>-0.16009077746091294</v>
      </c>
      <c r="I46" s="130">
        <f t="shared" si="0"/>
        <v>459.06926860713031</v>
      </c>
      <c r="J46" s="130">
        <f t="shared" si="5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945</v>
      </c>
      <c r="Q46" s="116">
        <v>117192727</v>
      </c>
      <c r="R46" s="116">
        <v>160461056830</v>
      </c>
      <c r="S46" s="116">
        <v>255283.32</v>
      </c>
      <c r="T46" s="130">
        <f t="shared" ref="T46" si="79">Q46/S46</f>
        <v>459.06926860713031</v>
      </c>
      <c r="U46" s="85">
        <f t="shared" ref="U46:U51" si="80">Q44+Q45+Q46</f>
        <v>323339405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6056009.1739130439</v>
      </c>
      <c r="G47" s="190">
        <f t="shared" ref="G47" si="81">F47/F46-1</f>
        <v>-1.8162839539113795E-2</v>
      </c>
      <c r="H47" s="190">
        <f t="shared" ref="H47" si="82">F47/F35-1</f>
        <v>-2.6680049446322629E-2</v>
      </c>
      <c r="I47" s="130">
        <f t="shared" si="0"/>
        <v>439.1338897301693</v>
      </c>
      <c r="J47" s="130">
        <f t="shared" si="5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83">Q47/S47</f>
        <v>439.1338897301693</v>
      </c>
      <c r="U47" s="85">
        <f t="shared" si="80"/>
        <v>353515871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6923273.0499999998</v>
      </c>
      <c r="G48" s="190">
        <f t="shared" ref="G48" si="84">F48/F47-1</f>
        <v>0.1432071602240621</v>
      </c>
      <c r="H48" s="190">
        <f t="shared" ref="H48" si="85">F48/F36-1</f>
        <v>0.44917981031238319</v>
      </c>
      <c r="I48" s="130">
        <f t="shared" si="0"/>
        <v>546.2470508615794</v>
      </c>
      <c r="J48" s="130">
        <f t="shared" si="5"/>
        <v>0.6331578373360589</v>
      </c>
      <c r="K48" s="136"/>
      <c r="L48" s="190"/>
      <c r="M48" s="190"/>
      <c r="N48" s="191"/>
      <c r="O48" s="192"/>
      <c r="P48" s="129" t="s">
        <v>1129</v>
      </c>
      <c r="Q48" s="116">
        <v>138465461</v>
      </c>
      <c r="R48" s="116">
        <v>192174405811</v>
      </c>
      <c r="S48" s="116">
        <v>253485.05</v>
      </c>
      <c r="T48" s="130">
        <f t="shared" ref="T48" si="86">Q48/S48</f>
        <v>546.2470508615794</v>
      </c>
      <c r="U48" s="85">
        <f t="shared" si="80"/>
        <v>394946399</v>
      </c>
    </row>
    <row r="49" spans="1:26" ht="13.2">
      <c r="A49" s="129" t="s">
        <v>1158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87">F49/F48-1</f>
        <v>-2.1703509545571431E-2</v>
      </c>
      <c r="H49" s="190">
        <f t="shared" ref="H49" si="88">F49/F37-1</f>
        <v>0.31318530410069645</v>
      </c>
      <c r="I49" s="130">
        <f t="shared" si="0"/>
        <v>508.26243542781816</v>
      </c>
      <c r="J49" s="130">
        <f t="shared" si="5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1165</v>
      </c>
      <c r="Q49" s="116">
        <v>149006302</v>
      </c>
      <c r="R49" s="116">
        <v>207097214482</v>
      </c>
      <c r="S49" s="116">
        <v>293168.03999999998</v>
      </c>
      <c r="T49" s="130">
        <f t="shared" ref="T49" si="89">Q49/S49</f>
        <v>508.26243542781816</v>
      </c>
      <c r="U49" s="85">
        <f t="shared" si="80"/>
        <v>426759974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7786180.277777778</v>
      </c>
      <c r="G50" s="190">
        <f t="shared" ref="G50" si="90">F50/F49-1</f>
        <v>0.1495887342477038</v>
      </c>
      <c r="H50" s="190">
        <f t="shared" ref="H50" si="91">F50/F38-1</f>
        <v>0.37439930384523312</v>
      </c>
      <c r="I50" s="130">
        <f t="shared" ref="I50" si="92">T50</f>
        <v>556.20702877519341</v>
      </c>
      <c r="J50" s="130">
        <f t="shared" ref="J50" si="93">I50/I38-1</f>
        <v>1.1503257587467539</v>
      </c>
      <c r="K50" s="136"/>
      <c r="L50" s="190"/>
      <c r="M50" s="190"/>
      <c r="N50" s="191"/>
      <c r="O50" s="192"/>
      <c r="P50" s="129" t="s">
        <v>1293</v>
      </c>
      <c r="Q50" s="116">
        <v>140151245</v>
      </c>
      <c r="R50" s="116">
        <v>198348188474</v>
      </c>
      <c r="S50" s="116">
        <v>251976.76</v>
      </c>
      <c r="T50" s="130">
        <f t="shared" ref="T50" si="94">Q50/S50</f>
        <v>556.20702877519341</v>
      </c>
      <c r="U50" s="85">
        <f t="shared" si="80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95">F51/F50-1</f>
        <v>-4.0134310615649538E-2</v>
      </c>
      <c r="H51" s="190">
        <f t="shared" ref="H51:H52" si="96">F51/F39-1</f>
        <v>0.43841416163209646</v>
      </c>
      <c r="I51" s="130">
        <f t="shared" ref="I51:I52" si="97">T51</f>
        <v>645.49020420721934</v>
      </c>
      <c r="J51" s="130">
        <f t="shared" ref="J51:J52" si="98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99">Q51/S51</f>
        <v>645.49020420721934</v>
      </c>
      <c r="U51" s="85">
        <f t="shared" si="80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95"/>
        <v>9.2837150995551676E-2</v>
      </c>
      <c r="H52" s="190">
        <f t="shared" si="96"/>
        <v>0.47648040215794185</v>
      </c>
      <c r="I52" s="130">
        <f t="shared" si="97"/>
        <v>524.7098678173486</v>
      </c>
      <c r="J52" s="130">
        <f t="shared" si="98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99"/>
        <v>524.7098678173486</v>
      </c>
      <c r="U52" s="85">
        <f t="shared" ref="U52" si="100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101">F53/F52-1</f>
        <v>-0.2489917873545332</v>
      </c>
      <c r="H53" s="190">
        <f t="shared" ref="H53" si="102">F53/F41-1</f>
        <v>-6.5184582056538876E-2</v>
      </c>
      <c r="I53" s="130">
        <f t="shared" ref="I53" si="103">T53</f>
        <v>374.65414750176109</v>
      </c>
      <c r="J53" s="130">
        <f t="shared" ref="J53" si="104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105">Q53/S53</f>
        <v>374.65414750176109</v>
      </c>
      <c r="U53" s="85">
        <f t="shared" ref="U53" si="106">Q51+Q52+Q53</f>
        <v>457970671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10403684.529411765</v>
      </c>
      <c r="G54" s="190">
        <f t="shared" ref="G54" si="107">F54/F53-1</f>
        <v>0.69610258082751808</v>
      </c>
      <c r="H54" s="190">
        <f t="shared" ref="H54" si="108">F54/F42-1</f>
        <v>0.95787356541031921</v>
      </c>
      <c r="I54" s="130">
        <f t="shared" ref="I54" si="109">T54</f>
        <v>651.02784006200534</v>
      </c>
      <c r="J54" s="130">
        <f t="shared" ref="J54" si="110">I54/I42-1</f>
        <v>0.67371033979397943</v>
      </c>
      <c r="K54" s="136"/>
      <c r="L54" s="190"/>
      <c r="M54" s="190"/>
      <c r="N54" s="191"/>
      <c r="O54" s="192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111">Q54/S54</f>
        <v>651.02784006200534</v>
      </c>
      <c r="U54" s="85">
        <f t="shared" ref="U54" si="112">Q52+Q53+Q54</f>
        <v>485359562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136">
        <f>Q55/21</f>
        <v>6483463.0952380951</v>
      </c>
      <c r="G55" s="190">
        <f t="shared" ref="G55" si="113">F55/F54-1</f>
        <v>-0.37681087148413595</v>
      </c>
      <c r="H55" s="190">
        <f t="shared" ref="H55" si="114">F55/F43-1</f>
        <v>7.6726226327628932E-2</v>
      </c>
      <c r="I55" s="130">
        <f>T55</f>
        <v>377.86452838385759</v>
      </c>
      <c r="J55" s="130">
        <f t="shared" ref="J55" si="115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16">Q55/S55</f>
        <v>377.86452838385759</v>
      </c>
      <c r="U55" s="85">
        <f t="shared" ref="U55" si="117">Q53+Q54+Q55</f>
        <v>441826778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18">F56/F55-1</f>
        <v>0.23803871484627415</v>
      </c>
      <c r="H56" s="190">
        <f t="shared" ref="H56" si="119">F56/F44-1</f>
        <v>0.61842451516103991</v>
      </c>
      <c r="I56" s="291">
        <f>T56</f>
        <v>512.10923817869741</v>
      </c>
      <c r="J56" s="130">
        <f t="shared" ref="J56" si="120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21">Q56/S56</f>
        <v>512.10923817869741</v>
      </c>
      <c r="U56" s="85">
        <f t="shared" ref="U56" si="122">Q54+Q55+Q56</f>
        <v>489604485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6507328.666666667</v>
      </c>
      <c r="G57" s="254">
        <f t="shared" ref="G57" si="123">F57/F56-1</f>
        <v>-0.18929757261059244</v>
      </c>
      <c r="H57" s="254">
        <f t="shared" ref="H57" si="124">F57/F45-1</f>
        <v>0.3412342267844235</v>
      </c>
      <c r="I57" s="282">
        <f>T57</f>
        <v>408.23272711608161</v>
      </c>
      <c r="J57" s="277">
        <f t="shared" ref="J57" si="125">I57/I45-1</f>
        <v>-3.2597194577359212E-2</v>
      </c>
      <c r="K57" s="204"/>
      <c r="L57" s="254"/>
      <c r="M57" s="254"/>
      <c r="N57" s="257"/>
      <c r="O57" s="258"/>
      <c r="P57" s="129" t="s">
        <v>1436</v>
      </c>
      <c r="Q57" s="116">
        <v>78087944</v>
      </c>
      <c r="R57" s="116">
        <v>115088270065</v>
      </c>
      <c r="S57" s="116">
        <v>191282.91</v>
      </c>
      <c r="T57" s="130">
        <f t="shared" ref="T57" si="126">Q57/S57</f>
        <v>408.23272711608161</v>
      </c>
      <c r="U57" s="85">
        <f t="shared" ref="U57" si="127">Q55+Q56+Q57</f>
        <v>390829792</v>
      </c>
      <c r="V57" s="79"/>
      <c r="W57" s="79"/>
      <c r="X57" s="79"/>
      <c r="Y57" s="79"/>
      <c r="Z57" s="79"/>
    </row>
    <row r="58" spans="1:26">
      <c r="B58" s="196">
        <f>SUM(F56:F58)</f>
        <v>14534106.984848484</v>
      </c>
      <c r="C58" s="196">
        <f>AVERAGE(F56:F58)</f>
        <v>7267053.4924242422</v>
      </c>
      <c r="D58" s="197">
        <f>C58/C55-1</f>
        <v>-5.2989131551304025E-2</v>
      </c>
      <c r="E58" s="233">
        <f>C58/C46-1</f>
        <v>0.36432827656518452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696503845</v>
      </c>
      <c r="R66" s="212">
        <v>1022822886510</v>
      </c>
      <c r="S66" s="213">
        <v>1511912.5</v>
      </c>
      <c r="T66" s="214">
        <v>706</v>
      </c>
      <c r="U66" s="214">
        <v>1690</v>
      </c>
    </row>
    <row r="67" spans="16:21" ht="18" thickBot="1">
      <c r="P67" s="180" t="s">
        <v>976</v>
      </c>
      <c r="Q67" s="181">
        <v>128811416</v>
      </c>
      <c r="R67" s="181">
        <v>187883968382</v>
      </c>
      <c r="S67" s="182">
        <v>343814.2</v>
      </c>
      <c r="T67" s="210">
        <v>398</v>
      </c>
      <c r="U67" s="210">
        <v>902</v>
      </c>
    </row>
    <row r="68" spans="16:21" ht="18" thickBot="1">
      <c r="P68" s="180" t="s">
        <v>977</v>
      </c>
      <c r="Q68" s="181">
        <v>176862637</v>
      </c>
      <c r="R68" s="181">
        <v>256267431054</v>
      </c>
      <c r="S68" s="182">
        <v>271666.78000000003</v>
      </c>
      <c r="T68" s="210">
        <v>350</v>
      </c>
      <c r="U68" s="210">
        <v>755</v>
      </c>
    </row>
    <row r="69" spans="16:21" ht="18" thickBot="1">
      <c r="P69" s="180" t="s">
        <v>978</v>
      </c>
      <c r="Q69" s="181">
        <v>136152725</v>
      </c>
      <c r="R69" s="181">
        <v>200267047310</v>
      </c>
      <c r="S69" s="182">
        <v>360321.53</v>
      </c>
      <c r="T69" s="210">
        <v>419</v>
      </c>
      <c r="U69" s="210">
        <v>915</v>
      </c>
    </row>
    <row r="70" spans="16:21" ht="18" thickBot="1">
      <c r="P70" s="180" t="s">
        <v>979</v>
      </c>
      <c r="Q70" s="181">
        <v>176589123</v>
      </c>
      <c r="R70" s="181">
        <v>263316169699</v>
      </c>
      <c r="S70" s="182">
        <v>344827.06</v>
      </c>
      <c r="T70" s="210">
        <v>429</v>
      </c>
      <c r="U70" s="210">
        <v>944</v>
      </c>
    </row>
    <row r="71" spans="16:21" ht="18" thickBot="1">
      <c r="P71" s="180" t="s">
        <v>980</v>
      </c>
      <c r="Q71" s="181">
        <v>78087944</v>
      </c>
      <c r="R71" s="181">
        <v>115088270065</v>
      </c>
      <c r="S71" s="182">
        <v>191282.91</v>
      </c>
      <c r="T71" s="210">
        <v>359</v>
      </c>
      <c r="U71" s="210">
        <v>728</v>
      </c>
    </row>
    <row r="72" spans="16:21" ht="18" thickBot="1">
      <c r="P72" s="215" t="s">
        <v>975</v>
      </c>
      <c r="Q72" s="216">
        <v>1546</v>
      </c>
      <c r="R72"/>
      <c r="S72"/>
      <c r="T72"/>
      <c r="U72"/>
    </row>
    <row r="73" spans="16:21" ht="18" thickBot="1">
      <c r="P73" s="215" t="s">
        <v>982</v>
      </c>
      <c r="Q73" s="216">
        <v>1437194624</v>
      </c>
      <c r="R73" s="217"/>
      <c r="S73"/>
      <c r="T73"/>
      <c r="U73"/>
    </row>
  </sheetData>
  <phoneticPr fontId="1" type="noConversion"/>
  <conditionalFormatting sqref="C29:C30">
    <cfRule type="cellIs" dxfId="22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82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7607119000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1954713.75</v>
      </c>
      <c r="G5" s="90"/>
      <c r="H5" s="90"/>
      <c r="I5" s="130">
        <f t="shared" ref="I5:I49" si="0">T5</f>
        <v>5.7174980314521022</v>
      </c>
      <c r="J5" s="130"/>
      <c r="L5" s="80"/>
      <c r="M5" s="80"/>
      <c r="P5" s="129" t="s">
        <v>0</v>
      </c>
      <c r="Q5" s="116">
        <v>39094275</v>
      </c>
      <c r="R5" s="116">
        <v>46114909913</v>
      </c>
      <c r="S5" s="116">
        <v>6837654.2999999998</v>
      </c>
      <c r="T5" s="130">
        <f t="shared" ref="T5:T17" si="1">Q5/S5</f>
        <v>5.7174980314521022</v>
      </c>
      <c r="U5" s="85"/>
    </row>
    <row r="6" spans="1:21" ht="15" hidden="1" customHeight="1">
      <c r="A6" s="129" t="s">
        <v>1</v>
      </c>
      <c r="C6" s="79"/>
      <c r="F6" s="78">
        <f>Q6/18</f>
        <v>1674652.111111111</v>
      </c>
      <c r="G6" s="90">
        <f t="shared" ref="G6:G16" si="2">F6/F5-1</f>
        <v>-0.14327501348414262</v>
      </c>
      <c r="H6" s="90"/>
      <c r="I6" s="130">
        <f t="shared" si="0"/>
        <v>5.9840500018096821</v>
      </c>
      <c r="J6" s="130"/>
      <c r="P6" s="129" t="s">
        <v>1</v>
      </c>
      <c r="Q6" s="116">
        <v>30143738</v>
      </c>
      <c r="R6" s="116">
        <v>35799675767</v>
      </c>
      <c r="S6" s="116">
        <v>5037347.28</v>
      </c>
      <c r="T6" s="130">
        <f t="shared" si="1"/>
        <v>5.9840500018096821</v>
      </c>
      <c r="U6" s="85"/>
    </row>
    <row r="7" spans="1:21" ht="15" hidden="1" customHeight="1">
      <c r="A7" s="129" t="s">
        <v>2</v>
      </c>
      <c r="B7" s="131">
        <f>F5+F6+F7</f>
        <v>5615180.8156565651</v>
      </c>
      <c r="C7" s="131">
        <f>AVERAGE(F5:F7)</f>
        <v>1871726.9385521885</v>
      </c>
      <c r="F7" s="78">
        <f>Q7/22</f>
        <v>1985814.9545454546</v>
      </c>
      <c r="G7" s="90">
        <f t="shared" si="2"/>
        <v>0.18580745300460699</v>
      </c>
      <c r="H7" s="90"/>
      <c r="I7" s="130">
        <f t="shared" si="0"/>
        <v>6.2277191680458435</v>
      </c>
      <c r="J7" s="130"/>
      <c r="K7" s="79">
        <f>R5+R6+R7</f>
        <v>134545497317</v>
      </c>
      <c r="N7" s="88">
        <f>AVERAGE(T5:T7)</f>
        <v>5.9764224004358759</v>
      </c>
      <c r="P7" s="129" t="s">
        <v>2</v>
      </c>
      <c r="Q7" s="116">
        <v>43687929</v>
      </c>
      <c r="R7" s="116">
        <v>52630911637</v>
      </c>
      <c r="S7" s="116">
        <v>7015076.9199999999</v>
      </c>
      <c r="T7" s="130">
        <f t="shared" si="1"/>
        <v>6.2277191680458435</v>
      </c>
      <c r="U7" s="85">
        <f>Q5+Q6+Q7</f>
        <v>112925942</v>
      </c>
    </row>
    <row r="8" spans="1:21" ht="15" hidden="1" customHeight="1">
      <c r="A8" s="129" t="s">
        <v>3</v>
      </c>
      <c r="C8" s="79"/>
      <c r="F8" s="78">
        <f>Q8/21</f>
        <v>1971379.2857142857</v>
      </c>
      <c r="G8" s="90">
        <f t="shared" si="2"/>
        <v>-7.2693927488692855E-3</v>
      </c>
      <c r="H8" s="90"/>
      <c r="I8" s="130">
        <f t="shared" si="0"/>
        <v>6.3921792862495739</v>
      </c>
      <c r="J8" s="130"/>
      <c r="K8" s="78"/>
      <c r="P8" s="129" t="s">
        <v>3</v>
      </c>
      <c r="Q8" s="116">
        <v>41398965</v>
      </c>
      <c r="R8" s="116">
        <v>50179563385</v>
      </c>
      <c r="S8" s="116">
        <v>6476502.4800000004</v>
      </c>
      <c r="T8" s="130">
        <f t="shared" si="1"/>
        <v>6.3921792862495739</v>
      </c>
      <c r="U8" s="85"/>
    </row>
    <row r="9" spans="1:21" ht="15" hidden="1" customHeight="1">
      <c r="A9" s="129" t="s">
        <v>4</v>
      </c>
      <c r="C9" s="79"/>
      <c r="F9" s="78">
        <f>Q9/21</f>
        <v>2022836.0952380951</v>
      </c>
      <c r="G9" s="90">
        <f t="shared" si="2"/>
        <v>2.6101932741555256E-2</v>
      </c>
      <c r="H9" s="90"/>
      <c r="I9" s="130">
        <f t="shared" si="0"/>
        <v>6.3754847334255347</v>
      </c>
      <c r="J9" s="130"/>
      <c r="K9" s="78"/>
      <c r="P9" s="129" t="s">
        <v>4</v>
      </c>
      <c r="Q9" s="116">
        <v>42479558</v>
      </c>
      <c r="R9" s="116">
        <v>53394355154</v>
      </c>
      <c r="S9" s="116">
        <v>6662953.4500000002</v>
      </c>
      <c r="T9" s="130">
        <f t="shared" si="1"/>
        <v>6.3754847334255347</v>
      </c>
      <c r="U9" s="85"/>
    </row>
    <row r="10" spans="1:21" ht="15" hidden="1" customHeight="1">
      <c r="A10" s="129" t="s">
        <v>5</v>
      </c>
      <c r="B10" s="131">
        <f>F8+F9+F10</f>
        <v>5749197.9047619049</v>
      </c>
      <c r="C10" s="131">
        <f>AVERAGE(F8:F10)</f>
        <v>1916399.3015873015</v>
      </c>
      <c r="D10" s="90">
        <f>C10/C7-1</f>
        <v>2.3866923168647691E-2</v>
      </c>
      <c r="E10" s="286"/>
      <c r="F10" s="78">
        <f>Q10/21</f>
        <v>1754982.5238095238</v>
      </c>
      <c r="G10" s="90">
        <f t="shared" si="2"/>
        <v>-0.13241486646353517</v>
      </c>
      <c r="H10" s="90"/>
      <c r="I10" s="130">
        <f t="shared" si="0"/>
        <v>6.1960753975282605</v>
      </c>
      <c r="J10" s="130"/>
      <c r="K10" s="79">
        <f>R8+R9+R10</f>
        <v>150047151599</v>
      </c>
      <c r="L10" s="87">
        <f>U10/U7-1</f>
        <v>6.9135699572025811E-2</v>
      </c>
      <c r="N10" s="88">
        <f>AVERAGE(T8:T10)</f>
        <v>6.3212464724011239</v>
      </c>
      <c r="O10" s="89">
        <f>N10/N7-1</f>
        <v>5.7697406384813021E-2</v>
      </c>
      <c r="P10" s="129" t="s">
        <v>5</v>
      </c>
      <c r="Q10" s="116">
        <v>36854633</v>
      </c>
      <c r="R10" s="116">
        <v>46473233060</v>
      </c>
      <c r="S10" s="116">
        <v>5948060.7699999996</v>
      </c>
      <c r="T10" s="130">
        <f t="shared" si="1"/>
        <v>6.1960753975282605</v>
      </c>
      <c r="U10" s="85">
        <f>Q8+Q9+Q10</f>
        <v>120733156</v>
      </c>
    </row>
    <row r="11" spans="1:21" ht="15" hidden="1" customHeight="1">
      <c r="A11" s="129" t="s">
        <v>6</v>
      </c>
      <c r="C11" s="79"/>
      <c r="F11" s="78">
        <f>Q11/21</f>
        <v>1737144.0952380951</v>
      </c>
      <c r="G11" s="90">
        <f t="shared" si="2"/>
        <v>-1.0164447981343416E-2</v>
      </c>
      <c r="H11" s="90"/>
      <c r="I11" s="130">
        <f t="shared" si="0"/>
        <v>6.1683149052915098</v>
      </c>
      <c r="J11" s="130"/>
      <c r="K11" s="78"/>
      <c r="O11" s="89"/>
      <c r="P11" s="129" t="s">
        <v>6</v>
      </c>
      <c r="Q11" s="116">
        <v>36480026</v>
      </c>
      <c r="R11" s="116">
        <v>47110217339</v>
      </c>
      <c r="S11" s="116">
        <v>5914099.1600000001</v>
      </c>
      <c r="T11" s="130">
        <f t="shared" si="1"/>
        <v>6.1683149052915098</v>
      </c>
      <c r="U11" s="85"/>
    </row>
    <row r="12" spans="1:21" ht="15" hidden="1" customHeight="1">
      <c r="A12" s="129" t="s">
        <v>7</v>
      </c>
      <c r="C12" s="79"/>
      <c r="F12" s="78">
        <f>Q12/22</f>
        <v>1747738.5</v>
      </c>
      <c r="G12" s="90">
        <f t="shared" si="2"/>
        <v>6.0987483945325049E-3</v>
      </c>
      <c r="H12" s="90"/>
      <c r="I12" s="130">
        <f t="shared" si="0"/>
        <v>6.1240915667333233</v>
      </c>
      <c r="J12" s="130"/>
      <c r="K12" s="78"/>
      <c r="O12" s="89"/>
      <c r="P12" s="129" t="s">
        <v>7</v>
      </c>
      <c r="Q12" s="116">
        <v>38450247</v>
      </c>
      <c r="R12" s="116">
        <v>49997947923</v>
      </c>
      <c r="S12" s="116">
        <v>6278522.5499999998</v>
      </c>
      <c r="T12" s="130">
        <f t="shared" si="1"/>
        <v>6.1240915667333233</v>
      </c>
      <c r="U12" s="85"/>
    </row>
    <row r="13" spans="1:21" ht="15" hidden="1" customHeight="1">
      <c r="A13" s="129" t="s">
        <v>96</v>
      </c>
      <c r="B13" s="131">
        <f>F11+F12+F13</f>
        <v>5372657.9952380955</v>
      </c>
      <c r="C13" s="131">
        <f>AVERAGE(F11:F13)</f>
        <v>1790885.9984126985</v>
      </c>
      <c r="D13" s="90">
        <f>C13/C10-1</f>
        <v>-6.5494337777436962E-2</v>
      </c>
      <c r="E13" s="286"/>
      <c r="F13" s="78">
        <f>Q13/20</f>
        <v>1887775.4</v>
      </c>
      <c r="G13" s="90">
        <f t="shared" si="2"/>
        <v>8.0124629628516963E-2</v>
      </c>
      <c r="H13" s="90"/>
      <c r="I13" s="130">
        <f t="shared" si="0"/>
        <v>6.0034746953901301</v>
      </c>
      <c r="J13" s="130"/>
      <c r="K13" s="78">
        <f>R11+R12+R13</f>
        <v>148761001033</v>
      </c>
      <c r="L13" s="87">
        <f>U13/U10-1</f>
        <v>-6.6654225455681781E-2</v>
      </c>
      <c r="N13" s="88">
        <f>AVERAGE(T11:T13)</f>
        <v>6.0986270558049869</v>
      </c>
      <c r="O13" s="89">
        <f>N13/N10-1</f>
        <v>-3.5217645375497431E-2</v>
      </c>
      <c r="P13" s="129" t="s">
        <v>96</v>
      </c>
      <c r="Q13" s="116">
        <v>37755508</v>
      </c>
      <c r="R13" s="116">
        <v>51652835771</v>
      </c>
      <c r="S13" s="116">
        <v>6288942.6399999997</v>
      </c>
      <c r="T13" s="130">
        <f t="shared" si="1"/>
        <v>6.0034746953901301</v>
      </c>
      <c r="U13" s="85">
        <f>Q11+Q12+Q13</f>
        <v>112685781</v>
      </c>
    </row>
    <row r="14" spans="1:21" ht="15" hidden="1" customHeight="1">
      <c r="A14" s="129" t="s">
        <v>97</v>
      </c>
      <c r="C14" s="79"/>
      <c r="F14" s="78">
        <f>Q14/20</f>
        <v>1728536.5</v>
      </c>
      <c r="G14" s="90">
        <f t="shared" si="2"/>
        <v>-8.4352672463048228E-2</v>
      </c>
      <c r="H14" s="90"/>
      <c r="I14" s="130">
        <f t="shared" si="0"/>
        <v>5.80349615471604</v>
      </c>
      <c r="J14" s="130"/>
      <c r="O14" s="89"/>
      <c r="P14" s="129" t="s">
        <v>97</v>
      </c>
      <c r="Q14" s="116">
        <v>34570730</v>
      </c>
      <c r="R14" s="116">
        <v>49296375595</v>
      </c>
      <c r="S14" s="116">
        <v>5956879.9699999997</v>
      </c>
      <c r="T14" s="130">
        <f t="shared" si="1"/>
        <v>5.80349615471604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1428661</v>
      </c>
      <c r="G15" s="90">
        <f t="shared" si="2"/>
        <v>-0.17348519976292087</v>
      </c>
      <c r="H15" s="90"/>
      <c r="I15" s="130">
        <f t="shared" si="0"/>
        <v>5.8171963486419491</v>
      </c>
      <c r="J15" s="130"/>
      <c r="O15" s="89"/>
      <c r="P15" s="129" t="s">
        <v>98</v>
      </c>
      <c r="Q15" s="116">
        <v>31430542</v>
      </c>
      <c r="R15" s="116">
        <v>43485231736</v>
      </c>
      <c r="S15" s="116">
        <v>5403039.5599999996</v>
      </c>
      <c r="T15" s="130">
        <f t="shared" si="1"/>
        <v>5.8171963486419491</v>
      </c>
      <c r="U15" s="78"/>
    </row>
    <row r="16" spans="1:21" ht="15" hidden="1" customHeight="1">
      <c r="A16" s="129" t="s">
        <v>99</v>
      </c>
      <c r="B16" s="131">
        <f>F14+F15+F16</f>
        <v>4620862.2727272725</v>
      </c>
      <c r="C16" s="131">
        <f>AVERAGE(F14:F16)</f>
        <v>1540287.4242424241</v>
      </c>
      <c r="D16" s="90">
        <f>C16/C13-1</f>
        <v>-0.13992994215845422</v>
      </c>
      <c r="E16" s="286"/>
      <c r="F16" s="78">
        <f>Q16/22</f>
        <v>1463664.7727272727</v>
      </c>
      <c r="G16" s="90">
        <f t="shared" si="2"/>
        <v>2.4501104689826914E-2</v>
      </c>
      <c r="H16" s="90"/>
      <c r="I16" s="130">
        <f t="shared" si="0"/>
        <v>5.7756849995367885</v>
      </c>
      <c r="J16" s="130"/>
      <c r="K16" s="78">
        <f>R14+R15+R16</f>
        <v>134960485443</v>
      </c>
      <c r="L16" s="87">
        <f>U16/U13-1</f>
        <v>-0.12853337725014302</v>
      </c>
      <c r="N16" s="88">
        <f>AVERAGE(T14:T16)</f>
        <v>5.7987925009649262</v>
      </c>
      <c r="O16" s="89">
        <f>N16/N13-1</f>
        <v>-4.9164271252603142E-2</v>
      </c>
      <c r="P16" s="129" t="s">
        <v>99</v>
      </c>
      <c r="Q16" s="116">
        <v>32200625</v>
      </c>
      <c r="R16" s="116">
        <v>42178878112</v>
      </c>
      <c r="S16" s="116">
        <v>5575204.5</v>
      </c>
      <c r="T16" s="130">
        <f t="shared" si="1"/>
        <v>5.7756849995367885</v>
      </c>
      <c r="U16" s="85">
        <f>Q14+Q15+Q16</f>
        <v>98201897</v>
      </c>
    </row>
    <row r="17" spans="1:21" ht="15" hidden="1" customHeight="1">
      <c r="A17" s="129" t="s">
        <v>100</v>
      </c>
      <c r="C17" s="79"/>
      <c r="F17" s="78">
        <f>Q17/20</f>
        <v>1554257.3</v>
      </c>
      <c r="G17" s="90">
        <f t="shared" ref="G17:G22" si="3">F17/F16-1</f>
        <v>6.1894314163156716E-2</v>
      </c>
      <c r="H17" s="90">
        <f t="shared" ref="H17:H22" si="4">F17/F5-1</f>
        <v>-0.20486705534250216</v>
      </c>
      <c r="I17" s="130">
        <f t="shared" si="0"/>
        <v>5.7071904662368071</v>
      </c>
      <c r="J17" s="130">
        <f t="shared" ref="J17:J49" si="5">I17/I5-1</f>
        <v>-1.8028104528576838E-3</v>
      </c>
      <c r="O17" s="89"/>
      <c r="P17" s="129" t="s">
        <v>100</v>
      </c>
      <c r="Q17" s="116">
        <v>31085146</v>
      </c>
      <c r="R17" s="116">
        <v>39066784871</v>
      </c>
      <c r="S17" s="116">
        <v>5446663.5</v>
      </c>
      <c r="T17" s="130">
        <f t="shared" si="1"/>
        <v>5.7071904662368071</v>
      </c>
      <c r="U17" s="78"/>
    </row>
    <row r="18" spans="1:21" hidden="1">
      <c r="A18" s="129" t="s">
        <v>106</v>
      </c>
      <c r="C18" s="79"/>
      <c r="F18" s="78">
        <f>Q18/20</f>
        <v>1394619.05</v>
      </c>
      <c r="G18" s="90">
        <f t="shared" si="3"/>
        <v>-0.10271031057727698</v>
      </c>
      <c r="H18" s="90">
        <f t="shared" si="4"/>
        <v>-0.16721864753468851</v>
      </c>
      <c r="I18" s="130">
        <f t="shared" si="0"/>
        <v>5.7680593321130589</v>
      </c>
      <c r="J18" s="130">
        <f t="shared" si="5"/>
        <v>-3.6094395874249674E-2</v>
      </c>
      <c r="O18" s="89"/>
      <c r="P18" s="129" t="s">
        <v>106</v>
      </c>
      <c r="Q18" s="116">
        <v>27892381</v>
      </c>
      <c r="R18" s="116">
        <v>35031468352</v>
      </c>
      <c r="S18" s="116">
        <v>4835661.25</v>
      </c>
      <c r="T18" s="130">
        <f t="shared" ref="T18" si="6">Q18/S18</f>
        <v>5.7680593321130589</v>
      </c>
      <c r="U18" s="78"/>
    </row>
    <row r="19" spans="1:21" hidden="1">
      <c r="A19" s="129" t="s">
        <v>114</v>
      </c>
      <c r="B19" s="131">
        <f>SUM(F17:F19)</f>
        <v>4157059.668181818</v>
      </c>
      <c r="C19" s="131">
        <f>AVERAGE(F17:F19)</f>
        <v>1385686.5560606059</v>
      </c>
      <c r="D19" s="90">
        <f>C19/C16-1</f>
        <v>-0.10037144090678862</v>
      </c>
      <c r="E19" s="286">
        <f>C19/C7-1</f>
        <v>-0.25967483422958204</v>
      </c>
      <c r="F19" s="78">
        <f>Q19/22</f>
        <v>1208183.3181818181</v>
      </c>
      <c r="G19" s="90">
        <f t="shared" si="3"/>
        <v>-0.13368219215002253</v>
      </c>
      <c r="H19" s="90">
        <f t="shared" si="4"/>
        <v>-0.39159320186589763</v>
      </c>
      <c r="I19" s="130">
        <f t="shared" si="0"/>
        <v>5.8287680974664253</v>
      </c>
      <c r="J19" s="130">
        <f t="shared" si="5"/>
        <v>-6.4060542843103585E-2</v>
      </c>
      <c r="K19" s="78">
        <f>R17+R18+R19</f>
        <v>108837407683</v>
      </c>
      <c r="L19" s="87">
        <f>U19/U16-1</f>
        <v>-0.12875858192433898</v>
      </c>
      <c r="M19" s="87">
        <f>U19/U7-1</f>
        <v>-0.24235690679472044</v>
      </c>
      <c r="N19" s="88">
        <f>AVERAGE(T17:T19)</f>
        <v>5.7680059652720965</v>
      </c>
      <c r="O19" s="89">
        <f>N19/N16-1</f>
        <v>-5.3091287001055809E-3</v>
      </c>
      <c r="P19" s="129" t="s">
        <v>115</v>
      </c>
      <c r="Q19" s="116">
        <v>26580033</v>
      </c>
      <c r="R19" s="116">
        <v>34739154460</v>
      </c>
      <c r="S19" s="116">
        <v>4560145.91</v>
      </c>
      <c r="T19" s="130">
        <f t="shared" ref="T19" si="7">Q19/S19</f>
        <v>5.8287680974664253</v>
      </c>
      <c r="U19" s="85">
        <f>Q17+Q18+Q19</f>
        <v>85557560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1249815.3500000001</v>
      </c>
      <c r="G20" s="90">
        <f t="shared" si="3"/>
        <v>3.4458373321056612E-2</v>
      </c>
      <c r="H20" s="90">
        <f t="shared" si="4"/>
        <v>-0.3660198425250486</v>
      </c>
      <c r="I20" s="130">
        <f t="shared" si="0"/>
        <v>5.9549808216761537</v>
      </c>
      <c r="J20" s="130">
        <f t="shared" si="5"/>
        <v>-6.8395838882975624E-2</v>
      </c>
      <c r="O20" s="89"/>
      <c r="P20" s="129" t="s">
        <v>132</v>
      </c>
      <c r="Q20" s="116">
        <v>24996307</v>
      </c>
      <c r="R20" s="116">
        <v>32819478548</v>
      </c>
      <c r="S20" s="116">
        <v>4197546.18</v>
      </c>
      <c r="T20" s="130">
        <f t="shared" ref="T20" si="8">Q20/S20</f>
        <v>5.9549808216761537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1162654.3333333333</v>
      </c>
      <c r="G21" s="90">
        <f t="shared" si="3"/>
        <v>-6.9739115195430079E-2</v>
      </c>
      <c r="H21" s="90">
        <f t="shared" si="4"/>
        <v>-0.42523552151837363</v>
      </c>
      <c r="I21" s="130">
        <f t="shared" si="0"/>
        <v>5.9213563266643225</v>
      </c>
      <c r="J21" s="130">
        <f t="shared" si="5"/>
        <v>-7.1230412392064513E-2</v>
      </c>
      <c r="O21" s="89"/>
      <c r="P21" s="129" t="s">
        <v>141</v>
      </c>
      <c r="Q21" s="116">
        <v>24415741</v>
      </c>
      <c r="R21" s="116">
        <v>32491384294</v>
      </c>
      <c r="S21" s="116">
        <v>4123335.88</v>
      </c>
      <c r="T21" s="130">
        <f t="shared" ref="T21" si="9">Q21/S21</f>
        <v>5.9213563266643225</v>
      </c>
      <c r="U21" s="78"/>
    </row>
    <row r="22" spans="1:21" hidden="1">
      <c r="A22" s="129" t="s">
        <v>156</v>
      </c>
      <c r="B22" s="131">
        <f>SUM(F20:F22)</f>
        <v>3554510.2071428574</v>
      </c>
      <c r="C22" s="131">
        <f>AVERAGE(F20:F22)</f>
        <v>1184836.7357142859</v>
      </c>
      <c r="D22" s="90">
        <f>C22/C19-1</f>
        <v>-0.1449460698509768</v>
      </c>
      <c r="E22" s="286">
        <f>C22/C10-1</f>
        <v>-0.38173806746176653</v>
      </c>
      <c r="F22" s="78">
        <f>Q22/21</f>
        <v>1142040.5238095238</v>
      </c>
      <c r="G22" s="90">
        <f t="shared" si="3"/>
        <v>-1.7729955441450618E-2</v>
      </c>
      <c r="H22" s="90">
        <f t="shared" si="4"/>
        <v>-0.34925817874783882</v>
      </c>
      <c r="I22" s="130">
        <f t="shared" si="0"/>
        <v>5.8234290474707775</v>
      </c>
      <c r="J22" s="130">
        <f t="shared" si="5"/>
        <v>-6.0142320121885362E-2</v>
      </c>
      <c r="K22" s="78">
        <f>R20+R21+R22</f>
        <v>96413578850</v>
      </c>
      <c r="L22" s="87">
        <f>U22/U19-1</f>
        <v>-0.14215764217679883</v>
      </c>
      <c r="M22" s="87">
        <f>U22/U10-1</f>
        <v>-0.39208994917684414</v>
      </c>
      <c r="N22" s="88">
        <f>AVERAGE(T20:T22)</f>
        <v>5.8999220652704176</v>
      </c>
      <c r="O22" s="89">
        <f>N22/N19-1</f>
        <v>2.2870312685624672E-2</v>
      </c>
      <c r="P22" s="129" t="s">
        <v>156</v>
      </c>
      <c r="Q22" s="116">
        <v>23982851</v>
      </c>
      <c r="R22" s="116">
        <v>31102716008</v>
      </c>
      <c r="S22" s="116">
        <v>4118338.32</v>
      </c>
      <c r="T22" s="130">
        <f t="shared" ref="T22:T23" si="10">Q22/S22</f>
        <v>5.8234290474707775</v>
      </c>
      <c r="U22" s="85">
        <f>Q20+Q21+Q22</f>
        <v>73394899</v>
      </c>
    </row>
    <row r="23" spans="1:21" hidden="1">
      <c r="A23" s="129" t="s">
        <v>189</v>
      </c>
      <c r="B23" s="131"/>
      <c r="C23" s="131"/>
      <c r="F23" s="78">
        <f>Q23/21</f>
        <v>1059014.7142857143</v>
      </c>
      <c r="G23" s="90">
        <f t="shared" ref="G23" si="11">F23/F22-1</f>
        <v>-7.2699530176791649E-2</v>
      </c>
      <c r="H23" s="90">
        <f t="shared" ref="H23" si="12">F23/F11-1</f>
        <v>-0.39037025357383237</v>
      </c>
      <c r="I23" s="130">
        <f t="shared" si="0"/>
        <v>5.9159610347164966</v>
      </c>
      <c r="J23" s="130">
        <f t="shared" si="5"/>
        <v>-4.0911314426980816E-2</v>
      </c>
      <c r="O23" s="89"/>
      <c r="P23" s="129" t="s">
        <v>189</v>
      </c>
      <c r="Q23" s="116">
        <v>22239309</v>
      </c>
      <c r="R23" s="116">
        <v>28701708747</v>
      </c>
      <c r="S23" s="116">
        <v>3759204.78</v>
      </c>
      <c r="T23" s="130">
        <f t="shared" si="10"/>
        <v>5.9159610347164966</v>
      </c>
      <c r="U23" s="78"/>
    </row>
    <row r="24" spans="1:21" hidden="1">
      <c r="A24" s="129" t="s">
        <v>204</v>
      </c>
      <c r="B24" s="131"/>
      <c r="C24" s="131"/>
      <c r="F24" s="78">
        <f>Q24/22</f>
        <v>1128353.6363636365</v>
      </c>
      <c r="G24" s="90">
        <f t="shared" ref="G24" si="13">F24/F23-1</f>
        <v>6.5474937356928109E-2</v>
      </c>
      <c r="H24" s="90">
        <f t="shared" ref="H24" si="14">F24/F12-1</f>
        <v>-0.35439218374852044</v>
      </c>
      <c r="I24" s="130">
        <f t="shared" si="0"/>
        <v>5.7645379974791444</v>
      </c>
      <c r="J24" s="130">
        <f t="shared" si="5"/>
        <v>-5.8711331360117081E-2</v>
      </c>
      <c r="O24" s="89"/>
      <c r="P24" s="129" t="s">
        <v>204</v>
      </c>
      <c r="Q24" s="116">
        <v>24823780</v>
      </c>
      <c r="R24" s="116">
        <v>32636723927</v>
      </c>
      <c r="S24" s="116">
        <v>4306291.33</v>
      </c>
      <c r="T24" s="130">
        <f t="shared" ref="T24" si="15">Q24/S24</f>
        <v>5.7645379974791444</v>
      </c>
      <c r="U24" s="78"/>
    </row>
    <row r="25" spans="1:21" s="79" customFormat="1" ht="13.2" hidden="1">
      <c r="A25" s="129" t="s">
        <v>219</v>
      </c>
      <c r="B25" s="131">
        <f>SUM(F23:F25)</f>
        <v>3407256.1927546142</v>
      </c>
      <c r="C25" s="131">
        <f>AVERAGE(F23:F25)</f>
        <v>1135752.0642515381</v>
      </c>
      <c r="D25" s="90">
        <f>C25/C22-1</f>
        <v>-4.142737136957253E-2</v>
      </c>
      <c r="E25" s="286">
        <f>C25/C13-1</f>
        <v>-0.36581554311207964</v>
      </c>
      <c r="F25" s="78">
        <f>Q25/19</f>
        <v>1219887.8421052631</v>
      </c>
      <c r="G25" s="90">
        <f t="shared" ref="G25" si="16">F25/F24-1</f>
        <v>8.112191319435591E-2</v>
      </c>
      <c r="H25" s="90">
        <f t="shared" ref="H25" si="17">F25/F13-1</f>
        <v>-0.3537960913648609</v>
      </c>
      <c r="I25" s="130">
        <f t="shared" si="0"/>
        <v>5.575109574084574</v>
      </c>
      <c r="J25" s="130">
        <f t="shared" si="5"/>
        <v>-7.1352865305567725E-2</v>
      </c>
      <c r="K25" s="78">
        <f>R23+R24+R25</f>
        <v>92101486514</v>
      </c>
      <c r="L25" s="90">
        <f>U25/U22-1</f>
        <v>-4.2972209826189656E-2</v>
      </c>
      <c r="M25" s="90">
        <f>U25/U13-1</f>
        <v>-0.37666529550875638</v>
      </c>
      <c r="N25" s="88">
        <f>AVERAGE(T23:T25)</f>
        <v>5.7518695354267386</v>
      </c>
      <c r="O25" s="91">
        <f>N25/N22-1</f>
        <v>-2.509398059936796E-2</v>
      </c>
      <c r="P25" s="129" t="s">
        <v>219</v>
      </c>
      <c r="Q25" s="116">
        <v>23177869</v>
      </c>
      <c r="R25" s="116">
        <v>30763053840</v>
      </c>
      <c r="S25" s="116">
        <v>4157383.58</v>
      </c>
      <c r="T25" s="130">
        <f t="shared" ref="T25" si="18">Q25/S25</f>
        <v>5.575109574084574</v>
      </c>
      <c r="U25" s="85">
        <f>Q23+Q24+Q25</f>
        <v>70240958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1190769.4210526317</v>
      </c>
      <c r="G26" s="90">
        <f t="shared" ref="G26" si="19">F26/F25-1</f>
        <v>-2.3869752650685805E-2</v>
      </c>
      <c r="H26" s="90">
        <f t="shared" ref="H26" si="20">F26/F14-1</f>
        <v>-0.31111120820842852</v>
      </c>
      <c r="I26" s="130">
        <f t="shared" si="0"/>
        <v>5.5555309457419266</v>
      </c>
      <c r="J26" s="130">
        <f t="shared" si="5"/>
        <v>-4.2726867109683875E-2</v>
      </c>
      <c r="L26" s="90"/>
      <c r="M26" s="90"/>
      <c r="P26" s="129" t="s">
        <v>312</v>
      </c>
      <c r="Q26" s="116">
        <v>22624619</v>
      </c>
      <c r="R26" s="116">
        <v>30514947495</v>
      </c>
      <c r="S26" s="116">
        <v>4072449.46</v>
      </c>
      <c r="T26" s="130">
        <f t="shared" ref="T26" si="21">Q26/S26</f>
        <v>5.5555309457419266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1121320.6818181819</v>
      </c>
      <c r="G27" s="90">
        <f t="shared" ref="G27" si="22">F27/F26-1</f>
        <v>-5.8322575308540903E-2</v>
      </c>
      <c r="H27" s="90">
        <f t="shared" ref="H27" si="23">F27/F15-1</f>
        <v>-0.21512473440642543</v>
      </c>
      <c r="I27" s="130">
        <f t="shared" si="0"/>
        <v>5.5275358652510178</v>
      </c>
      <c r="J27" s="130">
        <f t="shared" si="5"/>
        <v>-4.9793829541021739E-2</v>
      </c>
      <c r="L27" s="90"/>
      <c r="M27" s="90"/>
      <c r="P27" s="129" t="s">
        <v>378</v>
      </c>
      <c r="Q27" s="116">
        <v>24669055</v>
      </c>
      <c r="R27" s="116">
        <v>32528660990</v>
      </c>
      <c r="S27" s="116">
        <v>4462938.93</v>
      </c>
      <c r="T27" s="130">
        <f t="shared" ref="T27" si="24">Q27/S27</f>
        <v>5.5275358652510178</v>
      </c>
      <c r="U27" s="78"/>
    </row>
    <row r="28" spans="1:21" s="79" customFormat="1" ht="13.2" hidden="1">
      <c r="A28" s="123" t="s">
        <v>413</v>
      </c>
      <c r="B28" s="131">
        <f>SUM(F26:F28)</f>
        <v>3496320.3133971291</v>
      </c>
      <c r="C28" s="131">
        <f>AVERAGE(F26:F28)</f>
        <v>1165440.1044657098</v>
      </c>
      <c r="D28" s="90">
        <f>C28/C25-1</f>
        <v>2.6139543258269171E-2</v>
      </c>
      <c r="E28" s="286">
        <f>C28/C16-1</f>
        <v>-0.24336192964834436</v>
      </c>
      <c r="F28" s="78">
        <f>Q28/19</f>
        <v>1184230.2105263157</v>
      </c>
      <c r="G28" s="90">
        <f t="shared" ref="G28" si="25">F28/F27-1</f>
        <v>5.6103066436024696E-2</v>
      </c>
      <c r="H28" s="90">
        <f t="shared" ref="H28" si="26">F28/F16-1</f>
        <v>-0.19091431822894911</v>
      </c>
      <c r="I28" s="130">
        <f t="shared" si="0"/>
        <v>5.5055306344581085</v>
      </c>
      <c r="J28" s="130">
        <f t="shared" si="5"/>
        <v>-4.6774428505077181E-2</v>
      </c>
      <c r="K28" s="78">
        <f>R26+R27+R28</f>
        <v>92404067581</v>
      </c>
      <c r="L28" s="90">
        <f>U28/U25-1</f>
        <v>-6.3625271170134612E-3</v>
      </c>
      <c r="M28" s="90">
        <f>U28/U16-1</f>
        <v>-0.28928004313399358</v>
      </c>
      <c r="N28" s="88">
        <f>AVERAGE(T26:T28)</f>
        <v>5.529532481817018</v>
      </c>
      <c r="O28" s="91">
        <f>N28/N25-1</f>
        <v>-3.865474559885429E-2</v>
      </c>
      <c r="P28" s="129" t="s">
        <v>413</v>
      </c>
      <c r="Q28" s="116">
        <v>22500374</v>
      </c>
      <c r="R28" s="116">
        <v>29360459096</v>
      </c>
      <c r="S28" s="116">
        <v>4086867.46</v>
      </c>
      <c r="T28" s="130">
        <f t="shared" ref="T28" si="27">Q28/S28</f>
        <v>5.5055306344581085</v>
      </c>
      <c r="U28" s="85">
        <f>Q26+Q27+Q28</f>
        <v>69794048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1120778.2727272727</v>
      </c>
      <c r="G29" s="190">
        <f t="shared" ref="G29" si="28">F29/F28-1</f>
        <v>-5.3580745732573987E-2</v>
      </c>
      <c r="H29" s="190">
        <f t="shared" ref="H29" si="29">F29/F17-1</f>
        <v>-0.27889785511879361</v>
      </c>
      <c r="I29" s="130">
        <f t="shared" si="0"/>
        <v>5.3136467656390627</v>
      </c>
      <c r="J29" s="130">
        <f t="shared" si="5"/>
        <v>-6.8955767803074219E-2</v>
      </c>
      <c r="K29" s="136"/>
      <c r="L29" s="190"/>
      <c r="M29" s="190"/>
      <c r="N29" s="191"/>
      <c r="O29" s="192"/>
      <c r="P29" s="129" t="s">
        <v>427</v>
      </c>
      <c r="Q29" s="116">
        <v>24657122</v>
      </c>
      <c r="R29" s="116">
        <v>32501375035</v>
      </c>
      <c r="S29" s="116">
        <v>4640338.9400000004</v>
      </c>
      <c r="T29" s="130">
        <f t="shared" ref="T29" si="30">Q29/S29</f>
        <v>5.3136467656390627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1184547.6842105263</v>
      </c>
      <c r="G30" s="190">
        <f t="shared" ref="G30" si="31">F30/F29-1</f>
        <v>5.6897437285323926E-2</v>
      </c>
      <c r="H30" s="190">
        <f t="shared" ref="H30" si="32">F30/F18-1</f>
        <v>-0.15062992706823686</v>
      </c>
      <c r="I30" s="130">
        <f t="shared" si="0"/>
        <v>5.3361219129315769</v>
      </c>
      <c r="J30" s="130">
        <f t="shared" si="5"/>
        <v>-7.488435785962122E-2</v>
      </c>
      <c r="K30" s="136"/>
      <c r="L30" s="190"/>
      <c r="M30" s="190"/>
      <c r="N30" s="191"/>
      <c r="O30" s="192"/>
      <c r="P30" s="129" t="s">
        <v>482</v>
      </c>
      <c r="Q30" s="116">
        <v>22506406</v>
      </c>
      <c r="R30" s="116">
        <v>29982252060</v>
      </c>
      <c r="S30" s="116">
        <v>4217745.84</v>
      </c>
      <c r="T30" s="130">
        <f t="shared" ref="T30" si="33">Q30/S30</f>
        <v>5.3361219129315769</v>
      </c>
      <c r="U30" s="85"/>
    </row>
    <row r="31" spans="1:21" s="79" customFormat="1" ht="13.2" hidden="1">
      <c r="A31" s="129" t="s">
        <v>505</v>
      </c>
      <c r="B31" s="188">
        <f>SUM(F29:F31)</f>
        <v>3554390.9569377992</v>
      </c>
      <c r="C31" s="188">
        <f>AVERAGE(F29:F31)</f>
        <v>1184796.9856459331</v>
      </c>
      <c r="D31" s="190">
        <f>C31/C28-1</f>
        <v>1.6609074208148389E-2</v>
      </c>
      <c r="E31" s="287">
        <f>C31/C19-1</f>
        <v>-0.14497475604135579</v>
      </c>
      <c r="F31" s="136">
        <f>Q31/20</f>
        <v>1249065</v>
      </c>
      <c r="G31" s="190">
        <f t="shared" ref="G31" si="34">F31/F30-1</f>
        <v>5.4465781875613573E-2</v>
      </c>
      <c r="H31" s="190">
        <f t="shared" ref="H31" si="35">F31/F19-1</f>
        <v>3.3837316906265791E-2</v>
      </c>
      <c r="I31" s="130">
        <f t="shared" si="0"/>
        <v>5.3625427442234468</v>
      </c>
      <c r="J31" s="130">
        <f t="shared" si="5"/>
        <v>-7.9986945002260668E-2</v>
      </c>
      <c r="K31" s="136">
        <f>R29+R30+R31</f>
        <v>95675473504</v>
      </c>
      <c r="L31" s="190">
        <f>U31/U28-1</f>
        <v>3.3681668671804221E-2</v>
      </c>
      <c r="M31" s="190">
        <f>U31/U19-1</f>
        <v>-0.15676851934533897</v>
      </c>
      <c r="N31" s="191">
        <f>AVERAGE(T29:T31)</f>
        <v>5.3374371409313612</v>
      </c>
      <c r="O31" s="192">
        <f>N31/N28-1</f>
        <v>-3.4739888320998502E-2</v>
      </c>
      <c r="P31" s="129" t="s">
        <v>505</v>
      </c>
      <c r="Q31" s="116">
        <v>24981300</v>
      </c>
      <c r="R31" s="116">
        <v>33191846409</v>
      </c>
      <c r="S31" s="116">
        <v>4658480.3499999996</v>
      </c>
      <c r="T31" s="130">
        <f t="shared" ref="T31" si="36">Q31/S31</f>
        <v>5.3625427442234468</v>
      </c>
      <c r="U31" s="85">
        <f>Q29+Q30+Q31</f>
        <v>72144828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1196460.7142857143</v>
      </c>
      <c r="G32" s="190">
        <f t="shared" ref="G32" si="37">F32/F31-1</f>
        <v>-4.2114930539472017E-2</v>
      </c>
      <c r="H32" s="190">
        <f t="shared" ref="H32" si="38">F32/F20-1</f>
        <v>-4.2690014740406124E-2</v>
      </c>
      <c r="I32" s="130">
        <f t="shared" si="0"/>
        <v>5.3402592555758286</v>
      </c>
      <c r="J32" s="130">
        <f t="shared" si="5"/>
        <v>-0.10322813532207131</v>
      </c>
      <c r="K32" s="136"/>
      <c r="L32" s="190"/>
      <c r="M32" s="190"/>
      <c r="N32" s="191"/>
      <c r="O32" s="192"/>
      <c r="P32" s="129" t="s">
        <v>562</v>
      </c>
      <c r="Q32" s="116">
        <v>25125675</v>
      </c>
      <c r="R32" s="116">
        <v>34261948770</v>
      </c>
      <c r="S32" s="116">
        <v>4704954.16</v>
      </c>
      <c r="T32" s="130">
        <f t="shared" ref="T32" si="39">Q32/S32</f>
        <v>5.3402592555758286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1165248.5714285714</v>
      </c>
      <c r="G33" s="190">
        <f t="shared" ref="G33" si="40">F33/F32-1</f>
        <v>-2.6087060347632529E-2</v>
      </c>
      <c r="H33" s="190">
        <f t="shared" ref="H33" si="41">F33/F21-1</f>
        <v>2.2313064346479727E-3</v>
      </c>
      <c r="I33" s="130">
        <f t="shared" si="0"/>
        <v>5.335614016351899</v>
      </c>
      <c r="J33" s="130">
        <f t="shared" si="5"/>
        <v>-9.8920294270213205E-2</v>
      </c>
      <c r="K33" s="136"/>
      <c r="L33" s="190"/>
      <c r="M33" s="190"/>
      <c r="N33" s="191"/>
      <c r="O33" s="192"/>
      <c r="P33" s="129" t="s">
        <v>609</v>
      </c>
      <c r="Q33" s="116">
        <v>24470220</v>
      </c>
      <c r="R33" s="116">
        <v>33466680639</v>
      </c>
      <c r="S33" s="116">
        <v>4586205.0599999996</v>
      </c>
      <c r="T33" s="130">
        <f t="shared" ref="T33" si="42">Q33/S33</f>
        <v>5.335614016351899</v>
      </c>
      <c r="U33" s="85"/>
    </row>
    <row r="34" spans="1:21" s="79" customFormat="1" ht="13.2" hidden="1">
      <c r="A34" s="129" t="s">
        <v>652</v>
      </c>
      <c r="B34" s="188">
        <f>SUM(F32:F34)</f>
        <v>3697385.1278195484</v>
      </c>
      <c r="C34" s="188">
        <f>AVERAGE(F32:F34)</f>
        <v>1232461.7092731828</v>
      </c>
      <c r="D34" s="190">
        <f>C34/C31-1</f>
        <v>4.0230287724156932E-2</v>
      </c>
      <c r="E34" s="287">
        <f>C34/C22-1</f>
        <v>4.0195389055172948E-2</v>
      </c>
      <c r="F34" s="136">
        <f>Q34/19</f>
        <v>1335675.8421052631</v>
      </c>
      <c r="G34" s="190">
        <f t="shared" ref="G34" si="43">F34/F33-1</f>
        <v>0.14625829617431019</v>
      </c>
      <c r="H34" s="190">
        <f t="shared" ref="H34" si="44">F34/F22-1</f>
        <v>0.16955205551710795</v>
      </c>
      <c r="I34" s="130">
        <f t="shared" si="0"/>
        <v>5.3940447149979072</v>
      </c>
      <c r="J34" s="130">
        <f t="shared" si="5"/>
        <v>-7.3733933902630722E-2</v>
      </c>
      <c r="K34" s="136">
        <f>R32+R33+R34</f>
        <v>102620321149</v>
      </c>
      <c r="L34" s="190">
        <f>U34/U31-1</f>
        <v>3.92115149266139E-2</v>
      </c>
      <c r="M34" s="190">
        <f>U34/U22-1</f>
        <v>2.1511535835753381E-2</v>
      </c>
      <c r="N34" s="191">
        <f>AVERAGE(T32:T34)</f>
        <v>5.3566393289752119</v>
      </c>
      <c r="O34" s="192">
        <f>N34/N31-1</f>
        <v>3.5976420024872446E-3</v>
      </c>
      <c r="P34" s="129" t="s">
        <v>652</v>
      </c>
      <c r="Q34" s="116">
        <v>25377841</v>
      </c>
      <c r="R34" s="116">
        <v>34891691740</v>
      </c>
      <c r="S34" s="116">
        <v>4704788.7699999996</v>
      </c>
      <c r="T34" s="130">
        <f t="shared" ref="T34" si="45">Q34/S34</f>
        <v>5.3940447149979072</v>
      </c>
      <c r="U34" s="85">
        <f>Q32+Q33+Q34</f>
        <v>74973736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1113139.8260869565</v>
      </c>
      <c r="G35" s="190">
        <f t="shared" ref="G35" si="46">F35/F34-1</f>
        <v>-0.16660929920507528</v>
      </c>
      <c r="H35" s="190">
        <f t="shared" ref="H35" si="47">F35/F23-1</f>
        <v>5.1108932738246793E-2</v>
      </c>
      <c r="I35" s="130">
        <f t="shared" si="0"/>
        <v>5.4884887177007835</v>
      </c>
      <c r="J35" s="130">
        <f t="shared" si="5"/>
        <v>-7.2257459862765661E-2</v>
      </c>
      <c r="K35" s="136"/>
      <c r="L35" s="190"/>
      <c r="M35" s="190"/>
      <c r="N35" s="191"/>
      <c r="O35" s="192"/>
      <c r="P35" s="129" t="s">
        <v>660</v>
      </c>
      <c r="Q35" s="116">
        <v>25602216</v>
      </c>
      <c r="R35" s="116">
        <v>35428014828</v>
      </c>
      <c r="S35" s="116">
        <v>4664711.42</v>
      </c>
      <c r="T35" s="130">
        <f t="shared" ref="T35" si="48">Q35/S35</f>
        <v>5.4884887177007835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1126608</v>
      </c>
      <c r="G36" s="190">
        <f t="shared" ref="G36" si="49">F36/F35-1</f>
        <v>1.2099265157359707E-2</v>
      </c>
      <c r="H36" s="190">
        <f t="shared" ref="H36" si="50">F36/F24-1</f>
        <v>-1.5470649514297552E-3</v>
      </c>
      <c r="I36" s="130">
        <f t="shared" si="0"/>
        <v>5.5579810408052213</v>
      </c>
      <c r="J36" s="130">
        <f t="shared" si="5"/>
        <v>-3.5832352352304975E-2</v>
      </c>
      <c r="K36" s="136"/>
      <c r="L36" s="190"/>
      <c r="M36" s="190"/>
      <c r="N36" s="191"/>
      <c r="O36" s="192"/>
      <c r="P36" s="129" t="s">
        <v>664</v>
      </c>
      <c r="Q36" s="116">
        <v>23658768</v>
      </c>
      <c r="R36" s="116">
        <v>32298307348</v>
      </c>
      <c r="S36" s="116">
        <v>4256719.8099999996</v>
      </c>
      <c r="T36" s="130">
        <f t="shared" ref="T36" si="51">Q36/S36</f>
        <v>5.5579810408052213</v>
      </c>
      <c r="U36" s="85"/>
    </row>
    <row r="37" spans="1:21" s="79" customFormat="1" ht="13.2" hidden="1">
      <c r="A37" s="129" t="s">
        <v>702</v>
      </c>
      <c r="B37" s="188">
        <f>SUM(F35:F37)</f>
        <v>3582182.270531401</v>
      </c>
      <c r="C37" s="188">
        <f>AVERAGE(F35:F37)</f>
        <v>1194060.7568438004</v>
      </c>
      <c r="D37" s="190">
        <f>C37/C34-1</f>
        <v>-3.1157927374497074E-2</v>
      </c>
      <c r="E37" s="287">
        <f>C37/C25-1</f>
        <v>5.1339279432160101E-2</v>
      </c>
      <c r="F37" s="136">
        <f>Q37/18</f>
        <v>1342434.4444444445</v>
      </c>
      <c r="G37" s="190">
        <f t="shared" ref="G37" si="52">F37/F36-1</f>
        <v>0.19157190828082582</v>
      </c>
      <c r="H37" s="190">
        <f t="shared" ref="H37" si="53">F37/F25-1</f>
        <v>0.10045727001237448</v>
      </c>
      <c r="I37" s="130">
        <f t="shared" si="0"/>
        <v>5.4455417151513137</v>
      </c>
      <c r="J37" s="130">
        <f t="shared" si="5"/>
        <v>-2.3240414777773277E-2</v>
      </c>
      <c r="K37" s="136">
        <f>R35+R36+R37</f>
        <v>99974095038</v>
      </c>
      <c r="L37" s="190">
        <f>U37/U34-1</f>
        <v>-2.0659661404628382E-2</v>
      </c>
      <c r="M37" s="190">
        <f>U37/U25-1</f>
        <v>4.5327485425241454E-2</v>
      </c>
      <c r="N37" s="191">
        <f>AVERAGE(T35:T37)</f>
        <v>5.4973371578857728</v>
      </c>
      <c r="O37" s="192">
        <f>N37/N34-1</f>
        <v>2.6266063527834671E-2</v>
      </c>
      <c r="P37" s="129" t="s">
        <v>702</v>
      </c>
      <c r="Q37" s="116">
        <v>24163820</v>
      </c>
      <c r="R37" s="116">
        <v>32247772862</v>
      </c>
      <c r="S37" s="116">
        <v>4437358.3499999996</v>
      </c>
      <c r="T37" s="130">
        <f t="shared" ref="T37" si="54">Q37/S37</f>
        <v>5.4455417151513137</v>
      </c>
      <c r="U37" s="85">
        <f>Q35+Q36+Q37</f>
        <v>73424804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1349102.8</v>
      </c>
      <c r="G38" s="190">
        <f t="shared" ref="G38" si="55">F38/F37-1</f>
        <v>4.9673602931987748E-3</v>
      </c>
      <c r="H38" s="190">
        <f t="shared" ref="H38" si="56">F38/F26-1</f>
        <v>0.1329672866535343</v>
      </c>
      <c r="I38" s="130">
        <f t="shared" si="0"/>
        <v>5.4935272245670843</v>
      </c>
      <c r="J38" s="130">
        <f t="shared" si="5"/>
        <v>-1.1160719250851381E-2</v>
      </c>
      <c r="K38" s="136"/>
      <c r="L38" s="190"/>
      <c r="M38" s="190"/>
      <c r="N38" s="191"/>
      <c r="O38" s="192"/>
      <c r="P38" s="129" t="s">
        <v>727</v>
      </c>
      <c r="Q38" s="116">
        <v>26982056</v>
      </c>
      <c r="R38" s="116">
        <v>36379673235</v>
      </c>
      <c r="S38" s="116">
        <v>4911608.68</v>
      </c>
      <c r="T38" s="130">
        <f t="shared" ref="T38" si="57">Q38/S38</f>
        <v>5.4935272245670843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1107921.3809523811</v>
      </c>
      <c r="G39" s="190">
        <f t="shared" ref="G39" si="58">F39/F38-1</f>
        <v>-0.17877171335469688</v>
      </c>
      <c r="H39" s="190">
        <f t="shared" ref="H39" si="59">F39/F27-1</f>
        <v>-1.1949570790110053E-2</v>
      </c>
      <c r="I39" s="130">
        <f t="shared" si="0"/>
        <v>5.6104513970155638</v>
      </c>
      <c r="J39" s="130">
        <f t="shared" si="5"/>
        <v>1.5000451156870209E-2</v>
      </c>
      <c r="K39" s="136"/>
      <c r="L39" s="190"/>
      <c r="M39" s="190"/>
      <c r="N39" s="191"/>
      <c r="O39" s="192"/>
      <c r="P39" s="129" t="s">
        <v>762</v>
      </c>
      <c r="Q39" s="116">
        <v>23266349</v>
      </c>
      <c r="R39" s="116">
        <v>32369417476</v>
      </c>
      <c r="S39" s="116">
        <v>4146965.61</v>
      </c>
      <c r="T39" s="130">
        <f t="shared" ref="T39" si="60">Q39/S39</f>
        <v>5.6104513970155638</v>
      </c>
      <c r="U39" s="85"/>
    </row>
    <row r="40" spans="1:21" s="79" customFormat="1" ht="13.2" hidden="1">
      <c r="A40" s="129" t="s">
        <v>778</v>
      </c>
      <c r="B40" s="188">
        <f>SUM(F38:F40)</f>
        <v>3643115.5619047624</v>
      </c>
      <c r="C40" s="188">
        <f>AVERAGE(F38:F40)</f>
        <v>1214371.8539682541</v>
      </c>
      <c r="D40" s="190">
        <f>C40/C37-1</f>
        <v>1.7010103554647271E-2</v>
      </c>
      <c r="E40" s="287">
        <f>C40/C28-1</f>
        <v>4.1985640716368566E-2</v>
      </c>
      <c r="F40" s="136">
        <f>Q40/21</f>
        <v>1186091.3809523811</v>
      </c>
      <c r="G40" s="190">
        <f t="shared" ref="G40" si="61">F40/F39-1</f>
        <v>7.0555547842938271E-2</v>
      </c>
      <c r="H40" s="190">
        <f t="shared" ref="H40" si="62">F40/F28-1</f>
        <v>1.5716289024902963E-3</v>
      </c>
      <c r="I40" s="130">
        <f t="shared" si="0"/>
        <v>5.5567707653760934</v>
      </c>
      <c r="J40" s="130">
        <f t="shared" si="5"/>
        <v>9.3070285718295231E-3</v>
      </c>
      <c r="K40" s="136">
        <f>R38+R39+R40</f>
        <v>104156450768</v>
      </c>
      <c r="L40" s="190">
        <f>U40/U37-1</f>
        <v>2.3582221615463972E-2</v>
      </c>
      <c r="M40" s="190">
        <f>U40/U28-1</f>
        <v>7.682998985816103E-2</v>
      </c>
      <c r="N40" s="191">
        <f>AVERAGE(T38:T40)</f>
        <v>5.5535831289862472</v>
      </c>
      <c r="O40" s="192">
        <f>N40/N37-1</f>
        <v>1.0231493809651271E-2</v>
      </c>
      <c r="P40" s="129" t="s">
        <v>778</v>
      </c>
      <c r="Q40" s="116">
        <v>24907919</v>
      </c>
      <c r="R40" s="116">
        <v>35407360057</v>
      </c>
      <c r="S40" s="116">
        <v>4482444.9400000004</v>
      </c>
      <c r="T40" s="130">
        <f t="shared" ref="T40" si="63">Q40/S40</f>
        <v>5.5567707653760934</v>
      </c>
      <c r="U40" s="85">
        <f>Q38+Q39+Q40</f>
        <v>75156324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1493856.4444444445</v>
      </c>
      <c r="G41" s="190">
        <f t="shared" ref="G41" si="64">F41/F40-1</f>
        <v>0.25947837446128408</v>
      </c>
      <c r="H41" s="190">
        <f t="shared" ref="H41" si="65">F41/F29-1</f>
        <v>0.33287420071887452</v>
      </c>
      <c r="I41" s="130">
        <f t="shared" si="0"/>
        <v>5.5415790512106113</v>
      </c>
      <c r="J41" s="130">
        <f t="shared" si="5"/>
        <v>4.2895641284528496E-2</v>
      </c>
      <c r="K41" s="193"/>
      <c r="L41" s="190"/>
      <c r="M41" s="190"/>
      <c r="N41" s="193"/>
      <c r="O41" s="193"/>
      <c r="P41" s="129" t="s">
        <v>792</v>
      </c>
      <c r="Q41" s="116">
        <v>26889416</v>
      </c>
      <c r="R41" s="116">
        <v>39302641021</v>
      </c>
      <c r="S41" s="116">
        <v>4852302.16</v>
      </c>
      <c r="T41" s="130">
        <f t="shared" ref="T41" si="66">Q41/S41</f>
        <v>5.5415790512106113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1283007.75</v>
      </c>
      <c r="G42" s="190">
        <f t="shared" ref="G42" si="67">F42/F41-1</f>
        <v>-0.14114387980757936</v>
      </c>
      <c r="H42" s="190">
        <f t="shared" ref="H42" si="68">F42/F30-1</f>
        <v>8.3120390256889554E-2</v>
      </c>
      <c r="I42" s="130">
        <f t="shared" si="0"/>
        <v>5.4524972627662249</v>
      </c>
      <c r="J42" s="130">
        <f t="shared" si="5"/>
        <v>2.1808975082189042E-2</v>
      </c>
      <c r="K42" s="193"/>
      <c r="L42" s="190"/>
      <c r="M42" s="190"/>
      <c r="N42" s="193"/>
      <c r="O42" s="193"/>
      <c r="P42" s="129" t="s">
        <v>826</v>
      </c>
      <c r="Q42" s="116">
        <v>25660155</v>
      </c>
      <c r="R42" s="116">
        <v>37118745812</v>
      </c>
      <c r="S42" s="116">
        <v>4706128.91</v>
      </c>
      <c r="T42" s="130">
        <f t="shared" ref="T42" si="69">Q42/S42</f>
        <v>5.4524972627662249</v>
      </c>
      <c r="U42" s="78"/>
    </row>
    <row r="43" spans="1:21" s="79" customFormat="1" ht="13.2">
      <c r="A43" s="129" t="s">
        <v>835</v>
      </c>
      <c r="B43" s="188">
        <f>SUM(F41:F43)</f>
        <v>4071855.2944444446</v>
      </c>
      <c r="C43" s="188">
        <f>AVERAGE(F41:F43)</f>
        <v>1357285.0981481483</v>
      </c>
      <c r="D43" s="190">
        <f>C43/C40-1</f>
        <v>0.11768491151445137</v>
      </c>
      <c r="E43" s="287">
        <f>C43/C31-1</f>
        <v>0.14558453017010109</v>
      </c>
      <c r="F43" s="136">
        <f>Q43/20</f>
        <v>1294991.1000000001</v>
      </c>
      <c r="G43" s="190">
        <f t="shared" ref="G43" si="70">F43/F42-1</f>
        <v>9.3400449061979973E-3</v>
      </c>
      <c r="H43" s="190">
        <f t="shared" ref="H43" si="71">F43/F31-1</f>
        <v>3.6768382750297368E-2</v>
      </c>
      <c r="I43" s="130">
        <f t="shared" si="0"/>
        <v>5.4942192588439056</v>
      </c>
      <c r="J43" s="130">
        <f t="shared" si="5"/>
        <v>2.4554865275862037E-2</v>
      </c>
      <c r="K43" s="136">
        <f>R41+R42+R43</f>
        <v>113967839253</v>
      </c>
      <c r="L43" s="190">
        <f>U43/U40-1</f>
        <v>4.3816259560539361E-2</v>
      </c>
      <c r="M43" s="190">
        <f>K43/K31-1</f>
        <v>0.19119179742795045</v>
      </c>
      <c r="N43" s="191">
        <f>AVERAGE(T41:T43)</f>
        <v>5.4960985242735809</v>
      </c>
      <c r="O43" s="192">
        <f>N43/N40-1</f>
        <v>-1.03509037998607E-2</v>
      </c>
      <c r="P43" s="129" t="s">
        <v>835</v>
      </c>
      <c r="Q43" s="116">
        <v>25899822</v>
      </c>
      <c r="R43" s="116">
        <v>37546452420</v>
      </c>
      <c r="S43" s="116">
        <v>4714013.18</v>
      </c>
      <c r="T43" s="130">
        <f t="shared" ref="T43" si="72">Q43/S43</f>
        <v>5.4942192588439056</v>
      </c>
      <c r="U43" s="85">
        <f>Q41+Q42+Q43</f>
        <v>78449393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1223483.7272727273</v>
      </c>
      <c r="G44" s="190">
        <f t="shared" ref="G44" si="73">F44/F43-1</f>
        <v>-5.5218427931491454E-2</v>
      </c>
      <c r="H44" s="190">
        <f t="shared" ref="H44" si="74">F44/F32-1</f>
        <v>2.2585792132043148E-2</v>
      </c>
      <c r="I44" s="130">
        <f t="shared" si="0"/>
        <v>5.4877939244136718</v>
      </c>
      <c r="J44" s="130">
        <f t="shared" si="5"/>
        <v>2.7626873860814971E-2</v>
      </c>
      <c r="K44" s="136"/>
      <c r="L44" s="190"/>
      <c r="M44" s="190"/>
      <c r="N44" s="191"/>
      <c r="O44" s="192"/>
      <c r="P44" s="129" t="s">
        <v>843</v>
      </c>
      <c r="Q44" s="116">
        <v>26916642</v>
      </c>
      <c r="R44" s="116">
        <v>38992529484</v>
      </c>
      <c r="S44" s="116">
        <v>4904820.1100000003</v>
      </c>
      <c r="T44" s="130">
        <f t="shared" ref="T44" si="75">Q44/S44</f>
        <v>5.4877939244136718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1395469.85</v>
      </c>
      <c r="G45" s="190">
        <f t="shared" ref="G45" si="76">F45/F44-1</f>
        <v>0.1405708297491195</v>
      </c>
      <c r="H45" s="190">
        <f t="shared" ref="H45" si="77">F45/F33-1</f>
        <v>0.1975726760936356</v>
      </c>
      <c r="I45" s="130">
        <f t="shared" si="0"/>
        <v>5.5383353679895961</v>
      </c>
      <c r="J45" s="130">
        <f t="shared" si="5"/>
        <v>3.7994006128708513E-2</v>
      </c>
      <c r="K45" s="136"/>
      <c r="L45" s="190"/>
      <c r="M45" s="190"/>
      <c r="N45" s="191"/>
      <c r="O45" s="192"/>
      <c r="P45" s="129" t="s">
        <v>849</v>
      </c>
      <c r="Q45" s="116">
        <v>27909397</v>
      </c>
      <c r="R45" s="116">
        <v>39244503923</v>
      </c>
      <c r="S45" s="116">
        <v>5039311.4800000004</v>
      </c>
      <c r="T45" s="130">
        <f t="shared" ref="T45" si="78">Q45/S45</f>
        <v>5.5383353679895961</v>
      </c>
      <c r="U45" s="85"/>
    </row>
    <row r="46" spans="1:21" s="79" customFormat="1" ht="13.2">
      <c r="A46" s="129" t="s">
        <v>888</v>
      </c>
      <c r="B46" s="188">
        <f>SUM(F44:F46)</f>
        <v>4137610.9983253591</v>
      </c>
      <c r="C46" s="188">
        <f>AVERAGE(F44:F46)</f>
        <v>1379203.6661084529</v>
      </c>
      <c r="D46" s="190">
        <f>C46/C43-1</f>
        <v>1.614883121476085E-2</v>
      </c>
      <c r="E46" s="287">
        <f>C46/C34-1</f>
        <v>0.11906411025281094</v>
      </c>
      <c r="F46" s="136">
        <f>Q46/19</f>
        <v>1518657.4210526317</v>
      </c>
      <c r="G46" s="190">
        <f t="shared" ref="G46" si="79">F46/F45-1</f>
        <v>8.8276770044606545E-2</v>
      </c>
      <c r="H46" s="190">
        <f t="shared" ref="H46" si="80">F46/F34-1</f>
        <v>0.13699549934133493</v>
      </c>
      <c r="I46" s="130">
        <f t="shared" si="0"/>
        <v>5.5479114820194049</v>
      </c>
      <c r="J46" s="130">
        <f t="shared" si="5"/>
        <v>2.8525304321945555E-2</v>
      </c>
      <c r="K46" s="136">
        <f>R44+R45+R46</f>
        <v>117740982020</v>
      </c>
      <c r="L46" s="190">
        <f>U46/U43-1</f>
        <v>6.6681675918129901E-2</v>
      </c>
      <c r="M46" s="190">
        <f>K46/K34-1</f>
        <v>0.14734567872814863</v>
      </c>
      <c r="N46" s="191">
        <f>AVERAGE(T44:T46)</f>
        <v>5.5246802581408909</v>
      </c>
      <c r="O46" s="192">
        <f>N46/N43-1</f>
        <v>5.2003678138370368E-3</v>
      </c>
      <c r="P46" s="129" t="s">
        <v>888</v>
      </c>
      <c r="Q46" s="116">
        <v>28854491</v>
      </c>
      <c r="R46" s="116">
        <v>39503948613</v>
      </c>
      <c r="S46" s="116">
        <v>5200964.5599999996</v>
      </c>
      <c r="T46" s="130">
        <f t="shared" ref="T46" si="81">Q46/S46</f>
        <v>5.5479114820194049</v>
      </c>
      <c r="U46" s="85">
        <f t="shared" ref="U46:U51" si="82">Q44+Q45+Q46</f>
        <v>83680530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1534605.1304347827</v>
      </c>
      <c r="G47" s="190">
        <f t="shared" ref="G47" si="83">F47/F46-1</f>
        <v>1.0501189511915809E-2</v>
      </c>
      <c r="H47" s="190">
        <f t="shared" ref="H47" si="84">F47/F35-1</f>
        <v>0.37862745943554277</v>
      </c>
      <c r="I47" s="130">
        <f t="shared" si="0"/>
        <v>5.6498491032503644</v>
      </c>
      <c r="J47" s="130">
        <f t="shared" si="5"/>
        <v>2.9399784503369997E-2</v>
      </c>
      <c r="K47" s="136"/>
      <c r="L47" s="190"/>
      <c r="M47" s="190"/>
      <c r="N47" s="191"/>
      <c r="O47" s="192"/>
      <c r="P47" s="129" t="s">
        <v>991</v>
      </c>
      <c r="Q47" s="116">
        <v>35295918</v>
      </c>
      <c r="R47" s="116">
        <v>48387363604</v>
      </c>
      <c r="S47" s="116">
        <v>6247231.9800000004</v>
      </c>
      <c r="T47" s="130">
        <f t="shared" ref="T47" si="85">Q47/S47</f>
        <v>5.6498491032503644</v>
      </c>
      <c r="U47" s="85">
        <f t="shared" si="82"/>
        <v>92059806</v>
      </c>
    </row>
    <row r="48" spans="1:21" s="79" customFormat="1" ht="13.2">
      <c r="A48" s="129" t="s">
        <v>1083</v>
      </c>
      <c r="B48" s="188"/>
      <c r="C48" s="188"/>
      <c r="D48" s="190"/>
      <c r="E48" s="287"/>
      <c r="F48" s="136">
        <f>Q48/20</f>
        <v>1468738.5</v>
      </c>
      <c r="G48" s="190">
        <f t="shared" ref="G48" si="86">F48/F47-1</f>
        <v>-4.2920898104987781E-2</v>
      </c>
      <c r="H48" s="190">
        <f t="shared" ref="H48" si="87">F48/F36-1</f>
        <v>0.30368193728430826</v>
      </c>
      <c r="I48" s="130">
        <f t="shared" si="0"/>
        <v>5.6384331094179325</v>
      </c>
      <c r="J48" s="130">
        <f t="shared" si="5"/>
        <v>1.4475052725450688E-2</v>
      </c>
      <c r="K48" s="136"/>
      <c r="L48" s="190"/>
      <c r="M48" s="190"/>
      <c r="N48" s="191"/>
      <c r="O48" s="192"/>
      <c r="P48" s="129" t="s">
        <v>1070</v>
      </c>
      <c r="Q48" s="116">
        <v>29374770</v>
      </c>
      <c r="R48" s="116">
        <v>40757432548</v>
      </c>
      <c r="S48" s="116">
        <v>5209739.91</v>
      </c>
      <c r="T48" s="130">
        <f t="shared" ref="T48" si="88">Q48/S48</f>
        <v>5.6384331094179325</v>
      </c>
      <c r="U48" s="85">
        <f t="shared" si="82"/>
        <v>93525179</v>
      </c>
    </row>
    <row r="49" spans="1:26" ht="13.2">
      <c r="A49" s="129" t="s">
        <v>1207</v>
      </c>
      <c r="B49" s="188">
        <f>SUM(F47:F49)</f>
        <v>4526457.0849802373</v>
      </c>
      <c r="C49" s="188">
        <f>AVERAGE(F47:F49)</f>
        <v>1508819.0283267458</v>
      </c>
      <c r="D49" s="190">
        <f>C49/C46-1</f>
        <v>9.3978406092853684E-2</v>
      </c>
      <c r="E49" s="287">
        <f>C49/C37-1</f>
        <v>0.26360322929875846</v>
      </c>
      <c r="F49" s="136">
        <f>Q49/22</f>
        <v>1523113.4545454546</v>
      </c>
      <c r="G49" s="190">
        <f t="shared" ref="G49" si="89">F49/F48-1</f>
        <v>3.7021535518715343E-2</v>
      </c>
      <c r="H49" s="190">
        <f t="shared" ref="H49" si="90">F49/F37-1</f>
        <v>0.13459056481211085</v>
      </c>
      <c r="I49" s="130">
        <f t="shared" si="0"/>
        <v>5.5780139001422908</v>
      </c>
      <c r="J49" s="130">
        <f t="shared" si="5"/>
        <v>2.4326723018647689E-2</v>
      </c>
      <c r="K49" s="136">
        <f>R47+R48+R49</f>
        <v>135706904005</v>
      </c>
      <c r="L49" s="190">
        <f>U49/U46-1</f>
        <v>0.17326197623270301</v>
      </c>
      <c r="M49" s="190">
        <f>K49/K37-1</f>
        <v>0.35742067936116872</v>
      </c>
      <c r="N49" s="191">
        <f>AVERAGE(T47:T49)</f>
        <v>5.6220987042701962</v>
      </c>
      <c r="O49" s="192">
        <f>N49/N46-1</f>
        <v>1.7633318414356003E-2</v>
      </c>
      <c r="P49" s="129" t="s">
        <v>1171</v>
      </c>
      <c r="Q49" s="116">
        <v>33508496</v>
      </c>
      <c r="R49" s="116">
        <v>46562107853</v>
      </c>
      <c r="S49" s="116">
        <v>6007244.9800000004</v>
      </c>
      <c r="T49" s="130">
        <f t="shared" ref="T49" si="91">Q49/S49</f>
        <v>5.5780139001422908</v>
      </c>
      <c r="U49" s="85">
        <f t="shared" si="82"/>
        <v>98179184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1220557.2777777778</v>
      </c>
      <c r="G50" s="190">
        <f t="shared" ref="G50" si="92">F50/F49-1</f>
        <v>-0.19864323032847819</v>
      </c>
      <c r="H50" s="190">
        <f t="shared" ref="H50" si="93">F50/F38-1</f>
        <v>-9.5282229213535352E-2</v>
      </c>
      <c r="I50" s="130">
        <f t="shared" ref="I50" si="94">T50</f>
        <v>5.7016720053004661</v>
      </c>
      <c r="J50" s="130">
        <f t="shared" ref="J50" si="95">I50/I38-1</f>
        <v>3.7889096062463601E-2</v>
      </c>
      <c r="K50" s="136"/>
      <c r="L50" s="190"/>
      <c r="M50" s="190"/>
      <c r="N50" s="191"/>
      <c r="O50" s="192"/>
      <c r="P50" s="129" t="s">
        <v>1291</v>
      </c>
      <c r="Q50" s="116">
        <v>21970031</v>
      </c>
      <c r="R50" s="116">
        <v>31064388248</v>
      </c>
      <c r="S50" s="116">
        <v>3853261.11</v>
      </c>
      <c r="T50" s="130">
        <f t="shared" ref="T50" si="96">Q50/S50</f>
        <v>5.7016720053004661</v>
      </c>
      <c r="U50" s="85">
        <f t="shared" si="82"/>
        <v>84853297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1181221.3500000001</v>
      </c>
      <c r="G51" s="190">
        <f t="shared" ref="G51:G52" si="97">F51/F50-1</f>
        <v>-3.2227842555160646E-2</v>
      </c>
      <c r="H51" s="190">
        <f t="shared" ref="H51:H52" si="98">F51/F39-1</f>
        <v>6.6159901151658929E-2</v>
      </c>
      <c r="I51" s="130">
        <f t="shared" ref="I51:I52" si="99">T51</f>
        <v>5.5559492437933322</v>
      </c>
      <c r="J51" s="130">
        <f t="shared" ref="J51:J52" si="100">I51/I39-1</f>
        <v>-9.7143971786697314E-3</v>
      </c>
      <c r="K51" s="136"/>
      <c r="L51" s="190"/>
      <c r="M51" s="190"/>
      <c r="N51" s="191"/>
      <c r="O51" s="192"/>
      <c r="P51" s="129" t="s">
        <v>1402</v>
      </c>
      <c r="Q51" s="116">
        <v>23624427</v>
      </c>
      <c r="R51" s="116">
        <v>34249240572</v>
      </c>
      <c r="S51" s="116">
        <v>4252095.54</v>
      </c>
      <c r="T51" s="130">
        <f t="shared" ref="T51:T52" si="101">Q51/S51</f>
        <v>5.5559492437933322</v>
      </c>
      <c r="U51" s="85">
        <f t="shared" si="82"/>
        <v>79102954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3662412.9005050501</v>
      </c>
      <c r="C52" s="188">
        <f>AVERAGE(F50:F52)</f>
        <v>1220804.3001683501</v>
      </c>
      <c r="D52" s="190">
        <f>C52/C49-1</f>
        <v>-0.19088752378593676</v>
      </c>
      <c r="E52" s="287">
        <f>C52/C40-1</f>
        <v>5.2969328785712477E-3</v>
      </c>
      <c r="F52" s="136">
        <f>Q52/22</f>
        <v>1260634.2727272727</v>
      </c>
      <c r="G52" s="190">
        <f t="shared" si="97"/>
        <v>6.7229501674070269E-2</v>
      </c>
      <c r="H52" s="190">
        <f t="shared" si="98"/>
        <v>6.284751155938495E-2</v>
      </c>
      <c r="I52" s="130">
        <f t="shared" si="99"/>
        <v>5.8845223317854973</v>
      </c>
      <c r="J52" s="130">
        <f t="shared" si="100"/>
        <v>5.8982380279496871E-2</v>
      </c>
      <c r="K52" s="136">
        <f>R50+R51+R52</f>
        <v>106120819732</v>
      </c>
      <c r="L52" s="190">
        <f>U52/U49-1</f>
        <v>-0.25311650583691958</v>
      </c>
      <c r="M52" s="190">
        <f>K52/K40-1</f>
        <v>1.8859791683718763E-2</v>
      </c>
      <c r="N52" s="191">
        <f>AVERAGE(T50:T52)</f>
        <v>5.7140478602930989</v>
      </c>
      <c r="O52" s="192">
        <f>N52/N49-1</f>
        <v>1.635495228019801E-2</v>
      </c>
      <c r="P52" s="129" t="s">
        <v>1403</v>
      </c>
      <c r="Q52" s="116">
        <v>27733954</v>
      </c>
      <c r="R52" s="116">
        <v>40807190912</v>
      </c>
      <c r="S52" s="116">
        <v>4713034.03</v>
      </c>
      <c r="T52" s="130">
        <f t="shared" si="101"/>
        <v>5.8845223317854973</v>
      </c>
      <c r="U52" s="85">
        <f t="shared" ref="U52" si="102">Q50+Q51+Q52</f>
        <v>73328412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1361407.7142857143</v>
      </c>
      <c r="G53" s="190">
        <f t="shared" ref="G53" si="103">F53/F52-1</f>
        <v>7.9938681454714944E-2</v>
      </c>
      <c r="H53" s="190">
        <f t="shared" ref="H53" si="104">F53/F41-1</f>
        <v>-8.866228790008468E-2</v>
      </c>
      <c r="I53" s="130">
        <f t="shared" ref="I53" si="105">T53</f>
        <v>5.9741552829281357</v>
      </c>
      <c r="J53" s="130">
        <f t="shared" ref="J53" si="106">I53/I41-1</f>
        <v>7.8060103035618278E-2</v>
      </c>
      <c r="K53" s="136"/>
      <c r="L53" s="190"/>
      <c r="M53" s="190"/>
      <c r="N53" s="191"/>
      <c r="O53" s="192"/>
      <c r="P53" s="129" t="s">
        <v>1414</v>
      </c>
      <c r="Q53" s="116">
        <v>28589562</v>
      </c>
      <c r="R53" s="116">
        <v>41690283392</v>
      </c>
      <c r="S53" s="116">
        <v>4785540.49</v>
      </c>
      <c r="T53" s="130">
        <f t="shared" ref="T53" si="107">Q53/S53</f>
        <v>5.9741552829281357</v>
      </c>
      <c r="U53" s="85">
        <f t="shared" ref="U53" si="108">Q51+Q52+Q53</f>
        <v>79947943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1640489.5294117648</v>
      </c>
      <c r="G54" s="190">
        <f t="shared" ref="G54" si="109">F54/F53-1</f>
        <v>0.20499502992200647</v>
      </c>
      <c r="H54" s="190">
        <f t="shared" ref="H54" si="110">F54/F42-1</f>
        <v>0.27862791897536465</v>
      </c>
      <c r="I54" s="130">
        <f t="shared" ref="I54" si="111">T54</f>
        <v>5.9199414431830375</v>
      </c>
      <c r="J54" s="130">
        <f t="shared" ref="J54" si="112">I54/I42-1</f>
        <v>8.5730291624147137E-2</v>
      </c>
      <c r="K54" s="136"/>
      <c r="L54" s="190"/>
      <c r="M54" s="190"/>
      <c r="N54" s="191"/>
      <c r="O54" s="192"/>
      <c r="P54" s="129" t="s">
        <v>1417</v>
      </c>
      <c r="Q54" s="116">
        <v>27888322</v>
      </c>
      <c r="R54" s="116">
        <v>40412848174</v>
      </c>
      <c r="S54" s="116">
        <v>4710911.8</v>
      </c>
      <c r="T54" s="130">
        <f t="shared" ref="T54" si="113">Q54/S54</f>
        <v>5.9199414431830375</v>
      </c>
      <c r="U54" s="85">
        <f t="shared" ref="U54" si="114">Q52+Q53+Q54</f>
        <v>84211838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4602607.6722689085</v>
      </c>
      <c r="C55" s="188">
        <f>AVERAGE(F53:F55)</f>
        <v>1534202.5574229695</v>
      </c>
      <c r="D55" s="190">
        <f>C55/C52-1</f>
        <v>0.25671457514640261</v>
      </c>
      <c r="E55" s="287">
        <f>C55/C43-1</f>
        <v>0.13034657163495256</v>
      </c>
      <c r="F55" s="136">
        <f>Q55/21</f>
        <v>1600710.4285714286</v>
      </c>
      <c r="G55" s="190">
        <f t="shared" ref="G55" si="115">F55/F54-1</f>
        <v>-2.4248311328509242E-2</v>
      </c>
      <c r="H55" s="190">
        <f t="shared" ref="H55" si="116">F55/F43-1</f>
        <v>0.2360783240683495</v>
      </c>
      <c r="I55" s="130">
        <f>T55</f>
        <v>6.0937075694676954</v>
      </c>
      <c r="J55" s="130">
        <f t="shared" ref="J55" si="117">I55/I43-1</f>
        <v>0.10911255674021536</v>
      </c>
      <c r="K55" s="136">
        <f>R53+R54+R55</f>
        <v>131622661285</v>
      </c>
      <c r="L55" s="190">
        <f>U55/U52-1</f>
        <v>0.22862067434379996</v>
      </c>
      <c r="M55" s="190">
        <f>K55/K43-1</f>
        <v>0.15491056202976372</v>
      </c>
      <c r="N55" s="191">
        <f>AVERAGE(T53:T55)</f>
        <v>5.9959347651929562</v>
      </c>
      <c r="O55" s="192">
        <f>N55/N52-1</f>
        <v>4.9332261785675291E-2</v>
      </c>
      <c r="P55" s="129" t="s">
        <v>1418</v>
      </c>
      <c r="Q55" s="116">
        <v>33614919</v>
      </c>
      <c r="R55" s="116">
        <v>49519529719</v>
      </c>
      <c r="S55" s="116">
        <v>5516332.8099999996</v>
      </c>
      <c r="T55" s="130">
        <f t="shared" ref="T55" si="118">Q55/S55</f>
        <v>6.0937075694676954</v>
      </c>
      <c r="U55" s="85">
        <f t="shared" ref="U55" si="119">Q53+Q54+Q55</f>
        <v>90092803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1922240.4545454546</v>
      </c>
      <c r="G56" s="190">
        <f t="shared" ref="G56" si="120">F56/F55-1</f>
        <v>0.20086707766437106</v>
      </c>
      <c r="H56" s="190">
        <f t="shared" ref="H56" si="121">F56/F44-1</f>
        <v>0.5711205729154476</v>
      </c>
      <c r="I56" s="291">
        <f>T56</f>
        <v>6.397420519160586</v>
      </c>
      <c r="J56" s="130">
        <f t="shared" ref="J56" si="122">I56/I44-1</f>
        <v>0.16575451033251043</v>
      </c>
      <c r="K56" s="136"/>
      <c r="L56" s="190"/>
      <c r="M56" s="190"/>
      <c r="N56" s="191"/>
      <c r="O56" s="192"/>
      <c r="P56" s="129" t="s">
        <v>1420</v>
      </c>
      <c r="Q56" s="116">
        <v>42289290</v>
      </c>
      <c r="R56" s="116">
        <v>63106923338</v>
      </c>
      <c r="S56" s="116">
        <v>6610365.8300000001</v>
      </c>
      <c r="T56" s="130">
        <f t="shared" ref="T56" si="123">Q56/S56</f>
        <v>6.397420519160586</v>
      </c>
      <c r="U56" s="85">
        <f t="shared" ref="U56" si="124">Q54+Q55+Q56</f>
        <v>103792531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2145547.9166666665</v>
      </c>
      <c r="G57" s="254">
        <f t="shared" ref="G57" si="125">F57/F56-1</f>
        <v>0.11617041020709173</v>
      </c>
      <c r="H57" s="254">
        <f t="shared" ref="H57" si="126">F57/F45-1</f>
        <v>0.53750933183304994</v>
      </c>
      <c r="I57" s="282">
        <f>T57</f>
        <v>6.4463197888136055</v>
      </c>
      <c r="J57" s="277">
        <f t="shared" ref="J57" si="127">I57/I45-1</f>
        <v>0.16394536634093471</v>
      </c>
      <c r="K57" s="204"/>
      <c r="L57" s="254"/>
      <c r="M57" s="254"/>
      <c r="N57" s="257"/>
      <c r="O57" s="258"/>
      <c r="P57" s="129" t="s">
        <v>1436</v>
      </c>
      <c r="Q57" s="116">
        <v>25746575</v>
      </c>
      <c r="R57" s="116">
        <v>37943977869</v>
      </c>
      <c r="S57" s="116">
        <v>3993995.93</v>
      </c>
      <c r="T57" s="130">
        <f t="shared" ref="T57" si="128">Q57/S57</f>
        <v>6.4463197888136055</v>
      </c>
      <c r="U57" s="85">
        <f t="shared" ref="U57" si="129">Q55+Q56+Q57</f>
        <v>101650784</v>
      </c>
      <c r="V57" s="79"/>
      <c r="W57" s="79"/>
      <c r="X57" s="79"/>
      <c r="Y57" s="79"/>
      <c r="Z57" s="79"/>
    </row>
    <row r="58" spans="1:26">
      <c r="B58" s="196">
        <f>SUM(F56:F58)</f>
        <v>4067788.3712121211</v>
      </c>
      <c r="C58" s="196">
        <f>AVERAGE(F56:F58)</f>
        <v>2033894.1856060605</v>
      </c>
      <c r="D58" s="197">
        <f>C58/C55-1</f>
        <v>0.32570120924738455</v>
      </c>
      <c r="E58" s="233">
        <f>C58/C46-1</f>
        <v>0.47468733993789014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158128668</v>
      </c>
      <c r="R64" s="212">
        <v>232673562492</v>
      </c>
      <c r="S64" s="213">
        <v>25617146.870000001</v>
      </c>
      <c r="T64" s="214">
        <v>65</v>
      </c>
      <c r="U64" s="214">
        <v>237</v>
      </c>
    </row>
    <row r="65" spans="16:21" ht="18" thickBot="1">
      <c r="P65" s="180" t="s">
        <v>976</v>
      </c>
      <c r="Q65" s="181">
        <v>28589562</v>
      </c>
      <c r="R65" s="181">
        <v>41690283392</v>
      </c>
      <c r="S65" s="182">
        <v>4785540.49</v>
      </c>
      <c r="T65" s="210">
        <v>30</v>
      </c>
      <c r="U65" s="210">
        <v>116</v>
      </c>
    </row>
    <row r="66" spans="16:21" ht="18" thickBot="1">
      <c r="P66" s="180" t="s">
        <v>977</v>
      </c>
      <c r="Q66" s="181">
        <v>27888322</v>
      </c>
      <c r="R66" s="181">
        <v>40412848174</v>
      </c>
      <c r="S66" s="182">
        <v>4710911.8</v>
      </c>
      <c r="T66" s="210">
        <v>29</v>
      </c>
      <c r="U66" s="210">
        <v>90</v>
      </c>
    </row>
    <row r="67" spans="16:21" ht="18" thickBot="1">
      <c r="P67" s="180" t="s">
        <v>978</v>
      </c>
      <c r="Q67" s="181">
        <v>33614919</v>
      </c>
      <c r="R67" s="181">
        <v>49519529719</v>
      </c>
      <c r="S67" s="182">
        <v>5516332.8099999996</v>
      </c>
      <c r="T67" s="210">
        <v>37</v>
      </c>
      <c r="U67" s="210">
        <v>123</v>
      </c>
    </row>
    <row r="68" spans="16:21" ht="18" thickBot="1">
      <c r="P68" s="180" t="s">
        <v>979</v>
      </c>
      <c r="Q68" s="181">
        <v>42289290</v>
      </c>
      <c r="R68" s="181">
        <v>63106923338</v>
      </c>
      <c r="S68" s="182">
        <v>6610365.8300000001</v>
      </c>
      <c r="T68" s="210">
        <v>32</v>
      </c>
      <c r="U68" s="210">
        <v>129</v>
      </c>
    </row>
    <row r="69" spans="16:21" ht="18" thickBot="1">
      <c r="P69" s="180" t="s">
        <v>980</v>
      </c>
      <c r="Q69" s="181">
        <v>25746575</v>
      </c>
      <c r="R69" s="181">
        <v>37943977869</v>
      </c>
      <c r="S69" s="182">
        <v>3993995.93</v>
      </c>
      <c r="T69" s="210">
        <v>20</v>
      </c>
      <c r="U69" s="210">
        <v>94</v>
      </c>
    </row>
    <row r="70" spans="16:21" ht="18" thickBot="1">
      <c r="P70" s="180" t="s">
        <v>975</v>
      </c>
      <c r="Q70" s="181">
        <v>333707105</v>
      </c>
      <c r="R70" s="181">
        <v>473639763117</v>
      </c>
      <c r="S70" s="182">
        <v>59713851.969999999</v>
      </c>
      <c r="T70" s="210">
        <v>114</v>
      </c>
      <c r="U70" s="210">
        <v>365</v>
      </c>
    </row>
    <row r="71" spans="16:21" ht="18" thickBot="1">
      <c r="P71" s="215" t="s">
        <v>982</v>
      </c>
      <c r="Q71" s="216">
        <v>295669046</v>
      </c>
      <c r="R71" s="216">
        <v>402383233328</v>
      </c>
      <c r="S71" s="272">
        <v>54412321.909999996</v>
      </c>
      <c r="T71" s="217">
        <v>104</v>
      </c>
      <c r="U71" s="217">
        <v>318</v>
      </c>
    </row>
    <row r="72" spans="16:21" ht="18" thickBot="1">
      <c r="P72" s="180" t="s">
        <v>1386</v>
      </c>
      <c r="Q72" s="181">
        <v>298943656</v>
      </c>
      <c r="R72"/>
      <c r="S72"/>
      <c r="T72"/>
      <c r="U72"/>
    </row>
  </sheetData>
  <phoneticPr fontId="1" type="noConversion"/>
  <conditionalFormatting sqref="C29:C30">
    <cfRule type="cellIs" dxfId="2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21">
    <tabColor rgb="FFFF0000"/>
  </sheetPr>
  <dimension ref="A1:Z73"/>
  <sheetViews>
    <sheetView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7410110000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3523332.45</v>
      </c>
      <c r="G5" s="90"/>
      <c r="H5" s="90"/>
      <c r="I5" s="130">
        <f t="shared" ref="I5:I49" si="0">T5</f>
        <v>16.375812982919911</v>
      </c>
      <c r="J5" s="130"/>
      <c r="L5" s="80"/>
      <c r="M5" s="80"/>
      <c r="P5" s="129" t="s">
        <v>0</v>
      </c>
      <c r="Q5" s="116">
        <v>70466649</v>
      </c>
      <c r="R5" s="116">
        <v>83157232361</v>
      </c>
      <c r="S5" s="116">
        <v>4303093.17</v>
      </c>
      <c r="T5" s="130">
        <f t="shared" ref="T5:T17" si="1">Q5/S5</f>
        <v>16.375812982919911</v>
      </c>
      <c r="U5" s="85"/>
    </row>
    <row r="6" spans="1:21" ht="15" hidden="1" customHeight="1">
      <c r="A6" s="129" t="s">
        <v>1</v>
      </c>
      <c r="C6" s="79"/>
      <c r="F6" s="78">
        <f>Q6/18</f>
        <v>3697907.5555555555</v>
      </c>
      <c r="G6" s="90">
        <f t="shared" ref="G6:G16" si="2">F6/F5-1</f>
        <v>4.9548292144715234E-2</v>
      </c>
      <c r="H6" s="90"/>
      <c r="I6" s="130">
        <f t="shared" si="0"/>
        <v>16.474071620943274</v>
      </c>
      <c r="J6" s="130"/>
      <c r="P6" s="129" t="s">
        <v>1</v>
      </c>
      <c r="Q6" s="116">
        <v>66562336</v>
      </c>
      <c r="R6" s="116">
        <v>79021166372</v>
      </c>
      <c r="S6" s="116">
        <v>4040430.17</v>
      </c>
      <c r="T6" s="130">
        <f t="shared" si="1"/>
        <v>16.474071620943274</v>
      </c>
      <c r="U6" s="85"/>
    </row>
    <row r="7" spans="1:21" ht="15" hidden="1" customHeight="1">
      <c r="A7" s="129" t="s">
        <v>2</v>
      </c>
      <c r="B7" s="131">
        <f>F5+F6+F7</f>
        <v>10568161.46010101</v>
      </c>
      <c r="C7" s="131">
        <f>AVERAGE(F5:F7)</f>
        <v>3522720.4867003369</v>
      </c>
      <c r="F7" s="78">
        <f>Q7/22</f>
        <v>3346921.4545454546</v>
      </c>
      <c r="G7" s="90">
        <f t="shared" si="2"/>
        <v>-9.4914785114840527E-2</v>
      </c>
      <c r="H7" s="90"/>
      <c r="I7" s="130">
        <f t="shared" si="0"/>
        <v>16.454189331363565</v>
      </c>
      <c r="J7" s="130"/>
      <c r="K7" s="79">
        <f>R5+R6+R7</f>
        <v>250909737448</v>
      </c>
      <c r="N7" s="88">
        <f>AVERAGE(T5:T7)</f>
        <v>16.434691311742252</v>
      </c>
      <c r="P7" s="129" t="s">
        <v>2</v>
      </c>
      <c r="Q7" s="116">
        <v>73632272</v>
      </c>
      <c r="R7" s="116">
        <v>88731338715</v>
      </c>
      <c r="S7" s="116">
        <v>4474986.3099999996</v>
      </c>
      <c r="T7" s="130">
        <f t="shared" si="1"/>
        <v>16.454189331363565</v>
      </c>
      <c r="U7" s="85">
        <f>Q5+Q6+Q7</f>
        <v>210661257</v>
      </c>
    </row>
    <row r="8" spans="1:21" ht="15" hidden="1" customHeight="1">
      <c r="A8" s="129" t="s">
        <v>3</v>
      </c>
      <c r="C8" s="79"/>
      <c r="F8" s="78">
        <f>Q8/21</f>
        <v>2878229.4761904762</v>
      </c>
      <c r="G8" s="90">
        <f t="shared" si="2"/>
        <v>-0.14003674263656463</v>
      </c>
      <c r="H8" s="90"/>
      <c r="I8" s="130">
        <f t="shared" si="0"/>
        <v>16.085782456246431</v>
      </c>
      <c r="J8" s="130"/>
      <c r="K8" s="78"/>
      <c r="P8" s="129" t="s">
        <v>3</v>
      </c>
      <c r="Q8" s="116">
        <v>60442819</v>
      </c>
      <c r="R8" s="116">
        <v>73295725413</v>
      </c>
      <c r="S8" s="116">
        <v>3757530.55</v>
      </c>
      <c r="T8" s="130">
        <f t="shared" si="1"/>
        <v>16.085782456246431</v>
      </c>
      <c r="U8" s="85"/>
    </row>
    <row r="9" spans="1:21" ht="15" hidden="1" customHeight="1">
      <c r="A9" s="129" t="s">
        <v>4</v>
      </c>
      <c r="C9" s="79"/>
      <c r="F9" s="78">
        <f>Q9/21</f>
        <v>3036989.7142857141</v>
      </c>
      <c r="G9" s="90">
        <f t="shared" si="2"/>
        <v>5.5158992501656678E-2</v>
      </c>
      <c r="H9" s="90"/>
      <c r="I9" s="130">
        <f t="shared" si="0"/>
        <v>16.392857737984677</v>
      </c>
      <c r="J9" s="130"/>
      <c r="K9" s="78"/>
      <c r="P9" s="129" t="s">
        <v>4</v>
      </c>
      <c r="Q9" s="116">
        <v>63776784</v>
      </c>
      <c r="R9" s="116">
        <v>80271291273</v>
      </c>
      <c r="S9" s="116">
        <v>3890522.63</v>
      </c>
      <c r="T9" s="130">
        <f t="shared" si="1"/>
        <v>16.392857737984677</v>
      </c>
      <c r="U9" s="85"/>
    </row>
    <row r="10" spans="1:21" ht="15" hidden="1" customHeight="1">
      <c r="A10" s="129" t="s">
        <v>5</v>
      </c>
      <c r="B10" s="131">
        <f>F8+F9+F10</f>
        <v>9208306.2380952388</v>
      </c>
      <c r="C10" s="131">
        <f>AVERAGE(F8:F10)</f>
        <v>3069435.4126984128</v>
      </c>
      <c r="D10" s="90">
        <f>C10/C7-1</f>
        <v>-0.12867472049322526</v>
      </c>
      <c r="E10" s="286"/>
      <c r="F10" s="78">
        <f>Q10/21</f>
        <v>3293087.0476190476</v>
      </c>
      <c r="G10" s="90">
        <f t="shared" si="2"/>
        <v>8.4326045665770843E-2</v>
      </c>
      <c r="H10" s="90"/>
      <c r="I10" s="130">
        <f t="shared" si="0"/>
        <v>16.103826798055593</v>
      </c>
      <c r="J10" s="130"/>
      <c r="K10" s="79">
        <f>R8+R9+R10</f>
        <v>240889029333</v>
      </c>
      <c r="L10" s="87">
        <f>U10/U7-1</f>
        <v>-8.2059825552071031E-2</v>
      </c>
      <c r="N10" s="88">
        <f>AVERAGE(T8:T10)</f>
        <v>16.194155664095565</v>
      </c>
      <c r="O10" s="89">
        <f>N10/N7-1</f>
        <v>-1.4635848223984005E-2</v>
      </c>
      <c r="P10" s="129" t="s">
        <v>5</v>
      </c>
      <c r="Q10" s="116">
        <v>69154828</v>
      </c>
      <c r="R10" s="116">
        <v>87322012647</v>
      </c>
      <c r="S10" s="116">
        <v>4294310.22</v>
      </c>
      <c r="T10" s="130">
        <f t="shared" si="1"/>
        <v>16.103826798055593</v>
      </c>
      <c r="U10" s="85">
        <f>Q8+Q9+Q10</f>
        <v>193374431</v>
      </c>
    </row>
    <row r="11" spans="1:21" ht="15" hidden="1" customHeight="1">
      <c r="A11" s="129" t="s">
        <v>6</v>
      </c>
      <c r="C11" s="79"/>
      <c r="F11" s="78">
        <f>Q11/21</f>
        <v>3031721.7619047621</v>
      </c>
      <c r="G11" s="90">
        <f t="shared" si="2"/>
        <v>-7.9367864236463692E-2</v>
      </c>
      <c r="H11" s="90"/>
      <c r="I11" s="130">
        <f t="shared" si="0"/>
        <v>15.936729093670543</v>
      </c>
      <c r="J11" s="130"/>
      <c r="K11" s="78"/>
      <c r="O11" s="89"/>
      <c r="P11" s="129" t="s">
        <v>6</v>
      </c>
      <c r="Q11" s="116">
        <v>63666157</v>
      </c>
      <c r="R11" s="116">
        <v>82236208372</v>
      </c>
      <c r="S11" s="116">
        <v>3994932.5</v>
      </c>
      <c r="T11" s="130">
        <f t="shared" si="1"/>
        <v>15.936729093670543</v>
      </c>
      <c r="U11" s="85"/>
    </row>
    <row r="12" spans="1:21" ht="15" hidden="1" customHeight="1">
      <c r="A12" s="129" t="s">
        <v>7</v>
      </c>
      <c r="C12" s="79"/>
      <c r="F12" s="78">
        <f>Q12/22</f>
        <v>3057011.4545454546</v>
      </c>
      <c r="G12" s="90">
        <f t="shared" si="2"/>
        <v>8.3416931456148369E-3</v>
      </c>
      <c r="H12" s="90"/>
      <c r="I12" s="130">
        <f t="shared" si="0"/>
        <v>15.24899316130317</v>
      </c>
      <c r="J12" s="130"/>
      <c r="K12" s="78"/>
      <c r="O12" s="89"/>
      <c r="P12" s="129" t="s">
        <v>7</v>
      </c>
      <c r="Q12" s="116">
        <v>67254252</v>
      </c>
      <c r="R12" s="116">
        <v>87380480409</v>
      </c>
      <c r="S12" s="116">
        <v>4410406.07</v>
      </c>
      <c r="T12" s="130">
        <f t="shared" si="1"/>
        <v>15.24899316130317</v>
      </c>
      <c r="U12" s="85"/>
    </row>
    <row r="13" spans="1:21" ht="15" hidden="1" customHeight="1">
      <c r="A13" s="129" t="s">
        <v>96</v>
      </c>
      <c r="B13" s="131">
        <f>F11+F12+F13</f>
        <v>8977902.4164502174</v>
      </c>
      <c r="C13" s="131">
        <f>AVERAGE(F11:F13)</f>
        <v>2992634.138816739</v>
      </c>
      <c r="D13" s="90">
        <f>C13/C10-1</f>
        <v>-2.5021303124328043E-2</v>
      </c>
      <c r="E13" s="286"/>
      <c r="F13" s="78">
        <f>Q13/20</f>
        <v>2889169.2</v>
      </c>
      <c r="G13" s="90">
        <f t="shared" si="2"/>
        <v>-5.4904031941355846E-2</v>
      </c>
      <c r="H13" s="90"/>
      <c r="I13" s="130">
        <f t="shared" si="0"/>
        <v>14.231416305113685</v>
      </c>
      <c r="J13" s="130"/>
      <c r="K13" s="78">
        <f>R11+R12+R13</f>
        <v>248619589211</v>
      </c>
      <c r="L13" s="87">
        <f>U13/U10-1</f>
        <v>-2.4153338038781391E-2</v>
      </c>
      <c r="N13" s="88">
        <f>AVERAGE(T11:T13)</f>
        <v>15.139046186695799</v>
      </c>
      <c r="O13" s="89">
        <f>N13/N10-1</f>
        <v>-6.5153719606331428E-2</v>
      </c>
      <c r="P13" s="129" t="s">
        <v>96</v>
      </c>
      <c r="Q13" s="116">
        <v>57783384</v>
      </c>
      <c r="R13" s="116">
        <v>79002900430</v>
      </c>
      <c r="S13" s="116">
        <v>4060269.39</v>
      </c>
      <c r="T13" s="130">
        <f t="shared" si="1"/>
        <v>14.231416305113685</v>
      </c>
      <c r="U13" s="85">
        <f>Q11+Q12+Q13</f>
        <v>188703793</v>
      </c>
    </row>
    <row r="14" spans="1:21" ht="15" hidden="1" customHeight="1">
      <c r="A14" s="129" t="s">
        <v>97</v>
      </c>
      <c r="C14" s="79"/>
      <c r="F14" s="78">
        <f>Q14/20</f>
        <v>2702084.3</v>
      </c>
      <c r="G14" s="90">
        <f t="shared" si="2"/>
        <v>-6.4753874574047243E-2</v>
      </c>
      <c r="H14" s="90"/>
      <c r="I14" s="130">
        <f t="shared" si="0"/>
        <v>14.54242188800219</v>
      </c>
      <c r="J14" s="130"/>
      <c r="O14" s="89"/>
      <c r="P14" s="129" t="s">
        <v>97</v>
      </c>
      <c r="Q14" s="116">
        <v>54041686</v>
      </c>
      <c r="R14" s="116">
        <v>77060591325</v>
      </c>
      <c r="S14" s="116">
        <v>3716140.71</v>
      </c>
      <c r="T14" s="130">
        <f t="shared" si="1"/>
        <v>14.54242188800219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2433496.2272727271</v>
      </c>
      <c r="G15" s="90">
        <f t="shared" si="2"/>
        <v>-9.9400330599335063E-2</v>
      </c>
      <c r="H15" s="90"/>
      <c r="I15" s="130">
        <f t="shared" si="0"/>
        <v>14.037261684030689</v>
      </c>
      <c r="J15" s="130"/>
      <c r="O15" s="89"/>
      <c r="P15" s="129" t="s">
        <v>98</v>
      </c>
      <c r="Q15" s="116">
        <v>53536917</v>
      </c>
      <c r="R15" s="116">
        <v>74198566262</v>
      </c>
      <c r="S15" s="116">
        <v>3813914.58</v>
      </c>
      <c r="T15" s="130">
        <f t="shared" si="1"/>
        <v>14.037261684030689</v>
      </c>
      <c r="U15" s="85"/>
    </row>
    <row r="16" spans="1:21" ht="15" hidden="1" customHeight="1">
      <c r="A16" s="129" t="s">
        <v>99</v>
      </c>
      <c r="B16" s="131">
        <f>F14+F15+F16</f>
        <v>7342156.3454545457</v>
      </c>
      <c r="C16" s="131">
        <f>AVERAGE(F14:F16)</f>
        <v>2447385.4484848487</v>
      </c>
      <c r="D16" s="90">
        <f>C16/C13-1</f>
        <v>-0.18219690915758813</v>
      </c>
      <c r="E16" s="286"/>
      <c r="F16" s="78">
        <f>Q16/22</f>
        <v>2206575.8181818184</v>
      </c>
      <c r="G16" s="90">
        <f t="shared" si="2"/>
        <v>-9.3248720317608003E-2</v>
      </c>
      <c r="H16" s="90"/>
      <c r="I16" s="130">
        <f t="shared" si="0"/>
        <v>13.960230948229368</v>
      </c>
      <c r="J16" s="130"/>
      <c r="K16" s="78">
        <f>R14+R15+R16</f>
        <v>214756684764</v>
      </c>
      <c r="L16" s="87">
        <f>U16/U13-1</f>
        <v>-0.17265430377438151</v>
      </c>
      <c r="N16" s="88">
        <f>AVERAGE(T14:T16)</f>
        <v>14.179971506754081</v>
      </c>
      <c r="O16" s="89">
        <f>N16/N13-1</f>
        <v>-6.3351063740366476E-2</v>
      </c>
      <c r="P16" s="129" t="s">
        <v>99</v>
      </c>
      <c r="Q16" s="116">
        <v>48544668</v>
      </c>
      <c r="R16" s="116">
        <v>63497527177</v>
      </c>
      <c r="S16" s="116">
        <v>3477354.22</v>
      </c>
      <c r="T16" s="130">
        <f t="shared" si="1"/>
        <v>13.960230948229368</v>
      </c>
      <c r="U16" s="85">
        <f>Q14+Q15+Q16</f>
        <v>156123271</v>
      </c>
    </row>
    <row r="17" spans="1:21" ht="15" hidden="1" customHeight="1">
      <c r="A17" s="129" t="s">
        <v>100</v>
      </c>
      <c r="C17" s="79"/>
      <c r="F17" s="78">
        <f>Q17/20</f>
        <v>2364702.7000000002</v>
      </c>
      <c r="G17" s="90">
        <f t="shared" ref="G17:G22" si="3">F17/F16-1</f>
        <v>7.1661658083643776E-2</v>
      </c>
      <c r="H17" s="90">
        <f t="shared" ref="H17:H22" si="4">F17/F5-1</f>
        <v>-0.32884485538683694</v>
      </c>
      <c r="I17" s="130">
        <f t="shared" si="0"/>
        <v>13.903348817672843</v>
      </c>
      <c r="J17" s="130">
        <f t="shared" ref="J17:J49" si="5">I17/I5-1</f>
        <v>-0.15098268207055521</v>
      </c>
      <c r="O17" s="89"/>
      <c r="P17" s="129" t="s">
        <v>100</v>
      </c>
      <c r="Q17" s="116">
        <v>47294054</v>
      </c>
      <c r="R17" s="116">
        <v>59358532292</v>
      </c>
      <c r="S17" s="116">
        <v>3401630.4</v>
      </c>
      <c r="T17" s="130">
        <f t="shared" si="1"/>
        <v>13.903348817672843</v>
      </c>
      <c r="U17" s="78"/>
    </row>
    <row r="18" spans="1:21" ht="15" hidden="1" customHeight="1">
      <c r="A18" s="129" t="s">
        <v>106</v>
      </c>
      <c r="C18" s="79"/>
      <c r="F18" s="78">
        <f>Q18/20</f>
        <v>2339027.35</v>
      </c>
      <c r="G18" s="90">
        <f t="shared" si="3"/>
        <v>-1.0857749686673079E-2</v>
      </c>
      <c r="H18" s="90">
        <f t="shared" si="4"/>
        <v>-0.36747273563235516</v>
      </c>
      <c r="I18" s="130">
        <f t="shared" si="0"/>
        <v>14.154952813633731</v>
      </c>
      <c r="J18" s="130">
        <f t="shared" si="5"/>
        <v>-0.14077386942771797</v>
      </c>
      <c r="O18" s="89"/>
      <c r="P18" s="129" t="s">
        <v>106</v>
      </c>
      <c r="Q18" s="116">
        <v>46780547</v>
      </c>
      <c r="R18" s="116">
        <v>58926742475</v>
      </c>
      <c r="S18" s="116">
        <v>3304888.94</v>
      </c>
      <c r="T18" s="130">
        <f t="shared" ref="T18" si="6">Q18/S18</f>
        <v>14.154952813633731</v>
      </c>
      <c r="U18" s="78"/>
    </row>
    <row r="19" spans="1:21" hidden="1">
      <c r="A19" s="129" t="s">
        <v>114</v>
      </c>
      <c r="B19" s="131">
        <f>SUM(F17:F19)</f>
        <v>7270163.0500000007</v>
      </c>
      <c r="C19" s="131">
        <f>AVERAGE(F17:F19)</f>
        <v>2423387.6833333336</v>
      </c>
      <c r="D19" s="90">
        <f>C19/C16-1</f>
        <v>-9.8054702279822825E-3</v>
      </c>
      <c r="E19" s="286">
        <f>C19/C7-1</f>
        <v>-0.31206926791876322</v>
      </c>
      <c r="F19" s="78">
        <f>Q19/22</f>
        <v>2566433</v>
      </c>
      <c r="G19" s="90">
        <f t="shared" si="3"/>
        <v>9.7222313368845237E-2</v>
      </c>
      <c r="H19" s="90">
        <f t="shared" si="4"/>
        <v>-0.23319592800287359</v>
      </c>
      <c r="I19" s="130">
        <f t="shared" si="0"/>
        <v>14.305447429731361</v>
      </c>
      <c r="J19" s="130">
        <f t="shared" si="5"/>
        <v>-0.13058935073370381</v>
      </c>
      <c r="K19" s="78">
        <f>R17+R18+R19</f>
        <v>192125395834</v>
      </c>
      <c r="L19" s="87">
        <f>U19/U16-1</f>
        <v>-3.5786746999427188E-2</v>
      </c>
      <c r="M19" s="87">
        <f>U19/U7-1</f>
        <v>-0.2854114271234981</v>
      </c>
      <c r="N19" s="88">
        <f>AVERAGE(T17:T19)</f>
        <v>14.121249687012645</v>
      </c>
      <c r="O19" s="89">
        <f>N19/N16-1</f>
        <v>-4.1411803763826693E-3</v>
      </c>
      <c r="P19" s="129" t="s">
        <v>115</v>
      </c>
      <c r="Q19" s="116">
        <v>56461526</v>
      </c>
      <c r="R19" s="116">
        <v>73840121067</v>
      </c>
      <c r="S19" s="116">
        <v>3946854.95</v>
      </c>
      <c r="T19" s="130">
        <f t="shared" ref="T19" si="7">Q19/S19</f>
        <v>14.305447429731361</v>
      </c>
      <c r="U19" s="85">
        <f>Q17+Q18+Q19</f>
        <v>150536127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2426177.65</v>
      </c>
      <c r="G20" s="90">
        <f t="shared" si="3"/>
        <v>-5.4649916830090683E-2</v>
      </c>
      <c r="H20" s="90">
        <f t="shared" si="4"/>
        <v>-0.1570589940551913</v>
      </c>
      <c r="I20" s="130">
        <f t="shared" si="0"/>
        <v>14.466893233666401</v>
      </c>
      <c r="J20" s="130">
        <f t="shared" si="5"/>
        <v>-0.10064099940325766</v>
      </c>
      <c r="O20" s="89"/>
      <c r="P20" s="129" t="s">
        <v>132</v>
      </c>
      <c r="Q20" s="116">
        <v>48523553</v>
      </c>
      <c r="R20" s="116">
        <v>63723685613</v>
      </c>
      <c r="S20" s="116">
        <v>3354110.12</v>
      </c>
      <c r="T20" s="135">
        <f t="shared" ref="T20" si="8">Q20/S20</f>
        <v>14.466893233666401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2759942.1904761903</v>
      </c>
      <c r="G21" s="90">
        <f t="shared" si="3"/>
        <v>0.13756805503347636</v>
      </c>
      <c r="H21" s="90">
        <f t="shared" si="4"/>
        <v>-9.1224386604379371E-2</v>
      </c>
      <c r="I21" s="130">
        <f t="shared" si="0"/>
        <v>14.02846386044734</v>
      </c>
      <c r="J21" s="130">
        <f t="shared" si="5"/>
        <v>-0.14423317247844381</v>
      </c>
      <c r="O21" s="89"/>
      <c r="P21" s="129" t="s">
        <v>141</v>
      </c>
      <c r="Q21" s="116">
        <v>57958786</v>
      </c>
      <c r="R21" s="116">
        <v>77143369303</v>
      </c>
      <c r="S21" s="116">
        <v>4131513.37</v>
      </c>
      <c r="T21" s="135">
        <f t="shared" ref="T21" si="9">Q21/S21</f>
        <v>14.02846386044734</v>
      </c>
      <c r="U21" s="78"/>
    </row>
    <row r="22" spans="1:21" hidden="1">
      <c r="A22" s="129" t="s">
        <v>156</v>
      </c>
      <c r="B22" s="131">
        <f>SUM(F20:F22)</f>
        <v>7963531.5071428567</v>
      </c>
      <c r="C22" s="131">
        <f>AVERAGE(F20:F22)</f>
        <v>2654510.5023809522</v>
      </c>
      <c r="D22" s="90">
        <f>C22/C19-1</f>
        <v>9.5371789102151716E-2</v>
      </c>
      <c r="E22" s="286">
        <f>C22/C10-1</f>
        <v>-0.13517955406420823</v>
      </c>
      <c r="F22" s="78">
        <f>Q22/21</f>
        <v>2777411.6666666665</v>
      </c>
      <c r="G22" s="90">
        <f t="shared" si="3"/>
        <v>6.3296529364849086E-3</v>
      </c>
      <c r="H22" s="90">
        <f t="shared" si="4"/>
        <v>-0.15659330394112181</v>
      </c>
      <c r="I22" s="130">
        <f t="shared" si="0"/>
        <v>14.253600496037896</v>
      </c>
      <c r="J22" s="130">
        <f t="shared" si="5"/>
        <v>-0.11489357934730748</v>
      </c>
      <c r="K22" s="78">
        <f>R20+R21+R22</f>
        <v>216517521906</v>
      </c>
      <c r="L22" s="87">
        <f>U22/U19-1</f>
        <v>9.4806856562744013E-2</v>
      </c>
      <c r="M22" s="87">
        <f>U22/U10-1</f>
        <v>-0.14772608173828317</v>
      </c>
      <c r="N22" s="88">
        <f>AVERAGE(T20:T22)</f>
        <v>14.249652530050547</v>
      </c>
      <c r="O22" s="89">
        <f>N22/N19-1</f>
        <v>9.0928810044337283E-3</v>
      </c>
      <c r="P22" s="129" t="s">
        <v>156</v>
      </c>
      <c r="Q22" s="116">
        <v>58325645</v>
      </c>
      <c r="R22" s="116">
        <v>75650466990</v>
      </c>
      <c r="S22" s="116">
        <v>4091993.81</v>
      </c>
      <c r="T22" s="135">
        <f t="shared" ref="T22:T23" si="10">Q22/S22</f>
        <v>14.253600496037896</v>
      </c>
      <c r="U22" s="85">
        <f>Q20+Q21+Q22</f>
        <v>164807984</v>
      </c>
    </row>
    <row r="23" spans="1:21" hidden="1">
      <c r="A23" s="129" t="s">
        <v>189</v>
      </c>
      <c r="B23" s="131"/>
      <c r="C23" s="131"/>
      <c r="F23" s="78">
        <f>Q23/21</f>
        <v>2541947.5714285714</v>
      </c>
      <c r="G23" s="90">
        <f t="shared" ref="G23" si="11">F23/F22-1</f>
        <v>-8.4778248058808403E-2</v>
      </c>
      <c r="H23" s="90">
        <f t="shared" ref="H23" si="12">F23/F11-1</f>
        <v>-0.16154984821841856</v>
      </c>
      <c r="I23" s="130">
        <f t="shared" si="0"/>
        <v>14.091203443027528</v>
      </c>
      <c r="J23" s="130">
        <f t="shared" si="5"/>
        <v>-0.11580328935728645</v>
      </c>
      <c r="O23" s="89"/>
      <c r="P23" s="129" t="s">
        <v>189</v>
      </c>
      <c r="Q23" s="116">
        <v>53380899</v>
      </c>
      <c r="R23" s="116">
        <v>68707645436</v>
      </c>
      <c r="S23" s="116">
        <v>3788242.73</v>
      </c>
      <c r="T23" s="135">
        <f t="shared" si="10"/>
        <v>14.091203443027528</v>
      </c>
      <c r="U23" s="78"/>
    </row>
    <row r="24" spans="1:21" hidden="1">
      <c r="A24" s="129" t="s">
        <v>204</v>
      </c>
      <c r="B24" s="131"/>
      <c r="C24" s="131"/>
      <c r="F24" s="78">
        <f>Q24/22</f>
        <v>2529667.6818181816</v>
      </c>
      <c r="G24" s="90">
        <f t="shared" ref="G24" si="13">F24/F23-1</f>
        <v>-4.8308980674564017E-3</v>
      </c>
      <c r="H24" s="90">
        <f t="shared" ref="H24" si="14">F24/F12-1</f>
        <v>-0.17250304114600823</v>
      </c>
      <c r="I24" s="130">
        <f t="shared" si="0"/>
        <v>14.149982393339865</v>
      </c>
      <c r="J24" s="130">
        <f t="shared" si="5"/>
        <v>-7.2071038155635425E-2</v>
      </c>
      <c r="O24" s="89"/>
      <c r="P24" s="129" t="s">
        <v>204</v>
      </c>
      <c r="Q24" s="116">
        <v>55652689</v>
      </c>
      <c r="R24" s="116">
        <v>73085547899</v>
      </c>
      <c r="S24" s="116">
        <v>3933057.12</v>
      </c>
      <c r="T24" s="135">
        <f t="shared" ref="T24" si="15">Q24/S24</f>
        <v>14.149982393339865</v>
      </c>
      <c r="U24" s="78"/>
    </row>
    <row r="25" spans="1:21" s="79" customFormat="1" ht="13.2" hidden="1">
      <c r="A25" s="129" t="s">
        <v>218</v>
      </c>
      <c r="B25" s="131">
        <f>SUM(F23:F25)</f>
        <v>7538774.8321941216</v>
      </c>
      <c r="C25" s="131">
        <f>AVERAGE(F23:F25)</f>
        <v>2512924.944064707</v>
      </c>
      <c r="D25" s="90">
        <f>C25/C22-1</f>
        <v>-5.3337727686234682E-2</v>
      </c>
      <c r="E25" s="286">
        <f>C25/C13-1</f>
        <v>-0.16029663918146198</v>
      </c>
      <c r="F25" s="78">
        <f>Q25/19</f>
        <v>2467159.5789473685</v>
      </c>
      <c r="G25" s="90">
        <f t="shared" ref="G25" si="16">F25/F24-1</f>
        <v>-2.4710005713432626E-2</v>
      </c>
      <c r="H25" s="90">
        <f t="shared" ref="H25" si="17">F25/F13-1</f>
        <v>-0.14606608053714254</v>
      </c>
      <c r="I25" s="130">
        <f t="shared" si="0"/>
        <v>14.475874674005462</v>
      </c>
      <c r="J25" s="130">
        <f t="shared" si="5"/>
        <v>1.7177374595101824E-2</v>
      </c>
      <c r="K25" s="78">
        <f>R23+R24+R25</f>
        <v>204018297891</v>
      </c>
      <c r="L25" s="90">
        <f>U25/U22-1</f>
        <v>-5.3992311440445695E-2</v>
      </c>
      <c r="M25" s="90">
        <f>U25/U13-1</f>
        <v>-0.17378650677148821</v>
      </c>
      <c r="N25" s="88">
        <f>AVERAGE(T23:T25)</f>
        <v>14.239020170124284</v>
      </c>
      <c r="O25" s="91">
        <f>N25/N22-1</f>
        <v>-7.4614871512412861E-4</v>
      </c>
      <c r="P25" s="129" t="s">
        <v>220</v>
      </c>
      <c r="Q25" s="116">
        <v>46876032</v>
      </c>
      <c r="R25" s="116">
        <v>62225104556</v>
      </c>
      <c r="S25" s="116">
        <v>3238217.59</v>
      </c>
      <c r="T25" s="135">
        <f t="shared" ref="T25" si="18">Q25/S25</f>
        <v>14.475874674005462</v>
      </c>
      <c r="U25" s="85">
        <f>Q23+Q24+Q25</f>
        <v>155909620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2315659.8947368423</v>
      </c>
      <c r="G26" s="90">
        <f t="shared" ref="G26" si="19">F26/F25-1</f>
        <v>-6.1406520074054005E-2</v>
      </c>
      <c r="H26" s="90">
        <f t="shared" ref="H26" si="20">F26/F14-1</f>
        <v>-0.14300975186568299</v>
      </c>
      <c r="I26" s="130">
        <f t="shared" si="0"/>
        <v>14.198007135588394</v>
      </c>
      <c r="J26" s="130">
        <f t="shared" si="5"/>
        <v>-2.3683452114530157E-2</v>
      </c>
      <c r="L26" s="90"/>
      <c r="M26" s="90"/>
      <c r="P26" s="129" t="s">
        <v>312</v>
      </c>
      <c r="Q26" s="116">
        <v>43997538</v>
      </c>
      <c r="R26" s="116">
        <v>59354241494</v>
      </c>
      <c r="S26" s="116">
        <v>3098853.07</v>
      </c>
      <c r="T26" s="135">
        <f t="shared" ref="T26" si="21">Q26/S26</f>
        <v>14.198007135588394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1573952.8636363635</v>
      </c>
      <c r="G27" s="90">
        <f t="shared" ref="G27" si="22">F27/F26-1</f>
        <v>-0.32030050388067388</v>
      </c>
      <c r="H27" s="90">
        <f t="shared" ref="H27" si="23">F27/F15-1</f>
        <v>-0.3532133536938632</v>
      </c>
      <c r="I27" s="130">
        <f t="shared" si="0"/>
        <v>14.216924168638842</v>
      </c>
      <c r="J27" s="130">
        <f t="shared" si="5"/>
        <v>1.2798969532109128E-2</v>
      </c>
      <c r="L27" s="90"/>
      <c r="M27" s="90"/>
      <c r="P27" s="129" t="s">
        <v>375</v>
      </c>
      <c r="Q27" s="116">
        <v>34626963</v>
      </c>
      <c r="R27" s="116">
        <v>45612933041</v>
      </c>
      <c r="S27" s="116">
        <v>2435615.65</v>
      </c>
      <c r="T27" s="135">
        <f t="shared" ref="T27" si="24">Q27/S27</f>
        <v>14.216924168638842</v>
      </c>
      <c r="U27" s="78"/>
    </row>
    <row r="28" spans="1:21" s="79" customFormat="1" ht="13.2" hidden="1">
      <c r="A28" s="123" t="s">
        <v>413</v>
      </c>
      <c r="B28" s="131">
        <f>SUM(F26:F28)</f>
        <v>5249132.2320574159</v>
      </c>
      <c r="C28" s="131">
        <f>AVERAGE(F26:F28)</f>
        <v>1749710.7440191386</v>
      </c>
      <c r="D28" s="90">
        <f>C28/C25-1</f>
        <v>-0.30371547779340113</v>
      </c>
      <c r="E28" s="286">
        <f>C28/C16-1</f>
        <v>-0.28506940126559688</v>
      </c>
      <c r="F28" s="78">
        <f>Q28/19</f>
        <v>1359519.4736842106</v>
      </c>
      <c r="G28" s="90">
        <f t="shared" ref="G28" si="25">F28/F27-1</f>
        <v>-0.1362387622312522</v>
      </c>
      <c r="H28" s="90">
        <f t="shared" ref="H28" si="26">F28/F16-1</f>
        <v>-0.38387819603478124</v>
      </c>
      <c r="I28" s="130">
        <f t="shared" si="0"/>
        <v>14.285174768138766</v>
      </c>
      <c r="J28" s="130">
        <f t="shared" si="5"/>
        <v>2.3276392855851258E-2</v>
      </c>
      <c r="K28" s="78">
        <f>R26+R27+R28</f>
        <v>138664518033</v>
      </c>
      <c r="L28" s="90">
        <f>U28/U25-1</f>
        <v>-0.33002613308915763</v>
      </c>
      <c r="M28" s="90">
        <f>U28/U16-1</f>
        <v>-0.33094297646377135</v>
      </c>
      <c r="N28" s="88">
        <f>AVERAGE(T26:T28)</f>
        <v>14.233368690788668</v>
      </c>
      <c r="O28" s="91">
        <f>N28/N25-1</f>
        <v>-3.9690085891408433E-4</v>
      </c>
      <c r="P28" s="129" t="s">
        <v>413</v>
      </c>
      <c r="Q28" s="116">
        <v>25830870</v>
      </c>
      <c r="R28" s="116">
        <v>33697343498</v>
      </c>
      <c r="S28" s="116">
        <v>1808229.19</v>
      </c>
      <c r="T28" s="135">
        <f t="shared" ref="T28" si="27">Q28/S28</f>
        <v>14.285174768138766</v>
      </c>
      <c r="U28" s="85">
        <f>Q26+Q27+Q28</f>
        <v>104455371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1579792.5</v>
      </c>
      <c r="G29" s="190">
        <f t="shared" ref="G29" si="28">F29/F28-1</f>
        <v>0.16202270771367755</v>
      </c>
      <c r="H29" s="190">
        <f t="shared" ref="H29" si="29">F29/F17-1</f>
        <v>-0.33192764570362276</v>
      </c>
      <c r="I29" s="130">
        <f t="shared" si="0"/>
        <v>14.055277178547065</v>
      </c>
      <c r="J29" s="130">
        <f t="shared" si="5"/>
        <v>1.0927465236368228E-2</v>
      </c>
      <c r="K29" s="136"/>
      <c r="L29" s="190"/>
      <c r="M29" s="190"/>
      <c r="N29" s="191"/>
      <c r="O29" s="192"/>
      <c r="P29" s="129" t="s">
        <v>430</v>
      </c>
      <c r="Q29" s="116">
        <v>34755435</v>
      </c>
      <c r="R29" s="116">
        <v>45797309196</v>
      </c>
      <c r="S29" s="116">
        <v>2472767.67</v>
      </c>
      <c r="T29" s="135">
        <f t="shared" ref="T29" si="30">Q29/S29</f>
        <v>14.055277178547065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1472141.0526315789</v>
      </c>
      <c r="G30" s="190">
        <f t="shared" ref="G30" si="31">F30/F29-1</f>
        <v>-6.8142776578836273E-2</v>
      </c>
      <c r="H30" s="190">
        <f t="shared" ref="H30" si="32">F30/F18-1</f>
        <v>-0.37061828172655664</v>
      </c>
      <c r="I30" s="130">
        <f t="shared" si="0"/>
        <v>13.651035691636798</v>
      </c>
      <c r="J30" s="130">
        <f t="shared" si="5"/>
        <v>-3.5600056646714617E-2</v>
      </c>
      <c r="K30" s="136"/>
      <c r="L30" s="190"/>
      <c r="M30" s="190"/>
      <c r="N30" s="191"/>
      <c r="O30" s="192"/>
      <c r="P30" s="129" t="s">
        <v>469</v>
      </c>
      <c r="Q30" s="116">
        <v>27970680</v>
      </c>
      <c r="R30" s="116">
        <v>37262321531</v>
      </c>
      <c r="S30" s="116">
        <v>2048978.6</v>
      </c>
      <c r="T30" s="135">
        <f t="shared" ref="T30" si="33">Q30/S30</f>
        <v>13.651035691636798</v>
      </c>
      <c r="U30" s="85"/>
    </row>
    <row r="31" spans="1:21" s="79" customFormat="1" ht="13.2" hidden="1">
      <c r="A31" s="129" t="s">
        <v>511</v>
      </c>
      <c r="B31" s="188">
        <f>SUM(F29:F31)</f>
        <v>4594329.8526315792</v>
      </c>
      <c r="C31" s="188">
        <f>AVERAGE(F29:F31)</f>
        <v>1531443.2842105264</v>
      </c>
      <c r="D31" s="190">
        <f>C31/C28-1</f>
        <v>-0.12474488172098963</v>
      </c>
      <c r="E31" s="287">
        <f>C31/C19-1</f>
        <v>-0.36805683434684744</v>
      </c>
      <c r="F31" s="136">
        <f>Q31/20</f>
        <v>1542396.3</v>
      </c>
      <c r="G31" s="190">
        <f t="shared" ref="G31" si="34">F31/F30-1</f>
        <v>4.7723176554878233E-2</v>
      </c>
      <c r="H31" s="190">
        <f t="shared" ref="H31" si="35">F31/F19-1</f>
        <v>-0.39901166326960413</v>
      </c>
      <c r="I31" s="130">
        <f t="shared" si="0"/>
        <v>13.887166581883228</v>
      </c>
      <c r="J31" s="130">
        <f t="shared" si="5"/>
        <v>-2.9239270557788299E-2</v>
      </c>
      <c r="K31" s="136">
        <f>R29+R30+R31</f>
        <v>124045471711</v>
      </c>
      <c r="L31" s="190">
        <f>U31/U28-1</f>
        <v>-0.1041720487498915</v>
      </c>
      <c r="M31" s="190">
        <f>U31/U19-1</f>
        <v>-0.37839478891336165</v>
      </c>
      <c r="N31" s="191">
        <f>AVERAGE(T29:T31)</f>
        <v>13.864493150689031</v>
      </c>
      <c r="O31" s="192">
        <f>N31/N28-1</f>
        <v>-2.5916249913371492E-2</v>
      </c>
      <c r="P31" s="129" t="s">
        <v>511</v>
      </c>
      <c r="Q31" s="116">
        <v>30847926</v>
      </c>
      <c r="R31" s="116">
        <v>40985840984</v>
      </c>
      <c r="S31" s="116">
        <v>2221326.13</v>
      </c>
      <c r="T31" s="135">
        <f t="shared" ref="T31" si="36">Q31/S31</f>
        <v>13.887166581883228</v>
      </c>
      <c r="U31" s="85">
        <f>Q29+Q30+Q31</f>
        <v>93574041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1452552</v>
      </c>
      <c r="G32" s="190">
        <f t="shared" ref="G32" si="37">F32/F31-1</f>
        <v>-5.8249815562965268E-2</v>
      </c>
      <c r="H32" s="190">
        <f t="shared" ref="H32" si="38">F32/F20-1</f>
        <v>-0.40130023042624263</v>
      </c>
      <c r="I32" s="130">
        <f t="shared" si="0"/>
        <v>13.876920405589269</v>
      </c>
      <c r="J32" s="130">
        <f t="shared" si="5"/>
        <v>-4.0780893212385538E-2</v>
      </c>
      <c r="K32" s="136"/>
      <c r="L32" s="190"/>
      <c r="M32" s="190"/>
      <c r="N32" s="191"/>
      <c r="O32" s="192"/>
      <c r="P32" s="129" t="s">
        <v>566</v>
      </c>
      <c r="Q32" s="116">
        <v>30503592</v>
      </c>
      <c r="R32" s="116">
        <v>41426125543</v>
      </c>
      <c r="S32" s="116">
        <v>2198152.84</v>
      </c>
      <c r="T32" s="135">
        <f t="shared" ref="T32" si="39">Q32/S32</f>
        <v>13.876920405589269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1337187.2380952381</v>
      </c>
      <c r="G33" s="190">
        <f t="shared" ref="G33" si="40">F33/F32-1</f>
        <v>-7.9422121827488423E-2</v>
      </c>
      <c r="H33" s="190">
        <f t="shared" ref="H33" si="41">F33/F21-1</f>
        <v>-0.51550172220653478</v>
      </c>
      <c r="I33" s="130">
        <f t="shared" si="0"/>
        <v>14.426500914960691</v>
      </c>
      <c r="J33" s="130">
        <f t="shared" si="5"/>
        <v>2.8373531020427611E-2</v>
      </c>
      <c r="K33" s="136"/>
      <c r="L33" s="190"/>
      <c r="M33" s="190"/>
      <c r="N33" s="191"/>
      <c r="O33" s="192"/>
      <c r="P33" s="129" t="s">
        <v>607</v>
      </c>
      <c r="Q33" s="116">
        <v>28080932</v>
      </c>
      <c r="R33" s="116">
        <v>38413119118</v>
      </c>
      <c r="S33" s="116">
        <v>1946482.53</v>
      </c>
      <c r="T33" s="135">
        <f t="shared" ref="T33" si="42">Q33/S33</f>
        <v>14.426500914960691</v>
      </c>
      <c r="U33" s="85"/>
    </row>
    <row r="34" spans="1:21" s="79" customFormat="1" ht="13.2" hidden="1">
      <c r="A34" s="129" t="s">
        <v>652</v>
      </c>
      <c r="B34" s="188">
        <f>SUM(F32:F34)</f>
        <v>4114603.5012531327</v>
      </c>
      <c r="C34" s="188">
        <f>AVERAGE(F32:F34)</f>
        <v>1371534.500417711</v>
      </c>
      <c r="D34" s="190">
        <f>C34/C31-1</f>
        <v>-0.10441704596017731</v>
      </c>
      <c r="E34" s="287">
        <f>C34/C22-1</f>
        <v>-0.48331924127347814</v>
      </c>
      <c r="F34" s="136">
        <f>Q34/19</f>
        <v>1324864.2631578948</v>
      </c>
      <c r="G34" s="190">
        <f t="shared" ref="G34" si="43">F34/F33-1</f>
        <v>-9.2155941862687163E-3</v>
      </c>
      <c r="H34" s="190">
        <f t="shared" ref="H34" si="44">F34/F22-1</f>
        <v>-0.52298599481727481</v>
      </c>
      <c r="I34" s="130">
        <f t="shared" si="0"/>
        <v>14.542128280674142</v>
      </c>
      <c r="J34" s="130">
        <f t="shared" si="5"/>
        <v>2.0242449247574124E-2</v>
      </c>
      <c r="K34" s="136">
        <f>R32+R33+R34</f>
        <v>114444930643</v>
      </c>
      <c r="L34" s="190">
        <f>U34/U31-1</f>
        <v>-0.10491260070728381</v>
      </c>
      <c r="M34" s="190">
        <f>U34/U22-1</f>
        <v>-0.49179073144902985</v>
      </c>
      <c r="N34" s="191">
        <f>AVERAGE(T32:T34)</f>
        <v>14.281849867074699</v>
      </c>
      <c r="O34" s="192">
        <f>N34/N31-1</f>
        <v>3.0102558517613565E-2</v>
      </c>
      <c r="P34" s="129" t="s">
        <v>652</v>
      </c>
      <c r="Q34" s="116">
        <v>25172421</v>
      </c>
      <c r="R34" s="116">
        <v>34605685982</v>
      </c>
      <c r="S34" s="116">
        <v>1730999.79</v>
      </c>
      <c r="T34" s="135">
        <f t="shared" ref="T34" si="45">Q34/S34</f>
        <v>14.542128280674142</v>
      </c>
      <c r="U34" s="85">
        <f>Q32+Q33+Q34</f>
        <v>83756945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1170870.5217391304</v>
      </c>
      <c r="G35" s="190">
        <f t="shared" ref="G35" si="46">F35/F34-1</f>
        <v>-0.11623359894372198</v>
      </c>
      <c r="H35" s="190">
        <f t="shared" ref="H35" si="47">F35/F23-1</f>
        <v>-0.53938053841090727</v>
      </c>
      <c r="I35" s="130">
        <f t="shared" si="0"/>
        <v>14.958140596997511</v>
      </c>
      <c r="J35" s="130">
        <f t="shared" si="5"/>
        <v>6.152328702620169E-2</v>
      </c>
      <c r="K35" s="136"/>
      <c r="L35" s="190"/>
      <c r="M35" s="190"/>
      <c r="N35" s="191"/>
      <c r="O35" s="192"/>
      <c r="P35" s="129" t="s">
        <v>660</v>
      </c>
      <c r="Q35" s="116">
        <v>26930022</v>
      </c>
      <c r="R35" s="116">
        <v>37286785457</v>
      </c>
      <c r="S35" s="116">
        <v>1800358.93</v>
      </c>
      <c r="T35" s="135">
        <f t="shared" ref="T35" si="48">Q35/S35</f>
        <v>14.958140596997511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1129654.8095238095</v>
      </c>
      <c r="G36" s="190">
        <f t="shared" ref="G36" si="49">F36/F35-1</f>
        <v>-3.5200913721956106E-2</v>
      </c>
      <c r="H36" s="190">
        <f t="shared" ref="H36" si="50">F36/F24-1</f>
        <v>-0.55343746625569501</v>
      </c>
      <c r="I36" s="130">
        <f t="shared" si="0"/>
        <v>15.572701206098445</v>
      </c>
      <c r="J36" s="130">
        <f t="shared" si="5"/>
        <v>0.1005456242424887</v>
      </c>
      <c r="K36" s="136"/>
      <c r="L36" s="190"/>
      <c r="M36" s="190"/>
      <c r="N36" s="191"/>
      <c r="O36" s="192"/>
      <c r="P36" s="129" t="s">
        <v>666</v>
      </c>
      <c r="Q36" s="116">
        <v>23722751</v>
      </c>
      <c r="R36" s="116">
        <v>32432234567</v>
      </c>
      <c r="S36" s="116">
        <v>1523354.92</v>
      </c>
      <c r="T36" s="135">
        <f t="shared" ref="T36" si="51">Q36/S36</f>
        <v>15.572701206098445</v>
      </c>
      <c r="U36" s="85"/>
    </row>
    <row r="37" spans="1:21" s="79" customFormat="1" ht="13.2" hidden="1">
      <c r="A37" s="129" t="s">
        <v>702</v>
      </c>
      <c r="B37" s="188">
        <f>SUM(F35:F37)</f>
        <v>3257968.4979296061</v>
      </c>
      <c r="C37" s="188">
        <f>AVERAGE(F35:F37)</f>
        <v>1085989.4993098688</v>
      </c>
      <c r="D37" s="190">
        <f>C37/C34-1</f>
        <v>-0.20819381577414009</v>
      </c>
      <c r="E37" s="287">
        <f>C37/C25-1</f>
        <v>-0.56783846573894925</v>
      </c>
      <c r="F37" s="136">
        <f>Q37/18</f>
        <v>957443.16666666663</v>
      </c>
      <c r="G37" s="190">
        <f t="shared" ref="G37" si="52">F37/F36-1</f>
        <v>-0.15244625296619263</v>
      </c>
      <c r="H37" s="190">
        <f t="shared" ref="H37" si="53">F37/F25-1</f>
        <v>-0.61192491363887913</v>
      </c>
      <c r="I37" s="130">
        <f t="shared" si="0"/>
        <v>15.549910356911882</v>
      </c>
      <c r="J37" s="130">
        <f t="shared" si="5"/>
        <v>7.4194872993414318E-2</v>
      </c>
      <c r="K37" s="136">
        <f>R35+R36+R37</f>
        <v>92722176787</v>
      </c>
      <c r="L37" s="190">
        <f>U37/U34-1</f>
        <v>-0.18947915304217455</v>
      </c>
      <c r="M37" s="190">
        <f>U37/U25-1</f>
        <v>-0.56457625898902197</v>
      </c>
      <c r="N37" s="191">
        <f>AVERAGE(T35:T37)</f>
        <v>15.360250720002613</v>
      </c>
      <c r="O37" s="192">
        <f>N37/N34-1</f>
        <v>7.5508485452858043E-2</v>
      </c>
      <c r="P37" s="129" t="s">
        <v>702</v>
      </c>
      <c r="Q37" s="116">
        <v>17233977</v>
      </c>
      <c r="R37" s="116">
        <v>23003156763</v>
      </c>
      <c r="S37" s="116">
        <v>1108300.73</v>
      </c>
      <c r="T37" s="135">
        <f t="shared" ref="T37" si="54">Q37/S37</f>
        <v>15.549910356911882</v>
      </c>
      <c r="U37" s="85">
        <f>Q35+Q36+Q37</f>
        <v>67886750</v>
      </c>
    </row>
    <row r="38" spans="1:21" s="79" customFormat="1" ht="13.2" hidden="1">
      <c r="A38" s="129" t="s">
        <v>737</v>
      </c>
      <c r="B38" s="188"/>
      <c r="C38" s="188"/>
      <c r="D38" s="190"/>
      <c r="E38" s="287"/>
      <c r="F38" s="136">
        <f>Q38/20</f>
        <v>829331.25</v>
      </c>
      <c r="G38" s="190">
        <f t="shared" ref="G38" si="55">F38/F37-1</f>
        <v>-0.13380628858910504</v>
      </c>
      <c r="H38" s="190">
        <f t="shared" ref="H38" si="56">F38/F26-1</f>
        <v>-0.64185964791939043</v>
      </c>
      <c r="I38" s="130">
        <f t="shared" si="0"/>
        <v>14.872898537996976</v>
      </c>
      <c r="J38" s="130">
        <f t="shared" si="5"/>
        <v>4.7534234626274818E-2</v>
      </c>
      <c r="K38" s="136"/>
      <c r="L38" s="190"/>
      <c r="M38" s="190"/>
      <c r="N38" s="191"/>
      <c r="O38" s="192"/>
      <c r="P38" s="129" t="s">
        <v>737</v>
      </c>
      <c r="Q38" s="116">
        <v>16586625</v>
      </c>
      <c r="R38" s="116">
        <v>22299370488</v>
      </c>
      <c r="S38" s="116">
        <v>1115224.78</v>
      </c>
      <c r="T38" s="135">
        <f t="shared" ref="T38" si="57">Q38/S38</f>
        <v>14.872898537996976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865542.38095238095</v>
      </c>
      <c r="G39" s="190">
        <f t="shared" ref="G39" si="58">F39/F38-1</f>
        <v>4.366304893536932E-2</v>
      </c>
      <c r="H39" s="190">
        <f t="shared" ref="H39" si="59">F39/F27-1</f>
        <v>-0.45008367089679846</v>
      </c>
      <c r="I39" s="130">
        <f t="shared" si="0"/>
        <v>15.009633631176836</v>
      </c>
      <c r="J39" s="130">
        <f t="shared" si="5"/>
        <v>5.5758155078764027E-2</v>
      </c>
      <c r="K39" s="136"/>
      <c r="L39" s="190"/>
      <c r="M39" s="190"/>
      <c r="N39" s="191"/>
      <c r="O39" s="192"/>
      <c r="P39" s="129" t="s">
        <v>762</v>
      </c>
      <c r="Q39" s="116">
        <v>18176390</v>
      </c>
      <c r="R39" s="116">
        <v>25262382332</v>
      </c>
      <c r="S39" s="116">
        <v>1210981.5900000001</v>
      </c>
      <c r="T39" s="135">
        <f t="shared" ref="T39" si="60">Q39/S39</f>
        <v>15.009633631176836</v>
      </c>
      <c r="U39" s="85"/>
    </row>
    <row r="40" spans="1:21" s="79" customFormat="1" ht="13.2" hidden="1">
      <c r="A40" s="129" t="s">
        <v>778</v>
      </c>
      <c r="B40" s="188">
        <f>SUM(F38:F40)</f>
        <v>2652115.2976190476</v>
      </c>
      <c r="C40" s="188">
        <f>AVERAGE(F38:F40)</f>
        <v>884038.43253968249</v>
      </c>
      <c r="D40" s="190">
        <f>C40/C37-1</f>
        <v>-0.18596042309665373</v>
      </c>
      <c r="E40" s="287">
        <f>C40/C28-1</f>
        <v>-0.49475166934791781</v>
      </c>
      <c r="F40" s="136">
        <f>Q40/21</f>
        <v>957241.66666666663</v>
      </c>
      <c r="G40" s="190">
        <f t="shared" ref="G40" si="61">F40/F39-1</f>
        <v>0.10594430467215976</v>
      </c>
      <c r="H40" s="190">
        <f t="shared" ref="H40" si="62">F40/F28-1</f>
        <v>-0.29589705392552923</v>
      </c>
      <c r="I40" s="130">
        <f t="shared" si="0"/>
        <v>14.5000325279339</v>
      </c>
      <c r="J40" s="130">
        <f t="shared" si="5"/>
        <v>1.5040611212846056E-2</v>
      </c>
      <c r="K40" s="136">
        <f>R38+R39+R40</f>
        <v>76141682905</v>
      </c>
      <c r="L40" s="190">
        <f>U40/U37-1</f>
        <v>-0.19181445569275302</v>
      </c>
      <c r="M40" s="190">
        <f>U40/U28-1</f>
        <v>-0.47475089624639788</v>
      </c>
      <c r="N40" s="191">
        <f>AVERAGE(T38:T40)</f>
        <v>14.794188232369237</v>
      </c>
      <c r="O40" s="192">
        <f>N40/N37-1</f>
        <v>-3.6852424999562761E-2</v>
      </c>
      <c r="P40" s="129" t="s">
        <v>778</v>
      </c>
      <c r="Q40" s="116">
        <v>20102075</v>
      </c>
      <c r="R40" s="116">
        <v>28579930085</v>
      </c>
      <c r="S40" s="116">
        <v>1386346.89</v>
      </c>
      <c r="T40" s="135">
        <f t="shared" ref="T40" si="63">Q40/S40</f>
        <v>14.5000325279339</v>
      </c>
      <c r="U40" s="85">
        <f>Q38+Q39+Q40</f>
        <v>54865090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1476707.2222222222</v>
      </c>
      <c r="G41" s="190">
        <f t="shared" ref="G41" si="64">F41/F40-1</f>
        <v>0.5426691854779504</v>
      </c>
      <c r="H41" s="190">
        <f t="shared" ref="H41" si="65">F41/F29-1</f>
        <v>-6.525241623680178E-2</v>
      </c>
      <c r="I41" s="130">
        <f t="shared" si="0"/>
        <v>14.132358106182252</v>
      </c>
      <c r="J41" s="130">
        <f t="shared" si="5"/>
        <v>5.4841271826953086E-3</v>
      </c>
      <c r="K41" s="193"/>
      <c r="L41" s="190"/>
      <c r="M41" s="190"/>
      <c r="N41" s="193"/>
      <c r="O41" s="193"/>
      <c r="P41" s="129" t="s">
        <v>792</v>
      </c>
      <c r="Q41" s="116">
        <v>26580730</v>
      </c>
      <c r="R41" s="116">
        <v>38858891573</v>
      </c>
      <c r="S41" s="116">
        <v>1880841.81</v>
      </c>
      <c r="T41" s="135">
        <f t="shared" ref="T41" si="66">Q41/S41</f>
        <v>14.132358106182252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1268734.7</v>
      </c>
      <c r="G42" s="190">
        <f t="shared" ref="G42" si="67">F42/F41-1</f>
        <v>-0.14083531189700216</v>
      </c>
      <c r="H42" s="190">
        <f t="shared" ref="H42" si="68">F42/F30-1</f>
        <v>-0.13817042345770647</v>
      </c>
      <c r="I42" s="130">
        <f t="shared" si="0"/>
        <v>13.666164214318652</v>
      </c>
      <c r="J42" s="130">
        <f t="shared" si="5"/>
        <v>1.1082325930129588E-3</v>
      </c>
      <c r="K42" s="193"/>
      <c r="L42" s="190"/>
      <c r="M42" s="190"/>
      <c r="N42" s="193"/>
      <c r="O42" s="193"/>
      <c r="P42" s="129" t="s">
        <v>826</v>
      </c>
      <c r="Q42" s="116">
        <v>25374694</v>
      </c>
      <c r="R42" s="116">
        <v>36714750122</v>
      </c>
      <c r="S42" s="116">
        <v>1856753.19</v>
      </c>
      <c r="T42" s="135">
        <f t="shared" ref="T42" si="69">Q42/S42</f>
        <v>13.666164214318652</v>
      </c>
      <c r="U42" s="78"/>
    </row>
    <row r="43" spans="1:21" s="79" customFormat="1" ht="13.2">
      <c r="A43" s="129" t="s">
        <v>835</v>
      </c>
      <c r="B43" s="188">
        <f>SUM(F41:F43)</f>
        <v>4086983.8222222221</v>
      </c>
      <c r="C43" s="188">
        <f>AVERAGE(F41:F43)</f>
        <v>1362327.9407407406</v>
      </c>
      <c r="D43" s="190">
        <f>C43/C40-1</f>
        <v>0.54102795828346384</v>
      </c>
      <c r="E43" s="287">
        <f>C43/C31-1</f>
        <v>-0.1104287342622462</v>
      </c>
      <c r="F43" s="136">
        <f>Q43/20</f>
        <v>1341541.8999999999</v>
      </c>
      <c r="G43" s="190">
        <f t="shared" ref="G43" si="70">F43/F42-1</f>
        <v>5.7385677242058453E-2</v>
      </c>
      <c r="H43" s="190">
        <f t="shared" ref="H43" si="71">F43/F31-1</f>
        <v>-0.13022230408618074</v>
      </c>
      <c r="I43" s="130">
        <f t="shared" si="0"/>
        <v>13.6220707858776</v>
      </c>
      <c r="J43" s="130">
        <f t="shared" si="5"/>
        <v>-1.9089264497731628E-2</v>
      </c>
      <c r="K43" s="136">
        <f>R41+R42+R43</f>
        <v>114467047211</v>
      </c>
      <c r="L43" s="190">
        <f>U43/U40-1</f>
        <v>0.43599986803995039</v>
      </c>
      <c r="M43" s="190">
        <f>K43/K31-1</f>
        <v>-7.7217042814071601E-2</v>
      </c>
      <c r="N43" s="191">
        <f>AVERAGE(T41:T43)</f>
        <v>13.806864368792835</v>
      </c>
      <c r="O43" s="192">
        <f>N43/N40-1</f>
        <v>-6.6737278725179872E-2</v>
      </c>
      <c r="P43" s="129" t="s">
        <v>835</v>
      </c>
      <c r="Q43" s="116">
        <v>26830838</v>
      </c>
      <c r="R43" s="116">
        <v>38893405516</v>
      </c>
      <c r="S43" s="116">
        <v>1969659.27</v>
      </c>
      <c r="T43" s="135">
        <f t="shared" ref="T43" si="72">Q43/S43</f>
        <v>13.6220707858776</v>
      </c>
      <c r="U43" s="85">
        <f>Q41+Q42+Q43</f>
        <v>78786262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1333447.6818181819</v>
      </c>
      <c r="G44" s="190">
        <f t="shared" ref="G44" si="73">F44/F43-1</f>
        <v>-6.0335187308111493E-3</v>
      </c>
      <c r="H44" s="190">
        <f t="shared" ref="H44" si="74">F44/F32-1</f>
        <v>-8.1996595083561941E-2</v>
      </c>
      <c r="I44" s="130">
        <f t="shared" si="0"/>
        <v>13.879317370629462</v>
      </c>
      <c r="J44" s="130">
        <f t="shared" si="5"/>
        <v>1.7273032993880832E-4</v>
      </c>
      <c r="K44" s="136"/>
      <c r="L44" s="190"/>
      <c r="M44" s="190"/>
      <c r="N44" s="191"/>
      <c r="O44" s="192"/>
      <c r="P44" s="129" t="s">
        <v>843</v>
      </c>
      <c r="Q44" s="116">
        <v>29335849</v>
      </c>
      <c r="R44" s="116">
        <v>42487929436</v>
      </c>
      <c r="S44" s="116">
        <v>2113637.7400000002</v>
      </c>
      <c r="T44" s="135">
        <f t="shared" ref="T44" si="75">Q44/S44</f>
        <v>13.879317370629462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1609010.8</v>
      </c>
      <c r="G45" s="190">
        <f t="shared" ref="G45" si="76">F45/F44-1</f>
        <v>0.20665461565472332</v>
      </c>
      <c r="H45" s="190">
        <f t="shared" ref="H45" si="77">F45/F33-1</f>
        <v>0.2032801048056383</v>
      </c>
      <c r="I45" s="130">
        <f t="shared" si="0"/>
        <v>13.823001528054263</v>
      </c>
      <c r="J45" s="130">
        <f t="shared" si="5"/>
        <v>-4.1832693212571215E-2</v>
      </c>
      <c r="K45" s="136"/>
      <c r="L45" s="190"/>
      <c r="M45" s="190"/>
      <c r="N45" s="191"/>
      <c r="O45" s="192"/>
      <c r="P45" s="129" t="s">
        <v>849</v>
      </c>
      <c r="Q45" s="116">
        <v>32180216</v>
      </c>
      <c r="R45" s="116">
        <v>45231161648</v>
      </c>
      <c r="S45" s="116">
        <v>2328019.42</v>
      </c>
      <c r="T45" s="135">
        <f t="shared" ref="T45" si="78">Q45/S45</f>
        <v>13.823001528054263</v>
      </c>
      <c r="U45" s="85"/>
    </row>
    <row r="46" spans="1:21" s="79" customFormat="1" ht="13.2">
      <c r="A46" s="129" t="s">
        <v>893</v>
      </c>
      <c r="B46" s="188">
        <f>SUM(F44:F46)</f>
        <v>4560383.6397129185</v>
      </c>
      <c r="C46" s="188">
        <f>AVERAGE(F44:F46)</f>
        <v>1520127.8799043063</v>
      </c>
      <c r="D46" s="190">
        <f>C46/C43-1</f>
        <v>0.11583109649631407</v>
      </c>
      <c r="E46" s="287">
        <f>C46/C34-1</f>
        <v>0.108340970964522</v>
      </c>
      <c r="F46" s="136">
        <f>Q46/19</f>
        <v>1617925.1578947369</v>
      </c>
      <c r="G46" s="190">
        <f t="shared" ref="G46" si="79">F46/F45-1</f>
        <v>5.5402722559332318E-3</v>
      </c>
      <c r="H46" s="190">
        <f t="shared" ref="H46" si="80">F46/F34-1</f>
        <v>0.22120069420418464</v>
      </c>
      <c r="I46" s="130">
        <f t="shared" si="0"/>
        <v>14.196880746245697</v>
      </c>
      <c r="J46" s="130">
        <f t="shared" si="5"/>
        <v>-2.3741197145624393E-2</v>
      </c>
      <c r="K46" s="136">
        <f>R44+R45+R46</f>
        <v>129825733589</v>
      </c>
      <c r="L46" s="190">
        <f>U46/U43-1</f>
        <v>0.17097372889705054</v>
      </c>
      <c r="M46" s="190">
        <f>K46/K34-1</f>
        <v>0.13439479459320869</v>
      </c>
      <c r="N46" s="191">
        <f>AVERAGE(T44:T46)</f>
        <v>13.966399881643142</v>
      </c>
      <c r="O46" s="192">
        <f>N46/N43-1</f>
        <v>1.1554796845176352E-2</v>
      </c>
      <c r="P46" s="129" t="s">
        <v>936</v>
      </c>
      <c r="Q46" s="116">
        <v>30740578</v>
      </c>
      <c r="R46" s="116">
        <v>42106642505</v>
      </c>
      <c r="S46" s="116">
        <v>2165305.08</v>
      </c>
      <c r="T46" s="135">
        <f t="shared" ref="T46" si="81">Q46/S46</f>
        <v>14.196880746245697</v>
      </c>
      <c r="U46" s="85">
        <f t="shared" ref="U46:U51" si="82">Q44+Q45+Q46</f>
        <v>92256643</v>
      </c>
    </row>
    <row r="47" spans="1:21" s="79" customFormat="1" ht="13.2">
      <c r="A47" s="129" t="s">
        <v>1000</v>
      </c>
      <c r="B47" s="188"/>
      <c r="C47" s="188"/>
      <c r="D47" s="190"/>
      <c r="E47" s="287"/>
      <c r="F47" s="136">
        <f>Q47/23</f>
        <v>1323584.1304347827</v>
      </c>
      <c r="G47" s="190">
        <f t="shared" ref="G47" si="83">F47/F46-1</f>
        <v>-0.18192499574143106</v>
      </c>
      <c r="H47" s="190">
        <f t="shared" ref="H47" si="84">F47/F35-1</f>
        <v>0.1304274092312292</v>
      </c>
      <c r="I47" s="130">
        <f t="shared" si="0"/>
        <v>14.202212316821161</v>
      </c>
      <c r="J47" s="130">
        <f t="shared" si="5"/>
        <v>-5.0536246485614944E-2</v>
      </c>
      <c r="K47" s="136"/>
      <c r="L47" s="190"/>
      <c r="M47" s="190"/>
      <c r="N47" s="191"/>
      <c r="O47" s="192"/>
      <c r="P47" s="129" t="s">
        <v>991</v>
      </c>
      <c r="Q47" s="116">
        <v>30442435</v>
      </c>
      <c r="R47" s="116">
        <v>41762663429</v>
      </c>
      <c r="S47" s="116">
        <v>2143499.5</v>
      </c>
      <c r="T47" s="135">
        <f t="shared" ref="T47" si="85">Q47/S47</f>
        <v>14.202212316821161</v>
      </c>
      <c r="U47" s="85">
        <f t="shared" si="82"/>
        <v>93363229</v>
      </c>
    </row>
    <row r="48" spans="1:21" s="79" customFormat="1" ht="13.2">
      <c r="A48" s="129" t="s">
        <v>1082</v>
      </c>
      <c r="B48" s="188"/>
      <c r="C48" s="188"/>
      <c r="D48" s="190"/>
      <c r="E48" s="287"/>
      <c r="F48" s="136">
        <f>Q48/20</f>
        <v>1499169.4</v>
      </c>
      <c r="G48" s="190">
        <f t="shared" ref="G48" si="86">F48/F47-1</f>
        <v>0.1326589413757473</v>
      </c>
      <c r="H48" s="190">
        <f t="shared" ref="H48" si="87">F48/F36-1</f>
        <v>0.32710398553692199</v>
      </c>
      <c r="I48" s="130">
        <f t="shared" si="0"/>
        <v>14.258035654148005</v>
      </c>
      <c r="J48" s="130">
        <f t="shared" si="5"/>
        <v>-8.442116332621874E-2</v>
      </c>
      <c r="K48" s="136"/>
      <c r="L48" s="190"/>
      <c r="M48" s="190"/>
      <c r="N48" s="191"/>
      <c r="O48" s="192"/>
      <c r="P48" s="129" t="s">
        <v>1070</v>
      </c>
      <c r="Q48" s="116">
        <v>29983388</v>
      </c>
      <c r="R48" s="116">
        <v>41602783962</v>
      </c>
      <c r="S48" s="116">
        <v>2102911.56</v>
      </c>
      <c r="T48" s="135">
        <f t="shared" ref="T48" si="88">Q48/S48</f>
        <v>14.258035654148005</v>
      </c>
      <c r="U48" s="85">
        <f t="shared" si="82"/>
        <v>91166401</v>
      </c>
    </row>
    <row r="49" spans="1:26" ht="13.2">
      <c r="A49" s="129" t="s">
        <v>1158</v>
      </c>
      <c r="B49" s="188">
        <f>SUM(F47:F49)</f>
        <v>4329890.3940711459</v>
      </c>
      <c r="C49" s="188">
        <f>AVERAGE(F47:F49)</f>
        <v>1443296.7980237154</v>
      </c>
      <c r="D49" s="190">
        <f>C49/C46-1</f>
        <v>-5.0542512176954157E-2</v>
      </c>
      <c r="E49" s="287">
        <f>C49/C37-1</f>
        <v>0.32901542689032492</v>
      </c>
      <c r="F49" s="136">
        <f>Q49/22</f>
        <v>1507136.8636363635</v>
      </c>
      <c r="G49" s="190">
        <f t="shared" ref="G49" si="89">F49/F48-1</f>
        <v>5.3145852872689137E-3</v>
      </c>
      <c r="H49" s="190">
        <f t="shared" ref="H49" si="90">F49/F37-1</f>
        <v>0.57412671175402785</v>
      </c>
      <c r="I49" s="130">
        <f t="shared" si="0"/>
        <v>14.245738289578009</v>
      </c>
      <c r="J49" s="130">
        <f t="shared" si="5"/>
        <v>-8.3870069820317195E-2</v>
      </c>
      <c r="K49" s="136">
        <f>R47+R48+R49</f>
        <v>129450032596</v>
      </c>
      <c r="L49" s="190">
        <f>U49/U46-1</f>
        <v>1.4375019043344039E-2</v>
      </c>
      <c r="M49" s="190">
        <f>K49/K37-1</f>
        <v>0.39610648802357917</v>
      </c>
      <c r="N49" s="191">
        <f>AVERAGE(T47:T49)</f>
        <v>14.235328753515724</v>
      </c>
      <c r="O49" s="192">
        <f>N49/N46-1</f>
        <v>1.9255418300463401E-2</v>
      </c>
      <c r="P49" s="129" t="s">
        <v>1165</v>
      </c>
      <c r="Q49" s="116">
        <v>33157011</v>
      </c>
      <c r="R49" s="116">
        <v>46084585205</v>
      </c>
      <c r="S49" s="116">
        <v>2327503.87</v>
      </c>
      <c r="T49" s="135">
        <f t="shared" ref="T49" si="91">Q49/S49</f>
        <v>14.245738289578009</v>
      </c>
      <c r="U49" s="85">
        <f t="shared" si="82"/>
        <v>93582834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1031643.1666666666</v>
      </c>
      <c r="G50" s="190">
        <f t="shared" ref="G50" si="92">F50/F49-1</f>
        <v>-0.31549470286490333</v>
      </c>
      <c r="H50" s="190">
        <f t="shared" ref="H50" si="93">F50/F38-1</f>
        <v>0.24394584994435764</v>
      </c>
      <c r="I50" s="130">
        <f t="shared" ref="I50" si="94">T50</f>
        <v>14.667073310071789</v>
      </c>
      <c r="J50" s="130">
        <f t="shared" ref="J50" si="95">I50/I38-1</f>
        <v>-1.3838945206231967E-2</v>
      </c>
      <c r="K50" s="136"/>
      <c r="L50" s="190"/>
      <c r="M50" s="190"/>
      <c r="N50" s="191"/>
      <c r="O50" s="192"/>
      <c r="P50" s="129" t="s">
        <v>1341</v>
      </c>
      <c r="Q50" s="116">
        <v>18569577</v>
      </c>
      <c r="R50" s="116">
        <v>26216729402</v>
      </c>
      <c r="S50" s="116">
        <v>1266072.42</v>
      </c>
      <c r="T50" s="130">
        <f t="shared" ref="T50" si="96">Q50/S50</f>
        <v>14.667073310071789</v>
      </c>
      <c r="U50" s="85">
        <f t="shared" si="82"/>
        <v>81709976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1178020.5</v>
      </c>
      <c r="G51" s="190">
        <f t="shared" ref="G51:G52" si="97">F51/F50-1</f>
        <v>0.14188756157450433</v>
      </c>
      <c r="H51" s="190">
        <f t="shared" ref="H51:H52" si="98">F51/F39-1</f>
        <v>0.36102001002399264</v>
      </c>
      <c r="I51" s="130">
        <f t="shared" ref="I51:I52" si="99">T51</f>
        <v>14.476241819199371</v>
      </c>
      <c r="J51" s="130">
        <f t="shared" ref="J51:J52" si="100">I51/I39-1</f>
        <v>-3.5536631012068498E-2</v>
      </c>
      <c r="K51" s="136"/>
      <c r="L51" s="190"/>
      <c r="M51" s="190"/>
      <c r="N51" s="191"/>
      <c r="O51" s="192"/>
      <c r="P51" s="129" t="s">
        <v>1402</v>
      </c>
      <c r="Q51" s="116">
        <v>23560410</v>
      </c>
      <c r="R51" s="116">
        <v>34212170493</v>
      </c>
      <c r="S51" s="116">
        <v>1627522.55</v>
      </c>
      <c r="T51" s="130">
        <f t="shared" ref="T51:T52" si="101">Q51/S51</f>
        <v>14.476241819199371</v>
      </c>
      <c r="U51" s="85">
        <f t="shared" si="82"/>
        <v>75286998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3410194.1212121211</v>
      </c>
      <c r="C52" s="188">
        <f>AVERAGE(F50:F52)</f>
        <v>1136731.3737373736</v>
      </c>
      <c r="D52" s="190">
        <f>C52/C49-1</f>
        <v>-0.21240636347708741</v>
      </c>
      <c r="E52" s="287">
        <f>C52/C40-1</f>
        <v>0.28583931636518334</v>
      </c>
      <c r="F52" s="136">
        <f>Q52/22</f>
        <v>1200530.4545454546</v>
      </c>
      <c r="G52" s="190">
        <f t="shared" si="97"/>
        <v>1.9108287627808362E-2</v>
      </c>
      <c r="H52" s="190">
        <f t="shared" si="98"/>
        <v>0.25415607818867203</v>
      </c>
      <c r="I52" s="130">
        <f t="shared" si="99"/>
        <v>14.677722926120538</v>
      </c>
      <c r="J52" s="130">
        <f t="shared" si="100"/>
        <v>1.2254482729216143E-2</v>
      </c>
      <c r="K52" s="136">
        <f>R50+R51+R52</f>
        <v>99295248266</v>
      </c>
      <c r="L52" s="190">
        <f>U52/U49-1</f>
        <v>-0.26758301634678006</v>
      </c>
      <c r="M52" s="190">
        <f>K52/K40-1</f>
        <v>0.30408528518982303</v>
      </c>
      <c r="N52" s="191">
        <f>AVERAGE(T50:T52)</f>
        <v>14.607012685130565</v>
      </c>
      <c r="O52" s="192">
        <f>N52/N49-1</f>
        <v>2.6109964725826718E-2</v>
      </c>
      <c r="P52" s="129" t="s">
        <v>1403</v>
      </c>
      <c r="Q52" s="116">
        <v>26411670</v>
      </c>
      <c r="R52" s="116">
        <v>38866348371</v>
      </c>
      <c r="S52" s="116">
        <v>1799439.2</v>
      </c>
      <c r="T52" s="130">
        <f t="shared" si="101"/>
        <v>14.677722926120538</v>
      </c>
      <c r="U52" s="85">
        <f t="shared" ref="U52" si="102">Q50+Q51+Q52</f>
        <v>68541657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1267953.1904761905</v>
      </c>
      <c r="G53" s="190">
        <f t="shared" ref="G53" si="103">F53/F52-1</f>
        <v>5.6160787654706779E-2</v>
      </c>
      <c r="H53" s="190">
        <f t="shared" ref="H53" si="104">F53/F41-1</f>
        <v>-0.1413645363174213</v>
      </c>
      <c r="I53" s="130">
        <f t="shared" ref="I53" si="105">T53</f>
        <v>15.209665392030461</v>
      </c>
      <c r="J53" s="130">
        <f t="shared" ref="J53" si="106">I53/I41-1</f>
        <v>7.6229832116760265E-2</v>
      </c>
      <c r="K53" s="136"/>
      <c r="L53" s="190"/>
      <c r="M53" s="190"/>
      <c r="N53" s="191"/>
      <c r="O53" s="192"/>
      <c r="P53" s="129" t="s">
        <v>1414</v>
      </c>
      <c r="Q53" s="116">
        <v>26627017</v>
      </c>
      <c r="R53" s="116">
        <v>38810689271</v>
      </c>
      <c r="S53" s="116">
        <v>1750664.22</v>
      </c>
      <c r="T53" s="130">
        <f t="shared" ref="T53" si="107">Q53/S53</f>
        <v>15.209665392030461</v>
      </c>
      <c r="U53" s="85">
        <f t="shared" ref="U53" si="108">Q51+Q52+Q53</f>
        <v>76599097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1585243.1176470588</v>
      </c>
      <c r="G54" s="190">
        <f t="shared" ref="G54" si="109">F54/F53-1</f>
        <v>0.25023788697728455</v>
      </c>
      <c r="H54" s="190">
        <f t="shared" ref="H54" si="110">F54/F42-1</f>
        <v>0.24946777103760054</v>
      </c>
      <c r="I54" s="130">
        <f t="shared" ref="I54" si="111">T54</f>
        <v>15.842660169215165</v>
      </c>
      <c r="J54" s="130">
        <f t="shared" ref="J54" si="112">I54/I42-1</f>
        <v>0.15926165680170157</v>
      </c>
      <c r="K54" s="136"/>
      <c r="L54" s="190"/>
      <c r="M54" s="190"/>
      <c r="N54" s="191"/>
      <c r="O54" s="192"/>
      <c r="P54" s="129" t="s">
        <v>1417</v>
      </c>
      <c r="Q54" s="116">
        <v>26949133</v>
      </c>
      <c r="R54" s="116">
        <v>39066303405</v>
      </c>
      <c r="S54" s="116">
        <v>1701048.48</v>
      </c>
      <c r="T54" s="130">
        <f t="shared" ref="T54" si="113">Q54/S54</f>
        <v>15.842660169215165</v>
      </c>
      <c r="U54" s="85">
        <f t="shared" ref="U54" si="114">Q52+Q53+Q54</f>
        <v>79987820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4217486.6890756302</v>
      </c>
      <c r="C55" s="188">
        <f>AVERAGE(F53:F55)</f>
        <v>1405828.8963585433</v>
      </c>
      <c r="D55" s="190">
        <f>C55/C52-1</f>
        <v>0.23672921222929233</v>
      </c>
      <c r="E55" s="287">
        <f>C55/C43-1</f>
        <v>3.1931339229634981E-2</v>
      </c>
      <c r="F55" s="136">
        <f>Q55/21</f>
        <v>1364290.3809523811</v>
      </c>
      <c r="G55" s="190">
        <f t="shared" ref="G55" si="115">F55/F54-1</f>
        <v>-0.13938097837171692</v>
      </c>
      <c r="H55" s="190">
        <f t="shared" ref="H55" si="116">F55/F43-1</f>
        <v>1.6956966422279507E-2</v>
      </c>
      <c r="I55" s="130">
        <f>T55</f>
        <v>16.51037855557998</v>
      </c>
      <c r="J55" s="130">
        <f t="shared" ref="J55" si="117">I55/I43-1</f>
        <v>0.21203147561799285</v>
      </c>
      <c r="K55" s="136">
        <f>R53+R54+R55</f>
        <v>120017153126</v>
      </c>
      <c r="L55" s="190">
        <f>U55/U52-1</f>
        <v>0.19965363545267079</v>
      </c>
      <c r="M55" s="190">
        <f>K55/K43-1</f>
        <v>4.8486495023928988E-2</v>
      </c>
      <c r="N55" s="191">
        <f>AVERAGE(T53:T55)</f>
        <v>15.854234705608533</v>
      </c>
      <c r="O55" s="192">
        <f>N55/N52-1</f>
        <v>8.5385153512435696E-2</v>
      </c>
      <c r="P55" s="129" t="s">
        <v>1418</v>
      </c>
      <c r="Q55" s="116">
        <v>28650098</v>
      </c>
      <c r="R55" s="116">
        <v>42140160450</v>
      </c>
      <c r="S55" s="116">
        <v>1735278.08</v>
      </c>
      <c r="T55" s="130">
        <f t="shared" ref="T55" si="118">Q55/S55</f>
        <v>16.51037855557998</v>
      </c>
      <c r="U55" s="85">
        <f t="shared" ref="U55" si="119">Q53+Q54+Q55</f>
        <v>82226248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1770220.7727272727</v>
      </c>
      <c r="G56" s="190">
        <f t="shared" ref="G56" si="120">F56/F55-1</f>
        <v>0.29753958353904153</v>
      </c>
      <c r="H56" s="190">
        <f t="shared" ref="H56" si="121">F56/F44-1</f>
        <v>0.32755172689905776</v>
      </c>
      <c r="I56" s="291">
        <f>T56</f>
        <v>16.746657530972023</v>
      </c>
      <c r="J56" s="130">
        <f t="shared" ref="J56" si="122">I56/I44-1</f>
        <v>0.206590863496662</v>
      </c>
      <c r="K56" s="136"/>
      <c r="L56" s="190"/>
      <c r="M56" s="190"/>
      <c r="N56" s="191"/>
      <c r="O56" s="192"/>
      <c r="P56" s="129" t="s">
        <v>1420</v>
      </c>
      <c r="Q56" s="116">
        <v>38944857</v>
      </c>
      <c r="R56" s="116">
        <v>58192934426</v>
      </c>
      <c r="S56" s="116">
        <v>2325530.15</v>
      </c>
      <c r="T56" s="130">
        <f t="shared" ref="T56" si="123">Q56/S56</f>
        <v>16.746657530972023</v>
      </c>
      <c r="U56" s="85">
        <f t="shared" ref="U56" si="124">Q54+Q55+Q56</f>
        <v>94544088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1815826.4166666667</v>
      </c>
      <c r="G57" s="254">
        <f t="shared" ref="G57" si="125">F57/F56-1</f>
        <v>2.5762687141633878E-2</v>
      </c>
      <c r="H57" s="254">
        <f t="shared" ref="H57" si="126">F57/F45-1</f>
        <v>0.12853587848301995</v>
      </c>
      <c r="I57" s="282">
        <f>T57</f>
        <v>16.753202141908513</v>
      </c>
      <c r="J57" s="277">
        <f t="shared" ref="J57" si="127">I57/I45-1</f>
        <v>0.21198005425285582</v>
      </c>
      <c r="K57" s="204"/>
      <c r="L57" s="254"/>
      <c r="M57" s="254"/>
      <c r="N57" s="257"/>
      <c r="O57" s="258"/>
      <c r="P57" s="129" t="s">
        <v>1436</v>
      </c>
      <c r="Q57" s="116">
        <v>21789917</v>
      </c>
      <c r="R57" s="116">
        <v>32116880499</v>
      </c>
      <c r="S57" s="116">
        <v>1300641.92</v>
      </c>
      <c r="T57" s="130">
        <f t="shared" ref="T57" si="128">Q57/S57</f>
        <v>16.753202141908513</v>
      </c>
      <c r="U57" s="85">
        <f t="shared" ref="U57" si="129">Q55+Q56+Q57</f>
        <v>89384872</v>
      </c>
      <c r="V57" s="79"/>
      <c r="W57" s="79"/>
      <c r="X57" s="79"/>
      <c r="Y57" s="79"/>
      <c r="Z57" s="79"/>
    </row>
    <row r="58" spans="1:26">
      <c r="B58" s="196">
        <f>SUM(F56:F58)</f>
        <v>3586047.1893939395</v>
      </c>
      <c r="C58" s="196">
        <f>AVERAGE(F56:F58)</f>
        <v>1793023.5946969697</v>
      </c>
      <c r="D58" s="197">
        <f>C58/C55-1</f>
        <v>0.27542092735564028</v>
      </c>
      <c r="E58" s="233">
        <f>C58/C46-1</f>
        <v>0.17952155104861478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142961022</v>
      </c>
      <c r="R66" s="212">
        <v>210326968051</v>
      </c>
      <c r="S66" s="213">
        <v>8813162.8499999996</v>
      </c>
      <c r="T66" s="214">
        <v>51</v>
      </c>
      <c r="U66" s="214">
        <v>126</v>
      </c>
    </row>
    <row r="67" spans="16:21" ht="18" thickBot="1">
      <c r="P67" s="180" t="s">
        <v>976</v>
      </c>
      <c r="Q67" s="181">
        <v>26627017</v>
      </c>
      <c r="R67" s="181">
        <v>38810689271</v>
      </c>
      <c r="S67" s="182">
        <v>1750664.22</v>
      </c>
      <c r="T67" s="210">
        <v>27</v>
      </c>
      <c r="U67" s="210">
        <v>66</v>
      </c>
    </row>
    <row r="68" spans="16:21" ht="18" thickBot="1">
      <c r="P68" s="180" t="s">
        <v>977</v>
      </c>
      <c r="Q68" s="181">
        <v>26949133</v>
      </c>
      <c r="R68" s="181">
        <v>39066303405</v>
      </c>
      <c r="S68" s="182">
        <v>1701048.48</v>
      </c>
      <c r="T68" s="210">
        <v>28</v>
      </c>
      <c r="U68" s="210">
        <v>55</v>
      </c>
    </row>
    <row r="69" spans="16:21" ht="18" thickBot="1">
      <c r="P69" s="180" t="s">
        <v>978</v>
      </c>
      <c r="Q69" s="181">
        <v>28650098</v>
      </c>
      <c r="R69" s="181">
        <v>42140160450</v>
      </c>
      <c r="S69" s="182">
        <v>1735278.08</v>
      </c>
      <c r="T69" s="210">
        <v>32</v>
      </c>
      <c r="U69" s="210">
        <v>69</v>
      </c>
    </row>
    <row r="70" spans="16:21" ht="18" thickBot="1">
      <c r="P70" s="180" t="s">
        <v>979</v>
      </c>
      <c r="Q70" s="181">
        <v>38944857</v>
      </c>
      <c r="R70" s="181">
        <v>58192934426</v>
      </c>
      <c r="S70" s="182">
        <v>2325530.15</v>
      </c>
      <c r="T70" s="210">
        <v>26</v>
      </c>
      <c r="U70" s="210">
        <v>69</v>
      </c>
    </row>
    <row r="71" spans="16:21" ht="18" thickBot="1">
      <c r="P71" s="180" t="s">
        <v>980</v>
      </c>
      <c r="Q71" s="181">
        <v>21789917</v>
      </c>
      <c r="R71" s="181">
        <v>32116880499</v>
      </c>
      <c r="S71" s="182">
        <v>1300641.92</v>
      </c>
      <c r="T71" s="210">
        <v>21</v>
      </c>
      <c r="U71" s="210">
        <v>52</v>
      </c>
    </row>
    <row r="72" spans="16:21" ht="18" thickBot="1">
      <c r="P72" s="180" t="s">
        <v>975</v>
      </c>
      <c r="Q72" s="181">
        <v>333223854</v>
      </c>
      <c r="R72" s="181">
        <v>473119191964</v>
      </c>
      <c r="S72" s="182">
        <v>23582605.620000001</v>
      </c>
      <c r="T72" s="210">
        <v>85</v>
      </c>
      <c r="U72" s="210">
        <v>241</v>
      </c>
    </row>
    <row r="73" spans="16:21" ht="18" thickBot="1">
      <c r="P73" s="215" t="s">
        <v>982</v>
      </c>
      <c r="Q73" s="217" t="s">
        <v>1482</v>
      </c>
      <c r="R73"/>
      <c r="S73"/>
      <c r="T73"/>
      <c r="U73"/>
    </row>
  </sheetData>
  <phoneticPr fontId="1" type="noConversion"/>
  <conditionalFormatting sqref="C29:C30">
    <cfRule type="cellIs" dxfId="2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74">
    <tabColor rgb="FFFF0000"/>
  </sheetPr>
  <dimension ref="A1:Z71"/>
  <sheetViews>
    <sheetView zoomScaleNormal="100" workbookViewId="0">
      <selection activeCell="F64" sqref="F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5976562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254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2402201000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263</v>
      </c>
      <c r="F4" s="84" t="s">
        <v>72</v>
      </c>
      <c r="G4" s="172" t="s">
        <v>282</v>
      </c>
      <c r="H4" s="172" t="s">
        <v>263</v>
      </c>
      <c r="I4" s="84" t="s">
        <v>45</v>
      </c>
      <c r="J4" s="84" t="s">
        <v>1270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3217595.85</v>
      </c>
      <c r="G5" s="90"/>
      <c r="H5" s="90"/>
      <c r="I5" s="130">
        <f t="shared" ref="I5:I49" si="0">T5</f>
        <v>12.156567918076174</v>
      </c>
      <c r="J5" s="130"/>
      <c r="K5" s="86"/>
      <c r="L5" s="80"/>
      <c r="M5" s="80"/>
      <c r="P5" s="129" t="s">
        <v>0</v>
      </c>
      <c r="Q5" s="116">
        <v>64351917</v>
      </c>
      <c r="R5" s="116"/>
      <c r="S5" s="116">
        <v>5293592.5199999996</v>
      </c>
      <c r="T5" s="130">
        <f t="shared" ref="T5:T25" si="1">Q5/S5</f>
        <v>12.156567918076174</v>
      </c>
      <c r="U5" s="85"/>
    </row>
    <row r="6" spans="1:21" ht="15" hidden="1" customHeight="1">
      <c r="A6" s="129" t="s">
        <v>1</v>
      </c>
      <c r="C6" s="79"/>
      <c r="F6" s="78">
        <f>Q6/18</f>
        <v>3112545.611111111</v>
      </c>
      <c r="G6" s="90">
        <f t="shared" ref="G6:G25" si="2">F6/F5-1</f>
        <v>-3.2648674285457258E-2</v>
      </c>
      <c r="H6" s="90"/>
      <c r="I6" s="130">
        <f t="shared" si="0"/>
        <v>12.71020231208044</v>
      </c>
      <c r="J6" s="130"/>
      <c r="K6" s="78"/>
      <c r="P6" s="129" t="s">
        <v>1</v>
      </c>
      <c r="Q6" s="116">
        <v>56025821</v>
      </c>
      <c r="R6" s="116"/>
      <c r="S6" s="116">
        <v>4407940.93</v>
      </c>
      <c r="T6" s="130">
        <f t="shared" si="1"/>
        <v>12.71020231208044</v>
      </c>
      <c r="U6" s="85"/>
    </row>
    <row r="7" spans="1:21" ht="15" hidden="1" customHeight="1">
      <c r="A7" s="129" t="s">
        <v>2</v>
      </c>
      <c r="B7" s="131">
        <f>F5+F6+F7</f>
        <v>8957477.9611111116</v>
      </c>
      <c r="C7" s="131">
        <f>AVERAGE(F5:F7)</f>
        <v>2985825.987037037</v>
      </c>
      <c r="F7" s="78">
        <f>Q7/22</f>
        <v>2627336.5</v>
      </c>
      <c r="G7" s="90">
        <f t="shared" si="2"/>
        <v>-0.15588819305298529</v>
      </c>
      <c r="H7" s="90"/>
      <c r="I7" s="130">
        <f t="shared" si="0"/>
        <v>12.507534687085155</v>
      </c>
      <c r="J7" s="130"/>
      <c r="K7" s="85">
        <f>R5+R6+R7</f>
        <v>0</v>
      </c>
      <c r="N7" s="88">
        <f>AVERAGE(T5:T7)</f>
        <v>12.45810163908059</v>
      </c>
      <c r="P7" s="129" t="s">
        <v>2</v>
      </c>
      <c r="Q7" s="116">
        <v>57801403</v>
      </c>
      <c r="R7" s="116"/>
      <c r="S7" s="116">
        <v>4621326.62</v>
      </c>
      <c r="T7" s="130">
        <f t="shared" si="1"/>
        <v>12.507534687085155</v>
      </c>
      <c r="U7" s="85">
        <f>Q5+Q6+Q7</f>
        <v>178179141</v>
      </c>
    </row>
    <row r="8" spans="1:21" ht="15" hidden="1" customHeight="1">
      <c r="A8" s="129" t="s">
        <v>3</v>
      </c>
      <c r="C8" s="79"/>
      <c r="F8" s="78">
        <f>Q8/21</f>
        <v>2581458.0476190476</v>
      </c>
      <c r="G8" s="90">
        <f t="shared" si="2"/>
        <v>-1.7461962858945745E-2</v>
      </c>
      <c r="H8" s="90"/>
      <c r="I8" s="130">
        <f t="shared" si="0"/>
        <v>12.842164898578652</v>
      </c>
      <c r="J8" s="130"/>
      <c r="K8" s="78"/>
      <c r="P8" s="129" t="s">
        <v>3</v>
      </c>
      <c r="Q8" s="116">
        <v>54210619</v>
      </c>
      <c r="R8" s="116"/>
      <c r="S8" s="116">
        <v>4221299.09</v>
      </c>
      <c r="T8" s="130">
        <f t="shared" si="1"/>
        <v>12.842164898578652</v>
      </c>
      <c r="U8" s="85"/>
    </row>
    <row r="9" spans="1:21" ht="15" hidden="1" customHeight="1">
      <c r="A9" s="129" t="s">
        <v>4</v>
      </c>
      <c r="C9" s="79"/>
      <c r="F9" s="78">
        <f>Q9/21</f>
        <v>2086950.9523809524</v>
      </c>
      <c r="G9" s="90">
        <f t="shared" si="2"/>
        <v>-0.19156115889397973</v>
      </c>
      <c r="H9" s="90"/>
      <c r="I9" s="130">
        <f t="shared" si="0"/>
        <v>11.267566837360762</v>
      </c>
      <c r="J9" s="130"/>
      <c r="K9" s="78"/>
      <c r="P9" s="129" t="s">
        <v>4</v>
      </c>
      <c r="Q9" s="116">
        <v>43825970</v>
      </c>
      <c r="R9" s="116"/>
      <c r="S9" s="116">
        <v>3889568.23</v>
      </c>
      <c r="T9" s="130">
        <f t="shared" si="1"/>
        <v>11.267566837360762</v>
      </c>
      <c r="U9" s="85"/>
    </row>
    <row r="10" spans="1:21" ht="15" hidden="1" customHeight="1">
      <c r="A10" s="129" t="s">
        <v>5</v>
      </c>
      <c r="B10" s="131">
        <f>F8+F9+F10</f>
        <v>7022378.4285714291</v>
      </c>
      <c r="C10" s="131">
        <f>AVERAGE(F8:F10)</f>
        <v>2340792.8095238097</v>
      </c>
      <c r="D10" s="90">
        <f>C10/C7-1</f>
        <v>-0.21603173805628284</v>
      </c>
      <c r="E10" s="286"/>
      <c r="F10" s="78">
        <f>Q10/21</f>
        <v>2353969.4285714286</v>
      </c>
      <c r="G10" s="90">
        <f t="shared" si="2"/>
        <v>0.12794669461965125</v>
      </c>
      <c r="H10" s="90"/>
      <c r="I10" s="130">
        <f t="shared" si="0"/>
        <v>12.628083218529596</v>
      </c>
      <c r="J10" s="130"/>
      <c r="K10" s="85">
        <f>R8+R9+R10</f>
        <v>0</v>
      </c>
      <c r="L10" s="87">
        <f>U10/U7-1</f>
        <v>-0.17235010690729502</v>
      </c>
      <c r="N10" s="88">
        <f>AVERAGE(T8:T10)</f>
        <v>12.245938318156336</v>
      </c>
      <c r="O10" s="89">
        <f>N10/N7-1</f>
        <v>-1.7030148498604847E-2</v>
      </c>
      <c r="P10" s="129" t="s">
        <v>5</v>
      </c>
      <c r="Q10" s="116">
        <v>49433358</v>
      </c>
      <c r="R10" s="116"/>
      <c r="S10" s="116">
        <v>3914557.51</v>
      </c>
      <c r="T10" s="130">
        <f t="shared" si="1"/>
        <v>12.628083218529596</v>
      </c>
      <c r="U10" s="85">
        <f>Q8+Q9+Q10</f>
        <v>147469947</v>
      </c>
    </row>
    <row r="11" spans="1:21" ht="15" hidden="1" customHeight="1">
      <c r="A11" s="129" t="s">
        <v>6</v>
      </c>
      <c r="C11" s="79"/>
      <c r="F11" s="78">
        <f>Q11/21</f>
        <v>2728653.3809523811</v>
      </c>
      <c r="G11" s="90">
        <f t="shared" si="2"/>
        <v>0.15917112084515894</v>
      </c>
      <c r="H11" s="90"/>
      <c r="I11" s="130">
        <f t="shared" si="0"/>
        <v>11.248300639915644</v>
      </c>
      <c r="J11" s="130"/>
      <c r="K11" s="78"/>
      <c r="O11" s="89"/>
      <c r="P11" s="129" t="s">
        <v>6</v>
      </c>
      <c r="Q11" s="116">
        <v>57301721</v>
      </c>
      <c r="R11" s="116"/>
      <c r="S11" s="116">
        <v>5094255.82</v>
      </c>
      <c r="T11" s="130">
        <f t="shared" si="1"/>
        <v>11.248300639915644</v>
      </c>
      <c r="U11" s="85"/>
    </row>
    <row r="12" spans="1:21" ht="15" hidden="1" customHeight="1">
      <c r="A12" s="129" t="s">
        <v>7</v>
      </c>
      <c r="C12" s="79"/>
      <c r="F12" s="78">
        <f>Q12/22</f>
        <v>2629733.9545454546</v>
      </c>
      <c r="G12" s="90">
        <f t="shared" si="2"/>
        <v>-3.6252104095537696E-2</v>
      </c>
      <c r="H12" s="90"/>
      <c r="I12" s="130">
        <f t="shared" si="0"/>
        <v>12.307060083836193</v>
      </c>
      <c r="J12" s="130"/>
      <c r="K12" s="78"/>
      <c r="O12" s="89"/>
      <c r="P12" s="129" t="s">
        <v>7</v>
      </c>
      <c r="Q12" s="116">
        <v>57854147</v>
      </c>
      <c r="R12" s="116"/>
      <c r="S12" s="116">
        <v>4700890.92</v>
      </c>
      <c r="T12" s="130">
        <f t="shared" si="1"/>
        <v>12.307060083836193</v>
      </c>
      <c r="U12" s="85"/>
    </row>
    <row r="13" spans="1:21" ht="15" hidden="1" customHeight="1">
      <c r="A13" s="129" t="s">
        <v>96</v>
      </c>
      <c r="B13" s="131">
        <f>F11+F12+F13</f>
        <v>7612345.3354978357</v>
      </c>
      <c r="C13" s="131">
        <f>AVERAGE(F11:F13)</f>
        <v>2537448.4451659452</v>
      </c>
      <c r="D13" s="90">
        <f>C13/C10-1</f>
        <v>8.4012405900264708E-2</v>
      </c>
      <c r="E13" s="286"/>
      <c r="F13" s="78">
        <f>Q13/20</f>
        <v>2253958</v>
      </c>
      <c r="G13" s="90">
        <f t="shared" si="2"/>
        <v>-0.14289504605434766</v>
      </c>
      <c r="H13" s="90"/>
      <c r="I13" s="130">
        <f t="shared" si="0"/>
        <v>12.800517409507956</v>
      </c>
      <c r="J13" s="130"/>
      <c r="K13" s="78">
        <f>R11+R12+R13</f>
        <v>0</v>
      </c>
      <c r="L13" s="87">
        <f>U13/U10-1</f>
        <v>8.6560558674371846E-2</v>
      </c>
      <c r="N13" s="88">
        <f>AVERAGE(T11:T13)</f>
        <v>12.118626044419932</v>
      </c>
      <c r="O13" s="89">
        <f>N13/N10-1</f>
        <v>-1.0396285725826848E-2</v>
      </c>
      <c r="P13" s="129" t="s">
        <v>96</v>
      </c>
      <c r="Q13" s="116">
        <v>45079160</v>
      </c>
      <c r="R13" s="116"/>
      <c r="S13" s="116">
        <v>3521667.02</v>
      </c>
      <c r="T13" s="130">
        <f t="shared" si="1"/>
        <v>12.800517409507956</v>
      </c>
      <c r="U13" s="85">
        <f>Q11+Q12+Q13</f>
        <v>160235028</v>
      </c>
    </row>
    <row r="14" spans="1:21" ht="15" hidden="1" customHeight="1">
      <c r="A14" s="129" t="s">
        <v>97</v>
      </c>
      <c r="C14" s="79"/>
      <c r="F14" s="78">
        <f>Q14/20</f>
        <v>2716192.65</v>
      </c>
      <c r="G14" s="90">
        <f t="shared" si="2"/>
        <v>0.20507686922294033</v>
      </c>
      <c r="H14" s="90"/>
      <c r="I14" s="130">
        <f t="shared" si="0"/>
        <v>12.245111716378156</v>
      </c>
      <c r="J14" s="130"/>
      <c r="K14" s="78"/>
      <c r="O14" s="89"/>
      <c r="P14" s="129" t="s">
        <v>97</v>
      </c>
      <c r="Q14" s="116">
        <v>54323853</v>
      </c>
      <c r="R14" s="116"/>
      <c r="S14" s="116">
        <v>4436370.55</v>
      </c>
      <c r="T14" s="130">
        <f t="shared" si="1"/>
        <v>12.245111716378156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2519518</v>
      </c>
      <c r="G15" s="90">
        <f t="shared" si="2"/>
        <v>-7.240821080934734E-2</v>
      </c>
      <c r="H15" s="90"/>
      <c r="I15" s="130">
        <f t="shared" si="0"/>
        <v>12.253927272841104</v>
      </c>
      <c r="J15" s="130"/>
      <c r="K15" s="78"/>
      <c r="O15" s="89"/>
      <c r="P15" s="129" t="s">
        <v>98</v>
      </c>
      <c r="Q15" s="116">
        <v>55429396</v>
      </c>
      <c r="R15" s="116"/>
      <c r="S15" s="116">
        <v>4523398.4800000004</v>
      </c>
      <c r="T15" s="130">
        <f t="shared" si="1"/>
        <v>12.253927272841104</v>
      </c>
      <c r="U15" s="85"/>
    </row>
    <row r="16" spans="1:21" ht="15" hidden="1" customHeight="1">
      <c r="A16" s="129" t="s">
        <v>99</v>
      </c>
      <c r="B16" s="131">
        <f>F14+F15+F16</f>
        <v>6799029.5590909095</v>
      </c>
      <c r="C16" s="131">
        <f>AVERAGE(F14:F16)</f>
        <v>2266343.1863636365</v>
      </c>
      <c r="D16" s="90">
        <f>C16/C13-1</f>
        <v>-0.10684168157929952</v>
      </c>
      <c r="E16" s="286"/>
      <c r="F16" s="78">
        <f>Q16/22</f>
        <v>1563318.9090909092</v>
      </c>
      <c r="G16" s="90">
        <f t="shared" si="2"/>
        <v>-0.37951667378803833</v>
      </c>
      <c r="H16" s="90"/>
      <c r="I16" s="130">
        <f t="shared" si="0"/>
        <v>11.35231170858196</v>
      </c>
      <c r="J16" s="130"/>
      <c r="K16" s="78">
        <f>R14+R15+R16</f>
        <v>0</v>
      </c>
      <c r="L16" s="87">
        <f>U16/U13-1</f>
        <v>-0.1004072779891797</v>
      </c>
      <c r="N16" s="88">
        <f>AVERAGE(T14:T16)</f>
        <v>11.950450232600405</v>
      </c>
      <c r="O16" s="89">
        <f>N16/N13-1</f>
        <v>-1.3877465250853538E-2</v>
      </c>
      <c r="P16" s="129" t="s">
        <v>99</v>
      </c>
      <c r="Q16" s="116">
        <v>34393016</v>
      </c>
      <c r="R16" s="116"/>
      <c r="S16" s="116">
        <v>3029604.62</v>
      </c>
      <c r="T16" s="130">
        <f t="shared" si="1"/>
        <v>11.35231170858196</v>
      </c>
      <c r="U16" s="85">
        <f>Q14+Q15+Q16</f>
        <v>144146265</v>
      </c>
    </row>
    <row r="17" spans="1:21" ht="15" hidden="1" customHeight="1">
      <c r="A17" s="129" t="s">
        <v>100</v>
      </c>
      <c r="C17" s="79"/>
      <c r="F17" s="78">
        <f>Q17/20</f>
        <v>2159624.35</v>
      </c>
      <c r="G17" s="90">
        <f t="shared" si="2"/>
        <v>0.38143557110548265</v>
      </c>
      <c r="H17" s="90">
        <f t="shared" ref="H17:H25" si="3">F17/F5-1</f>
        <v>-0.32880807575631354</v>
      </c>
      <c r="I17" s="130">
        <f t="shared" si="0"/>
        <v>12.10153062996036</v>
      </c>
      <c r="J17" s="130">
        <f t="shared" ref="J17:J49" si="4">I17/I5-1</f>
        <v>-4.5273705939631315E-3</v>
      </c>
      <c r="K17" s="78"/>
      <c r="O17" s="89"/>
      <c r="P17" s="129" t="s">
        <v>100</v>
      </c>
      <c r="Q17" s="116">
        <v>43192487</v>
      </c>
      <c r="R17" s="116">
        <v>54070307437</v>
      </c>
      <c r="S17" s="116">
        <v>3569175.53</v>
      </c>
      <c r="T17" s="130">
        <f t="shared" si="1"/>
        <v>12.10153062996036</v>
      </c>
      <c r="U17" s="78"/>
    </row>
    <row r="18" spans="1:21" ht="15" hidden="1" customHeight="1">
      <c r="A18" s="129" t="s">
        <v>106</v>
      </c>
      <c r="C18" s="79"/>
      <c r="F18" s="78">
        <f>Q18/20</f>
        <v>3113858.15</v>
      </c>
      <c r="G18" s="90">
        <f t="shared" si="2"/>
        <v>0.4418517507454478</v>
      </c>
      <c r="H18" s="90">
        <f t="shared" si="3"/>
        <v>4.2169306184725031E-4</v>
      </c>
      <c r="I18" s="130">
        <f t="shared" si="0"/>
        <v>12.004114345114834</v>
      </c>
      <c r="J18" s="130">
        <f t="shared" si="4"/>
        <v>-5.5552850350344407E-2</v>
      </c>
      <c r="K18" s="78"/>
      <c r="O18" s="89"/>
      <c r="P18" s="129" t="s">
        <v>106</v>
      </c>
      <c r="Q18" s="116">
        <v>62277163</v>
      </c>
      <c r="R18" s="116">
        <v>77924504279</v>
      </c>
      <c r="S18" s="116">
        <v>5187984.82</v>
      </c>
      <c r="T18" s="130">
        <f t="shared" si="1"/>
        <v>12.004114345114834</v>
      </c>
      <c r="U18" s="78"/>
    </row>
    <row r="19" spans="1:21" hidden="1">
      <c r="A19" s="129" t="s">
        <v>114</v>
      </c>
      <c r="B19" s="131">
        <f>SUM(F17:F19)</f>
        <v>8223840</v>
      </c>
      <c r="C19" s="131">
        <f>AVERAGE(F17:F19)</f>
        <v>2741280</v>
      </c>
      <c r="D19" s="90">
        <f>C19/C16-1</f>
        <v>0.20956085401981994</v>
      </c>
      <c r="E19" s="286">
        <f>C19/C7-1</f>
        <v>-8.1902290387562249E-2</v>
      </c>
      <c r="F19" s="78">
        <f>Q19/22</f>
        <v>2950357.5</v>
      </c>
      <c r="G19" s="90">
        <f t="shared" si="2"/>
        <v>-5.2507417526389211E-2</v>
      </c>
      <c r="H19" s="90">
        <f t="shared" si="3"/>
        <v>0.12294618523360068</v>
      </c>
      <c r="I19" s="130">
        <f t="shared" si="0"/>
        <v>12.597343589907334</v>
      </c>
      <c r="J19" s="130">
        <f t="shared" si="4"/>
        <v>7.1803840700048749E-3</v>
      </c>
      <c r="K19" s="78">
        <f>R17+R18+R19</f>
        <v>216889844436</v>
      </c>
      <c r="L19" s="87">
        <f>U19/U16-1</f>
        <v>0.1819766193733845</v>
      </c>
      <c r="M19" s="87">
        <f>U19/U7-1</f>
        <v>-4.3785293588321839E-2</v>
      </c>
      <c r="N19" s="88">
        <f>AVERAGE(T17:T19)</f>
        <v>12.234329521660841</v>
      </c>
      <c r="O19" s="89">
        <f>N19/N16-1</f>
        <v>2.3754694052114056E-2</v>
      </c>
      <c r="P19" s="129" t="s">
        <v>114</v>
      </c>
      <c r="Q19" s="116">
        <v>64907865</v>
      </c>
      <c r="R19" s="116">
        <v>84895032720</v>
      </c>
      <c r="S19" s="116">
        <v>5152504.1399999997</v>
      </c>
      <c r="T19" s="130">
        <f t="shared" si="1"/>
        <v>12.597343589907334</v>
      </c>
      <c r="U19" s="85">
        <f>Q17+Q18+Q19</f>
        <v>170377515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3058397</v>
      </c>
      <c r="G20" s="90">
        <f t="shared" si="2"/>
        <v>3.6619121581028757E-2</v>
      </c>
      <c r="H20" s="90">
        <f t="shared" si="3"/>
        <v>0.18475564722845172</v>
      </c>
      <c r="I20" s="130">
        <f t="shared" si="0"/>
        <v>13.273381862049545</v>
      </c>
      <c r="J20" s="130">
        <f t="shared" si="4"/>
        <v>3.357821417778406E-2</v>
      </c>
      <c r="K20" s="78"/>
      <c r="O20" s="89"/>
      <c r="P20" s="129" t="s">
        <v>132</v>
      </c>
      <c r="Q20" s="116">
        <v>61167940</v>
      </c>
      <c r="R20" s="116">
        <v>80279155424</v>
      </c>
      <c r="S20" s="116">
        <v>4608316.1500000004</v>
      </c>
      <c r="T20" s="130">
        <f t="shared" si="1"/>
        <v>13.273381862049545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2630490.6666666665</v>
      </c>
      <c r="G21" s="90">
        <f t="shared" si="2"/>
        <v>-0.13991196477544721</v>
      </c>
      <c r="H21" s="90">
        <f t="shared" si="3"/>
        <v>0.2604468081368192</v>
      </c>
      <c r="I21" s="130">
        <f t="shared" si="0"/>
        <v>12.138271501895753</v>
      </c>
      <c r="J21" s="130">
        <f t="shared" si="4"/>
        <v>7.7275305050592324E-2</v>
      </c>
      <c r="K21" s="78"/>
      <c r="O21" s="89"/>
      <c r="P21" s="129" t="s">
        <v>141</v>
      </c>
      <c r="Q21" s="116">
        <v>55240304</v>
      </c>
      <c r="R21" s="116">
        <v>73650305116</v>
      </c>
      <c r="S21" s="116">
        <v>4550920.12</v>
      </c>
      <c r="T21" s="130">
        <f t="shared" si="1"/>
        <v>12.138271501895753</v>
      </c>
      <c r="U21" s="78"/>
    </row>
    <row r="22" spans="1:21" hidden="1">
      <c r="A22" s="129" t="s">
        <v>155</v>
      </c>
      <c r="B22" s="131">
        <f>SUM(F20:F22)</f>
        <v>8190122.666666666</v>
      </c>
      <c r="C22" s="131">
        <f>AVERAGE(F20:F22)</f>
        <v>2730040.8888888885</v>
      </c>
      <c r="D22" s="90">
        <f>C22/C19-1</f>
        <v>-4.0999500638794206E-3</v>
      </c>
      <c r="E22" s="286">
        <f>C22/C10-1</f>
        <v>0.1662889931058289</v>
      </c>
      <c r="F22" s="78">
        <f>Q22/21</f>
        <v>2501235</v>
      </c>
      <c r="G22" s="90">
        <f t="shared" si="2"/>
        <v>-4.9137473971902823E-2</v>
      </c>
      <c r="H22" s="90">
        <f t="shared" si="3"/>
        <v>6.2560528459345122E-2</v>
      </c>
      <c r="I22" s="130">
        <f t="shared" si="0"/>
        <v>12.006610414570444</v>
      </c>
      <c r="J22" s="130">
        <f t="shared" si="4"/>
        <v>-4.9213549927137445E-2</v>
      </c>
      <c r="K22" s="78">
        <f>R20+R21+R22</f>
        <v>222208083312</v>
      </c>
      <c r="L22" s="87">
        <f>U22/U19-1</f>
        <v>-8.471399527103074E-3</v>
      </c>
      <c r="M22" s="87">
        <f>U22/U10-1</f>
        <v>0.14554987261234986</v>
      </c>
      <c r="N22" s="88">
        <f>AVERAGE(T20:T22)</f>
        <v>12.472754592838582</v>
      </c>
      <c r="O22" s="89">
        <f>N22/N19-1</f>
        <v>1.9488200865900307E-2</v>
      </c>
      <c r="P22" s="129" t="s">
        <v>155</v>
      </c>
      <c r="Q22" s="116">
        <v>52525935</v>
      </c>
      <c r="R22" s="116">
        <v>68278622772</v>
      </c>
      <c r="S22" s="116">
        <v>4374751.34</v>
      </c>
      <c r="T22" s="130">
        <f t="shared" si="1"/>
        <v>12.006610414570444</v>
      </c>
      <c r="U22" s="85">
        <f>Q20+Q21+Q22</f>
        <v>168934179</v>
      </c>
    </row>
    <row r="23" spans="1:21" hidden="1">
      <c r="A23" s="129" t="s">
        <v>189</v>
      </c>
      <c r="B23" s="131"/>
      <c r="C23" s="131"/>
      <c r="F23" s="78">
        <f>Q23/21</f>
        <v>3243110.0952380951</v>
      </c>
      <c r="G23" s="90">
        <f t="shared" si="2"/>
        <v>0.29660351595835466</v>
      </c>
      <c r="H23" s="90">
        <f t="shared" si="3"/>
        <v>0.18853868280849717</v>
      </c>
      <c r="I23" s="130">
        <f t="shared" si="0"/>
        <v>12.887708313816017</v>
      </c>
      <c r="J23" s="130">
        <f t="shared" si="4"/>
        <v>0.14574714229123464</v>
      </c>
      <c r="K23" s="78"/>
      <c r="O23" s="89"/>
      <c r="P23" s="129" t="s">
        <v>189</v>
      </c>
      <c r="Q23" s="116">
        <v>68105312</v>
      </c>
      <c r="R23" s="116">
        <v>87970273847</v>
      </c>
      <c r="S23" s="116">
        <v>5284516.87</v>
      </c>
      <c r="T23" s="130">
        <f t="shared" si="1"/>
        <v>12.887708313816017</v>
      </c>
      <c r="U23" s="78"/>
    </row>
    <row r="24" spans="1:21" hidden="1">
      <c r="A24" s="129" t="s">
        <v>204</v>
      </c>
      <c r="B24" s="131"/>
      <c r="C24" s="131"/>
      <c r="F24" s="78">
        <f>Q24/22</f>
        <v>2845106</v>
      </c>
      <c r="G24" s="90">
        <f t="shared" si="2"/>
        <v>-0.12272296762989643</v>
      </c>
      <c r="H24" s="90">
        <f t="shared" si="3"/>
        <v>8.1898796295449605E-2</v>
      </c>
      <c r="I24" s="130">
        <f t="shared" si="0"/>
        <v>12.399764029336311</v>
      </c>
      <c r="J24" s="130">
        <f t="shared" si="4"/>
        <v>7.5325825070011732E-3</v>
      </c>
      <c r="K24" s="78"/>
      <c r="O24" s="89"/>
      <c r="P24" s="129" t="s">
        <v>204</v>
      </c>
      <c r="Q24" s="116">
        <v>62592332</v>
      </c>
      <c r="R24" s="116">
        <v>81875172121</v>
      </c>
      <c r="S24" s="116">
        <v>5047864.7699999996</v>
      </c>
      <c r="T24" s="130">
        <f t="shared" si="1"/>
        <v>12.399764029336311</v>
      </c>
      <c r="U24" s="78"/>
    </row>
    <row r="25" spans="1:21" s="79" customFormat="1" ht="13.2" hidden="1">
      <c r="A25" s="129" t="s">
        <v>245</v>
      </c>
      <c r="B25" s="131">
        <f>SUM(F23:F25)</f>
        <v>8845592.9899749383</v>
      </c>
      <c r="C25" s="131">
        <f>AVERAGE(F23:F25)</f>
        <v>2948530.9966583126</v>
      </c>
      <c r="D25" s="90">
        <f>C25/C22-1</f>
        <v>8.0031807823343071E-2</v>
      </c>
      <c r="E25" s="286">
        <f>C25/C13-1</f>
        <v>0.16200626746742963</v>
      </c>
      <c r="F25" s="78">
        <f>Q25/19</f>
        <v>2757376.8947368423</v>
      </c>
      <c r="G25" s="90">
        <f t="shared" si="2"/>
        <v>-3.0835092001197051E-2</v>
      </c>
      <c r="H25" s="90">
        <f t="shared" si="3"/>
        <v>0.22334883557583685</v>
      </c>
      <c r="I25" s="130">
        <f t="shared" si="0"/>
        <v>12.354361968813087</v>
      </c>
      <c r="J25" s="130">
        <f t="shared" si="4"/>
        <v>-3.4854484894764726E-2</v>
      </c>
      <c r="K25" s="78">
        <f>R23+R24+R25</f>
        <v>239319210658</v>
      </c>
      <c r="L25" s="90">
        <f>U25/U22-1</f>
        <v>8.3781897090227098E-2</v>
      </c>
      <c r="M25" s="90">
        <f>U25/U13-1</f>
        <v>0.142620357641152</v>
      </c>
      <c r="N25" s="88">
        <f>AVERAGE(T23:T25)</f>
        <v>12.54727810398847</v>
      </c>
      <c r="O25" s="91">
        <f>N25/N22-1</f>
        <v>5.9749039873417953E-3</v>
      </c>
      <c r="P25" s="129" t="s">
        <v>245</v>
      </c>
      <c r="Q25" s="116">
        <v>52390161</v>
      </c>
      <c r="R25" s="116">
        <v>69473764690</v>
      </c>
      <c r="S25" s="116">
        <v>4240620.53</v>
      </c>
      <c r="T25" s="130">
        <f t="shared" si="1"/>
        <v>12.354361968813087</v>
      </c>
      <c r="U25" s="85">
        <f>Q23+Q24+Q25</f>
        <v>183087805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3517439.7368421052</v>
      </c>
      <c r="G26" s="90">
        <f t="shared" ref="G26" si="5">F26/F25-1</f>
        <v>0.27564706281395068</v>
      </c>
      <c r="H26" s="90">
        <f t="shared" ref="H26" si="6">F26/F14-1</f>
        <v>0.29498904904337531</v>
      </c>
      <c r="I26" s="130">
        <f t="shared" si="0"/>
        <v>12.749164982393298</v>
      </c>
      <c r="J26" s="130">
        <f t="shared" si="4"/>
        <v>4.1163631471075712E-2</v>
      </c>
      <c r="K26" s="78"/>
      <c r="L26" s="90"/>
      <c r="M26" s="90"/>
      <c r="P26" s="129" t="s">
        <v>313</v>
      </c>
      <c r="Q26" s="116">
        <v>66831355</v>
      </c>
      <c r="R26" s="116">
        <v>90120771900</v>
      </c>
      <c r="S26" s="116">
        <v>5242018.21</v>
      </c>
      <c r="T26" s="130">
        <f t="shared" ref="T26" si="7">Q26/S26</f>
        <v>12.749164982393298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2128314.1818181816</v>
      </c>
      <c r="G27" s="90">
        <f t="shared" ref="G27" si="8">F27/F26-1</f>
        <v>-0.394925189612788</v>
      </c>
      <c r="H27" s="90">
        <f t="shared" ref="H27" si="9">F27/F15-1</f>
        <v>-0.15526930872564448</v>
      </c>
      <c r="I27" s="130">
        <f t="shared" si="0"/>
        <v>12.216903459730343</v>
      </c>
      <c r="J27" s="130">
        <f t="shared" si="4"/>
        <v>-3.0213834541696905E-3</v>
      </c>
      <c r="K27" s="78"/>
      <c r="L27" s="90"/>
      <c r="M27" s="90"/>
      <c r="P27" s="129" t="s">
        <v>375</v>
      </c>
      <c r="Q27" s="116">
        <v>46822912</v>
      </c>
      <c r="R27" s="116">
        <v>61820626319</v>
      </c>
      <c r="S27" s="116">
        <v>3832633.38</v>
      </c>
      <c r="T27" s="130">
        <f t="shared" ref="T27" si="10">Q27/S27</f>
        <v>12.216903459730343</v>
      </c>
      <c r="U27" s="78"/>
    </row>
    <row r="28" spans="1:21" s="79" customFormat="1" ht="13.2" hidden="1">
      <c r="A28" s="123" t="s">
        <v>415</v>
      </c>
      <c r="B28" s="131">
        <f>SUM(F26:F28)</f>
        <v>8445402.234449761</v>
      </c>
      <c r="C28" s="131">
        <f>AVERAGE(F26:F28)</f>
        <v>2815134.0781499203</v>
      </c>
      <c r="D28" s="90">
        <f>C28/C25-1</f>
        <v>-4.5241823355283151E-2</v>
      </c>
      <c r="E28" s="286">
        <f>C28/C16-1</f>
        <v>0.2421481861565824</v>
      </c>
      <c r="F28" s="78">
        <f>Q28/19</f>
        <v>2799648.3157894737</v>
      </c>
      <c r="G28" s="90">
        <f t="shared" ref="G28" si="11">F28/F27-1</f>
        <v>0.31542999605339417</v>
      </c>
      <c r="H28" s="90">
        <f t="shared" ref="H28" si="12">F28/F16-1</f>
        <v>0.79083634152260496</v>
      </c>
      <c r="I28" s="130">
        <f t="shared" si="0"/>
        <v>12.259392678761103</v>
      </c>
      <c r="J28" s="130">
        <f t="shared" si="4"/>
        <v>7.9902754034970824E-2</v>
      </c>
      <c r="K28" s="78">
        <f>R26+R27+R28</f>
        <v>221382259549</v>
      </c>
      <c r="L28" s="90">
        <f>U28/U25-1</f>
        <v>-8.8701811679920417E-2</v>
      </c>
      <c r="M28" s="90">
        <f>U28/U16-1</f>
        <v>0.15748809030882627</v>
      </c>
      <c r="N28" s="88">
        <f>AVERAGE(T26:T28)</f>
        <v>12.408487040294915</v>
      </c>
      <c r="O28" s="91">
        <f>N28/N25-1</f>
        <v>-1.1061447952559256E-2</v>
      </c>
      <c r="P28" s="129" t="s">
        <v>416</v>
      </c>
      <c r="Q28" s="116">
        <v>53193318</v>
      </c>
      <c r="R28" s="116">
        <v>69440861330</v>
      </c>
      <c r="S28" s="116">
        <v>4338984.76</v>
      </c>
      <c r="T28" s="130">
        <f t="shared" ref="T28" si="13">Q28/S28</f>
        <v>12.259392678761103</v>
      </c>
      <c r="U28" s="85">
        <f>Q26+Q27+Q28</f>
        <v>166847585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1820101.8181818181</v>
      </c>
      <c r="G29" s="190">
        <f t="shared" ref="G29" si="14">F29/F28-1</f>
        <v>-0.34988198056277398</v>
      </c>
      <c r="H29" s="190">
        <f t="shared" ref="H29" si="15">F29/F17-1</f>
        <v>-0.15721369867781954</v>
      </c>
      <c r="I29" s="130">
        <f t="shared" si="0"/>
        <v>11.889993708276593</v>
      </c>
      <c r="J29" s="130">
        <f t="shared" si="4"/>
        <v>-1.7480179008104502E-2</v>
      </c>
      <c r="K29" s="136"/>
      <c r="L29" s="190"/>
      <c r="M29" s="190"/>
      <c r="N29" s="191"/>
      <c r="O29" s="192"/>
      <c r="P29" s="129" t="s">
        <v>430</v>
      </c>
      <c r="Q29" s="116">
        <v>40042240</v>
      </c>
      <c r="R29" s="116">
        <v>52762628097</v>
      </c>
      <c r="S29" s="116">
        <v>3367725.92</v>
      </c>
      <c r="T29" s="130">
        <f t="shared" ref="T29" si="16">Q29/S29</f>
        <v>11.889993708276593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2831907.2631578948</v>
      </c>
      <c r="G30" s="190">
        <f t="shared" ref="G30" si="17">F30/F29-1</f>
        <v>0.55590595804514664</v>
      </c>
      <c r="H30" s="190">
        <f t="shared" ref="H30" si="18">F30/F18-1</f>
        <v>-9.0547119765910011E-2</v>
      </c>
      <c r="I30" s="130">
        <f t="shared" si="0"/>
        <v>12.562722364029499</v>
      </c>
      <c r="J30" s="130">
        <f t="shared" si="4"/>
        <v>4.6534713253709947E-2</v>
      </c>
      <c r="K30" s="136"/>
      <c r="L30" s="190"/>
      <c r="M30" s="190"/>
      <c r="N30" s="191"/>
      <c r="O30" s="192"/>
      <c r="P30" s="129" t="s">
        <v>469</v>
      </c>
      <c r="Q30" s="116">
        <v>53806238</v>
      </c>
      <c r="R30" s="116">
        <v>71686466191</v>
      </c>
      <c r="S30" s="116">
        <v>4283007.8099999996</v>
      </c>
      <c r="T30" s="130">
        <f t="shared" ref="T30" si="19">Q30/S30</f>
        <v>12.562722364029499</v>
      </c>
      <c r="U30" s="85"/>
    </row>
    <row r="31" spans="1:21" s="79" customFormat="1" ht="13.2" hidden="1">
      <c r="A31" s="129" t="s">
        <v>505</v>
      </c>
      <c r="B31" s="188">
        <f>SUM(F29:F31)</f>
        <v>7561783.2813397134</v>
      </c>
      <c r="C31" s="188">
        <f>AVERAGE(F29:F31)</f>
        <v>2520594.4271132378</v>
      </c>
      <c r="D31" s="190">
        <f>C31/C28-1</f>
        <v>-0.10462721947163922</v>
      </c>
      <c r="E31" s="287">
        <f>C31/C19-1</f>
        <v>-8.0504571910480549E-2</v>
      </c>
      <c r="F31" s="136">
        <f>Q31/20</f>
        <v>2909774.2</v>
      </c>
      <c r="G31" s="190">
        <f t="shared" ref="G31" si="20">F31/F30-1</f>
        <v>2.7496287698091759E-2</v>
      </c>
      <c r="H31" s="190">
        <f t="shared" ref="H31" si="21">F31/F19-1</f>
        <v>-1.3755383881444816E-2</v>
      </c>
      <c r="I31" s="130">
        <f t="shared" si="0"/>
        <v>12.971326022878568</v>
      </c>
      <c r="J31" s="130">
        <f t="shared" si="4"/>
        <v>2.968740435649142E-2</v>
      </c>
      <c r="K31" s="136">
        <f>R29+R30+R31</f>
        <v>201714142347</v>
      </c>
      <c r="L31" s="190">
        <f>U31/U28-1</f>
        <v>-8.8725425663188306E-2</v>
      </c>
      <c r="M31" s="190">
        <f>U31/U19-1</f>
        <v>-0.10760547247094199</v>
      </c>
      <c r="N31" s="191">
        <f>AVERAGE(T29:T31)</f>
        <v>12.474680698394886</v>
      </c>
      <c r="O31" s="192">
        <f>N31/N28-1</f>
        <v>5.3345470632331082E-3</v>
      </c>
      <c r="P31" s="129" t="s">
        <v>505</v>
      </c>
      <c r="Q31" s="116">
        <v>58195484</v>
      </c>
      <c r="R31" s="116">
        <v>77265048059</v>
      </c>
      <c r="S31" s="116">
        <v>4486471.46</v>
      </c>
      <c r="T31" s="130">
        <f t="shared" ref="T31" si="22">Q31/S31</f>
        <v>12.971326022878568</v>
      </c>
      <c r="U31" s="85">
        <f>Q29+Q30+Q31</f>
        <v>152043962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3111740.8095238097</v>
      </c>
      <c r="G32" s="190">
        <f t="shared" ref="G32" si="23">F32/F31-1</f>
        <v>6.9409718982252899E-2</v>
      </c>
      <c r="H32" s="190">
        <f t="shared" ref="H32" si="24">F32/F20-1</f>
        <v>1.7441754462814929E-2</v>
      </c>
      <c r="I32" s="130">
        <f t="shared" si="0"/>
        <v>13.12637922628004</v>
      </c>
      <c r="J32" s="130">
        <f t="shared" si="4"/>
        <v>-1.1074994850393538E-2</v>
      </c>
      <c r="K32" s="136"/>
      <c r="L32" s="190"/>
      <c r="M32" s="190"/>
      <c r="N32" s="191"/>
      <c r="O32" s="192"/>
      <c r="P32" s="129" t="s">
        <v>562</v>
      </c>
      <c r="Q32" s="116">
        <v>65346557</v>
      </c>
      <c r="R32" s="116">
        <v>88942300929</v>
      </c>
      <c r="S32" s="116">
        <v>4978262.16</v>
      </c>
      <c r="T32" s="130">
        <f t="shared" ref="T32" si="25">Q32/S32</f>
        <v>13.12637922628004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2589107.6190476189</v>
      </c>
      <c r="G33" s="190">
        <f t="shared" ref="G33" si="26">F33/F32-1</f>
        <v>-0.16795524514015336</v>
      </c>
      <c r="H33" s="190">
        <f t="shared" ref="H33" si="27">F33/F21-1</f>
        <v>-1.5732064037880744E-2</v>
      </c>
      <c r="I33" s="130">
        <f t="shared" si="0"/>
        <v>11.84524460505946</v>
      </c>
      <c r="J33" s="130">
        <f t="shared" si="4"/>
        <v>-2.4140743333227355E-2</v>
      </c>
      <c r="K33" s="136"/>
      <c r="L33" s="190"/>
      <c r="M33" s="190"/>
      <c r="N33" s="191"/>
      <c r="O33" s="192"/>
      <c r="P33" s="129" t="s">
        <v>607</v>
      </c>
      <c r="Q33" s="116">
        <v>54371260</v>
      </c>
      <c r="R33" s="116">
        <v>74230985601</v>
      </c>
      <c r="S33" s="116">
        <v>4590134</v>
      </c>
      <c r="T33" s="130">
        <f t="shared" ref="T33" si="28">Q33/S33</f>
        <v>11.84524460505946</v>
      </c>
      <c r="U33" s="85"/>
    </row>
    <row r="34" spans="1:21" s="79" customFormat="1" ht="13.2" hidden="1">
      <c r="A34" s="129" t="s">
        <v>652</v>
      </c>
      <c r="B34" s="188">
        <f>SUM(F32:F34)</f>
        <v>10027585.007518798</v>
      </c>
      <c r="C34" s="188">
        <f>AVERAGE(F32:F34)</f>
        <v>3342528.3358395994</v>
      </c>
      <c r="D34" s="190">
        <f>C34/C31-1</f>
        <v>0.32608733078399221</v>
      </c>
      <c r="E34" s="287">
        <f>C34/C22-1</f>
        <v>0.22435101592928519</v>
      </c>
      <c r="F34" s="136">
        <f>Q34/19</f>
        <v>4326736.5789473681</v>
      </c>
      <c r="G34" s="190">
        <f t="shared" ref="G34" si="29">F34/F33-1</f>
        <v>0.67113044939357169</v>
      </c>
      <c r="H34" s="190">
        <f t="shared" ref="H34" si="30">F34/F22-1</f>
        <v>0.72984009057420351</v>
      </c>
      <c r="I34" s="130">
        <f t="shared" si="0"/>
        <v>13.623199161501056</v>
      </c>
      <c r="J34" s="130">
        <f t="shared" si="4"/>
        <v>0.13464155920049037</v>
      </c>
      <c r="K34" s="136">
        <f>R32+R33+R34</f>
        <v>276060573247</v>
      </c>
      <c r="L34" s="190">
        <f>U34/U31-1</f>
        <v>0.32807517867759861</v>
      </c>
      <c r="M34" s="190">
        <f>U34/U22-1</f>
        <v>0.19529282466871312</v>
      </c>
      <c r="N34" s="191">
        <f>AVERAGE(T32:T34)</f>
        <v>12.864940997613518</v>
      </c>
      <c r="O34" s="192">
        <f>N34/N31-1</f>
        <v>3.1284191447789711E-2</v>
      </c>
      <c r="P34" s="129" t="s">
        <v>652</v>
      </c>
      <c r="Q34" s="116">
        <v>82207995</v>
      </c>
      <c r="R34" s="116">
        <v>112887286717</v>
      </c>
      <c r="S34" s="116">
        <v>6034411.8899999997</v>
      </c>
      <c r="T34" s="130">
        <f t="shared" ref="T34" si="31">Q34/S34</f>
        <v>13.623199161501056</v>
      </c>
      <c r="U34" s="85">
        <f>Q32+Q33+Q34</f>
        <v>201925812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3630926.7391304346</v>
      </c>
      <c r="G35" s="190">
        <f t="shared" ref="G35" si="32">F35/F34-1</f>
        <v>-0.16081631666751806</v>
      </c>
      <c r="H35" s="190">
        <f t="shared" ref="H35" si="33">F35/F23-1</f>
        <v>0.11958170783710864</v>
      </c>
      <c r="I35" s="130">
        <f t="shared" si="0"/>
        <v>13.945979267152552</v>
      </c>
      <c r="J35" s="130">
        <f t="shared" si="4"/>
        <v>8.2114750548942572E-2</v>
      </c>
      <c r="K35" s="136"/>
      <c r="L35" s="190"/>
      <c r="M35" s="190"/>
      <c r="N35" s="191"/>
      <c r="O35" s="192"/>
      <c r="P35" s="129" t="s">
        <v>660</v>
      </c>
      <c r="Q35" s="116">
        <v>83511315</v>
      </c>
      <c r="R35" s="116">
        <v>115624917868</v>
      </c>
      <c r="S35" s="116">
        <v>5988200.1399999997</v>
      </c>
      <c r="T35" s="130">
        <f t="shared" ref="T35" si="34">Q35/S35</f>
        <v>13.945979267152552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3082178.8095238097</v>
      </c>
      <c r="G36" s="190">
        <f t="shared" ref="G36" si="35">F36/F35-1</f>
        <v>-0.15113164462746598</v>
      </c>
      <c r="H36" s="190">
        <f t="shared" ref="H36" si="36">F36/F24-1</f>
        <v>8.3326529670180838E-2</v>
      </c>
      <c r="I36" s="130">
        <f t="shared" si="0"/>
        <v>13.338948754017716</v>
      </c>
      <c r="J36" s="130">
        <f t="shared" si="4"/>
        <v>7.5742144968195424E-2</v>
      </c>
      <c r="K36" s="136"/>
      <c r="L36" s="190"/>
      <c r="M36" s="190"/>
      <c r="N36" s="191"/>
      <c r="O36" s="192"/>
      <c r="P36" s="129" t="s">
        <v>664</v>
      </c>
      <c r="Q36" s="116">
        <v>64725755</v>
      </c>
      <c r="R36" s="116">
        <v>88632255858</v>
      </c>
      <c r="S36" s="116">
        <v>4852388.01</v>
      </c>
      <c r="T36" s="130">
        <f t="shared" ref="T36" si="37">Q36/S36</f>
        <v>13.338948754017716</v>
      </c>
      <c r="U36" s="85"/>
    </row>
    <row r="37" spans="1:21" s="79" customFormat="1" ht="13.2" hidden="1">
      <c r="A37" s="129" t="s">
        <v>702</v>
      </c>
      <c r="B37" s="188">
        <f>SUM(F35:F37)</f>
        <v>10967739.937543133</v>
      </c>
      <c r="C37" s="188">
        <f>AVERAGE(F35:F37)</f>
        <v>3655913.3125143778</v>
      </c>
      <c r="D37" s="190">
        <f>C37/C34-1</f>
        <v>9.375686462088284E-2</v>
      </c>
      <c r="E37" s="287">
        <f>C37/C25-1</f>
        <v>0.23991008290493454</v>
      </c>
      <c r="F37" s="136">
        <f>Q37/18</f>
        <v>4254634.388888889</v>
      </c>
      <c r="G37" s="190">
        <f t="shared" ref="G37" si="38">F37/F36-1</f>
        <v>0.38039829997605534</v>
      </c>
      <c r="H37" s="190">
        <f t="shared" ref="H37" si="39">F37/F25-1</f>
        <v>0.54300066741327413</v>
      </c>
      <c r="I37" s="130">
        <f t="shared" si="0"/>
        <v>14.835312476418297</v>
      </c>
      <c r="J37" s="130">
        <f t="shared" si="4"/>
        <v>0.20081575348593739</v>
      </c>
      <c r="K37" s="136">
        <f>R35+R36+R37</f>
        <v>306550741508</v>
      </c>
      <c r="L37" s="190">
        <f>U37/U34-1</f>
        <v>0.11338162651538575</v>
      </c>
      <c r="M37" s="190">
        <f>U37/U25-1</f>
        <v>0.22793808686493344</v>
      </c>
      <c r="N37" s="191">
        <f>AVERAGE(T35:T37)</f>
        <v>14.040080165862854</v>
      </c>
      <c r="O37" s="192">
        <f>N37/N34-1</f>
        <v>9.1344310748671775E-2</v>
      </c>
      <c r="P37" s="129" t="s">
        <v>702</v>
      </c>
      <c r="Q37" s="116">
        <v>76583419</v>
      </c>
      <c r="R37" s="116">
        <v>102293567782</v>
      </c>
      <c r="S37" s="116">
        <v>5162238.3499999996</v>
      </c>
      <c r="T37" s="130">
        <f t="shared" ref="T37" si="40">Q37/S37</f>
        <v>14.835312476418297</v>
      </c>
      <c r="U37" s="85">
        <f>Q35+Q36+Q37</f>
        <v>224820489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2228903.5499999998</v>
      </c>
      <c r="G38" s="190">
        <f t="shared" ref="G38" si="41">F38/F37-1</f>
        <v>-0.47612336424938151</v>
      </c>
      <c r="H38" s="190">
        <f t="shared" ref="H38" si="42">F38/F26-1</f>
        <v>-0.36632786436845399</v>
      </c>
      <c r="I38" s="130">
        <f t="shared" si="0"/>
        <v>13.534121493111609</v>
      </c>
      <c r="J38" s="130">
        <f t="shared" si="4"/>
        <v>6.1569248794124398E-2</v>
      </c>
      <c r="K38" s="136"/>
      <c r="L38" s="190"/>
      <c r="M38" s="190"/>
      <c r="N38" s="191"/>
      <c r="O38" s="192"/>
      <c r="P38" s="129" t="s">
        <v>728</v>
      </c>
      <c r="Q38" s="116">
        <v>44578071</v>
      </c>
      <c r="R38" s="116">
        <v>59696030374</v>
      </c>
      <c r="S38" s="116">
        <v>3293754.31</v>
      </c>
      <c r="T38" s="130">
        <f t="shared" ref="T38" si="43">Q38/S38</f>
        <v>13.534121493111609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2293479.3333333335</v>
      </c>
      <c r="G39" s="190">
        <f t="shared" ref="G39" si="44">F39/F38-1</f>
        <v>2.8971995371147363E-2</v>
      </c>
      <c r="H39" s="190">
        <f t="shared" ref="H39" si="45">F39/F27-1</f>
        <v>7.7603745220573561E-2</v>
      </c>
      <c r="I39" s="130">
        <f t="shared" si="0"/>
        <v>12.441819371601797</v>
      </c>
      <c r="J39" s="130">
        <f t="shared" si="4"/>
        <v>1.8410222575043544E-2</v>
      </c>
      <c r="K39" s="136"/>
      <c r="L39" s="190"/>
      <c r="M39" s="190"/>
      <c r="N39" s="191"/>
      <c r="O39" s="192"/>
      <c r="P39" s="129" t="s">
        <v>762</v>
      </c>
      <c r="Q39" s="116">
        <v>48163066</v>
      </c>
      <c r="R39" s="116">
        <v>67011927672</v>
      </c>
      <c r="S39" s="116">
        <v>3871062.95</v>
      </c>
      <c r="T39" s="130">
        <f t="shared" ref="T39" si="46">Q39/S39</f>
        <v>12.441819371601797</v>
      </c>
      <c r="U39" s="85"/>
    </row>
    <row r="40" spans="1:21" s="79" customFormat="1" ht="13.2" hidden="1">
      <c r="A40" s="129" t="s">
        <v>778</v>
      </c>
      <c r="B40" s="188">
        <f>SUM(F38:F40)</f>
        <v>7904191.1214285707</v>
      </c>
      <c r="C40" s="188">
        <f>AVERAGE(F38:F40)</f>
        <v>2634730.3738095234</v>
      </c>
      <c r="D40" s="190">
        <f>C40/C37-1</f>
        <v>-0.27932361941113126</v>
      </c>
      <c r="E40" s="287">
        <f>C40/C28-1</f>
        <v>-6.4083521186655723E-2</v>
      </c>
      <c r="F40" s="136">
        <f>Q40/21</f>
        <v>3381808.2380952379</v>
      </c>
      <c r="G40" s="190">
        <f t="shared" ref="G40" si="47">F40/F39-1</f>
        <v>0.47453181240579645</v>
      </c>
      <c r="H40" s="190">
        <f t="shared" ref="H40" si="48">F40/F28-1</f>
        <v>0.20794037559021072</v>
      </c>
      <c r="I40" s="130">
        <f t="shared" si="0"/>
        <v>15.009730036150049</v>
      </c>
      <c r="J40" s="130">
        <f t="shared" si="4"/>
        <v>0.22434531868399921</v>
      </c>
      <c r="K40" s="136">
        <f>R38+R39+R40</f>
        <v>227383445880</v>
      </c>
      <c r="L40" s="190">
        <f>U40/U37-1</f>
        <v>-0.27160059686552862</v>
      </c>
      <c r="M40" s="190">
        <f>U40/U28-1</f>
        <v>-1.8510756388832372E-2</v>
      </c>
      <c r="N40" s="191">
        <f>AVERAGE(T38:T40)</f>
        <v>13.661890300287817</v>
      </c>
      <c r="O40" s="192">
        <f>N40/N37-1</f>
        <v>-2.6936446309941298E-2</v>
      </c>
      <c r="P40" s="129" t="s">
        <v>778</v>
      </c>
      <c r="Q40" s="116">
        <v>71017973</v>
      </c>
      <c r="R40" s="116">
        <v>100675487834</v>
      </c>
      <c r="S40" s="116">
        <v>4731462.38</v>
      </c>
      <c r="T40" s="130">
        <f t="shared" ref="T40" si="49">Q40/S40</f>
        <v>15.009730036150049</v>
      </c>
      <c r="U40" s="85">
        <f>Q38+Q39+Q40</f>
        <v>163759110</v>
      </c>
    </row>
    <row r="41" spans="1:21" s="79" customFormat="1" ht="13.2">
      <c r="A41" s="129" t="s">
        <v>808</v>
      </c>
      <c r="B41" s="193"/>
      <c r="C41" s="194"/>
      <c r="D41" s="195"/>
      <c r="E41" s="288"/>
      <c r="F41" s="136">
        <f>Q41/18</f>
        <v>2442687.611111111</v>
      </c>
      <c r="G41" s="190">
        <f t="shared" ref="G41" si="50">F41/F40-1</f>
        <v>-0.27769777612023183</v>
      </c>
      <c r="H41" s="190">
        <f t="shared" ref="H41" si="51">F41/F29-1</f>
        <v>0.34206096972707933</v>
      </c>
      <c r="I41" s="130">
        <f t="shared" si="0"/>
        <v>13.622681570333347</v>
      </c>
      <c r="J41" s="130">
        <f t="shared" si="4"/>
        <v>0.14572655836231729</v>
      </c>
      <c r="K41" s="193"/>
      <c r="L41" s="190"/>
      <c r="M41" s="190"/>
      <c r="N41" s="193"/>
      <c r="O41" s="193"/>
      <c r="P41" s="129" t="s">
        <v>808</v>
      </c>
      <c r="Q41" s="116">
        <v>43968377</v>
      </c>
      <c r="R41" s="116">
        <v>64394439880</v>
      </c>
      <c r="S41" s="116">
        <v>3227586.05</v>
      </c>
      <c r="T41" s="130">
        <f t="shared" ref="T41" si="52">Q41/S41</f>
        <v>13.622681570333347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3122199.8</v>
      </c>
      <c r="G42" s="190">
        <f t="shared" ref="G42" si="53">F42/F41-1</f>
        <v>0.27818218989525123</v>
      </c>
      <c r="H42" s="190">
        <f t="shared" ref="H42" si="54">F42/F30-1</f>
        <v>0.10250778357706403</v>
      </c>
      <c r="I42" s="130">
        <f t="shared" si="0"/>
        <v>14.206764758827765</v>
      </c>
      <c r="J42" s="130">
        <f t="shared" si="4"/>
        <v>0.13086672992993997</v>
      </c>
      <c r="K42" s="193"/>
      <c r="L42" s="190"/>
      <c r="M42" s="190"/>
      <c r="N42" s="193"/>
      <c r="O42" s="193"/>
      <c r="P42" s="129" t="s">
        <v>826</v>
      </c>
      <c r="Q42" s="116">
        <v>62443996</v>
      </c>
      <c r="R42" s="116">
        <v>90376825152</v>
      </c>
      <c r="S42" s="116">
        <v>4395370.59</v>
      </c>
      <c r="T42" s="130">
        <f t="shared" ref="T42" si="55">Q42/S42</f>
        <v>14.206764758827765</v>
      </c>
      <c r="U42" s="78"/>
    </row>
    <row r="43" spans="1:21" s="79" customFormat="1" ht="13.2">
      <c r="A43" s="129" t="s">
        <v>835</v>
      </c>
      <c r="B43" s="188">
        <f>SUM(F41:F43)</f>
        <v>7990587.5611111112</v>
      </c>
      <c r="C43" s="188">
        <f>AVERAGE(F41:F43)</f>
        <v>2663529.1870370372</v>
      </c>
      <c r="D43" s="190">
        <f>C43/C40-1</f>
        <v>1.0930459341793597E-2</v>
      </c>
      <c r="E43" s="287">
        <f>C43/C31-1</f>
        <v>5.6706766620720606E-2</v>
      </c>
      <c r="F43" s="136">
        <f>Q43/20</f>
        <v>2425700.15</v>
      </c>
      <c r="G43" s="190">
        <f t="shared" ref="G43" si="56">F43/F42-1</f>
        <v>-0.2230797817615644</v>
      </c>
      <c r="H43" s="190">
        <f t="shared" ref="H43" si="57">F43/F31-1</f>
        <v>-0.16636137951872698</v>
      </c>
      <c r="I43" s="130">
        <f t="shared" si="0"/>
        <v>13.483194666602811</v>
      </c>
      <c r="J43" s="130">
        <f t="shared" si="4"/>
        <v>3.9461551025810282E-2</v>
      </c>
      <c r="K43" s="136">
        <f>R41+R42+R43</f>
        <v>225119953718</v>
      </c>
      <c r="L43" s="190">
        <f>U43/U40-1</f>
        <v>-5.3937359576514576E-2</v>
      </c>
      <c r="M43" s="190">
        <f>K43/K31-1</f>
        <v>0.11603455810617391</v>
      </c>
      <c r="N43" s="191">
        <f>AVERAGE(T41:T43)</f>
        <v>13.770880331921306</v>
      </c>
      <c r="O43" s="192">
        <f>N43/N40-1</f>
        <v>7.9776684805610287E-3</v>
      </c>
      <c r="P43" s="129" t="s">
        <v>835</v>
      </c>
      <c r="Q43" s="116">
        <v>48514003</v>
      </c>
      <c r="R43" s="116">
        <v>70348688686</v>
      </c>
      <c r="S43" s="116">
        <v>3598108.92</v>
      </c>
      <c r="T43" s="130">
        <f t="shared" ref="T43" si="58">Q43/S43</f>
        <v>13.483194666602811</v>
      </c>
      <c r="U43" s="85">
        <f>Q41+Q42+Q43</f>
        <v>154926376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2509106.9545454546</v>
      </c>
      <c r="G44" s="190">
        <f t="shared" ref="G44" si="59">F44/F43-1</f>
        <v>3.4384630988069542E-2</v>
      </c>
      <c r="H44" s="190">
        <f t="shared" ref="H44" si="60">F44/F32-1</f>
        <v>-0.19366454080427609</v>
      </c>
      <c r="I44" s="130">
        <f t="shared" si="0"/>
        <v>13.500273930301081</v>
      </c>
      <c r="J44" s="130">
        <f t="shared" si="4"/>
        <v>2.8484222311090379E-2</v>
      </c>
      <c r="K44" s="136"/>
      <c r="L44" s="190"/>
      <c r="M44" s="190"/>
      <c r="N44" s="191"/>
      <c r="O44" s="192"/>
      <c r="P44" s="129" t="s">
        <v>843</v>
      </c>
      <c r="Q44" s="116">
        <v>55200353</v>
      </c>
      <c r="R44" s="116">
        <v>80050297075</v>
      </c>
      <c r="S44" s="116">
        <v>4088832.07</v>
      </c>
      <c r="T44" s="130">
        <f t="shared" ref="T44" si="61">Q44/S44</f>
        <v>13.500273930301081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2838071.15</v>
      </c>
      <c r="G45" s="190">
        <f t="shared" ref="G45" si="62">F45/F44-1</f>
        <v>0.13110808005158936</v>
      </c>
      <c r="H45" s="190">
        <f t="shared" ref="H45" si="63">F45/F33-1</f>
        <v>9.6158046548856957E-2</v>
      </c>
      <c r="I45" s="130">
        <f t="shared" si="0"/>
        <v>13.695706183565623</v>
      </c>
      <c r="J45" s="130">
        <f t="shared" si="4"/>
        <v>0.15621978610013465</v>
      </c>
      <c r="K45" s="136"/>
      <c r="L45" s="190"/>
      <c r="M45" s="190"/>
      <c r="N45" s="191"/>
      <c r="O45" s="192"/>
      <c r="P45" s="129" t="s">
        <v>849</v>
      </c>
      <c r="Q45" s="116">
        <v>56761423</v>
      </c>
      <c r="R45" s="116">
        <v>79861846768</v>
      </c>
      <c r="S45" s="116">
        <v>4144468.51</v>
      </c>
      <c r="T45" s="130">
        <f t="shared" ref="T45" si="64">Q45/S45</f>
        <v>13.695706183565623</v>
      </c>
      <c r="U45" s="85"/>
    </row>
    <row r="46" spans="1:21" s="79" customFormat="1" ht="13.2">
      <c r="A46" s="129" t="s">
        <v>888</v>
      </c>
      <c r="B46" s="188">
        <f>SUM(F44:F46)</f>
        <v>8684127.3150717709</v>
      </c>
      <c r="C46" s="188">
        <f>AVERAGE(F44:F46)</f>
        <v>2894709.1050239238</v>
      </c>
      <c r="D46" s="190">
        <f>C46/C43-1</f>
        <v>8.6794587839323034E-2</v>
      </c>
      <c r="E46" s="287">
        <f>C46/C34-1</f>
        <v>-0.13397619580783282</v>
      </c>
      <c r="F46" s="136">
        <f>Q46/19</f>
        <v>3336949.210526316</v>
      </c>
      <c r="G46" s="190">
        <f t="shared" ref="G46" si="65">F46/F45-1</f>
        <v>0.17578067432393873</v>
      </c>
      <c r="H46" s="190">
        <f t="shared" ref="H46" si="66">F46/F34-1</f>
        <v>-0.22876071846783264</v>
      </c>
      <c r="I46" s="130">
        <f t="shared" si="0"/>
        <v>16.271522558673002</v>
      </c>
      <c r="J46" s="130">
        <f t="shared" si="4"/>
        <v>0.19439805333361537</v>
      </c>
      <c r="K46" s="136">
        <f>R44+R45+R46</f>
        <v>246635220353</v>
      </c>
      <c r="L46" s="190">
        <f>U46/U43-1</f>
        <v>0.1319170791163411</v>
      </c>
      <c r="M46" s="190">
        <f>K46/K34-1</f>
        <v>-0.10659020427256816</v>
      </c>
      <c r="N46" s="191">
        <f>AVERAGE(T44:T46)</f>
        <v>14.489167557513236</v>
      </c>
      <c r="O46" s="192">
        <f>N46/N43-1</f>
        <v>5.2159862570798632E-2</v>
      </c>
      <c r="P46" s="129" t="s">
        <v>944</v>
      </c>
      <c r="Q46" s="116">
        <v>63402035</v>
      </c>
      <c r="R46" s="116">
        <v>86723076510</v>
      </c>
      <c r="S46" s="116">
        <v>3896502.91</v>
      </c>
      <c r="T46" s="130">
        <f t="shared" ref="T46" si="67">Q46/S46</f>
        <v>16.271522558673002</v>
      </c>
      <c r="U46" s="85">
        <f t="shared" ref="U46:U51" si="68">Q44+Q45+Q46</f>
        <v>175363811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2110490.2608695654</v>
      </c>
      <c r="G47" s="190">
        <f t="shared" ref="G47" si="69">F47/F46-1</f>
        <v>-0.36753899213926267</v>
      </c>
      <c r="H47" s="190">
        <f t="shared" ref="H47" si="70">F47/F35-1</f>
        <v>-0.41874611841521103</v>
      </c>
      <c r="I47" s="130">
        <f t="shared" si="0"/>
        <v>12.640107112795549</v>
      </c>
      <c r="J47" s="130">
        <f t="shared" si="4"/>
        <v>-9.3637895865281262E-2</v>
      </c>
      <c r="K47" s="136"/>
      <c r="L47" s="190"/>
      <c r="M47" s="190"/>
      <c r="N47" s="191"/>
      <c r="O47" s="192"/>
      <c r="P47" s="129" t="s">
        <v>991</v>
      </c>
      <c r="Q47" s="116">
        <v>48541276</v>
      </c>
      <c r="R47" s="116">
        <v>66503154088</v>
      </c>
      <c r="S47" s="116">
        <v>3840258.28</v>
      </c>
      <c r="T47" s="130">
        <f t="shared" ref="T47" si="71">Q47/S47</f>
        <v>12.640107112795549</v>
      </c>
      <c r="U47" s="85">
        <f t="shared" si="68"/>
        <v>168704734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3112363.3</v>
      </c>
      <c r="G48" s="190">
        <f t="shared" ref="G48" si="72">F48/F47-1</f>
        <v>0.47471104591482072</v>
      </c>
      <c r="H48" s="190">
        <f t="shared" ref="H48" si="73">F48/F36-1</f>
        <v>9.7932314578639268E-3</v>
      </c>
      <c r="I48" s="130">
        <f t="shared" si="0"/>
        <v>13.302901369474705</v>
      </c>
      <c r="J48" s="130">
        <f t="shared" si="4"/>
        <v>-2.7024157006491079E-3</v>
      </c>
      <c r="K48" s="136"/>
      <c r="L48" s="190"/>
      <c r="M48" s="190"/>
      <c r="N48" s="191"/>
      <c r="O48" s="192"/>
      <c r="P48" s="129" t="s">
        <v>1120</v>
      </c>
      <c r="Q48" s="116">
        <v>62247266</v>
      </c>
      <c r="R48" s="116">
        <v>86352672519</v>
      </c>
      <c r="S48" s="116">
        <v>4679224.8</v>
      </c>
      <c r="T48" s="130">
        <f t="shared" ref="T48" si="74">Q48/S48</f>
        <v>13.302901369474705</v>
      </c>
      <c r="U48" s="85">
        <f t="shared" si="68"/>
        <v>174190577</v>
      </c>
    </row>
    <row r="49" spans="1:26" ht="13.2">
      <c r="A49" s="129" t="s">
        <v>1158</v>
      </c>
      <c r="B49" s="188">
        <f>SUM(F47:F49)</f>
        <v>8120741.1063241102</v>
      </c>
      <c r="C49" s="188">
        <f>AVERAGE(F47:F49)</f>
        <v>2706913.7021080367</v>
      </c>
      <c r="D49" s="190">
        <f>C49/C46-1</f>
        <v>-6.4875397182382888E-2</v>
      </c>
      <c r="E49" s="287">
        <f>C49/C37-1</f>
        <v>-0.2595793524857023</v>
      </c>
      <c r="F49" s="136">
        <f>Q49/22</f>
        <v>2897887.5454545454</v>
      </c>
      <c r="G49" s="190">
        <f t="shared" ref="G49" si="75">F49/F48-1</f>
        <v>-6.8910899490896349E-2</v>
      </c>
      <c r="H49" s="190">
        <f t="shared" ref="H49" si="76">F49/F37-1</f>
        <v>-0.31888682303173466</v>
      </c>
      <c r="I49" s="130">
        <f t="shared" si="0"/>
        <v>13.280134134976354</v>
      </c>
      <c r="J49" s="130">
        <f t="shared" si="4"/>
        <v>-0.10482949677763787</v>
      </c>
      <c r="K49" s="136">
        <f>R47+R48+R49</f>
        <v>241538611217</v>
      </c>
      <c r="L49" s="190">
        <f>U49/U46-1</f>
        <v>-4.6859326066995832E-3</v>
      </c>
      <c r="M49" s="190">
        <f>K49/K37-1</f>
        <v>-0.21207624542413117</v>
      </c>
      <c r="N49" s="191">
        <f>AVERAGE(T47:T49)</f>
        <v>13.074380872415537</v>
      </c>
      <c r="O49" s="192">
        <f>N49/N46-1</f>
        <v>-9.7644442269153919E-2</v>
      </c>
      <c r="P49" s="129" t="s">
        <v>1158</v>
      </c>
      <c r="Q49" s="116">
        <v>63753526</v>
      </c>
      <c r="R49" s="116">
        <v>88682784610</v>
      </c>
      <c r="S49" s="116">
        <v>4800668.83</v>
      </c>
      <c r="T49" s="130">
        <f t="shared" ref="T49" si="77">Q49/S49</f>
        <v>13.280134134976354</v>
      </c>
      <c r="U49" s="85">
        <f t="shared" si="68"/>
        <v>174542068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2621978.277777778</v>
      </c>
      <c r="G50" s="190">
        <f t="shared" ref="G50" si="78">F50/F49-1</f>
        <v>-9.5210481203641728E-2</v>
      </c>
      <c r="H50" s="190">
        <f t="shared" ref="H50" si="79">F50/F38-1</f>
        <v>0.17635340379702757</v>
      </c>
      <c r="I50" s="130">
        <f t="shared" ref="I50" si="80">T50</f>
        <v>16.838074651463934</v>
      </c>
      <c r="J50" s="130">
        <f t="shared" ref="J50" si="81">I50/I38-1</f>
        <v>0.24412025265429471</v>
      </c>
      <c r="K50" s="136"/>
      <c r="L50" s="190"/>
      <c r="M50" s="190"/>
      <c r="N50" s="191"/>
      <c r="O50" s="192"/>
      <c r="P50" s="129" t="s">
        <v>1351</v>
      </c>
      <c r="Q50" s="116">
        <v>47195609</v>
      </c>
      <c r="R50" s="116">
        <v>66726599692</v>
      </c>
      <c r="S50" s="116">
        <v>2802910.07</v>
      </c>
      <c r="T50" s="130">
        <f t="shared" ref="T50" si="82">Q50/S50</f>
        <v>16.838074651463934</v>
      </c>
      <c r="U50" s="85">
        <f t="shared" si="68"/>
        <v>173196401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2642451.9500000002</v>
      </c>
      <c r="G51" s="190">
        <f t="shared" ref="G51:G52" si="83">F51/F50-1</f>
        <v>7.8084827764379749E-3</v>
      </c>
      <c r="H51" s="190">
        <f t="shared" ref="H51:H52" si="84">F51/F39-1</f>
        <v>0.15215860530972014</v>
      </c>
      <c r="I51" s="130">
        <f t="shared" ref="I51:I52" si="85">T51</f>
        <v>13.679048774212125</v>
      </c>
      <c r="J51" s="130">
        <f t="shared" ref="J51:J52" si="86">I51/I39-1</f>
        <v>9.9441196312034519E-2</v>
      </c>
      <c r="K51" s="136"/>
      <c r="L51" s="190"/>
      <c r="M51" s="190"/>
      <c r="N51" s="191"/>
      <c r="O51" s="192"/>
      <c r="P51" s="129" t="s">
        <v>1402</v>
      </c>
      <c r="Q51" s="116">
        <v>52849039</v>
      </c>
      <c r="R51" s="116">
        <v>76515628696</v>
      </c>
      <c r="S51" s="116">
        <v>3863502.49</v>
      </c>
      <c r="T51" s="130">
        <f t="shared" ref="T51:T52" si="87">Q51/S51</f>
        <v>13.679048774212125</v>
      </c>
      <c r="U51" s="85">
        <f t="shared" si="68"/>
        <v>163798174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6892994.4550505057</v>
      </c>
      <c r="C52" s="188">
        <f>AVERAGE(F50:F52)</f>
        <v>2297664.8183501684</v>
      </c>
      <c r="D52" s="190">
        <f>C52/C49-1</f>
        <v>-0.15118652783025976</v>
      </c>
      <c r="E52" s="287">
        <f>C52/C40-1</f>
        <v>-0.12793170747562921</v>
      </c>
      <c r="F52" s="136">
        <f>Q52/22</f>
        <v>1628564.2272727273</v>
      </c>
      <c r="G52" s="190">
        <f t="shared" si="83"/>
        <v>-0.38369201859177526</v>
      </c>
      <c r="H52" s="190">
        <f t="shared" si="84"/>
        <v>-0.51843389316775801</v>
      </c>
      <c r="I52" s="130">
        <f t="shared" si="85"/>
        <v>13.299666845478331</v>
      </c>
      <c r="J52" s="130">
        <f t="shared" si="86"/>
        <v>-0.11393030964268724</v>
      </c>
      <c r="K52" s="136">
        <f>R50+R51+R52</f>
        <v>195993588533</v>
      </c>
      <c r="L52" s="190">
        <f>U52/U49-1</f>
        <v>-0.22154548438145005</v>
      </c>
      <c r="M52" s="190">
        <f>K52/K40-1</f>
        <v>-0.13804812054596871</v>
      </c>
      <c r="N52" s="191">
        <f>AVERAGE(T50:T52)</f>
        <v>14.605596757051464</v>
      </c>
      <c r="O52" s="192">
        <f>N52/N49-1</f>
        <v>0.11711574716830397</v>
      </c>
      <c r="P52" s="129" t="s">
        <v>1403</v>
      </c>
      <c r="Q52" s="116">
        <v>35828413</v>
      </c>
      <c r="R52" s="116">
        <v>52751360145</v>
      </c>
      <c r="S52" s="116">
        <v>2693933.12</v>
      </c>
      <c r="T52" s="130">
        <f t="shared" si="87"/>
        <v>13.299666845478331</v>
      </c>
      <c r="U52" s="85">
        <f t="shared" ref="U52" si="88">Q50+Q51+Q52</f>
        <v>135873061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2480412.2857142859</v>
      </c>
      <c r="G53" s="190">
        <f t="shared" ref="G53" si="89">F53/F52-1</f>
        <v>0.52306691021213503</v>
      </c>
      <c r="H53" s="190">
        <f t="shared" ref="H53" si="90">F53/F41-1</f>
        <v>1.5443921044826059E-2</v>
      </c>
      <c r="I53" s="130">
        <f t="shared" ref="I53" si="91">T53</f>
        <v>15.292900200465757</v>
      </c>
      <c r="J53" s="130">
        <f t="shared" ref="J53" si="92">I53/I41-1</f>
        <v>0.12260571617336424</v>
      </c>
      <c r="K53" s="136"/>
      <c r="L53" s="190"/>
      <c r="M53" s="190"/>
      <c r="N53" s="191"/>
      <c r="O53" s="192"/>
      <c r="P53" s="129" t="s">
        <v>1414</v>
      </c>
      <c r="Q53" s="116">
        <v>52088658</v>
      </c>
      <c r="R53" s="116">
        <v>75801081951</v>
      </c>
      <c r="S53" s="116">
        <v>3406068</v>
      </c>
      <c r="T53" s="130">
        <f t="shared" ref="T53" si="93">Q53/S53</f>
        <v>15.292900200465757</v>
      </c>
      <c r="U53" s="85">
        <f t="shared" ref="U53" si="94">Q51+Q52+Q53</f>
        <v>140766110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3017950.2352941176</v>
      </c>
      <c r="G54" s="190">
        <f t="shared" ref="G54" si="95">F54/F53-1</f>
        <v>0.21671314590551494</v>
      </c>
      <c r="H54" s="190">
        <f t="shared" ref="H54" si="96">F54/F42-1</f>
        <v>-3.3389780085785081E-2</v>
      </c>
      <c r="I54" s="130">
        <f t="shared" ref="I54" si="97">T54</f>
        <v>15.365383515392192</v>
      </c>
      <c r="J54" s="130">
        <f t="shared" ref="J54" si="98">I54/I42-1</f>
        <v>8.155401854208133E-2</v>
      </c>
      <c r="K54" s="136"/>
      <c r="L54" s="190"/>
      <c r="M54" s="190"/>
      <c r="N54" s="191"/>
      <c r="O54" s="192"/>
      <c r="P54" s="129" t="s">
        <v>1417</v>
      </c>
      <c r="Q54" s="116">
        <v>51305154</v>
      </c>
      <c r="R54" s="116">
        <v>74306708931</v>
      </c>
      <c r="S54" s="116">
        <v>3339009.01</v>
      </c>
      <c r="T54" s="130">
        <f t="shared" ref="T54" si="99">Q54/S54</f>
        <v>15.365383515392192</v>
      </c>
      <c r="U54" s="85">
        <f t="shared" ref="U54" si="100">Q52+Q53+Q54</f>
        <v>139222225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8015689.6162464991</v>
      </c>
      <c r="C55" s="188">
        <f>AVERAGE(F53:F55)</f>
        <v>2671896.5387488329</v>
      </c>
      <c r="D55" s="190">
        <f>C55/C52-1</f>
        <v>0.16287480985472036</v>
      </c>
      <c r="E55" s="287">
        <f>C55/C43-1</f>
        <v>3.1414529837023863E-3</v>
      </c>
      <c r="F55" s="136">
        <f>Q55/21</f>
        <v>2517327.0952380951</v>
      </c>
      <c r="G55" s="190">
        <f t="shared" ref="G55" si="101">F55/F54-1</f>
        <v>-0.16588184066170786</v>
      </c>
      <c r="H55" s="190">
        <f t="shared" ref="H55" si="102">F55/F43-1</f>
        <v>3.7773401315943866E-2</v>
      </c>
      <c r="I55" s="130">
        <f>T55</f>
        <v>13.187376161302845</v>
      </c>
      <c r="J55" s="130">
        <f t="shared" ref="J55" si="103">I55/I43-1</f>
        <v>-2.1939793395751583E-2</v>
      </c>
      <c r="K55" s="136">
        <f>R53+R54+R55</f>
        <v>228045900877</v>
      </c>
      <c r="L55" s="190">
        <f>U55/U52-1</f>
        <v>0.15002694316278053</v>
      </c>
      <c r="M55" s="190">
        <f>K55/K43-1</f>
        <v>1.2997280386194632E-2</v>
      </c>
      <c r="N55" s="191">
        <f>AVERAGE(T53:T55)</f>
        <v>14.615219959053597</v>
      </c>
      <c r="O55" s="192">
        <f>N55/N52-1</f>
        <v>6.5887085356419739E-4</v>
      </c>
      <c r="P55" s="129" t="s">
        <v>1418</v>
      </c>
      <c r="Q55" s="116">
        <v>52863869</v>
      </c>
      <c r="R55" s="116">
        <v>77938109995</v>
      </c>
      <c r="S55" s="116">
        <v>4008672.26</v>
      </c>
      <c r="T55" s="130">
        <f t="shared" ref="T55" si="104">Q55/S55</f>
        <v>13.187376161302845</v>
      </c>
      <c r="U55" s="85">
        <f t="shared" ref="U55" si="105">Q53+Q54+Q55</f>
        <v>156257681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3272676.1818181816</v>
      </c>
      <c r="G56" s="190">
        <f t="shared" ref="G56" si="106">F56/F55-1</f>
        <v>0.30005996757788989</v>
      </c>
      <c r="H56" s="190">
        <f t="shared" ref="H56" si="107">F56/F44-1</f>
        <v>0.30431912274184181</v>
      </c>
      <c r="I56" s="291">
        <f>T56</f>
        <v>15.158252181100218</v>
      </c>
      <c r="J56" s="130">
        <f t="shared" ref="J56" si="108">I56/I44-1</f>
        <v>0.12281071179436154</v>
      </c>
      <c r="K56" s="136"/>
      <c r="L56" s="190"/>
      <c r="M56" s="190"/>
      <c r="N56" s="191"/>
      <c r="O56" s="192"/>
      <c r="P56" s="129" t="s">
        <v>1420</v>
      </c>
      <c r="Q56" s="116">
        <v>71998876</v>
      </c>
      <c r="R56" s="116">
        <v>107219461870</v>
      </c>
      <c r="S56" s="116">
        <v>4749813.84</v>
      </c>
      <c r="T56" s="130">
        <f t="shared" ref="T56" si="109">Q56/S56</f>
        <v>15.158252181100218</v>
      </c>
      <c r="U56" s="85">
        <f t="shared" ref="U56" si="110">Q54+Q55+Q56</f>
        <v>176167899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2655087.6666666665</v>
      </c>
      <c r="G57" s="254">
        <f t="shared" ref="G57" si="111">F57/F56-1</f>
        <v>-0.18871054783318197</v>
      </c>
      <c r="H57" s="254">
        <f t="shared" ref="H57" si="112">F57/F45-1</f>
        <v>-6.4474593363641808E-2</v>
      </c>
      <c r="I57" s="282">
        <f>T57</f>
        <v>15.363888062947773</v>
      </c>
      <c r="J57" s="277">
        <f t="shared" ref="J57" si="113">I57/I45-1</f>
        <v>0.12180327593358498</v>
      </c>
      <c r="K57" s="204"/>
      <c r="L57" s="254"/>
      <c r="M57" s="254"/>
      <c r="N57" s="257"/>
      <c r="O57" s="258"/>
      <c r="P57" s="129" t="s">
        <v>1436</v>
      </c>
      <c r="Q57" s="116">
        <v>31861052</v>
      </c>
      <c r="R57" s="116">
        <v>46949936842</v>
      </c>
      <c r="S57" s="116">
        <v>2073762.31</v>
      </c>
      <c r="T57" s="130">
        <f t="shared" ref="T57" si="114">Q57/S57</f>
        <v>15.363888062947773</v>
      </c>
      <c r="U57" s="85">
        <f t="shared" ref="U57" si="115">Q55+Q56+Q57</f>
        <v>156723797</v>
      </c>
      <c r="V57" s="79"/>
      <c r="W57" s="79"/>
      <c r="X57" s="79"/>
      <c r="Y57" s="79"/>
      <c r="Z57" s="79"/>
    </row>
    <row r="58" spans="1:26">
      <c r="B58" s="196">
        <f>SUM(F56:F58)</f>
        <v>5927763.8484848477</v>
      </c>
      <c r="C58" s="196">
        <f>AVERAGE(F56:F58)</f>
        <v>2963881.9242424238</v>
      </c>
      <c r="D58" s="197">
        <f>C58/C55-1</f>
        <v>0.10928019901186703</v>
      </c>
      <c r="E58" s="233">
        <f>C58/C46-1</f>
        <v>2.3896293792853518E-2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260117609</v>
      </c>
      <c r="R64" s="212">
        <v>382215299589</v>
      </c>
      <c r="S64" s="213">
        <v>17577325.43</v>
      </c>
      <c r="T64" s="214">
        <v>10</v>
      </c>
      <c r="U64" s="214">
        <v>64</v>
      </c>
    </row>
    <row r="65" spans="16:21" ht="18" thickBot="1">
      <c r="P65" s="180" t="s">
        <v>976</v>
      </c>
      <c r="Q65" s="181">
        <v>52088658</v>
      </c>
      <c r="R65" s="181">
        <v>75801081951</v>
      </c>
      <c r="S65" s="182">
        <v>3406068</v>
      </c>
      <c r="T65" s="210">
        <v>6</v>
      </c>
      <c r="U65" s="210">
        <v>32</v>
      </c>
    </row>
    <row r="66" spans="16:21" ht="18" thickBot="1">
      <c r="P66" s="180" t="s">
        <v>977</v>
      </c>
      <c r="Q66" s="181">
        <v>51305154</v>
      </c>
      <c r="R66" s="181">
        <v>74306708931</v>
      </c>
      <c r="S66" s="182">
        <v>3339009.01</v>
      </c>
      <c r="T66" s="210">
        <v>6</v>
      </c>
      <c r="U66" s="210">
        <v>33</v>
      </c>
    </row>
    <row r="67" spans="16:21" ht="18" thickBot="1">
      <c r="P67" s="180" t="s">
        <v>978</v>
      </c>
      <c r="Q67" s="181">
        <v>52863869</v>
      </c>
      <c r="R67" s="181">
        <v>77938109995</v>
      </c>
      <c r="S67" s="182">
        <v>4008672.26</v>
      </c>
      <c r="T67" s="210">
        <v>8</v>
      </c>
      <c r="U67" s="210">
        <v>39</v>
      </c>
    </row>
    <row r="68" spans="16:21" ht="18" thickBot="1">
      <c r="P68" s="180" t="s">
        <v>979</v>
      </c>
      <c r="Q68" s="181">
        <v>71998876</v>
      </c>
      <c r="R68" s="181">
        <v>107219461870</v>
      </c>
      <c r="S68" s="182">
        <v>4749813.84</v>
      </c>
      <c r="T68" s="210">
        <v>9</v>
      </c>
      <c r="U68" s="210">
        <v>43</v>
      </c>
    </row>
    <row r="69" spans="16:21" ht="18" thickBot="1">
      <c r="P69" s="180" t="s">
        <v>980</v>
      </c>
      <c r="Q69" s="181">
        <v>31861052</v>
      </c>
      <c r="R69" s="181">
        <v>46949936842</v>
      </c>
      <c r="S69" s="182">
        <v>2073762.31</v>
      </c>
      <c r="T69" s="210">
        <v>9</v>
      </c>
      <c r="U69" s="210">
        <v>36</v>
      </c>
    </row>
    <row r="70" spans="16:21" ht="18" thickBot="1">
      <c r="P70" s="180" t="s">
        <v>975</v>
      </c>
      <c r="Q70" s="181">
        <v>640704059</v>
      </c>
      <c r="R70" s="181">
        <v>909285573999</v>
      </c>
      <c r="S70" s="182">
        <v>46031359.149999999</v>
      </c>
      <c r="T70" s="210">
        <v>9</v>
      </c>
      <c r="U70" s="210">
        <v>97</v>
      </c>
    </row>
    <row r="71" spans="16:21" ht="18" thickBot="1">
      <c r="P71" s="215" t="s">
        <v>982</v>
      </c>
      <c r="Q71" s="216">
        <v>741947782</v>
      </c>
      <c r="R71" s="217"/>
      <c r="S71"/>
      <c r="T71"/>
      <c r="U71"/>
    </row>
  </sheetData>
  <phoneticPr fontId="1" type="noConversion"/>
  <conditionalFormatting sqref="C29:C30">
    <cfRule type="cellIs" dxfId="2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3">
    <tabColor rgb="FFFFFF00"/>
  </sheetPr>
  <dimension ref="A1:Z72"/>
  <sheetViews>
    <sheetView zoomScale="115" zoomScaleNormal="115" workbookViewId="0">
      <selection activeCell="C65" sqref="C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3701991000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280</v>
      </c>
      <c r="F4" s="84" t="s">
        <v>73</v>
      </c>
      <c r="G4" s="172" t="s">
        <v>282</v>
      </c>
      <c r="H4" s="172" t="s">
        <v>280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46303.9</v>
      </c>
      <c r="G5" s="90"/>
      <c r="H5" s="90"/>
      <c r="I5" s="130">
        <f t="shared" ref="I5:I49" si="0">T5</f>
        <v>370.50530106021205</v>
      </c>
      <c r="J5" s="130"/>
      <c r="L5" s="80"/>
      <c r="M5" s="80"/>
      <c r="P5" s="129" t="s">
        <v>0</v>
      </c>
      <c r="Q5" s="116">
        <v>926078</v>
      </c>
      <c r="R5" s="116">
        <v>1092907713</v>
      </c>
      <c r="S5" s="116">
        <v>2499.5</v>
      </c>
      <c r="T5" s="130">
        <f t="shared" ref="T5:T17" si="1">Q5/S5</f>
        <v>370.50530106021205</v>
      </c>
      <c r="U5" s="85"/>
    </row>
    <row r="6" spans="1:21" ht="15" hidden="1" customHeight="1">
      <c r="A6" s="129" t="s">
        <v>1</v>
      </c>
      <c r="C6" s="79"/>
      <c r="F6" s="78">
        <f>Q6/18</f>
        <v>59095.611111111109</v>
      </c>
      <c r="G6" s="90">
        <f t="shared" ref="G6:G16" si="2">F6/F5-1</f>
        <v>0.27625558778226256</v>
      </c>
      <c r="H6" s="90"/>
      <c r="I6" s="130">
        <f t="shared" si="0"/>
        <v>444.38359025775998</v>
      </c>
      <c r="J6" s="130"/>
      <c r="P6" s="129" t="s">
        <v>1</v>
      </c>
      <c r="Q6" s="116">
        <v>1063721</v>
      </c>
      <c r="R6" s="116">
        <v>1263050410</v>
      </c>
      <c r="S6" s="116">
        <v>2393.6999999999998</v>
      </c>
      <c r="T6" s="130">
        <f t="shared" si="1"/>
        <v>444.38359025775998</v>
      </c>
      <c r="U6" s="85"/>
    </row>
    <row r="7" spans="1:21" ht="15" hidden="1" customHeight="1">
      <c r="A7" s="129" t="s">
        <v>2</v>
      </c>
      <c r="B7" s="131">
        <f>F5+F6+F7</f>
        <v>174046.10202020203</v>
      </c>
      <c r="C7" s="131">
        <f>AVERAGE(F5:F7)</f>
        <v>58015.367340067343</v>
      </c>
      <c r="F7" s="78">
        <f>Q7/22</f>
        <v>68646.590909090912</v>
      </c>
      <c r="G7" s="90">
        <f t="shared" si="2"/>
        <v>0.16161910535153146</v>
      </c>
      <c r="H7" s="90"/>
      <c r="I7" s="130">
        <f t="shared" si="0"/>
        <v>349.2414957334135</v>
      </c>
      <c r="J7" s="130"/>
      <c r="K7" s="79">
        <f>R5+R6+R7</f>
        <v>4180822338</v>
      </c>
      <c r="N7" s="88">
        <f>AVERAGE(T5:T7)</f>
        <v>388.04346235046182</v>
      </c>
      <c r="P7" s="129" t="s">
        <v>2</v>
      </c>
      <c r="Q7" s="116">
        <v>1510225</v>
      </c>
      <c r="R7" s="116">
        <v>1824864215</v>
      </c>
      <c r="S7" s="116">
        <v>4324.3</v>
      </c>
      <c r="T7" s="130">
        <f t="shared" si="1"/>
        <v>349.2414957334135</v>
      </c>
      <c r="U7" s="85">
        <f>Q5+Q6+Q7</f>
        <v>3500024</v>
      </c>
    </row>
    <row r="8" spans="1:21" ht="15" hidden="1" customHeight="1">
      <c r="A8" s="129" t="s">
        <v>3</v>
      </c>
      <c r="C8" s="79"/>
      <c r="F8" s="78">
        <f>Q8/21</f>
        <v>78073.428571428565</v>
      </c>
      <c r="G8" s="90">
        <f t="shared" si="2"/>
        <v>0.13732419246895544</v>
      </c>
      <c r="H8" s="90"/>
      <c r="I8" s="130">
        <f t="shared" si="0"/>
        <v>354.7256598874946</v>
      </c>
      <c r="J8" s="130"/>
      <c r="K8" s="78"/>
      <c r="P8" s="129" t="s">
        <v>3</v>
      </c>
      <c r="Q8" s="116">
        <v>1639542</v>
      </c>
      <c r="R8" s="116">
        <v>1987000908</v>
      </c>
      <c r="S8" s="116">
        <v>4622</v>
      </c>
      <c r="T8" s="130">
        <f t="shared" si="1"/>
        <v>354.7256598874946</v>
      </c>
      <c r="U8" s="85"/>
    </row>
    <row r="9" spans="1:21" ht="15" hidden="1" customHeight="1">
      <c r="A9" s="129" t="s">
        <v>4</v>
      </c>
      <c r="C9" s="79"/>
      <c r="F9" s="78">
        <f>Q9/21</f>
        <v>82932.476190476184</v>
      </c>
      <c r="G9" s="90">
        <f t="shared" si="2"/>
        <v>6.2236892985968018E-2</v>
      </c>
      <c r="H9" s="90"/>
      <c r="I9" s="130">
        <f t="shared" si="0"/>
        <v>371.87862999658353</v>
      </c>
      <c r="J9" s="130"/>
      <c r="K9" s="78"/>
      <c r="P9" s="129" t="s">
        <v>4</v>
      </c>
      <c r="Q9" s="116">
        <v>1741582</v>
      </c>
      <c r="R9" s="116">
        <v>2189096736</v>
      </c>
      <c r="S9" s="116">
        <v>4683.2</v>
      </c>
      <c r="T9" s="130">
        <f t="shared" si="1"/>
        <v>371.87862999658353</v>
      </c>
      <c r="U9" s="85"/>
    </row>
    <row r="10" spans="1:21" ht="15" hidden="1" customHeight="1">
      <c r="A10" s="129" t="s">
        <v>5</v>
      </c>
      <c r="B10" s="131">
        <f>F8+F9+F10</f>
        <v>241766.66666666663</v>
      </c>
      <c r="C10" s="131">
        <f>AVERAGE(F8:F10)</f>
        <v>80588.888888888876</v>
      </c>
      <c r="D10" s="90">
        <f>C10/C7-1</f>
        <v>0.38909555491569736</v>
      </c>
      <c r="E10" s="286"/>
      <c r="F10" s="78">
        <f>Q10/21</f>
        <v>80760.761904761908</v>
      </c>
      <c r="G10" s="90">
        <f t="shared" si="2"/>
        <v>-2.6186536149316986E-2</v>
      </c>
      <c r="H10" s="90"/>
      <c r="I10" s="130">
        <f t="shared" si="0"/>
        <v>352.87988181685773</v>
      </c>
      <c r="J10" s="130"/>
      <c r="K10" s="79">
        <f>R8+R9+R10</f>
        <v>6305902105</v>
      </c>
      <c r="L10" s="87">
        <f>U10/U7-1</f>
        <v>0.4505900530967788</v>
      </c>
      <c r="N10" s="88">
        <f>AVERAGE(T8:T10)</f>
        <v>359.82805723364527</v>
      </c>
      <c r="O10" s="89">
        <f>N10/N7-1</f>
        <v>-7.2711971349574744E-2</v>
      </c>
      <c r="P10" s="129" t="s">
        <v>5</v>
      </c>
      <c r="Q10" s="116">
        <v>1695976</v>
      </c>
      <c r="R10" s="116">
        <v>2129804461</v>
      </c>
      <c r="S10" s="116">
        <v>4806.1000000000004</v>
      </c>
      <c r="T10" s="130">
        <f t="shared" si="1"/>
        <v>352.87988181685773</v>
      </c>
      <c r="U10" s="85">
        <f>Q8+Q9+Q10</f>
        <v>5077100</v>
      </c>
    </row>
    <row r="11" spans="1:21" ht="15" hidden="1" customHeight="1">
      <c r="A11" s="129" t="s">
        <v>6</v>
      </c>
      <c r="C11" s="79"/>
      <c r="F11" s="78">
        <f>Q11/21</f>
        <v>70762.857142857145</v>
      </c>
      <c r="G11" s="90">
        <f t="shared" si="2"/>
        <v>-0.12379656315891263</v>
      </c>
      <c r="H11" s="90"/>
      <c r="I11" s="130">
        <f t="shared" si="0"/>
        <v>397.41655969191271</v>
      </c>
      <c r="J11" s="130"/>
      <c r="K11" s="78"/>
      <c r="O11" s="89"/>
      <c r="P11" s="129" t="s">
        <v>6</v>
      </c>
      <c r="Q11" s="116">
        <v>1486020</v>
      </c>
      <c r="R11" s="116">
        <v>1918299633</v>
      </c>
      <c r="S11" s="116">
        <v>3739.2</v>
      </c>
      <c r="T11" s="130">
        <f t="shared" si="1"/>
        <v>397.41655969191271</v>
      </c>
      <c r="U11" s="85"/>
    </row>
    <row r="12" spans="1:21" ht="15" hidden="1" customHeight="1">
      <c r="A12" s="129" t="s">
        <v>7</v>
      </c>
      <c r="C12" s="79"/>
      <c r="F12" s="78">
        <f>Q12/22</f>
        <v>79469.227272727279</v>
      </c>
      <c r="G12" s="90">
        <f t="shared" si="2"/>
        <v>0.12303587618421874</v>
      </c>
      <c r="H12" s="90"/>
      <c r="I12" s="130">
        <f t="shared" si="0"/>
        <v>374.95131680535297</v>
      </c>
      <c r="J12" s="130"/>
      <c r="K12" s="78"/>
      <c r="O12" s="89"/>
      <c r="P12" s="129" t="s">
        <v>7</v>
      </c>
      <c r="Q12" s="116">
        <v>1748323</v>
      </c>
      <c r="R12" s="116">
        <v>2276872176</v>
      </c>
      <c r="S12" s="116">
        <v>4662.8</v>
      </c>
      <c r="T12" s="130">
        <f t="shared" si="1"/>
        <v>374.95131680535297</v>
      </c>
      <c r="U12" s="85"/>
    </row>
    <row r="13" spans="1:21" ht="15" hidden="1" customHeight="1">
      <c r="A13" s="129" t="s">
        <v>96</v>
      </c>
      <c r="B13" s="131">
        <f>F11+F12+F13</f>
        <v>210078.68441558443</v>
      </c>
      <c r="C13" s="131">
        <f>AVERAGE(F11:F13)</f>
        <v>70026.228138528139</v>
      </c>
      <c r="D13" s="90">
        <f>C13/C10-1</f>
        <v>-0.13106844995622036</v>
      </c>
      <c r="E13" s="286"/>
      <c r="F13" s="78">
        <f>Q13/20</f>
        <v>59846.6</v>
      </c>
      <c r="G13" s="90">
        <f t="shared" si="2"/>
        <v>-0.24692107808454167</v>
      </c>
      <c r="H13" s="90"/>
      <c r="I13" s="130">
        <f t="shared" si="0"/>
        <v>363.90866802468764</v>
      </c>
      <c r="J13" s="130"/>
      <c r="K13" s="78">
        <f>R11+R12+R13</f>
        <v>5836083339</v>
      </c>
      <c r="L13" s="87">
        <f>U13/U10-1</f>
        <v>-0.12720352169545601</v>
      </c>
      <c r="N13" s="88">
        <f>AVERAGE(T11:T13)</f>
        <v>378.75884817398446</v>
      </c>
      <c r="O13" s="89">
        <f>N13/N10-1</f>
        <v>5.2610658229041318E-2</v>
      </c>
      <c r="P13" s="129" t="s">
        <v>96</v>
      </c>
      <c r="Q13" s="116">
        <v>1196932</v>
      </c>
      <c r="R13" s="116">
        <v>1640911530</v>
      </c>
      <c r="S13" s="116">
        <v>3289.1</v>
      </c>
      <c r="T13" s="130">
        <f t="shared" si="1"/>
        <v>363.90866802468764</v>
      </c>
      <c r="U13" s="85">
        <f>Q11+Q12+Q13</f>
        <v>4431275</v>
      </c>
    </row>
    <row r="14" spans="1:21" ht="15" hidden="1" customHeight="1">
      <c r="A14" s="129" t="s">
        <v>97</v>
      </c>
      <c r="C14" s="79"/>
      <c r="F14" s="78">
        <f>Q14/20</f>
        <v>88446.95</v>
      </c>
      <c r="G14" s="90">
        <f t="shared" si="2"/>
        <v>0.47789431646910607</v>
      </c>
      <c r="H14" s="90"/>
      <c r="I14" s="130">
        <f t="shared" si="0"/>
        <v>362.23512306999226</v>
      </c>
      <c r="J14" s="130"/>
      <c r="O14" s="89"/>
      <c r="P14" s="129" t="s">
        <v>97</v>
      </c>
      <c r="Q14" s="116">
        <v>1768939</v>
      </c>
      <c r="R14" s="116">
        <v>2524440766</v>
      </c>
      <c r="S14" s="116">
        <v>4883.3999999999996</v>
      </c>
      <c r="T14" s="130">
        <f t="shared" si="1"/>
        <v>362.23512306999226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80020.772727272721</v>
      </c>
      <c r="G15" s="90">
        <f t="shared" si="2"/>
        <v>-9.5268149695690751E-2</v>
      </c>
      <c r="H15" s="90"/>
      <c r="I15" s="130">
        <f t="shared" si="0"/>
        <v>438.85254892184969</v>
      </c>
      <c r="J15" s="130"/>
      <c r="O15" s="89"/>
      <c r="P15" s="129" t="s">
        <v>98</v>
      </c>
      <c r="Q15" s="116">
        <v>1760457</v>
      </c>
      <c r="R15" s="116">
        <v>2438274082</v>
      </c>
      <c r="S15" s="116">
        <v>4011.5</v>
      </c>
      <c r="T15" s="130">
        <f t="shared" si="1"/>
        <v>438.85254892184969</v>
      </c>
      <c r="U15" s="85"/>
    </row>
    <row r="16" spans="1:21" ht="15" hidden="1" customHeight="1">
      <c r="A16" s="129" t="s">
        <v>99</v>
      </c>
      <c r="B16" s="131">
        <f>F14+F15+F16</f>
        <v>251173.99545454542</v>
      </c>
      <c r="C16" s="131">
        <f>AVERAGE(F14:F16)</f>
        <v>83724.665151515146</v>
      </c>
      <c r="D16" s="90">
        <f>C16/C13-1</f>
        <v>0.19561866142337858</v>
      </c>
      <c r="E16" s="286"/>
      <c r="F16" s="78">
        <f>Q16/22</f>
        <v>82706.272727272721</v>
      </c>
      <c r="G16" s="90">
        <f t="shared" si="2"/>
        <v>3.3560035831605051E-2</v>
      </c>
      <c r="H16" s="90"/>
      <c r="I16" s="130">
        <f t="shared" si="0"/>
        <v>491.35535092220033</v>
      </c>
      <c r="J16" s="130"/>
      <c r="K16" s="78">
        <f>R14+R15+R16</f>
        <v>7351852191</v>
      </c>
      <c r="L16" s="87">
        <f>U16/U13-1</f>
        <v>0.20708689936869185</v>
      </c>
      <c r="N16" s="88">
        <f>AVERAGE(T14:T16)</f>
        <v>430.81434097134746</v>
      </c>
      <c r="O16" s="89">
        <f>N16/N13-1</f>
        <v>0.13743703427213694</v>
      </c>
      <c r="P16" s="129" t="s">
        <v>99</v>
      </c>
      <c r="Q16" s="116">
        <v>1819538</v>
      </c>
      <c r="R16" s="116">
        <v>2389137343</v>
      </c>
      <c r="S16" s="116">
        <v>3703.1</v>
      </c>
      <c r="T16" s="130">
        <f t="shared" si="1"/>
        <v>491.35535092220033</v>
      </c>
      <c r="U16" s="85">
        <f>Q14+Q15+Q16</f>
        <v>5348934</v>
      </c>
    </row>
    <row r="17" spans="1:21" ht="15" hidden="1" customHeight="1">
      <c r="A17" s="129" t="s">
        <v>100</v>
      </c>
      <c r="C17" s="79"/>
      <c r="F17" s="78">
        <f>Q17/20</f>
        <v>93922.3</v>
      </c>
      <c r="G17" s="90">
        <f t="shared" ref="G17:G22" si="3">F17/F16-1</f>
        <v>0.13561277643006098</v>
      </c>
      <c r="H17" s="90">
        <f t="shared" ref="H17:H22" si="4">F17/F5-1</f>
        <v>1.0283885374666064</v>
      </c>
      <c r="I17" s="130">
        <f t="shared" si="0"/>
        <v>564.32159294374947</v>
      </c>
      <c r="J17" s="130">
        <f t="shared" ref="J17:J49" si="5">I17/I5-1</f>
        <v>0.52311341114128806</v>
      </c>
      <c r="O17" s="89"/>
      <c r="P17" s="129" t="s">
        <v>100</v>
      </c>
      <c r="Q17" s="116">
        <v>1878446</v>
      </c>
      <c r="R17" s="116">
        <v>2357496971</v>
      </c>
      <c r="S17" s="116">
        <v>3328.68</v>
      </c>
      <c r="T17" s="130">
        <f t="shared" si="1"/>
        <v>564.32159294374947</v>
      </c>
      <c r="U17" s="78"/>
    </row>
    <row r="18" spans="1:21" hidden="1">
      <c r="A18" s="129" t="s">
        <v>106</v>
      </c>
      <c r="C18" s="79"/>
      <c r="F18" s="78">
        <f>Q18/20</f>
        <v>78402.600000000006</v>
      </c>
      <c r="G18" s="90">
        <f t="shared" si="3"/>
        <v>-0.16523977798669753</v>
      </c>
      <c r="H18" s="90">
        <f t="shared" si="4"/>
        <v>0.32670766112542693</v>
      </c>
      <c r="I18" s="130">
        <f t="shared" si="0"/>
        <v>691.04578907937071</v>
      </c>
      <c r="J18" s="130">
        <f t="shared" si="5"/>
        <v>0.55506594804397924</v>
      </c>
      <c r="O18" s="89"/>
      <c r="P18" s="129" t="s">
        <v>106</v>
      </c>
      <c r="Q18" s="116">
        <v>1568052</v>
      </c>
      <c r="R18" s="116">
        <v>1969178634</v>
      </c>
      <c r="S18" s="116">
        <v>2269.1</v>
      </c>
      <c r="T18" s="130">
        <f t="shared" ref="T18" si="6">Q18/S18</f>
        <v>691.04578907937071</v>
      </c>
      <c r="U18" s="78"/>
    </row>
    <row r="19" spans="1:21" hidden="1">
      <c r="A19" s="129" t="s">
        <v>114</v>
      </c>
      <c r="B19" s="131">
        <f>SUM(F17:F19)</f>
        <v>252893.94545454549</v>
      </c>
      <c r="C19" s="131">
        <f>AVERAGE(F17:F19)</f>
        <v>84297.981818181826</v>
      </c>
      <c r="D19" s="90">
        <f>C19/C16-1</f>
        <v>6.8476435902031785E-3</v>
      </c>
      <c r="E19" s="286">
        <f>C19/C7-1</f>
        <v>0.45302849371019738</v>
      </c>
      <c r="F19" s="78">
        <f>Q19/22</f>
        <v>80569.045454545456</v>
      </c>
      <c r="G19" s="90">
        <f t="shared" si="3"/>
        <v>2.7632316460748152E-2</v>
      </c>
      <c r="H19" s="90">
        <f t="shared" si="4"/>
        <v>0.17367875647668396</v>
      </c>
      <c r="I19" s="130">
        <f t="shared" si="0"/>
        <v>581.17282533853563</v>
      </c>
      <c r="J19" s="130">
        <f t="shared" si="5"/>
        <v>0.66410014972035936</v>
      </c>
      <c r="K19" s="78">
        <f>R17+R18+R19</f>
        <v>6640892944</v>
      </c>
      <c r="L19" s="87">
        <f>U19/U16-1</f>
        <v>-2.4288390920508607E-2</v>
      </c>
      <c r="M19" s="87">
        <f>U19/U7-1</f>
        <v>0.49113748934293011</v>
      </c>
      <c r="N19" s="88">
        <f>AVERAGE(T17:T19)</f>
        <v>612.18006912055193</v>
      </c>
      <c r="O19" s="89">
        <f>N19/N16-1</f>
        <v>0.42098349776445043</v>
      </c>
      <c r="P19" s="129" t="s">
        <v>115</v>
      </c>
      <c r="Q19" s="116">
        <v>1772519</v>
      </c>
      <c r="R19" s="116">
        <v>2314217339</v>
      </c>
      <c r="S19" s="116">
        <v>3049.9</v>
      </c>
      <c r="T19" s="130">
        <f t="shared" ref="T19" si="7">Q19/S19</f>
        <v>581.17282533853563</v>
      </c>
      <c r="U19" s="85">
        <f>Q17+Q18+Q19</f>
        <v>5219017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79769.7</v>
      </c>
      <c r="G20" s="90">
        <f t="shared" si="3"/>
        <v>-9.921247670687916E-3</v>
      </c>
      <c r="H20" s="90">
        <f t="shared" si="4"/>
        <v>2.172661633553763E-2</v>
      </c>
      <c r="I20" s="130">
        <f t="shared" si="0"/>
        <v>521.1321617560593</v>
      </c>
      <c r="J20" s="130">
        <f t="shared" si="5"/>
        <v>0.46911323505985569</v>
      </c>
      <c r="O20" s="89"/>
      <c r="P20" s="129" t="s">
        <v>132</v>
      </c>
      <c r="Q20" s="116">
        <v>1595394</v>
      </c>
      <c r="R20" s="116">
        <v>2098730949</v>
      </c>
      <c r="S20" s="116">
        <v>3061.4</v>
      </c>
      <c r="T20" s="130">
        <f t="shared" ref="T20" si="8">Q20/S20</f>
        <v>521.1321617560593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83793.380952380947</v>
      </c>
      <c r="G21" s="90">
        <f t="shared" si="3"/>
        <v>5.0441219565586337E-2</v>
      </c>
      <c r="H21" s="90">
        <f t="shared" si="4"/>
        <v>1.0380791716956272E-2</v>
      </c>
      <c r="I21" s="130">
        <f t="shared" si="0"/>
        <v>501.24223779410926</v>
      </c>
      <c r="J21" s="130">
        <f t="shared" si="5"/>
        <v>0.34786512954163085</v>
      </c>
      <c r="O21" s="89"/>
      <c r="P21" s="129" t="s">
        <v>141</v>
      </c>
      <c r="Q21" s="116">
        <v>1759661</v>
      </c>
      <c r="R21" s="116">
        <v>2340331732</v>
      </c>
      <c r="S21" s="116">
        <v>3510.6</v>
      </c>
      <c r="T21" s="130">
        <f t="shared" ref="T21" si="9">Q21/S21</f>
        <v>501.24223779410926</v>
      </c>
      <c r="U21" s="78"/>
    </row>
    <row r="22" spans="1:21" hidden="1">
      <c r="A22" s="129" t="s">
        <v>156</v>
      </c>
      <c r="B22" s="131">
        <f>SUM(F20:F22)</f>
        <v>245675.98571428572</v>
      </c>
      <c r="C22" s="131">
        <f>AVERAGE(F20:F22)</f>
        <v>81891.995238095245</v>
      </c>
      <c r="D22" s="90">
        <f>C22/C19-1</f>
        <v>-2.8541449370353078E-2</v>
      </c>
      <c r="E22" s="286">
        <f>C22/C10-1</f>
        <v>1.6169801658427296E-2</v>
      </c>
      <c r="F22" s="78">
        <f>Q22/21</f>
        <v>82112.904761904763</v>
      </c>
      <c r="G22" s="90">
        <f t="shared" si="3"/>
        <v>-2.0054999229965231E-2</v>
      </c>
      <c r="H22" s="90">
        <f t="shared" si="4"/>
        <v>1.6742571828846531E-2</v>
      </c>
      <c r="I22" s="130">
        <f t="shared" si="0"/>
        <v>705.09118416748447</v>
      </c>
      <c r="J22" s="130">
        <f t="shared" si="5"/>
        <v>0.9981053624740841</v>
      </c>
      <c r="K22" s="78">
        <f>R20+R21+R22</f>
        <v>6682741259</v>
      </c>
      <c r="L22" s="87">
        <f>U22/U19-1</f>
        <v>-2.6746607646612408E-2</v>
      </c>
      <c r="M22" s="87">
        <f>U22/U10-1</f>
        <v>4.5813554982165883E-4</v>
      </c>
      <c r="N22" s="88">
        <f>AVERAGE(T20:T22)</f>
        <v>575.8218612392177</v>
      </c>
      <c r="O22" s="89">
        <f>N22/N19-1</f>
        <v>-5.9391361652080366E-2</v>
      </c>
      <c r="P22" s="129" t="s">
        <v>156</v>
      </c>
      <c r="Q22" s="116">
        <v>1724371</v>
      </c>
      <c r="R22" s="116">
        <v>2243678578</v>
      </c>
      <c r="S22" s="116">
        <v>2445.6</v>
      </c>
      <c r="T22" s="130">
        <f t="shared" ref="T22:T23" si="10">Q22/S22</f>
        <v>705.09118416748447</v>
      </c>
      <c r="U22" s="85">
        <f>Q20+Q21+Q22</f>
        <v>5079426</v>
      </c>
    </row>
    <row r="23" spans="1:21" hidden="1">
      <c r="A23" s="129" t="s">
        <v>189</v>
      </c>
      <c r="B23" s="131"/>
      <c r="C23" s="131"/>
      <c r="F23" s="78">
        <f>Q23/21</f>
        <v>97604.952380952382</v>
      </c>
      <c r="G23" s="90">
        <f t="shared" ref="G23" si="11">F23/F22-1</f>
        <v>0.18866763590897784</v>
      </c>
      <c r="H23" s="90">
        <f t="shared" ref="H23" si="12">F23/F11-1</f>
        <v>0.37932463896851987</v>
      </c>
      <c r="I23" s="130">
        <f t="shared" si="0"/>
        <v>563.95762828449585</v>
      </c>
      <c r="J23" s="130">
        <f t="shared" si="5"/>
        <v>0.41905920760244597</v>
      </c>
      <c r="O23" s="89"/>
      <c r="P23" s="129" t="s">
        <v>189</v>
      </c>
      <c r="Q23" s="116">
        <v>2049704</v>
      </c>
      <c r="R23" s="116">
        <v>2639072652</v>
      </c>
      <c r="S23" s="116">
        <v>3634.5</v>
      </c>
      <c r="T23" s="130">
        <f t="shared" si="10"/>
        <v>563.95762828449585</v>
      </c>
      <c r="U23" s="78"/>
    </row>
    <row r="24" spans="1:21" hidden="1">
      <c r="A24" s="129" t="s">
        <v>204</v>
      </c>
      <c r="B24" s="131"/>
      <c r="C24" s="131"/>
      <c r="F24" s="78">
        <f>Q24/22</f>
        <v>72453.818181818177</v>
      </c>
      <c r="G24" s="90">
        <f t="shared" ref="G24" si="13">F24/F23-1</f>
        <v>-0.25768297187389899</v>
      </c>
      <c r="H24" s="90">
        <f t="shared" ref="H24" si="14">F24/F12-1</f>
        <v>-8.8278310129192517E-2</v>
      </c>
      <c r="I24" s="130">
        <f t="shared" si="0"/>
        <v>458.33112887457588</v>
      </c>
      <c r="J24" s="130">
        <f t="shared" si="5"/>
        <v>0.22237503465685271</v>
      </c>
      <c r="O24" s="89"/>
      <c r="P24" s="129" t="s">
        <v>204</v>
      </c>
      <c r="Q24" s="116">
        <v>1593984</v>
      </c>
      <c r="R24" s="116">
        <v>2089318050</v>
      </c>
      <c r="S24" s="116">
        <v>3477.8</v>
      </c>
      <c r="T24" s="130">
        <f t="shared" ref="T24" si="15">Q24/S24</f>
        <v>458.33112887457588</v>
      </c>
      <c r="U24" s="78"/>
    </row>
    <row r="25" spans="1:21" s="79" customFormat="1" ht="13.2" hidden="1">
      <c r="A25" s="129" t="s">
        <v>219</v>
      </c>
      <c r="B25" s="131">
        <f>SUM(F23:F25)</f>
        <v>269880.9284575074</v>
      </c>
      <c r="C25" s="131">
        <f>AVERAGE(F23:F25)</f>
        <v>89960.309485835794</v>
      </c>
      <c r="D25" s="90">
        <f>C25/C22-1</f>
        <v>9.8523845026397217E-2</v>
      </c>
      <c r="E25" s="286">
        <f>C25/C13-1</f>
        <v>0.28466592985521677</v>
      </c>
      <c r="F25" s="78">
        <f>Q25/19</f>
        <v>99822.15789473684</v>
      </c>
      <c r="G25" s="90">
        <f t="shared" ref="G25" si="16">F25/F24-1</f>
        <v>0.37773495448148209</v>
      </c>
      <c r="H25" s="90">
        <f t="shared" ref="H25" si="17">F25/F13-1</f>
        <v>0.66796706738121858</v>
      </c>
      <c r="I25" s="130">
        <f t="shared" si="0"/>
        <v>568.82134181087486</v>
      </c>
      <c r="J25" s="130">
        <f t="shared" si="5"/>
        <v>0.56308819160165169</v>
      </c>
      <c r="K25" s="78">
        <f>R23+R24+R25</f>
        <v>7246663631</v>
      </c>
      <c r="L25" s="90">
        <f>U25/U22-1</f>
        <v>9.0735252369066988E-2</v>
      </c>
      <c r="M25" s="90">
        <f>U25/U13-1</f>
        <v>0.25027424386886388</v>
      </c>
      <c r="N25" s="88">
        <f>AVERAGE(T23:T25)</f>
        <v>530.37003298998218</v>
      </c>
      <c r="O25" s="91">
        <f>N25/N22-1</f>
        <v>-7.8933835807170172E-2</v>
      </c>
      <c r="P25" s="129" t="s">
        <v>219</v>
      </c>
      <c r="Q25" s="116">
        <v>1896621</v>
      </c>
      <c r="R25" s="116">
        <v>2518272929</v>
      </c>
      <c r="S25" s="116">
        <v>3334.3</v>
      </c>
      <c r="T25" s="130">
        <f t="shared" ref="T25" si="18">Q25/S25</f>
        <v>568.82134181087486</v>
      </c>
      <c r="U25" s="85">
        <f>Q23+Q24+Q25</f>
        <v>5540309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140700.94736842104</v>
      </c>
      <c r="G26" s="90">
        <f t="shared" ref="G26" si="19">F26/F25-1</f>
        <v>0.4095161869450985</v>
      </c>
      <c r="H26" s="90">
        <f t="shared" ref="H26" si="20">F26/F14-1</f>
        <v>0.59079479132317214</v>
      </c>
      <c r="I26" s="130">
        <f t="shared" si="0"/>
        <v>530.96806228648609</v>
      </c>
      <c r="J26" s="130">
        <f t="shared" si="5"/>
        <v>0.46581054257372689</v>
      </c>
      <c r="L26" s="90"/>
      <c r="M26" s="90"/>
      <c r="P26" s="129" t="s">
        <v>312</v>
      </c>
      <c r="Q26" s="116">
        <v>2673318</v>
      </c>
      <c r="R26" s="116">
        <v>3599835290</v>
      </c>
      <c r="S26" s="116">
        <v>5034.8</v>
      </c>
      <c r="T26" s="130">
        <f t="shared" ref="T26" si="21">Q26/S26</f>
        <v>530.96806228648609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82339.363636363632</v>
      </c>
      <c r="G27" s="90">
        <f t="shared" ref="G27" si="22">F27/F26-1</f>
        <v>-0.41479168991833026</v>
      </c>
      <c r="H27" s="90">
        <f t="shared" ref="H27" si="23">F27/F15-1</f>
        <v>2.8974862777108479E-2</v>
      </c>
      <c r="I27" s="130">
        <f t="shared" si="0"/>
        <v>493.41268760384605</v>
      </c>
      <c r="J27" s="130">
        <f t="shared" si="5"/>
        <v>0.12432453409701472</v>
      </c>
      <c r="L27" s="90"/>
      <c r="M27" s="90"/>
      <c r="P27" s="129" t="s">
        <v>375</v>
      </c>
      <c r="Q27" s="116">
        <v>1811466</v>
      </c>
      <c r="R27" s="116">
        <v>2391649330</v>
      </c>
      <c r="S27" s="116">
        <v>3671.3</v>
      </c>
      <c r="T27" s="130">
        <f t="shared" ref="T27" si="24">Q27/S27</f>
        <v>493.41268760384605</v>
      </c>
      <c r="U27" s="78"/>
    </row>
    <row r="28" spans="1:21" s="79" customFormat="1" ht="13.2" hidden="1">
      <c r="A28" s="123" t="s">
        <v>413</v>
      </c>
      <c r="B28" s="131">
        <f>SUM(F26:F28)</f>
        <v>326179.25837320572</v>
      </c>
      <c r="C28" s="131">
        <f>AVERAGE(F26:F28)</f>
        <v>108726.41945773525</v>
      </c>
      <c r="D28" s="90">
        <f>C28/C25-1</f>
        <v>0.20860432872181445</v>
      </c>
      <c r="E28" s="286">
        <f>C28/C16-1</f>
        <v>0.29861874348466899</v>
      </c>
      <c r="F28" s="78">
        <f>Q28/19</f>
        <v>103138.94736842105</v>
      </c>
      <c r="G28" s="90">
        <f t="shared" ref="G28" si="25">F28/F27-1</f>
        <v>0.25260802140656424</v>
      </c>
      <c r="H28" s="90">
        <f t="shared" ref="H28" si="26">F28/F16-1</f>
        <v>0.24705108775154105</v>
      </c>
      <c r="I28" s="130">
        <f t="shared" si="0"/>
        <v>451.66524534998968</v>
      </c>
      <c r="J28" s="130">
        <f t="shared" si="5"/>
        <v>-8.0776785065468926E-2</v>
      </c>
      <c r="K28" s="78">
        <f>R26+R27+R28</f>
        <v>8545949927</v>
      </c>
      <c r="L28" s="90">
        <f>U28/U25-1</f>
        <v>0.16318855139668198</v>
      </c>
      <c r="M28" s="90">
        <f>U28/U16-1</f>
        <v>0.20480529391463786</v>
      </c>
      <c r="N28" s="88">
        <f>AVERAGE(T26:T28)</f>
        <v>492.01533174677388</v>
      </c>
      <c r="O28" s="91">
        <f>N28/N25-1</f>
        <v>-7.2316870972106262E-2</v>
      </c>
      <c r="P28" s="129" t="s">
        <v>413</v>
      </c>
      <c r="Q28" s="116">
        <v>1959640</v>
      </c>
      <c r="R28" s="116">
        <v>2554465307</v>
      </c>
      <c r="S28" s="116">
        <v>4338.7</v>
      </c>
      <c r="T28" s="130">
        <f t="shared" ref="T28" si="27">Q28/S28</f>
        <v>451.66524534998968</v>
      </c>
      <c r="U28" s="85">
        <f>Q26+Q27+Q28</f>
        <v>6444424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93079.863636363632</v>
      </c>
      <c r="G29" s="190">
        <f t="shared" ref="G29" si="28">F29/F28-1</f>
        <v>-9.7529439544554619E-2</v>
      </c>
      <c r="H29" s="190">
        <f t="shared" ref="H29" si="29">F29/F17-1</f>
        <v>-8.9695031279725113E-3</v>
      </c>
      <c r="I29" s="130">
        <f t="shared" si="0"/>
        <v>587.56638882114112</v>
      </c>
      <c r="J29" s="130">
        <f t="shared" si="5"/>
        <v>4.1190690145554321E-2</v>
      </c>
      <c r="K29" s="136"/>
      <c r="L29" s="190"/>
      <c r="M29" s="190"/>
      <c r="N29" s="191"/>
      <c r="O29" s="192"/>
      <c r="P29" s="129" t="s">
        <v>430</v>
      </c>
      <c r="Q29" s="116">
        <v>2047757</v>
      </c>
      <c r="R29" s="116">
        <v>2695357748</v>
      </c>
      <c r="S29" s="116">
        <v>3485.15</v>
      </c>
      <c r="T29" s="130">
        <f t="shared" ref="T29" si="30">Q29/S29</f>
        <v>587.56638882114112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100571.57894736843</v>
      </c>
      <c r="G30" s="190">
        <f t="shared" ref="G30" si="31">F30/F29-1</f>
        <v>8.0486960533942886E-2</v>
      </c>
      <c r="H30" s="190">
        <f t="shared" ref="H30" si="32">F30/F18-1</f>
        <v>0.28275821142881008</v>
      </c>
      <c r="I30" s="130">
        <f t="shared" si="0"/>
        <v>521.02522154055896</v>
      </c>
      <c r="J30" s="130">
        <f t="shared" si="5"/>
        <v>-0.24603372196988216</v>
      </c>
      <c r="K30" s="136"/>
      <c r="L30" s="190"/>
      <c r="M30" s="190"/>
      <c r="N30" s="191"/>
      <c r="O30" s="192"/>
      <c r="P30" s="129" t="s">
        <v>469</v>
      </c>
      <c r="Q30" s="116">
        <v>1910860</v>
      </c>
      <c r="R30" s="116">
        <v>2545399158</v>
      </c>
      <c r="S30" s="116">
        <v>3667.5</v>
      </c>
      <c r="T30" s="130">
        <f t="shared" ref="T30" si="33">Q30/S30</f>
        <v>521.02522154055896</v>
      </c>
      <c r="U30" s="85"/>
    </row>
    <row r="31" spans="1:21" s="79" customFormat="1" ht="13.2" hidden="1">
      <c r="A31" s="129" t="s">
        <v>505</v>
      </c>
      <c r="B31" s="188">
        <f>SUM(F29:F31)</f>
        <v>317301.94258373207</v>
      </c>
      <c r="C31" s="188">
        <f>AVERAGE(F29:F31)</f>
        <v>105767.31419457735</v>
      </c>
      <c r="D31" s="190">
        <f>C31/C28-1</f>
        <v>-2.7216064668699746E-2</v>
      </c>
      <c r="E31" s="287">
        <f>C31/C19-1</f>
        <v>0.2546838241359286</v>
      </c>
      <c r="F31" s="136">
        <f>Q31/20</f>
        <v>123650.5</v>
      </c>
      <c r="G31" s="190">
        <f t="shared" ref="G31" si="34">F31/F30-1</f>
        <v>0.22947756507541106</v>
      </c>
      <c r="H31" s="190">
        <f t="shared" ref="H31" si="35">F31/F19-1</f>
        <v>0.53471471956012873</v>
      </c>
      <c r="I31" s="130">
        <f t="shared" si="0"/>
        <v>577.02412618414292</v>
      </c>
      <c r="J31" s="130">
        <f t="shared" si="5"/>
        <v>-7.1384947360125794E-3</v>
      </c>
      <c r="K31" s="136">
        <f>R29+R30+R31</f>
        <v>8523676799</v>
      </c>
      <c r="L31" s="190">
        <f>U31/U28-1</f>
        <v>-1.9857476789236772E-3</v>
      </c>
      <c r="M31" s="190">
        <f>U31/U19-1</f>
        <v>0.23234452005042328</v>
      </c>
      <c r="N31" s="191">
        <f>AVERAGE(T29:T31)</f>
        <v>561.87191218194766</v>
      </c>
      <c r="O31" s="192">
        <f>N31/N28-1</f>
        <v>0.14198049517515221</v>
      </c>
      <c r="P31" s="129" t="s">
        <v>505</v>
      </c>
      <c r="Q31" s="116">
        <v>2473010</v>
      </c>
      <c r="R31" s="116">
        <v>3282919893</v>
      </c>
      <c r="S31" s="116">
        <v>4285.8</v>
      </c>
      <c r="T31" s="130">
        <f t="shared" ref="T31" si="36">Q31/S31</f>
        <v>577.02412618414292</v>
      </c>
      <c r="U31" s="85">
        <f>Q29+Q30+Q31</f>
        <v>6431627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121516.42857142857</v>
      </c>
      <c r="G32" s="190">
        <f t="shared" ref="G32" si="37">F32/F31-1</f>
        <v>-1.7258898496742336E-2</v>
      </c>
      <c r="H32" s="190">
        <f t="shared" ref="H32" si="38">F32/F20-1</f>
        <v>0.52334067410844676</v>
      </c>
      <c r="I32" s="130">
        <f t="shared" si="0"/>
        <v>586.96837262794713</v>
      </c>
      <c r="J32" s="130">
        <f t="shared" si="5"/>
        <v>0.1263330412194088</v>
      </c>
      <c r="K32" s="136"/>
      <c r="L32" s="190"/>
      <c r="M32" s="190"/>
      <c r="N32" s="191"/>
      <c r="O32" s="192"/>
      <c r="P32" s="129" t="s">
        <v>582</v>
      </c>
      <c r="Q32" s="116">
        <v>2551845</v>
      </c>
      <c r="R32" s="116">
        <v>3466359013</v>
      </c>
      <c r="S32" s="116">
        <v>4347.5</v>
      </c>
      <c r="T32" s="130">
        <f t="shared" ref="T32" si="39">Q32/S32</f>
        <v>586.96837262794713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122047.28571428571</v>
      </c>
      <c r="G33" s="190">
        <f t="shared" ref="G33" si="40">F33/F32-1</f>
        <v>4.3686038924777293E-3</v>
      </c>
      <c r="H33" s="190">
        <f t="shared" ref="H33" si="41">F33/F21-1</f>
        <v>0.456526569606305</v>
      </c>
      <c r="I33" s="130">
        <f t="shared" si="0"/>
        <v>544.81920795867609</v>
      </c>
      <c r="J33" s="130">
        <f t="shared" si="5"/>
        <v>8.6937945126776217E-2</v>
      </c>
      <c r="K33" s="136"/>
      <c r="L33" s="190"/>
      <c r="M33" s="190"/>
      <c r="N33" s="191"/>
      <c r="O33" s="192"/>
      <c r="P33" s="129" t="s">
        <v>624</v>
      </c>
      <c r="Q33" s="116">
        <v>2562993</v>
      </c>
      <c r="R33" s="116">
        <v>3501404078</v>
      </c>
      <c r="S33" s="116">
        <v>4704.3</v>
      </c>
      <c r="T33" s="130">
        <f t="shared" ref="T33" si="42">Q33/S33</f>
        <v>544.81920795867609</v>
      </c>
      <c r="U33" s="85"/>
    </row>
    <row r="34" spans="1:21" s="79" customFormat="1" ht="13.2" hidden="1">
      <c r="A34" s="129" t="s">
        <v>652</v>
      </c>
      <c r="B34" s="188">
        <f>SUM(F32:F34)</f>
        <v>380062.13533834583</v>
      </c>
      <c r="C34" s="188">
        <f>AVERAGE(F32:F34)</f>
        <v>126687.37844611528</v>
      </c>
      <c r="D34" s="190">
        <f>C34/C31-1</f>
        <v>0.19779328246013539</v>
      </c>
      <c r="E34" s="287">
        <f>C34/C22-1</f>
        <v>0.54700563929088064</v>
      </c>
      <c r="F34" s="136">
        <f>Q34/19</f>
        <v>136498.42105263157</v>
      </c>
      <c r="G34" s="190">
        <f t="shared" ref="G34" si="43">F34/F33-1</f>
        <v>0.11840603626512558</v>
      </c>
      <c r="H34" s="190">
        <f t="shared" ref="H34" si="44">F34/F22-1</f>
        <v>0.66232605518491261</v>
      </c>
      <c r="I34" s="130">
        <f t="shared" si="0"/>
        <v>574.19576239289745</v>
      </c>
      <c r="J34" s="130">
        <f t="shared" si="5"/>
        <v>-0.18564325397024772</v>
      </c>
      <c r="K34" s="136">
        <f>R32+R33+R34</f>
        <v>10535446031</v>
      </c>
      <c r="L34" s="190">
        <f>U34/U31-1</f>
        <v>0.19850047274196725</v>
      </c>
      <c r="M34" s="190">
        <f>U34/U22-1</f>
        <v>0.51755493632548255</v>
      </c>
      <c r="N34" s="191">
        <f>AVERAGE(T32:T34)</f>
        <v>568.66111432650689</v>
      </c>
      <c r="O34" s="192">
        <f>N34/N31-1</f>
        <v>1.2083184792409885E-2</v>
      </c>
      <c r="P34" s="129" t="s">
        <v>652</v>
      </c>
      <c r="Q34" s="116">
        <v>2593470</v>
      </c>
      <c r="R34" s="116">
        <v>3567682940</v>
      </c>
      <c r="S34" s="116">
        <v>4516.7</v>
      </c>
      <c r="T34" s="130">
        <f t="shared" ref="T34" si="45">Q34/S34</f>
        <v>574.19576239289745</v>
      </c>
      <c r="U34" s="85">
        <f>Q32+Q33+Q34</f>
        <v>7708308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104445.26086956522</v>
      </c>
      <c r="G35" s="190">
        <f t="shared" ref="G35" si="46">F35/F34-1</f>
        <v>-0.23482440262592619</v>
      </c>
      <c r="H35" s="190">
        <f t="shared" ref="H35" si="47">F35/F23-1</f>
        <v>7.0081571905440843E-2</v>
      </c>
      <c r="I35" s="130">
        <f t="shared" si="0"/>
        <v>491.0670335331202</v>
      </c>
      <c r="J35" s="130">
        <f t="shared" si="5"/>
        <v>-0.12924835323728445</v>
      </c>
      <c r="K35" s="136"/>
      <c r="L35" s="190"/>
      <c r="M35" s="190"/>
      <c r="N35" s="191"/>
      <c r="O35" s="192"/>
      <c r="P35" s="129" t="s">
        <v>660</v>
      </c>
      <c r="Q35" s="116">
        <v>2402241</v>
      </c>
      <c r="R35" s="116">
        <v>3323016789</v>
      </c>
      <c r="S35" s="116">
        <v>4891.88</v>
      </c>
      <c r="T35" s="130">
        <f t="shared" ref="T35" si="48">Q35/S35</f>
        <v>491.0670335331202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116781.52380952382</v>
      </c>
      <c r="G36" s="190">
        <f t="shared" ref="G36" si="49">F36/F35-1</f>
        <v>0.11811223254413195</v>
      </c>
      <c r="H36" s="190">
        <f t="shared" ref="H36" si="50">F36/F24-1</f>
        <v>0.61180634423527724</v>
      </c>
      <c r="I36" s="130">
        <f t="shared" si="0"/>
        <v>524.00846135766324</v>
      </c>
      <c r="J36" s="130">
        <f t="shared" si="5"/>
        <v>0.14329668736303569</v>
      </c>
      <c r="K36" s="136"/>
      <c r="L36" s="190"/>
      <c r="M36" s="190"/>
      <c r="N36" s="191"/>
      <c r="O36" s="192"/>
      <c r="P36" s="129" t="s">
        <v>666</v>
      </c>
      <c r="Q36" s="116">
        <v>2452412</v>
      </c>
      <c r="R36" s="116">
        <v>3348425744</v>
      </c>
      <c r="S36" s="116">
        <v>4680.1000000000004</v>
      </c>
      <c r="T36" s="130">
        <f t="shared" ref="T36" si="51">Q36/S36</f>
        <v>524.00846135766324</v>
      </c>
      <c r="U36" s="85"/>
    </row>
    <row r="37" spans="1:21" s="79" customFormat="1" ht="13.2" hidden="1">
      <c r="A37" s="129" t="s">
        <v>702</v>
      </c>
      <c r="B37" s="188">
        <f>SUM(F35:F37)</f>
        <v>372430.95134575572</v>
      </c>
      <c r="C37" s="188">
        <f>AVERAGE(F35:F37)</f>
        <v>124143.65044858523</v>
      </c>
      <c r="D37" s="190">
        <f>C37/C34-1</f>
        <v>-2.0078779975796768E-2</v>
      </c>
      <c r="E37" s="287">
        <f>C37/C25-1</f>
        <v>0.3799824740279667</v>
      </c>
      <c r="F37" s="136">
        <f>Q37/18</f>
        <v>151204.16666666666</v>
      </c>
      <c r="G37" s="190">
        <f t="shared" ref="G37" si="52">F37/F36-1</f>
        <v>0.29476103525834962</v>
      </c>
      <c r="H37" s="190">
        <f t="shared" ref="H37" si="53">F37/F25-1</f>
        <v>0.51473550417646252</v>
      </c>
      <c r="I37" s="130">
        <f t="shared" si="0"/>
        <v>632.44759957243116</v>
      </c>
      <c r="J37" s="130">
        <f t="shared" si="5"/>
        <v>0.11185631249171935</v>
      </c>
      <c r="K37" s="136">
        <f>R35+R36+R37</f>
        <v>10306907752</v>
      </c>
      <c r="L37" s="190">
        <f>U37/U34-1</f>
        <v>-1.7121786000248052E-2</v>
      </c>
      <c r="M37" s="190">
        <f>U37/U25-1</f>
        <v>0.36749195757853936</v>
      </c>
      <c r="N37" s="191">
        <f>AVERAGE(T35:T37)</f>
        <v>549.17436482107144</v>
      </c>
      <c r="O37" s="192">
        <f>N37/N34-1</f>
        <v>-3.4267772166054589E-2</v>
      </c>
      <c r="P37" s="129" t="s">
        <v>702</v>
      </c>
      <c r="Q37" s="116">
        <v>2721675</v>
      </c>
      <c r="R37" s="116">
        <v>3635465219</v>
      </c>
      <c r="S37" s="116">
        <v>4303.3999999999996</v>
      </c>
      <c r="T37" s="130">
        <f t="shared" ref="T37" si="54">Q37/S37</f>
        <v>632.44759957243116</v>
      </c>
      <c r="U37" s="85">
        <f>Q35+Q36+Q37</f>
        <v>7576328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129010</v>
      </c>
      <c r="G38" s="190">
        <f t="shared" ref="G38" si="55">F38/F37-1</f>
        <v>-0.14678277163878861</v>
      </c>
      <c r="H38" s="190">
        <f t="shared" ref="H38" si="56">F38/F26-1</f>
        <v>-8.3090750894581067E-2</v>
      </c>
      <c r="I38" s="130">
        <f t="shared" si="0"/>
        <v>523.30345191254605</v>
      </c>
      <c r="J38" s="130">
        <f t="shared" si="5"/>
        <v>-1.4435162711923244E-2</v>
      </c>
      <c r="K38" s="136"/>
      <c r="L38" s="190"/>
      <c r="M38" s="190"/>
      <c r="N38" s="191"/>
      <c r="O38" s="192"/>
      <c r="P38" s="129" t="s">
        <v>728</v>
      </c>
      <c r="Q38" s="116">
        <v>2580200</v>
      </c>
      <c r="R38" s="116">
        <v>3462918824</v>
      </c>
      <c r="S38" s="116">
        <v>4930.6000000000004</v>
      </c>
      <c r="T38" s="130">
        <f t="shared" ref="T38" si="57">Q38/S38</f>
        <v>523.30345191254605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149894.09523809524</v>
      </c>
      <c r="G39" s="190">
        <f t="shared" ref="G39" si="58">F39/F38-1</f>
        <v>0.16187966233699114</v>
      </c>
      <c r="H39" s="190">
        <f t="shared" ref="H39" si="59">F39/F27-1</f>
        <v>0.8204427216619552</v>
      </c>
      <c r="I39" s="130">
        <f t="shared" si="0"/>
        <v>586.05033912536749</v>
      </c>
      <c r="J39" s="130">
        <f t="shared" si="5"/>
        <v>0.18774882334582133</v>
      </c>
      <c r="K39" s="136"/>
      <c r="L39" s="190"/>
      <c r="M39" s="190"/>
      <c r="N39" s="191"/>
      <c r="O39" s="192"/>
      <c r="P39" s="129" t="s">
        <v>762</v>
      </c>
      <c r="Q39" s="116">
        <v>3147776</v>
      </c>
      <c r="R39" s="116">
        <v>4378211881</v>
      </c>
      <c r="S39" s="116">
        <v>5371.17</v>
      </c>
      <c r="T39" s="130">
        <f t="shared" ref="T39" si="60">Q39/S39</f>
        <v>586.05033912536749</v>
      </c>
      <c r="U39" s="85"/>
    </row>
    <row r="40" spans="1:21" s="79" customFormat="1" ht="13.2" hidden="1">
      <c r="A40" s="129" t="s">
        <v>778</v>
      </c>
      <c r="B40" s="188">
        <f>SUM(F38:F40)</f>
        <v>409065.95238095243</v>
      </c>
      <c r="C40" s="188">
        <f>AVERAGE(F38:F40)</f>
        <v>136355.31746031748</v>
      </c>
      <c r="D40" s="190">
        <f>C40/C37-1</f>
        <v>9.836722995985836E-2</v>
      </c>
      <c r="E40" s="287">
        <f>C40/C28-1</f>
        <v>0.25411393238533253</v>
      </c>
      <c r="F40" s="136">
        <f>Q40/21</f>
        <v>130161.85714285714</v>
      </c>
      <c r="G40" s="190">
        <f t="shared" ref="G40" si="61">F40/F39-1</f>
        <v>-0.13164119683230313</v>
      </c>
      <c r="H40" s="190">
        <f t="shared" ref="H40" si="62">F40/F28-1</f>
        <v>0.2620049017749615</v>
      </c>
      <c r="I40" s="130">
        <f t="shared" si="0"/>
        <v>483.35113437428157</v>
      </c>
      <c r="J40" s="130">
        <f t="shared" si="5"/>
        <v>7.0153480593218687E-2</v>
      </c>
      <c r="K40" s="136">
        <f>R38+R39+R40</f>
        <v>11738686182</v>
      </c>
      <c r="L40" s="190">
        <f>U40/U37-1</f>
        <v>0.11681740811643837</v>
      </c>
      <c r="M40" s="190">
        <f>U40/U28-1</f>
        <v>0.31297614806226282</v>
      </c>
      <c r="N40" s="191">
        <f>AVERAGE(T38:T40)</f>
        <v>530.90164180406509</v>
      </c>
      <c r="O40" s="192">
        <f>N40/N37-1</f>
        <v>-3.3273080805510391E-2</v>
      </c>
      <c r="P40" s="129" t="s">
        <v>778</v>
      </c>
      <c r="Q40" s="116">
        <v>2733399</v>
      </c>
      <c r="R40" s="116">
        <v>3897555477</v>
      </c>
      <c r="S40" s="116">
        <v>5655.1</v>
      </c>
      <c r="T40" s="130">
        <f t="shared" ref="T40" si="63">Q40/S40</f>
        <v>483.35113437428157</v>
      </c>
      <c r="U40" s="85">
        <f>Q38+Q39+Q40</f>
        <v>8461375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168927.22222222222</v>
      </c>
      <c r="G41" s="190">
        <f t="shared" ref="G41" si="64">F41/F40-1</f>
        <v>0.29782430836722584</v>
      </c>
      <c r="H41" s="190">
        <f t="shared" ref="H41" si="65">F41/F29-1</f>
        <v>0.81486323274142825</v>
      </c>
      <c r="I41" s="130">
        <f t="shared" si="0"/>
        <v>604.52415460377858</v>
      </c>
      <c r="J41" s="130">
        <f t="shared" si="5"/>
        <v>2.8861020822958494E-2</v>
      </c>
      <c r="K41" s="193"/>
      <c r="L41" s="190"/>
      <c r="M41" s="190"/>
      <c r="N41" s="193"/>
      <c r="O41" s="193"/>
      <c r="P41" s="129" t="s">
        <v>792</v>
      </c>
      <c r="Q41" s="116">
        <v>3040690</v>
      </c>
      <c r="R41" s="116">
        <v>4446613671</v>
      </c>
      <c r="S41" s="116">
        <v>5029.8900000000003</v>
      </c>
      <c r="T41" s="130">
        <f t="shared" ref="T41" si="66">Q41/S41</f>
        <v>604.52415460377858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160719.15</v>
      </c>
      <c r="G42" s="190">
        <f t="shared" ref="G42" si="67">F42/F41-1</f>
        <v>-4.8589399116647836E-2</v>
      </c>
      <c r="H42" s="190">
        <f t="shared" ref="H42" si="68">F42/F30-1</f>
        <v>0.59805734067383254</v>
      </c>
      <c r="I42" s="130">
        <f t="shared" si="0"/>
        <v>528.76403385397384</v>
      </c>
      <c r="J42" s="130">
        <f t="shared" si="5"/>
        <v>1.4853047402451747E-2</v>
      </c>
      <c r="K42" s="193"/>
      <c r="L42" s="190"/>
      <c r="M42" s="190"/>
      <c r="N42" s="193"/>
      <c r="O42" s="193"/>
      <c r="P42" s="129" t="s">
        <v>826</v>
      </c>
      <c r="Q42" s="116">
        <v>3214383</v>
      </c>
      <c r="R42" s="116">
        <v>4653820350</v>
      </c>
      <c r="S42" s="116">
        <v>6079.05</v>
      </c>
      <c r="T42" s="130">
        <f t="shared" ref="T42" si="69">Q42/S42</f>
        <v>528.76403385397384</v>
      </c>
      <c r="U42" s="78"/>
    </row>
    <row r="43" spans="1:21" s="79" customFormat="1" ht="13.2">
      <c r="A43" s="129" t="s">
        <v>835</v>
      </c>
      <c r="B43" s="188">
        <f>SUM(F41:F43)</f>
        <v>510082.77222222218</v>
      </c>
      <c r="C43" s="188">
        <f>AVERAGE(F41:F43)</f>
        <v>170027.59074074074</v>
      </c>
      <c r="D43" s="190">
        <f>C43/C40-1</f>
        <v>0.24694506901223456</v>
      </c>
      <c r="E43" s="287">
        <f>C43/C31-1</f>
        <v>0.60756271477164892</v>
      </c>
      <c r="F43" s="136">
        <f>Q43/20</f>
        <v>180436.4</v>
      </c>
      <c r="G43" s="190">
        <f t="shared" ref="G43" si="70">F43/F42-1</f>
        <v>0.12268139795413302</v>
      </c>
      <c r="H43" s="190">
        <f t="shared" ref="H43" si="71">F43/F31-1</f>
        <v>0.45924521130120777</v>
      </c>
      <c r="I43" s="130">
        <f t="shared" si="0"/>
        <v>674.46556396598453</v>
      </c>
      <c r="J43" s="130">
        <f t="shared" si="5"/>
        <v>0.16886891441822582</v>
      </c>
      <c r="K43" s="136">
        <f>R41+R42+R43</f>
        <v>14329437106</v>
      </c>
      <c r="L43" s="190">
        <f>U43/U40-1</f>
        <v>0.1657444564269992</v>
      </c>
      <c r="M43" s="190">
        <f>K43/K31-1</f>
        <v>0.68113332355364919</v>
      </c>
      <c r="N43" s="191">
        <f>AVERAGE(T41:T43)</f>
        <v>602.58458414124561</v>
      </c>
      <c r="O43" s="192">
        <f>N43/N40-1</f>
        <v>0.13502113516468617</v>
      </c>
      <c r="P43" s="129" t="s">
        <v>835</v>
      </c>
      <c r="Q43" s="116">
        <v>3608728</v>
      </c>
      <c r="R43" s="116">
        <v>5229003085</v>
      </c>
      <c r="S43" s="116">
        <v>5350.5</v>
      </c>
      <c r="T43" s="130">
        <f t="shared" ref="T43" si="72">Q43/S43</f>
        <v>674.46556396598453</v>
      </c>
      <c r="U43" s="85">
        <f>Q41+Q42+Q43</f>
        <v>9863801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167600.77272727274</v>
      </c>
      <c r="G44" s="190">
        <f t="shared" ref="G44" si="73">F44/F43-1</f>
        <v>-7.1136573733056374E-2</v>
      </c>
      <c r="H44" s="190">
        <f t="shared" ref="H44" si="74">F44/F32-1</f>
        <v>0.37924373434621916</v>
      </c>
      <c r="I44" s="130">
        <f t="shared" si="0"/>
        <v>683.24815624652558</v>
      </c>
      <c r="J44" s="130">
        <f t="shared" si="5"/>
        <v>0.16402891213289594</v>
      </c>
      <c r="K44" s="136"/>
      <c r="L44" s="190"/>
      <c r="M44" s="190"/>
      <c r="N44" s="191"/>
      <c r="O44" s="192"/>
      <c r="P44" s="129" t="s">
        <v>843</v>
      </c>
      <c r="Q44" s="116">
        <v>3687217</v>
      </c>
      <c r="R44" s="116">
        <v>5353129445</v>
      </c>
      <c r="S44" s="116">
        <v>5396.6</v>
      </c>
      <c r="T44" s="130">
        <f t="shared" ref="T44" si="75">Q44/S44</f>
        <v>683.24815624652558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179995.5</v>
      </c>
      <c r="G45" s="190">
        <f t="shared" ref="G45" si="76">F45/F44-1</f>
        <v>7.3953879036682713E-2</v>
      </c>
      <c r="H45" s="190">
        <f t="shared" ref="H45" si="77">F45/F33-1</f>
        <v>0.4748013357820331</v>
      </c>
      <c r="I45" s="130">
        <f t="shared" si="0"/>
        <v>606.38744072835698</v>
      </c>
      <c r="J45" s="130">
        <f t="shared" si="5"/>
        <v>0.11300672199198747</v>
      </c>
      <c r="K45" s="136"/>
      <c r="L45" s="190"/>
      <c r="M45" s="190"/>
      <c r="N45" s="191"/>
      <c r="O45" s="192"/>
      <c r="P45" s="129" t="s">
        <v>849</v>
      </c>
      <c r="Q45" s="116">
        <v>3599910</v>
      </c>
      <c r="R45" s="116">
        <v>5067104822</v>
      </c>
      <c r="S45" s="116">
        <v>5936.65</v>
      </c>
      <c r="T45" s="130">
        <f t="shared" ref="T45" si="78">Q45/S45</f>
        <v>606.38744072835698</v>
      </c>
      <c r="U45" s="85"/>
    </row>
    <row r="46" spans="1:21" s="79" customFormat="1" ht="13.2">
      <c r="A46" s="129" t="s">
        <v>893</v>
      </c>
      <c r="B46" s="188">
        <f>SUM(F44:F46)</f>
        <v>542162.74641148327</v>
      </c>
      <c r="C46" s="188">
        <f>AVERAGE(F44:F46)</f>
        <v>180720.91547049442</v>
      </c>
      <c r="D46" s="190">
        <f>C46/C43-1</f>
        <v>6.2891702947546646E-2</v>
      </c>
      <c r="E46" s="287">
        <f>C46/C34-1</f>
        <v>0.42651081494563847</v>
      </c>
      <c r="F46" s="136">
        <f>Q46/19</f>
        <v>194566.47368421053</v>
      </c>
      <c r="G46" s="190">
        <f t="shared" ref="G46" si="79">F46/F45-1</f>
        <v>8.0951877598109512E-2</v>
      </c>
      <c r="H46" s="190">
        <f t="shared" ref="H46" si="80">F46/F34-1</f>
        <v>0.42541189988702399</v>
      </c>
      <c r="I46" s="130">
        <f t="shared" si="0"/>
        <v>638.60610143725819</v>
      </c>
      <c r="J46" s="130">
        <f t="shared" si="5"/>
        <v>0.11217487704182583</v>
      </c>
      <c r="K46" s="136">
        <f>R44+R45+R46</f>
        <v>15473258439</v>
      </c>
      <c r="L46" s="190">
        <f>U46/U43-1</f>
        <v>0.11355551475541725</v>
      </c>
      <c r="M46" s="190">
        <f>K46/K34-1</f>
        <v>0.46868565350444058</v>
      </c>
      <c r="N46" s="191">
        <f>AVERAGE(T44:T46)</f>
        <v>642.7472328040468</v>
      </c>
      <c r="O46" s="192">
        <f>N46/N43-1</f>
        <v>6.6650640789355231E-2</v>
      </c>
      <c r="P46" s="129" t="s">
        <v>928</v>
      </c>
      <c r="Q46" s="116">
        <v>3696763</v>
      </c>
      <c r="R46" s="116">
        <v>5053024172</v>
      </c>
      <c r="S46" s="116">
        <v>5788.8</v>
      </c>
      <c r="T46" s="130">
        <f t="shared" ref="T46" si="81">Q46/S46</f>
        <v>638.60610143725819</v>
      </c>
      <c r="U46" s="85">
        <f t="shared" ref="U46:U51" si="82">Q44+Q45+Q46</f>
        <v>10983890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193946.65217391305</v>
      </c>
      <c r="G47" s="190">
        <f t="shared" ref="G47" si="83">F47/F46-1</f>
        <v>-3.1856542320003456E-3</v>
      </c>
      <c r="H47" s="190">
        <f t="shared" ref="H47" si="84">F47/F35-1</f>
        <v>0.85692151620091428</v>
      </c>
      <c r="I47" s="130">
        <f t="shared" si="0"/>
        <v>741.28772268013824</v>
      </c>
      <c r="J47" s="130">
        <f t="shared" si="5"/>
        <v>0.50954487281855343</v>
      </c>
      <c r="K47" s="136"/>
      <c r="L47" s="190"/>
      <c r="M47" s="190"/>
      <c r="N47" s="191"/>
      <c r="O47" s="192"/>
      <c r="P47" s="129" t="s">
        <v>1038</v>
      </c>
      <c r="Q47" s="116">
        <v>4460773</v>
      </c>
      <c r="R47" s="116">
        <v>6121794497</v>
      </c>
      <c r="S47" s="116">
        <v>6017.6</v>
      </c>
      <c r="T47" s="130">
        <f t="shared" ref="T47" si="85">Q47/S47</f>
        <v>741.28772268013824</v>
      </c>
      <c r="U47" s="85">
        <f t="shared" si="82"/>
        <v>11757446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248033.55</v>
      </c>
      <c r="G48" s="190">
        <f t="shared" ref="G48" si="86">F48/F47-1</f>
        <v>0.27887512993824148</v>
      </c>
      <c r="H48" s="190">
        <f t="shared" ref="H48" si="87">F48/F36-1</f>
        <v>1.1239108885456437</v>
      </c>
      <c r="I48" s="130">
        <f t="shared" si="0"/>
        <v>653.16677200189599</v>
      </c>
      <c r="J48" s="130">
        <f t="shared" si="5"/>
        <v>0.24648134556757739</v>
      </c>
      <c r="K48" s="136"/>
      <c r="L48" s="190"/>
      <c r="M48" s="190"/>
      <c r="N48" s="191"/>
      <c r="O48" s="192"/>
      <c r="P48" s="129" t="s">
        <v>1070</v>
      </c>
      <c r="Q48" s="116">
        <v>4960671</v>
      </c>
      <c r="R48" s="116">
        <v>6878241386</v>
      </c>
      <c r="S48" s="116">
        <v>7594.8</v>
      </c>
      <c r="T48" s="130">
        <f t="shared" ref="T48" si="88">Q48/S48</f>
        <v>653.16677200189599</v>
      </c>
      <c r="U48" s="85">
        <f t="shared" si="82"/>
        <v>13118207</v>
      </c>
    </row>
    <row r="49" spans="1:26" ht="13.2">
      <c r="A49" s="129" t="s">
        <v>1158</v>
      </c>
      <c r="B49" s="188">
        <f>SUM(F47:F49)</f>
        <v>630785.88399209478</v>
      </c>
      <c r="C49" s="188">
        <f>AVERAGE(F47:F49)</f>
        <v>210261.96133069825</v>
      </c>
      <c r="D49" s="190">
        <f>C49/C46-1</f>
        <v>0.16346224112076757</v>
      </c>
      <c r="E49" s="287">
        <f>C49/C37-1</f>
        <v>0.69369887683284603</v>
      </c>
      <c r="F49" s="136">
        <f>Q49/22</f>
        <v>188805.68181818182</v>
      </c>
      <c r="G49" s="190">
        <f t="shared" ref="G49" si="89">F49/F48-1</f>
        <v>-0.23878974510431417</v>
      </c>
      <c r="H49" s="190">
        <f t="shared" ref="H49" si="90">F49/F37-1</f>
        <v>0.24868041655497919</v>
      </c>
      <c r="I49" s="130">
        <f t="shared" si="0"/>
        <v>775.41886405003038</v>
      </c>
      <c r="J49" s="130">
        <f t="shared" si="5"/>
        <v>0.22606025317236633</v>
      </c>
      <c r="K49" s="136">
        <f>R47+R48+R49</f>
        <v>18768294370</v>
      </c>
      <c r="L49" s="190">
        <f>U49/U46-1</f>
        <v>0.23591632836818288</v>
      </c>
      <c r="M49" s="190">
        <f>K49/K37-1</f>
        <v>0.82094327625646146</v>
      </c>
      <c r="N49" s="191">
        <f>AVERAGE(T47:T49)</f>
        <v>723.29111957735495</v>
      </c>
      <c r="O49" s="192">
        <f>N49/N46-1</f>
        <v>0.12531191526399521</v>
      </c>
      <c r="P49" s="129" t="s">
        <v>1165</v>
      </c>
      <c r="Q49" s="116">
        <v>4153725</v>
      </c>
      <c r="R49" s="116">
        <v>5768258487</v>
      </c>
      <c r="S49" s="116">
        <v>5356.75</v>
      </c>
      <c r="T49" s="130">
        <f t="shared" ref="T49" si="91">Q49/S49</f>
        <v>775.41886405003038</v>
      </c>
      <c r="U49" s="85">
        <f t="shared" si="82"/>
        <v>13575169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438906.44444444444</v>
      </c>
      <c r="G50" s="190">
        <f t="shared" ref="G50" si="92">F50/F49-1</f>
        <v>1.3246463783177216</v>
      </c>
      <c r="H50" s="190">
        <f t="shared" ref="H50" si="93">F50/F38-1</f>
        <v>2.4021118087314504</v>
      </c>
      <c r="I50" s="130">
        <f t="shared" ref="I50" si="94">T50</f>
        <v>786.31312523078361</v>
      </c>
      <c r="J50" s="130">
        <f t="shared" ref="J50" si="95">I50/I38-1</f>
        <v>0.50259495204360216</v>
      </c>
      <c r="K50" s="136"/>
      <c r="L50" s="190"/>
      <c r="M50" s="190"/>
      <c r="N50" s="191"/>
      <c r="O50" s="192"/>
      <c r="P50" s="129" t="s">
        <v>1291</v>
      </c>
      <c r="Q50" s="116">
        <v>7900316</v>
      </c>
      <c r="R50" s="116">
        <v>11212741213</v>
      </c>
      <c r="S50" s="116">
        <v>10047.290000000001</v>
      </c>
      <c r="T50" s="130">
        <f t="shared" ref="T50" si="96">Q50/S50</f>
        <v>786.31312523078361</v>
      </c>
      <c r="U50" s="85">
        <f t="shared" si="82"/>
        <v>17014712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179684.1</v>
      </c>
      <c r="G51" s="190">
        <f t="shared" ref="G51:G52" si="97">F51/F50-1</f>
        <v>-0.59060956549079813</v>
      </c>
      <c r="H51" s="190">
        <f t="shared" ref="H51:H52" si="98">F51/F39-1</f>
        <v>0.19874034874146074</v>
      </c>
      <c r="I51" s="130">
        <f t="shared" ref="I51:I52" si="99">T51</f>
        <v>709.44270062185376</v>
      </c>
      <c r="J51" s="130">
        <f t="shared" ref="J51:J52" si="100">I51/I39-1</f>
        <v>0.2105490830030734</v>
      </c>
      <c r="K51" s="136"/>
      <c r="L51" s="190"/>
      <c r="M51" s="190"/>
      <c r="N51" s="191"/>
      <c r="O51" s="192"/>
      <c r="P51" s="129" t="s">
        <v>1402</v>
      </c>
      <c r="Q51" s="116">
        <v>3593682</v>
      </c>
      <c r="R51" s="116">
        <v>5220180541</v>
      </c>
      <c r="S51" s="116">
        <v>5065.5</v>
      </c>
      <c r="T51" s="130">
        <f t="shared" ref="T51:T52" si="101">Q51/S51</f>
        <v>709.44270062185376</v>
      </c>
      <c r="U51" s="85">
        <f t="shared" si="82"/>
        <v>15647723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787625.90808080812</v>
      </c>
      <c r="C52" s="188">
        <f>AVERAGE(F50:F52)</f>
        <v>262541.96936026937</v>
      </c>
      <c r="D52" s="190">
        <f>C52/C49-1</f>
        <v>0.24864225416096808</v>
      </c>
      <c r="E52" s="287">
        <f>C52/C40-1</f>
        <v>0.92542523643549934</v>
      </c>
      <c r="F52" s="136">
        <f>Q52/22</f>
        <v>169035.36363636365</v>
      </c>
      <c r="G52" s="190">
        <f t="shared" si="97"/>
        <v>-5.9263654177728387E-2</v>
      </c>
      <c r="H52" s="190">
        <f t="shared" si="98"/>
        <v>0.29865513097928131</v>
      </c>
      <c r="I52" s="130">
        <f t="shared" si="99"/>
        <v>590.35250228201767</v>
      </c>
      <c r="J52" s="130">
        <f t="shared" si="100"/>
        <v>0.221373987352391</v>
      </c>
      <c r="K52" s="136">
        <f>R50+R51+R52</f>
        <v>21907494189</v>
      </c>
      <c r="L52" s="190">
        <f>U52/U49-1</f>
        <v>0.12063253135191165</v>
      </c>
      <c r="M52" s="190">
        <f>K52/K40-1</f>
        <v>0.8662645758937455</v>
      </c>
      <c r="N52" s="191">
        <f>AVERAGE(T50:T52)</f>
        <v>695.36944271155164</v>
      </c>
      <c r="O52" s="192">
        <f>N52/N49-1</f>
        <v>-3.8603649498861414E-2</v>
      </c>
      <c r="P52" s="129" t="s">
        <v>1403</v>
      </c>
      <c r="Q52" s="116">
        <v>3718778</v>
      </c>
      <c r="R52" s="116">
        <v>5474572435</v>
      </c>
      <c r="S52" s="116">
        <v>6299.25</v>
      </c>
      <c r="T52" s="130">
        <f t="shared" si="101"/>
        <v>590.35250228201767</v>
      </c>
      <c r="U52" s="85">
        <f t="shared" ref="U52" si="102">Q50+Q51+Q52</f>
        <v>15212776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183971.61904761905</v>
      </c>
      <c r="G53" s="190">
        <f t="shared" ref="G53" si="103">F53/F52-1</f>
        <v>8.8361719642210179E-2</v>
      </c>
      <c r="H53" s="190">
        <f t="shared" ref="H53" si="104">F53/F41-1</f>
        <v>8.9058451488689405E-2</v>
      </c>
      <c r="I53" s="130">
        <f t="shared" ref="I53" si="105">T53</f>
        <v>660.55773077777974</v>
      </c>
      <c r="J53" s="130">
        <f t="shared" ref="J53" si="106">I53/I41-1</f>
        <v>9.2690384242341883E-2</v>
      </c>
      <c r="K53" s="136"/>
      <c r="L53" s="190"/>
      <c r="M53" s="190"/>
      <c r="N53" s="191"/>
      <c r="O53" s="192"/>
      <c r="P53" s="129" t="s">
        <v>1414</v>
      </c>
      <c r="Q53" s="116">
        <v>3863404</v>
      </c>
      <c r="R53" s="116">
        <v>5638588164</v>
      </c>
      <c r="S53" s="116">
        <v>5848.7</v>
      </c>
      <c r="T53" s="130">
        <f t="shared" ref="T53" si="107">Q53/S53</f>
        <v>660.55773077777974</v>
      </c>
      <c r="U53" s="85">
        <f t="shared" ref="U53" si="108">Q51+Q52+Q53</f>
        <v>11175864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252031.17647058822</v>
      </c>
      <c r="G54" s="190">
        <f t="shared" ref="G54" si="109">F54/F53-1</f>
        <v>0.36994596109605737</v>
      </c>
      <c r="H54" s="190">
        <f t="shared" ref="H54" si="110">F54/F42-1</f>
        <v>0.56814652435996726</v>
      </c>
      <c r="I54" s="130">
        <f t="shared" ref="I54" si="111">T54</f>
        <v>773.03202525935944</v>
      </c>
      <c r="J54" s="130">
        <f t="shared" ref="J54" si="112">I54/I42-1</f>
        <v>0.4619602994269536</v>
      </c>
      <c r="K54" s="136"/>
      <c r="L54" s="190"/>
      <c r="M54" s="190"/>
      <c r="N54" s="191"/>
      <c r="O54" s="192"/>
      <c r="P54" s="129" t="s">
        <v>1417</v>
      </c>
      <c r="Q54" s="116">
        <v>4284530</v>
      </c>
      <c r="R54" s="116">
        <v>6212701453</v>
      </c>
      <c r="S54" s="116">
        <v>5542.5</v>
      </c>
      <c r="T54" s="130">
        <f t="shared" ref="T54" si="113">Q54/S54</f>
        <v>773.03202525935944</v>
      </c>
      <c r="U54" s="85">
        <f t="shared" ref="U54" si="114">Q52+Q53+Q54</f>
        <v>11866712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651760.93837535009</v>
      </c>
      <c r="C55" s="188">
        <f>AVERAGE(F53:F55)</f>
        <v>217253.64612511671</v>
      </c>
      <c r="D55" s="190">
        <f>C55/C52-1</f>
        <v>-0.17249936589378756</v>
      </c>
      <c r="E55" s="287">
        <f>C55/C43-1</f>
        <v>0.2777552465375257</v>
      </c>
      <c r="F55" s="136">
        <f>Q55/21</f>
        <v>215758.14285714287</v>
      </c>
      <c r="G55" s="190">
        <f t="shared" ref="G55" si="115">F55/F54-1</f>
        <v>-0.1439228040015057</v>
      </c>
      <c r="H55" s="190">
        <f t="shared" ref="H55" si="116">F55/F43-1</f>
        <v>0.19575730205846975</v>
      </c>
      <c r="I55" s="130">
        <f>T55</f>
        <v>756.18316941568776</v>
      </c>
      <c r="J55" s="130">
        <f t="shared" ref="J55" si="117">I55/I43-1</f>
        <v>0.12115904771948371</v>
      </c>
      <c r="K55" s="136">
        <f>R53+R54+R55</f>
        <v>18536314467</v>
      </c>
      <c r="L55" s="190">
        <f>U55/U52-1</f>
        <v>-0.1665653264072251</v>
      </c>
      <c r="M55" s="190">
        <f>K55/K43-1</f>
        <v>0.29358287627631263</v>
      </c>
      <c r="N55" s="191">
        <f>AVERAGE(T53:T55)</f>
        <v>729.92430848427557</v>
      </c>
      <c r="O55" s="192">
        <f>N55/N52-1</f>
        <v>4.9692816005804552E-2</v>
      </c>
      <c r="P55" s="129" t="s">
        <v>1418</v>
      </c>
      <c r="Q55" s="116">
        <v>4530921</v>
      </c>
      <c r="R55" s="116">
        <v>6685024850</v>
      </c>
      <c r="S55" s="116">
        <v>5991.83</v>
      </c>
      <c r="T55" s="130">
        <f t="shared" ref="T55" si="118">Q55/S55</f>
        <v>756.18316941568776</v>
      </c>
      <c r="U55" s="85">
        <f t="shared" ref="U55" si="119">Q53+Q54+Q55</f>
        <v>12678855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171919.45454545456</v>
      </c>
      <c r="G56" s="190">
        <f t="shared" ref="G56" si="120">F56/F55-1</f>
        <v>-0.20318439772961272</v>
      </c>
      <c r="H56" s="190">
        <f t="shared" ref="H56" si="121">F56/F44-1</f>
        <v>2.5767672474931613E-2</v>
      </c>
      <c r="I56" s="291">
        <f>T56</f>
        <v>621.93478793499514</v>
      </c>
      <c r="J56" s="130">
        <f t="shared" ref="J56" si="122">I56/I44-1</f>
        <v>-8.9738066251594417E-2</v>
      </c>
      <c r="K56" s="136"/>
      <c r="L56" s="190"/>
      <c r="M56" s="190"/>
      <c r="N56" s="191"/>
      <c r="O56" s="192"/>
      <c r="P56" s="129" t="s">
        <v>1420</v>
      </c>
      <c r="Q56" s="116">
        <v>3782228</v>
      </c>
      <c r="R56" s="116">
        <v>5649258405</v>
      </c>
      <c r="S56" s="116">
        <v>6081.39</v>
      </c>
      <c r="T56" s="130">
        <f t="shared" ref="T56" si="123">Q56/S56</f>
        <v>621.93478793499514</v>
      </c>
      <c r="U56" s="85">
        <f t="shared" ref="U56" si="124">Q54+Q55+Q56</f>
        <v>12597679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231157.41666666666</v>
      </c>
      <c r="G57" s="254">
        <f t="shared" ref="G57" si="125">F57/F56-1</f>
        <v>0.34456811346821659</v>
      </c>
      <c r="H57" s="254">
        <f t="shared" ref="H57" si="126">F57/F45-1</f>
        <v>0.2842399763697796</v>
      </c>
      <c r="I57" s="282">
        <f>T57</f>
        <v>733.58077909713586</v>
      </c>
      <c r="J57" s="277">
        <f t="shared" ref="J57" si="127">I57/I45-1</f>
        <v>0.20975589173812992</v>
      </c>
      <c r="K57" s="204"/>
      <c r="L57" s="254"/>
      <c r="M57" s="254"/>
      <c r="N57" s="257"/>
      <c r="O57" s="258"/>
      <c r="P57" s="129" t="s">
        <v>1436</v>
      </c>
      <c r="Q57" s="116">
        <v>2773889</v>
      </c>
      <c r="R57" s="116">
        <v>4093097572</v>
      </c>
      <c r="S57" s="116">
        <v>3781.3</v>
      </c>
      <c r="T57" s="130">
        <f t="shared" ref="T57" si="128">Q57/S57</f>
        <v>733.58077909713586</v>
      </c>
      <c r="U57" s="85">
        <f t="shared" ref="U57" si="129">Q55+Q56+Q57</f>
        <v>11087038</v>
      </c>
      <c r="V57" s="79"/>
      <c r="W57" s="79"/>
      <c r="X57" s="79"/>
      <c r="Y57" s="79"/>
      <c r="Z57" s="79"/>
    </row>
    <row r="58" spans="1:26">
      <c r="B58" s="196">
        <f>SUM(F56:F58)</f>
        <v>403076.87121212122</v>
      </c>
      <c r="C58" s="196">
        <f>AVERAGE(F56:F58)</f>
        <v>201538.43560606061</v>
      </c>
      <c r="D58" s="197">
        <f>C58/C55-1</f>
        <v>-7.2335773412086635E-2</v>
      </c>
      <c r="E58" s="233">
        <f>C58/C46-1</f>
        <v>0.11519153763342338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19234972</v>
      </c>
      <c r="R66" s="212">
        <v>28278670444</v>
      </c>
      <c r="S66" s="213">
        <v>27245.72</v>
      </c>
      <c r="T66" s="214">
        <v>12</v>
      </c>
      <c r="U66" s="214">
        <v>44</v>
      </c>
    </row>
    <row r="67" spans="16:21" ht="18" thickBot="1">
      <c r="P67" s="180" t="s">
        <v>976</v>
      </c>
      <c r="Q67" s="181">
        <v>3863404</v>
      </c>
      <c r="R67" s="181">
        <v>5638588164</v>
      </c>
      <c r="S67" s="182">
        <v>5848.7</v>
      </c>
      <c r="T67" s="210">
        <v>8</v>
      </c>
      <c r="U67" s="210">
        <v>27</v>
      </c>
    </row>
    <row r="68" spans="16:21" ht="18" thickBot="1">
      <c r="P68" s="180" t="s">
        <v>977</v>
      </c>
      <c r="Q68" s="181">
        <v>4284530</v>
      </c>
      <c r="R68" s="181">
        <v>6212701453</v>
      </c>
      <c r="S68" s="182">
        <v>5542.5</v>
      </c>
      <c r="T68" s="210">
        <v>7</v>
      </c>
      <c r="U68" s="210">
        <v>29</v>
      </c>
    </row>
    <row r="69" spans="16:21" ht="18" thickBot="1">
      <c r="P69" s="180" t="s">
        <v>978</v>
      </c>
      <c r="Q69" s="181">
        <v>4530921</v>
      </c>
      <c r="R69" s="181">
        <v>6685024850</v>
      </c>
      <c r="S69" s="182">
        <v>5991.83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3782228</v>
      </c>
      <c r="R70" s="181">
        <v>5649258405</v>
      </c>
      <c r="S70" s="182">
        <v>6081.39</v>
      </c>
      <c r="T70" s="210">
        <v>7</v>
      </c>
      <c r="U70" s="210">
        <v>29</v>
      </c>
    </row>
    <row r="71" spans="16:21" ht="18" thickBot="1">
      <c r="P71" s="180" t="s">
        <v>980</v>
      </c>
      <c r="Q71" s="181">
        <v>2773889</v>
      </c>
      <c r="R71" s="181">
        <v>4093097572</v>
      </c>
      <c r="S71" s="182">
        <v>3781.3</v>
      </c>
      <c r="T71" s="210">
        <v>5</v>
      </c>
      <c r="U71" s="210">
        <v>26</v>
      </c>
    </row>
    <row r="72" spans="16:21" ht="18" thickBot="1">
      <c r="P72" s="215" t="s">
        <v>975</v>
      </c>
      <c r="Q72" s="217" t="s">
        <v>1483</v>
      </c>
      <c r="R72"/>
      <c r="S72"/>
      <c r="T72"/>
      <c r="U72"/>
    </row>
  </sheetData>
  <phoneticPr fontId="1" type="noConversion"/>
  <conditionalFormatting sqref="C29:C30">
    <cfRule type="cellIs" dxfId="21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13">
    <tabColor rgb="FFFF0000"/>
  </sheetPr>
  <dimension ref="A1:Z74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3430884.95</v>
      </c>
      <c r="G5" s="90"/>
      <c r="H5" s="90"/>
      <c r="I5" s="130">
        <f t="shared" ref="I5:I49" si="0">T5</f>
        <v>151.9940843921074</v>
      </c>
      <c r="J5" s="130"/>
      <c r="L5" s="80"/>
      <c r="M5" s="80"/>
      <c r="P5" s="129" t="s">
        <v>0</v>
      </c>
      <c r="Q5" s="116">
        <v>68617699</v>
      </c>
      <c r="R5" s="116"/>
      <c r="S5" s="116">
        <v>451449.8</v>
      </c>
      <c r="T5" s="130">
        <f t="shared" ref="T5:T20" si="1">Q5/S5</f>
        <v>151.9940843921074</v>
      </c>
      <c r="U5" s="85"/>
    </row>
    <row r="6" spans="1:21" ht="15" hidden="1" customHeight="1">
      <c r="A6" s="129" t="s">
        <v>1</v>
      </c>
      <c r="C6" s="79"/>
      <c r="F6" s="78">
        <f>Q6/18</f>
        <v>6290587.666666667</v>
      </c>
      <c r="G6" s="90">
        <f t="shared" ref="G6:G16" si="2">F6/F5-1</f>
        <v>0.83351752050638317</v>
      </c>
      <c r="H6" s="90"/>
      <c r="I6" s="130">
        <f t="shared" si="0"/>
        <v>180.0099172669232</v>
      </c>
      <c r="J6" s="130"/>
      <c r="P6" s="129" t="s">
        <v>1</v>
      </c>
      <c r="Q6" s="116">
        <v>113230578</v>
      </c>
      <c r="R6" s="116"/>
      <c r="S6" s="116">
        <v>629024.11</v>
      </c>
      <c r="T6" s="130">
        <f t="shared" si="1"/>
        <v>180.0099172669232</v>
      </c>
      <c r="U6" s="85"/>
    </row>
    <row r="7" spans="1:21" ht="15" hidden="1" customHeight="1">
      <c r="A7" s="129" t="s">
        <v>2</v>
      </c>
      <c r="B7" s="131">
        <f>F5+F6+F7</f>
        <v>13298755.753030304</v>
      </c>
      <c r="C7" s="131">
        <f>AVERAGE(F5:F7)</f>
        <v>4432918.5843434343</v>
      </c>
      <c r="F7" s="78">
        <f>Q7/22</f>
        <v>3577283.1363636362</v>
      </c>
      <c r="G7" s="90">
        <f t="shared" si="2"/>
        <v>-0.43132767144803019</v>
      </c>
      <c r="H7" s="90"/>
      <c r="I7" s="130">
        <f t="shared" si="0"/>
        <v>165.63147436712021</v>
      </c>
      <c r="J7" s="130"/>
      <c r="K7" s="79">
        <f>R5+R6+R7</f>
        <v>0</v>
      </c>
      <c r="N7" s="88">
        <f>AVERAGE(T5:T7)</f>
        <v>165.8784920087169</v>
      </c>
      <c r="P7" s="129" t="s">
        <v>2</v>
      </c>
      <c r="Q7" s="116">
        <v>78700229</v>
      </c>
      <c r="R7" s="116"/>
      <c r="S7" s="116">
        <v>475152.62</v>
      </c>
      <c r="T7" s="130">
        <f t="shared" si="1"/>
        <v>165.63147436712021</v>
      </c>
      <c r="U7" s="85">
        <f>Q5+Q6+Q7</f>
        <v>260548506</v>
      </c>
    </row>
    <row r="8" spans="1:21" ht="15" hidden="1" customHeight="1">
      <c r="A8" s="129" t="s">
        <v>3</v>
      </c>
      <c r="C8" s="79"/>
      <c r="F8" s="78">
        <f>Q8/21</f>
        <v>2860293.6190476189</v>
      </c>
      <c r="G8" s="90">
        <f t="shared" si="2"/>
        <v>-0.20042850677032187</v>
      </c>
      <c r="H8" s="90"/>
      <c r="I8" s="130">
        <f t="shared" si="0"/>
        <v>154.7951482604123</v>
      </c>
      <c r="J8" s="130"/>
      <c r="K8" s="78"/>
      <c r="P8" s="129" t="s">
        <v>3</v>
      </c>
      <c r="Q8" s="116">
        <v>60066166</v>
      </c>
      <c r="R8" s="116"/>
      <c r="S8" s="116">
        <v>388036.49</v>
      </c>
      <c r="T8" s="130">
        <f t="shared" si="1"/>
        <v>154.7951482604123</v>
      </c>
      <c r="U8" s="85"/>
    </row>
    <row r="9" spans="1:21" ht="15" hidden="1" customHeight="1">
      <c r="A9" s="129" t="s">
        <v>4</v>
      </c>
      <c r="C9" s="79"/>
      <c r="F9" s="78">
        <f>Q9/21</f>
        <v>2801083.2380952379</v>
      </c>
      <c r="G9" s="90">
        <f t="shared" si="2"/>
        <v>-2.0700805175412729E-2</v>
      </c>
      <c r="H9" s="90"/>
      <c r="I9" s="130">
        <f t="shared" si="0"/>
        <v>124.53914886909573</v>
      </c>
      <c r="J9" s="130"/>
      <c r="K9" s="78"/>
      <c r="P9" s="129" t="s">
        <v>4</v>
      </c>
      <c r="Q9" s="116">
        <v>58822748</v>
      </c>
      <c r="R9" s="116"/>
      <c r="S9" s="116">
        <v>472323.35</v>
      </c>
      <c r="T9" s="130">
        <f t="shared" si="1"/>
        <v>124.53914886909573</v>
      </c>
      <c r="U9" s="85"/>
    </row>
    <row r="10" spans="1:21" ht="15" hidden="1" customHeight="1">
      <c r="A10" s="129" t="s">
        <v>5</v>
      </c>
      <c r="B10" s="131">
        <f>F8+F9+F10</f>
        <v>9040225.0952380933</v>
      </c>
      <c r="C10" s="131">
        <f>AVERAGE(F8:F10)</f>
        <v>3013408.3650793643</v>
      </c>
      <c r="D10" s="90">
        <f>C10/C7-1</f>
        <v>-0.32022023239443631</v>
      </c>
      <c r="E10" s="286"/>
      <c r="F10" s="78">
        <f>Q10/21</f>
        <v>3378848.2380952379</v>
      </c>
      <c r="G10" s="90">
        <f t="shared" si="2"/>
        <v>0.20626484502220133</v>
      </c>
      <c r="H10" s="90"/>
      <c r="I10" s="130">
        <f t="shared" si="0"/>
        <v>293.16758168500161</v>
      </c>
      <c r="J10" s="130"/>
      <c r="K10" s="79">
        <f>R8+R9+R10</f>
        <v>0</v>
      </c>
      <c r="L10" s="87">
        <f>U10/U7-1</f>
        <v>-0.27136512922472866</v>
      </c>
      <c r="N10" s="88">
        <f>AVERAGE(T8:T10)</f>
        <v>190.83395960483654</v>
      </c>
      <c r="O10" s="89">
        <f>N10/N7-1</f>
        <v>0.15044426371327413</v>
      </c>
      <c r="P10" s="129" t="s">
        <v>5</v>
      </c>
      <c r="Q10" s="116">
        <v>70955813</v>
      </c>
      <c r="R10" s="116"/>
      <c r="S10" s="116">
        <v>242031.58</v>
      </c>
      <c r="T10" s="130">
        <f t="shared" si="1"/>
        <v>293.16758168500161</v>
      </c>
      <c r="U10" s="85">
        <f>Q8+Q9+Q10</f>
        <v>189844727</v>
      </c>
    </row>
    <row r="11" spans="1:21" ht="15" hidden="1" customHeight="1">
      <c r="A11" s="129" t="s">
        <v>6</v>
      </c>
      <c r="C11" s="79"/>
      <c r="F11" s="78">
        <f>Q11/21</f>
        <v>4503230.0952380951</v>
      </c>
      <c r="G11" s="90">
        <f t="shared" si="2"/>
        <v>0.33277074846566834</v>
      </c>
      <c r="H11" s="90"/>
      <c r="I11" s="130">
        <f t="shared" si="0"/>
        <v>253.46748629376046</v>
      </c>
      <c r="J11" s="130"/>
      <c r="K11" s="78"/>
      <c r="O11" s="89"/>
      <c r="P11" s="129" t="s">
        <v>6</v>
      </c>
      <c r="Q11" s="116">
        <v>94567832</v>
      </c>
      <c r="R11" s="116"/>
      <c r="S11" s="116">
        <v>373096.5</v>
      </c>
      <c r="T11" s="130">
        <f t="shared" si="1"/>
        <v>253.46748629376046</v>
      </c>
      <c r="U11" s="85"/>
    </row>
    <row r="12" spans="1:21" ht="15" hidden="1" customHeight="1">
      <c r="A12" s="129" t="s">
        <v>7</v>
      </c>
      <c r="C12" s="79"/>
      <c r="F12" s="78">
        <f>Q12/22</f>
        <v>2425884.3636363638</v>
      </c>
      <c r="G12" s="90">
        <f t="shared" si="2"/>
        <v>-0.46130126324177934</v>
      </c>
      <c r="H12" s="90"/>
      <c r="I12" s="130">
        <f t="shared" si="0"/>
        <v>150.34818481662236</v>
      </c>
      <c r="J12" s="130"/>
      <c r="K12" s="78"/>
      <c r="O12" s="89"/>
      <c r="P12" s="129" t="s">
        <v>7</v>
      </c>
      <c r="Q12" s="116">
        <v>53369456</v>
      </c>
      <c r="R12" s="116"/>
      <c r="S12" s="116">
        <v>354972.4</v>
      </c>
      <c r="T12" s="130">
        <f t="shared" si="1"/>
        <v>150.34818481662236</v>
      </c>
      <c r="U12" s="85"/>
    </row>
    <row r="13" spans="1:21" ht="15" hidden="1" customHeight="1">
      <c r="A13" s="129" t="s">
        <v>96</v>
      </c>
      <c r="B13" s="131">
        <f>F11+F12+F13</f>
        <v>12305088.858874459</v>
      </c>
      <c r="C13" s="131">
        <f>AVERAGE(F11:F13)</f>
        <v>4101696.2862914861</v>
      </c>
      <c r="D13" s="90">
        <f>C13/C10-1</f>
        <v>0.36114850341017735</v>
      </c>
      <c r="E13" s="286"/>
      <c r="F13" s="78">
        <f>Q13/20</f>
        <v>5375974.4000000004</v>
      </c>
      <c r="G13" s="90">
        <f t="shared" si="2"/>
        <v>1.2160884832702812</v>
      </c>
      <c r="H13" s="90"/>
      <c r="I13" s="130">
        <f t="shared" si="0"/>
        <v>279.73339344993542</v>
      </c>
      <c r="J13" s="130"/>
      <c r="K13" s="78">
        <f>R11+R12+R13</f>
        <v>0</v>
      </c>
      <c r="L13" s="87">
        <f>U13/U10-1</f>
        <v>0.34560901446580594</v>
      </c>
      <c r="N13" s="88">
        <f>AVERAGE(T11:T13)</f>
        <v>227.84968818677274</v>
      </c>
      <c r="O13" s="89">
        <f>N13/N10-1</f>
        <v>0.19396824683921743</v>
      </c>
      <c r="P13" s="129" t="s">
        <v>96</v>
      </c>
      <c r="Q13" s="116">
        <v>107519488</v>
      </c>
      <c r="R13" s="116"/>
      <c r="S13" s="116">
        <v>384364.15</v>
      </c>
      <c r="T13" s="130">
        <f t="shared" si="1"/>
        <v>279.73339344993542</v>
      </c>
      <c r="U13" s="85">
        <f>Q11+Q12+Q13</f>
        <v>255456776</v>
      </c>
    </row>
    <row r="14" spans="1:21" ht="15" hidden="1" customHeight="1">
      <c r="A14" s="129" t="s">
        <v>97</v>
      </c>
      <c r="C14" s="79"/>
      <c r="F14" s="78">
        <f>Q14/20</f>
        <v>4937994.3499999996</v>
      </c>
      <c r="G14" s="90">
        <f t="shared" si="2"/>
        <v>-8.1469891300077757E-2</v>
      </c>
      <c r="H14" s="90"/>
      <c r="I14" s="130">
        <f t="shared" si="0"/>
        <v>114.84540019225578</v>
      </c>
      <c r="J14" s="130"/>
      <c r="O14" s="89"/>
      <c r="P14" s="129" t="s">
        <v>97</v>
      </c>
      <c r="Q14" s="116">
        <v>98759887</v>
      </c>
      <c r="R14" s="116"/>
      <c r="S14" s="116">
        <v>859937.68</v>
      </c>
      <c r="T14" s="130">
        <f t="shared" si="1"/>
        <v>114.84540019225578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2795776.6363636362</v>
      </c>
      <c r="G15" s="90">
        <f t="shared" si="2"/>
        <v>-0.43382344364901182</v>
      </c>
      <c r="H15" s="90"/>
      <c r="I15" s="130">
        <f t="shared" si="0"/>
        <v>221.94316095087535</v>
      </c>
      <c r="J15" s="130"/>
      <c r="O15" s="89"/>
      <c r="P15" s="129" t="s">
        <v>98</v>
      </c>
      <c r="Q15" s="116">
        <v>61507086</v>
      </c>
      <c r="R15" s="116"/>
      <c r="S15" s="116">
        <v>277129.90000000002</v>
      </c>
      <c r="T15" s="130">
        <f t="shared" si="1"/>
        <v>221.94316095087535</v>
      </c>
      <c r="U15" s="78"/>
    </row>
    <row r="16" spans="1:21" ht="15" hidden="1" customHeight="1">
      <c r="A16" s="129" t="s">
        <v>99</v>
      </c>
      <c r="B16" s="131">
        <f>F14+F15+F16</f>
        <v>12095958.168181818</v>
      </c>
      <c r="C16" s="131">
        <f>AVERAGE(F14:F16)</f>
        <v>4031986.0560606061</v>
      </c>
      <c r="D16" s="90">
        <f>C16/C13-1</f>
        <v>-1.6995463672886402E-2</v>
      </c>
      <c r="E16" s="286"/>
      <c r="F16" s="78">
        <f>Q16/22</f>
        <v>4362187.1818181816</v>
      </c>
      <c r="G16" s="90">
        <f t="shared" si="2"/>
        <v>0.56027742884779164</v>
      </c>
      <c r="H16" s="90"/>
      <c r="I16" s="130">
        <f t="shared" si="0"/>
        <v>303.8375334886374</v>
      </c>
      <c r="J16" s="130"/>
      <c r="K16" s="78">
        <f>R14+R15+R16</f>
        <v>0</v>
      </c>
      <c r="L16" s="87">
        <f>U16/U13-1</f>
        <v>3.0467580942148409E-3</v>
      </c>
      <c r="N16" s="88">
        <f>AVERAGE(T14:T16)</f>
        <v>213.54203154392283</v>
      </c>
      <c r="O16" s="89">
        <f>N16/N13-1</f>
        <v>-6.2794277915015795E-2</v>
      </c>
      <c r="P16" s="129" t="s">
        <v>99</v>
      </c>
      <c r="Q16" s="116">
        <v>95968118</v>
      </c>
      <c r="R16" s="116"/>
      <c r="S16" s="116">
        <v>315853.40000000002</v>
      </c>
      <c r="T16" s="130">
        <f t="shared" si="1"/>
        <v>303.8375334886374</v>
      </c>
      <c r="U16" s="85">
        <f>Q14+Q15+Q16</f>
        <v>256235091</v>
      </c>
    </row>
    <row r="17" spans="1:21" ht="15" hidden="1" customHeight="1">
      <c r="A17" s="129" t="s">
        <v>100</v>
      </c>
      <c r="C17" s="79"/>
      <c r="F17" s="78">
        <f>Q17/20</f>
        <v>1234361.5</v>
      </c>
      <c r="G17" s="90">
        <f t="shared" ref="G17:G22" si="3">F17/F16-1</f>
        <v>-0.7170315145702868</v>
      </c>
      <c r="H17" s="90">
        <f t="shared" ref="H17:H22" si="4">F17/F5-1</f>
        <v>-0.64022066668251298</v>
      </c>
      <c r="I17" s="130">
        <f t="shared" si="0"/>
        <v>217.97685248136526</v>
      </c>
      <c r="J17" s="130">
        <f t="shared" ref="J17:J49" si="5">I17/I5-1</f>
        <v>0.43411405353802146</v>
      </c>
      <c r="O17" s="89"/>
      <c r="P17" s="129" t="s">
        <v>100</v>
      </c>
      <c r="Q17" s="116">
        <v>24687230</v>
      </c>
      <c r="R17" s="116">
        <v>31155209302</v>
      </c>
      <c r="S17" s="116">
        <v>113256.2</v>
      </c>
      <c r="T17" s="130">
        <f t="shared" si="1"/>
        <v>217.97685248136526</v>
      </c>
      <c r="U17" s="78"/>
    </row>
    <row r="18" spans="1:21" ht="15" hidden="1" customHeight="1">
      <c r="A18" s="129" t="s">
        <v>107</v>
      </c>
      <c r="C18" s="79"/>
      <c r="F18" s="78">
        <f>Q18/20</f>
        <v>1766534.7</v>
      </c>
      <c r="G18" s="90">
        <f t="shared" si="3"/>
        <v>0.43113237086542311</v>
      </c>
      <c r="H18" s="90">
        <f t="shared" si="4"/>
        <v>-0.7191781128239052</v>
      </c>
      <c r="I18" s="130">
        <f t="shared" si="0"/>
        <v>278.40993461868516</v>
      </c>
      <c r="J18" s="130">
        <f t="shared" si="5"/>
        <v>0.54663664561243008</v>
      </c>
      <c r="O18" s="89"/>
      <c r="P18" s="129" t="s">
        <v>107</v>
      </c>
      <c r="Q18" s="116">
        <v>35330694</v>
      </c>
      <c r="R18" s="116">
        <v>44240729783</v>
      </c>
      <c r="S18" s="116">
        <v>126901.7</v>
      </c>
      <c r="T18" s="130">
        <f t="shared" si="1"/>
        <v>278.40993461868516</v>
      </c>
      <c r="U18" s="78"/>
    </row>
    <row r="19" spans="1:21" hidden="1">
      <c r="A19" s="129" t="s">
        <v>114</v>
      </c>
      <c r="B19" s="131">
        <f>SUM(F17:F19)</f>
        <v>5948290.2000000002</v>
      </c>
      <c r="C19" s="131">
        <f>AVERAGE(F17:F19)</f>
        <v>1982763.4000000001</v>
      </c>
      <c r="D19" s="90">
        <f>C19/C16-1</f>
        <v>-0.5082415037076714</v>
      </c>
      <c r="E19" s="286">
        <f>C19/C7-1</f>
        <v>-0.55271829105932702</v>
      </c>
      <c r="F19" s="78">
        <f>Q19/22</f>
        <v>2947394</v>
      </c>
      <c r="G19" s="90">
        <f t="shared" si="3"/>
        <v>0.66846085729309479</v>
      </c>
      <c r="H19" s="90">
        <f t="shared" si="4"/>
        <v>-0.17608031356554243</v>
      </c>
      <c r="I19" s="130">
        <f t="shared" si="0"/>
        <v>257.00099942482342</v>
      </c>
      <c r="J19" s="130">
        <f t="shared" si="5"/>
        <v>0.55164349292202597</v>
      </c>
      <c r="K19" s="78">
        <f>R17+R18+R19</f>
        <v>160032467744</v>
      </c>
      <c r="L19" s="87">
        <f>U19/U16-1</f>
        <v>-0.5127108019720843</v>
      </c>
      <c r="M19" s="87">
        <f>U19/U7-1</f>
        <v>-0.52077793913736736</v>
      </c>
      <c r="N19" s="88">
        <f>AVERAGE(T17:T19)</f>
        <v>251.12926217495794</v>
      </c>
      <c r="O19" s="89">
        <f>N19/N16-1</f>
        <v>0.17601794999924358</v>
      </c>
      <c r="P19" s="129" t="s">
        <v>114</v>
      </c>
      <c r="Q19" s="116">
        <v>64842668</v>
      </c>
      <c r="R19" s="116">
        <v>84636528659</v>
      </c>
      <c r="S19" s="116">
        <v>252305.12</v>
      </c>
      <c r="T19" s="130">
        <f t="shared" si="1"/>
        <v>257.00099942482342</v>
      </c>
      <c r="U19" s="85">
        <f>Q17+Q18+Q19</f>
        <v>124860592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1622848.2</v>
      </c>
      <c r="G20" s="90">
        <f t="shared" si="3"/>
        <v>-0.44939556774560852</v>
      </c>
      <c r="H20" s="90">
        <f t="shared" si="4"/>
        <v>-0.43262880803812254</v>
      </c>
      <c r="I20" s="130">
        <f t="shared" si="0"/>
        <v>198.63289110227453</v>
      </c>
      <c r="J20" s="130">
        <f t="shared" si="5"/>
        <v>0.28319842924349192</v>
      </c>
      <c r="O20" s="89"/>
      <c r="P20" s="129" t="s">
        <v>132</v>
      </c>
      <c r="Q20" s="116">
        <v>32456964</v>
      </c>
      <c r="R20" s="116">
        <v>42552656240</v>
      </c>
      <c r="S20" s="116">
        <v>163401.76</v>
      </c>
      <c r="T20" s="130">
        <f t="shared" si="1"/>
        <v>198.63289110227453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2393295.9523809524</v>
      </c>
      <c r="G21" s="90">
        <f t="shared" si="3"/>
        <v>0.47475035088368256</v>
      </c>
      <c r="H21" s="90">
        <f t="shared" si="4"/>
        <v>-0.14558199491122037</v>
      </c>
      <c r="I21" s="130">
        <f t="shared" si="0"/>
        <v>275.15719818586126</v>
      </c>
      <c r="J21" s="130">
        <f t="shared" si="5"/>
        <v>1.2094032333164697</v>
      </c>
      <c r="O21" s="89"/>
      <c r="P21" s="129" t="s">
        <v>141</v>
      </c>
      <c r="Q21" s="116">
        <v>50259215</v>
      </c>
      <c r="R21" s="116">
        <v>66995149689</v>
      </c>
      <c r="S21" s="116">
        <v>182656.37</v>
      </c>
      <c r="T21" s="130">
        <f t="shared" ref="T21" si="6">Q21/S21</f>
        <v>275.15719818586126</v>
      </c>
      <c r="U21" s="78"/>
    </row>
    <row r="22" spans="1:21" hidden="1">
      <c r="A22" s="129" t="s">
        <v>156</v>
      </c>
      <c r="B22" s="131">
        <f>SUM(F20:F22)</f>
        <v>5483557.0571428575</v>
      </c>
      <c r="C22" s="131">
        <f>AVERAGE(F20:F22)</f>
        <v>1827852.3523809526</v>
      </c>
      <c r="D22" s="90">
        <f>C22/C19-1</f>
        <v>-7.8128861778993697E-2</v>
      </c>
      <c r="E22" s="286">
        <f>C22/C10-1</f>
        <v>-0.39342693358030412</v>
      </c>
      <c r="F22" s="78">
        <f>Q22/21</f>
        <v>1467412.9047619049</v>
      </c>
      <c r="G22" s="90">
        <f t="shared" si="3"/>
        <v>-0.38686525446129627</v>
      </c>
      <c r="H22" s="90">
        <f t="shared" si="4"/>
        <v>-0.56570618111302595</v>
      </c>
      <c r="I22" s="130">
        <f t="shared" si="0"/>
        <v>285.80337100587707</v>
      </c>
      <c r="J22" s="130">
        <f t="shared" si="5"/>
        <v>-2.5119457740853224E-2</v>
      </c>
      <c r="K22" s="78">
        <f>R20+R21+R22</f>
        <v>149572556256</v>
      </c>
      <c r="L22" s="87">
        <f>U22/U19-1</f>
        <v>-9.073112515756776E-2</v>
      </c>
      <c r="M22" s="87">
        <f>U22/U10-1</f>
        <v>-0.40197522578543887</v>
      </c>
      <c r="N22" s="88">
        <f>AVERAGE(T20:T22)</f>
        <v>253.19782009800429</v>
      </c>
      <c r="O22" s="89">
        <f>N22/N19-1</f>
        <v>8.2370246506964229E-3</v>
      </c>
      <c r="P22" s="129" t="s">
        <v>156</v>
      </c>
      <c r="Q22" s="116">
        <v>30815671</v>
      </c>
      <c r="R22" s="116">
        <v>40024750327</v>
      </c>
      <c r="S22" s="116">
        <v>107821.23</v>
      </c>
      <c r="T22" s="130">
        <f t="shared" ref="T22" si="7">Q22/S22</f>
        <v>285.80337100587707</v>
      </c>
      <c r="U22" s="85">
        <f>Q20+Q21+Q22</f>
        <v>113531850</v>
      </c>
    </row>
    <row r="23" spans="1:21" hidden="1">
      <c r="A23" s="129" t="s">
        <v>189</v>
      </c>
      <c r="B23" s="131"/>
      <c r="C23" s="131"/>
      <c r="F23" s="78">
        <f>Q23/21</f>
        <v>853802.38095238095</v>
      </c>
      <c r="G23" s="90">
        <f t="shared" ref="G23" si="8">F23/F22-1</f>
        <v>-0.41815805341379719</v>
      </c>
      <c r="H23" s="90">
        <f t="shared" ref="H23" si="9">F23/F11-1</f>
        <v>-0.81040223064434846</v>
      </c>
      <c r="I23" s="130">
        <f t="shared" si="0"/>
        <v>155.36520486975644</v>
      </c>
      <c r="J23" s="130">
        <f t="shared" si="5"/>
        <v>-0.38704088977434647</v>
      </c>
      <c r="O23" s="89"/>
      <c r="P23" s="129" t="s">
        <v>189</v>
      </c>
      <c r="Q23" s="116">
        <v>17929850</v>
      </c>
      <c r="R23" s="116">
        <v>23031424456</v>
      </c>
      <c r="S23" s="116">
        <v>115404.54</v>
      </c>
      <c r="T23" s="130">
        <f>Q23/S23</f>
        <v>155.36520486975644</v>
      </c>
      <c r="U23" s="78"/>
    </row>
    <row r="24" spans="1:21" hidden="1">
      <c r="A24" s="129" t="s">
        <v>204</v>
      </c>
      <c r="B24" s="131"/>
      <c r="C24" s="131"/>
      <c r="F24" s="78">
        <f>Q24/22</f>
        <v>3225152.4090909092</v>
      </c>
      <c r="G24" s="90">
        <f t="shared" ref="G24" si="10">F24/F23-1</f>
        <v>2.7773991746115607</v>
      </c>
      <c r="H24" s="90">
        <f t="shared" ref="H24" si="11">F24/F12-1</f>
        <v>0.32947491538980644</v>
      </c>
      <c r="I24" s="130">
        <f t="shared" si="0"/>
        <v>272.11544129420349</v>
      </c>
      <c r="J24" s="130">
        <f t="shared" si="5"/>
        <v>0.80990173992522085</v>
      </c>
      <c r="O24" s="89"/>
      <c r="P24" s="129" t="s">
        <v>204</v>
      </c>
      <c r="Q24" s="116">
        <v>70953353</v>
      </c>
      <c r="R24" s="116">
        <v>93086542588</v>
      </c>
      <c r="S24" s="116">
        <v>260747.25</v>
      </c>
      <c r="T24" s="130">
        <f t="shared" ref="T24" si="12">Q24/S24</f>
        <v>272.11544129420349</v>
      </c>
      <c r="U24" s="78"/>
    </row>
    <row r="25" spans="1:21" s="79" customFormat="1" ht="13.2" hidden="1">
      <c r="A25" s="129" t="s">
        <v>217</v>
      </c>
      <c r="B25" s="131">
        <f>SUM(F23:F25)</f>
        <v>6821786.1058327639</v>
      </c>
      <c r="C25" s="131">
        <f>AVERAGE(F23:F25)</f>
        <v>2273928.7019442548</v>
      </c>
      <c r="D25" s="90">
        <f>C25/C22-1</f>
        <v>0.24404397268862832</v>
      </c>
      <c r="E25" s="286">
        <f>C25/C13-1</f>
        <v>-0.44561260921631818</v>
      </c>
      <c r="F25" s="78">
        <f>Q25/19</f>
        <v>2742831.3157894737</v>
      </c>
      <c r="G25" s="90">
        <f t="shared" ref="G25" si="13">F25/F24-1</f>
        <v>-0.14954986063352893</v>
      </c>
      <c r="H25" s="90">
        <f t="shared" ref="H25" si="14">F25/F13-1</f>
        <v>-0.48979829297746036</v>
      </c>
      <c r="I25" s="130">
        <f t="shared" si="0"/>
        <v>184.31905664376009</v>
      </c>
      <c r="J25" s="130">
        <f t="shared" si="5"/>
        <v>-0.34109026323041358</v>
      </c>
      <c r="K25" s="78">
        <f>R23+R24+R25</f>
        <v>185203247544</v>
      </c>
      <c r="L25" s="90">
        <f>U25/U22-1</f>
        <v>0.24191579719699807</v>
      </c>
      <c r="M25" s="90">
        <f>U25/U13-1</f>
        <v>-0.44805927559345693</v>
      </c>
      <c r="N25" s="88">
        <f>AVERAGE(T23:T25)</f>
        <v>203.93323426923999</v>
      </c>
      <c r="O25" s="91">
        <f>N25/N22-1</f>
        <v>-0.19456954964973883</v>
      </c>
      <c r="P25" s="129" t="s">
        <v>217</v>
      </c>
      <c r="Q25" s="116">
        <v>52113795</v>
      </c>
      <c r="R25" s="116">
        <v>69085280500</v>
      </c>
      <c r="S25" s="116">
        <v>282736.88</v>
      </c>
      <c r="T25" s="130">
        <f t="shared" ref="T25" si="15">Q25/S25</f>
        <v>184.31905664376009</v>
      </c>
      <c r="U25" s="85">
        <f>Q23+Q24+Q25</f>
        <v>140996998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3677606.3684210526</v>
      </c>
      <c r="G26" s="90">
        <f t="shared" ref="G26" si="16">F26/F25-1</f>
        <v>0.3408066136806962</v>
      </c>
      <c r="H26" s="90">
        <f t="shared" ref="H26" si="17">F26/F14-1</f>
        <v>-0.25524289665883215</v>
      </c>
      <c r="I26" s="130">
        <f t="shared" si="0"/>
        <v>282.59464306080304</v>
      </c>
      <c r="J26" s="130">
        <f t="shared" si="5"/>
        <v>1.460652691250397</v>
      </c>
      <c r="L26" s="90"/>
      <c r="M26" s="90"/>
      <c r="P26" s="129" t="s">
        <v>312</v>
      </c>
      <c r="Q26" s="116">
        <v>69874521</v>
      </c>
      <c r="R26" s="116">
        <v>93958606010</v>
      </c>
      <c r="S26" s="116">
        <v>247260.6</v>
      </c>
      <c r="T26" s="130">
        <f t="shared" ref="T26" si="18">Q26/S26</f>
        <v>282.59464306080304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2708084.4545454546</v>
      </c>
      <c r="G27" s="90">
        <f t="shared" ref="G27" si="19">F27/F26-1</f>
        <v>-0.26362851723357594</v>
      </c>
      <c r="H27" s="90">
        <f t="shared" ref="H27" si="20">F27/F15-1</f>
        <v>-3.1365947006496087E-2</v>
      </c>
      <c r="I27" s="130">
        <f t="shared" si="0"/>
        <v>246.5965023759463</v>
      </c>
      <c r="J27" s="130">
        <f t="shared" si="5"/>
        <v>0.11107952738641802</v>
      </c>
      <c r="L27" s="90"/>
      <c r="M27" s="90"/>
      <c r="P27" s="129" t="s">
        <v>377</v>
      </c>
      <c r="Q27" s="116">
        <v>59577858</v>
      </c>
      <c r="R27" s="116">
        <v>79293334211</v>
      </c>
      <c r="S27" s="116">
        <v>241600.58</v>
      </c>
      <c r="T27" s="130">
        <f t="shared" ref="T27" si="21">Q27/S27</f>
        <v>246.5965023759463</v>
      </c>
      <c r="U27" s="78"/>
    </row>
    <row r="28" spans="1:21" s="79" customFormat="1" ht="13.2" hidden="1">
      <c r="A28" s="123" t="s">
        <v>413</v>
      </c>
      <c r="B28" s="131">
        <f>SUM(F26:F28)</f>
        <v>12316720.086124402</v>
      </c>
      <c r="C28" s="131">
        <f>AVERAGE(F26:F28)</f>
        <v>4105573.3620414673</v>
      </c>
      <c r="D28" s="90">
        <f>C28/C25-1</f>
        <v>0.80549784104097877</v>
      </c>
      <c r="E28" s="286">
        <f>C28/C16-1</f>
        <v>1.8250883053092304E-2</v>
      </c>
      <c r="F28" s="78">
        <f>Q28/19</f>
        <v>5931029.2631578948</v>
      </c>
      <c r="G28" s="90">
        <f t="shared" ref="G28" si="22">F28/F27-1</f>
        <v>1.1901197553875416</v>
      </c>
      <c r="H28" s="90">
        <f t="shared" ref="H28" si="23">F28/F16-1</f>
        <v>0.35964575015916944</v>
      </c>
      <c r="I28" s="130">
        <f t="shared" si="0"/>
        <v>353.33583231077495</v>
      </c>
      <c r="J28" s="130">
        <f t="shared" si="5"/>
        <v>0.16291041549015417</v>
      </c>
      <c r="K28" s="78">
        <f>R26+R27+R28</f>
        <v>319878575780</v>
      </c>
      <c r="L28" s="90">
        <f>U28/U25-1</f>
        <v>0.71735525177635351</v>
      </c>
      <c r="M28" s="90">
        <f>U28/U16-1</f>
        <v>-5.5000881983022332E-2</v>
      </c>
      <c r="N28" s="88">
        <f>AVERAGE(T26:T28)</f>
        <v>294.17565924917477</v>
      </c>
      <c r="O28" s="91">
        <f>N28/N25-1</f>
        <v>0.44250965421748512</v>
      </c>
      <c r="P28" s="129" t="s">
        <v>413</v>
      </c>
      <c r="Q28" s="116">
        <v>112689556</v>
      </c>
      <c r="R28" s="116">
        <v>146626635559</v>
      </c>
      <c r="S28" s="116">
        <v>318930.45</v>
      </c>
      <c r="T28" s="130">
        <f t="shared" ref="T28" si="24">Q28/S28</f>
        <v>353.33583231077495</v>
      </c>
      <c r="U28" s="85">
        <f>Q26+Q27+Q28</f>
        <v>242141935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2367197.4090909092</v>
      </c>
      <c r="G29" s="190">
        <f t="shared" ref="G29" si="25">F29/F28-1</f>
        <v>-0.60087915536088121</v>
      </c>
      <c r="H29" s="190">
        <f t="shared" ref="H29" si="26">F29/F17-1</f>
        <v>0.91775052048440364</v>
      </c>
      <c r="I29" s="130">
        <f t="shared" si="0"/>
        <v>306.47537514415041</v>
      </c>
      <c r="J29" s="130">
        <f t="shared" si="5"/>
        <v>0.40599963553630469</v>
      </c>
      <c r="K29" s="136"/>
      <c r="L29" s="190"/>
      <c r="M29" s="190"/>
      <c r="N29" s="191"/>
      <c r="O29" s="192"/>
      <c r="P29" s="129" t="s">
        <v>452</v>
      </c>
      <c r="Q29" s="116">
        <v>52078343</v>
      </c>
      <c r="R29" s="116">
        <v>68506036792</v>
      </c>
      <c r="S29" s="116">
        <v>169926.68</v>
      </c>
      <c r="T29" s="130">
        <f t="shared" ref="T29" si="27">Q29/S29</f>
        <v>306.47537514415041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3538101.1052631577</v>
      </c>
      <c r="G30" s="190">
        <f t="shared" ref="G30" si="28">F30/F29-1</f>
        <v>0.49463711462151294</v>
      </c>
      <c r="H30" s="190">
        <f t="shared" ref="H30" si="29">F30/F18-1</f>
        <v>1.0028483478208257</v>
      </c>
      <c r="I30" s="130">
        <f t="shared" si="0"/>
        <v>287.37029495459433</v>
      </c>
      <c r="J30" s="130">
        <f t="shared" si="5"/>
        <v>3.2184053877895691E-2</v>
      </c>
      <c r="K30" s="136"/>
      <c r="L30" s="190"/>
      <c r="M30" s="190"/>
      <c r="N30" s="191"/>
      <c r="O30" s="192"/>
      <c r="P30" s="129" t="s">
        <v>466</v>
      </c>
      <c r="Q30" s="116">
        <v>67223921</v>
      </c>
      <c r="R30" s="116">
        <v>89576034914</v>
      </c>
      <c r="S30" s="116">
        <v>233927.87</v>
      </c>
      <c r="T30" s="130">
        <f t="shared" ref="T30" si="30">Q30/S30</f>
        <v>287.37029495459433</v>
      </c>
      <c r="U30" s="85"/>
    </row>
    <row r="31" spans="1:21" s="79" customFormat="1" ht="13.2" hidden="1">
      <c r="A31" s="129" t="s">
        <v>505</v>
      </c>
      <c r="B31" s="188">
        <f>SUM(F29:F31)</f>
        <v>10629448.014354067</v>
      </c>
      <c r="C31" s="188">
        <f>AVERAGE(F29:F31)</f>
        <v>3543149.3381180223</v>
      </c>
      <c r="D31" s="190">
        <f>C31/C28-1</f>
        <v>-0.13699037243455414</v>
      </c>
      <c r="E31" s="287">
        <f>C31/C19-1</f>
        <v>0.78697535879370273</v>
      </c>
      <c r="F31" s="136">
        <f>Q31/20</f>
        <v>4724149.5</v>
      </c>
      <c r="G31" s="190">
        <f t="shared" ref="G31" si="31">F31/F30-1</f>
        <v>0.33522173602459171</v>
      </c>
      <c r="H31" s="190">
        <f t="shared" ref="H31" si="32">F31/F19-1</f>
        <v>0.60282252729020969</v>
      </c>
      <c r="I31" s="130">
        <f t="shared" si="0"/>
        <v>360.11875767534076</v>
      </c>
      <c r="J31" s="130">
        <f t="shared" si="5"/>
        <v>0.40123485309900819</v>
      </c>
      <c r="K31" s="136">
        <f>R29+R30+R31</f>
        <v>283159595088</v>
      </c>
      <c r="L31" s="190">
        <f>U31/U28-1</f>
        <v>-0.11710768314459863</v>
      </c>
      <c r="M31" s="190">
        <f>U31/U19-1</f>
        <v>0.7121915776276313</v>
      </c>
      <c r="N31" s="191">
        <f>AVERAGE(T29:T31)</f>
        <v>317.98814259136179</v>
      </c>
      <c r="O31" s="192">
        <f>N31/N28-1</f>
        <v>8.0946477363095459E-2</v>
      </c>
      <c r="P31" s="129" t="s">
        <v>505</v>
      </c>
      <c r="Q31" s="116">
        <v>94482990</v>
      </c>
      <c r="R31" s="116">
        <v>125077523382</v>
      </c>
      <c r="S31" s="116">
        <v>262366.2</v>
      </c>
      <c r="T31" s="130">
        <f t="shared" ref="T31" si="33">Q31/S31</f>
        <v>360.11875767534076</v>
      </c>
      <c r="U31" s="85">
        <f>Q29+Q30+Q31</f>
        <v>213785254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4570799.0476190476</v>
      </c>
      <c r="G32" s="190">
        <f t="shared" ref="G32" si="34">F32/F31-1</f>
        <v>-3.2460965170757694E-2</v>
      </c>
      <c r="H32" s="190">
        <f t="shared" ref="H32" si="35">F32/F20-1</f>
        <v>1.8165290183142502</v>
      </c>
      <c r="I32" s="130">
        <f t="shared" si="0"/>
        <v>213.31884995170105</v>
      </c>
      <c r="J32" s="130">
        <f t="shared" si="5"/>
        <v>7.3935181469340971E-2</v>
      </c>
      <c r="K32" s="136"/>
      <c r="L32" s="190"/>
      <c r="M32" s="190"/>
      <c r="N32" s="191"/>
      <c r="O32" s="192"/>
      <c r="P32" s="129" t="s">
        <v>562</v>
      </c>
      <c r="Q32" s="116">
        <v>95986780</v>
      </c>
      <c r="R32" s="116">
        <v>130611747217</v>
      </c>
      <c r="S32" s="116">
        <v>449968.58</v>
      </c>
      <c r="T32" s="130">
        <f t="shared" ref="T32" si="36">Q32/S32</f>
        <v>213.31884995170105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2705921.1428571427</v>
      </c>
      <c r="G33" s="190">
        <f t="shared" ref="G33" si="37">F33/F32-1</f>
        <v>-0.40799822642243033</v>
      </c>
      <c r="H33" s="190">
        <f t="shared" ref="H33" si="38">F33/F21-1</f>
        <v>0.13062537884843595</v>
      </c>
      <c r="I33" s="130">
        <f t="shared" si="0"/>
        <v>213.86229028927914</v>
      </c>
      <c r="J33" s="130">
        <f t="shared" si="5"/>
        <v>-0.22276323607270876</v>
      </c>
      <c r="K33" s="136"/>
      <c r="L33" s="190"/>
      <c r="M33" s="190"/>
      <c r="N33" s="191"/>
      <c r="O33" s="192"/>
      <c r="P33" s="129" t="s">
        <v>607</v>
      </c>
      <c r="Q33" s="116">
        <v>56824344</v>
      </c>
      <c r="R33" s="116">
        <v>77708998215</v>
      </c>
      <c r="S33" s="116">
        <v>265705.3</v>
      </c>
      <c r="T33" s="130">
        <f t="shared" ref="T33" si="39">Q33/S33</f>
        <v>213.86229028927914</v>
      </c>
      <c r="U33" s="85"/>
    </row>
    <row r="34" spans="1:21" s="79" customFormat="1" ht="13.2" hidden="1">
      <c r="A34" s="129" t="s">
        <v>652</v>
      </c>
      <c r="B34" s="188">
        <f>SUM(F32:F34)</f>
        <v>11785041.24310777</v>
      </c>
      <c r="C34" s="188">
        <f>AVERAGE(F32:F34)</f>
        <v>3928347.0810359232</v>
      </c>
      <c r="D34" s="190">
        <f>C34/C31-1</f>
        <v>0.10871620306089103</v>
      </c>
      <c r="E34" s="287">
        <f>C34/C22-1</f>
        <v>1.1491599559006369</v>
      </c>
      <c r="F34" s="136">
        <f>Q34/19</f>
        <v>4508321.0526315793</v>
      </c>
      <c r="G34" s="190">
        <f t="shared" ref="G34" si="40">F34/F33-1</f>
        <v>0.6660947657444698</v>
      </c>
      <c r="H34" s="190">
        <f t="shared" ref="H34" si="41">F34/F22-1</f>
        <v>2.0722920849350697</v>
      </c>
      <c r="I34" s="130">
        <f t="shared" si="0"/>
        <v>212.14991113703508</v>
      </c>
      <c r="J34" s="130">
        <f t="shared" si="5"/>
        <v>-0.25770675695538747</v>
      </c>
      <c r="K34" s="136">
        <f>R32+R33+R34</f>
        <v>326136765588</v>
      </c>
      <c r="L34" s="190">
        <f>U34/U31-1</f>
        <v>0.11546151822052231</v>
      </c>
      <c r="M34" s="190">
        <f>U34/U22-1</f>
        <v>1.1004610071975396</v>
      </c>
      <c r="N34" s="191">
        <f>AVERAGE(T32:T34)</f>
        <v>213.11035045933841</v>
      </c>
      <c r="O34" s="192">
        <f>N34/N31-1</f>
        <v>-0.32981667579598739</v>
      </c>
      <c r="P34" s="129" t="s">
        <v>652</v>
      </c>
      <c r="Q34" s="116">
        <v>85658100</v>
      </c>
      <c r="R34" s="116">
        <v>117816020156</v>
      </c>
      <c r="S34" s="116">
        <v>403762.13</v>
      </c>
      <c r="T34" s="130">
        <f t="shared" ref="T34" si="42">Q34/S34</f>
        <v>212.14991113703508</v>
      </c>
      <c r="U34" s="85">
        <f>Q32+Q33+Q34</f>
        <v>238469224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4237428.0434782607</v>
      </c>
      <c r="G35" s="190">
        <f t="shared" ref="G35" si="43">F35/F34-1</f>
        <v>-6.0087337612123704E-2</v>
      </c>
      <c r="H35" s="190">
        <f t="shared" ref="H35" si="44">F35/F23-1</f>
        <v>3.9630079957748379</v>
      </c>
      <c r="I35" s="130">
        <f t="shared" si="0"/>
        <v>171.02003282447157</v>
      </c>
      <c r="J35" s="130">
        <f t="shared" si="5"/>
        <v>0.10076147981678818</v>
      </c>
      <c r="K35" s="136"/>
      <c r="L35" s="190"/>
      <c r="M35" s="190"/>
      <c r="N35" s="191"/>
      <c r="O35" s="192"/>
      <c r="P35" s="129" t="s">
        <v>660</v>
      </c>
      <c r="Q35" s="116">
        <v>97460845</v>
      </c>
      <c r="R35" s="116">
        <v>134856038885</v>
      </c>
      <c r="S35" s="116">
        <v>569879.69999999995</v>
      </c>
      <c r="T35" s="130">
        <f t="shared" ref="T35" si="45">Q35/S35</f>
        <v>171.02003282447157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2420324.8571428573</v>
      </c>
      <c r="G36" s="190">
        <f t="shared" ref="G36" si="46">F36/F35-1</f>
        <v>-0.42882219301211966</v>
      </c>
      <c r="H36" s="190">
        <f t="shared" ref="H36" si="47">F36/F24-1</f>
        <v>-0.24954713758005409</v>
      </c>
      <c r="I36" s="130">
        <f t="shared" si="0"/>
        <v>108.43126837892116</v>
      </c>
      <c r="J36" s="130">
        <f t="shared" si="5"/>
        <v>-0.60152475043969167</v>
      </c>
      <c r="K36" s="136"/>
      <c r="L36" s="190"/>
      <c r="M36" s="190"/>
      <c r="N36" s="191"/>
      <c r="O36" s="192"/>
      <c r="P36" s="129" t="s">
        <v>680</v>
      </c>
      <c r="Q36" s="116">
        <v>50826822</v>
      </c>
      <c r="R36" s="116">
        <v>69511176994</v>
      </c>
      <c r="S36" s="116">
        <v>468746.91</v>
      </c>
      <c r="T36" s="130">
        <f t="shared" ref="T36" si="48">Q36/S36</f>
        <v>108.43126837892116</v>
      </c>
      <c r="U36" s="85"/>
    </row>
    <row r="37" spans="1:21" s="79" customFormat="1" ht="13.2" hidden="1">
      <c r="A37" s="129" t="s">
        <v>702</v>
      </c>
      <c r="B37" s="188">
        <f>SUM(F35:F37)</f>
        <v>11461567.233954452</v>
      </c>
      <c r="C37" s="188">
        <f>AVERAGE(F35:F37)</f>
        <v>3820522.4113181508</v>
      </c>
      <c r="D37" s="190">
        <f>C37/C34-1</f>
        <v>-2.7447847018990612E-2</v>
      </c>
      <c r="E37" s="287">
        <f>C37/C25-1</f>
        <v>0.68014168960158128</v>
      </c>
      <c r="F37" s="136">
        <f>Q37/18</f>
        <v>4803814.333333333</v>
      </c>
      <c r="G37" s="190">
        <f t="shared" ref="G37" si="49">F37/F36-1</f>
        <v>0.98478081120239991</v>
      </c>
      <c r="H37" s="190">
        <f t="shared" ref="H37" si="50">F37/F25-1</f>
        <v>0.75140713381808655</v>
      </c>
      <c r="I37" s="130">
        <f t="shared" si="0"/>
        <v>329.25555029063435</v>
      </c>
      <c r="J37" s="130">
        <f t="shared" si="5"/>
        <v>0.78633482769499041</v>
      </c>
      <c r="K37" s="136">
        <f>R35+R36+R37</f>
        <v>319721067323</v>
      </c>
      <c r="L37" s="190">
        <f>U37/U34-1</f>
        <v>-1.5569719805856419E-2</v>
      </c>
      <c r="M37" s="190">
        <f>U37/U25-1</f>
        <v>0.66497392377105791</v>
      </c>
      <c r="N37" s="191">
        <f>AVERAGE(T35:T37)</f>
        <v>202.90228383134237</v>
      </c>
      <c r="O37" s="192">
        <f>N37/N34-1</f>
        <v>-4.7900379338655097E-2</v>
      </c>
      <c r="P37" s="129" t="s">
        <v>702</v>
      </c>
      <c r="Q37" s="116">
        <v>86468658</v>
      </c>
      <c r="R37" s="116">
        <v>115353851444</v>
      </c>
      <c r="S37" s="116">
        <v>262618.68</v>
      </c>
      <c r="T37" s="130">
        <f t="shared" ref="T37" si="51">Q37/S37</f>
        <v>329.25555029063435</v>
      </c>
      <c r="U37" s="85">
        <f>Q35+Q36+Q37</f>
        <v>234756325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4173376.7</v>
      </c>
      <c r="G38" s="190">
        <f t="shared" ref="G38" si="52">F38/F37-1</f>
        <v>-0.13123688585521931</v>
      </c>
      <c r="H38" s="190">
        <f t="shared" ref="H38" si="53">F38/F26-1</f>
        <v>0.13480788369196839</v>
      </c>
      <c r="I38" s="130">
        <f t="shared" si="0"/>
        <v>374.6365745059797</v>
      </c>
      <c r="J38" s="130">
        <f t="shared" si="5"/>
        <v>0.32570302978239019</v>
      </c>
      <c r="K38" s="136"/>
      <c r="L38" s="190"/>
      <c r="M38" s="190"/>
      <c r="N38" s="191"/>
      <c r="O38" s="192"/>
      <c r="P38" s="129" t="s">
        <v>728</v>
      </c>
      <c r="Q38" s="116">
        <v>83467534</v>
      </c>
      <c r="R38" s="116">
        <v>111791066284</v>
      </c>
      <c r="S38" s="116">
        <v>222796.01</v>
      </c>
      <c r="T38" s="130">
        <f t="shared" ref="T38" si="54">Q38/S38</f>
        <v>374.6365745059797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3704042.4285714286</v>
      </c>
      <c r="G39" s="190">
        <f t="shared" ref="G39" si="55">F39/F38-1</f>
        <v>-0.1124591200762135</v>
      </c>
      <c r="H39" s="190">
        <f t="shared" ref="H39" si="56">F39/F27-1</f>
        <v>0.36777212481474963</v>
      </c>
      <c r="I39" s="130">
        <f t="shared" si="0"/>
        <v>326.85644298676067</v>
      </c>
      <c r="J39" s="130">
        <f t="shared" si="5"/>
        <v>0.32547071770083291</v>
      </c>
      <c r="K39" s="136"/>
      <c r="L39" s="190"/>
      <c r="M39" s="190"/>
      <c r="N39" s="191"/>
      <c r="O39" s="192"/>
      <c r="P39" s="129" t="s">
        <v>762</v>
      </c>
      <c r="Q39" s="116">
        <v>77784891</v>
      </c>
      <c r="R39" s="116">
        <v>108120962864</v>
      </c>
      <c r="S39" s="116">
        <v>237978.76</v>
      </c>
      <c r="T39" s="130">
        <f t="shared" ref="T39" si="57">Q39/S39</f>
        <v>326.85644298676067</v>
      </c>
      <c r="U39" s="85"/>
    </row>
    <row r="40" spans="1:21" s="79" customFormat="1" ht="13.2" hidden="1">
      <c r="A40" s="129" t="s">
        <v>778</v>
      </c>
      <c r="B40" s="188">
        <f>SUM(F38:F40)</f>
        <v>11734127.795238094</v>
      </c>
      <c r="C40" s="188">
        <f>AVERAGE(F38:F40)</f>
        <v>3911375.9317460316</v>
      </c>
      <c r="D40" s="190">
        <f>C40/C37-1</f>
        <v>2.3780391958631242E-2</v>
      </c>
      <c r="E40" s="287">
        <f>C40/C28-1</f>
        <v>-4.7300928072777748E-2</v>
      </c>
      <c r="F40" s="136">
        <f>Q40/21</f>
        <v>3856708.6666666665</v>
      </c>
      <c r="G40" s="190">
        <f t="shared" ref="G40" si="58">F40/F39-1</f>
        <v>4.1216114836491791E-2</v>
      </c>
      <c r="H40" s="190">
        <f t="shared" ref="H40" si="59">F40/F28-1</f>
        <v>-0.34974040835987796</v>
      </c>
      <c r="I40" s="130">
        <f t="shared" si="0"/>
        <v>252.52225485980787</v>
      </c>
      <c r="J40" s="130">
        <f t="shared" si="5"/>
        <v>-0.28531942767213303</v>
      </c>
      <c r="K40" s="136">
        <f>R38+R39+R40</f>
        <v>334935098979</v>
      </c>
      <c r="L40" s="190">
        <f>U40/U37-1</f>
        <v>3.1892567750837042E-2</v>
      </c>
      <c r="M40" s="190">
        <f>U40/U28-1</f>
        <v>4.186470220450822E-4</v>
      </c>
      <c r="N40" s="191">
        <f>AVERAGE(T38:T40)</f>
        <v>318.00509078418276</v>
      </c>
      <c r="O40" s="192">
        <f>N40/N37-1</f>
        <v>0.56728196834155309</v>
      </c>
      <c r="P40" s="129" t="s">
        <v>778</v>
      </c>
      <c r="Q40" s="116">
        <v>80990882</v>
      </c>
      <c r="R40" s="116">
        <v>115023069831</v>
      </c>
      <c r="S40" s="116">
        <v>320727.7</v>
      </c>
      <c r="T40" s="130">
        <f t="shared" ref="T40" si="60">Q40/S40</f>
        <v>252.52225485980787</v>
      </c>
      <c r="U40" s="85">
        <f>Q38+Q39+Q40</f>
        <v>242243307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3540582.4444444445</v>
      </c>
      <c r="G41" s="190">
        <f t="shared" ref="G41" si="61">F41/F40-1</f>
        <v>-8.1967877157661517E-2</v>
      </c>
      <c r="H41" s="190">
        <f t="shared" ref="H41" si="62">F41/F29-1</f>
        <v>0.49568533272607729</v>
      </c>
      <c r="I41" s="130">
        <f t="shared" si="0"/>
        <v>320.92196408390316</v>
      </c>
      <c r="J41" s="130">
        <f t="shared" si="5"/>
        <v>4.7137845684854129E-2</v>
      </c>
      <c r="K41" s="193"/>
      <c r="L41" s="190"/>
      <c r="M41" s="190"/>
      <c r="N41" s="193"/>
      <c r="O41" s="193"/>
      <c r="P41" s="129" t="s">
        <v>792</v>
      </c>
      <c r="Q41" s="116">
        <v>63730484</v>
      </c>
      <c r="R41" s="116">
        <v>93151527031</v>
      </c>
      <c r="S41" s="116">
        <v>198585.61</v>
      </c>
      <c r="T41" s="130">
        <f t="shared" ref="T41" si="63">Q41/S41</f>
        <v>320.92196408390316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3624280</v>
      </c>
      <c r="G42" s="190">
        <f t="shared" ref="G42" si="64">F42/F41-1</f>
        <v>2.3639487815595439E-2</v>
      </c>
      <c r="H42" s="190">
        <f t="shared" ref="H42" si="65">F42/F30-1</f>
        <v>2.4357386115576363E-2</v>
      </c>
      <c r="I42" s="130">
        <f t="shared" si="0"/>
        <v>336.19001654012436</v>
      </c>
      <c r="J42" s="130">
        <f t="shared" si="5"/>
        <v>0.16988437024517</v>
      </c>
      <c r="K42" s="193"/>
      <c r="L42" s="190"/>
      <c r="M42" s="190"/>
      <c r="N42" s="193"/>
      <c r="O42" s="193"/>
      <c r="P42" s="129" t="s">
        <v>826</v>
      </c>
      <c r="Q42" s="116">
        <v>72485600</v>
      </c>
      <c r="R42" s="116">
        <v>104860918538</v>
      </c>
      <c r="S42" s="116">
        <v>215609.02</v>
      </c>
      <c r="T42" s="130">
        <f t="shared" ref="T42" si="66">Q42/S42</f>
        <v>336.19001654012436</v>
      </c>
      <c r="U42" s="78"/>
    </row>
    <row r="43" spans="1:21" s="79" customFormat="1" ht="13.2">
      <c r="A43" s="129" t="s">
        <v>835</v>
      </c>
      <c r="B43" s="188">
        <f>SUM(F41:F43)</f>
        <v>12409957.094444444</v>
      </c>
      <c r="C43" s="188">
        <f>AVERAGE(F41:F43)</f>
        <v>4136652.3648148146</v>
      </c>
      <c r="D43" s="190">
        <f>C43/C40-1</f>
        <v>5.7595188240630257E-2</v>
      </c>
      <c r="E43" s="287">
        <f>C43/C31-1</f>
        <v>0.16750720053251755</v>
      </c>
      <c r="F43" s="136">
        <f>Q43/20</f>
        <v>5245094.6500000004</v>
      </c>
      <c r="G43" s="190">
        <f t="shared" ref="G43" si="67">F43/F42-1</f>
        <v>0.44721010793868032</v>
      </c>
      <c r="H43" s="190">
        <f t="shared" ref="H43" si="68">F43/F31-1</f>
        <v>0.11027279090130415</v>
      </c>
      <c r="I43" s="130">
        <f t="shared" si="0"/>
        <v>337.25310279311583</v>
      </c>
      <c r="J43" s="130">
        <f t="shared" si="5"/>
        <v>-6.3494762199638344E-2</v>
      </c>
      <c r="K43" s="136">
        <f>R41+R42+R43</f>
        <v>350348850397</v>
      </c>
      <c r="L43" s="190">
        <f>U43/U40-1</f>
        <v>-4.6454534242301726E-3</v>
      </c>
      <c r="M43" s="190">
        <f>K43/K31-1</f>
        <v>0.23728404925893121</v>
      </c>
      <c r="N43" s="191">
        <f>AVERAGE(T41:T43)</f>
        <v>331.45502780571445</v>
      </c>
      <c r="O43" s="192">
        <f>N43/N40-1</f>
        <v>4.2294722352918646E-2</v>
      </c>
      <c r="P43" s="129" t="s">
        <v>835</v>
      </c>
      <c r="Q43" s="116">
        <v>104901893</v>
      </c>
      <c r="R43" s="116">
        <v>152336404828</v>
      </c>
      <c r="S43" s="116">
        <v>311047.96999999997</v>
      </c>
      <c r="T43" s="130">
        <f t="shared" ref="T43" si="69">Q43/S43</f>
        <v>337.25310279311583</v>
      </c>
      <c r="U43" s="85">
        <f>Q41+Q42+Q43</f>
        <v>241117977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4236760.8636363633</v>
      </c>
      <c r="G44" s="190">
        <f t="shared" ref="G44" si="70">F44/F43-1</f>
        <v>-0.19224320124778627</v>
      </c>
      <c r="H44" s="190">
        <f t="shared" ref="H44" si="71">F44/F32-1</f>
        <v>-7.3080916597435319E-2</v>
      </c>
      <c r="I44" s="130">
        <f t="shared" si="0"/>
        <v>173.54331309446977</v>
      </c>
      <c r="J44" s="130">
        <f t="shared" si="5"/>
        <v>-0.18646048797955328</v>
      </c>
      <c r="K44" s="136"/>
      <c r="L44" s="190"/>
      <c r="M44" s="190"/>
      <c r="N44" s="191"/>
      <c r="O44" s="192"/>
      <c r="P44" s="129" t="s">
        <v>843</v>
      </c>
      <c r="Q44" s="116">
        <v>93208739</v>
      </c>
      <c r="R44" s="116">
        <v>135625271912</v>
      </c>
      <c r="S44" s="116">
        <v>537092.07999999996</v>
      </c>
      <c r="T44" s="130">
        <f t="shared" ref="T44" si="72">Q44/S44</f>
        <v>173.54331309446977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3360207.9</v>
      </c>
      <c r="G45" s="190">
        <f t="shared" ref="G45" si="73">F45/F44-1</f>
        <v>-0.20689224429911013</v>
      </c>
      <c r="H45" s="190">
        <f t="shared" ref="H45" si="74">F45/F33-1</f>
        <v>0.24179816136548804</v>
      </c>
      <c r="I45" s="130">
        <f t="shared" si="0"/>
        <v>302.50914459623129</v>
      </c>
      <c r="J45" s="130">
        <f t="shared" si="5"/>
        <v>0.41450437188830569</v>
      </c>
      <c r="K45" s="136"/>
      <c r="L45" s="190"/>
      <c r="M45" s="190"/>
      <c r="N45" s="191"/>
      <c r="O45" s="192"/>
      <c r="P45" s="129" t="s">
        <v>849</v>
      </c>
      <c r="Q45" s="116">
        <v>67204158</v>
      </c>
      <c r="R45" s="116">
        <v>94485669181</v>
      </c>
      <c r="S45" s="116">
        <v>222155.79</v>
      </c>
      <c r="T45" s="130">
        <f t="shared" ref="T45" si="75">Q45/S45</f>
        <v>302.50914459623129</v>
      </c>
      <c r="U45" s="85"/>
    </row>
    <row r="46" spans="1:21" s="79" customFormat="1" ht="13.2">
      <c r="A46" s="129" t="s">
        <v>906</v>
      </c>
      <c r="B46" s="188">
        <f>SUM(F44:F46)</f>
        <v>11996255.184688997</v>
      </c>
      <c r="C46" s="188">
        <f>AVERAGE(F44:F46)</f>
        <v>3998751.7282296657</v>
      </c>
      <c r="D46" s="190">
        <f>C46/C43-1</f>
        <v>-3.3336288482467724E-2</v>
      </c>
      <c r="E46" s="287">
        <f>C46/C34-1</f>
        <v>1.7922206399129115E-2</v>
      </c>
      <c r="F46" s="136">
        <f>Q46/19</f>
        <v>4399286.4210526319</v>
      </c>
      <c r="G46" s="190">
        <f t="shared" ref="G46" si="76">F46/F45-1</f>
        <v>0.30923042620447139</v>
      </c>
      <c r="H46" s="190">
        <f t="shared" ref="H46" si="77">F46/F34-1</f>
        <v>-2.4185196729789693E-2</v>
      </c>
      <c r="I46" s="130">
        <f t="shared" si="0"/>
        <v>392.44296118259803</v>
      </c>
      <c r="J46" s="130">
        <f t="shared" si="5"/>
        <v>0.84983797108029591</v>
      </c>
      <c r="K46" s="136">
        <f>R44+R45+R46</f>
        <v>344601623465</v>
      </c>
      <c r="L46" s="190">
        <f>U46/U43-1</f>
        <v>1.1950009019858321E-2</v>
      </c>
      <c r="M46" s="190">
        <f>K46/K34-1</f>
        <v>5.6616916046583254E-2</v>
      </c>
      <c r="N46" s="191">
        <f>AVERAGE(T44:T46)</f>
        <v>289.49847295776635</v>
      </c>
      <c r="O46" s="192">
        <f>N46/N43-1</f>
        <v>-0.12658294890171751</v>
      </c>
      <c r="P46" s="129" t="s">
        <v>943</v>
      </c>
      <c r="Q46" s="116">
        <v>83586442</v>
      </c>
      <c r="R46" s="116">
        <v>114490682372</v>
      </c>
      <c r="S46" s="116">
        <v>212990.04</v>
      </c>
      <c r="T46" s="130">
        <f t="shared" ref="T46" si="78">Q46/S46</f>
        <v>392.44296118259803</v>
      </c>
      <c r="U46" s="85">
        <f t="shared" ref="U46:U51" si="79">Q44+Q45+Q46</f>
        <v>243999339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3946640.2608695654</v>
      </c>
      <c r="G47" s="190">
        <f t="shared" ref="G47" si="80">F47/F46-1</f>
        <v>-0.10289081384129573</v>
      </c>
      <c r="H47" s="190">
        <f t="shared" ref="H47" si="81">F47/F35-1</f>
        <v>-6.8623650862046137E-2</v>
      </c>
      <c r="I47" s="130">
        <f t="shared" si="0"/>
        <v>200.91272327435274</v>
      </c>
      <c r="J47" s="130">
        <f t="shared" si="5"/>
        <v>0.17479057836786804</v>
      </c>
      <c r="K47" s="136"/>
      <c r="L47" s="190"/>
      <c r="M47" s="190"/>
      <c r="N47" s="191"/>
      <c r="O47" s="192"/>
      <c r="P47" s="129" t="s">
        <v>1029</v>
      </c>
      <c r="Q47" s="116">
        <v>90772726</v>
      </c>
      <c r="R47" s="116">
        <v>124354951155</v>
      </c>
      <c r="S47" s="116">
        <v>451801.78</v>
      </c>
      <c r="T47" s="130">
        <f t="shared" ref="T47" si="82">Q47/S47</f>
        <v>200.91272327435274</v>
      </c>
      <c r="U47" s="85">
        <f t="shared" si="79"/>
        <v>241563326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3433096.55</v>
      </c>
      <c r="G48" s="190">
        <f t="shared" ref="G48" si="83">F48/F47-1</f>
        <v>-0.13012174328663439</v>
      </c>
      <c r="H48" s="190">
        <f t="shared" ref="H48" si="84">F48/F36-1</f>
        <v>0.41844452816664379</v>
      </c>
      <c r="I48" s="130">
        <f t="shared" si="0"/>
        <v>184.15019635743133</v>
      </c>
      <c r="J48" s="130">
        <f t="shared" si="5"/>
        <v>0.69831266488467802</v>
      </c>
      <c r="K48" s="136"/>
      <c r="L48" s="190"/>
      <c r="M48" s="190"/>
      <c r="N48" s="191"/>
      <c r="O48" s="192"/>
      <c r="P48" s="129" t="s">
        <v>1128</v>
      </c>
      <c r="Q48" s="116">
        <v>68661931</v>
      </c>
      <c r="R48" s="116">
        <v>95288132517</v>
      </c>
      <c r="S48" s="116">
        <v>372858.31</v>
      </c>
      <c r="T48" s="130">
        <f t="shared" ref="T48" si="85">Q48/S48</f>
        <v>184.15019635743133</v>
      </c>
      <c r="U48" s="85">
        <f t="shared" si="79"/>
        <v>243021099</v>
      </c>
    </row>
    <row r="49" spans="1:26" ht="13.2">
      <c r="A49" s="129" t="s">
        <v>1158</v>
      </c>
      <c r="B49" s="188">
        <f>SUM(F47:F49)</f>
        <v>10132972.992687747</v>
      </c>
      <c r="C49" s="188">
        <f>AVERAGE(F47:F49)</f>
        <v>3377657.6642292491</v>
      </c>
      <c r="D49" s="190">
        <f>C49/C46-1</f>
        <v>-0.15532198701302924</v>
      </c>
      <c r="E49" s="287">
        <f>C49/C37-1</f>
        <v>-0.11591732737306604</v>
      </c>
      <c r="F49" s="136">
        <f>Q49/22</f>
        <v>2753236.1818181816</v>
      </c>
      <c r="G49" s="190">
        <f t="shared" ref="G49" si="86">F49/F48-1</f>
        <v>-0.1980312403919483</v>
      </c>
      <c r="H49" s="190">
        <f t="shared" ref="H49" si="87">F49/F37-1</f>
        <v>-0.42686457244742626</v>
      </c>
      <c r="I49" s="130">
        <f t="shared" si="0"/>
        <v>294.09003823046453</v>
      </c>
      <c r="J49" s="130">
        <f t="shared" si="5"/>
        <v>-0.10680309573864177</v>
      </c>
      <c r="K49" s="136">
        <f>R47+R48+R49</f>
        <v>303850972820</v>
      </c>
      <c r="L49" s="190">
        <f>U49/U46-1</f>
        <v>-9.8334225405422138E-2</v>
      </c>
      <c r="M49" s="190">
        <f>K49/K37-1</f>
        <v>-4.9637312410718115E-2</v>
      </c>
      <c r="N49" s="191">
        <f>AVERAGE(T47:T49)</f>
        <v>226.38431928741622</v>
      </c>
      <c r="O49" s="192">
        <f>N49/N46-1</f>
        <v>-0.21801204346786862</v>
      </c>
      <c r="P49" s="129" t="s">
        <v>1165</v>
      </c>
      <c r="Q49" s="116">
        <v>60571196</v>
      </c>
      <c r="R49" s="116">
        <v>84207889148</v>
      </c>
      <c r="S49" s="116">
        <v>205961.4</v>
      </c>
      <c r="T49" s="130">
        <f t="shared" ref="T49" si="88">Q49/S49</f>
        <v>294.09003823046453</v>
      </c>
      <c r="U49" s="85">
        <f t="shared" si="79"/>
        <v>220005853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2833260.722222222</v>
      </c>
      <c r="G50" s="190">
        <f t="shared" ref="G50" si="89">F50/F49-1</f>
        <v>2.9065628634588725E-2</v>
      </c>
      <c r="H50" s="190">
        <f t="shared" ref="H50" si="90">F50/F38-1</f>
        <v>-0.32111071540169811</v>
      </c>
      <c r="I50" s="130">
        <f t="shared" ref="I50" si="91">T50</f>
        <v>328.17163816540921</v>
      </c>
      <c r="J50" s="130">
        <f t="shared" ref="J50" si="92">I50/I38-1</f>
        <v>-0.12402669547638856</v>
      </c>
      <c r="K50" s="136"/>
      <c r="L50" s="190"/>
      <c r="M50" s="190"/>
      <c r="N50" s="191"/>
      <c r="O50" s="192"/>
      <c r="P50" s="129" t="s">
        <v>1291</v>
      </c>
      <c r="Q50" s="116">
        <v>50998693</v>
      </c>
      <c r="R50" s="116">
        <v>72221075503</v>
      </c>
      <c r="S50" s="116">
        <v>155402.5</v>
      </c>
      <c r="T50" s="130">
        <f t="shared" ref="T50" si="93">Q50/S50</f>
        <v>328.17163816540921</v>
      </c>
      <c r="U50" s="85">
        <f t="shared" si="79"/>
        <v>180231820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1916917.9</v>
      </c>
      <c r="G51" s="190">
        <f t="shared" ref="G51:G52" si="94">F51/F50-1</f>
        <v>-0.32342340224287702</v>
      </c>
      <c r="H51" s="190">
        <f t="shared" ref="H51:H52" si="95">F51/F39-1</f>
        <v>-0.48247949720724048</v>
      </c>
      <c r="I51" s="130">
        <f t="shared" ref="I51:I52" si="96">T51</f>
        <v>220.62145060615663</v>
      </c>
      <c r="J51" s="130">
        <f t="shared" ref="J51:J52" si="97">I51/I39-1</f>
        <v>-0.32502034045847794</v>
      </c>
      <c r="K51" s="136"/>
      <c r="L51" s="190"/>
      <c r="M51" s="190"/>
      <c r="N51" s="191"/>
      <c r="O51" s="192"/>
      <c r="P51" s="129" t="s">
        <v>1402</v>
      </c>
      <c r="Q51" s="116">
        <v>38338358</v>
      </c>
      <c r="R51" s="116">
        <v>55668384378</v>
      </c>
      <c r="S51" s="116">
        <v>173774.39</v>
      </c>
      <c r="T51" s="130">
        <f t="shared" ref="T51:T52" si="98">Q51/S51</f>
        <v>220.62145060615663</v>
      </c>
      <c r="U51" s="85">
        <f t="shared" si="79"/>
        <v>149908247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6428198.6676767673</v>
      </c>
      <c r="C52" s="188">
        <f>AVERAGE(F50:F52)</f>
        <v>2142732.8892255891</v>
      </c>
      <c r="D52" s="190">
        <f>C52/C49-1</f>
        <v>-0.36561573071244291</v>
      </c>
      <c r="E52" s="287">
        <f>C52/C40-1</f>
        <v>-0.45217925184985308</v>
      </c>
      <c r="F52" s="136">
        <f>Q52/22</f>
        <v>1678020.0454545454</v>
      </c>
      <c r="G52" s="190">
        <f t="shared" si="94"/>
        <v>-0.12462602313090954</v>
      </c>
      <c r="H52" s="190">
        <f t="shared" si="95"/>
        <v>-0.56490878868876315</v>
      </c>
      <c r="I52" s="130">
        <f t="shared" si="96"/>
        <v>95.365938781151272</v>
      </c>
      <c r="J52" s="130">
        <f t="shared" si="97"/>
        <v>-0.62234639939321257</v>
      </c>
      <c r="K52" s="136">
        <f>R50+R51+R52</f>
        <v>182198975039</v>
      </c>
      <c r="L52" s="190">
        <f>U52/U49-1</f>
        <v>-0.42613575830639383</v>
      </c>
      <c r="M52" s="190">
        <f>K52/K40-1</f>
        <v>-0.45601707436931349</v>
      </c>
      <c r="N52" s="191">
        <f>AVERAGE(T50:T52)</f>
        <v>214.7196758509057</v>
      </c>
      <c r="O52" s="192">
        <f>N52/N49-1</f>
        <v>-5.152584539965932E-2</v>
      </c>
      <c r="P52" s="129" t="s">
        <v>1403</v>
      </c>
      <c r="Q52" s="116">
        <v>36916441</v>
      </c>
      <c r="R52" s="116">
        <v>54309515158</v>
      </c>
      <c r="S52" s="116">
        <v>387103</v>
      </c>
      <c r="T52" s="130">
        <f t="shared" si="98"/>
        <v>95.365938781151272</v>
      </c>
      <c r="U52" s="85">
        <f t="shared" ref="U52" si="99">Q50+Q51+Q52</f>
        <v>126253492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1917036.857142857</v>
      </c>
      <c r="G53" s="190">
        <f t="shared" ref="G53" si="100">F53/F52-1</f>
        <v>0.14243978332426077</v>
      </c>
      <c r="H53" s="190">
        <f t="shared" ref="H53" si="101">F53/F41-1</f>
        <v>-0.45855325014366077</v>
      </c>
      <c r="I53" s="130">
        <f t="shared" ref="I53" si="102">T53</f>
        <v>320.7620280260802</v>
      </c>
      <c r="J53" s="130">
        <f t="shared" ref="J53" si="103">I53/I41-1</f>
        <v>-4.9836432442229572E-4</v>
      </c>
      <c r="K53" s="136"/>
      <c r="L53" s="190"/>
      <c r="M53" s="190"/>
      <c r="N53" s="191"/>
      <c r="O53" s="192"/>
      <c r="P53" s="129" t="s">
        <v>1414</v>
      </c>
      <c r="Q53" s="116">
        <v>40257774</v>
      </c>
      <c r="R53" s="116">
        <v>58555806188</v>
      </c>
      <c r="S53" s="116">
        <v>125506.67</v>
      </c>
      <c r="T53" s="130">
        <f t="shared" ref="T53" si="104">Q53/S53</f>
        <v>320.7620280260802</v>
      </c>
      <c r="U53" s="85">
        <f t="shared" ref="U53" si="105">Q51+Q52+Q53</f>
        <v>115512573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4000629.7058823528</v>
      </c>
      <c r="G54" s="190">
        <f t="shared" ref="G54" si="106">F54/F53-1</f>
        <v>1.0868819975870849</v>
      </c>
      <c r="H54" s="190">
        <f t="shared" ref="H54" si="107">F54/F42-1</f>
        <v>0.10384123353668939</v>
      </c>
      <c r="I54" s="130">
        <f t="shared" ref="I54" si="108">T54</f>
        <v>344.35065966441931</v>
      </c>
      <c r="J54" s="130">
        <f t="shared" ref="J54" si="109">I54/I42-1</f>
        <v>2.4273900838221341E-2</v>
      </c>
      <c r="K54" s="136"/>
      <c r="L54" s="190"/>
      <c r="M54" s="190"/>
      <c r="N54" s="191"/>
      <c r="O54" s="192"/>
      <c r="P54" s="129" t="s">
        <v>1417</v>
      </c>
      <c r="Q54" s="116">
        <v>68010705</v>
      </c>
      <c r="R54" s="116">
        <v>98486743837</v>
      </c>
      <c r="S54" s="116">
        <v>197504.21</v>
      </c>
      <c r="T54" s="130">
        <f t="shared" ref="T54" si="110">Q54/S54</f>
        <v>344.35065966441931</v>
      </c>
      <c r="U54" s="85">
        <f t="shared" ref="U54" si="111">Q52+Q53+Q54</f>
        <v>145184920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9874522.5630252101</v>
      </c>
      <c r="C55" s="188">
        <f>AVERAGE(F53:F55)</f>
        <v>3291507.5210084035</v>
      </c>
      <c r="D55" s="190">
        <f>C55/C52-1</f>
        <v>0.53612591544156318</v>
      </c>
      <c r="E55" s="287">
        <f>C55/C43-1</f>
        <v>-0.20430647037081773</v>
      </c>
      <c r="F55" s="136">
        <f>Q55/21</f>
        <v>3956856</v>
      </c>
      <c r="G55" s="190">
        <f t="shared" ref="G55" si="112">F55/F54-1</f>
        <v>-1.0941703956752091E-2</v>
      </c>
      <c r="H55" s="190">
        <f t="shared" ref="H55" si="113">F55/F43-1</f>
        <v>-0.24560827515286121</v>
      </c>
      <c r="I55" s="130">
        <f>T55</f>
        <v>216.62082366615638</v>
      </c>
      <c r="J55" s="130">
        <f t="shared" ref="J55" si="114">I55/I43-1</f>
        <v>-0.35769064280769558</v>
      </c>
      <c r="K55" s="136">
        <f>R53+R54+R55</f>
        <v>279465649641</v>
      </c>
      <c r="L55" s="190">
        <f>U55/U52-1</f>
        <v>0.51570029445205368</v>
      </c>
      <c r="M55" s="190">
        <f>K55/K43-1</f>
        <v>-0.20232177349997937</v>
      </c>
      <c r="N55" s="191">
        <f>AVERAGE(T53:T55)</f>
        <v>293.91117045221864</v>
      </c>
      <c r="O55" s="192">
        <f>N55/N52-1</f>
        <v>0.36881340420940711</v>
      </c>
      <c r="P55" s="129" t="s">
        <v>1418</v>
      </c>
      <c r="Q55" s="116">
        <v>83093976</v>
      </c>
      <c r="R55" s="116">
        <v>122423099616</v>
      </c>
      <c r="S55" s="116">
        <v>383591.82</v>
      </c>
      <c r="T55" s="130">
        <f t="shared" ref="T55" si="115">Q55/S55</f>
        <v>216.62082366615638</v>
      </c>
      <c r="U55" s="85">
        <f t="shared" ref="U55" si="116">Q53+Q54+Q55</f>
        <v>191362455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4788239.3181818184</v>
      </c>
      <c r="G56" s="190">
        <f t="shared" ref="G56" si="117">F56/F55-1</f>
        <v>0.21011209864140068</v>
      </c>
      <c r="H56" s="190">
        <f t="shared" ref="H56" si="118">F56/F44-1</f>
        <v>0.13016511252233554</v>
      </c>
      <c r="I56" s="291">
        <f>T56</f>
        <v>307.71558797932573</v>
      </c>
      <c r="J56" s="130">
        <f t="shared" ref="J56" si="119">I56/I44-1</f>
        <v>0.77313422506701923</v>
      </c>
      <c r="K56" s="136"/>
      <c r="L56" s="190"/>
      <c r="M56" s="190"/>
      <c r="N56" s="191"/>
      <c r="O56" s="192"/>
      <c r="P56" s="129" t="s">
        <v>1420</v>
      </c>
      <c r="Q56" s="116">
        <v>105341265</v>
      </c>
      <c r="R56" s="116">
        <v>157166655627</v>
      </c>
      <c r="S56" s="116">
        <v>342333.21</v>
      </c>
      <c r="T56" s="130">
        <f t="shared" ref="T56" si="120">Q56/S56</f>
        <v>307.71558797932573</v>
      </c>
      <c r="U56" s="85">
        <f t="shared" ref="U56" si="121">Q54+Q55+Q56</f>
        <v>256445946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5719280.5</v>
      </c>
      <c r="G57" s="254">
        <f t="shared" ref="G57" si="122">F57/F56-1</f>
        <v>0.19444332664886832</v>
      </c>
      <c r="H57" s="254">
        <f t="shared" ref="H57" si="123">F57/F45-1</f>
        <v>0.70206150042085191</v>
      </c>
      <c r="I57" s="282">
        <f>T57</f>
        <v>346.96701356273786</v>
      </c>
      <c r="J57" s="277">
        <f t="shared" ref="J57" si="124">I57/I45-1</f>
        <v>0.14696371914920436</v>
      </c>
      <c r="K57" s="204"/>
      <c r="L57" s="254"/>
      <c r="M57" s="254"/>
      <c r="N57" s="257"/>
      <c r="O57" s="258"/>
      <c r="P57" s="129" t="s">
        <v>1436</v>
      </c>
      <c r="Q57" s="116">
        <v>68631366</v>
      </c>
      <c r="R57" s="116">
        <v>101102518134</v>
      </c>
      <c r="S57" s="116">
        <v>197803.72</v>
      </c>
      <c r="T57" s="130">
        <f t="shared" ref="T57" si="125">Q57/S57</f>
        <v>346.96701356273786</v>
      </c>
      <c r="U57" s="85">
        <f t="shared" ref="U57" si="126">Q55+Q56+Q57</f>
        <v>257066607</v>
      </c>
      <c r="V57" s="79"/>
      <c r="W57" s="79"/>
      <c r="X57" s="79"/>
      <c r="Y57" s="79"/>
      <c r="Z57" s="79"/>
    </row>
    <row r="58" spans="1:26">
      <c r="B58" s="196">
        <f>SUM(F56:F58)</f>
        <v>10507519.818181818</v>
      </c>
      <c r="C58" s="196">
        <f>AVERAGE(F56:F58)</f>
        <v>5253759.9090909092</v>
      </c>
      <c r="D58" s="197">
        <f>C58/C55-1</f>
        <v>0.59615613075717344</v>
      </c>
      <c r="E58" s="233">
        <f>C58/C46-1</f>
        <v>0.3138499877352634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365335086</v>
      </c>
      <c r="R66" s="212">
        <v>537734823402</v>
      </c>
      <c r="S66" s="213">
        <v>1246739.6299999999</v>
      </c>
      <c r="T66" s="214">
        <v>47</v>
      </c>
      <c r="U66" s="214">
        <v>106</v>
      </c>
    </row>
    <row r="67" spans="16:21" ht="18" thickBot="1">
      <c r="P67" s="180" t="s">
        <v>976</v>
      </c>
      <c r="Q67" s="181">
        <v>40257774</v>
      </c>
      <c r="R67" s="181">
        <v>58555806188</v>
      </c>
      <c r="S67" s="182">
        <v>125506.67</v>
      </c>
      <c r="T67" s="210">
        <v>16</v>
      </c>
      <c r="U67" s="210">
        <v>35</v>
      </c>
    </row>
    <row r="68" spans="16:21" ht="18" thickBot="1">
      <c r="P68" s="180" t="s">
        <v>977</v>
      </c>
      <c r="Q68" s="181">
        <v>68010705</v>
      </c>
      <c r="R68" s="181">
        <v>98486743837</v>
      </c>
      <c r="S68" s="182">
        <v>197504.21</v>
      </c>
      <c r="T68" s="210">
        <v>20</v>
      </c>
      <c r="U68" s="210">
        <v>39</v>
      </c>
    </row>
    <row r="69" spans="16:21" ht="18" thickBot="1">
      <c r="P69" s="180" t="s">
        <v>978</v>
      </c>
      <c r="Q69" s="181">
        <v>83093976</v>
      </c>
      <c r="R69" s="181">
        <v>122423099616</v>
      </c>
      <c r="S69" s="182">
        <v>383591.82</v>
      </c>
      <c r="T69" s="210">
        <v>26</v>
      </c>
      <c r="U69" s="210">
        <v>48</v>
      </c>
    </row>
    <row r="70" spans="16:21" ht="18" thickBot="1">
      <c r="P70" s="180" t="s">
        <v>979</v>
      </c>
      <c r="Q70" s="181">
        <v>105341265</v>
      </c>
      <c r="R70" s="181">
        <v>157166655627</v>
      </c>
      <c r="S70" s="182">
        <v>342333.21</v>
      </c>
      <c r="T70" s="210">
        <v>24</v>
      </c>
      <c r="U70" s="210">
        <v>55</v>
      </c>
    </row>
    <row r="71" spans="16:21" ht="18" thickBot="1">
      <c r="P71" s="180" t="s">
        <v>980</v>
      </c>
      <c r="Q71" s="181">
        <v>68631366</v>
      </c>
      <c r="R71" s="181">
        <v>101102518134</v>
      </c>
      <c r="S71" s="182">
        <v>197803.72</v>
      </c>
      <c r="T71" s="210">
        <v>17</v>
      </c>
      <c r="U71" s="210">
        <v>32</v>
      </c>
    </row>
    <row r="72" spans="16:21" ht="18" thickBot="1">
      <c r="P72" s="180" t="s">
        <v>975</v>
      </c>
      <c r="Q72" s="181">
        <v>831325364</v>
      </c>
      <c r="R72" s="181">
        <v>1180925050826</v>
      </c>
      <c r="S72" s="182">
        <v>3443161.9</v>
      </c>
      <c r="T72" s="210">
        <v>76</v>
      </c>
      <c r="U72" s="210">
        <v>223</v>
      </c>
    </row>
    <row r="73" spans="16:21" ht="18" thickBot="1">
      <c r="P73" s="215" t="s">
        <v>982</v>
      </c>
      <c r="Q73" s="217" t="s">
        <v>1484</v>
      </c>
      <c r="R73"/>
      <c r="S73"/>
      <c r="T73"/>
      <c r="U73"/>
    </row>
    <row r="74" spans="16:21" ht="18" thickBot="1">
      <c r="P74" s="180" t="s">
        <v>1386</v>
      </c>
      <c r="Q74" s="181">
        <v>621529979</v>
      </c>
      <c r="R74" s="210"/>
      <c r="S74"/>
      <c r="T74"/>
      <c r="U74"/>
    </row>
  </sheetData>
  <phoneticPr fontId="1" type="noConversion"/>
  <conditionalFormatting sqref="C29:C30">
    <cfRule type="cellIs" dxfId="2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1"/>
  <dimension ref="A1:Z72"/>
  <sheetViews>
    <sheetView zoomScaleNormal="10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M5" s="80"/>
      <c r="P5" s="129" t="s">
        <v>0</v>
      </c>
      <c r="Q5" s="116">
        <v>82728198</v>
      </c>
      <c r="R5" s="116"/>
      <c r="S5" s="116">
        <v>503589.31</v>
      </c>
      <c r="T5" s="130">
        <f t="shared" ref="T5:T26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2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86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87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86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87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85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86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87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si="2"/>
        <v>-0.10176731503108161</v>
      </c>
      <c r="H17" s="90">
        <f t="shared" ref="H17:H26" si="3">F17/F5-1</f>
        <v>3.778143457204286E-2</v>
      </c>
      <c r="I17" s="130">
        <f t="shared" si="0"/>
        <v>394.59508103894575</v>
      </c>
      <c r="J17" s="130">
        <f t="shared" ref="J17:J49" si="4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idden="1">
      <c r="A18" s="129" t="s">
        <v>106</v>
      </c>
      <c r="C18" s="79"/>
      <c r="F18" s="78">
        <f>Q18/20</f>
        <v>4680857.3499999996</v>
      </c>
      <c r="G18" s="90">
        <f t="shared" si="2"/>
        <v>9.0425351994952052E-2</v>
      </c>
      <c r="H18" s="90">
        <f t="shared" si="3"/>
        <v>2.3166024839873511E-2</v>
      </c>
      <c r="I18" s="130">
        <f t="shared" si="0"/>
        <v>387.11032604225767</v>
      </c>
      <c r="J18" s="130">
        <f t="shared" si="4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86">
        <f>C19/C7-1</f>
        <v>1.8422145076910645E-3</v>
      </c>
      <c r="F19" s="78">
        <f>Q19/22</f>
        <v>4289479.4545454541</v>
      </c>
      <c r="G19" s="90">
        <f t="shared" si="2"/>
        <v>-8.3612438104858189E-2</v>
      </c>
      <c r="H19" s="90">
        <f t="shared" si="3"/>
        <v>-5.2541256077742293E-2</v>
      </c>
      <c r="I19" s="130">
        <f t="shared" si="0"/>
        <v>371.62620767084996</v>
      </c>
      <c r="J19" s="130">
        <f t="shared" si="4"/>
        <v>0.24621824567302197</v>
      </c>
      <c r="K19" s="78">
        <f>R17+R18+R19</f>
        <v>348191779612</v>
      </c>
      <c r="L19" s="87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4833594.4000000004</v>
      </c>
      <c r="G20" s="90">
        <f t="shared" si="2"/>
        <v>0.12684871234852557</v>
      </c>
      <c r="H20" s="90">
        <f t="shared" si="3"/>
        <v>1.8595451603820479E-2</v>
      </c>
      <c r="I20" s="130">
        <f t="shared" si="0"/>
        <v>388.06021411176471</v>
      </c>
      <c r="J20" s="130">
        <f t="shared" si="4"/>
        <v>0.13967851885527316</v>
      </c>
      <c r="O20" s="89"/>
      <c r="P20" s="129" t="s">
        <v>131</v>
      </c>
      <c r="Q20" s="116">
        <v>96671888</v>
      </c>
      <c r="R20" s="116">
        <v>126831600241</v>
      </c>
      <c r="S20" s="116">
        <v>249115.69</v>
      </c>
      <c r="T20" s="130">
        <f t="shared" si="1"/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3744288.2380952379</v>
      </c>
      <c r="G21" s="90">
        <f t="shared" si="2"/>
        <v>-0.22536151603965004</v>
      </c>
      <c r="H21" s="90">
        <f t="shared" si="3"/>
        <v>-0.16306328381537394</v>
      </c>
      <c r="I21" s="130">
        <f t="shared" si="0"/>
        <v>298.78067320867848</v>
      </c>
      <c r="J21" s="130">
        <f t="shared" si="4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si="1"/>
        <v>298.78067320867848</v>
      </c>
      <c r="U21" s="78"/>
    </row>
    <row r="22" spans="1:21" hidden="1">
      <c r="A22" s="129" t="s">
        <v>155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86">
        <f>C22/C10-1</f>
        <v>7.1469375569019888E-3</v>
      </c>
      <c r="F22" s="78">
        <f>Q22/21</f>
        <v>5377702.9523809524</v>
      </c>
      <c r="G22" s="90">
        <f t="shared" si="2"/>
        <v>0.43624171282194113</v>
      </c>
      <c r="H22" s="90">
        <f t="shared" si="3"/>
        <v>0.15963741877671689</v>
      </c>
      <c r="I22" s="130">
        <f t="shared" si="0"/>
        <v>501.60319972810004</v>
      </c>
      <c r="J22" s="130">
        <f t="shared" si="4"/>
        <v>0.62680510141248091</v>
      </c>
      <c r="K22" s="78">
        <f>R20+R21+R22</f>
        <v>378361942479</v>
      </c>
      <c r="L22" s="87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155</v>
      </c>
      <c r="Q22" s="116">
        <v>112931762</v>
      </c>
      <c r="R22" s="116">
        <v>146805886803</v>
      </c>
      <c r="S22" s="116">
        <v>225141.63</v>
      </c>
      <c r="T22" s="130">
        <f t="shared" si="1"/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si="2"/>
        <v>-0.11490330771603474</v>
      </c>
      <c r="H23" s="90">
        <f t="shared" si="3"/>
        <v>-9.0928128396544627E-3</v>
      </c>
      <c r="I23" s="130">
        <f t="shared" si="0"/>
        <v>442.8151839063238</v>
      </c>
      <c r="J23" s="130">
        <f t="shared" si="4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1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si="2"/>
        <v>9.9229733454764713E-2</v>
      </c>
      <c r="H24" s="90">
        <f t="shared" si="3"/>
        <v>0.20142495115442061</v>
      </c>
      <c r="I24" s="130">
        <f t="shared" si="0"/>
        <v>386.44182825568464</v>
      </c>
      <c r="J24" s="130">
        <f t="shared" si="4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si="1"/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86">
        <f>C25/C13-1</f>
        <v>3.9099107072508854E-2</v>
      </c>
      <c r="F25" s="78">
        <f>Q25/19</f>
        <v>4390843.4736842103</v>
      </c>
      <c r="G25" s="90">
        <f t="shared" si="2"/>
        <v>-0.1607874671182743</v>
      </c>
      <c r="H25" s="90">
        <f t="shared" si="3"/>
        <v>-6.2419160811701846E-2</v>
      </c>
      <c r="I25" s="130">
        <f t="shared" si="0"/>
        <v>320.10995608187625</v>
      </c>
      <c r="J25" s="130">
        <f t="shared" si="4"/>
        <v>0.24145620744036322</v>
      </c>
      <c r="K25" s="78">
        <f>R23+R24+R25</f>
        <v>390173393418</v>
      </c>
      <c r="L25" s="90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si="1"/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5443798.8421052629</v>
      </c>
      <c r="G26" s="90">
        <f t="shared" si="2"/>
        <v>0.2398070837031121</v>
      </c>
      <c r="H26" s="90">
        <f t="shared" si="3"/>
        <v>0.40162798569160518</v>
      </c>
      <c r="I26" s="130">
        <f t="shared" si="0"/>
        <v>157.49966694006335</v>
      </c>
      <c r="J26" s="130">
        <f t="shared" si="4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si="1"/>
        <v>157.49966694006335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5295164.9090909092</v>
      </c>
      <c r="G27" s="90">
        <f t="shared" ref="G27" si="5">F27/F26-1</f>
        <v>-2.730334777705945E-2</v>
      </c>
      <c r="H27" s="90">
        <f t="shared" ref="H27" si="6">F27/F15-1</f>
        <v>0.22379729522222225</v>
      </c>
      <c r="I27" s="130">
        <f t="shared" si="0"/>
        <v>178.36288700088463</v>
      </c>
      <c r="J27" s="130">
        <f t="shared" si="4"/>
        <v>-0.39016987948997184</v>
      </c>
      <c r="L27" s="90"/>
      <c r="M27" s="90"/>
      <c r="P27" s="129" t="s">
        <v>375</v>
      </c>
      <c r="Q27" s="116">
        <v>116493628</v>
      </c>
      <c r="R27" s="116">
        <v>153712740241</v>
      </c>
      <c r="S27" s="116">
        <v>653127.06000000006</v>
      </c>
      <c r="T27" s="130">
        <f t="shared" ref="T27" si="7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86">
        <f>C28/C16-1</f>
        <v>0.29039173155591724</v>
      </c>
      <c r="F28" s="78">
        <f>Q28/19</f>
        <v>6022944.1052631577</v>
      </c>
      <c r="G28" s="90">
        <f t="shared" ref="G28" si="8">F28/F27-1</f>
        <v>0.13744221542992441</v>
      </c>
      <c r="H28" s="90">
        <f t="shared" ref="H28" si="9">F28/F16-1</f>
        <v>0.26028341465568072</v>
      </c>
      <c r="I28" s="130">
        <f t="shared" si="0"/>
        <v>242.25023228819944</v>
      </c>
      <c r="J28" s="130">
        <f t="shared" si="4"/>
        <v>-0.31343853133906074</v>
      </c>
      <c r="K28" s="78">
        <f>R26+R27+R28</f>
        <v>442560570561</v>
      </c>
      <c r="L28" s="90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10">Q28/S28</f>
        <v>242.25023228819944</v>
      </c>
      <c r="U28" s="85">
        <f>Q26+Q27+Q28</f>
        <v>334361744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5579176.7272727275</v>
      </c>
      <c r="G29" s="190">
        <f t="shared" ref="G29" si="11">F29/F28-1</f>
        <v>-7.3679478048392255E-2</v>
      </c>
      <c r="H29" s="190">
        <f t="shared" ref="H29" si="12">F29/F17-1</f>
        <v>0.29969261863500463</v>
      </c>
      <c r="I29" s="130">
        <f t="shared" si="0"/>
        <v>264.82696529644232</v>
      </c>
      <c r="J29" s="130">
        <f t="shared" si="4"/>
        <v>-0.32886399749543649</v>
      </c>
      <c r="K29" s="136"/>
      <c r="L29" s="190"/>
      <c r="M29" s="190"/>
      <c r="N29" s="191"/>
      <c r="O29" s="192"/>
      <c r="P29" s="129" t="s">
        <v>430</v>
      </c>
      <c r="Q29" s="116">
        <v>122741888</v>
      </c>
      <c r="R29" s="116">
        <v>161163060902</v>
      </c>
      <c r="S29" s="116">
        <v>463479.57</v>
      </c>
      <c r="T29" s="130">
        <f t="shared" ref="T29" si="13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6206749.3684210526</v>
      </c>
      <c r="G30" s="190">
        <f t="shared" ref="G30" si="14">F30/F29-1</f>
        <v>0.11248481125908016</v>
      </c>
      <c r="H30" s="190">
        <f t="shared" ref="H30" si="15">F30/F18-1</f>
        <v>0.32598558433340274</v>
      </c>
      <c r="I30" s="130">
        <f t="shared" si="0"/>
        <v>190.74238780850513</v>
      </c>
      <c r="J30" s="130">
        <f t="shared" si="4"/>
        <v>-0.50726608158811204</v>
      </c>
      <c r="K30" s="136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16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87">
        <f>C31/C19-1</f>
        <v>0.30707348220065667</v>
      </c>
      <c r="F31" s="136">
        <f>Q31/20</f>
        <v>5549823.75</v>
      </c>
      <c r="G31" s="190">
        <f t="shared" ref="G31" si="17">F31/F30-1</f>
        <v>-0.10584052608332872</v>
      </c>
      <c r="H31" s="190">
        <f t="shared" ref="H31" si="18">F31/F19-1</f>
        <v>0.29382220122746849</v>
      </c>
      <c r="I31" s="130">
        <f t="shared" si="0"/>
        <v>391.33479335227287</v>
      </c>
      <c r="J31" s="130">
        <f t="shared" si="4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505</v>
      </c>
      <c r="Q31" s="116">
        <v>110996475</v>
      </c>
      <c r="R31" s="116">
        <v>147370175720</v>
      </c>
      <c r="S31" s="116">
        <v>283635.59000000003</v>
      </c>
      <c r="T31" s="130">
        <f t="shared" ref="T31" si="19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7150617.8095238097</v>
      </c>
      <c r="G32" s="190">
        <f t="shared" ref="G32" si="20">F32/F31-1</f>
        <v>0.28844052201185844</v>
      </c>
      <c r="H32" s="190">
        <f t="shared" ref="H32" si="21">F32/F20-1</f>
        <v>0.47935826173660923</v>
      </c>
      <c r="I32" s="130">
        <f t="shared" si="0"/>
        <v>671.67635037551577</v>
      </c>
      <c r="J32" s="130">
        <f t="shared" si="4"/>
        <v>0.73085600107942827</v>
      </c>
      <c r="K32" s="136"/>
      <c r="L32" s="190"/>
      <c r="M32" s="190"/>
      <c r="N32" s="191"/>
      <c r="O32" s="192"/>
      <c r="P32" s="129" t="s">
        <v>581</v>
      </c>
      <c r="Q32" s="116">
        <v>150162974</v>
      </c>
      <c r="R32" s="116">
        <v>204072324088</v>
      </c>
      <c r="S32" s="116">
        <v>223564.48</v>
      </c>
      <c r="T32" s="130">
        <f t="shared" ref="T32" si="22">Q32/S32</f>
        <v>671.67635037551577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5764724.0476190476</v>
      </c>
      <c r="G33" s="190">
        <f t="shared" ref="G33" si="23">F33/F32-1</f>
        <v>-0.19381454845187074</v>
      </c>
      <c r="H33" s="190">
        <f t="shared" ref="H33" si="24">F33/F21-1</f>
        <v>0.53960477427123199</v>
      </c>
      <c r="I33" s="130">
        <f t="shared" si="0"/>
        <v>454.09684997405787</v>
      </c>
      <c r="J33" s="130">
        <f t="shared" si="4"/>
        <v>0.51983341190513133</v>
      </c>
      <c r="K33" s="136"/>
      <c r="L33" s="190"/>
      <c r="M33" s="190"/>
      <c r="N33" s="191"/>
      <c r="O33" s="192"/>
      <c r="P33" s="129" t="s">
        <v>607</v>
      </c>
      <c r="Q33" s="116">
        <v>121059205</v>
      </c>
      <c r="R33" s="116">
        <v>165352178322</v>
      </c>
      <c r="S33" s="116">
        <v>266593.36</v>
      </c>
      <c r="T33" s="130">
        <f t="shared" ref="T33" si="25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87">
        <f>C34/C22-1</f>
        <v>0.45167954734610727</v>
      </c>
      <c r="F34" s="136">
        <f>Q34/19</f>
        <v>7343696.3157894732</v>
      </c>
      <c r="G34" s="190">
        <f t="shared" ref="G34" si="26">F34/F33-1</f>
        <v>0.2739024895428559</v>
      </c>
      <c r="H34" s="190">
        <f t="shared" ref="H34" si="27">F34/F22-1</f>
        <v>0.3655823649645964</v>
      </c>
      <c r="I34" s="130">
        <f t="shared" si="0"/>
        <v>516.87545763202604</v>
      </c>
      <c r="J34" s="130">
        <f t="shared" si="4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28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6222012.7826086953</v>
      </c>
      <c r="G35" s="190">
        <f t="shared" ref="G35" si="29">F35/F34-1</f>
        <v>-0.15274100193509876</v>
      </c>
      <c r="H35" s="190">
        <f t="shared" ref="H35" si="30">F35/F23-1</f>
        <v>0.3072040110435772</v>
      </c>
      <c r="I35" s="130">
        <f t="shared" si="0"/>
        <v>386.15053104695863</v>
      </c>
      <c r="J35" s="130">
        <f t="shared" si="4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31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4777373.3809523806</v>
      </c>
      <c r="G36" s="190">
        <f t="shared" ref="G36" si="32">F36/F35-1</f>
        <v>-0.23218200478376749</v>
      </c>
      <c r="H36" s="190">
        <f t="shared" ref="H36" si="33">F36/F24-1</f>
        <v>-8.6910831693399415E-2</v>
      </c>
      <c r="I36" s="130">
        <f t="shared" si="0"/>
        <v>334.47290786822879</v>
      </c>
      <c r="J36" s="130">
        <f t="shared" si="4"/>
        <v>-0.13448057789715051</v>
      </c>
      <c r="K36" s="136"/>
      <c r="L36" s="190"/>
      <c r="M36" s="190"/>
      <c r="N36" s="191"/>
      <c r="O36" s="192"/>
      <c r="P36" s="129" t="s">
        <v>666</v>
      </c>
      <c r="Q36" s="116">
        <v>100324841</v>
      </c>
      <c r="R36" s="116">
        <v>137239016183</v>
      </c>
      <c r="S36" s="116">
        <v>299949.08</v>
      </c>
      <c r="T36" s="130">
        <f t="shared" ref="T36" si="34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87">
        <f>C37/C25-1</f>
        <v>0.12336701551269624</v>
      </c>
      <c r="F37" s="136">
        <f>Q37/18</f>
        <v>5157698.388888889</v>
      </c>
      <c r="G37" s="190">
        <f t="shared" ref="G37" si="35">F37/F36-1</f>
        <v>7.9609646893601171E-2</v>
      </c>
      <c r="H37" s="190">
        <f t="shared" ref="H37" si="36">F37/F25-1</f>
        <v>0.17464865686984643</v>
      </c>
      <c r="I37" s="130">
        <f t="shared" si="0"/>
        <v>338.89458142881671</v>
      </c>
      <c r="J37" s="130">
        <f t="shared" si="4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37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5665151.5</v>
      </c>
      <c r="G38" s="190">
        <f t="shared" ref="G38" si="38">F38/F37-1</f>
        <v>9.8387511802610517E-2</v>
      </c>
      <c r="H38" s="190">
        <f t="shared" ref="H38" si="39">F38/F26-1</f>
        <v>4.0661432267238951E-2</v>
      </c>
      <c r="I38" s="130">
        <f t="shared" si="0"/>
        <v>258.661752300898</v>
      </c>
      <c r="J38" s="130">
        <f t="shared" si="4"/>
        <v>0.64230031292276935</v>
      </c>
      <c r="K38" s="136"/>
      <c r="L38" s="190"/>
      <c r="M38" s="190"/>
      <c r="N38" s="191"/>
      <c r="O38" s="192"/>
      <c r="P38" s="129" t="s">
        <v>742</v>
      </c>
      <c r="Q38" s="116">
        <v>113303030</v>
      </c>
      <c r="R38" s="116">
        <v>152489669054</v>
      </c>
      <c r="S38" s="116">
        <v>438035.5</v>
      </c>
      <c r="T38" s="130">
        <f t="shared" ref="T38" si="40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5195782.6190476194</v>
      </c>
      <c r="G39" s="190">
        <f t="shared" ref="G39" si="41">F39/F38-1</f>
        <v>-8.2851955671861655E-2</v>
      </c>
      <c r="H39" s="190">
        <f t="shared" ref="H39" si="42">F39/F27-1</f>
        <v>-1.8768497629349956E-2</v>
      </c>
      <c r="I39" s="130">
        <f t="shared" si="0"/>
        <v>297.20587927656499</v>
      </c>
      <c r="J39" s="130">
        <f t="shared" si="4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43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87">
        <f>C40/C28-1</f>
        <v>-2.2027440494825301E-2</v>
      </c>
      <c r="F40" s="136">
        <f>Q40/21</f>
        <v>5531751.8095238097</v>
      </c>
      <c r="G40" s="190">
        <f t="shared" ref="G40" si="44">F40/F39-1</f>
        <v>6.4661902760237755E-2</v>
      </c>
      <c r="H40" s="190">
        <f t="shared" ref="H40" si="45">F40/F28-1</f>
        <v>-8.1553520529954571E-2</v>
      </c>
      <c r="I40" s="130">
        <f t="shared" si="0"/>
        <v>367.9476870790316</v>
      </c>
      <c r="J40" s="130">
        <f t="shared" si="4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46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6561591.555555556</v>
      </c>
      <c r="G41" s="190">
        <f t="shared" ref="G41" si="47">F41/F40-1</f>
        <v>0.18616882707187066</v>
      </c>
      <c r="H41" s="190">
        <f t="shared" ref="H41" si="48">F41/F29-1</f>
        <v>0.17608598477988391</v>
      </c>
      <c r="I41" s="130">
        <f t="shared" si="0"/>
        <v>398.22239257355119</v>
      </c>
      <c r="J41" s="130">
        <f t="shared" si="4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49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5313767.3</v>
      </c>
      <c r="G42" s="190">
        <f t="shared" ref="G42" si="50">F42/F41-1</f>
        <v>-0.1901709737630729</v>
      </c>
      <c r="H42" s="190">
        <f t="shared" ref="H42" si="51">F42/F30-1</f>
        <v>-0.14387274488066215</v>
      </c>
      <c r="I42" s="130">
        <f t="shared" si="0"/>
        <v>388.97282557395312</v>
      </c>
      <c r="J42" s="130">
        <f t="shared" si="4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52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87">
        <f>C43/C31-1</f>
        <v>3.2364810570979952E-2</v>
      </c>
      <c r="F43" s="136">
        <f>Q43/20</f>
        <v>6021459.25</v>
      </c>
      <c r="G43" s="190">
        <f t="shared" ref="G43" si="53">F43/F42-1</f>
        <v>0.13318083198712904</v>
      </c>
      <c r="H43" s="190">
        <f t="shared" ref="H43" si="54">F43/F31-1</f>
        <v>8.4982068124235477E-2</v>
      </c>
      <c r="I43" s="130">
        <f t="shared" si="0"/>
        <v>351.6103691630218</v>
      </c>
      <c r="J43" s="130">
        <f t="shared" si="4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55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4959624.7727272725</v>
      </c>
      <c r="G44" s="190">
        <f t="shared" ref="G44" si="56">F44/F43-1</f>
        <v>-0.1763417193718827</v>
      </c>
      <c r="H44" s="190">
        <f t="shared" ref="H44" si="57">F44/F32-1</f>
        <v>-0.30640611694815845</v>
      </c>
      <c r="I44" s="130">
        <f t="shared" si="0"/>
        <v>373.74655524806138</v>
      </c>
      <c r="J44" s="130">
        <f t="shared" si="4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58">Q44/S44</f>
        <v>373.74655524806138</v>
      </c>
      <c r="U44" s="85"/>
    </row>
    <row r="45" spans="1:21" s="79" customFormat="1" ht="13.2">
      <c r="A45" s="129" t="s">
        <v>861</v>
      </c>
      <c r="B45" s="188"/>
      <c r="C45" s="188"/>
      <c r="D45" s="190"/>
      <c r="E45" s="287"/>
      <c r="F45" s="136">
        <f>Q45/20</f>
        <v>4851746.6500000004</v>
      </c>
      <c r="G45" s="190">
        <f t="shared" ref="G45" si="59">F45/F44-1</f>
        <v>-2.1751267015296949E-2</v>
      </c>
      <c r="H45" s="190">
        <f t="shared" ref="H45" si="60">F45/F33-1</f>
        <v>-0.15837313114686313</v>
      </c>
      <c r="I45" s="130">
        <f t="shared" si="0"/>
        <v>421.9883639243036</v>
      </c>
      <c r="J45" s="130">
        <f t="shared" si="4"/>
        <v>-7.0708453607613908E-2</v>
      </c>
      <c r="K45" s="136"/>
      <c r="L45" s="190"/>
      <c r="M45" s="190"/>
      <c r="N45" s="191"/>
      <c r="O45" s="192"/>
      <c r="P45" s="129" t="s">
        <v>861</v>
      </c>
      <c r="Q45" s="116">
        <v>97034933</v>
      </c>
      <c r="R45" s="116">
        <v>136788356183</v>
      </c>
      <c r="S45" s="116">
        <v>229946.94</v>
      </c>
      <c r="T45" s="130">
        <f t="shared" ref="T45" si="61">Q45/S45</f>
        <v>421.9883639243036</v>
      </c>
      <c r="U45" s="85"/>
    </row>
    <row r="46" spans="1:21" s="79" customFormat="1" ht="13.2">
      <c r="A46" s="129" t="s">
        <v>905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87">
        <f>C46/C34-1</f>
        <v>-0.21124539331610936</v>
      </c>
      <c r="F46" s="136">
        <f>Q46/19</f>
        <v>6168038.2631578948</v>
      </c>
      <c r="G46" s="190">
        <f t="shared" ref="G46" si="62">F46/F45-1</f>
        <v>0.27130262730389987</v>
      </c>
      <c r="H46" s="190">
        <f t="shared" ref="H46" si="63">F46/F34-1</f>
        <v>-0.16009077746091294</v>
      </c>
      <c r="I46" s="130">
        <f t="shared" si="0"/>
        <v>459.06926860713031</v>
      </c>
      <c r="J46" s="130">
        <f t="shared" si="4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888</v>
      </c>
      <c r="Q46" s="116">
        <v>117192727</v>
      </c>
      <c r="R46" s="116">
        <v>160461056830</v>
      </c>
      <c r="S46" s="116">
        <v>255283.32</v>
      </c>
      <c r="T46" s="130">
        <f t="shared" ref="T46" si="64">Q46/S46</f>
        <v>459.06926860713031</v>
      </c>
      <c r="U46" s="85">
        <f t="shared" ref="U46:U51" si="65">Q44+Q45+Q46</f>
        <v>323339405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6056009.1739130439</v>
      </c>
      <c r="G47" s="190">
        <f t="shared" ref="G47" si="66">F47/F46-1</f>
        <v>-1.8162839539113795E-2</v>
      </c>
      <c r="H47" s="190">
        <f t="shared" ref="H47" si="67">F47/F35-1</f>
        <v>-2.6680049446322629E-2</v>
      </c>
      <c r="I47" s="130">
        <f t="shared" si="0"/>
        <v>439.1338897301693</v>
      </c>
      <c r="J47" s="130">
        <f t="shared" si="4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68">Q47/S47</f>
        <v>439.1338897301693</v>
      </c>
      <c r="U47" s="85">
        <f t="shared" si="65"/>
        <v>353515871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6923273.0499999998</v>
      </c>
      <c r="G48" s="190">
        <f t="shared" ref="G48" si="69">F48/F47-1</f>
        <v>0.1432071602240621</v>
      </c>
      <c r="H48" s="190">
        <f t="shared" ref="H48" si="70">F48/F36-1</f>
        <v>0.44917981031238319</v>
      </c>
      <c r="I48" s="130">
        <f t="shared" si="0"/>
        <v>546.2470508615794</v>
      </c>
      <c r="J48" s="130">
        <f t="shared" si="4"/>
        <v>0.6331578373360589</v>
      </c>
      <c r="K48" s="136"/>
      <c r="L48" s="190"/>
      <c r="M48" s="190"/>
      <c r="N48" s="191"/>
      <c r="O48" s="192"/>
      <c r="P48" s="129" t="s">
        <v>1120</v>
      </c>
      <c r="Q48" s="116">
        <v>138465461</v>
      </c>
      <c r="R48" s="116">
        <v>192174405811</v>
      </c>
      <c r="S48" s="116">
        <v>253485.05</v>
      </c>
      <c r="T48" s="130">
        <f t="shared" ref="T48" si="71">Q48/S48</f>
        <v>546.2470508615794</v>
      </c>
      <c r="U48" s="85">
        <f t="shared" si="65"/>
        <v>394946399</v>
      </c>
    </row>
    <row r="49" spans="1:26" ht="13.2">
      <c r="A49" s="129" t="s">
        <v>1247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87">
        <f>C49/C37-1</f>
        <v>0.22251609732342748</v>
      </c>
      <c r="F49" s="136">
        <f>Q49/22</f>
        <v>6773013.7272727275</v>
      </c>
      <c r="G49" s="190">
        <f t="shared" ref="G49" si="72">F49/F48-1</f>
        <v>-2.1703509545571431E-2</v>
      </c>
      <c r="H49" s="190">
        <f t="shared" ref="H49" si="73">F49/F37-1</f>
        <v>0.31318530410069645</v>
      </c>
      <c r="I49" s="130">
        <f t="shared" si="0"/>
        <v>508.26243542781816</v>
      </c>
      <c r="J49" s="130">
        <f t="shared" si="4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1203</v>
      </c>
      <c r="Q49" s="116">
        <v>149006302</v>
      </c>
      <c r="R49" s="116">
        <v>207097214482</v>
      </c>
      <c r="S49" s="116">
        <v>293168.03999999998</v>
      </c>
      <c r="T49" s="130">
        <f t="shared" ref="T49" si="74">Q49/S49</f>
        <v>508.26243542781816</v>
      </c>
      <c r="U49" s="85">
        <f t="shared" si="65"/>
        <v>426759974</v>
      </c>
      <c r="V49" s="79"/>
      <c r="W49" s="79"/>
      <c r="X49" s="79"/>
      <c r="Y49" s="79"/>
      <c r="Z49" s="79"/>
    </row>
    <row r="50" spans="1:26" ht="13.2">
      <c r="A50" s="129" t="s">
        <v>1329</v>
      </c>
      <c r="B50" s="188"/>
      <c r="C50" s="188"/>
      <c r="D50" s="190"/>
      <c r="E50" s="287"/>
      <c r="F50" s="136">
        <f>Q50/18</f>
        <v>7786180.277777778</v>
      </c>
      <c r="G50" s="190">
        <f t="shared" ref="G50" si="75">F50/F49-1</f>
        <v>0.1495887342477038</v>
      </c>
      <c r="H50" s="190">
        <f t="shared" ref="H50" si="76">F50/F38-1</f>
        <v>0.37439930384523312</v>
      </c>
      <c r="I50" s="130">
        <f t="shared" ref="I50" si="77">T50</f>
        <v>556.20702877519341</v>
      </c>
      <c r="J50" s="130">
        <f t="shared" ref="J50" si="78">I50/I38-1</f>
        <v>1.1503257587467539</v>
      </c>
      <c r="K50" s="136"/>
      <c r="L50" s="190"/>
      <c r="M50" s="190"/>
      <c r="N50" s="191"/>
      <c r="O50" s="192"/>
      <c r="P50" s="129" t="s">
        <v>1378</v>
      </c>
      <c r="Q50" s="116">
        <v>140151245</v>
      </c>
      <c r="R50" s="116">
        <v>198348188474</v>
      </c>
      <c r="S50" s="116">
        <v>251976.76</v>
      </c>
      <c r="T50" s="130">
        <f t="shared" ref="T50" si="79">Q50/S50</f>
        <v>556.20702877519341</v>
      </c>
      <c r="U50" s="85">
        <f t="shared" si="65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7473687.2999999998</v>
      </c>
      <c r="G51" s="190">
        <f t="shared" ref="G51:G52" si="80">F51/F50-1</f>
        <v>-4.0134310615649538E-2</v>
      </c>
      <c r="H51" s="190">
        <f t="shared" ref="H51:H52" si="81">F51/F39-1</f>
        <v>0.43841416163209646</v>
      </c>
      <c r="I51" s="130">
        <f t="shared" ref="I51:I52" si="82">T51</f>
        <v>645.49020420721934</v>
      </c>
      <c r="J51" s="130">
        <f t="shared" ref="J51:J52" si="83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84">Q51/S51</f>
        <v>645.49020420721934</v>
      </c>
      <c r="U51" s="85">
        <f t="shared" si="65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87">
        <f>C52/C40-1</f>
        <v>0.42913680016945444</v>
      </c>
      <c r="F52" s="136">
        <f>Q52/22</f>
        <v>8167523.1363636367</v>
      </c>
      <c r="G52" s="190">
        <f t="shared" si="80"/>
        <v>9.2837150995551676E-2</v>
      </c>
      <c r="H52" s="190">
        <f t="shared" si="81"/>
        <v>0.47648040215794185</v>
      </c>
      <c r="I52" s="130">
        <f t="shared" si="82"/>
        <v>524.7098678173486</v>
      </c>
      <c r="J52" s="130">
        <f t="shared" si="83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84"/>
        <v>524.7098678173486</v>
      </c>
      <c r="U52" s="85">
        <f t="shared" ref="U52" si="85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6133876.9523809524</v>
      </c>
      <c r="G53" s="190">
        <f t="shared" ref="G53" si="86">F53/F52-1</f>
        <v>-0.2489917873545332</v>
      </c>
      <c r="H53" s="190">
        <f t="shared" ref="H53" si="87">F53/F41-1</f>
        <v>-6.5184582056538876E-2</v>
      </c>
      <c r="I53" s="130">
        <f t="shared" ref="I53" si="88">T53</f>
        <v>374.65414750176109</v>
      </c>
      <c r="J53" s="130">
        <f t="shared" ref="J53" si="89">I53/I41-1</f>
        <v>-5.9183625811391471E-2</v>
      </c>
      <c r="K53" s="136"/>
      <c r="L53" s="190"/>
      <c r="M53" s="190"/>
      <c r="N53" s="191"/>
      <c r="O53" s="192"/>
      <c r="P53" s="129" t="s">
        <v>1414</v>
      </c>
      <c r="Q53" s="116">
        <v>128811416</v>
      </c>
      <c r="R53" s="116">
        <v>187883968382</v>
      </c>
      <c r="S53" s="116">
        <v>343814.2</v>
      </c>
      <c r="T53" s="130">
        <f t="shared" ref="T53" si="90">Q53/S53</f>
        <v>374.65414750176109</v>
      </c>
      <c r="U53" s="85">
        <f t="shared" ref="U53" si="91">Q51+Q52+Q53</f>
        <v>457970671</v>
      </c>
      <c r="V53" s="79"/>
      <c r="W53" s="79"/>
      <c r="X53" s="79"/>
      <c r="Y53" s="79"/>
      <c r="Z53" s="79"/>
    </row>
    <row r="54" spans="1:26" ht="13.2">
      <c r="A54" s="273" t="s">
        <v>1417</v>
      </c>
      <c r="B54" s="274"/>
      <c r="C54" s="274"/>
      <c r="D54" s="189"/>
      <c r="E54" s="287"/>
      <c r="F54" s="200">
        <f>Q54/17</f>
        <v>10403684.529411765</v>
      </c>
      <c r="G54" s="189">
        <f t="shared" ref="G54" si="92">F54/F53-1</f>
        <v>0.69610258082751808</v>
      </c>
      <c r="H54" s="189">
        <f t="shared" ref="H54" si="93">F54/F42-1</f>
        <v>0.95787356541031921</v>
      </c>
      <c r="I54" s="135">
        <f t="shared" ref="I54" si="94">T54</f>
        <v>651.02784006200534</v>
      </c>
      <c r="J54" s="135">
        <f t="shared" ref="J54" si="95">I54/I42-1</f>
        <v>0.67371033979397943</v>
      </c>
      <c r="K54" s="200"/>
      <c r="L54" s="189"/>
      <c r="M54" s="189"/>
      <c r="N54" s="275"/>
      <c r="O54" s="219"/>
      <c r="P54" s="129" t="s">
        <v>1417</v>
      </c>
      <c r="Q54" s="116">
        <v>176862637</v>
      </c>
      <c r="R54" s="116">
        <v>256267431054</v>
      </c>
      <c r="S54" s="116">
        <v>271666.78000000003</v>
      </c>
      <c r="T54" s="130">
        <f t="shared" ref="T54" si="96">Q54/S54</f>
        <v>651.02784006200534</v>
      </c>
      <c r="U54" s="85">
        <f t="shared" ref="U54" si="97">Q52+Q53+Q54</f>
        <v>485359562</v>
      </c>
      <c r="V54" s="79"/>
      <c r="W54" s="79"/>
      <c r="X54" s="79"/>
      <c r="Y54" s="79"/>
      <c r="Z54" s="79"/>
    </row>
    <row r="55" spans="1:26" ht="13.2">
      <c r="A55" s="273" t="s">
        <v>1418</v>
      </c>
      <c r="B55" s="188">
        <f>SUM(F53:F55)</f>
        <v>23021024.577030815</v>
      </c>
      <c r="C55" s="188">
        <f>AVERAGE(F53:F55)</f>
        <v>7673674.8590102717</v>
      </c>
      <c r="D55" s="190">
        <f>C55/C52-1</f>
        <v>-1.7345770259651894E-2</v>
      </c>
      <c r="E55" s="287">
        <f>C55/C43-1</f>
        <v>0.28631941394568883</v>
      </c>
      <c r="F55" s="200">
        <f>Q55/21</f>
        <v>6483463.0952380951</v>
      </c>
      <c r="G55" s="189">
        <f t="shared" ref="G55" si="98">F55/F54-1</f>
        <v>-0.37681087148413595</v>
      </c>
      <c r="H55" s="189">
        <f t="shared" ref="H55" si="99">F55/F43-1</f>
        <v>7.6726226327628932E-2</v>
      </c>
      <c r="I55" s="135">
        <f>T55</f>
        <v>377.86452838385759</v>
      </c>
      <c r="J55" s="135">
        <f t="shared" ref="J55" si="100">I55/I43-1</f>
        <v>7.4668330411675754E-2</v>
      </c>
      <c r="K55" s="136">
        <f>R53+R54+R55</f>
        <v>644418446746</v>
      </c>
      <c r="L55" s="190">
        <f>U55/U52-1</f>
        <v>-5.856191583184267E-2</v>
      </c>
      <c r="M55" s="190">
        <f>K55/K43-1</f>
        <v>0.28720021470157264</v>
      </c>
      <c r="N55" s="191">
        <f>AVERAGE(T53:T55)</f>
        <v>467.84883864920795</v>
      </c>
      <c r="O55" s="192">
        <f>N55/N52-1</f>
        <v>-0.18701300794150555</v>
      </c>
      <c r="P55" s="129" t="s">
        <v>1418</v>
      </c>
      <c r="Q55" s="116">
        <v>136152725</v>
      </c>
      <c r="R55" s="116">
        <v>200267047310</v>
      </c>
      <c r="S55" s="116">
        <v>360321.53</v>
      </c>
      <c r="T55" s="130">
        <f t="shared" ref="T55" si="101">Q55/S55</f>
        <v>377.86452838385759</v>
      </c>
      <c r="U55" s="85">
        <f t="shared" ref="U55" si="102">Q53+Q54+Q55</f>
        <v>441826778</v>
      </c>
      <c r="V55" s="79"/>
      <c r="W55" s="79"/>
      <c r="X55" s="79"/>
      <c r="Y55" s="79"/>
      <c r="Z55" s="79"/>
    </row>
    <row r="56" spans="1:26" ht="13.2">
      <c r="A56" s="273" t="s">
        <v>1420</v>
      </c>
      <c r="B56" s="188"/>
      <c r="C56" s="188"/>
      <c r="D56" s="190"/>
      <c r="E56" s="287"/>
      <c r="F56" s="290">
        <f>Q56/22</f>
        <v>8026778.3181818184</v>
      </c>
      <c r="G56" s="190">
        <f t="shared" ref="G56" si="103">F56/F55-1</f>
        <v>0.23803871484627415</v>
      </c>
      <c r="H56" s="190">
        <f t="shared" ref="H56" si="104">F56/F44-1</f>
        <v>0.61842451516103991</v>
      </c>
      <c r="I56" s="291">
        <f>T56</f>
        <v>512.10923817869741</v>
      </c>
      <c r="J56" s="135">
        <f t="shared" ref="J56" si="105">I56/I44-1</f>
        <v>0.37020457041751875</v>
      </c>
      <c r="K56" s="136"/>
      <c r="L56" s="190"/>
      <c r="M56" s="190"/>
      <c r="N56" s="191"/>
      <c r="O56" s="192"/>
      <c r="P56" s="129" t="s">
        <v>1420</v>
      </c>
      <c r="Q56" s="116">
        <v>176589123</v>
      </c>
      <c r="R56" s="116">
        <v>263316169699</v>
      </c>
      <c r="S56" s="116">
        <v>344827.06</v>
      </c>
      <c r="T56" s="130">
        <f t="shared" ref="T56" si="106">Q56/S56</f>
        <v>512.10923817869741</v>
      </c>
      <c r="U56" s="85">
        <f t="shared" ref="U56" si="107">Q54+Q55+Q56</f>
        <v>489604485</v>
      </c>
      <c r="V56" s="79"/>
      <c r="W56" s="79"/>
      <c r="X56" s="79"/>
      <c r="Y56" s="79"/>
      <c r="Z56" s="79"/>
    </row>
    <row r="57" spans="1:26" ht="13.2">
      <c r="A57" s="278" t="s">
        <v>1436</v>
      </c>
      <c r="B57" s="253"/>
      <c r="C57" s="253"/>
      <c r="D57" s="254"/>
      <c r="E57" s="289"/>
      <c r="F57" s="283">
        <f>Q57/12</f>
        <v>6507328.666666667</v>
      </c>
      <c r="G57" s="280">
        <f t="shared" ref="G57" si="108">F57/F56-1</f>
        <v>-0.18929757261059244</v>
      </c>
      <c r="H57" s="280">
        <f t="shared" ref="H57" si="109">F57/F45-1</f>
        <v>0.3412342267844235</v>
      </c>
      <c r="I57" s="282">
        <f>T57</f>
        <v>408.23272711608161</v>
      </c>
      <c r="J57" s="281">
        <f t="shared" ref="J57" si="110">I57/I45-1</f>
        <v>-3.2597194577359212E-2</v>
      </c>
      <c r="K57" s="204"/>
      <c r="L57" s="254"/>
      <c r="M57" s="254"/>
      <c r="N57" s="257"/>
      <c r="O57" s="258"/>
      <c r="P57" s="129" t="s">
        <v>1436</v>
      </c>
      <c r="Q57" s="116">
        <v>78087944</v>
      </c>
      <c r="R57" s="116">
        <v>115088270065</v>
      </c>
      <c r="S57" s="116">
        <v>191282.91</v>
      </c>
      <c r="T57" s="130">
        <f t="shared" ref="T57" si="111">Q57/S57</f>
        <v>408.23272711608161</v>
      </c>
      <c r="U57" s="85">
        <f t="shared" ref="U57" si="112">Q55+Q56+Q57</f>
        <v>390829792</v>
      </c>
      <c r="V57" s="79"/>
      <c r="W57" s="79"/>
      <c r="X57" s="79"/>
      <c r="Y57" s="79"/>
      <c r="Z57" s="79"/>
    </row>
    <row r="58" spans="1:26">
      <c r="B58" s="196">
        <f>SUM(F56:F58)</f>
        <v>14534106.984848484</v>
      </c>
      <c r="C58" s="196">
        <f>AVERAGE(F56:F58)</f>
        <v>7267053.4924242422</v>
      </c>
      <c r="D58" s="197">
        <f>C58/C55-1</f>
        <v>-5.2989131551304025E-2</v>
      </c>
      <c r="E58" s="233">
        <f>C58/C46-1</f>
        <v>0.36432827656518452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696503845</v>
      </c>
      <c r="R65" s="212">
        <v>1022822886510</v>
      </c>
      <c r="S65" s="213">
        <v>1511912.5</v>
      </c>
      <c r="T65" s="214">
        <v>706</v>
      </c>
      <c r="U65" s="214">
        <v>1690</v>
      </c>
    </row>
    <row r="66" spans="16:21" ht="18" thickBot="1">
      <c r="P66" s="180" t="s">
        <v>976</v>
      </c>
      <c r="Q66" s="181">
        <v>128811416</v>
      </c>
      <c r="R66" s="181">
        <v>187883968382</v>
      </c>
      <c r="S66" s="182">
        <v>343814.2</v>
      </c>
      <c r="T66" s="210">
        <v>398</v>
      </c>
      <c r="U66" s="210">
        <v>902</v>
      </c>
    </row>
    <row r="67" spans="16:21" ht="18" thickBot="1">
      <c r="P67" s="180" t="s">
        <v>977</v>
      </c>
      <c r="Q67" s="181">
        <v>176862637</v>
      </c>
      <c r="R67" s="181">
        <v>256267431054</v>
      </c>
      <c r="S67" s="182">
        <v>271666.78000000003</v>
      </c>
      <c r="T67" s="210">
        <v>350</v>
      </c>
      <c r="U67" s="210">
        <v>755</v>
      </c>
    </row>
    <row r="68" spans="16:21" ht="18" thickBot="1">
      <c r="P68" s="180" t="s">
        <v>978</v>
      </c>
      <c r="Q68" s="181">
        <v>136152725</v>
      </c>
      <c r="R68" s="181">
        <v>200267047310</v>
      </c>
      <c r="S68" s="182">
        <v>360321.53</v>
      </c>
      <c r="T68" s="210">
        <v>419</v>
      </c>
      <c r="U68" s="210">
        <v>915</v>
      </c>
    </row>
    <row r="69" spans="16:21" ht="18" thickBot="1">
      <c r="P69" s="180" t="s">
        <v>979</v>
      </c>
      <c r="Q69" s="181">
        <v>176589123</v>
      </c>
      <c r="R69" s="181">
        <v>263316169699</v>
      </c>
      <c r="S69" s="182">
        <v>344827.06</v>
      </c>
      <c r="T69" s="210">
        <v>429</v>
      </c>
      <c r="U69" s="210">
        <v>944</v>
      </c>
    </row>
    <row r="70" spans="16:21" ht="18" thickBot="1">
      <c r="P70" s="180" t="s">
        <v>980</v>
      </c>
      <c r="Q70" s="181">
        <v>78087944</v>
      </c>
      <c r="R70" s="181">
        <v>115088270065</v>
      </c>
      <c r="S70" s="182">
        <v>191282.91</v>
      </c>
      <c r="T70" s="210">
        <v>359</v>
      </c>
      <c r="U70" s="210">
        <v>728</v>
      </c>
    </row>
    <row r="71" spans="16:21" ht="18" thickBot="1">
      <c r="P71" s="215" t="s">
        <v>975</v>
      </c>
      <c r="Q71" s="216">
        <v>1546776434</v>
      </c>
      <c r="R71" s="217"/>
      <c r="S71"/>
      <c r="T71"/>
      <c r="U71"/>
    </row>
    <row r="72" spans="16:21" ht="18" thickBot="1">
      <c r="P72" s="215" t="s">
        <v>982</v>
      </c>
      <c r="Q72" s="216">
        <v>1437194624</v>
      </c>
      <c r="R72" s="217"/>
      <c r="S72"/>
      <c r="T72"/>
      <c r="U72"/>
    </row>
  </sheetData>
  <phoneticPr fontId="1" type="noConversion"/>
  <conditionalFormatting sqref="C29:C30">
    <cfRule type="cellIs" dxfId="2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1">
    <tabColor rgb="FFFFFF00"/>
  </sheetPr>
  <dimension ref="A1:Z73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275</v>
      </c>
      <c r="F4" s="84" t="s">
        <v>73</v>
      </c>
      <c r="G4" s="172" t="s">
        <v>282</v>
      </c>
      <c r="H4" s="172" t="s">
        <v>275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5932208.9000000004</v>
      </c>
      <c r="G5" s="90"/>
      <c r="H5" s="90"/>
      <c r="I5" s="130">
        <f t="shared" ref="I5:I49" si="0">T5</f>
        <v>27.490215383836865</v>
      </c>
      <c r="J5" s="130"/>
      <c r="L5" s="80"/>
      <c r="M5" s="80"/>
      <c r="P5" s="129" t="s">
        <v>0</v>
      </c>
      <c r="Q5" s="116">
        <v>118644178</v>
      </c>
      <c r="R5" s="116">
        <v>140018684705</v>
      </c>
      <c r="S5" s="116">
        <v>4315869.3499999996</v>
      </c>
      <c r="T5" s="130">
        <f t="shared" ref="T5:T17" si="1">Q5/S5</f>
        <v>27.490215383836865</v>
      </c>
      <c r="U5" s="85"/>
    </row>
    <row r="6" spans="1:21" ht="15" hidden="1" customHeight="1">
      <c r="A6" s="129" t="s">
        <v>1</v>
      </c>
      <c r="C6" s="79"/>
      <c r="F6" s="78">
        <f>Q6/18</f>
        <v>7176511.111111111</v>
      </c>
      <c r="G6" s="90">
        <f t="shared" ref="G6:G16" si="2">F6/F5-1</f>
        <v>0.20975360647045149</v>
      </c>
      <c r="H6" s="90"/>
      <c r="I6" s="130">
        <f t="shared" si="0"/>
        <v>27.663814475851623</v>
      </c>
      <c r="J6" s="130"/>
      <c r="P6" s="129" t="s">
        <v>1</v>
      </c>
      <c r="Q6" s="116">
        <v>129177200</v>
      </c>
      <c r="R6" s="116">
        <v>153469487761</v>
      </c>
      <c r="S6" s="116">
        <v>4669536.8099999996</v>
      </c>
      <c r="T6" s="130">
        <f t="shared" si="1"/>
        <v>27.663814475851623</v>
      </c>
      <c r="U6" s="85"/>
    </row>
    <row r="7" spans="1:21" ht="15" hidden="1" customHeight="1">
      <c r="A7" s="129" t="s">
        <v>2</v>
      </c>
      <c r="B7" s="131">
        <f>F5+F6+F7</f>
        <v>20296662.51111111</v>
      </c>
      <c r="C7" s="131">
        <f>AVERAGE(F5:F7)</f>
        <v>6765554.1703703701</v>
      </c>
      <c r="F7" s="78">
        <f>Q7/22</f>
        <v>7187942.5</v>
      </c>
      <c r="G7" s="90">
        <f t="shared" si="2"/>
        <v>1.5928894572727614E-3</v>
      </c>
      <c r="H7" s="90"/>
      <c r="I7" s="130">
        <f t="shared" si="0"/>
        <v>28.884982866866579</v>
      </c>
      <c r="J7" s="130"/>
      <c r="K7" s="79">
        <f>R5+R6+R7</f>
        <v>484046205817</v>
      </c>
      <c r="N7" s="88">
        <f>AVERAGE(T5:T7)</f>
        <v>28.013004242185023</v>
      </c>
      <c r="P7" s="129" t="s">
        <v>2</v>
      </c>
      <c r="Q7" s="116">
        <v>158134735</v>
      </c>
      <c r="R7" s="116">
        <v>190558033351</v>
      </c>
      <c r="S7" s="116">
        <v>5474634.8899999997</v>
      </c>
      <c r="T7" s="130">
        <f t="shared" si="1"/>
        <v>28.884982866866579</v>
      </c>
      <c r="U7" s="85">
        <f>Q5+Q6+Q7</f>
        <v>405956113</v>
      </c>
    </row>
    <row r="8" spans="1:21" ht="15" hidden="1" customHeight="1">
      <c r="A8" s="129" t="s">
        <v>3</v>
      </c>
      <c r="C8" s="79"/>
      <c r="F8" s="78">
        <f>Q8/21</f>
        <v>7327802.4285714282</v>
      </c>
      <c r="G8" s="90">
        <f t="shared" si="2"/>
        <v>1.9457574760987306E-2</v>
      </c>
      <c r="H8" s="90"/>
      <c r="I8" s="130">
        <f t="shared" si="0"/>
        <v>31.045987717806074</v>
      </c>
      <c r="J8" s="130"/>
      <c r="K8" s="78"/>
      <c r="P8" s="129" t="s">
        <v>3</v>
      </c>
      <c r="Q8" s="116">
        <v>153883851</v>
      </c>
      <c r="R8" s="116">
        <v>186563154094</v>
      </c>
      <c r="S8" s="116">
        <v>4956642.1399999997</v>
      </c>
      <c r="T8" s="130">
        <f t="shared" si="1"/>
        <v>31.045987717806074</v>
      </c>
      <c r="U8" s="85"/>
    </row>
    <row r="9" spans="1:21" ht="15" hidden="1" customHeight="1">
      <c r="A9" s="129" t="s">
        <v>4</v>
      </c>
      <c r="C9" s="79"/>
      <c r="F9" s="78">
        <f>Q9/21</f>
        <v>8963100.666666666</v>
      </c>
      <c r="G9" s="90">
        <f t="shared" si="2"/>
        <v>0.22316352740613432</v>
      </c>
      <c r="H9" s="90"/>
      <c r="I9" s="130">
        <f t="shared" si="0"/>
        <v>31.833060412254159</v>
      </c>
      <c r="J9" s="130"/>
      <c r="K9" s="78"/>
      <c r="P9" s="129" t="s">
        <v>4</v>
      </c>
      <c r="Q9" s="116">
        <v>188225114</v>
      </c>
      <c r="R9" s="116">
        <v>236400627010</v>
      </c>
      <c r="S9" s="116">
        <v>5912881.5</v>
      </c>
      <c r="T9" s="130">
        <f t="shared" si="1"/>
        <v>31.833060412254159</v>
      </c>
      <c r="U9" s="85"/>
    </row>
    <row r="10" spans="1:21" ht="15" hidden="1" customHeight="1">
      <c r="A10" s="129" t="s">
        <v>5</v>
      </c>
      <c r="B10" s="131">
        <f>F8+F9+F10</f>
        <v>24020871.285714284</v>
      </c>
      <c r="C10" s="131">
        <f>AVERAGE(F8:F10)</f>
        <v>8006957.0952380942</v>
      </c>
      <c r="D10" s="90">
        <f>C10/C7-1</f>
        <v>0.18348872739862565</v>
      </c>
      <c r="E10" s="286"/>
      <c r="F10" s="78">
        <f>Q10/21</f>
        <v>7729968.1904761903</v>
      </c>
      <c r="G10" s="90">
        <f t="shared" si="2"/>
        <v>-0.13757878239351207</v>
      </c>
      <c r="H10" s="90"/>
      <c r="I10" s="130">
        <f t="shared" si="0"/>
        <v>29.829348704830736</v>
      </c>
      <c r="J10" s="130"/>
      <c r="K10" s="79">
        <f>R8+R9+R10</f>
        <v>627318568194</v>
      </c>
      <c r="L10" s="87">
        <f>U10/U7-1</f>
        <v>0.24259317903164579</v>
      </c>
      <c r="N10" s="88">
        <f>AVERAGE(T8:T10)</f>
        <v>30.90279894496366</v>
      </c>
      <c r="O10" s="89">
        <f>N10/N7-1</f>
        <v>0.10315904277153076</v>
      </c>
      <c r="P10" s="129" t="s">
        <v>5</v>
      </c>
      <c r="Q10" s="116">
        <v>162329332</v>
      </c>
      <c r="R10" s="116">
        <v>204354787090</v>
      </c>
      <c r="S10" s="116">
        <v>5441933.5</v>
      </c>
      <c r="T10" s="130">
        <f t="shared" si="1"/>
        <v>29.829348704830736</v>
      </c>
      <c r="U10" s="85">
        <f>Q8+Q9+Q10</f>
        <v>504438297</v>
      </c>
    </row>
    <row r="11" spans="1:21" ht="15" hidden="1" customHeight="1">
      <c r="A11" s="129" t="s">
        <v>6</v>
      </c>
      <c r="C11" s="79"/>
      <c r="F11" s="78">
        <f>Q11/21</f>
        <v>6901820.5714285718</v>
      </c>
      <c r="G11" s="90">
        <f t="shared" si="2"/>
        <v>-0.10713467360291973</v>
      </c>
      <c r="H11" s="90"/>
      <c r="I11" s="130">
        <f t="shared" si="0"/>
        <v>26.976606077948158</v>
      </c>
      <c r="J11" s="130"/>
      <c r="K11" s="78"/>
      <c r="O11" s="89"/>
      <c r="P11" s="129" t="s">
        <v>6</v>
      </c>
      <c r="Q11" s="116">
        <v>144938232</v>
      </c>
      <c r="R11" s="116">
        <v>187106707715</v>
      </c>
      <c r="S11" s="116">
        <v>5372737.8300000001</v>
      </c>
      <c r="T11" s="130">
        <f t="shared" si="1"/>
        <v>26.976606077948158</v>
      </c>
      <c r="U11" s="85"/>
    </row>
    <row r="12" spans="1:21" ht="15" hidden="1" customHeight="1">
      <c r="A12" s="129" t="s">
        <v>7</v>
      </c>
      <c r="C12" s="79"/>
      <c r="F12" s="78">
        <f>Q12/22</f>
        <v>6664423.7272727275</v>
      </c>
      <c r="G12" s="90">
        <f t="shared" si="2"/>
        <v>-3.4396264246363439E-2</v>
      </c>
      <c r="H12" s="90"/>
      <c r="I12" s="130">
        <f t="shared" si="0"/>
        <v>29.960156249053316</v>
      </c>
      <c r="J12" s="130"/>
      <c r="K12" s="78"/>
      <c r="O12" s="89"/>
      <c r="P12" s="129" t="s">
        <v>7</v>
      </c>
      <c r="Q12" s="116">
        <v>146617322</v>
      </c>
      <c r="R12" s="116">
        <v>190711622617</v>
      </c>
      <c r="S12" s="116">
        <v>4893743.57</v>
      </c>
      <c r="T12" s="130">
        <f t="shared" si="1"/>
        <v>29.960156249053316</v>
      </c>
      <c r="U12" s="85"/>
    </row>
    <row r="13" spans="1:21" ht="15" hidden="1" customHeight="1">
      <c r="A13" s="129" t="s">
        <v>96</v>
      </c>
      <c r="B13" s="131">
        <f>F11+F12+F13</f>
        <v>21902375.048701301</v>
      </c>
      <c r="C13" s="131">
        <f>AVERAGE(F11:F13)</f>
        <v>7300791.6829004334</v>
      </c>
      <c r="D13" s="90">
        <f>C13/C10-1</f>
        <v>-8.819397980259347E-2</v>
      </c>
      <c r="E13" s="286"/>
      <c r="F13" s="78">
        <f>Q13/20</f>
        <v>8336130.75</v>
      </c>
      <c r="G13" s="90">
        <f t="shared" si="2"/>
        <v>0.25084044639691339</v>
      </c>
      <c r="H13" s="90"/>
      <c r="I13" s="130">
        <f t="shared" si="0"/>
        <v>26.798467764415438</v>
      </c>
      <c r="J13" s="130"/>
      <c r="K13" s="78">
        <f>R11+R12+R13</f>
        <v>605723670269</v>
      </c>
      <c r="L13" s="87">
        <f>U13/U10-1</f>
        <v>-9.1507976841813776E-2</v>
      </c>
      <c r="N13" s="88">
        <f>AVERAGE(T11:T13)</f>
        <v>27.911743363805638</v>
      </c>
      <c r="O13" s="89">
        <f>N13/N10-1</f>
        <v>-9.678914801487537E-2</v>
      </c>
      <c r="P13" s="129" t="s">
        <v>96</v>
      </c>
      <c r="Q13" s="116">
        <v>166722615</v>
      </c>
      <c r="R13" s="116">
        <v>227905339937</v>
      </c>
      <c r="S13" s="116">
        <v>6221348.79</v>
      </c>
      <c r="T13" s="130">
        <f t="shared" si="1"/>
        <v>26.798467764415438</v>
      </c>
      <c r="U13" s="85">
        <f>Q11+Q12+Q13</f>
        <v>458278169</v>
      </c>
    </row>
    <row r="14" spans="1:21" ht="15" hidden="1" customHeight="1">
      <c r="A14" s="129" t="s">
        <v>97</v>
      </c>
      <c r="C14" s="79"/>
      <c r="F14" s="78">
        <f>Q14/20</f>
        <v>7175924.5999999996</v>
      </c>
      <c r="G14" s="90">
        <f t="shared" si="2"/>
        <v>-0.13917801733136204</v>
      </c>
      <c r="H14" s="90"/>
      <c r="I14" s="130">
        <f t="shared" si="0"/>
        <v>26.945632898839637</v>
      </c>
      <c r="J14" s="130"/>
      <c r="O14" s="89"/>
      <c r="P14" s="129" t="s">
        <v>97</v>
      </c>
      <c r="Q14" s="116">
        <v>143518492</v>
      </c>
      <c r="R14" s="116">
        <v>204677806680</v>
      </c>
      <c r="S14" s="116">
        <v>5326224.57</v>
      </c>
      <c r="T14" s="130">
        <f t="shared" si="1"/>
        <v>26.945632898839637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7407361.6818181816</v>
      </c>
      <c r="G15" s="90">
        <f t="shared" si="2"/>
        <v>3.2251883167526918E-2</v>
      </c>
      <c r="H15" s="90"/>
      <c r="I15" s="130">
        <f t="shared" si="0"/>
        <v>31.678838758538554</v>
      </c>
      <c r="J15" s="130"/>
      <c r="O15" s="89"/>
      <c r="P15" s="129" t="s">
        <v>98</v>
      </c>
      <c r="Q15" s="116">
        <v>162961957</v>
      </c>
      <c r="R15" s="116">
        <v>224949517760</v>
      </c>
      <c r="S15" s="116">
        <v>5144189.7300000004</v>
      </c>
      <c r="T15" s="130">
        <f t="shared" si="1"/>
        <v>31.678838758538554</v>
      </c>
      <c r="U15" s="78"/>
    </row>
    <row r="16" spans="1:21" ht="15" hidden="1" customHeight="1">
      <c r="A16" s="129" t="s">
        <v>99</v>
      </c>
      <c r="B16" s="131">
        <f>F14+F15+F16</f>
        <v>21698103.736363634</v>
      </c>
      <c r="C16" s="131">
        <f>AVERAGE(F14:F16)</f>
        <v>7232701.2454545451</v>
      </c>
      <c r="D16" s="90">
        <f>C16/C13-1</f>
        <v>-9.3264457340107576E-3</v>
      </c>
      <c r="E16" s="286"/>
      <c r="F16" s="78">
        <f>Q16/22</f>
        <v>7114817.4545454541</v>
      </c>
      <c r="G16" s="90">
        <f t="shared" si="2"/>
        <v>-3.9493714474722497E-2</v>
      </c>
      <c r="H16" s="90"/>
      <c r="I16" s="130">
        <f t="shared" si="0"/>
        <v>32.544058978258953</v>
      </c>
      <c r="J16" s="130"/>
      <c r="K16" s="78">
        <f>R14+R15+R16</f>
        <v>634728429013</v>
      </c>
      <c r="L16" s="87">
        <f>U16/U13-1</f>
        <v>1.0317454157411587E-2</v>
      </c>
      <c r="N16" s="88">
        <f>AVERAGE(T14:T16)</f>
        <v>30.389510211879053</v>
      </c>
      <c r="O16" s="89">
        <f>N16/N13-1</f>
        <v>8.8771482876502938E-2</v>
      </c>
      <c r="P16" s="129" t="s">
        <v>99</v>
      </c>
      <c r="Q16" s="116">
        <v>156525984</v>
      </c>
      <c r="R16" s="116">
        <v>205101104573</v>
      </c>
      <c r="S16" s="116">
        <v>4809663.8499999996</v>
      </c>
      <c r="T16" s="130">
        <f t="shared" si="1"/>
        <v>32.544058978258953</v>
      </c>
      <c r="U16" s="85">
        <f>Q14+Q15+Q16</f>
        <v>463006433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ref="G17:G22" si="3">F17/F16-1</f>
        <v>-0.15268031983750374</v>
      </c>
      <c r="H17" s="90">
        <f t="shared" ref="H17:H22" si="4">F17/F5-1</f>
        <v>1.6236102204694625E-2</v>
      </c>
      <c r="I17" s="130">
        <f t="shared" si="0"/>
        <v>33.986002165725594</v>
      </c>
      <c r="J17" s="130">
        <f t="shared" ref="J17:J49" si="5">I17/I5-1</f>
        <v>0.23629450301462485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3"/>
        <v>0.38854142734436947</v>
      </c>
      <c r="H18" s="90">
        <f t="shared" si="4"/>
        <v>0.16642423740412404</v>
      </c>
      <c r="I18" s="130">
        <f t="shared" si="0"/>
        <v>32.898208778154611</v>
      </c>
      <c r="J18" s="130">
        <f t="shared" si="5"/>
        <v>0.18921448113643957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ref="T18" si="6">Q18/S18</f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7.3568076242754632E-2</v>
      </c>
      <c r="E19" s="286">
        <f>C19/C7-1</f>
        <v>0.14769566048661753</v>
      </c>
      <c r="F19" s="78">
        <f>Q19/22</f>
        <v>8895010.1363636367</v>
      </c>
      <c r="G19" s="90">
        <f t="shared" si="3"/>
        <v>6.2616488093379274E-2</v>
      </c>
      <c r="H19" s="90">
        <f t="shared" si="4"/>
        <v>0.2374904412999459</v>
      </c>
      <c r="I19" s="130">
        <f t="shared" si="0"/>
        <v>30.417712277249134</v>
      </c>
      <c r="J19" s="130">
        <f t="shared" si="5"/>
        <v>5.3063192643978407E-2</v>
      </c>
      <c r="K19" s="78">
        <f>R17+R18+R19</f>
        <v>616875511602</v>
      </c>
      <c r="L19" s="87">
        <f>U19/U16-1</f>
        <v>4.4646068664881744E-2</v>
      </c>
      <c r="M19" s="87">
        <f>U19/U7-1</f>
        <v>0.19145354512742618</v>
      </c>
      <c r="N19" s="88">
        <f>AVERAGE(T17:T19)</f>
        <v>32.433974407043117</v>
      </c>
      <c r="O19" s="89">
        <f>N19/N16-1</f>
        <v>6.7275325627488947E-2</v>
      </c>
      <c r="P19" s="129" t="s">
        <v>115</v>
      </c>
      <c r="Q19" s="116">
        <v>195690223</v>
      </c>
      <c r="R19" s="116">
        <v>255777419524</v>
      </c>
      <c r="S19" s="116">
        <v>6433430.0099999998</v>
      </c>
      <c r="T19" s="130">
        <f t="shared" ref="T19" si="7">Q19/S19</f>
        <v>30.417712277249134</v>
      </c>
      <c r="U19" s="85">
        <f>Q17+Q18+Q19</f>
        <v>483677850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8304799</v>
      </c>
      <c r="G20" s="90">
        <f t="shared" si="3"/>
        <v>-6.6353059447430862E-2</v>
      </c>
      <c r="H20" s="90">
        <f t="shared" si="4"/>
        <v>0.13332736259635203</v>
      </c>
      <c r="I20" s="130">
        <f t="shared" si="0"/>
        <v>31.839581336905567</v>
      </c>
      <c r="J20" s="130">
        <f t="shared" si="5"/>
        <v>2.5561873769741172E-2</v>
      </c>
      <c r="O20" s="89"/>
      <c r="P20" s="129" t="s">
        <v>132</v>
      </c>
      <c r="Q20" s="116">
        <v>166095980</v>
      </c>
      <c r="R20" s="116">
        <v>217837533024</v>
      </c>
      <c r="S20" s="116">
        <v>5216650.88</v>
      </c>
      <c r="T20" s="130">
        <f t="shared" ref="T20" si="8">Q20/S20</f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8023294.0476190476</v>
      </c>
      <c r="G21" s="90">
        <f t="shared" si="3"/>
        <v>-3.3896660518930366E-2</v>
      </c>
      <c r="H21" s="90">
        <f t="shared" si="4"/>
        <v>-0.10485284657604188</v>
      </c>
      <c r="I21" s="130">
        <f t="shared" si="0"/>
        <v>34.174175227169776</v>
      </c>
      <c r="J21" s="130">
        <f t="shared" si="5"/>
        <v>7.3543504287586492E-2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ref="T21" si="9">Q21/S21</f>
        <v>34.174175227169776</v>
      </c>
      <c r="U21" s="78"/>
    </row>
    <row r="22" spans="1:21" hidden="1">
      <c r="A22" s="129" t="s">
        <v>156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286">
        <f>C22/C10-1</f>
        <v>5.4386203750109052E-2</v>
      </c>
      <c r="F22" s="78">
        <f>Q22/21</f>
        <v>8999182.2380952388</v>
      </c>
      <c r="G22" s="90">
        <f t="shared" si="3"/>
        <v>0.12163186151276495</v>
      </c>
      <c r="H22" s="90">
        <f t="shared" si="4"/>
        <v>0.16419395479308707</v>
      </c>
      <c r="I22" s="130">
        <f t="shared" si="0"/>
        <v>36.618733504183581</v>
      </c>
      <c r="J22" s="130">
        <f t="shared" si="5"/>
        <v>0.22760754405118244</v>
      </c>
      <c r="K22" s="78">
        <f>R20+R21+R22</f>
        <v>687987019207</v>
      </c>
      <c r="L22" s="87">
        <f>U22/U19-1</f>
        <v>8.2472521741485671E-2</v>
      </c>
      <c r="M22" s="87">
        <f>U22/U10-1</f>
        <v>3.7922745187604079E-2</v>
      </c>
      <c r="N22" s="88">
        <f>AVERAGE(T20:T22)</f>
        <v>34.21083002275298</v>
      </c>
      <c r="O22" s="89">
        <f>N22/N19-1</f>
        <v>5.4783776832604714E-2</v>
      </c>
      <c r="P22" s="129" t="s">
        <v>156</v>
      </c>
      <c r="Q22" s="116">
        <v>188982827</v>
      </c>
      <c r="R22" s="116">
        <v>245787938970</v>
      </c>
      <c r="S22" s="116">
        <v>5160823.68</v>
      </c>
      <c r="T22" s="130">
        <f t="shared" ref="T22:T23" si="10">Q22/S22</f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ref="G23" si="11">F23/F22-1</f>
        <v>-0.18296148675985269</v>
      </c>
      <c r="H23" s="90">
        <f t="shared" ref="H23" si="12">F23/F11-1</f>
        <v>6.532448940042257E-2</v>
      </c>
      <c r="I23" s="130">
        <f t="shared" si="0"/>
        <v>33.300489538364978</v>
      </c>
      <c r="J23" s="130">
        <f t="shared" si="5"/>
        <v>0.2344210180533508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0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ref="G24" si="13">F24/F23-1</f>
        <v>-3.1373375100492207E-2</v>
      </c>
      <c r="H24" s="90">
        <f t="shared" ref="H24" si="14">F24/F12-1</f>
        <v>6.8659561248840761E-2</v>
      </c>
      <c r="I24" s="130">
        <f t="shared" si="0"/>
        <v>31.236116849724883</v>
      </c>
      <c r="J24" s="130">
        <f t="shared" si="5"/>
        <v>4.2588582985507051E-2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ref="T24" si="15">Q24/S24</f>
        <v>31.236116849724883</v>
      </c>
      <c r="U24" s="78"/>
    </row>
    <row r="25" spans="1:21" s="79" customFormat="1" ht="13.2" hidden="1">
      <c r="A25" s="129" t="s">
        <v>219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286">
        <f>C25/C13-1</f>
        <v>0.11721389888862088</v>
      </c>
      <c r="F25" s="78">
        <f>Q25/19</f>
        <v>9994959.2105263155</v>
      </c>
      <c r="G25" s="90">
        <f t="shared" ref="G25" si="16">F25/F24-1</f>
        <v>0.40339216781166187</v>
      </c>
      <c r="H25" s="90">
        <f t="shared" ref="H25" si="17">F25/F13-1</f>
        <v>0.19899261543208335</v>
      </c>
      <c r="I25" s="130">
        <f t="shared" si="0"/>
        <v>31.866415260842821</v>
      </c>
      <c r="J25" s="130">
        <f t="shared" si="5"/>
        <v>0.18911333069411151</v>
      </c>
      <c r="K25" s="78">
        <f>R23+R24+R25</f>
        <v>657080674708</v>
      </c>
      <c r="L25" s="90">
        <f>U25/U22-1</f>
        <v>-4.3114756394710185E-2</v>
      </c>
      <c r="M25" s="90">
        <f>U25/U13-1</f>
        <v>9.3210433944978188E-2</v>
      </c>
      <c r="N25" s="88">
        <f>AVERAGE(T23:T25)</f>
        <v>32.134340549644229</v>
      </c>
      <c r="O25" s="91">
        <f>N25/N22-1</f>
        <v>-6.0696845756963991E-2</v>
      </c>
      <c r="P25" s="129" t="s">
        <v>219</v>
      </c>
      <c r="Q25" s="116">
        <v>189904225</v>
      </c>
      <c r="R25" s="116">
        <v>252032559663</v>
      </c>
      <c r="S25" s="116">
        <v>5959384.6200000001</v>
      </c>
      <c r="T25" s="130">
        <f t="shared" ref="T25" si="18">Q25/S25</f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9252655.5263157897</v>
      </c>
      <c r="G26" s="90">
        <f t="shared" ref="G26" si="19">F26/F25-1</f>
        <v>-7.4267805258150466E-2</v>
      </c>
      <c r="H26" s="90">
        <f t="shared" ref="H26" si="20">F26/F14-1</f>
        <v>0.28940255675425997</v>
      </c>
      <c r="I26" s="130">
        <f t="shared" si="0"/>
        <v>32.976491416489104</v>
      </c>
      <c r="J26" s="130">
        <f t="shared" si="5"/>
        <v>0.22381580496887032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21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8422569</v>
      </c>
      <c r="G27" s="90">
        <f t="shared" ref="G27" si="22">F27/F26-1</f>
        <v>-8.9713328671419013E-2</v>
      </c>
      <c r="H27" s="90">
        <f t="shared" ref="H27" si="23">F27/F15-1</f>
        <v>0.13705383398163296</v>
      </c>
      <c r="I27" s="130">
        <f t="shared" si="0"/>
        <v>30.812250155222326</v>
      </c>
      <c r="J27" s="130">
        <f t="shared" si="5"/>
        <v>-2.7355440959231814E-2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24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286">
        <f>C28/C16-1</f>
        <v>0.24604485025767064</v>
      </c>
      <c r="F28" s="78">
        <f>Q28/19</f>
        <v>9361585.8947368413</v>
      </c>
      <c r="G28" s="90">
        <f t="shared" ref="G28" si="25">F28/F27-1</f>
        <v>0.11148818071265931</v>
      </c>
      <c r="H28" s="90">
        <f t="shared" ref="H28" si="26">F28/F16-1</f>
        <v>0.31578722216632427</v>
      </c>
      <c r="I28" s="130">
        <f t="shared" si="0"/>
        <v>33.050659080603033</v>
      </c>
      <c r="J28" s="130">
        <f t="shared" si="5"/>
        <v>1.5566592436503157E-2</v>
      </c>
      <c r="K28" s="78">
        <f>R26+R27+R28</f>
        <v>713953689481</v>
      </c>
      <c r="L28" s="90">
        <f>U28/U25-1</f>
        <v>7.5794506364976311E-2</v>
      </c>
      <c r="M28" s="90">
        <f>U28/U16-1</f>
        <v>0.16405964709349941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27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8439686.6818181816</v>
      </c>
      <c r="G29" s="190">
        <f t="shared" ref="G29" si="28">F29/F28-1</f>
        <v>-9.8476820411054322E-2</v>
      </c>
      <c r="H29" s="190">
        <f t="shared" ref="H29" si="29">F29/F17-1</f>
        <v>0.39995884429640904</v>
      </c>
      <c r="I29" s="130">
        <f t="shared" si="0"/>
        <v>30.603406181061025</v>
      </c>
      <c r="J29" s="130">
        <f t="shared" si="5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30">Q29/S29</f>
        <v>30.603406181061025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9390227.8947368413</v>
      </c>
      <c r="G30" s="190">
        <f t="shared" ref="G30" si="31">F30/F29-1</f>
        <v>0.11262754753282889</v>
      </c>
      <c r="H30" s="190">
        <f t="shared" ref="H30" si="32">F30/F18-1</f>
        <v>0.12177623576952268</v>
      </c>
      <c r="I30" s="130">
        <f t="shared" si="0"/>
        <v>35.935152547586505</v>
      </c>
      <c r="J30" s="130">
        <f t="shared" si="5"/>
        <v>9.2313347207174212E-2</v>
      </c>
      <c r="K30" s="136"/>
      <c r="L30" s="190"/>
      <c r="M30" s="190"/>
      <c r="N30" s="191"/>
      <c r="O30" s="192"/>
      <c r="P30" s="129" t="s">
        <v>469</v>
      </c>
      <c r="Q30" s="116">
        <v>178414330</v>
      </c>
      <c r="R30" s="116">
        <v>237763178007</v>
      </c>
      <c r="S30" s="116">
        <v>4964896.97</v>
      </c>
      <c r="T30" s="130">
        <f t="shared" ref="T30" si="33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287">
        <f>C31/C19-1</f>
        <v>0.16896258451290391</v>
      </c>
      <c r="F31" s="136">
        <f>Q31/20</f>
        <v>9400357.5</v>
      </c>
      <c r="G31" s="190">
        <f t="shared" ref="G31" si="34">F31/F30-1</f>
        <v>1.0787390228128579E-3</v>
      </c>
      <c r="H31" s="190">
        <f t="shared" ref="H31" si="35">F31/F19-1</f>
        <v>5.6812455060669897E-2</v>
      </c>
      <c r="I31" s="130">
        <f t="shared" si="0"/>
        <v>33.520612051402018</v>
      </c>
      <c r="J31" s="130">
        <f t="shared" si="5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36">Q31/S31</f>
        <v>33.520612051402018</v>
      </c>
      <c r="U31" s="85">
        <f>Q29+Q30+Q31</f>
        <v>552094587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37">F32/F31-1</f>
        <v>-2.8378381202143532E-2</v>
      </c>
      <c r="H32" s="190">
        <f t="shared" ref="H32" si="38">F32/F20-1</f>
        <v>9.9796704463114727E-2</v>
      </c>
      <c r="I32" s="130">
        <f t="shared" si="0"/>
        <v>32.340331361370566</v>
      </c>
      <c r="J32" s="130">
        <f t="shared" si="5"/>
        <v>1.5727280430178681E-2</v>
      </c>
      <c r="K32" s="136"/>
      <c r="L32" s="190"/>
      <c r="M32" s="190"/>
      <c r="N32" s="191"/>
      <c r="O32" s="192"/>
      <c r="P32" s="129" t="s">
        <v>566</v>
      </c>
      <c r="Q32" s="116">
        <v>191805402</v>
      </c>
      <c r="R32" s="116">
        <v>260858626371</v>
      </c>
      <c r="S32" s="116">
        <v>5930842.2000000002</v>
      </c>
      <c r="T32" s="130">
        <f t="shared" ref="T32" si="39">Q32/S32</f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40">F33/F32-1</f>
        <v>5.3640934471699708E-2</v>
      </c>
      <c r="H33" s="190">
        <f t="shared" ref="H33" si="41">F33/F21-1</f>
        <v>0.19944811291289199</v>
      </c>
      <c r="I33" s="130">
        <f t="shared" si="0"/>
        <v>32.687243022916746</v>
      </c>
      <c r="J33" s="130">
        <f t="shared" si="5"/>
        <v>-4.3510404987648799E-2</v>
      </c>
      <c r="K33" s="136"/>
      <c r="L33" s="190"/>
      <c r="M33" s="190"/>
      <c r="N33" s="191"/>
      <c r="O33" s="192"/>
      <c r="P33" s="129" t="s">
        <v>607</v>
      </c>
      <c r="Q33" s="116">
        <v>202094023</v>
      </c>
      <c r="R33" s="116">
        <v>276342170813</v>
      </c>
      <c r="S33" s="116">
        <v>6182657.3399999999</v>
      </c>
      <c r="T33" s="130">
        <f t="shared" ref="T33" si="42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0.14872285606326519</v>
      </c>
      <c r="F34" s="136">
        <f>Q34/19</f>
        <v>10336904.52631579</v>
      </c>
      <c r="G34" s="190">
        <f t="shared" ref="G34" si="43">F34/F33-1</f>
        <v>7.4128723998094559E-2</v>
      </c>
      <c r="H34" s="190">
        <f t="shared" ref="H34" si="44">F34/F22-1</f>
        <v>0.14864931644096724</v>
      </c>
      <c r="I34" s="130">
        <f t="shared" si="0"/>
        <v>36.724792393562055</v>
      </c>
      <c r="J34" s="130">
        <f t="shared" si="5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45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46">F35/F34-1</f>
        <v>-0.20333240491867943</v>
      </c>
      <c r="H35" s="190">
        <f t="shared" ref="H35" si="47">F35/F23-1</f>
        <v>0.12001046914156976</v>
      </c>
      <c r="I35" s="130">
        <f t="shared" si="0"/>
        <v>31.110720012634641</v>
      </c>
      <c r="J35" s="130">
        <f t="shared" si="5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48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49">F36/F35-1</f>
        <v>7.0621127812225515E-2</v>
      </c>
      <c r="H36" s="190">
        <f t="shared" ref="H36" si="50">F36/F24-1</f>
        <v>0.23794539692551941</v>
      </c>
      <c r="I36" s="130">
        <f t="shared" si="0"/>
        <v>33.704545988500513</v>
      </c>
      <c r="J36" s="130">
        <f t="shared" si="5"/>
        <v>7.902484008018984E-2</v>
      </c>
      <c r="K36" s="136"/>
      <c r="L36" s="190"/>
      <c r="M36" s="190"/>
      <c r="N36" s="191"/>
      <c r="O36" s="192"/>
      <c r="P36" s="129" t="s">
        <v>694</v>
      </c>
      <c r="Q36" s="116">
        <v>185149593</v>
      </c>
      <c r="R36" s="116">
        <v>252739268419</v>
      </c>
      <c r="S36" s="116">
        <v>5493312.1799999997</v>
      </c>
      <c r="T36" s="130">
        <f t="shared" ref="T36" si="51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0.20779995837502141</v>
      </c>
      <c r="F37" s="136">
        <f>Q37/18</f>
        <v>12502703.388888888</v>
      </c>
      <c r="G37" s="190">
        <f t="shared" ref="G37" si="52">F37/F36-1</f>
        <v>0.41807911598631842</v>
      </c>
      <c r="H37" s="190">
        <f t="shared" ref="H37" si="53">F37/F25-1</f>
        <v>0.25090089169363594</v>
      </c>
      <c r="I37" s="130">
        <f t="shared" si="0"/>
        <v>35.161555473599797</v>
      </c>
      <c r="J37" s="130">
        <f t="shared" si="5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54">Q37/S37</f>
        <v>35.161555473599797</v>
      </c>
      <c r="U37" s="85">
        <f>Q35+Q36+Q37</f>
        <v>599605022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10313917.35</v>
      </c>
      <c r="G38" s="190">
        <f t="shared" ref="G38" si="55">F38/F37-1</f>
        <v>-0.17506502160437198</v>
      </c>
      <c r="H38" s="190">
        <f t="shared" ref="H38" si="56">F38/F26-1</f>
        <v>0.11469807999074844</v>
      </c>
      <c r="I38" s="130">
        <f t="shared" si="0"/>
        <v>33.258857971568503</v>
      </c>
      <c r="J38" s="130">
        <f t="shared" si="5"/>
        <v>8.5626621556897931E-3</v>
      </c>
      <c r="K38" s="136"/>
      <c r="L38" s="190"/>
      <c r="M38" s="190"/>
      <c r="N38" s="191"/>
      <c r="O38" s="192"/>
      <c r="P38" s="129" t="s">
        <v>727</v>
      </c>
      <c r="Q38" s="116">
        <v>206278347</v>
      </c>
      <c r="R38" s="116">
        <v>277623976799</v>
      </c>
      <c r="S38" s="116">
        <v>6202207.7599999998</v>
      </c>
      <c r="T38" s="130">
        <f t="shared" ref="T38" si="57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58">F39/F38-1</f>
        <v>5.5148823924283441E-2</v>
      </c>
      <c r="H39" s="190">
        <f t="shared" ref="H39" si="59">F39/F27-1</f>
        <v>0.29209006918254521</v>
      </c>
      <c r="I39" s="130">
        <f t="shared" si="0"/>
        <v>36.427053102920475</v>
      </c>
      <c r="J39" s="130">
        <f t="shared" si="5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60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0.21180707521668629</v>
      </c>
      <c r="F40" s="136">
        <f>Q40/21</f>
        <v>11566763.047619049</v>
      </c>
      <c r="G40" s="190">
        <f t="shared" ref="G40" si="61">F40/F39-1</f>
        <v>6.28561082516359E-2</v>
      </c>
      <c r="H40" s="190">
        <f t="shared" ref="H40" si="62">F40/F28-1</f>
        <v>0.23555593867081592</v>
      </c>
      <c r="I40" s="130">
        <f t="shared" si="0"/>
        <v>30.118300150992731</v>
      </c>
      <c r="J40" s="130">
        <f t="shared" si="5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63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64">F41/F40-1</f>
        <v>-8.48176306948627E-2</v>
      </c>
      <c r="H41" s="190">
        <f t="shared" ref="H41" si="65">F41/F29-1</f>
        <v>0.25427613727842924</v>
      </c>
      <c r="I41" s="130">
        <f t="shared" si="0"/>
        <v>35.191282396726955</v>
      </c>
      <c r="J41" s="130">
        <f t="shared" si="5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66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67">F42/F41-1</f>
        <v>7.3373283218822749E-3</v>
      </c>
      <c r="H42" s="190">
        <f t="shared" ref="H42" si="68">F42/F30-1</f>
        <v>0.13558142246757865</v>
      </c>
      <c r="I42" s="130">
        <f t="shared" si="0"/>
        <v>34.170691934788138</v>
      </c>
      <c r="J42" s="130">
        <f t="shared" si="5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69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70">F43/F42-1</f>
        <v>9.5811221789032563E-2</v>
      </c>
      <c r="H43" s="190">
        <f t="shared" ref="H43" si="71">F43/F31-1</f>
        <v>0.24304194813867452</v>
      </c>
      <c r="I43" s="130">
        <f t="shared" si="0"/>
        <v>34.786938425815038</v>
      </c>
      <c r="J43" s="130">
        <f t="shared" si="5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72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73">F44/F43-1</f>
        <v>2.2879706384323351E-2</v>
      </c>
      <c r="H44" s="190">
        <f t="shared" ref="H44" si="74">F44/F32-1</f>
        <v>0.30861886802048755</v>
      </c>
      <c r="I44" s="130">
        <f t="shared" si="0"/>
        <v>32.884078987382409</v>
      </c>
      <c r="J44" s="130">
        <f t="shared" si="5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75">Q44/S44</f>
        <v>32.884078987382409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12001606.4</v>
      </c>
      <c r="G45" s="190">
        <f t="shared" ref="G45" si="76">F45/F44-1</f>
        <v>4.1177914843397723E-3</v>
      </c>
      <c r="H45" s="190">
        <f t="shared" ref="H45" si="77">F45/F33-1</f>
        <v>0.24711127354815443</v>
      </c>
      <c r="I45" s="130">
        <f t="shared" si="0"/>
        <v>32.413961896119282</v>
      </c>
      <c r="J45" s="130">
        <f t="shared" si="5"/>
        <v>-8.3604826080274641E-3</v>
      </c>
      <c r="K45" s="136"/>
      <c r="L45" s="190"/>
      <c r="M45" s="190"/>
      <c r="N45" s="191"/>
      <c r="O45" s="192"/>
      <c r="P45" s="129" t="s">
        <v>878</v>
      </c>
      <c r="Q45" s="116">
        <v>240032128</v>
      </c>
      <c r="R45" s="116">
        <v>338104077133</v>
      </c>
      <c r="S45" s="116">
        <v>7405207.9400000004</v>
      </c>
      <c r="T45" s="130">
        <f t="shared" ref="T45" si="78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90">
        <f t="shared" ref="G46" si="79">F46/F45-1</f>
        <v>6.5267201493783844E-3</v>
      </c>
      <c r="H46" s="190">
        <f t="shared" ref="H46" si="80">F46/F34-1</f>
        <v>0.16862233713802532</v>
      </c>
      <c r="I46" s="130">
        <f t="shared" si="0"/>
        <v>31.739026221947764</v>
      </c>
      <c r="J46" s="130">
        <f t="shared" si="5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965</v>
      </c>
      <c r="Q46" s="116">
        <v>229518813</v>
      </c>
      <c r="R46" s="116">
        <v>314240852398</v>
      </c>
      <c r="S46" s="116">
        <v>7231438.4000000004</v>
      </c>
      <c r="T46" s="130">
        <f t="shared" ref="T46" si="81">Q46/S46</f>
        <v>31.739026221947764</v>
      </c>
      <c r="U46" s="85">
        <f t="shared" ref="U46:U51" si="82">Q44+Q45+Q46</f>
        <v>732503498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10534087.260869564</v>
      </c>
      <c r="G47" s="190">
        <f t="shared" ref="G47" si="83">F47/F46-1</f>
        <v>-0.12796839901519652</v>
      </c>
      <c r="H47" s="190">
        <f t="shared" ref="H47" si="84">F47/F35-1</f>
        <v>0.27917291213162976</v>
      </c>
      <c r="I47" s="130">
        <f t="shared" si="0"/>
        <v>30.226442449240864</v>
      </c>
      <c r="J47" s="130">
        <f t="shared" si="5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85">Q47/S47</f>
        <v>30.226442449240864</v>
      </c>
      <c r="U47" s="85">
        <f t="shared" si="82"/>
        <v>711834948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10829751.75</v>
      </c>
      <c r="G48" s="190">
        <f t="shared" ref="G48" si="86">F48/F47-1</f>
        <v>2.8067404589358746E-2</v>
      </c>
      <c r="H48" s="190">
        <f t="shared" ref="H48" si="87">F48/F36-1</f>
        <v>0.22832993076036634</v>
      </c>
      <c r="I48" s="130">
        <f t="shared" si="0"/>
        <v>32.749096471633067</v>
      </c>
      <c r="J48" s="130">
        <f t="shared" si="5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88">Q48/S48</f>
        <v>32.749096471633067</v>
      </c>
      <c r="U48" s="85">
        <f t="shared" si="82"/>
        <v>688397855</v>
      </c>
    </row>
    <row r="49" spans="1:26" ht="13.2">
      <c r="A49" s="129" t="s">
        <v>1207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90">
        <f t="shared" ref="G49" si="89">F49/F48-1</f>
        <v>0.27016138246617283</v>
      </c>
      <c r="H49" s="190">
        <f t="shared" ref="H49" si="90">F49/F37-1</f>
        <v>0.100204653880692</v>
      </c>
      <c r="I49" s="130">
        <f t="shared" si="0"/>
        <v>31.198303450362303</v>
      </c>
      <c r="J49" s="130">
        <f t="shared" si="5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91">Q49/S49</f>
        <v>31.198303450362303</v>
      </c>
      <c r="U49" s="85">
        <f t="shared" si="82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92">F50/F49-1</f>
        <v>-6.4804964171650159E-2</v>
      </c>
      <c r="H50" s="190">
        <f t="shared" ref="H50" si="93">F50/F38-1</f>
        <v>0.24725700528002248</v>
      </c>
      <c r="I50" s="130">
        <f t="shared" ref="I50" si="94">T50</f>
        <v>32.320241416284595</v>
      </c>
      <c r="J50" s="130">
        <f t="shared" ref="J50" si="95">I50/I38-1</f>
        <v>-2.8221550965047859E-2</v>
      </c>
      <c r="K50" s="136"/>
      <c r="L50" s="190"/>
      <c r="M50" s="190"/>
      <c r="N50" s="191"/>
      <c r="O50" s="192"/>
      <c r="P50" s="129" t="s">
        <v>1293</v>
      </c>
      <c r="Q50" s="116">
        <v>231553902</v>
      </c>
      <c r="R50" s="116">
        <v>327618662458</v>
      </c>
      <c r="S50" s="116">
        <v>7164361.7699999996</v>
      </c>
      <c r="T50" s="130">
        <f t="shared" ref="T50" si="96">Q50/S50</f>
        <v>32.320241416284595</v>
      </c>
      <c r="U50" s="85">
        <f t="shared" si="82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97">F51/F50-1</f>
        <v>-2.4198609272410354E-2</v>
      </c>
      <c r="H51" s="190">
        <f t="shared" ref="H51:H52" si="98">F51/F39-1</f>
        <v>0.15346299285105491</v>
      </c>
      <c r="I51" s="130">
        <f t="shared" ref="I51:I52" si="99">T51</f>
        <v>33.701741911719012</v>
      </c>
      <c r="J51" s="130">
        <f t="shared" ref="J51:J52" si="100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101">Q51/S51</f>
        <v>33.701741911719012</v>
      </c>
      <c r="U51" s="85">
        <f t="shared" si="82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97"/>
        <v>9.1716494919253044E-2</v>
      </c>
      <c r="H52" s="190">
        <f t="shared" si="98"/>
        <v>0.1847836840735273</v>
      </c>
      <c r="I52" s="130">
        <f t="shared" si="99"/>
        <v>36.199274095756614</v>
      </c>
      <c r="J52" s="130">
        <f t="shared" si="100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101"/>
        <v>36.199274095756614</v>
      </c>
      <c r="U52" s="85">
        <f t="shared" ref="U52" si="102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103">F53/F52-1</f>
        <v>5.8123573550117325E-3</v>
      </c>
      <c r="H53" s="190">
        <f t="shared" ref="H53" si="104">F53/F41-1</f>
        <v>0.3021121365554047</v>
      </c>
      <c r="I53" s="130">
        <f t="shared" ref="I53" si="105">T53</f>
        <v>32.988674844261638</v>
      </c>
      <c r="J53" s="130">
        <f t="shared" ref="J53" si="106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107">Q53/S53</f>
        <v>32.988674844261638</v>
      </c>
      <c r="U53" s="85">
        <f t="shared" ref="U53" si="108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109">F54/F53-1</f>
        <v>7.5060132691025627E-2</v>
      </c>
      <c r="H54" s="190">
        <f t="shared" ref="H54" si="110">F54/F42-1</f>
        <v>0.38965250958767594</v>
      </c>
      <c r="I54" s="130">
        <f t="shared" ref="I54" si="111">T54</f>
        <v>33.444390681445789</v>
      </c>
      <c r="J54" s="130">
        <f t="shared" ref="J54" si="112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113">Q54/S54</f>
        <v>33.444390681445789</v>
      </c>
      <c r="U54" s="85">
        <f t="shared" ref="U54" si="114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115">F55/F54-1</f>
        <v>4.0619775213993403E-2</v>
      </c>
      <c r="H55" s="190">
        <f t="shared" ref="H55" si="116">F55/F43-1</f>
        <v>0.31966150135948768</v>
      </c>
      <c r="I55" s="130">
        <f>T55</f>
        <v>35.494128247458505</v>
      </c>
      <c r="J55" s="130">
        <f t="shared" ref="J55" si="117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118">Q55/S55</f>
        <v>35.494128247458505</v>
      </c>
      <c r="U55" s="85">
        <f t="shared" ref="U55" si="119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120">F56/F55-1</f>
        <v>8.6253773562396496E-2</v>
      </c>
      <c r="H56" s="190">
        <f t="shared" ref="H56" si="121">F56/F44-1</f>
        <v>0.40142313580924771</v>
      </c>
      <c r="I56" s="291">
        <f>T56</f>
        <v>33.475716396104936</v>
      </c>
      <c r="J56" s="130">
        <f t="shared" ref="J56" si="122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123">Q56/S56</f>
        <v>33.475716396104936</v>
      </c>
      <c r="U56" s="85">
        <f t="shared" ref="U56" si="124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16492126.583333334</v>
      </c>
      <c r="G57" s="254">
        <f t="shared" ref="G57" si="125">F57/F56-1</f>
        <v>-1.5416260423566142E-2</v>
      </c>
      <c r="H57" s="254">
        <f t="shared" ref="H57" si="126">F57/F45-1</f>
        <v>0.3741599277354517</v>
      </c>
      <c r="I57" s="282">
        <f>T57</f>
        <v>35.504513035069998</v>
      </c>
      <c r="J57" s="277">
        <f t="shared" ref="J57" si="127">I57/I45-1</f>
        <v>9.5346293947508043E-2</v>
      </c>
      <c r="K57" s="204"/>
      <c r="L57" s="254"/>
      <c r="M57" s="254"/>
      <c r="N57" s="257"/>
      <c r="O57" s="258"/>
      <c r="P57" s="129" t="s">
        <v>1436</v>
      </c>
      <c r="Q57" s="116">
        <v>197905519</v>
      </c>
      <c r="R57" s="116">
        <v>291480950357</v>
      </c>
      <c r="S57" s="116">
        <v>5574094.7300000004</v>
      </c>
      <c r="T57" s="130">
        <f t="shared" ref="T57" si="128">Q57/S57</f>
        <v>35.504513035069998</v>
      </c>
      <c r="U57" s="85">
        <f t="shared" ref="U57" si="129">Q55+Q56+Q57</f>
        <v>890239526</v>
      </c>
      <c r="V57" s="79"/>
      <c r="W57" s="79"/>
      <c r="X57" s="79"/>
      <c r="Y57" s="79"/>
      <c r="Z57" s="79"/>
    </row>
    <row r="58" spans="1:26">
      <c r="B58" s="196">
        <f>SUM(F56:F58)</f>
        <v>33242480.992424242</v>
      </c>
      <c r="C58" s="196">
        <f>AVERAGE(F56:F58)</f>
        <v>16621240.496212121</v>
      </c>
      <c r="D58" s="197">
        <f>C58/C55-1</f>
        <v>0.13268878704764298</v>
      </c>
      <c r="E58" s="233">
        <f>C58/C46-1</f>
        <v>0.38379903335837517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1431611000</v>
      </c>
      <c r="R66" s="212">
        <v>2105402804073</v>
      </c>
      <c r="S66" s="213">
        <v>42012456.200000003</v>
      </c>
      <c r="T66" s="214">
        <v>3537</v>
      </c>
      <c r="U66" s="214">
        <v>13924</v>
      </c>
    </row>
    <row r="67" spans="16:21" ht="18" thickBot="1">
      <c r="P67" s="180" t="s">
        <v>976</v>
      </c>
      <c r="Q67" s="181">
        <v>289459072</v>
      </c>
      <c r="R67" s="181">
        <v>422125966318</v>
      </c>
      <c r="S67" s="182">
        <v>8774498.3200000003</v>
      </c>
      <c r="T67" s="210">
        <v>1907</v>
      </c>
      <c r="U67" s="210">
        <v>5651</v>
      </c>
    </row>
    <row r="68" spans="16:21" ht="18" thickBot="1">
      <c r="P68" s="180" t="s">
        <v>977</v>
      </c>
      <c r="Q68" s="181">
        <v>251912402</v>
      </c>
      <c r="R68" s="181">
        <v>364921481103</v>
      </c>
      <c r="S68" s="182">
        <v>7532276.6200000001</v>
      </c>
      <c r="T68" s="210">
        <v>1829</v>
      </c>
      <c r="U68" s="210">
        <v>5276</v>
      </c>
    </row>
    <row r="69" spans="16:21" ht="18" thickBot="1">
      <c r="P69" s="180" t="s">
        <v>978</v>
      </c>
      <c r="Q69" s="181">
        <v>323826210</v>
      </c>
      <c r="R69" s="181">
        <v>476787971137</v>
      </c>
      <c r="S69" s="182">
        <v>9123374.0899999999</v>
      </c>
      <c r="T69" s="210">
        <v>1959</v>
      </c>
      <c r="U69" s="210">
        <v>5709</v>
      </c>
    </row>
    <row r="70" spans="16:21" ht="18" thickBot="1">
      <c r="P70" s="180" t="s">
        <v>979</v>
      </c>
      <c r="Q70" s="181">
        <v>368507797</v>
      </c>
      <c r="R70" s="181">
        <v>550086435158</v>
      </c>
      <c r="S70" s="182">
        <v>11008212.42</v>
      </c>
      <c r="T70" s="210">
        <v>2069</v>
      </c>
      <c r="U70" s="210">
        <v>6104</v>
      </c>
    </row>
    <row r="71" spans="16:21" ht="18" thickBot="1">
      <c r="P71" s="180" t="s">
        <v>980</v>
      </c>
      <c r="Q71" s="181">
        <v>197905519</v>
      </c>
      <c r="R71" s="181">
        <v>291480950357</v>
      </c>
      <c r="S71" s="182">
        <v>5574094.7300000004</v>
      </c>
      <c r="T71" s="210">
        <v>1638</v>
      </c>
      <c r="U71" s="210">
        <v>4140</v>
      </c>
    </row>
    <row r="72" spans="16:21" ht="18" thickBot="1">
      <c r="P72" s="215" t="s">
        <v>975</v>
      </c>
      <c r="Q72" s="216">
        <v>2906911</v>
      </c>
      <c r="R72"/>
      <c r="S72"/>
      <c r="T72"/>
      <c r="U72"/>
    </row>
    <row r="73" spans="16:21" ht="18" thickBot="1">
      <c r="P73" s="215" t="s">
        <v>982</v>
      </c>
      <c r="Q73" s="216">
        <v>2415764346</v>
      </c>
      <c r="R73"/>
      <c r="S73"/>
      <c r="T73"/>
      <c r="U73"/>
    </row>
  </sheetData>
  <phoneticPr fontId="1" type="noConversion"/>
  <conditionalFormatting sqref="C29:C30">
    <cfRule type="cellIs" dxfId="2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>
    <tabColor rgb="FFFFFF00"/>
  </sheetPr>
  <dimension ref="A1:Z73"/>
  <sheetViews>
    <sheetView topLeftCell="A44" zoomScaleNormal="10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8523491040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419072.15</v>
      </c>
      <c r="G5" s="90"/>
      <c r="H5" s="90"/>
      <c r="I5" s="130">
        <f t="shared" ref="I5:I49" si="0">T5</f>
        <v>22.798894133907876</v>
      </c>
      <c r="J5" s="130"/>
      <c r="L5" s="80"/>
      <c r="M5" s="80"/>
      <c r="P5" s="129" t="s">
        <v>0</v>
      </c>
      <c r="Q5" s="116">
        <v>8381443</v>
      </c>
      <c r="R5" s="116">
        <v>9889416881</v>
      </c>
      <c r="S5" s="116">
        <v>367624.98</v>
      </c>
      <c r="T5" s="130">
        <f t="shared" ref="T5:T17" si="1">Q5/S5</f>
        <v>22.798894133907876</v>
      </c>
      <c r="U5" s="85"/>
    </row>
    <row r="6" spans="1:21" ht="15" hidden="1" customHeight="1">
      <c r="A6" s="129" t="s">
        <v>1</v>
      </c>
      <c r="C6" s="79"/>
      <c r="F6" s="78">
        <f>Q6/18</f>
        <v>437042.66666666669</v>
      </c>
      <c r="G6" s="90">
        <f t="shared" ref="G6:G16" si="2">F6/F5-1</f>
        <v>4.2881677216361602E-2</v>
      </c>
      <c r="H6" s="90"/>
      <c r="I6" s="130">
        <f t="shared" si="0"/>
        <v>25.434130771433765</v>
      </c>
      <c r="J6" s="130"/>
      <c r="P6" s="129" t="s">
        <v>1</v>
      </c>
      <c r="Q6" s="116">
        <v>7866768</v>
      </c>
      <c r="R6" s="116">
        <v>9340901863</v>
      </c>
      <c r="S6" s="116">
        <v>309299.65999999997</v>
      </c>
      <c r="T6" s="130">
        <f t="shared" si="1"/>
        <v>25.434130771433765</v>
      </c>
      <c r="U6" s="85"/>
    </row>
    <row r="7" spans="1:21" ht="15" hidden="1" customHeight="1">
      <c r="A7" s="129" t="s">
        <v>2</v>
      </c>
      <c r="B7" s="131">
        <f>F5+F6+F7</f>
        <v>1640866.3621212121</v>
      </c>
      <c r="C7" s="131">
        <f>AVERAGE(F5:F7)</f>
        <v>546955.45404040406</v>
      </c>
      <c r="F7" s="78">
        <f>Q7/22</f>
        <v>784751.54545454541</v>
      </c>
      <c r="G7" s="90">
        <f t="shared" si="2"/>
        <v>0.79559481329331394</v>
      </c>
      <c r="H7" s="90"/>
      <c r="I7" s="130">
        <f t="shared" si="0"/>
        <v>24.932278839157579</v>
      </c>
      <c r="J7" s="130"/>
      <c r="K7" s="79">
        <f>R5+R6+R7</f>
        <v>40082068093</v>
      </c>
      <c r="N7" s="88">
        <f>AVERAGE(T5:T7)</f>
        <v>24.388434581499737</v>
      </c>
      <c r="P7" s="129" t="s">
        <v>2</v>
      </c>
      <c r="Q7" s="116">
        <v>17264534</v>
      </c>
      <c r="R7" s="116">
        <v>20851749349</v>
      </c>
      <c r="S7" s="116">
        <v>692457.12</v>
      </c>
      <c r="T7" s="130">
        <f t="shared" si="1"/>
        <v>24.932278839157579</v>
      </c>
      <c r="U7" s="85">
        <f>Q5+Q6+Q7</f>
        <v>33512745</v>
      </c>
    </row>
    <row r="8" spans="1:21" ht="15" hidden="1" customHeight="1">
      <c r="A8" s="129" t="s">
        <v>3</v>
      </c>
      <c r="C8" s="79"/>
      <c r="F8" s="78">
        <f>Q8/21</f>
        <v>768950.04761904757</v>
      </c>
      <c r="G8" s="90">
        <f t="shared" si="2"/>
        <v>-2.0135669597624362E-2</v>
      </c>
      <c r="H8" s="90"/>
      <c r="I8" s="130">
        <f t="shared" si="0"/>
        <v>24.34705832801211</v>
      </c>
      <c r="J8" s="130"/>
      <c r="K8" s="78"/>
      <c r="P8" s="129" t="s">
        <v>3</v>
      </c>
      <c r="Q8" s="116">
        <v>16147951</v>
      </c>
      <c r="R8" s="116">
        <v>19553476540</v>
      </c>
      <c r="S8" s="116">
        <v>663240.32999999996</v>
      </c>
      <c r="T8" s="130">
        <f t="shared" si="1"/>
        <v>24.34705832801211</v>
      </c>
      <c r="U8" s="85"/>
    </row>
    <row r="9" spans="1:21" ht="15" hidden="1" customHeight="1">
      <c r="A9" s="129" t="s">
        <v>4</v>
      </c>
      <c r="C9" s="79"/>
      <c r="F9" s="78">
        <f>Q9/21</f>
        <v>1638501.6190476189</v>
      </c>
      <c r="G9" s="90">
        <f t="shared" si="2"/>
        <v>1.1308297257032796</v>
      </c>
      <c r="H9" s="90"/>
      <c r="I9" s="130">
        <f t="shared" si="0"/>
        <v>20.442764830339808</v>
      </c>
      <c r="J9" s="130"/>
      <c r="K9" s="78"/>
      <c r="P9" s="129" t="s">
        <v>4</v>
      </c>
      <c r="Q9" s="116">
        <v>34408534</v>
      </c>
      <c r="R9" s="116">
        <v>43107809102</v>
      </c>
      <c r="S9" s="116">
        <v>1683164.4</v>
      </c>
      <c r="T9" s="130">
        <f t="shared" si="1"/>
        <v>20.442764830339808</v>
      </c>
      <c r="U9" s="85"/>
    </row>
    <row r="10" spans="1:21" ht="15" hidden="1" customHeight="1">
      <c r="A10" s="129" t="s">
        <v>5</v>
      </c>
      <c r="B10" s="131">
        <f>F8+F9+F10</f>
        <v>3810801.9047619049</v>
      </c>
      <c r="C10" s="131">
        <f>AVERAGE(F8:F10)</f>
        <v>1270267.3015873015</v>
      </c>
      <c r="D10" s="90">
        <f>C10/C7-1</f>
        <v>1.322432827397066</v>
      </c>
      <c r="E10" s="286"/>
      <c r="F10" s="78">
        <f>Q10/21</f>
        <v>1403350.2380952381</v>
      </c>
      <c r="G10" s="90">
        <f t="shared" si="2"/>
        <v>-0.14351611143909815</v>
      </c>
      <c r="H10" s="90"/>
      <c r="I10" s="130">
        <f t="shared" si="0"/>
        <v>25.302339785724303</v>
      </c>
      <c r="J10" s="130"/>
      <c r="K10" s="79">
        <f>R8+R9+R10</f>
        <v>99674765518</v>
      </c>
      <c r="L10" s="87">
        <f>U10/U7-1</f>
        <v>1.3879524043763052</v>
      </c>
      <c r="N10" s="88">
        <f>AVERAGE(T8:T10)</f>
        <v>23.364054314692073</v>
      </c>
      <c r="O10" s="89">
        <f>N10/N7-1</f>
        <v>-4.2002706790567279E-2</v>
      </c>
      <c r="P10" s="129" t="s">
        <v>5</v>
      </c>
      <c r="Q10" s="116">
        <v>29470355</v>
      </c>
      <c r="R10" s="116">
        <v>37013479876</v>
      </c>
      <c r="S10" s="116">
        <v>1164728.45</v>
      </c>
      <c r="T10" s="130">
        <f t="shared" si="1"/>
        <v>25.302339785724303</v>
      </c>
      <c r="U10" s="85">
        <f>Q8+Q9+Q10</f>
        <v>80026840</v>
      </c>
    </row>
    <row r="11" spans="1:21" ht="15" hidden="1" customHeight="1">
      <c r="A11" s="129" t="s">
        <v>6</v>
      </c>
      <c r="C11" s="79"/>
      <c r="F11" s="78">
        <f>Q11/21</f>
        <v>1162533.2857142857</v>
      </c>
      <c r="G11" s="90">
        <f t="shared" si="2"/>
        <v>-0.17160146187584102</v>
      </c>
      <c r="H11" s="90"/>
      <c r="I11" s="130">
        <f t="shared" si="0"/>
        <v>30.185429860423231</v>
      </c>
      <c r="J11" s="130"/>
      <c r="K11" s="78"/>
      <c r="O11" s="89"/>
      <c r="P11" s="129" t="s">
        <v>6</v>
      </c>
      <c r="Q11" s="116">
        <v>24413199</v>
      </c>
      <c r="R11" s="116">
        <v>31445808087</v>
      </c>
      <c r="S11" s="116">
        <v>808774.27</v>
      </c>
      <c r="T11" s="130">
        <f t="shared" si="1"/>
        <v>30.185429860423231</v>
      </c>
      <c r="U11" s="85"/>
    </row>
    <row r="12" spans="1:21" ht="15" hidden="1" customHeight="1">
      <c r="A12" s="129" t="s">
        <v>7</v>
      </c>
      <c r="C12" s="79"/>
      <c r="F12" s="78">
        <f>Q12/22</f>
        <v>880176.09090909094</v>
      </c>
      <c r="G12" s="90">
        <f t="shared" si="2"/>
        <v>-0.24288095513042307</v>
      </c>
      <c r="H12" s="90"/>
      <c r="I12" s="130">
        <f t="shared" si="0"/>
        <v>19.947588513596141</v>
      </c>
      <c r="J12" s="130"/>
      <c r="K12" s="78"/>
      <c r="O12" s="89"/>
      <c r="P12" s="129" t="s">
        <v>7</v>
      </c>
      <c r="Q12" s="116">
        <v>19363874</v>
      </c>
      <c r="R12" s="116">
        <v>25171728923</v>
      </c>
      <c r="S12" s="116">
        <v>970737.59</v>
      </c>
      <c r="T12" s="130">
        <f t="shared" si="1"/>
        <v>19.947588513596141</v>
      </c>
      <c r="U12" s="85"/>
    </row>
    <row r="13" spans="1:21" ht="15" hidden="1" customHeight="1">
      <c r="A13" s="129" t="s">
        <v>96</v>
      </c>
      <c r="B13" s="131">
        <f>F11+F12+F13</f>
        <v>3224640.926623377</v>
      </c>
      <c r="C13" s="131">
        <f>AVERAGE(F11:F13)</f>
        <v>1074880.308874459</v>
      </c>
      <c r="D13" s="90">
        <f>C13/C10-1</f>
        <v>-0.15381565161024824</v>
      </c>
      <c r="E13" s="286"/>
      <c r="F13" s="78">
        <f>Q13/20</f>
        <v>1181931.55</v>
      </c>
      <c r="G13" s="90">
        <f t="shared" si="2"/>
        <v>0.34283532830259067</v>
      </c>
      <c r="H13" s="90"/>
      <c r="I13" s="130">
        <f t="shared" si="0"/>
        <v>23.67189545765396</v>
      </c>
      <c r="J13" s="130"/>
      <c r="K13" s="78">
        <f>R11+R12+R13</f>
        <v>88906851861</v>
      </c>
      <c r="L13" s="87">
        <f>U13/U10-1</f>
        <v>-0.15758632978635667</v>
      </c>
      <c r="N13" s="88">
        <f>AVERAGE(T11:T13)</f>
        <v>24.601637943891109</v>
      </c>
      <c r="O13" s="89">
        <f>N13/N10-1</f>
        <v>5.2969557959844593E-2</v>
      </c>
      <c r="P13" s="129" t="s">
        <v>96</v>
      </c>
      <c r="Q13" s="116">
        <v>23638631</v>
      </c>
      <c r="R13" s="116">
        <v>32289314851</v>
      </c>
      <c r="S13" s="116">
        <v>998594.77</v>
      </c>
      <c r="T13" s="130">
        <f t="shared" si="1"/>
        <v>23.67189545765396</v>
      </c>
      <c r="U13" s="85">
        <f>Q11+Q12+Q13</f>
        <v>67415704</v>
      </c>
    </row>
    <row r="14" spans="1:21" ht="15" hidden="1" customHeight="1">
      <c r="A14" s="129" t="s">
        <v>97</v>
      </c>
      <c r="C14" s="79"/>
      <c r="F14" s="78">
        <f>Q14/20</f>
        <v>1082660.3</v>
      </c>
      <c r="G14" s="90">
        <f t="shared" si="2"/>
        <v>-8.3990693031250396E-2</v>
      </c>
      <c r="H14" s="90"/>
      <c r="I14" s="130">
        <f t="shared" si="0"/>
        <v>24.735638592648428</v>
      </c>
      <c r="J14" s="130"/>
      <c r="O14" s="89"/>
      <c r="P14" s="129" t="s">
        <v>97</v>
      </c>
      <c r="Q14" s="116">
        <v>21653206</v>
      </c>
      <c r="R14" s="116">
        <v>30864337300</v>
      </c>
      <c r="S14" s="116">
        <v>875384.96</v>
      </c>
      <c r="T14" s="130">
        <f t="shared" si="1"/>
        <v>24.735638592648428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594516.31818181823</v>
      </c>
      <c r="G15" s="90">
        <f t="shared" si="2"/>
        <v>-0.45087455577541891</v>
      </c>
      <c r="H15" s="90"/>
      <c r="I15" s="130">
        <f t="shared" si="0"/>
        <v>24.86485630488454</v>
      </c>
      <c r="J15" s="130"/>
      <c r="O15" s="89"/>
      <c r="P15" s="129" t="s">
        <v>98</v>
      </c>
      <c r="Q15" s="116">
        <v>13079359</v>
      </c>
      <c r="R15" s="116">
        <v>18209488626</v>
      </c>
      <c r="S15" s="116">
        <v>526017.88</v>
      </c>
      <c r="T15" s="130">
        <f t="shared" si="1"/>
        <v>24.86485630488454</v>
      </c>
      <c r="U15" s="85"/>
    </row>
    <row r="16" spans="1:21" ht="15" hidden="1" customHeight="1">
      <c r="A16" s="129" t="s">
        <v>99</v>
      </c>
      <c r="B16" s="131">
        <f>F14+F15+F16</f>
        <v>2469223.3909090906</v>
      </c>
      <c r="C16" s="131">
        <f>AVERAGE(F14:F16)</f>
        <v>823074.46363636351</v>
      </c>
      <c r="D16" s="90">
        <f>C16/C13-1</f>
        <v>-0.23426407866915833</v>
      </c>
      <c r="E16" s="286"/>
      <c r="F16" s="78">
        <f>Q16/22</f>
        <v>792046.77272727271</v>
      </c>
      <c r="G16" s="90">
        <f t="shared" si="2"/>
        <v>0.33225405006468578</v>
      </c>
      <c r="H16" s="90"/>
      <c r="I16" s="130">
        <f t="shared" si="0"/>
        <v>29.223332654838838</v>
      </c>
      <c r="J16" s="130"/>
      <c r="K16" s="78">
        <f>R14+R15+R16</f>
        <v>71876223092</v>
      </c>
      <c r="L16" s="87">
        <f>U16/U13-1</f>
        <v>-0.22632872008575333</v>
      </c>
      <c r="N16" s="88">
        <f>AVERAGE(T14:T16)</f>
        <v>26.274609184123936</v>
      </c>
      <c r="O16" s="89">
        <f>N16/N13-1</f>
        <v>6.8002433173285803E-2</v>
      </c>
      <c r="P16" s="129" t="s">
        <v>99</v>
      </c>
      <c r="Q16" s="116">
        <v>17425029</v>
      </c>
      <c r="R16" s="116">
        <v>22802397166</v>
      </c>
      <c r="S16" s="116">
        <v>596271.11</v>
      </c>
      <c r="T16" s="130">
        <f t="shared" si="1"/>
        <v>29.223332654838838</v>
      </c>
      <c r="U16" s="85">
        <f>Q14+Q15+Q16</f>
        <v>52157594</v>
      </c>
    </row>
    <row r="17" spans="1:21" ht="15" hidden="1" customHeight="1">
      <c r="A17" s="129" t="s">
        <v>100</v>
      </c>
      <c r="C17" s="79"/>
      <c r="F17" s="78">
        <f>Q17/20</f>
        <v>781999.15</v>
      </c>
      <c r="G17" s="90">
        <f t="shared" ref="G17:G22" si="3">F17/F16-1</f>
        <v>-1.2685643163061533E-2</v>
      </c>
      <c r="H17" s="90">
        <f t="shared" ref="H17:H22" si="4">F17/F5-1</f>
        <v>0.86602509854210075</v>
      </c>
      <c r="I17" s="130">
        <f t="shared" si="0"/>
        <v>28.8374969143476</v>
      </c>
      <c r="J17" s="130">
        <f t="shared" ref="J17:J49" si="5">I17/I5-1</f>
        <v>0.2648638458063961</v>
      </c>
      <c r="O17" s="89"/>
      <c r="P17" s="129" t="s">
        <v>100</v>
      </c>
      <c r="Q17" s="116">
        <v>15639983</v>
      </c>
      <c r="R17" s="116">
        <v>19654439381</v>
      </c>
      <c r="S17" s="116">
        <v>542348.84</v>
      </c>
      <c r="T17" s="130">
        <f t="shared" si="1"/>
        <v>28.8374969143476</v>
      </c>
      <c r="U17" s="78"/>
    </row>
    <row r="18" spans="1:21" ht="15" hidden="1" customHeight="1">
      <c r="A18" s="129" t="s">
        <v>106</v>
      </c>
      <c r="C18" s="79"/>
      <c r="F18" s="78">
        <f>Q18/20</f>
        <v>966204.6</v>
      </c>
      <c r="G18" s="90">
        <f t="shared" si="3"/>
        <v>0.23555709747254827</v>
      </c>
      <c r="H18" s="90">
        <f t="shared" si="4"/>
        <v>1.2107786577664421</v>
      </c>
      <c r="I18" s="130">
        <f t="shared" si="0"/>
        <v>28.729019879750801</v>
      </c>
      <c r="J18" s="130">
        <f t="shared" si="5"/>
        <v>0.12954596867991564</v>
      </c>
      <c r="O18" s="89"/>
      <c r="P18" s="129" t="s">
        <v>106</v>
      </c>
      <c r="Q18" s="116">
        <v>19324092</v>
      </c>
      <c r="R18" s="116">
        <v>24127721822</v>
      </c>
      <c r="S18" s="116">
        <v>672633.18</v>
      </c>
      <c r="T18" s="130">
        <f t="shared" ref="T18" si="6">Q18/S18</f>
        <v>28.729019879750801</v>
      </c>
      <c r="U18" s="78"/>
    </row>
    <row r="19" spans="1:21" hidden="1">
      <c r="A19" s="129" t="s">
        <v>114</v>
      </c>
      <c r="B19" s="131">
        <f>SUM(F17:F19)</f>
        <v>2815838.3409090908</v>
      </c>
      <c r="C19" s="131">
        <f>AVERAGE(F17:F19)</f>
        <v>938612.78030303027</v>
      </c>
      <c r="D19" s="90">
        <f>C19/C16-1</f>
        <v>0.14037407521576561</v>
      </c>
      <c r="E19" s="286">
        <f>C19/C7-1</f>
        <v>0.71606805155597586</v>
      </c>
      <c r="F19" s="78">
        <f>Q19/22</f>
        <v>1067634.5909090908</v>
      </c>
      <c r="G19" s="90">
        <f t="shared" si="3"/>
        <v>0.10497775616995697</v>
      </c>
      <c r="H19" s="90">
        <f t="shared" si="4"/>
        <v>0.36047465862675465</v>
      </c>
      <c r="I19" s="130">
        <f t="shared" si="0"/>
        <v>26.505505747059505</v>
      </c>
      <c r="J19" s="130">
        <f t="shared" si="5"/>
        <v>6.3100004538336973E-2</v>
      </c>
      <c r="K19" s="78">
        <f>R17+R18+R19</f>
        <v>74445092212</v>
      </c>
      <c r="L19" s="87">
        <f>U19/U16-1</f>
        <v>0.12068121853933667</v>
      </c>
      <c r="M19" s="87">
        <f>U19/U7-1</f>
        <v>0.74417332868435571</v>
      </c>
      <c r="N19" s="88">
        <f>AVERAGE(T17:T19)</f>
        <v>28.024007513719301</v>
      </c>
      <c r="O19" s="89">
        <f>N19/N16-1</f>
        <v>6.6581326380010131E-2</v>
      </c>
      <c r="P19" s="129" t="s">
        <v>115</v>
      </c>
      <c r="Q19" s="116">
        <v>23487961</v>
      </c>
      <c r="R19" s="116">
        <v>30662931009</v>
      </c>
      <c r="S19" s="116">
        <v>886154.04</v>
      </c>
      <c r="T19" s="130">
        <f t="shared" ref="T19" si="7">Q19/S19</f>
        <v>26.505505747059505</v>
      </c>
      <c r="U19" s="85">
        <f>Q17+Q18+Q19</f>
        <v>58452036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1269471.55</v>
      </c>
      <c r="G20" s="90">
        <f t="shared" si="3"/>
        <v>0.18905059915588263</v>
      </c>
      <c r="H20" s="90">
        <f t="shared" si="4"/>
        <v>0.65091549695685869</v>
      </c>
      <c r="I20" s="130">
        <f t="shared" si="0"/>
        <v>24.860742451036263</v>
      </c>
      <c r="J20" s="130">
        <f t="shared" si="5"/>
        <v>2.1098406062187047E-2</v>
      </c>
      <c r="O20" s="89"/>
      <c r="P20" s="129" t="s">
        <v>132</v>
      </c>
      <c r="Q20" s="116">
        <v>25389431</v>
      </c>
      <c r="R20" s="116">
        <v>33265822988</v>
      </c>
      <c r="S20" s="116">
        <v>1021266</v>
      </c>
      <c r="T20" s="130">
        <f t="shared" ref="T20" si="8">Q20/S20</f>
        <v>24.860742451036263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1094788.9047619049</v>
      </c>
      <c r="G21" s="90">
        <f t="shared" si="3"/>
        <v>-0.13760264673760925</v>
      </c>
      <c r="H21" s="90">
        <f t="shared" si="4"/>
        <v>-0.33183532317883691</v>
      </c>
      <c r="I21" s="130">
        <f t="shared" si="0"/>
        <v>27.586911416892303</v>
      </c>
      <c r="J21" s="130">
        <f t="shared" si="5"/>
        <v>0.34947066337864552</v>
      </c>
      <c r="O21" s="89"/>
      <c r="P21" s="129" t="s">
        <v>141</v>
      </c>
      <c r="Q21" s="116">
        <v>22990567</v>
      </c>
      <c r="R21" s="116">
        <v>30650688037</v>
      </c>
      <c r="S21" s="116">
        <v>833386.77</v>
      </c>
      <c r="T21" s="130">
        <f t="shared" ref="T21" si="9">Q21/S21</f>
        <v>27.586911416892303</v>
      </c>
      <c r="U21" s="78"/>
    </row>
    <row r="22" spans="1:21" hidden="1">
      <c r="A22" s="129" t="s">
        <v>156</v>
      </c>
      <c r="B22" s="131">
        <f>SUM(F20:F22)</f>
        <v>3608689.4071428571</v>
      </c>
      <c r="C22" s="131">
        <f>AVERAGE(F20:F22)</f>
        <v>1202896.469047619</v>
      </c>
      <c r="D22" s="90">
        <f>C22/C19-1</f>
        <v>0.28156838931946471</v>
      </c>
      <c r="E22" s="286">
        <f>C22/C10-1</f>
        <v>-5.3036736799803696E-2</v>
      </c>
      <c r="F22" s="78">
        <f>Q22/21</f>
        <v>1244428.9523809524</v>
      </c>
      <c r="G22" s="90">
        <f t="shared" si="3"/>
        <v>0.13668392780395533</v>
      </c>
      <c r="H22" s="90">
        <f t="shared" si="4"/>
        <v>-0.11324420761134368</v>
      </c>
      <c r="I22" s="130">
        <f t="shared" si="0"/>
        <v>18.513157113889729</v>
      </c>
      <c r="J22" s="130">
        <f t="shared" si="5"/>
        <v>-0.26832232628798469</v>
      </c>
      <c r="K22" s="78">
        <f>R20+R21+R22</f>
        <v>98102162284</v>
      </c>
      <c r="L22" s="87">
        <f>U22/U19-1</f>
        <v>0.27477178040470651</v>
      </c>
      <c r="M22" s="87">
        <f>U22/U10-1</f>
        <v>-6.8899809114042254E-2</v>
      </c>
      <c r="N22" s="88">
        <f>AVERAGE(T20:T22)</f>
        <v>23.653603660606098</v>
      </c>
      <c r="O22" s="89">
        <f>N22/N19-1</f>
        <v>-0.15595213678749009</v>
      </c>
      <c r="P22" s="129" t="s">
        <v>156</v>
      </c>
      <c r="Q22" s="116">
        <v>26133008</v>
      </c>
      <c r="R22" s="116">
        <v>34185651259</v>
      </c>
      <c r="S22" s="116">
        <v>1411591.11</v>
      </c>
      <c r="T22" s="130">
        <f t="shared" ref="T22:T23" si="10">Q22/S22</f>
        <v>18.513157113889729</v>
      </c>
      <c r="U22" s="85">
        <f>Q20+Q21+Q22</f>
        <v>74513006</v>
      </c>
    </row>
    <row r="23" spans="1:21" hidden="1">
      <c r="A23" s="129" t="s">
        <v>189</v>
      </c>
      <c r="B23" s="131"/>
      <c r="C23" s="131"/>
      <c r="F23" s="78">
        <f>Q23/21</f>
        <v>1267971.2857142857</v>
      </c>
      <c r="G23" s="90">
        <f t="shared" ref="G23" si="11">F23/F22-1</f>
        <v>1.8918181940632328E-2</v>
      </c>
      <c r="H23" s="90">
        <f t="shared" ref="H23" si="12">F23/F11-1</f>
        <v>9.0696757930003313E-2</v>
      </c>
      <c r="I23" s="130">
        <f t="shared" si="0"/>
        <v>20.635193507290165</v>
      </c>
      <c r="J23" s="130">
        <f t="shared" si="5"/>
        <v>-0.31638563364156647</v>
      </c>
      <c r="O23" s="89"/>
      <c r="P23" s="129" t="s">
        <v>189</v>
      </c>
      <c r="Q23" s="116">
        <v>26627397</v>
      </c>
      <c r="R23" s="116">
        <v>34499044936</v>
      </c>
      <c r="S23" s="116">
        <v>1290387.56</v>
      </c>
      <c r="T23" s="130">
        <f t="shared" si="10"/>
        <v>20.635193507290165</v>
      </c>
      <c r="U23" s="78"/>
    </row>
    <row r="24" spans="1:21" hidden="1">
      <c r="A24" s="129" t="s">
        <v>204</v>
      </c>
      <c r="B24" s="131"/>
      <c r="C24" s="131"/>
      <c r="F24" s="78">
        <f>Q24/22</f>
        <v>1234086.5454545454</v>
      </c>
      <c r="G24" s="90">
        <f t="shared" ref="G24" si="13">F24/F23-1</f>
        <v>-2.6723586441984803E-2</v>
      </c>
      <c r="H24" s="90">
        <f t="shared" ref="H24" si="14">F24/F12-1</f>
        <v>0.40209051143381735</v>
      </c>
      <c r="I24" s="130">
        <f t="shared" si="0"/>
        <v>18.235913058301254</v>
      </c>
      <c r="J24" s="130">
        <f t="shared" si="5"/>
        <v>-8.5808640684974069E-2</v>
      </c>
      <c r="O24" s="89"/>
      <c r="P24" s="129" t="s">
        <v>204</v>
      </c>
      <c r="Q24" s="116">
        <v>27149904</v>
      </c>
      <c r="R24" s="116">
        <v>35656827311</v>
      </c>
      <c r="S24" s="116">
        <v>1488815.17</v>
      </c>
      <c r="T24" s="130">
        <f t="shared" ref="T24" si="15">Q24/S24</f>
        <v>18.235913058301254</v>
      </c>
      <c r="U24" s="78"/>
    </row>
    <row r="25" spans="1:21" s="79" customFormat="1" ht="13.2" hidden="1">
      <c r="A25" s="129" t="s">
        <v>219</v>
      </c>
      <c r="B25" s="131">
        <f>SUM(F23:F25)</f>
        <v>4173267.2522214632</v>
      </c>
      <c r="C25" s="131">
        <f>AVERAGE(F23:F25)</f>
        <v>1391089.0840738211</v>
      </c>
      <c r="D25" s="90">
        <f>C25/C22-1</f>
        <v>0.15644955311507536</v>
      </c>
      <c r="E25" s="286">
        <f>C25/C13-1</f>
        <v>0.29418045208258969</v>
      </c>
      <c r="F25" s="78">
        <f>Q25/19</f>
        <v>1671209.4210526317</v>
      </c>
      <c r="G25" s="90">
        <f t="shared" ref="G25" si="16">F25/F24-1</f>
        <v>0.35420763414698997</v>
      </c>
      <c r="H25" s="90">
        <f t="shared" ref="H25" si="17">F25/F13-1</f>
        <v>0.4139646420747729</v>
      </c>
      <c r="I25" s="130">
        <f t="shared" si="0"/>
        <v>16.764666616805041</v>
      </c>
      <c r="J25" s="130">
        <f t="shared" si="5"/>
        <v>-0.29179027311966133</v>
      </c>
      <c r="K25" s="78">
        <f>R23+R24+R25</f>
        <v>112262815262</v>
      </c>
      <c r="L25" s="90">
        <f>U25/U22-1</f>
        <v>0.14785706001446242</v>
      </c>
      <c r="M25" s="90">
        <f>U25/U13-1</f>
        <v>0.26869964897199616</v>
      </c>
      <c r="N25" s="88">
        <f>AVERAGE(T23:T25)</f>
        <v>18.545257727465486</v>
      </c>
      <c r="O25" s="91">
        <f>N25/N22-1</f>
        <v>-0.2159648063118732</v>
      </c>
      <c r="P25" s="129" t="s">
        <v>219</v>
      </c>
      <c r="Q25" s="116">
        <v>31752979</v>
      </c>
      <c r="R25" s="116">
        <v>42106943015</v>
      </c>
      <c r="S25" s="116">
        <v>1894041.78</v>
      </c>
      <c r="T25" s="130">
        <f t="shared" ref="T25" si="18">Q25/S25</f>
        <v>16.764666616805041</v>
      </c>
      <c r="U25" s="85">
        <f>Q23+Q24+Q25</f>
        <v>85530280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1332550.1578947369</v>
      </c>
      <c r="G26" s="90">
        <f t="shared" ref="G26" si="19">F26/F25-1</f>
        <v>-0.20264322286107395</v>
      </c>
      <c r="H26" s="90">
        <f t="shared" ref="H26" si="20">F26/F14-1</f>
        <v>0.23081095510266403</v>
      </c>
      <c r="I26" s="130">
        <f t="shared" si="0"/>
        <v>32.067115710555015</v>
      </c>
      <c r="J26" s="130">
        <f t="shared" si="5"/>
        <v>0.29639328252821184</v>
      </c>
      <c r="L26" s="90"/>
      <c r="M26" s="90"/>
      <c r="P26" s="129" t="s">
        <v>312</v>
      </c>
      <c r="Q26" s="116">
        <v>25318453</v>
      </c>
      <c r="R26" s="116">
        <v>34146145114</v>
      </c>
      <c r="S26" s="116">
        <v>789545.69</v>
      </c>
      <c r="T26" s="130">
        <f t="shared" ref="T26" si="21">Q26/S26</f>
        <v>32.067115710555015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1201376.5909090908</v>
      </c>
      <c r="G27" s="90">
        <f t="shared" ref="G27" si="22">F27/F26-1</f>
        <v>-9.8437995904697484E-2</v>
      </c>
      <c r="H27" s="90">
        <f t="shared" ref="H27" si="23">F27/F15-1</f>
        <v>1.0207630205731029</v>
      </c>
      <c r="I27" s="130">
        <f t="shared" si="0"/>
        <v>31.911590513630404</v>
      </c>
      <c r="J27" s="130">
        <f t="shared" si="5"/>
        <v>0.28340136465464227</v>
      </c>
      <c r="L27" s="90"/>
      <c r="M27" s="90"/>
      <c r="P27" s="129" t="s">
        <v>375</v>
      </c>
      <c r="Q27" s="116">
        <v>26430285</v>
      </c>
      <c r="R27" s="116">
        <v>35008917442</v>
      </c>
      <c r="S27" s="116">
        <v>828234.65</v>
      </c>
      <c r="T27" s="130">
        <f t="shared" ref="T27" si="24">Q27/S27</f>
        <v>31.911590513630404</v>
      </c>
      <c r="U27" s="78"/>
    </row>
    <row r="28" spans="1:21" s="79" customFormat="1" ht="13.2" hidden="1">
      <c r="A28" s="123" t="s">
        <v>413</v>
      </c>
      <c r="B28" s="131">
        <f>SUM(F26:F28)</f>
        <v>3590901.327751196</v>
      </c>
      <c r="C28" s="131">
        <f>AVERAGE(F26:F28)</f>
        <v>1196967.1092503986</v>
      </c>
      <c r="D28" s="90">
        <f>C28/C25-1</f>
        <v>-0.13954676019377132</v>
      </c>
      <c r="E28" s="286">
        <f>C28/C16-1</f>
        <v>0.45426345018914582</v>
      </c>
      <c r="F28" s="78">
        <f>Q28/19</f>
        <v>1056974.5789473683</v>
      </c>
      <c r="G28" s="90">
        <f t="shared" ref="G28" si="25">F28/F27-1</f>
        <v>-0.12019712474375122</v>
      </c>
      <c r="H28" s="90">
        <f t="shared" ref="H28" si="26">F28/F16-1</f>
        <v>0.33448505232571502</v>
      </c>
      <c r="I28" s="130">
        <f t="shared" si="0"/>
        <v>46.817094201042515</v>
      </c>
      <c r="J28" s="130">
        <f t="shared" si="5"/>
        <v>0.60204500814490358</v>
      </c>
      <c r="K28" s="78">
        <f>R26+R27+R28</f>
        <v>95353435232</v>
      </c>
      <c r="L28" s="90">
        <f>U28/U25-1</f>
        <v>-0.16016579157697131</v>
      </c>
      <c r="M28" s="90">
        <f>U28/U16-1</f>
        <v>0.37719648264450245</v>
      </c>
      <c r="N28" s="88">
        <f>AVERAGE(T26:T28)</f>
        <v>36.931933475075972</v>
      </c>
      <c r="O28" s="91">
        <f>N28/N25-1</f>
        <v>0.99144892013982955</v>
      </c>
      <c r="P28" s="129" t="s">
        <v>413</v>
      </c>
      <c r="Q28" s="116">
        <v>20082517</v>
      </c>
      <c r="R28" s="116">
        <v>26198372676</v>
      </c>
      <c r="S28" s="116">
        <v>428956.93</v>
      </c>
      <c r="T28" s="130">
        <f t="shared" ref="T28" si="27">Q28/S28</f>
        <v>46.817094201042515</v>
      </c>
      <c r="U28" s="85">
        <f>Q26+Q27+Q28</f>
        <v>71831255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636577.22727272729</v>
      </c>
      <c r="G29" s="190">
        <f t="shared" ref="G29" si="28">F29/F28-1</f>
        <v>-0.39773648302243092</v>
      </c>
      <c r="H29" s="190">
        <f t="shared" ref="H29" si="29">F29/F17-1</f>
        <v>-0.18596174014674149</v>
      </c>
      <c r="I29" s="130">
        <f t="shared" si="0"/>
        <v>25.696347451295065</v>
      </c>
      <c r="J29" s="130">
        <f t="shared" si="5"/>
        <v>-0.10892587079878313</v>
      </c>
      <c r="K29" s="136"/>
      <c r="L29" s="190"/>
      <c r="M29" s="190"/>
      <c r="N29" s="191"/>
      <c r="O29" s="192"/>
      <c r="P29" s="129" t="s">
        <v>427</v>
      </c>
      <c r="Q29" s="116">
        <v>14004699</v>
      </c>
      <c r="R29" s="116">
        <v>18387900640</v>
      </c>
      <c r="S29" s="116">
        <v>545007.38</v>
      </c>
      <c r="T29" s="130">
        <f t="shared" ref="T29" si="30">Q29/S29</f>
        <v>25.696347451295065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677231.10526315786</v>
      </c>
      <c r="G30" s="190">
        <f t="shared" ref="G30" si="31">F30/F29-1</f>
        <v>6.3863230176490982E-2</v>
      </c>
      <c r="H30" s="190">
        <f t="shared" ref="H30" si="32">F30/F18-1</f>
        <v>-0.29908105874971214</v>
      </c>
      <c r="I30" s="130">
        <f t="shared" si="0"/>
        <v>18.902482387416015</v>
      </c>
      <c r="J30" s="130">
        <f t="shared" si="5"/>
        <v>-0.34204221144560754</v>
      </c>
      <c r="K30" s="136"/>
      <c r="L30" s="190"/>
      <c r="M30" s="190"/>
      <c r="N30" s="191"/>
      <c r="O30" s="192"/>
      <c r="P30" s="129" t="s">
        <v>466</v>
      </c>
      <c r="Q30" s="116">
        <v>12867391</v>
      </c>
      <c r="R30" s="116">
        <v>17145976491</v>
      </c>
      <c r="S30" s="116">
        <v>680724.93</v>
      </c>
      <c r="T30" s="130">
        <f t="shared" ref="T30" si="33">Q30/S30</f>
        <v>18.902482387416015</v>
      </c>
      <c r="U30" s="85"/>
    </row>
    <row r="31" spans="1:21" s="79" customFormat="1" ht="13.2" hidden="1">
      <c r="A31" s="129" t="s">
        <v>505</v>
      </c>
      <c r="B31" s="188">
        <f>SUM(F29:F31)</f>
        <v>2675921.1825358854</v>
      </c>
      <c r="C31" s="188">
        <f>AVERAGE(F29:F31)</f>
        <v>891973.72751196183</v>
      </c>
      <c r="D31" s="190">
        <f>C31/C28-1</f>
        <v>-0.25480514826296197</v>
      </c>
      <c r="E31" s="287">
        <f>C31/C19-1</f>
        <v>-4.9689343432987476E-2</v>
      </c>
      <c r="F31" s="136">
        <f>Q31/20</f>
        <v>1362112.85</v>
      </c>
      <c r="G31" s="190">
        <f t="shared" ref="G31" si="34">F31/F30-1</f>
        <v>1.0112969404598027</v>
      </c>
      <c r="H31" s="190">
        <f t="shared" ref="H31" si="35">F31/F19-1</f>
        <v>0.27582307804410977</v>
      </c>
      <c r="I31" s="130">
        <f t="shared" si="0"/>
        <v>18.773288077929209</v>
      </c>
      <c r="J31" s="130">
        <f t="shared" si="5"/>
        <v>-0.29172118966219318</v>
      </c>
      <c r="K31" s="136">
        <f>R29+R30+R31</f>
        <v>71679785412</v>
      </c>
      <c r="L31" s="190">
        <f>U31/U28-1</f>
        <v>-0.24664622663212554</v>
      </c>
      <c r="M31" s="190">
        <f>U31/U19-1</f>
        <v>-7.420937398998384E-2</v>
      </c>
      <c r="N31" s="191">
        <f>AVERAGE(T29:T31)</f>
        <v>21.124039305546763</v>
      </c>
      <c r="O31" s="192">
        <f>N31/N28-1</f>
        <v>-0.42802779822500725</v>
      </c>
      <c r="P31" s="129" t="s">
        <v>505</v>
      </c>
      <c r="Q31" s="116">
        <v>27242257</v>
      </c>
      <c r="R31" s="116">
        <v>36145908281</v>
      </c>
      <c r="S31" s="116">
        <v>1451118.04</v>
      </c>
      <c r="T31" s="130">
        <f t="shared" ref="T31" si="36">Q31/S31</f>
        <v>18.773288077929209</v>
      </c>
      <c r="U31" s="85">
        <f>Q29+Q30+Q31</f>
        <v>54114347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786049.33333333337</v>
      </c>
      <c r="G32" s="190">
        <f t="shared" ref="G32" si="37">F32/F31-1</f>
        <v>-0.42291908241425569</v>
      </c>
      <c r="H32" s="190">
        <f t="shared" ref="H32" si="38">F32/F20-1</f>
        <v>-0.38080586891976165</v>
      </c>
      <c r="I32" s="130">
        <f t="shared" si="0"/>
        <v>13.657243806752945</v>
      </c>
      <c r="J32" s="130">
        <f t="shared" si="5"/>
        <v>-0.45065020348241147</v>
      </c>
      <c r="K32" s="136"/>
      <c r="L32" s="190"/>
      <c r="M32" s="190"/>
      <c r="N32" s="191"/>
      <c r="O32" s="192"/>
      <c r="P32" s="129" t="s">
        <v>562</v>
      </c>
      <c r="Q32" s="116">
        <v>16507036</v>
      </c>
      <c r="R32" s="116">
        <v>22424383021</v>
      </c>
      <c r="S32" s="116">
        <v>1208665.25</v>
      </c>
      <c r="T32" s="130">
        <f t="shared" ref="T32" si="39">Q32/S32</f>
        <v>13.657243806752945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1146904.0476190476</v>
      </c>
      <c r="G33" s="190">
        <f t="shared" ref="G33" si="40">F33/F32-1</f>
        <v>0.45907387613378914</v>
      </c>
      <c r="H33" s="190">
        <f t="shared" ref="H33" si="41">F33/F21-1</f>
        <v>4.7602914708454014E-2</v>
      </c>
      <c r="I33" s="130">
        <f t="shared" si="0"/>
        <v>25.74429491211821</v>
      </c>
      <c r="J33" s="130">
        <f t="shared" si="5"/>
        <v>-6.6793142477189482E-2</v>
      </c>
      <c r="K33" s="136"/>
      <c r="L33" s="190"/>
      <c r="M33" s="190"/>
      <c r="N33" s="191"/>
      <c r="O33" s="192"/>
      <c r="P33" s="129" t="s">
        <v>607</v>
      </c>
      <c r="Q33" s="116">
        <v>24084985</v>
      </c>
      <c r="R33" s="116">
        <v>32911994807</v>
      </c>
      <c r="S33" s="116">
        <v>935546.5</v>
      </c>
      <c r="T33" s="130">
        <f t="shared" ref="T33" si="42">Q33/S33</f>
        <v>25.74429491211821</v>
      </c>
      <c r="U33" s="85"/>
    </row>
    <row r="34" spans="1:21" s="79" customFormat="1" ht="13.2" hidden="1">
      <c r="A34" s="129" t="s">
        <v>652</v>
      </c>
      <c r="B34" s="188">
        <f>SUM(F32:F34)</f>
        <v>3758579.6441102759</v>
      </c>
      <c r="C34" s="188">
        <f>AVERAGE(F32:F34)</f>
        <v>1252859.881370092</v>
      </c>
      <c r="D34" s="190">
        <f>C34/C31-1</f>
        <v>0.40459280663430808</v>
      </c>
      <c r="E34" s="287">
        <f>C34/C22-1</f>
        <v>4.1535920678220206E-2</v>
      </c>
      <c r="F34" s="136">
        <f>Q34/19</f>
        <v>1825626.2631578948</v>
      </c>
      <c r="G34" s="190">
        <f t="shared" ref="G34" si="43">F34/F33-1</f>
        <v>0.59178639830233615</v>
      </c>
      <c r="H34" s="190">
        <f t="shared" ref="H34" si="44">F34/F22-1</f>
        <v>0.46703936746645436</v>
      </c>
      <c r="I34" s="130">
        <f t="shared" si="0"/>
        <v>33.505580356312748</v>
      </c>
      <c r="J34" s="130">
        <f t="shared" si="5"/>
        <v>0.80982531235446409</v>
      </c>
      <c r="K34" s="136">
        <f>R32+R33+R34</f>
        <v>103028940084</v>
      </c>
      <c r="L34" s="190">
        <f>U34/U31-1</f>
        <v>0.39110835061910665</v>
      </c>
      <c r="M34" s="190">
        <f>U34/U22-1</f>
        <v>1.027893036552574E-2</v>
      </c>
      <c r="N34" s="191">
        <f>AVERAGE(T32:T34)</f>
        <v>24.3023730250613</v>
      </c>
      <c r="O34" s="192">
        <f>N34/N31-1</f>
        <v>0.15046050963747115</v>
      </c>
      <c r="P34" s="129" t="s">
        <v>652</v>
      </c>
      <c r="Q34" s="116">
        <v>34686899</v>
      </c>
      <c r="R34" s="116">
        <v>47692562256</v>
      </c>
      <c r="S34" s="116">
        <v>1035257.37</v>
      </c>
      <c r="T34" s="130">
        <f t="shared" ref="T34" si="45">Q34/S34</f>
        <v>33.505580356312748</v>
      </c>
      <c r="U34" s="85">
        <f>Q32+Q33+Q34</f>
        <v>75278920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1387380.6521739131</v>
      </c>
      <c r="G35" s="190">
        <f t="shared" ref="G35" si="46">F35/F34-1</f>
        <v>-0.24005220555160189</v>
      </c>
      <c r="H35" s="190">
        <f t="shared" ref="H35" si="47">F35/F23-1</f>
        <v>9.4173557244524364E-2</v>
      </c>
      <c r="I35" s="130">
        <f t="shared" si="0"/>
        <v>35.285929689983909</v>
      </c>
      <c r="J35" s="130">
        <f t="shared" si="5"/>
        <v>0.7099878262599193</v>
      </c>
      <c r="K35" s="136"/>
      <c r="L35" s="190"/>
      <c r="M35" s="190"/>
      <c r="N35" s="191"/>
      <c r="O35" s="192"/>
      <c r="P35" s="129" t="s">
        <v>660</v>
      </c>
      <c r="Q35" s="116">
        <v>31909755</v>
      </c>
      <c r="R35" s="116">
        <v>44145624640</v>
      </c>
      <c r="S35" s="116">
        <v>904319.52</v>
      </c>
      <c r="T35" s="130">
        <f t="shared" ref="T35" si="48">Q35/S35</f>
        <v>35.285929689983909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1131570.0476190476</v>
      </c>
      <c r="G36" s="190">
        <f t="shared" ref="G36" si="49">F36/F35-1</f>
        <v>-0.1843838633283742</v>
      </c>
      <c r="H36" s="190">
        <f t="shared" ref="H36" si="50">F36/F24-1</f>
        <v>-8.3070752382069291E-2</v>
      </c>
      <c r="I36" s="130">
        <f t="shared" si="0"/>
        <v>31.727552452198456</v>
      </c>
      <c r="J36" s="130">
        <f t="shared" si="5"/>
        <v>0.73983898424848049</v>
      </c>
      <c r="K36" s="136"/>
      <c r="L36" s="190"/>
      <c r="M36" s="190"/>
      <c r="N36" s="191"/>
      <c r="O36" s="192"/>
      <c r="P36" s="129" t="s">
        <v>666</v>
      </c>
      <c r="Q36" s="116">
        <v>23762971</v>
      </c>
      <c r="R36" s="116">
        <v>32480749155</v>
      </c>
      <c r="S36" s="116">
        <v>748969.56</v>
      </c>
      <c r="T36" s="130">
        <f t="shared" ref="T36" si="51">Q36/S36</f>
        <v>31.727552452198456</v>
      </c>
      <c r="U36" s="85"/>
    </row>
    <row r="37" spans="1:21" s="79" customFormat="1" ht="13.2" hidden="1">
      <c r="A37" s="129" t="s">
        <v>702</v>
      </c>
      <c r="B37" s="188">
        <f>SUM(F35:F37)</f>
        <v>3891288.6997929607</v>
      </c>
      <c r="C37" s="188">
        <f>AVERAGE(F35:F37)</f>
        <v>1297096.2332643203</v>
      </c>
      <c r="D37" s="190">
        <f>C37/C34-1</f>
        <v>3.5308299477075256E-2</v>
      </c>
      <c r="E37" s="287">
        <f>C37/C25-1</f>
        <v>-6.756781566730552E-2</v>
      </c>
      <c r="F37" s="136">
        <f>Q37/18</f>
        <v>1372338</v>
      </c>
      <c r="G37" s="190">
        <f t="shared" ref="G37" si="52">F37/F36-1</f>
        <v>0.2127733522883144</v>
      </c>
      <c r="H37" s="190">
        <f t="shared" ref="H37" si="53">F37/F25-1</f>
        <v>-0.17883540942725407</v>
      </c>
      <c r="I37" s="130">
        <f t="shared" si="0"/>
        <v>25.911300388205596</v>
      </c>
      <c r="J37" s="130">
        <f t="shared" si="5"/>
        <v>0.54558995895760276</v>
      </c>
      <c r="K37" s="136">
        <f>R35+R36+R37</f>
        <v>109596094048</v>
      </c>
      <c r="L37" s="190">
        <f>U37/U34-1</f>
        <v>6.769345256281567E-2</v>
      </c>
      <c r="M37" s="190">
        <f>U37/U25-1</f>
        <v>-6.0276547674110281E-2</v>
      </c>
      <c r="N37" s="191">
        <f>AVERAGE(T35:T37)</f>
        <v>30.974927510129323</v>
      </c>
      <c r="O37" s="192">
        <f>N37/N34-1</f>
        <v>0.27456390691506116</v>
      </c>
      <c r="P37" s="129" t="s">
        <v>702</v>
      </c>
      <c r="Q37" s="116">
        <v>24702084</v>
      </c>
      <c r="R37" s="116">
        <v>32969720253</v>
      </c>
      <c r="S37" s="116">
        <v>953332.47</v>
      </c>
      <c r="T37" s="130">
        <f t="shared" ref="T37" si="54">Q37/S37</f>
        <v>25.911300388205596</v>
      </c>
      <c r="U37" s="85">
        <f>Q35+Q36+Q37</f>
        <v>80374810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2020938.1</v>
      </c>
      <c r="G38" s="190">
        <f t="shared" ref="G38" si="55">F38/F37-1</f>
        <v>0.4726241640179023</v>
      </c>
      <c r="H38" s="190">
        <f t="shared" ref="H38" si="56">F38/F26-1</f>
        <v>0.51659439461012879</v>
      </c>
      <c r="I38" s="130">
        <f t="shared" si="0"/>
        <v>24.625744841930413</v>
      </c>
      <c r="J38" s="130">
        <f t="shared" si="5"/>
        <v>-0.23205613301152761</v>
      </c>
      <c r="K38" s="136"/>
      <c r="L38" s="190"/>
      <c r="M38" s="190"/>
      <c r="N38" s="191"/>
      <c r="O38" s="192"/>
      <c r="P38" s="129" t="s">
        <v>728</v>
      </c>
      <c r="Q38" s="116">
        <v>40418762</v>
      </c>
      <c r="R38" s="116">
        <v>54443388870</v>
      </c>
      <c r="S38" s="116">
        <v>1641321.4</v>
      </c>
      <c r="T38" s="130">
        <f t="shared" ref="T38" si="57">Q38/S38</f>
        <v>24.625744841930413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969601.09523809527</v>
      </c>
      <c r="G39" s="190">
        <f>F39/F38-1</f>
        <v>-0.52022226943116401</v>
      </c>
      <c r="H39" s="190">
        <f t="shared" ref="H39:H49" si="58">F39/F27-1</f>
        <v>-0.19292493080426121</v>
      </c>
      <c r="I39" s="130">
        <f t="shared" si="0"/>
        <v>39.870525502159204</v>
      </c>
      <c r="J39" s="130">
        <f t="shared" si="5"/>
        <v>0.24940577578323153</v>
      </c>
      <c r="K39" s="136"/>
      <c r="L39" s="190"/>
      <c r="M39" s="190"/>
      <c r="N39" s="191"/>
      <c r="O39" s="192"/>
      <c r="P39" s="129" t="s">
        <v>762</v>
      </c>
      <c r="Q39" s="116">
        <v>20361623</v>
      </c>
      <c r="R39" s="116">
        <v>28262493020</v>
      </c>
      <c r="S39" s="116">
        <v>510693.62</v>
      </c>
      <c r="T39" s="130">
        <f t="shared" ref="T39" si="59">Q39/S39</f>
        <v>39.870525502159204</v>
      </c>
      <c r="U39" s="85"/>
    </row>
    <row r="40" spans="1:21" s="79" customFormat="1" ht="13.2" hidden="1">
      <c r="A40" s="129" t="s">
        <v>778</v>
      </c>
      <c r="B40" s="188">
        <f>SUM(F38:F40)</f>
        <v>4004273.8142857142</v>
      </c>
      <c r="C40" s="188">
        <f>AVERAGE(F38:F40)</f>
        <v>1334757.9380952381</v>
      </c>
      <c r="D40" s="190">
        <f>C40/C37-1</f>
        <v>2.903539757889595E-2</v>
      </c>
      <c r="E40" s="287">
        <f>C40/C28-1</f>
        <v>0.1151166375249284</v>
      </c>
      <c r="F40" s="136">
        <f>Q40/21</f>
        <v>1013734.6190476191</v>
      </c>
      <c r="G40" s="190">
        <f t="shared" ref="G40" si="60">F40/F39-1</f>
        <v>4.5517196738197097E-2</v>
      </c>
      <c r="H40" s="190">
        <f t="shared" si="58"/>
        <v>-4.0909176777753298E-2</v>
      </c>
      <c r="I40" s="130">
        <f t="shared" si="0"/>
        <v>38.765943854498346</v>
      </c>
      <c r="J40" s="130">
        <f t="shared" si="5"/>
        <v>-0.17197031306494215</v>
      </c>
      <c r="K40" s="136">
        <f>R38+R39+R40</f>
        <v>112864883483</v>
      </c>
      <c r="L40" s="190">
        <f>U40/U37-1</f>
        <v>2.1076279993694547E-2</v>
      </c>
      <c r="M40" s="190">
        <f>U40/U28-1</f>
        <v>0.1425223184531581</v>
      </c>
      <c r="N40" s="191">
        <f>AVERAGE(T38:T40)</f>
        <v>34.420738066195987</v>
      </c>
      <c r="O40" s="192">
        <f>N40/N37-1</f>
        <v>0.11124515319494543</v>
      </c>
      <c r="P40" s="129" t="s">
        <v>778</v>
      </c>
      <c r="Q40" s="116">
        <v>21288427</v>
      </c>
      <c r="R40" s="116">
        <v>30159001593</v>
      </c>
      <c r="S40" s="116">
        <v>549152.81000000006</v>
      </c>
      <c r="T40" s="130">
        <f t="shared" ref="T40" si="61">Q40/S40</f>
        <v>38.765943854498346</v>
      </c>
      <c r="U40" s="85">
        <f>Q38+Q39+Q40</f>
        <v>82068812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701349.11111111112</v>
      </c>
      <c r="G41" s="190">
        <f t="shared" ref="G41" si="62">F41/F40-1</f>
        <v>-0.3081531419238569</v>
      </c>
      <c r="H41" s="190">
        <f t="shared" si="58"/>
        <v>0.10175023714857745</v>
      </c>
      <c r="I41" s="130">
        <f t="shared" si="0"/>
        <v>28.796320139354265</v>
      </c>
      <c r="J41" s="130">
        <f t="shared" si="5"/>
        <v>0.12063865084074288</v>
      </c>
      <c r="K41" s="193"/>
      <c r="L41" s="190"/>
      <c r="M41" s="190"/>
      <c r="N41" s="193"/>
      <c r="O41" s="193"/>
      <c r="P41" s="129" t="s">
        <v>792</v>
      </c>
      <c r="Q41" s="116">
        <v>12624284</v>
      </c>
      <c r="R41" s="116">
        <v>18468345949</v>
      </c>
      <c r="S41" s="116">
        <v>438399.21</v>
      </c>
      <c r="T41" s="130">
        <f t="shared" ref="T41" si="63">Q41/S41</f>
        <v>28.796320139354265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1029259.8</v>
      </c>
      <c r="G42" s="190">
        <f t="shared" ref="G42" si="64">F42/F41-1</f>
        <v>0.46754274539451113</v>
      </c>
      <c r="H42" s="190">
        <f t="shared" si="58"/>
        <v>0.51980585652522726</v>
      </c>
      <c r="I42" s="130">
        <f t="shared" si="0"/>
        <v>39.35872635647646</v>
      </c>
      <c r="J42" s="130">
        <f t="shared" si="5"/>
        <v>1.0821988112354397</v>
      </c>
      <c r="K42" s="193"/>
      <c r="L42" s="190"/>
      <c r="M42" s="190"/>
      <c r="N42" s="193"/>
      <c r="O42" s="193"/>
      <c r="P42" s="129" t="s">
        <v>826</v>
      </c>
      <c r="Q42" s="116">
        <v>20585196</v>
      </c>
      <c r="R42" s="116">
        <v>29770261463</v>
      </c>
      <c r="S42" s="116">
        <v>523014.79</v>
      </c>
      <c r="T42" s="130">
        <f t="shared" ref="T42" si="65">Q42/S42</f>
        <v>39.35872635647646</v>
      </c>
      <c r="U42" s="78"/>
    </row>
    <row r="43" spans="1:21" s="79" customFormat="1" ht="13.2">
      <c r="A43" s="129" t="s">
        <v>835</v>
      </c>
      <c r="B43" s="188">
        <f>SUM(F41:F43)</f>
        <v>2470672.4611111116</v>
      </c>
      <c r="C43" s="188">
        <f>AVERAGE(F41:F43)</f>
        <v>823557.48703703715</v>
      </c>
      <c r="D43" s="190">
        <f>C43/C40-1</f>
        <v>-0.38299113005292018</v>
      </c>
      <c r="E43" s="287">
        <f>C43/C31-1</f>
        <v>-7.6702080302031295E-2</v>
      </c>
      <c r="F43" s="136">
        <f>Q43/20</f>
        <v>740063.55</v>
      </c>
      <c r="G43" s="190">
        <f t="shared" ref="G43" si="66">F43/F42-1</f>
        <v>-0.28097497832908658</v>
      </c>
      <c r="H43" s="190">
        <f t="shared" si="58"/>
        <v>-0.45667970902704569</v>
      </c>
      <c r="I43" s="130">
        <f t="shared" si="0"/>
        <v>34.256428546300533</v>
      </c>
      <c r="J43" s="130">
        <f t="shared" si="5"/>
        <v>0.82474313525152043</v>
      </c>
      <c r="K43" s="136">
        <f>R41+R42+R43</f>
        <v>69675989550</v>
      </c>
      <c r="L43" s="190">
        <f>U43/U40-1</f>
        <v>-0.41499395653491367</v>
      </c>
      <c r="M43" s="190">
        <f>K43/K31-1</f>
        <v>-2.7954825066545785E-2</v>
      </c>
      <c r="N43" s="191">
        <f>AVERAGE(T41:T43)</f>
        <v>34.137158347377088</v>
      </c>
      <c r="O43" s="192">
        <f>N43/N40-1</f>
        <v>-8.2386298130370239E-3</v>
      </c>
      <c r="P43" s="129" t="s">
        <v>835</v>
      </c>
      <c r="Q43" s="116">
        <v>14801271</v>
      </c>
      <c r="R43" s="116">
        <v>21437382138</v>
      </c>
      <c r="S43" s="116">
        <v>432072.8</v>
      </c>
      <c r="T43" s="130">
        <f t="shared" ref="T43" si="67">Q43/S43</f>
        <v>34.256428546300533</v>
      </c>
      <c r="U43" s="85">
        <f>Q41+Q42+Q43</f>
        <v>48010751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1039743.7727272727</v>
      </c>
      <c r="G44" s="190">
        <f t="shared" ref="G44" si="68">F44/F43-1</f>
        <v>0.40493849849418018</v>
      </c>
      <c r="H44" s="190">
        <f t="shared" si="58"/>
        <v>0.32274620514989638</v>
      </c>
      <c r="I44" s="130">
        <f t="shared" si="0"/>
        <v>25.707993410343626</v>
      </c>
      <c r="J44" s="130">
        <f t="shared" si="5"/>
        <v>0.88237054079916777</v>
      </c>
      <c r="K44" s="136"/>
      <c r="L44" s="190"/>
      <c r="M44" s="190"/>
      <c r="N44" s="191"/>
      <c r="O44" s="192"/>
      <c r="P44" s="129" t="s">
        <v>843</v>
      </c>
      <c r="Q44" s="116">
        <v>22874363</v>
      </c>
      <c r="R44" s="116">
        <v>33247409986</v>
      </c>
      <c r="S44" s="116">
        <v>889776.29</v>
      </c>
      <c r="T44" s="130">
        <f t="shared" ref="T44" si="69">Q44/S44</f>
        <v>25.707993410343626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1123611.8</v>
      </c>
      <c r="G45" s="190">
        <f t="shared" ref="G45" si="70">F45/F44-1</f>
        <v>8.0662206855771412E-2</v>
      </c>
      <c r="H45" s="190">
        <f t="shared" si="58"/>
        <v>-2.030880235134036E-2</v>
      </c>
      <c r="I45" s="130">
        <f t="shared" si="0"/>
        <v>26.704220131535916</v>
      </c>
      <c r="J45" s="130">
        <f t="shared" si="5"/>
        <v>3.7286910466747925E-2</v>
      </c>
      <c r="K45" s="136"/>
      <c r="L45" s="190"/>
      <c r="M45" s="190"/>
      <c r="N45" s="191"/>
      <c r="O45" s="192"/>
      <c r="P45" s="129" t="s">
        <v>879</v>
      </c>
      <c r="Q45" s="116">
        <v>22472236</v>
      </c>
      <c r="R45" s="116">
        <v>31694865597</v>
      </c>
      <c r="S45" s="116">
        <v>841523.77</v>
      </c>
      <c r="T45" s="130">
        <f t="shared" ref="T45" si="71">Q45/S45</f>
        <v>26.704220131535916</v>
      </c>
      <c r="U45" s="85"/>
    </row>
    <row r="46" spans="1:21" s="79" customFormat="1" ht="13.2">
      <c r="A46" s="129" t="s">
        <v>888</v>
      </c>
      <c r="B46" s="188">
        <f>SUM(F44:F46)</f>
        <v>3273098.5727272728</v>
      </c>
      <c r="C46" s="188">
        <f>AVERAGE(F44:F46)</f>
        <v>1091032.8575757577</v>
      </c>
      <c r="D46" s="190">
        <f>C46/C43-1</f>
        <v>0.32478044914755477</v>
      </c>
      <c r="E46" s="287">
        <f>C46/C34-1</f>
        <v>-0.12916609925873346</v>
      </c>
      <c r="F46" s="136">
        <f>Q46/19</f>
        <v>1109743</v>
      </c>
      <c r="G46" s="190">
        <f t="shared" ref="G46" si="72">F46/F45-1</f>
        <v>-1.2343053001045434E-2</v>
      </c>
      <c r="H46" s="190">
        <f t="shared" si="58"/>
        <v>-0.39213023914302636</v>
      </c>
      <c r="I46" s="130">
        <f t="shared" si="0"/>
        <v>35.49382972190179</v>
      </c>
      <c r="J46" s="130">
        <f t="shared" si="5"/>
        <v>5.9340842464005839E-2</v>
      </c>
      <c r="K46" s="136">
        <f>R44+R45+R46</f>
        <v>93840790464</v>
      </c>
      <c r="L46" s="190">
        <f>U46/U43-1</f>
        <v>0.38368416690669971</v>
      </c>
      <c r="M46" s="190">
        <f>K46/K34-1</f>
        <v>-8.9180278982864958E-2</v>
      </c>
      <c r="N46" s="191">
        <f>AVERAGE(T44:T46)</f>
        <v>29.302014421260441</v>
      </c>
      <c r="O46" s="192">
        <f>N46/N43-1</f>
        <v>-0.14163873503806601</v>
      </c>
      <c r="P46" s="129" t="s">
        <v>964</v>
      </c>
      <c r="Q46" s="116">
        <v>21085117</v>
      </c>
      <c r="R46" s="116">
        <v>28898514881</v>
      </c>
      <c r="S46" s="116">
        <v>594050.21</v>
      </c>
      <c r="T46" s="130">
        <f t="shared" ref="T46" si="73">Q46/S46</f>
        <v>35.49382972190179</v>
      </c>
      <c r="U46" s="85">
        <f t="shared" ref="U46:U51" si="74">Q44+Q45+Q46</f>
        <v>66431716</v>
      </c>
    </row>
    <row r="47" spans="1:21" s="79" customFormat="1" ht="13.2">
      <c r="A47" s="129" t="s">
        <v>1014</v>
      </c>
      <c r="B47" s="188"/>
      <c r="C47" s="188"/>
      <c r="D47" s="190"/>
      <c r="E47" s="287"/>
      <c r="F47" s="136">
        <f>Q47/23</f>
        <v>1226930.6956521738</v>
      </c>
      <c r="G47" s="190">
        <f t="shared" ref="G47" si="75">F47/F46-1</f>
        <v>0.10559895007418274</v>
      </c>
      <c r="H47" s="190">
        <f t="shared" si="58"/>
        <v>-0.11564955606835603</v>
      </c>
      <c r="I47" s="130">
        <f t="shared" si="0"/>
        <v>32.13406230376971</v>
      </c>
      <c r="J47" s="130">
        <f t="shared" si="5"/>
        <v>-8.9323631654485536E-2</v>
      </c>
      <c r="K47" s="136"/>
      <c r="L47" s="190"/>
      <c r="M47" s="190"/>
      <c r="N47" s="191"/>
      <c r="O47" s="192"/>
      <c r="P47" s="129" t="s">
        <v>991</v>
      </c>
      <c r="Q47" s="116">
        <v>28219406</v>
      </c>
      <c r="R47" s="116">
        <v>38653380394</v>
      </c>
      <c r="S47" s="116">
        <v>878177.36</v>
      </c>
      <c r="T47" s="130">
        <f t="shared" ref="T47" si="76">Q47/S47</f>
        <v>32.13406230376971</v>
      </c>
      <c r="U47" s="85">
        <f t="shared" si="74"/>
        <v>71776759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1456138.25</v>
      </c>
      <c r="G48" s="189">
        <f t="shared" ref="G48" si="77">F48/F47-1</f>
        <v>0.18681377453515502</v>
      </c>
      <c r="H48" s="189">
        <f t="shared" si="58"/>
        <v>0.28682996961953955</v>
      </c>
      <c r="I48" s="130">
        <f t="shared" si="0"/>
        <v>43.85700660224726</v>
      </c>
      <c r="J48" s="130">
        <f t="shared" si="5"/>
        <v>0.38230034189757789</v>
      </c>
      <c r="K48" s="136"/>
      <c r="L48" s="190"/>
      <c r="M48" s="190"/>
      <c r="N48" s="191"/>
      <c r="O48" s="192"/>
      <c r="P48" s="129" t="s">
        <v>1070</v>
      </c>
      <c r="Q48" s="116">
        <v>29122765</v>
      </c>
      <c r="R48" s="116">
        <v>40413321089</v>
      </c>
      <c r="S48" s="116">
        <v>664039.05000000005</v>
      </c>
      <c r="T48" s="130">
        <f t="shared" ref="T48" si="78">Q48/S48</f>
        <v>43.85700660224726</v>
      </c>
      <c r="U48" s="85">
        <f t="shared" si="74"/>
        <v>78427288</v>
      </c>
    </row>
    <row r="49" spans="1:26" ht="13.2">
      <c r="A49" s="129" t="s">
        <v>1207</v>
      </c>
      <c r="B49" s="188">
        <f>SUM(F47:F49)</f>
        <v>4468644.9001976289</v>
      </c>
      <c r="C49" s="188">
        <f>AVERAGE(F47:F49)</f>
        <v>1489548.3000658762</v>
      </c>
      <c r="D49" s="190">
        <f>C49/C46-1</f>
        <v>0.36526438202384481</v>
      </c>
      <c r="E49" s="287">
        <f>C49/C37-1</f>
        <v>0.14837146378663357</v>
      </c>
      <c r="F49" s="200">
        <f>Q49/22</f>
        <v>1785575.9545454546</v>
      </c>
      <c r="G49" s="189">
        <f t="shared" ref="G49" si="79">F49/F48-1</f>
        <v>0.22624067772785628</v>
      </c>
      <c r="H49" s="189">
        <f t="shared" si="58"/>
        <v>0.30111966188027628</v>
      </c>
      <c r="I49" s="130">
        <f t="shared" si="0"/>
        <v>35.60198860201168</v>
      </c>
      <c r="J49" s="130">
        <f t="shared" si="5"/>
        <v>0.37399466906790702</v>
      </c>
      <c r="K49" s="136">
        <f>R47+R48+R49</f>
        <v>133679656542</v>
      </c>
      <c r="L49" s="190">
        <f>U49/U46-1</f>
        <v>0.45449866145261097</v>
      </c>
      <c r="M49" s="190">
        <f>K49/K37-1</f>
        <v>0.21974836515115292</v>
      </c>
      <c r="N49" s="191">
        <f>AVERAGE(T47:T49)</f>
        <v>37.197685836009555</v>
      </c>
      <c r="O49" s="192">
        <f>N49/N46-1</f>
        <v>0.26945831440927526</v>
      </c>
      <c r="P49" s="129" t="s">
        <v>1158</v>
      </c>
      <c r="Q49" s="116">
        <v>39282671</v>
      </c>
      <c r="R49" s="116">
        <v>54612955059</v>
      </c>
      <c r="S49" s="116">
        <v>1103384.18</v>
      </c>
      <c r="T49" s="130">
        <f t="shared" ref="T49" si="80">Q49/S49</f>
        <v>35.60198860201168</v>
      </c>
      <c r="U49" s="85">
        <f t="shared" si="74"/>
        <v>96624842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1743219.611111111</v>
      </c>
      <c r="G50" s="190">
        <f t="shared" ref="G50" si="81">F50/F49-1</f>
        <v>-2.3721389911484314E-2</v>
      </c>
      <c r="H50" s="190">
        <f t="shared" ref="H50" si="82">F50/F38-1</f>
        <v>-0.13742058150563297</v>
      </c>
      <c r="I50" s="130">
        <f t="shared" ref="I50" si="83">T50</f>
        <v>38.450025889289904</v>
      </c>
      <c r="J50" s="130">
        <f t="shared" ref="J50" si="84">I50/I38-1</f>
        <v>0.56137514361883589</v>
      </c>
      <c r="K50" s="136"/>
      <c r="L50" s="190"/>
      <c r="M50" s="190"/>
      <c r="N50" s="191"/>
      <c r="O50" s="192"/>
      <c r="P50" s="129" t="s">
        <v>1380</v>
      </c>
      <c r="Q50" s="116">
        <v>31377953</v>
      </c>
      <c r="R50" s="116">
        <v>44091801228</v>
      </c>
      <c r="S50" s="116">
        <v>816071.05</v>
      </c>
      <c r="T50" s="130">
        <f t="shared" ref="T50" si="85">Q50/S50</f>
        <v>38.450025889289904</v>
      </c>
      <c r="U50" s="85">
        <f t="shared" si="74"/>
        <v>99783389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1083222.6000000001</v>
      </c>
      <c r="G51" s="190">
        <f t="shared" ref="G51:G52" si="86">F51/F50-1</f>
        <v>-0.37860806917519441</v>
      </c>
      <c r="H51" s="190">
        <f t="shared" ref="H51:H52" si="87">F51/F39-1</f>
        <v>0.11718376280712017</v>
      </c>
      <c r="I51" s="130">
        <f t="shared" ref="I51:I52" si="88">T51</f>
        <v>49.430796765426031</v>
      </c>
      <c r="J51" s="130">
        <f t="shared" ref="J51:J52" si="89">I51/I39-1</f>
        <v>0.23978292592980965</v>
      </c>
      <c r="K51" s="136"/>
      <c r="L51" s="190"/>
      <c r="M51" s="190"/>
      <c r="N51" s="191"/>
      <c r="O51" s="192"/>
      <c r="P51" s="129" t="s">
        <v>1402</v>
      </c>
      <c r="Q51" s="116">
        <v>21664452</v>
      </c>
      <c r="R51" s="116">
        <v>31421300505</v>
      </c>
      <c r="S51" s="116">
        <v>438278.43</v>
      </c>
      <c r="T51" s="130">
        <f t="shared" ref="T51:T52" si="90">Q51/S51</f>
        <v>49.430796765426031</v>
      </c>
      <c r="U51" s="85">
        <f t="shared" si="74"/>
        <v>92325076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4604705.2111111116</v>
      </c>
      <c r="C52" s="188">
        <f>AVERAGE(F50:F52)</f>
        <v>1534901.7370370373</v>
      </c>
      <c r="D52" s="190">
        <f>C52/C49-1</f>
        <v>3.0447778678378778E-2</v>
      </c>
      <c r="E52" s="287">
        <f>C52/C40-1</f>
        <v>0.14994763711794357</v>
      </c>
      <c r="F52" s="136">
        <f>Q52/22</f>
        <v>1778263</v>
      </c>
      <c r="G52" s="190">
        <f t="shared" si="86"/>
        <v>0.64164133946245205</v>
      </c>
      <c r="H52" s="190">
        <f t="shared" si="87"/>
        <v>0.75417014136366212</v>
      </c>
      <c r="I52" s="130">
        <f t="shared" si="88"/>
        <v>46.262028465174012</v>
      </c>
      <c r="J52" s="130">
        <f t="shared" si="89"/>
        <v>0.19336778278405897</v>
      </c>
      <c r="K52" s="136">
        <f>R50+R51+R52</f>
        <v>133072043179</v>
      </c>
      <c r="L52" s="190">
        <f>U52/U49-1</f>
        <v>-4.6164639524067685E-2</v>
      </c>
      <c r="M52" s="190">
        <f>K52/K40-1</f>
        <v>0.17903850225516482</v>
      </c>
      <c r="N52" s="191">
        <f>AVERAGE(T50:T52)</f>
        <v>44.714283706629978</v>
      </c>
      <c r="O52" s="192">
        <f>N52/N49-1</f>
        <v>0.20207165316031328</v>
      </c>
      <c r="P52" s="129" t="s">
        <v>1403</v>
      </c>
      <c r="Q52" s="116">
        <v>39121786</v>
      </c>
      <c r="R52" s="116">
        <v>57558941446</v>
      </c>
      <c r="S52" s="116">
        <v>845656.52</v>
      </c>
      <c r="T52" s="130">
        <f t="shared" si="90"/>
        <v>46.262028465174012</v>
      </c>
      <c r="U52" s="85">
        <f t="shared" ref="U52" si="91">Q50+Q51+Q52</f>
        <v>92164191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1526570.0476190476</v>
      </c>
      <c r="G53" s="190">
        <f t="shared" ref="G53" si="92">F53/F52-1</f>
        <v>-0.14153865450777103</v>
      </c>
      <c r="H53" s="190">
        <f t="shared" ref="H53" si="93">F53/F41-1</f>
        <v>1.1766193518098023</v>
      </c>
      <c r="I53" s="130">
        <f t="shared" ref="I53" si="94">T53</f>
        <v>28.391880754347216</v>
      </c>
      <c r="J53" s="130">
        <f t="shared" ref="J53" si="95">I53/I41-1</f>
        <v>-1.4044828750682137E-2</v>
      </c>
      <c r="K53" s="136"/>
      <c r="L53" s="190"/>
      <c r="M53" s="190"/>
      <c r="N53" s="191"/>
      <c r="O53" s="192"/>
      <c r="P53" s="129" t="s">
        <v>1414</v>
      </c>
      <c r="Q53" s="116">
        <v>32057971</v>
      </c>
      <c r="R53" s="116">
        <v>46828536727</v>
      </c>
      <c r="S53" s="116">
        <v>1129124.6000000001</v>
      </c>
      <c r="T53" s="130">
        <f t="shared" ref="T53" si="96">Q53/S53</f>
        <v>28.391880754347216</v>
      </c>
      <c r="U53" s="85">
        <f t="shared" ref="U53" si="97">Q51+Q52+Q53</f>
        <v>92844209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2302257.1176470588</v>
      </c>
      <c r="G54" s="190">
        <f t="shared" ref="G54" si="98">F54/F53-1</f>
        <v>0.50812412521641614</v>
      </c>
      <c r="H54" s="190">
        <f t="shared" ref="H54" si="99">F54/F42-1</f>
        <v>1.2368085469257215</v>
      </c>
      <c r="I54" s="130">
        <f t="shared" ref="I54" si="100">T54</f>
        <v>27.649882837752251</v>
      </c>
      <c r="J54" s="130">
        <f t="shared" ref="J54" si="101">I54/I42-1</f>
        <v>-0.29749040689670392</v>
      </c>
      <c r="K54" s="136"/>
      <c r="L54" s="190"/>
      <c r="M54" s="190"/>
      <c r="N54" s="191"/>
      <c r="O54" s="192"/>
      <c r="P54" s="129" t="s">
        <v>1417</v>
      </c>
      <c r="Q54" s="116">
        <v>39138371</v>
      </c>
      <c r="R54" s="116">
        <v>56701124993</v>
      </c>
      <c r="S54" s="116">
        <v>1415498.62</v>
      </c>
      <c r="T54" s="130">
        <f t="shared" ref="T54" si="102">Q54/S54</f>
        <v>27.649882837752251</v>
      </c>
      <c r="U54" s="85">
        <f t="shared" ref="U54" si="103">Q52+Q53+Q54</f>
        <v>110318128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6231871.6890756302</v>
      </c>
      <c r="C55" s="188">
        <f>AVERAGE(F53:F55)</f>
        <v>2077290.5630252101</v>
      </c>
      <c r="D55" s="190">
        <f>C55/C52-1</f>
        <v>0.35337039036466011</v>
      </c>
      <c r="E55" s="287">
        <f>C55/C43-1</f>
        <v>1.522338265053973</v>
      </c>
      <c r="F55" s="136">
        <f>Q55/21</f>
        <v>2403044.5238095238</v>
      </c>
      <c r="G55" s="190">
        <f t="shared" ref="G55" si="104">F55/F54-1</f>
        <v>4.3777649937497554E-2</v>
      </c>
      <c r="H55" s="190">
        <f t="shared" ref="H55" si="105">F55/F43-1</f>
        <v>2.2470786107619052</v>
      </c>
      <c r="I55" s="130">
        <f>T55</f>
        <v>37.486599177231078</v>
      </c>
      <c r="J55" s="130">
        <f t="shared" ref="J55" si="106">I55/I43-1</f>
        <v>9.4293852803852163E-2</v>
      </c>
      <c r="K55" s="136">
        <f>R53+R54+R55</f>
        <v>177872503262</v>
      </c>
      <c r="L55" s="190">
        <f>U55/U52-1</f>
        <v>0.32003846266062275</v>
      </c>
      <c r="M55" s="190">
        <f>K55/K43-1</f>
        <v>1.5528522007478256</v>
      </c>
      <c r="N55" s="191">
        <f>AVERAGE(T53:T55)</f>
        <v>31.176120923110187</v>
      </c>
      <c r="O55" s="192">
        <f>N55/N52-1</f>
        <v>-0.3027704272832269</v>
      </c>
      <c r="P55" s="129" t="s">
        <v>1418</v>
      </c>
      <c r="Q55" s="116">
        <v>50463935</v>
      </c>
      <c r="R55" s="116">
        <v>74342841542</v>
      </c>
      <c r="S55" s="116">
        <v>1346186</v>
      </c>
      <c r="T55" s="130">
        <f t="shared" ref="T55" si="107">Q55/S55</f>
        <v>37.486599177231078</v>
      </c>
      <c r="U55" s="85">
        <f t="shared" ref="U55" si="108">Q53+Q54+Q55</f>
        <v>121660277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1939216</v>
      </c>
      <c r="G56" s="190">
        <f t="shared" ref="G56" si="109">F56/F55-1</f>
        <v>-0.1930170328572276</v>
      </c>
      <c r="H56" s="190">
        <f t="shared" ref="H56" si="110">F56/F44-1</f>
        <v>0.86509027595653709</v>
      </c>
      <c r="I56" s="291">
        <f>T56</f>
        <v>52.926378152566755</v>
      </c>
      <c r="J56" s="130">
        <f t="shared" ref="J56" si="111">I56/I44-1</f>
        <v>1.0587518172955419</v>
      </c>
      <c r="K56" s="136"/>
      <c r="L56" s="190"/>
      <c r="M56" s="190"/>
      <c r="N56" s="191"/>
      <c r="O56" s="192"/>
      <c r="P56" s="129" t="s">
        <v>1420</v>
      </c>
      <c r="Q56" s="116">
        <v>42662752</v>
      </c>
      <c r="R56" s="116">
        <v>63787602060</v>
      </c>
      <c r="S56" s="116">
        <v>806077.3</v>
      </c>
      <c r="T56" s="130">
        <f t="shared" ref="T56" si="112">Q56/S56</f>
        <v>52.926378152566755</v>
      </c>
      <c r="U56" s="85">
        <f t="shared" ref="U56" si="113">Q54+Q55+Q56</f>
        <v>132265058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2344211.1666666665</v>
      </c>
      <c r="G57" s="254">
        <f t="shared" ref="G57" si="114">F57/F56-1</f>
        <v>0.20884479432237901</v>
      </c>
      <c r="H57" s="254">
        <f t="shared" ref="H57" si="115">F57/F45-1</f>
        <v>1.0863176825543008</v>
      </c>
      <c r="I57" s="282">
        <f>T57</f>
        <v>49.920173603203096</v>
      </c>
      <c r="J57" s="277">
        <f t="shared" ref="J57" si="116">I57/I45-1</f>
        <v>0.86937395502708115</v>
      </c>
      <c r="K57" s="204"/>
      <c r="L57" s="254"/>
      <c r="M57" s="254"/>
      <c r="N57" s="257"/>
      <c r="O57" s="258"/>
      <c r="P57" s="129" t="s">
        <v>1436</v>
      </c>
      <c r="Q57" s="116">
        <v>28130534</v>
      </c>
      <c r="R57" s="116">
        <v>41495663357</v>
      </c>
      <c r="S57" s="116">
        <v>563510.34</v>
      </c>
      <c r="T57" s="130">
        <f t="shared" ref="T57" si="117">Q57/S57</f>
        <v>49.920173603203096</v>
      </c>
      <c r="U57" s="85">
        <f t="shared" ref="U57" si="118">Q55+Q56+Q57</f>
        <v>121257221</v>
      </c>
      <c r="V57" s="79"/>
      <c r="W57" s="79"/>
      <c r="X57" s="79"/>
      <c r="Y57" s="79"/>
      <c r="Z57" s="79"/>
    </row>
    <row r="58" spans="1:26">
      <c r="B58" s="196">
        <f>SUM(F56:F58)</f>
        <v>4283427.166666666</v>
      </c>
      <c r="C58" s="196">
        <f>AVERAGE(F56:F58)</f>
        <v>2141713.583333333</v>
      </c>
      <c r="D58" s="197">
        <f>C58/C55-1</f>
        <v>3.1013003888248569E-2</v>
      </c>
      <c r="E58" s="233">
        <f>C58/C46-1</f>
        <v>0.9630147419135997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192453563</v>
      </c>
      <c r="R66" s="212">
        <v>283155768679</v>
      </c>
      <c r="S66" s="213">
        <v>5260396.88</v>
      </c>
      <c r="T66" s="214">
        <v>253</v>
      </c>
      <c r="U66" s="214">
        <v>3633</v>
      </c>
    </row>
    <row r="67" spans="16:21" ht="18" thickBot="1">
      <c r="P67" s="180" t="s">
        <v>976</v>
      </c>
      <c r="Q67" s="181">
        <v>32057971</v>
      </c>
      <c r="R67" s="181">
        <v>46828536727</v>
      </c>
      <c r="S67" s="182">
        <v>1129124.6000000001</v>
      </c>
      <c r="T67" s="210">
        <v>169</v>
      </c>
      <c r="U67" s="210">
        <v>2168</v>
      </c>
    </row>
    <row r="68" spans="16:21" ht="18" thickBot="1">
      <c r="P68" s="180" t="s">
        <v>977</v>
      </c>
      <c r="Q68" s="181">
        <v>39138371</v>
      </c>
      <c r="R68" s="181">
        <v>56701124993</v>
      </c>
      <c r="S68" s="182">
        <v>1415498.62</v>
      </c>
      <c r="T68" s="210">
        <v>145</v>
      </c>
      <c r="U68" s="210">
        <v>1530</v>
      </c>
    </row>
    <row r="69" spans="16:21" ht="18" thickBot="1">
      <c r="P69" s="180" t="s">
        <v>978</v>
      </c>
      <c r="Q69" s="181">
        <v>50463935</v>
      </c>
      <c r="R69" s="181">
        <v>74342841542</v>
      </c>
      <c r="S69" s="182">
        <v>1346186</v>
      </c>
      <c r="T69" s="210">
        <v>159</v>
      </c>
      <c r="U69" s="210">
        <v>1108</v>
      </c>
    </row>
    <row r="70" spans="16:21" ht="18" thickBot="1">
      <c r="P70" s="180" t="s">
        <v>979</v>
      </c>
      <c r="Q70" s="181">
        <v>42662752</v>
      </c>
      <c r="R70" s="181">
        <v>63787602060</v>
      </c>
      <c r="S70" s="182">
        <v>806077.3</v>
      </c>
      <c r="T70" s="210">
        <v>177</v>
      </c>
      <c r="U70" s="210">
        <v>725</v>
      </c>
    </row>
    <row r="71" spans="16:21" ht="18" thickBot="1">
      <c r="P71" s="180" t="s">
        <v>980</v>
      </c>
      <c r="Q71" s="181">
        <v>28130534</v>
      </c>
      <c r="R71" s="181">
        <v>41495663357</v>
      </c>
      <c r="S71" s="182">
        <v>563510.34</v>
      </c>
      <c r="T71" s="210">
        <v>133</v>
      </c>
      <c r="U71" s="210">
        <v>502</v>
      </c>
    </row>
    <row r="72" spans="16:21" ht="18" thickBot="1">
      <c r="P72" s="180" t="s">
        <v>975</v>
      </c>
      <c r="Q72" s="181">
        <v>301739448</v>
      </c>
      <c r="R72" s="181">
        <v>428067890063</v>
      </c>
      <c r="S72" s="182">
        <v>8464432.8499999996</v>
      </c>
      <c r="T72" s="210">
        <v>358</v>
      </c>
      <c r="U72" s="210">
        <v>10040</v>
      </c>
    </row>
    <row r="73" spans="16:21" ht="18" thickBot="1">
      <c r="P73" s="215" t="s">
        <v>982</v>
      </c>
      <c r="Q73" s="216">
        <v>291815463</v>
      </c>
      <c r="R73" s="217"/>
      <c r="S73"/>
      <c r="T73"/>
      <c r="U73"/>
    </row>
  </sheetData>
  <phoneticPr fontId="1" type="noConversion"/>
  <conditionalFormatting sqref="C29:C30">
    <cfRule type="cellIs" dxfId="21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1"/>
  <sheetViews>
    <sheetView topLeftCell="C1" zoomScale="90" zoomScaleNormal="90" workbookViewId="0">
      <selection activeCell="L59" sqref="L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604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3907301000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280456.59999999998</v>
      </c>
      <c r="G5" s="90"/>
      <c r="H5" s="90"/>
      <c r="I5" s="130">
        <f t="shared" ref="I5:I49" si="0">T5</f>
        <v>57.623766444833912</v>
      </c>
      <c r="J5" s="130"/>
      <c r="K5" s="85"/>
      <c r="L5" s="80"/>
      <c r="M5" s="80"/>
      <c r="P5" s="129" t="s">
        <v>0</v>
      </c>
      <c r="Q5" s="116">
        <v>5609132</v>
      </c>
      <c r="R5" s="116">
        <v>6753350619</v>
      </c>
      <c r="S5" s="116">
        <v>97340.6</v>
      </c>
      <c r="T5" s="130">
        <f t="shared" ref="T5:T32" si="1">Q5/S5</f>
        <v>57.623766444833912</v>
      </c>
      <c r="U5" s="78">
        <f>S5/20</f>
        <v>4867.0300000000007</v>
      </c>
    </row>
    <row r="6" spans="1:29" ht="15" hidden="1" customHeight="1">
      <c r="A6" s="129" t="s">
        <v>1</v>
      </c>
      <c r="C6" s="79"/>
      <c r="F6" s="78">
        <f>Q6/18</f>
        <v>353347.94444444444</v>
      </c>
      <c r="G6" s="90">
        <f t="shared" ref="G6:G32" si="2">F6/F5-1</f>
        <v>0.25990240359629424</v>
      </c>
      <c r="H6" s="90"/>
      <c r="I6" s="130">
        <f t="shared" si="0"/>
        <v>52.224117594653322</v>
      </c>
      <c r="J6" s="130"/>
      <c r="K6" s="85"/>
      <c r="P6" s="129" t="s">
        <v>1</v>
      </c>
      <c r="Q6" s="116">
        <v>6360263</v>
      </c>
      <c r="R6" s="116">
        <v>7708471382</v>
      </c>
      <c r="S6" s="116">
        <v>121787.85</v>
      </c>
      <c r="T6" s="130">
        <f t="shared" si="1"/>
        <v>52.224117594653322</v>
      </c>
      <c r="U6" s="78">
        <f>S6/18</f>
        <v>6765.9916666666668</v>
      </c>
    </row>
    <row r="7" spans="1:29" ht="15" hidden="1" customHeight="1">
      <c r="A7" s="129" t="s">
        <v>2</v>
      </c>
      <c r="B7" s="131">
        <f>F5+F6+F7</f>
        <v>942583.99898989894</v>
      </c>
      <c r="C7" s="131">
        <f>AVERAGE(F5:F7)</f>
        <v>314194.66632996633</v>
      </c>
      <c r="F7" s="78">
        <f>Q7/22</f>
        <v>308779.45454545453</v>
      </c>
      <c r="G7" s="90">
        <f t="shared" si="2"/>
        <v>-0.12613201972651422</v>
      </c>
      <c r="H7" s="90"/>
      <c r="I7" s="130">
        <f t="shared" si="0"/>
        <v>44.57208710402044</v>
      </c>
      <c r="J7" s="130"/>
      <c r="K7" s="85">
        <f>Q5+Q6+Q7</f>
        <v>18762543</v>
      </c>
      <c r="L7" s="102"/>
      <c r="N7" s="88">
        <f>AVERAGE(T5:T7)</f>
        <v>51.473323714502556</v>
      </c>
      <c r="P7" s="129" t="s">
        <v>2</v>
      </c>
      <c r="Q7" s="116">
        <v>6793148</v>
      </c>
      <c r="R7" s="116">
        <v>8347223992</v>
      </c>
      <c r="S7" s="116">
        <v>152408.12</v>
      </c>
      <c r="T7" s="130">
        <f t="shared" si="1"/>
        <v>44.57208710402044</v>
      </c>
      <c r="U7" s="78">
        <f>S7/22</f>
        <v>6927.6418181818181</v>
      </c>
    </row>
    <row r="8" spans="1:29" ht="15" hidden="1" customHeight="1">
      <c r="A8" s="129" t="s">
        <v>3</v>
      </c>
      <c r="C8" s="79"/>
      <c r="F8" s="78">
        <f>Q8/21</f>
        <v>251673.23809523811</v>
      </c>
      <c r="G8" s="90">
        <f t="shared" si="2"/>
        <v>-0.18494176218518443</v>
      </c>
      <c r="H8" s="90"/>
      <c r="I8" s="130">
        <f t="shared" si="0"/>
        <v>60.128114478210243</v>
      </c>
      <c r="J8" s="130"/>
      <c r="K8" s="85"/>
      <c r="L8" s="90"/>
      <c r="P8" s="129" t="s">
        <v>3</v>
      </c>
      <c r="Q8" s="116">
        <v>5285138</v>
      </c>
      <c r="R8" s="116">
        <v>6533530833</v>
      </c>
      <c r="S8" s="116">
        <v>87897.95</v>
      </c>
      <c r="T8" s="130">
        <f t="shared" si="1"/>
        <v>60.128114478210243</v>
      </c>
      <c r="U8" s="78">
        <f>S8/21</f>
        <v>4185.6166666666668</v>
      </c>
    </row>
    <row r="9" spans="1:29" ht="15" hidden="1" customHeight="1">
      <c r="A9" s="129" t="s">
        <v>4</v>
      </c>
      <c r="C9" s="79"/>
      <c r="F9" s="78">
        <f>Q9/21</f>
        <v>266622.85714285716</v>
      </c>
      <c r="G9" s="90">
        <f t="shared" si="2"/>
        <v>5.9400908736914726E-2</v>
      </c>
      <c r="H9" s="90"/>
      <c r="I9" s="130">
        <f t="shared" si="0"/>
        <v>60.266042954145611</v>
      </c>
      <c r="J9" s="130"/>
      <c r="K9" s="85"/>
      <c r="L9" s="90"/>
      <c r="P9" s="129" t="s">
        <v>4</v>
      </c>
      <c r="Q9" s="116">
        <v>5599080</v>
      </c>
      <c r="R9" s="116">
        <v>7185325677</v>
      </c>
      <c r="S9" s="116">
        <v>92906.05</v>
      </c>
      <c r="T9" s="130">
        <f t="shared" si="1"/>
        <v>60.266042954145611</v>
      </c>
      <c r="U9" s="78">
        <f>S9/21</f>
        <v>4424.0976190476194</v>
      </c>
      <c r="AC9" s="79">
        <v>2500</v>
      </c>
    </row>
    <row r="10" spans="1:29" ht="15" hidden="1" customHeight="1">
      <c r="A10" s="129" t="s">
        <v>320</v>
      </c>
      <c r="B10" s="131">
        <f>F8+F9+F10</f>
        <v>857524.57142857148</v>
      </c>
      <c r="C10" s="131">
        <f>AVERAGE(F8:F10)</f>
        <v>285841.52380952385</v>
      </c>
      <c r="D10" s="90">
        <f>C10/C7-1</f>
        <v>-9.0240686933450664E-2</v>
      </c>
      <c r="E10" s="90"/>
      <c r="F10" s="78">
        <f>Q10/21</f>
        <v>339228.47619047621</v>
      </c>
      <c r="G10" s="90">
        <f t="shared" si="2"/>
        <v>0.27231580902576846</v>
      </c>
      <c r="H10" s="90"/>
      <c r="I10" s="130">
        <f t="shared" si="0"/>
        <v>56.99987333891346</v>
      </c>
      <c r="J10" s="130"/>
      <c r="K10" s="85">
        <f>Q8+Q9+Q10</f>
        <v>18008016</v>
      </c>
      <c r="L10" s="102">
        <f>K10/K7-1</f>
        <v>-4.0214538082604223E-2</v>
      </c>
      <c r="N10" s="88">
        <f>AVERAGE(T8:T10)</f>
        <v>59.131343590423107</v>
      </c>
      <c r="O10" s="89">
        <f>N10/N7-1</f>
        <v>0.1487764792185533</v>
      </c>
      <c r="P10" s="129" t="s">
        <v>320</v>
      </c>
      <c r="Q10" s="116">
        <v>7123798</v>
      </c>
      <c r="R10" s="116">
        <v>9141384960</v>
      </c>
      <c r="S10" s="116">
        <v>124979.19</v>
      </c>
      <c r="T10" s="130">
        <f t="shared" si="1"/>
        <v>56.99987333891346</v>
      </c>
      <c r="U10" s="78">
        <f>S10/21</f>
        <v>5951.39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310301.95238095237</v>
      </c>
      <c r="G11" s="90">
        <f t="shared" si="2"/>
        <v>-8.5271508260060247E-2</v>
      </c>
      <c r="H11" s="90"/>
      <c r="I11" s="130">
        <f t="shared" si="0"/>
        <v>63.608990732569133</v>
      </c>
      <c r="J11" s="130"/>
      <c r="K11" s="85"/>
      <c r="L11" s="90"/>
      <c r="O11" s="89"/>
      <c r="P11" s="129" t="s">
        <v>6</v>
      </c>
      <c r="Q11" s="116">
        <v>6516341</v>
      </c>
      <c r="R11" s="116">
        <v>8578154020</v>
      </c>
      <c r="S11" s="116">
        <v>102443.71</v>
      </c>
      <c r="T11" s="130">
        <f t="shared" si="1"/>
        <v>63.608990732569133</v>
      </c>
      <c r="U11" s="78">
        <f>S11/21</f>
        <v>4878.2719047619048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300039.81818181818</v>
      </c>
      <c r="G12" s="90">
        <f t="shared" si="2"/>
        <v>-3.3071445797851595E-2</v>
      </c>
      <c r="H12" s="90"/>
      <c r="I12" s="130">
        <f t="shared" si="0"/>
        <v>56.24824886649256</v>
      </c>
      <c r="J12" s="130"/>
      <c r="K12" s="85"/>
      <c r="L12" s="90"/>
      <c r="O12" s="89"/>
      <c r="P12" s="129" t="s">
        <v>7</v>
      </c>
      <c r="Q12" s="116">
        <v>6600876</v>
      </c>
      <c r="R12" s="116">
        <v>8752141664</v>
      </c>
      <c r="S12" s="116">
        <v>117352.56</v>
      </c>
      <c r="T12" s="130">
        <f t="shared" si="1"/>
        <v>56.24824886649256</v>
      </c>
      <c r="U12" s="78">
        <f>S12/22</f>
        <v>5334.2072727272725</v>
      </c>
    </row>
    <row r="13" spans="1:29" ht="15" hidden="1" customHeight="1">
      <c r="A13" s="129" t="s">
        <v>96</v>
      </c>
      <c r="B13" s="131">
        <f>F11+F12+F13</f>
        <v>1002672.9705627705</v>
      </c>
      <c r="C13" s="131">
        <f>AVERAGE(F11:F13)</f>
        <v>334224.3235209235</v>
      </c>
      <c r="D13" s="90">
        <f>C13/C10-1</f>
        <v>0.16926441990156937</v>
      </c>
      <c r="E13" s="90"/>
      <c r="F13" s="78">
        <f>Q13/20</f>
        <v>392331.2</v>
      </c>
      <c r="G13" s="90">
        <f t="shared" si="2"/>
        <v>0.30759711286804969</v>
      </c>
      <c r="H13" s="90"/>
      <c r="I13" s="130">
        <f t="shared" si="0"/>
        <v>60.293177039454697</v>
      </c>
      <c r="J13" s="130"/>
      <c r="K13" s="85">
        <f>Q11+Q12+Q13</f>
        <v>20963841</v>
      </c>
      <c r="L13" s="102">
        <f>K13/K10-1</f>
        <v>0.16413940325241816</v>
      </c>
      <c r="N13" s="88">
        <f>AVERAGE(T11:T13)</f>
        <v>60.050138879505461</v>
      </c>
      <c r="O13" s="89">
        <f>N13/N10-1</f>
        <v>1.5538210926618667E-2</v>
      </c>
      <c r="P13" s="129" t="s">
        <v>96</v>
      </c>
      <c r="Q13" s="116">
        <v>7846624</v>
      </c>
      <c r="R13" s="116">
        <v>10820170971</v>
      </c>
      <c r="S13" s="116">
        <v>130141.16</v>
      </c>
      <c r="T13" s="130">
        <f t="shared" si="1"/>
        <v>60.293177039454697</v>
      </c>
      <c r="U13" s="78">
        <f>S13/20</f>
        <v>6507.058</v>
      </c>
    </row>
    <row r="14" spans="1:29" ht="15" hidden="1" customHeight="1">
      <c r="A14" s="129" t="s">
        <v>97</v>
      </c>
      <c r="C14" s="79"/>
      <c r="F14" s="78">
        <f>Q14/20</f>
        <v>404971.2</v>
      </c>
      <c r="G14" s="90">
        <f t="shared" si="2"/>
        <v>3.2217677309375414E-2</v>
      </c>
      <c r="H14" s="90"/>
      <c r="I14" s="130">
        <f t="shared" si="0"/>
        <v>82.708708825238361</v>
      </c>
      <c r="J14" s="130"/>
      <c r="K14" s="85"/>
      <c r="L14" s="90"/>
      <c r="O14" s="89"/>
      <c r="P14" s="129" t="s">
        <v>97</v>
      </c>
      <c r="Q14" s="116">
        <v>8099424</v>
      </c>
      <c r="R14" s="116">
        <v>11552450243</v>
      </c>
      <c r="S14" s="116">
        <v>97927.1</v>
      </c>
      <c r="T14" s="130">
        <f t="shared" si="1"/>
        <v>82.708708825238361</v>
      </c>
      <c r="U14" s="78">
        <f>S14/20</f>
        <v>4896.3550000000005</v>
      </c>
    </row>
    <row r="15" spans="1:29" ht="15" hidden="1" customHeight="1">
      <c r="A15" s="129" t="s">
        <v>98</v>
      </c>
      <c r="B15" s="131"/>
      <c r="C15" s="131"/>
      <c r="F15" s="78">
        <f>Q15/22</f>
        <v>262086.04545454544</v>
      </c>
      <c r="G15" s="90">
        <f t="shared" si="2"/>
        <v>-0.35282794071641288</v>
      </c>
      <c r="H15" s="90"/>
      <c r="I15" s="130">
        <f t="shared" si="0"/>
        <v>51.317667418319196</v>
      </c>
      <c r="J15" s="130"/>
      <c r="K15" s="78"/>
      <c r="L15" s="90"/>
      <c r="O15" s="89"/>
      <c r="P15" s="129" t="s">
        <v>98</v>
      </c>
      <c r="Q15" s="116">
        <v>5765893</v>
      </c>
      <c r="R15" s="116">
        <v>8003305053</v>
      </c>
      <c r="S15" s="116">
        <v>112356.88</v>
      </c>
      <c r="T15" s="130">
        <f t="shared" si="1"/>
        <v>51.317667418319196</v>
      </c>
      <c r="U15" s="78">
        <f>S15/22</f>
        <v>5107.130909090909</v>
      </c>
    </row>
    <row r="16" spans="1:29" ht="15" hidden="1" customHeight="1">
      <c r="A16" s="129" t="s">
        <v>99</v>
      </c>
      <c r="B16" s="131">
        <f>F14+F15+F16</f>
        <v>962937.10909090913</v>
      </c>
      <c r="C16" s="131">
        <f>AVERAGE(F14:F16)</f>
        <v>320979.03636363638</v>
      </c>
      <c r="D16" s="90">
        <f>C16/C13-1</f>
        <v>-3.9629931830673426E-2</v>
      </c>
      <c r="E16" s="90"/>
      <c r="F16" s="78">
        <f>Q16/22</f>
        <v>295879.86363636365</v>
      </c>
      <c r="G16" s="90">
        <f t="shared" si="2"/>
        <v>0.12894169211950346</v>
      </c>
      <c r="H16" s="90"/>
      <c r="I16" s="130">
        <f t="shared" si="0"/>
        <v>56.277370924912695</v>
      </c>
      <c r="J16" s="130"/>
      <c r="K16" s="85">
        <f>Q14+Q15+Q16</f>
        <v>20374674</v>
      </c>
      <c r="L16" s="102">
        <f>K16/K13-1</f>
        <v>-2.8103962437036278E-2</v>
      </c>
      <c r="N16" s="88">
        <f>AVERAGE(T14:T16)</f>
        <v>63.434582389490089</v>
      </c>
      <c r="O16" s="89">
        <f>N16/N13-1</f>
        <v>5.6360294466191618E-2</v>
      </c>
      <c r="P16" s="129" t="s">
        <v>99</v>
      </c>
      <c r="Q16" s="116">
        <v>6509357</v>
      </c>
      <c r="R16" s="116">
        <v>8524448943</v>
      </c>
      <c r="S16" s="116">
        <v>115665.62</v>
      </c>
      <c r="T16" s="130">
        <f t="shared" si="1"/>
        <v>56.277370924912695</v>
      </c>
      <c r="U16" s="78">
        <f>S16/22</f>
        <v>5257.528181818182</v>
      </c>
    </row>
    <row r="17" spans="1:21" ht="15" hidden="1" customHeight="1">
      <c r="A17" s="129" t="s">
        <v>100</v>
      </c>
      <c r="C17" s="79"/>
      <c r="F17" s="78">
        <f>Q17/20</f>
        <v>205038.45</v>
      </c>
      <c r="G17" s="90">
        <f t="shared" si="2"/>
        <v>-0.30702127721678196</v>
      </c>
      <c r="H17" s="90">
        <f t="shared" ref="H17:H32" si="3">F17/F5-1</f>
        <v>-0.26891201704648771</v>
      </c>
      <c r="I17" s="130">
        <f t="shared" si="0"/>
        <v>64.529763020332979</v>
      </c>
      <c r="J17" s="130">
        <f t="shared" ref="J17:J49" si="4">I17/I5-1</f>
        <v>0.1198463238620564</v>
      </c>
      <c r="K17" s="78"/>
      <c r="L17" s="90"/>
      <c r="O17" s="89"/>
      <c r="P17" s="129" t="s">
        <v>100</v>
      </c>
      <c r="Q17" s="116">
        <v>4100769</v>
      </c>
      <c r="R17" s="116">
        <v>5130771804</v>
      </c>
      <c r="S17" s="116">
        <v>63548.49</v>
      </c>
      <c r="T17" s="130">
        <f t="shared" si="1"/>
        <v>64.529763020332979</v>
      </c>
      <c r="U17" s="78">
        <f>S17/20</f>
        <v>3177.4245000000001</v>
      </c>
    </row>
    <row r="18" spans="1:21" ht="15" hidden="1" customHeight="1">
      <c r="A18" s="129" t="s">
        <v>106</v>
      </c>
      <c r="C18" s="79"/>
      <c r="F18" s="78">
        <f>Q18/20</f>
        <v>216332.6</v>
      </c>
      <c r="G18" s="90">
        <f t="shared" si="2"/>
        <v>5.5083083197322136E-2</v>
      </c>
      <c r="H18" s="90">
        <f t="shared" si="3"/>
        <v>-0.38776324186594169</v>
      </c>
      <c r="I18" s="130">
        <f t="shared" si="0"/>
        <v>50.477557030402259</v>
      </c>
      <c r="J18" s="130">
        <f t="shared" si="4"/>
        <v>-3.3443562949350358E-2</v>
      </c>
      <c r="K18" s="78"/>
      <c r="O18" s="89"/>
      <c r="P18" s="129" t="s">
        <v>106</v>
      </c>
      <c r="Q18" s="116">
        <v>4326652</v>
      </c>
      <c r="R18" s="116">
        <v>5426799605</v>
      </c>
      <c r="S18" s="116">
        <v>85714.37</v>
      </c>
      <c r="T18" s="130">
        <f t="shared" si="1"/>
        <v>50.477557030402259</v>
      </c>
      <c r="U18" s="78">
        <f>S18/20</f>
        <v>4285.7184999999999</v>
      </c>
    </row>
    <row r="19" spans="1:21" hidden="1">
      <c r="A19" s="129" t="s">
        <v>114</v>
      </c>
      <c r="B19" s="131">
        <f>SUM(F17:F19)</f>
        <v>633973.82272727275</v>
      </c>
      <c r="C19" s="131">
        <f>AVERAGE(F17:F19)</f>
        <v>211324.60757575757</v>
      </c>
      <c r="D19" s="90">
        <f>C19/C16-1</f>
        <v>-0.34162489248566241</v>
      </c>
      <c r="E19" s="90">
        <f>C19/C7-1</f>
        <v>-0.3274086729600143</v>
      </c>
      <c r="F19" s="78">
        <f>Q19/22</f>
        <v>212602.77272727274</v>
      </c>
      <c r="G19" s="90">
        <f t="shared" si="2"/>
        <v>-1.724117064523456E-2</v>
      </c>
      <c r="H19" s="90">
        <f t="shared" si="3"/>
        <v>-0.31147370850745482</v>
      </c>
      <c r="I19" s="130">
        <f t="shared" si="0"/>
        <v>52.002160465242717</v>
      </c>
      <c r="J19" s="130">
        <f t="shared" si="4"/>
        <v>0.16669790095048254</v>
      </c>
      <c r="K19" s="85">
        <f>Q17+Q18+Q19</f>
        <v>13104682</v>
      </c>
      <c r="L19" s="102">
        <f>K19/K16-1</f>
        <v>-0.35681513235500106</v>
      </c>
      <c r="M19" s="87">
        <f>U19/U7-1</f>
        <v>-0.40985040692057617</v>
      </c>
      <c r="N19" s="88">
        <f>AVERAGE(T17:T19)</f>
        <v>55.669826838659326</v>
      </c>
      <c r="O19" s="89">
        <f>N19/N16-1</f>
        <v>-0.12240571717103688</v>
      </c>
      <c r="P19" s="129" t="s">
        <v>114</v>
      </c>
      <c r="Q19" s="116">
        <v>4677261</v>
      </c>
      <c r="R19" s="116">
        <v>6109576764</v>
      </c>
      <c r="S19" s="116">
        <v>89943.59</v>
      </c>
      <c r="T19" s="130">
        <f t="shared" si="1"/>
        <v>52.002160465242717</v>
      </c>
      <c r="U19" s="78">
        <f>S19/22</f>
        <v>4088.3449999999998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293112.2</v>
      </c>
      <c r="G20" s="90">
        <f t="shared" si="2"/>
        <v>0.37868474733396318</v>
      </c>
      <c r="H20" s="90">
        <f t="shared" si="3"/>
        <v>0.16465382739296497</v>
      </c>
      <c r="I20" s="130">
        <f t="shared" si="0"/>
        <v>61.622954068002123</v>
      </c>
      <c r="J20" s="130">
        <f t="shared" si="4"/>
        <v>2.4860909123195496E-2</v>
      </c>
      <c r="K20" s="78"/>
      <c r="O20" s="89"/>
      <c r="P20" s="129" t="s">
        <v>131</v>
      </c>
      <c r="Q20" s="116">
        <v>5862244</v>
      </c>
      <c r="R20" s="116">
        <v>7697649056</v>
      </c>
      <c r="S20" s="116">
        <v>95130.85</v>
      </c>
      <c r="T20" s="130">
        <f t="shared" si="1"/>
        <v>61.622954068002123</v>
      </c>
      <c r="U20" s="78">
        <f>S20/20</f>
        <v>4756.5425000000005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209838.66666666666</v>
      </c>
      <c r="G21" s="90">
        <f t="shared" si="2"/>
        <v>-0.28410121903262076</v>
      </c>
      <c r="H21" s="90">
        <f t="shared" si="3"/>
        <v>-0.21297570315123204</v>
      </c>
      <c r="I21" s="130">
        <f t="shared" si="0"/>
        <v>54.778560515935908</v>
      </c>
      <c r="J21" s="130">
        <f t="shared" si="4"/>
        <v>-9.1054301381375602E-2</v>
      </c>
      <c r="K21" s="78"/>
      <c r="O21" s="89"/>
      <c r="P21" s="129" t="s">
        <v>141</v>
      </c>
      <c r="Q21" s="116">
        <v>4406612</v>
      </c>
      <c r="R21" s="116">
        <v>5850921899</v>
      </c>
      <c r="S21" s="116">
        <v>80444.100000000006</v>
      </c>
      <c r="T21" s="130">
        <f t="shared" si="1"/>
        <v>54.778560515935908</v>
      </c>
      <c r="U21" s="78">
        <f>S21/21</f>
        <v>3830.6714285714288</v>
      </c>
    </row>
    <row r="22" spans="1:21" hidden="1">
      <c r="A22" s="129" t="s">
        <v>155</v>
      </c>
      <c r="B22" s="131">
        <f>SUM(F20:F22)</f>
        <v>814899.48571428575</v>
      </c>
      <c r="C22" s="131">
        <f>AVERAGE(F20:F22)</f>
        <v>271633.16190476192</v>
      </c>
      <c r="D22" s="90">
        <f>C22/C19-1</f>
        <v>0.28538349140141839</v>
      </c>
      <c r="E22" s="90">
        <f>C22/C10-1</f>
        <v>-4.97071304245843E-2</v>
      </c>
      <c r="F22" s="78">
        <f>Q22/21</f>
        <v>311948.61904761905</v>
      </c>
      <c r="G22" s="90">
        <f t="shared" si="2"/>
        <v>0.48661170985782287</v>
      </c>
      <c r="H22" s="90">
        <f t="shared" si="3"/>
        <v>-8.041735602272837E-2</v>
      </c>
      <c r="I22" s="130">
        <f t="shared" si="0"/>
        <v>79.099481808227992</v>
      </c>
      <c r="J22" s="130">
        <f t="shared" si="4"/>
        <v>0.38771329083335471</v>
      </c>
      <c r="K22" s="85">
        <f>Q20+Q21+Q22</f>
        <v>16819777</v>
      </c>
      <c r="L22" s="102">
        <f>K22/K19-1</f>
        <v>0.28349371621531905</v>
      </c>
      <c r="M22" s="87">
        <f>U22/U10-1</f>
        <v>-0.36746052755590031</v>
      </c>
      <c r="N22" s="88">
        <f>AVERAGE(T20:T22)</f>
        <v>65.166998797388672</v>
      </c>
      <c r="O22" s="89">
        <f>N22/N19-1</f>
        <v>0.17059819471423499</v>
      </c>
      <c r="P22" s="129" t="s">
        <v>155</v>
      </c>
      <c r="Q22" s="116">
        <v>6550921</v>
      </c>
      <c r="R22" s="116">
        <v>8528115922</v>
      </c>
      <c r="S22" s="116">
        <v>82818.759999999995</v>
      </c>
      <c r="T22" s="130">
        <f t="shared" si="1"/>
        <v>79.099481808227992</v>
      </c>
      <c r="U22" s="78">
        <f>S22/22</f>
        <v>3764.4890909090905</v>
      </c>
    </row>
    <row r="23" spans="1:21" hidden="1">
      <c r="A23" s="129" t="s">
        <v>189</v>
      </c>
      <c r="B23" s="131"/>
      <c r="C23" s="131"/>
      <c r="F23" s="78">
        <f>Q23/21</f>
        <v>394201.09523809527</v>
      </c>
      <c r="G23" s="90">
        <f t="shared" si="2"/>
        <v>0.2636731537443362</v>
      </c>
      <c r="H23" s="90">
        <f t="shared" si="3"/>
        <v>0.27037903633342708</v>
      </c>
      <c r="I23" s="130">
        <f t="shared" si="0"/>
        <v>97.990015893651844</v>
      </c>
      <c r="J23" s="130">
        <f t="shared" si="4"/>
        <v>0.54050574871767165</v>
      </c>
      <c r="O23" s="89"/>
      <c r="P23" s="129" t="s">
        <v>189</v>
      </c>
      <c r="Q23" s="116">
        <v>8278223</v>
      </c>
      <c r="R23" s="116">
        <v>10693768009</v>
      </c>
      <c r="S23" s="116">
        <v>84480.27</v>
      </c>
      <c r="T23" s="130">
        <f t="shared" si="1"/>
        <v>97.990015893651844</v>
      </c>
      <c r="U23" s="78">
        <f>S23/21</f>
        <v>4022.8700000000003</v>
      </c>
    </row>
    <row r="24" spans="1:21" hidden="1">
      <c r="A24" s="129" t="s">
        <v>204</v>
      </c>
      <c r="B24" s="131"/>
      <c r="C24" s="131"/>
      <c r="F24" s="78">
        <f>Q24/22</f>
        <v>329582.31818181818</v>
      </c>
      <c r="G24" s="90">
        <f t="shared" si="2"/>
        <v>-0.16392338285424524</v>
      </c>
      <c r="H24" s="90">
        <f t="shared" si="3"/>
        <v>9.8461931416375714E-2</v>
      </c>
      <c r="I24" s="130">
        <f t="shared" si="0"/>
        <v>70.586374770948495</v>
      </c>
      <c r="J24" s="130">
        <f t="shared" si="4"/>
        <v>0.25490795168553682</v>
      </c>
      <c r="O24" s="89"/>
      <c r="P24" s="129" t="s">
        <v>204</v>
      </c>
      <c r="Q24" s="116">
        <v>7250811</v>
      </c>
      <c r="R24" s="116">
        <v>9510975746</v>
      </c>
      <c r="S24" s="116">
        <v>102722.53</v>
      </c>
      <c r="T24" s="130">
        <f t="shared" si="1"/>
        <v>70.586374770948495</v>
      </c>
      <c r="U24" s="78">
        <f>S24/22</f>
        <v>4669.2059090909088</v>
      </c>
    </row>
    <row r="25" spans="1:21" s="79" customFormat="1" ht="13.2" hidden="1">
      <c r="A25" s="129" t="s">
        <v>217</v>
      </c>
      <c r="B25" s="131">
        <f>SUM(F23:F25)</f>
        <v>1116017.2555251766</v>
      </c>
      <c r="C25" s="131">
        <f>AVERAGE(F23:F25)</f>
        <v>372005.75184172555</v>
      </c>
      <c r="D25" s="90">
        <f>C25/C22-1</f>
        <v>0.36951522867504494</v>
      </c>
      <c r="E25" s="90">
        <f>C25/C13-1</f>
        <v>0.11304212668542313</v>
      </c>
      <c r="F25" s="78">
        <f>Q25/19</f>
        <v>392233.84210526315</v>
      </c>
      <c r="G25" s="90">
        <f t="shared" si="2"/>
        <v>0.19009370487188115</v>
      </c>
      <c r="H25" s="90">
        <f t="shared" si="3"/>
        <v>-2.481523129866936E-4</v>
      </c>
      <c r="I25" s="130">
        <f t="shared" si="0"/>
        <v>83.540084245816985</v>
      </c>
      <c r="J25" s="130">
        <f t="shared" si="4"/>
        <v>0.38556447591325238</v>
      </c>
      <c r="K25" s="85">
        <f>Q23+Q24+Q25</f>
        <v>22981477</v>
      </c>
      <c r="L25" s="102">
        <f>K25/K22-1</f>
        <v>0.36633660481943364</v>
      </c>
      <c r="M25" s="90">
        <f>U25/U13-1</f>
        <v>-0.37684455304322839</v>
      </c>
      <c r="N25" s="88">
        <f>AVERAGE(T23:T25)</f>
        <v>84.038824970139117</v>
      </c>
      <c r="O25" s="91">
        <f>N25/N22-1</f>
        <v>0.28959176455900648</v>
      </c>
      <c r="P25" s="129" t="s">
        <v>217</v>
      </c>
      <c r="Q25" s="116">
        <v>7452443</v>
      </c>
      <c r="R25" s="116">
        <v>9883772051</v>
      </c>
      <c r="S25" s="116">
        <v>89207.99</v>
      </c>
      <c r="T25" s="130">
        <f t="shared" si="1"/>
        <v>83.540084245816985</v>
      </c>
      <c r="U25" s="78">
        <f>S25/22</f>
        <v>4054.9086363636366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467992.63157894736</v>
      </c>
      <c r="G26" s="90">
        <f t="shared" si="2"/>
        <v>0.1931469989102903</v>
      </c>
      <c r="H26" s="90">
        <f t="shared" si="3"/>
        <v>0.15561953931278905</v>
      </c>
      <c r="I26" s="130">
        <f t="shared" si="0"/>
        <v>103.12058328295322</v>
      </c>
      <c r="J26" s="130">
        <f t="shared" si="4"/>
        <v>0.24679232389958705</v>
      </c>
      <c r="K26" s="78"/>
      <c r="L26" s="90"/>
      <c r="M26" s="90"/>
      <c r="P26" s="129" t="s">
        <v>312</v>
      </c>
      <c r="Q26" s="116">
        <v>8891860</v>
      </c>
      <c r="R26" s="116">
        <v>11981500661</v>
      </c>
      <c r="S26" s="116">
        <v>86227.79</v>
      </c>
      <c r="T26" s="130">
        <f t="shared" si="1"/>
        <v>103.12058328295322</v>
      </c>
      <c r="U26" s="122">
        <f>S26/19</f>
        <v>4538.3047368421048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287669.22727272729</v>
      </c>
      <c r="G27" s="90">
        <f t="shared" si="2"/>
        <v>-0.38531248600609791</v>
      </c>
      <c r="H27" s="90">
        <f t="shared" si="3"/>
        <v>9.7613674065752054E-2</v>
      </c>
      <c r="I27" s="130">
        <f t="shared" si="0"/>
        <v>90.129266890435531</v>
      </c>
      <c r="J27" s="130">
        <f t="shared" si="4"/>
        <v>0.75630092762675938</v>
      </c>
      <c r="K27" s="78"/>
      <c r="L27" s="90"/>
      <c r="M27" s="90"/>
      <c r="P27" s="129" t="s">
        <v>373</v>
      </c>
      <c r="Q27" s="116">
        <v>6328723</v>
      </c>
      <c r="R27" s="116">
        <v>8397177008</v>
      </c>
      <c r="S27" s="116">
        <v>70218.289999999994</v>
      </c>
      <c r="T27" s="130">
        <f t="shared" si="1"/>
        <v>90.129266890435531</v>
      </c>
      <c r="U27" s="122">
        <f>S27/22</f>
        <v>3191.7404545454542</v>
      </c>
    </row>
    <row r="28" spans="1:21" s="79" customFormat="1" ht="13.2" hidden="1">
      <c r="A28" s="123" t="s">
        <v>413</v>
      </c>
      <c r="B28" s="131">
        <f>SUM(F26:F28)</f>
        <v>1161217.2799043064</v>
      </c>
      <c r="C28" s="131">
        <f>AVERAGE(F26:F28)</f>
        <v>387072.42663476878</v>
      </c>
      <c r="D28" s="90">
        <f>C28/C25-1</f>
        <v>4.0501187732854049E-2</v>
      </c>
      <c r="E28" s="90">
        <f>C28/C16-1</f>
        <v>0.20591185960274161</v>
      </c>
      <c r="F28" s="78">
        <f>Q28/19</f>
        <v>405555.42105263157</v>
      </c>
      <c r="G28" s="90">
        <f t="shared" si="2"/>
        <v>0.40979772114499147</v>
      </c>
      <c r="H28" s="90">
        <f t="shared" si="3"/>
        <v>0.37067597662225227</v>
      </c>
      <c r="I28" s="130">
        <f t="shared" si="0"/>
        <v>64.023224845642815</v>
      </c>
      <c r="J28" s="130">
        <f t="shared" si="4"/>
        <v>0.13763709628626608</v>
      </c>
      <c r="K28" s="85">
        <f>Q26+Q27+Q28</f>
        <v>22926136</v>
      </c>
      <c r="L28" s="102">
        <f>K28/K25-1</f>
        <v>-2.4080697685358032E-3</v>
      </c>
      <c r="M28" s="90">
        <f>U28/U16-1</f>
        <v>0.20484465661037654</v>
      </c>
      <c r="N28" s="88">
        <f>AVERAGE(T26:T28)</f>
        <v>85.757691673010527</v>
      </c>
      <c r="O28" s="91">
        <f>N28/N25-1</f>
        <v>2.0453245312296531E-2</v>
      </c>
      <c r="P28" s="129" t="s">
        <v>413</v>
      </c>
      <c r="Q28" s="116">
        <v>7705553</v>
      </c>
      <c r="R28" s="116">
        <v>10051457083</v>
      </c>
      <c r="S28" s="116">
        <v>120355.59</v>
      </c>
      <c r="T28" s="130">
        <f t="shared" si="1"/>
        <v>64.023224845642815</v>
      </c>
      <c r="U28" s="122">
        <f>S28/19</f>
        <v>6334.5047368421046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221917.18181818182</v>
      </c>
      <c r="G29" s="190">
        <f t="shared" si="2"/>
        <v>-0.45280676746426185</v>
      </c>
      <c r="H29" s="190">
        <f t="shared" si="3"/>
        <v>8.2319837172890375E-2</v>
      </c>
      <c r="I29" s="130">
        <f t="shared" si="0"/>
        <v>74.738165714894549</v>
      </c>
      <c r="J29" s="130">
        <f t="shared" si="4"/>
        <v>0.15819681053756485</v>
      </c>
      <c r="K29" s="136"/>
      <c r="L29" s="190"/>
      <c r="M29" s="190"/>
      <c r="N29" s="191"/>
      <c r="O29" s="192"/>
      <c r="P29" s="129" t="s">
        <v>426</v>
      </c>
      <c r="Q29" s="116">
        <v>4882178</v>
      </c>
      <c r="R29" s="116">
        <v>6434253167</v>
      </c>
      <c r="S29" s="116">
        <v>65323.76</v>
      </c>
      <c r="T29" s="130">
        <f t="shared" si="1"/>
        <v>74.738165714894549</v>
      </c>
      <c r="U29" s="122">
        <f>S29/22</f>
        <v>2969.2618181818184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409326.78947368421</v>
      </c>
      <c r="G30" s="190">
        <f t="shared" si="2"/>
        <v>0.84450246763248948</v>
      </c>
      <c r="H30" s="190">
        <f t="shared" si="3"/>
        <v>0.89211792154157155</v>
      </c>
      <c r="I30" s="130">
        <f t="shared" si="0"/>
        <v>102.43805772546206</v>
      </c>
      <c r="J30" s="130">
        <f t="shared" si="4"/>
        <v>1.0293782772364435</v>
      </c>
      <c r="K30" s="136"/>
      <c r="L30" s="190"/>
      <c r="M30" s="190"/>
      <c r="N30" s="191"/>
      <c r="O30" s="192"/>
      <c r="P30" s="129" t="s">
        <v>466</v>
      </c>
      <c r="Q30" s="116">
        <v>7777209</v>
      </c>
      <c r="R30" s="116">
        <v>10360088197</v>
      </c>
      <c r="S30" s="116">
        <v>75921.09</v>
      </c>
      <c r="T30" s="130">
        <f t="shared" si="1"/>
        <v>102.43805772546206</v>
      </c>
      <c r="U30" s="122">
        <f>S30/19</f>
        <v>3995.846842105263</v>
      </c>
    </row>
    <row r="31" spans="1:21" s="79" customFormat="1" ht="13.2" hidden="1">
      <c r="A31" s="129" t="s">
        <v>505</v>
      </c>
      <c r="B31" s="188">
        <f>SUM(F29:F31)</f>
        <v>945052.87129186606</v>
      </c>
      <c r="C31" s="188">
        <f>AVERAGE(F29:F31)</f>
        <v>315017.62376395537</v>
      </c>
      <c r="D31" s="190">
        <f>C31/C28-1</f>
        <v>-0.18615328272608367</v>
      </c>
      <c r="E31" s="190">
        <f>C31/C19-1</f>
        <v>0.49068121965410483</v>
      </c>
      <c r="F31" s="136">
        <f>Q31/20</f>
        <v>313808.90000000002</v>
      </c>
      <c r="G31" s="190">
        <f t="shared" si="2"/>
        <v>-0.2333536233885446</v>
      </c>
      <c r="H31" s="190">
        <f t="shared" si="3"/>
        <v>0.47603390103738064</v>
      </c>
      <c r="I31" s="130">
        <f t="shared" si="0"/>
        <v>67.081055365845913</v>
      </c>
      <c r="J31" s="130">
        <f t="shared" si="4"/>
        <v>0.28996670072355268</v>
      </c>
      <c r="K31" s="136">
        <f>Q29+Q30+Q31</f>
        <v>18935565</v>
      </c>
      <c r="L31" s="190">
        <f>K31/K28-1</f>
        <v>-0.17406208355389674</v>
      </c>
      <c r="M31" s="190">
        <f>U31/U19-1</f>
        <v>0.14424186315000331</v>
      </c>
      <c r="N31" s="191">
        <f>AVERAGE(T29:T31)</f>
        <v>81.41909293540084</v>
      </c>
      <c r="O31" s="192">
        <f>N31/N28-1</f>
        <v>-5.0591365660266674E-2</v>
      </c>
      <c r="P31" s="129" t="s">
        <v>505</v>
      </c>
      <c r="Q31" s="116">
        <v>6276178</v>
      </c>
      <c r="R31" s="116">
        <v>8338856814</v>
      </c>
      <c r="S31" s="116">
        <v>93561.11</v>
      </c>
      <c r="T31" s="130">
        <f t="shared" si="1"/>
        <v>67.081055365845913</v>
      </c>
      <c r="U31" s="122">
        <f>S31/20</f>
        <v>4678.0555000000004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544829.66666666663</v>
      </c>
      <c r="G32" s="190">
        <f t="shared" si="2"/>
        <v>0.73618296570513642</v>
      </c>
      <c r="H32" s="190">
        <f t="shared" si="3"/>
        <v>0.85877512661249389</v>
      </c>
      <c r="I32" s="130">
        <f t="shared" si="0"/>
        <v>115.87456234688915</v>
      </c>
      <c r="J32" s="130">
        <f t="shared" si="4"/>
        <v>0.88037986979688321</v>
      </c>
      <c r="K32" s="136"/>
      <c r="L32" s="190"/>
      <c r="M32" s="190"/>
      <c r="N32" s="191"/>
      <c r="O32" s="192"/>
      <c r="P32" s="129" t="s">
        <v>561</v>
      </c>
      <c r="Q32" s="116">
        <v>11441423</v>
      </c>
      <c r="R32" s="116">
        <v>15596830236</v>
      </c>
      <c r="S32" s="116">
        <v>98739.73</v>
      </c>
      <c r="T32" s="130">
        <f t="shared" si="1"/>
        <v>115.87456234688915</v>
      </c>
      <c r="U32" s="122">
        <f>S32/21</f>
        <v>4701.8919047619047</v>
      </c>
    </row>
    <row r="33" spans="1:21" s="79" customFormat="1" ht="13.2" hidden="1">
      <c r="A33" s="129" t="s">
        <v>606</v>
      </c>
      <c r="B33" s="188"/>
      <c r="C33" s="188"/>
      <c r="D33" s="190"/>
      <c r="E33" s="190"/>
      <c r="F33" s="136">
        <f>Q33/21</f>
        <v>607650.61904761905</v>
      </c>
      <c r="G33" s="190">
        <f t="shared" ref="G33" si="5">F33/F32-1</f>
        <v>0.11530383939130662</v>
      </c>
      <c r="H33" s="190">
        <f t="shared" ref="H33" si="6">F33/F21-1</f>
        <v>1.8957990855559781</v>
      </c>
      <c r="I33" s="130">
        <f t="shared" si="0"/>
        <v>127.61163237598913</v>
      </c>
      <c r="J33" s="130">
        <f t="shared" si="4"/>
        <v>1.3295908321443566</v>
      </c>
      <c r="K33" s="136"/>
      <c r="L33" s="190"/>
      <c r="M33" s="190"/>
      <c r="N33" s="191"/>
      <c r="O33" s="192"/>
      <c r="P33" s="129" t="s">
        <v>607</v>
      </c>
      <c r="Q33" s="116">
        <v>12760663</v>
      </c>
      <c r="R33" s="116">
        <v>17408430246</v>
      </c>
      <c r="S33" s="116">
        <v>99996.08</v>
      </c>
      <c r="T33" s="130">
        <f t="shared" ref="T33" si="7">Q33/S33</f>
        <v>127.61163237598913</v>
      </c>
      <c r="U33" s="122">
        <f>S33/21</f>
        <v>4761.718095238095</v>
      </c>
    </row>
    <row r="34" spans="1:21" s="79" customFormat="1" ht="13.2" hidden="1">
      <c r="A34" s="129" t="s">
        <v>652</v>
      </c>
      <c r="B34" s="188">
        <f>SUM(F32:F34)</f>
        <v>2127890.4436090225</v>
      </c>
      <c r="C34" s="188">
        <f>AVERAGE(F32:F34)</f>
        <v>709296.81453634088</v>
      </c>
      <c r="D34" s="190">
        <f>C34/C31-1</f>
        <v>1.2516099450607925</v>
      </c>
      <c r="E34" s="190">
        <f>C34/C22-1</f>
        <v>1.611230563906735</v>
      </c>
      <c r="F34" s="136">
        <f>Q34/19</f>
        <v>975410.15789473685</v>
      </c>
      <c r="G34" s="190">
        <f t="shared" ref="G34" si="8">F34/F33-1</f>
        <v>0.60521544341304789</v>
      </c>
      <c r="H34" s="190">
        <f t="shared" ref="H34" si="9">F34/F22-1</f>
        <v>2.126829542867251</v>
      </c>
      <c r="I34" s="130">
        <f t="shared" si="0"/>
        <v>202.48583004002018</v>
      </c>
      <c r="J34" s="130">
        <f t="shared" si="4"/>
        <v>1.5598881991532521</v>
      </c>
      <c r="K34" s="136">
        <f>Q32+Q33+Q34</f>
        <v>42734879</v>
      </c>
      <c r="L34" s="190">
        <f>K34/K31-1</f>
        <v>1.2568578756430031</v>
      </c>
      <c r="M34" s="190">
        <f>U34/U22-1</f>
        <v>0.27963642664129673</v>
      </c>
      <c r="N34" s="191">
        <f>AVERAGE(T32:T34)</f>
        <v>148.65734158763283</v>
      </c>
      <c r="O34" s="192">
        <f>N34/N31-1</f>
        <v>0.82582900678566684</v>
      </c>
      <c r="P34" s="129" t="s">
        <v>652</v>
      </c>
      <c r="Q34" s="116">
        <v>18532793</v>
      </c>
      <c r="R34" s="116">
        <v>25471140590</v>
      </c>
      <c r="S34" s="116">
        <v>91526.37</v>
      </c>
      <c r="T34" s="130">
        <f t="shared" ref="T34" si="10">Q34/S34</f>
        <v>202.48583004002018</v>
      </c>
      <c r="U34" s="122">
        <f>S34/19</f>
        <v>4817.1773684210521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870075.43478260865</v>
      </c>
      <c r="G35" s="190">
        <f t="shared" ref="G35" si="11">F35/F34-1</f>
        <v>-0.10799018470289046</v>
      </c>
      <c r="H35" s="190">
        <f t="shared" ref="H35" si="12">F35/F23-1</f>
        <v>1.2071867513637624</v>
      </c>
      <c r="I35" s="130">
        <f t="shared" si="0"/>
        <v>135.41516951480776</v>
      </c>
      <c r="J35" s="130">
        <f t="shared" si="4"/>
        <v>0.38192823299236189</v>
      </c>
      <c r="K35" s="136"/>
      <c r="L35" s="190"/>
      <c r="M35" s="190"/>
      <c r="N35" s="191"/>
      <c r="O35" s="192"/>
      <c r="P35" s="129" t="s">
        <v>660</v>
      </c>
      <c r="Q35" s="116">
        <v>20011735</v>
      </c>
      <c r="R35" s="116">
        <v>27695076060</v>
      </c>
      <c r="S35" s="116">
        <v>147780.6</v>
      </c>
      <c r="T35" s="130">
        <f t="shared" ref="T35" si="13">Q35/S35</f>
        <v>135.41516951480776</v>
      </c>
      <c r="U35" s="122">
        <f>S35/23</f>
        <v>6425.2434782608698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825023.95238095243</v>
      </c>
      <c r="G36" s="190">
        <f t="shared" ref="G36" si="14">F36/F35-1</f>
        <v>-5.1778823537194207E-2</v>
      </c>
      <c r="H36" s="190">
        <f t="shared" ref="H36" si="15">F36/F24-1</f>
        <v>1.5032409412382908</v>
      </c>
      <c r="I36" s="130">
        <f t="shared" si="0"/>
        <v>168.473777878562</v>
      </c>
      <c r="J36" s="130">
        <f t="shared" si="4"/>
        <v>1.3867747624843512</v>
      </c>
      <c r="K36" s="136"/>
      <c r="L36" s="190"/>
      <c r="M36" s="190"/>
      <c r="N36" s="191"/>
      <c r="O36" s="192"/>
      <c r="P36" s="129" t="s">
        <v>664</v>
      </c>
      <c r="Q36" s="116">
        <v>17325503</v>
      </c>
      <c r="R36" s="116">
        <v>23670521421</v>
      </c>
      <c r="S36" s="116">
        <v>102837.98</v>
      </c>
      <c r="T36" s="130">
        <f t="shared" ref="T36" si="16">Q36/S36</f>
        <v>168.473777878562</v>
      </c>
      <c r="U36" s="122">
        <f>S36/21</f>
        <v>4897.0466666666662</v>
      </c>
    </row>
    <row r="37" spans="1:21" s="79" customFormat="1" ht="13.2" hidden="1">
      <c r="A37" s="129" t="s">
        <v>702</v>
      </c>
      <c r="B37" s="188">
        <f>SUM(F35:F37)</f>
        <v>2675576.6649413388</v>
      </c>
      <c r="C37" s="188">
        <f>AVERAGE(F35:F37)</f>
        <v>891858.88831377961</v>
      </c>
      <c r="D37" s="190">
        <f>C37/C34-1</f>
        <v>0.25738459561076343</v>
      </c>
      <c r="E37" s="190">
        <f>C37/C25-1</f>
        <v>1.3974330609093162</v>
      </c>
      <c r="F37" s="136">
        <f>Q37/18</f>
        <v>980477.27777777775</v>
      </c>
      <c r="G37" s="190">
        <f t="shared" ref="G37" si="17">F37/F36-1</f>
        <v>0.18842280269342426</v>
      </c>
      <c r="H37" s="190">
        <f t="shared" ref="H37" si="18">F37/F25-1</f>
        <v>1.4997263686253994</v>
      </c>
      <c r="I37" s="130">
        <f t="shared" si="0"/>
        <v>197.94567578104497</v>
      </c>
      <c r="J37" s="130">
        <f t="shared" si="4"/>
        <v>1.3694694297720496</v>
      </c>
      <c r="K37" s="136">
        <f>Q35+Q36+Q37</f>
        <v>54985829</v>
      </c>
      <c r="L37" s="190">
        <f>K37/K34-1</f>
        <v>0.28667332836019033</v>
      </c>
      <c r="M37" s="190">
        <f>U37/U25-1</f>
        <v>0.2215477310695797</v>
      </c>
      <c r="N37" s="191">
        <f>AVERAGE(T35:T37)</f>
        <v>167.27820772480493</v>
      </c>
      <c r="O37" s="192">
        <f>N37/N34-1</f>
        <v>0.12526031972793739</v>
      </c>
      <c r="P37" s="129" t="s">
        <v>702</v>
      </c>
      <c r="Q37" s="116">
        <v>17648591</v>
      </c>
      <c r="R37" s="116">
        <v>23558360807</v>
      </c>
      <c r="S37" s="116">
        <v>89158.76</v>
      </c>
      <c r="T37" s="130">
        <f t="shared" ref="T37" si="19">Q37/S37</f>
        <v>197.94567578104497</v>
      </c>
      <c r="U37" s="122">
        <f>S37/18</f>
        <v>4953.2644444444441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1020095.85</v>
      </c>
      <c r="G38" s="190">
        <f t="shared" ref="G38" si="20">F38/F37-1</f>
        <v>4.0407435358437382E-2</v>
      </c>
      <c r="H38" s="190">
        <f t="shared" ref="H38" si="21">F38/F26-1</f>
        <v>1.1797263058572671</v>
      </c>
      <c r="I38" s="130">
        <f t="shared" si="0"/>
        <v>198.41314546411331</v>
      </c>
      <c r="J38" s="130">
        <f t="shared" si="4"/>
        <v>0.92408866539947931</v>
      </c>
      <c r="K38" s="136"/>
      <c r="L38" s="190"/>
      <c r="M38" s="190"/>
      <c r="N38" s="191"/>
      <c r="O38" s="192"/>
      <c r="P38" s="129" t="s">
        <v>728</v>
      </c>
      <c r="Q38" s="116">
        <v>20401917</v>
      </c>
      <c r="R38" s="116">
        <v>27520200785</v>
      </c>
      <c r="S38" s="116">
        <v>102825.43</v>
      </c>
      <c r="T38" s="130">
        <f t="shared" ref="T38" si="22">Q38/S38</f>
        <v>198.41314546411331</v>
      </c>
      <c r="U38" s="122">
        <f>S38/20</f>
        <v>5141.2714999999998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983375.33333333337</v>
      </c>
      <c r="G39" s="190">
        <f t="shared" ref="G39" si="23">F39/F38-1</f>
        <v>-3.5997123865043279E-2</v>
      </c>
      <c r="H39" s="190">
        <f t="shared" ref="H39" si="24">F39/F27-1</f>
        <v>2.4184238010311612</v>
      </c>
      <c r="I39" s="130">
        <f t="shared" si="0"/>
        <v>228.36090318685319</v>
      </c>
      <c r="J39" s="130">
        <f t="shared" si="4"/>
        <v>1.5337042124669353</v>
      </c>
      <c r="K39" s="136"/>
      <c r="L39" s="190"/>
      <c r="M39" s="190"/>
      <c r="N39" s="191"/>
      <c r="O39" s="192"/>
      <c r="P39" s="129" t="s">
        <v>762</v>
      </c>
      <c r="Q39" s="116">
        <v>20650882</v>
      </c>
      <c r="R39" s="116">
        <v>28717624455</v>
      </c>
      <c r="S39" s="116">
        <v>90430.9</v>
      </c>
      <c r="T39" s="130">
        <f t="shared" ref="T39" si="25">Q39/S39</f>
        <v>228.36090318685319</v>
      </c>
      <c r="U39" s="122">
        <f>S39/21</f>
        <v>4306.2333333333327</v>
      </c>
    </row>
    <row r="40" spans="1:21" s="79" customFormat="1" ht="13.2" hidden="1">
      <c r="A40" s="129" t="s">
        <v>778</v>
      </c>
      <c r="B40" s="188">
        <f>SUM(F38:F40)</f>
        <v>3267200.9928571428</v>
      </c>
      <c r="C40" s="188">
        <f>AVERAGE(F38:F40)</f>
        <v>1089066.9976190475</v>
      </c>
      <c r="D40" s="190">
        <f>C40/C37-1</f>
        <v>0.2211203048927679</v>
      </c>
      <c r="E40" s="190">
        <f>C40/C28-1</f>
        <v>1.8136000466048752</v>
      </c>
      <c r="F40" s="136">
        <f>Q40/21</f>
        <v>1263729.8095238095</v>
      </c>
      <c r="G40" s="190">
        <f t="shared" ref="G40" si="26">F40/F39-1</f>
        <v>0.28509407007410137</v>
      </c>
      <c r="H40" s="190">
        <f t="shared" ref="H40" si="27">F40/F28-1</f>
        <v>2.1160471391154378</v>
      </c>
      <c r="I40" s="130">
        <f t="shared" si="0"/>
        <v>217.48091390359431</v>
      </c>
      <c r="J40" s="130">
        <f t="shared" si="4"/>
        <v>2.3969065823836782</v>
      </c>
      <c r="K40" s="136">
        <f>Q38+Q39+Q40</f>
        <v>67591125</v>
      </c>
      <c r="L40" s="190">
        <f>K40/K37-1</f>
        <v>0.22924626634255163</v>
      </c>
      <c r="M40" s="190">
        <f>U40/U28-1</f>
        <v>-8.268094410507898E-2</v>
      </c>
      <c r="N40" s="191">
        <f>AVERAGE(T38:T40)</f>
        <v>214.75165418485361</v>
      </c>
      <c r="O40" s="192">
        <f>N40/N37-1</f>
        <v>0.283799349035045</v>
      </c>
      <c r="P40" s="129" t="s">
        <v>778</v>
      </c>
      <c r="Q40" s="116">
        <v>26538326</v>
      </c>
      <c r="R40" s="116">
        <v>37691052779</v>
      </c>
      <c r="S40" s="116">
        <v>122026</v>
      </c>
      <c r="T40" s="130">
        <f t="shared" ref="T40" si="28">Q40/S40</f>
        <v>217.48091390359431</v>
      </c>
      <c r="U40" s="122">
        <f>S40/21</f>
        <v>5810.7619047619046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616160.33333333337</v>
      </c>
      <c r="G41" s="190">
        <f t="shared" ref="G41" si="29">F41/F40-1</f>
        <v>-0.51242715912073722</v>
      </c>
      <c r="H41" s="190">
        <f t="shared" ref="H41" si="30">F41/F29-1</f>
        <v>1.7765327960867738</v>
      </c>
      <c r="I41" s="130">
        <f t="shared" si="0"/>
        <v>133.64831970847953</v>
      </c>
      <c r="J41" s="130">
        <f t="shared" si="4"/>
        <v>0.78822049524617643</v>
      </c>
      <c r="K41" s="136"/>
      <c r="L41" s="190"/>
      <c r="M41" s="190"/>
      <c r="N41" s="193"/>
      <c r="O41" s="193"/>
      <c r="P41" s="129" t="s">
        <v>792</v>
      </c>
      <c r="Q41" s="116">
        <v>11090886</v>
      </c>
      <c r="R41" s="116">
        <v>16227817567</v>
      </c>
      <c r="S41" s="116">
        <v>82985.600000000006</v>
      </c>
      <c r="T41" s="130">
        <f t="shared" ref="T41" si="31">Q41/S41</f>
        <v>133.64831970847953</v>
      </c>
      <c r="U41" s="122">
        <f>S41/18</f>
        <v>4610.3111111111111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404399.5</v>
      </c>
      <c r="G42" s="190">
        <f t="shared" ref="G42" si="32">F42/F41-1</f>
        <v>-0.34367813355939281</v>
      </c>
      <c r="H42" s="190">
        <f t="shared" ref="H42" si="33">F42/F30-1</f>
        <v>-1.2037544574152514E-2</v>
      </c>
      <c r="I42" s="130">
        <f t="shared" si="0"/>
        <v>79.044571987479898</v>
      </c>
      <c r="J42" s="130">
        <f t="shared" si="4"/>
        <v>-0.22836713480723736</v>
      </c>
      <c r="K42" s="136"/>
      <c r="L42" s="190"/>
      <c r="M42" s="190"/>
      <c r="N42" s="193"/>
      <c r="O42" s="193"/>
      <c r="P42" s="129" t="s">
        <v>826</v>
      </c>
      <c r="Q42" s="116">
        <v>8087990</v>
      </c>
      <c r="R42" s="116">
        <v>11681300734</v>
      </c>
      <c r="S42" s="116">
        <v>102321.89</v>
      </c>
      <c r="T42" s="130">
        <f t="shared" ref="T42" si="34">Q42/S42</f>
        <v>79.044571987479898</v>
      </c>
      <c r="U42" s="122">
        <f>S42/20</f>
        <v>5116.0945000000002</v>
      </c>
    </row>
    <row r="43" spans="1:21" s="79" customFormat="1" ht="13.2">
      <c r="A43" s="129" t="s">
        <v>835</v>
      </c>
      <c r="B43" s="188">
        <f>SUM(F41:F43)</f>
        <v>2212747.6333333333</v>
      </c>
      <c r="C43" s="188">
        <f>AVERAGE(F41:F43)</f>
        <v>737582.54444444447</v>
      </c>
      <c r="D43" s="190">
        <f>C43/C40-1</f>
        <v>-0.32273905456967245</v>
      </c>
      <c r="E43" s="190">
        <f>C43/C31-1</f>
        <v>1.3414008893582396</v>
      </c>
      <c r="F43" s="136">
        <f>Q43/20</f>
        <v>1192187.8</v>
      </c>
      <c r="G43" s="190">
        <f t="shared" ref="G43" si="35">F43/F42-1</f>
        <v>1.948044693428157</v>
      </c>
      <c r="H43" s="190">
        <f t="shared" ref="H43" si="36">F43/F31-1</f>
        <v>2.7990885535751215</v>
      </c>
      <c r="I43" s="130">
        <f t="shared" si="0"/>
        <v>246.70057368506494</v>
      </c>
      <c r="J43" s="130">
        <f t="shared" si="4"/>
        <v>2.6776489627304176</v>
      </c>
      <c r="K43" s="136">
        <f>Q41+Q42+Q43</f>
        <v>43022632</v>
      </c>
      <c r="L43" s="190">
        <f>K43/K40-1</f>
        <v>-0.36348696666907088</v>
      </c>
      <c r="M43" s="190">
        <f>U43/U31-1</f>
        <v>3.3020984894257754E-2</v>
      </c>
      <c r="N43" s="191">
        <f>AVERAGE(T41:T43)</f>
        <v>153.13115512700813</v>
      </c>
      <c r="O43" s="192">
        <f>N43/N40-1</f>
        <v>-0.28693841401009135</v>
      </c>
      <c r="P43" s="129" t="s">
        <v>835</v>
      </c>
      <c r="Q43" s="116">
        <v>23843756</v>
      </c>
      <c r="R43" s="116">
        <v>34585248014</v>
      </c>
      <c r="S43" s="116">
        <v>96650.59</v>
      </c>
      <c r="T43" s="130">
        <f t="shared" ref="T43" si="37">Q43/S43</f>
        <v>246.70057368506494</v>
      </c>
      <c r="U43" s="122">
        <f>S43/20</f>
        <v>4832.5294999999996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802665.09090909094</v>
      </c>
      <c r="G44" s="190">
        <f t="shared" ref="G44" si="38">F44/F43-1</f>
        <v>-0.32672931990321419</v>
      </c>
      <c r="H44" s="190">
        <f t="shared" ref="H44" si="39">F44/F32-1</f>
        <v>0.47324042726948479</v>
      </c>
      <c r="I44" s="130">
        <f t="shared" si="0"/>
        <v>148.44510619438972</v>
      </c>
      <c r="J44" s="130">
        <f t="shared" si="4"/>
        <v>0.28108450368938964</v>
      </c>
      <c r="K44" s="136"/>
      <c r="L44" s="190"/>
      <c r="M44" s="190"/>
      <c r="N44" s="191"/>
      <c r="O44" s="192"/>
      <c r="P44" s="129" t="s">
        <v>843</v>
      </c>
      <c r="Q44" s="116">
        <v>17658632</v>
      </c>
      <c r="R44" s="116">
        <v>25655911862</v>
      </c>
      <c r="S44" s="116">
        <v>118957.32</v>
      </c>
      <c r="T44" s="130">
        <f t="shared" ref="T44" si="40">Q44/S44</f>
        <v>148.44510619438972</v>
      </c>
      <c r="U44" s="122">
        <f>S44/22</f>
        <v>5407.1509090909094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1000466.35</v>
      </c>
      <c r="G45" s="190">
        <f t="shared" ref="G45" si="41">F45/F44-1</f>
        <v>0.24643062384447445</v>
      </c>
      <c r="H45" s="190">
        <f t="shared" ref="H45" si="42">F45/F33-1</f>
        <v>0.64644998069457671</v>
      </c>
      <c r="I45" s="130">
        <f t="shared" si="0"/>
        <v>224.41883548615175</v>
      </c>
      <c r="J45" s="130">
        <f t="shared" si="4"/>
        <v>0.75860798351778991</v>
      </c>
      <c r="K45" s="136"/>
      <c r="L45" s="190"/>
      <c r="M45" s="190"/>
      <c r="N45" s="191"/>
      <c r="O45" s="192"/>
      <c r="P45" s="129" t="s">
        <v>847</v>
      </c>
      <c r="Q45" s="116">
        <v>20009327</v>
      </c>
      <c r="R45" s="116">
        <v>28079782621</v>
      </c>
      <c r="S45" s="116">
        <v>89160.639999999999</v>
      </c>
      <c r="T45" s="130">
        <f t="shared" ref="T45" si="43">Q45/S45</f>
        <v>224.41883548615175</v>
      </c>
      <c r="U45" s="122">
        <f>S45/20</f>
        <v>4458.0320000000002</v>
      </c>
    </row>
    <row r="46" spans="1:21" s="79" customFormat="1" ht="13.2">
      <c r="A46" s="129" t="s">
        <v>893</v>
      </c>
      <c r="B46" s="188">
        <f>SUM(F44:F46)</f>
        <v>3219663.230382775</v>
      </c>
      <c r="C46" s="188">
        <f>AVERAGE(F44:F46)</f>
        <v>1073221.0767942583</v>
      </c>
      <c r="D46" s="190">
        <f>C46/C43-1</f>
        <v>0.45505216314822183</v>
      </c>
      <c r="E46" s="190">
        <f>C46/C34-1</f>
        <v>0.51307753651172194</v>
      </c>
      <c r="F46" s="136">
        <f>Q46/19</f>
        <v>1416531.7894736843</v>
      </c>
      <c r="G46" s="190">
        <f t="shared" ref="G46" si="44">F46/F45-1</f>
        <v>0.415871497800685</v>
      </c>
      <c r="H46" s="190">
        <f t="shared" ref="H46" si="45">F46/F34-1</f>
        <v>0.45224219576617508</v>
      </c>
      <c r="I46" s="130">
        <f t="shared" si="0"/>
        <v>257.487269191309</v>
      </c>
      <c r="J46" s="130">
        <f t="shared" si="4"/>
        <v>0.27163105260460996</v>
      </c>
      <c r="K46" s="136">
        <f>Q44+Q45+Q46</f>
        <v>64582063</v>
      </c>
      <c r="L46" s="190">
        <f>K46/K43-1</f>
        <v>0.5011183648643347</v>
      </c>
      <c r="M46" s="190">
        <f>U46/U34-1</f>
        <v>0.14203108896376015</v>
      </c>
      <c r="N46" s="191">
        <f>AVERAGE(T44:T46)</f>
        <v>210.11707029061685</v>
      </c>
      <c r="O46" s="192">
        <f>N46/N43-1</f>
        <v>0.3721379566185874</v>
      </c>
      <c r="P46" s="129" t="s">
        <v>967</v>
      </c>
      <c r="Q46" s="116">
        <v>26914104</v>
      </c>
      <c r="R46" s="116">
        <v>36852189336</v>
      </c>
      <c r="S46" s="116">
        <v>104525.96</v>
      </c>
      <c r="T46" s="130">
        <f t="shared" ref="T46" si="46">Q46/S46</f>
        <v>257.487269191309</v>
      </c>
      <c r="U46" s="122">
        <f>S46/19</f>
        <v>5501.3663157894744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1218665.6956521738</v>
      </c>
      <c r="G47" s="190">
        <f t="shared" ref="G47" si="47">F47/F46-1</f>
        <v>-0.13968348277946385</v>
      </c>
      <c r="H47" s="190">
        <f t="shared" ref="H47" si="48">F47/F35-1</f>
        <v>0.40064372229594292</v>
      </c>
      <c r="I47" s="130">
        <f t="shared" si="0"/>
        <v>241.85666788388937</v>
      </c>
      <c r="J47" s="130">
        <f t="shared" si="4"/>
        <v>0.7860382167704052</v>
      </c>
      <c r="K47" s="136"/>
      <c r="L47" s="190"/>
      <c r="M47" s="190"/>
      <c r="N47" s="191"/>
      <c r="O47" s="192"/>
      <c r="P47" s="129" t="s">
        <v>991</v>
      </c>
      <c r="Q47" s="116">
        <v>28029311</v>
      </c>
      <c r="R47" s="116">
        <v>38461998948</v>
      </c>
      <c r="S47" s="116">
        <v>115892.24</v>
      </c>
      <c r="T47" s="130">
        <f t="shared" ref="T47" si="49">Q47/S47</f>
        <v>241.85666788388937</v>
      </c>
      <c r="U47" s="122">
        <f>S47/23</f>
        <v>5038.7930434782611</v>
      </c>
    </row>
    <row r="48" spans="1:21" s="79" customFormat="1" ht="13.2">
      <c r="A48" s="129" t="s">
        <v>1116</v>
      </c>
      <c r="B48" s="188"/>
      <c r="C48" s="188"/>
      <c r="D48" s="190"/>
      <c r="E48" s="190"/>
      <c r="F48" s="136">
        <f>Q48/20</f>
        <v>1248928.45</v>
      </c>
      <c r="G48" s="190">
        <f t="shared" ref="G48" si="50">F48/F47-1</f>
        <v>2.4832695673468352E-2</v>
      </c>
      <c r="H48" s="190">
        <f t="shared" ref="H48" si="51">F48/F36-1</f>
        <v>0.51380871597205569</v>
      </c>
      <c r="I48" s="130">
        <f t="shared" si="0"/>
        <v>197.94520629362344</v>
      </c>
      <c r="J48" s="130">
        <f t="shared" si="4"/>
        <v>0.17493184272453854</v>
      </c>
      <c r="K48" s="136"/>
      <c r="L48" s="190"/>
      <c r="M48" s="190"/>
      <c r="N48" s="191"/>
      <c r="O48" s="192"/>
      <c r="P48" s="129" t="s">
        <v>1070</v>
      </c>
      <c r="Q48" s="116">
        <v>24978569</v>
      </c>
      <c r="R48" s="116">
        <v>34650181213</v>
      </c>
      <c r="S48" s="116">
        <v>126189.31</v>
      </c>
      <c r="T48" s="130">
        <f t="shared" ref="T48" si="52">Q48/S48</f>
        <v>197.94520629362344</v>
      </c>
      <c r="U48" s="122">
        <f>S48/20</f>
        <v>6309.4655000000002</v>
      </c>
    </row>
    <row r="49" spans="1:26" ht="13.2">
      <c r="A49" s="129" t="s">
        <v>1248</v>
      </c>
      <c r="B49" s="188">
        <f>SUM(F47:F49)</f>
        <v>3509551.645652174</v>
      </c>
      <c r="C49" s="188">
        <f>AVERAGE(F47:F49)</f>
        <v>1169850.5485507248</v>
      </c>
      <c r="D49" s="190">
        <f>C49/C46-1</f>
        <v>9.0036874830208724E-2</v>
      </c>
      <c r="E49" s="190">
        <f>C49/C37-1</f>
        <v>0.31169915317269381</v>
      </c>
      <c r="F49" s="136">
        <f>Q49/22</f>
        <v>1041957.5</v>
      </c>
      <c r="G49" s="190">
        <f t="shared" ref="G49" si="53">F49/F48-1</f>
        <v>-0.16571882080194422</v>
      </c>
      <c r="H49" s="190">
        <f t="shared" ref="H49" si="54">F49/F37-1</f>
        <v>6.2704382463166564E-2</v>
      </c>
      <c r="I49" s="130">
        <f t="shared" si="0"/>
        <v>222.35242240069903</v>
      </c>
      <c r="J49" s="130">
        <f t="shared" si="4"/>
        <v>0.12330022630376258</v>
      </c>
      <c r="K49" s="136">
        <f>Q47+Q48+Q49</f>
        <v>75930945</v>
      </c>
      <c r="L49" s="190">
        <f>K49/K46-1</f>
        <v>0.1757280810307964</v>
      </c>
      <c r="M49" s="190">
        <f>U49/U37-1</f>
        <v>-5.3944477550750158E-2</v>
      </c>
      <c r="N49" s="191">
        <f>AVERAGE(T47:T49)</f>
        <v>220.71809885940397</v>
      </c>
      <c r="O49" s="192">
        <f>N49/N46-1</f>
        <v>5.0452962027904835E-2</v>
      </c>
      <c r="P49" s="129" t="s">
        <v>1165</v>
      </c>
      <c r="Q49" s="116">
        <v>22923065</v>
      </c>
      <c r="R49" s="116">
        <v>31872520740</v>
      </c>
      <c r="S49" s="116">
        <v>103093.39</v>
      </c>
      <c r="T49" s="130">
        <f t="shared" ref="T49" si="55">Q49/S49</f>
        <v>222.35242240069903</v>
      </c>
      <c r="U49" s="122">
        <f>S49/22</f>
        <v>4686.0631818181819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190"/>
      <c r="F50" s="136">
        <f>Q50/18</f>
        <v>1209995.1666666667</v>
      </c>
      <c r="G50" s="190">
        <f t="shared" ref="G50" si="56">F50/F49-1</f>
        <v>0.16127113309963859</v>
      </c>
      <c r="H50" s="190">
        <f t="shared" ref="H50" si="57">F50/F38-1</f>
        <v>0.18615830724795779</v>
      </c>
      <c r="I50" s="130">
        <f t="shared" ref="I50" si="58">T50</f>
        <v>160.8028850722128</v>
      </c>
      <c r="J50" s="130">
        <f t="shared" ref="J50" si="59">I50/I38-1</f>
        <v>-0.18955528528074783</v>
      </c>
      <c r="K50" s="136"/>
      <c r="L50" s="190"/>
      <c r="M50" s="190"/>
      <c r="N50" s="191"/>
      <c r="O50" s="192"/>
      <c r="P50" s="129" t="s">
        <v>1293</v>
      </c>
      <c r="Q50" s="116">
        <v>21779913</v>
      </c>
      <c r="R50" s="116">
        <v>30761677733</v>
      </c>
      <c r="S50" s="116">
        <v>135444.79</v>
      </c>
      <c r="T50" s="130">
        <f t="shared" ref="T50" si="60">Q50/S50</f>
        <v>160.8028850722128</v>
      </c>
      <c r="U50" s="121">
        <f>S50/18</f>
        <v>7524.7105555555563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903097.95</v>
      </c>
      <c r="G51" s="190">
        <f t="shared" ref="G51:G52" si="61">F51/F50-1</f>
        <v>-0.25363507650374917</v>
      </c>
      <c r="H51" s="190">
        <f t="shared" ref="H51:H52" si="62">F51/F39-1</f>
        <v>-8.1634530186168397E-2</v>
      </c>
      <c r="I51" s="130">
        <f t="shared" ref="I51:I52" si="63">T51</f>
        <v>205.82744141163622</v>
      </c>
      <c r="J51" s="130">
        <f t="shared" ref="J51:J52" si="64">I51/I39-1</f>
        <v>-9.8674779529923651E-2</v>
      </c>
      <c r="K51" s="136"/>
      <c r="L51" s="190"/>
      <c r="M51" s="190"/>
      <c r="N51" s="191"/>
      <c r="O51" s="192"/>
      <c r="P51" s="129" t="s">
        <v>1402</v>
      </c>
      <c r="Q51" s="116">
        <v>18061959</v>
      </c>
      <c r="R51" s="116">
        <v>26191693079</v>
      </c>
      <c r="S51" s="116">
        <v>87752.92</v>
      </c>
      <c r="T51" s="130">
        <f t="shared" ref="T51:T52" si="65">Q51/S51</f>
        <v>205.82744141163622</v>
      </c>
      <c r="U51" s="121">
        <f>S51/6</f>
        <v>14625.486666666666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3196325.7984848488</v>
      </c>
      <c r="C52" s="253">
        <f>AVERAGE(F50:F52)</f>
        <v>1065441.9328282829</v>
      </c>
      <c r="D52" s="254">
        <f>C52/C49-1</f>
        <v>-8.9249533499632938E-2</v>
      </c>
      <c r="E52" s="254">
        <f>C52/C40-1</f>
        <v>-2.1692939775435738E-2</v>
      </c>
      <c r="F52" s="136">
        <f>Q52/22</f>
        <v>1083232.6818181819</v>
      </c>
      <c r="G52" s="190">
        <f t="shared" si="61"/>
        <v>0.19946311672856964</v>
      </c>
      <c r="H52" s="190">
        <f t="shared" si="62"/>
        <v>-0.14282889138592159</v>
      </c>
      <c r="I52" s="130">
        <f t="shared" si="63"/>
        <v>207.63155189238168</v>
      </c>
      <c r="J52" s="130">
        <f t="shared" si="64"/>
        <v>-4.5288397195069274E-2</v>
      </c>
      <c r="K52" s="204">
        <f>Q50+Q51+Q52</f>
        <v>63672991</v>
      </c>
      <c r="L52" s="254">
        <f>K52/K49-1</f>
        <v>-0.16143555173717383</v>
      </c>
      <c r="M52" s="254">
        <f>U52/U40-1</f>
        <v>1.4690393850490882</v>
      </c>
      <c r="N52" s="257">
        <f>AVERAGE(T50:T52)</f>
        <v>191.42062612541022</v>
      </c>
      <c r="O52" s="258">
        <f>N52/N49-1</f>
        <v>-0.13273706544861119</v>
      </c>
      <c r="P52" s="129" t="s">
        <v>1403</v>
      </c>
      <c r="Q52" s="116">
        <v>23831119</v>
      </c>
      <c r="R52" s="116">
        <v>35031332349</v>
      </c>
      <c r="S52" s="116">
        <v>114776</v>
      </c>
      <c r="T52" s="130">
        <f t="shared" si="65"/>
        <v>207.63155189238168</v>
      </c>
      <c r="U52" s="78">
        <f>S52/8</f>
        <v>14347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822467.52380952379</v>
      </c>
      <c r="G53" s="197">
        <f t="shared" ref="G53" si="66">F53/F52-1</f>
        <v>-0.24072866558177475</v>
      </c>
      <c r="H53" s="197">
        <f t="shared" ref="H53" si="67">F53/F41-1</f>
        <v>0.33482712098667555</v>
      </c>
      <c r="I53" s="146">
        <f t="shared" ref="I53" si="68">T53</f>
        <v>228.0358148860951</v>
      </c>
      <c r="J53" s="146">
        <f t="shared" ref="J53" si="69">I53/I41-1</f>
        <v>0.70623779919940888</v>
      </c>
      <c r="K53" s="147"/>
      <c r="L53" s="197"/>
      <c r="M53" s="197"/>
      <c r="N53" s="198"/>
      <c r="O53" s="199"/>
      <c r="P53" s="129" t="s">
        <v>1414</v>
      </c>
      <c r="Q53" s="116">
        <v>17271818</v>
      </c>
      <c r="R53" s="116">
        <v>25239269537</v>
      </c>
      <c r="S53" s="116">
        <v>75741.69</v>
      </c>
      <c r="T53" s="130">
        <f t="shared" ref="T53" si="70">Q53/S53</f>
        <v>228.0358148860951</v>
      </c>
      <c r="U53" s="78">
        <f>S53/13</f>
        <v>5826.2838461538468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1064272.9411764706</v>
      </c>
      <c r="G54" s="197">
        <f t="shared" ref="G54" si="71">F54/F53-1</f>
        <v>0.29399995789128175</v>
      </c>
      <c r="H54" s="197">
        <f t="shared" ref="H54" si="72">F54/F42-1</f>
        <v>1.6317365406645425</v>
      </c>
      <c r="I54" s="146">
        <f t="shared" ref="I54" si="73">T54</f>
        <v>198.62595922669038</v>
      </c>
      <c r="J54" s="146">
        <f t="shared" ref="J54" si="74">I54/I42-1</f>
        <v>1.5128349010245934</v>
      </c>
      <c r="K54" s="147"/>
      <c r="L54" s="197"/>
      <c r="M54" s="197"/>
      <c r="N54" s="198"/>
      <c r="O54" s="199"/>
      <c r="P54" s="129" t="s">
        <v>1417</v>
      </c>
      <c r="Q54" s="116">
        <v>18092640</v>
      </c>
      <c r="R54" s="116">
        <v>26179068432</v>
      </c>
      <c r="S54" s="116">
        <v>91089</v>
      </c>
      <c r="T54" s="130">
        <f t="shared" ref="T54" si="75">Q54/S54</f>
        <v>198.62595922669038</v>
      </c>
      <c r="U54" s="78">
        <f>S54/11</f>
        <v>8280.818181818182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2188268.9649859946</v>
      </c>
      <c r="C55" s="253">
        <f>AVERAGE(F53:F55)</f>
        <v>729422.98832866491</v>
      </c>
      <c r="D55" s="254">
        <f>C55/C52-1</f>
        <v>-0.31537987584892069</v>
      </c>
      <c r="E55" s="254">
        <f>C55/C43-1</f>
        <v>-1.1062566728616718E-2</v>
      </c>
      <c r="F55" s="147">
        <f>Q55/14</f>
        <v>301528.5</v>
      </c>
      <c r="G55" s="197">
        <f t="shared" ref="G55" si="76">F55/F54-1</f>
        <v>-0.71668123059984612</v>
      </c>
      <c r="H55" s="197">
        <f t="shared" ref="H55" si="77">F55/F43-1</f>
        <v>-0.74707969667195051</v>
      </c>
      <c r="I55" s="146">
        <f>T55</f>
        <v>172.07724604598076</v>
      </c>
      <c r="J55" s="146">
        <f t="shared" ref="J55" si="78">I55/I43-1</f>
        <v>-0.30248542402802614</v>
      </c>
      <c r="K55" s="204">
        <f>Q53+Q54+Q55</f>
        <v>39585857</v>
      </c>
      <c r="L55" s="254">
        <f>K55/K52-1</f>
        <v>-0.37829436974305164</v>
      </c>
      <c r="M55" s="254">
        <f>U55/U43-1</f>
        <v>-0.53850632092741124</v>
      </c>
      <c r="N55" s="257">
        <f>AVERAGE(T53:T55)</f>
        <v>199.57967338625539</v>
      </c>
      <c r="O55" s="258">
        <f>N55/N52-1</f>
        <v>4.2623657784400582E-2</v>
      </c>
      <c r="P55" s="129" t="s">
        <v>1418</v>
      </c>
      <c r="Q55" s="116">
        <v>4221399</v>
      </c>
      <c r="R55" s="116">
        <v>6115381019</v>
      </c>
      <c r="S55" s="116">
        <v>24532</v>
      </c>
      <c r="T55" s="130">
        <f t="shared" ref="T55" si="79">Q55/S55</f>
        <v>172.07724604598076</v>
      </c>
      <c r="U55" s="78">
        <f>S55/11</f>
        <v>2230.181818181818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39585857</v>
      </c>
      <c r="R66" s="226">
        <v>57533718988</v>
      </c>
      <c r="S66" s="227">
        <v>191362.69</v>
      </c>
    </row>
    <row r="67" spans="16:19" ht="18" thickBot="1">
      <c r="P67" s="228" t="s">
        <v>976</v>
      </c>
      <c r="Q67" s="229">
        <v>17271818</v>
      </c>
      <c r="R67" s="229">
        <v>25239269537</v>
      </c>
      <c r="S67" s="230">
        <v>75741.69</v>
      </c>
    </row>
    <row r="68" spans="16:19" ht="18" thickBot="1">
      <c r="P68" s="228" t="s">
        <v>977</v>
      </c>
      <c r="Q68" s="229">
        <v>18092640</v>
      </c>
      <c r="R68" s="229">
        <v>26179068432</v>
      </c>
      <c r="S68" s="230">
        <v>91089</v>
      </c>
    </row>
    <row r="69" spans="16:19" ht="18" thickBot="1">
      <c r="P69" s="228" t="s">
        <v>978</v>
      </c>
      <c r="Q69" s="229">
        <v>4221399</v>
      </c>
      <c r="R69" s="229">
        <v>6115381019</v>
      </c>
      <c r="S69" s="230">
        <v>24532</v>
      </c>
    </row>
    <row r="70" spans="16:19" ht="18" thickBot="1">
      <c r="P70" s="228" t="s">
        <v>975</v>
      </c>
      <c r="Q70" s="229">
        <v>247208631</v>
      </c>
      <c r="R70" s="229">
        <v>350051654196</v>
      </c>
      <c r="S70" s="230">
        <v>1277749.3500000001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21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34"/>
  <dimension ref="A1:Z72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9018198000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316284.65000000002</v>
      </c>
      <c r="G5" s="90"/>
      <c r="H5" s="90"/>
      <c r="I5" s="130">
        <f t="shared" ref="I5:I49" si="0">T5</f>
        <v>146.35872770471954</v>
      </c>
      <c r="J5" s="130"/>
      <c r="L5" s="80"/>
      <c r="M5" s="80"/>
      <c r="P5" s="129" t="s">
        <v>0</v>
      </c>
      <c r="Q5" s="116">
        <v>6325693</v>
      </c>
      <c r="R5" s="116">
        <v>7470046836</v>
      </c>
      <c r="S5" s="116">
        <v>43220.47</v>
      </c>
      <c r="T5" s="130">
        <f t="shared" ref="T5:T17" si="1">Q5/S5</f>
        <v>146.35872770471954</v>
      </c>
      <c r="U5" s="85"/>
    </row>
    <row r="6" spans="1:21" ht="15" hidden="1" customHeight="1">
      <c r="A6" s="129" t="s">
        <v>1</v>
      </c>
      <c r="C6" s="79"/>
      <c r="F6" s="78">
        <f>Q6/18</f>
        <v>453917</v>
      </c>
      <c r="G6" s="90">
        <f t="shared" ref="G6:G16" si="2">F6/F5-1</f>
        <v>0.4351534290393162</v>
      </c>
      <c r="H6" s="90"/>
      <c r="I6" s="130">
        <f t="shared" si="0"/>
        <v>133.0835903761602</v>
      </c>
      <c r="J6" s="130"/>
      <c r="P6" s="129" t="s">
        <v>1</v>
      </c>
      <c r="Q6" s="116">
        <v>8170506</v>
      </c>
      <c r="R6" s="116">
        <v>9709291521</v>
      </c>
      <c r="S6" s="116">
        <v>61393.79</v>
      </c>
      <c r="T6" s="130">
        <f t="shared" si="1"/>
        <v>133.0835903761602</v>
      </c>
      <c r="U6" s="85"/>
    </row>
    <row r="7" spans="1:21" ht="15" hidden="1" customHeight="1">
      <c r="A7" s="129" t="s">
        <v>2</v>
      </c>
      <c r="B7" s="131">
        <f>F5+F6+F7</f>
        <v>1191636.740909091</v>
      </c>
      <c r="C7" s="131">
        <f>AVERAGE(F5:F7)</f>
        <v>397212.24696969701</v>
      </c>
      <c r="F7" s="78">
        <f>Q7/22</f>
        <v>421435.09090909088</v>
      </c>
      <c r="G7" s="90">
        <f t="shared" si="2"/>
        <v>-7.1559137663733896E-2</v>
      </c>
      <c r="H7" s="90"/>
      <c r="I7" s="130">
        <f t="shared" si="0"/>
        <v>158.53583550634806</v>
      </c>
      <c r="J7" s="130"/>
      <c r="K7" s="79">
        <f>R5+R6+R7</f>
        <v>28365198656</v>
      </c>
      <c r="N7" s="88">
        <f>AVERAGE(T5:T7)</f>
        <v>145.99271786240928</v>
      </c>
      <c r="P7" s="129" t="s">
        <v>2</v>
      </c>
      <c r="Q7" s="116">
        <v>9271572</v>
      </c>
      <c r="R7" s="116">
        <v>11185860299</v>
      </c>
      <c r="S7" s="116">
        <v>58482.5</v>
      </c>
      <c r="T7" s="130">
        <f t="shared" si="1"/>
        <v>158.53583550634806</v>
      </c>
      <c r="U7" s="85">
        <f>Q5+Q6+Q7</f>
        <v>23767771</v>
      </c>
    </row>
    <row r="8" spans="1:21" ht="15" hidden="1" customHeight="1">
      <c r="A8" s="129" t="s">
        <v>3</v>
      </c>
      <c r="C8" s="79"/>
      <c r="F8" s="78">
        <f>Q8/21</f>
        <v>252047.85714285713</v>
      </c>
      <c r="G8" s="90">
        <f t="shared" si="2"/>
        <v>-0.40192959110463067</v>
      </c>
      <c r="H8" s="90"/>
      <c r="I8" s="130">
        <f t="shared" si="0"/>
        <v>131.20854032186097</v>
      </c>
      <c r="J8" s="130"/>
      <c r="K8" s="78"/>
      <c r="P8" s="129" t="s">
        <v>3</v>
      </c>
      <c r="Q8" s="116">
        <v>5293005</v>
      </c>
      <c r="R8" s="116">
        <v>6411010008</v>
      </c>
      <c r="S8" s="116">
        <v>40340.400000000001</v>
      </c>
      <c r="T8" s="130">
        <f t="shared" si="1"/>
        <v>131.20854032186097</v>
      </c>
      <c r="U8" s="85"/>
    </row>
    <row r="9" spans="1:21" ht="15" hidden="1" customHeight="1">
      <c r="A9" s="129" t="s">
        <v>4</v>
      </c>
      <c r="C9" s="79"/>
      <c r="F9" s="78">
        <f>Q9/21</f>
        <v>379669.57142857142</v>
      </c>
      <c r="G9" s="90">
        <f t="shared" si="2"/>
        <v>0.5063392156251505</v>
      </c>
      <c r="H9" s="90"/>
      <c r="I9" s="130">
        <f t="shared" si="0"/>
        <v>142.76297695325761</v>
      </c>
      <c r="J9" s="130"/>
      <c r="K9" s="78"/>
      <c r="P9" s="129" t="s">
        <v>4</v>
      </c>
      <c r="Q9" s="116">
        <v>7973061</v>
      </c>
      <c r="R9" s="116">
        <v>10015745581</v>
      </c>
      <c r="S9" s="116">
        <v>55848.24</v>
      </c>
      <c r="T9" s="130">
        <f t="shared" si="1"/>
        <v>142.76297695325761</v>
      </c>
      <c r="U9" s="85"/>
    </row>
    <row r="10" spans="1:21" ht="15" hidden="1" customHeight="1">
      <c r="A10" s="129" t="s">
        <v>5</v>
      </c>
      <c r="B10" s="131">
        <f>F8+F9+F10</f>
        <v>894635.28571428568</v>
      </c>
      <c r="C10" s="131">
        <f>AVERAGE(F8:F10)</f>
        <v>298211.76190476189</v>
      </c>
      <c r="D10" s="90">
        <f>C10/C7-1</f>
        <v>-0.24923824937474237</v>
      </c>
      <c r="E10" s="286"/>
      <c r="F10" s="78">
        <f>Q10/21</f>
        <v>262917.85714285716</v>
      </c>
      <c r="G10" s="90">
        <f t="shared" si="2"/>
        <v>-0.30750874726783095</v>
      </c>
      <c r="H10" s="90"/>
      <c r="I10" s="130">
        <f t="shared" si="0"/>
        <v>159.70296900829135</v>
      </c>
      <c r="J10" s="130"/>
      <c r="K10" s="79">
        <f>R8+R9+R10</f>
        <v>23396283946</v>
      </c>
      <c r="L10" s="87">
        <f>U10/U7-1</f>
        <v>-0.20954552280060257</v>
      </c>
      <c r="N10" s="88">
        <f>AVERAGE(T8:T10)</f>
        <v>144.55816209446996</v>
      </c>
      <c r="O10" s="89">
        <f>N10/N7-1</f>
        <v>-9.8262145464770301E-3</v>
      </c>
      <c r="P10" s="129" t="s">
        <v>5</v>
      </c>
      <c r="Q10" s="116">
        <v>5521275</v>
      </c>
      <c r="R10" s="116">
        <v>6969528357</v>
      </c>
      <c r="S10" s="116">
        <v>34572.15</v>
      </c>
      <c r="T10" s="130">
        <f t="shared" si="1"/>
        <v>159.70296900829135</v>
      </c>
      <c r="U10" s="85">
        <f>Q8+Q9+Q10</f>
        <v>18787341</v>
      </c>
    </row>
    <row r="11" spans="1:21" ht="15" hidden="1" customHeight="1">
      <c r="A11" s="129" t="s">
        <v>6</v>
      </c>
      <c r="C11" s="79"/>
      <c r="F11" s="78">
        <f>Q11/21</f>
        <v>259166.04761904763</v>
      </c>
      <c r="G11" s="90">
        <f t="shared" si="2"/>
        <v>-1.4269892370874504E-2</v>
      </c>
      <c r="H11" s="90"/>
      <c r="I11" s="130">
        <f t="shared" si="0"/>
        <v>138.51531587293871</v>
      </c>
      <c r="J11" s="130"/>
      <c r="K11" s="78"/>
      <c r="O11" s="89"/>
      <c r="P11" s="129" t="s">
        <v>6</v>
      </c>
      <c r="Q11" s="116">
        <v>5442487</v>
      </c>
      <c r="R11" s="116">
        <v>7026550325</v>
      </c>
      <c r="S11" s="116">
        <v>39291.589999999997</v>
      </c>
      <c r="T11" s="130">
        <f t="shared" si="1"/>
        <v>138.51531587293871</v>
      </c>
      <c r="U11" s="85"/>
    </row>
    <row r="12" spans="1:21" ht="15" hidden="1" customHeight="1">
      <c r="A12" s="129" t="s">
        <v>7</v>
      </c>
      <c r="C12" s="79"/>
      <c r="F12" s="78">
        <f>Q12/22</f>
        <v>272226.22727272729</v>
      </c>
      <c r="G12" s="90">
        <f t="shared" si="2"/>
        <v>5.0393096525039649E-2</v>
      </c>
      <c r="H12" s="90"/>
      <c r="I12" s="130">
        <f t="shared" si="0"/>
        <v>161.89246503782414</v>
      </c>
      <c r="J12" s="130"/>
      <c r="K12" s="78"/>
      <c r="O12" s="89"/>
      <c r="P12" s="129" t="s">
        <v>7</v>
      </c>
      <c r="Q12" s="116">
        <v>5988977</v>
      </c>
      <c r="R12" s="116">
        <v>7778784728</v>
      </c>
      <c r="S12" s="116">
        <v>36993.550000000003</v>
      </c>
      <c r="T12" s="130">
        <f t="shared" si="1"/>
        <v>161.89246503782414</v>
      </c>
      <c r="U12" s="85"/>
    </row>
    <row r="13" spans="1:21" ht="15" hidden="1" customHeight="1">
      <c r="A13" s="129" t="s">
        <v>96</v>
      </c>
      <c r="B13" s="131">
        <f>F11+F12+F13</f>
        <v>1006880.0248917749</v>
      </c>
      <c r="C13" s="131">
        <f>AVERAGE(F11:F13)</f>
        <v>335626.67496392498</v>
      </c>
      <c r="D13" s="90">
        <f>C13/C10-1</f>
        <v>0.12546424332891348</v>
      </c>
      <c r="E13" s="286"/>
      <c r="F13" s="78">
        <f>Q13/20</f>
        <v>475487.75</v>
      </c>
      <c r="G13" s="90">
        <f t="shared" si="2"/>
        <v>0.74666399620502788</v>
      </c>
      <c r="H13" s="90"/>
      <c r="I13" s="130">
        <f t="shared" si="0"/>
        <v>153.66988821560747</v>
      </c>
      <c r="J13" s="130"/>
      <c r="K13" s="78">
        <f>R11+R12+R13</f>
        <v>27857518686</v>
      </c>
      <c r="L13" s="87">
        <f>U13/U10-1</f>
        <v>0.11464517517407069</v>
      </c>
      <c r="N13" s="88">
        <f>AVERAGE(T11:T13)</f>
        <v>151.35922304212343</v>
      </c>
      <c r="O13" s="89">
        <f>N13/N10-1</f>
        <v>4.7047228943108088E-2</v>
      </c>
      <c r="P13" s="129" t="s">
        <v>96</v>
      </c>
      <c r="Q13" s="116">
        <v>9509755</v>
      </c>
      <c r="R13" s="116">
        <v>13052183633</v>
      </c>
      <c r="S13" s="116">
        <v>61884.31</v>
      </c>
      <c r="T13" s="130">
        <f t="shared" si="1"/>
        <v>153.66988821560747</v>
      </c>
      <c r="U13" s="85">
        <f>Q11+Q12+Q13</f>
        <v>20941219</v>
      </c>
    </row>
    <row r="14" spans="1:21" ht="15" hidden="1" customHeight="1">
      <c r="A14" s="129" t="s">
        <v>97</v>
      </c>
      <c r="C14" s="79"/>
      <c r="F14" s="78">
        <f>Q14/20</f>
        <v>290347.40000000002</v>
      </c>
      <c r="G14" s="90">
        <f t="shared" si="2"/>
        <v>-0.38936933706494015</v>
      </c>
      <c r="H14" s="90"/>
      <c r="I14" s="130">
        <f t="shared" si="0"/>
        <v>145.66700129990213</v>
      </c>
      <c r="J14" s="130"/>
      <c r="O14" s="89"/>
      <c r="P14" s="129" t="s">
        <v>97</v>
      </c>
      <c r="Q14" s="116">
        <v>5806948</v>
      </c>
      <c r="R14" s="116">
        <v>8282140750</v>
      </c>
      <c r="S14" s="116">
        <v>39864.54</v>
      </c>
      <c r="T14" s="130">
        <f t="shared" si="1"/>
        <v>145.66700129990213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390324.68181818182</v>
      </c>
      <c r="G15" s="90">
        <f t="shared" si="2"/>
        <v>0.34433675596262203</v>
      </c>
      <c r="H15" s="90"/>
      <c r="I15" s="130">
        <f t="shared" si="0"/>
        <v>158.57451511575729</v>
      </c>
      <c r="J15" s="130"/>
      <c r="O15" s="89"/>
      <c r="P15" s="129" t="s">
        <v>98</v>
      </c>
      <c r="Q15" s="116">
        <v>8587143</v>
      </c>
      <c r="R15" s="116">
        <v>11790710249</v>
      </c>
      <c r="S15" s="116">
        <v>54152.1</v>
      </c>
      <c r="T15" s="130">
        <f t="shared" si="1"/>
        <v>158.57451511575729</v>
      </c>
      <c r="U15" s="85"/>
    </row>
    <row r="16" spans="1:21" ht="15" hidden="1" customHeight="1">
      <c r="A16" s="129" t="s">
        <v>99</v>
      </c>
      <c r="B16" s="131">
        <f>F14+F15+F16</f>
        <v>965627.89999999991</v>
      </c>
      <c r="C16" s="131">
        <f>AVERAGE(F14:F16)</f>
        <v>321875.96666666662</v>
      </c>
      <c r="D16" s="90">
        <f>C16/C13-1</f>
        <v>-4.0970248561847389E-2</v>
      </c>
      <c r="E16" s="286"/>
      <c r="F16" s="78">
        <f>Q16/22</f>
        <v>284955.81818181818</v>
      </c>
      <c r="G16" s="90">
        <f t="shared" si="2"/>
        <v>-0.2699518338054927</v>
      </c>
      <c r="H16" s="90"/>
      <c r="I16" s="130">
        <f t="shared" si="0"/>
        <v>146.04839401066809</v>
      </c>
      <c r="J16" s="130"/>
      <c r="K16" s="78">
        <f>R14+R15+R16</f>
        <v>28273721465</v>
      </c>
      <c r="L16" s="87">
        <f>U16/U13-1</f>
        <v>-1.3280029209378874E-2</v>
      </c>
      <c r="N16" s="88">
        <f>AVERAGE(T14:T16)</f>
        <v>150.09663680877586</v>
      </c>
      <c r="O16" s="89">
        <f>N16/N13-1</f>
        <v>-8.3416537689031678E-3</v>
      </c>
      <c r="P16" s="129" t="s">
        <v>99</v>
      </c>
      <c r="Q16" s="116">
        <v>6269028</v>
      </c>
      <c r="R16" s="116">
        <v>8200870466</v>
      </c>
      <c r="S16" s="116">
        <v>42924.32</v>
      </c>
      <c r="T16" s="130">
        <f t="shared" si="1"/>
        <v>146.04839401066809</v>
      </c>
      <c r="U16" s="85">
        <f>Q14+Q15+Q16</f>
        <v>20663119</v>
      </c>
    </row>
    <row r="17" spans="1:21" ht="15" hidden="1" customHeight="1">
      <c r="A17" s="129" t="s">
        <v>100</v>
      </c>
      <c r="C17" s="79"/>
      <c r="F17" s="78">
        <f>Q17/20</f>
        <v>193223.9</v>
      </c>
      <c r="G17" s="90">
        <f t="shared" ref="G17:G22" si="3">F17/F16-1</f>
        <v>-0.3219162843107416</v>
      </c>
      <c r="H17" s="90">
        <f t="shared" ref="H17:H22" si="4">F17/F5-1</f>
        <v>-0.38908227130213247</v>
      </c>
      <c r="I17" s="130">
        <f t="shared" si="0"/>
        <v>168.85167970036903</v>
      </c>
      <c r="J17" s="130">
        <f t="shared" ref="J17:J49" si="5">I17/I5-1</f>
        <v>0.15368370816279087</v>
      </c>
      <c r="O17" s="89"/>
      <c r="P17" s="129" t="s">
        <v>100</v>
      </c>
      <c r="Q17" s="116">
        <v>3864478</v>
      </c>
      <c r="R17" s="116">
        <v>4834064682</v>
      </c>
      <c r="S17" s="116">
        <v>22886.82</v>
      </c>
      <c r="T17" s="130">
        <f t="shared" si="1"/>
        <v>168.85167970036903</v>
      </c>
      <c r="U17" s="78"/>
    </row>
    <row r="18" spans="1:21" ht="15" hidden="1" customHeight="1">
      <c r="A18" s="129" t="s">
        <v>106</v>
      </c>
      <c r="C18" s="79"/>
      <c r="F18" s="78">
        <f>Q18/20</f>
        <v>211283</v>
      </c>
      <c r="G18" s="90">
        <f t="shared" si="3"/>
        <v>9.3462040668882196E-2</v>
      </c>
      <c r="H18" s="90">
        <f t="shared" si="4"/>
        <v>-0.53453384649616553</v>
      </c>
      <c r="I18" s="130">
        <f t="shared" si="0"/>
        <v>176.63328923415827</v>
      </c>
      <c r="J18" s="130">
        <f t="shared" si="5"/>
        <v>0.32723567747838045</v>
      </c>
      <c r="O18" s="89"/>
      <c r="P18" s="129" t="s">
        <v>106</v>
      </c>
      <c r="Q18" s="116">
        <v>4225660</v>
      </c>
      <c r="R18" s="116">
        <v>5292309159</v>
      </c>
      <c r="S18" s="116">
        <v>23923.35</v>
      </c>
      <c r="T18" s="130">
        <f t="shared" ref="T18" si="6">Q18/S18</f>
        <v>176.63328923415827</v>
      </c>
      <c r="U18" s="78"/>
    </row>
    <row r="19" spans="1:21" hidden="1">
      <c r="A19" s="129" t="s">
        <v>114</v>
      </c>
      <c r="B19" s="131">
        <f>SUM(F17:F19)</f>
        <v>749720.62727272732</v>
      </c>
      <c r="C19" s="131">
        <f>AVERAGE(F17:F19)</f>
        <v>249906.87575757576</v>
      </c>
      <c r="D19" s="90">
        <f>C19/C16-1</f>
        <v>-0.22359262064328567</v>
      </c>
      <c r="E19" s="286">
        <f>C19/C7-1</f>
        <v>-0.37084800968727194</v>
      </c>
      <c r="F19" s="78">
        <f>Q19/22</f>
        <v>345213.72727272729</v>
      </c>
      <c r="G19" s="90">
        <f t="shared" si="3"/>
        <v>0.63389258611780064</v>
      </c>
      <c r="H19" s="90">
        <f t="shared" si="4"/>
        <v>-0.18086145477811089</v>
      </c>
      <c r="I19" s="130">
        <f t="shared" si="0"/>
        <v>155.98928920522033</v>
      </c>
      <c r="J19" s="130">
        <f t="shared" si="5"/>
        <v>-1.6062906490474593E-2</v>
      </c>
      <c r="K19" s="78">
        <f>R17+R18+R19</f>
        <v>20055711510</v>
      </c>
      <c r="L19" s="87">
        <f>U19/U16-1</f>
        <v>-0.2409258253799923</v>
      </c>
      <c r="M19" s="87">
        <f>U19/U7-1</f>
        <v>-0.34007947148262241</v>
      </c>
      <c r="N19" s="88">
        <f>AVERAGE(T17:T19)</f>
        <v>167.15808604658253</v>
      </c>
      <c r="O19" s="89">
        <f>N19/N16-1</f>
        <v>0.11366976369725768</v>
      </c>
      <c r="P19" s="129" t="s">
        <v>115</v>
      </c>
      <c r="Q19" s="116">
        <v>7594702</v>
      </c>
      <c r="R19" s="116">
        <v>9929337669</v>
      </c>
      <c r="S19" s="116">
        <v>48687.33</v>
      </c>
      <c r="T19" s="130">
        <f t="shared" ref="T19" si="7">Q19/S19</f>
        <v>155.98928920522033</v>
      </c>
      <c r="U19" s="85">
        <f>Q17+Q18+Q19</f>
        <v>15684840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448858.55</v>
      </c>
      <c r="G20" s="90">
        <f t="shared" si="3"/>
        <v>0.30023378139129075</v>
      </c>
      <c r="H20" s="90">
        <f t="shared" si="4"/>
        <v>0.78084652291089851</v>
      </c>
      <c r="I20" s="130">
        <f t="shared" si="0"/>
        <v>157.40478349232779</v>
      </c>
      <c r="J20" s="130">
        <f t="shared" si="5"/>
        <v>0.19965349135205801</v>
      </c>
      <c r="O20" s="89"/>
      <c r="P20" s="129" t="s">
        <v>131</v>
      </c>
      <c r="Q20" s="116">
        <v>8977171</v>
      </c>
      <c r="R20" s="116">
        <v>11782094525</v>
      </c>
      <c r="S20" s="116">
        <v>57032.39</v>
      </c>
      <c r="T20" s="130">
        <f t="shared" ref="T20" si="8">Q20/S20</f>
        <v>157.40478349232779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341118.61904761905</v>
      </c>
      <c r="G21" s="90">
        <f t="shared" si="3"/>
        <v>-0.24003092054809017</v>
      </c>
      <c r="H21" s="90">
        <f t="shared" si="4"/>
        <v>-0.1015381670853891</v>
      </c>
      <c r="I21" s="130">
        <f t="shared" si="0"/>
        <v>155.26103327880892</v>
      </c>
      <c r="J21" s="130">
        <f t="shared" si="5"/>
        <v>8.7544099963979827E-2</v>
      </c>
      <c r="O21" s="89"/>
      <c r="P21" s="129" t="s">
        <v>141</v>
      </c>
      <c r="Q21" s="116">
        <v>7163491</v>
      </c>
      <c r="R21" s="116">
        <v>9533848087</v>
      </c>
      <c r="S21" s="116">
        <v>46138.37</v>
      </c>
      <c r="T21" s="130">
        <f t="shared" ref="T21" si="9">Q21/S21</f>
        <v>155.26103327880892</v>
      </c>
      <c r="U21" s="78"/>
    </row>
    <row r="22" spans="1:21" hidden="1">
      <c r="A22" s="129" t="s">
        <v>156</v>
      </c>
      <c r="B22" s="131">
        <f>SUM(F20:F22)</f>
        <v>1293197.6452380952</v>
      </c>
      <c r="C22" s="131">
        <f>AVERAGE(F20:F22)</f>
        <v>431065.88174603175</v>
      </c>
      <c r="D22" s="90">
        <f>C22/C19-1</f>
        <v>0.72490604926048841</v>
      </c>
      <c r="E22" s="286">
        <f>C22/C10-1</f>
        <v>0.44550261529824797</v>
      </c>
      <c r="F22" s="78">
        <f>Q22/21</f>
        <v>503220.47619047621</v>
      </c>
      <c r="G22" s="90">
        <f t="shared" si="3"/>
        <v>0.47520671136461257</v>
      </c>
      <c r="H22" s="90">
        <f t="shared" si="4"/>
        <v>0.91398363602609911</v>
      </c>
      <c r="I22" s="130">
        <f t="shared" si="0"/>
        <v>149.19330018438046</v>
      </c>
      <c r="J22" s="130">
        <f t="shared" si="5"/>
        <v>-6.5807598250507526E-2</v>
      </c>
      <c r="K22" s="78">
        <f>R20+R21+R22</f>
        <v>35001756920</v>
      </c>
      <c r="L22" s="87">
        <f>U22/U19-1</f>
        <v>0.70280933691386083</v>
      </c>
      <c r="M22" s="87">
        <f>U22/U10-1</f>
        <v>0.42161107311566859</v>
      </c>
      <c r="N22" s="88">
        <f>AVERAGE(T20:T22)</f>
        <v>153.95303898517241</v>
      </c>
      <c r="O22" s="89">
        <f>N22/N19-1</f>
        <v>-7.8997357374205768E-2</v>
      </c>
      <c r="P22" s="129" t="s">
        <v>156</v>
      </c>
      <c r="Q22" s="116">
        <v>10567630</v>
      </c>
      <c r="R22" s="116">
        <v>13685814308</v>
      </c>
      <c r="S22" s="116">
        <v>70831.8</v>
      </c>
      <c r="T22" s="130">
        <f t="shared" ref="T22:T23" si="10">Q22/S22</f>
        <v>149.19330018438046</v>
      </c>
      <c r="U22" s="85">
        <f>Q20+Q21+Q22</f>
        <v>26708292</v>
      </c>
    </row>
    <row r="23" spans="1:21" hidden="1">
      <c r="A23" s="129" t="s">
        <v>189</v>
      </c>
      <c r="B23" s="131"/>
      <c r="C23" s="131"/>
      <c r="F23" s="78">
        <f>Q23/21</f>
        <v>231897.52380952382</v>
      </c>
      <c r="G23" s="90">
        <f t="shared" ref="G23" si="11">F23/F22-1</f>
        <v>-0.53917311639412047</v>
      </c>
      <c r="H23" s="90">
        <f t="shared" ref="H23" si="12">F23/F11-1</f>
        <v>-0.10521642036076528</v>
      </c>
      <c r="I23" s="130">
        <f t="shared" si="0"/>
        <v>149.8994072786283</v>
      </c>
      <c r="J23" s="130">
        <f t="shared" si="5"/>
        <v>8.2186517309986939E-2</v>
      </c>
      <c r="O23" s="89"/>
      <c r="P23" s="129" t="s">
        <v>189</v>
      </c>
      <c r="Q23" s="116">
        <v>4869848</v>
      </c>
      <c r="R23" s="116">
        <v>6286523231</v>
      </c>
      <c r="S23" s="116">
        <v>32487.439999999999</v>
      </c>
      <c r="T23" s="130">
        <f t="shared" si="10"/>
        <v>149.8994072786283</v>
      </c>
      <c r="U23" s="78"/>
    </row>
    <row r="24" spans="1:21" hidden="1">
      <c r="A24" s="129" t="s">
        <v>204</v>
      </c>
      <c r="B24" s="131"/>
      <c r="C24" s="131"/>
      <c r="F24" s="78">
        <f>Q24/22</f>
        <v>339605.59090909088</v>
      </c>
      <c r="G24" s="90">
        <f t="shared" ref="G24" si="13">F24/F23-1</f>
        <v>0.46446406727497624</v>
      </c>
      <c r="H24" s="90">
        <f t="shared" ref="H24" si="14">F24/F12-1</f>
        <v>0.24751238817581012</v>
      </c>
      <c r="I24" s="130">
        <f t="shared" si="0"/>
        <v>144.04102533651337</v>
      </c>
      <c r="J24" s="130">
        <f t="shared" si="5"/>
        <v>-0.11026726720814339</v>
      </c>
      <c r="O24" s="89"/>
      <c r="P24" s="129" t="s">
        <v>204</v>
      </c>
      <c r="Q24" s="116">
        <v>7471323</v>
      </c>
      <c r="R24" s="116">
        <v>9865240319</v>
      </c>
      <c r="S24" s="116">
        <v>51869.41</v>
      </c>
      <c r="T24" s="130">
        <f t="shared" ref="T24" si="15">Q24/S24</f>
        <v>144.04102533651337</v>
      </c>
      <c r="U24" s="78"/>
    </row>
    <row r="25" spans="1:21" s="79" customFormat="1" ht="13.2" hidden="1">
      <c r="A25" s="129" t="s">
        <v>219</v>
      </c>
      <c r="B25" s="131">
        <f>SUM(F23:F25)</f>
        <v>902543.64103440428</v>
      </c>
      <c r="C25" s="131">
        <f>AVERAGE(F23:F25)</f>
        <v>300847.88034480141</v>
      </c>
      <c r="D25" s="90">
        <f>C25/C22-1</f>
        <v>-0.30208375776292595</v>
      </c>
      <c r="E25" s="286">
        <f>C25/C13-1</f>
        <v>-0.10362345192872935</v>
      </c>
      <c r="F25" s="78">
        <f>Q25/19</f>
        <v>331040.5263157895</v>
      </c>
      <c r="G25" s="90">
        <f t="shared" ref="G25" si="16">F25/F24-1</f>
        <v>-2.5220623047970236E-2</v>
      </c>
      <c r="H25" s="90">
        <f t="shared" ref="H25" si="17">F25/F13-1</f>
        <v>-0.30378747651061566</v>
      </c>
      <c r="I25" s="130">
        <f t="shared" si="0"/>
        <v>155.65420339873111</v>
      </c>
      <c r="J25" s="130">
        <f t="shared" si="5"/>
        <v>1.2912843278310548E-2</v>
      </c>
      <c r="K25" s="78">
        <f>R23+R24+R25</f>
        <v>24504919028</v>
      </c>
      <c r="L25" s="90">
        <f>U25/U22-1</f>
        <v>-0.30242858659775029</v>
      </c>
      <c r="M25" s="90">
        <f>U25/U13-1</f>
        <v>-0.11032203999203671</v>
      </c>
      <c r="N25" s="88">
        <f>AVERAGE(T23:T25)</f>
        <v>149.86487867129094</v>
      </c>
      <c r="O25" s="91">
        <f>N25/N22-1</f>
        <v>-2.6554593146259409E-2</v>
      </c>
      <c r="P25" s="129" t="s">
        <v>219</v>
      </c>
      <c r="Q25" s="116">
        <v>6289770</v>
      </c>
      <c r="R25" s="116">
        <v>8353155478</v>
      </c>
      <c r="S25" s="116">
        <v>40408.61</v>
      </c>
      <c r="T25" s="130">
        <f t="shared" ref="T25" si="18">Q25/S25</f>
        <v>155.65420339873111</v>
      </c>
      <c r="U25" s="85">
        <f>Q23+Q24+Q25</f>
        <v>18630941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239724.36842105264</v>
      </c>
      <c r="G26" s="90">
        <f t="shared" ref="G26" si="19">F26/F25-1</f>
        <v>-0.27584585763867364</v>
      </c>
      <c r="H26" s="90">
        <f t="shared" ref="H26" si="20">F26/F14-1</f>
        <v>-0.17435331461190073</v>
      </c>
      <c r="I26" s="130">
        <f t="shared" si="0"/>
        <v>154.54989031646201</v>
      </c>
      <c r="J26" s="130">
        <f t="shared" si="5"/>
        <v>6.0980791375471632E-2</v>
      </c>
      <c r="L26" s="90"/>
      <c r="M26" s="90"/>
      <c r="P26" s="129" t="s">
        <v>312</v>
      </c>
      <c r="Q26" s="116">
        <v>4554763</v>
      </c>
      <c r="R26" s="116">
        <v>6135940031</v>
      </c>
      <c r="S26" s="116">
        <v>29471.15</v>
      </c>
      <c r="T26" s="130">
        <f t="shared" ref="T26" si="21">Q26/S26</f>
        <v>154.54989031646201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289753.81818181818</v>
      </c>
      <c r="G27" s="90">
        <f t="shared" ref="G27" si="22">F27/F26-1</f>
        <v>0.2086957203820583</v>
      </c>
      <c r="H27" s="90">
        <f t="shared" ref="H27" si="23">F27/F15-1</f>
        <v>-0.25765950328298948</v>
      </c>
      <c r="I27" s="130">
        <f t="shared" si="0"/>
        <v>158.1971053624253</v>
      </c>
      <c r="J27" s="130">
        <f t="shared" si="5"/>
        <v>-2.3800151812318759E-3</v>
      </c>
      <c r="L27" s="90"/>
      <c r="M27" s="90"/>
      <c r="P27" s="129" t="s">
        <v>375</v>
      </c>
      <c r="Q27" s="116">
        <v>6374584</v>
      </c>
      <c r="R27" s="116">
        <v>8438592412</v>
      </c>
      <c r="S27" s="116">
        <v>40295.199999999997</v>
      </c>
      <c r="T27" s="130">
        <f t="shared" ref="T27" si="24">Q27/S27</f>
        <v>158.1971053624253</v>
      </c>
      <c r="U27" s="78"/>
    </row>
    <row r="28" spans="1:21" s="79" customFormat="1" ht="13.2" hidden="1">
      <c r="A28" s="123" t="s">
        <v>413</v>
      </c>
      <c r="B28" s="131">
        <f>SUM(F26:F28)</f>
        <v>945948.02870813396</v>
      </c>
      <c r="C28" s="131">
        <f>AVERAGE(F26:F28)</f>
        <v>315316.00956937799</v>
      </c>
      <c r="D28" s="90">
        <f>C28/C25-1</f>
        <v>4.8091178864197559E-2</v>
      </c>
      <c r="E28" s="286">
        <f>C28/C16-1</f>
        <v>-2.0380388027174789E-2</v>
      </c>
      <c r="F28" s="78">
        <f>Q28/19</f>
        <v>416469.84210526315</v>
      </c>
      <c r="G28" s="90">
        <f t="shared" ref="G28" si="25">F28/F27-1</f>
        <v>0.43732305140473304</v>
      </c>
      <c r="H28" s="90">
        <f t="shared" ref="H28" si="26">F28/F16-1</f>
        <v>0.46152426282284731</v>
      </c>
      <c r="I28" s="130">
        <f t="shared" si="0"/>
        <v>135.01604151427526</v>
      </c>
      <c r="J28" s="130">
        <f t="shared" si="5"/>
        <v>-7.553901959091025E-2</v>
      </c>
      <c r="K28" s="78">
        <f>R26+R27+R28</f>
        <v>24894248454</v>
      </c>
      <c r="L28" s="90">
        <f>U28/U25-1</f>
        <v>1.1343120028129539E-2</v>
      </c>
      <c r="M28" s="90">
        <f>U28/U16-1</f>
        <v>-8.8120530109708994E-2</v>
      </c>
      <c r="N28" s="88">
        <f>AVERAGE(T26:T28)</f>
        <v>149.25434573105417</v>
      </c>
      <c r="O28" s="91">
        <f>N28/N25-1</f>
        <v>-4.0738893972341872E-3</v>
      </c>
      <c r="P28" s="129" t="s">
        <v>413</v>
      </c>
      <c r="Q28" s="116">
        <v>7912927</v>
      </c>
      <c r="R28" s="116">
        <v>10319716011</v>
      </c>
      <c r="S28" s="116">
        <v>58607.31</v>
      </c>
      <c r="T28" s="130">
        <f t="shared" ref="T28" si="27">Q28/S28</f>
        <v>135.01604151427526</v>
      </c>
      <c r="U28" s="85">
        <f>Q26+Q27+Q28</f>
        <v>18842274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308580.90909090912</v>
      </c>
      <c r="G29" s="190">
        <f t="shared" ref="G29" si="28">F29/F28-1</f>
        <v>-0.25905581174611203</v>
      </c>
      <c r="H29" s="190">
        <f t="shared" ref="H29" si="29">F29/F17-1</f>
        <v>0.59701211439635116</v>
      </c>
      <c r="I29" s="130">
        <f t="shared" si="0"/>
        <v>146.4898374102157</v>
      </c>
      <c r="J29" s="130">
        <f t="shared" si="5"/>
        <v>-0.13243482285657393</v>
      </c>
      <c r="K29" s="136"/>
      <c r="L29" s="190"/>
      <c r="M29" s="190"/>
      <c r="N29" s="191"/>
      <c r="O29" s="192"/>
      <c r="P29" s="129" t="s">
        <v>427</v>
      </c>
      <c r="Q29" s="116">
        <v>6788780</v>
      </c>
      <c r="R29" s="116">
        <v>8954672474</v>
      </c>
      <c r="S29" s="116">
        <v>46343.01</v>
      </c>
      <c r="T29" s="130">
        <f t="shared" ref="T29" si="30">Q29/S29</f>
        <v>146.4898374102157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384630.94736842107</v>
      </c>
      <c r="G30" s="190">
        <f t="shared" ref="G30" si="31">F30/F29-1</f>
        <v>0.24645088544705573</v>
      </c>
      <c r="H30" s="190">
        <f t="shared" ref="H30" si="32">F30/F18-1</f>
        <v>0.82045383380783621</v>
      </c>
      <c r="I30" s="130">
        <f t="shared" si="0"/>
        <v>174.57460508641671</v>
      </c>
      <c r="J30" s="130">
        <f t="shared" si="5"/>
        <v>-1.1655131128834983E-2</v>
      </c>
      <c r="K30" s="136"/>
      <c r="L30" s="190"/>
      <c r="M30" s="190"/>
      <c r="N30" s="191"/>
      <c r="O30" s="192"/>
      <c r="P30" s="129" t="s">
        <v>466</v>
      </c>
      <c r="Q30" s="116">
        <v>7307988</v>
      </c>
      <c r="R30" s="116">
        <v>9739744325</v>
      </c>
      <c r="S30" s="116">
        <v>41861.69</v>
      </c>
      <c r="T30" s="130">
        <f t="shared" ref="T30" si="33">Q30/S30</f>
        <v>174.57460508641671</v>
      </c>
      <c r="U30" s="85"/>
    </row>
    <row r="31" spans="1:21" s="79" customFormat="1" ht="13.2" hidden="1">
      <c r="A31" s="129" t="s">
        <v>505</v>
      </c>
      <c r="B31" s="188">
        <f>SUM(F29:F31)</f>
        <v>1169454.9564593302</v>
      </c>
      <c r="C31" s="188">
        <f>AVERAGE(F29:F31)</f>
        <v>389818.3188197767</v>
      </c>
      <c r="D31" s="190">
        <f>C31/C28-1</f>
        <v>0.23627823196210462</v>
      </c>
      <c r="E31" s="287">
        <f>C31/C19-1</f>
        <v>0.55985431628509175</v>
      </c>
      <c r="F31" s="136">
        <f>Q31/20</f>
        <v>476243.1</v>
      </c>
      <c r="G31" s="190">
        <f t="shared" ref="G31" si="34">F31/F30-1</f>
        <v>0.23818195924788044</v>
      </c>
      <c r="H31" s="190">
        <f t="shared" ref="H31" si="35">F31/F19-1</f>
        <v>0.37956014600704524</v>
      </c>
      <c r="I31" s="130">
        <f t="shared" si="0"/>
        <v>162.3645599993045</v>
      </c>
      <c r="J31" s="130">
        <f t="shared" si="5"/>
        <v>4.0869926560770597E-2</v>
      </c>
      <c r="K31" s="136">
        <f>R29+R30+R31</f>
        <v>31363836909</v>
      </c>
      <c r="L31" s="190">
        <f>U31/U28-1</f>
        <v>0.25365070054707828</v>
      </c>
      <c r="M31" s="190">
        <f>U31/U19-1</f>
        <v>0.50601663772151961</v>
      </c>
      <c r="N31" s="191">
        <f>AVERAGE(T29:T31)</f>
        <v>161.14300083197898</v>
      </c>
      <c r="O31" s="192">
        <f>N31/N28-1</f>
        <v>7.9653661290019162E-2</v>
      </c>
      <c r="P31" s="129" t="s">
        <v>515</v>
      </c>
      <c r="Q31" s="116">
        <v>9524862</v>
      </c>
      <c r="R31" s="116">
        <v>12669420110</v>
      </c>
      <c r="S31" s="116">
        <v>58663.43</v>
      </c>
      <c r="T31" s="130">
        <f t="shared" ref="T31" si="36">Q31/S31</f>
        <v>162.3645599993045</v>
      </c>
      <c r="U31" s="85">
        <f>Q29+Q30+Q31</f>
        <v>23621630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340493.80952380953</v>
      </c>
      <c r="G32" s="190">
        <f t="shared" ref="G32" si="37">F32/F31-1</f>
        <v>-0.28504201000747398</v>
      </c>
      <c r="H32" s="190">
        <f t="shared" ref="H32" si="38">F32/F20-1</f>
        <v>-0.24142291703297281</v>
      </c>
      <c r="I32" s="130">
        <f t="shared" si="0"/>
        <v>142.11344955690723</v>
      </c>
      <c r="J32" s="130">
        <f t="shared" si="5"/>
        <v>-9.7146564393742807E-2</v>
      </c>
      <c r="K32" s="136"/>
      <c r="L32" s="190"/>
      <c r="M32" s="190"/>
      <c r="N32" s="191"/>
      <c r="O32" s="192"/>
      <c r="P32" s="129" t="s">
        <v>566</v>
      </c>
      <c r="Q32" s="116">
        <v>7150370</v>
      </c>
      <c r="R32" s="116">
        <v>9758740965</v>
      </c>
      <c r="S32" s="116">
        <v>50314.52</v>
      </c>
      <c r="T32" s="130">
        <f t="shared" ref="T32" si="39">Q32/S32</f>
        <v>142.11344955690723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338760.47619047621</v>
      </c>
      <c r="G33" s="190">
        <f t="shared" ref="G33" si="40">F33/F32-1</f>
        <v>-5.0906456588959426E-3</v>
      </c>
      <c r="H33" s="190">
        <f t="shared" ref="H33" si="41">F33/F21-1</f>
        <v>-6.9129702263881487E-3</v>
      </c>
      <c r="I33" s="130">
        <f t="shared" si="0"/>
        <v>161.5425402069815</v>
      </c>
      <c r="J33" s="130">
        <f t="shared" si="5"/>
        <v>4.0457716888258721E-2</v>
      </c>
      <c r="K33" s="136"/>
      <c r="L33" s="190"/>
      <c r="M33" s="190"/>
      <c r="N33" s="191"/>
      <c r="O33" s="192"/>
      <c r="P33" s="129" t="s">
        <v>609</v>
      </c>
      <c r="Q33" s="116">
        <v>7113970</v>
      </c>
      <c r="R33" s="116">
        <v>9708477817</v>
      </c>
      <c r="S33" s="116">
        <v>44037.75</v>
      </c>
      <c r="T33" s="130">
        <f t="shared" ref="T33" si="42">Q33/S33</f>
        <v>161.5425402069815</v>
      </c>
      <c r="U33" s="85"/>
    </row>
    <row r="34" spans="1:21" s="79" customFormat="1" ht="13.2" hidden="1">
      <c r="A34" s="129" t="s">
        <v>652</v>
      </c>
      <c r="B34" s="188">
        <f>SUM(F32:F34)</f>
        <v>1111678.1804511277</v>
      </c>
      <c r="C34" s="188">
        <f>AVERAGE(F32:F34)</f>
        <v>370559.39348370925</v>
      </c>
      <c r="D34" s="190">
        <f>C34/C31-1</f>
        <v>-4.9404875056606401E-2</v>
      </c>
      <c r="E34" s="287">
        <f>C34/C22-1</f>
        <v>-0.1403648278013585</v>
      </c>
      <c r="F34" s="136">
        <f>Q34/19</f>
        <v>432423.89473684208</v>
      </c>
      <c r="G34" s="190">
        <f t="shared" ref="G34" si="43">F34/F33-1</f>
        <v>0.2764886258268846</v>
      </c>
      <c r="H34" s="190">
        <f t="shared" ref="H34" si="44">F34/F22-1</f>
        <v>-0.14068700460995676</v>
      </c>
      <c r="I34" s="130">
        <f t="shared" si="0"/>
        <v>165.48793543273624</v>
      </c>
      <c r="J34" s="130">
        <f t="shared" si="5"/>
        <v>0.10921827741740442</v>
      </c>
      <c r="K34" s="136">
        <f>R32+R33+R34</f>
        <v>30782585176</v>
      </c>
      <c r="L34" s="190">
        <f>U34/U31-1</f>
        <v>-4.8313177371756333E-2</v>
      </c>
      <c r="M34" s="190">
        <f>U34/U22-1</f>
        <v>-0.15829907805411148</v>
      </c>
      <c r="N34" s="191">
        <f>AVERAGE(T32:T34)</f>
        <v>156.38130839887501</v>
      </c>
      <c r="O34" s="192">
        <f>N34/N31-1</f>
        <v>-2.954948343098629E-2</v>
      </c>
      <c r="P34" s="129" t="s">
        <v>652</v>
      </c>
      <c r="Q34" s="116">
        <v>8216054</v>
      </c>
      <c r="R34" s="116">
        <v>11315366394</v>
      </c>
      <c r="S34" s="116">
        <v>49647.45</v>
      </c>
      <c r="T34" s="130">
        <f t="shared" ref="T34" si="45">Q34/S34</f>
        <v>165.48793543273624</v>
      </c>
      <c r="U34" s="85">
        <f>Q32+Q33+Q34</f>
        <v>22480394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238810.39130434784</v>
      </c>
      <c r="G35" s="190">
        <f t="shared" ref="G35" si="46">F35/F34-1</f>
        <v>-0.44774006660830012</v>
      </c>
      <c r="H35" s="190">
        <f t="shared" ref="H35" si="47">F35/F23-1</f>
        <v>2.9810009961564354E-2</v>
      </c>
      <c r="I35" s="130">
        <f t="shared" si="0"/>
        <v>182.55963907119462</v>
      </c>
      <c r="J35" s="130">
        <f t="shared" si="5"/>
        <v>0.21788099356429425</v>
      </c>
      <c r="K35" s="136"/>
      <c r="L35" s="190"/>
      <c r="M35" s="190"/>
      <c r="N35" s="191"/>
      <c r="O35" s="192"/>
      <c r="P35" s="129" t="s">
        <v>660</v>
      </c>
      <c r="Q35" s="116">
        <v>5492639</v>
      </c>
      <c r="R35" s="116">
        <v>7595080409</v>
      </c>
      <c r="S35" s="116">
        <v>30086.82</v>
      </c>
      <c r="T35" s="130">
        <f t="shared" ref="T35" si="48">Q35/S35</f>
        <v>182.55963907119462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342442.66666666669</v>
      </c>
      <c r="G36" s="190">
        <f t="shared" ref="G36" si="49">F36/F35-1</f>
        <v>0.43395211906941888</v>
      </c>
      <c r="H36" s="190">
        <f t="shared" ref="H36" si="50">F36/F24-1</f>
        <v>8.3540313632093355E-3</v>
      </c>
      <c r="I36" s="130">
        <f t="shared" si="0"/>
        <v>170.80862715514988</v>
      </c>
      <c r="J36" s="130">
        <f t="shared" si="5"/>
        <v>0.18583318020752193</v>
      </c>
      <c r="K36" s="136"/>
      <c r="L36" s="190"/>
      <c r="M36" s="190"/>
      <c r="N36" s="191"/>
      <c r="O36" s="192"/>
      <c r="P36" s="129" t="s">
        <v>664</v>
      </c>
      <c r="Q36" s="116">
        <v>7191296</v>
      </c>
      <c r="R36" s="116">
        <v>9775386010</v>
      </c>
      <c r="S36" s="116">
        <v>42101.48</v>
      </c>
      <c r="T36" s="130">
        <f t="shared" ref="T36" si="51">Q36/S36</f>
        <v>170.80862715514988</v>
      </c>
      <c r="U36" s="85"/>
    </row>
    <row r="37" spans="1:21" s="79" customFormat="1" ht="13.2" hidden="1">
      <c r="A37" s="129" t="s">
        <v>702</v>
      </c>
      <c r="B37" s="188">
        <f>SUM(F35:F37)</f>
        <v>944723.5024154589</v>
      </c>
      <c r="C37" s="188">
        <f>AVERAGE(F35:F37)</f>
        <v>314907.8341384863</v>
      </c>
      <c r="D37" s="190">
        <f>C37/C34-1</f>
        <v>-0.15018256269806185</v>
      </c>
      <c r="E37" s="287">
        <f>C37/C25-1</f>
        <v>4.6734428634068514E-2</v>
      </c>
      <c r="F37" s="136">
        <f>Q37/18</f>
        <v>363470.44444444444</v>
      </c>
      <c r="G37" s="190">
        <f t="shared" ref="G37" si="52">F37/F36-1</f>
        <v>6.1405250643741027E-2</v>
      </c>
      <c r="H37" s="190">
        <f t="shared" ref="H37" si="53">F37/F25-1</f>
        <v>9.7963589200311674E-2</v>
      </c>
      <c r="I37" s="130">
        <f t="shared" si="0"/>
        <v>167.10362850989574</v>
      </c>
      <c r="J37" s="130">
        <f t="shared" si="5"/>
        <v>7.3556800016734813E-2</v>
      </c>
      <c r="K37" s="136">
        <f>R35+R36+R37</f>
        <v>26099211331</v>
      </c>
      <c r="L37" s="190">
        <f>U37/U34-1</f>
        <v>-0.14474795237129745</v>
      </c>
      <c r="M37" s="190">
        <f>U37/U25-1</f>
        <v>3.1960919204242044E-2</v>
      </c>
      <c r="N37" s="191">
        <f>AVERAGE(T35:T37)</f>
        <v>173.49063157874676</v>
      </c>
      <c r="O37" s="192">
        <f>N37/N34-1</f>
        <v>0.10940772497076012</v>
      </c>
      <c r="P37" s="129" t="s">
        <v>702</v>
      </c>
      <c r="Q37" s="116">
        <v>6542468</v>
      </c>
      <c r="R37" s="116">
        <v>8728744912</v>
      </c>
      <c r="S37" s="116">
        <v>39152.160000000003</v>
      </c>
      <c r="T37" s="130">
        <f t="shared" ref="T37" si="54">Q37/S37</f>
        <v>167.10362850989574</v>
      </c>
      <c r="U37" s="85">
        <f>Q35+Q36+Q37</f>
        <v>19226403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307123.25</v>
      </c>
      <c r="G38" s="190">
        <f t="shared" ref="G38" si="55">F38/F37-1</f>
        <v>-0.15502551942172282</v>
      </c>
      <c r="H38" s="190">
        <f t="shared" ref="H38" si="56">F38/F26-1</f>
        <v>0.28115156595414503</v>
      </c>
      <c r="I38" s="130">
        <f t="shared" si="0"/>
        <v>160.44348739391535</v>
      </c>
      <c r="J38" s="130">
        <f t="shared" si="5"/>
        <v>3.8133945390613988E-2</v>
      </c>
      <c r="K38" s="136"/>
      <c r="L38" s="190"/>
      <c r="M38" s="190"/>
      <c r="N38" s="191"/>
      <c r="O38" s="192"/>
      <c r="P38" s="129" t="s">
        <v>728</v>
      </c>
      <c r="Q38" s="116">
        <v>6142465</v>
      </c>
      <c r="R38" s="116">
        <v>8287815443</v>
      </c>
      <c r="S38" s="116">
        <v>38284.29</v>
      </c>
      <c r="T38" s="130">
        <f t="shared" ref="T38" si="57">Q38/S38</f>
        <v>160.44348739391535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324675.04761904763</v>
      </c>
      <c r="G39" s="190">
        <f t="shared" ref="G39" si="58">F39/F38-1</f>
        <v>5.714903583186115E-2</v>
      </c>
      <c r="H39" s="190">
        <f t="shared" ref="H39" si="59">F39/F27-1</f>
        <v>0.12052034260103062</v>
      </c>
      <c r="I39" s="130">
        <f t="shared" si="0"/>
        <v>156.93467400298533</v>
      </c>
      <c r="J39" s="130">
        <f t="shared" si="5"/>
        <v>-7.9801166813247004E-3</v>
      </c>
      <c r="K39" s="136"/>
      <c r="L39" s="190"/>
      <c r="M39" s="190"/>
      <c r="N39" s="191"/>
      <c r="O39" s="192"/>
      <c r="P39" s="129" t="s">
        <v>762</v>
      </c>
      <c r="Q39" s="116">
        <v>6818176</v>
      </c>
      <c r="R39" s="116">
        <v>9482077934</v>
      </c>
      <c r="S39" s="116">
        <v>43445.95</v>
      </c>
      <c r="T39" s="130">
        <f t="shared" ref="T39" si="60">Q39/S39</f>
        <v>156.93467400298533</v>
      </c>
      <c r="U39" s="85"/>
    </row>
    <row r="40" spans="1:21" s="79" customFormat="1" ht="13.2" hidden="1">
      <c r="A40" s="129" t="s">
        <v>778</v>
      </c>
      <c r="B40" s="188">
        <f>SUM(F38:F40)</f>
        <v>972863.86904761894</v>
      </c>
      <c r="C40" s="188">
        <f>AVERAGE(F38:F40)</f>
        <v>324287.95634920633</v>
      </c>
      <c r="D40" s="190">
        <f>C40/C37-1</f>
        <v>2.9786881092945361E-2</v>
      </c>
      <c r="E40" s="287">
        <f>C40/C28-1</f>
        <v>2.8453825709900293E-2</v>
      </c>
      <c r="F40" s="136">
        <f>Q40/21</f>
        <v>341065.57142857142</v>
      </c>
      <c r="G40" s="190">
        <f t="shared" ref="G40" si="61">F40/F39-1</f>
        <v>5.0482856412037425E-2</v>
      </c>
      <c r="H40" s="190">
        <f t="shared" ref="H40" si="62">F40/F28-1</f>
        <v>-0.18105577656120708</v>
      </c>
      <c r="I40" s="130">
        <f t="shared" si="0"/>
        <v>128.42415609760295</v>
      </c>
      <c r="J40" s="130">
        <f t="shared" si="5"/>
        <v>-4.882297942334024E-2</v>
      </c>
      <c r="K40" s="136">
        <f>R38+R39+R40</f>
        <v>27949451739</v>
      </c>
      <c r="L40" s="190">
        <f>U40/U37-1</f>
        <v>4.6634568098879337E-2</v>
      </c>
      <c r="M40" s="190">
        <f>U40/U28-1</f>
        <v>6.7971838218677805E-2</v>
      </c>
      <c r="N40" s="191">
        <f>AVERAGE(T38:T40)</f>
        <v>148.60077249816788</v>
      </c>
      <c r="O40" s="192">
        <f>N40/N37-1</f>
        <v>-0.14346514768021612</v>
      </c>
      <c r="P40" s="129" t="s">
        <v>778</v>
      </c>
      <c r="Q40" s="116">
        <v>7162377</v>
      </c>
      <c r="R40" s="116">
        <v>10179558362</v>
      </c>
      <c r="S40" s="116">
        <v>55771.26</v>
      </c>
      <c r="T40" s="130">
        <f t="shared" ref="T40" si="63">Q40/S40</f>
        <v>128.42415609760295</v>
      </c>
      <c r="U40" s="85">
        <f>Q38+Q39+Q40</f>
        <v>20123018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176231.33333333334</v>
      </c>
      <c r="G41" s="190">
        <f t="shared" ref="G41" si="64">F41/F40-1</f>
        <v>-0.48329192948095301</v>
      </c>
      <c r="H41" s="190">
        <f t="shared" ref="H41" si="65">F41/F29-1</f>
        <v>-0.42889748477144152</v>
      </c>
      <c r="I41" s="130">
        <f t="shared" si="0"/>
        <v>132.94145849188814</v>
      </c>
      <c r="J41" s="130">
        <f t="shared" si="5"/>
        <v>-9.2486817910706121E-2</v>
      </c>
      <c r="K41" s="193"/>
      <c r="L41" s="190"/>
      <c r="M41" s="190"/>
      <c r="N41" s="193"/>
      <c r="O41" s="193"/>
      <c r="P41" s="129" t="s">
        <v>792</v>
      </c>
      <c r="Q41" s="116">
        <v>3172164</v>
      </c>
      <c r="R41" s="116">
        <v>4631962391</v>
      </c>
      <c r="S41" s="116">
        <v>23861.360000000001</v>
      </c>
      <c r="T41" s="130">
        <f t="shared" ref="T41" si="66">Q41/S41</f>
        <v>132.94145849188814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314162.3</v>
      </c>
      <c r="G42" s="190">
        <f t="shared" ref="G42" si="67">F42/F41-1</f>
        <v>0.78266993761987069</v>
      </c>
      <c r="H42" s="190">
        <f t="shared" ref="H42" si="68">F42/F30-1</f>
        <v>-0.18321106985944702</v>
      </c>
      <c r="I42" s="130">
        <f t="shared" si="0"/>
        <v>189.36841791186922</v>
      </c>
      <c r="J42" s="130">
        <f t="shared" si="5"/>
        <v>8.4742066683349382E-2</v>
      </c>
      <c r="K42" s="193"/>
      <c r="L42" s="190"/>
      <c r="M42" s="190"/>
      <c r="N42" s="193"/>
      <c r="O42" s="193"/>
      <c r="P42" s="129" t="s">
        <v>826</v>
      </c>
      <c r="Q42" s="116">
        <v>6283246</v>
      </c>
      <c r="R42" s="116">
        <v>9089619712</v>
      </c>
      <c r="S42" s="116">
        <v>33180.01</v>
      </c>
      <c r="T42" s="130">
        <f t="shared" ref="T42" si="69">Q42/S42</f>
        <v>189.36841791186922</v>
      </c>
      <c r="U42" s="78"/>
    </row>
    <row r="43" spans="1:21" s="79" customFormat="1" ht="13.2">
      <c r="A43" s="129" t="s">
        <v>835</v>
      </c>
      <c r="B43" s="188">
        <f>SUM(F41:F43)</f>
        <v>834000.08333333326</v>
      </c>
      <c r="C43" s="188">
        <f>AVERAGE(F41:F43)</f>
        <v>278000.02777777775</v>
      </c>
      <c r="D43" s="190">
        <f>C43/C40-1</f>
        <v>-0.14273711886353213</v>
      </c>
      <c r="E43" s="287">
        <f>C43/C31-1</f>
        <v>-0.28684719430462557</v>
      </c>
      <c r="F43" s="136">
        <f>Q43/20</f>
        <v>343606.45</v>
      </c>
      <c r="G43" s="190">
        <f t="shared" ref="G43" si="70">F43/F42-1</f>
        <v>9.3722735032179205E-2</v>
      </c>
      <c r="H43" s="190">
        <f t="shared" ref="H43" si="71">F43/F31-1</f>
        <v>-0.27850618728124354</v>
      </c>
      <c r="I43" s="130">
        <f t="shared" si="0"/>
        <v>161.30485952281697</v>
      </c>
      <c r="J43" s="130">
        <f t="shared" si="5"/>
        <v>-6.5266735332640824E-3</v>
      </c>
      <c r="K43" s="136">
        <f>R41+R42+R43</f>
        <v>23681604367</v>
      </c>
      <c r="L43" s="190">
        <f>U43/U40-1</f>
        <v>-0.18861380534470529</v>
      </c>
      <c r="M43" s="190">
        <f>K43/K31-1</f>
        <v>-0.2449391815258275</v>
      </c>
      <c r="N43" s="191">
        <f>AVERAGE(T41:T43)</f>
        <v>161.20491197552477</v>
      </c>
      <c r="O43" s="192">
        <f>N43/N40-1</f>
        <v>8.4818801850523817E-2</v>
      </c>
      <c r="P43" s="129" t="s">
        <v>835</v>
      </c>
      <c r="Q43" s="116">
        <v>6872129</v>
      </c>
      <c r="R43" s="116">
        <v>9960022264</v>
      </c>
      <c r="S43" s="116">
        <v>42603.360000000001</v>
      </c>
      <c r="T43" s="130">
        <f t="shared" ref="T43" si="72">Q43/S43</f>
        <v>161.30485952281697</v>
      </c>
      <c r="U43" s="85">
        <f>Q41+Q42+Q43</f>
        <v>16327539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325313</v>
      </c>
      <c r="G44" s="190">
        <f t="shared" ref="G44" si="73">F44/F43-1</f>
        <v>-5.3239541923616462E-2</v>
      </c>
      <c r="H44" s="190">
        <f t="shared" ref="H44" si="74">F44/F32-1</f>
        <v>-4.458468582744668E-2</v>
      </c>
      <c r="I44" s="130">
        <f t="shared" si="0"/>
        <v>165.2875777143438</v>
      </c>
      <c r="J44" s="130">
        <f t="shared" si="5"/>
        <v>0.16306780413599653</v>
      </c>
      <c r="K44" s="136"/>
      <c r="L44" s="190"/>
      <c r="M44" s="190"/>
      <c r="N44" s="191"/>
      <c r="O44" s="192"/>
      <c r="P44" s="129" t="s">
        <v>843</v>
      </c>
      <c r="Q44" s="116">
        <v>7156886</v>
      </c>
      <c r="R44" s="116">
        <v>10376724006</v>
      </c>
      <c r="S44" s="116">
        <v>43299.6</v>
      </c>
      <c r="T44" s="130">
        <f t="shared" ref="T44" si="75">Q44/S44</f>
        <v>165.2875777143438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318851.25</v>
      </c>
      <c r="G45" s="190">
        <f t="shared" ref="G45" si="76">F45/F44-1</f>
        <v>-1.986317792403014E-2</v>
      </c>
      <c r="H45" s="190">
        <f t="shared" ref="H45" si="77">F45/F33-1</f>
        <v>-5.8770805893193279E-2</v>
      </c>
      <c r="I45" s="130">
        <f t="shared" si="0"/>
        <v>162.48567713608458</v>
      </c>
      <c r="J45" s="130">
        <f t="shared" si="5"/>
        <v>5.8383192928292971E-3</v>
      </c>
      <c r="K45" s="136"/>
      <c r="L45" s="190"/>
      <c r="M45" s="190"/>
      <c r="N45" s="191"/>
      <c r="O45" s="192"/>
      <c r="P45" s="129" t="s">
        <v>849</v>
      </c>
      <c r="Q45" s="116">
        <v>6377025</v>
      </c>
      <c r="R45" s="116">
        <v>8964164159</v>
      </c>
      <c r="S45" s="116">
        <v>39246.69</v>
      </c>
      <c r="T45" s="130">
        <f t="shared" ref="T45" si="78">Q45/S45</f>
        <v>162.48567713608458</v>
      </c>
      <c r="U45" s="85"/>
    </row>
    <row r="46" spans="1:21" s="79" customFormat="1" ht="13.2">
      <c r="A46" s="129" t="s">
        <v>893</v>
      </c>
      <c r="B46" s="188">
        <f>SUM(F44:F46)</f>
        <v>1210991.3552631577</v>
      </c>
      <c r="C46" s="188">
        <f>AVERAGE(F44:F46)</f>
        <v>403663.78508771927</v>
      </c>
      <c r="D46" s="190">
        <f>C46/C43-1</f>
        <v>0.45202785882594276</v>
      </c>
      <c r="E46" s="287">
        <f>C46/C34-1</f>
        <v>8.9336263460462861E-2</v>
      </c>
      <c r="F46" s="136">
        <f>Q46/19</f>
        <v>566827.10526315786</v>
      </c>
      <c r="G46" s="190">
        <f t="shared" ref="G46" si="79">F46/F45-1</f>
        <v>0.77771642815625741</v>
      </c>
      <c r="H46" s="190">
        <f t="shared" ref="H46" si="80">F46/F34-1</f>
        <v>0.31081356086510636</v>
      </c>
      <c r="I46" s="130">
        <f t="shared" si="0"/>
        <v>149.55029577582135</v>
      </c>
      <c r="J46" s="130">
        <f t="shared" si="5"/>
        <v>-9.6306958058539838E-2</v>
      </c>
      <c r="K46" s="136">
        <f>R44+R45+R46</f>
        <v>34097630496</v>
      </c>
      <c r="L46" s="190">
        <f>U46/U43-1</f>
        <v>0.48850515683961926</v>
      </c>
      <c r="M46" s="190">
        <f>K46/K34-1</f>
        <v>0.10769223250893867</v>
      </c>
      <c r="N46" s="191">
        <f>AVERAGE(T44:T46)</f>
        <v>159.10785020874991</v>
      </c>
      <c r="O46" s="192">
        <f>N46/N43-1</f>
        <v>-1.3008671640807323E-2</v>
      </c>
      <c r="P46" s="129" t="s">
        <v>888</v>
      </c>
      <c r="Q46" s="116">
        <v>10769715</v>
      </c>
      <c r="R46" s="116">
        <v>14756742331</v>
      </c>
      <c r="S46" s="116">
        <v>72014</v>
      </c>
      <c r="T46" s="130">
        <f t="shared" ref="T46" si="81">Q46/S46</f>
        <v>149.55029577582135</v>
      </c>
      <c r="U46" s="85">
        <f t="shared" ref="U46:U51" si="82">Q44+Q45+Q46</f>
        <v>24303626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396660.04347826086</v>
      </c>
      <c r="G47" s="190">
        <f t="shared" ref="G47" si="83">F47/F46-1</f>
        <v>-0.30020981742906316</v>
      </c>
      <c r="H47" s="190">
        <f t="shared" ref="H47" si="84">F47/F35-1</f>
        <v>0.66098318130865685</v>
      </c>
      <c r="I47" s="130">
        <f t="shared" si="0"/>
        <v>165.38131755700948</v>
      </c>
      <c r="J47" s="130">
        <f t="shared" si="5"/>
        <v>-9.4097039200904287E-2</v>
      </c>
      <c r="K47" s="136"/>
      <c r="L47" s="190"/>
      <c r="M47" s="190"/>
      <c r="N47" s="191"/>
      <c r="O47" s="192"/>
      <c r="P47" s="129" t="s">
        <v>991</v>
      </c>
      <c r="Q47" s="116">
        <v>9123181</v>
      </c>
      <c r="R47" s="116">
        <v>12484782999</v>
      </c>
      <c r="S47" s="116">
        <v>55164.52</v>
      </c>
      <c r="T47" s="130">
        <f t="shared" ref="T47" si="85">Q47/S47</f>
        <v>165.38131755700948</v>
      </c>
      <c r="U47" s="85">
        <f t="shared" si="82"/>
        <v>26269921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206537.85</v>
      </c>
      <c r="G48" s="190">
        <f t="shared" ref="G48" si="86">F48/F47-1</f>
        <v>-0.47930765047848989</v>
      </c>
      <c r="H48" s="190">
        <f t="shared" ref="H48" si="87">F48/F36-1</f>
        <v>-0.39686881891664594</v>
      </c>
      <c r="I48" s="130">
        <f t="shared" si="0"/>
        <v>143.67015898554763</v>
      </c>
      <c r="J48" s="130">
        <f t="shared" si="5"/>
        <v>-0.15888230367282141</v>
      </c>
      <c r="K48" s="136"/>
      <c r="L48" s="190"/>
      <c r="M48" s="190"/>
      <c r="N48" s="191"/>
      <c r="O48" s="192"/>
      <c r="P48" s="129" t="s">
        <v>1070</v>
      </c>
      <c r="Q48" s="116">
        <v>4130757</v>
      </c>
      <c r="R48" s="116">
        <v>5734082055</v>
      </c>
      <c r="S48" s="116">
        <v>28751.67</v>
      </c>
      <c r="T48" s="130">
        <f t="shared" ref="T48" si="88">Q48/S48</f>
        <v>143.67015898554763</v>
      </c>
      <c r="U48" s="85">
        <f t="shared" si="82"/>
        <v>24023653</v>
      </c>
    </row>
    <row r="49" spans="1:26" ht="13.2">
      <c r="A49" s="129" t="s">
        <v>1207</v>
      </c>
      <c r="B49" s="188">
        <f>SUM(F47:F49)</f>
        <v>950204.80256917002</v>
      </c>
      <c r="C49" s="188">
        <f>AVERAGE(F47:F49)</f>
        <v>316734.93418972334</v>
      </c>
      <c r="D49" s="190">
        <f>C49/C46-1</f>
        <v>-0.21534964024356462</v>
      </c>
      <c r="E49" s="287">
        <f>C49/C37-1</f>
        <v>5.8020152348243759E-3</v>
      </c>
      <c r="F49" s="136">
        <f>Q49/22</f>
        <v>347006.90909090912</v>
      </c>
      <c r="G49" s="190">
        <f t="shared" ref="G49" si="89">F49/F48-1</f>
        <v>0.68011291436852428</v>
      </c>
      <c r="H49" s="190">
        <f t="shared" ref="H49" si="90">F49/F37-1</f>
        <v>-4.5295389501887606E-2</v>
      </c>
      <c r="I49" s="130">
        <f t="shared" si="0"/>
        <v>157.75743407290216</v>
      </c>
      <c r="J49" s="130">
        <f t="shared" si="5"/>
        <v>-5.5930529578177901E-2</v>
      </c>
      <c r="K49" s="136">
        <f>R47+R48+R49</f>
        <v>28831141729</v>
      </c>
      <c r="L49" s="190">
        <f>U49/U46-1</f>
        <v>-0.14053606651122763</v>
      </c>
      <c r="M49" s="190">
        <f>K49/K37-1</f>
        <v>0.10467482573908593</v>
      </c>
      <c r="N49" s="191">
        <f>AVERAGE(T47:T49)</f>
        <v>155.60297020515307</v>
      </c>
      <c r="O49" s="192">
        <f>N49/N46-1</f>
        <v>-2.2028328577115674E-2</v>
      </c>
      <c r="P49" s="129" t="s">
        <v>1158</v>
      </c>
      <c r="Q49" s="116">
        <v>7634152</v>
      </c>
      <c r="R49" s="116">
        <v>10612276675</v>
      </c>
      <c r="S49" s="116">
        <v>48391.71</v>
      </c>
      <c r="T49" s="130">
        <f t="shared" ref="T49" si="91">Q49/S49</f>
        <v>157.75743407290216</v>
      </c>
      <c r="U49" s="85">
        <f t="shared" si="82"/>
        <v>20888090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311054.77777777775</v>
      </c>
      <c r="G50" s="190">
        <f t="shared" ref="G50" si="92">F50/F49-1</f>
        <v>-0.10360638468933947</v>
      </c>
      <c r="H50" s="190">
        <f t="shared" ref="H50" si="93">F50/F38-1</f>
        <v>1.2801140186481375E-2</v>
      </c>
      <c r="I50" s="130">
        <f t="shared" ref="I50" si="94">T50</f>
        <v>170.93374202037532</v>
      </c>
      <c r="J50" s="130">
        <f t="shared" ref="J50" si="95">I50/I38-1</f>
        <v>6.5382863442158046E-2</v>
      </c>
      <c r="K50" s="136"/>
      <c r="L50" s="190"/>
      <c r="M50" s="190"/>
      <c r="N50" s="191"/>
      <c r="O50" s="192"/>
      <c r="P50" s="129" t="s">
        <v>1293</v>
      </c>
      <c r="Q50" s="116">
        <v>5598986</v>
      </c>
      <c r="R50" s="116">
        <v>7943069431</v>
      </c>
      <c r="S50" s="116">
        <v>32755.3</v>
      </c>
      <c r="T50" s="130">
        <f t="shared" ref="T50" si="96">Q50/S50</f>
        <v>170.93374202037532</v>
      </c>
      <c r="U50" s="85">
        <f t="shared" si="82"/>
        <v>17363895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320420.8</v>
      </c>
      <c r="G51" s="190">
        <f t="shared" ref="G51:G52" si="97">F51/F50-1</f>
        <v>3.0110523584091942E-2</v>
      </c>
      <c r="H51" s="190">
        <f t="shared" ref="H51:H52" si="98">F51/F39-1</f>
        <v>-1.3103093847973479E-2</v>
      </c>
      <c r="I51" s="130">
        <f t="shared" ref="I51:I52" si="99">T51</f>
        <v>172.65954142037739</v>
      </c>
      <c r="J51" s="130">
        <f t="shared" ref="J51:J52" si="100">I51/I39-1</f>
        <v>0.1002000833613923</v>
      </c>
      <c r="K51" s="136"/>
      <c r="L51" s="190"/>
      <c r="M51" s="190"/>
      <c r="N51" s="191"/>
      <c r="O51" s="192"/>
      <c r="P51" s="129" t="s">
        <v>1402</v>
      </c>
      <c r="Q51" s="116">
        <v>6408416</v>
      </c>
      <c r="R51" s="116">
        <v>9291190509</v>
      </c>
      <c r="S51" s="116">
        <v>37115.910000000003</v>
      </c>
      <c r="T51" s="130">
        <f t="shared" ref="T51:T52" si="101">Q51/S51</f>
        <v>172.65954142037739</v>
      </c>
      <c r="U51" s="85">
        <f t="shared" si="82"/>
        <v>19641554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1017614.3505050505</v>
      </c>
      <c r="C52" s="188">
        <f>AVERAGE(F50:F52)</f>
        <v>339204.7835016835</v>
      </c>
      <c r="D52" s="190">
        <f>C52/C49-1</f>
        <v>7.0942125059374694E-2</v>
      </c>
      <c r="E52" s="287">
        <f>C52/C40-1</f>
        <v>4.5998708433112823E-2</v>
      </c>
      <c r="F52" s="136">
        <f>Q52/22</f>
        <v>386138.77272727271</v>
      </c>
      <c r="G52" s="190">
        <f t="shared" si="97"/>
        <v>0.20509895964079949</v>
      </c>
      <c r="H52" s="190">
        <f t="shared" si="98"/>
        <v>0.13215406383561312</v>
      </c>
      <c r="I52" s="130">
        <f t="shared" si="99"/>
        <v>168.27888520242567</v>
      </c>
      <c r="J52" s="130">
        <f t="shared" si="100"/>
        <v>0.31033670234541355</v>
      </c>
      <c r="K52" s="136">
        <f>R50+R51+R52</f>
        <v>29724915777</v>
      </c>
      <c r="L52" s="190">
        <f>U52/U49-1</f>
        <v>-1.8461956071617824E-2</v>
      </c>
      <c r="M52" s="190">
        <f>K52/K40-1</f>
        <v>6.3524109688440245E-2</v>
      </c>
      <c r="N52" s="191">
        <f>AVERAGE(T50:T52)</f>
        <v>170.62405621439279</v>
      </c>
      <c r="O52" s="192">
        <f>N52/N49-1</f>
        <v>9.6534699751780639E-2</v>
      </c>
      <c r="P52" s="129" t="s">
        <v>1403</v>
      </c>
      <c r="Q52" s="116">
        <v>8495053</v>
      </c>
      <c r="R52" s="116">
        <v>12490655837</v>
      </c>
      <c r="S52" s="116">
        <v>50481.99</v>
      </c>
      <c r="T52" s="130">
        <f t="shared" si="101"/>
        <v>168.27888520242567</v>
      </c>
      <c r="U52" s="85">
        <f t="shared" ref="U52" si="102">Q50+Q51+Q52</f>
        <v>20502455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247002.85714285713</v>
      </c>
      <c r="G53" s="190">
        <f t="shared" ref="G53" si="103">F53/F52-1</f>
        <v>-0.36032619724175263</v>
      </c>
      <c r="H53" s="190">
        <f t="shared" ref="H53" si="104">F53/F41-1</f>
        <v>0.40158309235317846</v>
      </c>
      <c r="I53" s="130">
        <f t="shared" ref="I53" si="105">T53</f>
        <v>182.5345938995371</v>
      </c>
      <c r="J53" s="130">
        <f t="shared" ref="J53" si="106">I53/I41-1</f>
        <v>0.37304491744142432</v>
      </c>
      <c r="K53" s="136"/>
      <c r="L53" s="190"/>
      <c r="M53" s="190"/>
      <c r="N53" s="191"/>
      <c r="O53" s="192"/>
      <c r="P53" s="129" t="s">
        <v>1414</v>
      </c>
      <c r="Q53" s="116">
        <v>5187060</v>
      </c>
      <c r="R53" s="116">
        <v>7581270899</v>
      </c>
      <c r="S53" s="116">
        <v>28416.86</v>
      </c>
      <c r="T53" s="130">
        <f t="shared" ref="T53" si="107">Q53/S53</f>
        <v>182.5345938995371</v>
      </c>
      <c r="U53" s="85">
        <f t="shared" ref="U53" si="108">Q51+Q52+Q53</f>
        <v>20090529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468382.4705882353</v>
      </c>
      <c r="G54" s="190">
        <f t="shared" ref="G54" si="109">F54/F53-1</f>
        <v>0.89626337122627109</v>
      </c>
      <c r="H54" s="190">
        <f t="shared" ref="H54" si="110">F54/F42-1</f>
        <v>0.49089330765733297</v>
      </c>
      <c r="I54" s="130">
        <f t="shared" ref="I54" si="111">T54</f>
        <v>171.34434642342839</v>
      </c>
      <c r="J54" s="130">
        <f t="shared" ref="J54" si="112">I54/I42-1</f>
        <v>-9.517992327965219E-2</v>
      </c>
      <c r="K54" s="136"/>
      <c r="L54" s="190"/>
      <c r="M54" s="190"/>
      <c r="N54" s="191"/>
      <c r="O54" s="192"/>
      <c r="P54" s="129" t="s">
        <v>1417</v>
      </c>
      <c r="Q54" s="116">
        <v>7962502</v>
      </c>
      <c r="R54" s="116">
        <v>11527744462</v>
      </c>
      <c r="S54" s="116">
        <v>46470.76</v>
      </c>
      <c r="T54" s="130">
        <f t="shared" ref="T54" si="113">Q54/S54</f>
        <v>171.34434642342839</v>
      </c>
      <c r="U54" s="85">
        <f t="shared" ref="U54" si="114">Q52+Q53+Q54</f>
        <v>21644615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1127558.1848739497</v>
      </c>
      <c r="C55" s="188">
        <f>AVERAGE(F53:F55)</f>
        <v>375852.7282913166</v>
      </c>
      <c r="D55" s="190">
        <f>C55/C52-1</f>
        <v>0.10804076643999094</v>
      </c>
      <c r="E55" s="287">
        <f>C55/C43-1</f>
        <v>0.35198809617299176</v>
      </c>
      <c r="F55" s="136">
        <f>Q55/21</f>
        <v>412172.85714285716</v>
      </c>
      <c r="G55" s="190">
        <f t="shared" ref="G55" si="115">F55/F54-1</f>
        <v>-0.12000793576835878</v>
      </c>
      <c r="H55" s="190">
        <f t="shared" ref="H55" si="116">F55/F43-1</f>
        <v>0.19954924345237735</v>
      </c>
      <c r="I55" s="130">
        <f>T55</f>
        <v>172.57086553890028</v>
      </c>
      <c r="J55" s="130">
        <f t="shared" ref="J55" si="117">I55/I43-1</f>
        <v>6.9842942422262855E-2</v>
      </c>
      <c r="K55" s="136">
        <f>R53+R54+R55</f>
        <v>31885747695</v>
      </c>
      <c r="L55" s="190">
        <f>U55/U52-1</f>
        <v>6.3540536974718398E-2</v>
      </c>
      <c r="M55" s="190">
        <f>K55/K43-1</f>
        <v>0.34643528372732901</v>
      </c>
      <c r="N55" s="191">
        <f>AVERAGE(T53:T55)</f>
        <v>175.48326862062194</v>
      </c>
      <c r="O55" s="192">
        <f>N55/N52-1</f>
        <v>2.8479058076801511E-2</v>
      </c>
      <c r="P55" s="129" t="s">
        <v>1418</v>
      </c>
      <c r="Q55" s="116">
        <v>8655630</v>
      </c>
      <c r="R55" s="116">
        <v>12776732334</v>
      </c>
      <c r="S55" s="116">
        <v>50156.959999999999</v>
      </c>
      <c r="T55" s="130">
        <f t="shared" ref="T55" si="118">Q55/S55</f>
        <v>172.57086553890028</v>
      </c>
      <c r="U55" s="85">
        <f t="shared" ref="U55" si="119">Q53+Q54+Q55</f>
        <v>21805192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366213.5</v>
      </c>
      <c r="G56" s="190">
        <f t="shared" ref="G56" si="120">F56/F55-1</f>
        <v>-0.11150505509131059</v>
      </c>
      <c r="H56" s="190">
        <f t="shared" ref="H56" si="121">F56/F44-1</f>
        <v>0.12572660791299461</v>
      </c>
      <c r="I56" s="291">
        <f>T56</f>
        <v>172.5272607392462</v>
      </c>
      <c r="J56" s="130">
        <f t="shared" ref="J56" si="122">I56/I44-1</f>
        <v>4.3800527087488161E-2</v>
      </c>
      <c r="K56" s="136"/>
      <c r="L56" s="190"/>
      <c r="M56" s="190"/>
      <c r="N56" s="191"/>
      <c r="O56" s="192"/>
      <c r="P56" s="129" t="s">
        <v>1420</v>
      </c>
      <c r="Q56" s="116">
        <v>8056697</v>
      </c>
      <c r="R56" s="116">
        <v>11998238409</v>
      </c>
      <c r="S56" s="116">
        <v>46698.11</v>
      </c>
      <c r="T56" s="130">
        <f t="shared" ref="T56" si="123">Q56/S56</f>
        <v>172.5272607392462</v>
      </c>
      <c r="U56" s="85">
        <f t="shared" ref="U56" si="124">Q54+Q55+Q56</f>
        <v>24674829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442194.16666666669</v>
      </c>
      <c r="G57" s="254">
        <f t="shared" ref="G57" si="125">F57/F56-1</f>
        <v>0.20747642199609428</v>
      </c>
      <c r="H57" s="254">
        <f t="shared" ref="H57" si="126">F57/F45-1</f>
        <v>0.38683529284162033</v>
      </c>
      <c r="I57" s="282">
        <f>T57</f>
        <v>168.19787157024155</v>
      </c>
      <c r="J57" s="277">
        <f t="shared" ref="J57" si="127">I57/I45-1</f>
        <v>3.5155064340673503E-2</v>
      </c>
      <c r="K57" s="204"/>
      <c r="L57" s="254"/>
      <c r="M57" s="254"/>
      <c r="N57" s="257"/>
      <c r="O57" s="258"/>
      <c r="P57" s="129" t="s">
        <v>1436</v>
      </c>
      <c r="Q57" s="116">
        <v>5306330</v>
      </c>
      <c r="R57" s="116">
        <v>7822172262</v>
      </c>
      <c r="S57" s="116">
        <v>31548.14</v>
      </c>
      <c r="T57" s="130">
        <f t="shared" ref="T57" si="128">Q57/S57</f>
        <v>168.19787157024155</v>
      </c>
      <c r="U57" s="85">
        <f t="shared" ref="U57" si="129">Q55+Q56+Q57</f>
        <v>22018657</v>
      </c>
      <c r="V57" s="79"/>
      <c r="W57" s="79"/>
      <c r="X57" s="79"/>
      <c r="Y57" s="79"/>
      <c r="Z57" s="79"/>
    </row>
    <row r="58" spans="1:26">
      <c r="B58" s="196">
        <f>SUM(F56:F58)</f>
        <v>808407.66666666674</v>
      </c>
      <c r="C58" s="196">
        <f>AVERAGE(F56:F58)</f>
        <v>404203.83333333337</v>
      </c>
      <c r="D58" s="197">
        <f>C58/C55-1</f>
        <v>7.5431420096124357E-2</v>
      </c>
      <c r="E58" s="233">
        <f>C58/C46-1</f>
        <v>1.3378664759255976E-3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35168219</v>
      </c>
      <c r="R66" s="212">
        <v>51706158366</v>
      </c>
      <c r="S66" s="213">
        <v>203290.85</v>
      </c>
      <c r="T66" s="214">
        <v>61</v>
      </c>
      <c r="U66" s="214">
        <v>286</v>
      </c>
    </row>
    <row r="67" spans="16:21" ht="18" thickBot="1">
      <c r="P67" s="180" t="s">
        <v>976</v>
      </c>
      <c r="Q67" s="181">
        <v>5187060</v>
      </c>
      <c r="R67" s="181">
        <v>7581270899</v>
      </c>
      <c r="S67" s="182">
        <v>28416.86</v>
      </c>
      <c r="T67" s="210">
        <v>27</v>
      </c>
      <c r="U67" s="210">
        <v>110</v>
      </c>
    </row>
    <row r="68" spans="16:21" ht="18" thickBot="1">
      <c r="P68" s="180" t="s">
        <v>977</v>
      </c>
      <c r="Q68" s="181">
        <v>7962502</v>
      </c>
      <c r="R68" s="181">
        <v>11527744462</v>
      </c>
      <c r="S68" s="182">
        <v>46470.76</v>
      </c>
      <c r="T68" s="210">
        <v>28</v>
      </c>
      <c r="U68" s="210">
        <v>89</v>
      </c>
    </row>
    <row r="69" spans="16:21" ht="18" thickBot="1">
      <c r="P69" s="180" t="s">
        <v>978</v>
      </c>
      <c r="Q69" s="181">
        <v>8655630</v>
      </c>
      <c r="R69" s="181">
        <v>12776732334</v>
      </c>
      <c r="S69" s="182">
        <v>50156.959999999999</v>
      </c>
      <c r="T69" s="210">
        <v>23</v>
      </c>
      <c r="U69" s="210">
        <v>107</v>
      </c>
    </row>
    <row r="70" spans="16:21" ht="18" thickBot="1">
      <c r="P70" s="180" t="s">
        <v>979</v>
      </c>
      <c r="Q70" s="181">
        <v>8056697</v>
      </c>
      <c r="R70" s="181">
        <v>11998238409</v>
      </c>
      <c r="S70" s="182">
        <v>46698.11</v>
      </c>
      <c r="T70" s="210">
        <v>25</v>
      </c>
      <c r="U70" s="210">
        <v>103</v>
      </c>
    </row>
    <row r="71" spans="16:21" ht="18" thickBot="1">
      <c r="P71" s="180" t="s">
        <v>980</v>
      </c>
      <c r="Q71" s="181">
        <v>5306330</v>
      </c>
      <c r="R71" s="181">
        <v>7822172262</v>
      </c>
      <c r="S71" s="182">
        <v>31548.14</v>
      </c>
      <c r="T71" s="210">
        <v>23</v>
      </c>
      <c r="U71" s="210">
        <v>72</v>
      </c>
    </row>
    <row r="72" spans="16:21" ht="18" thickBot="1">
      <c r="P72" s="215" t="s">
        <v>975</v>
      </c>
      <c r="Q72" s="217" t="s">
        <v>1485</v>
      </c>
      <c r="R72"/>
      <c r="S72"/>
      <c r="T72"/>
      <c r="U72"/>
    </row>
  </sheetData>
  <phoneticPr fontId="1" type="noConversion"/>
  <conditionalFormatting sqref="C29:C30">
    <cfRule type="cellIs" dxfId="21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74"/>
  <sheetViews>
    <sheetView topLeftCell="B1" zoomScaleNormal="100" workbookViewId="0">
      <selection activeCell="K66" sqref="K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7" width="5.59765625" style="94" customWidth="1"/>
    <col min="8" max="8" width="7.09765625" style="94" bestFit="1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662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3002123000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10032.6</v>
      </c>
      <c r="G5" s="90"/>
      <c r="H5" s="90"/>
      <c r="I5" s="130">
        <f t="shared" ref="I5:I49" si="0">T5</f>
        <v>215.36116775786195</v>
      </c>
      <c r="J5" s="130"/>
      <c r="K5" s="86"/>
      <c r="L5" s="80"/>
      <c r="M5" s="80"/>
      <c r="N5" s="79"/>
      <c r="O5" s="79"/>
      <c r="P5" s="129" t="s">
        <v>0</v>
      </c>
      <c r="Q5" s="116">
        <v>200652</v>
      </c>
      <c r="R5" s="116">
        <v>237303313</v>
      </c>
      <c r="S5" s="116">
        <v>931.7</v>
      </c>
      <c r="T5" s="130">
        <f t="shared" ref="T5:T35" si="1">Q5/S5</f>
        <v>215.36116775786195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8624.2222222222226</v>
      </c>
      <c r="G6" s="90">
        <f t="shared" ref="G6:G35" si="2">F6/F5-1</f>
        <v>-0.14038013852618236</v>
      </c>
      <c r="H6" s="90"/>
      <c r="I6" s="130">
        <f t="shared" si="0"/>
        <v>338.49978194505013</v>
      </c>
      <c r="J6" s="130"/>
      <c r="K6" s="78"/>
      <c r="L6" s="87"/>
      <c r="M6" s="87"/>
      <c r="N6" s="79"/>
      <c r="O6" s="79"/>
      <c r="P6" s="129" t="s">
        <v>1</v>
      </c>
      <c r="Q6" s="116">
        <v>155236</v>
      </c>
      <c r="R6" s="116">
        <v>185062938</v>
      </c>
      <c r="S6" s="116">
        <v>458.6</v>
      </c>
      <c r="T6" s="130">
        <f t="shared" si="1"/>
        <v>338.49978194505013</v>
      </c>
      <c r="U6" s="85"/>
    </row>
    <row r="7" spans="1:21" ht="15" hidden="1" customHeight="1">
      <c r="A7" s="129" t="s">
        <v>2</v>
      </c>
      <c r="B7" s="131">
        <f>F5+F6+F7</f>
        <v>18836.685858585861</v>
      </c>
      <c r="C7" s="131">
        <f>AVERAGE(F5:F7)</f>
        <v>6278.8952861952866</v>
      </c>
      <c r="D7" s="117"/>
      <c r="F7" s="78">
        <f>Q7/22</f>
        <v>179.86363636363637</v>
      </c>
      <c r="G7" s="90">
        <f t="shared" si="2"/>
        <v>-0.9791443643578458</v>
      </c>
      <c r="H7" s="90"/>
      <c r="I7" s="130">
        <f t="shared" si="0"/>
        <v>83.130252100840337</v>
      </c>
      <c r="J7" s="130"/>
      <c r="K7" s="85">
        <f>R5+R6+R7</f>
        <v>427111199</v>
      </c>
      <c r="L7" s="87"/>
      <c r="M7" s="87"/>
      <c r="N7" s="88">
        <f>AVERAGE(T5:T7)</f>
        <v>212.33040060125083</v>
      </c>
      <c r="O7" s="79"/>
      <c r="P7" s="129" t="s">
        <v>2</v>
      </c>
      <c r="Q7" s="116">
        <v>3957</v>
      </c>
      <c r="R7" s="116">
        <v>4744948</v>
      </c>
      <c r="S7" s="116">
        <v>47.6</v>
      </c>
      <c r="T7" s="130">
        <f t="shared" si="1"/>
        <v>83.130252100840337</v>
      </c>
      <c r="U7" s="85">
        <f>Q5+Q6+Q7</f>
        <v>359845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63.571428571428569</v>
      </c>
      <c r="G8" s="90">
        <f t="shared" si="2"/>
        <v>-0.64655763745983608</v>
      </c>
      <c r="H8" s="90"/>
      <c r="I8" s="130">
        <f t="shared" si="0"/>
        <v>114.10256410256412</v>
      </c>
      <c r="J8" s="130"/>
      <c r="K8" s="78"/>
      <c r="L8" s="87"/>
      <c r="M8" s="87"/>
      <c r="N8" s="79"/>
      <c r="O8" s="79"/>
      <c r="P8" s="129" t="s">
        <v>3</v>
      </c>
      <c r="Q8" s="116">
        <v>1335</v>
      </c>
      <c r="R8" s="116">
        <v>1629156</v>
      </c>
      <c r="S8" s="116">
        <v>11.7</v>
      </c>
      <c r="T8" s="130">
        <f t="shared" si="1"/>
        <v>114.10256410256412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4682.8095238095239</v>
      </c>
      <c r="G9" s="90">
        <f t="shared" si="2"/>
        <v>72.6621722846442</v>
      </c>
      <c r="H9" s="90"/>
      <c r="I9" s="130">
        <f t="shared" si="0"/>
        <v>2213.3468377222598</v>
      </c>
      <c r="J9" s="130"/>
      <c r="K9" s="78"/>
      <c r="L9" s="87"/>
      <c r="M9" s="87"/>
      <c r="N9" s="79"/>
      <c r="O9" s="79"/>
      <c r="P9" s="129" t="s">
        <v>4</v>
      </c>
      <c r="Q9" s="116">
        <v>98339</v>
      </c>
      <c r="R9" s="116">
        <v>123069021</v>
      </c>
      <c r="S9" s="116">
        <v>44.43</v>
      </c>
      <c r="T9" s="130">
        <f t="shared" si="1"/>
        <v>2213.3468377222598</v>
      </c>
      <c r="U9" s="85"/>
    </row>
    <row r="10" spans="1:21" ht="15" hidden="1" customHeight="1">
      <c r="A10" s="129" t="s">
        <v>5</v>
      </c>
      <c r="B10" s="131">
        <f>F8+F9+F10</f>
        <v>7823.4285714285716</v>
      </c>
      <c r="C10" s="131">
        <f>AVERAGE(F8:F10)</f>
        <v>2607.8095238095239</v>
      </c>
      <c r="D10" s="90">
        <f>C10/C7-1</f>
        <v>-0.5846706458788975</v>
      </c>
      <c r="E10" s="286"/>
      <c r="F10" s="78">
        <f>Q10/21</f>
        <v>3077.0476190476193</v>
      </c>
      <c r="G10" s="90">
        <f t="shared" si="2"/>
        <v>-0.34290566306348447</v>
      </c>
      <c r="H10" s="90"/>
      <c r="I10" s="130">
        <f t="shared" si="0"/>
        <v>2910.7207207207207</v>
      </c>
      <c r="J10" s="130"/>
      <c r="K10" s="85">
        <f>R8+R9+R10</f>
        <v>207330984</v>
      </c>
      <c r="L10" s="87">
        <f>U10/U7-1</f>
        <v>-0.5434367574928094</v>
      </c>
      <c r="M10" s="87"/>
      <c r="N10" s="88">
        <f>AVERAGE(T8:T10)</f>
        <v>1746.0567075151814</v>
      </c>
      <c r="O10" s="89">
        <f>N10/N7-1</f>
        <v>7.2233005851772294</v>
      </c>
      <c r="P10" s="129" t="s">
        <v>5</v>
      </c>
      <c r="Q10" s="116">
        <v>64618</v>
      </c>
      <c r="R10" s="116">
        <v>82632807</v>
      </c>
      <c r="S10" s="116">
        <v>22.2</v>
      </c>
      <c r="T10" s="130">
        <f t="shared" si="1"/>
        <v>2910.7207207207207</v>
      </c>
      <c r="U10" s="85">
        <f>Q8+Q9+Q10</f>
        <v>164292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2069.8571428571427</v>
      </c>
      <c r="G11" s="90">
        <f t="shared" si="2"/>
        <v>-0.32732365594725943</v>
      </c>
      <c r="H11" s="90"/>
      <c r="I11" s="130">
        <f t="shared" si="0"/>
        <v>3539.6579804560261</v>
      </c>
      <c r="J11" s="130"/>
      <c r="K11" s="78"/>
      <c r="L11" s="87"/>
      <c r="M11" s="87"/>
      <c r="N11" s="79"/>
      <c r="O11" s="89"/>
      <c r="P11" s="129" t="s">
        <v>6</v>
      </c>
      <c r="Q11" s="116">
        <v>43467</v>
      </c>
      <c r="R11" s="116">
        <v>56377444</v>
      </c>
      <c r="S11" s="116">
        <v>12.28</v>
      </c>
      <c r="T11" s="130">
        <f t="shared" si="1"/>
        <v>3539.6579804560261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746.36363636363637</v>
      </c>
      <c r="G12" s="90">
        <f t="shared" si="2"/>
        <v>-0.63941297159600696</v>
      </c>
      <c r="H12" s="90"/>
      <c r="I12" s="130">
        <f t="shared" si="0"/>
        <v>984.41247002398086</v>
      </c>
      <c r="J12" s="130"/>
      <c r="K12" s="78"/>
      <c r="L12" s="87"/>
      <c r="M12" s="87"/>
      <c r="N12" s="79"/>
      <c r="O12" s="89"/>
      <c r="P12" s="129" t="s">
        <v>7</v>
      </c>
      <c r="Q12" s="116">
        <v>16420</v>
      </c>
      <c r="R12" s="116">
        <v>21313421</v>
      </c>
      <c r="S12" s="116">
        <v>16.68</v>
      </c>
      <c r="T12" s="130">
        <f t="shared" si="1"/>
        <v>984.41247002398086</v>
      </c>
      <c r="U12" s="85"/>
    </row>
    <row r="13" spans="1:21" ht="15" hidden="1" customHeight="1">
      <c r="A13" s="129" t="s">
        <v>96</v>
      </c>
      <c r="B13" s="131">
        <f>F11+F12+F13</f>
        <v>3494.3207792207791</v>
      </c>
      <c r="C13" s="131">
        <f>AVERAGE(F11:F13)</f>
        <v>1164.773593073593</v>
      </c>
      <c r="D13" s="90">
        <f>C13/C10-1</f>
        <v>-0.55335173737226184</v>
      </c>
      <c r="E13" s="286"/>
      <c r="F13" s="78">
        <f>Q13/20</f>
        <v>678.1</v>
      </c>
      <c r="G13" s="90">
        <f t="shared" si="2"/>
        <v>-9.1461632155907413E-2</v>
      </c>
      <c r="H13" s="90"/>
      <c r="I13" s="130">
        <f t="shared" si="0"/>
        <v>772.32346241457867</v>
      </c>
      <c r="J13" s="130"/>
      <c r="K13" s="78">
        <f>R11+R12+R13</f>
        <v>96108734</v>
      </c>
      <c r="L13" s="87">
        <f>U13/U10-1</f>
        <v>-0.55293623548316417</v>
      </c>
      <c r="M13" s="87"/>
      <c r="N13" s="88">
        <f>AVERAGE(T11:T13)</f>
        <v>1765.4646376315286</v>
      </c>
      <c r="O13" s="89">
        <f>N13/N10-1</f>
        <v>1.1115291979243214E-2</v>
      </c>
      <c r="P13" s="129" t="s">
        <v>96</v>
      </c>
      <c r="Q13" s="116">
        <v>13562</v>
      </c>
      <c r="R13" s="116">
        <v>18417869</v>
      </c>
      <c r="S13" s="116">
        <v>17.559999999999999</v>
      </c>
      <c r="T13" s="130">
        <f t="shared" si="1"/>
        <v>772.32346241457867</v>
      </c>
      <c r="U13" s="85">
        <f>Q11+Q12+Q13</f>
        <v>73449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1982.85</v>
      </c>
      <c r="G14" s="90">
        <f t="shared" si="2"/>
        <v>1.9241262350685737</v>
      </c>
      <c r="H14" s="90"/>
      <c r="I14" s="130">
        <f t="shared" si="0"/>
        <v>4537.4141876430203</v>
      </c>
      <c r="J14" s="130"/>
      <c r="K14" s="78"/>
      <c r="L14" s="87"/>
      <c r="M14" s="87"/>
      <c r="N14" s="79"/>
      <c r="O14" s="89"/>
      <c r="P14" s="129" t="s">
        <v>97</v>
      </c>
      <c r="Q14" s="116">
        <v>39657</v>
      </c>
      <c r="R14" s="116">
        <v>56597641</v>
      </c>
      <c r="S14" s="116">
        <v>8.74</v>
      </c>
      <c r="T14" s="130">
        <f t="shared" si="1"/>
        <v>4537.4141876430203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129.09090909090909</v>
      </c>
      <c r="G15" s="90">
        <f t="shared" si="2"/>
        <v>-0.93489628106467504</v>
      </c>
      <c r="H15" s="90"/>
      <c r="I15" s="130">
        <f t="shared" si="0"/>
        <v>378.66666666666669</v>
      </c>
      <c r="J15" s="130"/>
      <c r="K15" s="78"/>
      <c r="L15" s="87"/>
      <c r="M15" s="87"/>
      <c r="N15" s="79"/>
      <c r="O15" s="89"/>
      <c r="P15" s="129" t="s">
        <v>98</v>
      </c>
      <c r="Q15" s="116">
        <v>2840</v>
      </c>
      <c r="R15" s="116">
        <v>4035096</v>
      </c>
      <c r="S15" s="116">
        <v>7.5</v>
      </c>
      <c r="T15" s="130">
        <f t="shared" si="1"/>
        <v>378.66666666666669</v>
      </c>
      <c r="U15" s="78"/>
    </row>
    <row r="16" spans="1:21" ht="15" hidden="1" customHeight="1">
      <c r="A16" s="129" t="s">
        <v>99</v>
      </c>
      <c r="B16" s="131">
        <f>F14+F15+F16</f>
        <v>2569.9409090909089</v>
      </c>
      <c r="C16" s="131">
        <f>AVERAGE(F14:F16)</f>
        <v>856.64696969696968</v>
      </c>
      <c r="D16" s="90">
        <f>C16/C13-1</f>
        <v>-0.26453778245739745</v>
      </c>
      <c r="E16" s="286"/>
      <c r="F16" s="78">
        <f>Q16/22</f>
        <v>458</v>
      </c>
      <c r="G16" s="90">
        <f t="shared" si="2"/>
        <v>2.5478873239436619</v>
      </c>
      <c r="H16" s="90"/>
      <c r="I16" s="130">
        <f t="shared" si="0"/>
        <v>1352.4832214765099</v>
      </c>
      <c r="J16" s="130"/>
      <c r="K16" s="78">
        <f>R14+R15+R16</f>
        <v>73916743</v>
      </c>
      <c r="L16" s="87">
        <f>U16/U13-1</f>
        <v>-0.28422442783427959</v>
      </c>
      <c r="M16" s="87"/>
      <c r="N16" s="88">
        <f>AVERAGE(T14:T16)</f>
        <v>2089.5213585953993</v>
      </c>
      <c r="O16" s="89">
        <f>N16/N13-1</f>
        <v>0.18355322109346317</v>
      </c>
      <c r="P16" s="129" t="s">
        <v>99</v>
      </c>
      <c r="Q16" s="116">
        <v>10076</v>
      </c>
      <c r="R16" s="116">
        <v>13284006</v>
      </c>
      <c r="S16" s="116">
        <v>7.45</v>
      </c>
      <c r="T16" s="130">
        <f t="shared" si="1"/>
        <v>1352.4832214765099</v>
      </c>
      <c r="U16" s="85">
        <f>Q14+Q15+Q16</f>
        <v>52573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1895.1</v>
      </c>
      <c r="G17" s="90">
        <f t="shared" si="2"/>
        <v>3.1377729257641915</v>
      </c>
      <c r="H17" s="90">
        <f t="shared" ref="H17:H35" si="3">F17/F5-1</f>
        <v>-0.81110579510794811</v>
      </c>
      <c r="I17" s="130">
        <f t="shared" si="0"/>
        <v>994.02045633359558</v>
      </c>
      <c r="J17" s="130">
        <f t="shared" ref="J17:J49" si="4">I17/I5-1</f>
        <v>3.6155974481490896</v>
      </c>
      <c r="K17" s="78"/>
      <c r="L17" s="87"/>
      <c r="M17" s="87"/>
      <c r="N17" s="79"/>
      <c r="O17" s="89"/>
      <c r="P17" s="129" t="s">
        <v>100</v>
      </c>
      <c r="Q17" s="116">
        <v>37902</v>
      </c>
      <c r="R17" s="116">
        <v>48053575</v>
      </c>
      <c r="S17" s="116">
        <v>38.130000000000003</v>
      </c>
      <c r="T17" s="130">
        <f t="shared" si="1"/>
        <v>994.02045633359558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38686.400000000001</v>
      </c>
      <c r="G18" s="90">
        <f t="shared" si="2"/>
        <v>19.413909556223949</v>
      </c>
      <c r="H18" s="90">
        <f t="shared" si="3"/>
        <v>3.4857842253085627</v>
      </c>
      <c r="I18" s="130">
        <f t="shared" si="0"/>
        <v>19533.653117899521</v>
      </c>
      <c r="J18" s="130">
        <f t="shared" si="4"/>
        <v>56.706545645782683</v>
      </c>
      <c r="K18" s="78"/>
      <c r="L18" s="87"/>
      <c r="M18" s="87"/>
      <c r="N18" s="79"/>
      <c r="O18" s="89"/>
      <c r="P18" s="129" t="s">
        <v>106</v>
      </c>
      <c r="Q18" s="116">
        <v>773728</v>
      </c>
      <c r="R18" s="116">
        <v>985692191</v>
      </c>
      <c r="S18" s="116">
        <v>39.61</v>
      </c>
      <c r="T18" s="130">
        <f t="shared" si="1"/>
        <v>19533.653117899521</v>
      </c>
      <c r="U18" s="78"/>
    </row>
    <row r="19" spans="1:21" hidden="1">
      <c r="A19" s="129" t="s">
        <v>114</v>
      </c>
      <c r="B19" s="131">
        <f>SUM(F17:F19)</f>
        <v>41755.772727272728</v>
      </c>
      <c r="C19" s="131">
        <f>AVERAGE(F17:F19)</f>
        <v>13918.59090909091</v>
      </c>
      <c r="D19" s="90">
        <f>C19/C16-1</f>
        <v>15.247755961845606</v>
      </c>
      <c r="E19" s="286">
        <f>C19/C7-1</f>
        <v>1.2167260759535483</v>
      </c>
      <c r="F19" s="78">
        <f>Q19/22</f>
        <v>1174.2727272727273</v>
      </c>
      <c r="G19" s="90">
        <f t="shared" si="2"/>
        <v>-0.96964636856174968</v>
      </c>
      <c r="H19" s="90">
        <f t="shared" si="3"/>
        <v>5.528683345969168</v>
      </c>
      <c r="I19" s="130">
        <f t="shared" si="0"/>
        <v>147.51327585222407</v>
      </c>
      <c r="J19" s="130">
        <f t="shared" si="4"/>
        <v>0.77448368222538932</v>
      </c>
      <c r="K19" s="78">
        <f>R17+R18+R19</f>
        <v>1067305054</v>
      </c>
      <c r="L19" s="87">
        <f>U19/U16-1</f>
        <v>14.929545584235253</v>
      </c>
      <c r="M19" s="87">
        <f>U19/U7-1</f>
        <v>1.3272909169225637</v>
      </c>
      <c r="N19" s="88">
        <f>AVERAGE(T17:T19)</f>
        <v>6891.728950028446</v>
      </c>
      <c r="O19" s="89">
        <f>N19/N16-1</f>
        <v>2.2982333115087883</v>
      </c>
      <c r="P19" s="129" t="s">
        <v>115</v>
      </c>
      <c r="Q19" s="116">
        <v>25834</v>
      </c>
      <c r="R19" s="116">
        <v>33559288</v>
      </c>
      <c r="S19" s="116">
        <v>175.13</v>
      </c>
      <c r="T19" s="130">
        <f t="shared" si="1"/>
        <v>147.51327585222407</v>
      </c>
      <c r="U19" s="85">
        <f>Q17+Q18+Q19</f>
        <v>837464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40728.5</v>
      </c>
      <c r="G20" s="90">
        <f t="shared" si="2"/>
        <v>33.6840210575211</v>
      </c>
      <c r="H20" s="90">
        <f t="shared" si="3"/>
        <v>639.67303370786522</v>
      </c>
      <c r="I20" s="130">
        <f t="shared" si="0"/>
        <v>15884.750390015601</v>
      </c>
      <c r="J20" s="130">
        <f t="shared" si="4"/>
        <v>138.21466633946255</v>
      </c>
      <c r="K20" s="78"/>
      <c r="L20" s="87"/>
      <c r="M20" s="87"/>
      <c r="N20" s="79"/>
      <c r="O20" s="89"/>
      <c r="P20" s="129" t="s">
        <v>132</v>
      </c>
      <c r="Q20" s="116">
        <v>814570</v>
      </c>
      <c r="R20" s="116">
        <v>1058256284</v>
      </c>
      <c r="S20" s="116">
        <v>51.28</v>
      </c>
      <c r="T20" s="130">
        <f t="shared" si="1"/>
        <v>15884.750390015601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937.14285714285711</v>
      </c>
      <c r="G21" s="90">
        <f t="shared" si="2"/>
        <v>-0.97699048928531973</v>
      </c>
      <c r="H21" s="90">
        <f t="shared" si="3"/>
        <v>-0.79987593935264745</v>
      </c>
      <c r="I21" s="130">
        <f t="shared" si="0"/>
        <v>4259.7402597402597</v>
      </c>
      <c r="J21" s="130">
        <f t="shared" si="4"/>
        <v>0.92456970012161732</v>
      </c>
      <c r="K21" s="78"/>
      <c r="L21" s="87"/>
      <c r="M21" s="87"/>
      <c r="N21" s="79"/>
      <c r="O21" s="89"/>
      <c r="P21" s="129" t="s">
        <v>141</v>
      </c>
      <c r="Q21" s="116">
        <v>19680</v>
      </c>
      <c r="R21" s="116">
        <v>26360127</v>
      </c>
      <c r="S21" s="116">
        <v>4.62</v>
      </c>
      <c r="T21" s="130">
        <f t="shared" si="1"/>
        <v>4259.7402597402597</v>
      </c>
      <c r="U21" s="78"/>
    </row>
    <row r="22" spans="1:21" hidden="1">
      <c r="A22" s="129" t="s">
        <v>155</v>
      </c>
      <c r="B22" s="131">
        <f>SUM(F20:F22)</f>
        <v>42470.166666666664</v>
      </c>
      <c r="C22" s="131">
        <f>AVERAGE(F20:F22)</f>
        <v>14156.722222222221</v>
      </c>
      <c r="D22" s="90">
        <f>C22/C19-1</f>
        <v>1.7108866456860605E-2</v>
      </c>
      <c r="E22" s="286">
        <f>C22/C10-1</f>
        <v>4.428587514912472</v>
      </c>
      <c r="F22" s="78">
        <f>Q22/21</f>
        <v>804.52380952380952</v>
      </c>
      <c r="G22" s="90">
        <f t="shared" si="2"/>
        <v>-0.14151422764227639</v>
      </c>
      <c r="H22" s="90">
        <f t="shared" si="3"/>
        <v>-0.73854034479556785</v>
      </c>
      <c r="I22" s="130">
        <f t="shared" si="0"/>
        <v>316.80105006562911</v>
      </c>
      <c r="J22" s="130">
        <f t="shared" si="4"/>
        <v>-0.89116061605965879</v>
      </c>
      <c r="K22" s="78">
        <f>R20+R21+R22</f>
        <v>1106357846</v>
      </c>
      <c r="L22" s="87">
        <f>U22/U19-1</f>
        <v>1.6336224601893434E-2</v>
      </c>
      <c r="M22" s="87">
        <f>U22/U10-1</f>
        <v>4.1806843912059017</v>
      </c>
      <c r="N22" s="88">
        <f>AVERAGE(T20:T22)</f>
        <v>6820.4305666071632</v>
      </c>
      <c r="O22" s="89">
        <f>N22/N19-1</f>
        <v>-1.0345500227629922E-2</v>
      </c>
      <c r="P22" s="129" t="s">
        <v>155</v>
      </c>
      <c r="Q22" s="116">
        <v>16895</v>
      </c>
      <c r="R22" s="116">
        <v>21741435</v>
      </c>
      <c r="S22" s="116">
        <v>53.33</v>
      </c>
      <c r="T22" s="130">
        <f t="shared" si="1"/>
        <v>316.80105006562911</v>
      </c>
      <c r="U22" s="85">
        <f>Q20+Q21+Q22</f>
        <v>851145</v>
      </c>
    </row>
    <row r="23" spans="1:21" hidden="1">
      <c r="A23" s="129" t="s">
        <v>189</v>
      </c>
      <c r="B23" s="131"/>
      <c r="C23" s="131"/>
      <c r="D23" s="117"/>
      <c r="F23" s="78">
        <f>Q23/21</f>
        <v>4207.1428571428569</v>
      </c>
      <c r="G23" s="90">
        <f t="shared" si="2"/>
        <v>4.2293577981651369</v>
      </c>
      <c r="H23" s="90">
        <f t="shared" si="3"/>
        <v>1.0325764372972599</v>
      </c>
      <c r="I23" s="130">
        <f t="shared" si="0"/>
        <v>8747.5247524752485</v>
      </c>
      <c r="J23" s="130">
        <f t="shared" si="4"/>
        <v>1.4712909554465701</v>
      </c>
      <c r="K23" s="78"/>
      <c r="L23" s="87"/>
      <c r="M23" s="87"/>
      <c r="N23" s="79"/>
      <c r="O23" s="89"/>
      <c r="P23" s="129" t="s">
        <v>189</v>
      </c>
      <c r="Q23" s="116">
        <v>88350</v>
      </c>
      <c r="R23" s="116">
        <v>115316911</v>
      </c>
      <c r="S23" s="116">
        <v>10.1</v>
      </c>
      <c r="T23" s="130">
        <f t="shared" si="1"/>
        <v>8747.5247524752485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2968.318181818182</v>
      </c>
      <c r="G24" s="90">
        <f t="shared" si="2"/>
        <v>-0.29445747800586497</v>
      </c>
      <c r="H24" s="90">
        <f t="shared" si="3"/>
        <v>2.9770401948842875</v>
      </c>
      <c r="I24" s="130">
        <f t="shared" si="0"/>
        <v>3929.1817087845966</v>
      </c>
      <c r="J24" s="130">
        <f t="shared" si="4"/>
        <v>2.9913977407141941</v>
      </c>
      <c r="K24" s="78"/>
      <c r="L24" s="87"/>
      <c r="M24" s="87"/>
      <c r="N24" s="79"/>
      <c r="O24" s="89"/>
      <c r="P24" s="129" t="s">
        <v>204</v>
      </c>
      <c r="Q24" s="116">
        <v>65303</v>
      </c>
      <c r="R24" s="116">
        <v>85609064</v>
      </c>
      <c r="S24" s="116">
        <v>16.62</v>
      </c>
      <c r="T24" s="130">
        <f t="shared" si="1"/>
        <v>3929.1817087845966</v>
      </c>
      <c r="U24" s="78"/>
    </row>
    <row r="25" spans="1:21" s="92" customFormat="1" ht="13.2" hidden="1">
      <c r="A25" s="129" t="s">
        <v>219</v>
      </c>
      <c r="B25" s="131">
        <f>SUM(F23:F25)</f>
        <v>8933.3557758031438</v>
      </c>
      <c r="C25" s="131">
        <f>AVERAGE(F23:F25)</f>
        <v>2977.7852586010481</v>
      </c>
      <c r="D25" s="90">
        <f>C25/C22-1</f>
        <v>-0.78965574008885109</v>
      </c>
      <c r="E25" s="286">
        <f>C25/C13-1</f>
        <v>1.5565356875436178</v>
      </c>
      <c r="F25" s="78">
        <f>Q25/19</f>
        <v>1757.8947368421052</v>
      </c>
      <c r="G25" s="90">
        <f t="shared" si="2"/>
        <v>-0.40778089505036041</v>
      </c>
      <c r="H25" s="90">
        <f t="shared" si="3"/>
        <v>1.5923827412507081</v>
      </c>
      <c r="I25" s="130">
        <f t="shared" si="0"/>
        <v>348.31577849619356</v>
      </c>
      <c r="J25" s="130">
        <f t="shared" si="4"/>
        <v>-0.54900272302070796</v>
      </c>
      <c r="K25" s="78">
        <f>R23+R24+R25</f>
        <v>245253707</v>
      </c>
      <c r="L25" s="90">
        <f>U25/U22-1</f>
        <v>-0.78023368521227288</v>
      </c>
      <c r="M25" s="90">
        <f>U25/U13-1</f>
        <v>1.5467058775476863</v>
      </c>
      <c r="N25" s="88">
        <f>AVERAGE(T23:T25)</f>
        <v>4341.6740799186791</v>
      </c>
      <c r="O25" s="91">
        <f>N25/N22-1</f>
        <v>-0.36343108583561845</v>
      </c>
      <c r="P25" s="129" t="s">
        <v>219</v>
      </c>
      <c r="Q25" s="116">
        <v>33400</v>
      </c>
      <c r="R25" s="116">
        <v>44327732</v>
      </c>
      <c r="S25" s="116">
        <v>95.89</v>
      </c>
      <c r="T25" s="130">
        <f t="shared" si="1"/>
        <v>348.31577849619356</v>
      </c>
      <c r="U25" s="85">
        <f>Q23+Q24+Q25</f>
        <v>187053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25676.78947368421</v>
      </c>
      <c r="G26" s="90">
        <f t="shared" si="2"/>
        <v>13.606556886227546</v>
      </c>
      <c r="H26" s="90">
        <f t="shared" si="3"/>
        <v>11.94943615184417</v>
      </c>
      <c r="I26" s="130">
        <f t="shared" si="0"/>
        <v>58.477701929243111</v>
      </c>
      <c r="J26" s="130">
        <f t="shared" si="4"/>
        <v>-0.98711210845849195</v>
      </c>
      <c r="K26" s="78"/>
      <c r="L26" s="90"/>
      <c r="M26" s="90"/>
      <c r="N26" s="79"/>
      <c r="O26" s="79"/>
      <c r="P26" s="129" t="s">
        <v>312</v>
      </c>
      <c r="Q26" s="116">
        <v>487859</v>
      </c>
      <c r="R26" s="116">
        <v>658091587</v>
      </c>
      <c r="S26" s="116">
        <v>8342.65</v>
      </c>
      <c r="T26" s="130">
        <f t="shared" si="1"/>
        <v>58.477701929243111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62263.090909090912</v>
      </c>
      <c r="G27" s="90">
        <f t="shared" si="2"/>
        <v>1.4248783506560856</v>
      </c>
      <c r="H27" s="90">
        <f t="shared" si="3"/>
        <v>481.31971830985918</v>
      </c>
      <c r="I27" s="130">
        <f t="shared" si="0"/>
        <v>2414.914847854448</v>
      </c>
      <c r="J27" s="130">
        <f t="shared" si="4"/>
        <v>5.377415971446605</v>
      </c>
      <c r="K27" s="78"/>
      <c r="L27" s="90"/>
      <c r="M27" s="90"/>
      <c r="N27" s="79"/>
      <c r="O27" s="79"/>
      <c r="P27" s="129" t="s">
        <v>373</v>
      </c>
      <c r="Q27" s="116">
        <v>1369788</v>
      </c>
      <c r="R27" s="116">
        <v>1850920258</v>
      </c>
      <c r="S27" s="116">
        <v>567.22</v>
      </c>
      <c r="T27" s="130">
        <f t="shared" si="1"/>
        <v>2414.914847854448</v>
      </c>
      <c r="U27" s="78"/>
    </row>
    <row r="28" spans="1:21" s="92" customFormat="1" ht="13.2" hidden="1">
      <c r="A28" s="123" t="s">
        <v>413</v>
      </c>
      <c r="B28" s="131">
        <f>SUM(F26:F28)</f>
        <v>90056.722488038286</v>
      </c>
      <c r="C28" s="131">
        <f>AVERAGE(F26:F28)</f>
        <v>30018.907496012762</v>
      </c>
      <c r="D28" s="90">
        <f>C28/C25-1</f>
        <v>9.0809510723803939</v>
      </c>
      <c r="E28" s="286">
        <f>C28/C16-1</f>
        <v>34.042331973265078</v>
      </c>
      <c r="F28" s="78">
        <f>Q28/19</f>
        <v>2116.8421052631579</v>
      </c>
      <c r="G28" s="90">
        <f t="shared" si="2"/>
        <v>-0.9660016540400489</v>
      </c>
      <c r="H28" s="90">
        <f t="shared" si="3"/>
        <v>3.6219259940243624</v>
      </c>
      <c r="I28" s="130">
        <f t="shared" si="0"/>
        <v>2893.5251798561148</v>
      </c>
      <c r="J28" s="130">
        <f t="shared" si="4"/>
        <v>1.1394166921325981</v>
      </c>
      <c r="K28" s="78">
        <f>R26+R27+R28</f>
        <v>2561691232</v>
      </c>
      <c r="L28" s="90">
        <f>U28/U25-1</f>
        <v>9.1461457447889103</v>
      </c>
      <c r="M28" s="90">
        <f>U28/U16-1</f>
        <v>35.0996519125787</v>
      </c>
      <c r="N28" s="88">
        <f>AVERAGE(T26:T28)</f>
        <v>1788.9725765466021</v>
      </c>
      <c r="O28" s="91">
        <f>N28/N25-1</f>
        <v>-0.58795327709626011</v>
      </c>
      <c r="P28" s="129" t="s">
        <v>413</v>
      </c>
      <c r="Q28" s="116">
        <v>40220</v>
      </c>
      <c r="R28" s="116">
        <v>52679387</v>
      </c>
      <c r="S28" s="116">
        <v>13.9</v>
      </c>
      <c r="T28" s="130">
        <f t="shared" si="1"/>
        <v>2893.5251798561148</v>
      </c>
      <c r="U28" s="85">
        <f>Q26+Q27+Q28</f>
        <v>1897867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11265.59090909091</v>
      </c>
      <c r="G29" s="190">
        <f t="shared" si="2"/>
        <v>4.3218853125988881</v>
      </c>
      <c r="H29" s="190">
        <f t="shared" si="3"/>
        <v>4.9445891557653479</v>
      </c>
      <c r="I29" s="130">
        <f t="shared" si="0"/>
        <v>2184.0236164962989</v>
      </c>
      <c r="J29" s="130">
        <f t="shared" si="4"/>
        <v>1.1971616404676237</v>
      </c>
      <c r="K29" s="136"/>
      <c r="L29" s="190"/>
      <c r="M29" s="190"/>
      <c r="N29" s="191"/>
      <c r="O29" s="192"/>
      <c r="P29" s="129" t="s">
        <v>426</v>
      </c>
      <c r="Q29" s="116">
        <v>247843</v>
      </c>
      <c r="R29" s="116">
        <v>331167259</v>
      </c>
      <c r="S29" s="116">
        <v>113.48</v>
      </c>
      <c r="T29" s="130">
        <f t="shared" si="1"/>
        <v>2184.0236164962989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660.57894736842104</v>
      </c>
      <c r="G30" s="190">
        <f t="shared" si="2"/>
        <v>-0.94136313374957026</v>
      </c>
      <c r="H30" s="190">
        <f t="shared" si="3"/>
        <v>-0.98292477595825867</v>
      </c>
      <c r="I30" s="130">
        <f t="shared" si="0"/>
        <v>178.81464596096311</v>
      </c>
      <c r="J30" s="130">
        <f t="shared" si="4"/>
        <v>-0.99084581645421421</v>
      </c>
      <c r="K30" s="136"/>
      <c r="L30" s="190"/>
      <c r="M30" s="190"/>
      <c r="N30" s="191"/>
      <c r="O30" s="192"/>
      <c r="P30" s="129" t="s">
        <v>466</v>
      </c>
      <c r="Q30" s="116">
        <v>12551</v>
      </c>
      <c r="R30" s="116">
        <v>16755813</v>
      </c>
      <c r="S30" s="116">
        <v>70.19</v>
      </c>
      <c r="T30" s="130">
        <f t="shared" si="1"/>
        <v>178.81464596096311</v>
      </c>
      <c r="U30" s="85"/>
    </row>
    <row r="31" spans="1:21" s="92" customFormat="1" ht="13.2" hidden="1">
      <c r="A31" s="129" t="s">
        <v>505</v>
      </c>
      <c r="B31" s="188">
        <f>SUM(F29:F31)</f>
        <v>14936.969856459331</v>
      </c>
      <c r="C31" s="188">
        <f>AVERAGE(F29:F31)</f>
        <v>4978.9899521531106</v>
      </c>
      <c r="D31" s="190">
        <f>C31/C28-1</f>
        <v>-0.83413820263730654</v>
      </c>
      <c r="E31" s="287">
        <f>C31/C19-1</f>
        <v>-0.64227772878207889</v>
      </c>
      <c r="F31" s="136">
        <f>Q31/20</f>
        <v>3010.8</v>
      </c>
      <c r="G31" s="190">
        <f t="shared" si="2"/>
        <v>3.5578200940164137</v>
      </c>
      <c r="H31" s="190">
        <f t="shared" si="3"/>
        <v>1.5639699620654954</v>
      </c>
      <c r="I31" s="130">
        <f t="shared" si="0"/>
        <v>1354.0814031931641</v>
      </c>
      <c r="J31" s="130">
        <f t="shared" si="4"/>
        <v>8.1793867051644664</v>
      </c>
      <c r="K31" s="136">
        <f>R29+R30+R31</f>
        <v>427915381</v>
      </c>
      <c r="L31" s="190">
        <f>U31/U28-1</f>
        <v>-0.83106824661580603</v>
      </c>
      <c r="M31" s="190">
        <f>U31/U19-1</f>
        <v>-0.61716563338842034</v>
      </c>
      <c r="N31" s="191">
        <f>AVERAGE(T29:T31)</f>
        <v>1238.9732218834754</v>
      </c>
      <c r="O31" s="192">
        <f>N31/N28-1</f>
        <v>-0.30743867283020898</v>
      </c>
      <c r="P31" s="129" t="s">
        <v>505</v>
      </c>
      <c r="Q31" s="116">
        <v>60216</v>
      </c>
      <c r="R31" s="116">
        <v>79992309</v>
      </c>
      <c r="S31" s="116">
        <v>44.47</v>
      </c>
      <c r="T31" s="130">
        <f t="shared" si="1"/>
        <v>1354.0814031931641</v>
      </c>
      <c r="U31" s="85">
        <f>Q29+Q30+Q31</f>
        <v>320610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856.80952380952385</v>
      </c>
      <c r="G32" s="190">
        <f t="shared" si="2"/>
        <v>-0.71542130868555742</v>
      </c>
      <c r="H32" s="190">
        <f t="shared" si="3"/>
        <v>-0.97896290008692877</v>
      </c>
      <c r="I32" s="130">
        <f t="shared" si="0"/>
        <v>233.10014250550591</v>
      </c>
      <c r="J32" s="130">
        <f t="shared" si="4"/>
        <v>-0.98532553947766022</v>
      </c>
      <c r="K32" s="136"/>
      <c r="L32" s="190"/>
      <c r="M32" s="190"/>
      <c r="N32" s="191"/>
      <c r="O32" s="192"/>
      <c r="P32" s="129" t="s">
        <v>562</v>
      </c>
      <c r="Q32" s="116">
        <v>17993</v>
      </c>
      <c r="R32" s="116">
        <v>24257154</v>
      </c>
      <c r="S32" s="116">
        <v>77.19</v>
      </c>
      <c r="T32" s="130">
        <f t="shared" si="1"/>
        <v>233.10014250550591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1194.4285714285713</v>
      </c>
      <c r="G33" s="190">
        <f t="shared" si="2"/>
        <v>0.39404212749402534</v>
      </c>
      <c r="H33" s="190">
        <f t="shared" si="3"/>
        <v>0.27454268292682915</v>
      </c>
      <c r="I33" s="130">
        <f t="shared" si="0"/>
        <v>172.72414268007162</v>
      </c>
      <c r="J33" s="130">
        <f t="shared" si="4"/>
        <v>-0.95945195430986119</v>
      </c>
      <c r="K33" s="136"/>
      <c r="L33" s="190"/>
      <c r="M33" s="190"/>
      <c r="N33" s="191"/>
      <c r="O33" s="192"/>
      <c r="P33" s="129" t="s">
        <v>606</v>
      </c>
      <c r="Q33" s="116">
        <v>25083</v>
      </c>
      <c r="R33" s="116">
        <v>34226581</v>
      </c>
      <c r="S33" s="116">
        <v>145.22</v>
      </c>
      <c r="T33" s="130">
        <f t="shared" si="1"/>
        <v>172.72414268007162</v>
      </c>
      <c r="U33" s="85"/>
    </row>
    <row r="34" spans="1:21" s="92" customFormat="1" ht="13.2" hidden="1">
      <c r="A34" s="129" t="s">
        <v>652</v>
      </c>
      <c r="B34" s="188">
        <f>SUM(F32:F34)</f>
        <v>8780.6591478696755</v>
      </c>
      <c r="C34" s="188">
        <f>AVERAGE(F32:F34)</f>
        <v>2926.886382623225</v>
      </c>
      <c r="D34" s="190">
        <f>C34/C31-1</f>
        <v>-0.41215258300380286</v>
      </c>
      <c r="E34" s="287">
        <f>C34/C22-1</f>
        <v>-0.79325112574231305</v>
      </c>
      <c r="F34" s="136">
        <f>Q34/19</f>
        <v>6729.4210526315792</v>
      </c>
      <c r="G34" s="190">
        <f t="shared" si="2"/>
        <v>4.6340087750772705</v>
      </c>
      <c r="H34" s="190">
        <f t="shared" si="3"/>
        <v>7.3644771888288343</v>
      </c>
      <c r="I34" s="130">
        <f t="shared" si="0"/>
        <v>110.34789287902717</v>
      </c>
      <c r="J34" s="130">
        <f t="shared" si="4"/>
        <v>-0.65168078560292875</v>
      </c>
      <c r="K34" s="136">
        <f>R32+R33+R34</f>
        <v>233483224</v>
      </c>
      <c r="L34" s="190">
        <f>U34/U31-1</f>
        <v>-0.46684445276192255</v>
      </c>
      <c r="M34" s="190">
        <f>U34/U22-1</f>
        <v>-0.79917052911078601</v>
      </c>
      <c r="N34" s="191">
        <f>AVERAGE(T32:T34)</f>
        <v>172.05739268820159</v>
      </c>
      <c r="O34" s="206">
        <f>N34/N31-1</f>
        <v>-0.86112904649654853</v>
      </c>
      <c r="P34" s="129" t="s">
        <v>652</v>
      </c>
      <c r="Q34" s="116">
        <v>127859</v>
      </c>
      <c r="R34" s="116">
        <v>174999489</v>
      </c>
      <c r="S34" s="116">
        <v>1158.69</v>
      </c>
      <c r="T34" s="130">
        <f t="shared" si="1"/>
        <v>110.34789287902717</v>
      </c>
      <c r="U34" s="85">
        <f>Q32+Q33+Q34</f>
        <v>170935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309384.5652173913</v>
      </c>
      <c r="G35" s="190">
        <f t="shared" si="2"/>
        <v>44.974915642468929</v>
      </c>
      <c r="H35" s="190">
        <f t="shared" si="3"/>
        <v>72.537927216357872</v>
      </c>
      <c r="I35" s="130">
        <f t="shared" si="0"/>
        <v>4408.1704083655468</v>
      </c>
      <c r="J35" s="130">
        <f t="shared" si="4"/>
        <v>-0.49606654075277856</v>
      </c>
      <c r="K35" s="136"/>
      <c r="L35" s="190"/>
      <c r="M35" s="190"/>
      <c r="N35" s="191"/>
      <c r="O35" s="206"/>
      <c r="P35" s="129" t="s">
        <v>659</v>
      </c>
      <c r="Q35" s="116">
        <v>7115845</v>
      </c>
      <c r="R35" s="116">
        <v>9883045303</v>
      </c>
      <c r="S35" s="116">
        <v>1614.24</v>
      </c>
      <c r="T35" s="130">
        <f t="shared" si="1"/>
        <v>4408.1704083655468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738183.23809523811</v>
      </c>
      <c r="G36" s="190">
        <f t="shared" ref="G36" si="5">F36/F35-1</f>
        <v>1.385973060991418</v>
      </c>
      <c r="H36" s="190">
        <f t="shared" ref="H36" si="6">F36/F24-1</f>
        <v>247.68736869814921</v>
      </c>
      <c r="I36" s="130">
        <f t="shared" si="0"/>
        <v>5073.7398169089229</v>
      </c>
      <c r="J36" s="130">
        <f t="shared" si="4"/>
        <v>0.29129681265832041</v>
      </c>
      <c r="K36" s="136"/>
      <c r="L36" s="190"/>
      <c r="M36" s="190"/>
      <c r="N36" s="191"/>
      <c r="O36" s="206"/>
      <c r="P36" s="129" t="s">
        <v>666</v>
      </c>
      <c r="Q36" s="116">
        <v>15501848</v>
      </c>
      <c r="R36" s="116">
        <v>21083204627</v>
      </c>
      <c r="S36" s="116">
        <v>3055.31</v>
      </c>
      <c r="T36" s="130">
        <f t="shared" ref="T36" si="7">Q36/S36</f>
        <v>5073.7398169089229</v>
      </c>
      <c r="U36" s="85"/>
    </row>
    <row r="37" spans="1:21" s="92" customFormat="1" ht="13.2" hidden="1">
      <c r="A37" s="129" t="s">
        <v>702</v>
      </c>
      <c r="B37" s="188">
        <f>SUM(F35:F37)</f>
        <v>1049075.358868185</v>
      </c>
      <c r="C37" s="188">
        <f>AVERAGE(F35:F37)</f>
        <v>349691.78628939501</v>
      </c>
      <c r="D37" s="190">
        <f>C37/C34-1</f>
        <v>118.47569552596823</v>
      </c>
      <c r="E37" s="287">
        <f>C37/C25-1</f>
        <v>116.43351381008543</v>
      </c>
      <c r="F37" s="136">
        <f>Q37/18</f>
        <v>1507.5555555555557</v>
      </c>
      <c r="G37" s="190">
        <f t="shared" ref="G37" si="8">F37/F36-1</f>
        <v>-0.99795774886538258</v>
      </c>
      <c r="H37" s="190">
        <f t="shared" ref="H37" si="9">F37/F25-1</f>
        <v>-0.14240851630073181</v>
      </c>
      <c r="I37" s="130" t="e">
        <f t="shared" si="0"/>
        <v>#VALUE!</v>
      </c>
      <c r="J37" s="130" t="e">
        <f t="shared" si="4"/>
        <v>#VALUE!</v>
      </c>
      <c r="K37" s="136">
        <f>R35+R36+R37</f>
        <v>31002461721</v>
      </c>
      <c r="L37" s="190">
        <f>U37/U34-1</f>
        <v>131.47625705677598</v>
      </c>
      <c r="M37" s="190">
        <f>U37/U25-1</f>
        <v>120.06103083083404</v>
      </c>
      <c r="N37" s="191" t="e">
        <f>AVERAGE(T35:T37)</f>
        <v>#VALUE!</v>
      </c>
      <c r="O37" s="206" t="e">
        <f>N37/N34-1</f>
        <v>#VALUE!</v>
      </c>
      <c r="P37" s="129" t="s">
        <v>702</v>
      </c>
      <c r="Q37" s="116">
        <v>27136</v>
      </c>
      <c r="R37" s="116">
        <v>36211791</v>
      </c>
      <c r="S37" s="116" t="s">
        <v>837</v>
      </c>
      <c r="T37" s="130" t="e">
        <f t="shared" ref="T37" si="10">Q37/S37</f>
        <v>#VALUE!</v>
      </c>
      <c r="U37" s="85">
        <f>Q35+Q36+Q37</f>
        <v>22644829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387424.25</v>
      </c>
      <c r="G38" s="190">
        <f t="shared" ref="G38" si="11">F38/F37-1</f>
        <v>255.98837337853774</v>
      </c>
      <c r="H38" s="190">
        <f t="shared" ref="H38" si="12">F38/F26-1</f>
        <v>14.088500468373034</v>
      </c>
      <c r="I38" s="130">
        <f t="shared" si="0"/>
        <v>4838.1161999313163</v>
      </c>
      <c r="J38" s="130">
        <f t="shared" si="4"/>
        <v>81.734376357424978</v>
      </c>
      <c r="K38" s="136"/>
      <c r="L38" s="190"/>
      <c r="M38" s="190"/>
      <c r="N38" s="191"/>
      <c r="O38" s="206"/>
      <c r="P38" s="129" t="s">
        <v>728</v>
      </c>
      <c r="Q38" s="116">
        <v>7748485</v>
      </c>
      <c r="R38" s="116">
        <v>10416124141</v>
      </c>
      <c r="S38" s="116">
        <v>1601.55</v>
      </c>
      <c r="T38" s="130">
        <f t="shared" ref="T38" si="13">Q38/S38</f>
        <v>4838.1161999313163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774406.28571428568</v>
      </c>
      <c r="G39" s="190">
        <f t="shared" ref="G39" si="14">F39/F38-1</f>
        <v>0.99885857871386641</v>
      </c>
      <c r="H39" s="190">
        <f t="shared" ref="H39" si="15">F39/F27-1</f>
        <v>11.437646034068253</v>
      </c>
      <c r="I39" s="130">
        <f t="shared" si="0"/>
        <v>802.32885822599462</v>
      </c>
      <c r="J39" s="130">
        <f t="shared" si="4"/>
        <v>-0.66776101487022177</v>
      </c>
      <c r="K39" s="136"/>
      <c r="L39" s="190"/>
      <c r="M39" s="190"/>
      <c r="N39" s="191"/>
      <c r="O39" s="206"/>
      <c r="P39" s="129" t="s">
        <v>762</v>
      </c>
      <c r="Q39" s="116">
        <v>16262532</v>
      </c>
      <c r="R39" s="116">
        <v>22652228843</v>
      </c>
      <c r="S39" s="116">
        <v>20269.16</v>
      </c>
      <c r="T39" s="130">
        <f t="shared" ref="T39" si="16">Q39/S39</f>
        <v>802.32885822599462</v>
      </c>
      <c r="U39" s="85"/>
    </row>
    <row r="40" spans="1:21" s="92" customFormat="1" ht="13.2" hidden="1">
      <c r="A40" s="129" t="s">
        <v>778</v>
      </c>
      <c r="B40" s="188">
        <f>SUM(F38:F40)</f>
        <v>1673377.6785714286</v>
      </c>
      <c r="C40" s="188">
        <f>AVERAGE(F38:F40)</f>
        <v>557792.55952380958</v>
      </c>
      <c r="D40" s="190">
        <f>C40/C37-1</f>
        <v>0.59509768714497713</v>
      </c>
      <c r="E40" s="287">
        <f>C40/C28-1</f>
        <v>17.581374408708843</v>
      </c>
      <c r="F40" s="136">
        <f>Q40/21</f>
        <v>511547.14285714284</v>
      </c>
      <c r="G40" s="190">
        <f t="shared" ref="G40" si="17">F40/F39-1</f>
        <v>-0.33943312148440352</v>
      </c>
      <c r="H40" s="190">
        <f t="shared" ref="H40" si="18">F40/F28-1</f>
        <v>240.65578603395608</v>
      </c>
      <c r="I40" s="130">
        <f t="shared" si="0"/>
        <v>5161.2343733484513</v>
      </c>
      <c r="J40" s="130">
        <f t="shared" si="4"/>
        <v>0.78371849302693875</v>
      </c>
      <c r="K40" s="136">
        <f>R38+R39+R40</f>
        <v>48273217460</v>
      </c>
      <c r="L40" s="190">
        <f>U40/U37-1</f>
        <v>0.53472154724595189</v>
      </c>
      <c r="M40" s="190">
        <f>U40/U28-1</f>
        <v>17.311876965034958</v>
      </c>
      <c r="N40" s="191">
        <f>AVERAGE(T38:T40)</f>
        <v>3600.5598105019212</v>
      </c>
      <c r="O40" s="206" t="e">
        <f>N40/N37-1</f>
        <v>#VALUE!</v>
      </c>
      <c r="P40" s="129" t="s">
        <v>778</v>
      </c>
      <c r="Q40" s="116">
        <v>10742490</v>
      </c>
      <c r="R40" s="116">
        <v>15204864476</v>
      </c>
      <c r="S40" s="116">
        <v>2081.38</v>
      </c>
      <c r="T40" s="130">
        <f t="shared" ref="T40" si="19">Q40/S40</f>
        <v>5161.2343733484513</v>
      </c>
      <c r="U40" s="85">
        <f>Q38+Q39+Q40</f>
        <v>34753507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154494.33333333334</v>
      </c>
      <c r="G41" s="190">
        <f t="shared" ref="G41" si="20">F41/F40-1</f>
        <v>-0.69798612798336324</v>
      </c>
      <c r="H41" s="190">
        <f t="shared" ref="H41" si="21">F41/F29-1</f>
        <v>12.713824208605178</v>
      </c>
      <c r="I41" s="130">
        <f t="shared" si="0"/>
        <v>4539.7228071893824</v>
      </c>
      <c r="J41" s="130">
        <f t="shared" si="4"/>
        <v>1.0786051821510032</v>
      </c>
      <c r="K41" s="194"/>
      <c r="L41" s="202"/>
      <c r="M41" s="202"/>
      <c r="N41" s="194"/>
      <c r="O41" s="194"/>
      <c r="P41" s="129" t="s">
        <v>792</v>
      </c>
      <c r="Q41" s="116">
        <v>2780898</v>
      </c>
      <c r="R41" s="116">
        <v>4064519235</v>
      </c>
      <c r="S41" s="116">
        <v>612.57000000000005</v>
      </c>
      <c r="T41" s="130">
        <f t="shared" ref="T41" si="22">Q41/S41</f>
        <v>4539.7228071893824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1384.7</v>
      </c>
      <c r="G42" s="190">
        <f t="shared" ref="G42" si="23">F42/F41-1</f>
        <v>-0.99103721172081827</v>
      </c>
      <c r="H42" s="190">
        <f t="shared" ref="H42" si="24">F42/F30-1</f>
        <v>1.0961915385228269</v>
      </c>
      <c r="I42" s="130">
        <f t="shared" si="0"/>
        <v>802.49203129527677</v>
      </c>
      <c r="J42" s="130">
        <f t="shared" si="4"/>
        <v>3.4878428552796965</v>
      </c>
      <c r="K42" s="194"/>
      <c r="L42" s="202"/>
      <c r="M42" s="202"/>
      <c r="N42" s="194"/>
      <c r="O42" s="194"/>
      <c r="P42" s="129" t="s">
        <v>826</v>
      </c>
      <c r="Q42" s="116">
        <v>27694</v>
      </c>
      <c r="R42" s="116">
        <v>39943691</v>
      </c>
      <c r="S42" s="116">
        <v>34.51</v>
      </c>
      <c r="T42" s="130">
        <f t="shared" ref="T42" si="25">Q42/S42</f>
        <v>802.49203129527677</v>
      </c>
      <c r="U42" s="175"/>
    </row>
    <row r="43" spans="1:21" s="92" customFormat="1" ht="13.2">
      <c r="A43" s="129" t="s">
        <v>835</v>
      </c>
      <c r="B43" s="188">
        <f>SUM(F41:F43)</f>
        <v>1292136.0833333335</v>
      </c>
      <c r="C43" s="188">
        <f>AVERAGE(F41:F43)</f>
        <v>430712.02777777781</v>
      </c>
      <c r="D43" s="190">
        <f>C43/C40-1</f>
        <v>-0.22782758496190969</v>
      </c>
      <c r="E43" s="287">
        <f>C43/C31-1</f>
        <v>85.505904192781315</v>
      </c>
      <c r="F43" s="136">
        <f>Q43/20</f>
        <v>1136257.05</v>
      </c>
      <c r="G43" s="190">
        <f t="shared" ref="G43" si="26">F43/F42-1</f>
        <v>819.5799451144652</v>
      </c>
      <c r="H43" s="190">
        <f t="shared" ref="H43" si="27">F43/F31-1</f>
        <v>376.39373256277401</v>
      </c>
      <c r="I43" s="130">
        <f t="shared" si="0"/>
        <v>4804.1242278567715</v>
      </c>
      <c r="J43" s="130">
        <f t="shared" si="4"/>
        <v>2.54788435652967</v>
      </c>
      <c r="K43" s="136">
        <f>R41+R42+R43</f>
        <v>37180448471</v>
      </c>
      <c r="L43" s="190">
        <f>U43/U40-1</f>
        <v>-0.26529046406741053</v>
      </c>
      <c r="M43" s="190">
        <f>K43/K31-1</f>
        <v>85.887385034192079</v>
      </c>
      <c r="N43" s="191">
        <f>AVERAGE(T41:T43)</f>
        <v>3382.1130221138101</v>
      </c>
      <c r="O43" s="206">
        <f>N43/N40-1</f>
        <v>-6.0670229043538471E-2</v>
      </c>
      <c r="P43" s="129" t="s">
        <v>835</v>
      </c>
      <c r="Q43" s="116">
        <v>22725141</v>
      </c>
      <c r="R43" s="116">
        <v>33075985545</v>
      </c>
      <c r="S43" s="116">
        <v>4730.34</v>
      </c>
      <c r="T43" s="130">
        <f t="shared" ref="T43" si="28">Q43/S43</f>
        <v>4804.1242278567715</v>
      </c>
      <c r="U43" s="85">
        <f>Q41+Q42+Q43</f>
        <v>25533733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3456.2272727272725</v>
      </c>
      <c r="G44" s="190">
        <f t="shared" ref="G44" si="29">F44/F43-1</f>
        <v>-0.99695823469458145</v>
      </c>
      <c r="H44" s="190">
        <f t="shared" ref="H44" si="30">F44/F32-1</f>
        <v>3.0338338646847509</v>
      </c>
      <c r="I44" s="130">
        <f t="shared" si="0"/>
        <v>1707.9290206648695</v>
      </c>
      <c r="J44" s="130">
        <f t="shared" si="4"/>
        <v>6.3270183463080789</v>
      </c>
      <c r="K44" s="136"/>
      <c r="L44" s="190"/>
      <c r="M44" s="190"/>
      <c r="N44" s="191"/>
      <c r="O44" s="206"/>
      <c r="P44" s="129" t="s">
        <v>843</v>
      </c>
      <c r="Q44" s="116">
        <v>76037</v>
      </c>
      <c r="R44" s="116">
        <v>110852596</v>
      </c>
      <c r="S44" s="116">
        <v>44.52</v>
      </c>
      <c r="T44" s="130">
        <f t="shared" ref="T44" si="31">Q44/S44</f>
        <v>1707.9290206648695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1098769.05</v>
      </c>
      <c r="G45" s="190">
        <f t="shared" ref="G45" si="32">F45/F44-1</f>
        <v>316.90995304917345</v>
      </c>
      <c r="H45" s="190">
        <f t="shared" ref="H45" si="33">F45/F33-1</f>
        <v>918.91189451022615</v>
      </c>
      <c r="I45" s="130">
        <f t="shared" si="0"/>
        <v>5152.0215033091927</v>
      </c>
      <c r="J45" s="130">
        <f t="shared" si="4"/>
        <v>28.828033437410234</v>
      </c>
      <c r="K45" s="136"/>
      <c r="L45" s="190"/>
      <c r="M45" s="190"/>
      <c r="N45" s="191"/>
      <c r="O45" s="206"/>
      <c r="P45" s="129" t="s">
        <v>849</v>
      </c>
      <c r="Q45" s="116">
        <v>21975381</v>
      </c>
      <c r="R45" s="116">
        <v>30899559016</v>
      </c>
      <c r="S45" s="116">
        <v>4265.3900000000003</v>
      </c>
      <c r="T45" s="130">
        <f t="shared" ref="T45" si="34">Q45/S45</f>
        <v>5152.0215033091927</v>
      </c>
      <c r="U45" s="85"/>
    </row>
    <row r="46" spans="1:21" s="92" customFormat="1" ht="13.2">
      <c r="A46" s="129" t="s">
        <v>888</v>
      </c>
      <c r="B46" s="188">
        <f>SUM(F44:F46)</f>
        <v>1641199.2246411485</v>
      </c>
      <c r="C46" s="188">
        <f>AVERAGE(F44:F46)</f>
        <v>547066.40821371612</v>
      </c>
      <c r="D46" s="190">
        <f>C46/C43-1</f>
        <v>0.27014425632889538</v>
      </c>
      <c r="E46" s="287">
        <f>C46/C34-1</f>
        <v>185.91070875235249</v>
      </c>
      <c r="F46" s="136">
        <f>Q46/19</f>
        <v>538973.94736842101</v>
      </c>
      <c r="G46" s="190">
        <f t="shared" ref="G46" si="35">F46/F45-1</f>
        <v>-0.50947476417503657</v>
      </c>
      <c r="H46" s="190">
        <f t="shared" ref="H46" si="36">F46/F34-1</f>
        <v>79.092171845548606</v>
      </c>
      <c r="I46" s="130">
        <f t="shared" si="0"/>
        <v>4853.941025628872</v>
      </c>
      <c r="J46" s="130">
        <f t="shared" si="4"/>
        <v>42.987618603195067</v>
      </c>
      <c r="K46" s="136">
        <f>R44+R45+R46</f>
        <v>44980660145</v>
      </c>
      <c r="L46" s="190">
        <f>U46/U43-1</f>
        <v>0.26467692757655148</v>
      </c>
      <c r="M46" s="190">
        <f>K46/K34-1</f>
        <v>191.6505012839809</v>
      </c>
      <c r="N46" s="191">
        <f>AVERAGE(T44:T46)</f>
        <v>3904.630516534311</v>
      </c>
      <c r="O46" s="206">
        <f>N46/N43-1</f>
        <v>0.15449439182074687</v>
      </c>
      <c r="P46" s="129" t="s">
        <v>888</v>
      </c>
      <c r="Q46" s="116">
        <v>10240505</v>
      </c>
      <c r="R46" s="116">
        <v>13970248533</v>
      </c>
      <c r="S46" s="116">
        <v>2109.73</v>
      </c>
      <c r="T46" s="130">
        <f t="shared" ref="T46" si="37">Q46/S46</f>
        <v>4853.941025628872</v>
      </c>
      <c r="U46" s="85">
        <f t="shared" ref="U46:U51" si="38">Q44+Q45+Q46</f>
        <v>32291923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1281</v>
      </c>
      <c r="G47" s="190">
        <f t="shared" ref="G47" si="39">F47/F46-1</f>
        <v>-0.9976232617434394</v>
      </c>
      <c r="H47" s="190">
        <f t="shared" ref="H47" si="40">F47/F35-1</f>
        <v>-0.99585952195417415</v>
      </c>
      <c r="I47" s="130">
        <f t="shared" si="0"/>
        <v>253.96948538919057</v>
      </c>
      <c r="J47" s="130">
        <f t="shared" si="4"/>
        <v>-0.94238664528321692</v>
      </c>
      <c r="K47" s="136"/>
      <c r="L47" s="190"/>
      <c r="M47" s="190"/>
      <c r="N47" s="191"/>
      <c r="O47" s="206"/>
      <c r="P47" s="129" t="s">
        <v>1029</v>
      </c>
      <c r="Q47" s="116">
        <v>29463</v>
      </c>
      <c r="R47" s="116">
        <v>40493861</v>
      </c>
      <c r="S47" s="116">
        <v>116.01</v>
      </c>
      <c r="T47" s="130">
        <f t="shared" ref="T47" si="41">Q47/S47</f>
        <v>253.96948538919057</v>
      </c>
      <c r="U47" s="85">
        <f t="shared" si="38"/>
        <v>32245349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4666.3999999999996</v>
      </c>
      <c r="G48" s="190">
        <f t="shared" ref="G48" si="42">F48/F47-1</f>
        <v>2.6427790788446521</v>
      </c>
      <c r="H48" s="190">
        <f t="shared" ref="H48" si="43">F48/F36-1</f>
        <v>-0.99367853432700415</v>
      </c>
      <c r="I48" s="130">
        <f t="shared" si="0"/>
        <v>9601.6460905349795</v>
      </c>
      <c r="J48" s="130">
        <f t="shared" si="4"/>
        <v>0.89241987902812792</v>
      </c>
      <c r="K48" s="136"/>
      <c r="L48" s="190"/>
      <c r="M48" s="190"/>
      <c r="N48" s="191"/>
      <c r="O48" s="206"/>
      <c r="P48" s="129" t="s">
        <v>1070</v>
      </c>
      <c r="Q48" s="116">
        <v>93328</v>
      </c>
      <c r="R48" s="116">
        <v>129370179</v>
      </c>
      <c r="S48" s="116">
        <v>9.7200000000000006</v>
      </c>
      <c r="T48" s="130">
        <f t="shared" ref="T48" si="44">Q48/S48</f>
        <v>9601.6460905349795</v>
      </c>
      <c r="U48" s="85">
        <f t="shared" si="38"/>
        <v>10363296</v>
      </c>
    </row>
    <row r="49" spans="1:26" ht="13.2">
      <c r="A49" s="129" t="s">
        <v>1207</v>
      </c>
      <c r="B49" s="188">
        <f>SUM(F47:F49)</f>
        <v>300737.35454545455</v>
      </c>
      <c r="C49" s="188">
        <f>AVERAGE(F47:F49)</f>
        <v>100245.78484848485</v>
      </c>
      <c r="D49" s="190">
        <f>C49/C46-1</f>
        <v>-0.81675755750420165</v>
      </c>
      <c r="E49" s="287">
        <f>C49/C37-1</f>
        <v>-0.71333102812565263</v>
      </c>
      <c r="F49" s="136">
        <f>Q49/22</f>
        <v>294789.95454545453</v>
      </c>
      <c r="G49" s="190">
        <f t="shared" ref="G49" si="45">F49/F48-1</f>
        <v>62.172885853217586</v>
      </c>
      <c r="H49" s="190">
        <f t="shared" ref="H49" si="46">F49/F37-1</f>
        <v>194.54168565072897</v>
      </c>
      <c r="I49" s="130">
        <f t="shared" si="0"/>
        <v>4220.3835541557119</v>
      </c>
      <c r="J49" s="130" t="e">
        <f t="shared" si="4"/>
        <v>#VALUE!</v>
      </c>
      <c r="K49" s="136">
        <f>R47+R48+R49</f>
        <v>9153483140</v>
      </c>
      <c r="L49" s="190">
        <f>U49/U46-1</f>
        <v>-0.7953615212076407</v>
      </c>
      <c r="M49" s="190">
        <f>K49/K37-1</f>
        <v>-0.70474979624602696</v>
      </c>
      <c r="N49" s="191">
        <f>AVERAGE(T47:T49)</f>
        <v>4691.9997100266273</v>
      </c>
      <c r="O49" s="206">
        <f>N49/N46-1</f>
        <v>0.20165011520505471</v>
      </c>
      <c r="P49" s="129" t="s">
        <v>1158</v>
      </c>
      <c r="Q49" s="116">
        <v>6485379</v>
      </c>
      <c r="R49" s="116">
        <v>8983619100</v>
      </c>
      <c r="S49" s="116">
        <v>1536.68</v>
      </c>
      <c r="T49" s="130">
        <f t="shared" ref="T49" si="47">Q49/S49</f>
        <v>4220.3835541557119</v>
      </c>
      <c r="U49" s="85">
        <f t="shared" si="38"/>
        <v>6608170</v>
      </c>
      <c r="V49" s="92"/>
      <c r="W49" s="92"/>
      <c r="X49" s="92"/>
      <c r="Y49" s="92"/>
      <c r="Z49" s="92"/>
    </row>
    <row r="50" spans="1:26" s="79" customFormat="1" ht="13.2">
      <c r="A50" s="129" t="s">
        <v>1318</v>
      </c>
      <c r="B50" s="188"/>
      <c r="C50" s="188"/>
      <c r="D50" s="190"/>
      <c r="E50" s="287"/>
      <c r="F50" s="136">
        <f>Q50/18</f>
        <v>750283.83333333337</v>
      </c>
      <c r="G50" s="190">
        <f t="shared" ref="G50" si="48">F50/F49-1</f>
        <v>1.5451472201290528</v>
      </c>
      <c r="H50" s="190">
        <f t="shared" ref="H50" si="49">F50/F38-1</f>
        <v>0.93659491715692389</v>
      </c>
      <c r="I50" s="130">
        <f t="shared" ref="I50" si="50">T50</f>
        <v>4517.725867744266</v>
      </c>
      <c r="J50" s="130">
        <f t="shared" ref="J50" si="51">I50/I38-1</f>
        <v>-6.6222124262248716E-2</v>
      </c>
      <c r="K50" s="136"/>
      <c r="L50" s="190"/>
      <c r="M50" s="190"/>
      <c r="N50" s="191"/>
      <c r="O50" s="192"/>
      <c r="P50" s="129" t="s">
        <v>1291</v>
      </c>
      <c r="Q50" s="116">
        <v>13505109</v>
      </c>
      <c r="R50" s="116">
        <v>19246157855</v>
      </c>
      <c r="S50" s="116">
        <v>2989.36</v>
      </c>
      <c r="T50" s="130">
        <f t="shared" ref="T50" si="52">Q50/S50</f>
        <v>4517.725867744266</v>
      </c>
      <c r="U50" s="85">
        <f t="shared" si="38"/>
        <v>20083816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377771.9</v>
      </c>
      <c r="G51" s="190">
        <f t="shared" ref="G51:G52" si="53">F51/F50-1</f>
        <v>-0.4964946821236319</v>
      </c>
      <c r="H51" s="190">
        <f t="shared" ref="H51:H52" si="54">F51/F39-1</f>
        <v>-0.51217867549776375</v>
      </c>
      <c r="I51" s="130">
        <f t="shared" ref="I51:I52" si="55">T51</f>
        <v>5601.5168814222807</v>
      </c>
      <c r="J51" s="130">
        <f t="shared" ref="J51:J52" si="56">I51/I39-1</f>
        <v>5.9815722368601163</v>
      </c>
      <c r="K51" s="136"/>
      <c r="L51" s="190"/>
      <c r="M51" s="190"/>
      <c r="N51" s="191"/>
      <c r="O51" s="192"/>
      <c r="P51" s="129" t="s">
        <v>1402</v>
      </c>
      <c r="Q51" s="116">
        <v>7555438</v>
      </c>
      <c r="R51" s="116">
        <v>10859885459</v>
      </c>
      <c r="S51" s="116">
        <v>1348.82</v>
      </c>
      <c r="T51" s="130">
        <f t="shared" ref="T51:T52" si="57">Q51/S51</f>
        <v>5601.5168814222807</v>
      </c>
      <c r="U51" s="85">
        <f t="shared" si="38"/>
        <v>27545926</v>
      </c>
    </row>
    <row r="52" spans="1:26" s="79" customFormat="1" ht="13.2">
      <c r="A52" s="129" t="s">
        <v>1403</v>
      </c>
      <c r="B52" s="188">
        <f>SUM(F50:F52)</f>
        <v>1452908.2787878788</v>
      </c>
      <c r="C52" s="188">
        <f>AVERAGE(F50:F52)</f>
        <v>484302.75959595962</v>
      </c>
      <c r="D52" s="190">
        <f>C52/C49-1</f>
        <v>3.8311533530108282</v>
      </c>
      <c r="E52" s="287">
        <f>C52/C40-1</f>
        <v>-0.13175112982967829</v>
      </c>
      <c r="F52" s="136">
        <f>Q52/22</f>
        <v>324852.54545454547</v>
      </c>
      <c r="G52" s="190">
        <f t="shared" si="53"/>
        <v>-0.14008282390896343</v>
      </c>
      <c r="H52" s="190">
        <f t="shared" si="54"/>
        <v>-0.36496068839296525</v>
      </c>
      <c r="I52" s="130">
        <f t="shared" si="55"/>
        <v>4999.1997649659343</v>
      </c>
      <c r="J52" s="130">
        <f t="shared" si="56"/>
        <v>-3.139454569612854E-2</v>
      </c>
      <c r="K52" s="136">
        <f>R50+R51+R52</f>
        <v>40604350274</v>
      </c>
      <c r="L52" s="190">
        <f>U52/U49-1</f>
        <v>3.2685498405761351</v>
      </c>
      <c r="M52" s="190">
        <f>K52/K40-1</f>
        <v>-0.15886380874352435</v>
      </c>
      <c r="N52" s="191">
        <f>AVERAGE(T50:T52)</f>
        <v>5039.4808380441609</v>
      </c>
      <c r="O52" s="192">
        <f>N52/N49-1</f>
        <v>7.4058216004357247E-2</v>
      </c>
      <c r="P52" s="129" t="s">
        <v>1403</v>
      </c>
      <c r="Q52" s="116">
        <v>7146756</v>
      </c>
      <c r="R52" s="116">
        <v>10498306960</v>
      </c>
      <c r="S52" s="116">
        <v>1429.58</v>
      </c>
      <c r="T52" s="130">
        <f t="shared" si="57"/>
        <v>4999.1997649659343</v>
      </c>
      <c r="U52" s="85">
        <f t="shared" ref="U52" si="58">Q50+Q51+Q52</f>
        <v>28207303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2547</v>
      </c>
      <c r="G53" s="190">
        <f t="shared" ref="G53" si="59">F53/F52-1</f>
        <v>-0.99215951964779547</v>
      </c>
      <c r="H53" s="190">
        <f t="shared" ref="H53" si="60">F53/F41-1</f>
        <v>-0.98351395844076261</v>
      </c>
      <c r="I53" s="130">
        <f t="shared" ref="I53" si="61">T53</f>
        <v>5943</v>
      </c>
      <c r="J53" s="130">
        <f t="shared" ref="J53" si="62">I53/I41-1</f>
        <v>0.3091107656591503</v>
      </c>
      <c r="K53" s="136"/>
      <c r="L53" s="190"/>
      <c r="M53" s="190"/>
      <c r="N53" s="191"/>
      <c r="O53" s="192"/>
      <c r="P53" s="129" t="s">
        <v>1414</v>
      </c>
      <c r="Q53" s="116">
        <v>53487</v>
      </c>
      <c r="R53" s="116">
        <v>78016887</v>
      </c>
      <c r="S53" s="116">
        <v>9</v>
      </c>
      <c r="T53" s="130">
        <f t="shared" ref="T53" si="63">Q53/S53</f>
        <v>5943</v>
      </c>
      <c r="U53" s="85">
        <f t="shared" ref="U53" si="64">Q51+Q52+Q53</f>
        <v>14755681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418967.29411764705</v>
      </c>
      <c r="G54" s="190">
        <f t="shared" ref="G54" si="65">F54/F53-1</f>
        <v>163.49442250398391</v>
      </c>
      <c r="H54" s="190">
        <f t="shared" ref="H54" si="66">F54/F42-1</f>
        <v>301.56899986830871</v>
      </c>
      <c r="I54" s="130">
        <f t="shared" ref="I54" si="67">T54</f>
        <v>4783.6310883056176</v>
      </c>
      <c r="J54" s="130">
        <f t="shared" ref="J54" si="68">I54/I42-1</f>
        <v>4.9609702050056637</v>
      </c>
      <c r="K54" s="136"/>
      <c r="L54" s="190"/>
      <c r="M54" s="190"/>
      <c r="N54" s="191"/>
      <c r="O54" s="192"/>
      <c r="P54" s="129" t="s">
        <v>1417</v>
      </c>
      <c r="Q54" s="116">
        <v>7122444</v>
      </c>
      <c r="R54" s="116">
        <v>10337576861</v>
      </c>
      <c r="S54" s="116">
        <v>1488.92</v>
      </c>
      <c r="T54" s="130">
        <f t="shared" ref="T54" si="69">Q54/S54</f>
        <v>4783.6310883056176</v>
      </c>
      <c r="U54" s="85">
        <f t="shared" ref="U54" si="70">Q52+Q53+Q54</f>
        <v>14322687</v>
      </c>
    </row>
    <row r="55" spans="1:26" s="79" customFormat="1" ht="13.2">
      <c r="A55" s="129" t="s">
        <v>1418</v>
      </c>
      <c r="B55" s="188">
        <f>SUM(F53:F55)</f>
        <v>423801.43697478989</v>
      </c>
      <c r="C55" s="188">
        <f>AVERAGE(F53:F55)</f>
        <v>141267.1456582633</v>
      </c>
      <c r="D55" s="190">
        <f>C55/C52-1</f>
        <v>-0.70830819593900607</v>
      </c>
      <c r="E55" s="287">
        <f>C55/C43-1</f>
        <v>-0.67201485784569526</v>
      </c>
      <c r="F55" s="136">
        <f>Q55/21</f>
        <v>2287.1428571428573</v>
      </c>
      <c r="G55" s="190">
        <f t="shared" ref="G55" si="71">F55/F54-1</f>
        <v>-0.9945409990487214</v>
      </c>
      <c r="H55" s="190">
        <f t="shared" ref="H55" si="72">F55/F43-1</f>
        <v>-0.99798712548613633</v>
      </c>
      <c r="I55" s="130">
        <f>T55</f>
        <v>3770.0156985871272</v>
      </c>
      <c r="J55" s="130">
        <f t="shared" ref="J55" si="73">I55/I43-1</f>
        <v>-0.21525432737008621</v>
      </c>
      <c r="K55" s="136">
        <f>R53+R54+R55</f>
        <v>10486203173</v>
      </c>
      <c r="L55" s="190">
        <f>U55/U52-1</f>
        <v>-0.74389749349663092</v>
      </c>
      <c r="M55" s="190">
        <f>K55/K43-1</f>
        <v>-0.71796458611361214</v>
      </c>
      <c r="N55" s="191">
        <f>AVERAGE(T53:T55)</f>
        <v>4832.2155956309152</v>
      </c>
      <c r="O55" s="192">
        <f>N55/N52-1</f>
        <v>-4.1128292590886462E-2</v>
      </c>
      <c r="P55" s="129" t="s">
        <v>1418</v>
      </c>
      <c r="Q55" s="116">
        <v>48030</v>
      </c>
      <c r="R55" s="116">
        <v>70609425</v>
      </c>
      <c r="S55" s="116">
        <v>12.74</v>
      </c>
      <c r="T55" s="130">
        <f t="shared" ref="T55" si="74">Q55/S55</f>
        <v>3770.0156985871272</v>
      </c>
      <c r="U55" s="85">
        <f t="shared" ref="U55" si="75">Q53+Q54+Q55</f>
        <v>7223961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6349.136363636364</v>
      </c>
      <c r="G56" s="190">
        <f t="shared" ref="G56" si="76">F56/F55-1</f>
        <v>1.7760121514962237</v>
      </c>
      <c r="H56" s="190">
        <f t="shared" ref="H56" si="77">F56/F44-1</f>
        <v>0.83701355918829012</v>
      </c>
      <c r="I56" s="291">
        <f>T56</f>
        <v>7838.4399551066217</v>
      </c>
      <c r="J56" s="130">
        <f t="shared" ref="J56" si="78">I56/I44-1</f>
        <v>3.5894412825512161</v>
      </c>
      <c r="K56" s="136"/>
      <c r="L56" s="190"/>
      <c r="M56" s="190"/>
      <c r="N56" s="191"/>
      <c r="O56" s="192"/>
      <c r="P56" s="129" t="s">
        <v>1420</v>
      </c>
      <c r="Q56" s="116">
        <v>139681</v>
      </c>
      <c r="R56" s="116">
        <v>207012797</v>
      </c>
      <c r="S56" s="116">
        <v>17.82</v>
      </c>
      <c r="T56" s="130">
        <f t="shared" ref="T56" si="79">Q56/S56</f>
        <v>7838.4399551066217</v>
      </c>
      <c r="U56" s="85">
        <f t="shared" ref="U56" si="80">Q54+Q55+Q56</f>
        <v>7310155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486793.5</v>
      </c>
      <c r="G57" s="254">
        <f t="shared" ref="G57" si="81">F57/F56-1</f>
        <v>75.670821371553757</v>
      </c>
      <c r="H57" s="254">
        <f t="shared" ref="H57" si="82">F57/F45-1</f>
        <v>-0.55696467788203541</v>
      </c>
      <c r="I57" s="282">
        <f>T57</f>
        <v>5528.0798712974356</v>
      </c>
      <c r="J57" s="277">
        <f t="shared" ref="J57" si="83">I57/I45-1</f>
        <v>7.2992390995786138E-2</v>
      </c>
      <c r="K57" s="204"/>
      <c r="L57" s="254"/>
      <c r="M57" s="254"/>
      <c r="N57" s="257"/>
      <c r="O57" s="258"/>
      <c r="P57" s="129" t="s">
        <v>1436</v>
      </c>
      <c r="Q57" s="116">
        <v>5841522</v>
      </c>
      <c r="R57" s="116">
        <v>8657014655</v>
      </c>
      <c r="S57" s="116">
        <v>1056.7</v>
      </c>
      <c r="T57" s="130">
        <f t="shared" ref="T57" si="84">Q57/S57</f>
        <v>5528.0798712974356</v>
      </c>
      <c r="U57" s="85">
        <f t="shared" ref="U57" si="85">Q55+Q56+Q57</f>
        <v>6029233</v>
      </c>
    </row>
    <row r="58" spans="1:26">
      <c r="B58" s="196">
        <f>SUM(F56:F58)</f>
        <v>493142.63636363635</v>
      </c>
      <c r="C58" s="196">
        <f>AVERAGE(F56:F58)</f>
        <v>246571.31818181818</v>
      </c>
      <c r="D58" s="197">
        <f>C58/C55-1</f>
        <v>0.74542578200237886</v>
      </c>
      <c r="E58" s="233">
        <f>C58/C46-1</f>
        <v>-0.5492844845163789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13205164</v>
      </c>
      <c r="R65" s="212">
        <v>19350230625</v>
      </c>
      <c r="S65" s="213">
        <v>2585.1799999999998</v>
      </c>
      <c r="T65" s="214">
        <v>37</v>
      </c>
      <c r="U65" s="214">
        <v>196</v>
      </c>
    </row>
    <row r="66" spans="16:21" ht="18" thickBot="1">
      <c r="P66" s="180" t="s">
        <v>976</v>
      </c>
      <c r="Q66" s="181">
        <v>53487</v>
      </c>
      <c r="R66" s="181">
        <v>78016887</v>
      </c>
      <c r="S66" s="210">
        <v>9</v>
      </c>
      <c r="T66" s="210">
        <v>15</v>
      </c>
      <c r="U66" s="210">
        <v>99</v>
      </c>
    </row>
    <row r="67" spans="16:21" ht="18" thickBot="1">
      <c r="P67" s="180" t="s">
        <v>977</v>
      </c>
      <c r="Q67" s="181">
        <v>7122444</v>
      </c>
      <c r="R67" s="181">
        <v>10337576861</v>
      </c>
      <c r="S67" s="182">
        <v>1488.92</v>
      </c>
      <c r="T67" s="210">
        <v>20</v>
      </c>
      <c r="U67" s="210">
        <v>117</v>
      </c>
    </row>
    <row r="68" spans="16:21" ht="18" thickBot="1">
      <c r="P68" s="180" t="s">
        <v>978</v>
      </c>
      <c r="Q68" s="181">
        <v>48030</v>
      </c>
      <c r="R68" s="181">
        <v>70609425</v>
      </c>
      <c r="S68" s="210">
        <v>12.74</v>
      </c>
      <c r="T68" s="210">
        <v>21</v>
      </c>
      <c r="U68" s="210">
        <v>119</v>
      </c>
    </row>
    <row r="69" spans="16:21" ht="18" thickBot="1">
      <c r="P69" s="180" t="s">
        <v>979</v>
      </c>
      <c r="Q69" s="181">
        <v>139681</v>
      </c>
      <c r="R69" s="181">
        <v>207012797</v>
      </c>
      <c r="S69" s="210">
        <v>17.82</v>
      </c>
      <c r="T69" s="210">
        <v>16</v>
      </c>
      <c r="U69" s="210">
        <v>123</v>
      </c>
    </row>
    <row r="70" spans="16:21" ht="18" thickBot="1">
      <c r="P70" s="180" t="s">
        <v>980</v>
      </c>
      <c r="Q70" s="181">
        <v>5841522</v>
      </c>
      <c r="R70" s="181">
        <v>8657014655</v>
      </c>
      <c r="S70" s="182">
        <v>1056.7</v>
      </c>
      <c r="T70" s="210">
        <v>10</v>
      </c>
      <c r="U70" s="210">
        <v>25</v>
      </c>
    </row>
    <row r="71" spans="16:21" ht="18" thickBot="1">
      <c r="P71" s="180" t="s">
        <v>975</v>
      </c>
      <c r="Q71" s="181">
        <v>92641129</v>
      </c>
      <c r="R71" s="181">
        <v>131918942030</v>
      </c>
      <c r="S71" s="182">
        <v>19227.21</v>
      </c>
      <c r="T71"/>
      <c r="U71"/>
    </row>
    <row r="72" spans="16:21" ht="18" thickBot="1">
      <c r="P72" s="215" t="s">
        <v>982</v>
      </c>
      <c r="Q72" s="217"/>
      <c r="R72"/>
      <c r="S72"/>
    </row>
    <row r="73" spans="16:21" ht="18" thickBot="1">
      <c r="P73" s="180" t="s">
        <v>982</v>
      </c>
      <c r="Q73" s="181">
        <v>57889881</v>
      </c>
      <c r="R73" s="181">
        <v>79937077786</v>
      </c>
      <c r="S73" s="182">
        <v>30241.96</v>
      </c>
    </row>
    <row r="74" spans="16:21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20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>
    <tabColor rgb="FFFFFF00"/>
  </sheetPr>
  <dimension ref="A1:Z72"/>
  <sheetViews>
    <sheetView zoomScale="90" zoomScaleNormal="90" workbookViewId="0">
      <selection activeCell="C74" sqref="C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7020001013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133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100204.9</v>
      </c>
      <c r="G5" s="90"/>
      <c r="H5" s="90"/>
      <c r="I5" s="130">
        <f t="shared" ref="I5:I49" si="0">T5</f>
        <v>326.17773864415</v>
      </c>
      <c r="J5" s="130"/>
      <c r="K5" s="86"/>
      <c r="L5" s="80"/>
      <c r="M5" s="80"/>
      <c r="N5" s="79"/>
      <c r="O5" s="79"/>
      <c r="P5" s="129" t="s">
        <v>0</v>
      </c>
      <c r="Q5" s="116">
        <v>2004098</v>
      </c>
      <c r="R5" s="116"/>
      <c r="S5" s="116">
        <v>6144.19</v>
      </c>
      <c r="T5" s="130">
        <f t="shared" ref="T5:T17" si="1">Q5/S5</f>
        <v>326.17773864415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118586.5</v>
      </c>
      <c r="G6" s="90">
        <f t="shared" ref="G6:G16" si="2">F6/F5-1</f>
        <v>0.18344013117123015</v>
      </c>
      <c r="H6" s="90"/>
      <c r="I6" s="130">
        <f t="shared" si="0"/>
        <v>336.63631316986391</v>
      </c>
      <c r="J6" s="130"/>
      <c r="K6" s="78"/>
      <c r="L6" s="87"/>
      <c r="M6" s="87"/>
      <c r="N6" s="79"/>
      <c r="O6" s="79"/>
      <c r="P6" s="129" t="s">
        <v>1</v>
      </c>
      <c r="Q6" s="116">
        <v>2134557</v>
      </c>
      <c r="R6" s="116"/>
      <c r="S6" s="116">
        <v>6340.84</v>
      </c>
      <c r="T6" s="130">
        <f t="shared" si="1"/>
        <v>336.63631316986391</v>
      </c>
      <c r="U6" s="85"/>
    </row>
    <row r="7" spans="1:21" ht="15" hidden="1" customHeight="1">
      <c r="A7" s="129" t="s">
        <v>2</v>
      </c>
      <c r="B7" s="140">
        <f>F5+F6+F7</f>
        <v>340718.80909090908</v>
      </c>
      <c r="C7" s="131">
        <f>AVERAGE(F5:F7)</f>
        <v>113572.93636363636</v>
      </c>
      <c r="D7" s="117"/>
      <c r="F7" s="78">
        <f>Q7/22</f>
        <v>121927.40909090909</v>
      </c>
      <c r="G7" s="90">
        <f t="shared" si="2"/>
        <v>2.817276073506747E-2</v>
      </c>
      <c r="H7" s="90"/>
      <c r="I7" s="130">
        <f t="shared" si="0"/>
        <v>391.3111915400786</v>
      </c>
      <c r="J7" s="130"/>
      <c r="K7" s="85">
        <f>R5+R6+R7</f>
        <v>0</v>
      </c>
      <c r="L7" s="87"/>
      <c r="M7" s="87"/>
      <c r="N7" s="88">
        <f>AVERAGE(T5:T7)</f>
        <v>351.37508111803089</v>
      </c>
      <c r="O7" s="79"/>
      <c r="P7" s="129" t="s">
        <v>2</v>
      </c>
      <c r="Q7" s="116">
        <v>2682403</v>
      </c>
      <c r="R7" s="116"/>
      <c r="S7" s="116">
        <v>6854.91</v>
      </c>
      <c r="T7" s="130">
        <f t="shared" si="1"/>
        <v>391.3111915400786</v>
      </c>
      <c r="U7" s="85">
        <f>Q5+Q6+Q7</f>
        <v>6821058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134336.52380952382</v>
      </c>
      <c r="G8" s="90">
        <f t="shared" si="2"/>
        <v>0.10177461172296787</v>
      </c>
      <c r="H8" s="90"/>
      <c r="I8" s="130">
        <f t="shared" si="0"/>
        <v>394.39100122047205</v>
      </c>
      <c r="J8" s="130"/>
      <c r="K8" s="78"/>
      <c r="L8" s="87"/>
      <c r="M8" s="87"/>
      <c r="N8" s="79"/>
      <c r="O8" s="79"/>
      <c r="P8" s="129" t="s">
        <v>3</v>
      </c>
      <c r="Q8" s="116">
        <v>2821067</v>
      </c>
      <c r="R8" s="116"/>
      <c r="S8" s="116">
        <v>7152.97</v>
      </c>
      <c r="T8" s="130">
        <f t="shared" si="1"/>
        <v>394.39100122047205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117247.57142857143</v>
      </c>
      <c r="G9" s="90">
        <f t="shared" si="2"/>
        <v>-0.12721002372506574</v>
      </c>
      <c r="H9" s="90"/>
      <c r="I9" s="130">
        <f t="shared" si="0"/>
        <v>374.93227552706315</v>
      </c>
      <c r="J9" s="130"/>
      <c r="K9" s="78"/>
      <c r="L9" s="87"/>
      <c r="M9" s="87"/>
      <c r="N9" s="79"/>
      <c r="O9" s="79"/>
      <c r="P9" s="129" t="s">
        <v>4</v>
      </c>
      <c r="Q9" s="116">
        <v>2462199</v>
      </c>
      <c r="R9" s="116"/>
      <c r="S9" s="116">
        <v>6567.05</v>
      </c>
      <c r="T9" s="130">
        <f t="shared" si="1"/>
        <v>374.93227552706315</v>
      </c>
      <c r="U9" s="85"/>
    </row>
    <row r="10" spans="1:21" ht="15" hidden="1" customHeight="1">
      <c r="A10" s="129" t="s">
        <v>5</v>
      </c>
      <c r="B10" s="140">
        <f>F8+F9+F10</f>
        <v>355776.66666666669</v>
      </c>
      <c r="C10" s="131">
        <f>AVERAGE(F8:F10)</f>
        <v>118592.22222222223</v>
      </c>
      <c r="D10" s="90">
        <f>C10/C7-1</f>
        <v>4.4194383092422518E-2</v>
      </c>
      <c r="E10" s="286"/>
      <c r="F10" s="78">
        <f>Q10/21</f>
        <v>104192.57142857143</v>
      </c>
      <c r="G10" s="90">
        <f t="shared" si="2"/>
        <v>-0.11134558985687182</v>
      </c>
      <c r="H10" s="90"/>
      <c r="I10" s="130">
        <f t="shared" si="0"/>
        <v>272.63409327935585</v>
      </c>
      <c r="J10" s="130"/>
      <c r="K10" s="85">
        <f>R8+R9+R10</f>
        <v>0</v>
      </c>
      <c r="L10" s="87">
        <f>U10/U7-1</f>
        <v>9.5330079292684555E-2</v>
      </c>
      <c r="M10" s="87"/>
      <c r="N10" s="88">
        <f>AVERAGE(T8:T10)</f>
        <v>347.31912334229702</v>
      </c>
      <c r="O10" s="89">
        <f>N10/N7-1</f>
        <v>-1.1543100218798452E-2</v>
      </c>
      <c r="P10" s="129" t="s">
        <v>5</v>
      </c>
      <c r="Q10" s="116">
        <v>2188044</v>
      </c>
      <c r="R10" s="116"/>
      <c r="S10" s="116">
        <v>8025.57</v>
      </c>
      <c r="T10" s="130">
        <f t="shared" si="1"/>
        <v>272.63409327935585</v>
      </c>
      <c r="U10" s="85">
        <f>Q8+Q9+Q10</f>
        <v>7471310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108415.19047619047</v>
      </c>
      <c r="G11" s="90">
        <f t="shared" si="2"/>
        <v>4.0527064355195597E-2</v>
      </c>
      <c r="H11" s="90"/>
      <c r="I11" s="130">
        <f t="shared" si="0"/>
        <v>319.40591864735876</v>
      </c>
      <c r="J11" s="130"/>
      <c r="K11" s="78"/>
      <c r="L11" s="87"/>
      <c r="M11" s="87"/>
      <c r="N11" s="79"/>
      <c r="O11" s="89"/>
      <c r="P11" s="129" t="s">
        <v>6</v>
      </c>
      <c r="Q11" s="116">
        <v>2276719</v>
      </c>
      <c r="R11" s="116"/>
      <c r="S11" s="116">
        <v>7127.98</v>
      </c>
      <c r="T11" s="130">
        <f t="shared" si="1"/>
        <v>319.40591864735876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93478.227272727279</v>
      </c>
      <c r="G12" s="90">
        <f t="shared" si="2"/>
        <v>-0.13777555652354423</v>
      </c>
      <c r="H12" s="90"/>
      <c r="I12" s="130">
        <f t="shared" si="0"/>
        <v>267.87208961542217</v>
      </c>
      <c r="J12" s="130"/>
      <c r="K12" s="78"/>
      <c r="L12" s="87"/>
      <c r="M12" s="87"/>
      <c r="N12" s="79"/>
      <c r="O12" s="89"/>
      <c r="P12" s="129" t="s">
        <v>7</v>
      </c>
      <c r="Q12" s="116">
        <v>2056521</v>
      </c>
      <c r="R12" s="116"/>
      <c r="S12" s="116">
        <v>7677.25</v>
      </c>
      <c r="T12" s="130">
        <f t="shared" si="1"/>
        <v>267.87208961542217</v>
      </c>
      <c r="U12" s="85"/>
    </row>
    <row r="13" spans="1:21" ht="15" hidden="1" customHeight="1">
      <c r="A13" s="129" t="s">
        <v>96</v>
      </c>
      <c r="B13" s="140">
        <f>F11+F12+F13</f>
        <v>311227.36774891778</v>
      </c>
      <c r="C13" s="131">
        <f>AVERAGE(F11:F13)</f>
        <v>103742.45591630593</v>
      </c>
      <c r="D13" s="90">
        <f>C13/C10-1</f>
        <v>-0.12521703386323513</v>
      </c>
      <c r="E13" s="286"/>
      <c r="F13" s="78">
        <f>Q13/20</f>
        <v>109333.95</v>
      </c>
      <c r="G13" s="90">
        <f t="shared" si="2"/>
        <v>0.16961942037061606</v>
      </c>
      <c r="H13" s="90"/>
      <c r="I13" s="130">
        <f t="shared" si="0"/>
        <v>288.29485541611126</v>
      </c>
      <c r="J13" s="130"/>
      <c r="K13" s="78">
        <f>R11+R12+R13</f>
        <v>0</v>
      </c>
      <c r="L13" s="87">
        <f>U13/U10-1</f>
        <v>-0.12733924840489819</v>
      </c>
      <c r="M13" s="87"/>
      <c r="N13" s="88">
        <f>AVERAGE(T11:T13)</f>
        <v>291.8576212262974</v>
      </c>
      <c r="O13" s="89">
        <f>N13/N10-1</f>
        <v>-0.15968456208885473</v>
      </c>
      <c r="P13" s="129" t="s">
        <v>96</v>
      </c>
      <c r="Q13" s="116">
        <v>2186679</v>
      </c>
      <c r="R13" s="116"/>
      <c r="S13" s="116">
        <v>7584.87</v>
      </c>
      <c r="T13" s="130">
        <f t="shared" si="1"/>
        <v>288.29485541611126</v>
      </c>
      <c r="U13" s="85">
        <f>Q11+Q12+Q13</f>
        <v>6519919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104293.2</v>
      </c>
      <c r="G14" s="90">
        <f t="shared" si="2"/>
        <v>-4.6104160692996055E-2</v>
      </c>
      <c r="H14" s="90"/>
      <c r="I14" s="130">
        <f t="shared" si="0"/>
        <v>304.17931124997261</v>
      </c>
      <c r="J14" s="130"/>
      <c r="K14" s="78"/>
      <c r="L14" s="87"/>
      <c r="M14" s="87"/>
      <c r="N14" s="79"/>
      <c r="O14" s="89"/>
      <c r="P14" s="129" t="s">
        <v>97</v>
      </c>
      <c r="Q14" s="116">
        <v>2085864</v>
      </c>
      <c r="R14" s="116"/>
      <c r="S14" s="116">
        <v>6857.35</v>
      </c>
      <c r="T14" s="130">
        <f t="shared" si="1"/>
        <v>304.17931124997261</v>
      </c>
      <c r="U14" s="85"/>
    </row>
    <row r="15" spans="1:21" ht="15" hidden="1" customHeight="1">
      <c r="A15" s="129" t="s">
        <v>98</v>
      </c>
      <c r="B15" s="140"/>
      <c r="C15" s="131"/>
      <c r="D15" s="117"/>
      <c r="F15" s="78">
        <f>Q15/22</f>
        <v>120504.22727272728</v>
      </c>
      <c r="G15" s="90">
        <f t="shared" si="2"/>
        <v>0.15543704932562519</v>
      </c>
      <c r="H15" s="90"/>
      <c r="I15" s="130">
        <f t="shared" si="0"/>
        <v>382.51115317800645</v>
      </c>
      <c r="J15" s="130"/>
      <c r="K15" s="78"/>
      <c r="L15" s="87"/>
      <c r="M15" s="87"/>
      <c r="N15" s="79"/>
      <c r="O15" s="89"/>
      <c r="P15" s="129" t="s">
        <v>98</v>
      </c>
      <c r="Q15" s="116">
        <v>2651093</v>
      </c>
      <c r="R15" s="116"/>
      <c r="S15" s="116">
        <v>6930.76</v>
      </c>
      <c r="T15" s="130">
        <f t="shared" si="1"/>
        <v>382.51115317800645</v>
      </c>
      <c r="U15" s="78"/>
    </row>
    <row r="16" spans="1:21" ht="15" hidden="1" customHeight="1">
      <c r="A16" s="129" t="s">
        <v>99</v>
      </c>
      <c r="B16" s="140">
        <f>F14+F15+F16</f>
        <v>310466.88181818184</v>
      </c>
      <c r="C16" s="131">
        <f>AVERAGE(F14:F16)</f>
        <v>103488.96060606062</v>
      </c>
      <c r="D16" s="90">
        <f>C16/C13-1</f>
        <v>-2.4435059687599736E-3</v>
      </c>
      <c r="E16" s="286"/>
      <c r="F16" s="78">
        <f>Q16/22</f>
        <v>85669.454545454544</v>
      </c>
      <c r="G16" s="90">
        <f t="shared" si="2"/>
        <v>-0.28907510977547757</v>
      </c>
      <c r="H16" s="90"/>
      <c r="I16" s="130">
        <f t="shared" si="0"/>
        <v>315.87126011436692</v>
      </c>
      <c r="J16" s="130"/>
      <c r="K16" s="78">
        <f>R14+R15+R16</f>
        <v>0</v>
      </c>
      <c r="L16" s="87">
        <f>U16/U13-1</f>
        <v>1.5608476117571435E-2</v>
      </c>
      <c r="M16" s="87"/>
      <c r="N16" s="88">
        <f>AVERAGE(T14:T16)</f>
        <v>334.18724151411533</v>
      </c>
      <c r="O16" s="89">
        <f>N16/N13-1</f>
        <v>0.14503517197858895</v>
      </c>
      <c r="P16" s="129" t="s">
        <v>99</v>
      </c>
      <c r="Q16" s="116">
        <v>1884728</v>
      </c>
      <c r="R16" s="116"/>
      <c r="S16" s="116">
        <v>5966.76</v>
      </c>
      <c r="T16" s="130">
        <f t="shared" si="1"/>
        <v>315.87126011436692</v>
      </c>
      <c r="U16" s="85">
        <f>Q14+Q15+Q16</f>
        <v>6621685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115446.55</v>
      </c>
      <c r="G17" s="90">
        <f t="shared" ref="G17" si="3">F17/F16-1</f>
        <v>0.3475812424922855</v>
      </c>
      <c r="H17" s="90">
        <f t="shared" ref="H17:H22" si="4">F17/F5-1</f>
        <v>0.15210483718860068</v>
      </c>
      <c r="I17" s="130">
        <f t="shared" si="0"/>
        <v>345.03215066505476</v>
      </c>
      <c r="J17" s="130">
        <f t="shared" ref="J17:J49" si="5">I17/I5-1</f>
        <v>5.7804104287676017E-2</v>
      </c>
      <c r="K17" s="78"/>
      <c r="L17" s="87"/>
      <c r="M17" s="87"/>
      <c r="N17" s="79"/>
      <c r="O17" s="89"/>
      <c r="P17" s="129" t="s">
        <v>100</v>
      </c>
      <c r="Q17" s="116">
        <v>2308931</v>
      </c>
      <c r="R17" s="116">
        <v>2912425637</v>
      </c>
      <c r="S17" s="116">
        <v>6691.93</v>
      </c>
      <c r="T17" s="130">
        <f t="shared" si="1"/>
        <v>345.03215066505476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116143.9</v>
      </c>
      <c r="G18" s="90">
        <f t="shared" ref="G18:G19" si="6">F18/F17-1</f>
        <v>6.0404576836639023E-3</v>
      </c>
      <c r="H18" s="90">
        <f t="shared" si="4"/>
        <v>-2.0597622832278617E-2</v>
      </c>
      <c r="I18" s="130">
        <f t="shared" si="0"/>
        <v>343.12307140082214</v>
      </c>
      <c r="J18" s="130">
        <f t="shared" si="5"/>
        <v>1.9269336007981641E-2</v>
      </c>
      <c r="K18" s="78"/>
      <c r="L18" s="87"/>
      <c r="M18" s="87"/>
      <c r="N18" s="79"/>
      <c r="O18" s="89"/>
      <c r="P18" s="129" t="s">
        <v>106</v>
      </c>
      <c r="Q18" s="116">
        <v>2322878</v>
      </c>
      <c r="R18" s="116">
        <v>2896585079</v>
      </c>
      <c r="S18" s="116">
        <v>6769.81</v>
      </c>
      <c r="T18" s="130">
        <f t="shared" ref="T18" si="7">Q18/S18</f>
        <v>343.12307140082214</v>
      </c>
      <c r="U18" s="78"/>
    </row>
    <row r="19" spans="1:21" hidden="1">
      <c r="A19" s="129" t="s">
        <v>114</v>
      </c>
      <c r="B19" s="140">
        <f>SUM(F17:F19)</f>
        <v>353177.35909090913</v>
      </c>
      <c r="C19" s="131">
        <f>AVERAGE(F17:F19)</f>
        <v>117725.78636363638</v>
      </c>
      <c r="D19" s="90">
        <f>C19/C16-1</f>
        <v>0.13756854522647521</v>
      </c>
      <c r="E19" s="286">
        <f>C19/C7-1</f>
        <v>3.656548939356008E-2</v>
      </c>
      <c r="F19" s="78">
        <f>Q19/22</f>
        <v>121586.90909090909</v>
      </c>
      <c r="G19" s="90">
        <f t="shared" si="6"/>
        <v>4.6864356121234962E-2</v>
      </c>
      <c r="H19" s="90">
        <f t="shared" si="4"/>
        <v>-2.7926452512915256E-3</v>
      </c>
      <c r="I19" s="130">
        <f t="shared" si="0"/>
        <v>415.47061555355708</v>
      </c>
      <c r="J19" s="130">
        <f t="shared" si="5"/>
        <v>6.1739670461237184E-2</v>
      </c>
      <c r="K19" s="78">
        <f>R17+R18+R19</f>
        <v>9304004760</v>
      </c>
      <c r="L19" s="87">
        <f>U19/U16-1</f>
        <v>0.10345342612945196</v>
      </c>
      <c r="M19" s="87">
        <f>U19/U7-1</f>
        <v>7.1200538098342037E-2</v>
      </c>
      <c r="N19" s="88">
        <f>AVERAGE(T17:T19)</f>
        <v>367.87527920647796</v>
      </c>
      <c r="O19" s="89">
        <f>N19/N16-1</f>
        <v>0.10080587619003922</v>
      </c>
      <c r="P19" s="129" t="s">
        <v>115</v>
      </c>
      <c r="Q19" s="116">
        <v>2674912</v>
      </c>
      <c r="R19" s="116">
        <v>3494994044</v>
      </c>
      <c r="S19" s="116">
        <v>6438.27</v>
      </c>
      <c r="T19" s="130">
        <f t="shared" ref="T19" si="8">Q19/S19</f>
        <v>415.47061555355708</v>
      </c>
      <c r="U19" s="85">
        <f>Q17+Q18+Q19</f>
        <v>7306721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90648.75</v>
      </c>
      <c r="G20" s="90">
        <f t="shared" ref="G20" si="9">F20/F19-1</f>
        <v>-0.25445304368891386</v>
      </c>
      <c r="H20" s="90">
        <f t="shared" si="4"/>
        <v>-0.32521143595667878</v>
      </c>
      <c r="I20" s="130">
        <f t="shared" si="0"/>
        <v>288.32437177658289</v>
      </c>
      <c r="J20" s="130">
        <f t="shared" si="5"/>
        <v>-0.26893775242248974</v>
      </c>
      <c r="K20" s="78"/>
      <c r="L20" s="87"/>
      <c r="M20" s="87"/>
      <c r="N20" s="79"/>
      <c r="O20" s="89"/>
      <c r="P20" s="129" t="s">
        <v>132</v>
      </c>
      <c r="Q20" s="116">
        <v>1812975</v>
      </c>
      <c r="R20" s="116">
        <v>2375674990</v>
      </c>
      <c r="S20" s="116">
        <v>6287.97</v>
      </c>
      <c r="T20" s="130">
        <f t="shared" ref="T20" si="10">Q20/S20</f>
        <v>288.32437177658289</v>
      </c>
      <c r="U20" s="78"/>
    </row>
    <row r="21" spans="1:21" hidden="1">
      <c r="A21" s="129" t="s">
        <v>141</v>
      </c>
      <c r="B21" s="140"/>
      <c r="C21" s="131"/>
      <c r="D21" s="90"/>
      <c r="E21" s="286"/>
      <c r="F21" s="78">
        <f>Q21/21</f>
        <v>122148.57142857143</v>
      </c>
      <c r="G21" s="90">
        <f t="shared" ref="G21:G26" si="11">F21/F20-1</f>
        <v>0.34749316927780516</v>
      </c>
      <c r="H21" s="90">
        <f t="shared" si="4"/>
        <v>4.180043936334954E-2</v>
      </c>
      <c r="I21" s="130">
        <f t="shared" si="0"/>
        <v>393.82075775859687</v>
      </c>
      <c r="J21" s="130">
        <f t="shared" si="5"/>
        <v>5.037838421613916E-2</v>
      </c>
      <c r="K21" s="78"/>
      <c r="L21" s="87"/>
      <c r="M21" s="87"/>
      <c r="N21" s="79"/>
      <c r="O21" s="89"/>
      <c r="P21" s="129" t="s">
        <v>141</v>
      </c>
      <c r="Q21" s="116">
        <v>2565120</v>
      </c>
      <c r="R21" s="116">
        <v>3421452971</v>
      </c>
      <c r="S21" s="116">
        <v>6513.42</v>
      </c>
      <c r="T21" s="130">
        <f t="shared" ref="T21" si="12">Q21/S21</f>
        <v>393.82075775859687</v>
      </c>
      <c r="U21" s="78"/>
    </row>
    <row r="22" spans="1:21" hidden="1">
      <c r="A22" s="129" t="s">
        <v>156</v>
      </c>
      <c r="B22" s="131">
        <f>SUM(F20:F22)</f>
        <v>342237.84523809527</v>
      </c>
      <c r="C22" s="131">
        <f>AVERAGE(F20:F22)</f>
        <v>114079.28174603176</v>
      </c>
      <c r="D22" s="90">
        <f>C22/C19-1</f>
        <v>-3.0974561565816461E-2</v>
      </c>
      <c r="E22" s="286">
        <f>C22/C10-1</f>
        <v>-3.8054270268533918E-2</v>
      </c>
      <c r="F22" s="78">
        <f>Q22/21</f>
        <v>129440.52380952382</v>
      </c>
      <c r="G22" s="90">
        <f t="shared" si="11"/>
        <v>5.9697402070858274E-2</v>
      </c>
      <c r="H22" s="90">
        <f t="shared" si="4"/>
        <v>0.24232008131463534</v>
      </c>
      <c r="I22" s="130">
        <f t="shared" si="0"/>
        <v>374.12873079119953</v>
      </c>
      <c r="J22" s="130">
        <f t="shared" si="5"/>
        <v>0.37227419465784384</v>
      </c>
      <c r="K22" s="78">
        <f>R20+R21+R22</f>
        <v>9340987753</v>
      </c>
      <c r="L22" s="87">
        <f>U22/U19-1</f>
        <v>-2.8791984804127591E-2</v>
      </c>
      <c r="M22" s="87">
        <f>U22/U10-1</f>
        <v>-5.0187182702899458E-2</v>
      </c>
      <c r="N22" s="88">
        <f>AVERAGE(T20:T22)</f>
        <v>352.09128677545976</v>
      </c>
      <c r="O22" s="89">
        <f>N22/N19-1</f>
        <v>-4.2905825216265958E-2</v>
      </c>
      <c r="P22" s="129" t="s">
        <v>156</v>
      </c>
      <c r="Q22" s="116">
        <v>2718251</v>
      </c>
      <c r="R22" s="116">
        <v>3543859792</v>
      </c>
      <c r="S22" s="116">
        <v>7265.55</v>
      </c>
      <c r="T22" s="130">
        <f t="shared" ref="T22:T23" si="13">Q22/S22</f>
        <v>374.12873079119953</v>
      </c>
      <c r="U22" s="85">
        <f>Q20+Q21+Q22</f>
        <v>7096346</v>
      </c>
    </row>
    <row r="23" spans="1:21" hidden="1">
      <c r="A23" s="129" t="s">
        <v>189</v>
      </c>
      <c r="B23" s="131"/>
      <c r="C23" s="131"/>
      <c r="D23" s="117"/>
      <c r="F23" s="122">
        <f>Q23/21</f>
        <v>124472</v>
      </c>
      <c r="G23" s="132">
        <f t="shared" si="11"/>
        <v>-3.838460833822932E-2</v>
      </c>
      <c r="H23" s="132">
        <f t="shared" ref="H23" si="14">F23/F11-1</f>
        <v>0.14810479466284598</v>
      </c>
      <c r="I23" s="130">
        <f t="shared" si="0"/>
        <v>335.59406900323665</v>
      </c>
      <c r="J23" s="130">
        <f t="shared" si="5"/>
        <v>5.0682061323198191E-2</v>
      </c>
      <c r="K23" s="98"/>
      <c r="L23" s="87"/>
      <c r="M23" s="87"/>
      <c r="N23" s="79"/>
      <c r="O23" s="89"/>
      <c r="P23" s="129" t="s">
        <v>189</v>
      </c>
      <c r="Q23" s="116">
        <v>2613912</v>
      </c>
      <c r="R23" s="116">
        <v>3390283108</v>
      </c>
      <c r="S23" s="116">
        <v>7788.91</v>
      </c>
      <c r="T23" s="130">
        <f t="shared" si="13"/>
        <v>335.59406900323665</v>
      </c>
      <c r="U23" s="78"/>
    </row>
    <row r="24" spans="1:21" hidden="1">
      <c r="A24" s="129" t="s">
        <v>204</v>
      </c>
      <c r="B24" s="131"/>
      <c r="C24" s="131"/>
      <c r="D24" s="117"/>
      <c r="F24" s="122">
        <f>Q24/22</f>
        <v>84925.545454545456</v>
      </c>
      <c r="G24" s="132">
        <f t="shared" si="11"/>
        <v>-0.31771365885865532</v>
      </c>
      <c r="H24" s="132">
        <f t="shared" ref="H24" si="15">F24/F12-1</f>
        <v>-9.1493838380449333E-2</v>
      </c>
      <c r="I24" s="130">
        <f t="shared" si="0"/>
        <v>307.66021001809702</v>
      </c>
      <c r="J24" s="130">
        <f t="shared" si="5"/>
        <v>0.14853402778840352</v>
      </c>
      <c r="K24" s="98"/>
      <c r="L24" s="87"/>
      <c r="M24" s="87"/>
      <c r="N24" s="79"/>
      <c r="O24" s="89"/>
      <c r="P24" s="129" t="s">
        <v>204</v>
      </c>
      <c r="Q24" s="116">
        <v>1868362</v>
      </c>
      <c r="R24" s="116">
        <v>2449039068</v>
      </c>
      <c r="S24" s="116">
        <v>6072.81</v>
      </c>
      <c r="T24" s="130">
        <f t="shared" ref="T24" si="16">Q24/S24</f>
        <v>307.66021001809702</v>
      </c>
      <c r="U24" s="78"/>
    </row>
    <row r="25" spans="1:21" s="92" customFormat="1" ht="13.2" hidden="1">
      <c r="A25" s="129" t="s">
        <v>218</v>
      </c>
      <c r="B25" s="131">
        <f>SUM(F23:F25)</f>
        <v>304651.38755980862</v>
      </c>
      <c r="C25" s="131">
        <f>AVERAGE(F23:F25)</f>
        <v>101550.46251993621</v>
      </c>
      <c r="D25" s="90">
        <f>C25/C22-1</f>
        <v>-0.10982554443135217</v>
      </c>
      <c r="E25" s="286">
        <f>C25/C13-1</f>
        <v>-2.1129183582641597E-2</v>
      </c>
      <c r="F25" s="122">
        <f>Q25/19</f>
        <v>95253.84210526316</v>
      </c>
      <c r="G25" s="132">
        <f t="shared" si="11"/>
        <v>0.12161590008563095</v>
      </c>
      <c r="H25" s="132">
        <f t="shared" ref="H25" si="17">F25/F13-1</f>
        <v>-0.12878074829215291</v>
      </c>
      <c r="I25" s="130">
        <f t="shared" si="0"/>
        <v>258.129816339076</v>
      </c>
      <c r="J25" s="130">
        <f t="shared" si="5"/>
        <v>-0.10463259579674589</v>
      </c>
      <c r="K25" s="78">
        <f>R23+R24+R25</f>
        <v>8240747208</v>
      </c>
      <c r="L25" s="90">
        <f>U25/U22-1</f>
        <v>-0.1133328335456022</v>
      </c>
      <c r="M25" s="90">
        <f>U25/U13-1</f>
        <v>-3.4942458640973895E-2</v>
      </c>
      <c r="N25" s="88">
        <f>AVERAGE(T23:T25)</f>
        <v>300.46136512013658</v>
      </c>
      <c r="O25" s="91">
        <f>N25/N22-1</f>
        <v>-0.14663788510122744</v>
      </c>
      <c r="P25" s="129" t="s">
        <v>220</v>
      </c>
      <c r="Q25" s="116">
        <v>1809823</v>
      </c>
      <c r="R25" s="116">
        <v>2401425032</v>
      </c>
      <c r="S25" s="116">
        <v>7011.29</v>
      </c>
      <c r="T25" s="130">
        <f t="shared" ref="T25" si="18">Q25/S25</f>
        <v>258.129816339076</v>
      </c>
      <c r="U25" s="85">
        <f>Q23+Q24+Q25</f>
        <v>6292097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122">
        <f>Q26/19</f>
        <v>81951.421052631573</v>
      </c>
      <c r="G26" s="132">
        <f t="shared" si="11"/>
        <v>-0.13965233064227833</v>
      </c>
      <c r="H26" s="132">
        <f t="shared" ref="H26" si="19">F26/F14-1</f>
        <v>-0.2142208595322459</v>
      </c>
      <c r="I26" s="130">
        <f t="shared" si="0"/>
        <v>338.62235144956685</v>
      </c>
      <c r="J26" s="130">
        <f t="shared" si="5"/>
        <v>0.11323268521470609</v>
      </c>
      <c r="K26" s="78"/>
      <c r="L26" s="90"/>
      <c r="M26" s="90"/>
      <c r="N26" s="79"/>
      <c r="O26" s="79"/>
      <c r="P26" s="129" t="s">
        <v>312</v>
      </c>
      <c r="Q26" s="116">
        <v>1557077</v>
      </c>
      <c r="R26" s="116">
        <v>2100042868</v>
      </c>
      <c r="S26" s="116">
        <v>4598.2700000000004</v>
      </c>
      <c r="T26" s="130">
        <f t="shared" ref="T26" si="20">Q26/S26</f>
        <v>338.62235144956685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122">
        <f>Q27/22</f>
        <v>77327.590909090912</v>
      </c>
      <c r="G27" s="132">
        <f t="shared" ref="G27" si="21">F27/F26-1</f>
        <v>-5.6421598114462235E-2</v>
      </c>
      <c r="H27" s="132">
        <f t="shared" ref="H27" si="22">F27/F15-1</f>
        <v>-0.35829976541750896</v>
      </c>
      <c r="I27" s="130">
        <f t="shared" si="0"/>
        <v>326.70534417993684</v>
      </c>
      <c r="J27" s="130">
        <f t="shared" si="5"/>
        <v>-0.14589328581511884</v>
      </c>
      <c r="K27" s="78"/>
      <c r="L27" s="90"/>
      <c r="M27" s="90"/>
      <c r="N27" s="79"/>
      <c r="O27" s="79"/>
      <c r="P27" s="129" t="s">
        <v>377</v>
      </c>
      <c r="Q27" s="116">
        <v>1701207</v>
      </c>
      <c r="R27" s="116">
        <v>2266140976</v>
      </c>
      <c r="S27" s="116">
        <v>5207.16</v>
      </c>
      <c r="T27" s="130">
        <f t="shared" ref="T27" si="23">Q27/S27</f>
        <v>326.70534417993684</v>
      </c>
      <c r="U27" s="78"/>
    </row>
    <row r="28" spans="1:21" s="92" customFormat="1" ht="13.2" hidden="1">
      <c r="A28" s="123" t="s">
        <v>413</v>
      </c>
      <c r="B28" s="131">
        <f>SUM(F26:F28)</f>
        <v>255536.27511961723</v>
      </c>
      <c r="C28" s="131">
        <f>AVERAGE(F26:F28)</f>
        <v>85178.758373205739</v>
      </c>
      <c r="D28" s="90">
        <f>C28/C25-1</f>
        <v>-0.16121742570612518</v>
      </c>
      <c r="E28" s="286">
        <f>C28/C16-1</f>
        <v>-0.17692903789568626</v>
      </c>
      <c r="F28" s="122">
        <f>Q28/19</f>
        <v>96257.263157894733</v>
      </c>
      <c r="G28" s="132">
        <f t="shared" ref="G28" si="24">F28/F27-1</f>
        <v>0.24479842222238912</v>
      </c>
      <c r="H28" s="132">
        <f t="shared" ref="H28" si="25">F28/F16-1</f>
        <v>0.12358907464296398</v>
      </c>
      <c r="I28" s="130">
        <f t="shared" si="0"/>
        <v>351.39702802510078</v>
      </c>
      <c r="J28" s="130">
        <f t="shared" si="5"/>
        <v>0.11246913662822977</v>
      </c>
      <c r="K28" s="78">
        <f>R26+R27+R28</f>
        <v>6748108658</v>
      </c>
      <c r="L28" s="90">
        <f>U28/U25-1</f>
        <v>-0.19149816031126032</v>
      </c>
      <c r="M28" s="90">
        <f>U28/U16-1</f>
        <v>-0.23174056150360522</v>
      </c>
      <c r="N28" s="88">
        <f>AVERAGE(T26:T28)</f>
        <v>338.90824121820151</v>
      </c>
      <c r="O28" s="91">
        <f>N28/N25-1</f>
        <v>0.12795946687752124</v>
      </c>
      <c r="P28" s="129" t="s">
        <v>413</v>
      </c>
      <c r="Q28" s="116">
        <v>1828888</v>
      </c>
      <c r="R28" s="116">
        <v>2381924814</v>
      </c>
      <c r="S28" s="116">
        <v>5204.62</v>
      </c>
      <c r="T28" s="130">
        <f t="shared" ref="T28" si="26">Q28/S28</f>
        <v>351.39702802510078</v>
      </c>
      <c r="U28" s="85">
        <f>Q26+Q27+Q28</f>
        <v>5087172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200">
        <f>Q29/22</f>
        <v>90274.5</v>
      </c>
      <c r="G29" s="189">
        <f t="shared" ref="G29" si="27">F29/F28-1</f>
        <v>-6.2153888045632044E-2</v>
      </c>
      <c r="H29" s="189">
        <f t="shared" ref="H29" si="28">F29/F17-1</f>
        <v>-0.21804072967100363</v>
      </c>
      <c r="I29" s="130">
        <f t="shared" si="0"/>
        <v>379.66499905372365</v>
      </c>
      <c r="J29" s="130">
        <f t="shared" si="5"/>
        <v>0.10037571374700449</v>
      </c>
      <c r="K29" s="136"/>
      <c r="L29" s="190"/>
      <c r="M29" s="190"/>
      <c r="N29" s="191"/>
      <c r="O29" s="192"/>
      <c r="P29" s="129" t="s">
        <v>427</v>
      </c>
      <c r="Q29" s="116">
        <v>1986039</v>
      </c>
      <c r="R29" s="116">
        <v>2611953684</v>
      </c>
      <c r="S29" s="116">
        <v>5231.03</v>
      </c>
      <c r="T29" s="130">
        <f t="shared" ref="T29" si="29">Q29/S29</f>
        <v>379.66499905372365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200">
        <f>Q30/19</f>
        <v>100004.21052631579</v>
      </c>
      <c r="G30" s="189">
        <f t="shared" ref="G30" si="30">F30/F29-1</f>
        <v>0.10777916827360756</v>
      </c>
      <c r="H30" s="189">
        <f t="shared" ref="H30" si="31">F30/F18-1</f>
        <v>-0.13896286824950954</v>
      </c>
      <c r="I30" s="130">
        <f t="shared" si="0"/>
        <v>384.39658346516904</v>
      </c>
      <c r="J30" s="130">
        <f t="shared" si="5"/>
        <v>0.12028777865576079</v>
      </c>
      <c r="K30" s="136"/>
      <c r="L30" s="190"/>
      <c r="M30" s="190"/>
      <c r="N30" s="191"/>
      <c r="O30" s="192"/>
      <c r="P30" s="129" t="s">
        <v>466</v>
      </c>
      <c r="Q30" s="116">
        <v>1900080</v>
      </c>
      <c r="R30" s="116">
        <v>2533003782</v>
      </c>
      <c r="S30" s="116">
        <v>4943.0200000000004</v>
      </c>
      <c r="T30" s="130">
        <f t="shared" ref="T30" si="32">Q30/S30</f>
        <v>384.39658346516904</v>
      </c>
      <c r="U30" s="85"/>
    </row>
    <row r="31" spans="1:21" s="92" customFormat="1" ht="13.2" hidden="1">
      <c r="A31" s="129" t="s">
        <v>505</v>
      </c>
      <c r="B31" s="188">
        <f>SUM(F29:F31)</f>
        <v>303036.71052631579</v>
      </c>
      <c r="C31" s="188">
        <f>AVERAGE(F29:F31)</f>
        <v>101012.23684210527</v>
      </c>
      <c r="D31" s="190">
        <f>C31/C28-1</f>
        <v>0.1858852931328967</v>
      </c>
      <c r="E31" s="287">
        <f>C31/C19-1</f>
        <v>-0.14197016675603757</v>
      </c>
      <c r="F31" s="200">
        <f>Q31/20</f>
        <v>112758</v>
      </c>
      <c r="G31" s="189">
        <f t="shared" ref="G31" si="33">F31/F30-1</f>
        <v>0.12753252494631817</v>
      </c>
      <c r="H31" s="189">
        <f t="shared" ref="H31" si="34">F31/F19-1</f>
        <v>-7.261397758131849E-2</v>
      </c>
      <c r="I31" s="130">
        <f t="shared" si="0"/>
        <v>440.46868011351762</v>
      </c>
      <c r="J31" s="130">
        <f t="shared" si="5"/>
        <v>6.0168068749348436E-2</v>
      </c>
      <c r="K31" s="136">
        <f>R29+R30+R31</f>
        <v>8145591822</v>
      </c>
      <c r="L31" s="190">
        <f>U31/U28-1</f>
        <v>0.20720883823074976</v>
      </c>
      <c r="M31" s="190">
        <f>U31/U19-1</f>
        <v>-0.15950273727435327</v>
      </c>
      <c r="N31" s="191">
        <f>AVERAGE(T29:T31)</f>
        <v>401.51008754413675</v>
      </c>
      <c r="O31" s="192">
        <f>N31/N28-1</f>
        <v>0.18471621138781891</v>
      </c>
      <c r="P31" s="129" t="s">
        <v>505</v>
      </c>
      <c r="Q31" s="116">
        <v>2255160</v>
      </c>
      <c r="R31" s="116">
        <v>3000634356</v>
      </c>
      <c r="S31" s="116">
        <v>5119.91</v>
      </c>
      <c r="T31" s="130">
        <f t="shared" ref="T31" si="35">Q31/S31</f>
        <v>440.46868011351762</v>
      </c>
      <c r="U31" s="85">
        <f>Q29+Q30+Q31</f>
        <v>6141279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200">
        <f>Q32/21</f>
        <v>126142.23809523809</v>
      </c>
      <c r="G32" s="189">
        <f t="shared" ref="G32" si="36">F32/F31-1</f>
        <v>0.11869878940064638</v>
      </c>
      <c r="H32" s="189">
        <f t="shared" ref="H32" si="37">F32/F20-1</f>
        <v>0.39154966941340175</v>
      </c>
      <c r="I32" s="130">
        <f t="shared" si="0"/>
        <v>547.16552819599735</v>
      </c>
      <c r="J32" s="130">
        <f t="shared" si="5"/>
        <v>0.89774289569938115</v>
      </c>
      <c r="K32" s="136"/>
      <c r="L32" s="190"/>
      <c r="M32" s="190"/>
      <c r="N32" s="191"/>
      <c r="O32" s="192"/>
      <c r="P32" s="129" t="s">
        <v>566</v>
      </c>
      <c r="Q32" s="116">
        <v>2648987</v>
      </c>
      <c r="R32" s="116">
        <v>3596073312</v>
      </c>
      <c r="S32" s="116">
        <v>4841.29</v>
      </c>
      <c r="T32" s="130">
        <f t="shared" ref="T32" si="38">Q32/S32</f>
        <v>547.16552819599735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200">
        <f>Q33/21</f>
        <v>131960.04761904763</v>
      </c>
      <c r="G33" s="189">
        <f t="shared" ref="G33" si="39">F33/F32-1</f>
        <v>4.6121026641505081E-2</v>
      </c>
      <c r="H33" s="189">
        <f t="shared" ref="H33" si="40">F33/F21-1</f>
        <v>8.0324117390219607E-2</v>
      </c>
      <c r="I33" s="130">
        <f t="shared" si="0"/>
        <v>477.40198839899597</v>
      </c>
      <c r="J33" s="130">
        <f t="shared" si="5"/>
        <v>0.21223165359818963</v>
      </c>
      <c r="K33" s="136"/>
      <c r="L33" s="190"/>
      <c r="M33" s="190"/>
      <c r="N33" s="191"/>
      <c r="O33" s="192"/>
      <c r="P33" s="129" t="s">
        <v>607</v>
      </c>
      <c r="Q33" s="116">
        <v>2771161</v>
      </c>
      <c r="R33" s="116">
        <v>3794773585</v>
      </c>
      <c r="S33" s="116">
        <v>5804.67</v>
      </c>
      <c r="T33" s="130">
        <f t="shared" ref="T33" si="41">Q33/S33</f>
        <v>477.40198839899597</v>
      </c>
      <c r="U33" s="85"/>
    </row>
    <row r="34" spans="1:21" s="92" customFormat="1" ht="13.2" hidden="1">
      <c r="A34" s="129" t="s">
        <v>652</v>
      </c>
      <c r="B34" s="188">
        <f>SUM(F32:F34)</f>
        <v>390334.81203007523</v>
      </c>
      <c r="C34" s="188">
        <f>AVERAGE(F32:F34)</f>
        <v>130111.60401002508</v>
      </c>
      <c r="D34" s="190">
        <f>C34/C31-1</f>
        <v>0.28807764363644139</v>
      </c>
      <c r="E34" s="287">
        <f>C34/C22-1</f>
        <v>0.14053666904815532</v>
      </c>
      <c r="F34" s="200">
        <f>Q34/19</f>
        <v>132232.52631578947</v>
      </c>
      <c r="G34" s="189">
        <f t="shared" ref="G34" si="42">F34/F33-1</f>
        <v>2.0648575205766129E-3</v>
      </c>
      <c r="H34" s="189">
        <f t="shared" ref="H34" si="43">F34/F22-1</f>
        <v>2.1569771382988101E-2</v>
      </c>
      <c r="I34" s="130">
        <f t="shared" si="0"/>
        <v>619.48437492294727</v>
      </c>
      <c r="J34" s="130">
        <f t="shared" si="5"/>
        <v>0.65580540583684876</v>
      </c>
      <c r="K34" s="136">
        <f>R32+R33+R34</f>
        <v>10843233870</v>
      </c>
      <c r="L34" s="190">
        <f>U34/U31-1</f>
        <v>0.2916797950394372</v>
      </c>
      <c r="M34" s="190">
        <f>U34/U22-1</f>
        <v>0.11783810992305055</v>
      </c>
      <c r="N34" s="191">
        <f>AVERAGE(T32:T34)</f>
        <v>548.01729717264686</v>
      </c>
      <c r="O34" s="192">
        <f>N34/N31-1</f>
        <v>0.36489048263925628</v>
      </c>
      <c r="P34" s="129" t="s">
        <v>652</v>
      </c>
      <c r="Q34" s="116">
        <v>2512418</v>
      </c>
      <c r="R34" s="116">
        <v>3452386973</v>
      </c>
      <c r="S34" s="116">
        <v>4055.66</v>
      </c>
      <c r="T34" s="130">
        <f t="shared" ref="T34" si="44">Q34/S34</f>
        <v>619.48437492294727</v>
      </c>
      <c r="U34" s="85">
        <f>Q32+Q33+Q34</f>
        <v>7932566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200">
        <f>Q35/23</f>
        <v>91347.608695652176</v>
      </c>
      <c r="G35" s="189">
        <f t="shared" ref="G35" si="45">F35/F34-1</f>
        <v>-0.30918956749339022</v>
      </c>
      <c r="H35" s="189">
        <f t="shared" ref="H35" si="46">F35/F23-1</f>
        <v>-0.26611921801166383</v>
      </c>
      <c r="I35" s="130">
        <f t="shared" si="0"/>
        <v>607.72105508262541</v>
      </c>
      <c r="J35" s="130">
        <f t="shared" si="5"/>
        <v>0.81088139277206417</v>
      </c>
      <c r="K35" s="136"/>
      <c r="L35" s="190"/>
      <c r="M35" s="190"/>
      <c r="N35" s="191"/>
      <c r="O35" s="192"/>
      <c r="P35" s="129" t="s">
        <v>660</v>
      </c>
      <c r="Q35" s="116">
        <v>2100995</v>
      </c>
      <c r="R35" s="116">
        <v>2909196682</v>
      </c>
      <c r="S35" s="116">
        <v>3457.17</v>
      </c>
      <c r="T35" s="130">
        <f t="shared" ref="T35" si="47">Q35/S35</f>
        <v>607.72105508262541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200">
        <f>Q36/21</f>
        <v>84627.619047619053</v>
      </c>
      <c r="G36" s="189">
        <f t="shared" ref="G36" si="48">F36/F35-1</f>
        <v>-7.3565030809098486E-2</v>
      </c>
      <c r="H36" s="189">
        <f t="shared" ref="H36" si="49">F36/F24-1</f>
        <v>-3.5080894132832885E-3</v>
      </c>
      <c r="I36" s="130">
        <f t="shared" si="0"/>
        <v>491.53522127907905</v>
      </c>
      <c r="J36" s="130">
        <f t="shared" si="5"/>
        <v>0.59765613255664829</v>
      </c>
      <c r="K36" s="136"/>
      <c r="L36" s="190"/>
      <c r="M36" s="190"/>
      <c r="N36" s="191"/>
      <c r="O36" s="192"/>
      <c r="P36" s="129" t="s">
        <v>666</v>
      </c>
      <c r="Q36" s="116">
        <v>1777180</v>
      </c>
      <c r="R36" s="116">
        <v>2431248924</v>
      </c>
      <c r="S36" s="116">
        <v>3615.57</v>
      </c>
      <c r="T36" s="130">
        <f t="shared" ref="T36" si="50">Q36/S36</f>
        <v>491.53522127907905</v>
      </c>
      <c r="U36" s="85"/>
    </row>
    <row r="37" spans="1:21" s="92" customFormat="1" ht="13.2" hidden="1">
      <c r="A37" s="129" t="s">
        <v>702</v>
      </c>
      <c r="B37" s="188">
        <f>SUM(F35:F37)</f>
        <v>312123.9499654934</v>
      </c>
      <c r="C37" s="188">
        <f>AVERAGE(F35:F37)</f>
        <v>104041.31665516447</v>
      </c>
      <c r="D37" s="190">
        <f>C37/C34-1</f>
        <v>-0.20036865699428241</v>
      </c>
      <c r="E37" s="287">
        <f>C37/C25-1</f>
        <v>2.4528240181469041E-2</v>
      </c>
      <c r="F37" s="200">
        <f>Q37/18</f>
        <v>136148.72222222222</v>
      </c>
      <c r="G37" s="189">
        <f t="shared" ref="G37" si="51">F37/F36-1</f>
        <v>0.60879773948990334</v>
      </c>
      <c r="H37" s="189">
        <f t="shared" ref="H37" si="52">F37/F25-1</f>
        <v>0.42932525568645219</v>
      </c>
      <c r="I37" s="130">
        <f t="shared" si="0"/>
        <v>564.62788629462204</v>
      </c>
      <c r="J37" s="130">
        <f t="shared" si="5"/>
        <v>1.1873795685537316</v>
      </c>
      <c r="K37" s="136">
        <f>R35+R36+R37</f>
        <v>8611779593</v>
      </c>
      <c r="L37" s="190">
        <f>U37/U34-1</f>
        <v>-0.20216837779855845</v>
      </c>
      <c r="M37" s="190">
        <f>U37/U25-1</f>
        <v>5.8414547646039594E-3</v>
      </c>
      <c r="N37" s="191">
        <f>AVERAGE(T35:T37)</f>
        <v>554.62805421877556</v>
      </c>
      <c r="O37" s="192">
        <f>N37/N34-1</f>
        <v>1.2063044506505971E-2</v>
      </c>
      <c r="P37" s="129" t="s">
        <v>702</v>
      </c>
      <c r="Q37" s="116">
        <v>2450677</v>
      </c>
      <c r="R37" s="116">
        <v>3271333987</v>
      </c>
      <c r="S37" s="116">
        <v>4340.34</v>
      </c>
      <c r="T37" s="130">
        <f t="shared" ref="T37" si="53">Q37/S37</f>
        <v>564.62788629462204</v>
      </c>
      <c r="U37" s="85">
        <f>Q35+Q36+Q37</f>
        <v>6328852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200">
        <f>Q38/20</f>
        <v>105288.35</v>
      </c>
      <c r="G38" s="189">
        <f t="shared" ref="G38" si="54">F38/F37-1</f>
        <v>-0.22666663130228903</v>
      </c>
      <c r="H38" s="189">
        <f t="shared" ref="H38" si="55">F38/F26-1</f>
        <v>0.28476539695853198</v>
      </c>
      <c r="I38" s="130">
        <f t="shared" si="0"/>
        <v>534.71648764632687</v>
      </c>
      <c r="J38" s="130">
        <f t="shared" si="5"/>
        <v>0.57909389429647717</v>
      </c>
      <c r="K38" s="136"/>
      <c r="L38" s="190"/>
      <c r="M38" s="190"/>
      <c r="N38" s="191"/>
      <c r="O38" s="192"/>
      <c r="P38" s="129" t="s">
        <v>728</v>
      </c>
      <c r="Q38" s="116">
        <v>2105767</v>
      </c>
      <c r="R38" s="116">
        <v>2834956667</v>
      </c>
      <c r="S38" s="116">
        <v>3938.1</v>
      </c>
      <c r="T38" s="130">
        <f t="shared" ref="T38" si="56">Q38/S38</f>
        <v>534.71648764632687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200">
        <f>Q39/21</f>
        <v>126484.80952380953</v>
      </c>
      <c r="G39" s="189">
        <f t="shared" ref="G39" si="57">F39/F38-1</f>
        <v>0.20131818500156484</v>
      </c>
      <c r="H39" s="189">
        <f t="shared" ref="H39" si="58">F39/F27-1</f>
        <v>0.63570089326214241</v>
      </c>
      <c r="I39" s="130">
        <f t="shared" si="0"/>
        <v>581.21486635813608</v>
      </c>
      <c r="J39" s="130">
        <f t="shared" si="5"/>
        <v>0.77901854595321551</v>
      </c>
      <c r="K39" s="136"/>
      <c r="L39" s="190"/>
      <c r="M39" s="190"/>
      <c r="N39" s="191"/>
      <c r="O39" s="192"/>
      <c r="P39" s="129" t="s">
        <v>762</v>
      </c>
      <c r="Q39" s="116">
        <v>2656181</v>
      </c>
      <c r="R39" s="116">
        <v>3687502343</v>
      </c>
      <c r="S39" s="116">
        <v>4570.05</v>
      </c>
      <c r="T39" s="130">
        <f t="shared" ref="T39" si="59">Q39/S39</f>
        <v>581.21486635813608</v>
      </c>
      <c r="U39" s="85"/>
    </row>
    <row r="40" spans="1:21" s="92" customFormat="1" ht="13.2" hidden="1">
      <c r="A40" s="129" t="s">
        <v>778</v>
      </c>
      <c r="B40" s="188">
        <f>SUM(F38:F40)</f>
        <v>320138.77857142861</v>
      </c>
      <c r="C40" s="188">
        <f>AVERAGE(F38:F40)</f>
        <v>106712.92619047621</v>
      </c>
      <c r="D40" s="190">
        <f>C40/C37-1</f>
        <v>2.5678351843302361E-2</v>
      </c>
      <c r="E40" s="287">
        <f>C40/C28-1</f>
        <v>0.25281147821995442</v>
      </c>
      <c r="F40" s="200">
        <f>Q40/21</f>
        <v>88365.619047619053</v>
      </c>
      <c r="G40" s="189">
        <f t="shared" ref="G40" si="60">F40/F39-1</f>
        <v>-0.3013736639182345</v>
      </c>
      <c r="H40" s="189">
        <f t="shared" ref="H40" si="61">F40/F28-1</f>
        <v>-8.1984920943894868E-2</v>
      </c>
      <c r="I40" s="130">
        <f t="shared" si="0"/>
        <v>545.90485604262096</v>
      </c>
      <c r="J40" s="130">
        <f t="shared" si="5"/>
        <v>0.55352724270515519</v>
      </c>
      <c r="K40" s="136">
        <f>R38+R39+R40</f>
        <v>9145582133</v>
      </c>
      <c r="L40" s="190">
        <f>U40/U37-1</f>
        <v>4.5628180276612529E-2</v>
      </c>
      <c r="M40" s="190">
        <f>U40/U28-1</f>
        <v>0.30084573511569879</v>
      </c>
      <c r="N40" s="191">
        <f>AVERAGE(T38:T40)</f>
        <v>553.94540334902797</v>
      </c>
      <c r="O40" s="192">
        <f>N40/N37-1</f>
        <v>-1.2308264332375751E-3</v>
      </c>
      <c r="P40" s="129" t="s">
        <v>778</v>
      </c>
      <c r="Q40" s="116">
        <v>1855678</v>
      </c>
      <c r="R40" s="116">
        <v>2623123123</v>
      </c>
      <c r="S40" s="116">
        <v>3399.27</v>
      </c>
      <c r="T40" s="130">
        <f t="shared" ref="T40" si="62">Q40/S40</f>
        <v>545.90485604262096</v>
      </c>
      <c r="U40" s="85">
        <f>Q38+Q39+Q40</f>
        <v>6617626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200">
        <f>Q41/18</f>
        <v>155079.27777777778</v>
      </c>
      <c r="G41" s="189">
        <f t="shared" ref="G41" si="63">F41/F40-1</f>
        <v>0.75497302513331155</v>
      </c>
      <c r="H41" s="189">
        <f t="shared" ref="H41" si="64">F41/F29-1</f>
        <v>0.7178636024323346</v>
      </c>
      <c r="I41" s="130">
        <f t="shared" si="0"/>
        <v>383.04000241507441</v>
      </c>
      <c r="J41" s="130">
        <f t="shared" si="5"/>
        <v>8.889424544697544E-3</v>
      </c>
      <c r="K41" s="194"/>
      <c r="L41" s="202"/>
      <c r="M41" s="202"/>
      <c r="N41" s="194"/>
      <c r="O41" s="194"/>
      <c r="P41" s="129" t="s">
        <v>792</v>
      </c>
      <c r="Q41" s="116">
        <v>2791427</v>
      </c>
      <c r="R41" s="116">
        <v>4077194323</v>
      </c>
      <c r="S41" s="116">
        <v>7287.56</v>
      </c>
      <c r="T41" s="130">
        <f t="shared" ref="T41" si="65">Q41/S41</f>
        <v>383.04000241507441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200">
        <f>Q42/20</f>
        <v>111731.2</v>
      </c>
      <c r="G42" s="189">
        <f t="shared" ref="G42" si="66">F42/F41-1</f>
        <v>-0.2795220509080123</v>
      </c>
      <c r="H42" s="189">
        <f t="shared" ref="H42" si="67">F42/F30-1</f>
        <v>0.11726495726495734</v>
      </c>
      <c r="I42" s="130">
        <f t="shared" si="0"/>
        <v>369.74803264257963</v>
      </c>
      <c r="J42" s="130">
        <f t="shared" si="5"/>
        <v>-3.8107911081152301E-2</v>
      </c>
      <c r="K42" s="194"/>
      <c r="L42" s="202"/>
      <c r="M42" s="202"/>
      <c r="N42" s="194"/>
      <c r="O42" s="194"/>
      <c r="P42" s="129" t="s">
        <v>826</v>
      </c>
      <c r="Q42" s="116">
        <v>2234624</v>
      </c>
      <c r="R42" s="116">
        <v>3230969875</v>
      </c>
      <c r="S42" s="116">
        <v>6043.64</v>
      </c>
      <c r="T42" s="130">
        <f t="shared" ref="T42" si="68">Q42/S42</f>
        <v>369.74803264257963</v>
      </c>
      <c r="U42" s="175"/>
    </row>
    <row r="43" spans="1:21" s="92" customFormat="1" ht="13.2">
      <c r="A43" s="129" t="s">
        <v>835</v>
      </c>
      <c r="B43" s="188">
        <f>SUM(F41:F43)</f>
        <v>395463.12777777773</v>
      </c>
      <c r="C43" s="188">
        <f>AVERAGE(F41:F43)</f>
        <v>131821.04259259257</v>
      </c>
      <c r="D43" s="190">
        <f>C43/C40-1</f>
        <v>0.23528655148393041</v>
      </c>
      <c r="E43" s="287">
        <f>C43/C31-1</f>
        <v>0.30500072776969889</v>
      </c>
      <c r="F43" s="200">
        <f>Q43/20</f>
        <v>128652.65</v>
      </c>
      <c r="G43" s="189">
        <f t="shared" ref="G43" si="69">F43/F42-1</f>
        <v>0.15144784983961501</v>
      </c>
      <c r="H43" s="189">
        <f t="shared" ref="H43" si="70">F43/F31-1</f>
        <v>0.14096250376913377</v>
      </c>
      <c r="I43" s="130">
        <f t="shared" si="0"/>
        <v>445.8830746409875</v>
      </c>
      <c r="J43" s="130">
        <f t="shared" si="5"/>
        <v>1.2292348518569973E-2</v>
      </c>
      <c r="K43" s="136">
        <f>R41+R42+R43</f>
        <v>11031981642</v>
      </c>
      <c r="L43" s="190">
        <f>U43/U40-1</f>
        <v>0.14831270307509059</v>
      </c>
      <c r="M43" s="190">
        <f>K43/K31-1</f>
        <v>0.35434992116893227</v>
      </c>
      <c r="N43" s="191">
        <f>AVERAGE(T41:T43)</f>
        <v>399.55703656621381</v>
      </c>
      <c r="O43" s="192">
        <f>N43/N40-1</f>
        <v>-0.27870682895718102</v>
      </c>
      <c r="P43" s="129" t="s">
        <v>835</v>
      </c>
      <c r="Q43" s="116">
        <v>2573053</v>
      </c>
      <c r="R43" s="116">
        <v>3723817444</v>
      </c>
      <c r="S43" s="116">
        <v>5770.69</v>
      </c>
      <c r="T43" s="130">
        <f t="shared" ref="T43" si="71">Q43/S43</f>
        <v>445.8830746409875</v>
      </c>
      <c r="U43" s="85">
        <f>Q41+Q42+Q43</f>
        <v>7599104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200">
        <f>Q44/22</f>
        <v>95063.318181818177</v>
      </c>
      <c r="G44" s="189">
        <f t="shared" ref="G44" si="72">F44/F43-1</f>
        <v>-0.26108542512091137</v>
      </c>
      <c r="H44" s="189">
        <f t="shared" ref="H44" si="73">F44/F32-1</f>
        <v>-0.24637996267320994</v>
      </c>
      <c r="I44" s="130">
        <f t="shared" si="0"/>
        <v>435.41115825501845</v>
      </c>
      <c r="J44" s="130">
        <f t="shared" si="5"/>
        <v>-0.20424234382862649</v>
      </c>
      <c r="K44" s="136"/>
      <c r="L44" s="190"/>
      <c r="M44" s="190"/>
      <c r="N44" s="191"/>
      <c r="O44" s="192"/>
      <c r="P44" s="129" t="s">
        <v>843</v>
      </c>
      <c r="Q44" s="116">
        <v>2091393</v>
      </c>
      <c r="R44" s="116">
        <v>3046311001</v>
      </c>
      <c r="S44" s="116">
        <v>4803.26</v>
      </c>
      <c r="T44" s="130">
        <f t="shared" ref="T44" si="74">Q44/S44</f>
        <v>435.41115825501845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200">
        <f>Q45/20</f>
        <v>143456.5</v>
      </c>
      <c r="G45" s="189">
        <f t="shared" ref="G45" si="75">F45/F44-1</f>
        <v>0.50906261998581814</v>
      </c>
      <c r="H45" s="189">
        <f t="shared" ref="H45" si="76">F45/F33-1</f>
        <v>8.7120705004148036E-2</v>
      </c>
      <c r="I45" s="130">
        <f t="shared" si="0"/>
        <v>407.53008753900764</v>
      </c>
      <c r="J45" s="130">
        <f t="shared" si="5"/>
        <v>-0.14635862974578107</v>
      </c>
      <c r="K45" s="136"/>
      <c r="L45" s="190"/>
      <c r="M45" s="190"/>
      <c r="N45" s="191"/>
      <c r="O45" s="192"/>
      <c r="P45" s="129" t="s">
        <v>849</v>
      </c>
      <c r="Q45" s="116">
        <v>2869130</v>
      </c>
      <c r="R45" s="116">
        <v>4050154889</v>
      </c>
      <c r="S45" s="116">
        <v>7040.29</v>
      </c>
      <c r="T45" s="130">
        <f t="shared" ref="T45" si="77">Q45/S45</f>
        <v>407.53008753900764</v>
      </c>
      <c r="U45" s="85"/>
    </row>
    <row r="46" spans="1:21" s="92" customFormat="1" ht="13.2">
      <c r="A46" s="129" t="s">
        <v>888</v>
      </c>
      <c r="B46" s="188">
        <f>SUM(F44:F46)</f>
        <v>366880.87081339711</v>
      </c>
      <c r="C46" s="188">
        <f>AVERAGE(F44:F46)</f>
        <v>122293.6236044657</v>
      </c>
      <c r="D46" s="190">
        <f>C46/C43-1</f>
        <v>-7.2275403082438072E-2</v>
      </c>
      <c r="E46" s="287">
        <f>C46/C34-1</f>
        <v>-6.0086726814596925E-2</v>
      </c>
      <c r="F46" s="200">
        <f>Q46/19</f>
        <v>128361.05263157895</v>
      </c>
      <c r="G46" s="189">
        <f t="shared" ref="G46" si="78">F46/F45-1</f>
        <v>-0.10522665315563295</v>
      </c>
      <c r="H46" s="189">
        <f t="shared" ref="H46" si="79">F46/F34-1</f>
        <v>-2.9277771453635415E-2</v>
      </c>
      <c r="I46" s="130">
        <f t="shared" si="0"/>
        <v>562.63120740805675</v>
      </c>
      <c r="J46" s="130">
        <f t="shared" si="5"/>
        <v>-9.1774982253526649E-2</v>
      </c>
      <c r="K46" s="136">
        <f>R44+R45+R46</f>
        <v>10435796981</v>
      </c>
      <c r="L46" s="190">
        <f>U46/U43-1</f>
        <v>-2.6282177477765845E-2</v>
      </c>
      <c r="M46" s="190">
        <f>K46/K34-1</f>
        <v>-3.7575219153693329E-2</v>
      </c>
      <c r="N46" s="191">
        <f>AVERAGE(T44:T46)</f>
        <v>468.52415106736095</v>
      </c>
      <c r="O46" s="192">
        <f>N46/N43-1</f>
        <v>0.17260893486909734</v>
      </c>
      <c r="P46" s="129" t="s">
        <v>928</v>
      </c>
      <c r="Q46" s="116">
        <v>2438860</v>
      </c>
      <c r="R46" s="116">
        <v>3339331091</v>
      </c>
      <c r="S46" s="116">
        <v>4334.74</v>
      </c>
      <c r="T46" s="130">
        <f t="shared" ref="T46" si="80">Q46/S46</f>
        <v>562.63120740805675</v>
      </c>
      <c r="U46" s="85">
        <f t="shared" ref="U46:U51" si="81">Q44+Q45+Q46</f>
        <v>7399383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200">
        <f>Q47/23</f>
        <v>178713.47826086957</v>
      </c>
      <c r="G47" s="189">
        <f t="shared" ref="G47" si="82">F47/F46-1</f>
        <v>0.39227183477383765</v>
      </c>
      <c r="H47" s="189">
        <f t="shared" ref="H47" si="83">F47/F35-1</f>
        <v>0.95641112901268199</v>
      </c>
      <c r="I47" s="130">
        <f t="shared" si="0"/>
        <v>531.57444144987664</v>
      </c>
      <c r="J47" s="130">
        <f t="shared" si="5"/>
        <v>-0.12529862672340009</v>
      </c>
      <c r="K47" s="136"/>
      <c r="L47" s="190"/>
      <c r="M47" s="190"/>
      <c r="N47" s="191"/>
      <c r="O47" s="192"/>
      <c r="P47" s="129" t="s">
        <v>991</v>
      </c>
      <c r="Q47" s="116">
        <v>4110410</v>
      </c>
      <c r="R47" s="116">
        <v>5633609088</v>
      </c>
      <c r="S47" s="116">
        <v>7732.52</v>
      </c>
      <c r="T47" s="130">
        <f t="shared" ref="T47" si="84">Q47/S47</f>
        <v>531.57444144987664</v>
      </c>
      <c r="U47" s="85">
        <f t="shared" si="81"/>
        <v>9418400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200">
        <f>Q48/20</f>
        <v>120199.6</v>
      </c>
      <c r="G48" s="189">
        <f t="shared" ref="G48" si="85">F48/F47-1</f>
        <v>-0.32741726494437295</v>
      </c>
      <c r="H48" s="189">
        <f t="shared" ref="H48" si="86">F48/F36-1</f>
        <v>0.42033536276573003</v>
      </c>
      <c r="I48" s="130">
        <f t="shared" si="0"/>
        <v>452.80508409130721</v>
      </c>
      <c r="J48" s="130">
        <f t="shared" si="5"/>
        <v>-7.8794225746402824E-2</v>
      </c>
      <c r="K48" s="136"/>
      <c r="L48" s="190"/>
      <c r="M48" s="190"/>
      <c r="N48" s="191"/>
      <c r="O48" s="192"/>
      <c r="P48" s="129" t="s">
        <v>1135</v>
      </c>
      <c r="Q48" s="116">
        <v>2403992</v>
      </c>
      <c r="R48" s="116">
        <v>3336251750</v>
      </c>
      <c r="S48" s="116">
        <v>5309.11</v>
      </c>
      <c r="T48" s="130">
        <f t="shared" ref="T48" si="87">Q48/S48</f>
        <v>452.80508409130721</v>
      </c>
      <c r="U48" s="85">
        <f t="shared" si="81"/>
        <v>8953262</v>
      </c>
    </row>
    <row r="49" spans="1:26" ht="13.2">
      <c r="A49" s="129" t="s">
        <v>1158</v>
      </c>
      <c r="B49" s="188">
        <f>SUM(F47:F49)</f>
        <v>403233.16916996054</v>
      </c>
      <c r="C49" s="188">
        <f>AVERAGE(F47:F49)</f>
        <v>134411.05638998686</v>
      </c>
      <c r="D49" s="190">
        <f>C49/C46-1</f>
        <v>9.9084747253156635E-2</v>
      </c>
      <c r="E49" s="287">
        <f>C49/C37-1</f>
        <v>0.29190076318891789</v>
      </c>
      <c r="F49" s="200">
        <f>Q49/22</f>
        <v>104320.09090909091</v>
      </c>
      <c r="G49" s="189">
        <f t="shared" ref="G49" si="88">F49/F48-1</f>
        <v>-0.13210950028876212</v>
      </c>
      <c r="H49" s="189">
        <f t="shared" ref="H49" si="89">F49/F37-1</f>
        <v>-0.23377840638989289</v>
      </c>
      <c r="I49" s="130">
        <f t="shared" si="0"/>
        <v>400.74839921842391</v>
      </c>
      <c r="J49" s="130">
        <f t="shared" si="5"/>
        <v>-0.29024334620037884</v>
      </c>
      <c r="K49" s="136">
        <f>R47+R48+R49</f>
        <v>12158971901</v>
      </c>
      <c r="L49" s="190">
        <f>U49/U46-1</f>
        <v>0.19056467275717459</v>
      </c>
      <c r="M49" s="190">
        <f>K49/K37-1</f>
        <v>0.41190003409786513</v>
      </c>
      <c r="N49" s="191">
        <f>AVERAGE(T47:T49)</f>
        <v>461.70930825320261</v>
      </c>
      <c r="O49" s="192">
        <f>N49/N46-1</f>
        <v>-1.4545339442232019E-2</v>
      </c>
      <c r="P49" s="129" t="s">
        <v>1158</v>
      </c>
      <c r="Q49" s="116">
        <v>2295042</v>
      </c>
      <c r="R49" s="116">
        <v>3189111063</v>
      </c>
      <c r="S49" s="116">
        <v>5726.89</v>
      </c>
      <c r="T49" s="130">
        <f t="shared" ref="T49" si="90">Q49/S49</f>
        <v>400.74839921842391</v>
      </c>
      <c r="U49" s="85">
        <f t="shared" si="81"/>
        <v>8809444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115982.27777777778</v>
      </c>
      <c r="G50" s="190">
        <f t="shared" ref="G50" si="91">F50/F49-1</f>
        <v>0.11179233805355682</v>
      </c>
      <c r="H50" s="190">
        <f t="shared" ref="H50" si="92">F50/F38-1</f>
        <v>0.10156800612582284</v>
      </c>
      <c r="I50" s="130">
        <f t="shared" ref="I50" si="93">T50</f>
        <v>424.93690106901801</v>
      </c>
      <c r="J50" s="130">
        <f t="shared" ref="J50" si="94">I50/I38-1</f>
        <v>-0.20530428575435933</v>
      </c>
      <c r="K50" s="136"/>
      <c r="L50" s="190"/>
      <c r="M50" s="190"/>
      <c r="N50" s="191"/>
      <c r="O50" s="192"/>
      <c r="P50" s="129" t="s">
        <v>1291</v>
      </c>
      <c r="Q50" s="116">
        <v>2087681</v>
      </c>
      <c r="R50" s="116">
        <v>2952799914</v>
      </c>
      <c r="S50" s="116">
        <v>4912.92</v>
      </c>
      <c r="T50" s="130">
        <f t="shared" ref="T50" si="95">Q50/S50</f>
        <v>424.93690106901801</v>
      </c>
      <c r="U50" s="85">
        <f t="shared" si="81"/>
        <v>6786715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169194.75</v>
      </c>
      <c r="G51" s="190">
        <f t="shared" ref="G51:G52" si="96">F51/F50-1</f>
        <v>0.45879830299744073</v>
      </c>
      <c r="H51" s="190">
        <f t="shared" ref="H51:H52" si="97">F51/F39-1</f>
        <v>0.33766853614268011</v>
      </c>
      <c r="I51" s="130">
        <f t="shared" ref="I51:I52" si="98">T51</f>
        <v>143.30789793315139</v>
      </c>
      <c r="J51" s="130">
        <f t="shared" ref="J51:J52" si="99">I51/I39-1</f>
        <v>-0.75343387406603746</v>
      </c>
      <c r="K51" s="136"/>
      <c r="L51" s="190"/>
      <c r="M51" s="190"/>
      <c r="N51" s="191"/>
      <c r="O51" s="192"/>
      <c r="P51" s="129" t="s">
        <v>1402</v>
      </c>
      <c r="Q51" s="116">
        <v>3383895</v>
      </c>
      <c r="R51" s="116">
        <v>4892995334</v>
      </c>
      <c r="S51" s="116">
        <v>23612.76</v>
      </c>
      <c r="T51" s="130">
        <f t="shared" ref="T51:T52" si="100">Q51/S51</f>
        <v>143.30789793315139</v>
      </c>
      <c r="U51" s="85">
        <f t="shared" si="81"/>
        <v>7766618</v>
      </c>
    </row>
    <row r="52" spans="1:26" s="79" customFormat="1" ht="13.2">
      <c r="A52" s="129" t="s">
        <v>1403</v>
      </c>
      <c r="B52" s="188">
        <f>SUM(F50:F52)</f>
        <v>412899.30050505046</v>
      </c>
      <c r="C52" s="188">
        <f>AVERAGE(F50:F52)</f>
        <v>137633.10016835015</v>
      </c>
      <c r="D52" s="190">
        <f>C52/C49-1</f>
        <v>2.3971568001182053E-2</v>
      </c>
      <c r="E52" s="287">
        <f>C52/C40-1</f>
        <v>0.28975097096188018</v>
      </c>
      <c r="F52" s="136">
        <f>Q52/22</f>
        <v>127722.27272727272</v>
      </c>
      <c r="G52" s="190">
        <f t="shared" si="96"/>
        <v>-0.24511680931428004</v>
      </c>
      <c r="H52" s="190">
        <f t="shared" si="97"/>
        <v>0.44538423545072314</v>
      </c>
      <c r="I52" s="130">
        <f t="shared" si="98"/>
        <v>131.88906803348516</v>
      </c>
      <c r="J52" s="130">
        <f t="shared" si="99"/>
        <v>-0.75840283050497714</v>
      </c>
      <c r="K52" s="136">
        <f>R50+R51+R52</f>
        <v>11980710720</v>
      </c>
      <c r="L52" s="190">
        <f>U52/U49-1</f>
        <v>-5.9933180800059604E-2</v>
      </c>
      <c r="M52" s="190">
        <f>K52/K40-1</f>
        <v>0.30999979506717312</v>
      </c>
      <c r="N52" s="191">
        <f>AVERAGE(T50:T52)</f>
        <v>233.37795567855153</v>
      </c>
      <c r="O52" s="192">
        <f>N52/N49-1</f>
        <v>-0.49453486965316618</v>
      </c>
      <c r="P52" s="129" t="s">
        <v>1403</v>
      </c>
      <c r="Q52" s="116">
        <v>2809890</v>
      </c>
      <c r="R52" s="116">
        <v>4134915472</v>
      </c>
      <c r="S52" s="116">
        <v>21304.95</v>
      </c>
      <c r="T52" s="130">
        <f t="shared" si="100"/>
        <v>131.88906803348516</v>
      </c>
      <c r="U52" s="85">
        <f t="shared" ref="U52" si="101">Q50+Q51+Q52</f>
        <v>8281466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126171.90476190476</v>
      </c>
      <c r="G53" s="190">
        <f t="shared" ref="G53" si="102">F53/F52-1</f>
        <v>-1.2138587360393083E-2</v>
      </c>
      <c r="H53" s="190">
        <f t="shared" ref="H53" si="103">F53/F41-1</f>
        <v>-0.18640384086193706</v>
      </c>
      <c r="I53" s="130">
        <f t="shared" ref="I53" si="104">T53</f>
        <v>343.87520035301065</v>
      </c>
      <c r="J53" s="130">
        <f t="shared" ref="J53" si="105">I53/I41-1</f>
        <v>-0.10224728961760898</v>
      </c>
      <c r="K53" s="136"/>
      <c r="L53" s="190"/>
      <c r="M53" s="190"/>
      <c r="N53" s="191"/>
      <c r="O53" s="192"/>
      <c r="P53" s="129" t="s">
        <v>1414</v>
      </c>
      <c r="Q53" s="116">
        <v>2649610</v>
      </c>
      <c r="R53" s="116">
        <v>3868330971</v>
      </c>
      <c r="S53" s="116">
        <v>7705.15</v>
      </c>
      <c r="T53" s="130">
        <f t="shared" ref="T53" si="106">Q53/S53</f>
        <v>343.87520035301065</v>
      </c>
      <c r="U53" s="85">
        <f t="shared" ref="U53" si="107">Q51+Q52+Q53</f>
        <v>8843395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113164.05882352941</v>
      </c>
      <c r="G54" s="190">
        <f t="shared" ref="G54" si="108">F54/F53-1</f>
        <v>-0.1030962159358858</v>
      </c>
      <c r="H54" s="190">
        <f t="shared" ref="H54" si="109">F54/F42-1</f>
        <v>1.2824160337751911E-2</v>
      </c>
      <c r="I54" s="130">
        <f t="shared" ref="I54" si="110">T54</f>
        <v>391.77368311726394</v>
      </c>
      <c r="J54" s="130">
        <f t="shared" ref="J54" si="111">I54/I42-1</f>
        <v>5.9569351369546331E-2</v>
      </c>
      <c r="K54" s="136"/>
      <c r="L54" s="190"/>
      <c r="M54" s="190"/>
      <c r="N54" s="191"/>
      <c r="O54" s="192"/>
      <c r="P54" s="129" t="s">
        <v>1417</v>
      </c>
      <c r="Q54" s="116">
        <v>1923789</v>
      </c>
      <c r="R54" s="116">
        <v>2784733563</v>
      </c>
      <c r="S54" s="116">
        <v>4910.46</v>
      </c>
      <c r="T54" s="130">
        <f t="shared" ref="T54" si="112">Q54/S54</f>
        <v>391.77368311726394</v>
      </c>
      <c r="U54" s="85">
        <f t="shared" ref="U54" si="113">Q52+Q53+Q54</f>
        <v>7383289</v>
      </c>
    </row>
    <row r="55" spans="1:26" s="79" customFormat="1" ht="13.2">
      <c r="A55" s="129" t="s">
        <v>1418</v>
      </c>
      <c r="B55" s="188">
        <f>SUM(F53:F55)</f>
        <v>380382.86834733898</v>
      </c>
      <c r="C55" s="188">
        <f>AVERAGE(F53:F55)</f>
        <v>126794.289449113</v>
      </c>
      <c r="D55" s="190">
        <f>C55/C52-1</f>
        <v>-7.8751482789963578E-2</v>
      </c>
      <c r="E55" s="287">
        <f>C55/C43-1</f>
        <v>-3.813316178218451E-2</v>
      </c>
      <c r="F55" s="136">
        <f>Q55/21</f>
        <v>141046.90476190476</v>
      </c>
      <c r="G55" s="190">
        <f t="shared" ref="G55" si="114">F55/F54-1</f>
        <v>0.24639312364941324</v>
      </c>
      <c r="H55" s="190">
        <f t="shared" ref="H55" si="115">F55/F43-1</f>
        <v>9.6338899835368919E-2</v>
      </c>
      <c r="I55" s="130">
        <f>T55</f>
        <v>303.3732780252983</v>
      </c>
      <c r="J55" s="130">
        <f t="shared" ref="J55" si="116">I55/I43-1</f>
        <v>-0.31961248300450529</v>
      </c>
      <c r="K55" s="136">
        <f>R53+R54+R55</f>
        <v>10999929757</v>
      </c>
      <c r="L55" s="190">
        <f>U55/U52-1</f>
        <v>-9.0090570920655866E-2</v>
      </c>
      <c r="M55" s="190">
        <f>K55/K43-1</f>
        <v>-2.9053606178943703E-3</v>
      </c>
      <c r="N55" s="191">
        <f>AVERAGE(T53:T55)</f>
        <v>346.34072049852426</v>
      </c>
      <c r="O55" s="192">
        <f>N55/N52-1</f>
        <v>0.4840335690298212</v>
      </c>
      <c r="P55" s="129" t="s">
        <v>1418</v>
      </c>
      <c r="Q55" s="116">
        <v>2961985</v>
      </c>
      <c r="R55" s="116">
        <v>4346865223</v>
      </c>
      <c r="S55" s="116">
        <v>9763.5</v>
      </c>
      <c r="T55" s="130">
        <f t="shared" ref="T55" si="117">Q55/S55</f>
        <v>303.3732780252983</v>
      </c>
      <c r="U55" s="85">
        <f t="shared" ref="U55" si="118">Q53+Q54+Q55</f>
        <v>7535384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162229.27272727274</v>
      </c>
      <c r="G56" s="190">
        <f t="shared" ref="G56" si="119">F56/F55-1</f>
        <v>0.15017960160930177</v>
      </c>
      <c r="H56" s="190">
        <f t="shared" ref="H56" si="120">F56/F44-1</f>
        <v>0.70653913444292882</v>
      </c>
      <c r="I56" s="291">
        <f>T56</f>
        <v>351.70999508262469</v>
      </c>
      <c r="J56" s="130">
        <f t="shared" ref="J56" si="121">I56/I44-1</f>
        <v>-0.19223476841484699</v>
      </c>
      <c r="K56" s="136"/>
      <c r="L56" s="190"/>
      <c r="M56" s="190"/>
      <c r="N56" s="191"/>
      <c r="O56" s="192"/>
      <c r="P56" s="129" t="s">
        <v>1420</v>
      </c>
      <c r="Q56" s="116">
        <v>3569044</v>
      </c>
      <c r="R56" s="116">
        <v>5324021787</v>
      </c>
      <c r="S56" s="116">
        <v>10147.69</v>
      </c>
      <c r="T56" s="130">
        <f t="shared" ref="T56" si="122">Q56/S56</f>
        <v>351.70999508262469</v>
      </c>
      <c r="U56" s="85">
        <f t="shared" ref="U56" si="123">Q54+Q55+Q56</f>
        <v>8454818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125393.08333333333</v>
      </c>
      <c r="G57" s="254">
        <f t="shared" ref="G57" si="124">F57/F56-1</f>
        <v>-0.22706253177788416</v>
      </c>
      <c r="H57" s="254">
        <f t="shared" ref="H57" si="125">F57/F45-1</f>
        <v>-0.12591563760907787</v>
      </c>
      <c r="I57" s="282">
        <f>T57</f>
        <v>323.66396286521217</v>
      </c>
      <c r="J57" s="277">
        <f t="shared" ref="J57" si="126">I57/I45-1</f>
        <v>-0.20579124643347479</v>
      </c>
      <c r="K57" s="204"/>
      <c r="L57" s="254"/>
      <c r="M57" s="254"/>
      <c r="N57" s="257"/>
      <c r="O57" s="258"/>
      <c r="P57" s="129" t="s">
        <v>1436</v>
      </c>
      <c r="Q57" s="116">
        <v>1504717</v>
      </c>
      <c r="R57" s="116">
        <v>2218478301</v>
      </c>
      <c r="S57" s="116">
        <v>4649.01</v>
      </c>
      <c r="T57" s="130">
        <f t="shared" ref="T57" si="127">Q57/S57</f>
        <v>323.66396286521217</v>
      </c>
      <c r="U57" s="85">
        <f t="shared" ref="U57" si="128">Q55+Q56+Q57</f>
        <v>8035746</v>
      </c>
    </row>
    <row r="58" spans="1:26">
      <c r="B58" s="196">
        <f>SUM(F56:F58)</f>
        <v>287622.35606060608</v>
      </c>
      <c r="C58" s="196">
        <f>AVERAGE(F56:F58)</f>
        <v>143811.17803030304</v>
      </c>
      <c r="D58" s="197">
        <f>C58/C55-1</f>
        <v>0.13420863553969054</v>
      </c>
      <c r="E58" s="233">
        <f>C58/C46-1</f>
        <v>0.17594992929011233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12609145</v>
      </c>
      <c r="R65" s="212">
        <v>18542429845</v>
      </c>
      <c r="S65" s="213">
        <v>37175.81</v>
      </c>
      <c r="T65" s="214">
        <v>13</v>
      </c>
      <c r="U65" s="214">
        <v>32</v>
      </c>
    </row>
    <row r="66" spans="16:21" ht="18" thickBot="1">
      <c r="P66" s="180" t="s">
        <v>976</v>
      </c>
      <c r="Q66" s="181">
        <v>2649610</v>
      </c>
      <c r="R66" s="181">
        <v>3868330971</v>
      </c>
      <c r="S66" s="182">
        <v>7705.15</v>
      </c>
      <c r="T66" s="210">
        <v>11</v>
      </c>
      <c r="U66" s="210">
        <v>25</v>
      </c>
    </row>
    <row r="67" spans="16:21" ht="18" thickBot="1">
      <c r="P67" s="180" t="s">
        <v>977</v>
      </c>
      <c r="Q67" s="181">
        <v>1923789</v>
      </c>
      <c r="R67" s="181">
        <v>2784733563</v>
      </c>
      <c r="S67" s="182">
        <v>4910.46</v>
      </c>
      <c r="T67" s="210">
        <v>9</v>
      </c>
      <c r="U67" s="210">
        <v>22</v>
      </c>
    </row>
    <row r="68" spans="16:21" ht="18" thickBot="1">
      <c r="P68" s="180" t="s">
        <v>978</v>
      </c>
      <c r="Q68" s="181">
        <v>2961985</v>
      </c>
      <c r="R68" s="181">
        <v>4346865223</v>
      </c>
      <c r="S68" s="182">
        <v>9763.5</v>
      </c>
      <c r="T68" s="210">
        <v>8</v>
      </c>
      <c r="U68" s="210">
        <v>23</v>
      </c>
    </row>
    <row r="69" spans="16:21" ht="18" thickBot="1">
      <c r="P69" s="180" t="s">
        <v>979</v>
      </c>
      <c r="Q69" s="181">
        <v>3569044</v>
      </c>
      <c r="R69" s="181">
        <v>5324021787</v>
      </c>
      <c r="S69" s="182">
        <v>10147.69</v>
      </c>
      <c r="T69" s="210">
        <v>10</v>
      </c>
      <c r="U69" s="210">
        <v>23</v>
      </c>
    </row>
    <row r="70" spans="16:21" ht="18" thickBot="1">
      <c r="P70" s="180" t="s">
        <v>980</v>
      </c>
      <c r="Q70" s="181">
        <v>1504717</v>
      </c>
      <c r="R70" s="181">
        <v>2218478301</v>
      </c>
      <c r="S70" s="182">
        <v>4649.01</v>
      </c>
      <c r="T70" s="210">
        <v>11</v>
      </c>
      <c r="U70" s="210">
        <v>20</v>
      </c>
    </row>
    <row r="71" spans="16:21" ht="18" thickBot="1">
      <c r="P71" s="180" t="s">
        <v>975</v>
      </c>
      <c r="Q71" s="181">
        <v>32087637</v>
      </c>
      <c r="R71" s="181">
        <v>45604941844</v>
      </c>
      <c r="S71" s="182">
        <v>103878.73</v>
      </c>
      <c r="T71" s="210">
        <v>25</v>
      </c>
      <c r="U71" s="210">
        <v>62</v>
      </c>
    </row>
    <row r="72" spans="16:21" ht="18" thickBot="1">
      <c r="P72" s="215" t="s">
        <v>982</v>
      </c>
      <c r="Q72" s="217" t="s">
        <v>1486</v>
      </c>
      <c r="R72"/>
      <c r="S72"/>
      <c r="T72"/>
      <c r="U72"/>
    </row>
  </sheetData>
  <phoneticPr fontId="1" type="noConversion"/>
  <conditionalFormatting sqref="C29:C30">
    <cfRule type="cellIs" dxfId="20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3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842121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4097836.9</v>
      </c>
      <c r="G5" s="90"/>
      <c r="H5" s="90"/>
      <c r="I5" s="130">
        <f t="shared" ref="I5:I49" si="0">T5</f>
        <v>19.346067543294001</v>
      </c>
      <c r="J5" s="130"/>
      <c r="L5" s="80"/>
      <c r="M5" s="80"/>
      <c r="P5" s="129" t="s">
        <v>0</v>
      </c>
      <c r="Q5" s="116">
        <v>81956738</v>
      </c>
      <c r="R5" s="116">
        <v>96721884763</v>
      </c>
      <c r="S5" s="116">
        <v>4236351.28</v>
      </c>
      <c r="T5" s="130">
        <f t="shared" ref="T5:T47" si="1">Q5/S5</f>
        <v>19.346067543294001</v>
      </c>
      <c r="U5" s="85"/>
    </row>
    <row r="6" spans="1:21" ht="15" hidden="1" customHeight="1">
      <c r="A6" s="129" t="s">
        <v>1</v>
      </c>
      <c r="C6" s="79"/>
      <c r="F6" s="78">
        <f>Q6/18</f>
        <v>3857640.388888889</v>
      </c>
      <c r="G6" s="90">
        <f t="shared" ref="G6:G47" si="2">F6/F5-1</f>
        <v>-5.8615439553270421E-2</v>
      </c>
      <c r="H6" s="90"/>
      <c r="I6" s="130">
        <f t="shared" si="0"/>
        <v>22.429884458788024</v>
      </c>
      <c r="J6" s="130"/>
      <c r="P6" s="129" t="s">
        <v>1</v>
      </c>
      <c r="Q6" s="116">
        <v>69437527</v>
      </c>
      <c r="R6" s="116">
        <v>82508614563</v>
      </c>
      <c r="S6" s="116">
        <v>3095759.46</v>
      </c>
      <c r="T6" s="130">
        <f t="shared" si="1"/>
        <v>22.429884458788024</v>
      </c>
      <c r="U6" s="85"/>
    </row>
    <row r="7" spans="1:21" ht="15" hidden="1" customHeight="1">
      <c r="A7" s="129" t="s">
        <v>2</v>
      </c>
      <c r="B7" s="131">
        <f>F5+F6+F7</f>
        <v>11905843.87979798</v>
      </c>
      <c r="C7" s="131">
        <f>AVERAGE(F5:F7)</f>
        <v>3968614.6265993267</v>
      </c>
      <c r="F7" s="78">
        <f>Q7/22</f>
        <v>3950366.5909090908</v>
      </c>
      <c r="G7" s="90">
        <f t="shared" si="2"/>
        <v>2.4037025920632615E-2</v>
      </c>
      <c r="H7" s="90"/>
      <c r="I7" s="130">
        <f t="shared" si="0"/>
        <v>19.828686464696808</v>
      </c>
      <c r="J7" s="130"/>
      <c r="K7" s="79">
        <f>R5+R6+R7</f>
        <v>283987924050</v>
      </c>
      <c r="N7" s="88">
        <f>AVERAGE(T5:T7)</f>
        <v>20.534879488926276</v>
      </c>
      <c r="P7" s="129" t="s">
        <v>2</v>
      </c>
      <c r="Q7" s="116">
        <v>86908065</v>
      </c>
      <c r="R7" s="116">
        <v>104757424724</v>
      </c>
      <c r="S7" s="116">
        <v>4382946.1500000004</v>
      </c>
      <c r="T7" s="130">
        <f t="shared" si="1"/>
        <v>19.828686464696808</v>
      </c>
      <c r="U7" s="85">
        <f>Q5+Q6+Q7</f>
        <v>238302330</v>
      </c>
    </row>
    <row r="8" spans="1:21" ht="15" hidden="1" customHeight="1">
      <c r="A8" s="129" t="s">
        <v>3</v>
      </c>
      <c r="C8" s="79"/>
      <c r="F8" s="78">
        <f>Q8/21</f>
        <v>3742504.4285714286</v>
      </c>
      <c r="G8" s="90">
        <f t="shared" si="2"/>
        <v>-5.2618448833587128E-2</v>
      </c>
      <c r="H8" s="90"/>
      <c r="I8" s="130">
        <f t="shared" si="0"/>
        <v>19.734351151999878</v>
      </c>
      <c r="J8" s="130"/>
      <c r="K8" s="78"/>
      <c r="P8" s="129" t="s">
        <v>3</v>
      </c>
      <c r="Q8" s="116">
        <v>78592593</v>
      </c>
      <c r="R8" s="116">
        <v>95263095603</v>
      </c>
      <c r="S8" s="116">
        <v>3982527.34</v>
      </c>
      <c r="T8" s="130">
        <f t="shared" si="1"/>
        <v>19.734351151999878</v>
      </c>
      <c r="U8" s="85"/>
    </row>
    <row r="9" spans="1:21" ht="15" hidden="1" customHeight="1">
      <c r="A9" s="129" t="s">
        <v>4</v>
      </c>
      <c r="C9" s="79"/>
      <c r="F9" s="78">
        <f>Q9/21</f>
        <v>3633797.4761904762</v>
      </c>
      <c r="G9" s="90">
        <f t="shared" si="2"/>
        <v>-2.9046579491275981E-2</v>
      </c>
      <c r="H9" s="90"/>
      <c r="I9" s="130">
        <f t="shared" si="0"/>
        <v>19.262326625517378</v>
      </c>
      <c r="J9" s="130"/>
      <c r="K9" s="78"/>
      <c r="P9" s="129" t="s">
        <v>4</v>
      </c>
      <c r="Q9" s="116">
        <v>76309747</v>
      </c>
      <c r="R9" s="116">
        <v>95900599654</v>
      </c>
      <c r="S9" s="116">
        <v>3961605.91</v>
      </c>
      <c r="T9" s="130">
        <f t="shared" si="1"/>
        <v>19.262326625517378</v>
      </c>
      <c r="U9" s="85"/>
    </row>
    <row r="10" spans="1:21" ht="15" hidden="1" customHeight="1">
      <c r="A10" s="129" t="s">
        <v>5</v>
      </c>
      <c r="B10" s="131">
        <f>F8+F9+F10</f>
        <v>11007996.142857142</v>
      </c>
      <c r="C10" s="131">
        <f>AVERAGE(F8:F10)</f>
        <v>3669332.0476190471</v>
      </c>
      <c r="D10" s="90">
        <f>C10/C7-1</f>
        <v>-7.5412355982957258E-2</v>
      </c>
      <c r="E10" s="286"/>
      <c r="F10" s="78">
        <f>Q10/21</f>
        <v>3631694.2380952379</v>
      </c>
      <c r="G10" s="90">
        <f t="shared" si="2"/>
        <v>-5.7879893115098113E-4</v>
      </c>
      <c r="H10" s="90"/>
      <c r="I10" s="130">
        <f t="shared" si="0"/>
        <v>20.636370226599805</v>
      </c>
      <c r="J10" s="130"/>
      <c r="K10" s="79">
        <f>R8+R9+R10</f>
        <v>287314969714</v>
      </c>
      <c r="L10" s="87">
        <f>U10/U7-1</f>
        <v>-2.9938486123908259E-2</v>
      </c>
      <c r="N10" s="88">
        <f>AVERAGE(T8:T10)</f>
        <v>19.877682668039018</v>
      </c>
      <c r="O10" s="89">
        <f>N10/N7-1</f>
        <v>-3.2003928790605318E-2</v>
      </c>
      <c r="P10" s="129" t="s">
        <v>5</v>
      </c>
      <c r="Q10" s="116">
        <v>76265579</v>
      </c>
      <c r="R10" s="116">
        <v>96151274457</v>
      </c>
      <c r="S10" s="116">
        <v>3695687.67</v>
      </c>
      <c r="T10" s="130">
        <f t="shared" si="1"/>
        <v>20.636370226599805</v>
      </c>
      <c r="U10" s="85">
        <f>Q8+Q9+Q10</f>
        <v>231167919</v>
      </c>
    </row>
    <row r="11" spans="1:21" ht="15" hidden="1" customHeight="1">
      <c r="A11" s="129" t="s">
        <v>6</v>
      </c>
      <c r="C11" s="79"/>
      <c r="F11" s="78">
        <f>Q11/21</f>
        <v>3710410.3809523811</v>
      </c>
      <c r="G11" s="90">
        <f t="shared" si="2"/>
        <v>2.1674771524385905E-2</v>
      </c>
      <c r="H11" s="90"/>
      <c r="I11" s="130">
        <f t="shared" si="0"/>
        <v>19.439195411003148</v>
      </c>
      <c r="J11" s="130"/>
      <c r="K11" s="78"/>
      <c r="O11" s="89"/>
      <c r="P11" s="129" t="s">
        <v>6</v>
      </c>
      <c r="Q11" s="116">
        <v>77918618</v>
      </c>
      <c r="R11" s="116">
        <v>100661435987</v>
      </c>
      <c r="S11" s="116">
        <v>4008325.26</v>
      </c>
      <c r="T11" s="130">
        <f t="shared" si="1"/>
        <v>19.439195411003148</v>
      </c>
      <c r="U11" s="85"/>
    </row>
    <row r="12" spans="1:21" ht="15" hidden="1" customHeight="1">
      <c r="A12" s="129" t="s">
        <v>7</v>
      </c>
      <c r="C12" s="79"/>
      <c r="F12" s="78">
        <f>Q12/22</f>
        <v>3724688.1818181816</v>
      </c>
      <c r="G12" s="90">
        <f t="shared" si="2"/>
        <v>3.848038195207959E-3</v>
      </c>
      <c r="H12" s="90"/>
      <c r="I12" s="130">
        <f t="shared" si="0"/>
        <v>22.334193325818639</v>
      </c>
      <c r="J12" s="130"/>
      <c r="K12" s="78"/>
      <c r="O12" s="89"/>
      <c r="P12" s="129" t="s">
        <v>7</v>
      </c>
      <c r="Q12" s="116">
        <v>81943140</v>
      </c>
      <c r="R12" s="116">
        <v>106403069829</v>
      </c>
      <c r="S12" s="116">
        <v>3668954.54</v>
      </c>
      <c r="T12" s="130">
        <f t="shared" si="1"/>
        <v>22.334193325818639</v>
      </c>
      <c r="U12" s="85"/>
    </row>
    <row r="13" spans="1:21" ht="15" hidden="1" customHeight="1">
      <c r="A13" s="129" t="s">
        <v>96</v>
      </c>
      <c r="B13" s="131">
        <f>F11+F12+F13</f>
        <v>10567401.262770563</v>
      </c>
      <c r="C13" s="131">
        <f>AVERAGE(F11:F13)</f>
        <v>3522467.0875901878</v>
      </c>
      <c r="D13" s="90">
        <f>C13/C10-1</f>
        <v>-4.0024984962632848E-2</v>
      </c>
      <c r="E13" s="286"/>
      <c r="F13" s="78">
        <f>Q13/20</f>
        <v>3132302.7</v>
      </c>
      <c r="G13" s="90">
        <f t="shared" si="2"/>
        <v>-0.15904297296881709</v>
      </c>
      <c r="H13" s="90"/>
      <c r="I13" s="130">
        <f t="shared" si="0"/>
        <v>20.879733130803498</v>
      </c>
      <c r="J13" s="130"/>
      <c r="K13" s="78">
        <f>R11+R12+R13</f>
        <v>292611754700</v>
      </c>
      <c r="L13" s="87">
        <f>U13/U10-1</f>
        <v>-3.7462408440852912E-2</v>
      </c>
      <c r="N13" s="88">
        <f>AVERAGE(T11:T13)</f>
        <v>20.884373955875095</v>
      </c>
      <c r="O13" s="89">
        <f>N13/N10-1</f>
        <v>5.064429816332261E-2</v>
      </c>
      <c r="P13" s="129" t="s">
        <v>96</v>
      </c>
      <c r="Q13" s="116">
        <v>62646054</v>
      </c>
      <c r="R13" s="116">
        <v>85547248884</v>
      </c>
      <c r="S13" s="116">
        <v>3000328.29</v>
      </c>
      <c r="T13" s="130">
        <f t="shared" si="1"/>
        <v>20.879733130803498</v>
      </c>
      <c r="U13" s="85">
        <f>Q11+Q12+Q13</f>
        <v>222507812</v>
      </c>
    </row>
    <row r="14" spans="1:21" ht="15" hidden="1" customHeight="1">
      <c r="A14" s="129" t="s">
        <v>97</v>
      </c>
      <c r="C14" s="79"/>
      <c r="F14" s="78">
        <f>Q14/20</f>
        <v>3112282.55</v>
      </c>
      <c r="G14" s="90">
        <f t="shared" si="2"/>
        <v>-6.3915119059215764E-3</v>
      </c>
      <c r="H14" s="90"/>
      <c r="I14" s="130">
        <f t="shared" si="0"/>
        <v>20.02259568671704</v>
      </c>
      <c r="J14" s="130"/>
      <c r="O14" s="89"/>
      <c r="P14" s="129" t="s">
        <v>97</v>
      </c>
      <c r="Q14" s="116">
        <v>62245651</v>
      </c>
      <c r="R14" s="116">
        <v>88788976556</v>
      </c>
      <c r="S14" s="116">
        <v>3108770.31</v>
      </c>
      <c r="T14" s="130">
        <f t="shared" si="1"/>
        <v>20.02259568671704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2532582.9090909092</v>
      </c>
      <c r="G15" s="90">
        <f t="shared" si="2"/>
        <v>-0.1862618935125574</v>
      </c>
      <c r="H15" s="90"/>
      <c r="I15" s="130">
        <f t="shared" si="0"/>
        <v>19.936155153291082</v>
      </c>
      <c r="J15" s="130"/>
      <c r="O15" s="89"/>
      <c r="P15" s="129" t="s">
        <v>98</v>
      </c>
      <c r="Q15" s="116">
        <v>55716824</v>
      </c>
      <c r="R15" s="116">
        <v>77287781127</v>
      </c>
      <c r="S15" s="116">
        <v>2794762.76</v>
      </c>
      <c r="T15" s="130">
        <f t="shared" si="1"/>
        <v>19.936155153291082</v>
      </c>
      <c r="U15" s="78"/>
    </row>
    <row r="16" spans="1:21" ht="15" hidden="1" customHeight="1">
      <c r="A16" s="129" t="s">
        <v>99</v>
      </c>
      <c r="B16" s="131">
        <f>F14+F15+F16</f>
        <v>8447220.5500000007</v>
      </c>
      <c r="C16" s="131">
        <f>AVERAGE(F14:F16)</f>
        <v>2815740.1833333336</v>
      </c>
      <c r="D16" s="90">
        <f>C16/C13-1</f>
        <v>-0.20063406887368385</v>
      </c>
      <c r="E16" s="286"/>
      <c r="F16" s="78">
        <f>Q16/22</f>
        <v>2802355.0909090908</v>
      </c>
      <c r="G16" s="90">
        <f t="shared" si="2"/>
        <v>0.10652057267298654</v>
      </c>
      <c r="H16" s="90"/>
      <c r="I16" s="130">
        <f t="shared" si="0"/>
        <v>17.92774429363876</v>
      </c>
      <c r="J16" s="130"/>
      <c r="K16" s="78">
        <f>R14+R15+R16</f>
        <v>246912248096</v>
      </c>
      <c r="L16" s="87">
        <f>U16/U13-1</f>
        <v>-0.19277311935456898</v>
      </c>
      <c r="N16" s="88">
        <f>AVERAGE(T14:T16)</f>
        <v>19.295498377882293</v>
      </c>
      <c r="O16" s="89">
        <f>N16/N13-1</f>
        <v>-7.6079636447317411E-2</v>
      </c>
      <c r="P16" s="129" t="s">
        <v>99</v>
      </c>
      <c r="Q16" s="116">
        <v>61651812</v>
      </c>
      <c r="R16" s="116">
        <v>80835490413</v>
      </c>
      <c r="S16" s="116">
        <v>3438905.14</v>
      </c>
      <c r="T16" s="130">
        <f t="shared" si="1"/>
        <v>17.92774429363876</v>
      </c>
      <c r="U16" s="85">
        <f>Q14+Q15+Q16</f>
        <v>179614287</v>
      </c>
    </row>
    <row r="17" spans="1:21" ht="15" hidden="1" customHeight="1">
      <c r="A17" s="129" t="s">
        <v>100</v>
      </c>
      <c r="C17" s="79"/>
      <c r="F17" s="78">
        <f>Q17/20</f>
        <v>2811977.15</v>
      </c>
      <c r="G17" s="90">
        <f t="shared" si="2"/>
        <v>3.4335616932070767E-3</v>
      </c>
      <c r="H17" s="90">
        <f t="shared" ref="H17:H47" si="3">F17/F5-1</f>
        <v>-0.31378988021704812</v>
      </c>
      <c r="I17" s="130">
        <f t="shared" si="0"/>
        <v>19.127342658523748</v>
      </c>
      <c r="J17" s="130">
        <f t="shared" ref="J17:J49" si="4">I17/I5-1</f>
        <v>-1.1305909290390659E-2</v>
      </c>
      <c r="O17" s="89"/>
      <c r="P17" s="129" t="s">
        <v>100</v>
      </c>
      <c r="Q17" s="116">
        <v>56239543</v>
      </c>
      <c r="R17" s="116">
        <v>70549559463</v>
      </c>
      <c r="S17" s="116">
        <v>2940269.54</v>
      </c>
      <c r="T17" s="130">
        <f t="shared" si="1"/>
        <v>19.127342658523748</v>
      </c>
      <c r="U17" s="78"/>
    </row>
    <row r="18" spans="1:21" ht="15" hidden="1" customHeight="1">
      <c r="A18" s="129" t="s">
        <v>106</v>
      </c>
      <c r="C18" s="79"/>
      <c r="F18" s="78">
        <f>Q18/20</f>
        <v>3154599.4</v>
      </c>
      <c r="G18" s="90">
        <f t="shared" si="2"/>
        <v>0.12184389549538133</v>
      </c>
      <c r="H18" s="90">
        <f t="shared" si="3"/>
        <v>-0.18224637810041833</v>
      </c>
      <c r="I18" s="130">
        <f t="shared" si="0"/>
        <v>18.915618292787894</v>
      </c>
      <c r="J18" s="130">
        <f t="shared" si="4"/>
        <v>-0.15667785415734681</v>
      </c>
      <c r="O18" s="89"/>
      <c r="P18" s="129" t="s">
        <v>106</v>
      </c>
      <c r="Q18" s="116">
        <v>63091988</v>
      </c>
      <c r="R18" s="116">
        <v>79052995996</v>
      </c>
      <c r="S18" s="116">
        <v>3335444.13</v>
      </c>
      <c r="T18" s="130">
        <f t="shared" si="1"/>
        <v>18.915618292787894</v>
      </c>
      <c r="U18" s="78"/>
    </row>
    <row r="19" spans="1:21" hidden="1">
      <c r="A19" s="129" t="s">
        <v>114</v>
      </c>
      <c r="B19" s="131">
        <f>SUM(F17:F19)</f>
        <v>9265273.8227272723</v>
      </c>
      <c r="C19" s="131">
        <f>AVERAGE(F17:F19)</f>
        <v>3088424.6075757574</v>
      </c>
      <c r="D19" s="90">
        <f>C19/C16-1</f>
        <v>9.6842892627832633E-2</v>
      </c>
      <c r="E19" s="286">
        <f>C19/C7-1</f>
        <v>-0.22178772741605224</v>
      </c>
      <c r="F19" s="78">
        <f>Q19/22</f>
        <v>3298697.2727272729</v>
      </c>
      <c r="G19" s="90">
        <f t="shared" si="2"/>
        <v>4.5678659777616426E-2</v>
      </c>
      <c r="H19" s="90">
        <f t="shared" si="3"/>
        <v>-0.16496426424866317</v>
      </c>
      <c r="I19" s="130">
        <f t="shared" si="0"/>
        <v>18.723372592736872</v>
      </c>
      <c r="J19" s="130">
        <f t="shared" si="4"/>
        <v>-5.5743171587681717E-2</v>
      </c>
      <c r="K19" s="78">
        <f>R17+R18+R19</f>
        <v>244486677446</v>
      </c>
      <c r="L19" s="87">
        <f>U19/U16-1</f>
        <v>6.8416517445519132E-2</v>
      </c>
      <c r="M19" s="87">
        <f>U19/U7-1</f>
        <v>-0.19470837318292267</v>
      </c>
      <c r="N19" s="88">
        <f>AVERAGE(T17:T19)</f>
        <v>18.922111181349504</v>
      </c>
      <c r="O19" s="89">
        <f>N19/N16-1</f>
        <v>-1.9351000384669415E-2</v>
      </c>
      <c r="P19" s="129" t="s">
        <v>114</v>
      </c>
      <c r="Q19" s="116">
        <v>72571340</v>
      </c>
      <c r="R19" s="116">
        <v>94884121987</v>
      </c>
      <c r="S19" s="116">
        <v>3875975.85</v>
      </c>
      <c r="T19" s="130">
        <f t="shared" si="1"/>
        <v>18.723372592736872</v>
      </c>
      <c r="U19" s="85">
        <f>Q17+Q18+Q19</f>
        <v>191902871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2987723.95</v>
      </c>
      <c r="G20" s="90">
        <f t="shared" si="2"/>
        <v>-9.4271555410166075E-2</v>
      </c>
      <c r="H20" s="90">
        <f t="shared" si="3"/>
        <v>-0.20167791193757911</v>
      </c>
      <c r="I20" s="130">
        <f t="shared" si="0"/>
        <v>18.502782647076774</v>
      </c>
      <c r="J20" s="130">
        <f t="shared" si="4"/>
        <v>-6.2407347241223876E-2</v>
      </c>
      <c r="O20" s="89"/>
      <c r="P20" s="129" t="s">
        <v>132</v>
      </c>
      <c r="Q20" s="116">
        <v>59754479</v>
      </c>
      <c r="R20" s="116">
        <v>78404758207</v>
      </c>
      <c r="S20" s="116">
        <v>3229486.08</v>
      </c>
      <c r="T20" s="130">
        <f t="shared" si="1"/>
        <v>18.502782647076774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3624451.9047619049</v>
      </c>
      <c r="G21" s="90">
        <f t="shared" si="2"/>
        <v>0.21311472057580971</v>
      </c>
      <c r="H21" s="90">
        <f t="shared" si="3"/>
        <v>-2.5718470800328852E-3</v>
      </c>
      <c r="I21" s="130">
        <f t="shared" si="0"/>
        <v>17.996152173024754</v>
      </c>
      <c r="J21" s="130">
        <f t="shared" si="4"/>
        <v>-6.5733204358360608E-2</v>
      </c>
      <c r="O21" s="89"/>
      <c r="P21" s="129" t="s">
        <v>141</v>
      </c>
      <c r="Q21" s="116">
        <v>76113490</v>
      </c>
      <c r="R21" s="116">
        <v>101425384636</v>
      </c>
      <c r="S21" s="116">
        <v>4229431.34</v>
      </c>
      <c r="T21" s="130">
        <f t="shared" si="1"/>
        <v>17.996152173024754</v>
      </c>
      <c r="U21" s="78"/>
    </row>
    <row r="22" spans="1:21" hidden="1">
      <c r="A22" s="129" t="s">
        <v>156</v>
      </c>
      <c r="B22" s="131">
        <f>SUM(F20:F22)</f>
        <v>10204150.616666667</v>
      </c>
      <c r="C22" s="131">
        <f>AVERAGE(F20:F22)</f>
        <v>3401383.5388888889</v>
      </c>
      <c r="D22" s="90">
        <f>C22/C19-1</f>
        <v>0.10133287066339847</v>
      </c>
      <c r="E22" s="286">
        <f>C22/C10-1</f>
        <v>-7.3023783416936716E-2</v>
      </c>
      <c r="F22" s="78">
        <f>Q22/21</f>
        <v>3591974.7619047621</v>
      </c>
      <c r="G22" s="90">
        <f t="shared" si="2"/>
        <v>-8.9605666485664814E-3</v>
      </c>
      <c r="H22" s="90">
        <f t="shared" si="3"/>
        <v>-1.0936899856224702E-2</v>
      </c>
      <c r="I22" s="130">
        <f t="shared" si="0"/>
        <v>18.37609494134918</v>
      </c>
      <c r="J22" s="130">
        <f t="shared" si="4"/>
        <v>-0.10952872333804042</v>
      </c>
      <c r="K22" s="78">
        <f>R20+R21+R22</f>
        <v>277722339798</v>
      </c>
      <c r="L22" s="87">
        <f>U22/U19-1</f>
        <v>0.10107492347000901</v>
      </c>
      <c r="M22" s="87">
        <f>U22/U10-1</f>
        <v>-8.5948258244259224E-2</v>
      </c>
      <c r="N22" s="88">
        <f>AVERAGE(T20:T22)</f>
        <v>18.291676587150235</v>
      </c>
      <c r="O22" s="89">
        <f>N22/N19-1</f>
        <v>-3.3317349642288052E-2</v>
      </c>
      <c r="P22" s="129" t="s">
        <v>156</v>
      </c>
      <c r="Q22" s="116">
        <v>75431470</v>
      </c>
      <c r="R22" s="116">
        <v>97892196955</v>
      </c>
      <c r="S22" s="116">
        <v>4104869.41</v>
      </c>
      <c r="T22" s="130">
        <f t="shared" si="1"/>
        <v>18.37609494134918</v>
      </c>
      <c r="U22" s="85">
        <f>Q20+Q21+Q22</f>
        <v>211299439</v>
      </c>
    </row>
    <row r="23" spans="1:21" hidden="1">
      <c r="A23" s="129" t="s">
        <v>189</v>
      </c>
      <c r="B23" s="131"/>
      <c r="C23" s="131"/>
      <c r="F23" s="78">
        <f>Q23/21</f>
        <v>3741076.2380952379</v>
      </c>
      <c r="G23" s="90">
        <f t="shared" si="2"/>
        <v>4.150961130679276E-2</v>
      </c>
      <c r="H23" s="90">
        <f t="shared" si="3"/>
        <v>8.2648154770916804E-3</v>
      </c>
      <c r="I23" s="130">
        <f t="shared" si="0"/>
        <v>17.643180284657497</v>
      </c>
      <c r="J23" s="130">
        <f t="shared" si="4"/>
        <v>-9.2391433306393655E-2</v>
      </c>
      <c r="O23" s="89"/>
      <c r="P23" s="129" t="s">
        <v>189</v>
      </c>
      <c r="Q23" s="116">
        <v>78562601</v>
      </c>
      <c r="R23" s="116">
        <v>101409793331</v>
      </c>
      <c r="S23" s="116">
        <v>4452859.3899999997</v>
      </c>
      <c r="T23" s="130">
        <f t="shared" si="1"/>
        <v>17.643180284657497</v>
      </c>
      <c r="U23" s="78"/>
    </row>
    <row r="24" spans="1:21" hidden="1">
      <c r="A24" s="129" t="s">
        <v>204</v>
      </c>
      <c r="B24" s="131"/>
      <c r="C24" s="131"/>
      <c r="F24" s="78">
        <f>Q24/22</f>
        <v>3390055.2272727271</v>
      </c>
      <c r="G24" s="90">
        <f t="shared" si="2"/>
        <v>-9.3828884653051725E-2</v>
      </c>
      <c r="H24" s="90">
        <f t="shared" si="3"/>
        <v>-8.9841870838730409E-2</v>
      </c>
      <c r="I24" s="130">
        <f t="shared" si="0"/>
        <v>19.180940825302883</v>
      </c>
      <c r="J24" s="130">
        <f t="shared" si="4"/>
        <v>-0.14118497384324835</v>
      </c>
      <c r="O24" s="89"/>
      <c r="P24" s="129" t="s">
        <v>204</v>
      </c>
      <c r="Q24" s="116">
        <v>74581215</v>
      </c>
      <c r="R24" s="116">
        <v>97915437951</v>
      </c>
      <c r="S24" s="116">
        <v>3888298.06</v>
      </c>
      <c r="T24" s="130">
        <f t="shared" si="1"/>
        <v>19.180940825302883</v>
      </c>
      <c r="U24" s="78"/>
    </row>
    <row r="25" spans="1:21" s="79" customFormat="1" ht="13.2" hidden="1">
      <c r="A25" s="129" t="s">
        <v>219</v>
      </c>
      <c r="B25" s="131">
        <f>SUM(F23:F25)</f>
        <v>11894896.72852586</v>
      </c>
      <c r="C25" s="131">
        <f>AVERAGE(F23:F25)</f>
        <v>3964965.5761752869</v>
      </c>
      <c r="D25" s="90">
        <f>C25/C22-1</f>
        <v>0.16569199881248919</v>
      </c>
      <c r="E25" s="286">
        <f>C25/C13-1</f>
        <v>0.12562175247684815</v>
      </c>
      <c r="F25" s="78">
        <f>Q25/19</f>
        <v>4763765.2631578948</v>
      </c>
      <c r="G25" s="90">
        <f t="shared" si="2"/>
        <v>0.40521759788270661</v>
      </c>
      <c r="H25" s="90">
        <f t="shared" si="3"/>
        <v>0.52085086258039315</v>
      </c>
      <c r="I25" s="130">
        <f t="shared" si="0"/>
        <v>19.951726548753093</v>
      </c>
      <c r="J25" s="130">
        <f t="shared" si="4"/>
        <v>-4.4445327736556739E-2</v>
      </c>
      <c r="K25" s="78">
        <f>R23+R24+R25</f>
        <v>319418996815</v>
      </c>
      <c r="L25" s="90">
        <f>U25/U22-1</f>
        <v>0.15312826741579744</v>
      </c>
      <c r="M25" s="90">
        <f>U25/U13-1</f>
        <v>9.5041804644593775E-2</v>
      </c>
      <c r="N25" s="88">
        <f>AVERAGE(T23:T25)</f>
        <v>18.925282552904491</v>
      </c>
      <c r="O25" s="91">
        <f>N25/N22-1</f>
        <v>3.4639031733119552E-2</v>
      </c>
      <c r="P25" s="129" t="s">
        <v>219</v>
      </c>
      <c r="Q25" s="116">
        <v>90511540</v>
      </c>
      <c r="R25" s="116">
        <v>120093765533</v>
      </c>
      <c r="S25" s="116">
        <v>4536526.6900000004</v>
      </c>
      <c r="T25" s="130">
        <f t="shared" si="1"/>
        <v>19.951726548753093</v>
      </c>
      <c r="U25" s="85">
        <f>Q23+Q24+Q25</f>
        <v>243655356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4065643.0526315789</v>
      </c>
      <c r="G26" s="90">
        <f t="shared" si="2"/>
        <v>-0.1465484069766132</v>
      </c>
      <c r="H26" s="90">
        <f t="shared" si="3"/>
        <v>0.30632196380485421</v>
      </c>
      <c r="I26" s="130">
        <f t="shared" si="0"/>
        <v>19.411782068837145</v>
      </c>
      <c r="J26" s="130">
        <f t="shared" si="4"/>
        <v>-3.0506215449633611E-2</v>
      </c>
      <c r="L26" s="90"/>
      <c r="M26" s="90"/>
      <c r="P26" s="129" t="s">
        <v>312</v>
      </c>
      <c r="Q26" s="116">
        <v>77247218</v>
      </c>
      <c r="R26" s="116">
        <v>104110636581</v>
      </c>
      <c r="S26" s="116">
        <v>3979398.58</v>
      </c>
      <c r="T26" s="130">
        <f t="shared" si="1"/>
        <v>19.411782068837145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3726864.5909090908</v>
      </c>
      <c r="G27" s="90">
        <f t="shared" si="2"/>
        <v>-8.3327153253949793E-2</v>
      </c>
      <c r="H27" s="90">
        <f t="shared" si="3"/>
        <v>0.47156666718835227</v>
      </c>
      <c r="I27" s="130">
        <f t="shared" si="0"/>
        <v>19.87904169567981</v>
      </c>
      <c r="J27" s="130">
        <f t="shared" si="4"/>
        <v>-2.8648180741031037E-3</v>
      </c>
      <c r="L27" s="90"/>
      <c r="M27" s="90"/>
      <c r="P27" s="129" t="s">
        <v>374</v>
      </c>
      <c r="Q27" s="116">
        <v>81991021</v>
      </c>
      <c r="R27" s="116">
        <v>108251836423</v>
      </c>
      <c r="S27" s="116">
        <v>4124495.65</v>
      </c>
      <c r="T27" s="130">
        <f t="shared" si="1"/>
        <v>19.87904169567981</v>
      </c>
      <c r="U27" s="78"/>
    </row>
    <row r="28" spans="1:21" s="79" customFormat="1" ht="13.2" hidden="1">
      <c r="A28" s="123" t="s">
        <v>413</v>
      </c>
      <c r="B28" s="131">
        <f>SUM(F26:F28)</f>
        <v>11353073.380382774</v>
      </c>
      <c r="C28" s="131">
        <f>AVERAGE(F26:F28)</f>
        <v>3784357.7934609246</v>
      </c>
      <c r="D28" s="90">
        <f>C28/C25-1</f>
        <v>-4.5550908133881296E-2</v>
      </c>
      <c r="E28" s="286">
        <f>C28/C16-1</f>
        <v>0.34400106084394499</v>
      </c>
      <c r="F28" s="78">
        <f>Q28/19</f>
        <v>3560565.7368421052</v>
      </c>
      <c r="G28" s="90">
        <f t="shared" si="2"/>
        <v>-4.4621651796160511E-2</v>
      </c>
      <c r="H28" s="90">
        <f t="shared" si="3"/>
        <v>0.27056194569798397</v>
      </c>
      <c r="I28" s="130">
        <f t="shared" si="0"/>
        <v>18.180551945986306</v>
      </c>
      <c r="J28" s="130">
        <f t="shared" si="4"/>
        <v>1.4101475802354546E-2</v>
      </c>
      <c r="K28" s="78">
        <f>R26+R27+R28</f>
        <v>300593460017</v>
      </c>
      <c r="L28" s="90">
        <f>U28/U25-1</f>
        <v>-6.8811817951582421E-2</v>
      </c>
      <c r="M28" s="90">
        <f>U28/U16-1</f>
        <v>0.26320122853033401</v>
      </c>
      <c r="N28" s="88">
        <f>AVERAGE(T26:T28)</f>
        <v>19.157125236834421</v>
      </c>
      <c r="O28" s="91">
        <f>N28/N25-1</f>
        <v>1.2250421270162182E-2</v>
      </c>
      <c r="P28" s="129" t="s">
        <v>413</v>
      </c>
      <c r="Q28" s="116">
        <v>67650749</v>
      </c>
      <c r="R28" s="116">
        <v>88230987013</v>
      </c>
      <c r="S28" s="116">
        <v>3721050.34</v>
      </c>
      <c r="T28" s="130">
        <f t="shared" si="1"/>
        <v>18.180551945986306</v>
      </c>
      <c r="U28" s="85">
        <f>Q26+Q27+Q28</f>
        <v>226888988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2876792.0909090908</v>
      </c>
      <c r="G29" s="190">
        <f t="shared" si="2"/>
        <v>-0.19204073073495864</v>
      </c>
      <c r="H29" s="190">
        <f t="shared" si="3"/>
        <v>2.3049597294590773E-2</v>
      </c>
      <c r="I29" s="130">
        <f t="shared" si="0"/>
        <v>17.745699818898288</v>
      </c>
      <c r="J29" s="130">
        <f t="shared" si="4"/>
        <v>-7.2233914783230824E-2</v>
      </c>
      <c r="K29" s="136"/>
      <c r="L29" s="190"/>
      <c r="M29" s="190"/>
      <c r="N29" s="191"/>
      <c r="O29" s="192"/>
      <c r="P29" s="129" t="s">
        <v>427</v>
      </c>
      <c r="Q29" s="116">
        <v>63289426</v>
      </c>
      <c r="R29" s="116">
        <v>83380448340</v>
      </c>
      <c r="S29" s="116">
        <v>3566465.49</v>
      </c>
      <c r="T29" s="130">
        <f t="shared" si="1"/>
        <v>17.745699818898288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3569192.4736842103</v>
      </c>
      <c r="G30" s="190">
        <f t="shared" si="2"/>
        <v>0.24068488820000722</v>
      </c>
      <c r="H30" s="190">
        <f t="shared" si="3"/>
        <v>0.13142495167031676</v>
      </c>
      <c r="I30" s="130">
        <f t="shared" si="0"/>
        <v>18.272235494527372</v>
      </c>
      <c r="J30" s="130">
        <f t="shared" si="4"/>
        <v>-3.4013310498331895E-2</v>
      </c>
      <c r="K30" s="136"/>
      <c r="L30" s="190"/>
      <c r="M30" s="190"/>
      <c r="N30" s="191"/>
      <c r="O30" s="192"/>
      <c r="P30" s="129" t="s">
        <v>469</v>
      </c>
      <c r="Q30" s="116">
        <v>67814657</v>
      </c>
      <c r="R30" s="116">
        <v>90347358027</v>
      </c>
      <c r="S30" s="116">
        <v>3711349.77</v>
      </c>
      <c r="T30" s="130">
        <f t="shared" si="1"/>
        <v>18.272235494527372</v>
      </c>
      <c r="U30" s="85"/>
    </row>
    <row r="31" spans="1:21" s="79" customFormat="1" ht="13.2" hidden="1">
      <c r="A31" s="129" t="s">
        <v>505</v>
      </c>
      <c r="B31" s="188">
        <f>SUM(F29:F31)</f>
        <v>9897968.614593301</v>
      </c>
      <c r="C31" s="188">
        <f>AVERAGE(F29:F31)</f>
        <v>3299322.8715311005</v>
      </c>
      <c r="D31" s="190">
        <f>C31/C28-1</f>
        <v>-0.12816835732813814</v>
      </c>
      <c r="E31" s="287">
        <f>C31/C19-1</f>
        <v>6.8286680347650286E-2</v>
      </c>
      <c r="F31" s="136">
        <f>Q31/20</f>
        <v>3451984.05</v>
      </c>
      <c r="G31" s="190">
        <f t="shared" si="2"/>
        <v>-3.2838919320936744E-2</v>
      </c>
      <c r="H31" s="190">
        <f t="shared" si="3"/>
        <v>4.6468882895093211E-2</v>
      </c>
      <c r="I31" s="130">
        <f t="shared" si="0"/>
        <v>16.997723816014311</v>
      </c>
      <c r="J31" s="130">
        <f t="shared" si="4"/>
        <v>-9.2165488251404581E-2</v>
      </c>
      <c r="K31" s="136">
        <f>R29+R30+R31</f>
        <v>265431357040</v>
      </c>
      <c r="L31" s="190">
        <f>U31/U28-1</f>
        <v>-0.11787801706797685</v>
      </c>
      <c r="M31" s="190">
        <f>U31/U19-1</f>
        <v>4.2943041743236821E-2</v>
      </c>
      <c r="N31" s="191">
        <f>AVERAGE(T29:T31)</f>
        <v>17.671886376479989</v>
      </c>
      <c r="O31" s="192">
        <f>N31/N28-1</f>
        <v>-7.7529318308087514E-2</v>
      </c>
      <c r="P31" s="129" t="s">
        <v>505</v>
      </c>
      <c r="Q31" s="116">
        <v>69039681</v>
      </c>
      <c r="R31" s="116">
        <v>91703550673</v>
      </c>
      <c r="S31" s="116">
        <v>4061701.54</v>
      </c>
      <c r="T31" s="130">
        <f t="shared" si="1"/>
        <v>16.997723816014311</v>
      </c>
      <c r="U31" s="85">
        <f>Q29+Q30+Q31</f>
        <v>200143764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3806369.8571428573</v>
      </c>
      <c r="G32" s="190">
        <f t="shared" si="2"/>
        <v>0.10266148452883428</v>
      </c>
      <c r="H32" s="190">
        <f t="shared" si="3"/>
        <v>0.27400319468699808</v>
      </c>
      <c r="I32" s="130">
        <f t="shared" si="0"/>
        <v>19.770070496358183</v>
      </c>
      <c r="J32" s="130">
        <f t="shared" si="4"/>
        <v>6.8491743834089069E-2</v>
      </c>
      <c r="K32" s="136"/>
      <c r="L32" s="190"/>
      <c r="M32" s="190"/>
      <c r="N32" s="191"/>
      <c r="O32" s="192"/>
      <c r="P32" s="129" t="s">
        <v>566</v>
      </c>
      <c r="Q32" s="116">
        <v>79933767</v>
      </c>
      <c r="R32" s="116">
        <v>108545231337</v>
      </c>
      <c r="S32" s="116">
        <v>4043170.56</v>
      </c>
      <c r="T32" s="130">
        <f t="shared" si="1"/>
        <v>19.770070496358183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3244564.4761904762</v>
      </c>
      <c r="G33" s="190">
        <f t="shared" si="2"/>
        <v>-0.14759610916372801</v>
      </c>
      <c r="H33" s="190">
        <f t="shared" si="3"/>
        <v>-0.1048123795138024</v>
      </c>
      <c r="I33" s="130">
        <f t="shared" si="0"/>
        <v>18.448923272354183</v>
      </c>
      <c r="J33" s="130">
        <f t="shared" si="4"/>
        <v>2.5159328226180833E-2</v>
      </c>
      <c r="K33" s="136"/>
      <c r="L33" s="190"/>
      <c r="M33" s="190"/>
      <c r="N33" s="191"/>
      <c r="O33" s="192"/>
      <c r="P33" s="129" t="s">
        <v>607</v>
      </c>
      <c r="Q33" s="116">
        <v>68135854</v>
      </c>
      <c r="R33" s="116">
        <v>93178770556</v>
      </c>
      <c r="S33" s="116">
        <v>3693215.75</v>
      </c>
      <c r="T33" s="130">
        <f t="shared" si="1"/>
        <v>18.448923272354183</v>
      </c>
      <c r="U33" s="85"/>
    </row>
    <row r="34" spans="1:21" s="79" customFormat="1" ht="13.2" hidden="1">
      <c r="A34" s="129" t="s">
        <v>652</v>
      </c>
      <c r="B34" s="188">
        <f>SUM(F32:F34)</f>
        <v>10454331.280701755</v>
      </c>
      <c r="C34" s="188">
        <f>AVERAGE(F32:F34)</f>
        <v>3484777.0935672517</v>
      </c>
      <c r="D34" s="190">
        <f>C34/C31-1</f>
        <v>5.6209782812219444E-2</v>
      </c>
      <c r="E34" s="287">
        <f>C34/C22-1</f>
        <v>2.451753932624845E-2</v>
      </c>
      <c r="F34" s="136">
        <f>Q34/19</f>
        <v>3403396.9473684211</v>
      </c>
      <c r="G34" s="190">
        <f t="shared" si="2"/>
        <v>4.8953402634930532E-2</v>
      </c>
      <c r="H34" s="190">
        <f t="shared" si="3"/>
        <v>-5.2499760448300403E-2</v>
      </c>
      <c r="I34" s="130">
        <f t="shared" si="0"/>
        <v>17.489699085249669</v>
      </c>
      <c r="J34" s="130">
        <f t="shared" si="4"/>
        <v>-4.8236355924836771E-2</v>
      </c>
      <c r="K34" s="136">
        <f>R32+R33+R34</f>
        <v>290633524951</v>
      </c>
      <c r="L34" s="190">
        <f>U34/U31-1</f>
        <v>6.2906776351023375E-2</v>
      </c>
      <c r="M34" s="190">
        <f>U34/U22-1</f>
        <v>6.790003829588942E-3</v>
      </c>
      <c r="N34" s="191">
        <f>AVERAGE(T32:T34)</f>
        <v>18.56956428465401</v>
      </c>
      <c r="O34" s="192">
        <f>N34/N31-1</f>
        <v>5.079694884009478E-2</v>
      </c>
      <c r="P34" s="129" t="s">
        <v>652</v>
      </c>
      <c r="Q34" s="116">
        <v>64664542</v>
      </c>
      <c r="R34" s="116">
        <v>88909523058</v>
      </c>
      <c r="S34" s="116">
        <v>3697293</v>
      </c>
      <c r="T34" s="130">
        <f t="shared" si="1"/>
        <v>17.489699085249669</v>
      </c>
      <c r="U34" s="85">
        <f>Q32+Q33+Q34</f>
        <v>212734163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3376404.4782608696</v>
      </c>
      <c r="G35" s="190">
        <f t="shared" si="2"/>
        <v>-7.9310375853814952E-3</v>
      </c>
      <c r="H35" s="190">
        <f t="shared" si="3"/>
        <v>-9.7477767526074288E-2</v>
      </c>
      <c r="I35" s="130">
        <f t="shared" si="0"/>
        <v>18.439883958239509</v>
      </c>
      <c r="J35" s="130">
        <f t="shared" si="4"/>
        <v>4.5156466165843456E-2</v>
      </c>
      <c r="K35" s="136"/>
      <c r="L35" s="190"/>
      <c r="M35" s="190"/>
      <c r="N35" s="191"/>
      <c r="O35" s="192"/>
      <c r="P35" s="129" t="s">
        <v>660</v>
      </c>
      <c r="Q35" s="116">
        <v>77657303</v>
      </c>
      <c r="R35" s="116">
        <v>107458282909</v>
      </c>
      <c r="S35" s="116">
        <v>4211376.99</v>
      </c>
      <c r="T35" s="130">
        <f t="shared" si="1"/>
        <v>18.439883958239509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3619939.3809523811</v>
      </c>
      <c r="G36" s="190">
        <f t="shared" si="2"/>
        <v>7.212847402007716E-2</v>
      </c>
      <c r="H36" s="190">
        <f t="shared" si="3"/>
        <v>6.7811329983728408E-2</v>
      </c>
      <c r="I36" s="130">
        <f t="shared" si="0"/>
        <v>19.574885842411362</v>
      </c>
      <c r="J36" s="130">
        <f t="shared" si="4"/>
        <v>2.0538357356736148E-2</v>
      </c>
      <c r="K36" s="136"/>
      <c r="L36" s="190"/>
      <c r="M36" s="190"/>
      <c r="N36" s="191"/>
      <c r="O36" s="192"/>
      <c r="P36" s="129" t="s">
        <v>664</v>
      </c>
      <c r="Q36" s="116">
        <v>76018727</v>
      </c>
      <c r="R36" s="116">
        <v>103686869877</v>
      </c>
      <c r="S36" s="116">
        <v>3883482.52</v>
      </c>
      <c r="T36" s="130">
        <f t="shared" si="1"/>
        <v>19.574885842411362</v>
      </c>
      <c r="U36" s="85"/>
    </row>
    <row r="37" spans="1:21" s="79" customFormat="1" ht="13.2" hidden="1">
      <c r="A37" s="129" t="s">
        <v>702</v>
      </c>
      <c r="B37" s="188">
        <f>SUM(F35:F37)</f>
        <v>10541209.136991028</v>
      </c>
      <c r="C37" s="188">
        <f>AVERAGE(F35:F37)</f>
        <v>3513736.3789970092</v>
      </c>
      <c r="D37" s="190">
        <f>C37/C34-1</f>
        <v>8.3102260638752146E-3</v>
      </c>
      <c r="E37" s="287">
        <f>C37/C25-1</f>
        <v>-0.1138040642495427</v>
      </c>
      <c r="F37" s="136">
        <f>Q37/18</f>
        <v>3544865.277777778</v>
      </c>
      <c r="G37" s="190">
        <f t="shared" si="2"/>
        <v>-2.073904982211372E-2</v>
      </c>
      <c r="H37" s="190">
        <f t="shared" si="3"/>
        <v>-0.25586902755408003</v>
      </c>
      <c r="I37" s="130">
        <f t="shared" si="0"/>
        <v>18.470950584965625</v>
      </c>
      <c r="J37" s="130">
        <f t="shared" si="4"/>
        <v>-7.4217935985094519E-2</v>
      </c>
      <c r="K37" s="136">
        <f>R35+R36+R37</f>
        <v>296308926952</v>
      </c>
      <c r="L37" s="190">
        <f>U37/U34-1</f>
        <v>2.2325713618456255E-2</v>
      </c>
      <c r="M37" s="190">
        <f>U37/U25-1</f>
        <v>-0.10741299280119254</v>
      </c>
      <c r="N37" s="191">
        <f>AVERAGE(T35:T37)</f>
        <v>18.828573461872164</v>
      </c>
      <c r="O37" s="192">
        <f>N37/N34-1</f>
        <v>1.3948048174302174E-2</v>
      </c>
      <c r="P37" s="129" t="s">
        <v>702</v>
      </c>
      <c r="Q37" s="116">
        <v>63807575</v>
      </c>
      <c r="R37" s="116">
        <v>85163774166</v>
      </c>
      <c r="S37" s="116">
        <v>3454482.47</v>
      </c>
      <c r="T37" s="130">
        <f t="shared" si="1"/>
        <v>18.470950584965625</v>
      </c>
      <c r="U37" s="85">
        <f>Q35+Q36+Q37</f>
        <v>217483605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2922224.05</v>
      </c>
      <c r="G38" s="190">
        <f t="shared" si="2"/>
        <v>-0.17564594956006407</v>
      </c>
      <c r="H38" s="190">
        <f t="shared" si="3"/>
        <v>-0.28123939751461347</v>
      </c>
      <c r="I38" s="130">
        <f t="shared" si="0"/>
        <v>18.289287672718501</v>
      </c>
      <c r="J38" s="130">
        <f t="shared" si="4"/>
        <v>-5.782541716871259E-2</v>
      </c>
      <c r="K38" s="136"/>
      <c r="L38" s="190"/>
      <c r="M38" s="190"/>
      <c r="N38" s="191"/>
      <c r="O38" s="192"/>
      <c r="P38" s="129" t="s">
        <v>727</v>
      </c>
      <c r="Q38" s="116">
        <v>58444481</v>
      </c>
      <c r="R38" s="116">
        <v>78772052662</v>
      </c>
      <c r="S38" s="116">
        <v>3195558.08</v>
      </c>
      <c r="T38" s="130">
        <f t="shared" si="1"/>
        <v>18.289287672718501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2894798.6666666665</v>
      </c>
      <c r="G39" s="190">
        <f t="shared" si="2"/>
        <v>-9.3851062971482824E-3</v>
      </c>
      <c r="H39" s="190">
        <f t="shared" si="3"/>
        <v>-0.22326164633726586</v>
      </c>
      <c r="I39" s="130">
        <f t="shared" si="0"/>
        <v>17.985845292883432</v>
      </c>
      <c r="J39" s="130">
        <f t="shared" si="4"/>
        <v>-9.523579817269634E-2</v>
      </c>
      <c r="K39" s="136"/>
      <c r="L39" s="190"/>
      <c r="M39" s="190"/>
      <c r="N39" s="191"/>
      <c r="O39" s="192"/>
      <c r="P39" s="129" t="s">
        <v>762</v>
      </c>
      <c r="Q39" s="116">
        <v>60790772</v>
      </c>
      <c r="R39" s="116">
        <v>84484650840</v>
      </c>
      <c r="S39" s="116">
        <v>3379922.99</v>
      </c>
      <c r="T39" s="130">
        <f t="shared" si="1"/>
        <v>17.985845292883432</v>
      </c>
      <c r="U39" s="85"/>
    </row>
    <row r="40" spans="1:21" s="79" customFormat="1" ht="13.2" hidden="1">
      <c r="A40" s="129" t="s">
        <v>778</v>
      </c>
      <c r="B40" s="188">
        <f>SUM(F38:F40)</f>
        <v>9035662.6214285716</v>
      </c>
      <c r="C40" s="188">
        <f>AVERAGE(F38:F40)</f>
        <v>3011887.5404761904</v>
      </c>
      <c r="D40" s="190">
        <f>C40/C37-1</f>
        <v>-0.14282484067972989</v>
      </c>
      <c r="E40" s="287">
        <f>C40/C28-1</f>
        <v>-0.20412188676226717</v>
      </c>
      <c r="F40" s="136">
        <f>Q40/21</f>
        <v>3218639.9047619049</v>
      </c>
      <c r="G40" s="190">
        <f t="shared" si="2"/>
        <v>0.11187003843280707</v>
      </c>
      <c r="H40" s="190">
        <f t="shared" si="3"/>
        <v>-9.6031321242634027E-2</v>
      </c>
      <c r="I40" s="130">
        <f t="shared" si="0"/>
        <v>18.574625287785146</v>
      </c>
      <c r="J40" s="130">
        <f t="shared" si="4"/>
        <v>2.1675543348167681E-2</v>
      </c>
      <c r="K40" s="136">
        <f>R38+R39+R40</f>
        <v>259212810228</v>
      </c>
      <c r="L40" s="190">
        <f>U40/U37-1</f>
        <v>-0.14096195435053593</v>
      </c>
      <c r="M40" s="190">
        <f>U40/U28-1</f>
        <v>-0.17657224069420241</v>
      </c>
      <c r="N40" s="191">
        <f>AVERAGE(T38:T40)</f>
        <v>18.283252751129027</v>
      </c>
      <c r="O40" s="192">
        <f>N40/N37-1</f>
        <v>-2.8962401843528496E-2</v>
      </c>
      <c r="P40" s="129" t="s">
        <v>778</v>
      </c>
      <c r="Q40" s="116">
        <v>67591438</v>
      </c>
      <c r="R40" s="116">
        <v>95956106726</v>
      </c>
      <c r="S40" s="116">
        <v>3638912.6</v>
      </c>
      <c r="T40" s="130">
        <f t="shared" si="1"/>
        <v>18.574625287785146</v>
      </c>
      <c r="U40" s="85">
        <f>Q38+Q39+Q40</f>
        <v>186826691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2772400.4444444445</v>
      </c>
      <c r="G41" s="190">
        <f t="shared" si="2"/>
        <v>-0.13864224440182304</v>
      </c>
      <c r="H41" s="190">
        <f t="shared" si="3"/>
        <v>-3.6287518585209178E-2</v>
      </c>
      <c r="I41" s="130">
        <f t="shared" si="0"/>
        <v>17.782774911225115</v>
      </c>
      <c r="J41" s="130">
        <f t="shared" si="4"/>
        <v>2.0892437438473355E-3</v>
      </c>
      <c r="K41" s="193"/>
      <c r="L41" s="190"/>
      <c r="M41" s="190"/>
      <c r="N41" s="193"/>
      <c r="O41" s="193"/>
      <c r="P41" s="129" t="s">
        <v>792</v>
      </c>
      <c r="Q41" s="116">
        <v>49903208</v>
      </c>
      <c r="R41" s="116">
        <v>72985759537</v>
      </c>
      <c r="S41" s="116">
        <v>2806266.64</v>
      </c>
      <c r="T41" s="130">
        <f t="shared" si="1"/>
        <v>17.782774911225115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3070096.15</v>
      </c>
      <c r="G42" s="190">
        <f t="shared" si="2"/>
        <v>0.10737832124940749</v>
      </c>
      <c r="H42" s="190">
        <f t="shared" si="3"/>
        <v>-0.13983452205619795</v>
      </c>
      <c r="I42" s="130">
        <f t="shared" si="0"/>
        <v>17.935202504965748</v>
      </c>
      <c r="J42" s="130">
        <f t="shared" si="4"/>
        <v>-1.8445087885528122E-2</v>
      </c>
      <c r="K42" s="193"/>
      <c r="L42" s="190"/>
      <c r="M42" s="190"/>
      <c r="N42" s="193"/>
      <c r="O42" s="193"/>
      <c r="P42" s="129" t="s">
        <v>826</v>
      </c>
      <c r="Q42" s="116">
        <v>61401923</v>
      </c>
      <c r="R42" s="116">
        <v>88760378082</v>
      </c>
      <c r="S42" s="116">
        <v>3423542.22</v>
      </c>
      <c r="T42" s="130">
        <f t="shared" si="1"/>
        <v>17.935202504965748</v>
      </c>
      <c r="U42" s="78"/>
    </row>
    <row r="43" spans="1:21" s="79" customFormat="1" ht="13.2">
      <c r="A43" s="129" t="s">
        <v>835</v>
      </c>
      <c r="B43" s="188">
        <f>SUM(F41:F43)</f>
        <v>9283755.2944444455</v>
      </c>
      <c r="C43" s="188">
        <f>AVERAGE(F41:F43)</f>
        <v>3094585.0981481485</v>
      </c>
      <c r="D43" s="190">
        <f>C43/C40-1</f>
        <v>2.7457053611929849E-2</v>
      </c>
      <c r="E43" s="287">
        <f>C43/C31-1</f>
        <v>-6.2054482496870733E-2</v>
      </c>
      <c r="F43" s="136">
        <f>Q43/20</f>
        <v>3441258.7</v>
      </c>
      <c r="G43" s="190">
        <f t="shared" si="2"/>
        <v>0.12089606704988709</v>
      </c>
      <c r="H43" s="190">
        <f t="shared" si="3"/>
        <v>-3.1070103003516536E-3</v>
      </c>
      <c r="I43" s="130">
        <f t="shared" si="0"/>
        <v>18.702346924340453</v>
      </c>
      <c r="J43" s="130">
        <f t="shared" si="4"/>
        <v>0.10028537507593471</v>
      </c>
      <c r="K43" s="136">
        <f>R41+R42+R43</f>
        <v>261547372836</v>
      </c>
      <c r="L43" s="190">
        <f>U43/U40-1</f>
        <v>-3.5842769382454009E-2</v>
      </c>
      <c r="M43" s="190">
        <f>K43/K31-1</f>
        <v>-1.4632725565332128E-2</v>
      </c>
      <c r="N43" s="191">
        <f>AVERAGE(T41:T43)</f>
        <v>18.14010811351044</v>
      </c>
      <c r="O43" s="192">
        <f>N43/N40-1</f>
        <v>-7.8292763091484252E-3</v>
      </c>
      <c r="P43" s="129" t="s">
        <v>835</v>
      </c>
      <c r="Q43" s="116">
        <v>68825174</v>
      </c>
      <c r="R43" s="116">
        <v>99801235217</v>
      </c>
      <c r="S43" s="116">
        <v>3680028.73</v>
      </c>
      <c r="T43" s="130">
        <f t="shared" si="1"/>
        <v>18.702346924340453</v>
      </c>
      <c r="U43" s="85">
        <f>Q41+Q42+Q43</f>
        <v>180130305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3168608.1363636362</v>
      </c>
      <c r="G44" s="190">
        <f t="shared" si="2"/>
        <v>-7.9229894467499284E-2</v>
      </c>
      <c r="H44" s="190">
        <f t="shared" si="3"/>
        <v>-0.16755116941209136</v>
      </c>
      <c r="I44" s="130">
        <f t="shared" si="0"/>
        <v>17.344302872850978</v>
      </c>
      <c r="J44" s="130">
        <f t="shared" si="4"/>
        <v>-0.12269898703467208</v>
      </c>
      <c r="K44" s="136"/>
      <c r="L44" s="190"/>
      <c r="M44" s="190"/>
      <c r="N44" s="191"/>
      <c r="O44" s="192"/>
      <c r="P44" s="129" t="s">
        <v>843</v>
      </c>
      <c r="Q44" s="116">
        <v>69709379</v>
      </c>
      <c r="R44" s="116">
        <v>101193904104</v>
      </c>
      <c r="S44" s="116">
        <v>4019151.39</v>
      </c>
      <c r="T44" s="130">
        <f t="shared" si="1"/>
        <v>17.344302872850978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87"/>
      <c r="F45" s="136">
        <f>Q45/20</f>
        <v>3186662.1</v>
      </c>
      <c r="G45" s="190">
        <f t="shared" si="2"/>
        <v>5.6977584034998419E-3</v>
      </c>
      <c r="H45" s="190">
        <f t="shared" si="3"/>
        <v>-1.7845962567666573E-2</v>
      </c>
      <c r="I45" s="130">
        <f t="shared" si="0"/>
        <v>18.203704359368054</v>
      </c>
      <c r="J45" s="130">
        <f t="shared" si="4"/>
        <v>-1.3291773691399666E-2</v>
      </c>
      <c r="K45" s="136"/>
      <c r="L45" s="190"/>
      <c r="M45" s="190"/>
      <c r="N45" s="191"/>
      <c r="O45" s="192"/>
      <c r="P45" s="129" t="s">
        <v>878</v>
      </c>
      <c r="Q45" s="116">
        <v>63733242</v>
      </c>
      <c r="R45" s="116">
        <v>89636878409</v>
      </c>
      <c r="S45" s="116">
        <v>3501113.88</v>
      </c>
      <c r="T45" s="130">
        <f t="shared" si="1"/>
        <v>18.203704359368054</v>
      </c>
      <c r="U45" s="85"/>
    </row>
    <row r="46" spans="1:21" s="79" customFormat="1" ht="13.2">
      <c r="A46" s="129" t="s">
        <v>888</v>
      </c>
      <c r="B46" s="188">
        <f>SUM(F44:F46)</f>
        <v>9702389.5521531105</v>
      </c>
      <c r="C46" s="188">
        <f>AVERAGE(F44:F46)</f>
        <v>3234129.8507177033</v>
      </c>
      <c r="D46" s="189">
        <f>C46/C43-1</f>
        <v>4.5093202527557219E-2</v>
      </c>
      <c r="E46" s="287">
        <f>C46/C34-1</f>
        <v>-7.1926334488433219E-2</v>
      </c>
      <c r="F46" s="136">
        <f>Q46/19</f>
        <v>3347119.3157894737</v>
      </c>
      <c r="G46" s="190">
        <f t="shared" si="2"/>
        <v>5.0352754937360134E-2</v>
      </c>
      <c r="H46" s="190">
        <f t="shared" si="3"/>
        <v>-1.6535723704654059E-2</v>
      </c>
      <c r="I46" s="130">
        <f t="shared" si="0"/>
        <v>17.41991158397261</v>
      </c>
      <c r="J46" s="130">
        <f t="shared" si="4"/>
        <v>-3.990205945619496E-3</v>
      </c>
      <c r="K46" s="136">
        <f>R44+R45+R46</f>
        <v>277889111223</v>
      </c>
      <c r="L46" s="190">
        <f>U46/U43-1</f>
        <v>9.386306762762664E-2</v>
      </c>
      <c r="M46" s="190">
        <f>K46/K34-1</f>
        <v>-4.3850459888096771E-2</v>
      </c>
      <c r="N46" s="191">
        <f>AVERAGE(T44:T46)</f>
        <v>17.655972938730546</v>
      </c>
      <c r="O46" s="219">
        <f>N46/N43-1</f>
        <v>-2.6688659833251971E-2</v>
      </c>
      <c r="P46" s="129" t="s">
        <v>888</v>
      </c>
      <c r="Q46" s="116">
        <v>63595267</v>
      </c>
      <c r="R46" s="116">
        <v>87058328710</v>
      </c>
      <c r="S46" s="116">
        <v>3650722.72</v>
      </c>
      <c r="T46" s="130">
        <f t="shared" si="1"/>
        <v>17.41991158397261</v>
      </c>
      <c r="U46" s="85">
        <f t="shared" ref="U46:U51" si="5">Q44+Q45+Q46</f>
        <v>197037888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3032111.6086956523</v>
      </c>
      <c r="G47" s="190">
        <f t="shared" si="2"/>
        <v>-9.4113079748255557E-2</v>
      </c>
      <c r="H47" s="190">
        <f t="shared" si="3"/>
        <v>-0.1019702680120117</v>
      </c>
      <c r="I47" s="130">
        <f t="shared" si="0"/>
        <v>17.464693728778187</v>
      </c>
      <c r="J47" s="130">
        <f t="shared" si="4"/>
        <v>-5.2884835483228532E-2</v>
      </c>
      <c r="K47" s="136"/>
      <c r="L47" s="190"/>
      <c r="M47" s="190"/>
      <c r="N47" s="191"/>
      <c r="O47" s="219"/>
      <c r="P47" s="129" t="s">
        <v>989</v>
      </c>
      <c r="Q47" s="116">
        <v>69738567</v>
      </c>
      <c r="R47" s="116">
        <v>95625531015</v>
      </c>
      <c r="S47" s="116">
        <v>3993117.09</v>
      </c>
      <c r="T47" s="130">
        <f t="shared" si="1"/>
        <v>17.464693728778187</v>
      </c>
      <c r="U47" s="85">
        <f t="shared" si="5"/>
        <v>197067076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3097925.65</v>
      </c>
      <c r="G48" s="190">
        <f t="shared" ref="G48" si="6">F48/F47-1</f>
        <v>2.1705679011156054E-2</v>
      </c>
      <c r="H48" s="190">
        <f t="shared" ref="H48" si="7">F48/F36-1</f>
        <v>-0.14420510290839261</v>
      </c>
      <c r="I48" s="130">
        <f t="shared" si="0"/>
        <v>17.208902258802343</v>
      </c>
      <c r="J48" s="130">
        <f t="shared" si="4"/>
        <v>-0.12086832090140875</v>
      </c>
      <c r="K48" s="136"/>
      <c r="L48" s="190"/>
      <c r="M48" s="190"/>
      <c r="N48" s="191"/>
      <c r="O48" s="219"/>
      <c r="P48" s="129" t="s">
        <v>1120</v>
      </c>
      <c r="Q48" s="116">
        <v>61958513</v>
      </c>
      <c r="R48" s="116">
        <v>86003585625</v>
      </c>
      <c r="S48" s="116">
        <v>3600375.67</v>
      </c>
      <c r="T48" s="130">
        <f t="shared" ref="T48" si="8">Q48/S48</f>
        <v>17.208902258802343</v>
      </c>
      <c r="U48" s="85">
        <f t="shared" si="5"/>
        <v>195292347</v>
      </c>
    </row>
    <row r="49" spans="1:26" ht="13.2">
      <c r="A49" s="129" t="s">
        <v>1158</v>
      </c>
      <c r="B49" s="188">
        <f>SUM(F47:F49)</f>
        <v>9615699.2586956527</v>
      </c>
      <c r="C49" s="188">
        <f>AVERAGE(F47:F49)</f>
        <v>3205233.0862318841</v>
      </c>
      <c r="D49" s="189">
        <f>C49/C46-1</f>
        <v>-8.9349425717729636E-3</v>
      </c>
      <c r="E49" s="287">
        <f>C49/C37-1</f>
        <v>-8.7799214138309045E-2</v>
      </c>
      <c r="F49" s="136">
        <f>Q49/22</f>
        <v>3485662</v>
      </c>
      <c r="G49" s="190">
        <f t="shared" ref="G49" si="9">F49/F48-1</f>
        <v>0.12515999213861062</v>
      </c>
      <c r="H49" s="190">
        <f t="shared" ref="H49" si="10">F49/F37-1</f>
        <v>-1.6701136189551269E-2</v>
      </c>
      <c r="I49" s="130">
        <f t="shared" si="0"/>
        <v>17.282781010247025</v>
      </c>
      <c r="J49" s="130">
        <f t="shared" si="4"/>
        <v>-6.4326390201363437E-2</v>
      </c>
      <c r="K49" s="136">
        <f>R47+R48+R49</f>
        <v>288205064496</v>
      </c>
      <c r="L49" s="190">
        <f>U49/U46-1</f>
        <v>5.7571445345577343E-2</v>
      </c>
      <c r="M49" s="190">
        <f>K49/K37-1</f>
        <v>-2.7349369927396006E-2</v>
      </c>
      <c r="N49" s="191">
        <f>AVERAGE(T47:T49)</f>
        <v>17.318792332609181</v>
      </c>
      <c r="O49" s="219">
        <f>N49/N46-1</f>
        <v>-1.9097254356440385E-2</v>
      </c>
      <c r="P49" s="129" t="s">
        <v>1165</v>
      </c>
      <c r="Q49" s="116">
        <v>76684564</v>
      </c>
      <c r="R49" s="116">
        <v>106575947856</v>
      </c>
      <c r="S49" s="116">
        <v>4437050.03</v>
      </c>
      <c r="T49" s="130">
        <f t="shared" ref="T49" si="11">Q49/S49</f>
        <v>17.282781010247025</v>
      </c>
      <c r="U49" s="85">
        <f t="shared" si="5"/>
        <v>208381644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3517162.8333333335</v>
      </c>
      <c r="G50" s="190">
        <f t="shared" ref="G50" si="12">F50/F49-1</f>
        <v>9.0372598758381439E-3</v>
      </c>
      <c r="H50" s="190">
        <f t="shared" ref="H50" si="13">F50/F38-1</f>
        <v>0.20359109128998298</v>
      </c>
      <c r="I50" s="130">
        <f t="shared" ref="I50" si="14">T50</f>
        <v>19.344357297626182</v>
      </c>
      <c r="J50" s="130">
        <f t="shared" ref="J50" si="15">I50/I38-1</f>
        <v>5.768784677609351E-2</v>
      </c>
      <c r="K50" s="136"/>
      <c r="L50" s="190"/>
      <c r="M50" s="190"/>
      <c r="N50" s="191"/>
      <c r="O50" s="192"/>
      <c r="P50" s="129" t="s">
        <v>1379</v>
      </c>
      <c r="Q50" s="116">
        <v>63308931</v>
      </c>
      <c r="R50" s="116">
        <v>89471501203</v>
      </c>
      <c r="S50" s="116">
        <v>3272733.75</v>
      </c>
      <c r="T50" s="130">
        <f t="shared" ref="T50" si="16">Q50/S50</f>
        <v>19.344357297626182</v>
      </c>
      <c r="U50" s="85">
        <f t="shared" si="5"/>
        <v>201952008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3023198.85</v>
      </c>
      <c r="G51" s="190">
        <f t="shared" ref="G51:G52" si="17">F51/F50-1</f>
        <v>-0.14044387670990688</v>
      </c>
      <c r="H51" s="190">
        <f t="shared" ref="H51:H52" si="18">F51/F39-1</f>
        <v>4.4355479644180296E-2</v>
      </c>
      <c r="I51" s="130">
        <f t="shared" ref="I51:I52" si="19">T51</f>
        <v>18.447030203960335</v>
      </c>
      <c r="J51" s="130">
        <f t="shared" ref="J51:J52" si="20">I51/I39-1</f>
        <v>2.5641547759747585E-2</v>
      </c>
      <c r="K51" s="136"/>
      <c r="L51" s="190"/>
      <c r="M51" s="190"/>
      <c r="N51" s="191"/>
      <c r="O51" s="192"/>
      <c r="P51" s="129" t="s">
        <v>1402</v>
      </c>
      <c r="Q51" s="116">
        <v>60463977</v>
      </c>
      <c r="R51" s="116">
        <v>87499235288</v>
      </c>
      <c r="S51" s="116">
        <v>3277707.92</v>
      </c>
      <c r="T51" s="130">
        <f t="shared" ref="T51:T52" si="21">Q51/S51</f>
        <v>18.447030203960335</v>
      </c>
      <c r="U51" s="85">
        <f t="shared" si="5"/>
        <v>200457472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9705058.1833333336</v>
      </c>
      <c r="C52" s="188">
        <f>AVERAGE(F50:F52)</f>
        <v>3235019.3944444447</v>
      </c>
      <c r="D52" s="190">
        <f>C52/C49-1</f>
        <v>9.293024067581257E-3</v>
      </c>
      <c r="E52" s="287">
        <f>C52/C40-1</f>
        <v>7.408372688874576E-2</v>
      </c>
      <c r="F52" s="136">
        <f>Q52/22</f>
        <v>3164696.5</v>
      </c>
      <c r="G52" s="190">
        <f t="shared" si="17"/>
        <v>4.6803950722593024E-2</v>
      </c>
      <c r="H52" s="190">
        <f t="shared" si="18"/>
        <v>-1.6759689296741986E-2</v>
      </c>
      <c r="I52" s="130">
        <f t="shared" si="19"/>
        <v>18.916654475942035</v>
      </c>
      <c r="J52" s="130">
        <f t="shared" si="20"/>
        <v>1.8413786704047919E-2</v>
      </c>
      <c r="K52" s="136">
        <f>R50+R51+R52</f>
        <v>279422568164</v>
      </c>
      <c r="L52" s="190">
        <f>U52/U49-1</f>
        <v>-7.1913306337097471E-2</v>
      </c>
      <c r="M52" s="190">
        <f>K52/K40-1</f>
        <v>7.7965891879432148E-2</v>
      </c>
      <c r="N52" s="191">
        <f>AVERAGE(T50:T52)</f>
        <v>18.902680659176184</v>
      </c>
      <c r="O52" s="192">
        <f>N52/N49-1</f>
        <v>9.1454894553168797E-2</v>
      </c>
      <c r="P52" s="129" t="s">
        <v>1403</v>
      </c>
      <c r="Q52" s="116">
        <v>69623323</v>
      </c>
      <c r="R52" s="116">
        <v>102451831673</v>
      </c>
      <c r="S52" s="116">
        <v>3680530.46</v>
      </c>
      <c r="T52" s="130">
        <f t="shared" si="21"/>
        <v>18.916654475942035</v>
      </c>
      <c r="U52" s="85">
        <f t="shared" ref="U52" si="22">Q50+Q51+Q52</f>
        <v>193396231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3038886.6190476189</v>
      </c>
      <c r="G53" s="190">
        <f t="shared" ref="G53" si="23">F53/F52-1</f>
        <v>-3.9754169460604172E-2</v>
      </c>
      <c r="H53" s="190">
        <f t="shared" ref="H53" si="24">F53/F41-1</f>
        <v>9.6121097923346666E-2</v>
      </c>
      <c r="I53" s="130">
        <f t="shared" ref="I53" si="25">T53</f>
        <v>18.074232232876486</v>
      </c>
      <c r="J53" s="130">
        <f t="shared" ref="J53" si="26">I53/I41-1</f>
        <v>1.6389867335462549E-2</v>
      </c>
      <c r="K53" s="136"/>
      <c r="L53" s="190"/>
      <c r="M53" s="190"/>
      <c r="N53" s="191"/>
      <c r="O53" s="192"/>
      <c r="P53" s="129" t="s">
        <v>1414</v>
      </c>
      <c r="Q53" s="116">
        <v>63816619</v>
      </c>
      <c r="R53" s="116">
        <v>92986677425</v>
      </c>
      <c r="S53" s="116">
        <v>3530806.63</v>
      </c>
      <c r="T53" s="130">
        <f t="shared" ref="T53" si="27">Q53/S53</f>
        <v>18.074232232876486</v>
      </c>
      <c r="U53" s="85">
        <f t="shared" ref="U53" si="28">Q51+Q52+Q53</f>
        <v>193903919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3382641</v>
      </c>
      <c r="G54" s="190">
        <f t="shared" ref="G54" si="29">F54/F53-1</f>
        <v>0.11311852794959254</v>
      </c>
      <c r="H54" s="190">
        <f t="shared" ref="H54" si="30">F54/F42-1</f>
        <v>0.1018029516762855</v>
      </c>
      <c r="I54" s="130">
        <f t="shared" ref="I54" si="31">T54</f>
        <v>17.801907093660176</v>
      </c>
      <c r="J54" s="130">
        <f t="shared" ref="J54" si="32">I54/I42-1</f>
        <v>-7.4320549917775702E-3</v>
      </c>
      <c r="K54" s="136"/>
      <c r="L54" s="190"/>
      <c r="M54" s="190"/>
      <c r="N54" s="191"/>
      <c r="O54" s="192"/>
      <c r="P54" s="129" t="s">
        <v>1417</v>
      </c>
      <c r="Q54" s="116">
        <v>57504897</v>
      </c>
      <c r="R54" s="116">
        <v>83330058029</v>
      </c>
      <c r="S54" s="116">
        <v>3230266.1</v>
      </c>
      <c r="T54" s="130">
        <f t="shared" ref="T54" si="33">Q54/S54</f>
        <v>17.801907093660176</v>
      </c>
      <c r="U54" s="85">
        <f t="shared" ref="U54" si="34">Q52+Q53+Q54</f>
        <v>190944839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10027043.142857144</v>
      </c>
      <c r="C55" s="188">
        <f>AVERAGE(F53:F55)</f>
        <v>3342347.7142857146</v>
      </c>
      <c r="D55" s="190">
        <f>C55/C52-1</f>
        <v>3.3177025159597751E-2</v>
      </c>
      <c r="E55" s="287">
        <f>C55/C43-1</f>
        <v>8.0063274487371938E-2</v>
      </c>
      <c r="F55" s="136">
        <f>Q55/21</f>
        <v>3605515.5238095238</v>
      </c>
      <c r="G55" s="190">
        <f t="shared" ref="G55" si="35">F55/F54-1</f>
        <v>6.5887726131600655E-2</v>
      </c>
      <c r="H55" s="190">
        <f t="shared" ref="H55" si="36">F55/F43-1</f>
        <v>4.7731611636615323E-2</v>
      </c>
      <c r="I55" s="130">
        <f>T55</f>
        <v>18.401722760625425</v>
      </c>
      <c r="J55" s="130">
        <f t="shared" ref="J55" si="37">I55/I43-1</f>
        <v>-1.607414111882266E-2</v>
      </c>
      <c r="K55" s="136">
        <f>R53+R54+R55</f>
        <v>287849454173</v>
      </c>
      <c r="L55" s="190">
        <f>U55/U52-1</f>
        <v>1.8827207651218369E-2</v>
      </c>
      <c r="M55" s="190">
        <f>K55/K43-1</f>
        <v>0.100563355126845</v>
      </c>
      <c r="N55" s="191">
        <f>AVERAGE(T53:T55)</f>
        <v>18.092620695720694</v>
      </c>
      <c r="O55" s="192">
        <f>N55/N52-1</f>
        <v>-4.2854237346608981E-2</v>
      </c>
      <c r="P55" s="129" t="s">
        <v>1418</v>
      </c>
      <c r="Q55" s="116">
        <v>75715826</v>
      </c>
      <c r="R55" s="116">
        <v>111532718719</v>
      </c>
      <c r="S55" s="116">
        <v>4114605.3</v>
      </c>
      <c r="T55" s="130">
        <f t="shared" ref="T55" si="38">Q55/S55</f>
        <v>18.401722760625425</v>
      </c>
      <c r="U55" s="85">
        <f t="shared" ref="U55" si="39">Q53+Q54+Q55</f>
        <v>197037342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3234404.4545454546</v>
      </c>
      <c r="G56" s="190">
        <f t="shared" ref="G56" si="40">F56/F55-1</f>
        <v>-0.10292871208385757</v>
      </c>
      <c r="H56" s="190">
        <f t="shared" ref="H56" si="41">F56/F44-1</f>
        <v>2.0765053723976079E-2</v>
      </c>
      <c r="I56" s="291">
        <f>T56</f>
        <v>17.414104148008992</v>
      </c>
      <c r="J56" s="130">
        <f t="shared" ref="J56" si="42">I56/I44-1</f>
        <v>4.0244497383215005E-3</v>
      </c>
      <c r="K56" s="136"/>
      <c r="L56" s="190"/>
      <c r="M56" s="190"/>
      <c r="N56" s="191"/>
      <c r="O56" s="192"/>
      <c r="P56" s="129" t="s">
        <v>1420</v>
      </c>
      <c r="Q56" s="116">
        <v>71156898</v>
      </c>
      <c r="R56" s="116">
        <v>106278587474</v>
      </c>
      <c r="S56" s="116">
        <v>4086164.72</v>
      </c>
      <c r="T56" s="130">
        <f t="shared" ref="T56" si="43">Q56/S56</f>
        <v>17.414104148008992</v>
      </c>
      <c r="U56" s="85">
        <f t="shared" ref="U56" si="44">Q54+Q55+Q56</f>
        <v>204377621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3262496.6666666665</v>
      </c>
      <c r="G57" s="254">
        <f t="shared" ref="G57" si="45">F57/F56-1</f>
        <v>8.6854357629060353E-3</v>
      </c>
      <c r="H57" s="254">
        <f t="shared" ref="H57" si="46">F57/F45-1</f>
        <v>2.3797492262096487E-2</v>
      </c>
      <c r="I57" s="282">
        <f>T57</f>
        <v>16.262170414120476</v>
      </c>
      <c r="J57" s="277">
        <f t="shared" ref="J57" si="47">I57/I45-1</f>
        <v>-0.10665598094315454</v>
      </c>
      <c r="K57" s="204"/>
      <c r="L57" s="254"/>
      <c r="M57" s="254"/>
      <c r="N57" s="257"/>
      <c r="O57" s="258"/>
      <c r="P57" s="129" t="s">
        <v>1436</v>
      </c>
      <c r="Q57" s="116">
        <v>39149960</v>
      </c>
      <c r="R57" s="116">
        <v>57712187478</v>
      </c>
      <c r="S57" s="116">
        <v>2407425.27</v>
      </c>
      <c r="T57" s="130">
        <f t="shared" ref="T57" si="48">Q57/S57</f>
        <v>16.262170414120476</v>
      </c>
      <c r="U57" s="85">
        <f t="shared" ref="U57" si="49">Q55+Q56+Q57</f>
        <v>186022684</v>
      </c>
      <c r="V57" s="79"/>
      <c r="W57" s="79"/>
      <c r="X57" s="79"/>
      <c r="Y57" s="79"/>
      <c r="Z57" s="79"/>
    </row>
    <row r="58" spans="1:26">
      <c r="B58" s="196">
        <f>SUM(F56:F58)</f>
        <v>6496901.1212121211</v>
      </c>
      <c r="C58" s="196">
        <f>AVERAGE(F56:F58)</f>
        <v>3248450.5606060605</v>
      </c>
      <c r="D58" s="197">
        <f>C58/C55-1</f>
        <v>-2.8093173333918253E-2</v>
      </c>
      <c r="E58" s="233">
        <f>C58/C46-1</f>
        <v>4.4279947155427823E-3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307344200</v>
      </c>
      <c r="R65" s="212">
        <v>451840229125</v>
      </c>
      <c r="S65" s="213">
        <v>17369268.039999999</v>
      </c>
      <c r="T65" s="214">
        <v>502</v>
      </c>
      <c r="U65" s="214">
        <v>1554</v>
      </c>
    </row>
    <row r="66" spans="16:21" ht="18" thickBot="1">
      <c r="P66" s="180" t="s">
        <v>976</v>
      </c>
      <c r="Q66" s="181">
        <v>63816619</v>
      </c>
      <c r="R66" s="181">
        <v>92986677425</v>
      </c>
      <c r="S66" s="182">
        <v>3530806.63</v>
      </c>
      <c r="T66" s="210">
        <v>224</v>
      </c>
      <c r="U66" s="210">
        <v>603</v>
      </c>
    </row>
    <row r="67" spans="16:21" ht="18" thickBot="1">
      <c r="P67" s="180" t="s">
        <v>977</v>
      </c>
      <c r="Q67" s="181">
        <v>57504897</v>
      </c>
      <c r="R67" s="181">
        <v>83330058029</v>
      </c>
      <c r="S67" s="182">
        <v>3230266.1</v>
      </c>
      <c r="T67" s="210">
        <v>211</v>
      </c>
      <c r="U67" s="210">
        <v>496</v>
      </c>
    </row>
    <row r="68" spans="16:21" ht="18" thickBot="1">
      <c r="P68" s="180" t="s">
        <v>978</v>
      </c>
      <c r="Q68" s="181">
        <v>75715826</v>
      </c>
      <c r="R68" s="181">
        <v>111532718719</v>
      </c>
      <c r="S68" s="182">
        <v>4114605.3</v>
      </c>
      <c r="T68" s="210">
        <v>241</v>
      </c>
      <c r="U68" s="210">
        <v>541</v>
      </c>
    </row>
    <row r="69" spans="16:21" ht="18" thickBot="1">
      <c r="P69" s="180" t="s">
        <v>979</v>
      </c>
      <c r="Q69" s="181">
        <v>71156898</v>
      </c>
      <c r="R69" s="181">
        <v>106278587474</v>
      </c>
      <c r="S69" s="182">
        <v>4086164.72</v>
      </c>
      <c r="T69" s="210">
        <v>245</v>
      </c>
      <c r="U69" s="210">
        <v>531</v>
      </c>
    </row>
    <row r="70" spans="16:21" ht="18" thickBot="1">
      <c r="P70" s="180" t="s">
        <v>980</v>
      </c>
      <c r="Q70" s="181">
        <v>39149960</v>
      </c>
      <c r="R70" s="181">
        <v>57712187478</v>
      </c>
      <c r="S70" s="182">
        <v>2407425.27</v>
      </c>
      <c r="T70" s="210">
        <v>172</v>
      </c>
      <c r="U70" s="210">
        <v>329</v>
      </c>
    </row>
    <row r="71" spans="16:21" ht="18" thickBot="1">
      <c r="P71" s="180" t="s">
        <v>975</v>
      </c>
      <c r="Q71" s="181">
        <v>778931980</v>
      </c>
      <c r="R71" s="181">
        <v>1107044778187</v>
      </c>
      <c r="S71" s="182">
        <v>43341762.859999999</v>
      </c>
      <c r="T71" s="210">
        <v>872</v>
      </c>
      <c r="U71" s="210">
        <v>4853</v>
      </c>
    </row>
    <row r="72" spans="16:21" ht="18" thickBot="1">
      <c r="P72" s="180" t="s">
        <v>982</v>
      </c>
      <c r="Q72" s="181">
        <v>817188223</v>
      </c>
      <c r="R72" s="181">
        <v>1111586619171</v>
      </c>
      <c r="S72" s="182">
        <v>44536931.799999997</v>
      </c>
      <c r="T72" s="210">
        <v>811</v>
      </c>
      <c r="U72" s="210">
        <v>4509</v>
      </c>
    </row>
    <row r="73" spans="16:21" ht="18" thickBot="1">
      <c r="P73" s="215" t="s">
        <v>1386</v>
      </c>
      <c r="Q73" s="216">
        <v>873746654</v>
      </c>
      <c r="R73" s="217" t="s">
        <v>1438</v>
      </c>
      <c r="S73"/>
      <c r="T73"/>
      <c r="U73"/>
    </row>
  </sheetData>
  <phoneticPr fontId="1" type="noConversion"/>
  <conditionalFormatting sqref="C29:C30">
    <cfRule type="cellIs" dxfId="20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2103901090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64867.8</v>
      </c>
      <c r="G5" s="90"/>
      <c r="H5" s="90"/>
      <c r="I5" s="130">
        <f t="shared" ref="I5:I49" si="0">T5</f>
        <v>2.2833105859850558</v>
      </c>
      <c r="J5" s="130"/>
      <c r="L5" s="80"/>
      <c r="M5" s="80"/>
      <c r="P5" s="129" t="s">
        <v>0</v>
      </c>
      <c r="Q5" s="116">
        <v>1297356</v>
      </c>
      <c r="R5" s="116">
        <v>1530298096</v>
      </c>
      <c r="S5" s="116">
        <v>568190.77</v>
      </c>
      <c r="T5" s="130">
        <f t="shared" ref="T5:T47" si="1">Q5/S5</f>
        <v>2.2833105859850558</v>
      </c>
      <c r="U5" s="85"/>
    </row>
    <row r="6" spans="1:21" ht="15" hidden="1" customHeight="1">
      <c r="A6" s="129" t="s">
        <v>1</v>
      </c>
      <c r="C6" s="79"/>
      <c r="F6" s="78">
        <f>Q6/18</f>
        <v>62486.666666666664</v>
      </c>
      <c r="G6" s="90">
        <f t="shared" ref="G6:G47" si="2">F6/F5-1</f>
        <v>-3.6707477875515093E-2</v>
      </c>
      <c r="H6" s="90"/>
      <c r="I6" s="130">
        <f t="shared" si="0"/>
        <v>2.0693072589383803</v>
      </c>
      <c r="J6" s="130"/>
      <c r="P6" s="129" t="s">
        <v>1</v>
      </c>
      <c r="Q6" s="116">
        <v>1124760</v>
      </c>
      <c r="R6" s="116">
        <v>1336191294</v>
      </c>
      <c r="S6" s="116">
        <v>543544.22</v>
      </c>
      <c r="T6" s="130">
        <f t="shared" si="1"/>
        <v>2.0693072589383803</v>
      </c>
      <c r="U6" s="85"/>
    </row>
    <row r="7" spans="1:21" ht="15" hidden="1" customHeight="1">
      <c r="A7" s="129" t="s">
        <v>2</v>
      </c>
      <c r="B7" s="131">
        <f>F5+F6+F7</f>
        <v>191514.6484848485</v>
      </c>
      <c r="C7" s="131">
        <f>AVERAGE(F5:F7)</f>
        <v>63838.216161616168</v>
      </c>
      <c r="F7" s="78">
        <f>Q7/22</f>
        <v>64160.181818181816</v>
      </c>
      <c r="G7" s="90">
        <f t="shared" si="2"/>
        <v>2.6781955908169452E-2</v>
      </c>
      <c r="H7" s="90"/>
      <c r="I7" s="130">
        <f t="shared" si="0"/>
        <v>2.1937975070895441</v>
      </c>
      <c r="J7" s="130"/>
      <c r="K7" s="79">
        <f>R5+R6+R7</f>
        <v>4564400812</v>
      </c>
      <c r="N7" s="88">
        <f>AVERAGE(T5:T7)</f>
        <v>2.1821384506709935</v>
      </c>
      <c r="P7" s="129" t="s">
        <v>2</v>
      </c>
      <c r="Q7" s="116">
        <v>1411524</v>
      </c>
      <c r="R7" s="116">
        <v>1697911422</v>
      </c>
      <c r="S7" s="116">
        <v>643415.81000000006</v>
      </c>
      <c r="T7" s="130">
        <f t="shared" si="1"/>
        <v>2.1937975070895441</v>
      </c>
      <c r="U7" s="85">
        <f>Q5+Q6+Q7</f>
        <v>3833640</v>
      </c>
    </row>
    <row r="8" spans="1:21" ht="15" hidden="1" customHeight="1">
      <c r="A8" s="129" t="s">
        <v>3</v>
      </c>
      <c r="C8" s="79"/>
      <c r="F8" s="78">
        <f>Q8/21</f>
        <v>54475.666666666664</v>
      </c>
      <c r="G8" s="90">
        <f t="shared" si="2"/>
        <v>-0.15094276351895775</v>
      </c>
      <c r="H8" s="90"/>
      <c r="I8" s="130">
        <f t="shared" si="0"/>
        <v>2.2039051455534411</v>
      </c>
      <c r="J8" s="130"/>
      <c r="K8" s="78"/>
      <c r="P8" s="129" t="s">
        <v>3</v>
      </c>
      <c r="Q8" s="116">
        <v>1143989</v>
      </c>
      <c r="R8" s="116">
        <v>1386270956</v>
      </c>
      <c r="S8" s="116">
        <v>519073.61</v>
      </c>
      <c r="T8" s="130">
        <f t="shared" si="1"/>
        <v>2.2039051455534411</v>
      </c>
      <c r="U8" s="85"/>
    </row>
    <row r="9" spans="1:21" ht="15" hidden="1" customHeight="1">
      <c r="A9" s="129" t="s">
        <v>4</v>
      </c>
      <c r="C9" s="79"/>
      <c r="F9" s="78">
        <f>Q9/21</f>
        <v>58065.619047619046</v>
      </c>
      <c r="G9" s="90">
        <f t="shared" si="2"/>
        <v>6.5900109179371391E-2</v>
      </c>
      <c r="H9" s="90"/>
      <c r="I9" s="130">
        <f t="shared" si="0"/>
        <v>2.3836231772890137</v>
      </c>
      <c r="J9" s="130"/>
      <c r="K9" s="78"/>
      <c r="P9" s="129" t="s">
        <v>4</v>
      </c>
      <c r="Q9" s="116">
        <v>1219378</v>
      </c>
      <c r="R9" s="116">
        <v>1532349921</v>
      </c>
      <c r="S9" s="116">
        <v>511564.92</v>
      </c>
      <c r="T9" s="130">
        <f t="shared" si="1"/>
        <v>2.3836231772890137</v>
      </c>
      <c r="U9" s="85"/>
    </row>
    <row r="10" spans="1:21" ht="15" hidden="1" customHeight="1">
      <c r="A10" s="129" t="s">
        <v>5</v>
      </c>
      <c r="B10" s="131">
        <f>F8+F9+F10</f>
        <v>154102</v>
      </c>
      <c r="C10" s="131">
        <f>AVERAGE(F8:F10)</f>
        <v>51367.333333333336</v>
      </c>
      <c r="D10" s="90">
        <f>C10/C7-1</f>
        <v>-0.19535136753681981</v>
      </c>
      <c r="E10" s="286"/>
      <c r="F10" s="78">
        <f>Q10/21</f>
        <v>41560.714285714283</v>
      </c>
      <c r="G10" s="90">
        <f t="shared" si="2"/>
        <v>-0.28424573840105372</v>
      </c>
      <c r="H10" s="90"/>
      <c r="I10" s="130">
        <f t="shared" si="0"/>
        <v>1.9103350004518789</v>
      </c>
      <c r="J10" s="130"/>
      <c r="K10" s="79">
        <f>R8+R9+R10</f>
        <v>4016172922</v>
      </c>
      <c r="L10" s="87">
        <f>U10/U7-1</f>
        <v>-0.15585657495226468</v>
      </c>
      <c r="N10" s="88">
        <f>AVERAGE(T8:T10)</f>
        <v>2.1659544410981115</v>
      </c>
      <c r="O10" s="89">
        <f>N10/N7-1</f>
        <v>-7.4165823749201554E-3</v>
      </c>
      <c r="P10" s="129" t="s">
        <v>5</v>
      </c>
      <c r="Q10" s="116">
        <v>872775</v>
      </c>
      <c r="R10" s="116">
        <v>1097552045</v>
      </c>
      <c r="S10" s="116">
        <v>456870.13</v>
      </c>
      <c r="T10" s="130">
        <f t="shared" si="1"/>
        <v>1.9103350004518789</v>
      </c>
      <c r="U10" s="85">
        <f>Q8+Q9+Q10</f>
        <v>3236142</v>
      </c>
    </row>
    <row r="11" spans="1:21" ht="15" hidden="1" customHeight="1">
      <c r="A11" s="129" t="s">
        <v>6</v>
      </c>
      <c r="C11" s="79"/>
      <c r="F11" s="78">
        <f>Q11/21</f>
        <v>52580.904761904763</v>
      </c>
      <c r="G11" s="90">
        <f t="shared" si="2"/>
        <v>0.26515883245968341</v>
      </c>
      <c r="H11" s="90"/>
      <c r="I11" s="130">
        <f t="shared" si="0"/>
        <v>2.225354758186429</v>
      </c>
      <c r="J11" s="130"/>
      <c r="K11" s="78"/>
      <c r="O11" s="89"/>
      <c r="P11" s="129" t="s">
        <v>6</v>
      </c>
      <c r="Q11" s="116">
        <v>1104199</v>
      </c>
      <c r="R11" s="116">
        <v>1424160070</v>
      </c>
      <c r="S11" s="116">
        <v>496190.1</v>
      </c>
      <c r="T11" s="130">
        <f t="shared" si="1"/>
        <v>2.225354758186429</v>
      </c>
      <c r="U11" s="85"/>
    </row>
    <row r="12" spans="1:21" ht="15" hidden="1" customHeight="1">
      <c r="A12" s="129" t="s">
        <v>7</v>
      </c>
      <c r="C12" s="79"/>
      <c r="F12" s="78">
        <f>Q12/22</f>
        <v>56518.818181818184</v>
      </c>
      <c r="G12" s="90">
        <f t="shared" si="2"/>
        <v>7.4892462154178663E-2</v>
      </c>
      <c r="H12" s="90"/>
      <c r="I12" s="130">
        <f t="shared" si="0"/>
        <v>2.2292104931345698</v>
      </c>
      <c r="J12" s="130"/>
      <c r="K12" s="78"/>
      <c r="O12" s="89"/>
      <c r="P12" s="129" t="s">
        <v>7</v>
      </c>
      <c r="Q12" s="116">
        <v>1243414</v>
      </c>
      <c r="R12" s="116">
        <v>1616386827</v>
      </c>
      <c r="S12" s="116">
        <v>557782.23</v>
      </c>
      <c r="T12" s="130">
        <f t="shared" si="1"/>
        <v>2.2292104931345698</v>
      </c>
      <c r="U12" s="85"/>
    </row>
    <row r="13" spans="1:21" ht="15" hidden="1" customHeight="1">
      <c r="A13" s="129" t="s">
        <v>96</v>
      </c>
      <c r="B13" s="131">
        <f>F11+F12+F13</f>
        <v>166443.72294372294</v>
      </c>
      <c r="C13" s="131">
        <f>AVERAGE(F11:F13)</f>
        <v>55481.240981240982</v>
      </c>
      <c r="D13" s="90">
        <f>C13/C10-1</f>
        <v>8.0088012768964267E-2</v>
      </c>
      <c r="E13" s="286"/>
      <c r="F13" s="78">
        <f>Q13/20</f>
        <v>57344</v>
      </c>
      <c r="G13" s="90">
        <f t="shared" si="2"/>
        <v>1.4600125139334175E-2</v>
      </c>
      <c r="H13" s="90"/>
      <c r="I13" s="130">
        <f t="shared" si="0"/>
        <v>1.976897424555373</v>
      </c>
      <c r="J13" s="130"/>
      <c r="K13" s="78">
        <f>R11+R12+R13</f>
        <v>4613587311</v>
      </c>
      <c r="L13" s="87">
        <f>U13/U10-1</f>
        <v>7.9833023396377545E-2</v>
      </c>
      <c r="N13" s="88">
        <f>AVERAGE(T11:T13)</f>
        <v>2.1438208919587907</v>
      </c>
      <c r="O13" s="89">
        <f>N13/N10-1</f>
        <v>-1.0218843351155416E-2</v>
      </c>
      <c r="P13" s="129" t="s">
        <v>96</v>
      </c>
      <c r="Q13" s="116">
        <v>1146880</v>
      </c>
      <c r="R13" s="116">
        <v>1573040414</v>
      </c>
      <c r="S13" s="116">
        <v>580141.38</v>
      </c>
      <c r="T13" s="130">
        <f t="shared" si="1"/>
        <v>1.976897424555373</v>
      </c>
      <c r="U13" s="85">
        <f>Q11+Q12+Q13</f>
        <v>3494493</v>
      </c>
    </row>
    <row r="14" spans="1:21" ht="15" hidden="1" customHeight="1">
      <c r="A14" s="129" t="s">
        <v>97</v>
      </c>
      <c r="C14" s="79"/>
      <c r="F14" s="78">
        <f>Q14/20</f>
        <v>52537.65</v>
      </c>
      <c r="G14" s="90">
        <f t="shared" si="2"/>
        <v>-8.3816092354910721E-2</v>
      </c>
      <c r="H14" s="90"/>
      <c r="I14" s="130">
        <f t="shared" si="0"/>
        <v>1.8837538504123539</v>
      </c>
      <c r="J14" s="130"/>
      <c r="O14" s="89"/>
      <c r="P14" s="129" t="s">
        <v>97</v>
      </c>
      <c r="Q14" s="116">
        <v>1050753</v>
      </c>
      <c r="R14" s="116">
        <v>1497808229</v>
      </c>
      <c r="S14" s="116">
        <v>557797.4</v>
      </c>
      <c r="T14" s="130">
        <f t="shared" si="1"/>
        <v>1.8837538504123539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54115.181818181816</v>
      </c>
      <c r="G15" s="90">
        <f t="shared" si="2"/>
        <v>3.0026691680762552E-2</v>
      </c>
      <c r="H15" s="90"/>
      <c r="I15" s="130">
        <f t="shared" si="0"/>
        <v>2.2163616133557094</v>
      </c>
      <c r="J15" s="130"/>
      <c r="O15" s="89"/>
      <c r="P15" s="129" t="s">
        <v>98</v>
      </c>
      <c r="Q15" s="116">
        <v>1190534</v>
      </c>
      <c r="R15" s="116">
        <v>1647112443</v>
      </c>
      <c r="S15" s="116">
        <v>537156.93000000005</v>
      </c>
      <c r="T15" s="130">
        <f t="shared" si="1"/>
        <v>2.2163616133557094</v>
      </c>
      <c r="U15" s="78"/>
    </row>
    <row r="16" spans="1:21" ht="15" hidden="1" customHeight="1">
      <c r="A16" s="129" t="s">
        <v>99</v>
      </c>
      <c r="B16" s="131">
        <f>F14+F15+F16</f>
        <v>159055.87727272726</v>
      </c>
      <c r="C16" s="131">
        <f>AVERAGE(F14:F16)</f>
        <v>53018.625757575755</v>
      </c>
      <c r="D16" s="90">
        <f>C16/C13-1</f>
        <v>-4.4386448105907972E-2</v>
      </c>
      <c r="E16" s="286"/>
      <c r="F16" s="78">
        <f>Q16/22</f>
        <v>52403.045454545456</v>
      </c>
      <c r="G16" s="90">
        <f t="shared" si="2"/>
        <v>-3.1638743622609655E-2</v>
      </c>
      <c r="H16" s="90"/>
      <c r="I16" s="130">
        <f t="shared" si="0"/>
        <v>2.1597899924880095</v>
      </c>
      <c r="J16" s="130"/>
      <c r="K16" s="78">
        <f>R14+R15+R16</f>
        <v>4655539639</v>
      </c>
      <c r="L16" s="87">
        <f>U16/U13-1</f>
        <v>-2.8713464299399138E-2</v>
      </c>
      <c r="N16" s="88">
        <f>AVERAGE(T14:T16)</f>
        <v>2.0866351520853574</v>
      </c>
      <c r="O16" s="89">
        <f>N16/N13-1</f>
        <v>-2.6674681680699086E-2</v>
      </c>
      <c r="P16" s="129" t="s">
        <v>99</v>
      </c>
      <c r="Q16" s="116">
        <v>1152867</v>
      </c>
      <c r="R16" s="116">
        <v>1510618967</v>
      </c>
      <c r="S16" s="116">
        <v>533786.62</v>
      </c>
      <c r="T16" s="130">
        <f t="shared" si="1"/>
        <v>2.1597899924880095</v>
      </c>
      <c r="U16" s="85">
        <f>Q14+Q15+Q16</f>
        <v>3394154</v>
      </c>
    </row>
    <row r="17" spans="1:21" ht="15" hidden="1" customHeight="1">
      <c r="A17" s="129" t="s">
        <v>100</v>
      </c>
      <c r="C17" s="79"/>
      <c r="F17" s="78">
        <f>Q17/20</f>
        <v>68319.05</v>
      </c>
      <c r="G17" s="90">
        <f t="shared" si="2"/>
        <v>0.30372289257997664</v>
      </c>
      <c r="H17" s="90">
        <f t="shared" ref="H17:H47" si="3">F17/F5-1</f>
        <v>5.3204363335892291E-2</v>
      </c>
      <c r="I17" s="130">
        <f t="shared" si="0"/>
        <v>2.1735303714370722</v>
      </c>
      <c r="J17" s="130">
        <f t="shared" ref="J17:J49" si="4">I17/I5-1</f>
        <v>-4.8079405062900205E-2</v>
      </c>
      <c r="O17" s="89"/>
      <c r="P17" s="129" t="s">
        <v>100</v>
      </c>
      <c r="Q17" s="116">
        <v>1366381</v>
      </c>
      <c r="R17" s="116">
        <v>1714539605</v>
      </c>
      <c r="S17" s="116">
        <v>628645.92000000004</v>
      </c>
      <c r="T17" s="130">
        <f t="shared" si="1"/>
        <v>2.1735303714370722</v>
      </c>
      <c r="U17" s="78"/>
    </row>
    <row r="18" spans="1:21" ht="15" hidden="1" customHeight="1">
      <c r="A18" s="129" t="s">
        <v>106</v>
      </c>
      <c r="C18" s="79"/>
      <c r="F18" s="78">
        <f>Q18/20</f>
        <v>65973</v>
      </c>
      <c r="G18" s="90">
        <f t="shared" si="2"/>
        <v>-3.433961684186182E-2</v>
      </c>
      <c r="H18" s="90">
        <f t="shared" si="3"/>
        <v>5.5793235890323256E-2</v>
      </c>
      <c r="I18" s="130">
        <f t="shared" si="0"/>
        <v>2.1836221224589902</v>
      </c>
      <c r="J18" s="130">
        <f t="shared" si="4"/>
        <v>5.5243059254166615E-2</v>
      </c>
      <c r="O18" s="89"/>
      <c r="P18" s="129" t="s">
        <v>106</v>
      </c>
      <c r="Q18" s="116">
        <v>1319460</v>
      </c>
      <c r="R18" s="116">
        <v>1653418120</v>
      </c>
      <c r="S18" s="116">
        <v>604252.9</v>
      </c>
      <c r="T18" s="130">
        <f t="shared" si="1"/>
        <v>2.1836221224589902</v>
      </c>
      <c r="U18" s="78"/>
    </row>
    <row r="19" spans="1:21" hidden="1">
      <c r="A19" s="129" t="s">
        <v>114</v>
      </c>
      <c r="B19" s="131">
        <f>SUM(F17:F19)</f>
        <v>202413.77727272728</v>
      </c>
      <c r="C19" s="131">
        <f>AVERAGE(F17:F19)</f>
        <v>67471.259090909094</v>
      </c>
      <c r="D19" s="90">
        <f>C19/C16-1</f>
        <v>0.27259539693497659</v>
      </c>
      <c r="E19" s="286">
        <f>C19/C7-1</f>
        <v>5.6910157390603233E-2</v>
      </c>
      <c r="F19" s="78">
        <f>Q19/22</f>
        <v>68121.727272727279</v>
      </c>
      <c r="G19" s="90">
        <f t="shared" si="2"/>
        <v>3.2569797837407322E-2</v>
      </c>
      <c r="H19" s="90">
        <f t="shared" si="3"/>
        <v>6.174461078947302E-2</v>
      </c>
      <c r="I19" s="130">
        <f t="shared" si="0"/>
        <v>2.0271079452517271</v>
      </c>
      <c r="J19" s="130">
        <f t="shared" si="4"/>
        <v>-7.5982200407803346E-2</v>
      </c>
      <c r="K19" s="78">
        <f>R17+R18+R19</f>
        <v>5328801639</v>
      </c>
      <c r="L19" s="87">
        <f>U19/U16-1</f>
        <v>0.23286067750608841</v>
      </c>
      <c r="M19" s="87">
        <f>U19/U7-1</f>
        <v>9.1526330067507544E-2</v>
      </c>
      <c r="N19" s="88">
        <f>AVERAGE(T17:T19)</f>
        <v>2.1280868130492632</v>
      </c>
      <c r="O19" s="89">
        <f>N19/N16-1</f>
        <v>1.986531326402674E-2</v>
      </c>
      <c r="P19" s="129" t="s">
        <v>115</v>
      </c>
      <c r="Q19" s="116">
        <v>1498678</v>
      </c>
      <c r="R19" s="116">
        <v>1960843914</v>
      </c>
      <c r="S19" s="116">
        <v>739318.3</v>
      </c>
      <c r="T19" s="130">
        <f t="shared" si="1"/>
        <v>2.0271079452517271</v>
      </c>
      <c r="U19" s="85">
        <f>Q17+Q18+Q19</f>
        <v>4184519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67287.75</v>
      </c>
      <c r="G20" s="90">
        <f t="shared" si="2"/>
        <v>-1.2242456351531206E-2</v>
      </c>
      <c r="H20" s="90">
        <f t="shared" si="3"/>
        <v>0.23518910583930452</v>
      </c>
      <c r="I20" s="130">
        <f t="shared" si="0"/>
        <v>2.1869967854070014</v>
      </c>
      <c r="J20" s="130">
        <f t="shared" si="4"/>
        <v>-7.6719999409020634E-3</v>
      </c>
      <c r="O20" s="89"/>
      <c r="P20" s="129" t="s">
        <v>132</v>
      </c>
      <c r="Q20" s="116">
        <v>1345755</v>
      </c>
      <c r="R20" s="116">
        <v>1763300809</v>
      </c>
      <c r="S20" s="116">
        <v>615343.84</v>
      </c>
      <c r="T20" s="130">
        <f t="shared" si="1"/>
        <v>2.1869967854070014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57036.142857142855</v>
      </c>
      <c r="G21" s="90">
        <f t="shared" si="2"/>
        <v>-0.15235473236743902</v>
      </c>
      <c r="H21" s="90">
        <f t="shared" si="3"/>
        <v>-1.7729530957586559E-2</v>
      </c>
      <c r="I21" s="130">
        <f t="shared" si="0"/>
        <v>2.5201163316092594</v>
      </c>
      <c r="J21" s="130">
        <f t="shared" si="4"/>
        <v>5.7262891056246712E-2</v>
      </c>
      <c r="O21" s="89"/>
      <c r="P21" s="129" t="s">
        <v>141</v>
      </c>
      <c r="Q21" s="116">
        <v>1197759</v>
      </c>
      <c r="R21" s="116">
        <v>1593473874</v>
      </c>
      <c r="S21" s="116">
        <v>475279.25</v>
      </c>
      <c r="T21" s="130">
        <f t="shared" si="1"/>
        <v>2.5201163316092594</v>
      </c>
      <c r="U21" s="78"/>
    </row>
    <row r="22" spans="1:21" hidden="1">
      <c r="A22" s="129" t="s">
        <v>156</v>
      </c>
      <c r="B22" s="131">
        <f>SUM(F20:F22)</f>
        <v>172382.89285714284</v>
      </c>
      <c r="C22" s="131">
        <f>AVERAGE(F20:F22)</f>
        <v>57460.964285714283</v>
      </c>
      <c r="D22" s="90">
        <f>C22/C19-1</f>
        <v>-0.14836383580314083</v>
      </c>
      <c r="E22" s="286">
        <f>C22/C10-1</f>
        <v>0.11862852433545856</v>
      </c>
      <c r="F22" s="78">
        <f>Q22/21</f>
        <v>48059</v>
      </c>
      <c r="G22" s="90">
        <f t="shared" si="2"/>
        <v>-0.15739393317019534</v>
      </c>
      <c r="H22" s="90">
        <f t="shared" si="3"/>
        <v>0.15635644925668135</v>
      </c>
      <c r="I22" s="130">
        <f t="shared" si="0"/>
        <v>2.0476375878332989</v>
      </c>
      <c r="J22" s="130">
        <f t="shared" si="4"/>
        <v>7.1873565290350605E-2</v>
      </c>
      <c r="K22" s="78">
        <f>R20+R21+R22</f>
        <v>4667138670</v>
      </c>
      <c r="L22" s="87">
        <f>U22/U19-1</f>
        <v>-0.15097697011293298</v>
      </c>
      <c r="M22" s="87">
        <f>U22/U10-1</f>
        <v>9.7835941686118755E-2</v>
      </c>
      <c r="N22" s="88">
        <f>AVERAGE(T20:T22)</f>
        <v>2.2515835682831864</v>
      </c>
      <c r="O22" s="89">
        <f>N22/N19-1</f>
        <v>5.8031822046286319E-2</v>
      </c>
      <c r="P22" s="129" t="s">
        <v>156</v>
      </c>
      <c r="Q22" s="116">
        <v>1009239</v>
      </c>
      <c r="R22" s="116">
        <v>1310363987</v>
      </c>
      <c r="S22" s="116">
        <v>492879.7</v>
      </c>
      <c r="T22" s="130">
        <f t="shared" si="1"/>
        <v>2.0476375878332989</v>
      </c>
      <c r="U22" s="85">
        <f>Q20+Q21+Q22</f>
        <v>3552753</v>
      </c>
    </row>
    <row r="23" spans="1:21" hidden="1">
      <c r="A23" s="129" t="s">
        <v>189</v>
      </c>
      <c r="B23" s="131"/>
      <c r="C23" s="131"/>
      <c r="F23" s="78">
        <f>Q23/21</f>
        <v>55646.523809523809</v>
      </c>
      <c r="G23" s="90">
        <f t="shared" si="2"/>
        <v>0.15787935266076714</v>
      </c>
      <c r="H23" s="90">
        <f t="shared" si="3"/>
        <v>5.8302896488766853E-2</v>
      </c>
      <c r="I23" s="130">
        <f t="shared" si="0"/>
        <v>2.2427951666064372</v>
      </c>
      <c r="J23" s="130">
        <f t="shared" si="4"/>
        <v>7.8371362389972887E-3</v>
      </c>
      <c r="O23" s="89"/>
      <c r="P23" s="129" t="s">
        <v>189</v>
      </c>
      <c r="Q23" s="116">
        <v>1168577</v>
      </c>
      <c r="R23" s="116">
        <v>1508229231</v>
      </c>
      <c r="S23" s="116">
        <v>521035.99</v>
      </c>
      <c r="T23" s="130">
        <f t="shared" si="1"/>
        <v>2.2427951666064372</v>
      </c>
      <c r="U23" s="78"/>
    </row>
    <row r="24" spans="1:21" hidden="1">
      <c r="A24" s="129" t="s">
        <v>204</v>
      </c>
      <c r="B24" s="131"/>
      <c r="C24" s="131"/>
      <c r="F24" s="78">
        <f>Q24/22</f>
        <v>68446.818181818177</v>
      </c>
      <c r="G24" s="90">
        <f t="shared" si="2"/>
        <v>0.23002864322862915</v>
      </c>
      <c r="H24" s="90">
        <f t="shared" si="3"/>
        <v>0.21104475259245903</v>
      </c>
      <c r="I24" s="130">
        <f t="shared" si="0"/>
        <v>2.318909596450935</v>
      </c>
      <c r="J24" s="130">
        <f t="shared" si="4"/>
        <v>4.0238058986630909E-2</v>
      </c>
      <c r="O24" s="89"/>
      <c r="P24" s="129" t="s">
        <v>204</v>
      </c>
      <c r="Q24" s="116">
        <v>1505830</v>
      </c>
      <c r="R24" s="116">
        <v>1977449517</v>
      </c>
      <c r="S24" s="116">
        <v>649369.86</v>
      </c>
      <c r="T24" s="130">
        <f t="shared" si="1"/>
        <v>2.318909596450935</v>
      </c>
      <c r="U24" s="78"/>
    </row>
    <row r="25" spans="1:21" s="79" customFormat="1" ht="13.2" hidden="1">
      <c r="A25" s="129" t="s">
        <v>218</v>
      </c>
      <c r="B25" s="131">
        <f>SUM(F23:F25)</f>
        <v>203760.18409660517</v>
      </c>
      <c r="C25" s="131">
        <f>AVERAGE(F23:F25)</f>
        <v>67920.061365535061</v>
      </c>
      <c r="D25" s="90">
        <f>C25/C22-1</f>
        <v>0.18202091123662334</v>
      </c>
      <c r="E25" s="286">
        <f>C25/C13-1</f>
        <v>0.22419866903301289</v>
      </c>
      <c r="F25" s="78">
        <f>Q25/19</f>
        <v>79666.84210526316</v>
      </c>
      <c r="G25" s="90">
        <f t="shared" si="2"/>
        <v>0.16392323590032709</v>
      </c>
      <c r="H25" s="90">
        <f t="shared" si="3"/>
        <v>0.38927947309680455</v>
      </c>
      <c r="I25" s="130">
        <f t="shared" si="0"/>
        <v>2.267714611186654</v>
      </c>
      <c r="J25" s="130">
        <f t="shared" si="4"/>
        <v>0.14710787874929276</v>
      </c>
      <c r="K25" s="78">
        <f>R23+R24+R25</f>
        <v>5494684288</v>
      </c>
      <c r="L25" s="90">
        <f>U25/U22-1</f>
        <v>0.17882582887130072</v>
      </c>
      <c r="M25" s="90">
        <f>U25/U13-1</f>
        <v>0.19847914990815552</v>
      </c>
      <c r="N25" s="88">
        <f>AVERAGE(T23:T25)</f>
        <v>2.276473124748009</v>
      </c>
      <c r="O25" s="91">
        <f>N25/N22-1</f>
        <v>1.1054245028000675E-2</v>
      </c>
      <c r="P25" s="129" t="s">
        <v>220</v>
      </c>
      <c r="Q25" s="116">
        <v>1513670</v>
      </c>
      <c r="R25" s="116">
        <v>2009005540</v>
      </c>
      <c r="S25" s="116">
        <v>667486.99</v>
      </c>
      <c r="T25" s="130">
        <f t="shared" si="1"/>
        <v>2.267714611186654</v>
      </c>
      <c r="U25" s="85">
        <f>Q23+Q24+Q25</f>
        <v>4188077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75192.894736842107</v>
      </c>
      <c r="G26" s="90">
        <f t="shared" si="2"/>
        <v>-5.6158211499203969E-2</v>
      </c>
      <c r="H26" s="90">
        <f t="shared" si="3"/>
        <v>0.43121922539059332</v>
      </c>
      <c r="I26" s="130">
        <f t="shared" si="0"/>
        <v>2.2055897098158943</v>
      </c>
      <c r="J26" s="130">
        <f t="shared" si="4"/>
        <v>0.17084814947191251</v>
      </c>
      <c r="L26" s="90"/>
      <c r="M26" s="90"/>
      <c r="P26" s="129" t="s">
        <v>312</v>
      </c>
      <c r="Q26" s="116">
        <v>1428665</v>
      </c>
      <c r="R26" s="116">
        <v>1927901990</v>
      </c>
      <c r="S26" s="116">
        <v>647747.4</v>
      </c>
      <c r="T26" s="130">
        <f t="shared" si="1"/>
        <v>2.2055897098158943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66972.590909090912</v>
      </c>
      <c r="G27" s="90">
        <f t="shared" si="2"/>
        <v>-0.1093228802604338</v>
      </c>
      <c r="H27" s="90">
        <f t="shared" si="3"/>
        <v>0.23759338246534756</v>
      </c>
      <c r="I27" s="130">
        <f t="shared" si="0"/>
        <v>2.4579042585121331</v>
      </c>
      <c r="J27" s="130">
        <f t="shared" si="4"/>
        <v>0.10898160467177243</v>
      </c>
      <c r="L27" s="90"/>
      <c r="M27" s="90"/>
      <c r="P27" s="129" t="s">
        <v>373</v>
      </c>
      <c r="Q27" s="116">
        <v>1473397</v>
      </c>
      <c r="R27" s="116">
        <v>1948344455</v>
      </c>
      <c r="S27" s="116">
        <v>599452.56000000006</v>
      </c>
      <c r="T27" s="130">
        <f t="shared" si="1"/>
        <v>2.4579042585121331</v>
      </c>
      <c r="U27" s="78"/>
    </row>
    <row r="28" spans="1:21" s="79" customFormat="1" ht="13.2" hidden="1">
      <c r="A28" s="123" t="s">
        <v>413</v>
      </c>
      <c r="B28" s="131">
        <f>SUM(F26:F28)</f>
        <v>197116.38038277513</v>
      </c>
      <c r="C28" s="131">
        <f>AVERAGE(F26:F28)</f>
        <v>65705.460127591708</v>
      </c>
      <c r="D28" s="90">
        <f>C28/C25-1</f>
        <v>-3.260599583420154E-2</v>
      </c>
      <c r="E28" s="286">
        <f>C28/C16-1</f>
        <v>0.23929013980908675</v>
      </c>
      <c r="F28" s="78">
        <f>Q28/19</f>
        <v>54950.894736842107</v>
      </c>
      <c r="G28" s="90">
        <f t="shared" si="2"/>
        <v>-0.17950173360572452</v>
      </c>
      <c r="H28" s="90">
        <f t="shared" si="3"/>
        <v>4.8620252128412256E-2</v>
      </c>
      <c r="I28" s="130">
        <f t="shared" si="0"/>
        <v>2.3105810295766376</v>
      </c>
      <c r="J28" s="130">
        <f t="shared" si="4"/>
        <v>6.9817453369585003E-2</v>
      </c>
      <c r="K28" s="78">
        <f>R26+R27+R28</f>
        <v>5238896517</v>
      </c>
      <c r="L28" s="90">
        <f>U28/U25-1</f>
        <v>-5.7770666585165498E-2</v>
      </c>
      <c r="M28" s="90">
        <f>U28/U16-1</f>
        <v>0.1626252079310484</v>
      </c>
      <c r="N28" s="88">
        <f>AVERAGE(T26:T28)</f>
        <v>2.324691665968222</v>
      </c>
      <c r="O28" s="91">
        <f>N28/N25-1</f>
        <v>2.1181247736254516E-2</v>
      </c>
      <c r="P28" s="129" t="s">
        <v>413</v>
      </c>
      <c r="Q28" s="116">
        <v>1044067</v>
      </c>
      <c r="R28" s="116">
        <v>1362650072</v>
      </c>
      <c r="S28" s="116">
        <v>451863.4</v>
      </c>
      <c r="T28" s="130">
        <f t="shared" si="1"/>
        <v>2.3105810295766376</v>
      </c>
      <c r="U28" s="85">
        <f>Q26+Q27+Q28</f>
        <v>3946129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66261.681818181823</v>
      </c>
      <c r="G29" s="190">
        <f t="shared" si="2"/>
        <v>0.20583444792858563</v>
      </c>
      <c r="H29" s="190">
        <f t="shared" si="3"/>
        <v>-3.0114121636910629E-2</v>
      </c>
      <c r="I29" s="130">
        <f t="shared" si="0"/>
        <v>2.4440974186481617</v>
      </c>
      <c r="J29" s="130">
        <f t="shared" si="4"/>
        <v>0.12448275430915601</v>
      </c>
      <c r="K29" s="136"/>
      <c r="L29" s="190"/>
      <c r="M29" s="190"/>
      <c r="N29" s="191"/>
      <c r="O29" s="192"/>
      <c r="P29" s="129" t="s">
        <v>426</v>
      </c>
      <c r="Q29" s="116">
        <v>1457757</v>
      </c>
      <c r="R29" s="116">
        <v>1918685255</v>
      </c>
      <c r="S29" s="116">
        <v>596439.81000000006</v>
      </c>
      <c r="T29" s="130">
        <f t="shared" si="1"/>
        <v>2.4440974186481617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67429.736842105267</v>
      </c>
      <c r="G30" s="190">
        <f t="shared" si="2"/>
        <v>1.7627910911294453E-2</v>
      </c>
      <c r="H30" s="190">
        <f t="shared" si="3"/>
        <v>2.2080803390860826E-2</v>
      </c>
      <c r="I30" s="130">
        <f t="shared" si="0"/>
        <v>2.1248405455330506</v>
      </c>
      <c r="J30" s="130">
        <f t="shared" si="4"/>
        <v>-2.6919299049665835E-2</v>
      </c>
      <c r="K30" s="136"/>
      <c r="L30" s="190"/>
      <c r="M30" s="190"/>
      <c r="N30" s="191"/>
      <c r="O30" s="192"/>
      <c r="P30" s="129" t="s">
        <v>469</v>
      </c>
      <c r="Q30" s="116">
        <v>1281165</v>
      </c>
      <c r="R30" s="116">
        <v>1707334287</v>
      </c>
      <c r="S30" s="116">
        <v>602946.42000000004</v>
      </c>
      <c r="T30" s="130">
        <f t="shared" si="1"/>
        <v>2.1248405455330506</v>
      </c>
      <c r="U30" s="85"/>
    </row>
    <row r="31" spans="1:21" s="79" customFormat="1" ht="13.2" hidden="1">
      <c r="A31" s="129" t="s">
        <v>505</v>
      </c>
      <c r="B31" s="188">
        <f>SUM(F29:F31)</f>
        <v>196642.16866028711</v>
      </c>
      <c r="C31" s="188">
        <f>AVERAGE(F29:F31)</f>
        <v>65547.389553429035</v>
      </c>
      <c r="D31" s="190">
        <f>C31/C28-1</f>
        <v>-2.4057448780622215E-3</v>
      </c>
      <c r="E31" s="287">
        <f>C31/C19-1</f>
        <v>-2.851391189970065E-2</v>
      </c>
      <c r="F31" s="136">
        <f>Q31/20</f>
        <v>62950.75</v>
      </c>
      <c r="G31" s="190">
        <f t="shared" si="2"/>
        <v>-6.6424504259794848E-2</v>
      </c>
      <c r="H31" s="190">
        <f t="shared" si="3"/>
        <v>-7.5907900162676789E-2</v>
      </c>
      <c r="I31" s="130">
        <f t="shared" si="0"/>
        <v>2.2844055777152956</v>
      </c>
      <c r="J31" s="130">
        <f t="shared" si="4"/>
        <v>0.12692843174250257</v>
      </c>
      <c r="K31" s="136">
        <f>R29+R30+R31</f>
        <v>5298226614</v>
      </c>
      <c r="L31" s="190">
        <f>U31/U28-1</f>
        <v>1.3128815606382904E-2</v>
      </c>
      <c r="M31" s="190">
        <f>U31/U19-1</f>
        <v>-4.4588637308135004E-2</v>
      </c>
      <c r="N31" s="191">
        <f>AVERAGE(T29:T31)</f>
        <v>2.2844478472988361</v>
      </c>
      <c r="O31" s="192">
        <f>N31/N28-1</f>
        <v>-1.7311465111062185E-2</v>
      </c>
      <c r="P31" s="129" t="s">
        <v>506</v>
      </c>
      <c r="Q31" s="116">
        <v>1259015</v>
      </c>
      <c r="R31" s="116">
        <v>1672207072</v>
      </c>
      <c r="S31" s="116">
        <v>551134.62</v>
      </c>
      <c r="T31" s="130">
        <f t="shared" si="1"/>
        <v>2.2844055777152956</v>
      </c>
      <c r="U31" s="85">
        <f>Q29+Q30+Q31</f>
        <v>3997937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62910.761904761908</v>
      </c>
      <c r="G32" s="190">
        <f t="shared" si="2"/>
        <v>-6.352282576155277E-4</v>
      </c>
      <c r="H32" s="190">
        <f t="shared" si="3"/>
        <v>-6.5048810448233074E-2</v>
      </c>
      <c r="I32" s="130">
        <f t="shared" si="0"/>
        <v>2.1452951158205167</v>
      </c>
      <c r="J32" s="130">
        <f t="shared" si="4"/>
        <v>-1.906800680492271E-2</v>
      </c>
      <c r="K32" s="136"/>
      <c r="L32" s="190"/>
      <c r="M32" s="190"/>
      <c r="N32" s="191"/>
      <c r="O32" s="192"/>
      <c r="P32" s="129" t="s">
        <v>562</v>
      </c>
      <c r="Q32" s="116">
        <v>1321126</v>
      </c>
      <c r="R32" s="116">
        <v>1797582602</v>
      </c>
      <c r="S32" s="116">
        <v>615824.82999999996</v>
      </c>
      <c r="T32" s="130">
        <f t="shared" si="1"/>
        <v>2.1452951158205167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64197.333333333336</v>
      </c>
      <c r="G33" s="190">
        <f t="shared" si="2"/>
        <v>2.0450736720040386E-2</v>
      </c>
      <c r="H33" s="190">
        <f t="shared" si="3"/>
        <v>0.12555530787078206</v>
      </c>
      <c r="I33" s="130">
        <f t="shared" si="0"/>
        <v>2.2993810720500276</v>
      </c>
      <c r="J33" s="130">
        <f t="shared" si="4"/>
        <v>-8.7589313552949299E-2</v>
      </c>
      <c r="K33" s="136"/>
      <c r="L33" s="190"/>
      <c r="M33" s="190"/>
      <c r="N33" s="191"/>
      <c r="O33" s="192"/>
      <c r="P33" s="129" t="s">
        <v>606</v>
      </c>
      <c r="Q33" s="116">
        <v>1348144</v>
      </c>
      <c r="R33" s="116">
        <v>1842524936</v>
      </c>
      <c r="S33" s="116">
        <v>586307.34</v>
      </c>
      <c r="T33" s="130">
        <f t="shared" si="1"/>
        <v>2.2993810720500276</v>
      </c>
      <c r="U33" s="85"/>
    </row>
    <row r="34" spans="1:21" s="79" customFormat="1" ht="13.2" hidden="1">
      <c r="A34" s="129" t="s">
        <v>652</v>
      </c>
      <c r="B34" s="188">
        <f>SUM(F32:F34)</f>
        <v>177311.93734335841</v>
      </c>
      <c r="C34" s="188">
        <f>AVERAGE(F32:F34)</f>
        <v>59103.979114452806</v>
      </c>
      <c r="D34" s="190">
        <f>C34/C31-1</f>
        <v>-9.8301556825906466E-2</v>
      </c>
      <c r="E34" s="287">
        <f>C34/C22-1</f>
        <v>2.8593582602772338E-2</v>
      </c>
      <c r="F34" s="136">
        <f>Q34/19</f>
        <v>50203.84210526316</v>
      </c>
      <c r="G34" s="190">
        <f t="shared" si="2"/>
        <v>-0.21797620713326893</v>
      </c>
      <c r="H34" s="190">
        <f t="shared" si="3"/>
        <v>4.4629353612500422E-2</v>
      </c>
      <c r="I34" s="130">
        <f t="shared" si="0"/>
        <v>2.0394599526517174</v>
      </c>
      <c r="J34" s="130">
        <f t="shared" si="4"/>
        <v>-3.99369264862659E-3</v>
      </c>
      <c r="K34" s="136">
        <f>R32+R33+R34</f>
        <v>4951556922</v>
      </c>
      <c r="L34" s="190">
        <f>U34/U31-1</f>
        <v>-9.3746849937855425E-2</v>
      </c>
      <c r="M34" s="190">
        <f>U34/U22-1</f>
        <v>1.9812804323858124E-2</v>
      </c>
      <c r="N34" s="191">
        <f>AVERAGE(T32:T34)</f>
        <v>2.1613787135074207</v>
      </c>
      <c r="O34" s="192">
        <f>N34/N31-1</f>
        <v>-5.3872595050455718E-2</v>
      </c>
      <c r="P34" s="129" t="s">
        <v>652</v>
      </c>
      <c r="Q34" s="116">
        <v>953873</v>
      </c>
      <c r="R34" s="116">
        <v>1311449384</v>
      </c>
      <c r="S34" s="116">
        <v>467708.62</v>
      </c>
      <c r="T34" s="130">
        <f t="shared" si="1"/>
        <v>2.0394599526517174</v>
      </c>
      <c r="U34" s="85">
        <f>Q32+Q33+Q34</f>
        <v>3623143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46122.304347826088</v>
      </c>
      <c r="G35" s="190">
        <f t="shared" si="2"/>
        <v>-8.1299310695768012E-2</v>
      </c>
      <c r="H35" s="190">
        <f t="shared" si="3"/>
        <v>-0.17115569508526363</v>
      </c>
      <c r="I35" s="130">
        <f t="shared" si="0"/>
        <v>2.1281009172889247</v>
      </c>
      <c r="J35" s="130">
        <f t="shared" si="4"/>
        <v>-5.1138976499158328E-2</v>
      </c>
      <c r="K35" s="136"/>
      <c r="L35" s="190"/>
      <c r="M35" s="190"/>
      <c r="N35" s="191"/>
      <c r="O35" s="192"/>
      <c r="P35" s="129" t="s">
        <v>659</v>
      </c>
      <c r="Q35" s="116">
        <v>1060813</v>
      </c>
      <c r="R35" s="116">
        <v>1467765913</v>
      </c>
      <c r="S35" s="116">
        <v>498478.71</v>
      </c>
      <c r="T35" s="130">
        <f t="shared" si="1"/>
        <v>2.1281009172889247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64786.571428571428</v>
      </c>
      <c r="G36" s="190">
        <f t="shared" si="2"/>
        <v>0.40466900656114024</v>
      </c>
      <c r="H36" s="190">
        <f t="shared" si="3"/>
        <v>-5.3475776529507635E-2</v>
      </c>
      <c r="I36" s="130">
        <f t="shared" si="0"/>
        <v>2.2797776112647039</v>
      </c>
      <c r="J36" s="130">
        <f t="shared" si="4"/>
        <v>-1.6875166348063853E-2</v>
      </c>
      <c r="K36" s="136"/>
      <c r="L36" s="190"/>
      <c r="M36" s="190"/>
      <c r="N36" s="191"/>
      <c r="O36" s="192"/>
      <c r="P36" s="129" t="s">
        <v>664</v>
      </c>
      <c r="Q36" s="116">
        <v>1360518</v>
      </c>
      <c r="R36" s="116">
        <v>1859035138</v>
      </c>
      <c r="S36" s="116">
        <v>596776.63</v>
      </c>
      <c r="T36" s="130">
        <f t="shared" si="1"/>
        <v>2.2797776112647039</v>
      </c>
      <c r="U36" s="85"/>
    </row>
    <row r="37" spans="1:21" s="79" customFormat="1" ht="13.2" hidden="1">
      <c r="A37" s="129" t="s">
        <v>702</v>
      </c>
      <c r="B37" s="188">
        <f>SUM(F35:F37)</f>
        <v>173446.70910973084</v>
      </c>
      <c r="C37" s="188">
        <f>AVERAGE(F35:F37)</f>
        <v>57815.569703243615</v>
      </c>
      <c r="D37" s="190">
        <f>C37/C34-1</f>
        <v>-2.1799029955567484E-2</v>
      </c>
      <c r="E37" s="287">
        <f>C37/C25-1</f>
        <v>-0.14877035531388383</v>
      </c>
      <c r="F37" s="136">
        <f>Q37/18</f>
        <v>62537.833333333336</v>
      </c>
      <c r="G37" s="190">
        <f t="shared" si="2"/>
        <v>-3.4709941360569929E-2</v>
      </c>
      <c r="H37" s="190">
        <f t="shared" si="3"/>
        <v>-0.2150080048271199</v>
      </c>
      <c r="I37" s="130">
        <f t="shared" si="0"/>
        <v>2.2497152084674017</v>
      </c>
      <c r="J37" s="130">
        <f t="shared" si="4"/>
        <v>-7.9372433508436702E-3</v>
      </c>
      <c r="K37" s="136">
        <f>R35+R36+R37</f>
        <v>4829380041</v>
      </c>
      <c r="L37" s="190">
        <f>U37/U34-1</f>
        <v>-2.1012419327638976E-2</v>
      </c>
      <c r="M37" s="190">
        <f>U37/U25-1</f>
        <v>-0.15306905770834678</v>
      </c>
      <c r="N37" s="191">
        <f>AVERAGE(T35:T37)</f>
        <v>2.2191979123403436</v>
      </c>
      <c r="O37" s="192">
        <f>N37/N34-1</f>
        <v>2.6751072577695378E-2</v>
      </c>
      <c r="P37" s="129" t="s">
        <v>702</v>
      </c>
      <c r="Q37" s="116">
        <v>1125681</v>
      </c>
      <c r="R37" s="116">
        <v>1502578990</v>
      </c>
      <c r="S37" s="116">
        <v>500366</v>
      </c>
      <c r="T37" s="130">
        <f t="shared" si="1"/>
        <v>2.2497152084674017</v>
      </c>
      <c r="U37" s="85">
        <f>Q35+Q36+Q37</f>
        <v>3547012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61860.85</v>
      </c>
      <c r="G38" s="190">
        <f t="shared" si="2"/>
        <v>-1.0825180490742992E-2</v>
      </c>
      <c r="H38" s="190">
        <f t="shared" si="3"/>
        <v>-0.17730458154990847</v>
      </c>
      <c r="I38" s="130">
        <f t="shared" si="0"/>
        <v>2.1655726637490536</v>
      </c>
      <c r="J38" s="130">
        <f t="shared" si="4"/>
        <v>-1.8143467884687015E-2</v>
      </c>
      <c r="K38" s="136"/>
      <c r="L38" s="190"/>
      <c r="M38" s="190"/>
      <c r="N38" s="191"/>
      <c r="O38" s="192"/>
      <c r="P38" s="129" t="s">
        <v>725</v>
      </c>
      <c r="Q38" s="116">
        <v>1237217</v>
      </c>
      <c r="R38" s="116">
        <v>1664713911</v>
      </c>
      <c r="S38" s="116">
        <v>571311.69999999995</v>
      </c>
      <c r="T38" s="130">
        <f t="shared" si="1"/>
        <v>2.1655726637490536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54346.761904761908</v>
      </c>
      <c r="G39" s="190">
        <f t="shared" si="2"/>
        <v>-0.12146758564161486</v>
      </c>
      <c r="H39" s="190">
        <f t="shared" si="3"/>
        <v>-0.18852233179193256</v>
      </c>
      <c r="I39" s="130">
        <f t="shared" si="0"/>
        <v>2.3465594153053972</v>
      </c>
      <c r="J39" s="130">
        <f t="shared" si="4"/>
        <v>-4.5300724314679908E-2</v>
      </c>
      <c r="K39" s="136"/>
      <c r="L39" s="190"/>
      <c r="M39" s="190"/>
      <c r="N39" s="191"/>
      <c r="O39" s="192"/>
      <c r="P39" s="129" t="s">
        <v>762</v>
      </c>
      <c r="Q39" s="116">
        <v>1141282</v>
      </c>
      <c r="R39" s="116">
        <v>1586623537</v>
      </c>
      <c r="S39" s="116">
        <v>486363.99</v>
      </c>
      <c r="T39" s="130">
        <f t="shared" si="1"/>
        <v>2.3465594153053972</v>
      </c>
      <c r="U39" s="85"/>
    </row>
    <row r="40" spans="1:21" s="79" customFormat="1" ht="13.2" hidden="1">
      <c r="A40" s="129" t="s">
        <v>777</v>
      </c>
      <c r="B40" s="188">
        <f>SUM(F38:F40)</f>
        <v>171426.13571428572</v>
      </c>
      <c r="C40" s="188">
        <f>AVERAGE(F38:F40)</f>
        <v>57142.045238095241</v>
      </c>
      <c r="D40" s="190">
        <f>C40/C37-1</f>
        <v>-1.1649534348713408E-2</v>
      </c>
      <c r="E40" s="287">
        <f>C40/C28-1</f>
        <v>-0.13033033895307022</v>
      </c>
      <c r="F40" s="136">
        <f>Q40/21</f>
        <v>55218.523809523809</v>
      </c>
      <c r="G40" s="190">
        <f t="shared" si="2"/>
        <v>1.6040733140450847E-2</v>
      </c>
      <c r="H40" s="190">
        <f t="shared" si="3"/>
        <v>4.8703314834701583E-3</v>
      </c>
      <c r="I40" s="130">
        <f t="shared" si="0"/>
        <v>2.1040386966797318</v>
      </c>
      <c r="J40" s="130">
        <f t="shared" si="4"/>
        <v>-8.9389781294426207E-2</v>
      </c>
      <c r="K40" s="136">
        <f>R38+R39+R40</f>
        <v>4896783003</v>
      </c>
      <c r="L40" s="190">
        <f>U40/U37-1</f>
        <v>-2.5159204423328418E-3</v>
      </c>
      <c r="M40" s="190">
        <f>U40/U28-1</f>
        <v>-0.10340285378405012</v>
      </c>
      <c r="N40" s="191">
        <f>AVERAGE(T38:T40)</f>
        <v>2.2053902585780611</v>
      </c>
      <c r="O40" s="192">
        <f>N40/N37-1</f>
        <v>-6.2219118382825789E-3</v>
      </c>
      <c r="P40" s="129" t="s">
        <v>777</v>
      </c>
      <c r="Q40" s="116">
        <v>1159589</v>
      </c>
      <c r="R40" s="116">
        <v>1645445555</v>
      </c>
      <c r="S40" s="116">
        <v>551125.31999999995</v>
      </c>
      <c r="T40" s="130">
        <f t="shared" si="1"/>
        <v>2.1040386966797318</v>
      </c>
      <c r="U40" s="85">
        <f>Q38+Q39+Q40</f>
        <v>3538088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56239.388888888891</v>
      </c>
      <c r="G41" s="190">
        <f t="shared" si="2"/>
        <v>1.848772855439873E-2</v>
      </c>
      <c r="H41" s="190">
        <f t="shared" si="3"/>
        <v>-0.15125322289273491</v>
      </c>
      <c r="I41" s="130">
        <f t="shared" si="0"/>
        <v>1.9466259635789771</v>
      </c>
      <c r="J41" s="130">
        <f t="shared" si="4"/>
        <v>-0.20353994536941888</v>
      </c>
      <c r="K41" s="193"/>
      <c r="L41" s="190"/>
      <c r="M41" s="190"/>
      <c r="N41" s="193"/>
      <c r="O41" s="193"/>
      <c r="P41" s="129" t="s">
        <v>787</v>
      </c>
      <c r="Q41" s="116">
        <v>1012309</v>
      </c>
      <c r="R41" s="116">
        <v>1480398936</v>
      </c>
      <c r="S41" s="116">
        <v>520032.62</v>
      </c>
      <c r="T41" s="130">
        <f t="shared" si="1"/>
        <v>1.9466259635789771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65238.3</v>
      </c>
      <c r="G42" s="190">
        <f t="shared" si="2"/>
        <v>0.16001082673373457</v>
      </c>
      <c r="H42" s="190">
        <f t="shared" si="3"/>
        <v>-3.249956094648232E-2</v>
      </c>
      <c r="I42" s="130">
        <f t="shared" si="0"/>
        <v>2.0074036786138656</v>
      </c>
      <c r="J42" s="130">
        <f t="shared" si="4"/>
        <v>-5.5268555170441713E-2</v>
      </c>
      <c r="K42" s="193"/>
      <c r="L42" s="190"/>
      <c r="M42" s="190"/>
      <c r="N42" s="193"/>
      <c r="O42" s="193"/>
      <c r="P42" s="129" t="s">
        <v>826</v>
      </c>
      <c r="Q42" s="116">
        <v>1304766</v>
      </c>
      <c r="R42" s="116">
        <v>1886783392</v>
      </c>
      <c r="S42" s="116">
        <v>649976.89</v>
      </c>
      <c r="T42" s="130">
        <f t="shared" si="1"/>
        <v>2.0074036786138656</v>
      </c>
      <c r="U42" s="78"/>
    </row>
    <row r="43" spans="1:21" s="79" customFormat="1" ht="13.2">
      <c r="A43" s="129" t="s">
        <v>834</v>
      </c>
      <c r="B43" s="188">
        <f>SUM(F41:F43)</f>
        <v>182133.48888888891</v>
      </c>
      <c r="C43" s="188">
        <f>AVERAGE(F41:F43)</f>
        <v>60711.162962962968</v>
      </c>
      <c r="D43" s="190">
        <f>C43/C40-1</f>
        <v>6.2460447644045569E-2</v>
      </c>
      <c r="E43" s="287">
        <f>C43/C31-1</f>
        <v>-7.3782138745952075E-2</v>
      </c>
      <c r="F43" s="136">
        <f>Q43/20</f>
        <v>60655.8</v>
      </c>
      <c r="G43" s="190">
        <f t="shared" si="2"/>
        <v>-7.0242480260828355E-2</v>
      </c>
      <c r="H43" s="190">
        <f t="shared" si="3"/>
        <v>-3.6456277327911013E-2</v>
      </c>
      <c r="I43" s="130">
        <f t="shared" si="0"/>
        <v>1.9847524074069831</v>
      </c>
      <c r="J43" s="130">
        <f t="shared" si="4"/>
        <v>-0.13117336659981582</v>
      </c>
      <c r="K43" s="136">
        <f>R41+R42+R43</f>
        <v>5126513168</v>
      </c>
      <c r="L43" s="190">
        <f>U43/U40-1</f>
        <v>-2.2319964907600021E-3</v>
      </c>
      <c r="M43" s="190">
        <f>K43/K31-1</f>
        <v>-3.2409607687648778E-2</v>
      </c>
      <c r="N43" s="191">
        <f>AVERAGE(T41:T43)</f>
        <v>1.9795940165332755</v>
      </c>
      <c r="O43" s="192">
        <f>N43/N40-1</f>
        <v>-0.10238380312352025</v>
      </c>
      <c r="P43" s="129" t="s">
        <v>834</v>
      </c>
      <c r="Q43" s="116">
        <v>1213116</v>
      </c>
      <c r="R43" s="116">
        <v>1759330840</v>
      </c>
      <c r="S43" s="116">
        <v>611217.80000000005</v>
      </c>
      <c r="T43" s="130">
        <f t="shared" si="1"/>
        <v>1.9847524074069831</v>
      </c>
      <c r="U43" s="85">
        <f>Q41+Q42+Q43</f>
        <v>3530191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61828.090909090912</v>
      </c>
      <c r="G44" s="190">
        <f t="shared" si="2"/>
        <v>1.93269383816701E-2</v>
      </c>
      <c r="H44" s="190">
        <f t="shared" si="3"/>
        <v>-1.7209630958054611E-2</v>
      </c>
      <c r="I44" s="130">
        <f t="shared" si="0"/>
        <v>2.040515870148941</v>
      </c>
      <c r="J44" s="130">
        <f t="shared" si="4"/>
        <v>-4.8841413425537272E-2</v>
      </c>
      <c r="K44" s="136"/>
      <c r="L44" s="190"/>
      <c r="M44" s="190"/>
      <c r="N44" s="191"/>
      <c r="O44" s="192"/>
      <c r="P44" s="129" t="s">
        <v>838</v>
      </c>
      <c r="Q44" s="116">
        <v>1360218</v>
      </c>
      <c r="R44" s="116">
        <v>1976622441</v>
      </c>
      <c r="S44" s="116">
        <v>666604.96</v>
      </c>
      <c r="T44" s="130">
        <f t="shared" si="1"/>
        <v>2.040515870148941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52963</v>
      </c>
      <c r="G45" s="190">
        <f t="shared" si="2"/>
        <v>-0.14338289891767353</v>
      </c>
      <c r="H45" s="190">
        <f t="shared" si="3"/>
        <v>-0.17499688460579876</v>
      </c>
      <c r="I45" s="130">
        <f t="shared" si="0"/>
        <v>1.9426547308739308</v>
      </c>
      <c r="J45" s="130">
        <f t="shared" si="4"/>
        <v>-0.15514015728504504</v>
      </c>
      <c r="K45" s="136"/>
      <c r="L45" s="190"/>
      <c r="M45" s="190"/>
      <c r="N45" s="191"/>
      <c r="O45" s="192"/>
      <c r="P45" s="129" t="s">
        <v>847</v>
      </c>
      <c r="Q45" s="116">
        <v>1059260</v>
      </c>
      <c r="R45" s="116">
        <v>1487976786</v>
      </c>
      <c r="S45" s="116">
        <v>545264.16</v>
      </c>
      <c r="T45" s="130">
        <f t="shared" si="1"/>
        <v>1.9426547308739308</v>
      </c>
      <c r="U45" s="85"/>
    </row>
    <row r="46" spans="1:21" s="79" customFormat="1" ht="13.2">
      <c r="A46" s="129" t="s">
        <v>888</v>
      </c>
      <c r="B46" s="188">
        <f>SUM(F44:F46)</f>
        <v>163886.88038277513</v>
      </c>
      <c r="C46" s="188">
        <f>AVERAGE(F44:F46)</f>
        <v>54628.960127591708</v>
      </c>
      <c r="D46" s="189">
        <f>C46/C43-1</f>
        <v>-0.10018261121240135</v>
      </c>
      <c r="E46" s="287">
        <f>C46/C34-1</f>
        <v>-7.5714343668729644E-2</v>
      </c>
      <c r="F46" s="136">
        <f>Q46/19</f>
        <v>49095.789473684214</v>
      </c>
      <c r="G46" s="190">
        <f t="shared" si="2"/>
        <v>-7.3017210624696238E-2</v>
      </c>
      <c r="H46" s="190">
        <f t="shared" si="3"/>
        <v>-2.2071072354495791E-2</v>
      </c>
      <c r="I46" s="130">
        <f t="shared" si="0"/>
        <v>2.0923662077361969</v>
      </c>
      <c r="J46" s="130">
        <f t="shared" si="4"/>
        <v>2.5941306185341073E-2</v>
      </c>
      <c r="K46" s="136">
        <f>R44+R45+R46</f>
        <v>4741617693</v>
      </c>
      <c r="L46" s="190">
        <f>U46/U43-1</f>
        <v>-5.0391890977003806E-2</v>
      </c>
      <c r="M46" s="190">
        <f>K46/K34-1</f>
        <v>-4.2398629826354228E-2</v>
      </c>
      <c r="N46" s="191">
        <f>AVERAGE(T44:T46)</f>
        <v>2.0251789362530226</v>
      </c>
      <c r="O46" s="219">
        <f>N46/N43-1</f>
        <v>2.3027408316568243E-2</v>
      </c>
      <c r="P46" s="129" t="s">
        <v>888</v>
      </c>
      <c r="Q46" s="116">
        <v>932820</v>
      </c>
      <c r="R46" s="116">
        <v>1277018466</v>
      </c>
      <c r="S46" s="116">
        <v>445820.62</v>
      </c>
      <c r="T46" s="130">
        <f t="shared" si="1"/>
        <v>2.0923662077361969</v>
      </c>
      <c r="U46" s="85">
        <f t="shared" ref="U46:U51" si="5">Q44+Q45+Q46</f>
        <v>3352298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45005.782608695656</v>
      </c>
      <c r="G47" s="190">
        <f t="shared" si="2"/>
        <v>-8.3306672707256113E-2</v>
      </c>
      <c r="H47" s="190">
        <f t="shared" si="3"/>
        <v>-2.4207848131574505E-2</v>
      </c>
      <c r="I47" s="130">
        <f t="shared" si="0"/>
        <v>2.1244497073859305</v>
      </c>
      <c r="J47" s="130">
        <f t="shared" si="4"/>
        <v>-1.7157127621774126E-3</v>
      </c>
      <c r="K47" s="136"/>
      <c r="L47" s="190"/>
      <c r="M47" s="190"/>
      <c r="N47" s="191"/>
      <c r="O47" s="219"/>
      <c r="P47" s="129" t="s">
        <v>1057</v>
      </c>
      <c r="Q47" s="116">
        <v>1035133</v>
      </c>
      <c r="R47" s="116">
        <v>1422009755</v>
      </c>
      <c r="S47" s="116">
        <v>487247.59</v>
      </c>
      <c r="T47" s="130">
        <f t="shared" si="1"/>
        <v>2.1244497073859305</v>
      </c>
      <c r="U47" s="85">
        <f t="shared" si="5"/>
        <v>3027213</v>
      </c>
    </row>
    <row r="48" spans="1:21" s="79" customFormat="1" ht="13.2">
      <c r="A48" s="129" t="s">
        <v>1115</v>
      </c>
      <c r="B48" s="188"/>
      <c r="C48" s="188"/>
      <c r="D48" s="189"/>
      <c r="E48" s="287"/>
      <c r="F48" s="136">
        <f>Q48/20</f>
        <v>46365.85</v>
      </c>
      <c r="G48" s="190">
        <f t="shared" ref="G48" si="6">F48/F47-1</f>
        <v>3.0219836484780105E-2</v>
      </c>
      <c r="H48" s="190">
        <f t="shared" ref="H48" si="7">F48/F36-1</f>
        <v>-0.28432931427588615</v>
      </c>
      <c r="I48" s="130">
        <f t="shared" si="0"/>
        <v>1.9590734185694574</v>
      </c>
      <c r="J48" s="130">
        <f t="shared" si="4"/>
        <v>-0.14067345477497528</v>
      </c>
      <c r="K48" s="136"/>
      <c r="L48" s="190"/>
      <c r="M48" s="190"/>
      <c r="N48" s="191"/>
      <c r="O48" s="219"/>
      <c r="P48" s="129" t="s">
        <v>1154</v>
      </c>
      <c r="Q48" s="116">
        <v>927317</v>
      </c>
      <c r="R48" s="116">
        <v>1287135153</v>
      </c>
      <c r="S48" s="116">
        <v>473344.69</v>
      </c>
      <c r="T48" s="130">
        <f t="shared" ref="T48" si="8">Q48/S48</f>
        <v>1.9590734185694574</v>
      </c>
      <c r="U48" s="85">
        <f t="shared" si="5"/>
        <v>2895270</v>
      </c>
    </row>
    <row r="49" spans="1:26" ht="13.2">
      <c r="A49" s="129" t="s">
        <v>1207</v>
      </c>
      <c r="B49" s="188">
        <f>SUM(F47:F49)</f>
        <v>147742.81442687748</v>
      </c>
      <c r="C49" s="188">
        <f>AVERAGE(F47:F49)</f>
        <v>49247.604808959157</v>
      </c>
      <c r="D49" s="189">
        <f>C49/C46-1</f>
        <v>-9.8507372391197445E-2</v>
      </c>
      <c r="E49" s="287">
        <f>C49/C37-1</f>
        <v>-0.14819476722727465</v>
      </c>
      <c r="F49" s="136">
        <f>Q49/22</f>
        <v>56371.181818181816</v>
      </c>
      <c r="G49" s="190">
        <f t="shared" ref="G49" si="9">F49/F48-1</f>
        <v>0.21579097154871141</v>
      </c>
      <c r="H49" s="190">
        <f t="shared" ref="H49" si="10">F49/F37-1</f>
        <v>-9.8606734299261811E-2</v>
      </c>
      <c r="I49" s="130">
        <f t="shared" si="0"/>
        <v>2.3219615447387811</v>
      </c>
      <c r="J49" s="130">
        <f t="shared" si="4"/>
        <v>3.2113547527909736E-2</v>
      </c>
      <c r="K49" s="136">
        <f>R47+R48+R49</f>
        <v>4432351116</v>
      </c>
      <c r="L49" s="190">
        <f>U49/U46-1</f>
        <v>-4.4650565075061932E-2</v>
      </c>
      <c r="M49" s="190">
        <f>K49/K37-1</f>
        <v>-8.2211157877272512E-2</v>
      </c>
      <c r="N49" s="191">
        <f>AVERAGE(T47:T49)</f>
        <v>2.1351615568980562</v>
      </c>
      <c r="O49" s="219">
        <f>N49/N46-1</f>
        <v>5.4307606442185685E-2</v>
      </c>
      <c r="P49" s="129" t="s">
        <v>1202</v>
      </c>
      <c r="Q49" s="116">
        <v>1240166</v>
      </c>
      <c r="R49" s="116">
        <v>1723206208</v>
      </c>
      <c r="S49" s="116">
        <v>534102.73</v>
      </c>
      <c r="T49" s="130">
        <f t="shared" ref="T49" si="11">Q49/S49</f>
        <v>2.3219615447387811</v>
      </c>
      <c r="U49" s="85">
        <f t="shared" si="5"/>
        <v>3202616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61321.333333333336</v>
      </c>
      <c r="G50" s="190">
        <f t="shared" ref="G50" si="12">F50/F49-1</f>
        <v>8.7813513137219967E-2</v>
      </c>
      <c r="H50" s="190">
        <f t="shared" ref="H50" si="13">F50/F38-1</f>
        <v>-8.7214557618697786E-3</v>
      </c>
      <c r="I50" s="130">
        <f t="shared" ref="I50" si="14">T50</f>
        <v>2.1693165710614677</v>
      </c>
      <c r="J50" s="130">
        <f t="shared" ref="J50" si="15">I50/I38-1</f>
        <v>1.7288301496809488E-3</v>
      </c>
      <c r="K50" s="136"/>
      <c r="L50" s="190"/>
      <c r="M50" s="190"/>
      <c r="N50" s="191"/>
      <c r="O50" s="192"/>
      <c r="P50" s="129" t="s">
        <v>1291</v>
      </c>
      <c r="Q50" s="116">
        <v>1103784</v>
      </c>
      <c r="R50" s="116">
        <v>1564087947</v>
      </c>
      <c r="S50" s="116">
        <v>508816.47</v>
      </c>
      <c r="T50" s="130">
        <f t="shared" ref="T50" si="16">Q50/S50</f>
        <v>2.1693165710614677</v>
      </c>
      <c r="U50" s="85">
        <f t="shared" si="5"/>
        <v>3271267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65806.350000000006</v>
      </c>
      <c r="G51" s="190">
        <f t="shared" ref="G51:G52" si="17">F51/F50-1</f>
        <v>7.313958165728085E-2</v>
      </c>
      <c r="H51" s="190">
        <f t="shared" ref="H51:H52" si="18">F51/F39-1</f>
        <v>0.21086054980276558</v>
      </c>
      <c r="I51" s="130">
        <f t="shared" ref="I51:I52" si="19">T51</f>
        <v>2.396286972974476</v>
      </c>
      <c r="J51" s="130">
        <f t="shared" ref="J51:J52" si="20">I51/I39-1</f>
        <v>2.1191689136329295E-2</v>
      </c>
      <c r="K51" s="136"/>
      <c r="L51" s="190"/>
      <c r="M51" s="190"/>
      <c r="N51" s="191"/>
      <c r="O51" s="192"/>
      <c r="P51" s="129" t="s">
        <v>1402</v>
      </c>
      <c r="Q51" s="116">
        <v>1316127</v>
      </c>
      <c r="R51" s="116">
        <v>1905305100</v>
      </c>
      <c r="S51" s="116">
        <v>549235.97</v>
      </c>
      <c r="T51" s="130">
        <f t="shared" ref="T51:T52" si="21">Q51/S51</f>
        <v>2.396286972974476</v>
      </c>
      <c r="U51" s="85">
        <f t="shared" si="5"/>
        <v>3660077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174162.77424242426</v>
      </c>
      <c r="C52" s="188">
        <f>AVERAGE(F50:F52)</f>
        <v>58054.258080808089</v>
      </c>
      <c r="D52" s="190">
        <f>C52/C49-1</f>
        <v>0.178823991664399</v>
      </c>
      <c r="E52" s="287">
        <f>C52/C40-1</f>
        <v>1.5963951568620072E-2</v>
      </c>
      <c r="F52" s="136">
        <f>Q52/22</f>
        <v>47035.090909090912</v>
      </c>
      <c r="G52" s="190">
        <f t="shared" si="17"/>
        <v>-0.2852499658605756</v>
      </c>
      <c r="H52" s="190">
        <f t="shared" si="18"/>
        <v>-0.14820086333096538</v>
      </c>
      <c r="I52" s="130">
        <f t="shared" si="19"/>
        <v>2.286375381602245</v>
      </c>
      <c r="J52" s="130">
        <f t="shared" si="20"/>
        <v>8.6660328638560102E-2</v>
      </c>
      <c r="K52" s="136">
        <f>R50+R51+R52</f>
        <v>4991704106</v>
      </c>
      <c r="L52" s="190">
        <f>U52/U49-1</f>
        <v>7.8706594858702905E-2</v>
      </c>
      <c r="M52" s="190">
        <f>K52/K40-1</f>
        <v>1.9384380100536891E-2</v>
      </c>
      <c r="N52" s="191">
        <f>AVERAGE(T50:T52)</f>
        <v>2.2839929752127297</v>
      </c>
      <c r="O52" s="192">
        <f>N52/N49-1</f>
        <v>6.9704991565553653E-2</v>
      </c>
      <c r="P52" s="129" t="s">
        <v>1403</v>
      </c>
      <c r="Q52" s="116">
        <v>1034772</v>
      </c>
      <c r="R52" s="116">
        <v>1522311059</v>
      </c>
      <c r="S52" s="116">
        <v>452581.85</v>
      </c>
      <c r="T52" s="130">
        <f t="shared" si="21"/>
        <v>2.286375381602245</v>
      </c>
      <c r="U52" s="85">
        <f t="shared" ref="U52" si="22">Q50+Q51+Q52</f>
        <v>3454683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49050.095238095237</v>
      </c>
      <c r="G53" s="190">
        <f t="shared" ref="G53" si="23">F53/F52-1</f>
        <v>4.2840447207785903E-2</v>
      </c>
      <c r="H53" s="190">
        <f t="shared" ref="H53" si="24">F53/F41-1</f>
        <v>-0.12783377971971577</v>
      </c>
      <c r="I53" s="130">
        <f t="shared" ref="I53" si="25">T53</f>
        <v>2.1255366038338868</v>
      </c>
      <c r="J53" s="130">
        <f t="shared" ref="J53" si="26">I53/I41-1</f>
        <v>9.1908072532831619E-2</v>
      </c>
      <c r="K53" s="136"/>
      <c r="L53" s="190"/>
      <c r="M53" s="190"/>
      <c r="N53" s="191"/>
      <c r="O53" s="192"/>
      <c r="P53" s="129" t="s">
        <v>1414</v>
      </c>
      <c r="Q53" s="116">
        <v>1030052</v>
      </c>
      <c r="R53" s="116">
        <v>1500687584</v>
      </c>
      <c r="S53" s="116">
        <v>484607.98</v>
      </c>
      <c r="T53" s="130">
        <f t="shared" ref="T53" si="27">Q53/S53</f>
        <v>2.1255366038338868</v>
      </c>
      <c r="U53" s="85">
        <f t="shared" ref="U53" si="28">Q51+Q52+Q53</f>
        <v>3380951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65063.117647058825</v>
      </c>
      <c r="G54" s="190">
        <f t="shared" ref="G54" si="29">F54/F53-1</f>
        <v>0.32646261605068028</v>
      </c>
      <c r="H54" s="190">
        <f t="shared" ref="H54" si="30">F54/F42-1</f>
        <v>-2.6852685146788735E-3</v>
      </c>
      <c r="I54" s="130">
        <f t="shared" ref="I54" si="31">T54</f>
        <v>1.9564537353550928</v>
      </c>
      <c r="J54" s="130">
        <f t="shared" ref="J54" si="32">I54/I42-1</f>
        <v>-2.5381015189707257E-2</v>
      </c>
      <c r="K54" s="136"/>
      <c r="L54" s="190"/>
      <c r="M54" s="190"/>
      <c r="N54" s="191"/>
      <c r="O54" s="192"/>
      <c r="P54" s="129" t="s">
        <v>1417</v>
      </c>
      <c r="Q54" s="116">
        <v>1106073</v>
      </c>
      <c r="R54" s="116">
        <v>1602461660</v>
      </c>
      <c r="S54" s="116">
        <v>565345.85</v>
      </c>
      <c r="T54" s="130">
        <f t="shared" ref="T54" si="33">Q54/S54</f>
        <v>1.9564537353550928</v>
      </c>
      <c r="U54" s="85">
        <f t="shared" ref="U54" si="34">Q52+Q53+Q54</f>
        <v>3170897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173015.11764705883</v>
      </c>
      <c r="C55" s="188">
        <f>AVERAGE(F53:F55)</f>
        <v>57671.705882352944</v>
      </c>
      <c r="D55" s="190">
        <f>C55/C52-1</f>
        <v>-6.5895631276977618E-3</v>
      </c>
      <c r="E55" s="287">
        <f>C55/C43-1</f>
        <v>-5.0064221014251564E-2</v>
      </c>
      <c r="F55" s="136">
        <f>Q55/21</f>
        <v>58901.904761904763</v>
      </c>
      <c r="G55" s="190">
        <f t="shared" ref="G55" si="35">F55/F54-1</f>
        <v>-9.4695936929677371E-2</v>
      </c>
      <c r="H55" s="190">
        <f t="shared" ref="H55" si="36">F55/F43-1</f>
        <v>-2.8915540444528598E-2</v>
      </c>
      <c r="I55" s="130">
        <f>T55</f>
        <v>2.0550514343517698</v>
      </c>
      <c r="J55" s="130">
        <f t="shared" ref="J55" si="37">I55/I43-1</f>
        <v>3.5419544867377306E-2</v>
      </c>
      <c r="K55" s="136">
        <f>R53+R54+R55</f>
        <v>4923466551</v>
      </c>
      <c r="L55" s="190">
        <f>U55/U52-1</f>
        <v>-2.3625322497027978E-2</v>
      </c>
      <c r="M55" s="190">
        <f>K55/K43-1</f>
        <v>-3.960715799335679E-2</v>
      </c>
      <c r="N55" s="191">
        <f>AVERAGE(T53:T55)</f>
        <v>2.04568059118025</v>
      </c>
      <c r="O55" s="192">
        <f>N55/N52-1</f>
        <v>-0.10434024387062024</v>
      </c>
      <c r="P55" s="129" t="s">
        <v>1418</v>
      </c>
      <c r="Q55" s="116">
        <v>1236940</v>
      </c>
      <c r="R55" s="116">
        <v>1820317307</v>
      </c>
      <c r="S55" s="116">
        <v>601902.21</v>
      </c>
      <c r="T55" s="130">
        <f t="shared" ref="T55" si="38">Q55/S55</f>
        <v>2.0550514343517698</v>
      </c>
      <c r="U55" s="85">
        <f t="shared" ref="U55" si="39">Q53+Q54+Q55</f>
        <v>3373065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56445.5</v>
      </c>
      <c r="G56" s="190">
        <f t="shared" ref="G56" si="40">F56/F55-1</f>
        <v>-4.1703316248160816E-2</v>
      </c>
      <c r="H56" s="190">
        <f t="shared" ref="H56" si="41">F56/F44-1</f>
        <v>-8.705736874530412E-2</v>
      </c>
      <c r="I56" s="291">
        <f>T56</f>
        <v>1.9536138688915969</v>
      </c>
      <c r="J56" s="130">
        <f t="shared" ref="J56" si="42">I56/I44-1</f>
        <v>-4.2588250612822232E-2</v>
      </c>
      <c r="K56" s="136"/>
      <c r="L56" s="190"/>
      <c r="M56" s="190"/>
      <c r="N56" s="191"/>
      <c r="O56" s="192"/>
      <c r="P56" s="129" t="s">
        <v>1420</v>
      </c>
      <c r="Q56" s="116">
        <v>1241801</v>
      </c>
      <c r="R56" s="116">
        <v>1854308915</v>
      </c>
      <c r="S56" s="116">
        <v>635643.01</v>
      </c>
      <c r="T56" s="130">
        <f t="shared" ref="T56" si="43">Q56/S56</f>
        <v>1.9536138688915969</v>
      </c>
      <c r="U56" s="85">
        <f t="shared" ref="U56" si="44">Q54+Q55+Q56</f>
        <v>3584814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49408.666666666664</v>
      </c>
      <c r="G57" s="254">
        <f t="shared" ref="G57" si="45">F57/F56-1</f>
        <v>-0.12466597573470584</v>
      </c>
      <c r="H57" s="254">
        <f t="shared" ref="H57" si="46">F57/F45-1</f>
        <v>-6.7109743279899825E-2</v>
      </c>
      <c r="I57" s="282">
        <f>T57</f>
        <v>2.0341838010071838</v>
      </c>
      <c r="J57" s="277">
        <f t="shared" ref="J57" si="47">I57/I45-1</f>
        <v>4.7115459416752437E-2</v>
      </c>
      <c r="K57" s="204"/>
      <c r="L57" s="254"/>
      <c r="M57" s="254"/>
      <c r="N57" s="257"/>
      <c r="O57" s="258"/>
      <c r="P57" s="129" t="s">
        <v>1436</v>
      </c>
      <c r="Q57" s="116">
        <v>592904</v>
      </c>
      <c r="R57" s="116">
        <v>874406971</v>
      </c>
      <c r="S57" s="116">
        <v>291470.21999999997</v>
      </c>
      <c r="T57" s="130">
        <f t="shared" ref="T57" si="48">Q57/S57</f>
        <v>2.0341838010071838</v>
      </c>
      <c r="U57" s="85">
        <f t="shared" ref="U57" si="49">Q55+Q56+Q57</f>
        <v>3071645</v>
      </c>
      <c r="V57" s="79"/>
      <c r="W57" s="79"/>
      <c r="X57" s="79"/>
      <c r="Y57" s="79"/>
      <c r="Z57" s="79"/>
    </row>
    <row r="58" spans="1:26">
      <c r="B58" s="196">
        <f>SUM(F56:F58)</f>
        <v>105854.16666666666</v>
      </c>
      <c r="C58" s="196">
        <f>AVERAGE(F56:F58)</f>
        <v>52927.083333333328</v>
      </c>
      <c r="D58" s="197">
        <f>C58/C55-1</f>
        <v>-8.2269502461022714E-2</v>
      </c>
      <c r="E58" s="233">
        <f>C58/C46-1</f>
        <v>-3.1153380739510128E-2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5207770</v>
      </c>
      <c r="R66" s="212">
        <v>7652182437</v>
      </c>
      <c r="S66" s="213">
        <v>2578969.29</v>
      </c>
      <c r="T66" s="214">
        <v>188</v>
      </c>
      <c r="U66" s="214">
        <v>403</v>
      </c>
    </row>
    <row r="67" spans="16:21" ht="18" thickBot="1">
      <c r="P67" s="180" t="s">
        <v>976</v>
      </c>
      <c r="Q67" s="181">
        <v>1030052</v>
      </c>
      <c r="R67" s="181">
        <v>1500687584</v>
      </c>
      <c r="S67" s="182">
        <v>484607.98</v>
      </c>
      <c r="T67" s="210">
        <v>85</v>
      </c>
      <c r="U67" s="210">
        <v>186</v>
      </c>
    </row>
    <row r="68" spans="16:21" ht="18" thickBot="1">
      <c r="P68" s="180" t="s">
        <v>977</v>
      </c>
      <c r="Q68" s="181">
        <v>1106073</v>
      </c>
      <c r="R68" s="181">
        <v>1602461660</v>
      </c>
      <c r="S68" s="182">
        <v>565345.85</v>
      </c>
      <c r="T68" s="210">
        <v>80</v>
      </c>
      <c r="U68" s="210">
        <v>182</v>
      </c>
    </row>
    <row r="69" spans="16:21" ht="18" thickBot="1">
      <c r="P69" s="180" t="s">
        <v>978</v>
      </c>
      <c r="Q69" s="181">
        <v>1236940</v>
      </c>
      <c r="R69" s="181">
        <v>1820317307</v>
      </c>
      <c r="S69" s="182">
        <v>601902.21</v>
      </c>
      <c r="T69" s="210">
        <v>80</v>
      </c>
      <c r="U69" s="210">
        <v>200</v>
      </c>
    </row>
    <row r="70" spans="16:21" ht="18" thickBot="1">
      <c r="P70" s="180" t="s">
        <v>979</v>
      </c>
      <c r="Q70" s="181">
        <v>1241801</v>
      </c>
      <c r="R70" s="181">
        <v>1854308915</v>
      </c>
      <c r="S70" s="182">
        <v>635643.01</v>
      </c>
      <c r="T70" s="210">
        <v>95</v>
      </c>
      <c r="U70" s="210">
        <v>213</v>
      </c>
    </row>
    <row r="71" spans="16:21" ht="18" thickBot="1">
      <c r="P71" s="180" t="s">
        <v>980</v>
      </c>
      <c r="Q71" s="181">
        <v>592904</v>
      </c>
      <c r="R71" s="181">
        <v>874406971</v>
      </c>
      <c r="S71" s="182">
        <v>291470.21999999997</v>
      </c>
      <c r="T71" s="210">
        <v>51</v>
      </c>
      <c r="U71" s="210">
        <v>123</v>
      </c>
    </row>
    <row r="72" spans="16:21" ht="18" thickBot="1">
      <c r="P72" s="180" t="s">
        <v>975</v>
      </c>
      <c r="Q72" s="181">
        <v>13524980</v>
      </c>
      <c r="R72" s="181">
        <v>19270563785</v>
      </c>
      <c r="S72" s="182">
        <v>6438167.5999999996</v>
      </c>
      <c r="T72" s="210">
        <v>286</v>
      </c>
      <c r="U72" s="210">
        <v>640</v>
      </c>
    </row>
    <row r="73" spans="16:21" ht="18" thickBot="1">
      <c r="P73" s="215" t="s">
        <v>982</v>
      </c>
      <c r="Q73" s="217">
        <v>1</v>
      </c>
      <c r="R73"/>
      <c r="S73"/>
      <c r="T73"/>
      <c r="U73"/>
    </row>
  </sheetData>
  <phoneticPr fontId="1" type="noConversion"/>
  <conditionalFormatting sqref="C29:C30">
    <cfRule type="cellIs" dxfId="20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4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1424765.75</v>
      </c>
      <c r="G5" s="90"/>
      <c r="H5" s="90"/>
      <c r="I5" s="130">
        <f t="shared" ref="I5:I49" si="0">T5</f>
        <v>8.8328942110353452</v>
      </c>
      <c r="J5" s="130"/>
      <c r="L5" s="80"/>
      <c r="M5" s="80"/>
      <c r="P5" s="129" t="s">
        <v>0</v>
      </c>
      <c r="Q5" s="116">
        <v>28495315</v>
      </c>
      <c r="R5" s="116">
        <v>33618380780</v>
      </c>
      <c r="S5" s="116">
        <v>3226045.09</v>
      </c>
      <c r="T5" s="130">
        <f t="shared" ref="T5:T47" si="1">Q5/S5</f>
        <v>8.8328942110353452</v>
      </c>
      <c r="U5" s="85"/>
    </row>
    <row r="6" spans="1:21" ht="15" hidden="1" customHeight="1">
      <c r="A6" s="129" t="s">
        <v>1</v>
      </c>
      <c r="C6" s="79"/>
      <c r="F6" s="78">
        <f>Q6/18</f>
        <v>502936.5</v>
      </c>
      <c r="G6" s="90">
        <f t="shared" ref="G6:G47" si="2">F6/F5-1</f>
        <v>-0.6470040776878585</v>
      </c>
      <c r="H6" s="90"/>
      <c r="I6" s="130">
        <f t="shared" si="0"/>
        <v>7.6312436158028865</v>
      </c>
      <c r="J6" s="130"/>
      <c r="P6" s="129" t="s">
        <v>1</v>
      </c>
      <c r="Q6" s="116">
        <v>9052857</v>
      </c>
      <c r="R6" s="116">
        <v>10757403536</v>
      </c>
      <c r="S6" s="116">
        <v>1186288.56</v>
      </c>
      <c r="T6" s="130">
        <f t="shared" si="1"/>
        <v>7.6312436158028865</v>
      </c>
      <c r="U6" s="85"/>
    </row>
    <row r="7" spans="1:21" ht="15" hidden="1" customHeight="1">
      <c r="A7" s="129" t="s">
        <v>2</v>
      </c>
      <c r="B7" s="131">
        <f>F5+F6+F7</f>
        <v>2448619.5227272725</v>
      </c>
      <c r="C7" s="131">
        <f>AVERAGE(F5:F7)</f>
        <v>816206.50757575745</v>
      </c>
      <c r="F7" s="78">
        <f>Q7/22</f>
        <v>520917.27272727271</v>
      </c>
      <c r="G7" s="90">
        <f t="shared" si="2"/>
        <v>3.5751576446077626E-2</v>
      </c>
      <c r="H7" s="90"/>
      <c r="I7" s="130">
        <f t="shared" si="0"/>
        <v>8.5584449678190708</v>
      </c>
      <c r="J7" s="130"/>
      <c r="K7" s="79">
        <f>R5+R6+R7</f>
        <v>58292933666</v>
      </c>
      <c r="N7" s="88">
        <f>AVERAGE(T5:T7)</f>
        <v>8.3408609315524345</v>
      </c>
      <c r="P7" s="129" t="s">
        <v>2</v>
      </c>
      <c r="Q7" s="116">
        <v>11460180</v>
      </c>
      <c r="R7" s="116">
        <v>13917149350</v>
      </c>
      <c r="S7" s="116">
        <v>1339049.33</v>
      </c>
      <c r="T7" s="130">
        <f t="shared" si="1"/>
        <v>8.5584449678190708</v>
      </c>
      <c r="U7" s="85">
        <f>Q5+Q6+Q7</f>
        <v>49008352</v>
      </c>
    </row>
    <row r="8" spans="1:21" ht="15" hidden="1" customHeight="1">
      <c r="A8" s="129" t="s">
        <v>3</v>
      </c>
      <c r="C8" s="79"/>
      <c r="F8" s="78">
        <f>Q8/21</f>
        <v>591105.90476190473</v>
      </c>
      <c r="G8" s="90">
        <f t="shared" si="2"/>
        <v>0.13474045824427749</v>
      </c>
      <c r="H8" s="90"/>
      <c r="I8" s="130">
        <f t="shared" si="0"/>
        <v>5.4522898765019105</v>
      </c>
      <c r="J8" s="130"/>
      <c r="K8" s="78"/>
      <c r="P8" s="129" t="s">
        <v>3</v>
      </c>
      <c r="Q8" s="116">
        <v>12413224</v>
      </c>
      <c r="R8" s="116">
        <v>15042375128</v>
      </c>
      <c r="S8" s="116">
        <v>2276699.2000000002</v>
      </c>
      <c r="T8" s="130">
        <f t="shared" si="1"/>
        <v>5.4522898765019105</v>
      </c>
      <c r="U8" s="85"/>
    </row>
    <row r="9" spans="1:21" ht="15" hidden="1" customHeight="1">
      <c r="A9" s="129" t="s">
        <v>4</v>
      </c>
      <c r="C9" s="79"/>
      <c r="F9" s="78">
        <f>Q9/21</f>
        <v>1013675.8095238095</v>
      </c>
      <c r="G9" s="90">
        <f t="shared" si="2"/>
        <v>0.7148801955076296</v>
      </c>
      <c r="H9" s="90"/>
      <c r="I9" s="130">
        <f t="shared" si="0"/>
        <v>5.9977116599261269</v>
      </c>
      <c r="J9" s="130"/>
      <c r="K9" s="78"/>
      <c r="P9" s="129" t="s">
        <v>4</v>
      </c>
      <c r="Q9" s="116">
        <v>21287192</v>
      </c>
      <c r="R9" s="116">
        <v>26882501350</v>
      </c>
      <c r="S9" s="116">
        <v>3549218.97</v>
      </c>
      <c r="T9" s="130">
        <f t="shared" si="1"/>
        <v>5.9977116599261269</v>
      </c>
      <c r="U9" s="85"/>
    </row>
    <row r="10" spans="1:21" ht="15" hidden="1" customHeight="1">
      <c r="A10" s="129" t="s">
        <v>5</v>
      </c>
      <c r="B10" s="131">
        <f>F8+F9+F10</f>
        <v>2516655.8571428568</v>
      </c>
      <c r="C10" s="131">
        <f>AVERAGE(F8:F10)</f>
        <v>838885.28571428556</v>
      </c>
      <c r="D10" s="90">
        <f>C10/C7-1</f>
        <v>2.7785588485305102E-2</v>
      </c>
      <c r="E10" s="286"/>
      <c r="F10" s="78">
        <f>Q10/21</f>
        <v>911874.14285714284</v>
      </c>
      <c r="G10" s="90">
        <f t="shared" si="2"/>
        <v>-0.10042822933151541</v>
      </c>
      <c r="H10" s="90"/>
      <c r="I10" s="130">
        <f t="shared" si="0"/>
        <v>10.323889677981624</v>
      </c>
      <c r="J10" s="130"/>
      <c r="K10" s="79">
        <f>R8+R9+R10</f>
        <v>65884074593</v>
      </c>
      <c r="L10" s="87">
        <f>U10/U7-1</f>
        <v>7.8382986638685592E-2</v>
      </c>
      <c r="N10" s="88">
        <f>AVERAGE(T8:T10)</f>
        <v>7.2579637381365529</v>
      </c>
      <c r="O10" s="89">
        <f>N10/N7-1</f>
        <v>-0.1298303858921106</v>
      </c>
      <c r="P10" s="129" t="s">
        <v>5</v>
      </c>
      <c r="Q10" s="116">
        <v>19149357</v>
      </c>
      <c r="R10" s="116">
        <v>23959198115</v>
      </c>
      <c r="S10" s="116">
        <v>1854858.74</v>
      </c>
      <c r="T10" s="130">
        <f t="shared" si="1"/>
        <v>10.323889677981624</v>
      </c>
      <c r="U10" s="85">
        <f>Q8+Q9+Q10</f>
        <v>52849773</v>
      </c>
    </row>
    <row r="11" spans="1:21" ht="15" hidden="1" customHeight="1">
      <c r="A11" s="129" t="s">
        <v>6</v>
      </c>
      <c r="C11" s="79"/>
      <c r="F11" s="78">
        <f>Q11/21</f>
        <v>1222740.0476190476</v>
      </c>
      <c r="G11" s="90">
        <f t="shared" si="2"/>
        <v>0.3409087835168565</v>
      </c>
      <c r="H11" s="90"/>
      <c r="I11" s="130">
        <f t="shared" si="0"/>
        <v>7.7817273085027328</v>
      </c>
      <c r="J11" s="130"/>
      <c r="K11" s="78"/>
      <c r="O11" s="89"/>
      <c r="P11" s="129" t="s">
        <v>6</v>
      </c>
      <c r="Q11" s="116">
        <v>25677541</v>
      </c>
      <c r="R11" s="116">
        <v>33040373400</v>
      </c>
      <c r="S11" s="116">
        <v>3299722.54</v>
      </c>
      <c r="T11" s="130">
        <f t="shared" si="1"/>
        <v>7.7817273085027328</v>
      </c>
      <c r="U11" s="85"/>
    </row>
    <row r="12" spans="1:21" ht="15" hidden="1" customHeight="1">
      <c r="A12" s="129" t="s">
        <v>7</v>
      </c>
      <c r="C12" s="79"/>
      <c r="F12" s="78">
        <f>Q12/22</f>
        <v>726179.18181818177</v>
      </c>
      <c r="G12" s="90">
        <f t="shared" si="2"/>
        <v>-0.40610501534466181</v>
      </c>
      <c r="H12" s="90"/>
      <c r="I12" s="130">
        <f t="shared" si="0"/>
        <v>9.4473692898699078</v>
      </c>
      <c r="J12" s="130"/>
      <c r="K12" s="78"/>
      <c r="O12" s="89"/>
      <c r="P12" s="129" t="s">
        <v>7</v>
      </c>
      <c r="Q12" s="116">
        <v>15975942</v>
      </c>
      <c r="R12" s="116">
        <v>20992395578</v>
      </c>
      <c r="S12" s="116">
        <v>1691046.63</v>
      </c>
      <c r="T12" s="130">
        <f t="shared" si="1"/>
        <v>9.4473692898699078</v>
      </c>
      <c r="U12" s="85"/>
    </row>
    <row r="13" spans="1:21" ht="15" hidden="1" customHeight="1">
      <c r="A13" s="129" t="s">
        <v>96</v>
      </c>
      <c r="B13" s="131">
        <f>F11+F12+F13</f>
        <v>4019772.0794372293</v>
      </c>
      <c r="C13" s="131">
        <f>AVERAGE(F11:F13)</f>
        <v>1339924.0264790764</v>
      </c>
      <c r="D13" s="90">
        <f>C13/C10-1</f>
        <v>0.59726728945802332</v>
      </c>
      <c r="E13" s="286"/>
      <c r="F13" s="78">
        <f>Q13/20</f>
        <v>2070852.85</v>
      </c>
      <c r="G13" s="90">
        <f t="shared" si="2"/>
        <v>1.8517105720589124</v>
      </c>
      <c r="H13" s="90"/>
      <c r="I13" s="130">
        <f t="shared" si="0"/>
        <v>6.1835135111069794</v>
      </c>
      <c r="J13" s="130"/>
      <c r="K13" s="78">
        <f>R11+R12+R13</f>
        <v>110578182020</v>
      </c>
      <c r="L13" s="87">
        <f>U13/U10-1</f>
        <v>0.57182396980210304</v>
      </c>
      <c r="N13" s="88">
        <f>AVERAGE(T11:T13)</f>
        <v>7.8042033698265412</v>
      </c>
      <c r="O13" s="89">
        <f>N13/N10-1</f>
        <v>7.5260727581181408E-2</v>
      </c>
      <c r="P13" s="129" t="s">
        <v>96</v>
      </c>
      <c r="Q13" s="116">
        <v>41417057</v>
      </c>
      <c r="R13" s="116">
        <v>56545413042</v>
      </c>
      <c r="S13" s="116">
        <v>6697981.1600000001</v>
      </c>
      <c r="T13" s="130">
        <f t="shared" si="1"/>
        <v>6.1835135111069794</v>
      </c>
      <c r="U13" s="85">
        <f>Q11+Q12+Q13</f>
        <v>83070540</v>
      </c>
    </row>
    <row r="14" spans="1:21" ht="15" hidden="1" customHeight="1">
      <c r="A14" s="129" t="s">
        <v>97</v>
      </c>
      <c r="C14" s="79"/>
      <c r="F14" s="78">
        <f>Q14/20</f>
        <v>2154836.1</v>
      </c>
      <c r="G14" s="90">
        <f t="shared" si="2"/>
        <v>4.0554909538840445E-2</v>
      </c>
      <c r="H14" s="90"/>
      <c r="I14" s="130">
        <f t="shared" si="0"/>
        <v>4.5114321812795231</v>
      </c>
      <c r="J14" s="130"/>
      <c r="O14" s="89"/>
      <c r="P14" s="129" t="s">
        <v>97</v>
      </c>
      <c r="Q14" s="116">
        <v>43096722</v>
      </c>
      <c r="R14" s="116">
        <v>61478269695</v>
      </c>
      <c r="S14" s="116">
        <v>9552780.6400000006</v>
      </c>
      <c r="T14" s="130">
        <f t="shared" si="1"/>
        <v>4.5114321812795231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3142545.6818181816</v>
      </c>
      <c r="G15" s="90">
        <f t="shared" si="2"/>
        <v>0.45836877422750688</v>
      </c>
      <c r="H15" s="90"/>
      <c r="I15" s="130">
        <f t="shared" si="0"/>
        <v>5.1269923377062048</v>
      </c>
      <c r="J15" s="130"/>
      <c r="O15" s="89"/>
      <c r="P15" s="129" t="s">
        <v>98</v>
      </c>
      <c r="Q15" s="116">
        <v>69136005</v>
      </c>
      <c r="R15" s="116">
        <v>93252774529</v>
      </c>
      <c r="S15" s="116">
        <v>13484710.029999999</v>
      </c>
      <c r="T15" s="130">
        <f t="shared" si="1"/>
        <v>5.1269923377062048</v>
      </c>
      <c r="U15" s="78"/>
    </row>
    <row r="16" spans="1:21" ht="15" hidden="1" customHeight="1">
      <c r="A16" s="129" t="s">
        <v>99</v>
      </c>
      <c r="B16" s="131">
        <f>F14+F15+F16</f>
        <v>7755469.1909090905</v>
      </c>
      <c r="C16" s="131">
        <f>AVERAGE(F14:F16)</f>
        <v>2585156.396969697</v>
      </c>
      <c r="D16" s="90">
        <f>C16/C13-1</f>
        <v>0.92933057836325439</v>
      </c>
      <c r="E16" s="286"/>
      <c r="F16" s="78">
        <f>Q16/22</f>
        <v>2458087.4090909092</v>
      </c>
      <c r="G16" s="90">
        <f t="shared" si="2"/>
        <v>-0.21780376230879983</v>
      </c>
      <c r="H16" s="90"/>
      <c r="I16" s="130">
        <f t="shared" si="0"/>
        <v>5.7493415108553174</v>
      </c>
      <c r="J16" s="130"/>
      <c r="K16" s="78">
        <f>R14+R15+R16</f>
        <v>225366691305</v>
      </c>
      <c r="L16" s="87">
        <f>U16/U13-1</f>
        <v>1.0020412772085026</v>
      </c>
      <c r="N16" s="88">
        <f>AVERAGE(T14:T16)</f>
        <v>5.1292553432803487</v>
      </c>
      <c r="O16" s="89">
        <f>N16/N13-1</f>
        <v>-0.34275734495699672</v>
      </c>
      <c r="P16" s="129" t="s">
        <v>99</v>
      </c>
      <c r="Q16" s="116">
        <v>54077923</v>
      </c>
      <c r="R16" s="116">
        <v>70635647081</v>
      </c>
      <c r="S16" s="116">
        <v>9405933.3399999999</v>
      </c>
      <c r="T16" s="130">
        <f t="shared" si="1"/>
        <v>5.7493415108553174</v>
      </c>
      <c r="U16" s="85">
        <f>Q14+Q15+Q16</f>
        <v>166310650</v>
      </c>
    </row>
    <row r="17" spans="1:21" ht="15" hidden="1" customHeight="1">
      <c r="A17" s="129" t="s">
        <v>100</v>
      </c>
      <c r="C17" s="79"/>
      <c r="F17" s="78">
        <f>Q17/20</f>
        <v>2129173.2000000002</v>
      </c>
      <c r="G17" s="90">
        <f t="shared" si="2"/>
        <v>-0.13380899632554299</v>
      </c>
      <c r="H17" s="90">
        <f t="shared" ref="H17:H47" si="3">F17/F5-1</f>
        <v>0.49440229034141248</v>
      </c>
      <c r="I17" s="130">
        <f t="shared" si="0"/>
        <v>6.0659993077460097</v>
      </c>
      <c r="J17" s="130">
        <f t="shared" ref="J17:J49" si="4">I17/I5-1</f>
        <v>-0.31324895749713899</v>
      </c>
      <c r="O17" s="89"/>
      <c r="P17" s="129" t="s">
        <v>100</v>
      </c>
      <c r="Q17" s="116">
        <v>42583464</v>
      </c>
      <c r="R17" s="116">
        <v>53537592927</v>
      </c>
      <c r="S17" s="116">
        <v>7020024.54</v>
      </c>
      <c r="T17" s="130">
        <f t="shared" si="1"/>
        <v>6.0659993077460097</v>
      </c>
      <c r="U17" s="78"/>
    </row>
    <row r="18" spans="1:21" ht="15" hidden="1" customHeight="1">
      <c r="A18" s="129" t="s">
        <v>106</v>
      </c>
      <c r="C18" s="79"/>
      <c r="F18" s="78">
        <f>Q18/20</f>
        <v>4024538.75</v>
      </c>
      <c r="G18" s="90">
        <f t="shared" si="2"/>
        <v>0.89018852482268684</v>
      </c>
      <c r="H18" s="90">
        <f t="shared" si="3"/>
        <v>7.0020812766621638</v>
      </c>
      <c r="I18" s="130">
        <f t="shared" si="0"/>
        <v>4.7536322547656829</v>
      </c>
      <c r="J18" s="130">
        <f t="shared" si="4"/>
        <v>-0.37708288529515765</v>
      </c>
      <c r="O18" s="89"/>
      <c r="P18" s="129" t="s">
        <v>106</v>
      </c>
      <c r="Q18" s="116">
        <v>80490775</v>
      </c>
      <c r="R18" s="116">
        <v>101949025105</v>
      </c>
      <c r="S18" s="116">
        <v>16932478.300000001</v>
      </c>
      <c r="T18" s="130">
        <f t="shared" si="1"/>
        <v>4.7536322547656829</v>
      </c>
      <c r="U18" s="78"/>
    </row>
    <row r="19" spans="1:21" hidden="1">
      <c r="A19" s="129" t="s">
        <v>114</v>
      </c>
      <c r="B19" s="131">
        <f>SUM(F17:F19)</f>
        <v>7649984.6318181818</v>
      </c>
      <c r="C19" s="131">
        <f>AVERAGE(F17:F19)</f>
        <v>2549994.8772727274</v>
      </c>
      <c r="D19" s="90">
        <f>C19/C16-1</f>
        <v>-1.3601312376375185E-2</v>
      </c>
      <c r="E19" s="286">
        <f>C19/C7-1</f>
        <v>2.1242030706745445</v>
      </c>
      <c r="F19" s="78">
        <f>Q19/22</f>
        <v>1496272.6818181819</v>
      </c>
      <c r="G19" s="90">
        <f t="shared" si="2"/>
        <v>-0.62821262888369955</v>
      </c>
      <c r="H19" s="90">
        <f t="shared" si="3"/>
        <v>1.8723806257842375</v>
      </c>
      <c r="I19" s="130">
        <f t="shared" si="0"/>
        <v>6.5282016505268716</v>
      </c>
      <c r="J19" s="130">
        <f t="shared" si="4"/>
        <v>-0.23722105182964814</v>
      </c>
      <c r="K19" s="78">
        <f>R17+R18+R19</f>
        <v>198517939465</v>
      </c>
      <c r="L19" s="87">
        <f>U19/U16-1</f>
        <v>-6.204300205669333E-2</v>
      </c>
      <c r="M19" s="87">
        <f>U19/U7-1</f>
        <v>2.1829725268052269</v>
      </c>
      <c r="N19" s="88">
        <f>AVERAGE(T17:T19)</f>
        <v>5.7826110710128544</v>
      </c>
      <c r="O19" s="89">
        <f>N19/N16-1</f>
        <v>0.12737828086262915</v>
      </c>
      <c r="P19" s="129" t="s">
        <v>115</v>
      </c>
      <c r="Q19" s="116">
        <v>32917999</v>
      </c>
      <c r="R19" s="116">
        <v>43031321433</v>
      </c>
      <c r="S19" s="116">
        <v>5042429.87</v>
      </c>
      <c r="T19" s="130">
        <f t="shared" si="1"/>
        <v>6.5282016505268716</v>
      </c>
      <c r="U19" s="85">
        <f>Q17+Q18+Q19</f>
        <v>155992238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1393821.9</v>
      </c>
      <c r="G20" s="90">
        <f t="shared" si="2"/>
        <v>-6.8470662508981928E-2</v>
      </c>
      <c r="H20" s="90">
        <f t="shared" si="3"/>
        <v>1.3579901482483518</v>
      </c>
      <c r="I20" s="130">
        <f t="shared" si="0"/>
        <v>6.5580728564897726</v>
      </c>
      <c r="J20" s="130">
        <f t="shared" si="4"/>
        <v>0.20281074650002151</v>
      </c>
      <c r="O20" s="89"/>
      <c r="P20" s="129" t="s">
        <v>131</v>
      </c>
      <c r="Q20" s="116">
        <v>27876438</v>
      </c>
      <c r="R20" s="116">
        <v>36499266927</v>
      </c>
      <c r="S20" s="116">
        <v>4250705.75</v>
      </c>
      <c r="T20" s="130">
        <f t="shared" si="1"/>
        <v>6.5580728564897726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1851761.142857143</v>
      </c>
      <c r="G21" s="90">
        <f t="shared" si="2"/>
        <v>0.32854932388215663</v>
      </c>
      <c r="H21" s="90">
        <f t="shared" si="3"/>
        <v>0.82677846848001391</v>
      </c>
      <c r="I21" s="130">
        <f t="shared" si="0"/>
        <v>7.4518162330656192</v>
      </c>
      <c r="J21" s="130">
        <f t="shared" si="4"/>
        <v>0.24244322761548065</v>
      </c>
      <c r="O21" s="89"/>
      <c r="P21" s="129" t="s">
        <v>141</v>
      </c>
      <c r="Q21" s="116">
        <v>38886984</v>
      </c>
      <c r="R21" s="116">
        <v>51613059546</v>
      </c>
      <c r="S21" s="116">
        <v>5218457.1900000004</v>
      </c>
      <c r="T21" s="130">
        <f t="shared" si="1"/>
        <v>7.4518162330656192</v>
      </c>
      <c r="U21" s="78"/>
    </row>
    <row r="22" spans="1:21" hidden="1">
      <c r="A22" s="129" t="s">
        <v>155</v>
      </c>
      <c r="B22" s="131">
        <f>SUM(F20:F22)</f>
        <v>6729250.1380952382</v>
      </c>
      <c r="C22" s="131">
        <f>AVERAGE(F20:F22)</f>
        <v>2243083.3793650796</v>
      </c>
      <c r="D22" s="90">
        <f>C22/C19-1</f>
        <v>-0.12035769194795254</v>
      </c>
      <c r="E22" s="286">
        <f>C22/C10-1</f>
        <v>1.6738857118648371</v>
      </c>
      <c r="F22" s="78">
        <f>Q22/21</f>
        <v>3483667.0952380951</v>
      </c>
      <c r="G22" s="90">
        <f t="shared" si="2"/>
        <v>0.88127238152488241</v>
      </c>
      <c r="H22" s="90">
        <f t="shared" si="3"/>
        <v>2.8203376228246202</v>
      </c>
      <c r="I22" s="130">
        <f t="shared" si="0"/>
        <v>4.7550596486530878</v>
      </c>
      <c r="J22" s="130">
        <f t="shared" si="4"/>
        <v>-0.53941200487695173</v>
      </c>
      <c r="K22" s="78">
        <f>R20+R21+R22</f>
        <v>183143542784</v>
      </c>
      <c r="L22" s="87">
        <f>U22/U19-1</f>
        <v>-0.10302953022572825</v>
      </c>
      <c r="M22" s="87">
        <f>U22/U10-1</f>
        <v>1.647512431131918</v>
      </c>
      <c r="N22" s="88">
        <f>AVERAGE(T20:T22)</f>
        <v>6.2549829127361605</v>
      </c>
      <c r="O22" s="89">
        <f>N22/N19-1</f>
        <v>8.1688330050626812E-2</v>
      </c>
      <c r="P22" s="129" t="s">
        <v>155</v>
      </c>
      <c r="Q22" s="116">
        <v>73157009</v>
      </c>
      <c r="R22" s="116">
        <v>95031216311</v>
      </c>
      <c r="S22" s="116">
        <v>15385087.550000001</v>
      </c>
      <c r="T22" s="130">
        <f t="shared" si="1"/>
        <v>4.7550596486530878</v>
      </c>
      <c r="U22" s="85">
        <f>Q20+Q21+Q22</f>
        <v>139920431</v>
      </c>
    </row>
    <row r="23" spans="1:21" hidden="1">
      <c r="A23" s="129" t="s">
        <v>189</v>
      </c>
      <c r="B23" s="131"/>
      <c r="C23" s="131"/>
      <c r="F23" s="78">
        <f>Q23/21</f>
        <v>3064737</v>
      </c>
      <c r="G23" s="90">
        <f t="shared" si="2"/>
        <v>-0.12025549048895645</v>
      </c>
      <c r="H23" s="90">
        <f t="shared" si="3"/>
        <v>1.50645016981961</v>
      </c>
      <c r="I23" s="130">
        <f t="shared" si="0"/>
        <v>21.745105378072829</v>
      </c>
      <c r="J23" s="130">
        <f t="shared" si="4"/>
        <v>1.7943802855071729</v>
      </c>
      <c r="O23" s="89"/>
      <c r="P23" s="129" t="s">
        <v>189</v>
      </c>
      <c r="Q23" s="116">
        <v>64359477</v>
      </c>
      <c r="R23" s="116">
        <v>81658400465</v>
      </c>
      <c r="S23" s="116">
        <v>2959722.47</v>
      </c>
      <c r="T23" s="130">
        <f t="shared" si="1"/>
        <v>21.745105378072829</v>
      </c>
      <c r="U23" s="78"/>
    </row>
    <row r="24" spans="1:21" hidden="1">
      <c r="A24" s="129" t="s">
        <v>204</v>
      </c>
      <c r="B24" s="131"/>
      <c r="C24" s="131"/>
      <c r="F24" s="78">
        <f>Q24/22</f>
        <v>1874331.6363636365</v>
      </c>
      <c r="G24" s="90">
        <f t="shared" si="2"/>
        <v>-0.38842007116315802</v>
      </c>
      <c r="H24" s="90">
        <f t="shared" si="3"/>
        <v>1.5810869869207091</v>
      </c>
      <c r="I24" s="130">
        <f t="shared" si="0"/>
        <v>11.98208391581699</v>
      </c>
      <c r="J24" s="130">
        <f t="shared" si="4"/>
        <v>0.26829845940975017</v>
      </c>
      <c r="O24" s="89"/>
      <c r="P24" s="129" t="s">
        <v>204</v>
      </c>
      <c r="Q24" s="116">
        <v>41235296</v>
      </c>
      <c r="R24" s="116">
        <v>54261399551</v>
      </c>
      <c r="S24" s="116">
        <v>3441412.72</v>
      </c>
      <c r="T24" s="130">
        <f t="shared" si="1"/>
        <v>11.98208391581699</v>
      </c>
      <c r="U24" s="78"/>
    </row>
    <row r="25" spans="1:21" s="79" customFormat="1" ht="13.2" hidden="1">
      <c r="A25" s="129" t="s">
        <v>218</v>
      </c>
      <c r="B25" s="131">
        <f>SUM(F23:F25)</f>
        <v>5856538.6363636367</v>
      </c>
      <c r="C25" s="131">
        <f>AVERAGE(F23:F25)</f>
        <v>1952179.5454545456</v>
      </c>
      <c r="D25" s="90">
        <f>C25/C22-1</f>
        <v>-0.12968926460186969</v>
      </c>
      <c r="E25" s="286">
        <f>C25/C13-1</f>
        <v>0.45693301028737832</v>
      </c>
      <c r="F25" s="78">
        <f>Q25/19</f>
        <v>917470</v>
      </c>
      <c r="G25" s="90">
        <f t="shared" si="2"/>
        <v>-0.5105081821166022</v>
      </c>
      <c r="H25" s="90">
        <f t="shared" si="3"/>
        <v>-0.55696031226941112</v>
      </c>
      <c r="I25" s="130">
        <f t="shared" si="0"/>
        <v>5.4341196324869436</v>
      </c>
      <c r="J25" s="130">
        <f t="shared" si="4"/>
        <v>-0.12119224406544205</v>
      </c>
      <c r="K25" s="78">
        <f>R23+R24+R25</f>
        <v>159049544215</v>
      </c>
      <c r="L25" s="90">
        <f>U25/U22-1</f>
        <v>-0.12073810721752276</v>
      </c>
      <c r="M25" s="90">
        <f>U25/U13-1</f>
        <v>0.48099077001305157</v>
      </c>
      <c r="N25" s="88">
        <f>AVERAGE(T23:T25)</f>
        <v>13.053769642125587</v>
      </c>
      <c r="O25" s="91">
        <f>N25/N22-1</f>
        <v>1.0869392969157428</v>
      </c>
      <c r="P25" s="129" t="s">
        <v>220</v>
      </c>
      <c r="Q25" s="116">
        <v>17431930</v>
      </c>
      <c r="R25" s="116">
        <v>23129744199</v>
      </c>
      <c r="S25" s="116">
        <v>3207866.44</v>
      </c>
      <c r="T25" s="130">
        <f t="shared" si="1"/>
        <v>5.4341196324869436</v>
      </c>
      <c r="U25" s="85">
        <f>Q23+Q24+Q25</f>
        <v>123026703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1501529.3157894737</v>
      </c>
      <c r="G26" s="90">
        <f t="shared" si="2"/>
        <v>0.63659772612671128</v>
      </c>
      <c r="H26" s="90">
        <f t="shared" si="3"/>
        <v>-0.30318165925033758</v>
      </c>
      <c r="I26" s="130">
        <f t="shared" si="0"/>
        <v>9.7350719552232778</v>
      </c>
      <c r="J26" s="130">
        <f t="shared" si="4"/>
        <v>1.157867294474598</v>
      </c>
      <c r="L26" s="90"/>
      <c r="M26" s="90"/>
      <c r="P26" s="129" t="s">
        <v>312</v>
      </c>
      <c r="Q26" s="116">
        <v>28529057</v>
      </c>
      <c r="R26" s="116">
        <v>38324453527</v>
      </c>
      <c r="S26" s="116">
        <v>2930544.03</v>
      </c>
      <c r="T26" s="130">
        <f t="shared" si="1"/>
        <v>9.7350719552232778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866355.63636363635</v>
      </c>
      <c r="G27" s="90">
        <f t="shared" si="2"/>
        <v>-0.42301783438165896</v>
      </c>
      <c r="H27" s="90">
        <f t="shared" si="3"/>
        <v>-0.72431406761209294</v>
      </c>
      <c r="I27" s="130">
        <f t="shared" si="0"/>
        <v>7.7468669872685281</v>
      </c>
      <c r="J27" s="130">
        <f t="shared" si="4"/>
        <v>0.51099640432356175</v>
      </c>
      <c r="L27" s="90"/>
      <c r="M27" s="90"/>
      <c r="P27" s="129" t="s">
        <v>375</v>
      </c>
      <c r="Q27" s="116">
        <v>19059824</v>
      </c>
      <c r="R27" s="116">
        <v>25239966568</v>
      </c>
      <c r="S27" s="116">
        <v>2460326.7400000002</v>
      </c>
      <c r="T27" s="130">
        <f t="shared" si="1"/>
        <v>7.7468669872685281</v>
      </c>
      <c r="U27" s="78"/>
    </row>
    <row r="28" spans="1:21" s="79" customFormat="1" ht="13.2" hidden="1">
      <c r="A28" s="123" t="s">
        <v>413</v>
      </c>
      <c r="B28" s="131">
        <f>SUM(F26:F28)</f>
        <v>2813622.6363636362</v>
      </c>
      <c r="C28" s="131">
        <f>AVERAGE(F26:F28)</f>
        <v>937874.21212121204</v>
      </c>
      <c r="D28" s="90">
        <f>C28/C25-1</f>
        <v>-0.51957584316209127</v>
      </c>
      <c r="E28" s="286">
        <f>C28/C16-1</f>
        <v>-0.63720794098934141</v>
      </c>
      <c r="F28" s="78">
        <f>Q28/19</f>
        <v>445737.68421052629</v>
      </c>
      <c r="G28" s="90">
        <f t="shared" si="2"/>
        <v>-0.48550264406263255</v>
      </c>
      <c r="H28" s="90">
        <f t="shared" si="3"/>
        <v>-0.81866483569216264</v>
      </c>
      <c r="I28" s="130">
        <f t="shared" si="0"/>
        <v>8.405325152972857</v>
      </c>
      <c r="J28" s="130">
        <f t="shared" si="4"/>
        <v>0.4619631025749269</v>
      </c>
      <c r="K28" s="78">
        <f>R26+R27+R28</f>
        <v>74646265341</v>
      </c>
      <c r="L28" s="90">
        <f>U28/U25-1</f>
        <v>-0.54434366171708271</v>
      </c>
      <c r="M28" s="90">
        <f>U28/U16-1</f>
        <v>-0.66293260834468515</v>
      </c>
      <c r="N28" s="88">
        <f>AVERAGE(T26:T28)</f>
        <v>8.6290880318215546</v>
      </c>
      <c r="O28" s="91">
        <f>N28/N25-1</f>
        <v>-0.33895815014424813</v>
      </c>
      <c r="P28" s="129" t="s">
        <v>413</v>
      </c>
      <c r="Q28" s="116">
        <v>8469016</v>
      </c>
      <c r="R28" s="116">
        <v>11081845246</v>
      </c>
      <c r="S28" s="116">
        <v>1007577.44</v>
      </c>
      <c r="T28" s="130">
        <f t="shared" si="1"/>
        <v>8.405325152972857</v>
      </c>
      <c r="U28" s="85">
        <f>Q26+Q27+Q28</f>
        <v>56057897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1753658.6363636365</v>
      </c>
      <c r="G29" s="190">
        <f t="shared" si="2"/>
        <v>2.9342839936669258</v>
      </c>
      <c r="H29" s="190">
        <f t="shared" si="3"/>
        <v>-0.1763663771629117</v>
      </c>
      <c r="I29" s="130">
        <f t="shared" si="0"/>
        <v>3.359275070890078</v>
      </c>
      <c r="J29" s="130">
        <f t="shared" si="4"/>
        <v>-0.44621242099377856</v>
      </c>
      <c r="K29" s="136"/>
      <c r="L29" s="190"/>
      <c r="M29" s="190"/>
      <c r="N29" s="191"/>
      <c r="O29" s="192"/>
      <c r="P29" s="129" t="s">
        <v>427</v>
      </c>
      <c r="Q29" s="116">
        <v>38580490</v>
      </c>
      <c r="R29" s="116">
        <v>50837980104</v>
      </c>
      <c r="S29" s="116">
        <v>11484766.560000001</v>
      </c>
      <c r="T29" s="130">
        <f t="shared" si="1"/>
        <v>3.359275070890078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1201178.4210526317</v>
      </c>
      <c r="G30" s="190">
        <f t="shared" si="2"/>
        <v>-0.31504433294761436</v>
      </c>
      <c r="H30" s="190">
        <f t="shared" si="3"/>
        <v>-0.70153637580141781</v>
      </c>
      <c r="I30" s="130">
        <f t="shared" si="0"/>
        <v>4.9862186783994336</v>
      </c>
      <c r="J30" s="130">
        <f t="shared" si="4"/>
        <v>4.8928148238765123E-2</v>
      </c>
      <c r="K30" s="136"/>
      <c r="L30" s="190"/>
      <c r="M30" s="190"/>
      <c r="N30" s="191"/>
      <c r="O30" s="192"/>
      <c r="P30" s="129" t="s">
        <v>469</v>
      </c>
      <c r="Q30" s="116">
        <v>22822390</v>
      </c>
      <c r="R30" s="116">
        <v>30425380317</v>
      </c>
      <c r="S30" s="116">
        <v>4577093.68</v>
      </c>
      <c r="T30" s="130">
        <f t="shared" si="1"/>
        <v>4.9862186783994336</v>
      </c>
      <c r="U30" s="85"/>
    </row>
    <row r="31" spans="1:21" s="79" customFormat="1" ht="13.2" hidden="1">
      <c r="A31" s="129" t="s">
        <v>505</v>
      </c>
      <c r="B31" s="188">
        <f>SUM(F29:F31)</f>
        <v>3454701.4574162681</v>
      </c>
      <c r="C31" s="188">
        <f>AVERAGE(F29:F31)</f>
        <v>1151567.1524720893</v>
      </c>
      <c r="D31" s="190">
        <f>C31/C28-1</f>
        <v>0.22784818858337408</v>
      </c>
      <c r="E31" s="287">
        <f>C31/C19-1</f>
        <v>-0.54840413102958296</v>
      </c>
      <c r="F31" s="136">
        <f>Q31/20</f>
        <v>499864.4</v>
      </c>
      <c r="G31" s="190">
        <f t="shared" si="2"/>
        <v>-0.5838549950290044</v>
      </c>
      <c r="H31" s="190">
        <f t="shared" si="3"/>
        <v>-0.6659269355953259</v>
      </c>
      <c r="I31" s="130">
        <f t="shared" si="0"/>
        <v>4.4579413024612666</v>
      </c>
      <c r="J31" s="130">
        <f t="shared" si="4"/>
        <v>-0.31712567394399049</v>
      </c>
      <c r="K31" s="136">
        <f>R29+R30+R31</f>
        <v>94565656858</v>
      </c>
      <c r="L31" s="190">
        <f>U31/U28-1</f>
        <v>0.2736861677133553</v>
      </c>
      <c r="M31" s="190">
        <f>U31/U19-1</f>
        <v>-0.54228384107163075</v>
      </c>
      <c r="N31" s="191">
        <f>AVERAGE(T29:T31)</f>
        <v>4.2678116839169258</v>
      </c>
      <c r="O31" s="192">
        <f>N31/N28-1</f>
        <v>-0.50541567449787461</v>
      </c>
      <c r="P31" s="129" t="s">
        <v>506</v>
      </c>
      <c r="Q31" s="116">
        <v>9997288</v>
      </c>
      <c r="R31" s="116">
        <v>13302296437</v>
      </c>
      <c r="S31" s="116">
        <v>2242579.5499999998</v>
      </c>
      <c r="T31" s="130">
        <f t="shared" si="1"/>
        <v>4.4579413024612666</v>
      </c>
      <c r="U31" s="85">
        <f>Q29+Q30+Q31</f>
        <v>71400168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1317457</v>
      </c>
      <c r="G32" s="190">
        <f t="shared" si="2"/>
        <v>1.6356287825258207</v>
      </c>
      <c r="H32" s="190">
        <f t="shared" si="3"/>
        <v>-5.4788133261502003E-2</v>
      </c>
      <c r="I32" s="130">
        <f t="shared" si="0"/>
        <v>4.5258026553168058</v>
      </c>
      <c r="J32" s="130">
        <f t="shared" si="4"/>
        <v>-0.3098883232384132</v>
      </c>
      <c r="K32" s="136"/>
      <c r="L32" s="190"/>
      <c r="M32" s="190"/>
      <c r="N32" s="191"/>
      <c r="O32" s="192"/>
      <c r="P32" s="129" t="s">
        <v>561</v>
      </c>
      <c r="Q32" s="116">
        <v>27666597</v>
      </c>
      <c r="R32" s="116">
        <v>37365795113</v>
      </c>
      <c r="S32" s="116">
        <v>6113080.7300000004</v>
      </c>
      <c r="T32" s="130">
        <f t="shared" si="1"/>
        <v>4.5258026553168058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687766.33333333337</v>
      </c>
      <c r="G33" s="190">
        <f t="shared" si="2"/>
        <v>-0.47795917943937949</v>
      </c>
      <c r="H33" s="190">
        <f t="shared" si="3"/>
        <v>-0.62858798717843478</v>
      </c>
      <c r="I33" s="130">
        <f t="shared" si="0"/>
        <v>3.4500531782034938</v>
      </c>
      <c r="J33" s="130">
        <f t="shared" si="4"/>
        <v>-0.53701848377651573</v>
      </c>
      <c r="K33" s="136"/>
      <c r="L33" s="190"/>
      <c r="M33" s="190"/>
      <c r="N33" s="191"/>
      <c r="O33" s="192"/>
      <c r="P33" s="129" t="s">
        <v>607</v>
      </c>
      <c r="Q33" s="116">
        <v>14443093</v>
      </c>
      <c r="R33" s="116">
        <v>19706311096</v>
      </c>
      <c r="S33" s="116">
        <v>4186339.24</v>
      </c>
      <c r="T33" s="130">
        <f t="shared" si="1"/>
        <v>3.4500531782034938</v>
      </c>
      <c r="U33" s="85"/>
    </row>
    <row r="34" spans="1:21" s="79" customFormat="1" ht="13.2" hidden="1">
      <c r="A34" s="129" t="s">
        <v>652</v>
      </c>
      <c r="B34" s="188">
        <f>SUM(F32:F34)</f>
        <v>3107446.0175438598</v>
      </c>
      <c r="C34" s="188">
        <f>AVERAGE(F32:F34)</f>
        <v>1035815.3391812866</v>
      </c>
      <c r="D34" s="190">
        <f>C34/C31-1</f>
        <v>-0.10051677233265655</v>
      </c>
      <c r="E34" s="287">
        <f>C34/C22-1</f>
        <v>-0.53821808466411913</v>
      </c>
      <c r="F34" s="136">
        <f>Q34/19</f>
        <v>1102222.6842105263</v>
      </c>
      <c r="G34" s="190">
        <f t="shared" si="2"/>
        <v>0.60261215298004744</v>
      </c>
      <c r="H34" s="190">
        <f t="shared" si="3"/>
        <v>-0.68360275133144044</v>
      </c>
      <c r="I34" s="130">
        <f t="shared" si="0"/>
        <v>7.8807986766816605</v>
      </c>
      <c r="J34" s="130">
        <f t="shared" si="4"/>
        <v>0.65735011944886224</v>
      </c>
      <c r="K34" s="136">
        <f>R32+R33+R34</f>
        <v>85865751595</v>
      </c>
      <c r="L34" s="190">
        <f>U34/U31-1</f>
        <v>-0.11692195178028153</v>
      </c>
      <c r="M34" s="190">
        <f>U34/U22-1</f>
        <v>-0.54937302187126624</v>
      </c>
      <c r="N34" s="191">
        <f>AVERAGE(T32:T34)</f>
        <v>5.2855515034006535</v>
      </c>
      <c r="O34" s="192">
        <f>N34/N31-1</f>
        <v>0.23846877389624255</v>
      </c>
      <c r="P34" s="129" t="s">
        <v>652</v>
      </c>
      <c r="Q34" s="116">
        <v>20942231</v>
      </c>
      <c r="R34" s="116">
        <v>28793645386</v>
      </c>
      <c r="S34" s="116">
        <v>2657374.19</v>
      </c>
      <c r="T34" s="130">
        <f t="shared" si="1"/>
        <v>7.8807986766816605</v>
      </c>
      <c r="U34" s="85">
        <f>Q32+Q33+Q34</f>
        <v>63051921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2798041.6521739131</v>
      </c>
      <c r="G35" s="190">
        <f t="shared" si="2"/>
        <v>1.5385447897745159</v>
      </c>
      <c r="H35" s="190">
        <f t="shared" si="3"/>
        <v>-8.7020631077344257E-2</v>
      </c>
      <c r="I35" s="130">
        <f t="shared" si="0"/>
        <v>8.0889238967135189</v>
      </c>
      <c r="J35" s="130">
        <f t="shared" si="4"/>
        <v>-0.6280117407538448</v>
      </c>
      <c r="K35" s="136"/>
      <c r="L35" s="190"/>
      <c r="M35" s="190"/>
      <c r="N35" s="191"/>
      <c r="O35" s="192"/>
      <c r="P35" s="129" t="s">
        <v>660</v>
      </c>
      <c r="Q35" s="116">
        <v>64354958</v>
      </c>
      <c r="R35" s="116">
        <v>89184476828</v>
      </c>
      <c r="S35" s="116">
        <v>7955935.6500000004</v>
      </c>
      <c r="T35" s="130">
        <f t="shared" si="1"/>
        <v>8.0889238967135189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431372.66666666669</v>
      </c>
      <c r="G36" s="190">
        <f t="shared" si="2"/>
        <v>-0.84583050565687057</v>
      </c>
      <c r="H36" s="190">
        <f t="shared" si="3"/>
        <v>-0.76985253927444419</v>
      </c>
      <c r="I36" s="130">
        <f t="shared" si="0"/>
        <v>14.712097687086818</v>
      </c>
      <c r="J36" s="130">
        <f t="shared" si="4"/>
        <v>0.22784131628940307</v>
      </c>
      <c r="K36" s="136"/>
      <c r="L36" s="190"/>
      <c r="M36" s="190"/>
      <c r="N36" s="191"/>
      <c r="O36" s="192"/>
      <c r="P36" s="129" t="s">
        <v>664</v>
      </c>
      <c r="Q36" s="116">
        <v>9058826</v>
      </c>
      <c r="R36" s="116">
        <v>12451850716</v>
      </c>
      <c r="S36" s="116">
        <v>615739.93000000005</v>
      </c>
      <c r="T36" s="130">
        <f t="shared" si="1"/>
        <v>14.712097687086818</v>
      </c>
      <c r="U36" s="85"/>
    </row>
    <row r="37" spans="1:21" s="79" customFormat="1" ht="13.2" hidden="1">
      <c r="A37" s="129" t="s">
        <v>702</v>
      </c>
      <c r="B37" s="188">
        <f>SUM(F35:F37)</f>
        <v>3831053.4299516906</v>
      </c>
      <c r="C37" s="188">
        <f>AVERAGE(F35:F37)</f>
        <v>1277017.8099838968</v>
      </c>
      <c r="D37" s="190">
        <f>C37/C34-1</f>
        <v>0.23286242410086122</v>
      </c>
      <c r="E37" s="287">
        <f>C37/C25-1</f>
        <v>-0.34585022522272368</v>
      </c>
      <c r="F37" s="136">
        <f>Q37/18</f>
        <v>601639.11111111112</v>
      </c>
      <c r="G37" s="190">
        <f t="shared" si="2"/>
        <v>0.39470846810981164</v>
      </c>
      <c r="H37" s="190">
        <f t="shared" si="3"/>
        <v>-0.344241107490042</v>
      </c>
      <c r="I37" s="130">
        <f t="shared" si="0"/>
        <v>7.2029056269128517</v>
      </c>
      <c r="J37" s="130">
        <f t="shared" si="4"/>
        <v>0.32549632949770313</v>
      </c>
      <c r="K37" s="136">
        <f>R35+R36+R37</f>
        <v>116091798291</v>
      </c>
      <c r="L37" s="190">
        <f>U37/U34-1</f>
        <v>0.33609391536222977</v>
      </c>
      <c r="M37" s="190">
        <f>U37/U25-1</f>
        <v>-0.3152438783960585</v>
      </c>
      <c r="N37" s="191">
        <f>AVERAGE(T35:T37)</f>
        <v>10.001309070237729</v>
      </c>
      <c r="O37" s="192">
        <f>N37/N34-1</f>
        <v>0.89219782719041141</v>
      </c>
      <c r="P37" s="129" t="s">
        <v>702</v>
      </c>
      <c r="Q37" s="116">
        <v>10829504</v>
      </c>
      <c r="R37" s="116">
        <v>14455470747</v>
      </c>
      <c r="S37" s="116">
        <v>1503491.03</v>
      </c>
      <c r="T37" s="130">
        <f t="shared" si="1"/>
        <v>7.2029056269128517</v>
      </c>
      <c r="U37" s="85">
        <f>Q35+Q36+Q37</f>
        <v>84243288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519281.75</v>
      </c>
      <c r="G38" s="190">
        <f t="shared" si="2"/>
        <v>-0.13688830993552425</v>
      </c>
      <c r="H38" s="190">
        <f t="shared" si="3"/>
        <v>-0.65416476086118092</v>
      </c>
      <c r="I38" s="130">
        <f t="shared" si="0"/>
        <v>10.752249060076913</v>
      </c>
      <c r="J38" s="130">
        <f t="shared" si="4"/>
        <v>0.10448583323597083</v>
      </c>
      <c r="K38" s="136"/>
      <c r="L38" s="190"/>
      <c r="M38" s="190"/>
      <c r="N38" s="191"/>
      <c r="O38" s="192"/>
      <c r="P38" s="129" t="s">
        <v>726</v>
      </c>
      <c r="Q38" s="116">
        <v>10385635</v>
      </c>
      <c r="R38" s="116">
        <v>13975561999</v>
      </c>
      <c r="S38" s="116">
        <v>965903.5</v>
      </c>
      <c r="T38" s="130">
        <f t="shared" si="1"/>
        <v>10.752249060076913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333042.80952380953</v>
      </c>
      <c r="G39" s="190">
        <f t="shared" si="2"/>
        <v>-0.35864719003930035</v>
      </c>
      <c r="H39" s="190">
        <f t="shared" si="3"/>
        <v>-0.61558187475793003</v>
      </c>
      <c r="I39" s="130">
        <f t="shared" si="0"/>
        <v>8.2635322197576464</v>
      </c>
      <c r="J39" s="130">
        <f t="shared" si="4"/>
        <v>6.6693443083277959E-2</v>
      </c>
      <c r="K39" s="136"/>
      <c r="L39" s="190"/>
      <c r="M39" s="190"/>
      <c r="N39" s="191"/>
      <c r="O39" s="192"/>
      <c r="P39" s="129" t="s">
        <v>762</v>
      </c>
      <c r="Q39" s="116">
        <v>6993899</v>
      </c>
      <c r="R39" s="116">
        <v>9731139401</v>
      </c>
      <c r="S39" s="116">
        <v>846357.08</v>
      </c>
      <c r="T39" s="130">
        <f t="shared" si="1"/>
        <v>8.2635322197576464</v>
      </c>
      <c r="U39" s="85"/>
    </row>
    <row r="40" spans="1:21" s="79" customFormat="1" ht="13.2" hidden="1">
      <c r="A40" s="129" t="s">
        <v>777</v>
      </c>
      <c r="B40" s="188">
        <f>SUM(F38:F40)</f>
        <v>1376764.3214285714</v>
      </c>
      <c r="C40" s="188">
        <f>AVERAGE(F38:F40)</f>
        <v>458921.44047619047</v>
      </c>
      <c r="D40" s="190">
        <f>C40/C37-1</f>
        <v>-0.64063035230340493</v>
      </c>
      <c r="E40" s="287">
        <f>C40/C28-1</f>
        <v>-0.51067911395256604</v>
      </c>
      <c r="F40" s="136">
        <f>Q40/21</f>
        <v>524439.76190476189</v>
      </c>
      <c r="G40" s="190">
        <f t="shared" si="2"/>
        <v>0.57469174204545981</v>
      </c>
      <c r="H40" s="190">
        <f t="shared" si="3"/>
        <v>0.17656590519966864</v>
      </c>
      <c r="I40" s="130">
        <f t="shared" si="0"/>
        <v>8.0067029206335736</v>
      </c>
      <c r="J40" s="130">
        <f t="shared" si="4"/>
        <v>-4.7424962756889344E-2</v>
      </c>
      <c r="K40" s="136">
        <f>R38+R39+R40</f>
        <v>39300283723</v>
      </c>
      <c r="L40" s="190">
        <f>U40/U37-1</f>
        <v>-0.66296698913271279</v>
      </c>
      <c r="M40" s="190">
        <f>U40/U28-1</f>
        <v>-0.49350991529346877</v>
      </c>
      <c r="N40" s="191">
        <f>AVERAGE(T38:T40)</f>
        <v>9.0074947334893789</v>
      </c>
      <c r="O40" s="192">
        <f>N40/N37-1</f>
        <v>-9.9368425649976166E-2</v>
      </c>
      <c r="P40" s="129" t="s">
        <v>777</v>
      </c>
      <c r="Q40" s="116">
        <v>11013235</v>
      </c>
      <c r="R40" s="116">
        <v>15593582323</v>
      </c>
      <c r="S40" s="116">
        <v>1375501.89</v>
      </c>
      <c r="T40" s="130">
        <f t="shared" si="1"/>
        <v>8.0067029206335736</v>
      </c>
      <c r="U40" s="85">
        <f>Q38+Q39+Q40</f>
        <v>28392769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842484.72222222225</v>
      </c>
      <c r="G41" s="190">
        <f t="shared" si="2"/>
        <v>0.60644707632831474</v>
      </c>
      <c r="H41" s="190">
        <f t="shared" si="3"/>
        <v>-0.51958453900173662</v>
      </c>
      <c r="I41" s="130">
        <f t="shared" si="0"/>
        <v>5.0479449792846252</v>
      </c>
      <c r="J41" s="130">
        <f t="shared" si="4"/>
        <v>0.50268878634791725</v>
      </c>
      <c r="K41" s="193"/>
      <c r="L41" s="190"/>
      <c r="M41" s="190"/>
      <c r="N41" s="193"/>
      <c r="O41" s="193"/>
      <c r="P41" s="129" t="s">
        <v>787</v>
      </c>
      <c r="Q41" s="116">
        <v>15164725</v>
      </c>
      <c r="R41" s="116">
        <v>22164732736</v>
      </c>
      <c r="S41" s="116">
        <v>3004138.33</v>
      </c>
      <c r="T41" s="130">
        <f t="shared" si="1"/>
        <v>5.0479449792846252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520002.5</v>
      </c>
      <c r="G42" s="190">
        <f t="shared" si="2"/>
        <v>-0.38277515747895197</v>
      </c>
      <c r="H42" s="190">
        <f t="shared" si="3"/>
        <v>-0.56708970883417553</v>
      </c>
      <c r="I42" s="130">
        <f t="shared" si="0"/>
        <v>8.8381959975775981</v>
      </c>
      <c r="J42" s="130">
        <f t="shared" si="4"/>
        <v>0.7725247462300715</v>
      </c>
      <c r="K42" s="193"/>
      <c r="L42" s="190"/>
      <c r="M42" s="190"/>
      <c r="N42" s="193"/>
      <c r="O42" s="193"/>
      <c r="P42" s="129" t="s">
        <v>826</v>
      </c>
      <c r="Q42" s="116">
        <v>10400050</v>
      </c>
      <c r="R42" s="116">
        <v>15046165435</v>
      </c>
      <c r="S42" s="116">
        <v>1176716.3799999999</v>
      </c>
      <c r="T42" s="130">
        <f t="shared" si="1"/>
        <v>8.8381959975775981</v>
      </c>
      <c r="U42" s="78"/>
    </row>
    <row r="43" spans="1:21" s="79" customFormat="1" ht="13.2">
      <c r="A43" s="129" t="s">
        <v>834</v>
      </c>
      <c r="B43" s="188">
        <f>SUM(F41:F43)</f>
        <v>1764975.7222222222</v>
      </c>
      <c r="C43" s="188">
        <f>AVERAGE(F41:F43)</f>
        <v>588325.24074074079</v>
      </c>
      <c r="D43" s="190">
        <f>C43/C40-1</f>
        <v>0.2819737516082863</v>
      </c>
      <c r="E43" s="287">
        <f>C43/C31-1</f>
        <v>-0.48910904633066965</v>
      </c>
      <c r="F43" s="136">
        <f>Q43/20</f>
        <v>402488.5</v>
      </c>
      <c r="G43" s="190">
        <f t="shared" si="2"/>
        <v>-0.22598737506069677</v>
      </c>
      <c r="H43" s="190">
        <f t="shared" si="3"/>
        <v>-0.1948046310159316</v>
      </c>
      <c r="I43" s="130">
        <f t="shared" si="0"/>
        <v>8.0438308375011314</v>
      </c>
      <c r="J43" s="130">
        <f t="shared" si="4"/>
        <v>0.80438240249149651</v>
      </c>
      <c r="K43" s="136">
        <f>R41+R42+R43</f>
        <v>48887053546</v>
      </c>
      <c r="L43" s="190">
        <f>U43/U40-1</f>
        <v>0.1839121784845994</v>
      </c>
      <c r="M43" s="190">
        <f>K43/K31-1</f>
        <v>-0.48303585920828629</v>
      </c>
      <c r="N43" s="191">
        <f>AVERAGE(T41:T43)</f>
        <v>7.3099906047877852</v>
      </c>
      <c r="O43" s="192">
        <f>N43/N40-1</f>
        <v>-0.1884546346044883</v>
      </c>
      <c r="P43" s="129" t="s">
        <v>834</v>
      </c>
      <c r="Q43" s="116">
        <v>8049770</v>
      </c>
      <c r="R43" s="116">
        <v>11676155375</v>
      </c>
      <c r="S43" s="116">
        <v>1000738.35</v>
      </c>
      <c r="T43" s="130">
        <f t="shared" si="1"/>
        <v>8.0438308375011314</v>
      </c>
      <c r="U43" s="85">
        <f>Q41+Q42+Q43</f>
        <v>33614545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2635617.3636363638</v>
      </c>
      <c r="G44" s="190">
        <f t="shared" si="2"/>
        <v>5.5483047680526614</v>
      </c>
      <c r="H44" s="190">
        <f t="shared" si="3"/>
        <v>1.0005338797671302</v>
      </c>
      <c r="I44" s="130">
        <f t="shared" si="0"/>
        <v>4.987021789442978</v>
      </c>
      <c r="J44" s="130">
        <f t="shared" si="4"/>
        <v>0.10190880364267385</v>
      </c>
      <c r="K44" s="136"/>
      <c r="L44" s="190"/>
      <c r="M44" s="190"/>
      <c r="N44" s="191"/>
      <c r="O44" s="192"/>
      <c r="P44" s="129" t="s">
        <v>838</v>
      </c>
      <c r="Q44" s="116">
        <v>57983582</v>
      </c>
      <c r="R44" s="116">
        <v>83454580127</v>
      </c>
      <c r="S44" s="116">
        <v>11626895.66</v>
      </c>
      <c r="T44" s="130">
        <f t="shared" si="1"/>
        <v>4.987021789442978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1516630.6</v>
      </c>
      <c r="G45" s="190">
        <f t="shared" si="2"/>
        <v>-0.42456343590501189</v>
      </c>
      <c r="H45" s="190">
        <f t="shared" si="3"/>
        <v>1.2051538822051482</v>
      </c>
      <c r="I45" s="130">
        <f t="shared" si="0"/>
        <v>5.6334141831686573</v>
      </c>
      <c r="J45" s="130">
        <f t="shared" si="4"/>
        <v>0.63284850759954936</v>
      </c>
      <c r="K45" s="136"/>
      <c r="L45" s="190"/>
      <c r="M45" s="190"/>
      <c r="N45" s="191"/>
      <c r="O45" s="192"/>
      <c r="P45" s="129" t="s">
        <v>847</v>
      </c>
      <c r="Q45" s="116">
        <v>30332612</v>
      </c>
      <c r="R45" s="116">
        <v>42319529848</v>
      </c>
      <c r="S45" s="116">
        <v>5384410.0599999996</v>
      </c>
      <c r="T45" s="130">
        <f t="shared" si="1"/>
        <v>5.6334141831686573</v>
      </c>
      <c r="U45" s="85"/>
    </row>
    <row r="46" spans="1:21" s="79" customFormat="1" ht="13.2">
      <c r="A46" s="129" t="s">
        <v>927</v>
      </c>
      <c r="B46" s="188">
        <f>SUM(F44:F46)</f>
        <v>5634010.9110047854</v>
      </c>
      <c r="C46" s="188">
        <f>AVERAGE(F44:F46)</f>
        <v>1878003.6370015952</v>
      </c>
      <c r="D46" s="189">
        <f>C46/C43-1</f>
        <v>2.1921180784918612</v>
      </c>
      <c r="E46" s="287">
        <f>C46/C34-1</f>
        <v>0.81306799191251433</v>
      </c>
      <c r="F46" s="136">
        <f>Q46/19</f>
        <v>1481762.9473684211</v>
      </c>
      <c r="G46" s="190">
        <f t="shared" si="2"/>
        <v>-2.2990207787960348E-2</v>
      </c>
      <c r="H46" s="190">
        <f t="shared" si="3"/>
        <v>0.34434082023066215</v>
      </c>
      <c r="I46" s="130">
        <f t="shared" si="0"/>
        <v>7.8346509640167383</v>
      </c>
      <c r="J46" s="130">
        <f t="shared" si="4"/>
        <v>-5.8557152083414943E-3</v>
      </c>
      <c r="K46" s="136">
        <f>R44+R45+R46</f>
        <v>164314279428</v>
      </c>
      <c r="L46" s="190">
        <f>U46/U43-1</f>
        <v>2.4648599289384996</v>
      </c>
      <c r="M46" s="190">
        <f>K46/K34-1</f>
        <v>0.91361836792642825</v>
      </c>
      <c r="N46" s="191">
        <f>AVERAGE(T44:T46)</f>
        <v>6.1516956455427909</v>
      </c>
      <c r="O46" s="219">
        <f>N46/N43-1</f>
        <v>-0.15845368645020586</v>
      </c>
      <c r="P46" s="129" t="s">
        <v>888</v>
      </c>
      <c r="Q46" s="116">
        <v>28153496</v>
      </c>
      <c r="R46" s="116">
        <v>38540169453</v>
      </c>
      <c r="S46" s="116">
        <v>3593458.87</v>
      </c>
      <c r="T46" s="130">
        <f t="shared" si="1"/>
        <v>7.8346509640167383</v>
      </c>
      <c r="U46" s="85">
        <f t="shared" ref="U46:U51" si="5">Q44+Q45+Q46</f>
        <v>116469690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1380018.0869565217</v>
      </c>
      <c r="G47" s="190">
        <f t="shared" si="2"/>
        <v>-6.8664735201130589E-2</v>
      </c>
      <c r="H47" s="190">
        <f t="shared" si="3"/>
        <v>-0.50679144254899522</v>
      </c>
      <c r="I47" s="130">
        <f t="shared" si="0"/>
        <v>5.7723162956909375</v>
      </c>
      <c r="J47" s="130">
        <f t="shared" si="4"/>
        <v>-0.28639255735411295</v>
      </c>
      <c r="K47" s="136"/>
      <c r="L47" s="190"/>
      <c r="M47" s="190"/>
      <c r="N47" s="191"/>
      <c r="O47" s="219"/>
      <c r="P47" s="129" t="s">
        <v>1057</v>
      </c>
      <c r="Q47" s="116">
        <v>31740416</v>
      </c>
      <c r="R47" s="116">
        <v>43522639936</v>
      </c>
      <c r="S47" s="116">
        <v>5498731.25</v>
      </c>
      <c r="T47" s="130">
        <f t="shared" si="1"/>
        <v>5.7723162956909375</v>
      </c>
      <c r="U47" s="85">
        <f t="shared" si="5"/>
        <v>90226524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1645958.1</v>
      </c>
      <c r="G48" s="190">
        <f t="shared" ref="G48" si="6">F48/F47-1</f>
        <v>0.1927076286586793</v>
      </c>
      <c r="H48" s="190">
        <f t="shared" ref="H48" si="7">F48/F36-1</f>
        <v>2.8156291002829725</v>
      </c>
      <c r="I48" s="130">
        <f t="shared" si="0"/>
        <v>6.6960054637866433</v>
      </c>
      <c r="J48" s="130">
        <f t="shared" si="4"/>
        <v>-0.54486398838529349</v>
      </c>
      <c r="K48" s="136"/>
      <c r="L48" s="190"/>
      <c r="M48" s="190"/>
      <c r="N48" s="191"/>
      <c r="O48" s="219"/>
      <c r="P48" s="129" t="s">
        <v>1120</v>
      </c>
      <c r="Q48" s="116">
        <v>32919162</v>
      </c>
      <c r="R48" s="116">
        <v>45661484573</v>
      </c>
      <c r="S48" s="116">
        <v>4916238.82</v>
      </c>
      <c r="T48" s="130">
        <f t="shared" ref="T48" si="8">Q48/S48</f>
        <v>6.6960054637866433</v>
      </c>
      <c r="U48" s="85">
        <f t="shared" si="5"/>
        <v>92813074</v>
      </c>
    </row>
    <row r="49" spans="1:26" ht="13.2">
      <c r="A49" s="129" t="s">
        <v>1207</v>
      </c>
      <c r="B49" s="188">
        <f>SUM(F47:F49)</f>
        <v>4049674.2778656129</v>
      </c>
      <c r="C49" s="188">
        <f>AVERAGE(F47:F49)</f>
        <v>1349891.4259552043</v>
      </c>
      <c r="D49" s="189">
        <f>C49/C46-1</f>
        <v>-0.28120936543529296</v>
      </c>
      <c r="E49" s="287">
        <f>C49/C37-1</f>
        <v>5.7065465650965708E-2</v>
      </c>
      <c r="F49" s="136">
        <f>Q49/22</f>
        <v>1023698.0909090909</v>
      </c>
      <c r="G49" s="190">
        <f t="shared" ref="G49" si="9">F49/F48-1</f>
        <v>-0.37805337152319318</v>
      </c>
      <c r="H49" s="190">
        <f t="shared" ref="H49" si="10">F49/F37-1</f>
        <v>0.7015151974054985</v>
      </c>
      <c r="I49" s="130">
        <f t="shared" si="0"/>
        <v>6.5673368074238718</v>
      </c>
      <c r="J49" s="130">
        <f t="shared" si="4"/>
        <v>-8.8237837951707698E-2</v>
      </c>
      <c r="K49" s="136">
        <f>R47+R48+R49</f>
        <v>120519626931</v>
      </c>
      <c r="L49" s="190">
        <f>U49/U46-1</f>
        <v>-0.25147103937513704</v>
      </c>
      <c r="M49" s="190">
        <f>K49/K37-1</f>
        <v>3.8140753310591746E-2</v>
      </c>
      <c r="N49" s="191">
        <f>AVERAGE(T47:T49)</f>
        <v>6.3452195223004848</v>
      </c>
      <c r="O49" s="219">
        <f>N49/N46-1</f>
        <v>3.1458623428145538E-2</v>
      </c>
      <c r="P49" s="129" t="s">
        <v>1202</v>
      </c>
      <c r="Q49" s="116">
        <v>22521358</v>
      </c>
      <c r="R49" s="116">
        <v>31335502422</v>
      </c>
      <c r="S49" s="116">
        <v>3429298.46</v>
      </c>
      <c r="T49" s="130">
        <f t="shared" ref="T49" si="11">Q49/S49</f>
        <v>6.5673368074238718</v>
      </c>
      <c r="U49" s="85">
        <f t="shared" si="5"/>
        <v>87180936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1692837.888888889</v>
      </c>
      <c r="G50" s="190">
        <f t="shared" ref="G50" si="12">F50/F49-1</f>
        <v>0.65364955148599635</v>
      </c>
      <c r="H50" s="190">
        <f t="shared" ref="H50" si="13">F50/F38-1</f>
        <v>2.2599602987951899</v>
      </c>
      <c r="I50" s="130">
        <f t="shared" ref="I50" si="14">T50</f>
        <v>9.3520388379604178</v>
      </c>
      <c r="J50" s="130">
        <f t="shared" ref="J50" si="15">I50/I38-1</f>
        <v>-0.13022486870356031</v>
      </c>
      <c r="K50" s="136"/>
      <c r="L50" s="190"/>
      <c r="M50" s="190"/>
      <c r="N50" s="191"/>
      <c r="O50" s="192"/>
      <c r="P50" s="129" t="s">
        <v>1378</v>
      </c>
      <c r="Q50" s="116">
        <v>30471082</v>
      </c>
      <c r="R50" s="116">
        <v>43127473890</v>
      </c>
      <c r="S50" s="116">
        <v>3258228.77</v>
      </c>
      <c r="T50" s="130">
        <f t="shared" ref="T50" si="16">Q50/S50</f>
        <v>9.3520388379604178</v>
      </c>
      <c r="U50" s="85">
        <f t="shared" si="5"/>
        <v>85911602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3041291.35</v>
      </c>
      <c r="G51" s="190">
        <f t="shared" ref="G51:G52" si="17">F51/F50-1</f>
        <v>0.79656384699434035</v>
      </c>
      <c r="H51" s="190">
        <f t="shared" ref="H51:H52" si="18">F51/F39-1</f>
        <v>8.1318330948159243</v>
      </c>
      <c r="I51" s="130">
        <f t="shared" ref="I51:I52" si="19">T51</f>
        <v>8.9877215636072307</v>
      </c>
      <c r="J51" s="130">
        <f t="shared" ref="J51:J52" si="20">I51/I39-1</f>
        <v>8.7636778630582279E-2</v>
      </c>
      <c r="K51" s="136"/>
      <c r="L51" s="190"/>
      <c r="M51" s="190"/>
      <c r="N51" s="191"/>
      <c r="O51" s="192"/>
      <c r="P51" s="129" t="s">
        <v>1402</v>
      </c>
      <c r="Q51" s="116">
        <v>60825827</v>
      </c>
      <c r="R51" s="116">
        <v>88587617741</v>
      </c>
      <c r="S51" s="116">
        <v>6767658.1399999997</v>
      </c>
      <c r="T51" s="130">
        <f t="shared" ref="T51:T52" si="21">Q51/S51</f>
        <v>8.9877215636072307</v>
      </c>
      <c r="U51" s="85">
        <f t="shared" si="5"/>
        <v>113818267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6439284.5570707079</v>
      </c>
      <c r="C52" s="188">
        <f>AVERAGE(F50:F52)</f>
        <v>2146428.1856902358</v>
      </c>
      <c r="D52" s="190">
        <f>C52/C49-1</f>
        <v>0.59007468631885684</v>
      </c>
      <c r="E52" s="287">
        <f>C52/C40-1</f>
        <v>3.6771146352696844</v>
      </c>
      <c r="F52" s="136">
        <f>Q52/22</f>
        <v>1705155.3181818181</v>
      </c>
      <c r="G52" s="190">
        <f t="shared" si="17"/>
        <v>-0.43933180943620609</v>
      </c>
      <c r="H52" s="190">
        <f t="shared" si="18"/>
        <v>2.2513845098028127</v>
      </c>
      <c r="I52" s="130">
        <f t="shared" si="19"/>
        <v>3.5732282492366445</v>
      </c>
      <c r="J52" s="130">
        <f t="shared" si="20"/>
        <v>-0.55372039094540382</v>
      </c>
      <c r="K52" s="136">
        <f>R50+R51+R52</f>
        <v>186916285093</v>
      </c>
      <c r="L52" s="190">
        <f>U52/U49-1</f>
        <v>0.47750565559424607</v>
      </c>
      <c r="M52" s="190">
        <f>K52/K40-1</f>
        <v>3.756105233500123</v>
      </c>
      <c r="N52" s="191">
        <f>AVERAGE(T50:T52)</f>
        <v>7.3043295502680978</v>
      </c>
      <c r="O52" s="192">
        <f>N52/N49-1</f>
        <v>0.15115474328300049</v>
      </c>
      <c r="P52" s="129" t="s">
        <v>1403</v>
      </c>
      <c r="Q52" s="116">
        <v>37513417</v>
      </c>
      <c r="R52" s="116">
        <v>55201193462</v>
      </c>
      <c r="S52" s="116">
        <v>10498466.48</v>
      </c>
      <c r="T52" s="130">
        <f t="shared" si="21"/>
        <v>3.5732282492366445</v>
      </c>
      <c r="U52" s="85">
        <f t="shared" ref="U52" si="22">Q50+Q51+Q52</f>
        <v>128810326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1538134.1904761905</v>
      </c>
      <c r="G53" s="190">
        <f t="shared" ref="G53" si="23">F53/F52-1</f>
        <v>-9.7950682805669431E-2</v>
      </c>
      <c r="H53" s="190">
        <f t="shared" ref="H53" si="24">F53/F41-1</f>
        <v>0.82571167156486047</v>
      </c>
      <c r="I53" s="130">
        <f t="shared" ref="I53" si="25">T53</f>
        <v>4.3380808401118207</v>
      </c>
      <c r="J53" s="130">
        <f t="shared" ref="J53" si="26">I53/I41-1</f>
        <v>-0.14062438122560594</v>
      </c>
      <c r="K53" s="136"/>
      <c r="L53" s="190"/>
      <c r="M53" s="190"/>
      <c r="N53" s="191"/>
      <c r="O53" s="192"/>
      <c r="P53" s="129" t="s">
        <v>1414</v>
      </c>
      <c r="Q53" s="116">
        <v>32300818</v>
      </c>
      <c r="R53" s="116">
        <v>47023954041</v>
      </c>
      <c r="S53" s="116">
        <v>7445877.3799999999</v>
      </c>
      <c r="T53" s="130">
        <f t="shared" ref="T53" si="27">Q53/S53</f>
        <v>4.3380808401118207</v>
      </c>
      <c r="U53" s="85">
        <f t="shared" ref="U53" si="28">Q51+Q52+Q53</f>
        <v>130640062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831516.4705882353</v>
      </c>
      <c r="G54" s="190">
        <f t="shared" ref="G54" si="29">F54/F53-1</f>
        <v>-0.45939926715314328</v>
      </c>
      <c r="H54" s="190">
        <f t="shared" ref="H54" si="30">F54/F42-1</f>
        <v>0.59906244794637575</v>
      </c>
      <c r="I54" s="130">
        <f t="shared" ref="I54" si="31">T54</f>
        <v>11.19338523351435</v>
      </c>
      <c r="J54" s="130">
        <f t="shared" ref="J54" si="32">I54/I42-1</f>
        <v>0.26647850269243523</v>
      </c>
      <c r="K54" s="136"/>
      <c r="L54" s="190"/>
      <c r="M54" s="190"/>
      <c r="N54" s="191"/>
      <c r="O54" s="192"/>
      <c r="P54" s="129" t="s">
        <v>1417</v>
      </c>
      <c r="Q54" s="116">
        <v>14135780</v>
      </c>
      <c r="R54" s="116">
        <v>20462849492</v>
      </c>
      <c r="S54" s="116">
        <v>1262869.07</v>
      </c>
      <c r="T54" s="130">
        <f t="shared" ref="T54" si="33">Q54/S54</f>
        <v>11.19338523351435</v>
      </c>
      <c r="U54" s="85">
        <f t="shared" ref="U54" si="34">Q52+Q53+Q54</f>
        <v>83950015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3604525.6610644259</v>
      </c>
      <c r="C55" s="188">
        <f>AVERAGE(F53:F55)</f>
        <v>1201508.553688142</v>
      </c>
      <c r="D55" s="190">
        <f>C55/C52-1</f>
        <v>-0.44022885941475476</v>
      </c>
      <c r="E55" s="287">
        <f>C55/C43-1</f>
        <v>1.04225226198924</v>
      </c>
      <c r="F55" s="136">
        <f>Q55/21</f>
        <v>1234875</v>
      </c>
      <c r="G55" s="190">
        <f t="shared" ref="G55" si="35">F55/F54-1</f>
        <v>0.48508784092565116</v>
      </c>
      <c r="H55" s="190">
        <f t="shared" ref="H55" si="36">F55/F43-1</f>
        <v>2.0681000823626015</v>
      </c>
      <c r="I55" s="130">
        <f>T55</f>
        <v>6.3355189547840709</v>
      </c>
      <c r="J55" s="130">
        <f t="shared" ref="J55" si="37">I55/I43-1</f>
        <v>-0.21237541132177251</v>
      </c>
      <c r="K55" s="136">
        <f>R53+R54+R55</f>
        <v>105810005188</v>
      </c>
      <c r="L55" s="190">
        <f>U55/U52-1</f>
        <v>-0.43817413364826041</v>
      </c>
      <c r="M55" s="190">
        <f>K55/K43-1</f>
        <v>1.1643768137598776</v>
      </c>
      <c r="N55" s="191">
        <f>AVERAGE(T53:T55)</f>
        <v>7.2889950094700806</v>
      </c>
      <c r="O55" s="192">
        <f>N55/N52-1</f>
        <v>-2.0993769096103732E-3</v>
      </c>
      <c r="P55" s="129" t="s">
        <v>1418</v>
      </c>
      <c r="Q55" s="116">
        <v>25932375</v>
      </c>
      <c r="R55" s="116">
        <v>38323201655</v>
      </c>
      <c r="S55" s="116">
        <v>4093172.98</v>
      </c>
      <c r="T55" s="130">
        <f t="shared" ref="T55" si="38">Q55/S55</f>
        <v>6.3355189547840709</v>
      </c>
      <c r="U55" s="85">
        <f t="shared" ref="U55" si="39">Q53+Q54+Q55</f>
        <v>72368973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1366189.8636363635</v>
      </c>
      <c r="G56" s="190">
        <f t="shared" ref="G56" si="40">F56/F55-1</f>
        <v>0.10633858782173378</v>
      </c>
      <c r="H56" s="190">
        <f t="shared" ref="H56" si="41">F56/F44-1</f>
        <v>-0.48164332103525453</v>
      </c>
      <c r="I56" s="291">
        <f>T56</f>
        <v>5.1628868940704207</v>
      </c>
      <c r="J56" s="130">
        <f t="shared" ref="J56" si="42">I56/I44-1</f>
        <v>3.5264555089719263E-2</v>
      </c>
      <c r="K56" s="136"/>
      <c r="L56" s="190"/>
      <c r="M56" s="190"/>
      <c r="N56" s="191"/>
      <c r="O56" s="192"/>
      <c r="P56" s="129" t="s">
        <v>1420</v>
      </c>
      <c r="Q56" s="116">
        <v>30056177</v>
      </c>
      <c r="R56" s="116">
        <v>44692840028</v>
      </c>
      <c r="S56" s="116">
        <v>5821583.4699999997</v>
      </c>
      <c r="T56" s="130">
        <f t="shared" ref="T56" si="43">Q56/S56</f>
        <v>5.1628868940704207</v>
      </c>
      <c r="U56" s="85">
        <f t="shared" ref="U56" si="44">Q54+Q55+Q56</f>
        <v>70124332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1678085.8333333333</v>
      </c>
      <c r="G57" s="254">
        <f t="shared" ref="G57" si="45">F57/F56-1</f>
        <v>0.22829621123582466</v>
      </c>
      <c r="H57" s="254">
        <f t="shared" ref="H57" si="46">F57/F45-1</f>
        <v>0.10645653155971746</v>
      </c>
      <c r="I57" s="282">
        <f>T57</f>
        <v>5.8449976957617782</v>
      </c>
      <c r="J57" s="277">
        <f t="shared" ref="J57" si="47">I57/I45-1</f>
        <v>3.7558664375377138E-2</v>
      </c>
      <c r="K57" s="204"/>
      <c r="L57" s="254"/>
      <c r="M57" s="254"/>
      <c r="N57" s="257"/>
      <c r="O57" s="258"/>
      <c r="P57" s="129" t="s">
        <v>1436</v>
      </c>
      <c r="Q57" s="116">
        <v>20137030</v>
      </c>
      <c r="R57" s="116">
        <v>29709287720</v>
      </c>
      <c r="S57" s="116">
        <v>3445173.3</v>
      </c>
      <c r="T57" s="130">
        <f t="shared" ref="T57" si="48">Q57/S57</f>
        <v>5.8449976957617782</v>
      </c>
      <c r="U57" s="85">
        <f t="shared" ref="U57" si="49">Q55+Q56+Q57</f>
        <v>76125582</v>
      </c>
      <c r="V57" s="79"/>
      <c r="W57" s="79"/>
      <c r="X57" s="79"/>
      <c r="Y57" s="79"/>
      <c r="Z57" s="79"/>
    </row>
    <row r="58" spans="1:26">
      <c r="B58" s="196">
        <f>SUM(F56:F58)</f>
        <v>3044275.6969696968</v>
      </c>
      <c r="C58" s="196">
        <f>AVERAGE(F56:F58)</f>
        <v>1522137.8484848484</v>
      </c>
      <c r="D58" s="197">
        <f>C58/C55-1</f>
        <v>0.26685560732173319</v>
      </c>
      <c r="E58" s="233">
        <f>C58/C46-1</f>
        <v>-0.18949153319261891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122562180</v>
      </c>
      <c r="R67" s="212">
        <v>180212132936</v>
      </c>
      <c r="S67" s="213">
        <v>22068676.199999999</v>
      </c>
      <c r="T67" s="214">
        <v>84</v>
      </c>
      <c r="U67" s="214">
        <v>212</v>
      </c>
    </row>
    <row r="68" spans="16:21" ht="18" thickBot="1">
      <c r="P68" s="180" t="s">
        <v>976</v>
      </c>
      <c r="Q68" s="181">
        <v>32300818</v>
      </c>
      <c r="R68" s="181">
        <v>47023954041</v>
      </c>
      <c r="S68" s="182">
        <v>7445877.3799999999</v>
      </c>
      <c r="T68" s="210">
        <v>35</v>
      </c>
      <c r="U68" s="210">
        <v>77</v>
      </c>
    </row>
    <row r="69" spans="16:21" ht="18" thickBot="1">
      <c r="P69" s="180" t="s">
        <v>977</v>
      </c>
      <c r="Q69" s="181">
        <v>14135780</v>
      </c>
      <c r="R69" s="181">
        <v>20462849492</v>
      </c>
      <c r="S69" s="182">
        <v>1262869.07</v>
      </c>
      <c r="T69" s="210">
        <v>31</v>
      </c>
      <c r="U69" s="210">
        <v>72</v>
      </c>
    </row>
    <row r="70" spans="16:21" ht="18" thickBot="1">
      <c r="P70" s="180" t="s">
        <v>978</v>
      </c>
      <c r="Q70" s="181">
        <v>25932375</v>
      </c>
      <c r="R70" s="181">
        <v>38323201655</v>
      </c>
      <c r="S70" s="182">
        <v>4093172.98</v>
      </c>
      <c r="T70" s="210">
        <v>30</v>
      </c>
      <c r="U70" s="210">
        <v>79</v>
      </c>
    </row>
    <row r="71" spans="16:21" ht="18" thickBot="1">
      <c r="P71" s="180" t="s">
        <v>979</v>
      </c>
      <c r="Q71" s="181">
        <v>30056177</v>
      </c>
      <c r="R71" s="181">
        <v>44692840028</v>
      </c>
      <c r="S71" s="182">
        <v>5821583.4699999997</v>
      </c>
      <c r="T71" s="210">
        <v>42</v>
      </c>
      <c r="U71" s="210">
        <v>87</v>
      </c>
    </row>
    <row r="72" spans="16:21" ht="18" thickBot="1">
      <c r="P72" s="180" t="s">
        <v>980</v>
      </c>
      <c r="Q72" s="181">
        <v>20137030</v>
      </c>
      <c r="R72" s="181">
        <v>29709287720</v>
      </c>
      <c r="S72" s="182">
        <v>3445173.3</v>
      </c>
      <c r="T72" s="210">
        <v>22</v>
      </c>
      <c r="U72" s="210">
        <v>60</v>
      </c>
    </row>
    <row r="73" spans="16:21" ht="18" thickBot="1">
      <c r="P73" s="215" t="s">
        <v>975</v>
      </c>
      <c r="Q73" s="217" t="s">
        <v>1487</v>
      </c>
      <c r="R73"/>
      <c r="S73"/>
      <c r="T73"/>
      <c r="U73"/>
    </row>
    <row r="74" spans="16:21" ht="18" thickBot="1">
      <c r="P74" s="215" t="s">
        <v>982</v>
      </c>
      <c r="Q74" s="216">
        <v>247088146</v>
      </c>
      <c r="R74" s="217" t="s">
        <v>1443</v>
      </c>
      <c r="S74"/>
      <c r="T74"/>
      <c r="U74"/>
    </row>
  </sheetData>
  <phoneticPr fontId="1" type="noConversion"/>
  <conditionalFormatting sqref="C29:C30">
    <cfRule type="cellIs" dxfId="20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29">
    <tabColor rgb="FFFFFF00"/>
  </sheetPr>
  <dimension ref="A1:Z71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2804619000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106684.75</v>
      </c>
      <c r="G5" s="90"/>
      <c r="H5" s="90"/>
      <c r="I5" s="130">
        <f t="shared" ref="I5:I49" si="0">T5</f>
        <v>39.238080281112808</v>
      </c>
      <c r="J5" s="130"/>
      <c r="L5" s="80"/>
      <c r="M5" s="80"/>
      <c r="P5" s="129" t="s">
        <v>0</v>
      </c>
      <c r="Q5" s="116">
        <v>2133695</v>
      </c>
      <c r="R5" s="116"/>
      <c r="S5" s="116">
        <v>54378.17</v>
      </c>
      <c r="T5" s="130">
        <f t="shared" ref="T5:T19" si="1">Q5/S5</f>
        <v>39.238080281112808</v>
      </c>
      <c r="U5" s="85"/>
    </row>
    <row r="6" spans="1:21" ht="15" hidden="1" customHeight="1">
      <c r="A6" s="129" t="s">
        <v>1</v>
      </c>
      <c r="C6" s="79"/>
      <c r="F6" s="78">
        <f>Q6/18</f>
        <v>68139.611111111109</v>
      </c>
      <c r="G6" s="90">
        <f t="shared" ref="G6:G16" si="2">F6/F5-1</f>
        <v>-0.36129942554009731</v>
      </c>
      <c r="H6" s="90"/>
      <c r="I6" s="130">
        <f t="shared" si="0"/>
        <v>23.545583690080822</v>
      </c>
      <c r="J6" s="130"/>
      <c r="P6" s="129" t="s">
        <v>1</v>
      </c>
      <c r="Q6" s="116">
        <v>1226513</v>
      </c>
      <c r="R6" s="116"/>
      <c r="S6" s="116">
        <v>52091</v>
      </c>
      <c r="T6" s="130">
        <f t="shared" si="1"/>
        <v>23.545583690080822</v>
      </c>
      <c r="U6" s="85"/>
    </row>
    <row r="7" spans="1:21" ht="15" hidden="1" customHeight="1">
      <c r="A7" s="129" t="s">
        <v>2</v>
      </c>
      <c r="B7" s="131">
        <f>F5+F6+F7</f>
        <v>289415.54292929295</v>
      </c>
      <c r="C7" s="131">
        <f>AVERAGE(F5:F7)</f>
        <v>96471.847643097644</v>
      </c>
      <c r="F7" s="78">
        <f>Q7/22</f>
        <v>114591.18181818182</v>
      </c>
      <c r="G7" s="90">
        <f t="shared" si="2"/>
        <v>0.68171170849984697</v>
      </c>
      <c r="H7" s="90"/>
      <c r="I7" s="130">
        <f t="shared" si="0"/>
        <v>43.230054161761643</v>
      </c>
      <c r="J7" s="130"/>
      <c r="K7" s="79">
        <f>R5+R6+R7</f>
        <v>0</v>
      </c>
      <c r="N7" s="88">
        <f>AVERAGE(T5:T7)</f>
        <v>35.337906044318423</v>
      </c>
      <c r="P7" s="129" t="s">
        <v>2</v>
      </c>
      <c r="Q7" s="116">
        <v>2521006</v>
      </c>
      <c r="R7" s="116"/>
      <c r="S7" s="116">
        <v>58316.05</v>
      </c>
      <c r="T7" s="130">
        <f t="shared" si="1"/>
        <v>43.230054161761643</v>
      </c>
      <c r="U7" s="85">
        <f>Q5+Q6+Q7</f>
        <v>5881214</v>
      </c>
    </row>
    <row r="8" spans="1:21" ht="15" hidden="1" customHeight="1">
      <c r="A8" s="129" t="s">
        <v>3</v>
      </c>
      <c r="C8" s="79"/>
      <c r="F8" s="78">
        <f>Q8/21</f>
        <v>91122.523809523816</v>
      </c>
      <c r="G8" s="90">
        <f t="shared" si="2"/>
        <v>-0.20480335080141665</v>
      </c>
      <c r="H8" s="90"/>
      <c r="I8" s="130">
        <f t="shared" si="0"/>
        <v>46.187554141889223</v>
      </c>
      <c r="J8" s="130"/>
      <c r="K8" s="78"/>
      <c r="P8" s="129" t="s">
        <v>3</v>
      </c>
      <c r="Q8" s="116">
        <v>1913573</v>
      </c>
      <c r="R8" s="116"/>
      <c r="S8" s="116">
        <v>41430.49</v>
      </c>
      <c r="T8" s="130">
        <f t="shared" si="1"/>
        <v>46.187554141889223</v>
      </c>
      <c r="U8" s="85"/>
    </row>
    <row r="9" spans="1:21" ht="15" hidden="1" customHeight="1">
      <c r="A9" s="129" t="s">
        <v>4</v>
      </c>
      <c r="C9" s="79"/>
      <c r="F9" s="78">
        <f>Q9/21</f>
        <v>72389.095238095237</v>
      </c>
      <c r="G9" s="90">
        <f t="shared" si="2"/>
        <v>-0.20558504953821999</v>
      </c>
      <c r="H9" s="90"/>
      <c r="I9" s="130">
        <f t="shared" si="0"/>
        <v>38.838605932645081</v>
      </c>
      <c r="J9" s="130"/>
      <c r="K9" s="78"/>
      <c r="P9" s="129" t="s">
        <v>4</v>
      </c>
      <c r="Q9" s="116">
        <v>1520171</v>
      </c>
      <c r="R9" s="116"/>
      <c r="S9" s="116">
        <v>39140.720000000001</v>
      </c>
      <c r="T9" s="130">
        <f t="shared" si="1"/>
        <v>38.838605932645081</v>
      </c>
      <c r="U9" s="85"/>
    </row>
    <row r="10" spans="1:21" ht="15" hidden="1" customHeight="1">
      <c r="A10" s="129" t="s">
        <v>5</v>
      </c>
      <c r="B10" s="131">
        <f>F8+F9+F10</f>
        <v>220396.76190476189</v>
      </c>
      <c r="C10" s="131">
        <f>AVERAGE(F8:F10)</f>
        <v>73465.587301587293</v>
      </c>
      <c r="D10" s="90">
        <f>C10/C7-1</f>
        <v>-0.23847641465957137</v>
      </c>
      <c r="E10" s="286"/>
      <c r="F10" s="78">
        <f>Q10/21</f>
        <v>56885.142857142855</v>
      </c>
      <c r="G10" s="90">
        <f t="shared" si="2"/>
        <v>-0.21417524738993177</v>
      </c>
      <c r="H10" s="90"/>
      <c r="I10" s="130">
        <f t="shared" si="0"/>
        <v>51.027850311676254</v>
      </c>
      <c r="J10" s="130"/>
      <c r="K10" s="79">
        <f>R8+R9+R10</f>
        <v>0</v>
      </c>
      <c r="L10" s="87">
        <f>U10/U7-1</f>
        <v>-0.21303118709844604</v>
      </c>
      <c r="N10" s="88">
        <f>AVERAGE(T8:T10)</f>
        <v>45.351336795403519</v>
      </c>
      <c r="O10" s="89">
        <f>N10/N7-1</f>
        <v>0.28336231180554172</v>
      </c>
      <c r="P10" s="129" t="s">
        <v>5</v>
      </c>
      <c r="Q10" s="116">
        <v>1194588</v>
      </c>
      <c r="R10" s="116"/>
      <c r="S10" s="116">
        <v>23410.51</v>
      </c>
      <c r="T10" s="130">
        <f t="shared" si="1"/>
        <v>51.027850311676254</v>
      </c>
      <c r="U10" s="85">
        <f>Q8+Q9+Q10</f>
        <v>4628332</v>
      </c>
    </row>
    <row r="11" spans="1:21" ht="15" hidden="1" customHeight="1">
      <c r="A11" s="129" t="s">
        <v>6</v>
      </c>
      <c r="C11" s="79"/>
      <c r="F11" s="78">
        <f>Q11/21</f>
        <v>68798.142857142855</v>
      </c>
      <c r="G11" s="90">
        <f t="shared" si="2"/>
        <v>0.20942199318928378</v>
      </c>
      <c r="H11" s="90"/>
      <c r="I11" s="130">
        <f t="shared" si="0"/>
        <v>86.429414073155897</v>
      </c>
      <c r="J11" s="130"/>
      <c r="K11" s="78"/>
      <c r="O11" s="89"/>
      <c r="P11" s="129" t="s">
        <v>6</v>
      </c>
      <c r="Q11" s="116">
        <v>1444761</v>
      </c>
      <c r="R11" s="116"/>
      <c r="S11" s="116">
        <v>16716.080000000002</v>
      </c>
      <c r="T11" s="130">
        <f t="shared" si="1"/>
        <v>86.429414073155897</v>
      </c>
      <c r="U11" s="85"/>
    </row>
    <row r="12" spans="1:21" ht="15" hidden="1" customHeight="1">
      <c r="A12" s="129" t="s">
        <v>7</v>
      </c>
      <c r="C12" s="79"/>
      <c r="F12" s="78">
        <f>Q12/22</f>
        <v>67731.818181818177</v>
      </c>
      <c r="G12" s="90">
        <f t="shared" si="2"/>
        <v>-1.5499323543353039E-2</v>
      </c>
      <c r="H12" s="90"/>
      <c r="I12" s="130">
        <f t="shared" si="0"/>
        <v>47.473012288631836</v>
      </c>
      <c r="J12" s="130"/>
      <c r="K12" s="78"/>
      <c r="O12" s="89"/>
      <c r="P12" s="129" t="s">
        <v>7</v>
      </c>
      <c r="Q12" s="116">
        <v>1490100</v>
      </c>
      <c r="R12" s="116"/>
      <c r="S12" s="116">
        <v>31388.36</v>
      </c>
      <c r="T12" s="130">
        <f t="shared" si="1"/>
        <v>47.473012288631836</v>
      </c>
      <c r="U12" s="85"/>
    </row>
    <row r="13" spans="1:21" ht="15" hidden="1" customHeight="1">
      <c r="A13" s="129" t="s">
        <v>96</v>
      </c>
      <c r="B13" s="131">
        <f>F11+F12+F13</f>
        <v>205701.51103896101</v>
      </c>
      <c r="C13" s="131">
        <f>AVERAGE(F11:F13)</f>
        <v>68567.17034632033</v>
      </c>
      <c r="D13" s="90">
        <f>C13/C10-1</f>
        <v>-6.6676346507082651E-2</v>
      </c>
      <c r="E13" s="286"/>
      <c r="F13" s="78">
        <f>Q13/20</f>
        <v>69171.55</v>
      </c>
      <c r="G13" s="90">
        <f t="shared" si="2"/>
        <v>2.1256358633648942E-2</v>
      </c>
      <c r="H13" s="90"/>
      <c r="I13" s="130">
        <f t="shared" si="0"/>
        <v>60.040318205687946</v>
      </c>
      <c r="J13" s="130"/>
      <c r="K13" s="78">
        <f>R11+R12+R13</f>
        <v>0</v>
      </c>
      <c r="L13" s="87">
        <f>U13/U10-1</f>
        <v>-6.698741576879097E-2</v>
      </c>
      <c r="N13" s="88">
        <f>AVERAGE(T11:T13)</f>
        <v>64.64758152249189</v>
      </c>
      <c r="O13" s="89">
        <f>N13/N10-1</f>
        <v>0.42548348275026138</v>
      </c>
      <c r="P13" s="129" t="s">
        <v>96</v>
      </c>
      <c r="Q13" s="116">
        <v>1383431</v>
      </c>
      <c r="R13" s="116"/>
      <c r="S13" s="116">
        <v>23041.7</v>
      </c>
      <c r="T13" s="130">
        <f t="shared" si="1"/>
        <v>60.040318205687946</v>
      </c>
      <c r="U13" s="85">
        <f>Q11+Q12+Q13</f>
        <v>4318292</v>
      </c>
    </row>
    <row r="14" spans="1:21" ht="15" hidden="1" customHeight="1">
      <c r="A14" s="129" t="s">
        <v>97</v>
      </c>
      <c r="C14" s="79"/>
      <c r="F14" s="78">
        <f>Q14/20</f>
        <v>94917.6</v>
      </c>
      <c r="G14" s="90">
        <f t="shared" si="2"/>
        <v>0.37220576956855811</v>
      </c>
      <c r="H14" s="90"/>
      <c r="I14" s="130">
        <f t="shared" si="0"/>
        <v>35.712643656537416</v>
      </c>
      <c r="J14" s="130"/>
      <c r="O14" s="89"/>
      <c r="P14" s="129" t="s">
        <v>97</v>
      </c>
      <c r="Q14" s="116">
        <v>1898352</v>
      </c>
      <c r="R14" s="116"/>
      <c r="S14" s="116">
        <v>53156.3</v>
      </c>
      <c r="T14" s="130">
        <f t="shared" si="1"/>
        <v>35.712643656537416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79454.909090909088</v>
      </c>
      <c r="G15" s="90">
        <f t="shared" si="2"/>
        <v>-0.16290646738951386</v>
      </c>
      <c r="H15" s="90"/>
      <c r="I15" s="130">
        <f t="shared" si="0"/>
        <v>19.205344071283584</v>
      </c>
      <c r="J15" s="130"/>
      <c r="O15" s="89"/>
      <c r="P15" s="129" t="s">
        <v>98</v>
      </c>
      <c r="Q15" s="116">
        <v>1748008</v>
      </c>
      <c r="R15" s="116"/>
      <c r="S15" s="116">
        <v>91016.75</v>
      </c>
      <c r="T15" s="130">
        <f t="shared" si="1"/>
        <v>19.205344071283584</v>
      </c>
      <c r="U15" s="85"/>
    </row>
    <row r="16" spans="1:21" ht="15" hidden="1" customHeight="1">
      <c r="A16" s="129" t="s">
        <v>99</v>
      </c>
      <c r="B16" s="131">
        <f>F14+F15+F16</f>
        <v>205119.14545454545</v>
      </c>
      <c r="C16" s="131">
        <f>AVERAGE(F14:F16)</f>
        <v>68373.048484848478</v>
      </c>
      <c r="D16" s="90">
        <f>C16/C13-1</f>
        <v>-2.8311196231575186E-3</v>
      </c>
      <c r="E16" s="286"/>
      <c r="F16" s="78">
        <f>Q16/22</f>
        <v>30746.636363636364</v>
      </c>
      <c r="G16" s="90">
        <f t="shared" si="2"/>
        <v>-0.61303037514702452</v>
      </c>
      <c r="H16" s="90"/>
      <c r="I16" s="130">
        <f t="shared" si="0"/>
        <v>173.22048655569782</v>
      </c>
      <c r="J16" s="130"/>
      <c r="K16" s="78">
        <f>R14+R15+R16</f>
        <v>0</v>
      </c>
      <c r="L16" s="87">
        <f>U16/U13-1</f>
        <v>1.0406892354661856E-3</v>
      </c>
      <c r="N16" s="88">
        <f>AVERAGE(T14:T16)</f>
        <v>76.046158094506268</v>
      </c>
      <c r="O16" s="89">
        <f>N16/N13-1</f>
        <v>0.17631868514754312</v>
      </c>
      <c r="P16" s="129" t="s">
        <v>99</v>
      </c>
      <c r="Q16" s="116">
        <v>676426</v>
      </c>
      <c r="R16" s="116"/>
      <c r="S16" s="116">
        <v>3905</v>
      </c>
      <c r="T16" s="130">
        <f t="shared" si="1"/>
        <v>173.22048655569782</v>
      </c>
      <c r="U16" s="85">
        <f>Q14+Q15+Q16</f>
        <v>4322786</v>
      </c>
    </row>
    <row r="17" spans="1:21" ht="15" hidden="1" customHeight="1">
      <c r="A17" s="129" t="s">
        <v>100</v>
      </c>
      <c r="C17" s="79"/>
      <c r="F17" s="78">
        <f>Q17/20</f>
        <v>89990.95</v>
      </c>
      <c r="G17" s="90">
        <f t="shared" ref="G17:G22" si="3">F17/F16-1</f>
        <v>1.9268551179286426</v>
      </c>
      <c r="H17" s="90">
        <f t="shared" ref="H17:H22" si="4">F17/F5-1</f>
        <v>-0.15647784711498136</v>
      </c>
      <c r="I17" s="130">
        <f t="shared" si="0"/>
        <v>68.255369014255422</v>
      </c>
      <c r="J17" s="130">
        <f t="shared" ref="J17:J49" si="5">I17/I5-1</f>
        <v>0.7395185627139369</v>
      </c>
      <c r="O17" s="89"/>
      <c r="P17" s="129" t="s">
        <v>100</v>
      </c>
      <c r="Q17" s="116">
        <v>1799819</v>
      </c>
      <c r="R17" s="116">
        <v>2246288187</v>
      </c>
      <c r="S17" s="116">
        <v>26368.9</v>
      </c>
      <c r="T17" s="130">
        <f t="shared" si="1"/>
        <v>68.255369014255422</v>
      </c>
      <c r="U17" s="78"/>
    </row>
    <row r="18" spans="1:21" hidden="1">
      <c r="A18" s="129" t="s">
        <v>106</v>
      </c>
      <c r="C18" s="79"/>
      <c r="F18" s="78">
        <f>Q18/20</f>
        <v>123951.4</v>
      </c>
      <c r="G18" s="90">
        <f t="shared" si="3"/>
        <v>0.37737628061488393</v>
      </c>
      <c r="H18" s="90">
        <f t="shared" si="4"/>
        <v>0.81907994452565935</v>
      </c>
      <c r="I18" s="130">
        <f t="shared" si="0"/>
        <v>70.065952825429221</v>
      </c>
      <c r="J18" s="130">
        <f t="shared" si="5"/>
        <v>1.9757577364686991</v>
      </c>
      <c r="O18" s="89"/>
      <c r="P18" s="129" t="s">
        <v>106</v>
      </c>
      <c r="Q18" s="116">
        <v>2479028</v>
      </c>
      <c r="R18" s="116">
        <v>3114057880</v>
      </c>
      <c r="S18" s="116">
        <v>35381.35</v>
      </c>
      <c r="T18" s="130">
        <f t="shared" si="1"/>
        <v>70.065952825429221</v>
      </c>
      <c r="U18" s="78"/>
    </row>
    <row r="19" spans="1:21" hidden="1">
      <c r="A19" s="129" t="s">
        <v>114</v>
      </c>
      <c r="B19" s="131">
        <f>SUM(F17:F19)</f>
        <v>273979.44090909092</v>
      </c>
      <c r="C19" s="131">
        <f>AVERAGE(F17:F19)</f>
        <v>91326.480303030301</v>
      </c>
      <c r="D19" s="90">
        <f>C19/C16-1</f>
        <v>0.33570876722380349</v>
      </c>
      <c r="E19" s="286">
        <f>C19/C7-1</f>
        <v>-5.3335428581225974E-2</v>
      </c>
      <c r="F19" s="78">
        <f>Q19/22</f>
        <v>60037.090909090912</v>
      </c>
      <c r="G19" s="90">
        <f t="shared" si="3"/>
        <v>-0.51564007418156699</v>
      </c>
      <c r="H19" s="90">
        <f t="shared" si="4"/>
        <v>-0.47607582052561559</v>
      </c>
      <c r="I19" s="130">
        <f t="shared" si="0"/>
        <v>69.502804178958087</v>
      </c>
      <c r="J19" s="130">
        <f t="shared" si="5"/>
        <v>0.60774270415870824</v>
      </c>
      <c r="K19" s="78">
        <f>R17+R18+R19</f>
        <v>7089672472</v>
      </c>
      <c r="L19" s="87">
        <f>U19/U16-1</f>
        <v>0.2953828850190594</v>
      </c>
      <c r="M19" s="87">
        <f>U19/U7-1</f>
        <v>-4.7872939158479899E-2</v>
      </c>
      <c r="N19" s="88">
        <f>AVERAGE(T17:T19)</f>
        <v>69.274708672880905</v>
      </c>
      <c r="O19" s="89">
        <f>N19/N16-1</f>
        <v>-8.9043938461824124E-2</v>
      </c>
      <c r="P19" s="129" t="s">
        <v>115</v>
      </c>
      <c r="Q19" s="116">
        <v>1320816</v>
      </c>
      <c r="R19" s="116">
        <v>1729326405</v>
      </c>
      <c r="S19" s="116">
        <v>19003.78</v>
      </c>
      <c r="T19" s="130">
        <f t="shared" si="1"/>
        <v>69.502804178958087</v>
      </c>
      <c r="U19" s="85">
        <f>Q17+Q18+Q19</f>
        <v>5599663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67478.2</v>
      </c>
      <c r="G20" s="90">
        <f t="shared" si="3"/>
        <v>0.1239418662402636</v>
      </c>
      <c r="H20" s="90">
        <f t="shared" si="4"/>
        <v>-0.25947836847614392</v>
      </c>
      <c r="I20" s="130">
        <f t="shared" si="0"/>
        <v>47.28460161240028</v>
      </c>
      <c r="J20" s="130">
        <f t="shared" si="5"/>
        <v>2.37520148207222E-2</v>
      </c>
      <c r="O20" s="89"/>
      <c r="P20" s="129" t="s">
        <v>132</v>
      </c>
      <c r="Q20" s="116">
        <v>1349564</v>
      </c>
      <c r="R20" s="116">
        <v>1759764193</v>
      </c>
      <c r="S20" s="116">
        <v>28541.3</v>
      </c>
      <c r="T20" s="130">
        <f t="shared" ref="T20" si="6">Q20/S20</f>
        <v>47.28460161240028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102760.61904761905</v>
      </c>
      <c r="G21" s="90">
        <f t="shared" si="3"/>
        <v>0.52287137249688143</v>
      </c>
      <c r="H21" s="90">
        <f t="shared" si="4"/>
        <v>0.41955937851728531</v>
      </c>
      <c r="I21" s="130">
        <f t="shared" si="0"/>
        <v>42.148083029246799</v>
      </c>
      <c r="J21" s="130">
        <f t="shared" si="5"/>
        <v>8.5211016645167392E-2</v>
      </c>
      <c r="O21" s="89"/>
      <c r="P21" s="129" t="s">
        <v>142</v>
      </c>
      <c r="Q21" s="116">
        <v>2157973</v>
      </c>
      <c r="R21" s="116">
        <v>2872311684</v>
      </c>
      <c r="S21" s="116">
        <v>51199.79</v>
      </c>
      <c r="T21" s="130">
        <f t="shared" ref="T21" si="7">Q21/S21</f>
        <v>42.148083029246799</v>
      </c>
      <c r="U21" s="78"/>
    </row>
    <row r="22" spans="1:21" hidden="1">
      <c r="A22" s="129" t="s">
        <v>156</v>
      </c>
      <c r="B22" s="131">
        <f>SUM(F20:F22)</f>
        <v>306891.2</v>
      </c>
      <c r="C22" s="131">
        <f>AVERAGE(F20:F22)</f>
        <v>102297.06666666667</v>
      </c>
      <c r="D22" s="90">
        <f>C22/C19-1</f>
        <v>0.12012492244565731</v>
      </c>
      <c r="E22" s="286">
        <f>C22/C10-1</f>
        <v>0.39244876988081256</v>
      </c>
      <c r="F22" s="78">
        <f>Q22/21</f>
        <v>136652.38095238095</v>
      </c>
      <c r="G22" s="90">
        <f t="shared" si="3"/>
        <v>0.329812745571886</v>
      </c>
      <c r="H22" s="90">
        <f t="shared" si="4"/>
        <v>1.4022508178551938</v>
      </c>
      <c r="I22" s="130">
        <f t="shared" si="0"/>
        <v>19.245408568079768</v>
      </c>
      <c r="J22" s="130">
        <f t="shared" si="5"/>
        <v>-0.62284500619701766</v>
      </c>
      <c r="K22" s="78">
        <f>R20+R21+R22</f>
        <v>8385275276</v>
      </c>
      <c r="L22" s="87">
        <f>U22/U19-1</f>
        <v>0.13886085644796831</v>
      </c>
      <c r="M22" s="87">
        <f>U22/U10-1</f>
        <v>0.37786939225621663</v>
      </c>
      <c r="N22" s="88">
        <f>AVERAGE(T20:T22)</f>
        <v>36.226031069908949</v>
      </c>
      <c r="O22" s="89">
        <f>N22/N19-1</f>
        <v>-0.47706700231724797</v>
      </c>
      <c r="P22" s="129" t="s">
        <v>156</v>
      </c>
      <c r="Q22" s="116">
        <v>2869700</v>
      </c>
      <c r="R22" s="116">
        <v>3753199399</v>
      </c>
      <c r="S22" s="116">
        <v>149110.89000000001</v>
      </c>
      <c r="T22" s="130">
        <f t="shared" ref="T22:T23" si="8">Q22/S22</f>
        <v>19.245408568079768</v>
      </c>
      <c r="U22" s="85">
        <f>Q20+Q21+Q22</f>
        <v>6377237</v>
      </c>
    </row>
    <row r="23" spans="1:21" hidden="1">
      <c r="A23" s="129" t="s">
        <v>189</v>
      </c>
      <c r="B23" s="131"/>
      <c r="C23" s="131"/>
      <c r="F23" s="78">
        <f>Q23/21</f>
        <v>54544.476190476191</v>
      </c>
      <c r="G23" s="90">
        <f t="shared" ref="G23" si="9">F23/F22-1</f>
        <v>-0.60085235390458935</v>
      </c>
      <c r="H23" s="90">
        <f t="shared" ref="H23" si="10">F23/F11-1</f>
        <v>-0.20718098010674424</v>
      </c>
      <c r="I23" s="130">
        <f t="shared" si="0"/>
        <v>45.965718954497532</v>
      </c>
      <c r="J23" s="130">
        <f t="shared" si="5"/>
        <v>-0.46817042036648471</v>
      </c>
      <c r="O23" s="89"/>
      <c r="P23" s="129" t="s">
        <v>189</v>
      </c>
      <c r="Q23" s="116">
        <v>1145434</v>
      </c>
      <c r="R23" s="116">
        <v>1482980846</v>
      </c>
      <c r="S23" s="116">
        <v>24919.31</v>
      </c>
      <c r="T23" s="130">
        <f t="shared" si="8"/>
        <v>45.965718954497532</v>
      </c>
      <c r="U23" s="78"/>
    </row>
    <row r="24" spans="1:21" hidden="1">
      <c r="A24" s="129" t="s">
        <v>204</v>
      </c>
      <c r="B24" s="131"/>
      <c r="C24" s="131"/>
      <c r="F24" s="78">
        <f>Q24/22</f>
        <v>62475.272727272728</v>
      </c>
      <c r="G24" s="90">
        <f t="shared" ref="G24" si="11">F24/F23-1</f>
        <v>0.14540054448595674</v>
      </c>
      <c r="H24" s="90">
        <f t="shared" ref="H24" si="12">F24/F12-1</f>
        <v>-7.7608214213811033E-2</v>
      </c>
      <c r="I24" s="130">
        <f t="shared" si="0"/>
        <v>40.50774077752596</v>
      </c>
      <c r="J24" s="130">
        <f t="shared" si="5"/>
        <v>-0.14672065612263285</v>
      </c>
      <c r="O24" s="89"/>
      <c r="P24" s="129" t="s">
        <v>204</v>
      </c>
      <c r="Q24" s="116">
        <v>1374456</v>
      </c>
      <c r="R24" s="116">
        <v>1820574825</v>
      </c>
      <c r="S24" s="116">
        <v>33930.699999999997</v>
      </c>
      <c r="T24" s="130">
        <f t="shared" ref="T24" si="13">Q24/S24</f>
        <v>40.50774077752596</v>
      </c>
      <c r="U24" s="78"/>
    </row>
    <row r="25" spans="1:21" s="79" customFormat="1" ht="13.2" hidden="1">
      <c r="A25" s="129" t="s">
        <v>223</v>
      </c>
      <c r="B25" s="131">
        <f>SUM(F23:F25)</f>
        <v>182426.01207564367</v>
      </c>
      <c r="C25" s="131">
        <f>AVERAGE(F23:F25)</f>
        <v>60808.67069188122</v>
      </c>
      <c r="D25" s="90">
        <f>C25/C22-1</f>
        <v>-0.40556779707061119</v>
      </c>
      <c r="E25" s="286">
        <f>C25/C13-1</f>
        <v>-0.11315181325483226</v>
      </c>
      <c r="F25" s="78">
        <f>Q25/19</f>
        <v>65406.26315789474</v>
      </c>
      <c r="G25" s="90">
        <f t="shared" ref="G25" si="14">F25/F24-1</f>
        <v>4.6914407935710001E-2</v>
      </c>
      <c r="H25" s="90">
        <f t="shared" ref="H25" si="15">F25/F13-1</f>
        <v>-5.4434038880222579E-2</v>
      </c>
      <c r="I25" s="130">
        <f t="shared" si="0"/>
        <v>56.048899402626283</v>
      </c>
      <c r="J25" s="130">
        <f t="shared" si="5"/>
        <v>-6.6478974834672577E-2</v>
      </c>
      <c r="K25" s="78">
        <f>R23+R24+R25</f>
        <v>4954688737</v>
      </c>
      <c r="L25" s="90">
        <f>U25/U22-1</f>
        <v>-0.40999385784156994</v>
      </c>
      <c r="M25" s="90">
        <f>U25/U13-1</f>
        <v>-0.12868120080809731</v>
      </c>
      <c r="N25" s="88">
        <f>AVERAGE(T23:T25)</f>
        <v>47.507453044883256</v>
      </c>
      <c r="O25" s="91">
        <f>N25/N22-1</f>
        <v>0.31141755367027191</v>
      </c>
      <c r="P25" s="129" t="s">
        <v>223</v>
      </c>
      <c r="Q25" s="116">
        <v>1242719</v>
      </c>
      <c r="R25" s="116">
        <v>1651133066</v>
      </c>
      <c r="S25" s="116">
        <v>22172.05</v>
      </c>
      <c r="T25" s="130">
        <f t="shared" ref="T25" si="16">Q25/S25</f>
        <v>56.048899402626283</v>
      </c>
      <c r="U25" s="85">
        <f>Q23+Q24+Q25</f>
        <v>3762609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33842.315789473687</v>
      </c>
      <c r="G26" s="90">
        <f t="shared" ref="G26" si="17">F26/F25-1</f>
        <v>-0.48258294916228039</v>
      </c>
      <c r="H26" s="90">
        <f t="shared" ref="H26" si="18">F26/F14-1</f>
        <v>-0.6434558418093832</v>
      </c>
      <c r="I26" s="130">
        <f t="shared" si="0"/>
        <v>48.589735161142357</v>
      </c>
      <c r="J26" s="130">
        <f t="shared" si="5"/>
        <v>0.36057514051463158</v>
      </c>
      <c r="L26" s="90"/>
      <c r="M26" s="90"/>
      <c r="P26" s="129" t="s">
        <v>312</v>
      </c>
      <c r="Q26" s="116">
        <v>643004</v>
      </c>
      <c r="R26" s="116">
        <v>865467624</v>
      </c>
      <c r="S26" s="116">
        <v>13233.33</v>
      </c>
      <c r="T26" s="130">
        <f t="shared" ref="T26" si="19">Q26/S26</f>
        <v>48.589735161142357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53151.409090909088</v>
      </c>
      <c r="G27" s="90">
        <f t="shared" ref="G27" si="20">F27/F26-1</f>
        <v>0.57056063838992066</v>
      </c>
      <c r="H27" s="90">
        <f t="shared" ref="H27" si="21">F27/F15-1</f>
        <v>-0.33104940023157792</v>
      </c>
      <c r="I27" s="130">
        <f t="shared" si="0"/>
        <v>23.868320905179981</v>
      </c>
      <c r="J27" s="130">
        <f t="shared" si="5"/>
        <v>0.24279579770031945</v>
      </c>
      <c r="L27" s="90"/>
      <c r="M27" s="90"/>
      <c r="P27" s="129" t="s">
        <v>375</v>
      </c>
      <c r="Q27" s="116">
        <v>1169331</v>
      </c>
      <c r="R27" s="116">
        <v>1573265185</v>
      </c>
      <c r="S27" s="116">
        <v>48990.92</v>
      </c>
      <c r="T27" s="130">
        <f t="shared" ref="T27" si="22">Q27/S27</f>
        <v>23.868320905179981</v>
      </c>
      <c r="U27" s="78"/>
    </row>
    <row r="28" spans="1:21" s="79" customFormat="1" ht="13.2" hidden="1">
      <c r="A28" s="123" t="s">
        <v>413</v>
      </c>
      <c r="B28" s="131">
        <f>SUM(F26:F28)</f>
        <v>186748.25119617226</v>
      </c>
      <c r="C28" s="131">
        <f>AVERAGE(F26:F28)</f>
        <v>62249.417065390757</v>
      </c>
      <c r="D28" s="90">
        <f>C28/C25-1</f>
        <v>2.3693107530829316E-2</v>
      </c>
      <c r="E28" s="286">
        <f>C28/C16-1</f>
        <v>-8.9562065099594412E-2</v>
      </c>
      <c r="F28" s="78">
        <f>Q28/19</f>
        <v>99754.526315789481</v>
      </c>
      <c r="G28" s="90">
        <f t="shared" ref="G28" si="23">F28/F27-1</f>
        <v>0.87679928005617636</v>
      </c>
      <c r="H28" s="90">
        <f t="shared" ref="H28" si="24">F28/F16-1</f>
        <v>2.244404530499077</v>
      </c>
      <c r="I28" s="130">
        <f t="shared" si="0"/>
        <v>36.078753857077317</v>
      </c>
      <c r="J28" s="130">
        <f t="shared" si="5"/>
        <v>-0.79171774323889543</v>
      </c>
      <c r="K28" s="78">
        <f>R26+R27+R28</f>
        <v>4901140427</v>
      </c>
      <c r="L28" s="90">
        <f>U28/U25-1</f>
        <v>-1.4601038800470589E-2</v>
      </c>
      <c r="M28" s="90">
        <f>U28/U16-1</f>
        <v>-0.14229596376040821</v>
      </c>
      <c r="N28" s="88">
        <f>AVERAGE(T26:T28)</f>
        <v>36.17893664113322</v>
      </c>
      <c r="O28" s="91">
        <f>N28/N25-1</f>
        <v>-0.23845766669594515</v>
      </c>
      <c r="P28" s="129" t="s">
        <v>413</v>
      </c>
      <c r="Q28" s="116">
        <v>1895336</v>
      </c>
      <c r="R28" s="116">
        <v>2462407618</v>
      </c>
      <c r="S28" s="116">
        <v>52533.3</v>
      </c>
      <c r="T28" s="130">
        <f t="shared" ref="T28" si="25">Q28/S28</f>
        <v>36.078753857077317</v>
      </c>
      <c r="U28" s="85">
        <f>Q26+Q27+Q28</f>
        <v>3707671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37372.727272727272</v>
      </c>
      <c r="G29" s="190">
        <f t="shared" ref="G29" si="26">F29/F28-1</f>
        <v>-0.62535306764509402</v>
      </c>
      <c r="H29" s="190">
        <f t="shared" ref="H29" si="27">F29/F17-1</f>
        <v>-0.58470571459988729</v>
      </c>
      <c r="I29" s="130">
        <f t="shared" si="0"/>
        <v>153.61074938953647</v>
      </c>
      <c r="J29" s="130">
        <f t="shared" si="5"/>
        <v>1.2505299086062256</v>
      </c>
      <c r="K29" s="136"/>
      <c r="L29" s="190"/>
      <c r="M29" s="190"/>
      <c r="N29" s="191"/>
      <c r="O29" s="192"/>
      <c r="P29" s="129" t="s">
        <v>427</v>
      </c>
      <c r="Q29" s="116">
        <v>822200</v>
      </c>
      <c r="R29" s="116">
        <v>1081553176</v>
      </c>
      <c r="S29" s="116">
        <v>5352.49</v>
      </c>
      <c r="T29" s="130">
        <f t="shared" ref="T29" si="28">Q29/S29</f>
        <v>153.61074938953647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75085.210526315786</v>
      </c>
      <c r="G30" s="190">
        <f t="shared" ref="G30" si="29">F30/F29-1</f>
        <v>1.0090910138396345</v>
      </c>
      <c r="H30" s="190">
        <f t="shared" ref="H30" si="30">F30/F18-1</f>
        <v>-0.39423668852214833</v>
      </c>
      <c r="I30" s="130">
        <f t="shared" si="0"/>
        <v>26.378457596352845</v>
      </c>
      <c r="J30" s="130">
        <f t="shared" si="5"/>
        <v>-0.6235196049916667</v>
      </c>
      <c r="K30" s="136"/>
      <c r="L30" s="190"/>
      <c r="M30" s="190"/>
      <c r="N30" s="191"/>
      <c r="O30" s="192"/>
      <c r="P30" s="129" t="s">
        <v>466</v>
      </c>
      <c r="Q30" s="116">
        <v>1426619</v>
      </c>
      <c r="R30" s="116">
        <v>1899610141</v>
      </c>
      <c r="S30" s="116">
        <v>54082.73</v>
      </c>
      <c r="T30" s="130">
        <f t="shared" ref="T30" si="31">Q30/S30</f>
        <v>26.378457596352845</v>
      </c>
      <c r="U30" s="85"/>
    </row>
    <row r="31" spans="1:21" s="79" customFormat="1" ht="13.2" hidden="1">
      <c r="A31" s="129" t="s">
        <v>505</v>
      </c>
      <c r="B31" s="188">
        <f>SUM(F29:F31)</f>
        <v>166691.43779904305</v>
      </c>
      <c r="C31" s="188">
        <f>AVERAGE(F29:F31)</f>
        <v>55563.812599681019</v>
      </c>
      <c r="D31" s="190">
        <f>C31/C28-1</f>
        <v>-0.10740027426580967</v>
      </c>
      <c r="E31" s="287">
        <f>C31/C19-1</f>
        <v>-0.39159143749638892</v>
      </c>
      <c r="F31" s="136">
        <f>Q31/20</f>
        <v>54233.5</v>
      </c>
      <c r="G31" s="190">
        <f t="shared" ref="G31" si="32">F31/F30-1</f>
        <v>-0.27770729255673732</v>
      </c>
      <c r="H31" s="190">
        <f t="shared" ref="H31" si="33">F31/F19-1</f>
        <v>-9.6666757519593971E-2</v>
      </c>
      <c r="I31" s="130">
        <f t="shared" si="0"/>
        <v>57.139621130707802</v>
      </c>
      <c r="J31" s="130">
        <f t="shared" si="5"/>
        <v>-0.17788034877581571</v>
      </c>
      <c r="K31" s="136">
        <f>R29+R30+R31</f>
        <v>4422839565</v>
      </c>
      <c r="L31" s="190">
        <f>U31/U28-1</f>
        <v>-0.10092103641342498</v>
      </c>
      <c r="M31" s="190">
        <f>U31/U19-1</f>
        <v>-0.40469828273594322</v>
      </c>
      <c r="N31" s="191">
        <f>AVERAGE(T29:T31)</f>
        <v>79.042942705532383</v>
      </c>
      <c r="O31" s="192">
        <f>N31/N28-1</f>
        <v>1.1847779410870087</v>
      </c>
      <c r="P31" s="129" t="s">
        <v>506</v>
      </c>
      <c r="Q31" s="116">
        <v>1084670</v>
      </c>
      <c r="R31" s="116">
        <v>1441676248</v>
      </c>
      <c r="S31" s="116">
        <v>18982.8</v>
      </c>
      <c r="T31" s="130">
        <f t="shared" ref="T31" si="34">Q31/S31</f>
        <v>57.139621130707802</v>
      </c>
      <c r="U31" s="85">
        <f>Q29+Q30+Q31</f>
        <v>3333489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59647.523809523809</v>
      </c>
      <c r="G32" s="190">
        <f t="shared" ref="G32" si="35">F32/F31-1</f>
        <v>9.9828036352509253E-2</v>
      </c>
      <c r="H32" s="190">
        <f t="shared" ref="H32" si="36">F32/F20-1</f>
        <v>-0.11604749668005654</v>
      </c>
      <c r="I32" s="130">
        <f t="shared" si="0"/>
        <v>41.86875464823806</v>
      </c>
      <c r="J32" s="130">
        <f t="shared" si="5"/>
        <v>-0.11453722310186343</v>
      </c>
      <c r="K32" s="136"/>
      <c r="L32" s="190"/>
      <c r="M32" s="190"/>
      <c r="N32" s="191"/>
      <c r="O32" s="192"/>
      <c r="P32" s="129" t="s">
        <v>562</v>
      </c>
      <c r="Q32" s="116">
        <v>1252598</v>
      </c>
      <c r="R32" s="116">
        <v>1712540707</v>
      </c>
      <c r="S32" s="116">
        <v>29917.25</v>
      </c>
      <c r="T32" s="130">
        <f t="shared" ref="T32" si="37">Q32/S32</f>
        <v>41.86875464823806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91588.857142857145</v>
      </c>
      <c r="G33" s="190">
        <f t="shared" ref="G33" si="38">F33/F32-1</f>
        <v>0.53550141386143046</v>
      </c>
      <c r="H33" s="190">
        <f t="shared" ref="H33" si="39">F33/F21-1</f>
        <v>-0.10871637411589485</v>
      </c>
      <c r="I33" s="130">
        <f t="shared" si="0"/>
        <v>64.406279070234689</v>
      </c>
      <c r="J33" s="130">
        <f t="shared" si="5"/>
        <v>0.52809509807463373</v>
      </c>
      <c r="K33" s="136"/>
      <c r="L33" s="190"/>
      <c r="M33" s="190"/>
      <c r="N33" s="191"/>
      <c r="O33" s="192"/>
      <c r="P33" s="129" t="s">
        <v>607</v>
      </c>
      <c r="Q33" s="116">
        <v>1923366</v>
      </c>
      <c r="R33" s="116">
        <v>2628648002</v>
      </c>
      <c r="S33" s="116">
        <v>29863.02</v>
      </c>
      <c r="T33" s="130">
        <f t="shared" ref="T33" si="40">Q33/S33</f>
        <v>64.406279070234689</v>
      </c>
      <c r="U33" s="85"/>
    </row>
    <row r="34" spans="1:21" s="79" customFormat="1" ht="13.2" hidden="1">
      <c r="A34" s="129" t="s">
        <v>652</v>
      </c>
      <c r="B34" s="188">
        <f>SUM(F32:F34)</f>
        <v>222402.01253132831</v>
      </c>
      <c r="C34" s="188">
        <f>AVERAGE(F32:F34)</f>
        <v>74134.00417710944</v>
      </c>
      <c r="D34" s="190">
        <f>C34/C31-1</f>
        <v>0.33421377527169605</v>
      </c>
      <c r="E34" s="287">
        <f>C34/C22-1</f>
        <v>-0.27530664766103319</v>
      </c>
      <c r="F34" s="136">
        <f>Q34/19</f>
        <v>71165.631578947374</v>
      </c>
      <c r="G34" s="190">
        <f t="shared" ref="G34" si="41">F34/F33-1</f>
        <v>-0.22298810358616361</v>
      </c>
      <c r="H34" s="190">
        <f t="shared" ref="H34" si="42">F34/F22-1</f>
        <v>-0.47922142971115622</v>
      </c>
      <c r="I34" s="130">
        <f t="shared" si="0"/>
        <v>73.326565463146295</v>
      </c>
      <c r="J34" s="130">
        <f t="shared" si="5"/>
        <v>2.8100809969171019</v>
      </c>
      <c r="K34" s="136">
        <f>R32+R33+R34</f>
        <v>6200936425</v>
      </c>
      <c r="L34" s="190">
        <f>U34/U31-1</f>
        <v>0.35836986412734517</v>
      </c>
      <c r="M34" s="190">
        <f>U34/U22-1</f>
        <v>-0.28995723383026217</v>
      </c>
      <c r="N34" s="191">
        <f>AVERAGE(T32:T34)</f>
        <v>59.867199727206348</v>
      </c>
      <c r="O34" s="192">
        <f>N34/N31-1</f>
        <v>-0.24259905213503496</v>
      </c>
      <c r="P34" s="129" t="s">
        <v>652</v>
      </c>
      <c r="Q34" s="116">
        <v>1352147</v>
      </c>
      <c r="R34" s="116">
        <v>1859747716</v>
      </c>
      <c r="S34" s="116">
        <v>18440.07</v>
      </c>
      <c r="T34" s="130">
        <f t="shared" ref="T34" si="43">Q34/S34</f>
        <v>73.326565463146295</v>
      </c>
      <c r="U34" s="85">
        <f>Q32+Q33+Q34</f>
        <v>4528111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157273.21739130435</v>
      </c>
      <c r="G35" s="190">
        <f t="shared" ref="G35" si="44">F35/F34-1</f>
        <v>1.2099602561221396</v>
      </c>
      <c r="H35" s="190">
        <f t="shared" ref="H35" si="45">F35/F23-1</f>
        <v>1.8833940368606061</v>
      </c>
      <c r="I35" s="130">
        <f t="shared" si="0"/>
        <v>31.086070803989223</v>
      </c>
      <c r="J35" s="130">
        <f t="shared" si="5"/>
        <v>-0.32371185502913591</v>
      </c>
      <c r="K35" s="136"/>
      <c r="L35" s="190"/>
      <c r="M35" s="190"/>
      <c r="N35" s="191"/>
      <c r="O35" s="192"/>
      <c r="P35" s="129" t="s">
        <v>660</v>
      </c>
      <c r="Q35" s="116">
        <v>3617284</v>
      </c>
      <c r="R35" s="116">
        <v>5017296407</v>
      </c>
      <c r="S35" s="116">
        <v>116363.5</v>
      </c>
      <c r="T35" s="130">
        <f t="shared" ref="T35" si="46">Q35/S35</f>
        <v>31.086070803989223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100325.90476190476</v>
      </c>
      <c r="G36" s="190">
        <f t="shared" ref="G36" si="47">F36/F35-1</f>
        <v>-0.36209161085394193</v>
      </c>
      <c r="H36" s="190">
        <f t="shared" ref="H36" si="48">F36/F24-1</f>
        <v>0.60584980876936378</v>
      </c>
      <c r="I36" s="130">
        <f t="shared" si="0"/>
        <v>31.266068268660561</v>
      </c>
      <c r="J36" s="130">
        <f t="shared" si="5"/>
        <v>-0.22814583907855845</v>
      </c>
      <c r="K36" s="136"/>
      <c r="L36" s="190"/>
      <c r="M36" s="190"/>
      <c r="N36" s="191"/>
      <c r="O36" s="192"/>
      <c r="P36" s="129" t="s">
        <v>664</v>
      </c>
      <c r="Q36" s="116">
        <v>2106844</v>
      </c>
      <c r="R36" s="116">
        <v>2885970920</v>
      </c>
      <c r="S36" s="116">
        <v>67384.36</v>
      </c>
      <c r="T36" s="130">
        <f t="shared" ref="T36" si="49">Q36/S36</f>
        <v>31.266068268660561</v>
      </c>
      <c r="U36" s="85"/>
    </row>
    <row r="37" spans="1:21" s="79" customFormat="1" ht="13.2" hidden="1">
      <c r="A37" s="129" t="s">
        <v>704</v>
      </c>
      <c r="B37" s="188">
        <f>SUM(F35:F37)</f>
        <v>401758.39993098693</v>
      </c>
      <c r="C37" s="188">
        <f>AVERAGE(F35:F37)</f>
        <v>133919.46664366231</v>
      </c>
      <c r="D37" s="190">
        <f>C37/C34-1</f>
        <v>0.8064512787373892</v>
      </c>
      <c r="E37" s="287">
        <f>C37/C25-1</f>
        <v>1.2023087352498623</v>
      </c>
      <c r="F37" s="136">
        <f>Q37/18</f>
        <v>144159.27777777778</v>
      </c>
      <c r="G37" s="190">
        <f t="shared" ref="G37" si="50">F37/F36-1</f>
        <v>0.43690982024930825</v>
      </c>
      <c r="H37" s="190">
        <f t="shared" ref="H37" si="51">F37/F25-1</f>
        <v>1.2040592264041812</v>
      </c>
      <c r="I37" s="130">
        <f t="shared" si="0"/>
        <v>81.349734949292539</v>
      </c>
      <c r="J37" s="130">
        <f t="shared" si="5"/>
        <v>0.45140646500332049</v>
      </c>
      <c r="K37" s="136">
        <f>R35+R36+R37</f>
        <v>11370935618</v>
      </c>
      <c r="L37" s="190">
        <f>U37/U34-1</f>
        <v>0.83718884099793489</v>
      </c>
      <c r="M37" s="190">
        <f>U37/U25-1</f>
        <v>1.2109645195660779</v>
      </c>
      <c r="N37" s="191">
        <f>AVERAGE(T35:T37)</f>
        <v>47.900624673980779</v>
      </c>
      <c r="O37" s="192">
        <f>N37/N34-1</f>
        <v>-0.1998853313292257</v>
      </c>
      <c r="P37" s="129" t="s">
        <v>704</v>
      </c>
      <c r="Q37" s="116">
        <v>2594867</v>
      </c>
      <c r="R37" s="116">
        <v>3467668291</v>
      </c>
      <c r="S37" s="116">
        <v>31897.67</v>
      </c>
      <c r="T37" s="130">
        <f t="shared" ref="T37" si="52">Q37/S37</f>
        <v>81.349734949292539</v>
      </c>
      <c r="U37" s="85">
        <f>Q35+Q36+Q37</f>
        <v>8318995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108293</v>
      </c>
      <c r="G38" s="190">
        <f t="shared" ref="G38" si="53">F38/F37-1</f>
        <v>-0.24879618107594725</v>
      </c>
      <c r="H38" s="190">
        <f t="shared" ref="H38" si="54">F38/F26-1</f>
        <v>2.1999287718272358</v>
      </c>
      <c r="I38" s="130">
        <f t="shared" si="0"/>
        <v>104.97088154099073</v>
      </c>
      <c r="J38" s="130">
        <f t="shared" si="5"/>
        <v>1.1603509711025732</v>
      </c>
      <c r="K38" s="136"/>
      <c r="L38" s="190"/>
      <c r="M38" s="190"/>
      <c r="N38" s="191"/>
      <c r="O38" s="192"/>
      <c r="P38" s="129" t="s">
        <v>728</v>
      </c>
      <c r="Q38" s="116">
        <v>2165860</v>
      </c>
      <c r="R38" s="116">
        <v>2905198125</v>
      </c>
      <c r="S38" s="116">
        <v>20632.96</v>
      </c>
      <c r="T38" s="130">
        <f t="shared" ref="T38" si="55">Q38/S38</f>
        <v>104.97088154099073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119603.09523809524</v>
      </c>
      <c r="G39" s="190">
        <f t="shared" ref="G39" si="56">F39/F38-1</f>
        <v>0.1044397628479703</v>
      </c>
      <c r="H39" s="190">
        <f t="shared" ref="H39" si="57">F39/F27-1</f>
        <v>1.250233762072583</v>
      </c>
      <c r="I39" s="130">
        <f t="shared" si="0"/>
        <v>97.603043818031537</v>
      </c>
      <c r="J39" s="130">
        <f t="shared" si="5"/>
        <v>3.0892295778061793</v>
      </c>
      <c r="K39" s="136"/>
      <c r="L39" s="190"/>
      <c r="M39" s="190"/>
      <c r="N39" s="191"/>
      <c r="O39" s="192"/>
      <c r="P39" s="129" t="s">
        <v>762</v>
      </c>
      <c r="Q39" s="116">
        <v>2511665</v>
      </c>
      <c r="R39" s="116">
        <v>3496536493</v>
      </c>
      <c r="S39" s="116">
        <v>25733.47</v>
      </c>
      <c r="T39" s="130">
        <f t="shared" ref="T39" si="58">Q39/S39</f>
        <v>97.603043818031537</v>
      </c>
      <c r="U39" s="85"/>
    </row>
    <row r="40" spans="1:21" s="79" customFormat="1" ht="13.2" hidden="1">
      <c r="A40" s="129" t="s">
        <v>778</v>
      </c>
      <c r="B40" s="188">
        <f>SUM(F38:F40)</f>
        <v>324430.85714285716</v>
      </c>
      <c r="C40" s="188">
        <f>AVERAGE(F38:F40)</f>
        <v>108143.61904761905</v>
      </c>
      <c r="D40" s="190">
        <f>C40/C37-1</f>
        <v>-0.19247274680856186</v>
      </c>
      <c r="E40" s="287">
        <f>C40/C28-1</f>
        <v>0.73726316077816612</v>
      </c>
      <c r="F40" s="136">
        <f>Q40/21</f>
        <v>96534.761904761908</v>
      </c>
      <c r="G40" s="190">
        <f t="shared" ref="G40" si="59">F40/F39-1</f>
        <v>-0.19287404968417365</v>
      </c>
      <c r="H40" s="190">
        <f t="shared" ref="H40" si="60">F40/F28-1</f>
        <v>-3.2276875345333966E-2</v>
      </c>
      <c r="I40" s="130">
        <f t="shared" si="0"/>
        <v>88.003302679650488</v>
      </c>
      <c r="J40" s="130">
        <f t="shared" si="5"/>
        <v>1.4392001738271651</v>
      </c>
      <c r="K40" s="136">
        <f>R38+R39+R40</f>
        <v>9268809733</v>
      </c>
      <c r="L40" s="190">
        <f>U40/U37-1</f>
        <v>-0.19404266981768836</v>
      </c>
      <c r="M40" s="190">
        <f>U40/U28-1</f>
        <v>0.80834680315486462</v>
      </c>
      <c r="N40" s="191">
        <f>AVERAGE(T38:T40)</f>
        <v>96.85907601289091</v>
      </c>
      <c r="O40" s="192">
        <f>N40/N37-1</f>
        <v>1.0220837759868289</v>
      </c>
      <c r="P40" s="129" t="s">
        <v>778</v>
      </c>
      <c r="Q40" s="116">
        <v>2027230</v>
      </c>
      <c r="R40" s="116">
        <v>2867075115</v>
      </c>
      <c r="S40" s="116">
        <v>23035.84</v>
      </c>
      <c r="T40" s="130">
        <f t="shared" ref="T40" si="61">Q40/S40</f>
        <v>88.003302679650488</v>
      </c>
      <c r="U40" s="85">
        <f>Q38+Q39+Q40</f>
        <v>6704755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74703.722222222219</v>
      </c>
      <c r="G41" s="190">
        <f t="shared" ref="G41" si="62">F41/F40-1</f>
        <v>-0.2261469262655611</v>
      </c>
      <c r="H41" s="190">
        <f t="shared" ref="H41" si="63">F41/F29-1</f>
        <v>0.99888334819859992</v>
      </c>
      <c r="I41" s="130">
        <f t="shared" si="0"/>
        <v>41.618574218568646</v>
      </c>
      <c r="J41" s="130">
        <f t="shared" si="5"/>
        <v>-0.72906470163081183</v>
      </c>
      <c r="K41" s="193"/>
      <c r="L41" s="190"/>
      <c r="M41" s="190"/>
      <c r="N41" s="193"/>
      <c r="O41" s="193"/>
      <c r="P41" s="129" t="s">
        <v>792</v>
      </c>
      <c r="Q41" s="116">
        <v>1344667</v>
      </c>
      <c r="R41" s="116">
        <v>1966758805</v>
      </c>
      <c r="S41" s="116">
        <v>32309.3</v>
      </c>
      <c r="T41" s="130">
        <f t="shared" ref="T41" si="64">Q41/S41</f>
        <v>41.618574218568646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121275.5</v>
      </c>
      <c r="G42" s="190">
        <f t="shared" ref="G42" si="65">F42/F41-1</f>
        <v>0.62341977604864263</v>
      </c>
      <c r="H42" s="190">
        <f t="shared" ref="H42" si="66">F42/F30-1</f>
        <v>0.61517160503259816</v>
      </c>
      <c r="I42" s="130">
        <f t="shared" si="0"/>
        <v>83.631210466701944</v>
      </c>
      <c r="J42" s="130">
        <f t="shared" si="5"/>
        <v>2.1704359574937775</v>
      </c>
      <c r="K42" s="193"/>
      <c r="L42" s="190"/>
      <c r="M42" s="190"/>
      <c r="N42" s="193"/>
      <c r="O42" s="193"/>
      <c r="P42" s="129" t="s">
        <v>826</v>
      </c>
      <c r="Q42" s="116">
        <v>2425510</v>
      </c>
      <c r="R42" s="116">
        <v>3509484914</v>
      </c>
      <c r="S42" s="116">
        <v>29002.45</v>
      </c>
      <c r="T42" s="130">
        <f t="shared" ref="T42" si="67">Q42/S42</f>
        <v>83.631210466701944</v>
      </c>
      <c r="U42" s="78"/>
    </row>
    <row r="43" spans="1:21" s="79" customFormat="1" ht="13.2">
      <c r="A43" s="129" t="s">
        <v>835</v>
      </c>
      <c r="B43" s="188">
        <f>SUM(F41:F43)</f>
        <v>344559.07222222222</v>
      </c>
      <c r="C43" s="188">
        <f>AVERAGE(F41:F43)</f>
        <v>114853.02407407407</v>
      </c>
      <c r="D43" s="190">
        <f>C43/C40-1</f>
        <v>6.2041617300607088E-2</v>
      </c>
      <c r="E43" s="287">
        <f>C43/C31-1</f>
        <v>1.0670472147322267</v>
      </c>
      <c r="F43" s="136">
        <f>Q43/20</f>
        <v>148579.85</v>
      </c>
      <c r="G43" s="190">
        <f t="shared" ref="G43" si="68">F43/F42-1</f>
        <v>0.22514316576719962</v>
      </c>
      <c r="H43" s="190">
        <f t="shared" ref="H43" si="69">F43/F31-1</f>
        <v>1.7396323305705885</v>
      </c>
      <c r="I43" s="130">
        <f t="shared" si="0"/>
        <v>143.71502456109468</v>
      </c>
      <c r="J43" s="130">
        <f t="shared" si="5"/>
        <v>1.5151553636021537</v>
      </c>
      <c r="K43" s="136">
        <f>R41+R42+R43</f>
        <v>9783379755</v>
      </c>
      <c r="L43" s="190">
        <f>U43/U40-1</f>
        <v>5.5213054019125352E-3</v>
      </c>
      <c r="M43" s="190">
        <f>K43/K31-1</f>
        <v>1.2120132578220706</v>
      </c>
      <c r="N43" s="191">
        <f>AVERAGE(T41:T43)</f>
        <v>89.654936415455083</v>
      </c>
      <c r="O43" s="192">
        <f>N43/N40-1</f>
        <v>-7.4377537903386859E-2</v>
      </c>
      <c r="P43" s="129" t="s">
        <v>835</v>
      </c>
      <c r="Q43" s="116">
        <v>2971597</v>
      </c>
      <c r="R43" s="116">
        <v>4307136036</v>
      </c>
      <c r="S43" s="116">
        <v>20677.009999999998</v>
      </c>
      <c r="T43" s="130">
        <f t="shared" ref="T43" si="70">Q43/S43</f>
        <v>143.71502456109468</v>
      </c>
      <c r="U43" s="85">
        <f>Q41+Q42+Q43</f>
        <v>6741774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222397.5</v>
      </c>
      <c r="G44" s="190">
        <f t="shared" ref="G44" si="71">F44/F43-1</f>
        <v>0.49682140613279646</v>
      </c>
      <c r="H44" s="190">
        <f t="shared" ref="H44" si="72">F44/F32-1</f>
        <v>2.7285286261035067</v>
      </c>
      <c r="I44" s="130">
        <f t="shared" si="0"/>
        <v>47.347703347356131</v>
      </c>
      <c r="J44" s="130">
        <f t="shared" si="5"/>
        <v>0.13086008277890437</v>
      </c>
      <c r="K44" s="136"/>
      <c r="L44" s="190"/>
      <c r="M44" s="190"/>
      <c r="N44" s="191"/>
      <c r="O44" s="192"/>
      <c r="P44" s="129" t="s">
        <v>843</v>
      </c>
      <c r="Q44" s="116">
        <v>4892745</v>
      </c>
      <c r="R44" s="116">
        <v>7110081886</v>
      </c>
      <c r="S44" s="116">
        <v>103336.48</v>
      </c>
      <c r="T44" s="130">
        <f t="shared" ref="T44" si="73">Q44/S44</f>
        <v>47.347703347356131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267989.55</v>
      </c>
      <c r="G45" s="190">
        <f t="shared" ref="G45" si="74">F45/F44-1</f>
        <v>0.20500252925505014</v>
      </c>
      <c r="H45" s="190">
        <f t="shared" ref="H45" si="75">F45/F33-1</f>
        <v>1.9260060487707484</v>
      </c>
      <c r="I45" s="130">
        <f t="shared" si="0"/>
        <v>80.29324656530747</v>
      </c>
      <c r="J45" s="130">
        <f t="shared" si="5"/>
        <v>0.24666799145077345</v>
      </c>
      <c r="K45" s="136"/>
      <c r="L45" s="190"/>
      <c r="M45" s="190"/>
      <c r="N45" s="191"/>
      <c r="O45" s="192"/>
      <c r="P45" s="129" t="s">
        <v>853</v>
      </c>
      <c r="Q45" s="116">
        <v>5359791</v>
      </c>
      <c r="R45" s="116">
        <v>7546842263</v>
      </c>
      <c r="S45" s="116">
        <v>66752.7</v>
      </c>
      <c r="T45" s="130">
        <f t="shared" ref="T45" si="76">Q45/S45</f>
        <v>80.29324656530747</v>
      </c>
      <c r="U45" s="85"/>
    </row>
    <row r="46" spans="1:21" s="79" customFormat="1" ht="13.2">
      <c r="A46" s="129" t="s">
        <v>897</v>
      </c>
      <c r="B46" s="188">
        <f>SUM(F44:F46)</f>
        <v>715959.31315789477</v>
      </c>
      <c r="C46" s="188">
        <f>AVERAGE(F44:F46)</f>
        <v>238653.10438596492</v>
      </c>
      <c r="D46" s="190">
        <f>C46/C43-1</f>
        <v>1.0779000493016744</v>
      </c>
      <c r="E46" s="287">
        <f>C46/C34-1</f>
        <v>2.2192123848566445</v>
      </c>
      <c r="F46" s="136">
        <f>Q46/19</f>
        <v>225572.26315789475</v>
      </c>
      <c r="G46" s="190">
        <f t="shared" ref="G46" si="77">F46/F45-1</f>
        <v>-0.15827963009044654</v>
      </c>
      <c r="H46" s="190">
        <f t="shared" ref="H46" si="78">F46/F34-1</f>
        <v>2.1696797759415212</v>
      </c>
      <c r="I46" s="130">
        <f t="shared" si="0"/>
        <v>66.532020453846897</v>
      </c>
      <c r="J46" s="130">
        <f t="shared" si="5"/>
        <v>-9.2661438134782337E-2</v>
      </c>
      <c r="K46" s="136">
        <f>R44+R45+R46</f>
        <v>20529526420</v>
      </c>
      <c r="L46" s="190">
        <f>U46/U43-1</f>
        <v>1.1564663840704243</v>
      </c>
      <c r="M46" s="190">
        <f>K46/K34-1</f>
        <v>2.3107139007637865</v>
      </c>
      <c r="N46" s="191">
        <f>AVERAGE(T44:T46)</f>
        <v>64.724323455503495</v>
      </c>
      <c r="O46" s="192">
        <f>N46/N43-1</f>
        <v>-0.27807295344480276</v>
      </c>
      <c r="P46" s="129" t="s">
        <v>888</v>
      </c>
      <c r="Q46" s="116">
        <v>4285873</v>
      </c>
      <c r="R46" s="116">
        <v>5872602271</v>
      </c>
      <c r="S46" s="116">
        <v>64418.2</v>
      </c>
      <c r="T46" s="130">
        <f t="shared" ref="T46" si="79">Q46/S46</f>
        <v>66.532020453846897</v>
      </c>
      <c r="U46" s="85">
        <f t="shared" ref="U46:U51" si="80">Q44+Q45+Q46</f>
        <v>14538409</v>
      </c>
    </row>
    <row r="47" spans="1:21" s="79" customFormat="1" ht="13.2">
      <c r="A47" s="129" t="s">
        <v>996</v>
      </c>
      <c r="B47" s="188"/>
      <c r="C47" s="188"/>
      <c r="D47" s="190"/>
      <c r="E47" s="287"/>
      <c r="F47" s="136">
        <f>Q47/23</f>
        <v>233566.4347826087</v>
      </c>
      <c r="G47" s="190">
        <f t="shared" ref="G47" si="81">F47/F46-1</f>
        <v>3.5439515092856366E-2</v>
      </c>
      <c r="H47" s="190">
        <f t="shared" ref="H47" si="82">F47/F35-1</f>
        <v>0.48509987051058201</v>
      </c>
      <c r="I47" s="130">
        <f t="shared" si="0"/>
        <v>51.048401557633319</v>
      </c>
      <c r="J47" s="130">
        <f t="shared" si="5"/>
        <v>0.64216320163184992</v>
      </c>
      <c r="K47" s="136"/>
      <c r="L47" s="190"/>
      <c r="M47" s="190"/>
      <c r="N47" s="191"/>
      <c r="O47" s="192"/>
      <c r="P47" s="129" t="s">
        <v>1028</v>
      </c>
      <c r="Q47" s="116">
        <v>5372028</v>
      </c>
      <c r="R47" s="116">
        <v>7358198979</v>
      </c>
      <c r="S47" s="116">
        <v>105234.01</v>
      </c>
      <c r="T47" s="130">
        <f t="shared" ref="T47" si="83">Q47/S47</f>
        <v>51.048401557633319</v>
      </c>
      <c r="U47" s="85">
        <f t="shared" si="80"/>
        <v>15017692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180339.1</v>
      </c>
      <c r="G48" s="190">
        <f t="shared" ref="G48" si="84">F48/F47-1</f>
        <v>-0.22788948605629011</v>
      </c>
      <c r="H48" s="190">
        <f t="shared" ref="H48" si="85">F48/F36-1</f>
        <v>0.79753275515415467</v>
      </c>
      <c r="I48" s="130">
        <f t="shared" si="0"/>
        <v>69.697105549863593</v>
      </c>
      <c r="J48" s="130">
        <f t="shared" si="5"/>
        <v>1.2291611772537534</v>
      </c>
      <c r="K48" s="136"/>
      <c r="L48" s="190"/>
      <c r="M48" s="190"/>
      <c r="N48" s="191"/>
      <c r="O48" s="192"/>
      <c r="P48" s="129" t="s">
        <v>1070</v>
      </c>
      <c r="Q48" s="116">
        <v>3606782</v>
      </c>
      <c r="R48" s="116">
        <v>5006762270</v>
      </c>
      <c r="S48" s="116">
        <v>51749.38</v>
      </c>
      <c r="T48" s="130">
        <f t="shared" ref="T48" si="86">Q48/S48</f>
        <v>69.697105549863593</v>
      </c>
      <c r="U48" s="85">
        <f t="shared" si="80"/>
        <v>13264683</v>
      </c>
    </row>
    <row r="49" spans="1:26" ht="13.2">
      <c r="A49" s="129" t="s">
        <v>1214</v>
      </c>
      <c r="B49" s="188">
        <f>SUM(F47:F49)</f>
        <v>594604.89841897239</v>
      </c>
      <c r="C49" s="188">
        <f>AVERAGE(F47:F49)</f>
        <v>198201.63280632414</v>
      </c>
      <c r="D49" s="190">
        <f>C49/C46-1</f>
        <v>-0.1694990378764154</v>
      </c>
      <c r="E49" s="287">
        <f>C49/C37-1</f>
        <v>0.48000613931435465</v>
      </c>
      <c r="F49" s="136">
        <f>Q49/22</f>
        <v>180699.36363636365</v>
      </c>
      <c r="G49" s="190">
        <f t="shared" ref="G49" si="87">F49/F48-1</f>
        <v>1.9977011993719263E-3</v>
      </c>
      <c r="H49" s="190">
        <f t="shared" ref="H49" si="88">F49/F37-1</f>
        <v>0.25347023390969392</v>
      </c>
      <c r="I49" s="130">
        <f t="shared" si="0"/>
        <v>187.4090329454304</v>
      </c>
      <c r="J49" s="130">
        <f t="shared" si="5"/>
        <v>1.3037448500876794</v>
      </c>
      <c r="K49" s="136">
        <f>R47+R48+R49</f>
        <v>17887264384</v>
      </c>
      <c r="L49" s="190">
        <f>U49/U46-1</f>
        <v>-0.10896742552778638</v>
      </c>
      <c r="M49" s="190">
        <f>K49/K37-1</f>
        <v>0.5730688295943529</v>
      </c>
      <c r="N49" s="191">
        <f>AVERAGE(T47:T49)</f>
        <v>102.71818001764244</v>
      </c>
      <c r="O49" s="192">
        <f>N49/N46-1</f>
        <v>0.58701048591506488</v>
      </c>
      <c r="P49" s="129" t="s">
        <v>1168</v>
      </c>
      <c r="Q49" s="116">
        <v>3975386</v>
      </c>
      <c r="R49" s="116">
        <v>5522303135</v>
      </c>
      <c r="S49" s="116">
        <v>21212.35</v>
      </c>
      <c r="T49" s="130">
        <f t="shared" ref="T49" si="89">Q49/S49</f>
        <v>187.4090329454304</v>
      </c>
      <c r="U49" s="85">
        <f t="shared" si="80"/>
        <v>12954196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244382.05555555556</v>
      </c>
      <c r="G50" s="190">
        <f t="shared" ref="G50" si="90">F50/F49-1</f>
        <v>0.35242344321336905</v>
      </c>
      <c r="H50" s="190">
        <f t="shared" ref="H50" si="91">F50/F38-1</f>
        <v>1.2566745362632448</v>
      </c>
      <c r="I50" s="130">
        <f t="shared" ref="I50" si="92">T50</f>
        <v>60.719583765898271</v>
      </c>
      <c r="J50" s="130">
        <f t="shared" ref="J50" si="93">I50/I38-1</f>
        <v>-0.4215578370446712</v>
      </c>
      <c r="K50" s="136"/>
      <c r="L50" s="190"/>
      <c r="M50" s="190"/>
      <c r="N50" s="191"/>
      <c r="O50" s="192"/>
      <c r="P50" s="129" t="s">
        <v>1291</v>
      </c>
      <c r="Q50" s="116">
        <v>4398877</v>
      </c>
      <c r="R50" s="116">
        <v>6188970531</v>
      </c>
      <c r="S50" s="116">
        <v>72445.77</v>
      </c>
      <c r="T50" s="130">
        <f t="shared" ref="T50" si="94">Q50/S50</f>
        <v>60.719583765898271</v>
      </c>
      <c r="U50" s="85">
        <f t="shared" si="80"/>
        <v>11981045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196215.85</v>
      </c>
      <c r="G51" s="190">
        <f t="shared" ref="G51:G52" si="95">F51/F50-1</f>
        <v>-0.19709387191321781</v>
      </c>
      <c r="H51" s="190">
        <f t="shared" ref="H51:H52" si="96">F51/F39-1</f>
        <v>0.64055829499555084</v>
      </c>
      <c r="I51" s="130">
        <f t="shared" ref="I51:I52" si="97">T51</f>
        <v>107.47928575321583</v>
      </c>
      <c r="J51" s="130">
        <f t="shared" ref="J51:J52" si="98">I51/I39-1</f>
        <v>0.10118784772324618</v>
      </c>
      <c r="K51" s="136"/>
      <c r="L51" s="190"/>
      <c r="M51" s="190"/>
      <c r="N51" s="191"/>
      <c r="O51" s="192"/>
      <c r="P51" s="129" t="s">
        <v>1402</v>
      </c>
      <c r="Q51" s="116">
        <v>3924317</v>
      </c>
      <c r="R51" s="116">
        <v>5681435134</v>
      </c>
      <c r="S51" s="116">
        <v>36512.31</v>
      </c>
      <c r="T51" s="130">
        <f t="shared" ref="T51:T52" si="99">Q51/S51</f>
        <v>107.47928575321583</v>
      </c>
      <c r="U51" s="85">
        <f t="shared" si="80"/>
        <v>12298580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606367.63282828289</v>
      </c>
      <c r="C52" s="188">
        <f>AVERAGE(F50:F52)</f>
        <v>202122.5442760943</v>
      </c>
      <c r="D52" s="190">
        <f>C52/C49-1</f>
        <v>1.9782437784463314E-2</v>
      </c>
      <c r="E52" s="287">
        <f>C52/C40-1</f>
        <v>0.86901960611373053</v>
      </c>
      <c r="F52" s="136">
        <f>Q52/22</f>
        <v>165769.72727272726</v>
      </c>
      <c r="G52" s="190">
        <f t="shared" si="95"/>
        <v>-0.15516647980921383</v>
      </c>
      <c r="H52" s="190">
        <f t="shared" si="96"/>
        <v>0.71720242534259682</v>
      </c>
      <c r="I52" s="130">
        <f t="shared" si="97"/>
        <v>109.42014375192771</v>
      </c>
      <c r="J52" s="130">
        <f t="shared" si="98"/>
        <v>0.24336406044030845</v>
      </c>
      <c r="K52" s="136">
        <f>R50+R51+R52</f>
        <v>17239496050</v>
      </c>
      <c r="L52" s="190">
        <f>U52/U49-1</f>
        <v>-7.5965193054049807E-2</v>
      </c>
      <c r="M52" s="190">
        <f>K52/K40-1</f>
        <v>0.85994712876905277</v>
      </c>
      <c r="N52" s="191">
        <f>AVERAGE(T50:T52)</f>
        <v>92.539671090347269</v>
      </c>
      <c r="O52" s="192">
        <f>N52/N49-1</f>
        <v>-9.9091601170765986E-2</v>
      </c>
      <c r="P52" s="129" t="s">
        <v>1403</v>
      </c>
      <c r="Q52" s="116">
        <v>3646934</v>
      </c>
      <c r="R52" s="116">
        <v>5369090385</v>
      </c>
      <c r="S52" s="116">
        <v>33329.64</v>
      </c>
      <c r="T52" s="130">
        <f t="shared" si="99"/>
        <v>109.42014375192771</v>
      </c>
      <c r="U52" s="85">
        <f t="shared" ref="U52" si="100">Q50+Q51+Q52</f>
        <v>11970128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186060.28571428571</v>
      </c>
      <c r="G53" s="190">
        <f>F53/F52-1</f>
        <v>0.12240207410232418</v>
      </c>
      <c r="H53" s="190">
        <f>F53/F41-1</f>
        <v>1.4906427709292656</v>
      </c>
      <c r="I53" s="130">
        <f>T53</f>
        <v>101.77019109979078</v>
      </c>
      <c r="J53" s="130">
        <f>I53/I41-1</f>
        <v>1.4453070056009927</v>
      </c>
      <c r="K53" s="136"/>
      <c r="L53" s="190"/>
      <c r="M53" s="190"/>
      <c r="N53" s="191"/>
      <c r="O53" s="192"/>
      <c r="P53" s="129" t="s">
        <v>1414</v>
      </c>
      <c r="Q53" s="116">
        <v>3907266</v>
      </c>
      <c r="R53" s="116">
        <v>5705344553</v>
      </c>
      <c r="S53" s="116">
        <v>38393.03</v>
      </c>
      <c r="T53" s="130">
        <f t="shared" ref="T53" si="101">Q53/S53</f>
        <v>101.77019109979078</v>
      </c>
      <c r="U53" s="85">
        <f t="shared" ref="U53" si="102">Q51+Q52+Q53</f>
        <v>11478517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251921</v>
      </c>
      <c r="G54" s="190">
        <f>F54/F53-1</f>
        <v>0.35397513248394152</v>
      </c>
      <c r="H54" s="190">
        <f>F54/F42-1</f>
        <v>1.0772621015786372</v>
      </c>
      <c r="I54" s="130">
        <f>T54</f>
        <v>103.33724226959596</v>
      </c>
      <c r="J54" s="130">
        <f>I54/I42-1</f>
        <v>0.23563011575373571</v>
      </c>
      <c r="K54" s="136"/>
      <c r="L54" s="190"/>
      <c r="M54" s="190"/>
      <c r="N54" s="191"/>
      <c r="O54" s="192"/>
      <c r="P54" s="129" t="s">
        <v>1417</v>
      </c>
      <c r="Q54" s="116">
        <v>4282657</v>
      </c>
      <c r="R54" s="116">
        <v>6199178159</v>
      </c>
      <c r="S54" s="116">
        <v>41443.5</v>
      </c>
      <c r="T54" s="130">
        <f t="shared" ref="T54" si="103">Q54/S54</f>
        <v>103.33724226959596</v>
      </c>
      <c r="U54" s="85">
        <f t="shared" ref="U54" si="104">Q52+Q53+Q54</f>
        <v>11836857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627450.90476190473</v>
      </c>
      <c r="C55" s="188">
        <f>AVERAGE(F53:F55)</f>
        <v>209150.30158730157</v>
      </c>
      <c r="D55" s="190">
        <f>C55/C52-1</f>
        <v>3.4769784520461755E-2</v>
      </c>
      <c r="E55" s="287">
        <f>C55/C43-1</f>
        <v>0.82102563927625272</v>
      </c>
      <c r="F55" s="136">
        <f>Q55/21</f>
        <v>189469.61904761905</v>
      </c>
      <c r="G55" s="190">
        <f>F55/F54-1</f>
        <v>-0.24790065517515791</v>
      </c>
      <c r="H55" s="190">
        <f>F55/F43-1</f>
        <v>0.27520400005531731</v>
      </c>
      <c r="I55" s="130">
        <f>T55</f>
        <v>115.18070015157254</v>
      </c>
      <c r="J55" s="130">
        <f>I55/I43-1</f>
        <v>-0.19854795625346688</v>
      </c>
      <c r="K55" s="136">
        <f>R53+R54+R55</f>
        <v>17753498214</v>
      </c>
      <c r="L55" s="190">
        <f>U55/U52-1</f>
        <v>1.6596063133159422E-2</v>
      </c>
      <c r="M55" s="190">
        <f>K55/K43-1</f>
        <v>0.81465900931901425</v>
      </c>
      <c r="N55" s="191">
        <f>AVERAGE(T53:T55)</f>
        <v>106.76271117365309</v>
      </c>
      <c r="O55" s="192">
        <f>N55/N52-1</f>
        <v>0.1536966785782039</v>
      </c>
      <c r="P55" s="129" t="s">
        <v>1418</v>
      </c>
      <c r="Q55" s="116">
        <v>3978862</v>
      </c>
      <c r="R55" s="116">
        <v>5848975502</v>
      </c>
      <c r="S55" s="116">
        <v>34544.519999999997</v>
      </c>
      <c r="T55" s="130">
        <f t="shared" ref="T55" si="105">Q55/S55</f>
        <v>115.18070015157254</v>
      </c>
      <c r="U55" s="85">
        <f t="shared" ref="U55" si="106">Q53+Q54+Q55</f>
        <v>12168785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165365.18181818182</v>
      </c>
      <c r="G56" s="190">
        <f>F56/F55-1</f>
        <v>-0.12722059267654462</v>
      </c>
      <c r="H56" s="190">
        <f>F56/F44-1</f>
        <v>-0.25644316227393826</v>
      </c>
      <c r="I56" s="291">
        <f>T56</f>
        <v>75.7611077594851</v>
      </c>
      <c r="J56" s="130">
        <f>I56/I44-1</f>
        <v>0.60010100603360228</v>
      </c>
      <c r="K56" s="136"/>
      <c r="L56" s="190"/>
      <c r="M56" s="190"/>
      <c r="N56" s="191"/>
      <c r="O56" s="192"/>
      <c r="P56" s="129" t="s">
        <v>1420</v>
      </c>
      <c r="Q56" s="116">
        <v>3638034</v>
      </c>
      <c r="R56" s="116">
        <v>5438125493</v>
      </c>
      <c r="S56" s="116">
        <v>48019.81</v>
      </c>
      <c r="T56" s="130">
        <f t="shared" ref="T56" si="107">Q56/S56</f>
        <v>75.7611077594851</v>
      </c>
      <c r="U56" s="85">
        <f t="shared" ref="U56" si="108">Q54+Q55+Q56</f>
        <v>11899553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286057.08333333331</v>
      </c>
      <c r="G57" s="254">
        <f>F57/F56-1</f>
        <v>0.72985074722592835</v>
      </c>
      <c r="H57" s="254">
        <f>F57/F45-1</f>
        <v>6.7418797984224899E-2</v>
      </c>
      <c r="I57" s="282">
        <f>T57</f>
        <v>172.61860760989543</v>
      </c>
      <c r="J57" s="277">
        <f>I57/I45-1</f>
        <v>1.1498521356898181</v>
      </c>
      <c r="K57" s="204"/>
      <c r="L57" s="254"/>
      <c r="M57" s="254"/>
      <c r="N57" s="257"/>
      <c r="O57" s="258"/>
      <c r="P57" s="129" t="s">
        <v>1436</v>
      </c>
      <c r="Q57" s="116">
        <v>3432685</v>
      </c>
      <c r="R57" s="116">
        <v>5062068735</v>
      </c>
      <c r="S57" s="116">
        <v>19885.95</v>
      </c>
      <c r="T57" s="130">
        <f t="shared" ref="T57" si="109">Q57/S57</f>
        <v>172.61860760989543</v>
      </c>
      <c r="U57" s="85">
        <f t="shared" ref="U57" si="110">Q55+Q56+Q57</f>
        <v>11049581</v>
      </c>
      <c r="V57" s="79"/>
      <c r="W57" s="79"/>
      <c r="X57" s="79"/>
      <c r="Y57" s="79"/>
      <c r="Z57" s="79"/>
    </row>
    <row r="58" spans="1:26">
      <c r="B58" s="196">
        <f>SUM(F56:F58)</f>
        <v>451422.26515151514</v>
      </c>
      <c r="C58" s="196">
        <f>AVERAGE(F56:F58)</f>
        <v>225711.13257575757</v>
      </c>
      <c r="D58" s="197">
        <f>C58/C55-1</f>
        <v>7.9181482707751938E-2</v>
      </c>
      <c r="E58" s="233">
        <f>C58/C46-1</f>
        <v>-5.4229220455799254E-2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19239504</v>
      </c>
      <c r="R64" s="212">
        <v>28253692442</v>
      </c>
      <c r="S64" s="213">
        <v>182286.81</v>
      </c>
      <c r="T64" s="214">
        <v>18</v>
      </c>
      <c r="U64" s="214">
        <v>31</v>
      </c>
    </row>
    <row r="65" spans="16:21" ht="18" thickBot="1">
      <c r="P65" s="180" t="s">
        <v>976</v>
      </c>
      <c r="Q65" s="181">
        <v>3907266</v>
      </c>
      <c r="R65" s="181">
        <v>5705344553</v>
      </c>
      <c r="S65" s="182">
        <v>38393.03</v>
      </c>
      <c r="T65" s="210">
        <v>5</v>
      </c>
      <c r="U65" s="210">
        <v>8</v>
      </c>
    </row>
    <row r="66" spans="16:21" ht="18" thickBot="1">
      <c r="P66" s="180" t="s">
        <v>977</v>
      </c>
      <c r="Q66" s="181">
        <v>4282657</v>
      </c>
      <c r="R66" s="181">
        <v>6199178159</v>
      </c>
      <c r="S66" s="182">
        <v>41443.5</v>
      </c>
      <c r="T66" s="210">
        <v>10</v>
      </c>
      <c r="U66" s="210">
        <v>14</v>
      </c>
    </row>
    <row r="67" spans="16:21" ht="18" thickBot="1">
      <c r="P67" s="180" t="s">
        <v>978</v>
      </c>
      <c r="Q67" s="181">
        <v>3978862</v>
      </c>
      <c r="R67" s="181">
        <v>5848975502</v>
      </c>
      <c r="S67" s="182">
        <v>34544.519999999997</v>
      </c>
      <c r="T67" s="210">
        <v>5</v>
      </c>
      <c r="U67" s="210">
        <v>12</v>
      </c>
    </row>
    <row r="68" spans="16:21" ht="18" thickBot="1">
      <c r="P68" s="180" t="s">
        <v>979</v>
      </c>
      <c r="Q68" s="181">
        <v>3638034</v>
      </c>
      <c r="R68" s="181">
        <v>5438125493</v>
      </c>
      <c r="S68" s="182">
        <v>48019.81</v>
      </c>
      <c r="T68" s="210">
        <v>7</v>
      </c>
      <c r="U68" s="210">
        <v>12</v>
      </c>
    </row>
    <row r="69" spans="16:21" ht="18" thickBot="1">
      <c r="P69" s="180" t="s">
        <v>980</v>
      </c>
      <c r="Q69" s="181">
        <v>3432685</v>
      </c>
      <c r="R69" s="181">
        <v>5062068735</v>
      </c>
      <c r="S69" s="182">
        <v>19885.95</v>
      </c>
      <c r="T69" s="210">
        <v>5</v>
      </c>
      <c r="U69" s="210">
        <v>8</v>
      </c>
    </row>
    <row r="70" spans="16:21" ht="18" thickBot="1">
      <c r="P70" s="215" t="s">
        <v>975</v>
      </c>
      <c r="Q70" s="216">
        <v>46204507</v>
      </c>
      <c r="R70"/>
      <c r="S70"/>
      <c r="T70"/>
      <c r="U70"/>
    </row>
    <row r="71" spans="16:21" ht="18" thickBot="1">
      <c r="P71" s="215" t="s">
        <v>982</v>
      </c>
      <c r="Q71" s="217" t="s">
        <v>1444</v>
      </c>
      <c r="R71"/>
      <c r="S71"/>
      <c r="T71"/>
      <c r="U71"/>
    </row>
  </sheetData>
  <phoneticPr fontId="1" type="noConversion"/>
  <conditionalFormatting sqref="C29:C30">
    <cfRule type="cellIs" dxfId="204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Z71"/>
  <sheetViews>
    <sheetView zoomScale="115" zoomScaleNormal="115" workbookViewId="0">
      <selection activeCell="K62" sqref="B62: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9165513.0500000007</v>
      </c>
      <c r="G5" s="90"/>
      <c r="H5" s="90"/>
      <c r="I5" s="130">
        <f t="shared" ref="I5:I49" si="0">T5</f>
        <v>11.085513333980973</v>
      </c>
      <c r="J5" s="130"/>
      <c r="L5" s="80"/>
      <c r="M5" s="80"/>
      <c r="P5" s="129" t="s">
        <v>0</v>
      </c>
      <c r="Q5" s="116">
        <v>183310261</v>
      </c>
      <c r="R5" s="116">
        <v>216260682422</v>
      </c>
      <c r="S5" s="116">
        <v>16536019.17</v>
      </c>
      <c r="T5" s="130">
        <f t="shared" ref="T5:T47" si="1">Q5/S5</f>
        <v>11.085513333980973</v>
      </c>
      <c r="U5" s="85"/>
    </row>
    <row r="6" spans="1:21" ht="15" hidden="1" customHeight="1">
      <c r="A6" s="129" t="s">
        <v>1</v>
      </c>
      <c r="C6" s="79"/>
      <c r="F6" s="78">
        <f>Q6/18</f>
        <v>9429999.777777778</v>
      </c>
      <c r="G6" s="90">
        <f t="shared" ref="G6:G47" si="2">F6/F5-1</f>
        <v>2.8856729168889927E-2</v>
      </c>
      <c r="H6" s="90"/>
      <c r="I6" s="130">
        <f t="shared" si="0"/>
        <v>11.492345764429043</v>
      </c>
      <c r="J6" s="130"/>
      <c r="P6" s="129" t="s">
        <v>1</v>
      </c>
      <c r="Q6" s="116">
        <v>169739996</v>
      </c>
      <c r="R6" s="116">
        <v>201689100594</v>
      </c>
      <c r="S6" s="116">
        <v>14769830.24</v>
      </c>
      <c r="T6" s="130">
        <f t="shared" si="1"/>
        <v>11.492345764429043</v>
      </c>
      <c r="U6" s="85"/>
    </row>
    <row r="7" spans="1:21" ht="15" hidden="1" customHeight="1">
      <c r="A7" s="129" t="s">
        <v>2</v>
      </c>
      <c r="B7" s="131">
        <f>F5+F6+F7</f>
        <v>27370904.327777781</v>
      </c>
      <c r="C7" s="131">
        <f>AVERAGE(F5:F7)</f>
        <v>9123634.7759259269</v>
      </c>
      <c r="F7" s="78">
        <f>Q7/22</f>
        <v>8775391.5</v>
      </c>
      <c r="G7" s="90">
        <f t="shared" si="2"/>
        <v>-6.9417634486099611E-2</v>
      </c>
      <c r="H7" s="90"/>
      <c r="I7" s="130">
        <f t="shared" si="0"/>
        <v>10.303770123950409</v>
      </c>
      <c r="J7" s="130"/>
      <c r="K7" s="79">
        <f>R5+R6+R7</f>
        <v>650398651148</v>
      </c>
      <c r="N7" s="88">
        <f>AVERAGE(T5:T7)</f>
        <v>10.960543074120141</v>
      </c>
      <c r="P7" s="129" t="s">
        <v>2</v>
      </c>
      <c r="Q7" s="116">
        <v>193058613</v>
      </c>
      <c r="R7" s="116">
        <v>232448868132</v>
      </c>
      <c r="S7" s="116">
        <v>18736696.440000001</v>
      </c>
      <c r="T7" s="130">
        <f t="shared" si="1"/>
        <v>10.303770123950409</v>
      </c>
      <c r="U7" s="85">
        <f>Q5+Q6+Q7</f>
        <v>546108870</v>
      </c>
    </row>
    <row r="8" spans="1:21" ht="15" hidden="1" customHeight="1">
      <c r="A8" s="129" t="s">
        <v>3</v>
      </c>
      <c r="C8" s="79"/>
      <c r="F8" s="78">
        <f>Q8/21</f>
        <v>8486957.6190476194</v>
      </c>
      <c r="G8" s="90">
        <f t="shared" si="2"/>
        <v>-3.2868491502901054E-2</v>
      </c>
      <c r="H8" s="90"/>
      <c r="I8" s="130">
        <f t="shared" si="0"/>
        <v>10.540906982805344</v>
      </c>
      <c r="J8" s="130"/>
      <c r="K8" s="78"/>
      <c r="P8" s="129" t="s">
        <v>3</v>
      </c>
      <c r="Q8" s="116">
        <v>178226110</v>
      </c>
      <c r="R8" s="116">
        <v>215978510015</v>
      </c>
      <c r="S8" s="116">
        <v>16908043.140000001</v>
      </c>
      <c r="T8" s="130">
        <f t="shared" si="1"/>
        <v>10.540906982805344</v>
      </c>
      <c r="U8" s="85"/>
    </row>
    <row r="9" spans="1:21" ht="15" hidden="1" customHeight="1">
      <c r="A9" s="129" t="s">
        <v>4</v>
      </c>
      <c r="C9" s="79"/>
      <c r="F9" s="78">
        <f>Q9/21</f>
        <v>8881221.6190476194</v>
      </c>
      <c r="G9" s="90">
        <f t="shared" si="2"/>
        <v>4.6455280878879179E-2</v>
      </c>
      <c r="H9" s="90"/>
      <c r="I9" s="130">
        <f t="shared" si="0"/>
        <v>10.3377006414739</v>
      </c>
      <c r="J9" s="130"/>
      <c r="K9" s="78"/>
      <c r="P9" s="129" t="s">
        <v>4</v>
      </c>
      <c r="Q9" s="116">
        <v>186505654</v>
      </c>
      <c r="R9" s="116">
        <v>234248518101</v>
      </c>
      <c r="S9" s="116">
        <v>18041309.23</v>
      </c>
      <c r="T9" s="130">
        <f t="shared" si="1"/>
        <v>10.3377006414739</v>
      </c>
      <c r="U9" s="85"/>
    </row>
    <row r="10" spans="1:21" ht="15" hidden="1" customHeight="1">
      <c r="A10" s="129" t="s">
        <v>5</v>
      </c>
      <c r="B10" s="131">
        <f>F8+F9+F10</f>
        <v>25610322.047619049</v>
      </c>
      <c r="C10" s="131">
        <f>AVERAGE(F8:F10)</f>
        <v>8536774.0158730168</v>
      </c>
      <c r="D10" s="90">
        <f>C10/C7-1</f>
        <v>-6.4323131566097924E-2</v>
      </c>
      <c r="E10" s="286"/>
      <c r="F10" s="78">
        <f>Q10/21</f>
        <v>8242142.8095238097</v>
      </c>
      <c r="G10" s="90">
        <f t="shared" si="2"/>
        <v>-7.1958435104600094E-2</v>
      </c>
      <c r="H10" s="90"/>
      <c r="I10" s="130">
        <f t="shared" si="0"/>
        <v>11.479014186646346</v>
      </c>
      <c r="J10" s="130"/>
      <c r="K10" s="79">
        <f>R8+R9+R10</f>
        <v>668012101322</v>
      </c>
      <c r="L10" s="87">
        <f>U10/U7-1</f>
        <v>-1.5183981538333224E-2</v>
      </c>
      <c r="N10" s="88">
        <f>AVERAGE(T8:T10)</f>
        <v>10.785873936975198</v>
      </c>
      <c r="O10" s="89">
        <f>N10/N7-1</f>
        <v>-1.5936175421578214E-2</v>
      </c>
      <c r="P10" s="129" t="s">
        <v>5</v>
      </c>
      <c r="Q10" s="116">
        <v>173084999</v>
      </c>
      <c r="R10" s="116">
        <v>217785073206</v>
      </c>
      <c r="S10" s="116">
        <v>15078385.32</v>
      </c>
      <c r="T10" s="130">
        <f t="shared" si="1"/>
        <v>11.479014186646346</v>
      </c>
      <c r="U10" s="85">
        <f>Q8+Q9+Q10</f>
        <v>537816763</v>
      </c>
    </row>
    <row r="11" spans="1:21" ht="15" hidden="1" customHeight="1">
      <c r="A11" s="129" t="s">
        <v>6</v>
      </c>
      <c r="C11" s="79"/>
      <c r="F11" s="78">
        <f>Q11/21</f>
        <v>8359304.333333333</v>
      </c>
      <c r="G11" s="90">
        <f t="shared" si="2"/>
        <v>1.4214934940722346E-2</v>
      </c>
      <c r="H11" s="90"/>
      <c r="I11" s="130">
        <f t="shared" si="0"/>
        <v>11.178669861374749</v>
      </c>
      <c r="J11" s="130"/>
      <c r="K11" s="78"/>
      <c r="O11" s="89"/>
      <c r="P11" s="129" t="s">
        <v>6</v>
      </c>
      <c r="Q11" s="116">
        <v>175545391</v>
      </c>
      <c r="R11" s="116">
        <v>226560107303</v>
      </c>
      <c r="S11" s="116">
        <v>15703602.77</v>
      </c>
      <c r="T11" s="130">
        <f t="shared" si="1"/>
        <v>11.178669861374749</v>
      </c>
      <c r="U11" s="85"/>
    </row>
    <row r="12" spans="1:21" ht="15" hidden="1" customHeight="1">
      <c r="A12" s="129" t="s">
        <v>7</v>
      </c>
      <c r="C12" s="79"/>
      <c r="F12" s="78">
        <f>Q12/22</f>
        <v>7400744.7727272725</v>
      </c>
      <c r="G12" s="90">
        <f t="shared" si="2"/>
        <v>-0.11466977662049394</v>
      </c>
      <c r="H12" s="90"/>
      <c r="I12" s="130">
        <f t="shared" si="0"/>
        <v>11.185943365796643</v>
      </c>
      <c r="J12" s="130"/>
      <c r="K12" s="78"/>
      <c r="O12" s="89"/>
      <c r="P12" s="129" t="s">
        <v>7</v>
      </c>
      <c r="Q12" s="116">
        <v>162816385</v>
      </c>
      <c r="R12" s="116">
        <v>211299334279</v>
      </c>
      <c r="S12" s="116">
        <v>14555445.140000001</v>
      </c>
      <c r="T12" s="130">
        <f t="shared" si="1"/>
        <v>11.185943365796643</v>
      </c>
      <c r="U12" s="85"/>
    </row>
    <row r="13" spans="1:21" ht="15" hidden="1" customHeight="1">
      <c r="A13" s="129" t="s">
        <v>96</v>
      </c>
      <c r="B13" s="131">
        <f>F11+F12+F13</f>
        <v>23914302.056060605</v>
      </c>
      <c r="C13" s="131">
        <f>AVERAGE(F11:F13)</f>
        <v>7971434.0186868683</v>
      </c>
      <c r="D13" s="90">
        <f>C13/C10-1</f>
        <v>-6.6224079041447337E-2</v>
      </c>
      <c r="E13" s="286"/>
      <c r="F13" s="78">
        <f>Q13/20</f>
        <v>8154252.9500000002</v>
      </c>
      <c r="G13" s="90">
        <f t="shared" si="2"/>
        <v>0.10181518217592167</v>
      </c>
      <c r="H13" s="90"/>
      <c r="I13" s="130">
        <f t="shared" si="0"/>
        <v>10.852897079889697</v>
      </c>
      <c r="J13" s="130"/>
      <c r="K13" s="78">
        <f>R11+R12+R13</f>
        <v>660286296409</v>
      </c>
      <c r="L13" s="87">
        <f>U13/U10-1</f>
        <v>-6.7625129044183385E-2</v>
      </c>
      <c r="N13" s="88">
        <f>AVERAGE(T11:T13)</f>
        <v>11.072503435687031</v>
      </c>
      <c r="O13" s="89">
        <f>N13/N10-1</f>
        <v>2.6574527051464347E-2</v>
      </c>
      <c r="P13" s="129" t="s">
        <v>96</v>
      </c>
      <c r="Q13" s="116">
        <v>163085059</v>
      </c>
      <c r="R13" s="116">
        <v>222426854827</v>
      </c>
      <c r="S13" s="116">
        <v>15026868.66</v>
      </c>
      <c r="T13" s="130">
        <f t="shared" si="1"/>
        <v>10.852897079889697</v>
      </c>
      <c r="U13" s="85">
        <f>Q11+Q12+Q13</f>
        <v>501446835</v>
      </c>
    </row>
    <row r="14" spans="1:21" ht="15" hidden="1" customHeight="1">
      <c r="A14" s="129" t="s">
        <v>97</v>
      </c>
      <c r="C14" s="79"/>
      <c r="F14" s="78">
        <f>Q14/20</f>
        <v>7655407.7999999998</v>
      </c>
      <c r="G14" s="90">
        <f t="shared" si="2"/>
        <v>-6.1176070089903223E-2</v>
      </c>
      <c r="H14" s="90"/>
      <c r="I14" s="130">
        <f t="shared" si="0"/>
        <v>10.529349444407176</v>
      </c>
      <c r="J14" s="130"/>
      <c r="O14" s="89"/>
      <c r="P14" s="129" t="s">
        <v>97</v>
      </c>
      <c r="Q14" s="116">
        <v>153108156</v>
      </c>
      <c r="R14" s="116">
        <v>218333426741</v>
      </c>
      <c r="S14" s="116">
        <v>14541084.119999999</v>
      </c>
      <c r="T14" s="130">
        <f t="shared" si="1"/>
        <v>10.529349444407176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6704215.6363636367</v>
      </c>
      <c r="G15" s="90">
        <f t="shared" si="2"/>
        <v>-0.12425101163603114</v>
      </c>
      <c r="H15" s="90"/>
      <c r="I15" s="130">
        <f t="shared" si="0"/>
        <v>11.057801663124655</v>
      </c>
      <c r="J15" s="130"/>
      <c r="O15" s="89"/>
      <c r="P15" s="129" t="s">
        <v>98</v>
      </c>
      <c r="Q15" s="116">
        <v>147492744</v>
      </c>
      <c r="R15" s="116">
        <v>205087844436</v>
      </c>
      <c r="S15" s="116">
        <v>13338342.33</v>
      </c>
      <c r="T15" s="130">
        <f t="shared" si="1"/>
        <v>11.057801663124655</v>
      </c>
      <c r="U15" s="78"/>
    </row>
    <row r="16" spans="1:21" ht="15" hidden="1" customHeight="1">
      <c r="A16" s="129" t="s">
        <v>99</v>
      </c>
      <c r="B16" s="131">
        <f>F14+F15+F16</f>
        <v>21553848.027272727</v>
      </c>
      <c r="C16" s="131">
        <f>AVERAGE(F14:F16)</f>
        <v>7184616.0090909088</v>
      </c>
      <c r="D16" s="90">
        <f>C16/C13-1</f>
        <v>-9.8704700779242205E-2</v>
      </c>
      <c r="E16" s="286"/>
      <c r="F16" s="78">
        <f>Q16/22</f>
        <v>7194224.5909090908</v>
      </c>
      <c r="G16" s="90">
        <f t="shared" si="2"/>
        <v>7.3089676872511111E-2</v>
      </c>
      <c r="H16" s="90"/>
      <c r="I16" s="130">
        <f t="shared" si="0"/>
        <v>12.14013556392864</v>
      </c>
      <c r="J16" s="130"/>
      <c r="K16" s="78">
        <f>R14+R15+R16</f>
        <v>631040920637</v>
      </c>
      <c r="L16" s="87">
        <f>U16/U13-1</f>
        <v>-8.4900314506920704E-2</v>
      </c>
      <c r="N16" s="88">
        <f>AVERAGE(T14:T16)</f>
        <v>11.242428890486822</v>
      </c>
      <c r="O16" s="89">
        <f>N16/N13-1</f>
        <v>1.5346615676100628E-2</v>
      </c>
      <c r="P16" s="129" t="s">
        <v>99</v>
      </c>
      <c r="Q16" s="116">
        <v>158272941</v>
      </c>
      <c r="R16" s="116">
        <v>207619649460</v>
      </c>
      <c r="S16" s="116">
        <v>13037164.220000001</v>
      </c>
      <c r="T16" s="130">
        <f t="shared" si="1"/>
        <v>12.14013556392864</v>
      </c>
      <c r="U16" s="85">
        <f>Q14+Q15+Q16</f>
        <v>458873841</v>
      </c>
    </row>
    <row r="17" spans="1:21" ht="15" hidden="1" customHeight="1">
      <c r="A17" s="129" t="s">
        <v>100</v>
      </c>
      <c r="C17" s="79"/>
      <c r="F17" s="78">
        <f>Q17/20</f>
        <v>7004934.5999999996</v>
      </c>
      <c r="G17" s="90">
        <f t="shared" si="2"/>
        <v>-2.6311381931040323E-2</v>
      </c>
      <c r="H17" s="90">
        <f t="shared" ref="H17:H47" si="3">F17/F5-1</f>
        <v>-0.23572913356988789</v>
      </c>
      <c r="I17" s="130">
        <f t="shared" si="0"/>
        <v>12.078145930287114</v>
      </c>
      <c r="J17" s="130">
        <f t="shared" ref="J17:J49" si="4">I17/I5-1</f>
        <v>8.9543223340264655E-2</v>
      </c>
      <c r="O17" s="89"/>
      <c r="P17" s="129" t="s">
        <v>100</v>
      </c>
      <c r="Q17" s="116">
        <v>140098692</v>
      </c>
      <c r="R17" s="116">
        <v>176186784639</v>
      </c>
      <c r="S17" s="116">
        <v>11599354.140000001</v>
      </c>
      <c r="T17" s="130">
        <f t="shared" si="1"/>
        <v>12.078145930287114</v>
      </c>
      <c r="U17" s="78"/>
    </row>
    <row r="18" spans="1:21" ht="15" hidden="1" customHeight="1">
      <c r="A18" s="129" t="s">
        <v>106</v>
      </c>
      <c r="C18" s="79"/>
      <c r="F18" s="78">
        <f>Q18/20</f>
        <v>8242007.3499999996</v>
      </c>
      <c r="G18" s="90">
        <f t="shared" si="2"/>
        <v>0.17660018553206758</v>
      </c>
      <c r="H18" s="90">
        <f t="shared" si="3"/>
        <v>-0.12598011195899883</v>
      </c>
      <c r="I18" s="130">
        <f t="shared" si="0"/>
        <v>11.361635000733505</v>
      </c>
      <c r="J18" s="130">
        <f t="shared" si="4"/>
        <v>-1.1373723552602466E-2</v>
      </c>
      <c r="O18" s="89"/>
      <c r="P18" s="129" t="s">
        <v>106</v>
      </c>
      <c r="Q18" s="116">
        <v>164840147</v>
      </c>
      <c r="R18" s="116">
        <v>206412142683</v>
      </c>
      <c r="S18" s="116">
        <v>14508488.17</v>
      </c>
      <c r="T18" s="130">
        <f t="shared" si="1"/>
        <v>11.361635000733505</v>
      </c>
      <c r="U18" s="78"/>
    </row>
    <row r="19" spans="1:21" hidden="1">
      <c r="A19" s="129" t="s">
        <v>114</v>
      </c>
      <c r="B19" s="131">
        <f>SUM(F17:F19)</f>
        <v>22260963.086363636</v>
      </c>
      <c r="C19" s="131">
        <f>AVERAGE(F17:F19)</f>
        <v>7420321.0287878783</v>
      </c>
      <c r="D19" s="90">
        <f>C19/C16-1</f>
        <v>3.2806905671607822E-2</v>
      </c>
      <c r="E19" s="286">
        <f>C19/C7-1</f>
        <v>-0.18669245196360729</v>
      </c>
      <c r="F19" s="78">
        <f>Q19/22</f>
        <v>7014021.1363636367</v>
      </c>
      <c r="G19" s="90">
        <f t="shared" si="2"/>
        <v>-0.14899115731028356</v>
      </c>
      <c r="H19" s="90">
        <f t="shared" si="3"/>
        <v>-0.20071701229926475</v>
      </c>
      <c r="I19" s="130">
        <f t="shared" si="0"/>
        <v>10.517093170275361</v>
      </c>
      <c r="J19" s="130">
        <f t="shared" si="4"/>
        <v>2.0703397276798485E-2</v>
      </c>
      <c r="K19" s="78">
        <f>R17+R18+R19</f>
        <v>584350517845</v>
      </c>
      <c r="L19" s="87">
        <f>U19/U16-1</f>
        <v>8.1386857700604942E-4</v>
      </c>
      <c r="M19" s="87">
        <f>U19/U7-1</f>
        <v>-0.15905540226804959</v>
      </c>
      <c r="N19" s="88">
        <f>AVERAGE(T17:T19)</f>
        <v>11.318958033765327</v>
      </c>
      <c r="O19" s="89">
        <f>N19/N16-1</f>
        <v>6.8071716551627581E-3</v>
      </c>
      <c r="P19" s="129" t="s">
        <v>114</v>
      </c>
      <c r="Q19" s="116">
        <v>154308465</v>
      </c>
      <c r="R19" s="116">
        <v>201751590523</v>
      </c>
      <c r="S19" s="116">
        <v>14672159.17</v>
      </c>
      <c r="T19" s="130">
        <f t="shared" si="1"/>
        <v>10.517093170275361</v>
      </c>
      <c r="U19" s="85">
        <f>Q17+Q18+Q19</f>
        <v>459247304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7195565.7000000002</v>
      </c>
      <c r="G20" s="90">
        <f t="shared" si="2"/>
        <v>2.5883093322197182E-2</v>
      </c>
      <c r="H20" s="90">
        <f t="shared" si="3"/>
        <v>-0.15216193800111555</v>
      </c>
      <c r="I20" s="130">
        <f t="shared" si="0"/>
        <v>11.048547807828289</v>
      </c>
      <c r="J20" s="130">
        <f t="shared" si="4"/>
        <v>4.8159121966546481E-2</v>
      </c>
      <c r="O20" s="89"/>
      <c r="P20" s="129" t="s">
        <v>131</v>
      </c>
      <c r="Q20" s="116">
        <v>143911314</v>
      </c>
      <c r="R20" s="116">
        <v>188758603413</v>
      </c>
      <c r="S20" s="116">
        <v>13025360.119999999</v>
      </c>
      <c r="T20" s="130">
        <f t="shared" si="1"/>
        <v>11.048547807828289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7396900</v>
      </c>
      <c r="G21" s="90">
        <f t="shared" si="2"/>
        <v>2.7980329607719456E-2</v>
      </c>
      <c r="H21" s="90">
        <f t="shared" si="3"/>
        <v>-0.16713034340503163</v>
      </c>
      <c r="I21" s="130">
        <f t="shared" si="0"/>
        <v>11.898447647942179</v>
      </c>
      <c r="J21" s="130">
        <f t="shared" si="4"/>
        <v>0.15097622388161502</v>
      </c>
      <c r="O21" s="89"/>
      <c r="P21" s="129" t="s">
        <v>141</v>
      </c>
      <c r="Q21" s="116">
        <v>155334900</v>
      </c>
      <c r="R21" s="116">
        <v>206860326695</v>
      </c>
      <c r="S21" s="116">
        <v>13055055.970000001</v>
      </c>
      <c r="T21" s="130">
        <f t="shared" si="1"/>
        <v>11.898447647942179</v>
      </c>
      <c r="U21" s="78"/>
    </row>
    <row r="22" spans="1:21" hidden="1">
      <c r="A22" s="129" t="s">
        <v>155</v>
      </c>
      <c r="B22" s="131">
        <f>SUM(F20:F22)</f>
        <v>22706831.414285712</v>
      </c>
      <c r="C22" s="131">
        <f>AVERAGE(F20:F22)</f>
        <v>7568943.8047619043</v>
      </c>
      <c r="D22" s="90">
        <f>C22/C19-1</f>
        <v>2.0029157147976262E-2</v>
      </c>
      <c r="E22" s="286">
        <f>C22/C10-1</f>
        <v>-0.11337189075305942</v>
      </c>
      <c r="F22" s="78">
        <f>Q22/21</f>
        <v>8114365.7142857146</v>
      </c>
      <c r="G22" s="90">
        <f t="shared" si="2"/>
        <v>9.699545948785504E-2</v>
      </c>
      <c r="H22" s="90">
        <f t="shared" si="3"/>
        <v>-1.550289750991074E-2</v>
      </c>
      <c r="I22" s="130">
        <f t="shared" si="0"/>
        <v>11.282802425824954</v>
      </c>
      <c r="J22" s="130">
        <f t="shared" si="4"/>
        <v>-1.7093084617810339E-2</v>
      </c>
      <c r="K22" s="78">
        <f>R20+R21+R22</f>
        <v>617130916412</v>
      </c>
      <c r="L22" s="87">
        <f>U22/U19-1</f>
        <v>2.2647035506603741E-2</v>
      </c>
      <c r="M22" s="87">
        <f>U22/U10-1</f>
        <v>-0.12675110500414055</v>
      </c>
      <c r="N22" s="88">
        <f>AVERAGE(T20:T22)</f>
        <v>11.409932627198474</v>
      </c>
      <c r="O22" s="89">
        <f>N22/N19-1</f>
        <v>8.0373646727696091E-3</v>
      </c>
      <c r="P22" s="129" t="s">
        <v>155</v>
      </c>
      <c r="Q22" s="116">
        <v>170401680</v>
      </c>
      <c r="R22" s="116">
        <v>221511986304</v>
      </c>
      <c r="S22" s="116">
        <v>15102779.75</v>
      </c>
      <c r="T22" s="130">
        <f t="shared" si="1"/>
        <v>11.282802425824954</v>
      </c>
      <c r="U22" s="85">
        <f>Q20+Q21+Q22</f>
        <v>469647894</v>
      </c>
    </row>
    <row r="23" spans="1:21" hidden="1">
      <c r="A23" s="129" t="s">
        <v>189</v>
      </c>
      <c r="B23" s="131"/>
      <c r="C23" s="131"/>
      <c r="F23" s="78">
        <f>Q23/21</f>
        <v>7516804.7619047621</v>
      </c>
      <c r="G23" s="90">
        <f t="shared" si="2"/>
        <v>-7.3642349066042057E-2</v>
      </c>
      <c r="H23" s="90">
        <f t="shared" si="3"/>
        <v>-0.10078584746209596</v>
      </c>
      <c r="I23" s="130">
        <f t="shared" si="0"/>
        <v>12.048841544709193</v>
      </c>
      <c r="J23" s="130">
        <f t="shared" si="4"/>
        <v>7.7842148853605186E-2</v>
      </c>
      <c r="O23" s="89"/>
      <c r="P23" s="129" t="s">
        <v>189</v>
      </c>
      <c r="Q23" s="116">
        <v>157852900</v>
      </c>
      <c r="R23" s="116">
        <v>203884655833</v>
      </c>
      <c r="S23" s="116">
        <v>13101085.23</v>
      </c>
      <c r="T23" s="130">
        <f t="shared" si="1"/>
        <v>12.048841544709193</v>
      </c>
      <c r="U23" s="78"/>
    </row>
    <row r="24" spans="1:21" hidden="1">
      <c r="A24" s="129" t="s">
        <v>204</v>
      </c>
      <c r="B24" s="131"/>
      <c r="C24" s="131"/>
      <c r="F24" s="78">
        <f>Q24/22</f>
        <v>7787594.4545454541</v>
      </c>
      <c r="G24" s="90">
        <f t="shared" si="2"/>
        <v>3.6024574432617529E-2</v>
      </c>
      <c r="H24" s="90">
        <f t="shared" si="3"/>
        <v>5.227172314383477E-2</v>
      </c>
      <c r="I24" s="130">
        <f t="shared" si="0"/>
        <v>12.658733924764769</v>
      </c>
      <c r="J24" s="130">
        <f t="shared" si="4"/>
        <v>0.13166440333244411</v>
      </c>
      <c r="O24" s="89"/>
      <c r="P24" s="129" t="s">
        <v>204</v>
      </c>
      <c r="Q24" s="116">
        <v>171327078</v>
      </c>
      <c r="R24" s="116">
        <v>224643810222</v>
      </c>
      <c r="S24" s="116">
        <v>13534298.060000001</v>
      </c>
      <c r="T24" s="130">
        <f t="shared" si="1"/>
        <v>12.658733924764769</v>
      </c>
      <c r="U24" s="78"/>
    </row>
    <row r="25" spans="1:21" s="79" customFormat="1" ht="13.2" hidden="1">
      <c r="A25" s="129" t="s">
        <v>218</v>
      </c>
      <c r="B25" s="131">
        <f>SUM(F23:F25)</f>
        <v>23132999.269081794</v>
      </c>
      <c r="C25" s="131">
        <f>AVERAGE(F23:F25)</f>
        <v>7710999.7563605979</v>
      </c>
      <c r="D25" s="90">
        <f>C25/C22-1</f>
        <v>1.8768266123117661E-2</v>
      </c>
      <c r="E25" s="286">
        <f>C25/C13-1</f>
        <v>-3.2670942482337928E-2</v>
      </c>
      <c r="F25" s="78">
        <f>Q25/19</f>
        <v>7828600.0526315793</v>
      </c>
      <c r="G25" s="90">
        <f t="shared" si="2"/>
        <v>5.2655025021481894E-3</v>
      </c>
      <c r="H25" s="90">
        <f t="shared" si="3"/>
        <v>-3.9936570445539221E-2</v>
      </c>
      <c r="I25" s="130">
        <f t="shared" si="0"/>
        <v>11.34001297531913</v>
      </c>
      <c r="J25" s="130">
        <f t="shared" si="4"/>
        <v>4.4883489804031562E-2</v>
      </c>
      <c r="K25" s="78">
        <f>R23+R24+R25</f>
        <v>625909842145</v>
      </c>
      <c r="L25" s="90">
        <f>U25/U22-1</f>
        <v>1.7620615583980426E-2</v>
      </c>
      <c r="M25" s="90">
        <f>U25/U13-1</f>
        <v>-4.6911166564646889E-2</v>
      </c>
      <c r="N25" s="88">
        <f>AVERAGE(T23:T25)</f>
        <v>12.015862814931031</v>
      </c>
      <c r="O25" s="91">
        <f>N25/N22-1</f>
        <v>5.3105500928916083E-2</v>
      </c>
      <c r="P25" s="129" t="s">
        <v>218</v>
      </c>
      <c r="Q25" s="116">
        <v>148743401</v>
      </c>
      <c r="R25" s="116">
        <v>197381376090</v>
      </c>
      <c r="S25" s="116">
        <v>13116687.02</v>
      </c>
      <c r="T25" s="130">
        <f t="shared" si="1"/>
        <v>11.34001297531913</v>
      </c>
      <c r="U25" s="85">
        <f>Q23+Q24+Q25</f>
        <v>477923379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7248923.2631578948</v>
      </c>
      <c r="G26" s="90">
        <f t="shared" si="2"/>
        <v>-7.4046034485926615E-2</v>
      </c>
      <c r="H26" s="90">
        <f t="shared" si="3"/>
        <v>-5.3097698706802365E-2</v>
      </c>
      <c r="I26" s="130">
        <f t="shared" si="0"/>
        <v>10.184615105052178</v>
      </c>
      <c r="J26" s="130">
        <f t="shared" si="4"/>
        <v>-3.2740326567669342E-2</v>
      </c>
      <c r="L26" s="90"/>
      <c r="M26" s="90"/>
      <c r="P26" s="129" t="s">
        <v>312</v>
      </c>
      <c r="Q26" s="116">
        <v>137729542</v>
      </c>
      <c r="R26" s="116">
        <v>185765750265</v>
      </c>
      <c r="S26" s="116">
        <v>13523293.77</v>
      </c>
      <c r="T26" s="130">
        <f t="shared" si="1"/>
        <v>10.184615105052178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6758444.8181818184</v>
      </c>
      <c r="G27" s="90">
        <f t="shared" si="2"/>
        <v>-6.7662248194693464E-2</v>
      </c>
      <c r="H27" s="90">
        <f t="shared" si="3"/>
        <v>8.0888182540017617E-3</v>
      </c>
      <c r="I27" s="130">
        <f t="shared" si="0"/>
        <v>10.090324824375951</v>
      </c>
      <c r="J27" s="130">
        <f t="shared" si="4"/>
        <v>-8.7492692329165789E-2</v>
      </c>
      <c r="L27" s="90"/>
      <c r="M27" s="90"/>
      <c r="P27" s="129" t="s">
        <v>373</v>
      </c>
      <c r="Q27" s="116">
        <v>148685786</v>
      </c>
      <c r="R27" s="116">
        <v>196600879319</v>
      </c>
      <c r="S27" s="116">
        <v>14735480.630000001</v>
      </c>
      <c r="T27" s="130">
        <f t="shared" si="1"/>
        <v>10.090324824375951</v>
      </c>
      <c r="U27" s="78"/>
    </row>
    <row r="28" spans="1:21" s="79" customFormat="1" ht="13.2" hidden="1">
      <c r="A28" s="123" t="s">
        <v>413</v>
      </c>
      <c r="B28" s="131">
        <f>SUM(F26:F28)</f>
        <v>21234560.555023924</v>
      </c>
      <c r="C28" s="131">
        <f>AVERAGE(F26:F28)</f>
        <v>7078186.8516746415</v>
      </c>
      <c r="D28" s="90">
        <f>C28/C25-1</f>
        <v>-8.206625919861632E-2</v>
      </c>
      <c r="E28" s="286">
        <f>C28/C16-1</f>
        <v>-1.4813478866734009E-2</v>
      </c>
      <c r="F28" s="78">
        <f>Q28/19</f>
        <v>7227192.4736842103</v>
      </c>
      <c r="G28" s="90">
        <f t="shared" si="2"/>
        <v>6.9357325259407299E-2</v>
      </c>
      <c r="H28" s="90">
        <f t="shared" si="3"/>
        <v>4.5825484537664884E-3</v>
      </c>
      <c r="I28" s="130">
        <f t="shared" si="0"/>
        <v>10.806527692286867</v>
      </c>
      <c r="J28" s="130">
        <f t="shared" si="4"/>
        <v>-0.10985115154761971</v>
      </c>
      <c r="K28" s="78">
        <f>R26+R27+R28</f>
        <v>561438662168</v>
      </c>
      <c r="L28" s="90">
        <f>U28/U25-1</f>
        <v>-0.11338929288914323</v>
      </c>
      <c r="M28" s="90">
        <f>U28/U16-1</f>
        <v>-7.658282704330488E-2</v>
      </c>
      <c r="N28" s="88">
        <f>AVERAGE(T26:T28)</f>
        <v>10.360489207238333</v>
      </c>
      <c r="O28" s="91">
        <f>N28/N25-1</f>
        <v>-0.13776568800666689</v>
      </c>
      <c r="P28" s="129" t="s">
        <v>413</v>
      </c>
      <c r="Q28" s="116">
        <v>137316657</v>
      </c>
      <c r="R28" s="116">
        <v>179072032584</v>
      </c>
      <c r="S28" s="116">
        <v>12706825.07</v>
      </c>
      <c r="T28" s="130">
        <f t="shared" si="1"/>
        <v>10.806527692286867</v>
      </c>
      <c r="U28" s="85">
        <f>Q26+Q27+Q28</f>
        <v>423731985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6993482.1363636367</v>
      </c>
      <c r="G29" s="190">
        <f t="shared" si="2"/>
        <v>-3.2337638463561635E-2</v>
      </c>
      <c r="H29" s="190">
        <f t="shared" si="3"/>
        <v>-1.6349137130220459E-3</v>
      </c>
      <c r="I29" s="130">
        <f t="shared" si="0"/>
        <v>10.273964455582073</v>
      </c>
      <c r="J29" s="130">
        <f t="shared" si="4"/>
        <v>-0.14937569765413106</v>
      </c>
      <c r="K29" s="136"/>
      <c r="L29" s="190"/>
      <c r="M29" s="190"/>
      <c r="N29" s="191"/>
      <c r="O29" s="192"/>
      <c r="P29" s="129" t="s">
        <v>426</v>
      </c>
      <c r="Q29" s="116">
        <v>153856607</v>
      </c>
      <c r="R29" s="116">
        <v>202365874326</v>
      </c>
      <c r="S29" s="116">
        <v>14975388.289999999</v>
      </c>
      <c r="T29" s="130">
        <f t="shared" si="1"/>
        <v>10.273964455582073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8353137.2631578948</v>
      </c>
      <c r="G30" s="190">
        <f t="shared" si="2"/>
        <v>0.19441747333914416</v>
      </c>
      <c r="H30" s="190">
        <f t="shared" si="3"/>
        <v>1.3483355260280661E-2</v>
      </c>
      <c r="I30" s="130">
        <f t="shared" si="0"/>
        <v>10.387563884861963</v>
      </c>
      <c r="J30" s="130">
        <f t="shared" si="4"/>
        <v>-8.5733357550093481E-2</v>
      </c>
      <c r="K30" s="136"/>
      <c r="L30" s="190"/>
      <c r="M30" s="190"/>
      <c r="N30" s="191"/>
      <c r="O30" s="192"/>
      <c r="P30" s="129" t="s">
        <v>469</v>
      </c>
      <c r="Q30" s="116">
        <v>158709608</v>
      </c>
      <c r="R30" s="116">
        <v>211473809899</v>
      </c>
      <c r="S30" s="116">
        <v>15278809.33</v>
      </c>
      <c r="T30" s="130">
        <f t="shared" si="1"/>
        <v>10.387563884861963</v>
      </c>
      <c r="U30" s="85"/>
    </row>
    <row r="31" spans="1:21" s="79" customFormat="1" ht="13.2" hidden="1">
      <c r="A31" s="129" t="s">
        <v>505</v>
      </c>
      <c r="B31" s="188">
        <f>SUM(F29:F31)</f>
        <v>22580638.799521532</v>
      </c>
      <c r="C31" s="188">
        <f>AVERAGE(F29:F31)</f>
        <v>7526879.5998405106</v>
      </c>
      <c r="D31" s="190">
        <f>C31/C28-1</f>
        <v>6.3390916002692421E-2</v>
      </c>
      <c r="E31" s="287">
        <f>C31/C19-1</f>
        <v>1.4360372097006024E-2</v>
      </c>
      <c r="F31" s="136">
        <f>Q31/20</f>
        <v>7234019.4000000004</v>
      </c>
      <c r="G31" s="190">
        <f t="shared" si="2"/>
        <v>-0.13397575400728101</v>
      </c>
      <c r="H31" s="190">
        <f t="shared" si="3"/>
        <v>3.1365497673766729E-2</v>
      </c>
      <c r="I31" s="130">
        <f t="shared" si="0"/>
        <v>9.880812094938797</v>
      </c>
      <c r="J31" s="130">
        <f t="shared" si="4"/>
        <v>-6.0499708905774052E-2</v>
      </c>
      <c r="K31" s="136">
        <f>R29+R30+R31</f>
        <v>605980052060</v>
      </c>
      <c r="L31" s="190">
        <f>U31/U28-1</f>
        <v>7.9093906493747479E-2</v>
      </c>
      <c r="M31" s="190">
        <f>U31/U19-1</f>
        <v>-4.3564784868067585E-3</v>
      </c>
      <c r="N31" s="191">
        <f>AVERAGE(T29:T31)</f>
        <v>10.180780145127612</v>
      </c>
      <c r="O31" s="192">
        <f>N31/N28-1</f>
        <v>-1.7345615493249866E-2</v>
      </c>
      <c r="P31" s="129" t="s">
        <v>505</v>
      </c>
      <c r="Q31" s="116">
        <v>144680388</v>
      </c>
      <c r="R31" s="116">
        <v>192140367835</v>
      </c>
      <c r="S31" s="116">
        <v>14642560.41</v>
      </c>
      <c r="T31" s="130">
        <f t="shared" si="1"/>
        <v>9.880812094938797</v>
      </c>
      <c r="U31" s="85">
        <f>Q29+Q30+Q31</f>
        <v>457246603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7860410.1428571427</v>
      </c>
      <c r="G32" s="190">
        <f t="shared" si="2"/>
        <v>8.6589585709037742E-2</v>
      </c>
      <c r="H32" s="190">
        <f t="shared" si="3"/>
        <v>9.2396410591754075E-2</v>
      </c>
      <c r="I32" s="130">
        <f t="shared" si="0"/>
        <v>10.32294804785937</v>
      </c>
      <c r="J32" s="130">
        <f t="shared" si="4"/>
        <v>-6.567376750225995E-2</v>
      </c>
      <c r="K32" s="136"/>
      <c r="L32" s="190"/>
      <c r="M32" s="190"/>
      <c r="N32" s="191"/>
      <c r="O32" s="192"/>
      <c r="P32" s="129" t="s">
        <v>561</v>
      </c>
      <c r="Q32" s="116">
        <v>165068613</v>
      </c>
      <c r="R32" s="116">
        <v>224384036396</v>
      </c>
      <c r="S32" s="116">
        <v>15990452.75</v>
      </c>
      <c r="T32" s="130">
        <f t="shared" si="1"/>
        <v>10.32294804785937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8044490.2857142854</v>
      </c>
      <c r="G33" s="190">
        <f t="shared" si="2"/>
        <v>2.3418643494629743E-2</v>
      </c>
      <c r="H33" s="190">
        <f t="shared" si="3"/>
        <v>8.754887665296085E-2</v>
      </c>
      <c r="I33" s="130">
        <f t="shared" si="0"/>
        <v>11.067631523482865</v>
      </c>
      <c r="J33" s="130">
        <f t="shared" si="4"/>
        <v>-6.9825589777923969E-2</v>
      </c>
      <c r="K33" s="136"/>
      <c r="L33" s="190"/>
      <c r="M33" s="190"/>
      <c r="N33" s="191"/>
      <c r="O33" s="192"/>
      <c r="P33" s="129" t="s">
        <v>606</v>
      </c>
      <c r="Q33" s="116">
        <v>168934296</v>
      </c>
      <c r="R33" s="116">
        <v>231030726405</v>
      </c>
      <c r="S33" s="116">
        <v>15263816.439999999</v>
      </c>
      <c r="T33" s="130">
        <f t="shared" si="1"/>
        <v>11.067631523482865</v>
      </c>
      <c r="U33" s="85"/>
    </row>
    <row r="34" spans="1:21" s="79" customFormat="1" ht="13.2" hidden="1">
      <c r="A34" s="129" t="s">
        <v>652</v>
      </c>
      <c r="B34" s="188">
        <f>SUM(F32:F34)</f>
        <v>23821342.481203008</v>
      </c>
      <c r="C34" s="188">
        <f>AVERAGE(F32:F34)</f>
        <v>7940447.4937343365</v>
      </c>
      <c r="D34" s="190">
        <f>C34/C31-1</f>
        <v>5.4945464240266251E-2</v>
      </c>
      <c r="E34" s="287">
        <f>C34/C22-1</f>
        <v>4.908263273651281E-2</v>
      </c>
      <c r="F34" s="136">
        <f>Q34/19</f>
        <v>7916442.0526315793</v>
      </c>
      <c r="G34" s="190">
        <f t="shared" si="2"/>
        <v>-1.5917507329221259E-2</v>
      </c>
      <c r="H34" s="190">
        <f t="shared" si="3"/>
        <v>-2.4391760073825819E-2</v>
      </c>
      <c r="I34" s="130">
        <f t="shared" si="0"/>
        <v>10.321965708694368</v>
      </c>
      <c r="J34" s="130">
        <f t="shared" si="4"/>
        <v>-8.5159402856452515E-2</v>
      </c>
      <c r="K34" s="136">
        <f>R32+R33+R34</f>
        <v>662211599708</v>
      </c>
      <c r="L34" s="190">
        <f>U34/U31-1</f>
        <v>5.9418057612119712E-2</v>
      </c>
      <c r="M34" s="190">
        <f>U34/U22-1</f>
        <v>3.1443586117730904E-2</v>
      </c>
      <c r="N34" s="191">
        <f>AVERAGE(T32:T34)</f>
        <v>10.570848426678868</v>
      </c>
      <c r="O34" s="192">
        <f>N34/N31-1</f>
        <v>3.8314183784622591E-2</v>
      </c>
      <c r="P34" s="129" t="s">
        <v>652</v>
      </c>
      <c r="Q34" s="116">
        <v>150412399</v>
      </c>
      <c r="R34" s="116">
        <v>206796836907</v>
      </c>
      <c r="S34" s="116">
        <v>14572069.24</v>
      </c>
      <c r="T34" s="130">
        <f t="shared" si="1"/>
        <v>10.321965708694368</v>
      </c>
      <c r="U34" s="85">
        <f>Q32+Q33+Q34</f>
        <v>484415308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7794007.2608695654</v>
      </c>
      <c r="G35" s="190">
        <f t="shared" si="2"/>
        <v>-1.546588618321465E-2</v>
      </c>
      <c r="H35" s="190">
        <f t="shared" si="3"/>
        <v>3.6877703724549127E-2</v>
      </c>
      <c r="I35" s="130">
        <f t="shared" si="0"/>
        <v>11.450138258173251</v>
      </c>
      <c r="J35" s="130">
        <f t="shared" si="4"/>
        <v>-4.9689697081197082E-2</v>
      </c>
      <c r="K35" s="136"/>
      <c r="L35" s="190"/>
      <c r="M35" s="190"/>
      <c r="N35" s="191"/>
      <c r="O35" s="192"/>
      <c r="P35" s="129" t="s">
        <v>659</v>
      </c>
      <c r="Q35" s="116">
        <v>179262167</v>
      </c>
      <c r="R35" s="116">
        <v>248116039769</v>
      </c>
      <c r="S35" s="116">
        <v>15655895.41</v>
      </c>
      <c r="T35" s="130">
        <f t="shared" si="1"/>
        <v>11.450138258173251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6501001.7619047621</v>
      </c>
      <c r="G36" s="190">
        <f t="shared" si="2"/>
        <v>-0.16589739471458287</v>
      </c>
      <c r="H36" s="190">
        <f t="shared" si="3"/>
        <v>-0.16521054096361365</v>
      </c>
      <c r="I36" s="130">
        <f t="shared" si="0"/>
        <v>9.9077541248289904</v>
      </c>
      <c r="J36" s="130">
        <f t="shared" si="4"/>
        <v>-0.21731871578040918</v>
      </c>
      <c r="K36" s="136"/>
      <c r="L36" s="190"/>
      <c r="M36" s="190"/>
      <c r="N36" s="191"/>
      <c r="O36" s="192"/>
      <c r="P36" s="129" t="s">
        <v>664</v>
      </c>
      <c r="Q36" s="116">
        <v>136521037</v>
      </c>
      <c r="R36" s="116">
        <v>186382752782</v>
      </c>
      <c r="S36" s="116">
        <v>13779211.24</v>
      </c>
      <c r="T36" s="130">
        <f t="shared" si="1"/>
        <v>9.9077541248289904</v>
      </c>
      <c r="U36" s="85"/>
    </row>
    <row r="37" spans="1:21" s="79" customFormat="1" ht="13.2" hidden="1">
      <c r="A37" s="129" t="s">
        <v>702</v>
      </c>
      <c r="B37" s="188">
        <f>SUM(F35:F37)</f>
        <v>20568490.300552107</v>
      </c>
      <c r="C37" s="188">
        <f>AVERAGE(F35:F37)</f>
        <v>6856163.4335173694</v>
      </c>
      <c r="D37" s="190">
        <f>C37/C34-1</f>
        <v>-0.13655200932599276</v>
      </c>
      <c r="E37" s="287">
        <f>C37/C25-1</f>
        <v>-0.11085933729126329</v>
      </c>
      <c r="F37" s="136">
        <f>Q37/18</f>
        <v>6273481.277777778</v>
      </c>
      <c r="G37" s="190">
        <f t="shared" si="2"/>
        <v>-3.49977576471725E-2</v>
      </c>
      <c r="H37" s="190">
        <f t="shared" si="3"/>
        <v>-0.19864583251140144</v>
      </c>
      <c r="I37" s="130">
        <f t="shared" si="0"/>
        <v>9.1212387636058256</v>
      </c>
      <c r="J37" s="130">
        <f t="shared" si="4"/>
        <v>-0.19565887768755963</v>
      </c>
      <c r="K37" s="136">
        <f>R35+R36+R37</f>
        <v>585227502736</v>
      </c>
      <c r="L37" s="190">
        <f>U37/U34-1</f>
        <v>-0.1150034692958134</v>
      </c>
      <c r="M37" s="190">
        <f>U37/U25-1</f>
        <v>-0.10298201377589444</v>
      </c>
      <c r="N37" s="191">
        <f>AVERAGE(T35:T37)</f>
        <v>10.15971038220269</v>
      </c>
      <c r="O37" s="192">
        <f>N37/N34-1</f>
        <v>-3.8893571062710741E-2</v>
      </c>
      <c r="P37" s="129" t="s">
        <v>702</v>
      </c>
      <c r="Q37" s="116">
        <v>112922663</v>
      </c>
      <c r="R37" s="116">
        <v>150728710185</v>
      </c>
      <c r="S37" s="116">
        <v>12380189.35</v>
      </c>
      <c r="T37" s="130">
        <f t="shared" si="1"/>
        <v>9.1212387636058256</v>
      </c>
      <c r="U37" s="85">
        <f>Q35+Q36+Q37</f>
        <v>428705867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6519538.25</v>
      </c>
      <c r="G38" s="190">
        <f t="shared" si="2"/>
        <v>3.9221759231802711E-2</v>
      </c>
      <c r="H38" s="190">
        <f t="shared" si="3"/>
        <v>-0.10061977298958857</v>
      </c>
      <c r="I38" s="130">
        <f t="shared" si="0"/>
        <v>9.3425844596654191</v>
      </c>
      <c r="J38" s="130">
        <f t="shared" si="4"/>
        <v>-8.2676727269650141E-2</v>
      </c>
      <c r="K38" s="136"/>
      <c r="L38" s="190"/>
      <c r="M38" s="190"/>
      <c r="N38" s="191"/>
      <c r="O38" s="192"/>
      <c r="P38" s="129" t="s">
        <v>725</v>
      </c>
      <c r="Q38" s="116">
        <v>130390765</v>
      </c>
      <c r="R38" s="116">
        <v>175302902707</v>
      </c>
      <c r="S38" s="116">
        <v>13956605.43</v>
      </c>
      <c r="T38" s="130">
        <f t="shared" si="1"/>
        <v>9.3425844596654191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6525567.6190476194</v>
      </c>
      <c r="G39" s="190">
        <f t="shared" si="2"/>
        <v>9.2481534986310621E-4</v>
      </c>
      <c r="H39" s="190">
        <f t="shared" si="3"/>
        <v>-3.4457216918854505E-2</v>
      </c>
      <c r="I39" s="130">
        <f t="shared" si="0"/>
        <v>9.1806138789070673</v>
      </c>
      <c r="J39" s="130">
        <f t="shared" si="4"/>
        <v>-9.0156755238565478E-2</v>
      </c>
      <c r="K39" s="136"/>
      <c r="L39" s="190"/>
      <c r="M39" s="190"/>
      <c r="N39" s="191"/>
      <c r="O39" s="192"/>
      <c r="P39" s="129" t="s">
        <v>762</v>
      </c>
      <c r="Q39" s="116">
        <v>137036920</v>
      </c>
      <c r="R39" s="116">
        <v>190437580507</v>
      </c>
      <c r="S39" s="116">
        <v>14926770.890000001</v>
      </c>
      <c r="T39" s="130">
        <f t="shared" si="1"/>
        <v>9.1806138789070673</v>
      </c>
      <c r="U39" s="85"/>
    </row>
    <row r="40" spans="1:21" s="79" customFormat="1" ht="13.2" hidden="1">
      <c r="A40" s="129" t="s">
        <v>777</v>
      </c>
      <c r="B40" s="188">
        <f>SUM(F38:F40)</f>
        <v>20251218.869047619</v>
      </c>
      <c r="C40" s="188">
        <f>AVERAGE(F38:F40)</f>
        <v>6750406.2896825401</v>
      </c>
      <c r="D40" s="190">
        <f>C40/C37-1</f>
        <v>-1.5425120019429528E-2</v>
      </c>
      <c r="E40" s="287">
        <f>C40/C28-1</f>
        <v>-4.6308548906779823E-2</v>
      </c>
      <c r="F40" s="136">
        <f>Q40/21</f>
        <v>7206113</v>
      </c>
      <c r="G40" s="190">
        <f t="shared" si="2"/>
        <v>0.10428907041985469</v>
      </c>
      <c r="H40" s="190">
        <f t="shared" si="3"/>
        <v>-2.9166891238838755E-3</v>
      </c>
      <c r="I40" s="130">
        <f t="shared" si="0"/>
        <v>10.514233657713609</v>
      </c>
      <c r="J40" s="130">
        <f t="shared" si="4"/>
        <v>-2.7047914269620832E-2</v>
      </c>
      <c r="K40" s="136">
        <f>R38+R39+R40</f>
        <v>580767297545</v>
      </c>
      <c r="L40" s="190">
        <f>U40/U37-1</f>
        <v>-2.3208940595160987E-2</v>
      </c>
      <c r="M40" s="190">
        <f>U40/U28-1</f>
        <v>-1.1743099827595027E-2</v>
      </c>
      <c r="N40" s="191">
        <f>AVERAGE(T38:T40)</f>
        <v>9.6791439987620311</v>
      </c>
      <c r="O40" s="192">
        <f>N40/N37-1</f>
        <v>-4.7301189242804798E-2</v>
      </c>
      <c r="P40" s="129" t="s">
        <v>777</v>
      </c>
      <c r="Q40" s="116">
        <v>151328373</v>
      </c>
      <c r="R40" s="116">
        <v>215026814331</v>
      </c>
      <c r="S40" s="116">
        <v>14392715.43</v>
      </c>
      <c r="T40" s="130">
        <f t="shared" si="1"/>
        <v>10.514233657713609</v>
      </c>
      <c r="U40" s="85">
        <f>Q38+Q39+Q40</f>
        <v>418756058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7806377.5</v>
      </c>
      <c r="G41" s="190">
        <f t="shared" si="2"/>
        <v>8.3299345985831774E-2</v>
      </c>
      <c r="H41" s="190">
        <f t="shared" si="3"/>
        <v>0.11623613927739873</v>
      </c>
      <c r="I41" s="130">
        <f t="shared" si="0"/>
        <v>11.069376219057061</v>
      </c>
      <c r="J41" s="130">
        <f t="shared" si="4"/>
        <v>7.7420139704962976E-2</v>
      </c>
      <c r="K41" s="193"/>
      <c r="L41" s="190"/>
      <c r="M41" s="190"/>
      <c r="N41" s="193"/>
      <c r="O41" s="193"/>
      <c r="P41" s="129" t="s">
        <v>787</v>
      </c>
      <c r="Q41" s="116">
        <v>140514795</v>
      </c>
      <c r="R41" s="116">
        <v>205484010713</v>
      </c>
      <c r="S41" s="116">
        <v>12694012.039999999</v>
      </c>
      <c r="T41" s="130">
        <f t="shared" si="1"/>
        <v>11.069376219057061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6832984</v>
      </c>
      <c r="G42" s="190">
        <f t="shared" si="2"/>
        <v>-0.12469208669450071</v>
      </c>
      <c r="H42" s="190">
        <f t="shared" si="3"/>
        <v>-0.18198590724261632</v>
      </c>
      <c r="I42" s="130">
        <f t="shared" si="0"/>
        <v>10.146699040310693</v>
      </c>
      <c r="J42" s="130">
        <f t="shared" si="4"/>
        <v>-2.3187808731774728E-2</v>
      </c>
      <c r="K42" s="193"/>
      <c r="L42" s="190"/>
      <c r="M42" s="190"/>
      <c r="N42" s="193"/>
      <c r="O42" s="193"/>
      <c r="P42" s="129" t="s">
        <v>826</v>
      </c>
      <c r="Q42" s="116">
        <v>136659680</v>
      </c>
      <c r="R42" s="116">
        <v>197586476895</v>
      </c>
      <c r="S42" s="116">
        <v>13468388.039999999</v>
      </c>
      <c r="T42" s="130">
        <f t="shared" si="1"/>
        <v>10.146699040310693</v>
      </c>
      <c r="U42" s="78"/>
    </row>
    <row r="43" spans="1:21" s="79" customFormat="1" ht="13.2">
      <c r="A43" s="129" t="s">
        <v>834</v>
      </c>
      <c r="B43" s="188">
        <f>SUM(F41:F43)</f>
        <v>21703142.75</v>
      </c>
      <c r="C43" s="188">
        <f>AVERAGE(F41:F43)</f>
        <v>7234380.916666667</v>
      </c>
      <c r="D43" s="190">
        <f>C43/C40-1</f>
        <v>7.1695629302171549E-2</v>
      </c>
      <c r="E43" s="287">
        <f>C43/C31-1</f>
        <v>-3.8860550284349094E-2</v>
      </c>
      <c r="F43" s="136">
        <f>Q43/20</f>
        <v>7063781.25</v>
      </c>
      <c r="G43" s="190">
        <f t="shared" si="2"/>
        <v>3.3776934059848607E-2</v>
      </c>
      <c r="H43" s="190">
        <f t="shared" si="3"/>
        <v>-2.3532996054724475E-2</v>
      </c>
      <c r="I43" s="130">
        <f t="shared" si="0"/>
        <v>9.8080637242302497</v>
      </c>
      <c r="J43" s="130">
        <f t="shared" si="4"/>
        <v>-7.3625902415258571E-3</v>
      </c>
      <c r="K43" s="136">
        <f>R41+R42+R43</f>
        <v>607751039282</v>
      </c>
      <c r="L43" s="190">
        <f>U43/U40-1</f>
        <v>-7.3063540014506323E-4</v>
      </c>
      <c r="M43" s="190">
        <f>K43/K31-1</f>
        <v>2.9225173600675447E-3</v>
      </c>
      <c r="N43" s="191">
        <f>AVERAGE(T41:T43)</f>
        <v>10.341379661199335</v>
      </c>
      <c r="O43" s="192">
        <f>N43/N40-1</f>
        <v>6.8418825313685261E-2</v>
      </c>
      <c r="P43" s="129" t="s">
        <v>834</v>
      </c>
      <c r="Q43" s="116">
        <v>141275625</v>
      </c>
      <c r="R43" s="116">
        <v>204680551674</v>
      </c>
      <c r="S43" s="116">
        <v>14404028.050000001</v>
      </c>
      <c r="T43" s="130">
        <f t="shared" si="1"/>
        <v>9.8080637242302497</v>
      </c>
      <c r="U43" s="85">
        <f>Q41+Q42+Q43</f>
        <v>418450100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7919708.2727272725</v>
      </c>
      <c r="G44" s="190">
        <f t="shared" si="2"/>
        <v>0.12117122436758243</v>
      </c>
      <c r="H44" s="190">
        <f t="shared" si="3"/>
        <v>7.5438976837634009E-3</v>
      </c>
      <c r="I44" s="130">
        <f t="shared" si="0"/>
        <v>11.126094244166463</v>
      </c>
      <c r="J44" s="130">
        <f t="shared" si="4"/>
        <v>7.7802018627192382E-2</v>
      </c>
      <c r="K44" s="136"/>
      <c r="L44" s="190"/>
      <c r="M44" s="190"/>
      <c r="N44" s="191"/>
      <c r="O44" s="192"/>
      <c r="P44" s="129" t="s">
        <v>838</v>
      </c>
      <c r="Q44" s="116">
        <v>174233582</v>
      </c>
      <c r="R44" s="116">
        <v>253028319740</v>
      </c>
      <c r="S44" s="116">
        <v>15659905.279999999</v>
      </c>
      <c r="T44" s="130">
        <f t="shared" si="1"/>
        <v>11.126094244166463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8212226.9500000002</v>
      </c>
      <c r="G45" s="190">
        <f t="shared" si="2"/>
        <v>3.693553691618412E-2</v>
      </c>
      <c r="H45" s="190">
        <f t="shared" si="3"/>
        <v>2.0851123977809749E-2</v>
      </c>
      <c r="I45" s="130">
        <f t="shared" si="0"/>
        <v>10.796399120983105</v>
      </c>
      <c r="J45" s="130">
        <f t="shared" si="4"/>
        <v>-2.4506815385411884E-2</v>
      </c>
      <c r="K45" s="136"/>
      <c r="L45" s="190"/>
      <c r="M45" s="190"/>
      <c r="N45" s="191"/>
      <c r="O45" s="192"/>
      <c r="P45" s="129" t="s">
        <v>847</v>
      </c>
      <c r="Q45" s="116">
        <v>164244539</v>
      </c>
      <c r="R45" s="116">
        <v>231371440842</v>
      </c>
      <c r="S45" s="116">
        <v>15212899.890000001</v>
      </c>
      <c r="T45" s="130">
        <f t="shared" si="1"/>
        <v>10.796399120983105</v>
      </c>
      <c r="U45" s="85"/>
    </row>
    <row r="46" spans="1:21" s="79" customFormat="1" ht="13.2">
      <c r="A46" s="129" t="s">
        <v>888</v>
      </c>
      <c r="B46" s="188">
        <f>SUM(F44:F46)</f>
        <v>24394100.380622011</v>
      </c>
      <c r="C46" s="188">
        <f>AVERAGE(F44:F46)</f>
        <v>8131366.7935406705</v>
      </c>
      <c r="D46" s="189">
        <f>C46/C43-1</f>
        <v>0.12398930706116329</v>
      </c>
      <c r="E46" s="287">
        <f>C46/C34-1</f>
        <v>2.4043896764884387E-2</v>
      </c>
      <c r="F46" s="136">
        <f>Q46/19</f>
        <v>8262165.1578947371</v>
      </c>
      <c r="G46" s="190">
        <f t="shared" si="2"/>
        <v>6.080958088321875E-3</v>
      </c>
      <c r="H46" s="190">
        <f t="shared" si="3"/>
        <v>4.3671526042211362E-2</v>
      </c>
      <c r="I46" s="130">
        <f t="shared" si="0"/>
        <v>10.72873374619641</v>
      </c>
      <c r="J46" s="130">
        <f t="shared" si="4"/>
        <v>3.9408001245287538E-2</v>
      </c>
      <c r="K46" s="136">
        <f>R44+R45+R46</f>
        <v>699403694088</v>
      </c>
      <c r="L46" s="190">
        <f>U46/U43-1</f>
        <v>0.18403427075295231</v>
      </c>
      <c r="M46" s="190">
        <f>K46/K34-1</f>
        <v>5.6163459529249726E-2</v>
      </c>
      <c r="N46" s="191">
        <f>AVERAGE(T44:T46)</f>
        <v>10.88374237044866</v>
      </c>
      <c r="O46" s="219">
        <f>N46/N43-1</f>
        <v>5.2445875407152842E-2</v>
      </c>
      <c r="P46" s="129" t="s">
        <v>888</v>
      </c>
      <c r="Q46" s="116">
        <v>156981138</v>
      </c>
      <c r="R46" s="116">
        <v>215003933506</v>
      </c>
      <c r="S46" s="116">
        <v>14631842.09</v>
      </c>
      <c r="T46" s="130">
        <f t="shared" si="1"/>
        <v>10.72873374619641</v>
      </c>
      <c r="U46" s="85">
        <f t="shared" ref="U46:U51" si="5">Q44+Q45+Q46</f>
        <v>495459259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6786926.4782608692</v>
      </c>
      <c r="G47" s="190">
        <f t="shared" si="2"/>
        <v>-0.17855352095258403</v>
      </c>
      <c r="H47" s="190">
        <f t="shared" si="3"/>
        <v>-0.12921219456194577</v>
      </c>
      <c r="I47" s="130">
        <f t="shared" si="0"/>
        <v>9.9761536279242122</v>
      </c>
      <c r="J47" s="130">
        <f t="shared" si="4"/>
        <v>-0.12873072770076732</v>
      </c>
      <c r="K47" s="136"/>
      <c r="L47" s="190"/>
      <c r="M47" s="190"/>
      <c r="N47" s="191"/>
      <c r="O47" s="219"/>
      <c r="P47" s="129" t="s">
        <v>989</v>
      </c>
      <c r="Q47" s="116">
        <v>156099309</v>
      </c>
      <c r="R47" s="116">
        <v>213947412483</v>
      </c>
      <c r="S47" s="116">
        <v>15647243.9</v>
      </c>
      <c r="T47" s="130">
        <f t="shared" si="1"/>
        <v>9.9761536279242122</v>
      </c>
      <c r="U47" s="85">
        <f t="shared" si="5"/>
        <v>477324986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7163346.25</v>
      </c>
      <c r="G48" s="190">
        <f t="shared" ref="G48" si="6">F48/F47-1</f>
        <v>5.5462479657741426E-2</v>
      </c>
      <c r="H48" s="190">
        <f t="shared" ref="H48" si="7">F48/F36-1</f>
        <v>0.10188345002096644</v>
      </c>
      <c r="I48" s="130">
        <f t="shared" si="0"/>
        <v>10.709405370598237</v>
      </c>
      <c r="J48" s="130">
        <f t="shared" si="4"/>
        <v>8.0911499787857721E-2</v>
      </c>
      <c r="K48" s="136"/>
      <c r="L48" s="190"/>
      <c r="M48" s="190"/>
      <c r="N48" s="191"/>
      <c r="O48" s="219"/>
      <c r="P48" s="129" t="s">
        <v>1070</v>
      </c>
      <c r="Q48" s="116">
        <v>143266925</v>
      </c>
      <c r="R48" s="116">
        <v>198784375015</v>
      </c>
      <c r="S48" s="116">
        <v>13377673.18</v>
      </c>
      <c r="T48" s="130">
        <f t="shared" ref="T48" si="8">Q48/S48</f>
        <v>10.709405370598237</v>
      </c>
      <c r="U48" s="85">
        <f t="shared" si="5"/>
        <v>456347372</v>
      </c>
    </row>
    <row r="49" spans="1:26" ht="13.2">
      <c r="A49" s="129" t="s">
        <v>1158</v>
      </c>
      <c r="B49" s="188">
        <f>SUM(F47:F49)</f>
        <v>22114036.273715414</v>
      </c>
      <c r="C49" s="188">
        <f>AVERAGE(F47:F49)</f>
        <v>7371345.4245718047</v>
      </c>
      <c r="D49" s="189">
        <f>C49/C46-1</f>
        <v>-9.3467849657526858E-2</v>
      </c>
      <c r="E49" s="287">
        <f>C49/C37-1</f>
        <v>7.5141439676874144E-2</v>
      </c>
      <c r="F49" s="136">
        <f>Q49/22</f>
        <v>8163763.5454545459</v>
      </c>
      <c r="G49" s="190">
        <f t="shared" ref="G49" si="9">F49/F48-1</f>
        <v>0.13965781640871344</v>
      </c>
      <c r="H49" s="190">
        <f t="shared" ref="H49" si="10">F49/F37-1</f>
        <v>0.30131312806696586</v>
      </c>
      <c r="I49" s="130">
        <f t="shared" si="0"/>
        <v>11.158418326249061</v>
      </c>
      <c r="J49" s="130">
        <f t="shared" si="4"/>
        <v>0.22334461529191385</v>
      </c>
      <c r="K49" s="136">
        <f>R47+R48+R49</f>
        <v>662328002885</v>
      </c>
      <c r="L49" s="190">
        <f>U49/U46-1</f>
        <v>-3.328271033481689E-2</v>
      </c>
      <c r="M49" s="190">
        <f>K49/K37-1</f>
        <v>0.13174449216509321</v>
      </c>
      <c r="N49" s="191">
        <f>AVERAGE(T47:T49)</f>
        <v>10.61465910825717</v>
      </c>
      <c r="O49" s="219">
        <f>N49/N46-1</f>
        <v>-2.4723413420929541E-2</v>
      </c>
      <c r="P49" s="129" t="s">
        <v>1158</v>
      </c>
      <c r="Q49" s="116">
        <v>179602798</v>
      </c>
      <c r="R49" s="116">
        <v>249596215387</v>
      </c>
      <c r="S49" s="116">
        <v>16095721.880000001</v>
      </c>
      <c r="T49" s="130">
        <f t="shared" ref="T49" si="11">Q49/S49</f>
        <v>11.158418326249061</v>
      </c>
      <c r="U49" s="85">
        <f t="shared" si="5"/>
        <v>478969032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8090813.722222222</v>
      </c>
      <c r="G50" s="190">
        <f t="shared" ref="G50" si="12">F50/F49-1</f>
        <v>-8.9358079550136971E-3</v>
      </c>
      <c r="H50" s="190">
        <f t="shared" ref="H50" si="13">F50/F38-1</f>
        <v>0.24101023906443397</v>
      </c>
      <c r="I50" s="130">
        <f t="shared" ref="I50" si="14">T50</f>
        <v>11.406995559083379</v>
      </c>
      <c r="J50" s="130">
        <f t="shared" ref="J50" si="15">I50/I38-1</f>
        <v>0.22096788188863647</v>
      </c>
      <c r="K50" s="136"/>
      <c r="L50" s="190"/>
      <c r="M50" s="190"/>
      <c r="N50" s="191"/>
      <c r="O50" s="192"/>
      <c r="P50" s="129" t="s">
        <v>1291</v>
      </c>
      <c r="Q50" s="116">
        <v>145634647</v>
      </c>
      <c r="R50" s="116">
        <v>205877695543</v>
      </c>
      <c r="S50" s="116">
        <v>12767134.539999999</v>
      </c>
      <c r="T50" s="130">
        <f t="shared" ref="T50" si="16">Q50/S50</f>
        <v>11.406995559083379</v>
      </c>
      <c r="U50" s="85">
        <f t="shared" si="5"/>
        <v>468504370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7292630.6500000004</v>
      </c>
      <c r="G51" s="190">
        <f t="shared" ref="G51:G52" si="17">F51/F50-1</f>
        <v>-9.8653003223882485E-2</v>
      </c>
      <c r="H51" s="190">
        <f t="shared" ref="H51:H52" si="18">F51/F39-1</f>
        <v>0.11754732702690629</v>
      </c>
      <c r="I51" s="130">
        <f t="shared" ref="I51:I52" si="19">T51</f>
        <v>11.367860338920108</v>
      </c>
      <c r="J51" s="130">
        <f t="shared" ref="J51:J52" si="20">I51/I39-1</f>
        <v>0.23824620977017141</v>
      </c>
      <c r="K51" s="136"/>
      <c r="L51" s="190"/>
      <c r="M51" s="190"/>
      <c r="N51" s="191"/>
      <c r="O51" s="192"/>
      <c r="P51" s="129" t="s">
        <v>1402</v>
      </c>
      <c r="Q51" s="116">
        <v>145852613</v>
      </c>
      <c r="R51" s="116">
        <v>211108603595</v>
      </c>
      <c r="S51" s="116">
        <v>12830260.810000001</v>
      </c>
      <c r="T51" s="130">
        <f t="shared" ref="T51:T52" si="21">Q51/S51</f>
        <v>11.367860338920108</v>
      </c>
      <c r="U51" s="85">
        <f t="shared" si="5"/>
        <v>471090058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22766838.735858586</v>
      </c>
      <c r="C52" s="188">
        <f>AVERAGE(F50:F52)</f>
        <v>7588946.2452861955</v>
      </c>
      <c r="D52" s="190">
        <f>C52/C49-1</f>
        <v>2.9519824154357943E-2</v>
      </c>
      <c r="E52" s="287">
        <f>C52/C40-1</f>
        <v>0.12422066459692904</v>
      </c>
      <c r="F52" s="136">
        <f>Q52/22</f>
        <v>7383394.3636363633</v>
      </c>
      <c r="G52" s="190">
        <f t="shared" si="17"/>
        <v>1.2445949615775831E-2</v>
      </c>
      <c r="H52" s="190">
        <f t="shared" si="18"/>
        <v>2.4601524238707206E-2</v>
      </c>
      <c r="I52" s="130">
        <f t="shared" si="19"/>
        <v>10.760768250256792</v>
      </c>
      <c r="J52" s="130">
        <f t="shared" si="20"/>
        <v>2.3447699620249285E-2</v>
      </c>
      <c r="K52" s="136">
        <f>R50+R51+R52</f>
        <v>655967052471</v>
      </c>
      <c r="L52" s="190">
        <f>U52/U49-1</f>
        <v>-5.2293769172116367E-2</v>
      </c>
      <c r="M52" s="190">
        <f>K52/K40-1</f>
        <v>0.12948345274240114</v>
      </c>
      <c r="N52" s="191">
        <f>AVERAGE(T50:T52)</f>
        <v>11.178541382753428</v>
      </c>
      <c r="O52" s="192">
        <f>N52/N49-1</f>
        <v>5.312297538199906E-2</v>
      </c>
      <c r="P52" s="129" t="s">
        <v>1403</v>
      </c>
      <c r="Q52" s="116">
        <v>162434676</v>
      </c>
      <c r="R52" s="116">
        <v>238980753333</v>
      </c>
      <c r="S52" s="116">
        <v>15095081.710000001</v>
      </c>
      <c r="T52" s="130">
        <f t="shared" si="21"/>
        <v>10.760768250256792</v>
      </c>
      <c r="U52" s="85">
        <f t="shared" ref="U52" si="22">Q50+Q51+Q52</f>
        <v>453921936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7725134.9047619049</v>
      </c>
      <c r="G53" s="190">
        <f t="shared" ref="G53" si="23">F53/F52-1</f>
        <v>4.6285018014022627E-2</v>
      </c>
      <c r="H53" s="190">
        <f t="shared" ref="H53" si="24">F53/F41-1</f>
        <v>-1.0407208111328892E-2</v>
      </c>
      <c r="I53" s="130">
        <f t="shared" ref="I53" si="25">T53</f>
        <v>11.476252939993463</v>
      </c>
      <c r="J53" s="130">
        <f t="shared" ref="J53" si="26">I53/I41-1</f>
        <v>3.6756969217102142E-2</v>
      </c>
      <c r="K53" s="136"/>
      <c r="L53" s="190"/>
      <c r="M53" s="190"/>
      <c r="N53" s="191"/>
      <c r="O53" s="192"/>
      <c r="P53" s="129" t="s">
        <v>1414</v>
      </c>
      <c r="Q53" s="116">
        <v>162227833</v>
      </c>
      <c r="R53" s="116">
        <v>236423510792</v>
      </c>
      <c r="S53" s="116">
        <v>14135958.300000001</v>
      </c>
      <c r="T53" s="130">
        <f t="shared" ref="T53" si="27">Q53/S53</f>
        <v>11.476252939993463</v>
      </c>
      <c r="U53" s="85">
        <f t="shared" ref="U53" si="28">Q51+Q52+Q53</f>
        <v>470515122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8294260.9411764704</v>
      </c>
      <c r="G54" s="190">
        <f t="shared" ref="G54" si="29">F54/F53-1</f>
        <v>7.3671986758929719E-2</v>
      </c>
      <c r="H54" s="190">
        <f t="shared" ref="H54" si="30">F54/F42-1</f>
        <v>0.2138563387791439</v>
      </c>
      <c r="I54" s="130">
        <f t="shared" ref="I54" si="31">T54</f>
        <v>11.665457948923596</v>
      </c>
      <c r="J54" s="130">
        <f t="shared" ref="J54" si="32">I54/I42-1</f>
        <v>0.14968009818554728</v>
      </c>
      <c r="K54" s="136"/>
      <c r="L54" s="190"/>
      <c r="M54" s="190"/>
      <c r="N54" s="191"/>
      <c r="O54" s="192"/>
      <c r="P54" s="129" t="s">
        <v>1417</v>
      </c>
      <c r="Q54" s="116">
        <v>141002436</v>
      </c>
      <c r="R54" s="116">
        <v>204250198492</v>
      </c>
      <c r="S54" s="116">
        <v>12087175.369999999</v>
      </c>
      <c r="T54" s="130">
        <f t="shared" ref="T54" si="33">Q54/S54</f>
        <v>11.665457948923596</v>
      </c>
      <c r="U54" s="85">
        <f t="shared" ref="U54" si="34">Q52+Q53+Q54</f>
        <v>465664945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24296425.845938377</v>
      </c>
      <c r="C55" s="188">
        <f>AVERAGE(F53:F55)</f>
        <v>8098808.6153127924</v>
      </c>
      <c r="D55" s="190">
        <f>C55/C52-1</f>
        <v>6.71848704084963E-2</v>
      </c>
      <c r="E55" s="287">
        <f>C55/C43-1</f>
        <v>0.11948882822228013</v>
      </c>
      <c r="F55" s="136">
        <f>Q55/21</f>
        <v>8277030</v>
      </c>
      <c r="G55" s="190">
        <f t="shared" ref="G55" si="35">F55/F54-1</f>
        <v>-2.0774534703783543E-3</v>
      </c>
      <c r="H55" s="190">
        <f t="shared" ref="H55" si="36">F55/F43-1</f>
        <v>0.17175627430421914</v>
      </c>
      <c r="I55" s="130">
        <f>T55</f>
        <v>11.498643480936186</v>
      </c>
      <c r="J55" s="130">
        <f t="shared" ref="J55" si="37">I55/I43-1</f>
        <v>0.17236631043999617</v>
      </c>
      <c r="K55" s="136">
        <f>R53+R54+R55</f>
        <v>696158564789</v>
      </c>
      <c r="L55" s="190">
        <f>U55/U52-1</f>
        <v>5.0947004684964048E-2</v>
      </c>
      <c r="M55" s="190">
        <f>K55/K43-1</f>
        <v>0.14546667926959866</v>
      </c>
      <c r="N55" s="191">
        <f>AVERAGE(T53:T55)</f>
        <v>11.546784789951083</v>
      </c>
      <c r="O55" s="192">
        <f>N55/N52-1</f>
        <v>3.2941990782964892E-2</v>
      </c>
      <c r="P55" s="129" t="s">
        <v>1418</v>
      </c>
      <c r="Q55" s="116">
        <v>173817630</v>
      </c>
      <c r="R55" s="116">
        <v>255484855505</v>
      </c>
      <c r="S55" s="116">
        <v>15116359.619999999</v>
      </c>
      <c r="T55" s="130">
        <f t="shared" ref="T55" si="38">Q55/S55</f>
        <v>11.498643480936186</v>
      </c>
      <c r="U55" s="85">
        <f t="shared" ref="U55" si="39">Q53+Q54+Q55</f>
        <v>477047899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8431531.8636363633</v>
      </c>
      <c r="G56" s="190">
        <f t="shared" ref="G56" si="40">F56/F55-1</f>
        <v>1.8666340902034007E-2</v>
      </c>
      <c r="H56" s="190">
        <f t="shared" ref="H56" si="41">F56/F44-1</f>
        <v>6.4626571242735409E-2</v>
      </c>
      <c r="I56" s="291">
        <f>T56</f>
        <v>12.293388507528032</v>
      </c>
      <c r="J56" s="130">
        <f t="shared" ref="J56" si="42">I56/I44-1</f>
        <v>0.10491500770574502</v>
      </c>
      <c r="K56" s="136"/>
      <c r="L56" s="190"/>
      <c r="M56" s="190"/>
      <c r="N56" s="191"/>
      <c r="O56" s="192"/>
      <c r="P56" s="129" t="s">
        <v>1420</v>
      </c>
      <c r="Q56" s="116">
        <v>185493701</v>
      </c>
      <c r="R56" s="116">
        <v>276990933040</v>
      </c>
      <c r="S56" s="116">
        <v>15088899.279999999</v>
      </c>
      <c r="T56" s="130">
        <f t="shared" ref="T56" si="43">Q56/S56</f>
        <v>12.293388507528032</v>
      </c>
      <c r="U56" s="85">
        <f t="shared" ref="U56" si="44">Q54+Q55+Q56</f>
        <v>500313767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8848208.75</v>
      </c>
      <c r="G57" s="254">
        <f t="shared" ref="G57" si="45">F57/F56-1</f>
        <v>4.9418882962500188E-2</v>
      </c>
      <c r="H57" s="254">
        <f t="shared" ref="H57" si="46">F57/F45-1</f>
        <v>7.7443281082240301E-2</v>
      </c>
      <c r="I57" s="282">
        <f>T57</f>
        <v>11.485115631139472</v>
      </c>
      <c r="J57" s="277">
        <f t="shared" ref="J57" si="47">I57/I45-1</f>
        <v>6.3791316200771719E-2</v>
      </c>
      <c r="K57" s="204"/>
      <c r="L57" s="254"/>
      <c r="M57" s="254"/>
      <c r="N57" s="257"/>
      <c r="O57" s="258"/>
      <c r="P57" s="129" t="s">
        <v>1436</v>
      </c>
      <c r="Q57" s="116">
        <v>106178505</v>
      </c>
      <c r="R57" s="116">
        <v>156413845202</v>
      </c>
      <c r="S57" s="116">
        <v>9244879.0600000005</v>
      </c>
      <c r="T57" s="130">
        <f t="shared" ref="T57" si="48">Q57/S57</f>
        <v>11.485115631139472</v>
      </c>
      <c r="U57" s="85">
        <f t="shared" ref="U57" si="49">Q55+Q56+Q57</f>
        <v>465489836</v>
      </c>
      <c r="V57" s="79"/>
      <c r="W57" s="79"/>
      <c r="X57" s="79"/>
      <c r="Y57" s="79"/>
      <c r="Z57" s="79"/>
    </row>
    <row r="58" spans="1:26">
      <c r="B58" s="196">
        <f>SUM(F56:F58)</f>
        <v>17279740.613636363</v>
      </c>
      <c r="C58" s="196">
        <f>AVERAGE(F56:F58)</f>
        <v>8639870.3068181816</v>
      </c>
      <c r="D58" s="197">
        <f>C58/C55-1</f>
        <v>6.680756605142868E-2</v>
      </c>
      <c r="E58" s="233">
        <f>C58/C46-1</f>
        <v>6.2536044208638009E-2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768720105</v>
      </c>
      <c r="R64" s="212">
        <v>1129563343031</v>
      </c>
      <c r="S64" s="213">
        <v>65673271.649999999</v>
      </c>
      <c r="T64" s="214">
        <v>1390</v>
      </c>
      <c r="U64" s="214">
        <v>2799</v>
      </c>
    </row>
    <row r="65" spans="16:21" ht="18" thickBot="1">
      <c r="P65" s="180" t="s">
        <v>976</v>
      </c>
      <c r="Q65" s="181">
        <v>162227833</v>
      </c>
      <c r="R65" s="181">
        <v>236423510792</v>
      </c>
      <c r="S65" s="182">
        <v>14135958.300000001</v>
      </c>
      <c r="T65" s="210">
        <v>776</v>
      </c>
      <c r="U65" s="210">
        <v>1415</v>
      </c>
    </row>
    <row r="66" spans="16:21" ht="18" thickBot="1">
      <c r="P66" s="180" t="s">
        <v>977</v>
      </c>
      <c r="Q66" s="181">
        <v>141002436</v>
      </c>
      <c r="R66" s="181">
        <v>204250198492</v>
      </c>
      <c r="S66" s="182">
        <v>12087175.369999999</v>
      </c>
      <c r="T66" s="210">
        <v>682</v>
      </c>
      <c r="U66" s="210">
        <v>1228</v>
      </c>
    </row>
    <row r="67" spans="16:21" ht="18" thickBot="1">
      <c r="P67" s="180" t="s">
        <v>978</v>
      </c>
      <c r="Q67" s="181">
        <v>173817630</v>
      </c>
      <c r="R67" s="181">
        <v>255484855505</v>
      </c>
      <c r="S67" s="182">
        <v>15116359.619999999</v>
      </c>
      <c r="T67" s="210">
        <v>738</v>
      </c>
      <c r="U67" s="210">
        <v>1408</v>
      </c>
    </row>
    <row r="68" spans="16:21" ht="18" thickBot="1">
      <c r="P68" s="180" t="s">
        <v>979</v>
      </c>
      <c r="Q68" s="181">
        <v>185493701</v>
      </c>
      <c r="R68" s="181">
        <v>276990933040</v>
      </c>
      <c r="S68" s="182">
        <v>15088899.279999999</v>
      </c>
      <c r="T68" s="210">
        <v>772</v>
      </c>
      <c r="U68" s="210">
        <v>1463</v>
      </c>
    </row>
    <row r="69" spans="16:21" ht="18" thickBot="1">
      <c r="P69" s="180" t="s">
        <v>980</v>
      </c>
      <c r="Q69" s="181">
        <v>106178505</v>
      </c>
      <c r="R69" s="181">
        <v>156413845202</v>
      </c>
      <c r="S69" s="182">
        <v>9244879.0600000005</v>
      </c>
      <c r="T69" s="210">
        <v>575</v>
      </c>
      <c r="U69" s="210">
        <v>1011</v>
      </c>
    </row>
    <row r="70" spans="16:21" ht="18" thickBot="1">
      <c r="P70" s="215" t="s">
        <v>975</v>
      </c>
      <c r="Q70" s="217" t="s">
        <v>1488</v>
      </c>
      <c r="R70"/>
      <c r="S70"/>
      <c r="T70"/>
      <c r="U70"/>
    </row>
    <row r="71" spans="16:21" ht="18" thickBot="1">
      <c r="P71" s="215" t="s">
        <v>982</v>
      </c>
      <c r="Q71" s="216">
        <v>1789123836</v>
      </c>
      <c r="R71" s="217"/>
      <c r="S71"/>
      <c r="T71"/>
      <c r="U71"/>
    </row>
  </sheetData>
  <phoneticPr fontId="1" type="noConversion"/>
  <conditionalFormatting sqref="C29:C30">
    <cfRule type="cellIs" dxfId="20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Z73"/>
  <sheetViews>
    <sheetView zoomScaleNormal="10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 t="s">
        <v>1062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2699533.95</v>
      </c>
      <c r="G5" s="90"/>
      <c r="H5" s="90"/>
      <c r="I5" s="130">
        <f t="shared" ref="I5:I49" si="0">T5</f>
        <v>21.980940342002842</v>
      </c>
      <c r="J5" s="130"/>
      <c r="L5" s="80"/>
      <c r="M5" s="80"/>
      <c r="P5" s="129" t="s">
        <v>0</v>
      </c>
      <c r="Q5" s="116">
        <v>53990679</v>
      </c>
      <c r="R5" s="116">
        <v>63704610787</v>
      </c>
      <c r="S5" s="116">
        <v>2456249.7400000002</v>
      </c>
      <c r="T5" s="130">
        <f t="shared" ref="T5:T47" si="1">Q5/S5</f>
        <v>21.980940342002842</v>
      </c>
      <c r="U5" s="85"/>
    </row>
    <row r="6" spans="1:21" ht="15" hidden="1" customHeight="1">
      <c r="A6" s="129" t="s">
        <v>1</v>
      </c>
      <c r="C6" s="79"/>
      <c r="F6" s="78">
        <f>Q6/18</f>
        <v>2728786.888888889</v>
      </c>
      <c r="G6" s="90">
        <f t="shared" ref="G6:G47" si="2">F6/F5-1</f>
        <v>1.0836292275149484E-2</v>
      </c>
      <c r="H6" s="90"/>
      <c r="I6" s="130">
        <f t="shared" si="0"/>
        <v>19.782015068554717</v>
      </c>
      <c r="J6" s="130"/>
      <c r="P6" s="129" t="s">
        <v>1</v>
      </c>
      <c r="Q6" s="116">
        <v>49118164</v>
      </c>
      <c r="R6" s="116">
        <v>58369609259</v>
      </c>
      <c r="S6" s="116">
        <v>2482970.71</v>
      </c>
      <c r="T6" s="130">
        <f t="shared" si="1"/>
        <v>19.782015068554717</v>
      </c>
      <c r="U6" s="85"/>
    </row>
    <row r="7" spans="1:21" ht="15" hidden="1" customHeight="1">
      <c r="A7" s="129" t="s">
        <v>2</v>
      </c>
      <c r="B7" s="131">
        <f>F5+F6+F7</f>
        <v>7882168.3388888892</v>
      </c>
      <c r="C7" s="131">
        <f>AVERAGE(F5:F7)</f>
        <v>2627389.4462962965</v>
      </c>
      <c r="F7" s="78">
        <f>Q7/22</f>
        <v>2453847.5</v>
      </c>
      <c r="G7" s="90">
        <f t="shared" si="2"/>
        <v>-0.10075517073480189</v>
      </c>
      <c r="H7" s="90"/>
      <c r="I7" s="130">
        <f t="shared" si="0"/>
        <v>19.678997910039133</v>
      </c>
      <c r="J7" s="130"/>
      <c r="K7" s="79">
        <f>R5+R6+R7</f>
        <v>187103124244</v>
      </c>
      <c r="N7" s="88">
        <f>AVERAGE(T5:T7)</f>
        <v>20.480651106865565</v>
      </c>
      <c r="P7" s="129" t="s">
        <v>2</v>
      </c>
      <c r="Q7" s="116">
        <v>53984645</v>
      </c>
      <c r="R7" s="116">
        <v>65028904198</v>
      </c>
      <c r="S7" s="116">
        <v>2743261.89</v>
      </c>
      <c r="T7" s="130">
        <f t="shared" si="1"/>
        <v>19.678997910039133</v>
      </c>
      <c r="U7" s="85">
        <f>Q5+Q6+Q7</f>
        <v>157093488</v>
      </c>
    </row>
    <row r="8" spans="1:21" ht="15" hidden="1" customHeight="1">
      <c r="A8" s="129" t="s">
        <v>3</v>
      </c>
      <c r="C8" s="79"/>
      <c r="F8" s="78">
        <f>Q8/21</f>
        <v>2509329.8095238097</v>
      </c>
      <c r="G8" s="90">
        <f t="shared" si="2"/>
        <v>2.2610333170178576E-2</v>
      </c>
      <c r="H8" s="90"/>
      <c r="I8" s="130">
        <f t="shared" si="0"/>
        <v>19.456808750049632</v>
      </c>
      <c r="J8" s="130"/>
      <c r="K8" s="78"/>
      <c r="P8" s="129" t="s">
        <v>3</v>
      </c>
      <c r="Q8" s="116">
        <v>52695926</v>
      </c>
      <c r="R8" s="116">
        <v>63861570262</v>
      </c>
      <c r="S8" s="116">
        <v>2708354.01</v>
      </c>
      <c r="T8" s="130">
        <f t="shared" si="1"/>
        <v>19.456808750049632</v>
      </c>
      <c r="U8" s="85"/>
    </row>
    <row r="9" spans="1:21" ht="15" hidden="1" customHeight="1">
      <c r="A9" s="129" t="s">
        <v>4</v>
      </c>
      <c r="C9" s="79"/>
      <c r="F9" s="78">
        <f>Q9/21</f>
        <v>2650741.4761904762</v>
      </c>
      <c r="G9" s="90">
        <f t="shared" si="2"/>
        <v>5.6354356501866931E-2</v>
      </c>
      <c r="H9" s="90"/>
      <c r="I9" s="130">
        <f t="shared" si="0"/>
        <v>18.277718722437179</v>
      </c>
      <c r="J9" s="130"/>
      <c r="K9" s="78"/>
      <c r="P9" s="129" t="s">
        <v>4</v>
      </c>
      <c r="Q9" s="116">
        <v>55665571</v>
      </c>
      <c r="R9" s="116">
        <v>69908225896</v>
      </c>
      <c r="S9" s="116">
        <v>3045542.6</v>
      </c>
      <c r="T9" s="130">
        <f t="shared" si="1"/>
        <v>18.277718722437179</v>
      </c>
      <c r="U9" s="85"/>
    </row>
    <row r="10" spans="1:21" ht="15" hidden="1" customHeight="1">
      <c r="A10" s="129" t="s">
        <v>5</v>
      </c>
      <c r="B10" s="131">
        <f>F8+F9+F10</f>
        <v>7438756.9047619049</v>
      </c>
      <c r="C10" s="131">
        <f>AVERAGE(F8:F10)</f>
        <v>2479585.6349206348</v>
      </c>
      <c r="D10" s="90">
        <f>C10/C7-1</f>
        <v>-5.6255006879171843E-2</v>
      </c>
      <c r="E10" s="286"/>
      <c r="F10" s="78">
        <f>Q10/21</f>
        <v>2278685.6190476189</v>
      </c>
      <c r="G10" s="90">
        <f t="shared" si="2"/>
        <v>-0.14035916383575775</v>
      </c>
      <c r="H10" s="90"/>
      <c r="I10" s="130">
        <f t="shared" si="0"/>
        <v>21.377512145034927</v>
      </c>
      <c r="J10" s="130"/>
      <c r="K10" s="79">
        <f>R8+R9+R10</f>
        <v>193953983486</v>
      </c>
      <c r="L10" s="87">
        <f>U10/U7-1</f>
        <v>-5.5991690756780343E-3</v>
      </c>
      <c r="N10" s="88">
        <f>AVERAGE(T8:T10)</f>
        <v>19.704013205840578</v>
      </c>
      <c r="O10" s="89">
        <f>N10/N7-1</f>
        <v>-3.7920566927906019E-2</v>
      </c>
      <c r="P10" s="129" t="s">
        <v>5</v>
      </c>
      <c r="Q10" s="116">
        <v>47852398</v>
      </c>
      <c r="R10" s="116">
        <v>60184187328</v>
      </c>
      <c r="S10" s="116">
        <v>2238445.6</v>
      </c>
      <c r="T10" s="130">
        <f t="shared" si="1"/>
        <v>21.377512145034927</v>
      </c>
      <c r="U10" s="85">
        <f>Q8+Q9+Q10</f>
        <v>156213895</v>
      </c>
    </row>
    <row r="11" spans="1:21" ht="15" hidden="1" customHeight="1">
      <c r="A11" s="129" t="s">
        <v>6</v>
      </c>
      <c r="C11" s="79"/>
      <c r="F11" s="78">
        <f>Q11/21</f>
        <v>2250664.0952380951</v>
      </c>
      <c r="G11" s="90">
        <f t="shared" si="2"/>
        <v>-1.2297231164883349E-2</v>
      </c>
      <c r="H11" s="90"/>
      <c r="I11" s="130">
        <f t="shared" si="0"/>
        <v>19.20639783787988</v>
      </c>
      <c r="J11" s="130"/>
      <c r="K11" s="78"/>
      <c r="O11" s="89"/>
      <c r="P11" s="129" t="s">
        <v>6</v>
      </c>
      <c r="Q11" s="116">
        <v>47263946</v>
      </c>
      <c r="R11" s="116">
        <v>61014227815</v>
      </c>
      <c r="S11" s="116">
        <v>2460843.85</v>
      </c>
      <c r="T11" s="130">
        <f t="shared" si="1"/>
        <v>19.20639783787988</v>
      </c>
      <c r="U11" s="85"/>
    </row>
    <row r="12" spans="1:21" ht="15" hidden="1" customHeight="1">
      <c r="A12" s="129" t="s">
        <v>7</v>
      </c>
      <c r="C12" s="79"/>
      <c r="F12" s="78">
        <f>Q12/22</f>
        <v>2272329.8636363638</v>
      </c>
      <c r="G12" s="90">
        <f t="shared" si="2"/>
        <v>9.6263891373700172E-3</v>
      </c>
      <c r="H12" s="90"/>
      <c r="I12" s="130">
        <f t="shared" si="0"/>
        <v>22.400203296785207</v>
      </c>
      <c r="J12" s="130"/>
      <c r="K12" s="78"/>
      <c r="O12" s="89"/>
      <c r="P12" s="129" t="s">
        <v>7</v>
      </c>
      <c r="Q12" s="116">
        <v>49991257</v>
      </c>
      <c r="R12" s="116">
        <v>64905686030</v>
      </c>
      <c r="S12" s="116">
        <v>2231732.29</v>
      </c>
      <c r="T12" s="130">
        <f t="shared" si="1"/>
        <v>22.400203296785207</v>
      </c>
      <c r="U12" s="85"/>
    </row>
    <row r="13" spans="1:21" ht="15" hidden="1" customHeight="1">
      <c r="A13" s="129" t="s">
        <v>96</v>
      </c>
      <c r="B13" s="131">
        <f>F11+F12+F13</f>
        <v>6773377.6088744588</v>
      </c>
      <c r="C13" s="131">
        <f>AVERAGE(F11:F13)</f>
        <v>2257792.5362914861</v>
      </c>
      <c r="D13" s="90">
        <f>C13/C10-1</f>
        <v>-8.9447646213778653E-2</v>
      </c>
      <c r="E13" s="286"/>
      <c r="F13" s="78">
        <f>Q13/20</f>
        <v>2250383.65</v>
      </c>
      <c r="G13" s="90">
        <f t="shared" si="2"/>
        <v>-9.6580228018672276E-3</v>
      </c>
      <c r="H13" s="90"/>
      <c r="I13" s="130">
        <f t="shared" si="0"/>
        <v>17.92100226402021</v>
      </c>
      <c r="J13" s="130"/>
      <c r="K13" s="78">
        <f>R11+R12+R13</f>
        <v>187237363844</v>
      </c>
      <c r="L13" s="87">
        <f>U13/U10-1</f>
        <v>-8.9307157983609553E-2</v>
      </c>
      <c r="N13" s="88">
        <f>AVERAGE(T11:T13)</f>
        <v>19.842534466228432</v>
      </c>
      <c r="O13" s="89">
        <f>N13/N10-1</f>
        <v>7.0301039154192502E-3</v>
      </c>
      <c r="P13" s="129" t="s">
        <v>96</v>
      </c>
      <c r="Q13" s="116">
        <v>45007673</v>
      </c>
      <c r="R13" s="116">
        <v>61317449999</v>
      </c>
      <c r="S13" s="116">
        <v>2511448.4300000002</v>
      </c>
      <c r="T13" s="130">
        <f t="shared" si="1"/>
        <v>17.92100226402021</v>
      </c>
      <c r="U13" s="85">
        <f>Q11+Q12+Q13</f>
        <v>142262876</v>
      </c>
    </row>
    <row r="14" spans="1:21" ht="15" hidden="1" customHeight="1">
      <c r="A14" s="129" t="s">
        <v>97</v>
      </c>
      <c r="C14" s="79"/>
      <c r="F14" s="78">
        <f>Q14/20</f>
        <v>2212768.85</v>
      </c>
      <c r="G14" s="90">
        <f t="shared" si="2"/>
        <v>-1.6714838823149059E-2</v>
      </c>
      <c r="H14" s="90"/>
      <c r="I14" s="130">
        <f t="shared" si="0"/>
        <v>17.525322261220378</v>
      </c>
      <c r="J14" s="130"/>
      <c r="O14" s="89"/>
      <c r="P14" s="129" t="s">
        <v>97</v>
      </c>
      <c r="Q14" s="116">
        <v>44255377</v>
      </c>
      <c r="R14" s="116">
        <v>63111032202</v>
      </c>
      <c r="S14" s="116">
        <v>2525224.7200000002</v>
      </c>
      <c r="T14" s="130">
        <f t="shared" si="1"/>
        <v>17.525322261220378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1937337.3181818181</v>
      </c>
      <c r="G15" s="90">
        <f t="shared" si="2"/>
        <v>-0.12447370262744883</v>
      </c>
      <c r="H15" s="90"/>
      <c r="I15" s="130">
        <f t="shared" si="0"/>
        <v>17.731952973582864</v>
      </c>
      <c r="J15" s="130"/>
      <c r="O15" s="89"/>
      <c r="P15" s="129" t="s">
        <v>98</v>
      </c>
      <c r="Q15" s="116">
        <v>42621421</v>
      </c>
      <c r="R15" s="116">
        <v>59282511729</v>
      </c>
      <c r="S15" s="116">
        <v>2403650.69</v>
      </c>
      <c r="T15" s="130">
        <f t="shared" si="1"/>
        <v>17.731952973582864</v>
      </c>
      <c r="U15" s="78"/>
    </row>
    <row r="16" spans="1:21" ht="15" hidden="1" customHeight="1">
      <c r="A16" s="129" t="s">
        <v>99</v>
      </c>
      <c r="B16" s="131">
        <f>F14+F15+F16</f>
        <v>5989334.5772727272</v>
      </c>
      <c r="C16" s="131">
        <f>AVERAGE(F14:F16)</f>
        <v>1996444.8590909091</v>
      </c>
      <c r="D16" s="90">
        <f>C16/C13-1</f>
        <v>-0.11575362793512056</v>
      </c>
      <c r="E16" s="286"/>
      <c r="F16" s="78">
        <f>Q16/22</f>
        <v>1839228.4090909092</v>
      </c>
      <c r="G16" s="90">
        <f t="shared" si="2"/>
        <v>-5.0641108375997002E-2</v>
      </c>
      <c r="H16" s="90"/>
      <c r="I16" s="130">
        <f t="shared" si="0"/>
        <v>23.227065170140371</v>
      </c>
      <c r="J16" s="130"/>
      <c r="K16" s="78">
        <f>R14+R15+R16</f>
        <v>175402417600</v>
      </c>
      <c r="L16" s="87">
        <f>U16/U13-1</f>
        <v>-0.10489773171744399</v>
      </c>
      <c r="N16" s="88">
        <f>AVERAGE(T14:T16)</f>
        <v>19.494780134981205</v>
      </c>
      <c r="O16" s="89">
        <f>N16/N13-1</f>
        <v>-1.7525701257523174E-2</v>
      </c>
      <c r="P16" s="129" t="s">
        <v>99</v>
      </c>
      <c r="Q16" s="116">
        <v>40463025</v>
      </c>
      <c r="R16" s="116">
        <v>53008873669</v>
      </c>
      <c r="S16" s="116">
        <v>1742063.61</v>
      </c>
      <c r="T16" s="130">
        <f t="shared" si="1"/>
        <v>23.227065170140371</v>
      </c>
      <c r="U16" s="85">
        <f>Q14+Q15+Q16</f>
        <v>127339823</v>
      </c>
    </row>
    <row r="17" spans="1:21" ht="15" hidden="1" customHeight="1">
      <c r="A17" s="129" t="s">
        <v>100</v>
      </c>
      <c r="C17" s="79"/>
      <c r="F17" s="78">
        <f>Q17/20</f>
        <v>1795515.55</v>
      </c>
      <c r="G17" s="90">
        <f t="shared" si="2"/>
        <v>-2.3766955139908563E-2</v>
      </c>
      <c r="H17" s="90">
        <f t="shared" ref="H17:H47" si="3">F17/F5-1</f>
        <v>-0.33487943354074134</v>
      </c>
      <c r="I17" s="130">
        <f t="shared" si="0"/>
        <v>24.071892783283573</v>
      </c>
      <c r="J17" s="130">
        <f t="shared" ref="J17:J49" si="4">I17/I5-1</f>
        <v>9.5125704758189045E-2</v>
      </c>
      <c r="O17" s="89"/>
      <c r="P17" s="129" t="s">
        <v>100</v>
      </c>
      <c r="Q17" s="116">
        <v>35910311</v>
      </c>
      <c r="R17" s="116">
        <v>45101623921</v>
      </c>
      <c r="S17" s="116">
        <v>1491794.24</v>
      </c>
      <c r="T17" s="130">
        <f t="shared" si="1"/>
        <v>24.071892783283573</v>
      </c>
      <c r="U17" s="78"/>
    </row>
    <row r="18" spans="1:21" ht="15" hidden="1" customHeight="1">
      <c r="A18" s="129" t="s">
        <v>106</v>
      </c>
      <c r="C18" s="79"/>
      <c r="F18" s="78">
        <f>Q18/20</f>
        <v>2082387.65</v>
      </c>
      <c r="G18" s="90">
        <f t="shared" si="2"/>
        <v>0.15977143723428067</v>
      </c>
      <c r="H18" s="90">
        <f t="shared" si="3"/>
        <v>-0.23688153938327183</v>
      </c>
      <c r="I18" s="130">
        <f t="shared" si="0"/>
        <v>17.700287475827391</v>
      </c>
      <c r="J18" s="130">
        <f t="shared" si="4"/>
        <v>-0.10523334379804505</v>
      </c>
      <c r="O18" s="89"/>
      <c r="P18" s="129" t="s">
        <v>106</v>
      </c>
      <c r="Q18" s="116">
        <v>41647753</v>
      </c>
      <c r="R18" s="116">
        <v>52200975487</v>
      </c>
      <c r="S18" s="116">
        <v>2352942.1800000002</v>
      </c>
      <c r="T18" s="130">
        <f t="shared" si="1"/>
        <v>17.700287475827391</v>
      </c>
      <c r="U18" s="78"/>
    </row>
    <row r="19" spans="1:21" hidden="1">
      <c r="A19" s="129" t="s">
        <v>114</v>
      </c>
      <c r="B19" s="131">
        <f>SUM(F17:F19)</f>
        <v>5633128.1545454543</v>
      </c>
      <c r="C19" s="131">
        <f>AVERAGE(F17:F19)</f>
        <v>1877709.3848484848</v>
      </c>
      <c r="D19" s="90">
        <f>C19/C16-1</f>
        <v>-5.9473455378322382E-2</v>
      </c>
      <c r="E19" s="286">
        <f>C19/C7-1</f>
        <v>-0.28533267593983802</v>
      </c>
      <c r="F19" s="78">
        <f>Q19/22</f>
        <v>1755224.9545454546</v>
      </c>
      <c r="G19" s="90">
        <f t="shared" si="2"/>
        <v>-0.15710941017852531</v>
      </c>
      <c r="H19" s="90">
        <f t="shared" si="3"/>
        <v>-0.28470495638157844</v>
      </c>
      <c r="I19" s="130">
        <f t="shared" si="0"/>
        <v>17.003723716932168</v>
      </c>
      <c r="J19" s="130">
        <f t="shared" si="4"/>
        <v>-0.13594565156908667</v>
      </c>
      <c r="K19" s="78">
        <f>R17+R18+R19</f>
        <v>147760089706</v>
      </c>
      <c r="L19" s="87">
        <f>U19/U16-1</f>
        <v>-8.7692991374740625E-2</v>
      </c>
      <c r="M19" s="87">
        <f>U19/U7-1</f>
        <v>-0.26048485854486847</v>
      </c>
      <c r="N19" s="88">
        <f>AVERAGE(T17:T19)</f>
        <v>19.591967992014379</v>
      </c>
      <c r="O19" s="89">
        <f>N19/N16-1</f>
        <v>4.9853271675930344E-3</v>
      </c>
      <c r="P19" s="129" t="s">
        <v>114</v>
      </c>
      <c r="Q19" s="116">
        <v>38614949</v>
      </c>
      <c r="R19" s="116">
        <v>50457490298</v>
      </c>
      <c r="S19" s="116">
        <v>2270970.15</v>
      </c>
      <c r="T19" s="130">
        <f t="shared" si="1"/>
        <v>17.003723716932168</v>
      </c>
      <c r="U19" s="85">
        <f>Q17+Q18+Q19</f>
        <v>116173013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1992490.25</v>
      </c>
      <c r="G20" s="90">
        <f t="shared" si="2"/>
        <v>0.1351765737150139</v>
      </c>
      <c r="H20" s="90">
        <f t="shared" si="3"/>
        <v>-0.2059671700237321</v>
      </c>
      <c r="I20" s="130">
        <f t="shared" si="0"/>
        <v>23.079087055419972</v>
      </c>
      <c r="J20" s="130">
        <f t="shared" si="4"/>
        <v>0.18617021690985691</v>
      </c>
      <c r="O20" s="89"/>
      <c r="P20" s="129" t="s">
        <v>131</v>
      </c>
      <c r="Q20" s="116">
        <v>39849805</v>
      </c>
      <c r="R20" s="116">
        <v>52265362126</v>
      </c>
      <c r="S20" s="116">
        <v>1726662.97</v>
      </c>
      <c r="T20" s="130">
        <f t="shared" si="1"/>
        <v>23.079087055419972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2219649.9523809524</v>
      </c>
      <c r="G21" s="90">
        <f t="shared" si="2"/>
        <v>0.1140079367419502</v>
      </c>
      <c r="H21" s="90">
        <f t="shared" si="3"/>
        <v>-0.16263054231492569</v>
      </c>
      <c r="I21" s="130">
        <f t="shared" si="0"/>
        <v>22.371903127763723</v>
      </c>
      <c r="J21" s="130">
        <f t="shared" si="4"/>
        <v>0.22399865472821001</v>
      </c>
      <c r="O21" s="89"/>
      <c r="P21" s="129" t="s">
        <v>141</v>
      </c>
      <c r="Q21" s="116">
        <v>46612649</v>
      </c>
      <c r="R21" s="116">
        <v>62101156666</v>
      </c>
      <c r="S21" s="116">
        <v>2083535.26</v>
      </c>
      <c r="T21" s="130">
        <f t="shared" si="1"/>
        <v>22.371903127763723</v>
      </c>
      <c r="U21" s="78"/>
    </row>
    <row r="22" spans="1:21" hidden="1">
      <c r="A22" s="129" t="s">
        <v>155</v>
      </c>
      <c r="B22" s="131">
        <f>SUM(F20:F22)</f>
        <v>6396709.7738095243</v>
      </c>
      <c r="C22" s="131">
        <f>AVERAGE(F20:F22)</f>
        <v>2132236.5912698414</v>
      </c>
      <c r="D22" s="90">
        <f>C22/C19-1</f>
        <v>0.1355519701159158</v>
      </c>
      <c r="E22" s="286">
        <f>C22/C10-1</f>
        <v>-0.14008350377538425</v>
      </c>
      <c r="F22" s="78">
        <f>Q22/21</f>
        <v>2184569.5714285714</v>
      </c>
      <c r="G22" s="90">
        <f t="shared" si="2"/>
        <v>-1.5804465435980797E-2</v>
      </c>
      <c r="H22" s="90">
        <f t="shared" si="3"/>
        <v>-4.1302778598472756E-2</v>
      </c>
      <c r="I22" s="130">
        <f t="shared" si="0"/>
        <v>20.410317490998057</v>
      </c>
      <c r="J22" s="130">
        <f t="shared" si="4"/>
        <v>-4.5243555352698417E-2</v>
      </c>
      <c r="K22" s="78">
        <f>R20+R21+R22</f>
        <v>174069699467</v>
      </c>
      <c r="L22" s="87">
        <f>U22/U19-1</f>
        <v>0.13914937370179081</v>
      </c>
      <c r="M22" s="87">
        <f>U22/U10-1</f>
        <v>-0.15283838867214727</v>
      </c>
      <c r="N22" s="88">
        <f>AVERAGE(T20:T22)</f>
        <v>21.95376922472725</v>
      </c>
      <c r="O22" s="89">
        <f>N22/N19-1</f>
        <v>0.12054946362078245</v>
      </c>
      <c r="P22" s="129" t="s">
        <v>155</v>
      </c>
      <c r="Q22" s="116">
        <v>45875961</v>
      </c>
      <c r="R22" s="116">
        <v>59703180675</v>
      </c>
      <c r="S22" s="116">
        <v>2247684.83</v>
      </c>
      <c r="T22" s="130">
        <f t="shared" si="1"/>
        <v>20.410317490998057</v>
      </c>
      <c r="U22" s="85">
        <f>Q20+Q21+Q22</f>
        <v>132338415</v>
      </c>
    </row>
    <row r="23" spans="1:21" hidden="1">
      <c r="A23" s="129" t="s">
        <v>189</v>
      </c>
      <c r="B23" s="131"/>
      <c r="C23" s="131"/>
      <c r="F23" s="78">
        <f>Q23/21</f>
        <v>2273377.6666666665</v>
      </c>
      <c r="G23" s="90">
        <f t="shared" si="2"/>
        <v>4.0652445405993776E-2</v>
      </c>
      <c r="H23" s="90">
        <f t="shared" si="3"/>
        <v>1.009194196354235E-2</v>
      </c>
      <c r="I23" s="130">
        <f t="shared" si="0"/>
        <v>27.481783297631214</v>
      </c>
      <c r="J23" s="130">
        <f t="shared" si="4"/>
        <v>0.43086608585344299</v>
      </c>
      <c r="O23" s="89"/>
      <c r="P23" s="129" t="s">
        <v>189</v>
      </c>
      <c r="Q23" s="116">
        <v>47740931</v>
      </c>
      <c r="R23" s="116">
        <v>61659283461</v>
      </c>
      <c r="S23" s="116">
        <v>1737184.61</v>
      </c>
      <c r="T23" s="130">
        <f t="shared" si="1"/>
        <v>27.481783297631214</v>
      </c>
      <c r="U23" s="78"/>
    </row>
    <row r="24" spans="1:21" hidden="1">
      <c r="A24" s="129" t="s">
        <v>204</v>
      </c>
      <c r="B24" s="131"/>
      <c r="C24" s="131"/>
      <c r="F24" s="78">
        <f>Q24/22</f>
        <v>2271178.5</v>
      </c>
      <c r="G24" s="90">
        <f t="shared" si="2"/>
        <v>-9.6735650169865739E-4</v>
      </c>
      <c r="H24" s="90">
        <f t="shared" si="3"/>
        <v>-5.0668859956859436E-4</v>
      </c>
      <c r="I24" s="130">
        <f t="shared" si="0"/>
        <v>28.283822156527812</v>
      </c>
      <c r="J24" s="130">
        <f t="shared" si="4"/>
        <v>0.26265917240969849</v>
      </c>
      <c r="O24" s="89"/>
      <c r="P24" s="129" t="s">
        <v>204</v>
      </c>
      <c r="Q24" s="116">
        <v>49965927</v>
      </c>
      <c r="R24" s="116">
        <v>65501469970</v>
      </c>
      <c r="S24" s="116">
        <v>1766590.34</v>
      </c>
      <c r="T24" s="130">
        <f t="shared" si="1"/>
        <v>28.283822156527812</v>
      </c>
      <c r="U24" s="78"/>
    </row>
    <row r="25" spans="1:21" s="79" customFormat="1" ht="13.2" hidden="1">
      <c r="A25" s="129" t="s">
        <v>218</v>
      </c>
      <c r="B25" s="131">
        <f>SUM(F23:F25)</f>
        <v>6670788.6929824557</v>
      </c>
      <c r="C25" s="131">
        <f>AVERAGE(F23:F25)</f>
        <v>2223596.2309941519</v>
      </c>
      <c r="D25" s="90">
        <f>C25/C22-1</f>
        <v>4.2846858598323712E-2</v>
      </c>
      <c r="E25" s="286">
        <f>C25/C13-1</f>
        <v>-1.5145902357132868E-2</v>
      </c>
      <c r="F25" s="78">
        <f>Q25/19</f>
        <v>2126232.5263157897</v>
      </c>
      <c r="G25" s="90">
        <f t="shared" si="2"/>
        <v>-6.3819719006766862E-2</v>
      </c>
      <c r="H25" s="90">
        <f t="shared" si="3"/>
        <v>-5.5168870287610861E-2</v>
      </c>
      <c r="I25" s="130">
        <f t="shared" si="0"/>
        <v>23.877699308947001</v>
      </c>
      <c r="J25" s="130">
        <f t="shared" si="4"/>
        <v>0.33238637868407528</v>
      </c>
      <c r="K25" s="78">
        <f>R23+R24+R25</f>
        <v>180784984007</v>
      </c>
      <c r="L25" s="90">
        <f>U25/U22-1</f>
        <v>4.3576621346114841E-2</v>
      </c>
      <c r="M25" s="90">
        <f>U25/U13-1</f>
        <v>-2.9224771190482612E-2</v>
      </c>
      <c r="N25" s="88">
        <f>AVERAGE(T23:T25)</f>
        <v>26.547768254368677</v>
      </c>
      <c r="O25" s="91">
        <f>N25/N22-1</f>
        <v>0.20925787196792855</v>
      </c>
      <c r="P25" s="129" t="s">
        <v>218</v>
      </c>
      <c r="Q25" s="116">
        <v>40398418</v>
      </c>
      <c r="R25" s="116">
        <v>53624230576</v>
      </c>
      <c r="S25" s="116">
        <v>1691889.05</v>
      </c>
      <c r="T25" s="130">
        <f t="shared" si="1"/>
        <v>23.877699308947001</v>
      </c>
      <c r="U25" s="85">
        <f>Q23+Q24+Q25</f>
        <v>138105276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1926350.5789473683</v>
      </c>
      <c r="G26" s="90">
        <f t="shared" si="2"/>
        <v>-9.4007567326027552E-2</v>
      </c>
      <c r="H26" s="90">
        <f t="shared" si="3"/>
        <v>-0.12943885713712566</v>
      </c>
      <c r="I26" s="130">
        <f t="shared" si="0"/>
        <v>18.902681554666248</v>
      </c>
      <c r="J26" s="130">
        <f t="shared" si="4"/>
        <v>7.8592523031297379E-2</v>
      </c>
      <c r="L26" s="90"/>
      <c r="M26" s="90"/>
      <c r="P26" s="129" t="s">
        <v>312</v>
      </c>
      <c r="Q26" s="116">
        <v>36600661</v>
      </c>
      <c r="R26" s="116">
        <v>49361589731</v>
      </c>
      <c r="S26" s="116">
        <v>1936268.19</v>
      </c>
      <c r="T26" s="130">
        <f t="shared" si="1"/>
        <v>18.902681554666248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1530923.5</v>
      </c>
      <c r="G27" s="90">
        <f t="shared" si="2"/>
        <v>-0.20527264521260968</v>
      </c>
      <c r="H27" s="90">
        <f t="shared" si="3"/>
        <v>-0.20977958477733527</v>
      </c>
      <c r="I27" s="130">
        <f t="shared" si="0"/>
        <v>17.54169956854544</v>
      </c>
      <c r="J27" s="130">
        <f t="shared" si="4"/>
        <v>-1.0729410647595583E-2</v>
      </c>
      <c r="L27" s="90"/>
      <c r="M27" s="90"/>
      <c r="P27" s="129" t="s">
        <v>373</v>
      </c>
      <c r="Q27" s="116">
        <v>33680317</v>
      </c>
      <c r="R27" s="116">
        <v>44560249727</v>
      </c>
      <c r="S27" s="116">
        <v>1920014.47</v>
      </c>
      <c r="T27" s="130">
        <f t="shared" si="1"/>
        <v>17.54169956854544</v>
      </c>
      <c r="U27" s="78"/>
    </row>
    <row r="28" spans="1:21" s="79" customFormat="1" ht="13.2" hidden="1">
      <c r="A28" s="123" t="s">
        <v>413</v>
      </c>
      <c r="B28" s="131">
        <f>SUM(F26:F28)</f>
        <v>5186074.1842105258</v>
      </c>
      <c r="C28" s="131">
        <f>AVERAGE(F26:F28)</f>
        <v>1728691.394736842</v>
      </c>
      <c r="D28" s="90">
        <f>C28/C25-1</f>
        <v>-0.22256956067785827</v>
      </c>
      <c r="E28" s="286">
        <f>C28/C16-1</f>
        <v>-0.1341151312718899</v>
      </c>
      <c r="F28" s="78">
        <f>Q28/19</f>
        <v>1728800.105263158</v>
      </c>
      <c r="G28" s="90">
        <f t="shared" si="2"/>
        <v>0.12925309805692975</v>
      </c>
      <c r="H28" s="90">
        <f t="shared" si="3"/>
        <v>-6.0040560096792706E-2</v>
      </c>
      <c r="I28" s="130">
        <f t="shared" si="0"/>
        <v>19.625992672864395</v>
      </c>
      <c r="J28" s="130">
        <f t="shared" si="4"/>
        <v>-0.15503777472090385</v>
      </c>
      <c r="K28" s="78">
        <f>R26+R27+R28</f>
        <v>136765524377</v>
      </c>
      <c r="L28" s="90">
        <f>U28/U25-1</f>
        <v>-0.25326400998612097</v>
      </c>
      <c r="M28" s="90">
        <f>U28/U16-1</f>
        <v>-0.19013410282500554</v>
      </c>
      <c r="N28" s="88">
        <f>AVERAGE(T26:T28)</f>
        <v>18.690124598692027</v>
      </c>
      <c r="O28" s="91">
        <f>N28/N25-1</f>
        <v>-0.29598132620370465</v>
      </c>
      <c r="P28" s="129" t="s">
        <v>413</v>
      </c>
      <c r="Q28" s="116">
        <v>32847202</v>
      </c>
      <c r="R28" s="116">
        <v>42843684919</v>
      </c>
      <c r="S28" s="116">
        <v>1673658.12</v>
      </c>
      <c r="T28" s="130">
        <f t="shared" si="1"/>
        <v>19.625992672864395</v>
      </c>
      <c r="U28" s="85">
        <f>Q26+Q27+Q28</f>
        <v>103128180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1598940.4545454546</v>
      </c>
      <c r="G29" s="190">
        <f t="shared" si="2"/>
        <v>-7.5115480570806747E-2</v>
      </c>
      <c r="H29" s="190">
        <f t="shared" si="3"/>
        <v>-0.10948114342676984</v>
      </c>
      <c r="I29" s="130">
        <f t="shared" si="0"/>
        <v>19.626408356597391</v>
      </c>
      <c r="J29" s="130">
        <f t="shared" si="4"/>
        <v>-0.18467531683978311</v>
      </c>
      <c r="K29" s="136"/>
      <c r="L29" s="190"/>
      <c r="M29" s="190"/>
      <c r="N29" s="191"/>
      <c r="O29" s="192"/>
      <c r="P29" s="129" t="s">
        <v>426</v>
      </c>
      <c r="Q29" s="116">
        <v>35176690</v>
      </c>
      <c r="R29" s="116">
        <v>46281152739</v>
      </c>
      <c r="S29" s="116">
        <v>1792314.18</v>
      </c>
      <c r="T29" s="130">
        <f t="shared" si="1"/>
        <v>19.626408356597391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1952204.3684210526</v>
      </c>
      <c r="G30" s="190">
        <f t="shared" si="2"/>
        <v>0.2209362536743269</v>
      </c>
      <c r="H30" s="190">
        <f t="shared" si="3"/>
        <v>-6.2516353081016107E-2</v>
      </c>
      <c r="I30" s="130">
        <f t="shared" si="0"/>
        <v>20.429046468108986</v>
      </c>
      <c r="J30" s="130">
        <f t="shared" si="4"/>
        <v>0.15416467082854757</v>
      </c>
      <c r="K30" s="136"/>
      <c r="L30" s="190"/>
      <c r="M30" s="190"/>
      <c r="N30" s="191"/>
      <c r="O30" s="192"/>
      <c r="P30" s="129" t="s">
        <v>469</v>
      </c>
      <c r="Q30" s="116">
        <v>37091883</v>
      </c>
      <c r="R30" s="116">
        <v>49422646531</v>
      </c>
      <c r="S30" s="116">
        <v>1815644.36</v>
      </c>
      <c r="T30" s="130">
        <f t="shared" si="1"/>
        <v>20.429046468108986</v>
      </c>
      <c r="U30" s="85"/>
    </row>
    <row r="31" spans="1:21" s="79" customFormat="1" ht="13.2" hidden="1">
      <c r="A31" s="129" t="s">
        <v>505</v>
      </c>
      <c r="B31" s="188">
        <f>SUM(F29:F31)</f>
        <v>5243873.7229665071</v>
      </c>
      <c r="C31" s="188">
        <f>AVERAGE(F29:F31)</f>
        <v>1747957.9076555024</v>
      </c>
      <c r="D31" s="190">
        <f>C31/C28-1</f>
        <v>1.1145143070254715E-2</v>
      </c>
      <c r="E31" s="287">
        <f>C31/C19-1</f>
        <v>-6.9100936619887143E-2</v>
      </c>
      <c r="F31" s="136">
        <f>Q31/20</f>
        <v>1692728.9</v>
      </c>
      <c r="G31" s="190">
        <f t="shared" si="2"/>
        <v>-0.13291409066506543</v>
      </c>
      <c r="H31" s="190">
        <f t="shared" si="3"/>
        <v>-3.5605723576120796E-2</v>
      </c>
      <c r="I31" s="130">
        <f t="shared" si="0"/>
        <v>16.41921972509126</v>
      </c>
      <c r="J31" s="130">
        <f t="shared" si="4"/>
        <v>-3.4375058167927297E-2</v>
      </c>
      <c r="K31" s="136">
        <f>R29+R30+R31</f>
        <v>140658570177</v>
      </c>
      <c r="L31" s="190">
        <f>U31/U28-1</f>
        <v>2.9041247503834633E-2</v>
      </c>
      <c r="M31" s="190">
        <f>U31/U19-1</f>
        <v>-8.6507715866851131E-2</v>
      </c>
      <c r="N31" s="191">
        <f>AVERAGE(T29:T31)</f>
        <v>18.824891516599212</v>
      </c>
      <c r="O31" s="192">
        <f>N31/N28-1</f>
        <v>7.2105949425622651E-3</v>
      </c>
      <c r="P31" s="129" t="s">
        <v>505</v>
      </c>
      <c r="Q31" s="116">
        <v>33854578</v>
      </c>
      <c r="R31" s="116">
        <v>44954770907</v>
      </c>
      <c r="S31" s="116">
        <v>2061887.14</v>
      </c>
      <c r="T31" s="130">
        <f t="shared" si="1"/>
        <v>16.41921972509126</v>
      </c>
      <c r="U31" s="85">
        <f>Q29+Q30+Q31</f>
        <v>106123151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1854301.9047619049</v>
      </c>
      <c r="G32" s="190">
        <f t="shared" si="2"/>
        <v>9.5451199989499136E-2</v>
      </c>
      <c r="H32" s="190">
        <f t="shared" si="3"/>
        <v>-6.9354590436814023E-2</v>
      </c>
      <c r="I32" s="130">
        <f t="shared" si="0"/>
        <v>18.54267759745586</v>
      </c>
      <c r="J32" s="130">
        <f t="shared" si="4"/>
        <v>-0.196559311339777</v>
      </c>
      <c r="K32" s="136"/>
      <c r="L32" s="190"/>
      <c r="M32" s="190"/>
      <c r="N32" s="191"/>
      <c r="O32" s="192"/>
      <c r="P32" s="129" t="s">
        <v>561</v>
      </c>
      <c r="Q32" s="116">
        <v>38940340</v>
      </c>
      <c r="R32" s="116">
        <v>52929116741</v>
      </c>
      <c r="S32" s="116">
        <v>2100038.67</v>
      </c>
      <c r="T32" s="130">
        <f t="shared" si="1"/>
        <v>18.54267759745586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2189079.3333333335</v>
      </c>
      <c r="G33" s="190">
        <f t="shared" si="2"/>
        <v>0.18054095059262454</v>
      </c>
      <c r="H33" s="190">
        <f t="shared" si="3"/>
        <v>-1.377272079087366E-2</v>
      </c>
      <c r="I33" s="130">
        <f t="shared" si="0"/>
        <v>22.122065517679175</v>
      </c>
      <c r="J33" s="130">
        <f t="shared" si="4"/>
        <v>-1.1167472371829468E-2</v>
      </c>
      <c r="K33" s="136"/>
      <c r="L33" s="190"/>
      <c r="M33" s="190"/>
      <c r="N33" s="191"/>
      <c r="O33" s="192"/>
      <c r="P33" s="129" t="s">
        <v>606</v>
      </c>
      <c r="Q33" s="116">
        <v>45970666</v>
      </c>
      <c r="R33" s="116">
        <v>62895580228</v>
      </c>
      <c r="S33" s="116">
        <v>2078045.83</v>
      </c>
      <c r="T33" s="130">
        <f t="shared" si="1"/>
        <v>22.122065517679175</v>
      </c>
      <c r="U33" s="85"/>
    </row>
    <row r="34" spans="1:21" s="79" customFormat="1" ht="13.2" hidden="1">
      <c r="A34" s="129" t="s">
        <v>652</v>
      </c>
      <c r="B34" s="188">
        <f>SUM(F32:F34)</f>
        <v>6198149.553884712</v>
      </c>
      <c r="C34" s="188">
        <f>AVERAGE(F32:F34)</f>
        <v>2066049.851294904</v>
      </c>
      <c r="D34" s="190">
        <f>C34/C31-1</f>
        <v>0.18197917824351473</v>
      </c>
      <c r="E34" s="287">
        <f>C34/C22-1</f>
        <v>-3.1040992470502626E-2</v>
      </c>
      <c r="F34" s="136">
        <f>Q34/19</f>
        <v>2154768.3157894737</v>
      </c>
      <c r="G34" s="190">
        <f t="shared" si="2"/>
        <v>-1.567372046385096E-2</v>
      </c>
      <c r="H34" s="190">
        <f t="shared" si="3"/>
        <v>-1.3641705912624924E-2</v>
      </c>
      <c r="I34" s="130">
        <f t="shared" si="0"/>
        <v>21.048836262882553</v>
      </c>
      <c r="J34" s="130">
        <f t="shared" si="4"/>
        <v>3.1284117562899949E-2</v>
      </c>
      <c r="K34" s="136">
        <f>R32+R33+R34</f>
        <v>172091299344</v>
      </c>
      <c r="L34" s="190">
        <f>U34/U31-1</f>
        <v>0.18590150041813214</v>
      </c>
      <c r="M34" s="190">
        <f>U34/U22-1</f>
        <v>-4.9016840650539795E-2</v>
      </c>
      <c r="N34" s="191">
        <f>AVERAGE(T32:T34)</f>
        <v>20.571193126005863</v>
      </c>
      <c r="O34" s="192">
        <f>N34/N31-1</f>
        <v>9.2765560315012374E-2</v>
      </c>
      <c r="P34" s="129" t="s">
        <v>652</v>
      </c>
      <c r="Q34" s="116">
        <v>40940598</v>
      </c>
      <c r="R34" s="116">
        <v>56266602375</v>
      </c>
      <c r="S34" s="116">
        <v>1945029.05</v>
      </c>
      <c r="T34" s="130">
        <f t="shared" si="1"/>
        <v>21.048836262882553</v>
      </c>
      <c r="U34" s="85">
        <f>Q32+Q33+Q34</f>
        <v>125851604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2400783.8260869565</v>
      </c>
      <c r="G35" s="190">
        <f t="shared" si="2"/>
        <v>0.11417260430959453</v>
      </c>
      <c r="H35" s="190">
        <f t="shared" si="3"/>
        <v>5.6042672226607637E-2</v>
      </c>
      <c r="I35" s="130">
        <f t="shared" si="0"/>
        <v>24.795095478896073</v>
      </c>
      <c r="J35" s="130">
        <f t="shared" si="4"/>
        <v>-9.7762499239513301E-2</v>
      </c>
      <c r="K35" s="136"/>
      <c r="L35" s="190"/>
      <c r="M35" s="190"/>
      <c r="N35" s="191"/>
      <c r="O35" s="192"/>
      <c r="P35" s="129" t="s">
        <v>659</v>
      </c>
      <c r="Q35" s="116">
        <v>55218028</v>
      </c>
      <c r="R35" s="116">
        <v>76419079999</v>
      </c>
      <c r="S35" s="116">
        <v>2226973.7999999998</v>
      </c>
      <c r="T35" s="130">
        <f t="shared" si="1"/>
        <v>24.795095478896073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1858257.2380952381</v>
      </c>
      <c r="G36" s="190">
        <f t="shared" si="2"/>
        <v>-0.2259789415842508</v>
      </c>
      <c r="H36" s="190">
        <f t="shared" si="3"/>
        <v>-0.18180925097026146</v>
      </c>
      <c r="I36" s="130">
        <f t="shared" si="0"/>
        <v>23.922486180757872</v>
      </c>
      <c r="J36" s="130">
        <f t="shared" si="4"/>
        <v>-0.15419896050942172</v>
      </c>
      <c r="K36" s="136"/>
      <c r="L36" s="190"/>
      <c r="M36" s="190"/>
      <c r="N36" s="191"/>
      <c r="O36" s="192"/>
      <c r="P36" s="129" t="s">
        <v>664</v>
      </c>
      <c r="Q36" s="116">
        <v>39023402</v>
      </c>
      <c r="R36" s="116">
        <v>53253865820</v>
      </c>
      <c r="S36" s="116">
        <v>1631243.58</v>
      </c>
      <c r="T36" s="130">
        <f t="shared" si="1"/>
        <v>23.922486180757872</v>
      </c>
      <c r="U36" s="85"/>
    </row>
    <row r="37" spans="1:21" s="79" customFormat="1" ht="13.2" hidden="1">
      <c r="A37" s="129" t="s">
        <v>702</v>
      </c>
      <c r="B37" s="188">
        <f>SUM(F35:F37)</f>
        <v>6240999.8975155279</v>
      </c>
      <c r="C37" s="188">
        <f>AVERAGE(F35:F37)</f>
        <v>2080333.2991718426</v>
      </c>
      <c r="D37" s="190">
        <f>C37/C34-1</f>
        <v>6.9134091164289035E-3</v>
      </c>
      <c r="E37" s="287">
        <f>C37/C25-1</f>
        <v>-6.4428482934717701E-2</v>
      </c>
      <c r="F37" s="136">
        <f>Q37/18</f>
        <v>1981958.8333333333</v>
      </c>
      <c r="G37" s="190">
        <f t="shared" si="2"/>
        <v>6.6568606704253908E-2</v>
      </c>
      <c r="H37" s="190">
        <f t="shared" si="3"/>
        <v>-6.7854146334806242E-2</v>
      </c>
      <c r="I37" s="130">
        <f t="shared" si="0"/>
        <v>22.280667407909579</v>
      </c>
      <c r="J37" s="130">
        <f t="shared" si="4"/>
        <v>-6.6883826635634525E-2</v>
      </c>
      <c r="K37" s="136">
        <f>R35+R36+R37</f>
        <v>177290730096</v>
      </c>
      <c r="L37" s="190">
        <f>U37/U34-1</f>
        <v>3.230062129363076E-2</v>
      </c>
      <c r="M37" s="190">
        <f>U37/U25-1</f>
        <v>-5.9292354623729171E-2</v>
      </c>
      <c r="N37" s="191">
        <f>AVERAGE(T35:T37)</f>
        <v>23.666083022521175</v>
      </c>
      <c r="O37" s="192">
        <f>N37/N34-1</f>
        <v>0.15044775855041626</v>
      </c>
      <c r="P37" s="129" t="s">
        <v>702</v>
      </c>
      <c r="Q37" s="116">
        <v>35675259</v>
      </c>
      <c r="R37" s="116">
        <v>47617784277</v>
      </c>
      <c r="S37" s="116">
        <v>1601175.51</v>
      </c>
      <c r="T37" s="130">
        <f t="shared" si="1"/>
        <v>22.280667407909579</v>
      </c>
      <c r="U37" s="85">
        <f>Q35+Q36+Q37</f>
        <v>129916689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1962986.35</v>
      </c>
      <c r="G38" s="190">
        <f t="shared" si="2"/>
        <v>-9.5725920307964119E-3</v>
      </c>
      <c r="H38" s="190">
        <f t="shared" si="3"/>
        <v>1.9018226200887556E-2</v>
      </c>
      <c r="I38" s="130">
        <f t="shared" si="0"/>
        <v>20.781505872581562</v>
      </c>
      <c r="J38" s="130">
        <f t="shared" si="4"/>
        <v>9.9394591845701097E-2</v>
      </c>
      <c r="K38" s="136"/>
      <c r="L38" s="190"/>
      <c r="M38" s="190"/>
      <c r="N38" s="191"/>
      <c r="O38" s="192"/>
      <c r="P38" s="129" t="s">
        <v>725</v>
      </c>
      <c r="Q38" s="116">
        <v>39259727</v>
      </c>
      <c r="R38" s="116">
        <v>52806905013</v>
      </c>
      <c r="S38" s="116">
        <v>1889166.61</v>
      </c>
      <c r="T38" s="130">
        <f t="shared" si="1"/>
        <v>20.781505872581562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1800696.8095238095</v>
      </c>
      <c r="G39" s="190">
        <f t="shared" si="2"/>
        <v>-8.2674818638545644E-2</v>
      </c>
      <c r="H39" s="190">
        <f t="shared" si="3"/>
        <v>0.17621606143207647</v>
      </c>
      <c r="I39" s="130">
        <f t="shared" si="0"/>
        <v>17.765755245370766</v>
      </c>
      <c r="J39" s="130">
        <f t="shared" si="4"/>
        <v>1.2772746218222109E-2</v>
      </c>
      <c r="K39" s="136"/>
      <c r="L39" s="190"/>
      <c r="M39" s="190"/>
      <c r="N39" s="191"/>
      <c r="O39" s="192"/>
      <c r="P39" s="129" t="s">
        <v>762</v>
      </c>
      <c r="Q39" s="116">
        <v>37814633</v>
      </c>
      <c r="R39" s="116">
        <v>52548592413</v>
      </c>
      <c r="S39" s="116">
        <v>2128512.5499999998</v>
      </c>
      <c r="T39" s="130">
        <f t="shared" si="1"/>
        <v>17.765755245370766</v>
      </c>
      <c r="U39" s="85"/>
    </row>
    <row r="40" spans="1:21" s="79" customFormat="1" ht="13.2" hidden="1">
      <c r="A40" s="129" t="s">
        <v>777</v>
      </c>
      <c r="B40" s="188">
        <f>SUM(F38:F40)</f>
        <v>6070208.7309523802</v>
      </c>
      <c r="C40" s="188">
        <f>AVERAGE(F38:F40)</f>
        <v>2023402.9103174601</v>
      </c>
      <c r="D40" s="190">
        <f>C40/C37-1</f>
        <v>-2.7365994130385651E-2</v>
      </c>
      <c r="E40" s="287">
        <f>C40/C28-1</f>
        <v>0.17048243340476743</v>
      </c>
      <c r="F40" s="136">
        <f>Q40/21</f>
        <v>2306525.5714285714</v>
      </c>
      <c r="G40" s="190">
        <f t="shared" si="2"/>
        <v>0.28090723503782256</v>
      </c>
      <c r="H40" s="190">
        <f t="shared" si="3"/>
        <v>0.33417713500050494</v>
      </c>
      <c r="I40" s="130">
        <f t="shared" si="0"/>
        <v>24.999355365299259</v>
      </c>
      <c r="J40" s="130">
        <f t="shared" si="4"/>
        <v>0.27378807186982534</v>
      </c>
      <c r="K40" s="136">
        <f>R38+R39+R40</f>
        <v>174253066925</v>
      </c>
      <c r="L40" s="190">
        <f>U40/U37-1</f>
        <v>-3.3908591990056025E-2</v>
      </c>
      <c r="M40" s="190">
        <f>U40/U28-1</f>
        <v>0.21704268416256345</v>
      </c>
      <c r="N40" s="191">
        <f>AVERAGE(T38:T40)</f>
        <v>21.182205494417197</v>
      </c>
      <c r="O40" s="192">
        <f>N40/N37-1</f>
        <v>-0.10495515991134929</v>
      </c>
      <c r="P40" s="129" t="s">
        <v>777</v>
      </c>
      <c r="Q40" s="116">
        <v>48437037</v>
      </c>
      <c r="R40" s="116">
        <v>68897569499</v>
      </c>
      <c r="S40" s="116">
        <v>1937531.44</v>
      </c>
      <c r="T40" s="130">
        <f t="shared" si="1"/>
        <v>24.999355365299259</v>
      </c>
      <c r="U40" s="85">
        <f>Q38+Q39+Q40</f>
        <v>125511397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2570393.611111111</v>
      </c>
      <c r="G41" s="190">
        <f t="shared" si="2"/>
        <v>0.11440065653341547</v>
      </c>
      <c r="H41" s="190">
        <f t="shared" si="3"/>
        <v>0.60756055912152163</v>
      </c>
      <c r="I41" s="130">
        <f t="shared" si="0"/>
        <v>34.005312409847996</v>
      </c>
      <c r="J41" s="130">
        <f t="shared" si="4"/>
        <v>0.73263043303677899</v>
      </c>
      <c r="K41" s="193"/>
      <c r="L41" s="190"/>
      <c r="M41" s="190"/>
      <c r="N41" s="193"/>
      <c r="O41" s="193"/>
      <c r="P41" s="129" t="s">
        <v>787</v>
      </c>
      <c r="Q41" s="116">
        <v>46267085</v>
      </c>
      <c r="R41" s="116">
        <v>67675138703</v>
      </c>
      <c r="S41" s="116">
        <v>1360584.03</v>
      </c>
      <c r="T41" s="130">
        <f t="shared" si="1"/>
        <v>34.005312409847996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2420863.65</v>
      </c>
      <c r="G42" s="190">
        <f t="shared" si="2"/>
        <v>-5.8173954551059337E-2</v>
      </c>
      <c r="H42" s="190">
        <f t="shared" si="3"/>
        <v>0.24006671082187969</v>
      </c>
      <c r="I42" s="130">
        <f t="shared" si="0"/>
        <v>26.492347017640181</v>
      </c>
      <c r="J42" s="130">
        <f t="shared" si="4"/>
        <v>0.29679802035774827</v>
      </c>
      <c r="K42" s="193"/>
      <c r="L42" s="190"/>
      <c r="M42" s="190"/>
      <c r="N42" s="193"/>
      <c r="O42" s="193"/>
      <c r="P42" s="129" t="s">
        <v>826</v>
      </c>
      <c r="Q42" s="116">
        <v>48417273</v>
      </c>
      <c r="R42" s="116">
        <v>70008581771</v>
      </c>
      <c r="S42" s="116">
        <v>1827594.7</v>
      </c>
      <c r="T42" s="130">
        <f t="shared" si="1"/>
        <v>26.492347017640181</v>
      </c>
      <c r="U42" s="78"/>
    </row>
    <row r="43" spans="1:21" s="79" customFormat="1" ht="13.2">
      <c r="A43" s="129" t="s">
        <v>834</v>
      </c>
      <c r="B43" s="188">
        <f>SUM(F41:F43)</f>
        <v>7120745.2111111106</v>
      </c>
      <c r="C43" s="188">
        <f>AVERAGE(F41:F43)</f>
        <v>2373581.737037037</v>
      </c>
      <c r="D43" s="190">
        <f>C43/C40-1</f>
        <v>0.17306430910719395</v>
      </c>
      <c r="E43" s="287">
        <f>C43/C31-1</f>
        <v>0.3579169879557742</v>
      </c>
      <c r="F43" s="136">
        <f>Q43/20</f>
        <v>2129487.9500000002</v>
      </c>
      <c r="G43" s="190">
        <f t="shared" si="2"/>
        <v>-0.12036022764024723</v>
      </c>
      <c r="H43" s="190">
        <f t="shared" si="3"/>
        <v>0.25802067300912768</v>
      </c>
      <c r="I43" s="130">
        <f t="shared" si="0"/>
        <v>25.132489064576152</v>
      </c>
      <c r="J43" s="130">
        <f t="shared" si="4"/>
        <v>0.53067499463263701</v>
      </c>
      <c r="K43" s="136">
        <f>R41+R42+R43</f>
        <v>199404917866</v>
      </c>
      <c r="L43" s="190">
        <f>U43/U40-1</f>
        <v>9.3718341769393199E-2</v>
      </c>
      <c r="M43" s="190">
        <f>K43/K31-1</f>
        <v>0.41765210335264724</v>
      </c>
      <c r="N43" s="191">
        <f>AVERAGE(T41:T43)</f>
        <v>28.543382830688106</v>
      </c>
      <c r="O43" s="192">
        <f>N43/N40-1</f>
        <v>0.34751703915869525</v>
      </c>
      <c r="P43" s="129" t="s">
        <v>834</v>
      </c>
      <c r="Q43" s="116">
        <v>42589759</v>
      </c>
      <c r="R43" s="116">
        <v>61721197392</v>
      </c>
      <c r="S43" s="116">
        <v>1694609.67</v>
      </c>
      <c r="T43" s="130">
        <f t="shared" si="1"/>
        <v>25.132489064576152</v>
      </c>
      <c r="U43" s="85">
        <f>Q41+Q42+Q43</f>
        <v>137274117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2615203.1363636362</v>
      </c>
      <c r="G44" s="190">
        <f t="shared" si="2"/>
        <v>0.22809013141569356</v>
      </c>
      <c r="H44" s="190">
        <f t="shared" si="3"/>
        <v>0.41034376853505528</v>
      </c>
      <c r="I44" s="130">
        <f t="shared" si="0"/>
        <v>27.611004894557091</v>
      </c>
      <c r="J44" s="130">
        <f t="shared" si="4"/>
        <v>0.48905166200729533</v>
      </c>
      <c r="K44" s="136"/>
      <c r="L44" s="190"/>
      <c r="M44" s="190"/>
      <c r="N44" s="191"/>
      <c r="O44" s="192"/>
      <c r="P44" s="129" t="s">
        <v>838</v>
      </c>
      <c r="Q44" s="116">
        <v>57534469</v>
      </c>
      <c r="R44" s="116">
        <v>83607726208</v>
      </c>
      <c r="S44" s="116">
        <v>2083751.36</v>
      </c>
      <c r="T44" s="130">
        <f t="shared" si="1"/>
        <v>27.611004894557091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2483872.5499999998</v>
      </c>
      <c r="G45" s="190">
        <f t="shared" si="2"/>
        <v>-5.0218120549613499E-2</v>
      </c>
      <c r="H45" s="190">
        <f t="shared" si="3"/>
        <v>0.13466538748862145</v>
      </c>
      <c r="I45" s="130">
        <f t="shared" si="0"/>
        <v>27.588493550642148</v>
      </c>
      <c r="J45" s="130">
        <f t="shared" si="4"/>
        <v>0.24710296733342529</v>
      </c>
      <c r="K45" s="136"/>
      <c r="L45" s="190"/>
      <c r="M45" s="190"/>
      <c r="N45" s="191"/>
      <c r="O45" s="192"/>
      <c r="P45" s="129" t="s">
        <v>847</v>
      </c>
      <c r="Q45" s="116">
        <v>49677451</v>
      </c>
      <c r="R45" s="116">
        <v>70055282330</v>
      </c>
      <c r="S45" s="116">
        <v>1800658.34</v>
      </c>
      <c r="T45" s="130">
        <f t="shared" si="1"/>
        <v>27.588493550642148</v>
      </c>
      <c r="U45" s="85"/>
    </row>
    <row r="46" spans="1:21" s="79" customFormat="1" ht="13.2">
      <c r="A46" s="129" t="s">
        <v>888</v>
      </c>
      <c r="B46" s="188">
        <f>SUM(F44:F46)</f>
        <v>7631328.9495215304</v>
      </c>
      <c r="C46" s="188">
        <f>AVERAGE(F44:F46)</f>
        <v>2543776.316507177</v>
      </c>
      <c r="D46" s="189">
        <f>C46/C43-1</f>
        <v>7.1703694384923633E-2</v>
      </c>
      <c r="E46" s="287">
        <f>C46/C34-1</f>
        <v>0.23122697882282761</v>
      </c>
      <c r="F46" s="136">
        <f>Q46/19</f>
        <v>2532253.2631578948</v>
      </c>
      <c r="G46" s="190">
        <f t="shared" si="2"/>
        <v>1.9477937045479621E-2</v>
      </c>
      <c r="H46" s="190">
        <f t="shared" si="3"/>
        <v>0.17518586318646356</v>
      </c>
      <c r="I46" s="130">
        <f t="shared" si="0"/>
        <v>30.008749119203316</v>
      </c>
      <c r="J46" s="130">
        <f t="shared" si="4"/>
        <v>0.42567259987292716</v>
      </c>
      <c r="K46" s="136">
        <f>R44+R45+R46</f>
        <v>219549400352</v>
      </c>
      <c r="L46" s="190">
        <f>U46/U43-1</f>
        <v>0.13149321514120538</v>
      </c>
      <c r="M46" s="190">
        <f>K46/K34-1</f>
        <v>0.27577280890380251</v>
      </c>
      <c r="N46" s="191">
        <f>AVERAGE(T44:T46)</f>
        <v>28.402749188134184</v>
      </c>
      <c r="O46" s="219">
        <f>N46/N43-1</f>
        <v>-4.9270138507451211E-3</v>
      </c>
      <c r="P46" s="129" t="s">
        <v>888</v>
      </c>
      <c r="Q46" s="116">
        <v>48112812</v>
      </c>
      <c r="R46" s="116">
        <v>65886391814</v>
      </c>
      <c r="S46" s="116">
        <v>1603292.82</v>
      </c>
      <c r="T46" s="130">
        <f t="shared" si="1"/>
        <v>30.008749119203316</v>
      </c>
      <c r="U46" s="85">
        <f t="shared" ref="U46:U51" si="5">Q44+Q45+Q46</f>
        <v>155324732</v>
      </c>
    </row>
    <row r="47" spans="1:21" s="79" customFormat="1" ht="13.2">
      <c r="A47" s="129" t="s">
        <v>989</v>
      </c>
      <c r="B47" s="188"/>
      <c r="C47" s="188"/>
      <c r="D47" s="189"/>
      <c r="E47" s="287"/>
      <c r="F47" s="136">
        <f>Q47/23</f>
        <v>1893674.5217391304</v>
      </c>
      <c r="G47" s="190">
        <f t="shared" si="2"/>
        <v>-0.25217807030186734</v>
      </c>
      <c r="H47" s="190">
        <f t="shared" si="3"/>
        <v>-0.21122655810888435</v>
      </c>
      <c r="I47" s="130">
        <f t="shared" si="0"/>
        <v>23.872397822736293</v>
      </c>
      <c r="J47" s="130">
        <f t="shared" si="4"/>
        <v>-3.7212909986376941E-2</v>
      </c>
      <c r="K47" s="136"/>
      <c r="L47" s="190"/>
      <c r="M47" s="190"/>
      <c r="N47" s="191"/>
      <c r="O47" s="219"/>
      <c r="P47" s="129" t="s">
        <v>989</v>
      </c>
      <c r="Q47" s="116">
        <v>43554514</v>
      </c>
      <c r="R47" s="116">
        <v>59757426358</v>
      </c>
      <c r="S47" s="116">
        <v>1824471.69</v>
      </c>
      <c r="T47" s="130">
        <f t="shared" si="1"/>
        <v>23.872397822736293</v>
      </c>
      <c r="U47" s="85">
        <f t="shared" si="5"/>
        <v>141344777</v>
      </c>
    </row>
    <row r="48" spans="1:21" s="79" customFormat="1" ht="13.2">
      <c r="A48" s="129" t="s">
        <v>1112</v>
      </c>
      <c r="B48" s="188"/>
      <c r="C48" s="188"/>
      <c r="D48" s="189"/>
      <c r="E48" s="287"/>
      <c r="F48" s="136">
        <f>Q48/20</f>
        <v>2023578</v>
      </c>
      <c r="G48" s="190">
        <f t="shared" ref="G48" si="6">F48/F47-1</f>
        <v>6.8598630213162259E-2</v>
      </c>
      <c r="H48" s="190">
        <f t="shared" ref="H48" si="7">F48/F36-1</f>
        <v>8.8965487939775212E-2</v>
      </c>
      <c r="I48" s="130">
        <f t="shared" si="0"/>
        <v>26.666453185129708</v>
      </c>
      <c r="J48" s="130">
        <f t="shared" si="4"/>
        <v>0.11470241778544543</v>
      </c>
      <c r="K48" s="136"/>
      <c r="L48" s="190"/>
      <c r="M48" s="190"/>
      <c r="N48" s="191"/>
      <c r="O48" s="219"/>
      <c r="P48" s="129" t="s">
        <v>1070</v>
      </c>
      <c r="Q48" s="116">
        <v>40471560</v>
      </c>
      <c r="R48" s="116">
        <v>56159549113</v>
      </c>
      <c r="S48" s="116">
        <v>1517695.65</v>
      </c>
      <c r="T48" s="130">
        <f t="shared" ref="T48" si="8">Q48/S48</f>
        <v>26.666453185129708</v>
      </c>
      <c r="U48" s="85">
        <f t="shared" si="5"/>
        <v>132138886</v>
      </c>
    </row>
    <row r="49" spans="1:26" ht="13.2">
      <c r="A49" s="129" t="s">
        <v>1246</v>
      </c>
      <c r="B49" s="188">
        <f>SUM(F47:F49)</f>
        <v>6558120.7944664033</v>
      </c>
      <c r="C49" s="188">
        <f>AVERAGE(F47:F49)</f>
        <v>2186040.2648221343</v>
      </c>
      <c r="D49" s="189">
        <f>C49/C46-1</f>
        <v>-0.14063188235679658</v>
      </c>
      <c r="E49" s="287">
        <f>C49/C37-1</f>
        <v>5.0812514366026074E-2</v>
      </c>
      <c r="F49" s="136">
        <f>Q49/22</f>
        <v>2640868.2727272729</v>
      </c>
      <c r="G49" s="190">
        <f t="shared" ref="G49" si="9">F49/F48-1</f>
        <v>0.3050489147081421</v>
      </c>
      <c r="H49" s="190">
        <f t="shared" ref="H49" si="10">F49/F37-1</f>
        <v>0.33245364551077028</v>
      </c>
      <c r="I49" s="130">
        <f t="shared" si="0"/>
        <v>35.530261016180923</v>
      </c>
      <c r="J49" s="130">
        <f t="shared" si="4"/>
        <v>0.59466771644227201</v>
      </c>
      <c r="K49" s="136">
        <f>R47+R48+R49</f>
        <v>196639100319</v>
      </c>
      <c r="L49" s="190">
        <f>U49/U46-1</f>
        <v>-8.4980388055651002E-2</v>
      </c>
      <c r="M49" s="190">
        <f>K49/K37-1</f>
        <v>0.10913356954716802</v>
      </c>
      <c r="N49" s="191">
        <f>AVERAGE(T47:T49)</f>
        <v>28.689704008015639</v>
      </c>
      <c r="O49" s="219">
        <f>N49/N46-1</f>
        <v>1.010306495264679E-2</v>
      </c>
      <c r="P49" s="129" t="s">
        <v>1158</v>
      </c>
      <c r="Q49" s="116">
        <v>58099102</v>
      </c>
      <c r="R49" s="116">
        <v>80722124848</v>
      </c>
      <c r="S49" s="116">
        <v>1635200.54</v>
      </c>
      <c r="T49" s="130">
        <f t="shared" ref="T49" si="11">Q49/S49</f>
        <v>35.530261016180923</v>
      </c>
      <c r="U49" s="85">
        <f t="shared" si="5"/>
        <v>142125176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3019566.1666666665</v>
      </c>
      <c r="G50" s="190">
        <f t="shared" ref="G50" si="12">F50/F49-1</f>
        <v>0.14339900927671234</v>
      </c>
      <c r="H50" s="190">
        <f t="shared" ref="H50" si="13">F50/F38-1</f>
        <v>0.53825122964643457</v>
      </c>
      <c r="I50" s="130">
        <f t="shared" ref="I50" si="14">T50</f>
        <v>37.171112517257029</v>
      </c>
      <c r="J50" s="130">
        <f t="shared" ref="J50" si="15">I50/I38-1</f>
        <v>0.78866309040190297</v>
      </c>
      <c r="K50" s="136"/>
      <c r="L50" s="190"/>
      <c r="M50" s="190"/>
      <c r="N50" s="191"/>
      <c r="O50" s="192"/>
      <c r="P50" s="129" t="s">
        <v>1291</v>
      </c>
      <c r="Q50" s="116">
        <v>54352191</v>
      </c>
      <c r="R50" s="116">
        <v>76867468114</v>
      </c>
      <c r="S50" s="116">
        <v>1462215.88</v>
      </c>
      <c r="T50" s="130">
        <f t="shared" ref="T50" si="16">Q50/S50</f>
        <v>37.171112517257029</v>
      </c>
      <c r="U50" s="85">
        <f t="shared" si="5"/>
        <v>152922853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2643301.25</v>
      </c>
      <c r="G51" s="190">
        <f t="shared" ref="G51:G52" si="17">F51/F50-1</f>
        <v>-0.12460893250835092</v>
      </c>
      <c r="H51" s="190">
        <f t="shared" ref="H51:H52" si="18">F51/F39-1</f>
        <v>0.46793243372215199</v>
      </c>
      <c r="I51" s="130">
        <f t="shared" ref="I51:I52" si="19">T51</f>
        <v>34.550986303533051</v>
      </c>
      <c r="J51" s="130">
        <f t="shared" ref="J51:J52" si="20">I51/I39-1</f>
        <v>0.94480819004506</v>
      </c>
      <c r="K51" s="136"/>
      <c r="L51" s="190"/>
      <c r="M51" s="190"/>
      <c r="N51" s="191"/>
      <c r="O51" s="192"/>
      <c r="P51" s="129" t="s">
        <v>1402</v>
      </c>
      <c r="Q51" s="116">
        <v>52866025</v>
      </c>
      <c r="R51" s="116">
        <v>76482799674</v>
      </c>
      <c r="S51" s="116">
        <v>1530087.29</v>
      </c>
      <c r="T51" s="130">
        <f t="shared" ref="T51:T52" si="21">Q51/S51</f>
        <v>34.550986303533051</v>
      </c>
      <c r="U51" s="85">
        <f t="shared" si="5"/>
        <v>165317318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8396854.1439393926</v>
      </c>
      <c r="C52" s="188">
        <f>AVERAGE(F50:F52)</f>
        <v>2798951.3813131307</v>
      </c>
      <c r="D52" s="190">
        <f>C52/C49-1</f>
        <v>0.28037503533397423</v>
      </c>
      <c r="E52" s="287">
        <f>C52/C40-1</f>
        <v>0.38328919417932017</v>
      </c>
      <c r="F52" s="136">
        <f>Q52/22</f>
        <v>2733986.7272727271</v>
      </c>
      <c r="G52" s="190">
        <f t="shared" si="17"/>
        <v>3.4307658755401871E-2</v>
      </c>
      <c r="H52" s="190">
        <f t="shared" si="18"/>
        <v>0.1853268661484655</v>
      </c>
      <c r="I52" s="130">
        <f t="shared" si="19"/>
        <v>30.770974268422904</v>
      </c>
      <c r="J52" s="130">
        <f t="shared" si="20"/>
        <v>0.23087070921576758</v>
      </c>
      <c r="K52" s="136">
        <f>R50+R51+R52</f>
        <v>241840982644</v>
      </c>
      <c r="L52" s="190">
        <f>U52/U49-1</f>
        <v>0.17759519256461642</v>
      </c>
      <c r="M52" s="190">
        <f>K52/K40-1</f>
        <v>0.38787217299360588</v>
      </c>
      <c r="N52" s="191">
        <f>AVERAGE(T50:T52)</f>
        <v>34.164357696404331</v>
      </c>
      <c r="O52" s="192">
        <f>N52/N49-1</f>
        <v>0.19082294076157513</v>
      </c>
      <c r="P52" s="129" t="s">
        <v>1403</v>
      </c>
      <c r="Q52" s="116">
        <v>60147708</v>
      </c>
      <c r="R52" s="116">
        <v>88490714856</v>
      </c>
      <c r="S52" s="116">
        <v>1954689.75</v>
      </c>
      <c r="T52" s="130">
        <f t="shared" si="21"/>
        <v>30.770974268422904</v>
      </c>
      <c r="U52" s="85">
        <f t="shared" ref="U52" si="22">Q50+Q51+Q52</f>
        <v>167365924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2758592.6666666665</v>
      </c>
      <c r="G53" s="190">
        <f t="shared" ref="G53" si="23">F53/F52-1</f>
        <v>9.000021524788071E-3</v>
      </c>
      <c r="H53" s="190">
        <f t="shared" ref="H53" si="24">F53/F41-1</f>
        <v>7.3217990716294201E-2</v>
      </c>
      <c r="I53" s="130">
        <f t="shared" ref="I53" si="25">T53</f>
        <v>34.452870329018033</v>
      </c>
      <c r="J53" s="130">
        <f t="shared" ref="J53" si="26">I53/I41-1</f>
        <v>1.3161411775191478E-2</v>
      </c>
      <c r="K53" s="136"/>
      <c r="L53" s="190"/>
      <c r="M53" s="190"/>
      <c r="N53" s="191"/>
      <c r="O53" s="192"/>
      <c r="P53" s="129" t="s">
        <v>1414</v>
      </c>
      <c r="Q53" s="116">
        <v>57930446</v>
      </c>
      <c r="R53" s="116">
        <v>84406497569</v>
      </c>
      <c r="S53" s="116">
        <v>1681440.34</v>
      </c>
      <c r="T53" s="130">
        <f t="shared" ref="T53" si="27">Q53/S53</f>
        <v>34.452870329018033</v>
      </c>
      <c r="U53" s="85">
        <f t="shared" ref="U53" si="28">Q51+Q52+Q53</f>
        <v>170944179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2806385.0588235296</v>
      </c>
      <c r="G54" s="190">
        <f t="shared" ref="G54" si="29">F54/F53-1</f>
        <v>1.7324918149156376E-2</v>
      </c>
      <c r="H54" s="190">
        <f t="shared" ref="H54" si="30">F54/F42-1</f>
        <v>0.15924953428233346</v>
      </c>
      <c r="I54" s="130">
        <f t="shared" ref="I54" si="31">T54</f>
        <v>35.814029007154794</v>
      </c>
      <c r="J54" s="130">
        <f t="shared" ref="J54" si="32">I54/I42-1</f>
        <v>0.35186319971226721</v>
      </c>
      <c r="K54" s="136"/>
      <c r="L54" s="190"/>
      <c r="M54" s="190"/>
      <c r="N54" s="191"/>
      <c r="O54" s="192"/>
      <c r="P54" s="129" t="s">
        <v>1417</v>
      </c>
      <c r="Q54" s="116">
        <v>47708546</v>
      </c>
      <c r="R54" s="116">
        <v>69107365577</v>
      </c>
      <c r="S54" s="116">
        <v>1332118.93</v>
      </c>
      <c r="T54" s="130">
        <f t="shared" ref="T54" si="33">Q54/S54</f>
        <v>35.814029007154794</v>
      </c>
      <c r="U54" s="85">
        <f t="shared" ref="U54" si="34">Q52+Q53+Q54</f>
        <v>165786700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8163238.8207282908</v>
      </c>
      <c r="C55" s="188">
        <f>AVERAGE(F53:F55)</f>
        <v>2721079.6069094301</v>
      </c>
      <c r="D55" s="190">
        <f>C55/C52-1</f>
        <v>-2.7821767438906742E-2</v>
      </c>
      <c r="E55" s="287">
        <f>C55/C43-1</f>
        <v>0.14640231867733267</v>
      </c>
      <c r="F55" s="136">
        <f>Q55/21</f>
        <v>2598261.0952380951</v>
      </c>
      <c r="G55" s="190">
        <f t="shared" ref="G55" si="35">F55/F54-1</f>
        <v>-7.4160872162240876E-2</v>
      </c>
      <c r="H55" s="190">
        <f t="shared" ref="H55" si="36">F55/F43-1</f>
        <v>0.2201342089012972</v>
      </c>
      <c r="I55" s="130">
        <f>T55</f>
        <v>27.521760423963009</v>
      </c>
      <c r="J55" s="130">
        <f t="shared" ref="J55" si="37">I55/I43-1</f>
        <v>9.5067040643996403E-2</v>
      </c>
      <c r="K55" s="136">
        <f>R53+R54+R55</f>
        <v>233658667666</v>
      </c>
      <c r="L55" s="190">
        <f>U55/U52-1</f>
        <v>-4.280112001771641E-2</v>
      </c>
      <c r="M55" s="190">
        <f>K55/K43-1</f>
        <v>0.17177986464214734</v>
      </c>
      <c r="N55" s="191">
        <f>AVERAGE(T53:T55)</f>
        <v>32.596219920045279</v>
      </c>
      <c r="O55" s="192">
        <f>N55/N52-1</f>
        <v>-4.5899817297724077E-2</v>
      </c>
      <c r="P55" s="129" t="s">
        <v>1418</v>
      </c>
      <c r="Q55" s="116">
        <v>54563483</v>
      </c>
      <c r="R55" s="116">
        <v>80144804520</v>
      </c>
      <c r="S55" s="116">
        <v>1982557.88</v>
      </c>
      <c r="T55" s="130">
        <f t="shared" ref="T55" si="38">Q55/S55</f>
        <v>27.521760423963009</v>
      </c>
      <c r="U55" s="85">
        <f t="shared" ref="U55" si="39">Q53+Q54+Q55</f>
        <v>160202475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2864188.4090909092</v>
      </c>
      <c r="G56" s="190">
        <f t="shared" ref="G56" si="40">F56/F55-1</f>
        <v>0.10234818753980734</v>
      </c>
      <c r="H56" s="190">
        <f t="shared" ref="H56" si="41">F56/F44-1</f>
        <v>9.5206857649107857E-2</v>
      </c>
      <c r="I56" s="291">
        <f>T56</f>
        <v>29.680087060634737</v>
      </c>
      <c r="J56" s="130">
        <f t="shared" ref="J56" si="42">I56/I44-1</f>
        <v>7.4936865716376699E-2</v>
      </c>
      <c r="K56" s="136"/>
      <c r="L56" s="190"/>
      <c r="M56" s="190"/>
      <c r="N56" s="191"/>
      <c r="O56" s="192"/>
      <c r="P56" s="129" t="s">
        <v>1420</v>
      </c>
      <c r="Q56" s="116">
        <v>63012145</v>
      </c>
      <c r="R56" s="116">
        <v>94168212631</v>
      </c>
      <c r="S56" s="116">
        <v>2123044.48</v>
      </c>
      <c r="T56" s="130">
        <f t="shared" ref="T56" si="43">Q56/S56</f>
        <v>29.680087060634737</v>
      </c>
      <c r="U56" s="85">
        <f t="shared" ref="U56" si="44">Q54+Q55+Q56</f>
        <v>165284174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2881658.75</v>
      </c>
      <c r="G57" s="254">
        <f t="shared" ref="G57" si="45">F57/F56-1</f>
        <v>6.09957810514139E-3</v>
      </c>
      <c r="H57" s="254">
        <f t="shared" ref="H57" si="46">F57/F45-1</f>
        <v>0.16014758889299707</v>
      </c>
      <c r="I57" s="282">
        <f>T57</f>
        <v>32.96782767827392</v>
      </c>
      <c r="J57" s="277">
        <f t="shared" ref="J57" si="47">I57/I45-1</f>
        <v>0.19498469960881804</v>
      </c>
      <c r="K57" s="204"/>
      <c r="L57" s="254"/>
      <c r="M57" s="254"/>
      <c r="N57" s="257"/>
      <c r="O57" s="258"/>
      <c r="P57" s="129" t="s">
        <v>1436</v>
      </c>
      <c r="Q57" s="116">
        <v>34579905</v>
      </c>
      <c r="R57" s="116">
        <v>50964844643</v>
      </c>
      <c r="S57" s="116">
        <v>1048898.5</v>
      </c>
      <c r="T57" s="130">
        <f t="shared" ref="T57" si="48">Q57/S57</f>
        <v>32.96782767827392</v>
      </c>
      <c r="U57" s="85">
        <f t="shared" ref="U57" si="49">Q55+Q56+Q57</f>
        <v>152155533</v>
      </c>
      <c r="V57" s="79"/>
      <c r="W57" s="79"/>
      <c r="X57" s="79"/>
      <c r="Y57" s="79"/>
      <c r="Z57" s="79"/>
    </row>
    <row r="58" spans="1:26">
      <c r="B58" s="196">
        <f>SUM(F56:F58)</f>
        <v>5745847.1590909092</v>
      </c>
      <c r="C58" s="196">
        <f>AVERAGE(F56:F58)</f>
        <v>2872923.5795454546</v>
      </c>
      <c r="D58" s="197">
        <f>C58/C55-1</f>
        <v>5.580284099386823E-2</v>
      </c>
      <c r="E58" s="233">
        <f>C58/C46-1</f>
        <v>0.12939316279594304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257794525</v>
      </c>
      <c r="R66" s="212">
        <v>378791724940</v>
      </c>
      <c r="S66" s="213">
        <v>8168060.1399999997</v>
      </c>
    </row>
    <row r="67" spans="16:19" ht="18" thickBot="1">
      <c r="P67" s="180" t="s">
        <v>976</v>
      </c>
      <c r="Q67" s="181">
        <v>57930446</v>
      </c>
      <c r="R67" s="181">
        <v>84406497569</v>
      </c>
      <c r="S67" s="182">
        <v>1681440.34</v>
      </c>
    </row>
    <row r="68" spans="16:19" ht="18" thickBot="1">
      <c r="P68" s="180" t="s">
        <v>977</v>
      </c>
      <c r="Q68" s="181">
        <v>47708546</v>
      </c>
      <c r="R68" s="181">
        <v>69107365577</v>
      </c>
      <c r="S68" s="182">
        <v>1332118.93</v>
      </c>
    </row>
    <row r="69" spans="16:19" ht="18" thickBot="1">
      <c r="P69" s="180" t="s">
        <v>978</v>
      </c>
      <c r="Q69" s="181">
        <v>54563483</v>
      </c>
      <c r="R69" s="181">
        <v>80144804520</v>
      </c>
      <c r="S69" s="182">
        <v>1982557.88</v>
      </c>
    </row>
    <row r="70" spans="16:19" ht="18" thickBot="1">
      <c r="P70" s="180" t="s">
        <v>979</v>
      </c>
      <c r="Q70" s="181">
        <v>63012145</v>
      </c>
      <c r="R70" s="181">
        <v>94168212631</v>
      </c>
      <c r="S70" s="182">
        <v>2123044.48</v>
      </c>
    </row>
    <row r="71" spans="16:19" ht="18" thickBot="1">
      <c r="P71" s="180" t="s">
        <v>980</v>
      </c>
      <c r="Q71" s="181">
        <v>34579905</v>
      </c>
      <c r="R71" s="181">
        <v>50964844643</v>
      </c>
      <c r="S71" s="182">
        <v>1048898.5</v>
      </c>
    </row>
    <row r="72" spans="16:19" ht="18" thickBot="1">
      <c r="P72" s="180" t="s">
        <v>975</v>
      </c>
      <c r="Q72" s="181">
        <v>602057715</v>
      </c>
      <c r="R72" s="181">
        <v>857386862833</v>
      </c>
      <c r="S72" s="182">
        <v>20294359.77</v>
      </c>
    </row>
    <row r="73" spans="16:19" ht="18" thickBot="1">
      <c r="P73" s="215" t="s">
        <v>982</v>
      </c>
      <c r="Q73" s="217">
        <v>4</v>
      </c>
      <c r="R73"/>
      <c r="S73"/>
    </row>
  </sheetData>
  <phoneticPr fontId="1" type="noConversion"/>
  <conditionalFormatting sqref="C29:C30">
    <cfRule type="cellIs" dxfId="20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Z58"/>
  <sheetViews>
    <sheetView topLeftCell="B1" zoomScaleNormal="10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4013462.45</v>
      </c>
      <c r="G5" s="90"/>
      <c r="H5" s="90"/>
      <c r="I5" s="130">
        <f t="shared" ref="I5:I49" si="0">T5</f>
        <v>6.9661578524754333</v>
      </c>
      <c r="J5" s="130"/>
      <c r="K5" s="79"/>
      <c r="L5" s="80"/>
      <c r="M5" s="80"/>
      <c r="N5" s="79"/>
      <c r="O5" s="79"/>
      <c r="P5" s="129" t="s">
        <v>0</v>
      </c>
      <c r="Q5" s="116">
        <f>태양광모듈!Q5+태양광셀!Q5</f>
        <v>80269249</v>
      </c>
      <c r="R5" s="116"/>
      <c r="S5" s="116">
        <f>태양광모듈!S5+태양광셀!S5</f>
        <v>11522743.34</v>
      </c>
      <c r="T5" s="130">
        <f>Q5/S5</f>
        <v>6.9661578524754333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3938002.5555555555</v>
      </c>
      <c r="G6" s="90">
        <f t="shared" ref="G6:G33" si="1">F6/F5-1</f>
        <v>-1.8801694393439483E-2</v>
      </c>
      <c r="H6" s="90"/>
      <c r="I6" s="130">
        <f t="shared" si="0"/>
        <v>5.2590120670462737</v>
      </c>
      <c r="J6" s="130"/>
      <c r="K6" s="79"/>
      <c r="L6" s="87"/>
      <c r="M6" s="87"/>
      <c r="N6" s="79"/>
      <c r="O6" s="79"/>
      <c r="P6" s="129" t="s">
        <v>1</v>
      </c>
      <c r="Q6" s="116">
        <f>태양광모듈!Q6+태양광셀!Q6</f>
        <v>70884046</v>
      </c>
      <c r="R6" s="116"/>
      <c r="S6" s="116">
        <f>태양광모듈!S6+태양광셀!S6</f>
        <v>13478585.92</v>
      </c>
      <c r="T6" s="130">
        <f t="shared" ref="T6:T33" si="2">Q6/S6</f>
        <v>5.2590120670462737</v>
      </c>
      <c r="U6" s="85"/>
    </row>
    <row r="7" spans="1:21" ht="15" hidden="1" customHeight="1">
      <c r="A7" s="129" t="s">
        <v>2</v>
      </c>
      <c r="B7" s="131">
        <f>F5+F6+F7</f>
        <v>11141111.778282829</v>
      </c>
      <c r="C7" s="131">
        <f>AVERAGE(F5:F7)</f>
        <v>3713703.9260942764</v>
      </c>
      <c r="D7" s="117"/>
      <c r="F7" s="78">
        <f>Q7/22</f>
        <v>3189646.7727272729</v>
      </c>
      <c r="G7" s="90">
        <f t="shared" si="1"/>
        <v>-0.19003435682705083</v>
      </c>
      <c r="H7" s="90"/>
      <c r="I7" s="130">
        <f t="shared" si="0"/>
        <v>4.9574498995977674</v>
      </c>
      <c r="J7" s="130"/>
      <c r="K7" s="79">
        <f>R5+R6+R7</f>
        <v>0</v>
      </c>
      <c r="L7" s="87"/>
      <c r="M7" s="87"/>
      <c r="N7" s="88">
        <f>AVERAGE(T5:T7)</f>
        <v>5.7275399397064914</v>
      </c>
      <c r="O7" s="79"/>
      <c r="P7" s="129" t="s">
        <v>2</v>
      </c>
      <c r="Q7" s="116">
        <f>태양광모듈!Q7+태양광셀!Q7</f>
        <v>70172229</v>
      </c>
      <c r="R7" s="116"/>
      <c r="S7" s="116">
        <f>태양광모듈!S7+태양광셀!S7</f>
        <v>14154904.32</v>
      </c>
      <c r="T7" s="130">
        <f t="shared" si="2"/>
        <v>4.9574498995977674</v>
      </c>
      <c r="U7" s="85">
        <f>Q5+Q6+Q7</f>
        <v>221325524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3333227.4285714286</v>
      </c>
      <c r="G8" s="90">
        <f t="shared" si="1"/>
        <v>4.5014594428394616E-2</v>
      </c>
      <c r="H8" s="90"/>
      <c r="I8" s="130">
        <f t="shared" si="0"/>
        <v>4.82618083972317</v>
      </c>
      <c r="J8" s="130"/>
      <c r="K8" s="78"/>
      <c r="L8" s="87"/>
      <c r="M8" s="87"/>
      <c r="N8" s="79"/>
      <c r="O8" s="79"/>
      <c r="P8" s="129" t="s">
        <v>3</v>
      </c>
      <c r="Q8" s="116">
        <f>태양광모듈!Q8+태양광셀!Q8</f>
        <v>69997776</v>
      </c>
      <c r="R8" s="116"/>
      <c r="S8" s="116">
        <f>태양광모듈!S8+태양광셀!S8</f>
        <v>14503761.529999999</v>
      </c>
      <c r="T8" s="130">
        <f>Q8/S8</f>
        <v>4.82618083972317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2966012.0952380951</v>
      </c>
      <c r="G9" s="90">
        <f t="shared" si="1"/>
        <v>-0.11016810019792633</v>
      </c>
      <c r="H9" s="90"/>
      <c r="I9" s="130">
        <f t="shared" si="0"/>
        <v>5.232686877016107</v>
      </c>
      <c r="J9" s="130"/>
      <c r="K9" s="78"/>
      <c r="L9" s="87"/>
      <c r="M9" s="87"/>
      <c r="N9" s="79"/>
      <c r="O9" s="79"/>
      <c r="P9" s="129" t="s">
        <v>4</v>
      </c>
      <c r="Q9" s="116">
        <f>태양광모듈!Q9+태양광셀!Q9</f>
        <v>62286254</v>
      </c>
      <c r="R9" s="116"/>
      <c r="S9" s="116">
        <f>태양광모듈!S9+태양광셀!S9</f>
        <v>11903302.350000001</v>
      </c>
      <c r="T9" s="130">
        <f t="shared" si="2"/>
        <v>5.232686877016107</v>
      </c>
      <c r="U9" s="85"/>
    </row>
    <row r="10" spans="1:21" ht="15" hidden="1" customHeight="1">
      <c r="A10" s="129" t="s">
        <v>5</v>
      </c>
      <c r="B10" s="131">
        <f>F8+F9+F10</f>
        <v>12056713.904761905</v>
      </c>
      <c r="C10" s="131">
        <f>AVERAGE(F8:F10)</f>
        <v>4018904.6349206348</v>
      </c>
      <c r="D10" s="90">
        <f>C10/C7-1</f>
        <v>8.2182294253957844E-2</v>
      </c>
      <c r="E10" s="286"/>
      <c r="F10" s="78">
        <f>Q10/21</f>
        <v>5757474.3809523806</v>
      </c>
      <c r="G10" s="90">
        <f t="shared" si="1"/>
        <v>0.94115000076902988</v>
      </c>
      <c r="H10" s="90"/>
      <c r="I10" s="130">
        <f t="shared" si="0"/>
        <v>7.0804768728878864</v>
      </c>
      <c r="J10" s="130"/>
      <c r="K10" s="79">
        <f>R8+R9+R10</f>
        <v>0</v>
      </c>
      <c r="L10" s="87">
        <f>U10/U7-1</f>
        <v>0.1439755678608492</v>
      </c>
      <c r="M10" s="87"/>
      <c r="N10" s="88">
        <f>AVERAGE(T8:T10)</f>
        <v>5.7131148632090545</v>
      </c>
      <c r="O10" s="89">
        <f>N10/N7-1</f>
        <v>-2.5185466446832061E-3</v>
      </c>
      <c r="P10" s="129" t="s">
        <v>5</v>
      </c>
      <c r="Q10" s="116">
        <f>태양광모듈!Q10+태양광셀!Q10</f>
        <v>120906962</v>
      </c>
      <c r="R10" s="116"/>
      <c r="S10" s="116">
        <f>태양광모듈!S10+태양광셀!S10</f>
        <v>17076104.359999999</v>
      </c>
      <c r="T10" s="130">
        <f t="shared" si="2"/>
        <v>7.0804768728878864</v>
      </c>
      <c r="U10" s="85">
        <f>Q8+Q9+Q10</f>
        <v>253190992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7759653.2857142854</v>
      </c>
      <c r="G11" s="90">
        <f t="shared" si="1"/>
        <v>0.34775298547324351</v>
      </c>
      <c r="H11" s="90"/>
      <c r="I11" s="130">
        <f t="shared" si="0"/>
        <v>7.6926552150589824</v>
      </c>
      <c r="J11" s="130"/>
      <c r="K11" s="78"/>
      <c r="L11" s="87"/>
      <c r="M11" s="87"/>
      <c r="N11" s="79"/>
      <c r="O11" s="89"/>
      <c r="P11" s="129" t="s">
        <v>6</v>
      </c>
      <c r="Q11" s="116">
        <f>태양광모듈!Q11+태양광셀!Q11</f>
        <v>162952719</v>
      </c>
      <c r="R11" s="116"/>
      <c r="S11" s="116">
        <f>태양광모듈!S11+태양광셀!S11</f>
        <v>21182896.469999999</v>
      </c>
      <c r="T11" s="130">
        <f t="shared" si="2"/>
        <v>7.6926552150589824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7835312.2272727275</v>
      </c>
      <c r="G12" s="90">
        <f t="shared" si="1"/>
        <v>9.750299243103111E-3</v>
      </c>
      <c r="H12" s="90"/>
      <c r="I12" s="130">
        <f t="shared" si="0"/>
        <v>7.9110094003475773</v>
      </c>
      <c r="J12" s="130"/>
      <c r="K12" s="78"/>
      <c r="L12" s="87"/>
      <c r="M12" s="87"/>
      <c r="N12" s="79"/>
      <c r="O12" s="89"/>
      <c r="P12" s="129" t="s">
        <v>7</v>
      </c>
      <c r="Q12" s="116">
        <f>태양광모듈!Q12+태양광셀!Q12</f>
        <v>172376869</v>
      </c>
      <c r="R12" s="116"/>
      <c r="S12" s="116">
        <f>태양광모듈!S12+태양광셀!S12</f>
        <v>21789491.110000003</v>
      </c>
      <c r="T12" s="130">
        <f t="shared" si="2"/>
        <v>7.9110094003475773</v>
      </c>
      <c r="U12" s="85"/>
    </row>
    <row r="13" spans="1:21" ht="15" hidden="1" customHeight="1">
      <c r="A13" s="129" t="s">
        <v>96</v>
      </c>
      <c r="B13" s="131">
        <f>F11+F12+F13</f>
        <v>24176552.212987013</v>
      </c>
      <c r="C13" s="131">
        <f>AVERAGE(F11:F13)</f>
        <v>8058850.7376623377</v>
      </c>
      <c r="D13" s="90">
        <f>C13/C10-1</f>
        <v>1.005235622571941</v>
      </c>
      <c r="E13" s="286"/>
      <c r="F13" s="78">
        <f>Q13/20</f>
        <v>8581586.6999999993</v>
      </c>
      <c r="G13" s="90">
        <f t="shared" si="1"/>
        <v>9.5245020374514322E-2</v>
      </c>
      <c r="H13" s="90"/>
      <c r="I13" s="130">
        <f t="shared" si="0"/>
        <v>7.9434362850173725</v>
      </c>
      <c r="J13" s="130"/>
      <c r="K13" s="78">
        <f>R11+R12+R13</f>
        <v>0</v>
      </c>
      <c r="L13" s="87">
        <f>U13/U10-1</f>
        <v>1.0022881461754376</v>
      </c>
      <c r="M13" s="87"/>
      <c r="N13" s="88">
        <f>AVERAGE(T11:T13)</f>
        <v>7.8490336334746438</v>
      </c>
      <c r="O13" s="89">
        <f>N13/N10-1</f>
        <v>0.37386238880305744</v>
      </c>
      <c r="P13" s="129" t="s">
        <v>96</v>
      </c>
      <c r="Q13" s="116">
        <f>태양광모듈!Q13+태양광셀!Q13</f>
        <v>171631734</v>
      </c>
      <c r="R13" s="116"/>
      <c r="S13" s="116">
        <f>태양광모듈!S13+태양광셀!S13</f>
        <v>21606736.41</v>
      </c>
      <c r="T13" s="130">
        <f t="shared" si="2"/>
        <v>7.9434362850173725</v>
      </c>
      <c r="U13" s="85">
        <f>Q11+Q12+Q13</f>
        <v>506961322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9090789.3499999996</v>
      </c>
      <c r="G14" s="90">
        <f t="shared" si="1"/>
        <v>5.9336655073356059E-2</v>
      </c>
      <c r="H14" s="90"/>
      <c r="I14" s="130">
        <f t="shared" si="0"/>
        <v>8.0217451475256727</v>
      </c>
      <c r="J14" s="130"/>
      <c r="K14" s="79"/>
      <c r="L14" s="87"/>
      <c r="M14" s="87"/>
      <c r="N14" s="79"/>
      <c r="O14" s="89"/>
      <c r="P14" s="129" t="s">
        <v>97</v>
      </c>
      <c r="Q14" s="116">
        <f>태양광모듈!Q14+태양광셀!Q14</f>
        <v>181815787</v>
      </c>
      <c r="R14" s="116"/>
      <c r="S14" s="116">
        <f>태양광모듈!S14+태양광셀!S14</f>
        <v>22665365.66</v>
      </c>
      <c r="T14" s="130">
        <f t="shared" si="2"/>
        <v>8.0217451475256727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9004570.2727272734</v>
      </c>
      <c r="G15" s="90">
        <f t="shared" si="1"/>
        <v>-9.4842234214487231E-3</v>
      </c>
      <c r="H15" s="90"/>
      <c r="I15" s="130">
        <f t="shared" si="0"/>
        <v>7.9523613616328301</v>
      </c>
      <c r="J15" s="130"/>
      <c r="K15" s="79"/>
      <c r="L15" s="87"/>
      <c r="M15" s="87"/>
      <c r="N15" s="79"/>
      <c r="O15" s="89"/>
      <c r="P15" s="129" t="s">
        <v>98</v>
      </c>
      <c r="Q15" s="116">
        <f>태양광모듈!Q15+태양광셀!Q15</f>
        <v>198100546</v>
      </c>
      <c r="R15" s="116"/>
      <c r="S15" s="116">
        <f>태양광모듈!S15+태양광셀!S15</f>
        <v>24910908.469999999</v>
      </c>
      <c r="T15" s="130">
        <f t="shared" si="2"/>
        <v>7.9523613616328301</v>
      </c>
      <c r="U15" s="78"/>
    </row>
    <row r="16" spans="1:21" ht="15" hidden="1" customHeight="1">
      <c r="A16" s="129" t="s">
        <v>99</v>
      </c>
      <c r="B16" s="131">
        <f>F14+F15+F16</f>
        <v>27863862.986363638</v>
      </c>
      <c r="C16" s="131">
        <f>AVERAGE(F14:F16)</f>
        <v>9287954.32878788</v>
      </c>
      <c r="D16" s="90">
        <f>C16/C13-1</f>
        <v>0.15251598908283959</v>
      </c>
      <c r="E16" s="286"/>
      <c r="F16" s="78">
        <f>Q16/22</f>
        <v>9768503.3636363633</v>
      </c>
      <c r="G16" s="90">
        <f t="shared" si="1"/>
        <v>8.483837293411578E-2</v>
      </c>
      <c r="H16" s="90"/>
      <c r="I16" s="130">
        <f t="shared" si="0"/>
        <v>7.8702284398543183</v>
      </c>
      <c r="J16" s="130"/>
      <c r="K16" s="78">
        <f>R14+R15+R16</f>
        <v>0</v>
      </c>
      <c r="L16" s="87">
        <f>U16/U13-1</f>
        <v>0.17331121958846407</v>
      </c>
      <c r="M16" s="87"/>
      <c r="N16" s="88">
        <f>AVERAGE(T14:T16)</f>
        <v>7.948111649670941</v>
      </c>
      <c r="O16" s="89">
        <f>N16/N13-1</f>
        <v>1.2622957273841662E-2</v>
      </c>
      <c r="P16" s="129" t="s">
        <v>99</v>
      </c>
      <c r="Q16" s="116">
        <f>태양광모듈!Q16+태양광셀!Q16</f>
        <v>214907074</v>
      </c>
      <c r="R16" s="116"/>
      <c r="S16" s="116">
        <f>태양광모듈!S16+태양광셀!S16</f>
        <v>27306332.420000002</v>
      </c>
      <c r="T16" s="130">
        <f t="shared" si="2"/>
        <v>7.8702284398543183</v>
      </c>
      <c r="U16" s="85">
        <f>Q14+Q15+Q16</f>
        <v>594823407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7375693.5999999996</v>
      </c>
      <c r="G17" s="90">
        <f t="shared" si="1"/>
        <v>-0.24495152169816425</v>
      </c>
      <c r="H17" s="90">
        <f t="shared" ref="H17:H33" si="3">F17/F5-1</f>
        <v>0.83773828505608638</v>
      </c>
      <c r="I17" s="130">
        <f t="shared" si="0"/>
        <v>6.9119769009828866</v>
      </c>
      <c r="J17" s="130">
        <f t="shared" ref="J17:J49" si="4">I17/I5-1</f>
        <v>-7.7777381219251707E-3</v>
      </c>
      <c r="K17" s="79"/>
      <c r="L17" s="87"/>
      <c r="M17" s="87"/>
      <c r="N17" s="79"/>
      <c r="O17" s="89"/>
      <c r="P17" s="129" t="s">
        <v>100</v>
      </c>
      <c r="Q17" s="116">
        <f>태양광모듈!Q17+태양광셀!Q17</f>
        <v>147513872</v>
      </c>
      <c r="R17" s="116"/>
      <c r="S17" s="116">
        <f>태양광모듈!S17+태양광셀!S17</f>
        <v>21341777.34</v>
      </c>
      <c r="T17" s="130">
        <f t="shared" si="2"/>
        <v>6.9119769009828866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6887976.9000000004</v>
      </c>
      <c r="G18" s="90">
        <f t="shared" si="1"/>
        <v>-6.6124859091218124E-2</v>
      </c>
      <c r="H18" s="90">
        <f t="shared" si="3"/>
        <v>0.74910422297282531</v>
      </c>
      <c r="I18" s="130">
        <f t="shared" si="0"/>
        <v>6.7558099763415793</v>
      </c>
      <c r="J18" s="130">
        <f t="shared" si="4"/>
        <v>0.28461579669581982</v>
      </c>
      <c r="K18" s="79"/>
      <c r="L18" s="87"/>
      <c r="M18" s="87"/>
      <c r="N18" s="79"/>
      <c r="O18" s="89"/>
      <c r="P18" s="129" t="s">
        <v>106</v>
      </c>
      <c r="Q18" s="116">
        <f>태양광모듈!Q18+태양광셀!Q18</f>
        <v>137759538</v>
      </c>
      <c r="R18" s="116"/>
      <c r="S18" s="116">
        <f>태양광모듈!S18+태양광셀!S18</f>
        <v>20391268.920000002</v>
      </c>
      <c r="T18" s="130">
        <f t="shared" si="2"/>
        <v>6.7558099763415793</v>
      </c>
      <c r="U18" s="78"/>
    </row>
    <row r="19" spans="1:21" hidden="1">
      <c r="A19" s="129" t="s">
        <v>114</v>
      </c>
      <c r="B19" s="131">
        <f>SUM(F17:F19)</f>
        <v>19823853.863636363</v>
      </c>
      <c r="C19" s="131">
        <f>AVERAGE(F17:F19)</f>
        <v>6607951.2878787881</v>
      </c>
      <c r="D19" s="90">
        <f>C19/C16-1</f>
        <v>-0.28854610456066321</v>
      </c>
      <c r="E19" s="286">
        <f>C19/C7-1</f>
        <v>0.77934251609239302</v>
      </c>
      <c r="F19" s="78">
        <f>Q19/22</f>
        <v>5560183.3636363633</v>
      </c>
      <c r="G19" s="90">
        <f t="shared" si="1"/>
        <v>-0.19276974293622229</v>
      </c>
      <c r="H19" s="90">
        <f t="shared" si="3"/>
        <v>0.74319721267511651</v>
      </c>
      <c r="I19" s="130">
        <f t="shared" si="0"/>
        <v>6.7749056178825029</v>
      </c>
      <c r="J19" s="130">
        <f t="shared" si="4"/>
        <v>0.36661101071988611</v>
      </c>
      <c r="K19" s="78">
        <f>R17+R18+R19</f>
        <v>0</v>
      </c>
      <c r="L19" s="87">
        <f>U19/U16-1</f>
        <v>-0.31475890288897124</v>
      </c>
      <c r="M19" s="87">
        <f>U19/U7-1</f>
        <v>0.84161969497923783</v>
      </c>
      <c r="N19" s="88">
        <f>AVERAGE(T17:T19)</f>
        <v>6.8142308317356566</v>
      </c>
      <c r="O19" s="89">
        <f>N19/N16-1</f>
        <v>-0.1426604038686633</v>
      </c>
      <c r="P19" s="129" t="s">
        <v>114</v>
      </c>
      <c r="Q19" s="116">
        <f>태양광모듈!Q19+태양광셀!Q19</f>
        <v>122324034</v>
      </c>
      <c r="R19" s="116"/>
      <c r="S19" s="116">
        <f>태양광모듈!S19+태양광셀!S19</f>
        <v>18055459.5</v>
      </c>
      <c r="T19" s="130">
        <f t="shared" si="2"/>
        <v>6.7749056178825029</v>
      </c>
      <c r="U19" s="85">
        <f>Q17+Q18+Q19</f>
        <v>407597444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4590392.9000000004</v>
      </c>
      <c r="G20" s="90">
        <f t="shared" si="1"/>
        <v>-0.17441699314788772</v>
      </c>
      <c r="H20" s="90">
        <f t="shared" si="3"/>
        <v>0.37716162439218071</v>
      </c>
      <c r="I20" s="130">
        <f t="shared" si="0"/>
        <v>6.3889581185214093</v>
      </c>
      <c r="J20" s="130">
        <f t="shared" si="4"/>
        <v>0.32381241621436629</v>
      </c>
      <c r="K20" s="79"/>
      <c r="L20" s="87"/>
      <c r="M20" s="87"/>
      <c r="N20" s="79"/>
      <c r="O20" s="89"/>
      <c r="P20" s="129" t="s">
        <v>131</v>
      </c>
      <c r="Q20" s="116">
        <f>태양광모듈!Q20+태양광셀!Q20</f>
        <v>91807858</v>
      </c>
      <c r="R20" s="116"/>
      <c r="S20" s="116">
        <f>태양광모듈!S20+태양광셀!S20</f>
        <v>14369769.890000001</v>
      </c>
      <c r="T20" s="130">
        <f t="shared" si="2"/>
        <v>6.3889581185214093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4875616.8571428573</v>
      </c>
      <c r="G21" s="90">
        <f t="shared" si="1"/>
        <v>6.21349769739441E-2</v>
      </c>
      <c r="H21" s="90">
        <f t="shared" si="3"/>
        <v>0.64382905416016833</v>
      </c>
      <c r="I21" s="130">
        <f t="shared" si="0"/>
        <v>6.4837072550754336</v>
      </c>
      <c r="J21" s="130">
        <f t="shared" si="4"/>
        <v>0.23907801239823279</v>
      </c>
      <c r="K21" s="79"/>
      <c r="L21" s="87"/>
      <c r="M21" s="87"/>
      <c r="N21" s="79"/>
      <c r="O21" s="89"/>
      <c r="P21" s="129" t="s">
        <v>141</v>
      </c>
      <c r="Q21" s="116">
        <f>태양광모듈!Q21+태양광셀!Q21</f>
        <v>102387954</v>
      </c>
      <c r="R21" s="116"/>
      <c r="S21" s="116">
        <f>태양광모듈!S21+태양광셀!S21</f>
        <v>15791575.710000001</v>
      </c>
      <c r="T21" s="130">
        <f t="shared" si="2"/>
        <v>6.4837072550754336</v>
      </c>
      <c r="U21" s="78"/>
    </row>
    <row r="22" spans="1:21" hidden="1">
      <c r="A22" s="129" t="s">
        <v>155</v>
      </c>
      <c r="B22" s="131">
        <f>SUM(F20:F22)</f>
        <v>14454731.947619047</v>
      </c>
      <c r="C22" s="131">
        <f>AVERAGE(F20:F22)</f>
        <v>4818243.9825396826</v>
      </c>
      <c r="D22" s="90">
        <f>C22/C19-1</f>
        <v>-0.27084147981266637</v>
      </c>
      <c r="E22" s="286">
        <f>C22/C10-1</f>
        <v>0.19889482837525274</v>
      </c>
      <c r="F22" s="78">
        <f>Q22/21</f>
        <v>4988722.1904761903</v>
      </c>
      <c r="G22" s="90">
        <f t="shared" si="1"/>
        <v>2.3198158642763644E-2</v>
      </c>
      <c r="H22" s="90">
        <f t="shared" si="3"/>
        <v>-0.13352246829260339</v>
      </c>
      <c r="I22" s="130">
        <f t="shared" si="0"/>
        <v>6.3093007604313902</v>
      </c>
      <c r="J22" s="130">
        <f t="shared" si="4"/>
        <v>-0.10891584370671914</v>
      </c>
      <c r="K22" s="78">
        <f>R20+R21+R22</f>
        <v>0</v>
      </c>
      <c r="L22" s="87">
        <f>U22/U19-1</f>
        <v>-0.26653372733122438</v>
      </c>
      <c r="M22" s="87">
        <f>U22/U10-1</f>
        <v>0.18076466954242987</v>
      </c>
      <c r="N22" s="88">
        <f>AVERAGE(T20:T22)</f>
        <v>6.393988711342744</v>
      </c>
      <c r="O22" s="89">
        <f>N22/N19-1</f>
        <v>-6.1671248123226885E-2</v>
      </c>
      <c r="P22" s="129" t="s">
        <v>155</v>
      </c>
      <c r="Q22" s="116">
        <f>태양광모듈!Q22+태양광셀!Q22</f>
        <v>104763166</v>
      </c>
      <c r="R22" s="116"/>
      <c r="S22" s="116">
        <f>태양광모듈!S22+태양광셀!S22</f>
        <v>16604560.470000001</v>
      </c>
      <c r="T22" s="130">
        <f t="shared" si="2"/>
        <v>6.3093007604313902</v>
      </c>
      <c r="U22" s="85">
        <f>Q20+Q21+Q22</f>
        <v>298958978</v>
      </c>
    </row>
    <row r="23" spans="1:21" hidden="1">
      <c r="A23" s="129" t="s">
        <v>189</v>
      </c>
      <c r="B23" s="131"/>
      <c r="C23" s="131"/>
      <c r="D23" s="117"/>
      <c r="F23" s="78">
        <f>Q23/21</f>
        <v>5594991.8095238097</v>
      </c>
      <c r="G23" s="90">
        <f t="shared" si="1"/>
        <v>0.12152803782199562</v>
      </c>
      <c r="H23" s="90">
        <f t="shared" si="3"/>
        <v>-0.27896368516563375</v>
      </c>
      <c r="I23" s="130">
        <f t="shared" si="0"/>
        <v>6.3363572757144091</v>
      </c>
      <c r="J23" s="130">
        <f t="shared" si="4"/>
        <v>-0.17631076675443769</v>
      </c>
      <c r="K23" s="79"/>
      <c r="L23" s="87"/>
      <c r="M23" s="87"/>
      <c r="N23" s="79"/>
      <c r="O23" s="89"/>
      <c r="P23" s="129" t="s">
        <v>189</v>
      </c>
      <c r="Q23" s="116">
        <f>태양광모듈!Q23+태양광셀!Q23</f>
        <v>117494828</v>
      </c>
      <c r="R23" s="116"/>
      <c r="S23" s="116">
        <f>태양광모듈!S23+태양광셀!S23</f>
        <v>18542961.34</v>
      </c>
      <c r="T23" s="130">
        <f t="shared" si="2"/>
        <v>6.3363572757144091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4316200.2727272725</v>
      </c>
      <c r="G24" s="90">
        <f t="shared" si="1"/>
        <v>-0.22856003732119412</v>
      </c>
      <c r="H24" s="90">
        <f t="shared" si="3"/>
        <v>-0.44913487203436797</v>
      </c>
      <c r="I24" s="130">
        <f t="shared" si="0"/>
        <v>5.9890901453027876</v>
      </c>
      <c r="J24" s="130">
        <f t="shared" si="4"/>
        <v>-0.242942355113413</v>
      </c>
      <c r="K24" s="79"/>
      <c r="L24" s="87"/>
      <c r="M24" s="87"/>
      <c r="N24" s="79"/>
      <c r="O24" s="89"/>
      <c r="P24" s="129" t="s">
        <v>204</v>
      </c>
      <c r="Q24" s="116">
        <f>태양광모듈!Q24+태양광셀!Q24</f>
        <v>94956406</v>
      </c>
      <c r="R24" s="116"/>
      <c r="S24" s="116">
        <f>태양광모듈!S24+태양광셀!S24</f>
        <v>15854896.77</v>
      </c>
      <c r="T24" s="130">
        <f t="shared" si="2"/>
        <v>5.9890901453027876</v>
      </c>
      <c r="U24" s="78"/>
    </row>
    <row r="25" spans="1:21" s="92" customFormat="1" ht="13.2" hidden="1">
      <c r="A25" s="129" t="s">
        <v>219</v>
      </c>
      <c r="B25" s="131">
        <f>SUM(F23:F25)</f>
        <v>13322040.345408978</v>
      </c>
      <c r="C25" s="131">
        <f>AVERAGE(F23:F25)</f>
        <v>4440680.1151363263</v>
      </c>
      <c r="D25" s="90">
        <f>C25/C22-1</f>
        <v>-7.8361301082213619E-2</v>
      </c>
      <c r="E25" s="286">
        <f>C25/C13-1</f>
        <v>-0.44896856143727859</v>
      </c>
      <c r="F25" s="78">
        <f>Q25/19</f>
        <v>3410848.2631578948</v>
      </c>
      <c r="G25" s="90">
        <f t="shared" si="1"/>
        <v>-0.20975671942055507</v>
      </c>
      <c r="H25" s="90">
        <f t="shared" si="3"/>
        <v>-0.60253873993280349</v>
      </c>
      <c r="I25" s="130">
        <f t="shared" si="0"/>
        <v>4.8398752682616415</v>
      </c>
      <c r="J25" s="130">
        <f t="shared" si="4"/>
        <v>-0.39070761134064325</v>
      </c>
      <c r="K25" s="78">
        <f>R23+R24+R25</f>
        <v>0</v>
      </c>
      <c r="L25" s="90">
        <f>U25/U22-1</f>
        <v>-7.2590651550862639E-2</v>
      </c>
      <c r="M25" s="90">
        <f>U25/U13-1</f>
        <v>-0.45309959760598861</v>
      </c>
      <c r="N25" s="88">
        <f>AVERAGE(T23:T25)</f>
        <v>5.721774229759613</v>
      </c>
      <c r="O25" s="91">
        <f>N25/N22-1</f>
        <v>-0.1051322596786326</v>
      </c>
      <c r="P25" s="129" t="s">
        <v>219</v>
      </c>
      <c r="Q25" s="116">
        <f>태양광모듈!Q25+태양광셀!Q25</f>
        <v>64806117</v>
      </c>
      <c r="R25" s="116"/>
      <c r="S25" s="116">
        <f>태양광모듈!S25+태양광셀!S25</f>
        <v>13390038.67</v>
      </c>
      <c r="T25" s="130">
        <f t="shared" si="2"/>
        <v>4.8398752682616415</v>
      </c>
      <c r="U25" s="85">
        <f>Q23+Q24+Q25</f>
        <v>277257351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3091779.0526315789</v>
      </c>
      <c r="G26" s="90">
        <f t="shared" si="1"/>
        <v>-9.3545413313375958E-2</v>
      </c>
      <c r="H26" s="90">
        <f t="shared" si="3"/>
        <v>-0.65989982458106577</v>
      </c>
      <c r="I26" s="130">
        <f t="shared" si="0"/>
        <v>7.3591628048668651</v>
      </c>
      <c r="J26" s="130">
        <f t="shared" si="4"/>
        <v>-8.2598278862447083E-2</v>
      </c>
      <c r="K26" s="79"/>
      <c r="L26" s="90"/>
      <c r="M26" s="90"/>
      <c r="N26" s="79"/>
      <c r="O26" s="79"/>
      <c r="P26" s="129" t="s">
        <v>312</v>
      </c>
      <c r="Q26" s="116">
        <f>태양광모듈!Q26+태양광셀!Q26</f>
        <v>58743802</v>
      </c>
      <c r="R26" s="116"/>
      <c r="S26" s="116">
        <f>태양광모듈!S26+태양광셀!S26</f>
        <v>7982402.8300000001</v>
      </c>
      <c r="T26" s="130">
        <f t="shared" si="2"/>
        <v>7.3591628048668651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2838461.6818181816</v>
      </c>
      <c r="G27" s="90">
        <f t="shared" si="1"/>
        <v>-8.1932559378001257E-2</v>
      </c>
      <c r="H27" s="90">
        <f t="shared" si="3"/>
        <v>-0.684775442264556</v>
      </c>
      <c r="I27" s="130">
        <f t="shared" si="0"/>
        <v>5.539339549255744</v>
      </c>
      <c r="J27" s="130">
        <f t="shared" si="4"/>
        <v>-0.30343462811172217</v>
      </c>
      <c r="K27" s="79"/>
      <c r="L27" s="90"/>
      <c r="M27" s="90"/>
      <c r="N27" s="79"/>
      <c r="O27" s="79"/>
      <c r="P27" s="129" t="s">
        <v>373</v>
      </c>
      <c r="Q27" s="116">
        <f>태양광모듈!Q27+태양광셀!Q27</f>
        <v>62446157</v>
      </c>
      <c r="R27" s="116"/>
      <c r="S27" s="116">
        <f>태양광모듈!S27+태양광셀!S27</f>
        <v>11273213.43</v>
      </c>
      <c r="T27" s="130">
        <f t="shared" si="2"/>
        <v>5.539339549255744</v>
      </c>
      <c r="U27" s="78"/>
    </row>
    <row r="28" spans="1:21" s="92" customFormat="1" ht="13.2" hidden="1">
      <c r="A28" s="123" t="s">
        <v>413</v>
      </c>
      <c r="B28" s="131">
        <f>SUM(F26:F28)</f>
        <v>8781728.6818181816</v>
      </c>
      <c r="C28" s="131">
        <f>AVERAGE(F26:F28)</f>
        <v>2927242.893939394</v>
      </c>
      <c r="D28" s="90">
        <f>C28/C25-1</f>
        <v>-0.34081203373291624</v>
      </c>
      <c r="E28" s="286">
        <f>C28/C16-1</f>
        <v>-0.68483448665693292</v>
      </c>
      <c r="F28" s="78">
        <f>Q28/19</f>
        <v>2851487.9473684211</v>
      </c>
      <c r="G28" s="90">
        <f t="shared" si="1"/>
        <v>4.589199013564027E-3</v>
      </c>
      <c r="H28" s="90">
        <f t="shared" si="3"/>
        <v>-0.70809367195560413</v>
      </c>
      <c r="I28" s="130">
        <f t="shared" si="0"/>
        <v>5.8974332333439037</v>
      </c>
      <c r="J28" s="130">
        <f t="shared" si="4"/>
        <v>-0.25066555838713778</v>
      </c>
      <c r="K28" s="78">
        <f>R26+R27+R28</f>
        <v>0</v>
      </c>
      <c r="L28" s="90">
        <f>U28/U25-1</f>
        <v>-0.36748934025558078</v>
      </c>
      <c r="M28" s="90">
        <f>U28/U16-1</f>
        <v>-0.70517597670799126</v>
      </c>
      <c r="N28" s="88">
        <f>AVERAGE(T26:T28)</f>
        <v>6.2653118624888373</v>
      </c>
      <c r="O28" s="91">
        <f>N28/N25-1</f>
        <v>9.4994596239436069E-2</v>
      </c>
      <c r="P28" s="129" t="s">
        <v>413</v>
      </c>
      <c r="Q28" s="116">
        <f>태양광모듈!Q28+태양광셀!Q28</f>
        <v>54178271</v>
      </c>
      <c r="R28" s="116"/>
      <c r="S28" s="116">
        <f>태양광모듈!S28+태양광셀!S28</f>
        <v>9186754.4500000011</v>
      </c>
      <c r="T28" s="130">
        <f t="shared" si="2"/>
        <v>5.8974332333439037</v>
      </c>
      <c r="U28" s="85">
        <f>Q26+Q27+Q28</f>
        <v>175368230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3449928.7727272729</v>
      </c>
      <c r="G29" s="190">
        <f t="shared" si="1"/>
        <v>0.20986966678612129</v>
      </c>
      <c r="H29" s="190">
        <f t="shared" si="3"/>
        <v>-0.53225703780221112</v>
      </c>
      <c r="I29" s="130">
        <f t="shared" si="0"/>
        <v>9.5884287767468237</v>
      </c>
      <c r="J29" s="130">
        <f t="shared" si="4"/>
        <v>0.38721944736003744</v>
      </c>
      <c r="K29" s="136"/>
      <c r="L29" s="190"/>
      <c r="M29" s="190"/>
      <c r="N29" s="191"/>
      <c r="O29" s="192"/>
      <c r="P29" s="129" t="s">
        <v>426</v>
      </c>
      <c r="Q29" s="116">
        <f>태양광모듈!Q29+태양광셀!Q29</f>
        <v>75898433</v>
      </c>
      <c r="R29" s="116">
        <f>태양광모듈!R29+태양광셀!R29</f>
        <v>99776014655</v>
      </c>
      <c r="S29" s="116">
        <f>태양광모듈!S29+태양광셀!S29</f>
        <v>7915627.7599999998</v>
      </c>
      <c r="T29" s="130">
        <f t="shared" si="2"/>
        <v>9.5884287767468237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3227284.8947368423</v>
      </c>
      <c r="G30" s="190">
        <f t="shared" si="1"/>
        <v>-6.4535789767747542E-2</v>
      </c>
      <c r="H30" s="190">
        <f t="shared" si="3"/>
        <v>-0.53146113269676587</v>
      </c>
      <c r="I30" s="130">
        <f t="shared" si="0"/>
        <v>27.383285215595141</v>
      </c>
      <c r="J30" s="130">
        <f t="shared" si="4"/>
        <v>3.0532941736800883</v>
      </c>
      <c r="K30" s="136"/>
      <c r="L30" s="190"/>
      <c r="M30" s="190"/>
      <c r="N30" s="191"/>
      <c r="O30" s="192"/>
      <c r="P30" s="129" t="s">
        <v>466</v>
      </c>
      <c r="Q30" s="116">
        <f>태양광모듈!Q30+태양광셀!Q30</f>
        <v>61318413</v>
      </c>
      <c r="R30" s="116">
        <f>태양광모듈!R30+태양광셀!R30</f>
        <v>81711503147</v>
      </c>
      <c r="S30" s="116">
        <f>태양광모듈!S30+태양광셀!S30</f>
        <v>2239264.2999999998</v>
      </c>
      <c r="T30" s="130">
        <f t="shared" si="2"/>
        <v>27.383285215595141</v>
      </c>
      <c r="U30" s="85"/>
    </row>
    <row r="31" spans="1:21" s="92" customFormat="1" ht="13.2" hidden="1">
      <c r="A31" s="129" t="s">
        <v>505</v>
      </c>
      <c r="B31" s="188">
        <f>SUM(F29:F31)</f>
        <v>9118024.7174641155</v>
      </c>
      <c r="C31" s="188">
        <f>AVERAGE(F29:F31)</f>
        <v>3039341.5724880383</v>
      </c>
      <c r="D31" s="190">
        <f>C31/C28-1</f>
        <v>3.8294969912040733E-2</v>
      </c>
      <c r="E31" s="287">
        <f>C31/C19-1</f>
        <v>-0.54004782419276975</v>
      </c>
      <c r="F31" s="136">
        <f>Q31/20</f>
        <v>2440811.0499999998</v>
      </c>
      <c r="G31" s="190">
        <f t="shared" si="1"/>
        <v>-0.24369520212468654</v>
      </c>
      <c r="H31" s="190">
        <f t="shared" si="3"/>
        <v>-0.561019683997668</v>
      </c>
      <c r="I31" s="130">
        <f t="shared" si="0"/>
        <v>15.105450565939561</v>
      </c>
      <c r="J31" s="130">
        <f t="shared" si="4"/>
        <v>1.2296178600729748</v>
      </c>
      <c r="K31" s="136">
        <f>R29+R30+R31</f>
        <v>246399700798</v>
      </c>
      <c r="L31" s="190">
        <f>U31/U28-1</f>
        <v>6.0813962711490088E-2</v>
      </c>
      <c r="M31" s="190">
        <f>U31/U19-1</f>
        <v>-0.54358627675790827</v>
      </c>
      <c r="N31" s="191">
        <f>AVERAGE(T29:T31)</f>
        <v>17.359054852760508</v>
      </c>
      <c r="O31" s="192">
        <f>N31/N28-1</f>
        <v>1.7706609397516542</v>
      </c>
      <c r="P31" s="129" t="s">
        <v>505</v>
      </c>
      <c r="Q31" s="116">
        <f>태양광모듈!Q31+태양광셀!Q31</f>
        <v>48816221</v>
      </c>
      <c r="R31" s="116">
        <f>태양광모듈!R31+태양광셀!R31</f>
        <v>64912182996</v>
      </c>
      <c r="S31" s="116">
        <f>태양광모듈!S31+태양광셀!S31</f>
        <v>3231695.79</v>
      </c>
      <c r="T31" s="130">
        <f t="shared" si="2"/>
        <v>15.105450565939561</v>
      </c>
      <c r="U31" s="85">
        <f>Q29+Q30+Q31</f>
        <v>186033067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2701982.6190476189</v>
      </c>
      <c r="G32" s="190">
        <f t="shared" si="1"/>
        <v>0.10700196110945126</v>
      </c>
      <c r="H32" s="190">
        <f t="shared" si="3"/>
        <v>-0.41138314782431395</v>
      </c>
      <c r="I32" s="130">
        <f t="shared" si="0"/>
        <v>51.619473841507343</v>
      </c>
      <c r="J32" s="130">
        <f t="shared" si="4"/>
        <v>7.079482269865558</v>
      </c>
      <c r="K32" s="136"/>
      <c r="L32" s="190"/>
      <c r="M32" s="190"/>
      <c r="N32" s="191"/>
      <c r="O32" s="192"/>
      <c r="P32" s="129" t="s">
        <v>561</v>
      </c>
      <c r="Q32" s="116">
        <f>태양광모듈!Q32+태양광셀!Q32</f>
        <v>56741635</v>
      </c>
      <c r="R32" s="116">
        <f>태양광모듈!R32+태양광셀!R32</f>
        <v>77085187855</v>
      </c>
      <c r="S32" s="116">
        <f>태양광모듈!S32+태양광셀!S32</f>
        <v>1099229.24</v>
      </c>
      <c r="T32" s="130">
        <f t="shared" si="2"/>
        <v>51.619473841507343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2285674.8571428573</v>
      </c>
      <c r="G33" s="190">
        <f t="shared" si="1"/>
        <v>-0.15407492223303043</v>
      </c>
      <c r="H33" s="190">
        <f t="shared" si="3"/>
        <v>-0.53120293818938902</v>
      </c>
      <c r="I33" s="130">
        <f t="shared" si="0"/>
        <v>45.619361373428021</v>
      </c>
      <c r="J33" s="130">
        <f t="shared" si="4"/>
        <v>6.0359995568457032</v>
      </c>
      <c r="K33" s="136"/>
      <c r="L33" s="190"/>
      <c r="M33" s="190"/>
      <c r="N33" s="191"/>
      <c r="O33" s="192"/>
      <c r="P33" s="129" t="s">
        <v>607</v>
      </c>
      <c r="Q33" s="116">
        <f>태양광모듈!Q33+태양광셀!Q33</f>
        <v>47999172</v>
      </c>
      <c r="R33" s="116">
        <f>태양광모듈!R33+태양광셀!R33</f>
        <v>65752764181</v>
      </c>
      <c r="S33" s="116">
        <f>태양광모듈!S33+태양광셀!S33</f>
        <v>1052166.68</v>
      </c>
      <c r="T33" s="130">
        <f t="shared" si="2"/>
        <v>45.619361373428021</v>
      </c>
      <c r="U33" s="85"/>
    </row>
    <row r="34" spans="1:21" s="92" customFormat="1" ht="13.2" hidden="1">
      <c r="A34" s="129" t="s">
        <v>652</v>
      </c>
      <c r="B34" s="188">
        <f>SUM(F32:F34)</f>
        <v>8403677.6340852119</v>
      </c>
      <c r="C34" s="188">
        <f>AVERAGE(F32:F34)</f>
        <v>2801225.878028404</v>
      </c>
      <c r="D34" s="190">
        <f>C34/C31-1</f>
        <v>-7.8344499550509594E-2</v>
      </c>
      <c r="E34" s="287">
        <f>C34/C22-1</f>
        <v>-0.41862099798609909</v>
      </c>
      <c r="F34" s="136">
        <f>Q34/19</f>
        <v>3416020.1578947366</v>
      </c>
      <c r="G34" s="190">
        <f t="shared" ref="G34" si="5">F34/F33-1</f>
        <v>0.49453459980079373</v>
      </c>
      <c r="H34" s="190">
        <f t="shared" ref="H34" si="6">F34/F22-1</f>
        <v>-0.31525147573537948</v>
      </c>
      <c r="I34" s="130">
        <f t="shared" si="0"/>
        <v>21.32652306789582</v>
      </c>
      <c r="J34" s="130">
        <f t="shared" si="4"/>
        <v>2.3801722057132757</v>
      </c>
      <c r="K34" s="136">
        <f>R32+R33+R34</f>
        <v>231985289534</v>
      </c>
      <c r="L34" s="190">
        <f>U34/U31-1</f>
        <v>-8.8091204774901621E-2</v>
      </c>
      <c r="M34" s="190">
        <f>U34/U22-1</f>
        <v>-0.43254692956570118</v>
      </c>
      <c r="N34" s="191">
        <f>AVERAGE(T32:T34)</f>
        <v>39.521786094277061</v>
      </c>
      <c r="O34" s="192">
        <f>N34/N31-1</f>
        <v>1.2767245353794214</v>
      </c>
      <c r="P34" s="129" t="s">
        <v>652</v>
      </c>
      <c r="Q34" s="116">
        <f>태양광모듈!Q34+태양광셀!Q34</f>
        <v>64904383</v>
      </c>
      <c r="R34" s="116">
        <f>태양광모듈!R34+태양광셀!R34</f>
        <v>89147337498</v>
      </c>
      <c r="S34" s="116">
        <f>태양광모듈!S34+태양광셀!S34</f>
        <v>3043364.49</v>
      </c>
      <c r="T34" s="130">
        <f t="shared" ref="T34" si="7">Q34/S34</f>
        <v>21.32652306789582</v>
      </c>
      <c r="U34" s="85">
        <f>Q32+Q33+Q34</f>
        <v>169645190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2876737</v>
      </c>
      <c r="G35" s="190">
        <f t="shared" ref="G35" si="8">F35/F34-1</f>
        <v>-0.15786884531357448</v>
      </c>
      <c r="H35" s="190">
        <f t="shared" ref="H35" si="9">F35/F23-1</f>
        <v>-0.48583713829514263</v>
      </c>
      <c r="I35" s="130">
        <f t="shared" si="0"/>
        <v>9.7068965321715659</v>
      </c>
      <c r="J35" s="130">
        <f t="shared" si="4"/>
        <v>0.53193642810760489</v>
      </c>
      <c r="K35" s="136"/>
      <c r="L35" s="190"/>
      <c r="M35" s="190"/>
      <c r="N35" s="191"/>
      <c r="O35" s="192"/>
      <c r="P35" s="129" t="s">
        <v>660</v>
      </c>
      <c r="Q35" s="116">
        <f>태양광모듈!Q35+태양광셀!Q35</f>
        <v>66164951</v>
      </c>
      <c r="R35" s="116">
        <f>태양광모듈!R35+태양광셀!R35</f>
        <v>91504488277</v>
      </c>
      <c r="S35" s="116">
        <f>태양광모듈!S35+태양광셀!S35</f>
        <v>6816282.71</v>
      </c>
      <c r="T35" s="130">
        <f t="shared" ref="T35" si="10">Q35/S35</f>
        <v>9.7068965321715659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2703569.9047619049</v>
      </c>
      <c r="G36" s="190">
        <f t="shared" ref="G36" si="11">F36/F35-1</f>
        <v>-6.019566447613911E-2</v>
      </c>
      <c r="H36" s="190">
        <f t="shared" ref="H36" si="12">F36/F24-1</f>
        <v>-0.37362269266212633</v>
      </c>
      <c r="I36" s="130">
        <f t="shared" si="0"/>
        <v>19.740092632283993</v>
      </c>
      <c r="J36" s="130">
        <f t="shared" si="4"/>
        <v>2.2960086012006422</v>
      </c>
      <c r="K36" s="136"/>
      <c r="L36" s="190"/>
      <c r="M36" s="190"/>
      <c r="N36" s="191"/>
      <c r="O36" s="192"/>
      <c r="P36" s="129" t="s">
        <v>666</v>
      </c>
      <c r="Q36" s="116">
        <f>태양광모듈!Q36+태양광셀!Q36</f>
        <v>56774968</v>
      </c>
      <c r="R36" s="116">
        <f>태양광모듈!R36+태양광셀!R36</f>
        <v>77788743727</v>
      </c>
      <c r="S36" s="116">
        <f>태양광모듈!S36+태양광셀!S36</f>
        <v>2876124.6999999997</v>
      </c>
      <c r="T36" s="130">
        <f t="shared" ref="T36" si="13">Q36/S36</f>
        <v>19.740092632283993</v>
      </c>
      <c r="U36" s="85"/>
    </row>
    <row r="37" spans="1:21" s="92" customFormat="1" ht="13.2" hidden="1">
      <c r="A37" s="129" t="s">
        <v>702</v>
      </c>
      <c r="B37" s="188">
        <f>SUM(F35:F37)</f>
        <v>8656021.7380952388</v>
      </c>
      <c r="C37" s="188">
        <f>AVERAGE(F35:F37)</f>
        <v>2885340.5793650798</v>
      </c>
      <c r="D37" s="190">
        <f>C37/C34-1</f>
        <v>3.0027818176475929E-2</v>
      </c>
      <c r="E37" s="287">
        <f>C37/C25-1</f>
        <v>-0.35024804657056419</v>
      </c>
      <c r="F37" s="136">
        <f>Q37/18</f>
        <v>3075714.8333333335</v>
      </c>
      <c r="G37" s="190">
        <f t="shared" ref="G37" si="14">F37/F36-1</f>
        <v>0.13764945671127471</v>
      </c>
      <c r="H37" s="190">
        <f t="shared" ref="H37" si="15">F37/F25-1</f>
        <v>-9.8255156479544414E-2</v>
      </c>
      <c r="I37" s="130">
        <f t="shared" si="0"/>
        <v>33.051582586147148</v>
      </c>
      <c r="J37" s="130">
        <f t="shared" si="4"/>
        <v>5.8290153679969574</v>
      </c>
      <c r="K37" s="136">
        <f>R35+R36+R37</f>
        <v>243259074839</v>
      </c>
      <c r="L37" s="190">
        <f>U37/U34-1</f>
        <v>5.1033548313394572E-2</v>
      </c>
      <c r="M37" s="190">
        <f>U37/U25-1</f>
        <v>-0.3569051087125189</v>
      </c>
      <c r="N37" s="191">
        <f>AVERAGE(T35:T37)</f>
        <v>20.832857250200902</v>
      </c>
      <c r="O37" s="192">
        <f>N37/N34-1</f>
        <v>-0.47287662555266963</v>
      </c>
      <c r="P37" s="129" t="s">
        <v>702</v>
      </c>
      <c r="Q37" s="116">
        <f>태양광모듈!Q37+태양광셀!Q37</f>
        <v>55362867</v>
      </c>
      <c r="R37" s="116">
        <f>태양광모듈!R37+태양광셀!R37</f>
        <v>73965842835</v>
      </c>
      <c r="S37" s="116">
        <f>태양광모듈!S37+태양광셀!S37</f>
        <v>1675044.36</v>
      </c>
      <c r="T37" s="130">
        <f t="shared" ref="T37" si="16">Q37/S37</f>
        <v>33.051582586147148</v>
      </c>
      <c r="U37" s="85">
        <f>Q35+Q36+Q37</f>
        <v>178302786</v>
      </c>
    </row>
    <row r="38" spans="1:21" s="92" customFormat="1" ht="13.2" hidden="1">
      <c r="A38" s="129" t="s">
        <v>726</v>
      </c>
      <c r="B38" s="188"/>
      <c r="C38" s="188"/>
      <c r="D38" s="190"/>
      <c r="E38" s="287"/>
      <c r="F38" s="136">
        <f>Q38/20</f>
        <v>3223504.55</v>
      </c>
      <c r="G38" s="190">
        <f t="shared" ref="G38" si="17">F38/F37-1</f>
        <v>4.8050526357314549E-2</v>
      </c>
      <c r="H38" s="190">
        <f t="shared" ref="H38" si="18">F38/F26-1</f>
        <v>4.2605081128388678E-2</v>
      </c>
      <c r="I38" s="130">
        <f t="shared" si="0"/>
        <v>33.032674761855219</v>
      </c>
      <c r="J38" s="130">
        <f t="shared" si="4"/>
        <v>3.4886457383453431</v>
      </c>
      <c r="K38" s="136"/>
      <c r="L38" s="190"/>
      <c r="M38" s="190"/>
      <c r="N38" s="191"/>
      <c r="O38" s="192"/>
      <c r="P38" s="129" t="s">
        <v>726</v>
      </c>
      <c r="Q38" s="116">
        <f>태양광모듈!Q38+태양광셀!Q38</f>
        <v>64470091</v>
      </c>
      <c r="R38" s="116">
        <f>태양광모듈!R38+태양광셀!R38</f>
        <v>87114827994</v>
      </c>
      <c r="S38" s="116">
        <f>태양광모듈!S38+태양광셀!S38</f>
        <v>1951706.65</v>
      </c>
      <c r="T38" s="130">
        <f t="shared" ref="T38" si="19">Q38/S38</f>
        <v>33.032674761855219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1773652.8095238095</v>
      </c>
      <c r="G39" s="190">
        <f t="shared" ref="G39" si="20">F39/F38-1</f>
        <v>-0.44977499426088619</v>
      </c>
      <c r="H39" s="190">
        <f t="shared" ref="H39" si="21">F39/F27-1</f>
        <v>-0.37513589812222059</v>
      </c>
      <c r="I39" s="130">
        <f t="shared" si="0"/>
        <v>36.094507355111595</v>
      </c>
      <c r="J39" s="130">
        <f t="shared" si="4"/>
        <v>5.5160308434172789</v>
      </c>
      <c r="K39" s="136"/>
      <c r="L39" s="190"/>
      <c r="M39" s="190"/>
      <c r="N39" s="191"/>
      <c r="O39" s="192"/>
      <c r="P39" s="129" t="s">
        <v>762</v>
      </c>
      <c r="Q39" s="116">
        <f>태양광모듈!Q39+태양광셀!Q39</f>
        <v>37246709</v>
      </c>
      <c r="R39" s="116">
        <f>태양광모듈!R39+태양광셀!R39</f>
        <v>51763482778</v>
      </c>
      <c r="S39" s="116">
        <f>태양광모듈!S39+태양광셀!S39</f>
        <v>1031921.8</v>
      </c>
      <c r="T39" s="130">
        <f t="shared" ref="T39" si="22">Q39/S39</f>
        <v>36.094507355111595</v>
      </c>
      <c r="U39" s="85"/>
    </row>
    <row r="40" spans="1:21" s="92" customFormat="1" ht="13.2" hidden="1">
      <c r="A40" s="129" t="s">
        <v>777</v>
      </c>
      <c r="B40" s="188">
        <f>SUM(F38:F40)</f>
        <v>7207588.8357142862</v>
      </c>
      <c r="C40" s="188">
        <f>AVERAGE(F38:F40)</f>
        <v>2402529.6119047622</v>
      </c>
      <c r="D40" s="190">
        <f>C40/C37-1</f>
        <v>-0.1673324012122549</v>
      </c>
      <c r="E40" s="287">
        <f>C40/C28-1</f>
        <v>-0.179251705801731</v>
      </c>
      <c r="F40" s="136">
        <f>Q40/21</f>
        <v>2210431.4761904762</v>
      </c>
      <c r="G40" s="190">
        <f t="shared" ref="G40" si="23">F40/F39-1</f>
        <v>0.24625939435347166</v>
      </c>
      <c r="H40" s="190">
        <f t="shared" ref="H40" si="24">F40/F28-1</f>
        <v>-0.22481472235208377</v>
      </c>
      <c r="I40" s="130">
        <f t="shared" si="0"/>
        <v>40.519641835433397</v>
      </c>
      <c r="J40" s="130">
        <f t="shared" si="4"/>
        <v>5.8707249802060675</v>
      </c>
      <c r="K40" s="136">
        <f>R38+R39+R40</f>
        <v>204604204939</v>
      </c>
      <c r="L40" s="190">
        <f>U40/U37-1</f>
        <v>-0.16918930812443955</v>
      </c>
      <c r="M40" s="190">
        <f>U40/U28-1</f>
        <v>-0.15528678712216004</v>
      </c>
      <c r="N40" s="191">
        <f>AVERAGE(T38:T40)</f>
        <v>36.548941317466735</v>
      </c>
      <c r="O40" s="192">
        <f>N40/N37-1</f>
        <v>0.75438927452518656</v>
      </c>
      <c r="P40" s="129" t="s">
        <v>779</v>
      </c>
      <c r="Q40" s="116">
        <f>태양광모듈!Q40+태양광셀!Q40</f>
        <v>46419061</v>
      </c>
      <c r="R40" s="116">
        <f>태양광모듈!R40+태양광셀!R40</f>
        <v>65725894167</v>
      </c>
      <c r="S40" s="116">
        <f>태양광모듈!S40+태양광셀!S40</f>
        <v>1145594.06</v>
      </c>
      <c r="T40" s="130">
        <f t="shared" ref="T40" si="25">Q40/S40</f>
        <v>40.519641835433397</v>
      </c>
      <c r="U40" s="85">
        <f>Q38+Q39+Q40</f>
        <v>148135861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2892524.1666666665</v>
      </c>
      <c r="G41" s="190">
        <f t="shared" ref="G41" si="26">F41/F40-1</f>
        <v>0.30857898008751183</v>
      </c>
      <c r="H41" s="190">
        <f t="shared" ref="H41" si="27">F41/F29-1</f>
        <v>-0.16156988818640483</v>
      </c>
      <c r="I41" s="130">
        <f t="shared" si="0"/>
        <v>33.509001456897302</v>
      </c>
      <c r="J41" s="130">
        <f t="shared" si="4"/>
        <v>2.4947333121106299</v>
      </c>
      <c r="K41" s="194"/>
      <c r="L41" s="202"/>
      <c r="M41" s="202"/>
      <c r="N41" s="194"/>
      <c r="O41" s="194"/>
      <c r="P41" s="129" t="s">
        <v>791</v>
      </c>
      <c r="Q41" s="116">
        <f>태양광모듈!Q41+태양광셀!Q41</f>
        <v>52065435</v>
      </c>
      <c r="R41" s="116">
        <f>태양광모듈!R41+태양광셀!R41</f>
        <v>76048683725</v>
      </c>
      <c r="S41" s="116">
        <f>태양광모듈!S41+태양광셀!S41</f>
        <v>1553774.5899999999</v>
      </c>
      <c r="T41" s="130">
        <f t="shared" ref="T41" si="28">Q41/S41</f>
        <v>33.509001456897302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2249216.15</v>
      </c>
      <c r="G42" s="190">
        <f t="shared" ref="G42" si="29">F42/F41-1</f>
        <v>-0.22240367913952896</v>
      </c>
      <c r="H42" s="190">
        <f t="shared" ref="H42" si="30">F42/F30-1</f>
        <v>-0.30306241210123952</v>
      </c>
      <c r="I42" s="130">
        <f t="shared" si="0"/>
        <v>57.519450587318424</v>
      </c>
      <c r="J42" s="130">
        <f t="shared" si="4"/>
        <v>1.1005314057263056</v>
      </c>
      <c r="K42" s="194"/>
      <c r="L42" s="202"/>
      <c r="M42" s="202"/>
      <c r="N42" s="194"/>
      <c r="O42" s="194"/>
      <c r="P42" s="129" t="s">
        <v>826</v>
      </c>
      <c r="Q42" s="116">
        <f>태양광모듈!Q42+태양광셀!Q42</f>
        <v>44984323</v>
      </c>
      <c r="R42" s="116">
        <f>태양광모듈!R42+태양광셀!R42</f>
        <v>64919196138</v>
      </c>
      <c r="S42" s="116">
        <f>태양광모듈!S42+태양광셀!S42</f>
        <v>782071.5</v>
      </c>
      <c r="T42" s="130">
        <f t="shared" ref="T42" si="31">Q42/S42</f>
        <v>57.519450587318424</v>
      </c>
      <c r="U42" s="175"/>
    </row>
    <row r="43" spans="1:21" s="92" customFormat="1" ht="13.2">
      <c r="A43" s="129" t="s">
        <v>835</v>
      </c>
      <c r="B43" s="188">
        <f>SUM(F41:F43)</f>
        <v>7602045.8166666664</v>
      </c>
      <c r="C43" s="188">
        <f>AVERAGE(F41:F43)</f>
        <v>2534015.2722222223</v>
      </c>
      <c r="D43" s="190">
        <f>C43/C40-1</f>
        <v>5.4728008206823331E-2</v>
      </c>
      <c r="E43" s="287">
        <f>C43/C31-1</f>
        <v>-0.16626176696953165</v>
      </c>
      <c r="F43" s="136">
        <f>Q43/20</f>
        <v>2460305.5</v>
      </c>
      <c r="G43" s="190">
        <f t="shared" ref="G43" si="32">F43/F42-1</f>
        <v>9.3850184207507237E-2</v>
      </c>
      <c r="H43" s="190">
        <f t="shared" ref="H43" si="33">F43/F31-1</f>
        <v>7.9868738712896015E-3</v>
      </c>
      <c r="I43" s="130">
        <f t="shared" si="0"/>
        <v>44.491427304329534</v>
      </c>
      <c r="J43" s="130">
        <f t="shared" si="4"/>
        <v>1.9453889581189174</v>
      </c>
      <c r="K43" s="136">
        <f>R41+R42+R43</f>
        <v>212154248245</v>
      </c>
      <c r="L43" s="190">
        <f>U43/U40-1</f>
        <v>-1.2691005319771964E-2</v>
      </c>
      <c r="M43" s="190">
        <f>K43/K31-1</f>
        <v>-0.13898333659534201</v>
      </c>
      <c r="N43" s="191">
        <f>AVERAGE(T41:T43)</f>
        <v>45.173293116181753</v>
      </c>
      <c r="O43" s="192">
        <f>N43/N40-1</f>
        <v>0.23596721239620266</v>
      </c>
      <c r="P43" s="129" t="s">
        <v>835</v>
      </c>
      <c r="Q43" s="116">
        <f>태양광모듈!Q43+태양광셀!Q43</f>
        <v>49206110</v>
      </c>
      <c r="R43" s="116">
        <f>태양광모듈!R43+태양광셀!R43</f>
        <v>71186368382</v>
      </c>
      <c r="S43" s="116">
        <f>태양광모듈!S43+태양광셀!S43</f>
        <v>1105968.3399999999</v>
      </c>
      <c r="T43" s="130">
        <f t="shared" ref="T43" si="34">Q43/S43</f>
        <v>44.491427304329534</v>
      </c>
      <c r="U43" s="85">
        <f>Q41+Q42+Q43</f>
        <v>146255868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2937851.6363636362</v>
      </c>
      <c r="G44" s="190">
        <f t="shared" ref="G44" si="35">F44/F43-1</f>
        <v>0.19410034093881268</v>
      </c>
      <c r="H44" s="190">
        <f t="shared" ref="H44" si="36">F44/F32-1</f>
        <v>8.7294794442147605E-2</v>
      </c>
      <c r="I44" s="130">
        <f t="shared" si="0"/>
        <v>24.127866710569087</v>
      </c>
      <c r="J44" s="130">
        <f t="shared" si="4"/>
        <v>-0.5325820874375552</v>
      </c>
      <c r="K44" s="136"/>
      <c r="L44" s="190"/>
      <c r="M44" s="190"/>
      <c r="N44" s="191"/>
      <c r="O44" s="192"/>
      <c r="P44" s="129" t="s">
        <v>839</v>
      </c>
      <c r="Q44" s="116">
        <f>태양광모듈!Q44+태양광셀!Q44</f>
        <v>64632736</v>
      </c>
      <c r="R44" s="116">
        <f>태양광모듈!R44+태양광셀!R44</f>
        <v>93644743748</v>
      </c>
      <c r="S44" s="116">
        <f>태양광모듈!S44+태양광셀!S44</f>
        <v>2678758.83</v>
      </c>
      <c r="T44" s="130">
        <f t="shared" ref="T44" si="37">Q44/S44</f>
        <v>24.127866710569087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2877703.9</v>
      </c>
      <c r="G45" s="190">
        <f t="shared" ref="G45" si="38">F45/F44-1</f>
        <v>-2.047337435939578E-2</v>
      </c>
      <c r="H45" s="190">
        <f t="shared" ref="H45" si="39">F45/F33-1</f>
        <v>0.25901717429625659</v>
      </c>
      <c r="I45" s="130">
        <f t="shared" si="0"/>
        <v>24.97575841523286</v>
      </c>
      <c r="J45" s="130">
        <f t="shared" si="4"/>
        <v>-0.4525184556884102</v>
      </c>
      <c r="K45" s="136"/>
      <c r="L45" s="190"/>
      <c r="M45" s="190"/>
      <c r="N45" s="191"/>
      <c r="O45" s="192"/>
      <c r="P45" s="129" t="s">
        <v>850</v>
      </c>
      <c r="Q45" s="116">
        <f>태양광모듈!Q45+태양광셀!Q45</f>
        <v>57554078</v>
      </c>
      <c r="R45" s="116">
        <f>태양광모듈!R45+태양광셀!R45</f>
        <v>81073365572</v>
      </c>
      <c r="S45" s="116">
        <f>태양광모듈!S45+태양광셀!S45</f>
        <v>2304397.6100000003</v>
      </c>
      <c r="T45" s="130">
        <f t="shared" ref="T45" si="40">Q45/S45</f>
        <v>24.97575841523286</v>
      </c>
      <c r="U45" s="85"/>
    </row>
    <row r="46" spans="1:21" s="92" customFormat="1" ht="13.2">
      <c r="A46" s="129" t="s">
        <v>924</v>
      </c>
      <c r="B46" s="188">
        <f>SUM(F44:F46)</f>
        <v>6240478.8521531094</v>
      </c>
      <c r="C46" s="188">
        <f>AVERAGE(F44:F46)</f>
        <v>2080159.6173843697</v>
      </c>
      <c r="D46" s="190">
        <f>C46/C43-1</f>
        <v>-0.17910533524126737</v>
      </c>
      <c r="E46" s="287">
        <f>C46/C34-1</f>
        <v>-0.25741096649854767</v>
      </c>
      <c r="F46" s="136">
        <f>Q46/19</f>
        <v>424923.31578947371</v>
      </c>
      <c r="G46" s="190">
        <f t="shared" ref="G46" si="41">F46/F45-1</f>
        <v>-0.85233945862551264</v>
      </c>
      <c r="H46" s="190">
        <f t="shared" ref="H46" si="42">F46/F34-1</f>
        <v>-0.87560866266920678</v>
      </c>
      <c r="I46" s="130">
        <f t="shared" si="0"/>
        <v>6.411782432270325</v>
      </c>
      <c r="J46" s="130">
        <f t="shared" si="4"/>
        <v>-0.69935172217911168</v>
      </c>
      <c r="K46" s="136">
        <f>R44+R45+R46</f>
        <v>185805347461</v>
      </c>
      <c r="L46" s="190">
        <f>U46/U43-1</f>
        <v>-0.10936662725901702</v>
      </c>
      <c r="M46" s="190">
        <f>K46/K34-1</f>
        <v>-0.19906409654579338</v>
      </c>
      <c r="N46" s="191">
        <f>AVERAGE(T44:T46)</f>
        <v>18.505135852690756</v>
      </c>
      <c r="O46" s="192">
        <f>N46/N43-1</f>
        <v>-0.59035229499215025</v>
      </c>
      <c r="P46" s="129" t="s">
        <v>928</v>
      </c>
      <c r="Q46" s="116">
        <f>태양광모듈!Q46+태양광셀!Q46</f>
        <v>8073543</v>
      </c>
      <c r="R46" s="116">
        <f>태양광모듈!R46+태양광셀!R46</f>
        <v>11087238141</v>
      </c>
      <c r="S46" s="116">
        <f>태양광모듈!S46+태양광셀!S46</f>
        <v>1259172.95</v>
      </c>
      <c r="T46" s="130">
        <f t="shared" ref="T46" si="43">Q46/S46</f>
        <v>6.411782432270325</v>
      </c>
      <c r="U46" s="85">
        <f t="shared" ref="U46:U51" si="44">Q44+Q45+Q46</f>
        <v>130260357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101613.30434782608</v>
      </c>
      <c r="G47" s="190">
        <f t="shared" ref="G47" si="45">F47/F46-1</f>
        <v>-0.76086672448407155</v>
      </c>
      <c r="H47" s="190">
        <f t="shared" ref="H47" si="46">F47/F35-1</f>
        <v>-0.96467758284896188</v>
      </c>
      <c r="I47" s="130">
        <f t="shared" si="0"/>
        <v>5.3683418180832563</v>
      </c>
      <c r="J47" s="130">
        <f t="shared" si="4"/>
        <v>-0.44695590395025209</v>
      </c>
      <c r="K47" s="136"/>
      <c r="L47" s="190"/>
      <c r="M47" s="190"/>
      <c r="N47" s="191"/>
      <c r="O47" s="192"/>
      <c r="P47" s="129" t="s">
        <v>1029</v>
      </c>
      <c r="Q47" s="116">
        <f>태양광모듈!Q47+태양광셀!Q47</f>
        <v>2337106</v>
      </c>
      <c r="R47" s="116">
        <f>태양광모듈!R47+태양광셀!R47</f>
        <v>3198700185</v>
      </c>
      <c r="S47" s="116">
        <f>태양광모듈!S47+태양광셀!S47</f>
        <v>435349.69999999995</v>
      </c>
      <c r="T47" s="130">
        <f t="shared" ref="T47" si="47">Q47/S47</f>
        <v>5.3683418180832563</v>
      </c>
      <c r="U47" s="85">
        <f t="shared" si="44"/>
        <v>67964727</v>
      </c>
    </row>
    <row r="48" spans="1:21" s="92" customFormat="1" ht="13.2">
      <c r="A48" s="129" t="s">
        <v>1102</v>
      </c>
      <c r="B48" s="188"/>
      <c r="C48" s="188"/>
      <c r="D48" s="190"/>
      <c r="E48" s="287"/>
      <c r="F48" s="136">
        <f>Q48/20</f>
        <v>619369.30000000005</v>
      </c>
      <c r="G48" s="190">
        <f t="shared" ref="G48" si="48">F48/F47-1</f>
        <v>5.0953563509742397</v>
      </c>
      <c r="H48" s="190">
        <f t="shared" ref="H48" si="49">F48/F36-1</f>
        <v>-0.77090686691360177</v>
      </c>
      <c r="I48" s="130">
        <f t="shared" si="0"/>
        <v>6.2085840404777244</v>
      </c>
      <c r="J48" s="130">
        <f t="shared" si="4"/>
        <v>-0.68548354072443018</v>
      </c>
      <c r="K48" s="136"/>
      <c r="L48" s="190"/>
      <c r="M48" s="190"/>
      <c r="N48" s="191"/>
      <c r="O48" s="192"/>
      <c r="P48" s="129" t="s">
        <v>1120</v>
      </c>
      <c r="Q48" s="116">
        <f>태양광모듈!Q48+태양광셀!Q48</f>
        <v>12387386</v>
      </c>
      <c r="R48" s="116">
        <f>태양광모듈!R48+태양광셀!R48</f>
        <v>17175713263</v>
      </c>
      <c r="S48" s="116">
        <f>태양광모듈!S48+태양광셀!S48</f>
        <v>1995203.08</v>
      </c>
      <c r="T48" s="130">
        <f t="shared" ref="T48" si="50">Q48/S48</f>
        <v>6.2085840404777244</v>
      </c>
      <c r="U48" s="85">
        <f t="shared" si="44"/>
        <v>22798035</v>
      </c>
    </row>
    <row r="49" spans="1:26" ht="13.2">
      <c r="A49" s="129" t="s">
        <v>1207</v>
      </c>
      <c r="B49" s="188">
        <f>SUM(F47:F49)</f>
        <v>1651677.1498023714</v>
      </c>
      <c r="C49" s="188">
        <f>AVERAGE(F47:F49)</f>
        <v>550559.04993412376</v>
      </c>
      <c r="D49" s="190">
        <f>C49/C46-1</f>
        <v>-0.73532845973310135</v>
      </c>
      <c r="E49" s="287">
        <f>C49/C37-1</f>
        <v>-0.80918749978026006</v>
      </c>
      <c r="F49" s="136">
        <f>Q49/22</f>
        <v>930694.54545454541</v>
      </c>
      <c r="G49" s="190">
        <f t="shared" ref="G49" si="51">F49/F48-1</f>
        <v>0.50264881623055158</v>
      </c>
      <c r="H49" s="190">
        <f t="shared" ref="H49" si="52">F49/F37-1</f>
        <v>-0.69740545015160049</v>
      </c>
      <c r="I49" s="130">
        <f t="shared" si="0"/>
        <v>21.299087822734762</v>
      </c>
      <c r="J49" s="130">
        <f t="shared" si="4"/>
        <v>-0.35558039415450526</v>
      </c>
      <c r="K49" s="136">
        <f>R47+R48+R49</f>
        <v>48823563775</v>
      </c>
      <c r="L49" s="190">
        <f>U49/U46-1</f>
        <v>-0.72977371772441857</v>
      </c>
      <c r="M49" s="190">
        <f>K49/K37-1</f>
        <v>-0.79929396752284099</v>
      </c>
      <c r="N49" s="191">
        <f>AVERAGE(T47:T49)</f>
        <v>10.958671227098582</v>
      </c>
      <c r="O49" s="192">
        <f>N49/N46-1</f>
        <v>-0.40780379488513041</v>
      </c>
      <c r="P49" s="129" t="s">
        <v>1165</v>
      </c>
      <c r="Q49" s="116">
        <f>태양광모듈!Q49+태양광셀!Q49</f>
        <v>20475280</v>
      </c>
      <c r="R49" s="116">
        <f>태양광모듈!R49+태양광셀!R49</f>
        <v>28449150327</v>
      </c>
      <c r="S49" s="116">
        <f>태양광모듈!S49+태양광셀!S49</f>
        <v>961321.91999999993</v>
      </c>
      <c r="T49" s="130">
        <f t="shared" ref="T49" si="53">Q49/S49</f>
        <v>21.299087822734762</v>
      </c>
      <c r="U49" s="85">
        <f t="shared" si="44"/>
        <v>35199772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1877535.6666666667</v>
      </c>
      <c r="G50" s="190">
        <f t="shared" ref="G50" si="54">F50/F49-1</f>
        <v>1.0173489528185535</v>
      </c>
      <c r="H50" s="190">
        <f t="shared" ref="H50" si="55">F50/F38-1</f>
        <v>-0.41754831192446529</v>
      </c>
      <c r="I50" s="130">
        <f t="shared" ref="I50" si="56">T50</f>
        <v>12.008294253228067</v>
      </c>
      <c r="J50" s="130">
        <f t="shared" ref="J50" si="57">I50/I38-1</f>
        <v>-0.63647224029539529</v>
      </c>
      <c r="K50" s="136"/>
      <c r="L50" s="190"/>
      <c r="M50" s="190"/>
      <c r="N50" s="191"/>
      <c r="O50" s="192"/>
      <c r="P50" s="129" t="s">
        <v>1291</v>
      </c>
      <c r="Q50" s="116">
        <f>태양광모듈!Q50+태양광셀!Q50</f>
        <v>33795642</v>
      </c>
      <c r="R50" s="116">
        <f>태양광모듈!R50+태양광셀!R50</f>
        <v>47993894076</v>
      </c>
      <c r="S50" s="116">
        <f>태양광모듈!S50+태양광셀!S50</f>
        <v>2814358.25</v>
      </c>
      <c r="T50" s="130">
        <f t="shared" ref="T50" si="58">Q50/S50</f>
        <v>12.008294253228067</v>
      </c>
      <c r="U50" s="85">
        <f t="shared" si="44"/>
        <v>66658308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6010810.9500000002</v>
      </c>
      <c r="G51" s="190">
        <f t="shared" ref="G51:G52" si="59">F51/F50-1</f>
        <v>2.2014363597531301</v>
      </c>
      <c r="H51" s="190">
        <f t="shared" ref="H51:H52" si="60">F51/F39-1</f>
        <v>2.3889445091645549</v>
      </c>
      <c r="I51" s="130">
        <f t="shared" ref="I51:I52" si="61">T51</f>
        <v>36.485688198021286</v>
      </c>
      <c r="J51" s="130">
        <f t="shared" ref="J51:J52" si="62">I51/I39-1</f>
        <v>1.0837683392132424E-2</v>
      </c>
      <c r="K51" s="136"/>
      <c r="L51" s="190"/>
      <c r="M51" s="190"/>
      <c r="N51" s="191"/>
      <c r="O51" s="192"/>
      <c r="P51" s="129" t="s">
        <v>1402</v>
      </c>
      <c r="Q51" s="116">
        <f>태양광모듈!Q51+태양광셀!Q51</f>
        <v>120216219</v>
      </c>
      <c r="R51" s="116">
        <f>태양광모듈!R51+태양광셀!R51</f>
        <v>173708628978</v>
      </c>
      <c r="S51" s="116">
        <f>태양광모듈!S51+태양광셀!S51</f>
        <v>3294886.98</v>
      </c>
      <c r="T51" s="130">
        <f t="shared" ref="T51:T52" si="63">Q51/S51</f>
        <v>36.485688198021286</v>
      </c>
      <c r="U51" s="85">
        <f t="shared" si="44"/>
        <v>174487141</v>
      </c>
    </row>
    <row r="52" spans="1:26" s="79" customFormat="1" ht="13.2">
      <c r="A52" s="129" t="s">
        <v>1403</v>
      </c>
      <c r="B52" s="188">
        <f>SUM(F50:F52)</f>
        <v>10639291.798484849</v>
      </c>
      <c r="C52" s="188">
        <f>AVERAGE(F50:F52)</f>
        <v>3546430.5994949494</v>
      </c>
      <c r="D52" s="190">
        <f>C52/C49-1</f>
        <v>5.441508135992482</v>
      </c>
      <c r="E52" s="287">
        <f>C52/C40-1</f>
        <v>0.47612357488625712</v>
      </c>
      <c r="F52" s="136">
        <f>Q52/22</f>
        <v>2750945.1818181816</v>
      </c>
      <c r="G52" s="190">
        <f t="shared" si="59"/>
        <v>-0.54233377081703393</v>
      </c>
      <c r="H52" s="190">
        <f t="shared" si="60"/>
        <v>0.24452859609076993</v>
      </c>
      <c r="I52" s="130">
        <f t="shared" si="61"/>
        <v>29.371698687674968</v>
      </c>
      <c r="J52" s="130">
        <f t="shared" si="62"/>
        <v>-0.27512442466877474</v>
      </c>
      <c r="K52" s="136">
        <f>R50+R51+R52</f>
        <v>310716067530</v>
      </c>
      <c r="L52" s="190">
        <f>U52/U49-1</f>
        <v>5.0947171760089809</v>
      </c>
      <c r="M52" s="190">
        <f>K52/K40-1</f>
        <v>0.51862014577186155</v>
      </c>
      <c r="N52" s="191">
        <f>AVERAGE(T50:T52)</f>
        <v>25.955227046308107</v>
      </c>
      <c r="O52" s="192">
        <f>N52/N49-1</f>
        <v>1.3684647991013792</v>
      </c>
      <c r="P52" s="129" t="s">
        <v>1403</v>
      </c>
      <c r="Q52" s="116">
        <f>태양광모듈!Q52+태양광셀!Q52</f>
        <v>60520794</v>
      </c>
      <c r="R52" s="116">
        <f>태양광모듈!R52+태양광셀!R52</f>
        <v>89013544476</v>
      </c>
      <c r="S52" s="116">
        <f>태양광모듈!S52+태양광셀!S52</f>
        <v>2060513.92</v>
      </c>
      <c r="T52" s="130">
        <f t="shared" si="63"/>
        <v>29.371698687674968</v>
      </c>
      <c r="U52" s="85">
        <f t="shared" ref="U52" si="64">Q50+Q51+Q52</f>
        <v>214532655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3582325.5714285714</v>
      </c>
      <c r="G53" s="190">
        <f t="shared" ref="G53" si="65">F53/F52-1</f>
        <v>0.30221626919548639</v>
      </c>
      <c r="H53" s="190">
        <f t="shared" ref="H53" si="66">F53/F41-1</f>
        <v>0.23847731773900072</v>
      </c>
      <c r="I53" s="130">
        <f t="shared" ref="I53" si="67">T53</f>
        <v>27.063543350935557</v>
      </c>
      <c r="J53" s="130">
        <f t="shared" ref="J53" si="68">I53/I41-1</f>
        <v>-0.19235005000828065</v>
      </c>
      <c r="K53" s="136"/>
      <c r="L53" s="190"/>
      <c r="M53" s="190"/>
      <c r="N53" s="191"/>
      <c r="O53" s="192"/>
      <c r="P53" s="129" t="s">
        <v>1414</v>
      </c>
      <c r="Q53" s="116">
        <f>태양광모듈!Q53+태양광셀!Q53</f>
        <v>75228837</v>
      </c>
      <c r="R53" s="116">
        <f>태양광모듈!R53+태양광셀!R53</f>
        <v>109643552945</v>
      </c>
      <c r="S53" s="116">
        <f>태양광모듈!S53+태양광셀!S53</f>
        <v>2779711.29</v>
      </c>
      <c r="T53" s="130">
        <f t="shared" ref="T53" si="69">Q53/S53</f>
        <v>27.063543350935557</v>
      </c>
      <c r="U53" s="85">
        <f t="shared" ref="U53" si="70">Q51+Q52+Q53</f>
        <v>255965850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4249824.7058823528</v>
      </c>
      <c r="G54" s="190">
        <f t="shared" ref="G54" si="71">F54/F53-1</f>
        <v>0.1863312312475256</v>
      </c>
      <c r="H54" s="190">
        <f t="shared" ref="H54" si="72">F54/F42-1</f>
        <v>0.88946922948350382</v>
      </c>
      <c r="I54" s="130">
        <f t="shared" ref="I54" si="73">T54</f>
        <v>29.04439010094196</v>
      </c>
      <c r="J54" s="130">
        <f t="shared" ref="J54" si="74">I54/I42-1</f>
        <v>-0.49505098180917761</v>
      </c>
      <c r="K54" s="136"/>
      <c r="L54" s="190"/>
      <c r="M54" s="190"/>
      <c r="N54" s="191"/>
      <c r="O54" s="192"/>
      <c r="P54" s="129" t="s">
        <v>1417</v>
      </c>
      <c r="Q54" s="116">
        <f>태양광모듈!Q54+태양광셀!Q54</f>
        <v>72247020</v>
      </c>
      <c r="R54" s="116">
        <f>태양광모듈!R54+태양광셀!R54</f>
        <v>104784460028</v>
      </c>
      <c r="S54" s="116">
        <f>태양광모듈!S54+태양광셀!S54</f>
        <v>2487469</v>
      </c>
      <c r="T54" s="130">
        <f t="shared" ref="T54" si="75">Q54/S54</f>
        <v>29.04439010094196</v>
      </c>
      <c r="U54" s="85">
        <f t="shared" ref="U54" si="76">Q52+Q53+Q54</f>
        <v>207996651</v>
      </c>
    </row>
    <row r="55" spans="1:26" s="79" customFormat="1" ht="13.2">
      <c r="A55" s="129" t="s">
        <v>1418</v>
      </c>
      <c r="B55" s="188">
        <f>SUM(F53:F55)</f>
        <v>10590851.420168068</v>
      </c>
      <c r="C55" s="188">
        <f>AVERAGE(F53:F55)</f>
        <v>3530283.8067226894</v>
      </c>
      <c r="D55" s="190">
        <f>C55/C52-1</f>
        <v>-4.55297018206402E-3</v>
      </c>
      <c r="E55" s="287">
        <f>C55/C43-1</f>
        <v>0.39315806239272688</v>
      </c>
      <c r="F55" s="136">
        <f>Q55/21</f>
        <v>2758701.1428571427</v>
      </c>
      <c r="G55" s="190">
        <f t="shared" ref="G55" si="77">F55/F54-1</f>
        <v>-0.35086707481400026</v>
      </c>
      <c r="H55" s="190">
        <f t="shared" ref="H55" si="78">F55/F43-1</f>
        <v>0.12128397991921847</v>
      </c>
      <c r="I55" s="130">
        <f>T55</f>
        <v>22.925154240292471</v>
      </c>
      <c r="J55" s="130">
        <f t="shared" ref="J55" si="79">I55/I43-1</f>
        <v>-0.48472873024548735</v>
      </c>
      <c r="K55" s="136">
        <f>R53+R54+R55</f>
        <v>299754049549</v>
      </c>
      <c r="L55" s="190">
        <f>U55/U52-1</f>
        <v>-4.253000085231784E-2</v>
      </c>
      <c r="M55" s="190">
        <f>K55/K43-1</f>
        <v>0.41290618513958766</v>
      </c>
      <c r="N55" s="191">
        <f>AVERAGE(T53:T55)</f>
        <v>26.344362564056663</v>
      </c>
      <c r="O55" s="192">
        <f>N55/N52-1</f>
        <v>1.4992568435416853E-2</v>
      </c>
      <c r="P55" s="129" t="s">
        <v>1418</v>
      </c>
      <c r="Q55" s="116">
        <f>태양광모듈!Q55+태양광셀!Q55</f>
        <v>57932724</v>
      </c>
      <c r="R55" s="116">
        <f>태양광모듈!R55+태양광셀!R55</f>
        <v>85326036576</v>
      </c>
      <c r="S55" s="116">
        <f>태양광모듈!S55+태양광셀!S55</f>
        <v>2527037.48</v>
      </c>
      <c r="T55" s="130">
        <f t="shared" ref="T55" si="80">Q55/S55</f>
        <v>22.925154240292471</v>
      </c>
      <c r="U55" s="85">
        <f t="shared" ref="U55" si="81">Q53+Q54+Q55</f>
        <v>205408581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3107558.7272727271</v>
      </c>
      <c r="G56" s="190">
        <f t="shared" ref="G56" si="82">F56/F55-1</f>
        <v>0.12645718631713687</v>
      </c>
      <c r="H56" s="190">
        <f t="shared" ref="H56" si="83">F56/F44-1</f>
        <v>5.7765711790384255E-2</v>
      </c>
      <c r="I56" s="291">
        <f>T56</f>
        <v>17.869020487659551</v>
      </c>
      <c r="J56" s="130">
        <f t="shared" ref="J56" si="84">I56/I44-1</f>
        <v>-0.25940321612303507</v>
      </c>
      <c r="K56" s="136"/>
      <c r="L56" s="190"/>
      <c r="M56" s="190"/>
      <c r="N56" s="191"/>
      <c r="O56" s="192"/>
      <c r="P56" s="129" t="s">
        <v>1420</v>
      </c>
      <c r="Q56" s="116">
        <f>태양광모듈!Q56+태양광셀!Q56</f>
        <v>68366292</v>
      </c>
      <c r="R56" s="116">
        <f>태양광모듈!R56+태양광셀!R56</f>
        <v>101929430448</v>
      </c>
      <c r="S56" s="116">
        <f>태양광모듈!S56+태양광셀!S56</f>
        <v>3825967.52</v>
      </c>
      <c r="T56" s="130">
        <f t="shared" ref="T56" si="85">Q56/S56</f>
        <v>17.869020487659551</v>
      </c>
      <c r="U56" s="85">
        <f t="shared" ref="U56" si="86">Q54+Q55+Q56</f>
        <v>198546036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3547367.4166666665</v>
      </c>
      <c r="G57" s="254">
        <f t="shared" ref="G57" si="87">F57/F56-1</f>
        <v>0.14152868151261844</v>
      </c>
      <c r="H57" s="254">
        <f t="shared" ref="H57" si="88">F57/F45-1</f>
        <v>0.23270758213402942</v>
      </c>
      <c r="I57" s="282">
        <f>T57</f>
        <v>42.724936504627713</v>
      </c>
      <c r="J57" s="277">
        <f t="shared" ref="J57" si="89">I57/I45-1</f>
        <v>0.71065622089656055</v>
      </c>
      <c r="K57" s="204"/>
      <c r="L57" s="254"/>
      <c r="M57" s="254"/>
      <c r="N57" s="257"/>
      <c r="O57" s="258"/>
      <c r="P57" s="129" t="s">
        <v>1436</v>
      </c>
      <c r="Q57" s="116">
        <f>태양광모듈!Q57+태양광셀!Q57</f>
        <v>42568409</v>
      </c>
      <c r="R57" s="116">
        <f>태양광모듈!R57+태양광셀!R57</f>
        <v>62793531855</v>
      </c>
      <c r="S57" s="116">
        <f>태양광모듈!S57+태양광셀!S57</f>
        <v>996336.39000000013</v>
      </c>
      <c r="T57" s="130">
        <f t="shared" ref="T57" si="90">Q57/S57</f>
        <v>42.724936504627713</v>
      </c>
      <c r="U57" s="85">
        <f t="shared" ref="U57" si="91">Q55+Q56+Q57</f>
        <v>168867425</v>
      </c>
    </row>
    <row r="58" spans="1:26">
      <c r="B58" s="196">
        <f>SUM(F56:F58)</f>
        <v>6654926.1439393936</v>
      </c>
      <c r="C58" s="196">
        <f>AVERAGE(F56:F58)</f>
        <v>3327463.0719696968</v>
      </c>
      <c r="D58" s="197">
        <f>C58/C55-1</f>
        <v>-5.7451679767718034E-2</v>
      </c>
      <c r="E58" s="233">
        <f>C58/C46-1</f>
        <v>0.59961910814983943</v>
      </c>
    </row>
  </sheetData>
  <phoneticPr fontId="1" type="noConversion"/>
  <conditionalFormatting sqref="C29:C30">
    <cfRule type="cellIs" dxfId="20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">
    <tabColor rgb="FFFF0000"/>
  </sheetPr>
  <dimension ref="A1:Z73"/>
  <sheetViews>
    <sheetView zoomScale="90" zoomScaleNormal="9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3218743.75</v>
      </c>
      <c r="G5" s="90"/>
      <c r="H5" s="90"/>
      <c r="I5" s="130">
        <f t="shared" ref="I5:I49" si="0">T5</f>
        <v>5.6286716639761813</v>
      </c>
      <c r="J5" s="130"/>
      <c r="K5" s="79"/>
      <c r="L5" s="80"/>
      <c r="M5" s="80"/>
      <c r="N5" s="79"/>
      <c r="O5" s="79"/>
      <c r="P5" s="129" t="s">
        <v>0</v>
      </c>
      <c r="Q5" s="116">
        <v>64374875</v>
      </c>
      <c r="R5" s="116">
        <v>75950427834</v>
      </c>
      <c r="S5" s="116">
        <v>11436956.859999999</v>
      </c>
      <c r="T5" s="130">
        <f>Q5/S5</f>
        <v>5.6286716639761813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3882158</v>
      </c>
      <c r="G6" s="90">
        <f t="shared" ref="G6:G16" si="1">F6/F5-1</f>
        <v>0.20610968176637234</v>
      </c>
      <c r="H6" s="90"/>
      <c r="I6" s="130">
        <f t="shared" si="0"/>
        <v>5.1915346271017571</v>
      </c>
      <c r="J6" s="130"/>
      <c r="K6" s="79"/>
      <c r="L6" s="87"/>
      <c r="M6" s="87"/>
      <c r="N6" s="79"/>
      <c r="O6" s="79"/>
      <c r="P6" s="129" t="s">
        <v>1</v>
      </c>
      <c r="Q6" s="116">
        <v>69878844</v>
      </c>
      <c r="R6" s="116">
        <v>83006486534</v>
      </c>
      <c r="S6" s="116">
        <v>13460151.77</v>
      </c>
      <c r="T6" s="130">
        <f t="shared" ref="T6:T17" si="2">Q6/S6</f>
        <v>5.1915346271017571</v>
      </c>
      <c r="U6" s="85"/>
    </row>
    <row r="7" spans="1:21" ht="15" hidden="1" customHeight="1">
      <c r="A7" s="129" t="s">
        <v>2</v>
      </c>
      <c r="B7" s="131">
        <f>F5+F6+F7</f>
        <v>10216677.204545455</v>
      </c>
      <c r="C7" s="131">
        <f>AVERAGE(F5:F7)</f>
        <v>3405559.0681818184</v>
      </c>
      <c r="D7" s="117"/>
      <c r="F7" s="78">
        <f>Q7/22</f>
        <v>3115775.4545454546</v>
      </c>
      <c r="G7" s="90">
        <f t="shared" si="1"/>
        <v>-0.19741147718731322</v>
      </c>
      <c r="H7" s="90"/>
      <c r="I7" s="130">
        <f t="shared" si="0"/>
        <v>4.8473052348828967</v>
      </c>
      <c r="J7" s="130"/>
      <c r="K7" s="79">
        <f>R5+R6+R7</f>
        <v>241531152051</v>
      </c>
      <c r="L7" s="87"/>
      <c r="M7" s="87"/>
      <c r="N7" s="88">
        <f>AVERAGE(T5:T7)</f>
        <v>5.2225038419869447</v>
      </c>
      <c r="O7" s="79"/>
      <c r="P7" s="129" t="s">
        <v>2</v>
      </c>
      <c r="Q7" s="116">
        <v>68547060</v>
      </c>
      <c r="R7" s="116">
        <v>82574237683</v>
      </c>
      <c r="S7" s="116">
        <v>14141271.630000001</v>
      </c>
      <c r="T7" s="130">
        <f t="shared" si="2"/>
        <v>4.8473052348828967</v>
      </c>
      <c r="U7" s="85">
        <f>Q5+Q6+Q7</f>
        <v>202800779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3318333.8095238097</v>
      </c>
      <c r="G8" s="90">
        <f t="shared" si="1"/>
        <v>6.5010575355439304E-2</v>
      </c>
      <c r="H8" s="90"/>
      <c r="I8" s="130">
        <f t="shared" si="0"/>
        <v>4.8054004956633536</v>
      </c>
      <c r="J8" s="130"/>
      <c r="K8" s="78"/>
      <c r="L8" s="87"/>
      <c r="M8" s="87"/>
      <c r="N8" s="79"/>
      <c r="O8" s="79"/>
      <c r="P8" s="129" t="s">
        <v>3</v>
      </c>
      <c r="Q8" s="116">
        <v>69685010</v>
      </c>
      <c r="R8" s="116">
        <v>84462072807</v>
      </c>
      <c r="S8" s="116">
        <v>14501394.85</v>
      </c>
      <c r="T8" s="130">
        <f>Q8/S8</f>
        <v>4.8054004956633536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2947664.9047619049</v>
      </c>
      <c r="G9" s="90">
        <f t="shared" si="1"/>
        <v>-0.11170332041281195</v>
      </c>
      <c r="H9" s="90"/>
      <c r="I9" s="130">
        <f t="shared" si="0"/>
        <v>5.2010983997739615</v>
      </c>
      <c r="J9" s="130"/>
      <c r="K9" s="78"/>
      <c r="L9" s="87"/>
      <c r="M9" s="87"/>
      <c r="N9" s="79"/>
      <c r="O9" s="79"/>
      <c r="P9" s="129" t="s">
        <v>4</v>
      </c>
      <c r="Q9" s="116">
        <v>61900963</v>
      </c>
      <c r="R9" s="116">
        <v>77882645182</v>
      </c>
      <c r="S9" s="116">
        <v>11901517.380000001</v>
      </c>
      <c r="T9" s="130">
        <f t="shared" si="2"/>
        <v>5.2010983997739615</v>
      </c>
      <c r="U9" s="85"/>
    </row>
    <row r="10" spans="1:21" ht="15" hidden="1" customHeight="1">
      <c r="A10" s="129" t="s">
        <v>5</v>
      </c>
      <c r="B10" s="131">
        <f>F8+F9+F10</f>
        <v>11994334.619047619</v>
      </c>
      <c r="C10" s="131">
        <f>AVERAGE(F8:F10)</f>
        <v>3998111.5396825396</v>
      </c>
      <c r="D10" s="90">
        <f>C10/C7-1</f>
        <v>0.17399565229596115</v>
      </c>
      <c r="E10" s="286"/>
      <c r="F10" s="78">
        <f>Q10/21</f>
        <v>5728335.9047619049</v>
      </c>
      <c r="G10" s="90">
        <f t="shared" si="1"/>
        <v>0.94334705261370488</v>
      </c>
      <c r="H10" s="90"/>
      <c r="I10" s="130">
        <f t="shared" si="0"/>
        <v>7.0482744711862262</v>
      </c>
      <c r="J10" s="130"/>
      <c r="K10" s="79">
        <f>R8+R9+R10</f>
        <v>313934500248</v>
      </c>
      <c r="L10" s="87">
        <f>U10/U7-1</f>
        <v>0.24201212757668933</v>
      </c>
      <c r="M10" s="87"/>
      <c r="N10" s="88">
        <f>AVERAGE(T8:T10)</f>
        <v>5.6849244555411795</v>
      </c>
      <c r="O10" s="89">
        <f>N10/N7-1</f>
        <v>8.8543853206300982E-2</v>
      </c>
      <c r="P10" s="129" t="s">
        <v>5</v>
      </c>
      <c r="Q10" s="116">
        <v>120295054</v>
      </c>
      <c r="R10" s="116">
        <v>151589782259</v>
      </c>
      <c r="S10" s="116">
        <v>17067305.550000001</v>
      </c>
      <c r="T10" s="130">
        <f t="shared" si="2"/>
        <v>7.0482744711862262</v>
      </c>
      <c r="U10" s="85">
        <f>Q8+Q9+Q10</f>
        <v>251881027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7668272.1428571427</v>
      </c>
      <c r="G11" s="90">
        <f t="shared" si="1"/>
        <v>0.3386561595458446</v>
      </c>
      <c r="H11" s="90"/>
      <c r="I11" s="130">
        <f t="shared" si="0"/>
        <v>7.6111779965490252</v>
      </c>
      <c r="J11" s="130"/>
      <c r="K11" s="78"/>
      <c r="L11" s="87"/>
      <c r="M11" s="87"/>
      <c r="N11" s="79"/>
      <c r="O11" s="89"/>
      <c r="P11" s="129" t="s">
        <v>6</v>
      </c>
      <c r="Q11" s="116">
        <v>161033715</v>
      </c>
      <c r="R11" s="116">
        <v>207917739036</v>
      </c>
      <c r="S11" s="116">
        <v>21157528.449999999</v>
      </c>
      <c r="T11" s="130">
        <f t="shared" si="2"/>
        <v>7.6111779965490252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7753345.5454545459</v>
      </c>
      <c r="G12" s="90">
        <f t="shared" si="1"/>
        <v>1.1094207536263223E-2</v>
      </c>
      <c r="H12" s="90"/>
      <c r="I12" s="130">
        <f t="shared" si="0"/>
        <v>7.8360588257460977</v>
      </c>
      <c r="J12" s="130"/>
      <c r="K12" s="78"/>
      <c r="L12" s="87"/>
      <c r="M12" s="87"/>
      <c r="N12" s="79"/>
      <c r="O12" s="89"/>
      <c r="P12" s="129" t="s">
        <v>7</v>
      </c>
      <c r="Q12" s="116">
        <v>170573602</v>
      </c>
      <c r="R12" s="116">
        <v>221450252158</v>
      </c>
      <c r="S12" s="116">
        <v>21767779.670000002</v>
      </c>
      <c r="T12" s="130">
        <f t="shared" si="2"/>
        <v>7.8360588257460977</v>
      </c>
      <c r="U12" s="85"/>
    </row>
    <row r="13" spans="1:21" ht="15" hidden="1" customHeight="1">
      <c r="A13" s="129" t="s">
        <v>96</v>
      </c>
      <c r="B13" s="131">
        <f>F11+F12+F13</f>
        <v>23979485.28831169</v>
      </c>
      <c r="C13" s="131">
        <f>AVERAGE(F11:F13)</f>
        <v>7993161.7627705634</v>
      </c>
      <c r="D13" s="90">
        <f>C13/C10-1</f>
        <v>0.99923430935727242</v>
      </c>
      <c r="E13" s="286"/>
      <c r="F13" s="78">
        <f>Q13/20</f>
        <v>8557867.5999999996</v>
      </c>
      <c r="G13" s="90">
        <f t="shared" si="1"/>
        <v>0.10376450395882464</v>
      </c>
      <c r="H13" s="90"/>
      <c r="I13" s="130">
        <f t="shared" si="0"/>
        <v>7.9223470264887084</v>
      </c>
      <c r="J13" s="130"/>
      <c r="K13" s="78">
        <f>R11+R12+R13</f>
        <v>662900006490</v>
      </c>
      <c r="L13" s="87">
        <f>U13/U10-1</f>
        <v>0.99604025355986825</v>
      </c>
      <c r="M13" s="87"/>
      <c r="N13" s="88">
        <f>AVERAGE(T11:T13)</f>
        <v>7.7898612829279443</v>
      </c>
      <c r="O13" s="89">
        <f>N13/N10-1</f>
        <v>0.37026645540294778</v>
      </c>
      <c r="P13" s="129" t="s">
        <v>96</v>
      </c>
      <c r="Q13" s="116">
        <v>171157352</v>
      </c>
      <c r="R13" s="116">
        <v>233532015296</v>
      </c>
      <c r="S13" s="116">
        <v>21604374.489999998</v>
      </c>
      <c r="T13" s="130">
        <f t="shared" si="2"/>
        <v>7.9223470264887084</v>
      </c>
      <c r="U13" s="85">
        <f>Q11+Q12+Q13</f>
        <v>502764669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9010065.75</v>
      </c>
      <c r="G14" s="90">
        <f t="shared" si="1"/>
        <v>5.2840049780625398E-2</v>
      </c>
      <c r="H14" s="90"/>
      <c r="I14" s="130">
        <f t="shared" si="0"/>
        <v>8.0865708734402748</v>
      </c>
      <c r="J14" s="130"/>
      <c r="K14" s="79"/>
      <c r="L14" s="87"/>
      <c r="M14" s="87"/>
      <c r="N14" s="79"/>
      <c r="O14" s="89"/>
      <c r="P14" s="129" t="s">
        <v>97</v>
      </c>
      <c r="Q14" s="116">
        <v>180201315</v>
      </c>
      <c r="R14" s="116">
        <v>256951078753</v>
      </c>
      <c r="S14" s="116">
        <v>22284020.98</v>
      </c>
      <c r="T14" s="130">
        <f t="shared" si="2"/>
        <v>8.0865708734402748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8914994.4545454551</v>
      </c>
      <c r="G15" s="90">
        <f t="shared" si="1"/>
        <v>-1.0551676102313112E-2</v>
      </c>
      <c r="H15" s="90"/>
      <c r="I15" s="130">
        <f t="shared" si="0"/>
        <v>8.0244007002189779</v>
      </c>
      <c r="J15" s="130"/>
      <c r="K15" s="79"/>
      <c r="L15" s="87"/>
      <c r="M15" s="87"/>
      <c r="N15" s="79"/>
      <c r="O15" s="89"/>
      <c r="P15" s="129" t="s">
        <v>98</v>
      </c>
      <c r="Q15" s="116">
        <v>196129878</v>
      </c>
      <c r="R15" s="116">
        <v>272159166843</v>
      </c>
      <c r="S15" s="116">
        <v>24441685.469999999</v>
      </c>
      <c r="T15" s="130">
        <f t="shared" si="2"/>
        <v>8.0244007002189779</v>
      </c>
      <c r="U15" s="78"/>
    </row>
    <row r="16" spans="1:21" ht="15" hidden="1" customHeight="1">
      <c r="A16" s="129" t="s">
        <v>99</v>
      </c>
      <c r="B16" s="131">
        <f>F14+F15+F16</f>
        <v>27653000.159090906</v>
      </c>
      <c r="C16" s="131">
        <f>AVERAGE(F14:F16)</f>
        <v>9217666.7196969688</v>
      </c>
      <c r="D16" s="90">
        <f>C16/C13-1</f>
        <v>0.15319406678715475</v>
      </c>
      <c r="E16" s="286"/>
      <c r="F16" s="78">
        <f>Q16/22</f>
        <v>9727939.9545454551</v>
      </c>
      <c r="G16" s="90">
        <f t="shared" si="1"/>
        <v>9.1188559246439649E-2</v>
      </c>
      <c r="H16" s="90"/>
      <c r="I16" s="130">
        <f t="shared" si="0"/>
        <v>7.841192106678351</v>
      </c>
      <c r="J16" s="130"/>
      <c r="K16" s="78">
        <f>R14+R15+R16</f>
        <v>809587223022</v>
      </c>
      <c r="L16" s="87">
        <f>U16/U13-1</f>
        <v>0.17419919974527875</v>
      </c>
      <c r="M16" s="87"/>
      <c r="N16" s="88">
        <f>AVERAGE(T14:T16)</f>
        <v>7.9840545601125354</v>
      </c>
      <c r="O16" s="89">
        <f>N16/N13-1</f>
        <v>2.49289775685968E-2</v>
      </c>
      <c r="P16" s="129" t="s">
        <v>99</v>
      </c>
      <c r="Q16" s="116">
        <v>214014679</v>
      </c>
      <c r="R16" s="116">
        <v>280476977426</v>
      </c>
      <c r="S16" s="116">
        <v>27293640.57</v>
      </c>
      <c r="T16" s="130">
        <f t="shared" si="2"/>
        <v>7.841192106678351</v>
      </c>
      <c r="U16" s="85">
        <f>Q14+Q15+Q16</f>
        <v>590345872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7355286.0499999998</v>
      </c>
      <c r="G17" s="90">
        <f t="shared" ref="G17:G22" si="3">F17/F16-1</f>
        <v>-0.24390096111117687</v>
      </c>
      <c r="H17" s="90">
        <f t="shared" ref="H17:H22" si="4">F17/F5-1</f>
        <v>1.2851418507608754</v>
      </c>
      <c r="I17" s="130">
        <f t="shared" si="0"/>
        <v>6.8932886975431975</v>
      </c>
      <c r="J17" s="130">
        <f t="shared" ref="J17:J49" si="5">I17/I5-1</f>
        <v>0.22467415210246444</v>
      </c>
      <c r="K17" s="79"/>
      <c r="L17" s="87"/>
      <c r="M17" s="87"/>
      <c r="N17" s="79"/>
      <c r="O17" s="89"/>
      <c r="P17" s="129" t="s">
        <v>100</v>
      </c>
      <c r="Q17" s="116">
        <v>147105721</v>
      </c>
      <c r="R17" s="116">
        <v>184673586433</v>
      </c>
      <c r="S17" s="116">
        <v>21340426.530000001</v>
      </c>
      <c r="T17" s="130">
        <f t="shared" si="2"/>
        <v>6.8932886975431975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6869496.2000000002</v>
      </c>
      <c r="G18" s="90">
        <f t="shared" si="3"/>
        <v>-6.6046357231748898E-2</v>
      </c>
      <c r="H18" s="90">
        <f t="shared" si="4"/>
        <v>0.7695045384551582</v>
      </c>
      <c r="I18" s="130">
        <f t="shared" si="0"/>
        <v>6.7381588016059206</v>
      </c>
      <c r="J18" s="130">
        <f t="shared" si="5"/>
        <v>0.29791271475494074</v>
      </c>
      <c r="K18" s="79"/>
      <c r="L18" s="87"/>
      <c r="M18" s="87"/>
      <c r="N18" s="79"/>
      <c r="O18" s="89"/>
      <c r="P18" s="129" t="s">
        <v>106</v>
      </c>
      <c r="Q18" s="116">
        <v>137389924</v>
      </c>
      <c r="R18" s="116">
        <v>172176181760</v>
      </c>
      <c r="S18" s="116">
        <v>20389831.710000001</v>
      </c>
      <c r="T18" s="130">
        <f t="shared" ref="T18" si="6">Q18/S18</f>
        <v>6.7381588016059206</v>
      </c>
      <c r="U18" s="78"/>
    </row>
    <row r="19" spans="1:21" hidden="1">
      <c r="A19" s="129" t="s">
        <v>114</v>
      </c>
      <c r="B19" s="131">
        <f>SUM(F17:F19)</f>
        <v>19769813.613636363</v>
      </c>
      <c r="C19" s="131">
        <f>AVERAGE(F17:F19)</f>
        <v>6589937.8712121211</v>
      </c>
      <c r="D19" s="90">
        <f>C19/C16-1</f>
        <v>-0.28507527212604999</v>
      </c>
      <c r="E19" s="286">
        <f>C19/C7-1</f>
        <v>0.93505317020691092</v>
      </c>
      <c r="F19" s="78">
        <f>Q19/22</f>
        <v>5545031.3636363633</v>
      </c>
      <c r="G19" s="90">
        <f t="shared" si="3"/>
        <v>-0.19280378033597823</v>
      </c>
      <c r="H19" s="90">
        <f t="shared" si="4"/>
        <v>0.77966334369409851</v>
      </c>
      <c r="I19" s="130">
        <f t="shared" si="0"/>
        <v>6.7572067463679142</v>
      </c>
      <c r="J19" s="130">
        <f t="shared" si="5"/>
        <v>0.3940130482686961</v>
      </c>
      <c r="K19" s="78">
        <f>R17+R18+R19</f>
        <v>516304052313</v>
      </c>
      <c r="L19" s="87">
        <f>U19/U16-1</f>
        <v>-0.31144375817707082</v>
      </c>
      <c r="M19" s="87">
        <f>U19/U7-1</f>
        <v>1.0043627889614761</v>
      </c>
      <c r="N19" s="88">
        <f>AVERAGE(T17:T19)</f>
        <v>6.7962180818390108</v>
      </c>
      <c r="O19" s="89">
        <f>N19/N16-1</f>
        <v>-0.14877609732376151</v>
      </c>
      <c r="P19" s="129" t="s">
        <v>115</v>
      </c>
      <c r="Q19" s="116">
        <v>121990690</v>
      </c>
      <c r="R19" s="116">
        <v>159454284120</v>
      </c>
      <c r="S19" s="116">
        <v>18053419.789999999</v>
      </c>
      <c r="T19" s="130">
        <f t="shared" ref="T19" si="7">Q19/S19</f>
        <v>6.7572067463679142</v>
      </c>
      <c r="U19" s="85">
        <f>Q17+Q18+Q19</f>
        <v>406486335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4539299.0999999996</v>
      </c>
      <c r="G20" s="90">
        <f t="shared" si="3"/>
        <v>-0.1813753967618349</v>
      </c>
      <c r="H20" s="90">
        <f t="shared" si="4"/>
        <v>0.36794528837694052</v>
      </c>
      <c r="I20" s="130">
        <f t="shared" si="0"/>
        <v>6.3256705466951573</v>
      </c>
      <c r="J20" s="130">
        <f t="shared" si="5"/>
        <v>0.31636698177472944</v>
      </c>
      <c r="K20" s="79"/>
      <c r="L20" s="87"/>
      <c r="M20" s="87"/>
      <c r="N20" s="79"/>
      <c r="O20" s="89"/>
      <c r="P20" s="129" t="s">
        <v>132</v>
      </c>
      <c r="Q20" s="116">
        <v>90785982</v>
      </c>
      <c r="R20" s="116">
        <v>118998798489</v>
      </c>
      <c r="S20" s="116">
        <v>14351993.41</v>
      </c>
      <c r="T20" s="130">
        <f t="shared" ref="T20" si="8">Q20/S20</f>
        <v>6.3256705466951573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4640847.6190476194</v>
      </c>
      <c r="G21" s="90">
        <f t="shared" si="3"/>
        <v>2.2370968911834765E-2</v>
      </c>
      <c r="H21" s="90">
        <f t="shared" si="4"/>
        <v>0.5744149246918826</v>
      </c>
      <c r="I21" s="130">
        <f t="shared" si="0"/>
        <v>6.1873329168528137</v>
      </c>
      <c r="J21" s="130">
        <f t="shared" si="5"/>
        <v>0.18962043039249443</v>
      </c>
      <c r="K21" s="79"/>
      <c r="L21" s="87"/>
      <c r="M21" s="87"/>
      <c r="N21" s="79"/>
      <c r="O21" s="89"/>
      <c r="P21" s="129" t="s">
        <v>141</v>
      </c>
      <c r="Q21" s="116">
        <v>97457800</v>
      </c>
      <c r="R21" s="116">
        <v>129746539440</v>
      </c>
      <c r="S21" s="116">
        <v>15751180.890000001</v>
      </c>
      <c r="T21" s="130">
        <f t="shared" ref="T21" si="9">Q21/S21</f>
        <v>6.1873329168528137</v>
      </c>
      <c r="U21" s="78"/>
    </row>
    <row r="22" spans="1:21" hidden="1">
      <c r="A22" s="129" t="s">
        <v>156</v>
      </c>
      <c r="B22" s="131">
        <f>SUM(F20:F22)</f>
        <v>13431983.814285714</v>
      </c>
      <c r="C22" s="131">
        <f>AVERAGE(F20:F22)</f>
        <v>4477327.9380952381</v>
      </c>
      <c r="D22" s="90">
        <f>C22/C19-1</f>
        <v>-0.32058116091590705</v>
      </c>
      <c r="E22" s="286">
        <f>C22/C10-1</f>
        <v>0.11986068764123314</v>
      </c>
      <c r="F22" s="78">
        <f>Q22/21</f>
        <v>4251837.0952380951</v>
      </c>
      <c r="G22" s="90">
        <f t="shared" si="3"/>
        <v>-8.382316243543364E-2</v>
      </c>
      <c r="H22" s="90">
        <f t="shared" si="4"/>
        <v>-0.25775353157911218</v>
      </c>
      <c r="I22" s="130">
        <f t="shared" si="0"/>
        <v>5.413570953943811</v>
      </c>
      <c r="J22" s="130">
        <f t="shared" si="5"/>
        <v>-0.23192960545523333</v>
      </c>
      <c r="K22" s="78">
        <f>R20+R21+R22</f>
        <v>365045489017</v>
      </c>
      <c r="L22" s="87">
        <f>U22/U19-1</f>
        <v>-0.31724061277484272</v>
      </c>
      <c r="M22" s="87">
        <f>U22/U10-1</f>
        <v>0.10183908770548245</v>
      </c>
      <c r="N22" s="88">
        <f>AVERAGE(T20:T22)</f>
        <v>5.9755248058305943</v>
      </c>
      <c r="O22" s="89">
        <f>N22/N19-1</f>
        <v>-0.12075734859090081</v>
      </c>
      <c r="P22" s="129" t="s">
        <v>156</v>
      </c>
      <c r="Q22" s="116">
        <v>89288579</v>
      </c>
      <c r="R22" s="116">
        <v>116300151088</v>
      </c>
      <c r="S22" s="116">
        <v>16493471.640000001</v>
      </c>
      <c r="T22" s="130">
        <f t="shared" ref="T22:T23" si="10">Q22/S22</f>
        <v>5.413570953943811</v>
      </c>
      <c r="U22" s="85">
        <f>Q20+Q21+Q22</f>
        <v>277532361</v>
      </c>
    </row>
    <row r="23" spans="1:21" hidden="1">
      <c r="A23" s="129" t="s">
        <v>189</v>
      </c>
      <c r="B23" s="131"/>
      <c r="C23" s="131"/>
      <c r="D23" s="117"/>
      <c r="F23" s="78">
        <f>Q23/21</f>
        <v>4327265.3809523806</v>
      </c>
      <c r="G23" s="90">
        <f t="shared" ref="G23" si="11">F23/F22-1</f>
        <v>1.7740163610398429E-2</v>
      </c>
      <c r="H23" s="90">
        <f t="shared" ref="H23" si="12">F23/F11-1</f>
        <v>-0.43569225239571729</v>
      </c>
      <c r="I23" s="130">
        <f t="shared" si="0"/>
        <v>4.9508631348749201</v>
      </c>
      <c r="J23" s="130">
        <f t="shared" si="5"/>
        <v>-0.34952734818188658</v>
      </c>
      <c r="K23" s="79"/>
      <c r="L23" s="87"/>
      <c r="M23" s="87"/>
      <c r="N23" s="79"/>
      <c r="O23" s="89"/>
      <c r="P23" s="129" t="s">
        <v>189</v>
      </c>
      <c r="Q23" s="116">
        <v>90872573</v>
      </c>
      <c r="R23" s="116">
        <v>117478077772</v>
      </c>
      <c r="S23" s="116">
        <v>18354895</v>
      </c>
      <c r="T23" s="130">
        <f t="shared" si="10"/>
        <v>4.9508631348749201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3560202.9545454546</v>
      </c>
      <c r="G24" s="90">
        <f t="shared" ref="G24" si="13">F24/F23-1</f>
        <v>-0.17726262636522294</v>
      </c>
      <c r="H24" s="90">
        <f t="shared" ref="H24" si="14">F24/F12-1</f>
        <v>-0.54081719514840287</v>
      </c>
      <c r="I24" s="130">
        <f t="shared" si="0"/>
        <v>5.011378892563398</v>
      </c>
      <c r="J24" s="130">
        <f t="shared" si="5"/>
        <v>-0.36047201737459544</v>
      </c>
      <c r="K24" s="79"/>
      <c r="L24" s="87"/>
      <c r="M24" s="87"/>
      <c r="N24" s="79"/>
      <c r="O24" s="89"/>
      <c r="P24" s="129" t="s">
        <v>204</v>
      </c>
      <c r="Q24" s="116">
        <v>78324465</v>
      </c>
      <c r="R24" s="116">
        <v>102491790048</v>
      </c>
      <c r="S24" s="116">
        <v>15629324.119999999</v>
      </c>
      <c r="T24" s="130">
        <f t="shared" ref="T24" si="15">Q24/S24</f>
        <v>5.011378892563398</v>
      </c>
      <c r="U24" s="78"/>
    </row>
    <row r="25" spans="1:21" s="92" customFormat="1" ht="13.2" hidden="1">
      <c r="A25" s="129" t="s">
        <v>219</v>
      </c>
      <c r="B25" s="131">
        <f>SUM(F23:F25)</f>
        <v>10436417.282866256</v>
      </c>
      <c r="C25" s="131">
        <f>AVERAGE(F23:F25)</f>
        <v>3478805.7609554189</v>
      </c>
      <c r="D25" s="90">
        <f>C25/C22-1</f>
        <v>-0.22301743158992604</v>
      </c>
      <c r="E25" s="286">
        <f>C25/C13-1</f>
        <v>-0.56477726033789077</v>
      </c>
      <c r="F25" s="78">
        <f>Q25/19</f>
        <v>2548948.9473684211</v>
      </c>
      <c r="G25" s="90">
        <f t="shared" ref="G25" si="16">F25/F24-1</f>
        <v>-0.28404392111576804</v>
      </c>
      <c r="H25" s="90">
        <f t="shared" ref="H25" si="17">F25/F13-1</f>
        <v>-0.70215139255386227</v>
      </c>
      <c r="I25" s="130">
        <f t="shared" si="0"/>
        <v>3.6846800265067636</v>
      </c>
      <c r="J25" s="130">
        <f t="shared" si="5"/>
        <v>-0.53490045131993369</v>
      </c>
      <c r="K25" s="78">
        <f>R23+R24+R25</f>
        <v>284306753417</v>
      </c>
      <c r="L25" s="90">
        <f>U25/U22-1</f>
        <v>-0.21584975814766338</v>
      </c>
      <c r="M25" s="90">
        <f>U25/U13-1</f>
        <v>-0.56713929713306888</v>
      </c>
      <c r="N25" s="88">
        <f>AVERAGE(T23:T25)</f>
        <v>4.5489740179816938</v>
      </c>
      <c r="O25" s="91">
        <f>N25/N22-1</f>
        <v>-0.23873230121259803</v>
      </c>
      <c r="P25" s="129" t="s">
        <v>219</v>
      </c>
      <c r="Q25" s="116">
        <v>48430030</v>
      </c>
      <c r="R25" s="116">
        <v>64336885597</v>
      </c>
      <c r="S25" s="116">
        <v>13143618.890000001</v>
      </c>
      <c r="T25" s="130">
        <f t="shared" ref="T25" si="18">Q25/S25</f>
        <v>3.6846800265067636</v>
      </c>
      <c r="U25" s="85">
        <f>Q23+Q24+Q25</f>
        <v>217627068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1450152.1578947369</v>
      </c>
      <c r="G26" s="90">
        <f t="shared" ref="G26" si="19">F26/F25-1</f>
        <v>-0.43107838256552811</v>
      </c>
      <c r="H26" s="90">
        <f t="shared" ref="H26" si="20">F26/F14-1</f>
        <v>-0.83905198939366932</v>
      </c>
      <c r="I26" s="130">
        <f t="shared" si="0"/>
        <v>3.6649109342114534</v>
      </c>
      <c r="J26" s="130">
        <f t="shared" si="5"/>
        <v>-0.54679047626373078</v>
      </c>
      <c r="K26" s="79"/>
      <c r="L26" s="90"/>
      <c r="M26" s="90"/>
      <c r="N26" s="79"/>
      <c r="O26" s="79"/>
      <c r="P26" s="129" t="s">
        <v>312</v>
      </c>
      <c r="Q26" s="116">
        <v>27552891</v>
      </c>
      <c r="R26" s="116">
        <v>37148844367</v>
      </c>
      <c r="S26" s="116">
        <v>7518024.7199999997</v>
      </c>
      <c r="T26" s="130">
        <f t="shared" ref="T26" si="21">Q26/S26</f>
        <v>3.6649109342114534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1755939.0454545454</v>
      </c>
      <c r="G27" s="90">
        <f t="shared" ref="G27" si="22">F27/F26-1</f>
        <v>0.21086538119126463</v>
      </c>
      <c r="H27" s="90">
        <f t="shared" ref="H27" si="23">F27/F15-1</f>
        <v>-0.80303531825987262</v>
      </c>
      <c r="I27" s="130">
        <f t="shared" si="0"/>
        <v>3.5409539550919793</v>
      </c>
      <c r="J27" s="130">
        <f t="shared" si="5"/>
        <v>-0.55872667786949493</v>
      </c>
      <c r="K27" s="79"/>
      <c r="L27" s="90"/>
      <c r="M27" s="90"/>
      <c r="N27" s="79"/>
      <c r="O27" s="79"/>
      <c r="P27" s="129" t="s">
        <v>375</v>
      </c>
      <c r="Q27" s="116">
        <v>38630659</v>
      </c>
      <c r="R27" s="116">
        <v>51112132517</v>
      </c>
      <c r="S27" s="116">
        <v>10909675.609999999</v>
      </c>
      <c r="T27" s="130">
        <f t="shared" ref="T27" si="24">Q27/S27</f>
        <v>3.5409539550919793</v>
      </c>
      <c r="U27" s="78"/>
    </row>
    <row r="28" spans="1:21" s="92" customFormat="1" ht="13.2" hidden="1">
      <c r="A28" s="123" t="s">
        <v>413</v>
      </c>
      <c r="B28" s="131">
        <f>SUM(F26:F28)</f>
        <v>4972241.5191387553</v>
      </c>
      <c r="C28" s="131">
        <f>AVERAGE(F26:F28)</f>
        <v>1657413.8397129185</v>
      </c>
      <c r="D28" s="90">
        <f>C28/C25-1</f>
        <v>-0.52356815712018179</v>
      </c>
      <c r="E28" s="286">
        <f>C28/C16-1</f>
        <v>-0.82019160703963856</v>
      </c>
      <c r="F28" s="78">
        <f>Q28/19</f>
        <v>1766150.3157894737</v>
      </c>
      <c r="G28" s="90">
        <f t="shared" ref="G28" si="25">F28/F27-1</f>
        <v>5.8152760833933836E-3</v>
      </c>
      <c r="H28" s="90">
        <f t="shared" ref="H28" si="26">F28/F16-1</f>
        <v>-0.81844559854995547</v>
      </c>
      <c r="I28" s="130">
        <f t="shared" si="0"/>
        <v>3.788914412197685</v>
      </c>
      <c r="J28" s="130">
        <f t="shared" si="5"/>
        <v>-0.51679357415938543</v>
      </c>
      <c r="K28" s="78">
        <f>R26+R27+R28</f>
        <v>132019024331</v>
      </c>
      <c r="L28" s="90">
        <f>U28/U25-1</f>
        <v>-0.54169117418794621</v>
      </c>
      <c r="M28" s="90">
        <f>U28/U16-1</f>
        <v>-0.8310475083664175</v>
      </c>
      <c r="N28" s="88">
        <f>AVERAGE(T26:T28)</f>
        <v>3.6649264338337062</v>
      </c>
      <c r="O28" s="91">
        <f>N28/N25-1</f>
        <v>-0.19433999417306524</v>
      </c>
      <c r="P28" s="129" t="s">
        <v>413</v>
      </c>
      <c r="Q28" s="116">
        <v>33556856</v>
      </c>
      <c r="R28" s="116">
        <v>43758047447</v>
      </c>
      <c r="S28" s="116">
        <v>8856588.5500000007</v>
      </c>
      <c r="T28" s="130">
        <f t="shared" ref="T28" si="27">Q28/S28</f>
        <v>3.788914412197685</v>
      </c>
      <c r="U28" s="85">
        <f>Q26+Q27+Q28</f>
        <v>99740406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1447013.8181818181</v>
      </c>
      <c r="G29" s="190">
        <f t="shared" ref="G29" si="28">F29/F28-1</f>
        <v>-0.1806961133231747</v>
      </c>
      <c r="H29" s="190">
        <f t="shared" ref="H29" si="29">F29/F17-1</f>
        <v>-0.8032688588390362</v>
      </c>
      <c r="I29" s="130">
        <f t="shared" si="0"/>
        <v>4.323437100595771</v>
      </c>
      <c r="J29" s="130">
        <f t="shared" si="5"/>
        <v>-0.37280487002718088</v>
      </c>
      <c r="K29" s="136"/>
      <c r="L29" s="190"/>
      <c r="M29" s="190"/>
      <c r="N29" s="191"/>
      <c r="O29" s="192"/>
      <c r="P29" s="129" t="s">
        <v>427</v>
      </c>
      <c r="Q29" s="116">
        <v>31834304</v>
      </c>
      <c r="R29" s="116">
        <v>41780702896</v>
      </c>
      <c r="S29" s="116">
        <v>7363193.5099999998</v>
      </c>
      <c r="T29" s="130">
        <f t="shared" ref="T29" si="30">Q29/S29</f>
        <v>4.323437100595771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353430.42105263157</v>
      </c>
      <c r="G30" s="190">
        <f t="shared" ref="G30" si="31">F30/F29-1</f>
        <v>-0.75575186870245714</v>
      </c>
      <c r="H30" s="190">
        <f t="shared" ref="H30" si="32">F30/F18-1</f>
        <v>-0.94855075091931318</v>
      </c>
      <c r="I30" s="130">
        <f t="shared" si="0"/>
        <v>4.1873927500112913</v>
      </c>
      <c r="J30" s="130">
        <f t="shared" si="5"/>
        <v>-0.37855534823351145</v>
      </c>
      <c r="K30" s="136"/>
      <c r="L30" s="190"/>
      <c r="M30" s="190"/>
      <c r="N30" s="191"/>
      <c r="O30" s="192"/>
      <c r="P30" s="129" t="s">
        <v>466</v>
      </c>
      <c r="Q30" s="116">
        <v>6715178</v>
      </c>
      <c r="R30" s="116">
        <v>8941167535</v>
      </c>
      <c r="S30" s="116">
        <v>1603665.67</v>
      </c>
      <c r="T30" s="130">
        <f t="shared" ref="T30" si="33">Q30/S30</f>
        <v>4.1873927500112913</v>
      </c>
      <c r="U30" s="85"/>
    </row>
    <row r="31" spans="1:21" s="92" customFormat="1" ht="13.2" hidden="1">
      <c r="A31" s="129" t="s">
        <v>505</v>
      </c>
      <c r="B31" s="188">
        <f>SUM(F29:F31)</f>
        <v>2406974.1392344497</v>
      </c>
      <c r="C31" s="188">
        <f>AVERAGE(F29:F31)</f>
        <v>802324.71307814994</v>
      </c>
      <c r="D31" s="190">
        <f>C31/C28-1</f>
        <v>-0.51591769426933165</v>
      </c>
      <c r="E31" s="287">
        <f>C31/C19-1</f>
        <v>-0.87825003380030742</v>
      </c>
      <c r="F31" s="136">
        <f>Q31/20</f>
        <v>606529.9</v>
      </c>
      <c r="G31" s="190">
        <f t="shared" ref="G31" si="34">F31/F30-1</f>
        <v>0.71612250635798502</v>
      </c>
      <c r="H31" s="190">
        <f t="shared" ref="H31" si="35">F31/F19-1</f>
        <v>-0.89061740859077032</v>
      </c>
      <c r="I31" s="130">
        <f t="shared" si="0"/>
        <v>4.3296372153812985</v>
      </c>
      <c r="J31" s="130">
        <f t="shared" si="5"/>
        <v>-0.35925636466450661</v>
      </c>
      <c r="K31" s="136">
        <f>R29+R30+R31</f>
        <v>66874606493</v>
      </c>
      <c r="L31" s="190">
        <f>U31/U28-1</f>
        <v>-0.49188015136012175</v>
      </c>
      <c r="M31" s="190">
        <f>U31/U19-1</f>
        <v>-0.8753215652378572</v>
      </c>
      <c r="N31" s="191">
        <f>AVERAGE(T29:T31)</f>
        <v>4.280155688662787</v>
      </c>
      <c r="O31" s="192">
        <f>N31/N28-1</f>
        <v>0.16786946912479173</v>
      </c>
      <c r="P31" s="129" t="s">
        <v>506</v>
      </c>
      <c r="Q31" s="116">
        <v>12130598</v>
      </c>
      <c r="R31" s="116">
        <v>16152736062</v>
      </c>
      <c r="S31" s="116">
        <v>2801758.53</v>
      </c>
      <c r="T31" s="130">
        <f t="shared" ref="T31" si="36">Q31/S31</f>
        <v>4.3296372153812985</v>
      </c>
      <c r="U31" s="85">
        <f>Q29+Q30+Q31</f>
        <v>50680080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113559.76190476191</v>
      </c>
      <c r="G32" s="190">
        <f t="shared" ref="G32" si="37">F32/F31-1</f>
        <v>-0.81277137053793735</v>
      </c>
      <c r="H32" s="190">
        <f t="shared" ref="H32" si="38">F32/F20-1</f>
        <v>-0.9749829743748849</v>
      </c>
      <c r="I32" s="130">
        <f t="shared" si="0"/>
        <v>4.9260965197260447</v>
      </c>
      <c r="J32" s="130">
        <f t="shared" si="5"/>
        <v>-0.22125306979515702</v>
      </c>
      <c r="K32" s="136"/>
      <c r="L32" s="190"/>
      <c r="M32" s="190"/>
      <c r="N32" s="191"/>
      <c r="O32" s="192"/>
      <c r="P32" s="129" t="s">
        <v>583</v>
      </c>
      <c r="Q32" s="116">
        <v>2384755</v>
      </c>
      <c r="R32" s="116">
        <v>3221654476</v>
      </c>
      <c r="S32" s="116">
        <v>484106.43</v>
      </c>
      <c r="T32" s="130">
        <f t="shared" ref="T32" si="39">Q32/S32</f>
        <v>4.9260965197260447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92328.809523809527</v>
      </c>
      <c r="G33" s="190">
        <f t="shared" ref="G33" si="40">F33/F32-1</f>
        <v>-0.18695840872542457</v>
      </c>
      <c r="H33" s="190">
        <f t="shared" ref="H33" si="41">F33/F21-1</f>
        <v>-0.98010518398732582</v>
      </c>
      <c r="I33" s="130">
        <f t="shared" si="0"/>
        <v>3.7768175953548049</v>
      </c>
      <c r="J33" s="130">
        <f t="shared" si="5"/>
        <v>-0.38958875397383941</v>
      </c>
      <c r="K33" s="136"/>
      <c r="L33" s="190"/>
      <c r="M33" s="190"/>
      <c r="N33" s="191"/>
      <c r="O33" s="192"/>
      <c r="P33" s="129" t="s">
        <v>607</v>
      </c>
      <c r="Q33" s="116">
        <v>1938905</v>
      </c>
      <c r="R33" s="116">
        <v>2645021457</v>
      </c>
      <c r="S33" s="116">
        <v>513370.04</v>
      </c>
      <c r="T33" s="130">
        <f t="shared" ref="T33" si="42">Q33/S33</f>
        <v>3.7768175953548049</v>
      </c>
      <c r="U33" s="85"/>
    </row>
    <row r="34" spans="1:21" s="92" customFormat="1" ht="13.2" hidden="1">
      <c r="A34" s="129" t="s">
        <v>652</v>
      </c>
      <c r="B34" s="188">
        <f>SUM(F32:F34)</f>
        <v>791486.15037593991</v>
      </c>
      <c r="C34" s="188">
        <f>AVERAGE(F32:F34)</f>
        <v>263828.71679197997</v>
      </c>
      <c r="D34" s="190">
        <f>C34/C31-1</f>
        <v>-0.67116964928103628</v>
      </c>
      <c r="E34" s="287">
        <f>C34/C22-1</f>
        <v>-0.9410745157737499</v>
      </c>
      <c r="F34" s="136">
        <f>Q34/19</f>
        <v>585597.57894736843</v>
      </c>
      <c r="G34" s="190">
        <f t="shared" ref="G34" si="43">F34/F33-1</f>
        <v>5.3425227939969915</v>
      </c>
      <c r="H34" s="190">
        <f t="shared" ref="H34" si="44">F34/F22-1</f>
        <v>-0.86227186841113534</v>
      </c>
      <c r="I34" s="130">
        <f t="shared" si="0"/>
        <v>4.5784102809404796</v>
      </c>
      <c r="J34" s="130">
        <f t="shared" si="5"/>
        <v>-0.15427167762434391</v>
      </c>
      <c r="K34" s="136">
        <f>R32+R33+R34</f>
        <v>21157052990</v>
      </c>
      <c r="L34" s="190">
        <f>U34/U31-1</f>
        <v>-0.69514621918513153</v>
      </c>
      <c r="M34" s="190">
        <f>U34/U22-1</f>
        <v>-0.94433076580932485</v>
      </c>
      <c r="N34" s="191">
        <f>AVERAGE(T32:T34)</f>
        <v>4.4271081320071097</v>
      </c>
      <c r="O34" s="192">
        <f>N34/N31-1</f>
        <v>3.4333434116326167E-2</v>
      </c>
      <c r="P34" s="129" t="s">
        <v>652</v>
      </c>
      <c r="Q34" s="116">
        <v>11126354</v>
      </c>
      <c r="R34" s="116">
        <v>15290377057</v>
      </c>
      <c r="S34" s="116">
        <v>2430178.4500000002</v>
      </c>
      <c r="T34" s="130">
        <f t="shared" ref="T34" si="45">Q34/S34</f>
        <v>4.5784102809404796</v>
      </c>
      <c r="U34" s="85">
        <f>Q32+Q33+Q34</f>
        <v>15450014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1353142.8695652173</v>
      </c>
      <c r="G35" s="190">
        <f t="shared" ref="G35" si="46">F35/F34-1</f>
        <v>1.3107043440950314</v>
      </c>
      <c r="H35" s="190">
        <f t="shared" ref="H35" si="47">F35/F23-1</f>
        <v>-0.68729838583012759</v>
      </c>
      <c r="I35" s="130">
        <f t="shared" si="0"/>
        <v>4.8609422648660896</v>
      </c>
      <c r="J35" s="130">
        <f t="shared" si="5"/>
        <v>-1.8162665288686486E-2</v>
      </c>
      <c r="K35" s="136"/>
      <c r="L35" s="190"/>
      <c r="M35" s="190"/>
      <c r="N35" s="191"/>
      <c r="O35" s="192"/>
      <c r="P35" s="129" t="s">
        <v>660</v>
      </c>
      <c r="Q35" s="116">
        <v>31122286</v>
      </c>
      <c r="R35" s="116">
        <v>43028378922</v>
      </c>
      <c r="S35" s="116">
        <v>6402521.2199999997</v>
      </c>
      <c r="T35" s="130">
        <f t="shared" ref="T35" si="48">Q35/S35</f>
        <v>4.8609422648660896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554252.61904761905</v>
      </c>
      <c r="G36" s="190">
        <f t="shared" ref="G36" si="49">F36/F35-1</f>
        <v>-0.59039608343374139</v>
      </c>
      <c r="H36" s="190">
        <f t="shared" ref="H36" si="50">F36/F24-1</f>
        <v>-0.84431993733953214</v>
      </c>
      <c r="I36" s="130">
        <f t="shared" si="0"/>
        <v>5.0646722420956243</v>
      </c>
      <c r="J36" s="130">
        <f t="shared" si="5"/>
        <v>1.0634468212194159E-2</v>
      </c>
      <c r="K36" s="136"/>
      <c r="L36" s="190"/>
      <c r="M36" s="190"/>
      <c r="N36" s="191"/>
      <c r="O36" s="192"/>
      <c r="P36" s="129" t="s">
        <v>664</v>
      </c>
      <c r="Q36" s="116">
        <v>11639305</v>
      </c>
      <c r="R36" s="116">
        <v>16032227470</v>
      </c>
      <c r="S36" s="116">
        <v>2298135.88</v>
      </c>
      <c r="T36" s="130">
        <f t="shared" ref="T36" si="51">Q36/S36</f>
        <v>5.0646722420956243</v>
      </c>
      <c r="U36" s="85"/>
    </row>
    <row r="37" spans="1:21" s="92" customFormat="1" ht="13.2" hidden="1">
      <c r="A37" s="129" t="s">
        <v>702</v>
      </c>
      <c r="B37" s="188">
        <f>SUM(F35:F37)</f>
        <v>2248005.8775017252</v>
      </c>
      <c r="C37" s="188">
        <f>AVERAGE(F35:F37)</f>
        <v>749335.29250057507</v>
      </c>
      <c r="D37" s="190">
        <f>C37/C34-1</f>
        <v>1.840234003379551</v>
      </c>
      <c r="E37" s="287">
        <f>C37/C25-1</f>
        <v>-0.78459984719158982</v>
      </c>
      <c r="F37" s="136">
        <f>Q37/18</f>
        <v>340610.38888888888</v>
      </c>
      <c r="G37" s="190">
        <f t="shared" ref="G37" si="52">F37/F36-1</f>
        <v>-0.38546002818324065</v>
      </c>
      <c r="H37" s="190">
        <f t="shared" ref="H37" si="53">F37/F25-1</f>
        <v>-0.86637222011035531</v>
      </c>
      <c r="I37" s="130">
        <f t="shared" si="0"/>
        <v>5.441171203091919</v>
      </c>
      <c r="J37" s="130">
        <f t="shared" si="5"/>
        <v>0.47670114201215608</v>
      </c>
      <c r="K37" s="136">
        <f>R35+R36+R37</f>
        <v>67242018109</v>
      </c>
      <c r="L37" s="190">
        <f>U37/U34-1</f>
        <v>2.1645652877725547</v>
      </c>
      <c r="M37" s="190">
        <f>U37/U25-1</f>
        <v>-0.77533779024215865</v>
      </c>
      <c r="N37" s="191">
        <f>AVERAGE(T35:T37)</f>
        <v>5.1222619033512116</v>
      </c>
      <c r="O37" s="192">
        <f>N37/N34-1</f>
        <v>0.15702208995490263</v>
      </c>
      <c r="P37" s="129" t="s">
        <v>702</v>
      </c>
      <c r="Q37" s="116">
        <v>6130987</v>
      </c>
      <c r="R37" s="116">
        <v>8181411717</v>
      </c>
      <c r="S37" s="116">
        <v>1126777.08</v>
      </c>
      <c r="T37" s="130">
        <f t="shared" ref="T37" si="54">Q37/S37</f>
        <v>5.441171203091919</v>
      </c>
      <c r="U37" s="85">
        <f>Q35+Q36+Q37</f>
        <v>48892578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238062.9</v>
      </c>
      <c r="G38" s="190">
        <f t="shared" ref="G38" si="55">F38/F37-1</f>
        <v>-0.3010697625031663</v>
      </c>
      <c r="H38" s="190">
        <f t="shared" ref="H38" si="56">F38/F26-1</f>
        <v>-0.83583591645609889</v>
      </c>
      <c r="I38" s="130">
        <f t="shared" si="0"/>
        <v>3.6812904480745932</v>
      </c>
      <c r="J38" s="130">
        <f t="shared" si="5"/>
        <v>4.4692801973000851E-3</v>
      </c>
      <c r="K38" s="136"/>
      <c r="L38" s="190"/>
      <c r="M38" s="190"/>
      <c r="N38" s="191"/>
      <c r="O38" s="192"/>
      <c r="P38" s="129" t="s">
        <v>728</v>
      </c>
      <c r="Q38" s="116">
        <v>4761258</v>
      </c>
      <c r="R38" s="116">
        <v>6401800785</v>
      </c>
      <c r="S38" s="116">
        <v>1293366.57</v>
      </c>
      <c r="T38" s="130">
        <f t="shared" ref="T38" si="57">Q38/S38</f>
        <v>3.6812904480745932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96349.904761904763</v>
      </c>
      <c r="G39" s="190">
        <f t="shared" ref="G39" si="58">F39/F38-1</f>
        <v>-0.59527543030894448</v>
      </c>
      <c r="H39" s="190">
        <f t="shared" ref="H39" si="59">F39/F27-1</f>
        <v>-0.94512912904846114</v>
      </c>
      <c r="I39" s="130">
        <f t="shared" si="0"/>
        <v>3.183936459369777</v>
      </c>
      <c r="J39" s="130">
        <f t="shared" si="5"/>
        <v>-0.10082522965564189</v>
      </c>
      <c r="K39" s="136"/>
      <c r="L39" s="190"/>
      <c r="M39" s="190"/>
      <c r="N39" s="191"/>
      <c r="O39" s="192"/>
      <c r="P39" s="129" t="s">
        <v>762</v>
      </c>
      <c r="Q39" s="116">
        <v>2023348</v>
      </c>
      <c r="R39" s="116">
        <v>2802563960</v>
      </c>
      <c r="S39" s="116">
        <v>635486.30000000005</v>
      </c>
      <c r="T39" s="130">
        <f t="shared" ref="T39" si="60">Q39/S39</f>
        <v>3.183936459369777</v>
      </c>
      <c r="U39" s="85"/>
    </row>
    <row r="40" spans="1:21" s="92" customFormat="1" ht="13.2" hidden="1">
      <c r="A40" s="129" t="s">
        <v>777</v>
      </c>
      <c r="B40" s="188">
        <f>SUM(F38:F40)</f>
        <v>435735.56666666665</v>
      </c>
      <c r="C40" s="188">
        <f>AVERAGE(F38:F40)</f>
        <v>145245.18888888889</v>
      </c>
      <c r="D40" s="190">
        <f>C40/C37-1</f>
        <v>-0.80616795933340157</v>
      </c>
      <c r="E40" s="287">
        <f>C40/C28-1</f>
        <v>-0.91236637138613075</v>
      </c>
      <c r="F40" s="136">
        <f>Q40/21</f>
        <v>101322.76190476191</v>
      </c>
      <c r="G40" s="190">
        <f t="shared" ref="G40" si="61">F40/F39-1</f>
        <v>5.1612475955693293E-2</v>
      </c>
      <c r="H40" s="190">
        <f t="shared" ref="H40" si="62">F40/F28-1</f>
        <v>-0.94263072570951001</v>
      </c>
      <c r="I40" s="130">
        <f t="shared" si="0"/>
        <v>3.335816539293011</v>
      </c>
      <c r="J40" s="130">
        <f t="shared" si="5"/>
        <v>-0.11958514329223491</v>
      </c>
      <c r="K40" s="136">
        <f>R38+R39+R40</f>
        <v>12209002362</v>
      </c>
      <c r="L40" s="190">
        <f>U40/U37-1</f>
        <v>-0.81771499142466975</v>
      </c>
      <c r="M40" s="190">
        <f>U40/U28-1</f>
        <v>-0.91064419769857363</v>
      </c>
      <c r="N40" s="191">
        <f>AVERAGE(T38:T40)</f>
        <v>3.4003478155791274</v>
      </c>
      <c r="O40" s="192">
        <f>N40/N37-1</f>
        <v>-0.3361628359232337</v>
      </c>
      <c r="P40" s="129" t="s">
        <v>779</v>
      </c>
      <c r="Q40" s="116">
        <v>2127778</v>
      </c>
      <c r="R40" s="116">
        <v>3004637617</v>
      </c>
      <c r="S40" s="116">
        <v>637858.22</v>
      </c>
      <c r="T40" s="130">
        <f t="shared" ref="T40" si="63">Q40/S40</f>
        <v>3.335816539293011</v>
      </c>
      <c r="U40" s="85">
        <f>Q38+Q39+Q40</f>
        <v>8912384</v>
      </c>
    </row>
    <row r="41" spans="1:21" s="92" customFormat="1" ht="13.2">
      <c r="A41" s="129" t="s">
        <v>791</v>
      </c>
      <c r="B41" s="194"/>
      <c r="C41" s="194"/>
      <c r="D41" s="201"/>
      <c r="E41" s="288"/>
      <c r="F41" s="136">
        <f>Q41/18</f>
        <v>159690.05555555556</v>
      </c>
      <c r="G41" s="190">
        <f t="shared" ref="G41" si="64">F41/F40-1</f>
        <v>0.57605312521638385</v>
      </c>
      <c r="H41" s="190">
        <f t="shared" ref="H41" si="65">F41/F29-1</f>
        <v>-0.88964165127586192</v>
      </c>
      <c r="I41" s="130">
        <f t="shared" si="0"/>
        <v>3.3166770300528046</v>
      </c>
      <c r="J41" s="130">
        <f t="shared" si="5"/>
        <v>-0.23286104252661255</v>
      </c>
      <c r="K41" s="194"/>
      <c r="L41" s="202"/>
      <c r="M41" s="202"/>
      <c r="N41" s="194"/>
      <c r="O41" s="194"/>
      <c r="P41" s="129" t="s">
        <v>791</v>
      </c>
      <c r="Q41" s="116">
        <v>2874421</v>
      </c>
      <c r="R41" s="116">
        <v>4171312019</v>
      </c>
      <c r="S41" s="116">
        <v>866656.89</v>
      </c>
      <c r="T41" s="130">
        <f t="shared" ref="T41" si="66">Q41/S41</f>
        <v>3.3166770300528046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15885.4</v>
      </c>
      <c r="G42" s="190">
        <f t="shared" ref="G42" si="67">F42/F41-1</f>
        <v>-0.90052354891646003</v>
      </c>
      <c r="H42" s="190">
        <f t="shared" ref="H42" si="68">F42/F30-1</f>
        <v>-0.95505367095257931</v>
      </c>
      <c r="I42" s="130">
        <f t="shared" si="0"/>
        <v>1.9558689025844829</v>
      </c>
      <c r="J42" s="130">
        <f t="shared" si="5"/>
        <v>-0.53291486627825657</v>
      </c>
      <c r="K42" s="194"/>
      <c r="L42" s="202"/>
      <c r="M42" s="202"/>
      <c r="N42" s="194"/>
      <c r="O42" s="194"/>
      <c r="P42" s="129" t="s">
        <v>826</v>
      </c>
      <c r="Q42" s="116">
        <v>317708</v>
      </c>
      <c r="R42" s="116">
        <v>457926879</v>
      </c>
      <c r="S42" s="116">
        <v>162438.29</v>
      </c>
      <c r="T42" s="130">
        <f t="shared" ref="T42" si="69">Q42/S42</f>
        <v>1.9558689025844829</v>
      </c>
      <c r="U42" s="175"/>
    </row>
    <row r="43" spans="1:21" s="92" customFormat="1" ht="13.2">
      <c r="A43" s="129" t="s">
        <v>835</v>
      </c>
      <c r="B43" s="188">
        <f>SUM(F41:F43)</f>
        <v>244589.90555555554</v>
      </c>
      <c r="C43" s="188">
        <f>AVERAGE(F41:F43)</f>
        <v>81529.968518518508</v>
      </c>
      <c r="D43" s="190">
        <f>C43/C40-1</f>
        <v>-0.43867353444052382</v>
      </c>
      <c r="E43" s="287">
        <f>C43/C31-1</f>
        <v>-0.89838282781328571</v>
      </c>
      <c r="F43" s="136">
        <f>Q43/20</f>
        <v>69014.45</v>
      </c>
      <c r="G43" s="190">
        <f t="shared" ref="G43" si="70">F43/F42-1</f>
        <v>3.3445207549070215</v>
      </c>
      <c r="H43" s="190">
        <f t="shared" ref="H43" si="71">F43/F31-1</f>
        <v>-0.88621426577650997</v>
      </c>
      <c r="I43" s="130">
        <f t="shared" si="0"/>
        <v>2.5201743361790006</v>
      </c>
      <c r="J43" s="130">
        <f t="shared" si="5"/>
        <v>-0.41792482584316104</v>
      </c>
      <c r="K43" s="136">
        <f>R41+R42+R43</f>
        <v>6611809884</v>
      </c>
      <c r="L43" s="190">
        <f>U43/U40-1</f>
        <v>-0.48695904485264552</v>
      </c>
      <c r="M43" s="190">
        <f>K43/K31-1</f>
        <v>-0.9011312330534299</v>
      </c>
      <c r="N43" s="191">
        <f>AVERAGE(T41:T43)</f>
        <v>2.5975734229387624</v>
      </c>
      <c r="O43" s="192">
        <f>N43/N40-1</f>
        <v>-0.23608596419529548</v>
      </c>
      <c r="P43" s="129" t="s">
        <v>835</v>
      </c>
      <c r="Q43" s="116">
        <v>1380289</v>
      </c>
      <c r="R43" s="116">
        <v>1982570986</v>
      </c>
      <c r="S43" s="116">
        <v>547695.84</v>
      </c>
      <c r="T43" s="130">
        <f t="shared" ref="T43" si="72">Q43/S43</f>
        <v>2.5201743361790006</v>
      </c>
      <c r="U43" s="85">
        <f>Q41+Q42+Q43</f>
        <v>4572418</v>
      </c>
    </row>
    <row r="44" spans="1:21" s="92" customFormat="1" ht="13.2">
      <c r="A44" s="129" t="s">
        <v>840</v>
      </c>
      <c r="B44" s="188"/>
      <c r="C44" s="188"/>
      <c r="D44" s="190"/>
      <c r="E44" s="287"/>
      <c r="F44" s="136">
        <f>Q44/22</f>
        <v>311134.22727272729</v>
      </c>
      <c r="G44" s="190">
        <f t="shared" ref="G44" si="73">F44/F43-1</f>
        <v>3.5082475810895737</v>
      </c>
      <c r="H44" s="190">
        <f t="shared" ref="H44" si="74">F44/F32-1</f>
        <v>1.7398281050788333</v>
      </c>
      <c r="I44" s="130">
        <f t="shared" si="0"/>
        <v>3.5028558142849553</v>
      </c>
      <c r="J44" s="130">
        <f t="shared" si="5"/>
        <v>-0.28891855848578463</v>
      </c>
      <c r="K44" s="136"/>
      <c r="L44" s="190"/>
      <c r="M44" s="190"/>
      <c r="N44" s="191"/>
      <c r="O44" s="192"/>
      <c r="P44" s="129" t="s">
        <v>840</v>
      </c>
      <c r="Q44" s="116">
        <v>6844953</v>
      </c>
      <c r="R44" s="116">
        <v>9952384902</v>
      </c>
      <c r="S44" s="116">
        <v>1954106.41</v>
      </c>
      <c r="T44" s="130">
        <f t="shared" ref="T44" si="75">Q44/S44</f>
        <v>3.5028558142849553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277845.15000000002</v>
      </c>
      <c r="G45" s="190">
        <f t="shared" ref="G45" si="76">F45/F44-1</f>
        <v>-0.10699265575673056</v>
      </c>
      <c r="H45" s="190">
        <f t="shared" ref="H45" si="77">F45/F33-1</f>
        <v>2.0093006877593282</v>
      </c>
      <c r="I45" s="130">
        <f t="shared" si="0"/>
        <v>3.2086938516628254</v>
      </c>
      <c r="J45" s="130">
        <f t="shared" si="5"/>
        <v>-0.15042392949840311</v>
      </c>
      <c r="K45" s="136"/>
      <c r="L45" s="190"/>
      <c r="M45" s="190"/>
      <c r="N45" s="191"/>
      <c r="O45" s="192"/>
      <c r="P45" s="129" t="s">
        <v>849</v>
      </c>
      <c r="Q45" s="116">
        <v>5556903</v>
      </c>
      <c r="R45" s="116">
        <v>7763560739</v>
      </c>
      <c r="S45" s="116">
        <v>1731827.11</v>
      </c>
      <c r="T45" s="130">
        <f t="shared" ref="T45" si="78">Q45/S45</f>
        <v>3.2086938516628254</v>
      </c>
      <c r="U45" s="85"/>
    </row>
    <row r="46" spans="1:21" s="92" customFormat="1" ht="13.2">
      <c r="A46" s="129" t="s">
        <v>888</v>
      </c>
      <c r="B46" s="188">
        <f>SUM(F44:F46)</f>
        <v>796478.37727272732</v>
      </c>
      <c r="C46" s="188">
        <f>AVERAGE(F44:F46)</f>
        <v>265492.79242424242</v>
      </c>
      <c r="D46" s="190">
        <f>C46/C43-1</f>
        <v>2.2563828644670587</v>
      </c>
      <c r="E46" s="287">
        <f>C46/C34-1</f>
        <v>6.3074090360470958E-3</v>
      </c>
      <c r="F46" s="136">
        <f>Q46/19</f>
        <v>207499</v>
      </c>
      <c r="G46" s="190">
        <f t="shared" ref="G46" si="79">F46/F45-1</f>
        <v>-0.25318473257496132</v>
      </c>
      <c r="H46" s="190">
        <f t="shared" ref="H46" si="80">F46/F34-1</f>
        <v>-0.64566281101607947</v>
      </c>
      <c r="I46" s="130">
        <f t="shared" si="0"/>
        <v>3.2890111534680688</v>
      </c>
      <c r="J46" s="130">
        <f t="shared" si="5"/>
        <v>-0.28162594620234593</v>
      </c>
      <c r="K46" s="136">
        <f>R44+R45+R46</f>
        <v>23127027338</v>
      </c>
      <c r="L46" s="190">
        <f>U46/U43-1</f>
        <v>2.5745500520731044</v>
      </c>
      <c r="M46" s="190">
        <f>K46/K34-1</f>
        <v>9.311194469906181E-2</v>
      </c>
      <c r="N46" s="191">
        <f>AVERAGE(T44:T46)</f>
        <v>3.3335202731386162</v>
      </c>
      <c r="O46" s="192">
        <f>N46/N43-1</f>
        <v>0.28332090392549558</v>
      </c>
      <c r="P46" s="129" t="s">
        <v>928</v>
      </c>
      <c r="Q46" s="116">
        <v>3942481</v>
      </c>
      <c r="R46" s="116">
        <v>5411081697</v>
      </c>
      <c r="S46" s="116">
        <v>1198682.77</v>
      </c>
      <c r="T46" s="130">
        <f t="shared" ref="T46" si="81">Q46/S46</f>
        <v>3.2890111534680688</v>
      </c>
      <c r="U46" s="85">
        <f t="shared" ref="U46:U51" si="82">Q44+Q45+Q46</f>
        <v>16344337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46634.391304347824</v>
      </c>
      <c r="G47" s="190">
        <f t="shared" ref="G47" si="83">F47/F46-1</f>
        <v>-0.7752548624121185</v>
      </c>
      <c r="H47" s="190">
        <f t="shared" ref="H47" si="84">F47/F35-1</f>
        <v>-0.96553623985076165</v>
      </c>
      <c r="I47" s="130">
        <f t="shared" si="0"/>
        <v>2.5827581555378618</v>
      </c>
      <c r="J47" s="130">
        <f t="shared" si="5"/>
        <v>-0.46867129564456733</v>
      </c>
      <c r="K47" s="136"/>
      <c r="L47" s="190"/>
      <c r="M47" s="190"/>
      <c r="N47" s="191"/>
      <c r="O47" s="192"/>
      <c r="P47" s="129" t="s">
        <v>1029</v>
      </c>
      <c r="Q47" s="116">
        <v>1072591</v>
      </c>
      <c r="R47" s="116">
        <v>1472570451</v>
      </c>
      <c r="S47" s="116">
        <v>415288.98</v>
      </c>
      <c r="T47" s="130">
        <f t="shared" ref="T47" si="85">Q47/S47</f>
        <v>2.5827581555378618</v>
      </c>
      <c r="U47" s="85">
        <f t="shared" si="82"/>
        <v>10571975</v>
      </c>
    </row>
    <row r="48" spans="1:21" s="92" customFormat="1" ht="13.2">
      <c r="A48" s="129" t="s">
        <v>1071</v>
      </c>
      <c r="B48" s="188"/>
      <c r="C48" s="188"/>
      <c r="D48" s="190"/>
      <c r="E48" s="287"/>
      <c r="F48" s="136">
        <f>Q48/20</f>
        <v>332976.75</v>
      </c>
      <c r="G48" s="190">
        <f t="shared" ref="G48" si="86">F48/F47-1</f>
        <v>6.1401543085854726</v>
      </c>
      <c r="H48" s="190">
        <f t="shared" ref="H48" si="87">F48/F36-1</f>
        <v>-0.3992328794545722</v>
      </c>
      <c r="I48" s="130">
        <f t="shared" si="0"/>
        <v>3.5263825457081004</v>
      </c>
      <c r="J48" s="130">
        <f t="shared" si="5"/>
        <v>-0.30372936744096612</v>
      </c>
      <c r="K48" s="136"/>
      <c r="L48" s="190"/>
      <c r="M48" s="190"/>
      <c r="N48" s="191"/>
      <c r="O48" s="192"/>
      <c r="P48" s="129" t="s">
        <v>1143</v>
      </c>
      <c r="Q48" s="116">
        <v>6659535</v>
      </c>
      <c r="R48" s="116">
        <v>9234702286</v>
      </c>
      <c r="S48" s="116">
        <v>1888489.1</v>
      </c>
      <c r="T48" s="130">
        <f t="shared" ref="T48" si="88">Q48/S48</f>
        <v>3.5263825457081004</v>
      </c>
      <c r="U48" s="85">
        <f t="shared" si="82"/>
        <v>11674607</v>
      </c>
    </row>
    <row r="49" spans="1:26" ht="13.2">
      <c r="A49" s="129" t="s">
        <v>1158</v>
      </c>
      <c r="B49" s="188">
        <f>SUM(F47:F49)</f>
        <v>507945.18675889331</v>
      </c>
      <c r="C49" s="188">
        <f>AVERAGE(F47:F49)</f>
        <v>169315.06225296445</v>
      </c>
      <c r="D49" s="190">
        <f>C49/C46-1</f>
        <v>-0.36226117211344633</v>
      </c>
      <c r="E49" s="287">
        <f>C49/C37-1</f>
        <v>-0.77404632619404556</v>
      </c>
      <c r="F49" s="136">
        <f>Q49/22</f>
        <v>128334.04545454546</v>
      </c>
      <c r="G49" s="190">
        <f t="shared" ref="G49" si="89">F49/F48-1</f>
        <v>-0.61458556654617635</v>
      </c>
      <c r="H49" s="190">
        <f t="shared" ref="H49" si="90">F49/F37-1</f>
        <v>-0.62322333774613803</v>
      </c>
      <c r="I49" s="130">
        <f t="shared" si="0"/>
        <v>3.7883954657156496</v>
      </c>
      <c r="J49" s="130">
        <f t="shared" si="5"/>
        <v>-0.30375367281902244</v>
      </c>
      <c r="K49" s="136">
        <f>R47+R48+R49</f>
        <v>14632719994</v>
      </c>
      <c r="L49" s="190">
        <f>U49/U46-1</f>
        <v>-0.35418151253244468</v>
      </c>
      <c r="M49" s="190">
        <f>K49/K37-1</f>
        <v>-0.78238725717184443</v>
      </c>
      <c r="N49" s="191">
        <f>AVERAGE(T47:T49)</f>
        <v>3.2991787223205371</v>
      </c>
      <c r="O49" s="192">
        <f>N49/N46-1</f>
        <v>-1.0301887495571038E-2</v>
      </c>
      <c r="P49" s="129" t="s">
        <v>1165</v>
      </c>
      <c r="Q49" s="116">
        <v>2823349</v>
      </c>
      <c r="R49" s="116">
        <v>3925447257</v>
      </c>
      <c r="S49" s="116">
        <v>745262.48</v>
      </c>
      <c r="T49" s="130">
        <f t="shared" ref="T49" si="91">Q49/S49</f>
        <v>3.7883954657156496</v>
      </c>
      <c r="U49" s="85">
        <f t="shared" si="82"/>
        <v>10555475</v>
      </c>
      <c r="V49" s="92"/>
      <c r="W49" s="92"/>
      <c r="X49" s="92"/>
      <c r="Y49" s="92"/>
      <c r="Z49" s="92"/>
    </row>
    <row r="50" spans="1:26" s="79" customFormat="1" ht="13.2">
      <c r="A50" s="129" t="s">
        <v>1315</v>
      </c>
      <c r="B50" s="188"/>
      <c r="C50" s="188"/>
      <c r="D50" s="190"/>
      <c r="E50" s="287"/>
      <c r="F50" s="136">
        <f>Q50/18</f>
        <v>483532.77777777775</v>
      </c>
      <c r="G50" s="190">
        <f t="shared" ref="G50" si="92">F50/F49-1</f>
        <v>2.767766971462299</v>
      </c>
      <c r="H50" s="190">
        <f t="shared" ref="H50" si="93">F50/F38-1</f>
        <v>1.0311135325066516</v>
      </c>
      <c r="I50" s="130">
        <f t="shared" ref="I50" si="94">T50</f>
        <v>3.4137765732753316</v>
      </c>
      <c r="J50" s="130">
        <f t="shared" ref="J50" si="95">I50/I38-1</f>
        <v>-7.2668505398474581E-2</v>
      </c>
      <c r="K50" s="136"/>
      <c r="L50" s="190"/>
      <c r="M50" s="190"/>
      <c r="N50" s="191"/>
      <c r="O50" s="192"/>
      <c r="P50" s="129" t="s">
        <v>1368</v>
      </c>
      <c r="Q50" s="116">
        <v>8703590</v>
      </c>
      <c r="R50" s="116">
        <v>12280843067</v>
      </c>
      <c r="S50" s="116">
        <v>2549548.81</v>
      </c>
      <c r="T50" s="130">
        <f t="shared" ref="T50" si="96">Q50/S50</f>
        <v>3.4137765732753316</v>
      </c>
      <c r="U50" s="85">
        <f t="shared" si="82"/>
        <v>18186474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364188.4</v>
      </c>
      <c r="G51" s="190">
        <f t="shared" ref="G51:G52" si="97">F51/F50-1</f>
        <v>-0.24681755459528765</v>
      </c>
      <c r="H51" s="190">
        <f t="shared" ref="H51:H52" si="98">F51/F39-1</f>
        <v>2.7798522053546897</v>
      </c>
      <c r="I51" s="130">
        <f t="shared" ref="I51:I52" si="99">T51</f>
        <v>3.4709197519332222</v>
      </c>
      <c r="J51" s="130">
        <f t="shared" ref="J51:J52" si="100">I51/I39-1</f>
        <v>9.0134742393775724E-2</v>
      </c>
      <c r="K51" s="136"/>
      <c r="L51" s="190"/>
      <c r="M51" s="190"/>
      <c r="N51" s="191"/>
      <c r="O51" s="192"/>
      <c r="P51" s="129" t="s">
        <v>1402</v>
      </c>
      <c r="Q51" s="116">
        <v>7283768</v>
      </c>
      <c r="R51" s="116">
        <v>10517532208</v>
      </c>
      <c r="S51" s="116">
        <v>2098512.36</v>
      </c>
      <c r="T51" s="130">
        <f t="shared" ref="T51:T52" si="101">Q51/S51</f>
        <v>3.4709197519332222</v>
      </c>
      <c r="U51" s="85">
        <f t="shared" si="82"/>
        <v>18810707</v>
      </c>
    </row>
    <row r="52" spans="1:26" s="79" customFormat="1" ht="13.2">
      <c r="A52" s="129" t="s">
        <v>1403</v>
      </c>
      <c r="B52" s="188">
        <f>SUM(F50:F52)</f>
        <v>1009497.7686868687</v>
      </c>
      <c r="C52" s="188">
        <f>AVERAGE(F50:F52)</f>
        <v>336499.25622895622</v>
      </c>
      <c r="D52" s="190">
        <f>C52/C49-1</f>
        <v>0.98741477427572821</v>
      </c>
      <c r="E52" s="287">
        <f>C52/C40-1</f>
        <v>1.3167669704114933</v>
      </c>
      <c r="F52" s="136">
        <f>Q52/22</f>
        <v>161776.59090909091</v>
      </c>
      <c r="G52" s="190">
        <f t="shared" si="97"/>
        <v>-0.55578873212575997</v>
      </c>
      <c r="H52" s="190">
        <f t="shared" si="98"/>
        <v>0.59664608295175015</v>
      </c>
      <c r="I52" s="130">
        <f t="shared" si="99"/>
        <v>2.4598069608400204</v>
      </c>
      <c r="J52" s="130">
        <f t="shared" si="100"/>
        <v>-0.26260724117599432</v>
      </c>
      <c r="K52" s="136">
        <f>R50+R51+R52</f>
        <v>28040637902</v>
      </c>
      <c r="L52" s="190">
        <f>U52/U49-1</f>
        <v>0.85178241623422912</v>
      </c>
      <c r="M52" s="190">
        <f>K52/K40-1</f>
        <v>1.2967181978173166</v>
      </c>
      <c r="N52" s="191">
        <f>AVERAGE(T50:T52)</f>
        <v>3.1148344286828582</v>
      </c>
      <c r="O52" s="192">
        <f>N52/N49-1</f>
        <v>-5.5875813089633741E-2</v>
      </c>
      <c r="P52" s="129" t="s">
        <v>1403</v>
      </c>
      <c r="Q52" s="116">
        <v>3559085</v>
      </c>
      <c r="R52" s="116">
        <v>5242262627</v>
      </c>
      <c r="S52" s="116">
        <v>1446896.06</v>
      </c>
      <c r="T52" s="130">
        <f t="shared" si="101"/>
        <v>2.4598069608400204</v>
      </c>
      <c r="U52" s="85">
        <f t="shared" ref="U52" si="102">Q50+Q51+Q52</f>
        <v>19546443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358435.90476190473</v>
      </c>
      <c r="G53" s="190">
        <f t="shared" ref="G53" si="103">F53/F52-1</f>
        <v>1.2156228088854029</v>
      </c>
      <c r="H53" s="190">
        <f t="shared" ref="H53" si="104">F53/F41-1</f>
        <v>1.2445724845853428</v>
      </c>
      <c r="I53" s="130">
        <f t="shared" ref="I53" si="105">T53</f>
        <v>3.7013625003582287</v>
      </c>
      <c r="J53" s="130">
        <f t="shared" ref="J53" si="106">I53/I41-1</f>
        <v>0.11598520652440492</v>
      </c>
      <c r="K53" s="136"/>
      <c r="L53" s="190"/>
      <c r="M53" s="190"/>
      <c r="N53" s="191"/>
      <c r="O53" s="192"/>
      <c r="P53" s="129" t="s">
        <v>1414</v>
      </c>
      <c r="Q53" s="116">
        <v>7527154</v>
      </c>
      <c r="R53" s="116">
        <v>10958882198</v>
      </c>
      <c r="S53" s="116">
        <v>2033617.08</v>
      </c>
      <c r="T53" s="130">
        <f t="shared" ref="T53" si="107">Q53/S53</f>
        <v>3.7013625003582287</v>
      </c>
      <c r="U53" s="85">
        <f t="shared" ref="U53" si="108">Q51+Q52+Q53</f>
        <v>18370007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356516.5882352941</v>
      </c>
      <c r="G54" s="190">
        <f t="shared" ref="G54" si="109">F54/F53-1</f>
        <v>-5.3546994068174314E-3</v>
      </c>
      <c r="H54" s="190">
        <f t="shared" ref="H54" si="110">F54/F42-1</f>
        <v>21.443035002914254</v>
      </c>
      <c r="I54" s="130">
        <f t="shared" ref="I54" si="111">T54</f>
        <v>3.2659484637427587</v>
      </c>
      <c r="J54" s="130">
        <f t="shared" ref="J54" si="112">I54/I42-1</f>
        <v>0.66981972024154501</v>
      </c>
      <c r="K54" s="136"/>
      <c r="L54" s="190"/>
      <c r="M54" s="190"/>
      <c r="N54" s="191"/>
      <c r="O54" s="192"/>
      <c r="P54" s="129" t="s">
        <v>1417</v>
      </c>
      <c r="Q54" s="116">
        <v>6060782</v>
      </c>
      <c r="R54" s="116">
        <v>8785941694</v>
      </c>
      <c r="S54" s="116">
        <v>1855749.43</v>
      </c>
      <c r="T54" s="130">
        <f t="shared" ref="T54" si="113">Q54/S54</f>
        <v>3.2659484637427587</v>
      </c>
      <c r="U54" s="85">
        <f t="shared" ref="U54" si="114">Q52+Q53+Q54</f>
        <v>17147021</v>
      </c>
    </row>
    <row r="55" spans="1:26" s="79" customFormat="1" ht="13.2">
      <c r="A55" s="129" t="s">
        <v>1418</v>
      </c>
      <c r="B55" s="188">
        <f>SUM(F53:F55)</f>
        <v>1038984.1120448179</v>
      </c>
      <c r="C55" s="188">
        <f>AVERAGE(F53:F55)</f>
        <v>346328.03734827263</v>
      </c>
      <c r="D55" s="190">
        <f>C55/C52-1</f>
        <v>2.9208923756517402E-2</v>
      </c>
      <c r="E55" s="287">
        <f>C55/C43-1</f>
        <v>3.2478617818870932</v>
      </c>
      <c r="F55" s="136">
        <f>Q55/21</f>
        <v>324031.61904761905</v>
      </c>
      <c r="G55" s="190">
        <f t="shared" ref="G55" si="115">F55/F54-1</f>
        <v>-9.1117693424788371E-2</v>
      </c>
      <c r="H55" s="190">
        <f t="shared" ref="H55" si="116">F55/F43-1</f>
        <v>3.6951271660879579</v>
      </c>
      <c r="I55" s="130">
        <f>T55</f>
        <v>3.4719001294049492</v>
      </c>
      <c r="J55" s="130">
        <f t="shared" ref="J55" si="117">I55/I43-1</f>
        <v>0.37764283984770741</v>
      </c>
      <c r="K55" s="136">
        <f>R53+R54+R55</f>
        <v>29754143872</v>
      </c>
      <c r="L55" s="190">
        <f>U55/U52-1</f>
        <v>4.3289564244502143E-2</v>
      </c>
      <c r="M55" s="190">
        <f>K55/K43-1</f>
        <v>3.500151152863971</v>
      </c>
      <c r="N55" s="191">
        <f>AVERAGE(T53:T55)</f>
        <v>3.4797370311686451</v>
      </c>
      <c r="O55" s="192">
        <f>N55/N52-1</f>
        <v>0.11714991947102948</v>
      </c>
      <c r="P55" s="129" t="s">
        <v>1418</v>
      </c>
      <c r="Q55" s="116">
        <v>6804664</v>
      </c>
      <c r="R55" s="116">
        <v>10009319980</v>
      </c>
      <c r="S55" s="116">
        <v>1959925.04</v>
      </c>
      <c r="T55" s="130">
        <f t="shared" ref="T55" si="118">Q55/S55</f>
        <v>3.4719001294049492</v>
      </c>
      <c r="U55" s="85">
        <f t="shared" ref="U55" si="119">Q53+Q54+Q55</f>
        <v>20392600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545723.13636363635</v>
      </c>
      <c r="G56" s="190">
        <f t="shared" ref="G56" si="120">F56/F55-1</f>
        <v>0.68416631058291233</v>
      </c>
      <c r="H56" s="190">
        <f t="shared" ref="H56" si="121">F56/F44-1</f>
        <v>0.75397975705603804</v>
      </c>
      <c r="I56" s="291">
        <f>T56</f>
        <v>3.6386353251450649</v>
      </c>
      <c r="J56" s="130">
        <f t="shared" ref="J56" si="122">I56/I44-1</f>
        <v>3.8762517802299667E-2</v>
      </c>
      <c r="K56" s="136"/>
      <c r="L56" s="190"/>
      <c r="M56" s="190"/>
      <c r="N56" s="191"/>
      <c r="O56" s="192"/>
      <c r="P56" s="129" t="s">
        <v>1420</v>
      </c>
      <c r="Q56" s="116">
        <v>12005909</v>
      </c>
      <c r="R56" s="116">
        <v>17951169662</v>
      </c>
      <c r="S56" s="116">
        <v>3299563.69</v>
      </c>
      <c r="T56" s="130">
        <f t="shared" ref="T56" si="123">Q56/S56</f>
        <v>3.6386353251450649</v>
      </c>
      <c r="U56" s="85">
        <f t="shared" ref="U56" si="124">Q54+Q55+Q56</f>
        <v>24871355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224091</v>
      </c>
      <c r="G57" s="254">
        <f t="shared" ref="G57" si="125">F57/F56-1</f>
        <v>-0.58936870169514033</v>
      </c>
      <c r="H57" s="254">
        <f t="shared" ref="H57" si="126">F57/F45-1</f>
        <v>-0.19346801626733456</v>
      </c>
      <c r="I57" s="282">
        <f>T57</f>
        <v>4.2980664828838595</v>
      </c>
      <c r="J57" s="277">
        <f t="shared" ref="J57" si="127">I57/I45-1</f>
        <v>0.33950656609277141</v>
      </c>
      <c r="K57" s="204"/>
      <c r="L57" s="254"/>
      <c r="M57" s="254"/>
      <c r="N57" s="257"/>
      <c r="O57" s="258"/>
      <c r="P57" s="129" t="s">
        <v>1436</v>
      </c>
      <c r="Q57" s="116">
        <v>2689092</v>
      </c>
      <c r="R57" s="116">
        <v>3967180711</v>
      </c>
      <c r="S57" s="116">
        <v>625651.56000000006</v>
      </c>
      <c r="T57" s="130">
        <f t="shared" ref="T57" si="128">Q57/S57</f>
        <v>4.2980664828838595</v>
      </c>
      <c r="U57" s="85">
        <f t="shared" ref="U57" si="129">Q55+Q56+Q57</f>
        <v>21499665</v>
      </c>
    </row>
    <row r="58" spans="1:26">
      <c r="B58" s="196">
        <f>SUM(F56:F58)</f>
        <v>769814.13636363635</v>
      </c>
      <c r="C58" s="196">
        <f>AVERAGE(F56:F58)</f>
        <v>384907.06818181818</v>
      </c>
      <c r="D58" s="197">
        <f>C58/C55-1</f>
        <v>0.1113944777007756</v>
      </c>
      <c r="E58" s="233">
        <f>C58/C46-1</f>
        <v>0.44978349380859473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35087601</v>
      </c>
      <c r="R65" s="212">
        <v>51672494245</v>
      </c>
      <c r="S65" s="213">
        <v>9774506.8100000005</v>
      </c>
      <c r="T65" s="214">
        <v>51</v>
      </c>
      <c r="U65" s="214">
        <v>83</v>
      </c>
    </row>
    <row r="66" spans="16:21" ht="18" thickBot="1">
      <c r="P66" s="180" t="s">
        <v>976</v>
      </c>
      <c r="Q66" s="181">
        <v>7527154</v>
      </c>
      <c r="R66" s="181">
        <v>10958882198</v>
      </c>
      <c r="S66" s="182">
        <v>2033617.08</v>
      </c>
      <c r="T66" s="210">
        <v>13</v>
      </c>
      <c r="U66" s="210">
        <v>25</v>
      </c>
    </row>
    <row r="67" spans="16:21" ht="18" thickBot="1">
      <c r="P67" s="180" t="s">
        <v>977</v>
      </c>
      <c r="Q67" s="181">
        <v>6060782</v>
      </c>
      <c r="R67" s="181">
        <v>8785941694</v>
      </c>
      <c r="S67" s="182">
        <v>1855749.43</v>
      </c>
      <c r="T67" s="210">
        <v>22</v>
      </c>
      <c r="U67" s="210">
        <v>27</v>
      </c>
    </row>
    <row r="68" spans="16:21" ht="18" thickBot="1">
      <c r="P68" s="180" t="s">
        <v>978</v>
      </c>
      <c r="Q68" s="181">
        <v>6804664</v>
      </c>
      <c r="R68" s="181">
        <v>10009319980</v>
      </c>
      <c r="S68" s="182">
        <v>1959925.04</v>
      </c>
      <c r="T68" s="210">
        <v>22</v>
      </c>
      <c r="U68" s="210">
        <v>29</v>
      </c>
    </row>
    <row r="69" spans="16:21" ht="18" thickBot="1">
      <c r="P69" s="180" t="s">
        <v>979</v>
      </c>
      <c r="Q69" s="181">
        <v>12005909</v>
      </c>
      <c r="R69" s="181">
        <v>17951169662</v>
      </c>
      <c r="S69" s="182">
        <v>3299563.69</v>
      </c>
      <c r="T69" s="210">
        <v>23</v>
      </c>
      <c r="U69" s="210">
        <v>37</v>
      </c>
    </row>
    <row r="70" spans="16:21" ht="18" thickBot="1">
      <c r="P70" s="180" t="s">
        <v>980</v>
      </c>
      <c r="Q70" s="181">
        <v>2689092</v>
      </c>
      <c r="R70" s="181">
        <v>3967180711</v>
      </c>
      <c r="S70" s="182">
        <v>625651.56000000006</v>
      </c>
      <c r="T70" s="210">
        <v>13</v>
      </c>
      <c r="U70" s="210">
        <v>21</v>
      </c>
    </row>
    <row r="71" spans="16:21" ht="18" thickBot="1">
      <c r="P71" s="180" t="s">
        <v>975</v>
      </c>
      <c r="Q71" s="181">
        <v>51018673</v>
      </c>
      <c r="R71" s="181">
        <v>72412195118</v>
      </c>
      <c r="S71" s="182">
        <v>15605405.15</v>
      </c>
      <c r="T71" s="210">
        <v>114</v>
      </c>
      <c r="U71" s="210">
        <v>236</v>
      </c>
    </row>
    <row r="72" spans="16:21" ht="18" thickBot="1">
      <c r="P72" s="215" t="s">
        <v>982</v>
      </c>
      <c r="Q72" s="217" t="s">
        <v>1489</v>
      </c>
      <c r="R72"/>
      <c r="S72"/>
      <c r="T72"/>
      <c r="U72"/>
    </row>
    <row r="73" spans="16:21" ht="18" thickBot="1">
      <c r="P73" s="215" t="s">
        <v>982</v>
      </c>
      <c r="Q73" s="216">
        <v>123934</v>
      </c>
      <c r="R73"/>
      <c r="S73"/>
      <c r="T73"/>
      <c r="U73"/>
    </row>
  </sheetData>
  <phoneticPr fontId="1" type="noConversion"/>
  <conditionalFormatting sqref="C29:C30">
    <cfRule type="cellIs" dxfId="2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Z74"/>
  <sheetViews>
    <sheetView zoomScale="90" zoomScaleNormal="9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8541420000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794718.7</v>
      </c>
      <c r="G5" s="90"/>
      <c r="H5" s="90"/>
      <c r="I5" s="130">
        <f t="shared" ref="I5:I49" si="0">T5</f>
        <v>185.27830958911008</v>
      </c>
      <c r="J5" s="130"/>
      <c r="K5" s="79"/>
      <c r="L5" s="80"/>
      <c r="M5" s="80"/>
      <c r="N5" s="79"/>
      <c r="O5" s="79"/>
      <c r="P5" s="129" t="s">
        <v>0</v>
      </c>
      <c r="Q5" s="116">
        <v>15894374</v>
      </c>
      <c r="R5" s="116"/>
      <c r="S5" s="116">
        <v>85786.48</v>
      </c>
      <c r="T5" s="130">
        <f>Q5/S5</f>
        <v>185.27830958911008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55844.555555555555</v>
      </c>
      <c r="G6" s="90">
        <f t="shared" ref="G6:G33" si="1">F6/F5-1</f>
        <v>-0.92973041208725105</v>
      </c>
      <c r="H6" s="90"/>
      <c r="I6" s="130">
        <f t="shared" si="0"/>
        <v>54.52933821195986</v>
      </c>
      <c r="J6" s="130"/>
      <c r="K6" s="79"/>
      <c r="L6" s="87"/>
      <c r="M6" s="87"/>
      <c r="N6" s="79"/>
      <c r="O6" s="79"/>
      <c r="P6" s="129" t="s">
        <v>1</v>
      </c>
      <c r="Q6" s="116">
        <v>1005202</v>
      </c>
      <c r="R6" s="116"/>
      <c r="S6" s="116">
        <v>18434.150000000001</v>
      </c>
      <c r="T6" s="130">
        <f t="shared" ref="T6:T33" si="2">Q6/S6</f>
        <v>54.52933821195986</v>
      </c>
      <c r="U6" s="85"/>
    </row>
    <row r="7" spans="1:21" ht="15" hidden="1" customHeight="1">
      <c r="A7" s="129" t="s">
        <v>2</v>
      </c>
      <c r="B7" s="131">
        <f>F5+F6+F7</f>
        <v>924434.57373737358</v>
      </c>
      <c r="C7" s="131">
        <f>AVERAGE(F5:F7)</f>
        <v>308144.85791245784</v>
      </c>
      <c r="D7" s="117"/>
      <c r="F7" s="78">
        <f>Q7/22</f>
        <v>73871.318181818177</v>
      </c>
      <c r="G7" s="90">
        <f t="shared" si="1"/>
        <v>0.32280250862287097</v>
      </c>
      <c r="H7" s="90"/>
      <c r="I7" s="130">
        <f t="shared" si="0"/>
        <v>119.21117549067718</v>
      </c>
      <c r="J7" s="130"/>
      <c r="K7" s="79">
        <f>R5+R6+R7</f>
        <v>0</v>
      </c>
      <c r="L7" s="87"/>
      <c r="M7" s="87"/>
      <c r="N7" s="88">
        <f>AVERAGE(T5:T7)</f>
        <v>119.67294109724905</v>
      </c>
      <c r="O7" s="79"/>
      <c r="P7" s="129" t="s">
        <v>2</v>
      </c>
      <c r="Q7" s="116">
        <v>1625169</v>
      </c>
      <c r="R7" s="116"/>
      <c r="S7" s="116">
        <v>13632.69</v>
      </c>
      <c r="T7" s="130">
        <f t="shared" si="2"/>
        <v>119.21117549067718</v>
      </c>
      <c r="U7" s="85">
        <f>Q5+Q6+Q7</f>
        <v>18524745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14893.619047619048</v>
      </c>
      <c r="G8" s="90">
        <f t="shared" si="1"/>
        <v>-0.79838427939025469</v>
      </c>
      <c r="H8" s="90"/>
      <c r="I8" s="130">
        <f t="shared" si="0"/>
        <v>132.15390335829096</v>
      </c>
      <c r="J8" s="130"/>
      <c r="K8" s="78"/>
      <c r="L8" s="87"/>
      <c r="M8" s="87"/>
      <c r="N8" s="79"/>
      <c r="O8" s="79"/>
      <c r="P8" s="129" t="s">
        <v>3</v>
      </c>
      <c r="Q8" s="116">
        <v>312766</v>
      </c>
      <c r="R8" s="116"/>
      <c r="S8" s="116">
        <v>2366.6799999999998</v>
      </c>
      <c r="T8" s="130">
        <f>Q8/S8</f>
        <v>132.15390335829096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18347.190476190477</v>
      </c>
      <c r="G9" s="90">
        <f t="shared" si="1"/>
        <v>0.23188262151256844</v>
      </c>
      <c r="H9" s="90"/>
      <c r="I9" s="130">
        <f t="shared" si="0"/>
        <v>215.85292750018206</v>
      </c>
      <c r="J9" s="130"/>
      <c r="K9" s="78"/>
      <c r="L9" s="87"/>
      <c r="M9" s="87"/>
      <c r="N9" s="79"/>
      <c r="O9" s="79"/>
      <c r="P9" s="129" t="s">
        <v>4</v>
      </c>
      <c r="Q9" s="116">
        <v>385291</v>
      </c>
      <c r="R9" s="116"/>
      <c r="S9" s="116">
        <v>1784.97</v>
      </c>
      <c r="T9" s="130">
        <f t="shared" si="2"/>
        <v>215.85292750018206</v>
      </c>
      <c r="U9" s="85"/>
    </row>
    <row r="10" spans="1:21" ht="15" hidden="1" customHeight="1">
      <c r="A10" s="129" t="s">
        <v>5</v>
      </c>
      <c r="B10" s="131">
        <f>F8+F9+F10</f>
        <v>62379.285714285717</v>
      </c>
      <c r="C10" s="131">
        <f>AVERAGE(F8:F10)</f>
        <v>20793.09523809524</v>
      </c>
      <c r="D10" s="90">
        <f>C10/C7-1</f>
        <v>-0.93252168678406944</v>
      </c>
      <c r="E10" s="286"/>
      <c r="F10" s="78">
        <f>Q10/21</f>
        <v>29138.476190476191</v>
      </c>
      <c r="G10" s="90">
        <f t="shared" si="1"/>
        <v>0.58817101878839617</v>
      </c>
      <c r="H10" s="90"/>
      <c r="I10" s="130">
        <f t="shared" si="0"/>
        <v>69.544404300126956</v>
      </c>
      <c r="J10" s="130"/>
      <c r="K10" s="79">
        <f>R8+R9+R10</f>
        <v>0</v>
      </c>
      <c r="L10" s="87">
        <f>U10/U7-1</f>
        <v>-0.92928566628042653</v>
      </c>
      <c r="M10" s="87"/>
      <c r="N10" s="88">
        <f>AVERAGE(T8:T10)</f>
        <v>139.18374505286667</v>
      </c>
      <c r="O10" s="89">
        <f>N10/N7-1</f>
        <v>0.16303438168000461</v>
      </c>
      <c r="P10" s="129" t="s">
        <v>5</v>
      </c>
      <c r="Q10" s="116">
        <v>611908</v>
      </c>
      <c r="R10" s="116"/>
      <c r="S10" s="116">
        <v>8798.81</v>
      </c>
      <c r="T10" s="130">
        <f t="shared" si="2"/>
        <v>69.544404300126956</v>
      </c>
      <c r="U10" s="85">
        <f>Q8+Q9+Q10</f>
        <v>1309965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91381.142857142855</v>
      </c>
      <c r="G11" s="90">
        <f t="shared" si="1"/>
        <v>2.1360988906829128</v>
      </c>
      <c r="H11" s="90"/>
      <c r="I11" s="130">
        <f t="shared" si="0"/>
        <v>75.646581798658303</v>
      </c>
      <c r="J11" s="130"/>
      <c r="K11" s="78"/>
      <c r="L11" s="87"/>
      <c r="M11" s="87"/>
      <c r="N11" s="79"/>
      <c r="O11" s="89"/>
      <c r="P11" s="129" t="s">
        <v>6</v>
      </c>
      <c r="Q11" s="116">
        <v>1919004</v>
      </c>
      <c r="R11" s="116"/>
      <c r="S11" s="116">
        <v>25368.02</v>
      </c>
      <c r="T11" s="130">
        <f t="shared" si="2"/>
        <v>75.646581798658303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81966.681818181823</v>
      </c>
      <c r="G12" s="90">
        <f t="shared" si="1"/>
        <v>-0.10302411137141021</v>
      </c>
      <c r="H12" s="90"/>
      <c r="I12" s="130">
        <f t="shared" si="0"/>
        <v>83.056075506737471</v>
      </c>
      <c r="J12" s="130"/>
      <c r="K12" s="78"/>
      <c r="L12" s="87"/>
      <c r="M12" s="87"/>
      <c r="N12" s="79"/>
      <c r="O12" s="89"/>
      <c r="P12" s="129" t="s">
        <v>7</v>
      </c>
      <c r="Q12" s="116">
        <v>1803267</v>
      </c>
      <c r="R12" s="116"/>
      <c r="S12" s="116">
        <v>21711.439999999999</v>
      </c>
      <c r="T12" s="130">
        <f t="shared" si="2"/>
        <v>83.056075506737471</v>
      </c>
      <c r="U12" s="85"/>
    </row>
    <row r="13" spans="1:21" ht="15" hidden="1" customHeight="1">
      <c r="A13" s="129" t="s">
        <v>96</v>
      </c>
      <c r="B13" s="131">
        <f>F11+F12+F13</f>
        <v>197066.92467532467</v>
      </c>
      <c r="C13" s="131">
        <f>AVERAGE(F11:F13)</f>
        <v>65688.974891774895</v>
      </c>
      <c r="D13" s="90">
        <f>C13/C10-1</f>
        <v>2.1591725108547313</v>
      </c>
      <c r="E13" s="286"/>
      <c r="F13" s="78">
        <f>Q13/20</f>
        <v>23719.1</v>
      </c>
      <c r="G13" s="90">
        <f t="shared" si="1"/>
        <v>-0.71062510432453996</v>
      </c>
      <c r="H13" s="90"/>
      <c r="I13" s="130">
        <f t="shared" si="0"/>
        <v>200.84592196179378</v>
      </c>
      <c r="J13" s="130"/>
      <c r="K13" s="78">
        <f>R11+R12+R13</f>
        <v>0</v>
      </c>
      <c r="L13" s="87">
        <f>U13/U10-1</f>
        <v>2.2036375017653143</v>
      </c>
      <c r="M13" s="87"/>
      <c r="N13" s="88">
        <f>AVERAGE(T11:T13)</f>
        <v>119.84952642239652</v>
      </c>
      <c r="O13" s="89">
        <f>N13/N10-1</f>
        <v>-0.13891147003643534</v>
      </c>
      <c r="P13" s="129" t="s">
        <v>96</v>
      </c>
      <c r="Q13" s="116">
        <v>474382</v>
      </c>
      <c r="R13" s="116"/>
      <c r="S13" s="116">
        <v>2361.92</v>
      </c>
      <c r="T13" s="130">
        <f t="shared" si="2"/>
        <v>200.84592196179378</v>
      </c>
      <c r="U13" s="85">
        <f>Q11+Q12+Q13</f>
        <v>4196653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80723.600000000006</v>
      </c>
      <c r="G14" s="90">
        <f t="shared" si="1"/>
        <v>2.4033163146999681</v>
      </c>
      <c r="H14" s="90"/>
      <c r="I14" s="130">
        <f t="shared" si="0"/>
        <v>4.2336292720800515</v>
      </c>
      <c r="J14" s="130"/>
      <c r="K14" s="79"/>
      <c r="L14" s="87"/>
      <c r="M14" s="87"/>
      <c r="N14" s="79"/>
      <c r="O14" s="89"/>
      <c r="P14" s="129" t="s">
        <v>97</v>
      </c>
      <c r="Q14" s="116">
        <v>1614472</v>
      </c>
      <c r="R14" s="116"/>
      <c r="S14" s="116">
        <v>381344.68</v>
      </c>
      <c r="T14" s="130">
        <f t="shared" si="2"/>
        <v>4.2336292720800515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89575.818181818177</v>
      </c>
      <c r="G15" s="90">
        <f t="shared" si="1"/>
        <v>0.10966084493033224</v>
      </c>
      <c r="H15" s="90"/>
      <c r="I15" s="130">
        <f t="shared" si="0"/>
        <v>4.1998538008580146</v>
      </c>
      <c r="J15" s="130"/>
      <c r="K15" s="79"/>
      <c r="L15" s="87"/>
      <c r="M15" s="87"/>
      <c r="N15" s="79"/>
      <c r="O15" s="89"/>
      <c r="P15" s="129" t="s">
        <v>98</v>
      </c>
      <c r="Q15" s="116">
        <v>1970668</v>
      </c>
      <c r="R15" s="116"/>
      <c r="S15" s="116">
        <v>469223</v>
      </c>
      <c r="T15" s="130">
        <f t="shared" si="2"/>
        <v>4.1998538008580146</v>
      </c>
      <c r="U15" s="78"/>
    </row>
    <row r="16" spans="1:21" ht="15" hidden="1" customHeight="1">
      <c r="A16" s="129" t="s">
        <v>99</v>
      </c>
      <c r="B16" s="131">
        <f>F14+F15+F16</f>
        <v>210862.82727272727</v>
      </c>
      <c r="C16" s="131">
        <f>AVERAGE(F14:F16)</f>
        <v>70287.609090909085</v>
      </c>
      <c r="D16" s="90">
        <f>C16/C13-1</f>
        <v>7.0006179982418981E-2</v>
      </c>
      <c r="E16" s="286"/>
      <c r="F16" s="78">
        <f>Q16/22</f>
        <v>40563.409090909088</v>
      </c>
      <c r="G16" s="90">
        <f t="shared" si="1"/>
        <v>-0.54716116565550355</v>
      </c>
      <c r="H16" s="90"/>
      <c r="I16" s="130">
        <f t="shared" si="0"/>
        <v>70.312444600274972</v>
      </c>
      <c r="J16" s="130"/>
      <c r="K16" s="78">
        <f>R14+R15+R16</f>
        <v>0</v>
      </c>
      <c r="L16" s="87">
        <f>U16/U13-1</f>
        <v>6.6930003505174307E-2</v>
      </c>
      <c r="M16" s="87"/>
      <c r="N16" s="88">
        <f>AVERAGE(T14:T16)</f>
        <v>26.248642557737679</v>
      </c>
      <c r="O16" s="89">
        <f>N16/N13-1</f>
        <v>-0.78098668103846136</v>
      </c>
      <c r="P16" s="129" t="s">
        <v>99</v>
      </c>
      <c r="Q16" s="116">
        <v>892395</v>
      </c>
      <c r="R16" s="116"/>
      <c r="S16" s="116">
        <v>12691.85</v>
      </c>
      <c r="T16" s="130">
        <f t="shared" si="2"/>
        <v>70.312444600274972</v>
      </c>
      <c r="U16" s="85">
        <f>Q14+Q15+Q16</f>
        <v>4477535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20407.55</v>
      </c>
      <c r="G17" s="90">
        <f t="shared" si="1"/>
        <v>-0.49689756217818337</v>
      </c>
      <c r="H17" s="90">
        <f t="shared" ref="H17:H33" si="3">F17/F5-1</f>
        <v>-0.97432103963326899</v>
      </c>
      <c r="I17" s="130">
        <f t="shared" si="0"/>
        <v>302.1527824046313</v>
      </c>
      <c r="J17" s="130">
        <f t="shared" ref="J17:J49" si="4">I17/I5-1</f>
        <v>0.63080493920045266</v>
      </c>
      <c r="K17" s="79"/>
      <c r="L17" s="87"/>
      <c r="M17" s="87"/>
      <c r="N17" s="79"/>
      <c r="O17" s="89"/>
      <c r="P17" s="129" t="s">
        <v>100</v>
      </c>
      <c r="Q17" s="116">
        <v>408151</v>
      </c>
      <c r="R17" s="116"/>
      <c r="S17" s="116">
        <v>1350.81</v>
      </c>
      <c r="T17" s="130">
        <f t="shared" si="2"/>
        <v>302.1527824046313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18480.7</v>
      </c>
      <c r="G18" s="90">
        <f t="shared" si="1"/>
        <v>-9.4418487275542584E-2</v>
      </c>
      <c r="H18" s="90">
        <f t="shared" si="3"/>
        <v>-0.66906890356366189</v>
      </c>
      <c r="I18" s="130">
        <f t="shared" si="0"/>
        <v>257.17466480194264</v>
      </c>
      <c r="J18" s="130">
        <f t="shared" si="4"/>
        <v>3.7162623504118892</v>
      </c>
      <c r="K18" s="79"/>
      <c r="L18" s="87"/>
      <c r="M18" s="87"/>
      <c r="N18" s="79"/>
      <c r="O18" s="89"/>
      <c r="P18" s="129" t="s">
        <v>106</v>
      </c>
      <c r="Q18" s="116">
        <v>369614</v>
      </c>
      <c r="R18" s="116"/>
      <c r="S18" s="116">
        <v>1437.21</v>
      </c>
      <c r="T18" s="130">
        <f t="shared" si="2"/>
        <v>257.17466480194264</v>
      </c>
      <c r="U18" s="78"/>
    </row>
    <row r="19" spans="1:21" hidden="1">
      <c r="A19" s="129" t="s">
        <v>114</v>
      </c>
      <c r="B19" s="131">
        <f>SUM(F17:F19)</f>
        <v>54040.25</v>
      </c>
      <c r="C19" s="131">
        <f>AVERAGE(F17:F19)</f>
        <v>18013.416666666668</v>
      </c>
      <c r="D19" s="90">
        <f>C19/C16-1</f>
        <v>-0.74371846048471579</v>
      </c>
      <c r="E19" s="286">
        <f>C19/C7-1</f>
        <v>-0.94154237461984791</v>
      </c>
      <c r="F19" s="78">
        <f>Q19/22</f>
        <v>15152</v>
      </c>
      <c r="G19" s="90">
        <f t="shared" si="1"/>
        <v>-0.18011763623672272</v>
      </c>
      <c r="H19" s="90">
        <f t="shared" si="3"/>
        <v>-0.79488656256672385</v>
      </c>
      <c r="I19" s="130">
        <f t="shared" si="0"/>
        <v>163.42715386010755</v>
      </c>
      <c r="J19" s="130">
        <f t="shared" si="4"/>
        <v>0.37090464201393814</v>
      </c>
      <c r="K19" s="78">
        <f>R17+R18+R19</f>
        <v>0</v>
      </c>
      <c r="L19" s="87">
        <f>U19/U16-1</f>
        <v>-0.75184805925581821</v>
      </c>
      <c r="M19" s="87">
        <f>U19/U7-1</f>
        <v>-0.94002028098092583</v>
      </c>
      <c r="N19" s="88">
        <f>AVERAGE(T17:T19)</f>
        <v>240.91820035556046</v>
      </c>
      <c r="O19" s="89">
        <f>N19/N16-1</f>
        <v>8.1783108336222003</v>
      </c>
      <c r="P19" s="129" t="s">
        <v>114</v>
      </c>
      <c r="Q19" s="116">
        <v>333344</v>
      </c>
      <c r="R19" s="116"/>
      <c r="S19" s="116">
        <v>2039.71</v>
      </c>
      <c r="T19" s="130">
        <f t="shared" si="2"/>
        <v>163.42715386010755</v>
      </c>
      <c r="U19" s="85">
        <f>Q17+Q18+Q19</f>
        <v>1111109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51093.8</v>
      </c>
      <c r="G20" s="90">
        <f t="shared" si="1"/>
        <v>2.3720828933474132</v>
      </c>
      <c r="H20" s="90">
        <f t="shared" si="3"/>
        <v>2.4305832475396945</v>
      </c>
      <c r="I20" s="130">
        <f t="shared" si="0"/>
        <v>57.484721384661079</v>
      </c>
      <c r="J20" s="130">
        <f t="shared" si="4"/>
        <v>-0.56501684835739929</v>
      </c>
      <c r="K20" s="79"/>
      <c r="L20" s="87"/>
      <c r="M20" s="87"/>
      <c r="N20" s="79"/>
      <c r="O20" s="89"/>
      <c r="P20" s="129" t="s">
        <v>131</v>
      </c>
      <c r="Q20" s="116">
        <v>1021876</v>
      </c>
      <c r="R20" s="116"/>
      <c r="S20" s="116">
        <v>17776.48</v>
      </c>
      <c r="T20" s="130">
        <f t="shared" si="2"/>
        <v>57.484721384661079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234769.23809523811</v>
      </c>
      <c r="G21" s="90">
        <f t="shared" si="1"/>
        <v>3.5948674417490594</v>
      </c>
      <c r="H21" s="90">
        <f t="shared" si="3"/>
        <v>11.79592308151501</v>
      </c>
      <c r="I21" s="130">
        <f t="shared" si="0"/>
        <v>122.04916372940887</v>
      </c>
      <c r="J21" s="130">
        <f t="shared" si="4"/>
        <v>-0.43457258077120153</v>
      </c>
      <c r="K21" s="79"/>
      <c r="L21" s="87"/>
      <c r="M21" s="87"/>
      <c r="N21" s="79"/>
      <c r="O21" s="89"/>
      <c r="P21" s="129" t="s">
        <v>141</v>
      </c>
      <c r="Q21" s="116">
        <v>4930154</v>
      </c>
      <c r="R21" s="116"/>
      <c r="S21" s="116">
        <v>40394.82</v>
      </c>
      <c r="T21" s="130">
        <f t="shared" si="2"/>
        <v>122.04916372940887</v>
      </c>
      <c r="U21" s="78"/>
    </row>
    <row r="22" spans="1:21" hidden="1">
      <c r="A22" s="129" t="s">
        <v>155</v>
      </c>
      <c r="B22" s="131">
        <f>SUM(F20:F22)</f>
        <v>1022748.1333333333</v>
      </c>
      <c r="C22" s="131">
        <f>AVERAGE(F20:F22)</f>
        <v>340916.04444444441</v>
      </c>
      <c r="D22" s="90">
        <f>C22/C19-1</f>
        <v>17.92567361056496</v>
      </c>
      <c r="E22" s="286">
        <f>C22/C10-1</f>
        <v>15.395637135343307</v>
      </c>
      <c r="F22" s="78">
        <f>Q22/21</f>
        <v>736885.09523809527</v>
      </c>
      <c r="G22" s="90">
        <f t="shared" si="1"/>
        <v>2.1387634138811893</v>
      </c>
      <c r="H22" s="90">
        <f t="shared" si="3"/>
        <v>24.289074501395636</v>
      </c>
      <c r="I22" s="130">
        <f t="shared" si="0"/>
        <v>139.29921667191923</v>
      </c>
      <c r="J22" s="130">
        <f t="shared" si="4"/>
        <v>1.0030255212303967</v>
      </c>
      <c r="K22" s="78">
        <f>R20+R21+R22</f>
        <v>0</v>
      </c>
      <c r="L22" s="87">
        <f>U22/U19-1</f>
        <v>18.283991939584684</v>
      </c>
      <c r="M22" s="87">
        <f>U22/U10-1</f>
        <v>15.356633192489877</v>
      </c>
      <c r="N22" s="88">
        <f>AVERAGE(T20:T22)</f>
        <v>106.27770059532973</v>
      </c>
      <c r="O22" s="89">
        <f>N22/N19-1</f>
        <v>-0.55886396113502756</v>
      </c>
      <c r="P22" s="129" t="s">
        <v>155</v>
      </c>
      <c r="Q22" s="116">
        <v>15474587</v>
      </c>
      <c r="R22" s="116"/>
      <c r="S22" s="116">
        <v>111088.83</v>
      </c>
      <c r="T22" s="130">
        <f t="shared" si="2"/>
        <v>139.29921667191923</v>
      </c>
      <c r="U22" s="85">
        <f>Q20+Q21+Q22</f>
        <v>21426617</v>
      </c>
    </row>
    <row r="23" spans="1:21" hidden="1">
      <c r="A23" s="129" t="s">
        <v>189</v>
      </c>
      <c r="B23" s="131"/>
      <c r="C23" s="131"/>
      <c r="D23" s="117"/>
      <c r="F23" s="78">
        <f>Q23/21</f>
        <v>1267726.4285714286</v>
      </c>
      <c r="G23" s="90">
        <f t="shared" si="1"/>
        <v>0.72038549397150309</v>
      </c>
      <c r="H23" s="90">
        <f t="shared" si="3"/>
        <v>12.872954407598943</v>
      </c>
      <c r="I23" s="130">
        <f t="shared" si="0"/>
        <v>141.55778753390959</v>
      </c>
      <c r="J23" s="130">
        <f t="shared" si="4"/>
        <v>0.87130448155187246</v>
      </c>
      <c r="K23" s="79"/>
      <c r="L23" s="87"/>
      <c r="M23" s="87"/>
      <c r="N23" s="79"/>
      <c r="O23" s="89"/>
      <c r="P23" s="129" t="s">
        <v>189</v>
      </c>
      <c r="Q23" s="116">
        <v>26622255</v>
      </c>
      <c r="R23" s="116"/>
      <c r="S23" s="116">
        <v>188066.34</v>
      </c>
      <c r="T23" s="130">
        <f t="shared" si="2"/>
        <v>141.55778753390959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755997.31818181823</v>
      </c>
      <c r="G24" s="90">
        <f t="shared" si="1"/>
        <v>-0.40365894317298878</v>
      </c>
      <c r="H24" s="90">
        <f t="shared" si="3"/>
        <v>8.2232270650990671</v>
      </c>
      <c r="I24" s="130">
        <f t="shared" si="0"/>
        <v>73.732081438064412</v>
      </c>
      <c r="J24" s="130">
        <f t="shared" si="4"/>
        <v>-0.11226143315568404</v>
      </c>
      <c r="K24" s="79"/>
      <c r="L24" s="87"/>
      <c r="M24" s="87"/>
      <c r="N24" s="79"/>
      <c r="O24" s="89"/>
      <c r="P24" s="129" t="s">
        <v>204</v>
      </c>
      <c r="Q24" s="116">
        <v>16631941</v>
      </c>
      <c r="R24" s="116"/>
      <c r="S24" s="116">
        <v>225572.65</v>
      </c>
      <c r="T24" s="130">
        <f t="shared" si="2"/>
        <v>73.732081438064412</v>
      </c>
      <c r="U24" s="78"/>
    </row>
    <row r="25" spans="1:21" s="92" customFormat="1" ht="13.2" hidden="1">
      <c r="A25" s="129" t="s">
        <v>219</v>
      </c>
      <c r="B25" s="131">
        <f>SUM(F23:F25)</f>
        <v>2885623.0625427207</v>
      </c>
      <c r="C25" s="131">
        <f>AVERAGE(F23:F25)</f>
        <v>961874.3541809069</v>
      </c>
      <c r="D25" s="90">
        <f>C25/C22-1</f>
        <v>1.8214405565697969</v>
      </c>
      <c r="E25" s="286">
        <f>C25/C13-1</f>
        <v>13.642858345188547</v>
      </c>
      <c r="F25" s="78">
        <f>Q25/19</f>
        <v>861899.31578947371</v>
      </c>
      <c r="G25" s="90">
        <f t="shared" si="1"/>
        <v>0.14008250434320435</v>
      </c>
      <c r="H25" s="90">
        <f t="shared" si="3"/>
        <v>35.337774864538439</v>
      </c>
      <c r="I25" s="130">
        <f t="shared" si="0"/>
        <v>66.456057220731225</v>
      </c>
      <c r="J25" s="130">
        <f t="shared" si="4"/>
        <v>-0.6691192105290894</v>
      </c>
      <c r="K25" s="78">
        <f>R23+R24+R25</f>
        <v>0</v>
      </c>
      <c r="L25" s="90">
        <f>U25/U22-1</f>
        <v>1.7830003681869147</v>
      </c>
      <c r="M25" s="90">
        <f>U25/U13-1</f>
        <v>13.209009656028268</v>
      </c>
      <c r="N25" s="88">
        <f>AVERAGE(T23:T25)</f>
        <v>93.915308730901742</v>
      </c>
      <c r="O25" s="91">
        <f>N25/N22-1</f>
        <v>-0.11632159705355205</v>
      </c>
      <c r="P25" s="129" t="s">
        <v>219</v>
      </c>
      <c r="Q25" s="116">
        <v>16376087</v>
      </c>
      <c r="R25" s="116"/>
      <c r="S25" s="116">
        <v>246419.78</v>
      </c>
      <c r="T25" s="130">
        <f t="shared" si="2"/>
        <v>66.456057220731225</v>
      </c>
      <c r="U25" s="85">
        <f>Q23+Q24+Q25</f>
        <v>59630283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1641626.894736842</v>
      </c>
      <c r="G26" s="90">
        <f t="shared" si="1"/>
        <v>0.90466202335148793</v>
      </c>
      <c r="H26" s="90">
        <f t="shared" si="3"/>
        <v>19.336393504958178</v>
      </c>
      <c r="I26" s="130">
        <f t="shared" si="0"/>
        <v>67.167057034622076</v>
      </c>
      <c r="J26" s="130">
        <f t="shared" si="4"/>
        <v>14.865124865225102</v>
      </c>
      <c r="K26" s="79"/>
      <c r="L26" s="90"/>
      <c r="M26" s="90"/>
      <c r="N26" s="79"/>
      <c r="O26" s="79"/>
      <c r="P26" s="129" t="s">
        <v>312</v>
      </c>
      <c r="Q26" s="116">
        <v>31190911</v>
      </c>
      <c r="R26" s="116"/>
      <c r="S26" s="116">
        <v>464378.11</v>
      </c>
      <c r="T26" s="130">
        <f t="shared" si="2"/>
        <v>67.167057034622076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1082522.6363636365</v>
      </c>
      <c r="G27" s="90">
        <f t="shared" si="1"/>
        <v>-0.34057937291703044</v>
      </c>
      <c r="H27" s="90">
        <f t="shared" si="3"/>
        <v>11.084987425583611</v>
      </c>
      <c r="I27" s="130">
        <f t="shared" si="0"/>
        <v>65.510372483391137</v>
      </c>
      <c r="J27" s="130">
        <f t="shared" si="4"/>
        <v>14.598250698633274</v>
      </c>
      <c r="K27" s="79"/>
      <c r="L27" s="90"/>
      <c r="M27" s="90"/>
      <c r="N27" s="79"/>
      <c r="O27" s="79"/>
      <c r="P27" s="129" t="s">
        <v>373</v>
      </c>
      <c r="Q27" s="116">
        <v>23815498</v>
      </c>
      <c r="R27" s="116"/>
      <c r="S27" s="116">
        <v>363537.82</v>
      </c>
      <c r="T27" s="130">
        <f t="shared" si="2"/>
        <v>65.510372483391137</v>
      </c>
      <c r="U27" s="78"/>
    </row>
    <row r="28" spans="1:21" s="92" customFormat="1" ht="13.2" hidden="1">
      <c r="A28" s="123" t="s">
        <v>413</v>
      </c>
      <c r="B28" s="131">
        <f>SUM(F26:F28)</f>
        <v>3809487.1626794259</v>
      </c>
      <c r="C28" s="131">
        <f>AVERAGE(F26:F28)</f>
        <v>1269829.0542264753</v>
      </c>
      <c r="D28" s="90">
        <f>C28/C25-1</f>
        <v>0.32016104671780132</v>
      </c>
      <c r="E28" s="286">
        <f>C28/C16-1</f>
        <v>17.066186496457643</v>
      </c>
      <c r="F28" s="78">
        <f>Q28/19</f>
        <v>1085337.6315789474</v>
      </c>
      <c r="G28" s="90">
        <f t="shared" si="1"/>
        <v>2.6004030962041291E-3</v>
      </c>
      <c r="H28" s="90">
        <f t="shared" si="3"/>
        <v>25.75656844193081</v>
      </c>
      <c r="I28" s="130">
        <f t="shared" si="0"/>
        <v>62.45773715577532</v>
      </c>
      <c r="J28" s="130">
        <f t="shared" si="4"/>
        <v>-0.11171148278449894</v>
      </c>
      <c r="K28" s="78">
        <f>R26+R27+R28</f>
        <v>0</v>
      </c>
      <c r="L28" s="90">
        <f>U28/U25-1</f>
        <v>0.26827880390908088</v>
      </c>
      <c r="M28" s="90">
        <f>U28/U16-1</f>
        <v>15.890504261831566</v>
      </c>
      <c r="N28" s="88">
        <f>AVERAGE(T26:T28)</f>
        <v>65.045055557929516</v>
      </c>
      <c r="O28" s="91">
        <f>N28/N25-1</f>
        <v>-0.30740731796660548</v>
      </c>
      <c r="P28" s="129" t="s">
        <v>413</v>
      </c>
      <c r="Q28" s="116">
        <v>20621415</v>
      </c>
      <c r="R28" s="116"/>
      <c r="S28" s="116">
        <v>330165.90000000002</v>
      </c>
      <c r="T28" s="130">
        <f t="shared" si="2"/>
        <v>62.45773715577532</v>
      </c>
      <c r="U28" s="85">
        <f>Q26+Q27+Q28</f>
        <v>75627824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2002914.9545454546</v>
      </c>
      <c r="G29" s="190">
        <f t="shared" si="1"/>
        <v>0.84543030322427604</v>
      </c>
      <c r="H29" s="190">
        <f t="shared" si="3"/>
        <v>97.145782053477987</v>
      </c>
      <c r="I29" s="130">
        <f t="shared" si="0"/>
        <v>79.763571863982008</v>
      </c>
      <c r="J29" s="130">
        <f t="shared" si="4"/>
        <v>-0.73601576252517931</v>
      </c>
      <c r="K29" s="136"/>
      <c r="L29" s="190"/>
      <c r="M29" s="190"/>
      <c r="N29" s="191"/>
      <c r="O29" s="192"/>
      <c r="P29" s="129" t="s">
        <v>426</v>
      </c>
      <c r="Q29" s="116">
        <v>44064129</v>
      </c>
      <c r="R29" s="116">
        <v>57995311759</v>
      </c>
      <c r="S29" s="116">
        <v>552434.25</v>
      </c>
      <c r="T29" s="130">
        <f t="shared" si="2"/>
        <v>79.763571863982008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2873854.4736842103</v>
      </c>
      <c r="G30" s="190">
        <f t="shared" si="1"/>
        <v>0.43483599598786182</v>
      </c>
      <c r="H30" s="190">
        <f t="shared" si="3"/>
        <v>154.50571535083682</v>
      </c>
      <c r="I30" s="130">
        <f t="shared" si="0"/>
        <v>85.908358550112041</v>
      </c>
      <c r="J30" s="130">
        <f t="shared" si="4"/>
        <v>-0.66595325936840455</v>
      </c>
      <c r="K30" s="136"/>
      <c r="L30" s="190"/>
      <c r="M30" s="190"/>
      <c r="N30" s="191"/>
      <c r="O30" s="192"/>
      <c r="P30" s="129" t="s">
        <v>466</v>
      </c>
      <c r="Q30" s="116">
        <v>54603235</v>
      </c>
      <c r="R30" s="116">
        <v>72770335612</v>
      </c>
      <c r="S30" s="116">
        <v>635598.63</v>
      </c>
      <c r="T30" s="130">
        <f t="shared" si="2"/>
        <v>85.908358550112041</v>
      </c>
      <c r="U30" s="85"/>
    </row>
    <row r="31" spans="1:21" s="92" customFormat="1" ht="13.2" hidden="1">
      <c r="A31" s="129" t="s">
        <v>505</v>
      </c>
      <c r="B31" s="188">
        <f>SUM(F29:F31)</f>
        <v>6711050.5782296658</v>
      </c>
      <c r="C31" s="188">
        <f>AVERAGE(F29:F31)</f>
        <v>2237016.8594098887</v>
      </c>
      <c r="D31" s="190">
        <f>C31/C28-1</f>
        <v>0.76166772367055513</v>
      </c>
      <c r="E31" s="287">
        <f>C31/C19-1</f>
        <v>123.18614973523745</v>
      </c>
      <c r="F31" s="136">
        <f>Q31/20</f>
        <v>1834281.15</v>
      </c>
      <c r="G31" s="190">
        <f t="shared" si="1"/>
        <v>-0.36173485233979263</v>
      </c>
      <c r="H31" s="190">
        <f t="shared" si="3"/>
        <v>120.05868202217529</v>
      </c>
      <c r="I31" s="130">
        <f t="shared" si="0"/>
        <v>85.327852254535927</v>
      </c>
      <c r="J31" s="130">
        <f t="shared" si="4"/>
        <v>-0.47788448713011333</v>
      </c>
      <c r="K31" s="136">
        <f>R29+R30+R31</f>
        <v>179525094305</v>
      </c>
      <c r="L31" s="190">
        <f>U31/U28-1</f>
        <v>0.78972473146920108</v>
      </c>
      <c r="M31" s="190">
        <f>U31/U19-1</f>
        <v>120.81791975404754</v>
      </c>
      <c r="N31" s="191">
        <f>AVERAGE(T29:T31)</f>
        <v>83.666594222876654</v>
      </c>
      <c r="O31" s="192">
        <f>N31/N28-1</f>
        <v>0.28628676699895639</v>
      </c>
      <c r="P31" s="129" t="s">
        <v>505</v>
      </c>
      <c r="Q31" s="116">
        <v>36685623</v>
      </c>
      <c r="R31" s="116">
        <v>48759446934</v>
      </c>
      <c r="S31" s="116">
        <v>429937.26</v>
      </c>
      <c r="T31" s="130">
        <f t="shared" si="2"/>
        <v>85.327852254535927</v>
      </c>
      <c r="U31" s="85">
        <f>Q29+Q30+Q31</f>
        <v>135352987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2588422.8571428573</v>
      </c>
      <c r="G32" s="190">
        <f t="shared" si="1"/>
        <v>0.41113746774471149</v>
      </c>
      <c r="H32" s="190">
        <f t="shared" si="3"/>
        <v>49.660214294941014</v>
      </c>
      <c r="I32" s="130">
        <f t="shared" si="0"/>
        <v>88.367524527337878</v>
      </c>
      <c r="J32" s="130">
        <f t="shared" si="4"/>
        <v>0.53723497998752423</v>
      </c>
      <c r="K32" s="136"/>
      <c r="L32" s="190"/>
      <c r="M32" s="190"/>
      <c r="N32" s="191"/>
      <c r="O32" s="192"/>
      <c r="P32" s="129" t="s">
        <v>561</v>
      </c>
      <c r="Q32" s="116">
        <v>54356880</v>
      </c>
      <c r="R32" s="116">
        <v>73863533379</v>
      </c>
      <c r="S32" s="116">
        <v>615122.81000000006</v>
      </c>
      <c r="T32" s="130">
        <f t="shared" si="2"/>
        <v>88.367524527337878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2193346.0476190476</v>
      </c>
      <c r="G33" s="190">
        <f t="shared" si="1"/>
        <v>-0.15263225188789353</v>
      </c>
      <c r="H33" s="190">
        <f t="shared" si="3"/>
        <v>8.3425615102489701</v>
      </c>
      <c r="I33" s="130">
        <f t="shared" si="0"/>
        <v>85.487294427077344</v>
      </c>
      <c r="J33" s="130">
        <f t="shared" si="4"/>
        <v>-0.29956673347956431</v>
      </c>
      <c r="K33" s="136"/>
      <c r="L33" s="190"/>
      <c r="M33" s="190"/>
      <c r="N33" s="191"/>
      <c r="O33" s="192"/>
      <c r="P33" s="129" t="s">
        <v>607</v>
      </c>
      <c r="Q33" s="116">
        <v>46060267</v>
      </c>
      <c r="R33" s="116">
        <v>63107742724</v>
      </c>
      <c r="S33" s="116">
        <v>538796.64</v>
      </c>
      <c r="T33" s="130">
        <f t="shared" si="2"/>
        <v>85.487294427077344</v>
      </c>
      <c r="U33" s="85"/>
    </row>
    <row r="34" spans="1:21" s="92" customFormat="1" ht="13.2" hidden="1">
      <c r="A34" s="129" t="s">
        <v>653</v>
      </c>
      <c r="B34" s="188">
        <f>SUM(F32:F34)</f>
        <v>7612191.4837092739</v>
      </c>
      <c r="C34" s="188">
        <f>AVERAGE(F32:F34)</f>
        <v>2537397.1612364245</v>
      </c>
      <c r="D34" s="190">
        <f>C34/C31-1</f>
        <v>0.13427717389030946</v>
      </c>
      <c r="E34" s="287">
        <f>C34/C22-1</f>
        <v>6.4428798602640072</v>
      </c>
      <c r="F34" s="136">
        <f>Q34/19</f>
        <v>2830422.5789473685</v>
      </c>
      <c r="G34" s="190">
        <f t="shared" ref="G34" si="5">F34/F33-1</f>
        <v>0.29045874089038048</v>
      </c>
      <c r="H34" s="190">
        <f t="shared" ref="H34" si="6">F34/F22-1</f>
        <v>2.8410636844714974</v>
      </c>
      <c r="I34" s="130">
        <f t="shared" si="0"/>
        <v>87.702630999231488</v>
      </c>
      <c r="J34" s="130">
        <f t="shared" si="4"/>
        <v>-0.37040111858065383</v>
      </c>
      <c r="K34" s="136">
        <f>R32+R33+R34</f>
        <v>210828236544</v>
      </c>
      <c r="L34" s="190">
        <f>U34/U31-1</f>
        <v>0.13920778120692678</v>
      </c>
      <c r="M34" s="190">
        <f>U34/U22-1</f>
        <v>6.1964312425055246</v>
      </c>
      <c r="N34" s="191">
        <f>AVERAGE(T32:T34)</f>
        <v>87.185816651215575</v>
      </c>
      <c r="O34" s="192">
        <f>N34/N31-1</f>
        <v>4.2062455882501792E-2</v>
      </c>
      <c r="P34" s="129" t="s">
        <v>653</v>
      </c>
      <c r="Q34" s="116">
        <v>53778029</v>
      </c>
      <c r="R34" s="116">
        <v>73856960441</v>
      </c>
      <c r="S34" s="116">
        <v>613186.04</v>
      </c>
      <c r="T34" s="130">
        <f t="shared" ref="T34" si="7">Q34/S34</f>
        <v>87.702630999231488</v>
      </c>
      <c r="U34" s="85">
        <f>Q32+Q33+Q34</f>
        <v>154195176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1523594.1304347827</v>
      </c>
      <c r="G35" s="190">
        <f t="shared" ref="G35" si="8">F35/F34-1</f>
        <v>-0.46170789416137081</v>
      </c>
      <c r="H35" s="190">
        <f t="shared" ref="H35" si="9">F35/F23-1</f>
        <v>0.20183195372181784</v>
      </c>
      <c r="I35" s="130">
        <f t="shared" si="0"/>
        <v>84.692910884480824</v>
      </c>
      <c r="J35" s="130">
        <f t="shared" si="4"/>
        <v>-0.40170786531830338</v>
      </c>
      <c r="K35" s="136"/>
      <c r="L35" s="190"/>
      <c r="M35" s="190"/>
      <c r="N35" s="191"/>
      <c r="O35" s="192"/>
      <c r="P35" s="129" t="s">
        <v>660</v>
      </c>
      <c r="Q35" s="116">
        <v>35042665</v>
      </c>
      <c r="R35" s="116">
        <v>48476109355</v>
      </c>
      <c r="S35" s="116">
        <v>413761.49</v>
      </c>
      <c r="T35" s="130">
        <f t="shared" ref="T35" si="10">Q35/S35</f>
        <v>84.692910884480824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2149317.2857142859</v>
      </c>
      <c r="G36" s="190">
        <f t="shared" ref="G36" si="11">F36/F35-1</f>
        <v>0.41068887230547602</v>
      </c>
      <c r="H36" s="190">
        <f t="shared" ref="H36" si="12">F36/F24-1</f>
        <v>1.843022367967412</v>
      </c>
      <c r="I36" s="130">
        <f t="shared" si="0"/>
        <v>78.090892830764446</v>
      </c>
      <c r="J36" s="130">
        <f t="shared" si="4"/>
        <v>5.9116890608350348E-2</v>
      </c>
      <c r="K36" s="136"/>
      <c r="L36" s="190"/>
      <c r="M36" s="190"/>
      <c r="N36" s="191"/>
      <c r="O36" s="192"/>
      <c r="P36" s="129" t="s">
        <v>667</v>
      </c>
      <c r="Q36" s="116">
        <v>45135663</v>
      </c>
      <c r="R36" s="116">
        <v>61756516257</v>
      </c>
      <c r="S36" s="116">
        <v>577988.81999999995</v>
      </c>
      <c r="T36" s="130">
        <f t="shared" ref="T36" si="13">Q36/S36</f>
        <v>78.090892830764446</v>
      </c>
      <c r="U36" s="85"/>
    </row>
    <row r="37" spans="1:21" s="92" customFormat="1" ht="13.2" hidden="1">
      <c r="A37" s="129" t="s">
        <v>702</v>
      </c>
      <c r="B37" s="188">
        <f>SUM(F35:F37)</f>
        <v>6408015.8605935127</v>
      </c>
      <c r="C37" s="188">
        <f>AVERAGE(F35:F37)</f>
        <v>2136005.2868645042</v>
      </c>
      <c r="D37" s="190">
        <f>C37/C34-1</f>
        <v>-0.15819040097622317</v>
      </c>
      <c r="E37" s="287">
        <f>C37/C25-1</f>
        <v>1.2206697554416444</v>
      </c>
      <c r="F37" s="136">
        <f>Q37/18</f>
        <v>2735104.4444444445</v>
      </c>
      <c r="G37" s="190">
        <f t="shared" ref="G37" si="14">F37/F36-1</f>
        <v>0.27254568816975899</v>
      </c>
      <c r="H37" s="190">
        <f t="shared" ref="H37" si="15">F37/F25-1</f>
        <v>2.1733456499372803</v>
      </c>
      <c r="I37" s="130">
        <f t="shared" si="0"/>
        <v>89.795400520709535</v>
      </c>
      <c r="J37" s="130">
        <f t="shared" si="4"/>
        <v>0.35119963892016015</v>
      </c>
      <c r="K37" s="136">
        <f>R35+R36+R37</f>
        <v>176017056730</v>
      </c>
      <c r="L37" s="190">
        <f>U37/U34-1</f>
        <v>-0.16073763552758613</v>
      </c>
      <c r="M37" s="190">
        <f>U37/U25-1</f>
        <v>1.1702095225675855</v>
      </c>
      <c r="N37" s="191">
        <f>AVERAGE(T35:T37)</f>
        <v>84.193068078651592</v>
      </c>
      <c r="O37" s="192">
        <f>N37/N34-1</f>
        <v>-3.432609439831702E-2</v>
      </c>
      <c r="P37" s="129" t="s">
        <v>702</v>
      </c>
      <c r="Q37" s="116">
        <v>49231880</v>
      </c>
      <c r="R37" s="116">
        <v>65784431118</v>
      </c>
      <c r="S37" s="116">
        <v>548267.28</v>
      </c>
      <c r="T37" s="130">
        <f t="shared" ref="T37" si="16">Q37/S37</f>
        <v>89.795400520709535</v>
      </c>
      <c r="U37" s="85">
        <f>Q35+Q36+Q37</f>
        <v>129410208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2985441.65</v>
      </c>
      <c r="G38" s="190">
        <f t="shared" ref="G38" si="17">F38/F37-1</f>
        <v>9.1527475692579685E-2</v>
      </c>
      <c r="H38" s="190">
        <f t="shared" ref="H38" si="18">F38/F26-1</f>
        <v>0.81858719516079548</v>
      </c>
      <c r="I38" s="130">
        <f t="shared" si="0"/>
        <v>90.696032056866414</v>
      </c>
      <c r="J38" s="130">
        <f t="shared" si="4"/>
        <v>0.35030528448069487</v>
      </c>
      <c r="K38" s="136"/>
      <c r="L38" s="190"/>
      <c r="M38" s="190"/>
      <c r="N38" s="191"/>
      <c r="O38" s="192"/>
      <c r="P38" s="129" t="s">
        <v>728</v>
      </c>
      <c r="Q38" s="116">
        <v>59708833</v>
      </c>
      <c r="R38" s="116">
        <v>80713027209</v>
      </c>
      <c r="S38" s="116">
        <v>658340.07999999996</v>
      </c>
      <c r="T38" s="130">
        <f t="shared" ref="T38" si="19">Q38/S38</f>
        <v>90.696032056866414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1677302.9047619049</v>
      </c>
      <c r="G39" s="190">
        <f t="shared" ref="G39" si="20">F39/F38-1</f>
        <v>-0.43817260512798673</v>
      </c>
      <c r="H39" s="190">
        <f t="shared" ref="H39" si="21">F39/F27-1</f>
        <v>0.54943910493754533</v>
      </c>
      <c r="I39" s="130">
        <f t="shared" si="0"/>
        <v>88.850168564621484</v>
      </c>
      <c r="J39" s="130">
        <f t="shared" si="4"/>
        <v>0.35627634520239826</v>
      </c>
      <c r="K39" s="136"/>
      <c r="L39" s="190"/>
      <c r="M39" s="190"/>
      <c r="N39" s="191"/>
      <c r="O39" s="192"/>
      <c r="P39" s="129" t="s">
        <v>762</v>
      </c>
      <c r="Q39" s="116">
        <v>35223361</v>
      </c>
      <c r="R39" s="116">
        <v>48960918818</v>
      </c>
      <c r="S39" s="116">
        <v>396435.5</v>
      </c>
      <c r="T39" s="130">
        <f t="shared" ref="T39" si="22">Q39/S39</f>
        <v>88.850168564621484</v>
      </c>
      <c r="U39" s="85"/>
    </row>
    <row r="40" spans="1:21" s="92" customFormat="1" ht="13.2" hidden="1">
      <c r="A40" s="129" t="s">
        <v>778</v>
      </c>
      <c r="B40" s="188">
        <f>SUM(F38:F40)</f>
        <v>6771853.2690476198</v>
      </c>
      <c r="C40" s="188">
        <f>AVERAGE(F38:F40)</f>
        <v>2257284.4230158734</v>
      </c>
      <c r="D40" s="190">
        <f>C40/C37-1</f>
        <v>5.6778481259940117E-2</v>
      </c>
      <c r="E40" s="287">
        <f>C40/C28-1</f>
        <v>0.77762858355049458</v>
      </c>
      <c r="F40" s="136">
        <f>Q40/21</f>
        <v>2109108.7142857141</v>
      </c>
      <c r="G40" s="190">
        <f t="shared" ref="G40" si="23">F40/F39-1</f>
        <v>0.25744056621967437</v>
      </c>
      <c r="H40" s="190">
        <f t="shared" ref="H40" si="24">F40/F28-1</f>
        <v>0.94327428895779297</v>
      </c>
      <c r="I40" s="130">
        <f t="shared" si="0"/>
        <v>87.232926082192662</v>
      </c>
      <c r="J40" s="130">
        <f t="shared" si="4"/>
        <v>0.39667125410941084</v>
      </c>
      <c r="K40" s="136">
        <f>R38+R39+R40</f>
        <v>192395202577</v>
      </c>
      <c r="L40" s="190">
        <f>U40/U37-1</f>
        <v>7.583071808369235E-2</v>
      </c>
      <c r="M40" s="190">
        <f>U40/U28-1</f>
        <v>0.84090285342600901</v>
      </c>
      <c r="N40" s="191">
        <f>AVERAGE(T38:T40)</f>
        <v>88.926375567893515</v>
      </c>
      <c r="O40" s="192">
        <f>N40/N37-1</f>
        <v>5.6219681706101365E-2</v>
      </c>
      <c r="P40" s="129" t="s">
        <v>778</v>
      </c>
      <c r="Q40" s="116">
        <v>44291283</v>
      </c>
      <c r="R40" s="116">
        <v>62721256550</v>
      </c>
      <c r="S40" s="116">
        <v>507735.84</v>
      </c>
      <c r="T40" s="130">
        <f t="shared" ref="T40" si="25">Q40/S40</f>
        <v>87.232926082192662</v>
      </c>
      <c r="U40" s="85">
        <f>Q38+Q39+Q40</f>
        <v>139223477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2732834.111111111</v>
      </c>
      <c r="G41" s="190">
        <f t="shared" ref="G41" si="26">F41/F40-1</f>
        <v>0.29572937260212884</v>
      </c>
      <c r="H41" s="190">
        <f t="shared" ref="H41" si="27">F41/F29-1</f>
        <v>0.3644284321254696</v>
      </c>
      <c r="I41" s="130">
        <f t="shared" si="0"/>
        <v>71.590375273406579</v>
      </c>
      <c r="J41" s="130">
        <f t="shared" si="4"/>
        <v>-0.10246778572695936</v>
      </c>
      <c r="K41" s="194"/>
      <c r="L41" s="202"/>
      <c r="M41" s="202"/>
      <c r="N41" s="194"/>
      <c r="O41" s="194"/>
      <c r="P41" s="129" t="s">
        <v>790</v>
      </c>
      <c r="Q41" s="116">
        <v>49191014</v>
      </c>
      <c r="R41" s="116">
        <v>71877371706</v>
      </c>
      <c r="S41" s="116">
        <v>687117.7</v>
      </c>
      <c r="T41" s="130">
        <f t="shared" ref="T41" si="28">Q41/S41</f>
        <v>71.590375273406579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2233330.75</v>
      </c>
      <c r="G42" s="190">
        <f t="shared" ref="G42" si="29">F42/F41-1</f>
        <v>-0.18277851519791799</v>
      </c>
      <c r="H42" s="190">
        <f t="shared" ref="H42" si="30">F42/F30-1</f>
        <v>-0.22287966546304439</v>
      </c>
      <c r="I42" s="130">
        <f t="shared" si="0"/>
        <v>72.085573011814532</v>
      </c>
      <c r="J42" s="130">
        <f t="shared" si="4"/>
        <v>-0.16090152077849795</v>
      </c>
      <c r="K42" s="194"/>
      <c r="L42" s="202"/>
      <c r="M42" s="202"/>
      <c r="N42" s="194"/>
      <c r="O42" s="194"/>
      <c r="P42" s="129" t="s">
        <v>829</v>
      </c>
      <c r="Q42" s="116">
        <v>44666615</v>
      </c>
      <c r="R42" s="116">
        <v>64461269259</v>
      </c>
      <c r="S42" s="116">
        <v>619633.21</v>
      </c>
      <c r="T42" s="130">
        <f t="shared" ref="T42" si="31">Q42/S42</f>
        <v>72.085573011814532</v>
      </c>
      <c r="U42" s="175"/>
    </row>
    <row r="43" spans="1:21" s="92" customFormat="1" ht="13.2">
      <c r="A43" s="129" t="s">
        <v>835</v>
      </c>
      <c r="B43" s="188">
        <f>SUM(F41:F43)</f>
        <v>7357455.9111111108</v>
      </c>
      <c r="C43" s="188">
        <f>AVERAGE(F41:F43)</f>
        <v>2452485.3037037035</v>
      </c>
      <c r="D43" s="190">
        <f>C43/C40-1</f>
        <v>8.6475979144457815E-2</v>
      </c>
      <c r="E43" s="287">
        <f>C43/C31-1</f>
        <v>9.6319544212399855E-2</v>
      </c>
      <c r="F43" s="136">
        <f>Q43/20</f>
        <v>2391291.0499999998</v>
      </c>
      <c r="G43" s="190">
        <f t="shared" ref="G43" si="32">F43/F42-1</f>
        <v>7.0728574350216622E-2</v>
      </c>
      <c r="H43" s="190">
        <f t="shared" ref="H43" si="33">F43/F31-1</f>
        <v>0.3036665889522987</v>
      </c>
      <c r="I43" s="130">
        <f t="shared" si="0"/>
        <v>85.66752078957856</v>
      </c>
      <c r="J43" s="130">
        <f t="shared" si="4"/>
        <v>3.9807463339096572E-3</v>
      </c>
      <c r="K43" s="136">
        <f>R41+R42+R43</f>
        <v>205542438361</v>
      </c>
      <c r="L43" s="190">
        <f>U43/U40-1</f>
        <v>1.7669239793515645E-2</v>
      </c>
      <c r="M43" s="190">
        <f>K43/K31-1</f>
        <v>0.14492316050144183</v>
      </c>
      <c r="N43" s="191">
        <f>AVERAGE(T41:T43)</f>
        <v>76.447823024933228</v>
      </c>
      <c r="O43" s="192">
        <f>N43/N40-1</f>
        <v>-0.14032453772315456</v>
      </c>
      <c r="P43" s="129" t="s">
        <v>835</v>
      </c>
      <c r="Q43" s="116">
        <v>47825821</v>
      </c>
      <c r="R43" s="116">
        <v>69203797396</v>
      </c>
      <c r="S43" s="116">
        <v>558272.5</v>
      </c>
      <c r="T43" s="130">
        <f t="shared" ref="T43" si="34">Q43/S43</f>
        <v>85.66752078957856</v>
      </c>
      <c r="U43" s="85">
        <f>Q41+Q42+Q43</f>
        <v>141683450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2626717.4090909092</v>
      </c>
      <c r="G44" s="190">
        <f t="shared" ref="G44" si="35">F44/F43-1</f>
        <v>9.8451570372794839E-2</v>
      </c>
      <c r="H44" s="190">
        <f t="shared" ref="H44" si="36">F44/F32-1</f>
        <v>1.4794550219017211E-2</v>
      </c>
      <c r="I44" s="130">
        <f t="shared" si="0"/>
        <v>79.745518548050939</v>
      </c>
      <c r="J44" s="130">
        <f t="shared" si="4"/>
        <v>-9.7569848486811273E-2</v>
      </c>
      <c r="K44" s="136"/>
      <c r="L44" s="190"/>
      <c r="M44" s="190"/>
      <c r="N44" s="191"/>
      <c r="O44" s="192"/>
      <c r="P44" s="129" t="s">
        <v>839</v>
      </c>
      <c r="Q44" s="116">
        <v>57787783</v>
      </c>
      <c r="R44" s="116">
        <v>83692358846</v>
      </c>
      <c r="S44" s="116">
        <v>724652.42</v>
      </c>
      <c r="T44" s="130">
        <f t="shared" ref="T44" si="37">Q44/S44</f>
        <v>79.745518548050939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2599858.75</v>
      </c>
      <c r="G45" s="190">
        <f t="shared" ref="G45" si="38">F45/F44-1</f>
        <v>-1.0225180294596181E-2</v>
      </c>
      <c r="H45" s="190">
        <f t="shared" ref="H45" si="39">F45/F33-1</f>
        <v>0.1853390634926193</v>
      </c>
      <c r="I45" s="130">
        <f t="shared" si="0"/>
        <v>90.813576668724636</v>
      </c>
      <c r="J45" s="130">
        <f t="shared" si="4"/>
        <v>6.2304957448275911E-2</v>
      </c>
      <c r="K45" s="136"/>
      <c r="L45" s="190"/>
      <c r="M45" s="190"/>
      <c r="N45" s="191"/>
      <c r="O45" s="192"/>
      <c r="P45" s="129" t="s">
        <v>848</v>
      </c>
      <c r="Q45" s="116">
        <v>51997175</v>
      </c>
      <c r="R45" s="116">
        <v>73309804833</v>
      </c>
      <c r="S45" s="116">
        <v>572570.5</v>
      </c>
      <c r="T45" s="130">
        <f t="shared" ref="T45" si="40">Q45/S45</f>
        <v>90.813576668724636</v>
      </c>
      <c r="U45" s="85"/>
    </row>
    <row r="46" spans="1:21" s="92" customFormat="1" ht="13.2">
      <c r="A46" s="129" t="s">
        <v>888</v>
      </c>
      <c r="B46" s="188">
        <f>SUM(F44:F46)</f>
        <v>5444000.4748803824</v>
      </c>
      <c r="C46" s="188">
        <f>AVERAGE(F44:F46)</f>
        <v>1814666.8249601275</v>
      </c>
      <c r="D46" s="190">
        <f>C46/C43-1</f>
        <v>-0.26007025517353877</v>
      </c>
      <c r="E46" s="287">
        <f>C46/C34-1</f>
        <v>-0.28483138048602707</v>
      </c>
      <c r="F46" s="136">
        <f>Q46/19</f>
        <v>217424.31578947368</v>
      </c>
      <c r="G46" s="190">
        <f t="shared" ref="G46" si="41">F46/F45-1</f>
        <v>-0.91637071983642437</v>
      </c>
      <c r="H46" s="190">
        <f t="shared" ref="H46" si="42">F46/F34-1</f>
        <v>-0.92318309025420031</v>
      </c>
      <c r="I46" s="130">
        <f t="shared" si="0"/>
        <v>68.293101458782232</v>
      </c>
      <c r="J46" s="130">
        <f t="shared" si="4"/>
        <v>-0.22131068725428926</v>
      </c>
      <c r="K46" s="136">
        <f>R44+R45+R46</f>
        <v>162678320123</v>
      </c>
      <c r="L46" s="190">
        <f>U46/U43-1</f>
        <v>-0.19598217011231733</v>
      </c>
      <c r="M46" s="190">
        <f>K46/K34-1</f>
        <v>-0.22838457129982714</v>
      </c>
      <c r="N46" s="191">
        <f>AVERAGE(T44:T46)</f>
        <v>79.617398891852602</v>
      </c>
      <c r="O46" s="192">
        <f>N46/N43-1</f>
        <v>4.1460642586063301E-2</v>
      </c>
      <c r="P46" s="129" t="s">
        <v>888</v>
      </c>
      <c r="Q46" s="116">
        <v>4131062</v>
      </c>
      <c r="R46" s="116">
        <v>5676156444</v>
      </c>
      <c r="S46" s="116">
        <v>60490.18</v>
      </c>
      <c r="T46" s="130">
        <f t="shared" ref="T46" si="43">Q46/S46</f>
        <v>68.293101458782232</v>
      </c>
      <c r="U46" s="85">
        <f t="shared" ref="U46:U51" si="44">Q44+Q45+Q46</f>
        <v>113916020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54978.913043478264</v>
      </c>
      <c r="G47" s="190">
        <f t="shared" ref="G47" si="45">F47/F46-1</f>
        <v>-0.74713539815522334</v>
      </c>
      <c r="H47" s="190">
        <f t="shared" ref="H47" si="46">F47/F35-1</f>
        <v>-0.96391498763007899</v>
      </c>
      <c r="I47" s="130">
        <f t="shared" si="0"/>
        <v>63.034377629516783</v>
      </c>
      <c r="J47" s="130">
        <f t="shared" si="4"/>
        <v>-0.25573017893440664</v>
      </c>
      <c r="K47" s="136"/>
      <c r="L47" s="190"/>
      <c r="M47" s="190"/>
      <c r="N47" s="191"/>
      <c r="O47" s="192"/>
      <c r="P47" s="129" t="s">
        <v>991</v>
      </c>
      <c r="Q47" s="116">
        <v>1264515</v>
      </c>
      <c r="R47" s="116">
        <v>1726129734</v>
      </c>
      <c r="S47" s="116">
        <v>20060.72</v>
      </c>
      <c r="T47" s="130">
        <f t="shared" ref="T47" si="47">Q47/S47</f>
        <v>63.034377629516783</v>
      </c>
      <c r="U47" s="85">
        <f t="shared" si="44"/>
        <v>57392752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286392.55</v>
      </c>
      <c r="G48" s="190">
        <f t="shared" ref="G48" si="48">F48/F47-1</f>
        <v>4.2091344507577997</v>
      </c>
      <c r="H48" s="190">
        <f t="shared" ref="H48" si="49">F48/F36-1</f>
        <v>-0.86675185096981955</v>
      </c>
      <c r="I48" s="130">
        <f t="shared" si="0"/>
        <v>53.674794998743373</v>
      </c>
      <c r="J48" s="130">
        <f t="shared" si="4"/>
        <v>-0.31266255189237868</v>
      </c>
      <c r="K48" s="136"/>
      <c r="L48" s="190"/>
      <c r="M48" s="190"/>
      <c r="N48" s="191"/>
      <c r="O48" s="192"/>
      <c r="P48" s="129" t="s">
        <v>1143</v>
      </c>
      <c r="Q48" s="116">
        <v>5727851</v>
      </c>
      <c r="R48" s="116">
        <v>7941010977</v>
      </c>
      <c r="S48" s="116">
        <v>106713.98</v>
      </c>
      <c r="T48" s="130">
        <f t="shared" ref="T48" si="50">Q48/S48</f>
        <v>53.674794998743373</v>
      </c>
      <c r="U48" s="85">
        <f t="shared" si="44"/>
        <v>11123428</v>
      </c>
    </row>
    <row r="49" spans="1:26" ht="13.2">
      <c r="A49" s="129" t="s">
        <v>1207</v>
      </c>
      <c r="B49" s="188">
        <f>SUM(F47:F49)</f>
        <v>1143731.9630434783</v>
      </c>
      <c r="C49" s="188">
        <f>AVERAGE(F47:F49)</f>
        <v>381243.98768115946</v>
      </c>
      <c r="D49" s="190">
        <f>C49/C46-1</f>
        <v>-0.78990965039021077</v>
      </c>
      <c r="E49" s="287">
        <f>C49/C37-1</f>
        <v>-0.8215154288120714</v>
      </c>
      <c r="F49" s="136">
        <f>Q49/22</f>
        <v>802360.5</v>
      </c>
      <c r="G49" s="190">
        <f t="shared" ref="G49" si="51">F49/F48-1</f>
        <v>1.8016109357593275</v>
      </c>
      <c r="H49" s="190">
        <f t="shared" ref="H49" si="52">F49/F37-1</f>
        <v>-0.70664356104215398</v>
      </c>
      <c r="I49" s="130">
        <f t="shared" si="0"/>
        <v>81.699420307670891</v>
      </c>
      <c r="J49" s="130">
        <f t="shared" si="4"/>
        <v>-9.0160299593200932E-2</v>
      </c>
      <c r="K49" s="136">
        <f>R47+R48+R49</f>
        <v>34190843781</v>
      </c>
      <c r="L49" s="190">
        <f>U49/U46-1</f>
        <v>-0.78366258757986806</v>
      </c>
      <c r="M49" s="190">
        <f>K49/K37-1</f>
        <v>-0.80575266729151829</v>
      </c>
      <c r="N49" s="191">
        <f>AVERAGE(T47:T49)</f>
        <v>66.136197645310347</v>
      </c>
      <c r="O49" s="192">
        <f>N49/N46-1</f>
        <v>-0.16932481384947395</v>
      </c>
      <c r="P49" s="129" t="s">
        <v>1192</v>
      </c>
      <c r="Q49" s="116">
        <v>17651931</v>
      </c>
      <c r="R49" s="116">
        <v>24523703070</v>
      </c>
      <c r="S49" s="116">
        <v>216059.44</v>
      </c>
      <c r="T49" s="130">
        <f t="shared" ref="T49" si="53">Q49/S49</f>
        <v>81.699420307670891</v>
      </c>
      <c r="U49" s="85">
        <f t="shared" si="44"/>
        <v>24644297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1394002.888888889</v>
      </c>
      <c r="G50" s="190">
        <f t="shared" ref="G50" si="54">F50/F49-1</f>
        <v>0.73737726232645917</v>
      </c>
      <c r="H50" s="190">
        <f t="shared" ref="H50" si="55">F50/F38-1</f>
        <v>-0.53306644298712413</v>
      </c>
      <c r="I50" s="130">
        <f t="shared" ref="I50" si="56">T50</f>
        <v>94.755126554400775</v>
      </c>
      <c r="J50" s="130">
        <f t="shared" ref="J50" si="57">I50/I38-1</f>
        <v>4.4754929245298225E-2</v>
      </c>
      <c r="K50" s="136"/>
      <c r="L50" s="190"/>
      <c r="M50" s="190"/>
      <c r="N50" s="191"/>
      <c r="O50" s="192"/>
      <c r="P50" s="129" t="s">
        <v>1291</v>
      </c>
      <c r="Q50" s="116">
        <v>25092052</v>
      </c>
      <c r="R50" s="116">
        <v>35713051009</v>
      </c>
      <c r="S50" s="116">
        <v>264809.44</v>
      </c>
      <c r="T50" s="130">
        <f t="shared" ref="T50" si="58">Q50/S50</f>
        <v>94.755126554400775</v>
      </c>
      <c r="U50" s="85">
        <f t="shared" si="44"/>
        <v>48471834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5646622.5499999998</v>
      </c>
      <c r="G51" s="190">
        <f t="shared" ref="G51:G52" si="59">F51/F50-1</f>
        <v>3.0506534061064432</v>
      </c>
      <c r="H51" s="190">
        <f t="shared" ref="H51:H52" si="60">F51/F39-1</f>
        <v>2.3664894599354103</v>
      </c>
      <c r="I51" s="130">
        <f t="shared" ref="I51:I52" si="61">T51</f>
        <v>94.395558976334684</v>
      </c>
      <c r="J51" s="130">
        <f t="shared" ref="J51:J52" si="62">I51/I39-1</f>
        <v>6.2412829387937352E-2</v>
      </c>
      <c r="K51" s="136"/>
      <c r="L51" s="190"/>
      <c r="M51" s="190"/>
      <c r="N51" s="191"/>
      <c r="O51" s="192"/>
      <c r="P51" s="129" t="s">
        <v>1402</v>
      </c>
      <c r="Q51" s="116">
        <v>112932451</v>
      </c>
      <c r="R51" s="116">
        <v>163191096770</v>
      </c>
      <c r="S51" s="116">
        <v>1196374.6200000001</v>
      </c>
      <c r="T51" s="130">
        <f t="shared" ref="T51:T52" si="63">Q51/S51</f>
        <v>94.395558976334684</v>
      </c>
      <c r="U51" s="85">
        <f t="shared" si="44"/>
        <v>155676434</v>
      </c>
    </row>
    <row r="52" spans="1:26" s="79" customFormat="1" ht="13.2">
      <c r="A52" s="129" t="s">
        <v>1403</v>
      </c>
      <c r="B52" s="188">
        <f>SUM(F50:F52)</f>
        <v>9629794.0297979787</v>
      </c>
      <c r="C52" s="188">
        <f>AVERAGE(F50:F52)</f>
        <v>3209931.3432659931</v>
      </c>
      <c r="D52" s="190">
        <f>C52/C49-1</f>
        <v>7.419624825534326</v>
      </c>
      <c r="E52" s="287">
        <f>C52/C40-1</f>
        <v>0.42203229266842834</v>
      </c>
      <c r="F52" s="136">
        <f>Q52/22</f>
        <v>2589168.5909090908</v>
      </c>
      <c r="G52" s="190">
        <f t="shared" si="59"/>
        <v>-0.54146597050141221</v>
      </c>
      <c r="H52" s="190">
        <f t="shared" si="60"/>
        <v>0.22761267514176353</v>
      </c>
      <c r="I52" s="130">
        <f t="shared" si="61"/>
        <v>92.82928792196499</v>
      </c>
      <c r="J52" s="130">
        <f t="shared" si="62"/>
        <v>6.41542372945203E-2</v>
      </c>
      <c r="K52" s="136">
        <f>R50+R51+R52</f>
        <v>282675429628</v>
      </c>
      <c r="L52" s="190">
        <f>U52/U49-1</f>
        <v>6.9120216738176792</v>
      </c>
      <c r="M52" s="190">
        <f>K52/K40-1</f>
        <v>0.46924364974676669</v>
      </c>
      <c r="N52" s="191">
        <f>AVERAGE(T50:T52)</f>
        <v>93.993324484233483</v>
      </c>
      <c r="O52" s="192">
        <f>N52/N49-1</f>
        <v>0.42120847328298838</v>
      </c>
      <c r="P52" s="129" t="s">
        <v>1403</v>
      </c>
      <c r="Q52" s="116">
        <v>56961709</v>
      </c>
      <c r="R52" s="116">
        <v>83771281849</v>
      </c>
      <c r="S52" s="116">
        <v>613617.86</v>
      </c>
      <c r="T52" s="130">
        <f t="shared" si="63"/>
        <v>92.82928792196499</v>
      </c>
      <c r="U52" s="85">
        <f t="shared" ref="U52" si="64">Q50+Q51+Q52</f>
        <v>194986212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3223889.6666666665</v>
      </c>
      <c r="G53" s="190">
        <f t="shared" ref="G53" si="65">F53/F52-1</f>
        <v>0.24514474568638156</v>
      </c>
      <c r="H53" s="190">
        <f t="shared" ref="H53" si="66">F53/F41-1</f>
        <v>0.17968729004041273</v>
      </c>
      <c r="I53" s="130">
        <f t="shared" ref="I53" si="67">T53</f>
        <v>90.741466818245385</v>
      </c>
      <c r="J53" s="130">
        <f t="shared" ref="J53" si="68">I53/I41-1</f>
        <v>0.26750930515030835</v>
      </c>
      <c r="K53" s="136"/>
      <c r="L53" s="190"/>
      <c r="M53" s="190"/>
      <c r="N53" s="191"/>
      <c r="O53" s="192"/>
      <c r="P53" s="129" t="s">
        <v>1414</v>
      </c>
      <c r="Q53" s="116">
        <v>67701683</v>
      </c>
      <c r="R53" s="116">
        <v>98684670747</v>
      </c>
      <c r="S53" s="116">
        <v>746094.21</v>
      </c>
      <c r="T53" s="130">
        <f t="shared" ref="T53" si="69">Q53/S53</f>
        <v>90.741466818245385</v>
      </c>
      <c r="U53" s="85">
        <f t="shared" ref="U53" si="70">Q51+Q52+Q53</f>
        <v>237595843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3893308.1176470588</v>
      </c>
      <c r="G54" s="190">
        <f t="shared" ref="G54" si="71">F54/F53-1</f>
        <v>0.20764310202728997</v>
      </c>
      <c r="H54" s="190">
        <f t="shared" ref="H54" si="72">F54/F42-1</f>
        <v>0.74327430795777061</v>
      </c>
      <c r="I54" s="130">
        <f t="shared" ref="I54" si="73">T54</f>
        <v>104.77154918597822</v>
      </c>
      <c r="J54" s="130">
        <f t="shared" ref="J54" si="74">I54/I42-1</f>
        <v>0.45343297983920561</v>
      </c>
      <c r="K54" s="136"/>
      <c r="L54" s="190"/>
      <c r="M54" s="190"/>
      <c r="N54" s="191"/>
      <c r="O54" s="192"/>
      <c r="P54" s="129" t="s">
        <v>1417</v>
      </c>
      <c r="Q54" s="116">
        <v>66186238</v>
      </c>
      <c r="R54" s="116">
        <v>95998518334</v>
      </c>
      <c r="S54" s="116">
        <v>631719.56999999995</v>
      </c>
      <c r="T54" s="130">
        <f t="shared" ref="T54" si="75">Q54/S54</f>
        <v>104.77154918597822</v>
      </c>
      <c r="U54" s="85">
        <f t="shared" ref="U54" si="76">Q52+Q53+Q54</f>
        <v>190849630</v>
      </c>
    </row>
    <row r="55" spans="1:26" s="79" customFormat="1" ht="13.2">
      <c r="A55" s="129" t="s">
        <v>1418</v>
      </c>
      <c r="B55" s="188">
        <f>SUM(F53:F55)</f>
        <v>9551867.3081232496</v>
      </c>
      <c r="C55" s="188">
        <f>AVERAGE(F53:F55)</f>
        <v>3183955.7693744167</v>
      </c>
      <c r="D55" s="190">
        <f>C55/C52-1</f>
        <v>-8.0922521741998432E-3</v>
      </c>
      <c r="E55" s="287">
        <f>C55/C43-1</f>
        <v>0.29825681914018332</v>
      </c>
      <c r="F55" s="136">
        <f>Q55/21</f>
        <v>2434669.5238095238</v>
      </c>
      <c r="G55" s="190">
        <f t="shared" ref="G55" si="77">F55/F54-1</f>
        <v>-0.37465275024753775</v>
      </c>
      <c r="H55" s="190">
        <f t="shared" ref="H55" si="78">F55/F43-1</f>
        <v>1.8140189923566252E-2</v>
      </c>
      <c r="I55" s="130">
        <f>T55</f>
        <v>90.155066956387003</v>
      </c>
      <c r="J55" s="130">
        <f t="shared" ref="J55" si="79">I55/I43-1</f>
        <v>5.23832851172501E-2</v>
      </c>
      <c r="K55" s="136">
        <f>R53+R54+R55</f>
        <v>269999905677</v>
      </c>
      <c r="L55" s="190">
        <f>U55/U52-1</f>
        <v>-5.1133005240390994E-2</v>
      </c>
      <c r="M55" s="190">
        <f>K55/K43-1</f>
        <v>0.31359687970029593</v>
      </c>
      <c r="N55" s="191">
        <f>AVERAGE(T53:T55)</f>
        <v>95.22269432020353</v>
      </c>
      <c r="O55" s="192">
        <f>N55/N52-1</f>
        <v>1.3079331353752277E-2</v>
      </c>
      <c r="P55" s="129" t="s">
        <v>1418</v>
      </c>
      <c r="Q55" s="116">
        <v>51128060</v>
      </c>
      <c r="R55" s="116">
        <v>75316716596</v>
      </c>
      <c r="S55" s="116">
        <v>567112.43999999994</v>
      </c>
      <c r="T55" s="130">
        <f t="shared" ref="T55" si="80">Q55/S55</f>
        <v>90.155066956387003</v>
      </c>
      <c r="U55" s="85">
        <f t="shared" ref="U55" si="81">Q53+Q54+Q55</f>
        <v>185015981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2561835.5909090908</v>
      </c>
      <c r="G56" s="190">
        <f t="shared" ref="G56" si="82">F56/F55-1</f>
        <v>5.2231346330975814E-2</v>
      </c>
      <c r="H56" s="190">
        <f t="shared" ref="H56" si="83">F56/F44-1</f>
        <v>-2.4700722642362005E-2</v>
      </c>
      <c r="I56" s="291">
        <f>T56</f>
        <v>107.06681788390485</v>
      </c>
      <c r="J56" s="130">
        <f t="shared" ref="J56" si="84">I56/I44-1</f>
        <v>0.3426060778498965</v>
      </c>
      <c r="K56" s="136"/>
      <c r="L56" s="190"/>
      <c r="M56" s="190"/>
      <c r="N56" s="191"/>
      <c r="O56" s="192"/>
      <c r="P56" s="129" t="s">
        <v>1420</v>
      </c>
      <c r="Q56" s="116">
        <v>56360383</v>
      </c>
      <c r="R56" s="116">
        <v>83978260786</v>
      </c>
      <c r="S56" s="116">
        <v>526403.82999999996</v>
      </c>
      <c r="T56" s="130">
        <f t="shared" ref="T56" si="85">Q56/S56</f>
        <v>107.06681788390485</v>
      </c>
      <c r="U56" s="85">
        <f t="shared" ref="U56" si="86">Q54+Q55+Q56</f>
        <v>173674681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3323276.4166666665</v>
      </c>
      <c r="G57" s="254">
        <f t="shared" ref="G57" si="87">F57/F56-1</f>
        <v>0.29722470421584379</v>
      </c>
      <c r="H57" s="254">
        <f t="shared" ref="H57" si="88">F57/F45-1</f>
        <v>0.27825268071454512</v>
      </c>
      <c r="I57" s="282">
        <f>T57</f>
        <v>107.58281368029007</v>
      </c>
      <c r="J57" s="277">
        <f t="shared" ref="J57" si="89">I57/I45-1</f>
        <v>0.18465561677784481</v>
      </c>
      <c r="K57" s="204"/>
      <c r="L57" s="254"/>
      <c r="M57" s="254"/>
      <c r="N57" s="257"/>
      <c r="O57" s="258"/>
      <c r="P57" s="129" t="s">
        <v>1436</v>
      </c>
      <c r="Q57" s="116">
        <v>39879317</v>
      </c>
      <c r="R57" s="116">
        <v>58826351144</v>
      </c>
      <c r="S57" s="116">
        <v>370684.83</v>
      </c>
      <c r="T57" s="130">
        <f t="shared" ref="T57" si="90">Q57/S57</f>
        <v>107.58281368029007</v>
      </c>
      <c r="U57" s="85">
        <f t="shared" ref="U57" si="91">Q55+Q56+Q57</f>
        <v>147367760</v>
      </c>
    </row>
    <row r="58" spans="1:26">
      <c r="B58" s="196">
        <f>SUM(F56:F58)</f>
        <v>5885112.0075757578</v>
      </c>
      <c r="C58" s="196">
        <f>AVERAGE(F56:F58)</f>
        <v>2942556.0037878789</v>
      </c>
      <c r="D58" s="197">
        <f>C58/C55-1</f>
        <v>-7.5817562514057135E-2</v>
      </c>
      <c r="E58" s="233">
        <f>C58/C46-1</f>
        <v>0.62154063947938964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281255681</v>
      </c>
      <c r="R67" s="212">
        <v>412804517607</v>
      </c>
      <c r="S67" s="213">
        <v>2842014.9</v>
      </c>
      <c r="T67" s="214">
        <v>26</v>
      </c>
      <c r="U67" s="214">
        <v>50</v>
      </c>
    </row>
    <row r="68" spans="16:21" ht="18" thickBot="1">
      <c r="P68" s="180" t="s">
        <v>976</v>
      </c>
      <c r="Q68" s="181">
        <v>67701683</v>
      </c>
      <c r="R68" s="181">
        <v>98684670747</v>
      </c>
      <c r="S68" s="182">
        <v>746094.21</v>
      </c>
      <c r="T68" s="210">
        <v>13</v>
      </c>
      <c r="U68" s="210">
        <v>24</v>
      </c>
    </row>
    <row r="69" spans="16:21" ht="18" thickBot="1">
      <c r="P69" s="180" t="s">
        <v>977</v>
      </c>
      <c r="Q69" s="181">
        <v>66186238</v>
      </c>
      <c r="R69" s="181">
        <v>95998518334</v>
      </c>
      <c r="S69" s="182">
        <v>631719.56999999995</v>
      </c>
      <c r="T69" s="210">
        <v>17</v>
      </c>
      <c r="U69" s="210">
        <v>27</v>
      </c>
    </row>
    <row r="70" spans="16:21" ht="18" thickBot="1">
      <c r="P70" s="180" t="s">
        <v>978</v>
      </c>
      <c r="Q70" s="181">
        <v>51128060</v>
      </c>
      <c r="R70" s="181">
        <v>75316716596</v>
      </c>
      <c r="S70" s="182">
        <v>567112.43999999994</v>
      </c>
      <c r="T70" s="210">
        <v>12</v>
      </c>
      <c r="U70" s="210">
        <v>23</v>
      </c>
    </row>
    <row r="71" spans="16:21" ht="18" thickBot="1">
      <c r="P71" s="180" t="s">
        <v>979</v>
      </c>
      <c r="Q71" s="181">
        <v>56360383</v>
      </c>
      <c r="R71" s="181">
        <v>83978260786</v>
      </c>
      <c r="S71" s="182">
        <v>526403.82999999996</v>
      </c>
      <c r="T71" s="210">
        <v>14</v>
      </c>
      <c r="U71" s="210">
        <v>26</v>
      </c>
    </row>
    <row r="72" spans="16:21" ht="18" thickBot="1">
      <c r="P72" s="180" t="s">
        <v>980</v>
      </c>
      <c r="Q72" s="181">
        <v>39879317</v>
      </c>
      <c r="R72" s="181">
        <v>58826351144</v>
      </c>
      <c r="S72" s="182">
        <v>370684.83</v>
      </c>
      <c r="T72" s="210">
        <v>14</v>
      </c>
      <c r="U72" s="210">
        <v>24</v>
      </c>
    </row>
    <row r="73" spans="16:21" ht="18" thickBot="1">
      <c r="P73" s="215" t="s">
        <v>975</v>
      </c>
      <c r="Q73" s="217" t="s">
        <v>1490</v>
      </c>
      <c r="R73"/>
      <c r="S73"/>
      <c r="T73"/>
      <c r="U73"/>
    </row>
    <row r="74" spans="16:21" ht="18" thickBot="1">
      <c r="P74" s="215" t="s">
        <v>982</v>
      </c>
      <c r="Q74" s="216">
        <v>558181848</v>
      </c>
      <c r="R74" s="217"/>
      <c r="S74"/>
      <c r="T74"/>
      <c r="U74"/>
    </row>
  </sheetData>
  <phoneticPr fontId="1" type="noConversion"/>
  <conditionalFormatting sqref="C29:C30">
    <cfRule type="cellIs" dxfId="19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6">
    <tabColor rgb="FFFF00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0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0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286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286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78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286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6025172.4500000002</v>
      </c>
      <c r="G17" s="90">
        <f t="shared" si="2"/>
        <v>-0.15333777272697657</v>
      </c>
      <c r="H17" s="90">
        <f t="shared" ref="H17:H20" si="3">F17/F5-1</f>
        <v>1.5671968347880982E-2</v>
      </c>
      <c r="I17" s="130">
        <f t="shared" si="0"/>
        <v>33.974348443299171</v>
      </c>
      <c r="J17" s="130">
        <f t="shared" ref="J17:J49" si="4">I17/I5-1</f>
        <v>0.23587064153805803</v>
      </c>
      <c r="O17" s="89"/>
      <c r="P17" s="129" t="s">
        <v>100</v>
      </c>
      <c r="Q17" s="116">
        <v>120503449</v>
      </c>
      <c r="R17" s="116"/>
      <c r="S17" s="116">
        <v>3546895.07</v>
      </c>
      <c r="T17" s="130">
        <f t="shared" si="1"/>
        <v>33.974348443299171</v>
      </c>
      <c r="U17" s="78"/>
    </row>
    <row r="18" spans="1:21" ht="15" hidden="1" customHeight="1">
      <c r="A18" s="129" t="s">
        <v>106</v>
      </c>
      <c r="C18" s="79"/>
      <c r="F18" s="78">
        <f>Q18/20</f>
        <v>8370886.5</v>
      </c>
      <c r="G18" s="90">
        <f t="shared" si="2"/>
        <v>0.38931898953365218</v>
      </c>
      <c r="H18" s="90">
        <f t="shared" si="3"/>
        <v>0.16645138965959383</v>
      </c>
      <c r="I18" s="130">
        <f t="shared" si="0"/>
        <v>32.898238696931948</v>
      </c>
      <c r="J18" s="130">
        <f t="shared" si="4"/>
        <v>0.18923451119094636</v>
      </c>
      <c r="O18" s="89"/>
      <c r="P18" s="129" t="s">
        <v>106</v>
      </c>
      <c r="Q18" s="116">
        <v>167417730</v>
      </c>
      <c r="R18" s="116"/>
      <c r="S18" s="116">
        <v>5088957.24</v>
      </c>
      <c r="T18" s="130">
        <f t="shared" si="1"/>
        <v>32.898238696931948</v>
      </c>
      <c r="U18" s="78"/>
    </row>
    <row r="19" spans="1:21" hidden="1">
      <c r="A19" s="129" t="s">
        <v>114</v>
      </c>
      <c r="B19" s="131">
        <f>SUM(F17:F19)</f>
        <v>23291078.586363636</v>
      </c>
      <c r="C19" s="131">
        <f>AVERAGE(F17:F19)</f>
        <v>7763692.8621212123</v>
      </c>
      <c r="D19" s="90">
        <f>C19/C16-1</f>
        <v>7.3361707081877725E-2</v>
      </c>
      <c r="E19" s="286">
        <f>C19/C7-1</f>
        <v>0.14765641167686239</v>
      </c>
      <c r="F19" s="78">
        <f>Q19/22</f>
        <v>8895019.6363636367</v>
      </c>
      <c r="G19" s="90">
        <f t="shared" si="2"/>
        <v>6.2613814721252936E-2</v>
      </c>
      <c r="H19" s="90">
        <f t="shared" si="3"/>
        <v>0.23784401308535297</v>
      </c>
      <c r="I19" s="130">
        <f t="shared" si="0"/>
        <v>30.417752281449957</v>
      </c>
      <c r="J19" s="130">
        <f t="shared" si="4"/>
        <v>5.3363312965851062E-2</v>
      </c>
      <c r="K19" s="78">
        <f>R17+R18+R19</f>
        <v>0</v>
      </c>
      <c r="L19" s="87">
        <f>U19/U16-1</f>
        <v>4.4446356145246391E-2</v>
      </c>
      <c r="M19" s="87">
        <f>U19/U7-1</f>
        <v>0.19143025042784645</v>
      </c>
      <c r="N19" s="88">
        <f>AVERAGE(T17:T19)</f>
        <v>32.430113140560358</v>
      </c>
      <c r="O19" s="89">
        <f>N19/N16-1</f>
        <v>6.5591100518836765E-2</v>
      </c>
      <c r="P19" s="129" t="s">
        <v>114</v>
      </c>
      <c r="Q19" s="116">
        <v>195690432</v>
      </c>
      <c r="R19" s="116"/>
      <c r="S19" s="116">
        <v>6433428.4199999999</v>
      </c>
      <c r="T19" s="130">
        <f t="shared" si="1"/>
        <v>30.417752281449957</v>
      </c>
      <c r="U19" s="85">
        <f>Q17+Q18+Q19</f>
        <v>483611611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8304768.2999999998</v>
      </c>
      <c r="G20" s="90">
        <f t="shared" si="2"/>
        <v>-6.6357507964415974E-2</v>
      </c>
      <c r="H20" s="90">
        <f t="shared" si="3"/>
        <v>0.13339157406158431</v>
      </c>
      <c r="I20" s="130">
        <f t="shared" si="0"/>
        <v>31.839569897940329</v>
      </c>
      <c r="J20" s="130">
        <f t="shared" si="4"/>
        <v>2.5276459274730767E-2</v>
      </c>
      <c r="O20" s="89"/>
      <c r="P20" s="129" t="s">
        <v>131</v>
      </c>
      <c r="Q20" s="116">
        <v>166095366</v>
      </c>
      <c r="R20" s="116"/>
      <c r="S20" s="116">
        <v>5216633.47</v>
      </c>
      <c r="T20" s="130">
        <f t="shared" si="1"/>
        <v>31.839569897940329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8022550.4761904757</v>
      </c>
      <c r="G21" s="90">
        <f>F21/F20-1</f>
        <v>-3.398262463379309E-2</v>
      </c>
      <c r="H21" s="90">
        <f t="shared" ref="H21:H32" si="5">F21/F9-1</f>
        <v>-0.10500712935182344</v>
      </c>
      <c r="I21" s="130">
        <f t="shared" si="0"/>
        <v>34.196893101622173</v>
      </c>
      <c r="J21" s="130">
        <f t="shared" si="4"/>
        <v>7.4178268991542229E-2</v>
      </c>
      <c r="O21" s="89"/>
      <c r="P21" s="129" t="s">
        <v>141</v>
      </c>
      <c r="Q21" s="116">
        <v>168473560</v>
      </c>
      <c r="R21" s="116"/>
      <c r="S21" s="116">
        <v>4926575.04</v>
      </c>
      <c r="T21" s="130">
        <f t="shared" ref="T21:T37" si="6">Q21/S21</f>
        <v>34.196893101622173</v>
      </c>
      <c r="U21" s="78"/>
    </row>
    <row r="22" spans="1:21" hidden="1">
      <c r="A22" s="129" t="s">
        <v>156</v>
      </c>
      <c r="B22" s="131">
        <f>SUM(F20:F22)</f>
        <v>25321154.157142855</v>
      </c>
      <c r="C22" s="131">
        <f>AVERAGE(F20:F22)</f>
        <v>8440384.719047619</v>
      </c>
      <c r="D22" s="90">
        <f>C22/C19-1</f>
        <v>8.7161080293111981E-2</v>
      </c>
      <c r="E22" s="286">
        <f>C22/C10-1</f>
        <v>5.4121820070285098E-2</v>
      </c>
      <c r="F22" s="78">
        <f>Q22/21</f>
        <v>8993835.3809523806</v>
      </c>
      <c r="G22" s="90">
        <f>F22/F21-1</f>
        <v>0.12106934168186401</v>
      </c>
      <c r="H22" s="90">
        <f t="shared" si="5"/>
        <v>0.16351041374556541</v>
      </c>
      <c r="I22" s="130">
        <f t="shared" si="0"/>
        <v>36.639737775153755</v>
      </c>
      <c r="J22" s="130">
        <f t="shared" si="4"/>
        <v>0.2283059934712488</v>
      </c>
      <c r="K22" s="78">
        <f>R20+R21+R22</f>
        <v>0</v>
      </c>
      <c r="L22" s="87">
        <f>U22/U19-1</f>
        <v>8.2355049163614913E-2</v>
      </c>
      <c r="M22" s="87">
        <f>U22/U10-1</f>
        <v>3.7658571648245154E-2</v>
      </c>
      <c r="N22" s="88">
        <f>AVERAGE(T20:T22)</f>
        <v>34.22540025823875</v>
      </c>
      <c r="O22" s="89">
        <f>N22/N19-1</f>
        <v>5.5358644908118704E-2</v>
      </c>
      <c r="P22" s="129" t="s">
        <v>156</v>
      </c>
      <c r="Q22" s="116">
        <v>188870543</v>
      </c>
      <c r="R22" s="116"/>
      <c r="S22" s="116">
        <v>5154800.62</v>
      </c>
      <c r="T22" s="130">
        <f t="shared" si="6"/>
        <v>36.639737775153755</v>
      </c>
      <c r="U22" s="85">
        <f>Q20+Q21+Q22</f>
        <v>523439469</v>
      </c>
    </row>
    <row r="23" spans="1:21" hidden="1">
      <c r="A23" s="129" t="s">
        <v>189</v>
      </c>
      <c r="B23" s="131"/>
      <c r="C23" s="131"/>
      <c r="F23" s="78">
        <f>Q23/21</f>
        <v>7352507.4761904757</v>
      </c>
      <c r="G23" s="90">
        <f>F23/F22-1</f>
        <v>-0.18249476838746637</v>
      </c>
      <c r="H23" s="90">
        <f t="shared" si="5"/>
        <v>6.529946342810522E-2</v>
      </c>
      <c r="I23" s="130">
        <f t="shared" si="0"/>
        <v>33.299835655414498</v>
      </c>
      <c r="J23" s="130">
        <f t="shared" si="4"/>
        <v>0.23439556139917017</v>
      </c>
      <c r="O23" s="89"/>
      <c r="P23" s="129" t="s">
        <v>189</v>
      </c>
      <c r="Q23" s="116">
        <v>154402657</v>
      </c>
      <c r="R23" s="116"/>
      <c r="S23" s="116">
        <v>4636739.3099999996</v>
      </c>
      <c r="T23" s="130">
        <f t="shared" si="6"/>
        <v>33.299835655414498</v>
      </c>
      <c r="U23" s="78"/>
    </row>
    <row r="24" spans="1:21" hidden="1">
      <c r="A24" s="129" t="s">
        <v>204</v>
      </c>
      <c r="B24" s="131"/>
      <c r="C24" s="131"/>
      <c r="F24" s="78">
        <f>Q24/22</f>
        <v>7121740.8636363633</v>
      </c>
      <c r="G24" s="90">
        <f t="shared" ref="G24" si="7">F24/F23-1</f>
        <v>-3.1386110561791414E-2</v>
      </c>
      <c r="H24" s="90">
        <f t="shared" si="5"/>
        <v>6.8598792191985503E-2</v>
      </c>
      <c r="I24" s="130">
        <f t="shared" si="0"/>
        <v>31.235560324308857</v>
      </c>
      <c r="J24" s="130">
        <f t="shared" si="4"/>
        <v>4.2552825393117777E-2</v>
      </c>
      <c r="O24" s="89"/>
      <c r="P24" s="129" t="s">
        <v>204</v>
      </c>
      <c r="Q24" s="116">
        <v>156678299</v>
      </c>
      <c r="R24" s="116"/>
      <c r="S24" s="116">
        <v>5016023.32</v>
      </c>
      <c r="T24" s="130">
        <f t="shared" si="6"/>
        <v>31.235560324308857</v>
      </c>
      <c r="U24" s="78"/>
    </row>
    <row r="25" spans="1:21" s="79" customFormat="1" ht="13.2" hidden="1">
      <c r="A25" s="129" t="s">
        <v>229</v>
      </c>
      <c r="B25" s="131">
        <f>SUM(F23:F25)</f>
        <v>24469918.445089996</v>
      </c>
      <c r="C25" s="131">
        <f>AVERAGE(F23:F25)</f>
        <v>8156639.4816966653</v>
      </c>
      <c r="D25" s="90">
        <f>C25/C22-1</f>
        <v>-3.3617571567634674E-2</v>
      </c>
      <c r="E25" s="286">
        <f>C25/C13-1</f>
        <v>0.11721967292181246</v>
      </c>
      <c r="F25" s="78">
        <f>Q25/19</f>
        <v>9995670.1052631587</v>
      </c>
      <c r="G25" s="90">
        <f t="shared" ref="G25" si="8">F25/F24-1</f>
        <v>0.40354307979683579</v>
      </c>
      <c r="H25" s="90">
        <f t="shared" si="5"/>
        <v>0.19907789417328403</v>
      </c>
      <c r="I25" s="130">
        <f t="shared" si="0"/>
        <v>31.869012418439578</v>
      </c>
      <c r="J25" s="130">
        <f t="shared" si="4"/>
        <v>0.18920926641302072</v>
      </c>
      <c r="K25" s="78">
        <f>R23+R24+R25</f>
        <v>0</v>
      </c>
      <c r="L25" s="90">
        <f>U25/U22-1</f>
        <v>-4.2871778551341944E-2</v>
      </c>
      <c r="M25" s="90">
        <f>U25/U13-1</f>
        <v>9.3212387329794089E-2</v>
      </c>
      <c r="N25" s="88">
        <f>AVERAGE(T23:T25)</f>
        <v>32.134802799387643</v>
      </c>
      <c r="O25" s="91">
        <f>N25/N22-1</f>
        <v>-6.1083214310922673E-2</v>
      </c>
      <c r="P25" s="129" t="s">
        <v>241</v>
      </c>
      <c r="Q25" s="116">
        <v>189917732</v>
      </c>
      <c r="R25" s="116"/>
      <c r="S25" s="116">
        <v>5959322.79</v>
      </c>
      <c r="T25" s="130">
        <f t="shared" si="6"/>
        <v>31.869012418439578</v>
      </c>
      <c r="U25" s="85">
        <f>Q23+Q24+Q25</f>
        <v>500998688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9252050</v>
      </c>
      <c r="G26" s="90">
        <f t="shared" ref="G26" si="9">F26/F25-1</f>
        <v>-7.4394222441535929E-2</v>
      </c>
      <c r="H26" s="90">
        <f t="shared" si="5"/>
        <v>0.28942925698615452</v>
      </c>
      <c r="I26" s="130">
        <f t="shared" si="0"/>
        <v>32.974929839644879</v>
      </c>
      <c r="J26" s="130">
        <f t="shared" si="4"/>
        <v>0.22121313948090626</v>
      </c>
      <c r="L26" s="90"/>
      <c r="M26" s="90"/>
      <c r="P26" s="129" t="s">
        <v>312</v>
      </c>
      <c r="Q26" s="116">
        <v>175788950</v>
      </c>
      <c r="R26" s="116"/>
      <c r="S26" s="116">
        <v>5330987.84</v>
      </c>
      <c r="T26" s="130">
        <f t="shared" si="6"/>
        <v>32.974929839644879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8419363.1363636367</v>
      </c>
      <c r="G27" s="90">
        <f t="shared" ref="G27" si="10">F27/F26-1</f>
        <v>-9.000025547163748E-2</v>
      </c>
      <c r="H27" s="90">
        <f t="shared" si="5"/>
        <v>0.13659982986039743</v>
      </c>
      <c r="I27" s="130">
        <f t="shared" si="0"/>
        <v>30.774139690694408</v>
      </c>
      <c r="J27" s="130">
        <f t="shared" si="4"/>
        <v>-2.8462669774097615E-2</v>
      </c>
      <c r="L27" s="90"/>
      <c r="M27" s="90"/>
      <c r="P27" s="129" t="s">
        <v>378</v>
      </c>
      <c r="Q27" s="116">
        <v>185225989</v>
      </c>
      <c r="R27" s="116"/>
      <c r="S27" s="116">
        <v>6018884.3899999997</v>
      </c>
      <c r="T27" s="130">
        <f t="shared" si="6"/>
        <v>30.774139690694408</v>
      </c>
      <c r="U27" s="78"/>
    </row>
    <row r="28" spans="1:21" s="79" customFormat="1" ht="13.2" hidden="1">
      <c r="A28" s="123" t="s">
        <v>413</v>
      </c>
      <c r="B28" s="131">
        <f>SUM(F26:F28)</f>
        <v>27028330.241626795</v>
      </c>
      <c r="C28" s="131">
        <f>AVERAGE(F26:F28)</f>
        <v>9009443.4138755985</v>
      </c>
      <c r="D28" s="90">
        <f>C28/C25-1</f>
        <v>0.10455334382408443</v>
      </c>
      <c r="E28" s="286">
        <f>C28/C16-1</f>
        <v>0.24559172217600178</v>
      </c>
      <c r="F28" s="78">
        <f>Q28/19</f>
        <v>9356917.1052631587</v>
      </c>
      <c r="G28" s="90">
        <f t="shared" ref="G28" si="11">F28/F27-1</f>
        <v>0.11135687506459724</v>
      </c>
      <c r="H28" s="90">
        <f t="shared" si="5"/>
        <v>0.31484174809820686</v>
      </c>
      <c r="I28" s="130">
        <f t="shared" si="0"/>
        <v>33.070592022582204</v>
      </c>
      <c r="J28" s="130">
        <f t="shared" si="4"/>
        <v>1.3680968765023227E-2</v>
      </c>
      <c r="K28" s="78">
        <f>R26+R27+R28</f>
        <v>0</v>
      </c>
      <c r="L28" s="90">
        <f>U28/U25-1</f>
        <v>7.5444660645498596E-2</v>
      </c>
      <c r="M28" s="90">
        <f>U28/U16-1</f>
        <v>0.16362776716729366</v>
      </c>
      <c r="N28" s="88">
        <f>AVERAGE(T26:T28)</f>
        <v>32.273220517640496</v>
      </c>
      <c r="O28" s="91">
        <f>N28/N25-1</f>
        <v>4.3074083608656277E-3</v>
      </c>
      <c r="P28" s="129" t="s">
        <v>413</v>
      </c>
      <c r="Q28" s="116">
        <v>177781425</v>
      </c>
      <c r="R28" s="116"/>
      <c r="S28" s="116">
        <v>5375816.2199999997</v>
      </c>
      <c r="T28" s="130">
        <f t="shared" si="6"/>
        <v>33.070592022582204</v>
      </c>
      <c r="U28" s="85">
        <f>Q26+Q27+Q28</f>
        <v>538796364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8439686.6818181816</v>
      </c>
      <c r="G29" s="190">
        <f t="shared" ref="G29" si="12">F29/F28-1</f>
        <v>-9.8026990420706617E-2</v>
      </c>
      <c r="H29" s="190">
        <f t="shared" si="5"/>
        <v>0.4007377800146088</v>
      </c>
      <c r="I29" s="130">
        <f t="shared" si="0"/>
        <v>30.603406181061025</v>
      </c>
      <c r="J29" s="130">
        <f t="shared" si="4"/>
        <v>-9.9220218096721213E-2</v>
      </c>
      <c r="K29" s="136"/>
      <c r="L29" s="190"/>
      <c r="M29" s="190"/>
      <c r="N29" s="191"/>
      <c r="O29" s="192"/>
      <c r="P29" s="129" t="s">
        <v>430</v>
      </c>
      <c r="Q29" s="116">
        <v>185673107</v>
      </c>
      <c r="R29" s="116">
        <v>244433637134</v>
      </c>
      <c r="S29" s="116">
        <v>6067073.25</v>
      </c>
      <c r="T29" s="130">
        <f t="shared" si="6"/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9390227.8947368413</v>
      </c>
      <c r="G30" s="190">
        <f t="shared" ref="G30" si="13">F30/F29-1</f>
        <v>0.11262754753282889</v>
      </c>
      <c r="H30" s="190">
        <f t="shared" si="5"/>
        <v>0.12177221549197226</v>
      </c>
      <c r="I30" s="130">
        <f t="shared" si="0"/>
        <v>35.935152547586505</v>
      </c>
      <c r="J30" s="130">
        <f t="shared" si="4"/>
        <v>9.2312353820260151E-2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si="6"/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7.4714876251293916E-3</v>
      </c>
      <c r="E31" s="287">
        <f>C31/C19-1</f>
        <v>0.16912885659566168</v>
      </c>
      <c r="F31" s="136">
        <f>Q31/20</f>
        <v>9400357.5</v>
      </c>
      <c r="G31" s="190">
        <f t="shared" ref="G31" si="14">F31/F30-1</f>
        <v>1.0787390228128579E-3</v>
      </c>
      <c r="H31" s="190">
        <f t="shared" si="5"/>
        <v>5.6811326370826309E-2</v>
      </c>
      <c r="I31" s="130">
        <f t="shared" si="0"/>
        <v>33.520612051402018</v>
      </c>
      <c r="J31" s="130">
        <f t="shared" si="4"/>
        <v>0.10200818723362137</v>
      </c>
      <c r="K31" s="136">
        <f>R29+R30+R31</f>
        <v>731934240171</v>
      </c>
      <c r="L31" s="190">
        <f>U31/U28-1</f>
        <v>2.4681352526721989E-2</v>
      </c>
      <c r="M31" s="190">
        <f>U31/U19-1</f>
        <v>0.14160738584913757</v>
      </c>
      <c r="N31" s="191">
        <f>AVERAGE(T29:T31)</f>
        <v>33.353056926683188</v>
      </c>
      <c r="O31" s="192">
        <f>N31/N28-1</f>
        <v>3.3459208338146862E-2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si="6"/>
        <v>33.520612051402018</v>
      </c>
      <c r="U31" s="85">
        <f>Q29+Q30+Q31</f>
        <v>552094587</v>
      </c>
    </row>
    <row r="32" spans="1:21" s="79" customFormat="1" ht="13.2" hidden="1">
      <c r="A32" s="129" t="s">
        <v>576</v>
      </c>
      <c r="B32" s="188"/>
      <c r="C32" s="188"/>
      <c r="D32" s="190"/>
      <c r="E32" s="287"/>
      <c r="F32" s="136">
        <f>Q32/21</f>
        <v>9133590.5714285709</v>
      </c>
      <c r="G32" s="190">
        <f t="shared" ref="G32" si="15">F32/F31-1</f>
        <v>-2.8378381202143532E-2</v>
      </c>
      <c r="H32" s="190">
        <f t="shared" si="5"/>
        <v>9.9800770050209708E-2</v>
      </c>
      <c r="I32" s="130">
        <f t="shared" si="0"/>
        <v>32.340331361370566</v>
      </c>
      <c r="J32" s="130">
        <f t="shared" si="4"/>
        <v>1.5727645349337127E-2</v>
      </c>
      <c r="K32" s="136"/>
      <c r="L32" s="190"/>
      <c r="M32" s="190"/>
      <c r="N32" s="191"/>
      <c r="O32" s="192"/>
      <c r="P32" s="129" t="s">
        <v>576</v>
      </c>
      <c r="Q32" s="116">
        <v>191805402</v>
      </c>
      <c r="R32" s="116">
        <v>260858626371</v>
      </c>
      <c r="S32" s="116">
        <v>5930842.2000000002</v>
      </c>
      <c r="T32" s="130">
        <f t="shared" si="6"/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9623524.9047619049</v>
      </c>
      <c r="G33" s="190">
        <f t="shared" ref="G33" si="16">F33/F32-1</f>
        <v>5.3640934471699708E-2</v>
      </c>
      <c r="H33" s="190">
        <f t="shared" ref="H33" si="17">F33/F21-1</f>
        <v>0.19955928396123412</v>
      </c>
      <c r="I33" s="130">
        <f t="shared" si="0"/>
        <v>32.687243022916746</v>
      </c>
      <c r="J33" s="130">
        <f t="shared" si="4"/>
        <v>-4.4145825593548293E-2</v>
      </c>
      <c r="K33" s="136"/>
      <c r="L33" s="190"/>
      <c r="M33" s="190"/>
      <c r="N33" s="191"/>
      <c r="O33" s="192"/>
      <c r="P33" s="129" t="s">
        <v>609</v>
      </c>
      <c r="Q33" s="116">
        <v>202094023</v>
      </c>
      <c r="R33" s="116">
        <v>276342170813</v>
      </c>
      <c r="S33" s="116">
        <v>6182657.3399999999</v>
      </c>
      <c r="T33" s="130">
        <f t="shared" si="6"/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87">
        <f>C34/C22-1</f>
        <v>0.14900054799828788</v>
      </c>
      <c r="F34" s="136">
        <f>Q34/19</f>
        <v>10336904.52631579</v>
      </c>
      <c r="G34" s="190">
        <f t="shared" ref="G34" si="18">F34/F33-1</f>
        <v>7.4128723998094559E-2</v>
      </c>
      <c r="H34" s="190">
        <f t="shared" ref="H34" si="19">F34/F22-1</f>
        <v>0.14933219127045971</v>
      </c>
      <c r="I34" s="130">
        <f t="shared" si="0"/>
        <v>36.724792393562055</v>
      </c>
      <c r="J34" s="130">
        <f t="shared" si="4"/>
        <v>2.3213762863221188E-3</v>
      </c>
      <c r="K34" s="136">
        <f>R32+R33+R34</f>
        <v>807232164357</v>
      </c>
      <c r="L34" s="190">
        <f>U34/U31-1</f>
        <v>6.9201953613792666E-2</v>
      </c>
      <c r="M34" s="190">
        <f>U34/U22-1</f>
        <v>0.12773423855051336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si="6"/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8235076.8695652178</v>
      </c>
      <c r="G35" s="190">
        <f t="shared" ref="G35" si="20">F35/F34-1</f>
        <v>-0.20333240491867943</v>
      </c>
      <c r="H35" s="190">
        <f t="shared" ref="H35" si="21">F35/F23-1</f>
        <v>0.12003651764146506</v>
      </c>
      <c r="I35" s="130">
        <f t="shared" si="0"/>
        <v>31.110720012634641</v>
      </c>
      <c r="J35" s="130">
        <f t="shared" si="4"/>
        <v>-6.5739532934418921E-2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si="6"/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8816647.2857142854</v>
      </c>
      <c r="G36" s="190">
        <f t="shared" ref="G36" si="22">F36/F35-1</f>
        <v>7.0621127812225515E-2</v>
      </c>
      <c r="H36" s="190">
        <f t="shared" ref="H36" si="23">F36/F24-1</f>
        <v>0.2379904653273921</v>
      </c>
      <c r="I36" s="130">
        <f t="shared" si="0"/>
        <v>33.704545988500513</v>
      </c>
      <c r="J36" s="130">
        <f t="shared" si="4"/>
        <v>7.9044065115431383E-2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si="6"/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87">
        <f>C37/C25-1</f>
        <v>0.20778610727648861</v>
      </c>
      <c r="F37" s="136">
        <f>Q37/18</f>
        <v>12502703.388888888</v>
      </c>
      <c r="G37" s="190">
        <f t="shared" ref="G37" si="24">F37/F36-1</f>
        <v>0.41807911598631842</v>
      </c>
      <c r="H37" s="190">
        <f t="shared" ref="H37" si="25">F37/F25-1</f>
        <v>0.25081192728696267</v>
      </c>
      <c r="I37" s="130">
        <f t="shared" si="0"/>
        <v>35.161555473599797</v>
      </c>
      <c r="J37" s="130">
        <f t="shared" si="4"/>
        <v>0.10331487565190867</v>
      </c>
      <c r="K37" s="136">
        <f>R35+R36+R37</f>
        <v>815184628913</v>
      </c>
      <c r="L37" s="190">
        <f>U37/U34-1</f>
        <v>1.5762157156228973E-2</v>
      </c>
      <c r="M37" s="190">
        <f>U37/U25-1</f>
        <v>0.19681954536375956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si="6"/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10313917.35</v>
      </c>
      <c r="G38" s="190">
        <f t="shared" ref="G38" si="26">F38/F37-1</f>
        <v>-0.17506502160437198</v>
      </c>
      <c r="H38" s="190">
        <f t="shared" ref="H38" si="27">F38/F26-1</f>
        <v>0.11477103452748305</v>
      </c>
      <c r="I38" s="130">
        <f t="shared" si="0"/>
        <v>33.258857971568503</v>
      </c>
      <c r="J38" s="130">
        <f t="shared" si="4"/>
        <v>8.6104241405318138E-3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28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10882717.761904761</v>
      </c>
      <c r="G39" s="190">
        <f t="shared" ref="G39" si="29">F39/F38-1</f>
        <v>5.5148823924283441E-2</v>
      </c>
      <c r="H39" s="190">
        <f t="shared" ref="H39" si="30">F39/F27-1</f>
        <v>0.29258206180723767</v>
      </c>
      <c r="I39" s="130">
        <f t="shared" si="0"/>
        <v>36.427053102920475</v>
      </c>
      <c r="J39" s="130">
        <f t="shared" si="4"/>
        <v>0.18369037994376214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31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87">
        <f>C40/C28-1</f>
        <v>0.2121872815163528</v>
      </c>
      <c r="F40" s="136">
        <f>Q40/21</f>
        <v>11566763.047619049</v>
      </c>
      <c r="G40" s="190">
        <f t="shared" ref="G40" si="32">F40/F39-1</f>
        <v>6.28561082516359E-2</v>
      </c>
      <c r="H40" s="190">
        <f t="shared" ref="H40" si="33">F40/F28-1</f>
        <v>0.2361724398640741</v>
      </c>
      <c r="I40" s="130">
        <f t="shared" si="0"/>
        <v>30.118300150992731</v>
      </c>
      <c r="J40" s="130">
        <f t="shared" si="4"/>
        <v>-8.9272422748691849E-2</v>
      </c>
      <c r="K40" s="136">
        <f>R38+R39+R40</f>
        <v>940420894114</v>
      </c>
      <c r="L40" s="190">
        <f>U40/U37-1</f>
        <v>0.13027312836615978</v>
      </c>
      <c r="M40" s="190">
        <f>U40/U28-1</f>
        <v>0.25783596416400467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34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10585697.611111112</v>
      </c>
      <c r="G41" s="190">
        <f t="shared" ref="G41" si="35">F41/F40-1</f>
        <v>-8.48176306948627E-2</v>
      </c>
      <c r="H41" s="190">
        <f t="shared" ref="H41" si="36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37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10663368.35</v>
      </c>
      <c r="G42" s="190">
        <f t="shared" ref="G42" si="38">F42/F41-1</f>
        <v>7.3373283218822749E-3</v>
      </c>
      <c r="H42" s="190">
        <f t="shared" ref="H42" si="39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40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87">
        <f>C43/C31-1</f>
        <v>0.20946660277651175</v>
      </c>
      <c r="F43" s="136">
        <f>Q43/20</f>
        <v>11685038.699999999</v>
      </c>
      <c r="G43" s="190">
        <f t="shared" ref="G43" si="41">F43/F42-1</f>
        <v>9.5811221789032563E-2</v>
      </c>
      <c r="H43" s="190">
        <f t="shared" ref="H43" si="42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43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11952388.954545455</v>
      </c>
      <c r="G44" s="190">
        <f t="shared" ref="G44" si="44">F44/F43-1</f>
        <v>2.2879706384323351E-2</v>
      </c>
      <c r="H44" s="190">
        <f t="shared" ref="H44" si="45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46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12001606.4</v>
      </c>
      <c r="G45" s="190">
        <f t="shared" ref="G45" si="47">F45/F44-1</f>
        <v>4.1177914843397723E-3</v>
      </c>
      <c r="H45" s="190">
        <f t="shared" ref="H45" si="48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49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87">
        <f>C46/C34-1</f>
        <v>0.23853399694360378</v>
      </c>
      <c r="F46" s="136">
        <f>Q46/19</f>
        <v>12079937.52631579</v>
      </c>
      <c r="G46" s="189">
        <f t="shared" ref="G46" si="50">F46/F45-1</f>
        <v>6.5267201493783844E-3</v>
      </c>
      <c r="H46" s="189">
        <f t="shared" ref="H46" si="51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888</v>
      </c>
      <c r="Q46" s="116">
        <v>229518813</v>
      </c>
      <c r="R46" s="116">
        <v>314240852398</v>
      </c>
      <c r="S46" s="116">
        <v>7231438.4000000004</v>
      </c>
      <c r="T46" s="130">
        <f t="shared" ref="T46" si="52">Q46/S46</f>
        <v>31.739026221947764</v>
      </c>
      <c r="U46" s="85">
        <f t="shared" ref="U46:U51" si="53">Q44+Q45+Q46</f>
        <v>732503498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10534087.260869564</v>
      </c>
      <c r="G47" s="189">
        <f t="shared" ref="G47" si="54">F47/F46-1</f>
        <v>-0.12796839901519652</v>
      </c>
      <c r="H47" s="189">
        <f t="shared" ref="H47" si="55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56">Q47/S47</f>
        <v>30.226442449240864</v>
      </c>
      <c r="U47" s="85">
        <f t="shared" si="53"/>
        <v>711834948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10829751.75</v>
      </c>
      <c r="G48" s="189">
        <f t="shared" ref="G48" si="57">F48/F47-1</f>
        <v>2.8067404589358746E-2</v>
      </c>
      <c r="H48" s="189">
        <f t="shared" ref="H48" si="58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59">Q48/S48</f>
        <v>32.749096471633067</v>
      </c>
      <c r="U48" s="85">
        <f t="shared" si="53"/>
        <v>688397855</v>
      </c>
    </row>
    <row r="49" spans="1:26" ht="13.2">
      <c r="A49" s="129" t="s">
        <v>1158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87">
        <f>C49/C37-1</f>
        <v>0.18829476270281154</v>
      </c>
      <c r="F49" s="136">
        <f>Q49/22</f>
        <v>13755532.454545455</v>
      </c>
      <c r="G49" s="189">
        <f t="shared" ref="G49" si="60">F49/F48-1</f>
        <v>0.27016138246617283</v>
      </c>
      <c r="H49" s="189">
        <f t="shared" ref="H49" si="61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62">Q49/S49</f>
        <v>31.198303450362303</v>
      </c>
      <c r="U49" s="85">
        <f t="shared" si="53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12864105.666666666</v>
      </c>
      <c r="G50" s="190">
        <f t="shared" ref="G50" si="63">F50/F49-1</f>
        <v>-6.4804964171650159E-2</v>
      </c>
      <c r="H50" s="190">
        <f t="shared" ref="H50" si="64">F50/F38-1</f>
        <v>0.24725700528002248</v>
      </c>
      <c r="I50" s="130">
        <f t="shared" ref="I50" si="65">T50</f>
        <v>32.320241416284595</v>
      </c>
      <c r="J50" s="130">
        <f t="shared" ref="J50" si="66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67">Q50/S50</f>
        <v>32.320241416284595</v>
      </c>
      <c r="U50" s="85">
        <f t="shared" si="53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12552812.199999999</v>
      </c>
      <c r="G51" s="190">
        <f t="shared" ref="G51:G52" si="68">F51/F50-1</f>
        <v>-2.4198609272410354E-2</v>
      </c>
      <c r="H51" s="190">
        <f t="shared" ref="H51:H52" si="69">F51/F39-1</f>
        <v>0.15346299285105491</v>
      </c>
      <c r="I51" s="130">
        <f t="shared" ref="I51:I52" si="70">T51</f>
        <v>33.701741911719012</v>
      </c>
      <c r="J51" s="130">
        <f t="shared" ref="J51:J52" si="71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72">Q51/S51</f>
        <v>33.701741911719012</v>
      </c>
      <c r="U51" s="85">
        <f t="shared" si="53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87">
        <f>C52/C40-1</f>
        <v>0.1940467778266286</v>
      </c>
      <c r="F52" s="136">
        <f>Q52/22</f>
        <v>13704112.136363637</v>
      </c>
      <c r="G52" s="190">
        <f t="shared" si="68"/>
        <v>9.1716494919253044E-2</v>
      </c>
      <c r="H52" s="190">
        <f t="shared" si="69"/>
        <v>0.1847836840735273</v>
      </c>
      <c r="I52" s="130">
        <f t="shared" si="70"/>
        <v>36.199274095756614</v>
      </c>
      <c r="J52" s="130">
        <f t="shared" si="71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72"/>
        <v>36.199274095756614</v>
      </c>
      <c r="U52" s="85">
        <f t="shared" ref="U52" si="73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13783765.333333334</v>
      </c>
      <c r="G53" s="190">
        <f t="shared" ref="G53" si="74">F53/F52-1</f>
        <v>5.8123573550117325E-3</v>
      </c>
      <c r="H53" s="190">
        <f t="shared" ref="H53" si="75">F53/F41-1</f>
        <v>0.3021121365554047</v>
      </c>
      <c r="I53" s="130">
        <f t="shared" ref="I53" si="76">T53</f>
        <v>32.988674844261638</v>
      </c>
      <c r="J53" s="130">
        <f t="shared" ref="J53" si="77">I53/I41-1</f>
        <v>-6.2589579079112334E-2</v>
      </c>
      <c r="K53" s="136"/>
      <c r="L53" s="190"/>
      <c r="M53" s="190"/>
      <c r="N53" s="191"/>
      <c r="O53" s="192"/>
      <c r="P53" s="129" t="s">
        <v>1414</v>
      </c>
      <c r="Q53" s="116">
        <v>289459072</v>
      </c>
      <c r="R53" s="116">
        <v>422125966318</v>
      </c>
      <c r="S53" s="116">
        <v>8774498.3200000003</v>
      </c>
      <c r="T53" s="130">
        <f t="shared" ref="T53" si="78">Q53/S53</f>
        <v>32.988674844261638</v>
      </c>
      <c r="U53" s="85">
        <f t="shared" ref="U53" si="79">Q51+Q52+Q53</f>
        <v>842005783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14818376.588235294</v>
      </c>
      <c r="G54" s="190">
        <f t="shared" ref="G54" si="80">F54/F53-1</f>
        <v>7.5060132691025627E-2</v>
      </c>
      <c r="H54" s="190">
        <f t="shared" ref="H54" si="81">F54/F42-1</f>
        <v>0.38965250958767594</v>
      </c>
      <c r="I54" s="130">
        <f t="shared" ref="I54" si="82">T54</f>
        <v>33.444390681445789</v>
      </c>
      <c r="J54" s="130">
        <f t="shared" ref="J54" si="83">I54/I42-1</f>
        <v>-2.1255093538299796E-2</v>
      </c>
      <c r="K54" s="136"/>
      <c r="L54" s="190"/>
      <c r="M54" s="190"/>
      <c r="N54" s="191"/>
      <c r="O54" s="192"/>
      <c r="P54" s="129" t="s">
        <v>1417</v>
      </c>
      <c r="Q54" s="116">
        <v>251912402</v>
      </c>
      <c r="R54" s="116">
        <v>364921481103</v>
      </c>
      <c r="S54" s="116">
        <v>7532276.6200000001</v>
      </c>
      <c r="T54" s="130">
        <f t="shared" ref="T54" si="84">Q54/S54</f>
        <v>33.444390681445789</v>
      </c>
      <c r="U54" s="85">
        <f t="shared" ref="U54" si="85">Q52+Q53+Q54</f>
        <v>842861941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44022437.635854341</v>
      </c>
      <c r="C55" s="188">
        <f>AVERAGE(F53:F55)</f>
        <v>14674145.878618114</v>
      </c>
      <c r="D55" s="190">
        <f>C55/C52-1</f>
        <v>0.12528830739999375</v>
      </c>
      <c r="E55" s="287">
        <f>C55/C43-1</f>
        <v>0.33668238711333287</v>
      </c>
      <c r="F55" s="136">
        <f>Q55/21</f>
        <v>15420295.714285715</v>
      </c>
      <c r="G55" s="190">
        <f t="shared" ref="G55" si="86">F55/F54-1</f>
        <v>4.0619775213993403E-2</v>
      </c>
      <c r="H55" s="190">
        <f t="shared" ref="H55" si="87">F55/F43-1</f>
        <v>0.31966150135948768</v>
      </c>
      <c r="I55" s="130">
        <f>T55</f>
        <v>35.494128247458505</v>
      </c>
      <c r="J55" s="130">
        <f t="shared" ref="J55" si="88">I55/I43-1</f>
        <v>2.0329176801562765E-2</v>
      </c>
      <c r="K55" s="136">
        <f>R53+R54+R55</f>
        <v>1263835418558</v>
      </c>
      <c r="L55" s="190">
        <f>U55/U52-1</f>
        <v>0.1034268685108144</v>
      </c>
      <c r="M55" s="190">
        <f>K55/K43-1</f>
        <v>0.36487348499515027</v>
      </c>
      <c r="N55" s="191">
        <f>AVERAGE(T53:T55)</f>
        <v>33.975731257721982</v>
      </c>
      <c r="O55" s="192">
        <f>N55/N52-1</f>
        <v>-2.8767367767276175E-3</v>
      </c>
      <c r="P55" s="129" t="s">
        <v>1418</v>
      </c>
      <c r="Q55" s="116">
        <v>323826210</v>
      </c>
      <c r="R55" s="116">
        <v>476787971137</v>
      </c>
      <c r="S55" s="116">
        <v>9123374.0899999999</v>
      </c>
      <c r="T55" s="130">
        <f t="shared" ref="T55" si="89">Q55/S55</f>
        <v>35.494128247458505</v>
      </c>
      <c r="U55" s="85">
        <f t="shared" ref="U55" si="90">Q53+Q54+Q55</f>
        <v>865197684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16750354.409090908</v>
      </c>
      <c r="G56" s="190">
        <f t="shared" ref="G56" si="91">F56/F55-1</f>
        <v>8.6253773562396496E-2</v>
      </c>
      <c r="H56" s="190">
        <f t="shared" ref="H56" si="92">F56/F44-1</f>
        <v>0.40142313580924771</v>
      </c>
      <c r="I56" s="291">
        <f>T56</f>
        <v>33.475716396104936</v>
      </c>
      <c r="J56" s="130">
        <f t="shared" ref="J56" si="93">I56/I44-1</f>
        <v>1.7991606483780176E-2</v>
      </c>
      <c r="K56" s="136"/>
      <c r="L56" s="190"/>
      <c r="M56" s="190"/>
      <c r="N56" s="191"/>
      <c r="O56" s="192"/>
      <c r="P56" s="129" t="s">
        <v>1420</v>
      </c>
      <c r="Q56" s="116">
        <v>368507797</v>
      </c>
      <c r="R56" s="116">
        <v>550086435158</v>
      </c>
      <c r="S56" s="116">
        <v>11008212.42</v>
      </c>
      <c r="T56" s="130">
        <f t="shared" ref="T56" si="94">Q56/S56</f>
        <v>33.475716396104936</v>
      </c>
      <c r="U56" s="85">
        <f t="shared" ref="U56" si="95">Q54+Q55+Q56</f>
        <v>944246409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16492126.583333334</v>
      </c>
      <c r="G57" s="254">
        <f t="shared" ref="G57" si="96">F57/F56-1</f>
        <v>-1.5416260423566142E-2</v>
      </c>
      <c r="H57" s="254">
        <f t="shared" ref="H57" si="97">F57/F45-1</f>
        <v>0.3741599277354517</v>
      </c>
      <c r="I57" s="282">
        <f>T57</f>
        <v>35.504513035069998</v>
      </c>
      <c r="J57" s="277">
        <f t="shared" ref="J57" si="98">I57/I45-1</f>
        <v>9.5346293947508043E-2</v>
      </c>
      <c r="K57" s="204"/>
      <c r="L57" s="254"/>
      <c r="M57" s="254"/>
      <c r="N57" s="257"/>
      <c r="O57" s="258"/>
      <c r="P57" s="129" t="s">
        <v>1436</v>
      </c>
      <c r="Q57" s="116">
        <v>197905519</v>
      </c>
      <c r="R57" s="116">
        <v>291480950357</v>
      </c>
      <c r="S57" s="116">
        <v>5574094.7300000004</v>
      </c>
      <c r="T57" s="130">
        <f t="shared" ref="T57" si="99">Q57/S57</f>
        <v>35.504513035069998</v>
      </c>
      <c r="U57" s="85">
        <f t="shared" ref="U57" si="100">Q55+Q56+Q57</f>
        <v>890239526</v>
      </c>
      <c r="V57" s="79"/>
      <c r="W57" s="79"/>
      <c r="X57" s="79"/>
      <c r="Y57" s="79"/>
      <c r="Z57" s="79"/>
    </row>
    <row r="58" spans="1:26">
      <c r="B58" s="196">
        <f>SUM(F56:F58)</f>
        <v>33242480.992424242</v>
      </c>
      <c r="C58" s="196">
        <f>AVERAGE(F56:F58)</f>
        <v>16621240.496212121</v>
      </c>
      <c r="D58" s="197">
        <f>C58/C55-1</f>
        <v>0.13268878704764298</v>
      </c>
      <c r="E58" s="233">
        <f>C58/C46-1</f>
        <v>0.38379903335837517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1431611000</v>
      </c>
      <c r="R65" s="212">
        <v>2105402804073</v>
      </c>
      <c r="S65" s="213">
        <v>42012456.200000003</v>
      </c>
      <c r="T65" s="214">
        <v>3537</v>
      </c>
      <c r="U65" s="214">
        <v>13924</v>
      </c>
    </row>
    <row r="66" spans="16:21" ht="18" thickBot="1">
      <c r="P66" s="180" t="s">
        <v>976</v>
      </c>
      <c r="Q66" s="181">
        <v>289459072</v>
      </c>
      <c r="R66" s="181">
        <v>422125966318</v>
      </c>
      <c r="S66" s="182">
        <v>8774498.3200000003</v>
      </c>
      <c r="T66" s="210">
        <v>1907</v>
      </c>
      <c r="U66" s="210">
        <v>5651</v>
      </c>
    </row>
    <row r="67" spans="16:21" ht="18" thickBot="1">
      <c r="P67" s="180" t="s">
        <v>977</v>
      </c>
      <c r="Q67" s="181">
        <v>251912402</v>
      </c>
      <c r="R67" s="181">
        <v>364921481103</v>
      </c>
      <c r="S67" s="182">
        <v>7532276.6200000001</v>
      </c>
      <c r="T67" s="210">
        <v>1829</v>
      </c>
      <c r="U67" s="210">
        <v>5276</v>
      </c>
    </row>
    <row r="68" spans="16:21" ht="18" thickBot="1">
      <c r="P68" s="180" t="s">
        <v>978</v>
      </c>
      <c r="Q68" s="181">
        <v>323826210</v>
      </c>
      <c r="R68" s="181">
        <v>476787971137</v>
      </c>
      <c r="S68" s="182">
        <v>9123374.0899999999</v>
      </c>
      <c r="T68" s="210">
        <v>1959</v>
      </c>
      <c r="U68" s="210">
        <v>5709</v>
      </c>
    </row>
    <row r="69" spans="16:21" ht="18" thickBot="1">
      <c r="P69" s="180" t="s">
        <v>979</v>
      </c>
      <c r="Q69" s="181">
        <v>368507797</v>
      </c>
      <c r="R69" s="181">
        <v>550086435158</v>
      </c>
      <c r="S69" s="182">
        <v>11008212.42</v>
      </c>
      <c r="T69" s="210">
        <v>2069</v>
      </c>
      <c r="U69" s="210">
        <v>6104</v>
      </c>
    </row>
    <row r="70" spans="16:21" ht="18" thickBot="1">
      <c r="P70" s="180" t="s">
        <v>980</v>
      </c>
      <c r="Q70" s="181">
        <v>197905519</v>
      </c>
      <c r="R70" s="181">
        <v>291480950357</v>
      </c>
      <c r="S70" s="182">
        <v>5574094.7300000004</v>
      </c>
      <c r="T70" s="210">
        <v>1638</v>
      </c>
      <c r="U70" s="210">
        <v>4140</v>
      </c>
    </row>
    <row r="71" spans="16:21" ht="18" thickBot="1">
      <c r="P71" s="215" t="s">
        <v>975</v>
      </c>
      <c r="Q71" s="217" t="s">
        <v>1491</v>
      </c>
      <c r="R71"/>
      <c r="S71"/>
      <c r="T71"/>
      <c r="U71"/>
    </row>
    <row r="72" spans="16:21" ht="18" thickBot="1">
      <c r="P72" s="215" t="s">
        <v>982</v>
      </c>
      <c r="Q72" s="217" t="s">
        <v>1445</v>
      </c>
      <c r="R72"/>
      <c r="S72"/>
      <c r="T72"/>
      <c r="U72"/>
    </row>
  </sheetData>
  <phoneticPr fontId="1" type="noConversion"/>
  <conditionalFormatting sqref="C29:C30">
    <cfRule type="cellIs" dxfId="19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3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269</v>
      </c>
      <c r="F4" s="84" t="s">
        <v>72</v>
      </c>
      <c r="G4" s="172" t="s">
        <v>295</v>
      </c>
      <c r="H4" s="172" t="s">
        <v>269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12599063.699999999</v>
      </c>
      <c r="G5" s="90"/>
      <c r="H5" s="90"/>
      <c r="I5" s="130">
        <f t="shared" ref="I5:I49" si="0">T5</f>
        <v>28.016721199281719</v>
      </c>
      <c r="J5" s="130"/>
      <c r="K5" s="86"/>
      <c r="L5" s="80"/>
      <c r="M5" s="80"/>
      <c r="P5" s="129" t="s">
        <v>0</v>
      </c>
      <c r="Q5" s="116">
        <v>251981274</v>
      </c>
      <c r="R5" s="116">
        <v>297326071157</v>
      </c>
      <c r="S5" s="116">
        <v>8993960.1500000004</v>
      </c>
      <c r="T5" s="130">
        <f t="shared" ref="T5:T17" si="1">Q5/S5</f>
        <v>28.016721199281719</v>
      </c>
      <c r="U5" s="85"/>
    </row>
    <row r="6" spans="1:21" ht="15" hidden="1" customHeight="1">
      <c r="A6" s="129" t="s">
        <v>1</v>
      </c>
      <c r="C6" s="79"/>
      <c r="F6" s="78">
        <f>Q6/18</f>
        <v>14358886.388888888</v>
      </c>
      <c r="G6" s="90">
        <f t="shared" ref="G6:G16" si="2">F6/F5-1</f>
        <v>0.13967884684072907</v>
      </c>
      <c r="H6" s="90"/>
      <c r="I6" s="130">
        <f t="shared" si="0"/>
        <v>28.07547381709924</v>
      </c>
      <c r="J6" s="130"/>
      <c r="K6" s="78"/>
      <c r="P6" s="129" t="s">
        <v>1</v>
      </c>
      <c r="Q6" s="116">
        <v>258459955</v>
      </c>
      <c r="R6" s="116">
        <v>307027846005</v>
      </c>
      <c r="S6" s="116">
        <v>9205898.2400000002</v>
      </c>
      <c r="T6" s="130">
        <f t="shared" si="1"/>
        <v>28.07547381709924</v>
      </c>
      <c r="U6" s="85"/>
    </row>
    <row r="7" spans="1:21" ht="15" hidden="1" customHeight="1">
      <c r="A7" s="129" t="s">
        <v>2</v>
      </c>
      <c r="B7" s="131">
        <f>F5+F6+F7</f>
        <v>41461092.907070704</v>
      </c>
      <c r="C7" s="131">
        <f>AVERAGE(F5:F7)</f>
        <v>13820364.302356901</v>
      </c>
      <c r="F7" s="78">
        <f>Q7/22</f>
        <v>14503142.818181818</v>
      </c>
      <c r="G7" s="90">
        <f t="shared" si="2"/>
        <v>1.0046491446896511E-2</v>
      </c>
      <c r="H7" s="90"/>
      <c r="I7" s="130">
        <f t="shared" si="0"/>
        <v>28.72688365688423</v>
      </c>
      <c r="J7" s="130"/>
      <c r="K7" s="85">
        <f>R5+R6+R7</f>
        <v>988669757419</v>
      </c>
      <c r="N7" s="88">
        <f>AVERAGE(T5:T7)</f>
        <v>28.273026224421727</v>
      </c>
      <c r="P7" s="129" t="s">
        <v>2</v>
      </c>
      <c r="Q7" s="116">
        <v>319069142</v>
      </c>
      <c r="R7" s="116">
        <v>384315840257</v>
      </c>
      <c r="S7" s="116">
        <v>11106987.65</v>
      </c>
      <c r="T7" s="130">
        <f t="shared" si="1"/>
        <v>28.72688365688423</v>
      </c>
      <c r="U7" s="85">
        <f>Q5+Q6+Q7</f>
        <v>829510371</v>
      </c>
    </row>
    <row r="8" spans="1:21" ht="15" hidden="1" customHeight="1">
      <c r="A8" s="129" t="s">
        <v>3</v>
      </c>
      <c r="C8" s="79"/>
      <c r="F8" s="78">
        <f>Q8/21</f>
        <v>15918586.904761905</v>
      </c>
      <c r="G8" s="90">
        <f t="shared" si="2"/>
        <v>9.7595680076019153E-2</v>
      </c>
      <c r="H8" s="90"/>
      <c r="I8" s="130">
        <f t="shared" si="0"/>
        <v>30.068131041060123</v>
      </c>
      <c r="J8" s="130"/>
      <c r="K8" s="78"/>
      <c r="P8" s="129" t="s">
        <v>3</v>
      </c>
      <c r="Q8" s="116">
        <v>334290325</v>
      </c>
      <c r="R8" s="116">
        <v>405323797754</v>
      </c>
      <c r="S8" s="116">
        <v>11117762.01</v>
      </c>
      <c r="T8" s="130">
        <f t="shared" si="1"/>
        <v>30.068131041060123</v>
      </c>
      <c r="U8" s="85"/>
    </row>
    <row r="9" spans="1:21" ht="15" hidden="1" customHeight="1">
      <c r="A9" s="129" t="s">
        <v>4</v>
      </c>
      <c r="C9" s="79"/>
      <c r="F9" s="78">
        <f>Q9/21</f>
        <v>20093960.857142858</v>
      </c>
      <c r="G9" s="90">
        <f t="shared" si="2"/>
        <v>0.26229551513343985</v>
      </c>
      <c r="H9" s="90"/>
      <c r="I9" s="130">
        <f t="shared" si="0"/>
        <v>33.156541422290303</v>
      </c>
      <c r="J9" s="130"/>
      <c r="K9" s="78"/>
      <c r="P9" s="129" t="s">
        <v>4</v>
      </c>
      <c r="Q9" s="116">
        <v>421973178</v>
      </c>
      <c r="R9" s="116">
        <v>529791569877</v>
      </c>
      <c r="S9" s="116">
        <v>12726694.640000001</v>
      </c>
      <c r="T9" s="130">
        <f t="shared" si="1"/>
        <v>33.156541422290303</v>
      </c>
      <c r="U9" s="85"/>
    </row>
    <row r="10" spans="1:21" ht="15" hidden="1" customHeight="1">
      <c r="A10" s="129" t="s">
        <v>5</v>
      </c>
      <c r="B10" s="131">
        <f>F8+F9+F10</f>
        <v>49504769.238095239</v>
      </c>
      <c r="C10" s="131">
        <f>AVERAGE(F8:F10)</f>
        <v>16501589.746031746</v>
      </c>
      <c r="D10" s="90">
        <f>C10/C7-1</f>
        <v>0.19400541006126693</v>
      </c>
      <c r="E10" s="286"/>
      <c r="F10" s="78">
        <f>Q10/21</f>
        <v>13492221.476190476</v>
      </c>
      <c r="G10" s="90">
        <f t="shared" si="2"/>
        <v>-0.32854345780242944</v>
      </c>
      <c r="H10" s="90"/>
      <c r="I10" s="130">
        <f t="shared" si="0"/>
        <v>27.333222024109599</v>
      </c>
      <c r="J10" s="130"/>
      <c r="K10" s="85">
        <f>R8+R9+R10</f>
        <v>1291725830526</v>
      </c>
      <c r="L10" s="87">
        <f>U10/U7-1</f>
        <v>0.25326962789715379</v>
      </c>
      <c r="N10" s="88">
        <f>AVERAGE(T8:T10)</f>
        <v>30.185964829153345</v>
      </c>
      <c r="O10" s="89">
        <f>N10/N7-1</f>
        <v>6.7659492462793347E-2</v>
      </c>
      <c r="P10" s="129" t="s">
        <v>5</v>
      </c>
      <c r="Q10" s="116">
        <v>283336651</v>
      </c>
      <c r="R10" s="116">
        <v>356610462895</v>
      </c>
      <c r="S10" s="116">
        <v>10366017.25</v>
      </c>
      <c r="T10" s="130">
        <f t="shared" si="1"/>
        <v>27.333222024109599</v>
      </c>
      <c r="U10" s="85">
        <f>Q8+Q9+Q10</f>
        <v>1039600154</v>
      </c>
    </row>
    <row r="11" spans="1:21" ht="15" hidden="1" customHeight="1">
      <c r="A11" s="129" t="s">
        <v>6</v>
      </c>
      <c r="C11" s="79"/>
      <c r="F11" s="78">
        <f>Q11/21</f>
        <v>13236886</v>
      </c>
      <c r="G11" s="90">
        <f t="shared" si="2"/>
        <v>-1.892464310944364E-2</v>
      </c>
      <c r="H11" s="90"/>
      <c r="I11" s="130">
        <f t="shared" si="0"/>
        <v>26.749484696272617</v>
      </c>
      <c r="J11" s="130"/>
      <c r="K11" s="78"/>
      <c r="O11" s="89"/>
      <c r="P11" s="129" t="s">
        <v>6</v>
      </c>
      <c r="Q11" s="116">
        <v>277974606</v>
      </c>
      <c r="R11" s="116">
        <v>358808857448</v>
      </c>
      <c r="S11" s="116">
        <v>10391774.24</v>
      </c>
      <c r="T11" s="130">
        <f t="shared" si="1"/>
        <v>26.749484696272617</v>
      </c>
      <c r="U11" s="85"/>
    </row>
    <row r="12" spans="1:21" ht="15" hidden="1" customHeight="1">
      <c r="A12" s="129" t="s">
        <v>7</v>
      </c>
      <c r="C12" s="79"/>
      <c r="F12" s="78">
        <f>Q12/22</f>
        <v>12452464</v>
      </c>
      <c r="G12" s="90">
        <f t="shared" si="2"/>
        <v>-5.9260312432999673E-2</v>
      </c>
      <c r="H12" s="90"/>
      <c r="I12" s="130">
        <f t="shared" si="0"/>
        <v>28.644404427633564</v>
      </c>
      <c r="J12" s="130"/>
      <c r="K12" s="78"/>
      <c r="O12" s="89"/>
      <c r="P12" s="129" t="s">
        <v>7</v>
      </c>
      <c r="Q12" s="116">
        <v>273954208</v>
      </c>
      <c r="R12" s="116">
        <v>356243959048</v>
      </c>
      <c r="S12" s="116">
        <v>9563969.4199999999</v>
      </c>
      <c r="T12" s="130">
        <f t="shared" si="1"/>
        <v>28.644404427633564</v>
      </c>
      <c r="U12" s="85"/>
    </row>
    <row r="13" spans="1:21" ht="15" hidden="1" customHeight="1">
      <c r="A13" s="129" t="s">
        <v>96</v>
      </c>
      <c r="B13" s="131">
        <f>F11+F12+F13</f>
        <v>43112630.100000001</v>
      </c>
      <c r="C13" s="131">
        <f>AVERAGE(F11:F13)</f>
        <v>14370876.700000001</v>
      </c>
      <c r="D13" s="90">
        <f>C13/C10-1</f>
        <v>-0.12912168335442542</v>
      </c>
      <c r="E13" s="286"/>
      <c r="F13" s="78">
        <f>Q13/20</f>
        <v>17423280.100000001</v>
      </c>
      <c r="G13" s="90">
        <f t="shared" si="2"/>
        <v>0.39918333431841302</v>
      </c>
      <c r="H13" s="90"/>
      <c r="I13" s="130">
        <f t="shared" si="0"/>
        <v>29.63812123593204</v>
      </c>
      <c r="J13" s="130"/>
      <c r="K13" s="78">
        <f>R11+R12+R13</f>
        <v>1191061729650</v>
      </c>
      <c r="L13" s="87">
        <f>U13/U10-1</f>
        <v>-0.13390315253839413</v>
      </c>
      <c r="N13" s="88">
        <f>AVERAGE(T11:T13)</f>
        <v>28.344003453279402</v>
      </c>
      <c r="O13" s="89">
        <f>N13/N10-1</f>
        <v>-6.1020457232329184E-2</v>
      </c>
      <c r="P13" s="129" t="s">
        <v>96</v>
      </c>
      <c r="Q13" s="116">
        <v>348465602</v>
      </c>
      <c r="R13" s="116">
        <v>476008913154</v>
      </c>
      <c r="S13" s="116">
        <v>11757344.51</v>
      </c>
      <c r="T13" s="130">
        <f t="shared" si="1"/>
        <v>29.63812123593204</v>
      </c>
      <c r="U13" s="85">
        <f>Q11+Q12+Q13</f>
        <v>900394416</v>
      </c>
    </row>
    <row r="14" spans="1:21" ht="15" hidden="1" customHeight="1">
      <c r="A14" s="129" t="s">
        <v>97</v>
      </c>
      <c r="C14" s="79"/>
      <c r="F14" s="78">
        <f>Q14/20</f>
        <v>17091569.949999999</v>
      </c>
      <c r="G14" s="90">
        <f t="shared" si="2"/>
        <v>-1.9038329642648733E-2</v>
      </c>
      <c r="H14" s="90"/>
      <c r="I14" s="130">
        <f t="shared" si="0"/>
        <v>33.695182275497821</v>
      </c>
      <c r="J14" s="130"/>
      <c r="K14" s="78"/>
      <c r="O14" s="89"/>
      <c r="P14" s="129" t="s">
        <v>97</v>
      </c>
      <c r="Q14" s="116">
        <v>341831399</v>
      </c>
      <c r="R14" s="116">
        <v>487306441168</v>
      </c>
      <c r="S14" s="116">
        <v>10144815.25</v>
      </c>
      <c r="T14" s="130">
        <f t="shared" si="1"/>
        <v>33.695182275497821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13062870.954545455</v>
      </c>
      <c r="G15" s="90">
        <f t="shared" si="2"/>
        <v>-0.23571263536586606</v>
      </c>
      <c r="H15" s="90"/>
      <c r="I15" s="130">
        <f t="shared" si="0"/>
        <v>27.984559817005703</v>
      </c>
      <c r="J15" s="130"/>
      <c r="K15" s="78"/>
      <c r="O15" s="89"/>
      <c r="P15" s="129" t="s">
        <v>98</v>
      </c>
      <c r="Q15" s="116">
        <v>287383161</v>
      </c>
      <c r="R15" s="116">
        <v>397732673913</v>
      </c>
      <c r="S15" s="116">
        <v>10269347.199999999</v>
      </c>
      <c r="T15" s="130">
        <f t="shared" si="1"/>
        <v>27.984559817005703</v>
      </c>
      <c r="U15" s="85"/>
    </row>
    <row r="16" spans="1:21" ht="15" hidden="1" customHeight="1">
      <c r="A16" s="129" t="s">
        <v>99</v>
      </c>
      <c r="B16" s="131">
        <f>F14+F15+F16</f>
        <v>41495785.450000003</v>
      </c>
      <c r="C16" s="131">
        <f>AVERAGE(F14:F16)</f>
        <v>13831928.483333334</v>
      </c>
      <c r="D16" s="90">
        <f>C16/C13-1</f>
        <v>-3.7502807095037283E-2</v>
      </c>
      <c r="E16" s="286"/>
      <c r="F16" s="78">
        <f>Q16/22</f>
        <v>11341344.545454545</v>
      </c>
      <c r="G16" s="90">
        <f t="shared" si="2"/>
        <v>-0.13178775286698174</v>
      </c>
      <c r="H16" s="90"/>
      <c r="I16" s="130">
        <f t="shared" si="0"/>
        <v>26.727549980605275</v>
      </c>
      <c r="J16" s="130"/>
      <c r="K16" s="78">
        <f>R14+R15+R16</f>
        <v>1212019790449</v>
      </c>
      <c r="L16" s="87">
        <f>U16/U13-1</f>
        <v>-2.4067537086991386E-2</v>
      </c>
      <c r="N16" s="88">
        <f>AVERAGE(T14:T16)</f>
        <v>29.469097357702935</v>
      </c>
      <c r="O16" s="89">
        <f>N16/N13-1</f>
        <v>3.9694248071838967E-2</v>
      </c>
      <c r="P16" s="129" t="s">
        <v>99</v>
      </c>
      <c r="Q16" s="116">
        <v>249509580</v>
      </c>
      <c r="R16" s="116">
        <v>326980675368</v>
      </c>
      <c r="S16" s="116">
        <v>9335295.6099999994</v>
      </c>
      <c r="T16" s="130">
        <f t="shared" si="1"/>
        <v>26.727549980605275</v>
      </c>
      <c r="U16" s="85">
        <f>Q14+Q15+Q16</f>
        <v>878724140</v>
      </c>
    </row>
    <row r="17" spans="1:21" ht="15" hidden="1" customHeight="1">
      <c r="A17" s="129" t="s">
        <v>100</v>
      </c>
      <c r="C17" s="79"/>
      <c r="F17" s="78">
        <f>Q17/20</f>
        <v>9385628.5999999996</v>
      </c>
      <c r="G17" s="90">
        <f t="shared" ref="G17:G22" si="3">F17/F16-1</f>
        <v>-0.17244127780584617</v>
      </c>
      <c r="H17" s="90">
        <f t="shared" ref="H17:H22" si="4">F17/F5-1</f>
        <v>-0.255053484649022</v>
      </c>
      <c r="I17" s="130">
        <f t="shared" si="0"/>
        <v>23.90873037101154</v>
      </c>
      <c r="J17" s="130">
        <f t="shared" ref="J17:J49" si="5">I17/I5-1</f>
        <v>-0.14662639496785579</v>
      </c>
      <c r="K17" s="78"/>
      <c r="O17" s="89"/>
      <c r="P17" s="129" t="s">
        <v>100</v>
      </c>
      <c r="Q17" s="116">
        <v>187712572</v>
      </c>
      <c r="R17" s="116">
        <v>236074072590</v>
      </c>
      <c r="S17" s="116">
        <v>7851214.5599999996</v>
      </c>
      <c r="T17" s="130">
        <f t="shared" si="1"/>
        <v>23.90873037101154</v>
      </c>
      <c r="U17" s="78"/>
    </row>
    <row r="18" spans="1:21" ht="15" hidden="1" customHeight="1">
      <c r="A18" s="129" t="s">
        <v>106</v>
      </c>
      <c r="C18" s="79"/>
      <c r="F18" s="78">
        <f>Q18/20</f>
        <v>14205764.9</v>
      </c>
      <c r="G18" s="90">
        <f t="shared" si="3"/>
        <v>0.51356563373922559</v>
      </c>
      <c r="H18" s="90">
        <f t="shared" si="4"/>
        <v>-1.0663883308344557E-2</v>
      </c>
      <c r="I18" s="130">
        <f t="shared" si="0"/>
        <v>25.504770399208617</v>
      </c>
      <c r="J18" s="130">
        <f t="shared" si="5"/>
        <v>-9.1564026118944764E-2</v>
      </c>
      <c r="K18" s="78"/>
      <c r="O18" s="89"/>
      <c r="P18" s="129" t="s">
        <v>106</v>
      </c>
      <c r="Q18" s="116">
        <v>284115298</v>
      </c>
      <c r="R18" s="116">
        <v>356475864297</v>
      </c>
      <c r="S18" s="116">
        <v>11139692.439999999</v>
      </c>
      <c r="T18" s="130">
        <f t="shared" ref="T18" si="6">Q18/S18</f>
        <v>25.504770399208617</v>
      </c>
      <c r="U18" s="78"/>
    </row>
    <row r="19" spans="1:21" hidden="1">
      <c r="A19" s="129" t="s">
        <v>114</v>
      </c>
      <c r="B19" s="131">
        <f>SUM(F17:F19)</f>
        <v>39035007.13636364</v>
      </c>
      <c r="C19" s="131">
        <f>AVERAGE(F17:F19)</f>
        <v>13011669.045454547</v>
      </c>
      <c r="D19" s="90">
        <f>C19/C16-1</f>
        <v>-5.9301885407168853E-2</v>
      </c>
      <c r="E19" s="286">
        <f>C19/C7-1</f>
        <v>-5.85147568624107E-2</v>
      </c>
      <c r="F19" s="78">
        <f>Q19/22</f>
        <v>15443613.636363637</v>
      </c>
      <c r="G19" s="90">
        <f t="shared" si="3"/>
        <v>8.7137070413127571E-2</v>
      </c>
      <c r="H19" s="90">
        <f t="shared" si="4"/>
        <v>6.4846001309647239E-2</v>
      </c>
      <c r="I19" s="130">
        <f t="shared" si="0"/>
        <v>27.505704003357078</v>
      </c>
      <c r="J19" s="130">
        <f t="shared" si="5"/>
        <v>-4.2509994056891154E-2</v>
      </c>
      <c r="K19" s="78">
        <f>R17+R18+R19</f>
        <v>1036563770675</v>
      </c>
      <c r="L19" s="87">
        <f>U19/U16-1</f>
        <v>-7.6402555641637449E-2</v>
      </c>
      <c r="M19" s="87">
        <f>U19/U7-1</f>
        <v>-2.1606723226851643E-2</v>
      </c>
      <c r="N19" s="88">
        <f>AVERAGE(T17:T19)</f>
        <v>25.639734924525744</v>
      </c>
      <c r="O19" s="89">
        <f>N19/N16-1</f>
        <v>-0.12994501958086724</v>
      </c>
      <c r="P19" s="129" t="s">
        <v>115</v>
      </c>
      <c r="Q19" s="116">
        <v>339759500</v>
      </c>
      <c r="R19" s="116">
        <v>444013833788</v>
      </c>
      <c r="S19" s="116">
        <v>12352328.810000001</v>
      </c>
      <c r="T19" s="130">
        <f t="shared" ref="T19" si="7">Q19/S19</f>
        <v>27.505704003357078</v>
      </c>
      <c r="U19" s="85">
        <f>Q17+Q18+Q19</f>
        <v>811587370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15186135.35</v>
      </c>
      <c r="G20" s="90">
        <f t="shared" si="3"/>
        <v>-1.66721528022028E-2</v>
      </c>
      <c r="H20" s="90">
        <f t="shared" si="4"/>
        <v>-4.601234765020501E-2</v>
      </c>
      <c r="I20" s="130">
        <f t="shared" si="0"/>
        <v>26.280351532373984</v>
      </c>
      <c r="J20" s="130">
        <f t="shared" si="5"/>
        <v>-0.12597322738528915</v>
      </c>
      <c r="K20" s="78"/>
      <c r="O20" s="89"/>
      <c r="P20" s="129" t="s">
        <v>132</v>
      </c>
      <c r="Q20" s="116">
        <v>303722707</v>
      </c>
      <c r="R20" s="116">
        <v>398415554310</v>
      </c>
      <c r="S20" s="116">
        <v>11557026.039999999</v>
      </c>
      <c r="T20" s="130">
        <f t="shared" ref="T20" si="8">Q20/S20</f>
        <v>26.280351532373984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18360907.19047619</v>
      </c>
      <c r="G21" s="90">
        <f t="shared" si="3"/>
        <v>0.20905725961912958</v>
      </c>
      <c r="H21" s="90">
        <f t="shared" si="4"/>
        <v>-8.6247488934000471E-2</v>
      </c>
      <c r="I21" s="130">
        <f t="shared" si="0"/>
        <v>31.370768184785661</v>
      </c>
      <c r="J21" s="130">
        <f t="shared" si="5"/>
        <v>-5.385885140312352E-2</v>
      </c>
      <c r="K21" s="78"/>
      <c r="O21" s="89"/>
      <c r="P21" s="129" t="s">
        <v>142</v>
      </c>
      <c r="Q21" s="116">
        <v>385579051</v>
      </c>
      <c r="R21" s="116">
        <v>513737189018</v>
      </c>
      <c r="S21" s="116">
        <v>12291029.939999999</v>
      </c>
      <c r="T21" s="130">
        <f t="shared" ref="T21" si="9">Q21/S21</f>
        <v>31.370768184785661</v>
      </c>
      <c r="U21" s="78"/>
    </row>
    <row r="22" spans="1:21" hidden="1">
      <c r="A22" s="129" t="s">
        <v>156</v>
      </c>
      <c r="B22" s="131">
        <f>SUM(F20:F22)</f>
        <v>49379553.969047621</v>
      </c>
      <c r="C22" s="131">
        <f>AVERAGE(F20:F22)</f>
        <v>16459851.323015874</v>
      </c>
      <c r="D22" s="90">
        <f>C22/C19-1</f>
        <v>0.26500691537077659</v>
      </c>
      <c r="E22" s="286">
        <f>C22/C10-1</f>
        <v>-2.5293576957280406E-3</v>
      </c>
      <c r="F22" s="78">
        <f>Q22/21</f>
        <v>15832511.428571429</v>
      </c>
      <c r="G22" s="90">
        <f t="shared" si="3"/>
        <v>-0.13770538327301396</v>
      </c>
      <c r="H22" s="90">
        <f t="shared" si="4"/>
        <v>0.17345475365274932</v>
      </c>
      <c r="I22" s="130">
        <f t="shared" si="0"/>
        <v>27.608673554701586</v>
      </c>
      <c r="J22" s="130">
        <f t="shared" si="5"/>
        <v>1.0077536060294046E-2</v>
      </c>
      <c r="K22" s="78">
        <f>R20+R21+R22</f>
        <v>1343991873206</v>
      </c>
      <c r="L22" s="87">
        <f>U22/U19-1</f>
        <v>0.25899507036438973</v>
      </c>
      <c r="M22" s="87">
        <f>U22/U10-1</f>
        <v>-1.7137027088204859E-2</v>
      </c>
      <c r="N22" s="88">
        <f>AVERAGE(T20:T22)</f>
        <v>28.419931090620409</v>
      </c>
      <c r="O22" s="89">
        <f>N22/N19-1</f>
        <v>0.10843310877739465</v>
      </c>
      <c r="P22" s="129" t="s">
        <v>156</v>
      </c>
      <c r="Q22" s="116">
        <v>332482740</v>
      </c>
      <c r="R22" s="116">
        <v>431839129878</v>
      </c>
      <c r="S22" s="116">
        <v>12042691.560000001</v>
      </c>
      <c r="T22" s="130">
        <f t="shared" ref="T22:T23" si="10">Q22/S22</f>
        <v>27.608673554701586</v>
      </c>
      <c r="U22" s="85">
        <f>Q20+Q21+Q22</f>
        <v>1021784498</v>
      </c>
    </row>
    <row r="23" spans="1:21" hidden="1">
      <c r="A23" s="129" t="s">
        <v>189</v>
      </c>
      <c r="B23" s="131"/>
      <c r="C23" s="131"/>
      <c r="F23" s="78">
        <f>Q23/21</f>
        <v>13657984.285714285</v>
      </c>
      <c r="G23" s="90">
        <f t="shared" ref="G23" si="11">F23/F22-1</f>
        <v>-0.13734568597455621</v>
      </c>
      <c r="H23" s="90">
        <f t="shared" ref="H23" si="12">F23/F11-1</f>
        <v>3.1812488655888149E-2</v>
      </c>
      <c r="I23" s="130">
        <f t="shared" si="0"/>
        <v>26.087418018028924</v>
      </c>
      <c r="J23" s="130">
        <f t="shared" si="5"/>
        <v>-2.4750632984565479E-2</v>
      </c>
      <c r="K23" s="78"/>
      <c r="O23" s="89"/>
      <c r="P23" s="129" t="s">
        <v>189</v>
      </c>
      <c r="Q23" s="116">
        <v>286817670</v>
      </c>
      <c r="R23" s="116">
        <v>370485912276</v>
      </c>
      <c r="S23" s="116">
        <v>10994482.85</v>
      </c>
      <c r="T23" s="130">
        <f t="shared" si="10"/>
        <v>26.087418018028924</v>
      </c>
      <c r="U23" s="78"/>
    </row>
    <row r="24" spans="1:21" hidden="1">
      <c r="A24" s="129" t="s">
        <v>204</v>
      </c>
      <c r="B24" s="131"/>
      <c r="C24" s="131"/>
      <c r="F24" s="78">
        <f>Q24/22</f>
        <v>14864985.318181818</v>
      </c>
      <c r="G24" s="90">
        <f t="shared" ref="G24" si="13">F24/F23-1</f>
        <v>8.8373291930787135E-2</v>
      </c>
      <c r="H24" s="90">
        <f t="shared" ref="H24" si="14">F24/F12-1</f>
        <v>0.19373846960584018</v>
      </c>
      <c r="I24" s="130">
        <f t="shared" si="0"/>
        <v>27.131797135208924</v>
      </c>
      <c r="J24" s="130">
        <f t="shared" si="5"/>
        <v>-5.2806379558215322E-2</v>
      </c>
      <c r="K24" s="78"/>
      <c r="O24" s="89"/>
      <c r="P24" s="129" t="s">
        <v>204</v>
      </c>
      <c r="Q24" s="116">
        <v>327029677</v>
      </c>
      <c r="R24" s="116">
        <v>429419088906</v>
      </c>
      <c r="S24" s="116">
        <v>12053373.220000001</v>
      </c>
      <c r="T24" s="130">
        <f t="shared" ref="T24" si="15">Q24/S24</f>
        <v>27.131797135208924</v>
      </c>
      <c r="U24" s="78"/>
    </row>
    <row r="25" spans="1:21" s="79" customFormat="1" ht="13.2" hidden="1">
      <c r="A25" s="129" t="s">
        <v>219</v>
      </c>
      <c r="B25" s="131">
        <f>SUM(F23:F25)</f>
        <v>48881437.656527683</v>
      </c>
      <c r="C25" s="131">
        <f>AVERAGE(F23:F25)</f>
        <v>16293812.552175894</v>
      </c>
      <c r="D25" s="90">
        <f>C25/C22-1</f>
        <v>-1.008750125268798E-2</v>
      </c>
      <c r="E25" s="286">
        <f>C25/C13-1</f>
        <v>0.13380783179191091</v>
      </c>
      <c r="F25" s="78">
        <f>Q25/19</f>
        <v>20358468.052631579</v>
      </c>
      <c r="G25" s="90">
        <f t="shared" ref="G25" si="16">F25/F24-1</f>
        <v>0.36955857115650925</v>
      </c>
      <c r="H25" s="90">
        <f t="shared" ref="H25" si="17">F25/F13-1</f>
        <v>0.16846356918933858</v>
      </c>
      <c r="I25" s="130">
        <f t="shared" si="0"/>
        <v>24.920206014412024</v>
      </c>
      <c r="J25" s="130">
        <f t="shared" si="5"/>
        <v>-0.15918401790597336</v>
      </c>
      <c r="K25" s="78">
        <f>R23+R24+R25</f>
        <v>1313332023334</v>
      </c>
      <c r="L25" s="90">
        <f>U25/U22-1</f>
        <v>-2.0675845093903522E-2</v>
      </c>
      <c r="M25" s="90">
        <f>U25/U13-1</f>
        <v>0.11135544847714818</v>
      </c>
      <c r="N25" s="88">
        <f>AVERAGE(T23:T25)</f>
        <v>26.046473722549958</v>
      </c>
      <c r="O25" s="91">
        <f>N25/N22-1</f>
        <v>-8.3513832616356254E-2</v>
      </c>
      <c r="P25" s="129" t="s">
        <v>219</v>
      </c>
      <c r="Q25" s="116">
        <v>386810893</v>
      </c>
      <c r="R25" s="116">
        <v>513427022152</v>
      </c>
      <c r="S25" s="116">
        <v>15521978.140000001</v>
      </c>
      <c r="T25" s="130">
        <f t="shared" ref="T25" si="18">Q25/S25</f>
        <v>24.920206014412024</v>
      </c>
      <c r="U25" s="85">
        <f>Q23+Q24+Q25</f>
        <v>1000658240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17992732.210526317</v>
      </c>
      <c r="G26" s="90">
        <f t="shared" ref="G26" si="19">F26/F25-1</f>
        <v>-0.11620402065564372</v>
      </c>
      <c r="H26" s="90">
        <f t="shared" ref="H26" si="20">F26/F14-1</f>
        <v>5.2725540319736197E-2</v>
      </c>
      <c r="I26" s="130">
        <f t="shared" si="0"/>
        <v>24.565165481507655</v>
      </c>
      <c r="J26" s="130">
        <f t="shared" si="5"/>
        <v>-0.27095911573771936</v>
      </c>
      <c r="K26" s="78"/>
      <c r="L26" s="90"/>
      <c r="M26" s="90"/>
      <c r="P26" s="129" t="s">
        <v>312</v>
      </c>
      <c r="Q26" s="116">
        <v>341861912</v>
      </c>
      <c r="R26" s="116">
        <v>461097861752</v>
      </c>
      <c r="S26" s="116">
        <v>13916532.02</v>
      </c>
      <c r="T26" s="130">
        <f t="shared" ref="T26" si="21">Q26/S26</f>
        <v>24.565165481507655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15528925.045454545</v>
      </c>
      <c r="G27" s="90">
        <f t="shared" ref="G27" si="22">F27/F26-1</f>
        <v>-0.13693346492593084</v>
      </c>
      <c r="H27" s="90">
        <f t="shared" ref="H27" si="23">F27/F15-1</f>
        <v>0.18878346877115737</v>
      </c>
      <c r="I27" s="130">
        <f t="shared" si="0"/>
        <v>25.522981536899753</v>
      </c>
      <c r="J27" s="130">
        <f t="shared" si="5"/>
        <v>-8.7962015347123446E-2</v>
      </c>
      <c r="K27" s="78"/>
      <c r="L27" s="90"/>
      <c r="M27" s="90"/>
      <c r="P27" s="129" t="s">
        <v>375</v>
      </c>
      <c r="Q27" s="116">
        <v>341636351</v>
      </c>
      <c r="R27" s="116">
        <v>452369186597</v>
      </c>
      <c r="S27" s="116">
        <v>13385440.51</v>
      </c>
      <c r="T27" s="130">
        <f t="shared" ref="T27" si="24">Q27/S27</f>
        <v>25.522981536899753</v>
      </c>
      <c r="U27" s="78"/>
    </row>
    <row r="28" spans="1:21" s="79" customFormat="1" ht="13.2" hidden="1">
      <c r="A28" s="123" t="s">
        <v>413</v>
      </c>
      <c r="B28" s="131">
        <f>SUM(F26:F28)</f>
        <v>49415300.466507182</v>
      </c>
      <c r="C28" s="131">
        <f>AVERAGE(F26:F28)</f>
        <v>16471766.82216906</v>
      </c>
      <c r="D28" s="90">
        <f>C28/C25-1</f>
        <v>1.0921585689249946E-2</v>
      </c>
      <c r="E28" s="286">
        <f>C28/C16-1</f>
        <v>0.19085106910555361</v>
      </c>
      <c r="F28" s="78">
        <f>Q28/19</f>
        <v>15893643.210526315</v>
      </c>
      <c r="G28" s="90">
        <f t="shared" ref="G28" si="25">F28/F27-1</f>
        <v>2.348637552207955E-2</v>
      </c>
      <c r="H28" s="90">
        <f t="shared" ref="H28" si="26">F28/F16-1</f>
        <v>0.40138968063502389</v>
      </c>
      <c r="I28" s="130">
        <f t="shared" si="0"/>
        <v>26.995747320293948</v>
      </c>
      <c r="J28" s="130">
        <f t="shared" si="5"/>
        <v>1.0034490250071082E-2</v>
      </c>
      <c r="K28" s="78">
        <f>R26+R27+R28</f>
        <v>1307200618609</v>
      </c>
      <c r="L28" s="90">
        <f>U28/U25-1</f>
        <v>-1.5170769992360222E-2</v>
      </c>
      <c r="M28" s="90">
        <f>U28/U16-1</f>
        <v>0.12148675464862047</v>
      </c>
      <c r="N28" s="88">
        <f>AVERAGE(T26:T28)</f>
        <v>25.694631446233785</v>
      </c>
      <c r="O28" s="91">
        <f>N28/N25-1</f>
        <v>-1.3508249909912506E-2</v>
      </c>
      <c r="P28" s="129" t="s">
        <v>413</v>
      </c>
      <c r="Q28" s="116">
        <v>301979221</v>
      </c>
      <c r="R28" s="116">
        <v>393733570260</v>
      </c>
      <c r="S28" s="116">
        <v>11186177.49</v>
      </c>
      <c r="T28" s="130">
        <f t="shared" ref="T28" si="27">Q28/S28</f>
        <v>26.995747320293948</v>
      </c>
      <c r="U28" s="85">
        <f>Q26+Q27+Q28</f>
        <v>985477484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16976173.045454547</v>
      </c>
      <c r="G29" s="190">
        <f t="shared" ref="G29" si="28">F29/F28-1</f>
        <v>6.8110868011135084E-2</v>
      </c>
      <c r="H29" s="190">
        <f t="shared" ref="H29" si="29">F29/F17-1</f>
        <v>0.8087411902762216</v>
      </c>
      <c r="I29" s="130">
        <f t="shared" si="0"/>
        <v>29.073680166718329</v>
      </c>
      <c r="J29" s="130">
        <f t="shared" si="5"/>
        <v>0.21602777376958082</v>
      </c>
      <c r="K29" s="136"/>
      <c r="L29" s="190"/>
      <c r="M29" s="190"/>
      <c r="N29" s="191"/>
      <c r="O29" s="192"/>
      <c r="P29" s="129" t="s">
        <v>455</v>
      </c>
      <c r="Q29" s="116">
        <v>373475807</v>
      </c>
      <c r="R29" s="116">
        <v>491862491332</v>
      </c>
      <c r="S29" s="116">
        <v>12845838.74</v>
      </c>
      <c r="T29" s="130">
        <f t="shared" ref="T29" si="30">Q29/S29</f>
        <v>29.073680166718329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16373074</v>
      </c>
      <c r="G30" s="190">
        <f t="shared" ref="G30" si="31">F30/F29-1</f>
        <v>-3.5526207457930559E-2</v>
      </c>
      <c r="H30" s="190">
        <f t="shared" ref="H30" si="32">F30/F18-1</f>
        <v>0.15256546305366481</v>
      </c>
      <c r="I30" s="130">
        <f t="shared" si="0"/>
        <v>28.148817622804653</v>
      </c>
      <c r="J30" s="130">
        <f t="shared" si="5"/>
        <v>0.10366873264140719</v>
      </c>
      <c r="K30" s="136"/>
      <c r="L30" s="190"/>
      <c r="M30" s="190"/>
      <c r="N30" s="191"/>
      <c r="O30" s="192"/>
      <c r="P30" s="129" t="s">
        <v>469</v>
      </c>
      <c r="Q30" s="116">
        <v>311088406</v>
      </c>
      <c r="R30" s="116">
        <v>414551236984</v>
      </c>
      <c r="S30" s="116">
        <v>11051562.1</v>
      </c>
      <c r="T30" s="130">
        <f t="shared" ref="T30" si="33">Q30/S30</f>
        <v>28.148817622804653</v>
      </c>
      <c r="U30" s="85"/>
    </row>
    <row r="31" spans="1:21" s="79" customFormat="1" ht="13.2" hidden="1">
      <c r="A31" s="129" t="s">
        <v>505</v>
      </c>
      <c r="B31" s="188">
        <f>SUM(F29:F31)</f>
        <v>49991790.49545455</v>
      </c>
      <c r="C31" s="188">
        <f>AVERAGE(F29:F31)</f>
        <v>16663930.165151516</v>
      </c>
      <c r="D31" s="190">
        <f>C31/C28-1</f>
        <v>1.1666225308861744E-2</v>
      </c>
      <c r="E31" s="287">
        <f>C31/C19-1</f>
        <v>0.28069120932435943</v>
      </c>
      <c r="F31" s="136">
        <f>Q31/20</f>
        <v>16642543.449999999</v>
      </c>
      <c r="G31" s="190">
        <f t="shared" ref="G31" si="34">F31/F30-1</f>
        <v>1.6458085390684607E-2</v>
      </c>
      <c r="H31" s="190">
        <f t="shared" ref="H31" si="35">F31/F19-1</f>
        <v>7.7632725207094966E-2</v>
      </c>
      <c r="I31" s="130">
        <f t="shared" si="0"/>
        <v>26.764659232753793</v>
      </c>
      <c r="J31" s="130">
        <f t="shared" si="5"/>
        <v>-2.6941494408317612E-2</v>
      </c>
      <c r="K31" s="136">
        <f>R29+R30+R31</f>
        <v>1348633190180</v>
      </c>
      <c r="L31" s="190">
        <f>U31/U28-1</f>
        <v>3.2408247289797965E-2</v>
      </c>
      <c r="M31" s="190">
        <f>U31/U19-1</f>
        <v>0.25361128032339875</v>
      </c>
      <c r="N31" s="191">
        <f>AVERAGE(T29:T31)</f>
        <v>27.995719007425592</v>
      </c>
      <c r="O31" s="192">
        <f>N31/N28-1</f>
        <v>8.9555188444981226E-2</v>
      </c>
      <c r="P31" s="129" t="s">
        <v>506</v>
      </c>
      <c r="Q31" s="116">
        <v>332850869</v>
      </c>
      <c r="R31" s="116">
        <v>442219461864</v>
      </c>
      <c r="S31" s="116">
        <v>12436207.99</v>
      </c>
      <c r="T31" s="130">
        <f t="shared" ref="T31" si="36">Q31/S31</f>
        <v>26.764659232753793</v>
      </c>
      <c r="U31" s="85">
        <f>Q29+Q30+Q31</f>
        <v>1017415082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18783789.380952381</v>
      </c>
      <c r="G32" s="190">
        <f t="shared" ref="G32" si="37">F32/F31-1</f>
        <v>0.12866097885731409</v>
      </c>
      <c r="H32" s="190">
        <f t="shared" ref="H32" si="38">F32/F20-1</f>
        <v>0.23690385657944124</v>
      </c>
      <c r="I32" s="130">
        <f t="shared" si="0"/>
        <v>27.097196545398162</v>
      </c>
      <c r="J32" s="130">
        <f t="shared" si="5"/>
        <v>3.108196676965802E-2</v>
      </c>
      <c r="K32" s="136"/>
      <c r="L32" s="190"/>
      <c r="M32" s="190"/>
      <c r="N32" s="191"/>
      <c r="O32" s="192"/>
      <c r="P32" s="129" t="s">
        <v>562</v>
      </c>
      <c r="Q32" s="116">
        <v>394459577</v>
      </c>
      <c r="R32" s="116">
        <v>536839331802</v>
      </c>
      <c r="S32" s="116">
        <v>14557209.869999999</v>
      </c>
      <c r="T32" s="130">
        <f t="shared" ref="T32" si="39">Q32/S32</f>
        <v>27.097196545398162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18691399.571428571</v>
      </c>
      <c r="G33" s="190">
        <f t="shared" ref="G33" si="40">F33/F32-1</f>
        <v>-4.9185927104515859E-3</v>
      </c>
      <c r="H33" s="190">
        <f t="shared" ref="H33" si="41">F33/F21-1</f>
        <v>1.7999784952009712E-2</v>
      </c>
      <c r="I33" s="130">
        <f t="shared" si="0"/>
        <v>27.041764143276914</v>
      </c>
      <c r="J33" s="130">
        <f t="shared" si="5"/>
        <v>-0.13799483697719095</v>
      </c>
      <c r="K33" s="136"/>
      <c r="L33" s="190"/>
      <c r="M33" s="190"/>
      <c r="N33" s="191"/>
      <c r="O33" s="192"/>
      <c r="P33" s="129" t="s">
        <v>639</v>
      </c>
      <c r="Q33" s="116">
        <v>392519391</v>
      </c>
      <c r="R33" s="116">
        <v>536585957467</v>
      </c>
      <c r="S33" s="116">
        <v>14515302.66</v>
      </c>
      <c r="T33" s="130">
        <f t="shared" ref="T33" si="42">Q33/S33</f>
        <v>27.041764143276914</v>
      </c>
      <c r="U33" s="85"/>
    </row>
    <row r="34" spans="1:21" s="79" customFormat="1" ht="13.2" hidden="1">
      <c r="A34" s="129" t="s">
        <v>652</v>
      </c>
      <c r="B34" s="188">
        <f>SUM(F32:F34)</f>
        <v>55005422.320802003</v>
      </c>
      <c r="C34" s="188">
        <f>AVERAGE(F32:F34)</f>
        <v>18335140.773600668</v>
      </c>
      <c r="D34" s="190">
        <f>C34/C31-1</f>
        <v>0.10028910298388527</v>
      </c>
      <c r="E34" s="287">
        <f>C34/C22-1</f>
        <v>0.11393112937554717</v>
      </c>
      <c r="F34" s="136">
        <f>Q34/19</f>
        <v>17530233.368421052</v>
      </c>
      <c r="G34" s="190">
        <f t="shared" ref="G34" si="43">F34/F33-1</f>
        <v>-6.2123020727803735E-2</v>
      </c>
      <c r="H34" s="190">
        <f t="shared" ref="H34" si="44">F34/F22-1</f>
        <v>0.10723010986026549</v>
      </c>
      <c r="I34" s="130">
        <f t="shared" si="0"/>
        <v>27.039576014700994</v>
      </c>
      <c r="J34" s="130">
        <f t="shared" si="5"/>
        <v>-2.0612998262050763E-2</v>
      </c>
      <c r="K34" s="136">
        <f>R32+R33+R34</f>
        <v>1531253728795</v>
      </c>
      <c r="L34" s="190">
        <f>U34/U31-1</f>
        <v>0.10088146108296048</v>
      </c>
      <c r="M34" s="190">
        <f>U34/U22-1</f>
        <v>9.6173805917341371E-2</v>
      </c>
      <c r="N34" s="191">
        <f>AVERAGE(T32:T34)</f>
        <v>27.05951223445869</v>
      </c>
      <c r="O34" s="192">
        <f>N34/N31-1</f>
        <v>-3.3441069069116702E-2</v>
      </c>
      <c r="P34" s="129" t="s">
        <v>652</v>
      </c>
      <c r="Q34" s="116">
        <v>333074434</v>
      </c>
      <c r="R34" s="116">
        <v>457828439526</v>
      </c>
      <c r="S34" s="116">
        <v>12318034.640000001</v>
      </c>
      <c r="T34" s="130">
        <f t="shared" ref="T34" si="45">Q34/S34</f>
        <v>27.039576014700994</v>
      </c>
      <c r="U34" s="85">
        <f>Q32+Q33+Q34</f>
        <v>1120053402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15938596.217391305</v>
      </c>
      <c r="G35" s="190">
        <f t="shared" ref="G35" si="46">F35/F34-1</f>
        <v>-9.0793837000306077E-2</v>
      </c>
      <c r="H35" s="190">
        <f t="shared" ref="H35" si="47">F35/F23-1</f>
        <v>0.16698012561505515</v>
      </c>
      <c r="I35" s="130">
        <f t="shared" si="0"/>
        <v>26.899348552107536</v>
      </c>
      <c r="J35" s="130">
        <f t="shared" si="5"/>
        <v>3.1123453210949892E-2</v>
      </c>
      <c r="K35" s="136"/>
      <c r="L35" s="190"/>
      <c r="M35" s="190"/>
      <c r="N35" s="191"/>
      <c r="O35" s="192"/>
      <c r="P35" s="129" t="s">
        <v>660</v>
      </c>
      <c r="Q35" s="116">
        <v>366587713</v>
      </c>
      <c r="R35" s="116">
        <v>507388844313</v>
      </c>
      <c r="S35" s="116">
        <v>13628126.060000001</v>
      </c>
      <c r="T35" s="130">
        <f t="shared" ref="T35" si="48">Q35/S35</f>
        <v>26.899348552107536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17830810.095238097</v>
      </c>
      <c r="G36" s="190">
        <f t="shared" ref="G36" si="49">F36/F35-1</f>
        <v>0.11871897951603261</v>
      </c>
      <c r="H36" s="190">
        <f t="shared" ref="H36" si="50">F36/F24-1</f>
        <v>0.1995175046307438</v>
      </c>
      <c r="I36" s="130">
        <f t="shared" si="0"/>
        <v>28.146307427899419</v>
      </c>
      <c r="J36" s="130">
        <f t="shared" si="5"/>
        <v>3.7391931232375608E-2</v>
      </c>
      <c r="K36" s="136"/>
      <c r="L36" s="190"/>
      <c r="M36" s="190"/>
      <c r="N36" s="191"/>
      <c r="O36" s="192"/>
      <c r="P36" s="129" t="s">
        <v>664</v>
      </c>
      <c r="Q36" s="116">
        <v>374447012</v>
      </c>
      <c r="R36" s="116">
        <v>510814260531</v>
      </c>
      <c r="S36" s="116">
        <v>13303592.77</v>
      </c>
      <c r="T36" s="130">
        <f t="shared" ref="T36" si="51">Q36/S36</f>
        <v>28.146307427899419</v>
      </c>
      <c r="U36" s="85"/>
    </row>
    <row r="37" spans="1:21" s="79" customFormat="1" ht="13.2" hidden="1">
      <c r="A37" s="129" t="s">
        <v>702</v>
      </c>
      <c r="B37" s="188">
        <f>SUM(F35:F37)</f>
        <v>56211455.479296073</v>
      </c>
      <c r="C37" s="188">
        <f>AVERAGE(F35:F37)</f>
        <v>18737151.826432023</v>
      </c>
      <c r="D37" s="190">
        <f>C37/C34-1</f>
        <v>2.1925714004344066E-2</v>
      </c>
      <c r="E37" s="287">
        <f>C37/C25-1</f>
        <v>0.14995503762131124</v>
      </c>
      <c r="F37" s="136">
        <f>Q37/18</f>
        <v>22442049.166666668</v>
      </c>
      <c r="G37" s="190">
        <f t="shared" ref="G37" si="52">F37/F36-1</f>
        <v>0.25861074436881859</v>
      </c>
      <c r="H37" s="190">
        <f t="shared" ref="H37" si="53">F37/F25-1</f>
        <v>0.10234469060483953</v>
      </c>
      <c r="I37" s="130">
        <f t="shared" si="0"/>
        <v>29.593649199037305</v>
      </c>
      <c r="J37" s="130">
        <f t="shared" si="5"/>
        <v>0.18753629813182537</v>
      </c>
      <c r="K37" s="136">
        <f>R35+R36+R37</f>
        <v>1557474090791</v>
      </c>
      <c r="L37" s="190">
        <f>U37/U34-1</f>
        <v>2.2265195530382309E-2</v>
      </c>
      <c r="M37" s="190">
        <f>U37/U25-1</f>
        <v>0.14423842649814178</v>
      </c>
      <c r="N37" s="191">
        <f>AVERAGE(T35:T37)</f>
        <v>28.213101726348086</v>
      </c>
      <c r="O37" s="192">
        <f>N37/N34-1</f>
        <v>4.2631570070223557E-2</v>
      </c>
      <c r="P37" s="129" t="s">
        <v>702</v>
      </c>
      <c r="Q37" s="116">
        <v>403956885</v>
      </c>
      <c r="R37" s="116">
        <v>539270985947</v>
      </c>
      <c r="S37" s="116">
        <v>13650120.75</v>
      </c>
      <c r="T37" s="130">
        <f t="shared" ref="T37" si="54">Q37/S37</f>
        <v>29.593649199037305</v>
      </c>
      <c r="U37" s="85">
        <f>Q35+Q36+Q37</f>
        <v>1144991610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25707307.649999999</v>
      </c>
      <c r="G38" s="190">
        <f t="shared" ref="G38" si="55">F38/F37-1</f>
        <v>0.14549734113332402</v>
      </c>
      <c r="H38" s="190">
        <f t="shared" ref="H38" si="56">F38/F26-1</f>
        <v>0.42876064342025888</v>
      </c>
      <c r="I38" s="130">
        <f t="shared" si="0"/>
        <v>34.2421394341373</v>
      </c>
      <c r="J38" s="130">
        <f t="shared" si="5"/>
        <v>0.39393074554756602</v>
      </c>
      <c r="K38" s="136"/>
      <c r="L38" s="190"/>
      <c r="M38" s="190"/>
      <c r="N38" s="191"/>
      <c r="O38" s="192"/>
      <c r="P38" s="129" t="s">
        <v>728</v>
      </c>
      <c r="Q38" s="116">
        <v>514146153</v>
      </c>
      <c r="R38" s="116">
        <v>691618800327</v>
      </c>
      <c r="S38" s="116">
        <v>15015012.539999999</v>
      </c>
      <c r="T38" s="130">
        <f t="shared" ref="T38" si="57">Q38/S38</f>
        <v>34.2421394341373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19079244.285714287</v>
      </c>
      <c r="G39" s="190">
        <f t="shared" ref="G39" si="58">F39/F38-1</f>
        <v>-0.25782798628800441</v>
      </c>
      <c r="H39" s="190">
        <f t="shared" ref="H39" si="59">F39/F27-1</f>
        <v>0.22862620753642915</v>
      </c>
      <c r="I39" s="130">
        <f t="shared" si="0"/>
        <v>30.277149862574095</v>
      </c>
      <c r="J39" s="130">
        <f t="shared" si="5"/>
        <v>0.18627010009786749</v>
      </c>
      <c r="K39" s="136"/>
      <c r="L39" s="190"/>
      <c r="M39" s="190"/>
      <c r="N39" s="191"/>
      <c r="O39" s="192"/>
      <c r="P39" s="129" t="s">
        <v>762</v>
      </c>
      <c r="Q39" s="116">
        <v>400664130</v>
      </c>
      <c r="R39" s="116">
        <v>556811273055</v>
      </c>
      <c r="S39" s="116">
        <v>13233218.18</v>
      </c>
      <c r="T39" s="130">
        <f t="shared" ref="T39" si="60">Q39/S39</f>
        <v>30.277149862574095</v>
      </c>
      <c r="U39" s="85"/>
    </row>
    <row r="40" spans="1:21" s="79" customFormat="1" ht="13.2" hidden="1">
      <c r="A40" s="129" t="s">
        <v>778</v>
      </c>
      <c r="B40" s="188">
        <f>SUM(F38:F40)</f>
        <v>61539290.221428573</v>
      </c>
      <c r="C40" s="188">
        <f>AVERAGE(F38:F40)</f>
        <v>20513096.740476191</v>
      </c>
      <c r="D40" s="190">
        <f>C40/C37-1</f>
        <v>9.478201012060361E-2</v>
      </c>
      <c r="E40" s="287">
        <f>C40/C28-1</f>
        <v>0.24534890287956101</v>
      </c>
      <c r="F40" s="136">
        <f>Q40/21</f>
        <v>16752738.285714285</v>
      </c>
      <c r="G40" s="190">
        <f t="shared" ref="G40" si="61">F40/F39-1</f>
        <v>-0.12193910645307837</v>
      </c>
      <c r="H40" s="190">
        <f t="shared" ref="H40" si="62">F40/F28-1</f>
        <v>5.4052746988745293E-2</v>
      </c>
      <c r="I40" s="130">
        <f t="shared" si="0"/>
        <v>27.410925795631435</v>
      </c>
      <c r="J40" s="130">
        <f t="shared" si="5"/>
        <v>1.537940292637785E-2</v>
      </c>
      <c r="K40" s="136">
        <f>R38+R39+R40</f>
        <v>1748116208016</v>
      </c>
      <c r="L40" s="190">
        <f>U40/U37-1</f>
        <v>0.10622451373246311</v>
      </c>
      <c r="M40" s="190">
        <f>U40/U28-1</f>
        <v>0.28528333479408041</v>
      </c>
      <c r="N40" s="191">
        <f>AVERAGE(T38:T40)</f>
        <v>30.64340503078094</v>
      </c>
      <c r="O40" s="192">
        <f>N40/N37-1</f>
        <v>8.6140947138867885E-2</v>
      </c>
      <c r="P40" s="129" t="s">
        <v>778</v>
      </c>
      <c r="Q40" s="116">
        <v>351807504</v>
      </c>
      <c r="R40" s="116">
        <v>499686134634</v>
      </c>
      <c r="S40" s="116">
        <v>12834572.119999999</v>
      </c>
      <c r="T40" s="130">
        <f t="shared" ref="T40" si="63">Q40/S40</f>
        <v>27.410925795631435</v>
      </c>
      <c r="U40" s="85">
        <f>Q38+Q39+Q40</f>
        <v>1266617787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17503939.388888888</v>
      </c>
      <c r="G41" s="190">
        <f t="shared" ref="G41" si="64">F41/F40-1</f>
        <v>4.484049654229838E-2</v>
      </c>
      <c r="H41" s="190">
        <f t="shared" ref="H41" si="65">F41/F29-1</f>
        <v>3.1088652431924491E-2</v>
      </c>
      <c r="I41" s="130">
        <f t="shared" si="0"/>
        <v>29.497345487172034</v>
      </c>
      <c r="J41" s="130">
        <f t="shared" si="5"/>
        <v>1.4572125648499412E-2</v>
      </c>
      <c r="K41" s="193"/>
      <c r="L41" s="190"/>
      <c r="M41" s="190"/>
      <c r="N41" s="193"/>
      <c r="O41" s="193"/>
      <c r="P41" s="129" t="s">
        <v>792</v>
      </c>
      <c r="Q41" s="116">
        <v>315070909</v>
      </c>
      <c r="R41" s="116">
        <v>460932831471</v>
      </c>
      <c r="S41" s="116">
        <v>10681330.939999999</v>
      </c>
      <c r="T41" s="130">
        <f t="shared" ref="T41" si="66">Q41/S41</f>
        <v>29.497345487172034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19166138.5</v>
      </c>
      <c r="G42" s="190">
        <f t="shared" ref="G42" si="67">F42/F41-1</f>
        <v>9.4961429777701278E-2</v>
      </c>
      <c r="H42" s="190">
        <f t="shared" ref="H42" si="68">F42/F30-1</f>
        <v>0.17058888880609713</v>
      </c>
      <c r="I42" s="130">
        <f t="shared" si="0"/>
        <v>29.114751188415688</v>
      </c>
      <c r="J42" s="130">
        <f t="shared" si="5"/>
        <v>3.4315244730865224E-2</v>
      </c>
      <c r="K42" s="193"/>
      <c r="L42" s="190"/>
      <c r="M42" s="190"/>
      <c r="N42" s="193"/>
      <c r="O42" s="193"/>
      <c r="P42" s="129" t="s">
        <v>826</v>
      </c>
      <c r="Q42" s="116">
        <v>383322770</v>
      </c>
      <c r="R42" s="116">
        <v>554336233680</v>
      </c>
      <c r="S42" s="116">
        <v>13165929.789999999</v>
      </c>
      <c r="T42" s="130">
        <f t="shared" ref="T42" si="69">Q42/S42</f>
        <v>29.114751188415688</v>
      </c>
      <c r="U42" s="78"/>
    </row>
    <row r="43" spans="1:21" s="79" customFormat="1" ht="13.2">
      <c r="A43" s="129" t="s">
        <v>835</v>
      </c>
      <c r="B43" s="188">
        <f>SUM(F41:F43)</f>
        <v>57006573.938888893</v>
      </c>
      <c r="C43" s="188">
        <f>AVERAGE(F41:F43)</f>
        <v>19002191.312962964</v>
      </c>
      <c r="D43" s="190">
        <f>C43/C40-1</f>
        <v>-7.365564773708333E-2</v>
      </c>
      <c r="E43" s="287">
        <f>C43/C31-1</f>
        <v>0.14031870781007849</v>
      </c>
      <c r="F43" s="136">
        <f>Q43/20</f>
        <v>20336496.050000001</v>
      </c>
      <c r="G43" s="190">
        <f t="shared" ref="G43" si="70">F43/F42-1</f>
        <v>6.106381574984443E-2</v>
      </c>
      <c r="H43" s="190">
        <f t="shared" ref="H43" si="71">F43/F31-1</f>
        <v>0.22195841705914265</v>
      </c>
      <c r="I43" s="130">
        <f t="shared" si="0"/>
        <v>29.370491757626951</v>
      </c>
      <c r="J43" s="130">
        <f t="shared" si="5"/>
        <v>9.7360945350061456E-2</v>
      </c>
      <c r="K43" s="136">
        <f>R41+R42+R43</f>
        <v>1604767313851</v>
      </c>
      <c r="L43" s="190">
        <f>U43/U40-1</f>
        <v>-0.12750033092658597</v>
      </c>
      <c r="M43" s="190">
        <f>K43/K31-1</f>
        <v>0.18992126660979936</v>
      </c>
      <c r="N43" s="191">
        <f>AVERAGE(T41:T43)</f>
        <v>29.327529477738224</v>
      </c>
      <c r="O43" s="192">
        <f>N43/N40-1</f>
        <v>-4.2941557954180865E-2</v>
      </c>
      <c r="P43" s="129" t="s">
        <v>835</v>
      </c>
      <c r="Q43" s="116">
        <v>406729921</v>
      </c>
      <c r="R43" s="116">
        <v>589498248700</v>
      </c>
      <c r="S43" s="116">
        <v>13848250.289999999</v>
      </c>
      <c r="T43" s="130">
        <f t="shared" ref="T43" si="72">Q43/S43</f>
        <v>29.370491757626951</v>
      </c>
      <c r="U43" s="85">
        <f>Q41+Q42+Q43</f>
        <v>1105123600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19581997.363636363</v>
      </c>
      <c r="G44" s="190">
        <f t="shared" ref="G44" si="73">F44/F43-1</f>
        <v>-3.7100721997958774E-2</v>
      </c>
      <c r="H44" s="190">
        <f t="shared" ref="H44" si="74">F44/F32-1</f>
        <v>4.2494513034382786E-2</v>
      </c>
      <c r="I44" s="130">
        <f t="shared" si="0"/>
        <v>27.045462662072445</v>
      </c>
      <c r="J44" s="130">
        <f t="shared" si="5"/>
        <v>-1.9091968882848365E-3</v>
      </c>
      <c r="K44" s="136"/>
      <c r="L44" s="190"/>
      <c r="M44" s="190"/>
      <c r="N44" s="191"/>
      <c r="O44" s="192"/>
      <c r="P44" s="129" t="s">
        <v>843</v>
      </c>
      <c r="Q44" s="116">
        <v>430803942</v>
      </c>
      <c r="R44" s="116">
        <v>624817877028</v>
      </c>
      <c r="S44" s="116">
        <v>15928880.470000001</v>
      </c>
      <c r="T44" s="130">
        <f t="shared" ref="T44" si="75">Q44/S44</f>
        <v>27.045462662072445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20108050.600000001</v>
      </c>
      <c r="G45" s="190">
        <f t="shared" ref="G45" si="76">F45/F44-1</f>
        <v>2.6864125584069143E-2</v>
      </c>
      <c r="H45" s="190">
        <f t="shared" ref="H45" si="77">F45/F33-1</f>
        <v>7.5791597261496868E-2</v>
      </c>
      <c r="I45" s="130">
        <f t="shared" si="0"/>
        <v>28.474767321126539</v>
      </c>
      <c r="J45" s="130">
        <f t="shared" si="5"/>
        <v>5.2992222336422312E-2</v>
      </c>
      <c r="K45" s="136"/>
      <c r="L45" s="190"/>
      <c r="M45" s="190"/>
      <c r="N45" s="191"/>
      <c r="O45" s="192"/>
      <c r="P45" s="129" t="s">
        <v>849</v>
      </c>
      <c r="Q45" s="116">
        <v>402161012</v>
      </c>
      <c r="R45" s="116">
        <v>565983915960</v>
      </c>
      <c r="S45" s="116">
        <v>14123416.970000001</v>
      </c>
      <c r="T45" s="130">
        <f t="shared" ref="T45" si="78">Q45/S45</f>
        <v>28.474767321126539</v>
      </c>
      <c r="U45" s="85"/>
    </row>
    <row r="46" spans="1:21" s="79" customFormat="1" ht="13.2">
      <c r="A46" s="129" t="s">
        <v>888</v>
      </c>
      <c r="B46" s="188">
        <f>SUM(F44:F46)</f>
        <v>60507750.068899527</v>
      </c>
      <c r="C46" s="188">
        <f>AVERAGE(F44:F46)</f>
        <v>20169250.022966508</v>
      </c>
      <c r="D46" s="189">
        <f>C46/C43-1</f>
        <v>6.1417059263443763E-2</v>
      </c>
      <c r="E46" s="287">
        <f>C46/C34-1</f>
        <v>0.10003246072736083</v>
      </c>
      <c r="F46" s="136">
        <f>Q46/19</f>
        <v>20817702.105263159</v>
      </c>
      <c r="G46" s="190">
        <f t="shared" ref="G46" si="79">F46/F45-1</f>
        <v>3.5291909662449106E-2</v>
      </c>
      <c r="H46" s="190">
        <f t="shared" ref="H46" si="80">F46/F34-1</f>
        <v>0.18753137324253477</v>
      </c>
      <c r="I46" s="130">
        <f t="shared" si="0"/>
        <v>28.548152473381979</v>
      </c>
      <c r="J46" s="130">
        <f t="shared" si="5"/>
        <v>5.5791424313043736E-2</v>
      </c>
      <c r="K46" s="136">
        <f>R44+R45+R46</f>
        <v>1732464298494</v>
      </c>
      <c r="L46" s="190">
        <f>U46/U43-1</f>
        <v>0.11164153403293531</v>
      </c>
      <c r="M46" s="190">
        <f>K46/K34-1</f>
        <v>0.13140250104555817</v>
      </c>
      <c r="N46" s="191">
        <f>AVERAGE(T44:T46)</f>
        <v>28.022794152193654</v>
      </c>
      <c r="O46" s="192">
        <f>N46/N43-1</f>
        <v>-4.4488415791550384E-2</v>
      </c>
      <c r="P46" s="129" t="s">
        <v>950</v>
      </c>
      <c r="Q46" s="116">
        <v>395536340</v>
      </c>
      <c r="R46" s="116">
        <v>541662505506</v>
      </c>
      <c r="S46" s="116">
        <v>13855059.109999999</v>
      </c>
      <c r="T46" s="130">
        <f t="shared" ref="T46" si="81">Q46/S46</f>
        <v>28.548152473381979</v>
      </c>
      <c r="U46" s="85">
        <f t="shared" ref="U46:U51" si="82">Q44+Q45+Q46</f>
        <v>1228501294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17468575.260869566</v>
      </c>
      <c r="G47" s="190">
        <f t="shared" ref="G47" si="83">F47/F46-1</f>
        <v>-0.1608787957219765</v>
      </c>
      <c r="H47" s="190">
        <f t="shared" ref="H47" si="84">F47/F35-1</f>
        <v>9.5992082527872391E-2</v>
      </c>
      <c r="I47" s="130">
        <f t="shared" si="0"/>
        <v>27.365061285692196</v>
      </c>
      <c r="J47" s="130">
        <f t="shared" si="5"/>
        <v>1.7313160305072683E-2</v>
      </c>
      <c r="K47" s="136"/>
      <c r="L47" s="190"/>
      <c r="M47" s="190"/>
      <c r="N47" s="191"/>
      <c r="O47" s="192"/>
      <c r="P47" s="129" t="s">
        <v>1056</v>
      </c>
      <c r="Q47" s="116">
        <v>401777231</v>
      </c>
      <c r="R47" s="116">
        <v>551261477277</v>
      </c>
      <c r="S47" s="116">
        <v>14682124.289999999</v>
      </c>
      <c r="T47" s="130">
        <f t="shared" ref="T47" si="85">Q47/S47</f>
        <v>27.365061285692196</v>
      </c>
      <c r="U47" s="85">
        <f t="shared" si="82"/>
        <v>1199474583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17743115.550000001</v>
      </c>
      <c r="G48" s="190">
        <f t="shared" ref="G48" si="86">F48/F47-1</f>
        <v>1.5716238160842888E-2</v>
      </c>
      <c r="H48" s="190">
        <f t="shared" ref="H48" si="87">F48/F36-1</f>
        <v>-4.9181470034003194E-3</v>
      </c>
      <c r="I48" s="130">
        <f t="shared" si="0"/>
        <v>26.230840563068359</v>
      </c>
      <c r="J48" s="130">
        <f t="shared" si="5"/>
        <v>-6.8053931043629334E-2</v>
      </c>
      <c r="K48" s="136"/>
      <c r="L48" s="190"/>
      <c r="M48" s="190"/>
      <c r="N48" s="191"/>
      <c r="O48" s="192"/>
      <c r="P48" s="129" t="s">
        <v>1070</v>
      </c>
      <c r="Q48" s="116">
        <v>354862311</v>
      </c>
      <c r="R48" s="116">
        <v>492427333284</v>
      </c>
      <c r="S48" s="116">
        <v>13528438.41</v>
      </c>
      <c r="T48" s="130">
        <f t="shared" ref="T48" si="88">Q48/S48</f>
        <v>26.230840563068359</v>
      </c>
      <c r="U48" s="85">
        <f t="shared" si="82"/>
        <v>1152175882</v>
      </c>
    </row>
    <row r="49" spans="1:26" ht="13.2">
      <c r="A49" s="129" t="s">
        <v>1244</v>
      </c>
      <c r="B49" s="188">
        <f>SUM(F47:F49)</f>
        <v>56251330.083596841</v>
      </c>
      <c r="C49" s="188">
        <f>AVERAGE(F47:F49)</f>
        <v>18750443.361198947</v>
      </c>
      <c r="D49" s="189">
        <f>C49/C46-1</f>
        <v>-7.0345038122487491E-2</v>
      </c>
      <c r="E49" s="287">
        <f>C49/C37-1</f>
        <v>7.0936793863052294E-4</v>
      </c>
      <c r="F49" s="136">
        <f>Q49/22</f>
        <v>21039639.272727273</v>
      </c>
      <c r="G49" s="190">
        <f t="shared" ref="G49" si="89">F49/F48-1</f>
        <v>0.18579170684188395</v>
      </c>
      <c r="H49" s="190">
        <f t="shared" ref="H49" si="90">F49/F37-1</f>
        <v>-6.2490278116955733E-2</v>
      </c>
      <c r="I49" s="130">
        <f t="shared" si="0"/>
        <v>26.244534358551658</v>
      </c>
      <c r="J49" s="130">
        <f t="shared" si="5"/>
        <v>-0.11317005273532121</v>
      </c>
      <c r="K49" s="136">
        <f>R47+R48+R49</f>
        <v>1686972180992</v>
      </c>
      <c r="L49" s="190">
        <f>U49/U46-1</f>
        <v>-7.3176056418545743E-3</v>
      </c>
      <c r="M49" s="190">
        <f>K49/K37-1</f>
        <v>8.3146224368478183E-2</v>
      </c>
      <c r="N49" s="191">
        <f>AVERAGE(T47:T49)</f>
        <v>26.613478735770737</v>
      </c>
      <c r="O49" s="192">
        <f>N49/N46-1</f>
        <v>-5.0291752091844666E-2</v>
      </c>
      <c r="P49" s="129" t="s">
        <v>1165</v>
      </c>
      <c r="Q49" s="116">
        <v>462872064</v>
      </c>
      <c r="R49" s="116">
        <v>643283370431</v>
      </c>
      <c r="S49" s="116">
        <v>17636893.75</v>
      </c>
      <c r="T49" s="130">
        <f t="shared" ref="T49" si="91">Q49/S49</f>
        <v>26.244534358551658</v>
      </c>
      <c r="U49" s="85">
        <f t="shared" si="82"/>
        <v>1219511606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20865351.444444444</v>
      </c>
      <c r="G50" s="190">
        <f t="shared" ref="G50" si="92">F50/F49-1</f>
        <v>-8.2837840527404394E-3</v>
      </c>
      <c r="H50" s="190">
        <f t="shared" ref="H50" si="93">F50/F38-1</f>
        <v>-0.18834940910490694</v>
      </c>
      <c r="I50" s="130">
        <f t="shared" ref="I50" si="94">T50</f>
        <v>27.420458597280795</v>
      </c>
      <c r="J50" s="130">
        <f t="shared" ref="J50" si="95">I50/I38-1</f>
        <v>-0.19921888496417106</v>
      </c>
      <c r="K50" s="136"/>
      <c r="L50" s="190"/>
      <c r="M50" s="190"/>
      <c r="N50" s="191"/>
      <c r="O50" s="192"/>
      <c r="P50" s="129" t="s">
        <v>1293</v>
      </c>
      <c r="Q50" s="116">
        <v>375576326</v>
      </c>
      <c r="R50" s="116">
        <v>530929253722</v>
      </c>
      <c r="S50" s="116">
        <v>13696938.17</v>
      </c>
      <c r="T50" s="130">
        <f t="shared" ref="T50" si="96">Q50/S50</f>
        <v>27.420458597280795</v>
      </c>
      <c r="U50" s="85">
        <f t="shared" si="82"/>
        <v>1193310701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19536085.699999999</v>
      </c>
      <c r="G51" s="190">
        <f t="shared" ref="G51:G52" si="97">F51/F50-1</f>
        <v>-6.3706846634417502E-2</v>
      </c>
      <c r="H51" s="190">
        <f t="shared" ref="H51:H52" si="98">F51/F39-1</f>
        <v>2.3944418732967154E-2</v>
      </c>
      <c r="I51" s="130">
        <f t="shared" ref="I51:I52" si="99">T51</f>
        <v>28.179312821031363</v>
      </c>
      <c r="J51" s="130">
        <f t="shared" ref="J51:J52" si="100">I51/I39-1</f>
        <v>-6.9287797928955341E-2</v>
      </c>
      <c r="K51" s="136"/>
      <c r="L51" s="190"/>
      <c r="M51" s="190"/>
      <c r="N51" s="191"/>
      <c r="O51" s="192"/>
      <c r="P51" s="129" t="s">
        <v>1402</v>
      </c>
      <c r="Q51" s="116">
        <v>390721714</v>
      </c>
      <c r="R51" s="116">
        <v>566261389630</v>
      </c>
      <c r="S51" s="116">
        <v>13865551.529999999</v>
      </c>
      <c r="T51" s="130">
        <f t="shared" ref="T51:T52" si="101">Q51/S51</f>
        <v>28.179312821031363</v>
      </c>
      <c r="U51" s="85">
        <f t="shared" si="82"/>
        <v>1229170104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60471435.00808081</v>
      </c>
      <c r="C52" s="188">
        <f>AVERAGE(F50:F52)</f>
        <v>20157145.002693605</v>
      </c>
      <c r="D52" s="190">
        <f>C52/C49-1</f>
        <v>7.5022313573960719E-2</v>
      </c>
      <c r="E52" s="287">
        <f>C52/C40-1</f>
        <v>-1.735241354759598E-2</v>
      </c>
      <c r="F52" s="136">
        <f>Q52/22</f>
        <v>20069997.863636363</v>
      </c>
      <c r="G52" s="190">
        <f t="shared" si="97"/>
        <v>2.7329536317316938E-2</v>
      </c>
      <c r="H52" s="190">
        <f t="shared" si="98"/>
        <v>0.19801297682485952</v>
      </c>
      <c r="I52" s="130">
        <f t="shared" si="99"/>
        <v>28.163799263016685</v>
      </c>
      <c r="J52" s="130">
        <f t="shared" si="100"/>
        <v>2.746618166049819E-2</v>
      </c>
      <c r="K52" s="136">
        <f>R50+R51+R52</f>
        <v>1746855176916</v>
      </c>
      <c r="L52" s="190">
        <f>U52/U49-1</f>
        <v>-9.5723672842191743E-3</v>
      </c>
      <c r="M52" s="190">
        <f>K52/K40-1</f>
        <v>-7.213657159732545E-4</v>
      </c>
      <c r="N52" s="191">
        <f>AVERAGE(T50:T52)</f>
        <v>27.921190227109616</v>
      </c>
      <c r="O52" s="192">
        <f>N52/N49-1</f>
        <v>4.9137187374952429E-2</v>
      </c>
      <c r="P52" s="129" t="s">
        <v>1403</v>
      </c>
      <c r="Q52" s="116">
        <v>441539953</v>
      </c>
      <c r="R52" s="116">
        <v>649664533564</v>
      </c>
      <c r="S52" s="116">
        <v>15677570.66</v>
      </c>
      <c r="T52" s="130">
        <f t="shared" si="101"/>
        <v>28.163799263016685</v>
      </c>
      <c r="U52" s="85">
        <f t="shared" ref="U52" si="102">Q50+Q51+Q52</f>
        <v>1207837993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20279994.19047619</v>
      </c>
      <c r="G53" s="190">
        <f t="shared" ref="G53" si="103">F53/F52-1</f>
        <v>1.0463196272696429E-2</v>
      </c>
      <c r="H53" s="190">
        <f t="shared" ref="H53" si="104">F53/F41-1</f>
        <v>0.15859600172915811</v>
      </c>
      <c r="I53" s="130">
        <f t="shared" ref="I53" si="105">T53</f>
        <v>28.955179331719084</v>
      </c>
      <c r="J53" s="130">
        <f t="shared" ref="J53" si="106">I53/I41-1</f>
        <v>-1.8380167655721147E-2</v>
      </c>
      <c r="K53" s="136"/>
      <c r="L53" s="190"/>
      <c r="M53" s="190"/>
      <c r="N53" s="191"/>
      <c r="O53" s="192"/>
      <c r="P53" s="129" t="s">
        <v>1414</v>
      </c>
      <c r="Q53" s="116">
        <v>425879878</v>
      </c>
      <c r="R53" s="116">
        <v>621323553983</v>
      </c>
      <c r="S53" s="116">
        <v>14708245.220000001</v>
      </c>
      <c r="T53" s="130">
        <f t="shared" ref="T53" si="107">Q53/S53</f>
        <v>28.955179331719084</v>
      </c>
      <c r="U53" s="85">
        <f t="shared" ref="U53" si="108">Q51+Q52+Q53</f>
        <v>1258141545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22605583.235294119</v>
      </c>
      <c r="G54" s="190">
        <f t="shared" ref="G54" si="109">F54/F53-1</f>
        <v>0.1146740488668414</v>
      </c>
      <c r="H54" s="190">
        <f t="shared" ref="H54" si="110">F54/F42-1</f>
        <v>0.17945423567163088</v>
      </c>
      <c r="I54" s="130">
        <f t="shared" ref="I54" si="111">T54</f>
        <v>29.641330755549856</v>
      </c>
      <c r="J54" s="130">
        <f t="shared" ref="J54" si="112">I54/I42-1</f>
        <v>1.8086349552720371E-2</v>
      </c>
      <c r="K54" s="136"/>
      <c r="L54" s="190"/>
      <c r="M54" s="190"/>
      <c r="N54" s="191"/>
      <c r="O54" s="192"/>
      <c r="P54" s="129" t="s">
        <v>1417</v>
      </c>
      <c r="Q54" s="116">
        <v>384294915</v>
      </c>
      <c r="R54" s="116">
        <v>556524433105</v>
      </c>
      <c r="S54" s="116">
        <v>12964833.4</v>
      </c>
      <c r="T54" s="130">
        <f t="shared" ref="T54" si="113">Q54/S54</f>
        <v>29.641330755549856</v>
      </c>
      <c r="U54" s="85">
        <f t="shared" ref="U54" si="114">Q52+Q53+Q54</f>
        <v>1251714746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66690348.378151268</v>
      </c>
      <c r="C55" s="188">
        <f>AVERAGE(F53:F55)</f>
        <v>22230116.126050424</v>
      </c>
      <c r="D55" s="190">
        <f>C55/C52-1</f>
        <v>0.10284051253686011</v>
      </c>
      <c r="E55" s="287">
        <f>C55/C43-1</f>
        <v>0.16987118800795487</v>
      </c>
      <c r="F55" s="136">
        <f>Q55/21</f>
        <v>23804770.952380951</v>
      </c>
      <c r="G55" s="190">
        <f t="shared" ref="G55" si="115">F55/F54-1</f>
        <v>5.3048298051188603E-2</v>
      </c>
      <c r="H55" s="190">
        <f t="shared" ref="H55" si="116">F55/F43-1</f>
        <v>0.17054436978001197</v>
      </c>
      <c r="I55" s="130">
        <f>T55</f>
        <v>29.292033156553234</v>
      </c>
      <c r="J55" s="130">
        <f t="shared" ref="J55" si="117">I55/I43-1</f>
        <v>-2.6713410766553425E-3</v>
      </c>
      <c r="K55" s="136">
        <f>R53+R54+R55</f>
        <v>1913933302056</v>
      </c>
      <c r="L55" s="190">
        <f>U55/U52-1</f>
        <v>8.464462170631526E-2</v>
      </c>
      <c r="M55" s="190">
        <f>K55/K43-1</f>
        <v>0.19265471419846336</v>
      </c>
      <c r="N55" s="191">
        <f>AVERAGE(T53:T55)</f>
        <v>29.296181081274057</v>
      </c>
      <c r="O55" s="192">
        <f>N55/N52-1</f>
        <v>4.9245424101921564E-2</v>
      </c>
      <c r="P55" s="129" t="s">
        <v>1418</v>
      </c>
      <c r="Q55" s="116">
        <v>499900190</v>
      </c>
      <c r="R55" s="116">
        <v>736085314968</v>
      </c>
      <c r="S55" s="116">
        <v>17066080.300000001</v>
      </c>
      <c r="T55" s="130">
        <f t="shared" ref="T55" si="118">Q55/S55</f>
        <v>29.292033156553234</v>
      </c>
      <c r="U55" s="85">
        <f t="shared" ref="U55" si="119">Q53+Q54+Q55</f>
        <v>1310074983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25600240.545454547</v>
      </c>
      <c r="G56" s="190">
        <f t="shared" ref="G56" si="120">F56/F55-1</f>
        <v>7.5424779203515646E-2</v>
      </c>
      <c r="H56" s="190">
        <f t="shared" ref="H56" si="121">F56/F44-1</f>
        <v>0.30733551179993612</v>
      </c>
      <c r="I56" s="291">
        <f>T56</f>
        <v>28.720924357048652</v>
      </c>
      <c r="J56" s="130">
        <f t="shared" ref="J56" si="122">I56/I44-1</f>
        <v>6.1949825592217067E-2</v>
      </c>
      <c r="K56" s="136"/>
      <c r="L56" s="190"/>
      <c r="M56" s="190"/>
      <c r="N56" s="191"/>
      <c r="O56" s="192"/>
      <c r="P56" s="129" t="s">
        <v>1420</v>
      </c>
      <c r="Q56" s="116">
        <v>563205292</v>
      </c>
      <c r="R56" s="116">
        <v>840828055120</v>
      </c>
      <c r="S56" s="116">
        <v>19609580.98</v>
      </c>
      <c r="T56" s="130">
        <f t="shared" ref="T56" si="123">Q56/S56</f>
        <v>28.720924357048652</v>
      </c>
      <c r="U56" s="85">
        <f t="shared" ref="U56" si="124">Q54+Q55+Q56</f>
        <v>1447400397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27174783.666666668</v>
      </c>
      <c r="G57" s="254">
        <f t="shared" ref="G57" si="125">F57/F56-1</f>
        <v>6.1505012752377741E-2</v>
      </c>
      <c r="H57" s="254">
        <f t="shared" ref="H57" si="126">F57/F45-1</f>
        <v>0.35143799900059269</v>
      </c>
      <c r="I57" s="282">
        <f>T57</f>
        <v>31.540751412415961</v>
      </c>
      <c r="J57" s="277">
        <f t="shared" ref="J57" si="127">I57/I45-1</f>
        <v>0.10767371886528632</v>
      </c>
      <c r="K57" s="204"/>
      <c r="L57" s="254"/>
      <c r="M57" s="254"/>
      <c r="N57" s="257"/>
      <c r="O57" s="258"/>
      <c r="P57" s="129" t="s">
        <v>1436</v>
      </c>
      <c r="Q57" s="116">
        <v>326097404</v>
      </c>
      <c r="R57" s="116">
        <v>480256807938</v>
      </c>
      <c r="S57" s="116">
        <v>10338923.119999999</v>
      </c>
      <c r="T57" s="130">
        <f t="shared" ref="T57" si="128">Q57/S57</f>
        <v>31.540751412415961</v>
      </c>
      <c r="U57" s="85">
        <f t="shared" ref="U57" si="129">Q55+Q56+Q57</f>
        <v>1389202886</v>
      </c>
      <c r="V57" s="79"/>
      <c r="W57" s="79"/>
      <c r="X57" s="79"/>
      <c r="Y57" s="79"/>
      <c r="Z57" s="79"/>
    </row>
    <row r="58" spans="1:26">
      <c r="B58" s="196">
        <f>SUM(F56:F58)</f>
        <v>52775024.212121218</v>
      </c>
      <c r="C58" s="196">
        <f>AVERAGE(F56:F58)</f>
        <v>26387512.106060609</v>
      </c>
      <c r="D58" s="197">
        <f>C58/C55-1</f>
        <v>0.18701638607898818</v>
      </c>
      <c r="E58" s="233">
        <f>C58/C46-1</f>
        <v>0.30830408051927738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2199377679</v>
      </c>
      <c r="R65" s="212">
        <v>3235018165114</v>
      </c>
      <c r="S65" s="213">
        <v>74687663.040000007</v>
      </c>
      <c r="T65" s="214">
        <v>4499</v>
      </c>
      <c r="U65" s="214">
        <v>16421</v>
      </c>
    </row>
    <row r="66" spans="16:21" ht="18" thickBot="1">
      <c r="P66" s="180" t="s">
        <v>976</v>
      </c>
      <c r="Q66" s="181">
        <v>425879878</v>
      </c>
      <c r="R66" s="181">
        <v>621323553983</v>
      </c>
      <c r="S66" s="182">
        <v>14708245.220000001</v>
      </c>
      <c r="T66" s="210">
        <v>2434</v>
      </c>
      <c r="U66" s="210">
        <v>7257</v>
      </c>
    </row>
    <row r="67" spans="16:21" ht="18" thickBot="1">
      <c r="P67" s="180" t="s">
        <v>977</v>
      </c>
      <c r="Q67" s="181">
        <v>384294915</v>
      </c>
      <c r="R67" s="181">
        <v>556524433105</v>
      </c>
      <c r="S67" s="182">
        <v>12964833.4</v>
      </c>
      <c r="T67" s="210">
        <v>2304</v>
      </c>
      <c r="U67" s="210">
        <v>6489</v>
      </c>
    </row>
    <row r="68" spans="16:21" ht="18" thickBot="1">
      <c r="P68" s="180" t="s">
        <v>978</v>
      </c>
      <c r="Q68" s="181">
        <v>499900190</v>
      </c>
      <c r="R68" s="181">
        <v>736085314968</v>
      </c>
      <c r="S68" s="182">
        <v>17066080.300000001</v>
      </c>
      <c r="T68" s="210">
        <v>2597</v>
      </c>
      <c r="U68" s="210">
        <v>7041</v>
      </c>
    </row>
    <row r="69" spans="16:21" ht="18" thickBot="1">
      <c r="P69" s="180" t="s">
        <v>979</v>
      </c>
      <c r="Q69" s="181">
        <v>563205292</v>
      </c>
      <c r="R69" s="181">
        <v>840828055120</v>
      </c>
      <c r="S69" s="182">
        <v>19609580.98</v>
      </c>
      <c r="T69" s="210">
        <v>2666</v>
      </c>
      <c r="U69" s="210">
        <v>7146</v>
      </c>
    </row>
    <row r="70" spans="16:21" ht="18" thickBot="1">
      <c r="P70" s="180" t="s">
        <v>980</v>
      </c>
      <c r="Q70" s="181">
        <v>326097404</v>
      </c>
      <c r="R70" s="181">
        <v>480256807938</v>
      </c>
      <c r="S70" s="182">
        <v>10338923.119999999</v>
      </c>
      <c r="T70" s="210">
        <v>2028</v>
      </c>
      <c r="U70" s="210">
        <v>4573</v>
      </c>
    </row>
    <row r="71" spans="16:21" ht="18" thickBot="1">
      <c r="P71" s="180" t="s">
        <v>975</v>
      </c>
      <c r="Q71" s="181">
        <v>4758652646</v>
      </c>
      <c r="R71" s="181">
        <v>6767815957431</v>
      </c>
      <c r="S71" s="182">
        <v>170642234.41</v>
      </c>
      <c r="T71" s="210">
        <v>6203</v>
      </c>
      <c r="U71" s="210">
        <v>38017</v>
      </c>
    </row>
    <row r="72" spans="16:21" ht="18" thickBot="1">
      <c r="P72" s="215" t="s">
        <v>982</v>
      </c>
      <c r="Q72" s="217" t="s">
        <v>1492</v>
      </c>
      <c r="R72"/>
      <c r="S72"/>
      <c r="T72"/>
      <c r="U72"/>
    </row>
  </sheetData>
  <phoneticPr fontId="1" type="noConversion"/>
  <conditionalFormatting sqref="C29:C30">
    <cfRule type="cellIs" dxfId="19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Z75"/>
  <sheetViews>
    <sheetView zoomScale="90" zoomScaleNormal="9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983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74748.800000000003</v>
      </c>
      <c r="G5" s="90"/>
      <c r="H5" s="90"/>
      <c r="I5" s="130">
        <f t="shared" ref="I5:I49" si="0">T5</f>
        <v>23.555337417899665</v>
      </c>
      <c r="J5" s="130"/>
      <c r="K5" s="86"/>
      <c r="L5" s="80"/>
      <c r="M5" s="80"/>
      <c r="P5" s="129" t="s">
        <v>0</v>
      </c>
      <c r="Q5" s="116">
        <v>1494976</v>
      </c>
      <c r="R5" s="116">
        <v>1764957677</v>
      </c>
      <c r="S5" s="116">
        <v>63466.55</v>
      </c>
      <c r="T5" s="130">
        <f t="shared" ref="T5:T46" si="1">Q5/S5</f>
        <v>23.555337417899665</v>
      </c>
      <c r="U5" s="85"/>
    </row>
    <row r="6" spans="1:21" ht="15" hidden="1" customHeight="1">
      <c r="A6" s="129" t="s">
        <v>1</v>
      </c>
      <c r="C6" s="79"/>
      <c r="F6" s="78">
        <f>Q6/18</f>
        <v>47402.555555555555</v>
      </c>
      <c r="G6" s="90">
        <f t="shared" ref="G6:G46" si="2">F6/F5-1</f>
        <v>-0.36584191912705555</v>
      </c>
      <c r="H6" s="90"/>
      <c r="I6" s="130">
        <f t="shared" si="0"/>
        <v>24.85126307336931</v>
      </c>
      <c r="J6" s="130"/>
      <c r="K6" s="78"/>
      <c r="P6" s="129" t="s">
        <v>1</v>
      </c>
      <c r="Q6" s="116">
        <v>853246</v>
      </c>
      <c r="R6" s="116">
        <v>1013848727</v>
      </c>
      <c r="S6" s="116">
        <v>34334.11</v>
      </c>
      <c r="T6" s="130">
        <f t="shared" si="1"/>
        <v>24.85126307336931</v>
      </c>
      <c r="U6" s="85"/>
    </row>
    <row r="7" spans="1:21" ht="15" hidden="1" customHeight="1">
      <c r="A7" s="129" t="s">
        <v>2</v>
      </c>
      <c r="B7" s="131">
        <f>F5+F6+F7</f>
        <v>148280.90101010102</v>
      </c>
      <c r="C7" s="131">
        <f>AVERAGE(F5:F7)</f>
        <v>49426.967003367005</v>
      </c>
      <c r="F7" s="78">
        <f>Q7/22</f>
        <v>26129.545454545456</v>
      </c>
      <c r="G7" s="90">
        <f t="shared" si="2"/>
        <v>-0.44877348597963751</v>
      </c>
      <c r="H7" s="90"/>
      <c r="I7" s="130">
        <f t="shared" si="0"/>
        <v>30.538353696662803</v>
      </c>
      <c r="J7" s="130"/>
      <c r="K7" s="85">
        <f>R5+R6+R7</f>
        <v>3470050339</v>
      </c>
      <c r="N7" s="88">
        <f>AVERAGE(T5:T7)</f>
        <v>26.314984729310595</v>
      </c>
      <c r="P7" s="129" t="s">
        <v>2</v>
      </c>
      <c r="Q7" s="116">
        <v>574850</v>
      </c>
      <c r="R7" s="116">
        <v>691243935</v>
      </c>
      <c r="S7" s="116">
        <v>18823.87</v>
      </c>
      <c r="T7" s="130">
        <f t="shared" si="1"/>
        <v>30.538353696662803</v>
      </c>
      <c r="U7" s="85">
        <f>Q5+Q6+Q7</f>
        <v>2923072</v>
      </c>
    </row>
    <row r="8" spans="1:21" ht="15" hidden="1" customHeight="1">
      <c r="A8" s="129" t="s">
        <v>3</v>
      </c>
      <c r="C8" s="79"/>
      <c r="F8" s="78">
        <f>Q8/21</f>
        <v>54695.523809523809</v>
      </c>
      <c r="G8" s="90">
        <f t="shared" si="2"/>
        <v>1.0932443660250915</v>
      </c>
      <c r="H8" s="90"/>
      <c r="I8" s="130">
        <f t="shared" si="0"/>
        <v>27.451482757112529</v>
      </c>
      <c r="J8" s="130"/>
      <c r="K8" s="78"/>
      <c r="P8" s="129" t="s">
        <v>3</v>
      </c>
      <c r="Q8" s="116">
        <v>1148606</v>
      </c>
      <c r="R8" s="116">
        <v>1391700684</v>
      </c>
      <c r="S8" s="116">
        <v>41841.31</v>
      </c>
      <c r="T8" s="130">
        <f t="shared" si="1"/>
        <v>27.451482757112529</v>
      </c>
      <c r="U8" s="85"/>
    </row>
    <row r="9" spans="1:21" ht="15" hidden="1" customHeight="1">
      <c r="A9" s="129" t="s">
        <v>4</v>
      </c>
      <c r="C9" s="79"/>
      <c r="F9" s="78">
        <f>Q9/21</f>
        <v>66055.666666666672</v>
      </c>
      <c r="G9" s="90">
        <f t="shared" si="2"/>
        <v>0.20769785287557285</v>
      </c>
      <c r="H9" s="90"/>
      <c r="I9" s="130">
        <f t="shared" si="0"/>
        <v>17.235606387704198</v>
      </c>
      <c r="J9" s="130"/>
      <c r="K9" s="78"/>
      <c r="P9" s="129" t="s">
        <v>4</v>
      </c>
      <c r="Q9" s="116">
        <v>1387169</v>
      </c>
      <c r="R9" s="116">
        <v>1741095295</v>
      </c>
      <c r="S9" s="116">
        <v>80482.75</v>
      </c>
      <c r="T9" s="130">
        <f t="shared" si="1"/>
        <v>17.235606387704198</v>
      </c>
      <c r="U9" s="85"/>
    </row>
    <row r="10" spans="1:21" ht="15" hidden="1" customHeight="1">
      <c r="A10" s="129" t="s">
        <v>5</v>
      </c>
      <c r="B10" s="131">
        <f>F8+F9+F10</f>
        <v>167259.23809523811</v>
      </c>
      <c r="C10" s="131">
        <f>AVERAGE(F8:F10)</f>
        <v>55753.079365079371</v>
      </c>
      <c r="D10" s="90">
        <f>C10/C7-1</f>
        <v>0.12798908663121944</v>
      </c>
      <c r="E10" s="286"/>
      <c r="F10" s="78">
        <f>Q10/21</f>
        <v>46508.047619047618</v>
      </c>
      <c r="G10" s="90">
        <f t="shared" si="2"/>
        <v>-0.29592645164359932</v>
      </c>
      <c r="H10" s="90"/>
      <c r="I10" s="130">
        <f t="shared" si="0"/>
        <v>15.479863255546942</v>
      </c>
      <c r="J10" s="130"/>
      <c r="K10" s="85">
        <f>R8+R9+R10</f>
        <v>4365480997</v>
      </c>
      <c r="L10" s="87">
        <f>U10/U7-1</f>
        <v>0.2016276027412256</v>
      </c>
      <c r="N10" s="88">
        <f>AVERAGE(T8:T10)</f>
        <v>20.055650800121224</v>
      </c>
      <c r="O10" s="89">
        <f>N10/N7-1</f>
        <v>-0.23786196319610609</v>
      </c>
      <c r="P10" s="129" t="s">
        <v>5</v>
      </c>
      <c r="Q10" s="116">
        <v>976669</v>
      </c>
      <c r="R10" s="116">
        <v>1232685018</v>
      </c>
      <c r="S10" s="116">
        <v>63092.87</v>
      </c>
      <c r="T10" s="130">
        <f t="shared" si="1"/>
        <v>15.479863255546942</v>
      </c>
      <c r="U10" s="85">
        <f>Q8+Q9+Q10</f>
        <v>3512444</v>
      </c>
    </row>
    <row r="11" spans="1:21" ht="15" hidden="1" customHeight="1">
      <c r="A11" s="129" t="s">
        <v>6</v>
      </c>
      <c r="C11" s="79"/>
      <c r="F11" s="78">
        <f>Q11/21</f>
        <v>53912.809523809527</v>
      </c>
      <c r="G11" s="90">
        <f t="shared" si="2"/>
        <v>0.15921463668858138</v>
      </c>
      <c r="H11" s="90"/>
      <c r="I11" s="130">
        <f t="shared" si="0"/>
        <v>13.828295308754887</v>
      </c>
      <c r="J11" s="130"/>
      <c r="K11" s="78"/>
      <c r="O11" s="89"/>
      <c r="P11" s="129" t="s">
        <v>6</v>
      </c>
      <c r="Q11" s="116">
        <v>1132169</v>
      </c>
      <c r="R11" s="116">
        <v>1459383995</v>
      </c>
      <c r="S11" s="116">
        <v>81873.36</v>
      </c>
      <c r="T11" s="130">
        <f t="shared" si="1"/>
        <v>13.828295308754887</v>
      </c>
      <c r="U11" s="85"/>
    </row>
    <row r="12" spans="1:21" ht="15" hidden="1" customHeight="1">
      <c r="A12" s="129" t="s">
        <v>7</v>
      </c>
      <c r="C12" s="79"/>
      <c r="F12" s="78">
        <f>Q12/22</f>
        <v>27099.636363636364</v>
      </c>
      <c r="G12" s="90">
        <f t="shared" si="2"/>
        <v>-0.49734327327778483</v>
      </c>
      <c r="H12" s="90"/>
      <c r="I12" s="130">
        <f t="shared" si="0"/>
        <v>21.69151716407077</v>
      </c>
      <c r="J12" s="130"/>
      <c r="K12" s="78"/>
      <c r="O12" s="89"/>
      <c r="P12" s="129" t="s">
        <v>7</v>
      </c>
      <c r="Q12" s="116">
        <v>596192</v>
      </c>
      <c r="R12" s="116">
        <v>775232773</v>
      </c>
      <c r="S12" s="116">
        <v>27485.03</v>
      </c>
      <c r="T12" s="130">
        <f t="shared" si="1"/>
        <v>21.69151716407077</v>
      </c>
      <c r="U12" s="85"/>
    </row>
    <row r="13" spans="1:21" ht="15" hidden="1" customHeight="1">
      <c r="A13" s="129" t="s">
        <v>96</v>
      </c>
      <c r="B13" s="131">
        <f>F11+F12+F13</f>
        <v>126176.89588744589</v>
      </c>
      <c r="C13" s="131">
        <f>AVERAGE(F11:F13)</f>
        <v>42058.965295815295</v>
      </c>
      <c r="D13" s="90">
        <f>C13/C10-1</f>
        <v>-0.24562076615702255</v>
      </c>
      <c r="E13" s="286"/>
      <c r="F13" s="78">
        <f>Q13/20</f>
        <v>45164.45</v>
      </c>
      <c r="G13" s="90">
        <f t="shared" si="2"/>
        <v>0.66660723391122301</v>
      </c>
      <c r="H13" s="90"/>
      <c r="I13" s="130">
        <f t="shared" si="0"/>
        <v>26.242945288617808</v>
      </c>
      <c r="J13" s="130"/>
      <c r="K13" s="78">
        <f>R11+R12+R13</f>
        <v>3464946038</v>
      </c>
      <c r="L13" s="87">
        <f>U13/U10-1</f>
        <v>-0.25076385559456604</v>
      </c>
      <c r="N13" s="88">
        <f>AVERAGE(T11:T13)</f>
        <v>20.587585920481157</v>
      </c>
      <c r="O13" s="89">
        <f>N13/N10-1</f>
        <v>2.652295483508893E-2</v>
      </c>
      <c r="P13" s="129" t="s">
        <v>96</v>
      </c>
      <c r="Q13" s="116">
        <v>903289</v>
      </c>
      <c r="R13" s="116">
        <v>1230329270</v>
      </c>
      <c r="S13" s="116">
        <v>34420.26</v>
      </c>
      <c r="T13" s="130">
        <f t="shared" si="1"/>
        <v>26.242945288617808</v>
      </c>
      <c r="U13" s="85">
        <f>Q11+Q12+Q13</f>
        <v>2631650</v>
      </c>
    </row>
    <row r="14" spans="1:21" ht="15" hidden="1" customHeight="1">
      <c r="A14" s="129" t="s">
        <v>97</v>
      </c>
      <c r="C14" s="79"/>
      <c r="F14" s="78">
        <f>Q14/20</f>
        <v>34312.1</v>
      </c>
      <c r="G14" s="90">
        <f t="shared" si="2"/>
        <v>-0.24028522433019772</v>
      </c>
      <c r="H14" s="90"/>
      <c r="I14" s="130">
        <f t="shared" si="0"/>
        <v>43.025089327082895</v>
      </c>
      <c r="J14" s="130"/>
      <c r="K14" s="78"/>
      <c r="O14" s="89"/>
      <c r="P14" s="129" t="s">
        <v>97</v>
      </c>
      <c r="Q14" s="116">
        <v>686242</v>
      </c>
      <c r="R14" s="116">
        <v>978574761</v>
      </c>
      <c r="S14" s="116">
        <v>15949.81</v>
      </c>
      <c r="T14" s="130">
        <f t="shared" si="1"/>
        <v>43.025089327082895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28211.68181818182</v>
      </c>
      <c r="G15" s="90">
        <f t="shared" si="2"/>
        <v>-0.17779203784723696</v>
      </c>
      <c r="H15" s="90"/>
      <c r="I15" s="130">
        <f t="shared" si="0"/>
        <v>35.940154657024827</v>
      </c>
      <c r="J15" s="130"/>
      <c r="K15" s="78"/>
      <c r="O15" s="89"/>
      <c r="P15" s="129" t="s">
        <v>98</v>
      </c>
      <c r="Q15" s="116">
        <v>620657</v>
      </c>
      <c r="R15" s="116">
        <v>863105577</v>
      </c>
      <c r="S15" s="116">
        <v>17269.18</v>
      </c>
      <c r="T15" s="130">
        <f t="shared" si="1"/>
        <v>35.940154657024827</v>
      </c>
      <c r="U15" s="85"/>
    </row>
    <row r="16" spans="1:21" ht="15" hidden="1" customHeight="1">
      <c r="A16" s="129" t="s">
        <v>99</v>
      </c>
      <c r="B16" s="131">
        <f>F14+F15+F16</f>
        <v>96258.190909090903</v>
      </c>
      <c r="C16" s="131">
        <f>AVERAGE(F14:F16)</f>
        <v>32086.063636363633</v>
      </c>
      <c r="D16" s="90">
        <f>C16/C13-1</f>
        <v>-0.23711714230982106</v>
      </c>
      <c r="E16" s="286"/>
      <c r="F16" s="78">
        <f>Q16/22</f>
        <v>33734.409090909088</v>
      </c>
      <c r="G16" s="90">
        <f t="shared" si="2"/>
        <v>0.19576029916685034</v>
      </c>
      <c r="H16" s="90"/>
      <c r="I16" s="130">
        <f t="shared" si="0"/>
        <v>18.241005117461231</v>
      </c>
      <c r="J16" s="130"/>
      <c r="K16" s="78">
        <f>R14+R15+R16</f>
        <v>2814866706</v>
      </c>
      <c r="L16" s="87">
        <f>U16/U13-1</f>
        <v>-0.22137974274694583</v>
      </c>
      <c r="N16" s="88">
        <f>AVERAGE(T14:T16)</f>
        <v>32.402083033856321</v>
      </c>
      <c r="O16" s="89">
        <f>N16/N13-1</f>
        <v>0.57386510293184712</v>
      </c>
      <c r="P16" s="129" t="s">
        <v>99</v>
      </c>
      <c r="Q16" s="116">
        <v>742157</v>
      </c>
      <c r="R16" s="116">
        <v>973186368</v>
      </c>
      <c r="S16" s="116">
        <v>40686.19</v>
      </c>
      <c r="T16" s="130">
        <f t="shared" si="1"/>
        <v>18.241005117461231</v>
      </c>
      <c r="U16" s="85">
        <f>Q14+Q15+Q16</f>
        <v>2049056</v>
      </c>
    </row>
    <row r="17" spans="1:21" ht="15" hidden="1" customHeight="1">
      <c r="A17" s="129" t="s">
        <v>100</v>
      </c>
      <c r="C17" s="79"/>
      <c r="F17" s="78">
        <f>Q17/20</f>
        <v>43022.75</v>
      </c>
      <c r="G17" s="90">
        <f t="shared" si="2"/>
        <v>0.27533729386100259</v>
      </c>
      <c r="H17" s="90">
        <f t="shared" ref="H17:H46" si="3">F17/F5-1</f>
        <v>-0.42443557622329731</v>
      </c>
      <c r="I17" s="130">
        <f t="shared" si="0"/>
        <v>20.054028681674065</v>
      </c>
      <c r="J17" s="130">
        <f t="shared" ref="J17:J49" si="4">I17/I5-1</f>
        <v>-0.14864184172394657</v>
      </c>
      <c r="K17" s="78"/>
      <c r="O17" s="89"/>
      <c r="P17" s="129" t="s">
        <v>100</v>
      </c>
      <c r="Q17" s="116">
        <v>860455</v>
      </c>
      <c r="R17" s="116">
        <v>1080721340</v>
      </c>
      <c r="S17" s="116">
        <v>42906.84</v>
      </c>
      <c r="T17" s="130">
        <f t="shared" si="1"/>
        <v>20.054028681674065</v>
      </c>
      <c r="U17" s="78"/>
    </row>
    <row r="18" spans="1:21" ht="15" hidden="1" customHeight="1">
      <c r="A18" s="129" t="s">
        <v>106</v>
      </c>
      <c r="C18" s="79"/>
      <c r="F18" s="78">
        <f>Q18/20</f>
        <v>71505.8</v>
      </c>
      <c r="G18" s="90">
        <f t="shared" si="2"/>
        <v>0.66204624297609982</v>
      </c>
      <c r="H18" s="90">
        <f t="shared" si="3"/>
        <v>0.50847985223487724</v>
      </c>
      <c r="I18" s="130">
        <f t="shared" si="0"/>
        <v>15.739981626437768</v>
      </c>
      <c r="J18" s="130">
        <f t="shared" si="4"/>
        <v>-0.36663252970410265</v>
      </c>
      <c r="K18" s="78"/>
      <c r="O18" s="89"/>
      <c r="P18" s="129" t="s">
        <v>106</v>
      </c>
      <c r="Q18" s="116">
        <v>1430116</v>
      </c>
      <c r="R18" s="116">
        <v>1805785693</v>
      </c>
      <c r="S18" s="116">
        <v>90858.81</v>
      </c>
      <c r="T18" s="130">
        <f t="shared" si="1"/>
        <v>15.739981626437768</v>
      </c>
      <c r="U18" s="78"/>
    </row>
    <row r="19" spans="1:21" hidden="1">
      <c r="A19" s="129" t="s">
        <v>114</v>
      </c>
      <c r="B19" s="131">
        <f>SUM(F17:F19)</f>
        <v>195204.18636363637</v>
      </c>
      <c r="C19" s="131">
        <f>AVERAGE(F17:F19)</f>
        <v>65068.062121212126</v>
      </c>
      <c r="D19" s="90">
        <f>C19/C16-1</f>
        <v>1.0279228657849284</v>
      </c>
      <c r="E19" s="286">
        <f>C19/C7-1</f>
        <v>0.31644861228850307</v>
      </c>
      <c r="F19" s="78">
        <f>Q19/22</f>
        <v>80675.636363636368</v>
      </c>
      <c r="G19" s="90">
        <f t="shared" si="2"/>
        <v>0.12823905702245653</v>
      </c>
      <c r="H19" s="90">
        <f t="shared" si="3"/>
        <v>2.0875254414195008</v>
      </c>
      <c r="I19" s="130">
        <f t="shared" si="0"/>
        <v>21.831837686607322</v>
      </c>
      <c r="J19" s="130">
        <f t="shared" si="4"/>
        <v>-0.2851010272700758</v>
      </c>
      <c r="K19" s="78">
        <f>R17+R18+R19</f>
        <v>5207181501</v>
      </c>
      <c r="L19" s="87">
        <f>U19/U16-1</f>
        <v>0.98405265644277162</v>
      </c>
      <c r="M19" s="87">
        <f>U19/U7-1</f>
        <v>0.39080905294156287</v>
      </c>
      <c r="N19" s="88">
        <f>AVERAGE(T17:T19)</f>
        <v>19.208615998239718</v>
      </c>
      <c r="O19" s="89">
        <f>N19/N16-1</f>
        <v>-0.40717959465232523</v>
      </c>
      <c r="P19" s="129" t="s">
        <v>114</v>
      </c>
      <c r="Q19" s="116">
        <v>1774864</v>
      </c>
      <c r="R19" s="116">
        <v>2320674468</v>
      </c>
      <c r="S19" s="116">
        <v>81297.05</v>
      </c>
      <c r="T19" s="130">
        <f t="shared" si="1"/>
        <v>21.831837686607322</v>
      </c>
      <c r="U19" s="85">
        <f>Q17+Q18+Q19</f>
        <v>4065435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78051.05</v>
      </c>
      <c r="G20" s="90">
        <f t="shared" si="2"/>
        <v>-3.2532577143938979E-2</v>
      </c>
      <c r="H20" s="90">
        <f t="shared" si="3"/>
        <v>0.4270098275648917</v>
      </c>
      <c r="I20" s="130">
        <f t="shared" si="0"/>
        <v>20.528815704477406</v>
      </c>
      <c r="J20" s="130">
        <f t="shared" si="4"/>
        <v>-0.25217825623067658</v>
      </c>
      <c r="K20" s="78"/>
      <c r="O20" s="89"/>
      <c r="P20" s="129" t="s">
        <v>131</v>
      </c>
      <c r="Q20" s="116">
        <v>1561021</v>
      </c>
      <c r="R20" s="116">
        <v>2050041205</v>
      </c>
      <c r="S20" s="116">
        <v>76040.479999999996</v>
      </c>
      <c r="T20" s="130">
        <f t="shared" si="1"/>
        <v>20.528815704477406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66130.047619047618</v>
      </c>
      <c r="G21" s="90">
        <f t="shared" si="2"/>
        <v>-0.15273340180500306</v>
      </c>
      <c r="H21" s="90">
        <f t="shared" si="3"/>
        <v>1.1260343909069714E-3</v>
      </c>
      <c r="I21" s="130">
        <f t="shared" si="0"/>
        <v>24.951062907363678</v>
      </c>
      <c r="J21" s="130">
        <f t="shared" si="4"/>
        <v>0.44764636335415786</v>
      </c>
      <c r="K21" s="78"/>
      <c r="O21" s="89"/>
      <c r="P21" s="129" t="s">
        <v>141</v>
      </c>
      <c r="Q21" s="116">
        <v>1388731</v>
      </c>
      <c r="R21" s="116">
        <v>1853473973</v>
      </c>
      <c r="S21" s="116">
        <v>55658.19</v>
      </c>
      <c r="T21" s="130">
        <f t="shared" si="1"/>
        <v>24.951062907363678</v>
      </c>
      <c r="U21" s="78"/>
    </row>
    <row r="22" spans="1:21" hidden="1">
      <c r="A22" s="129" t="s">
        <v>155</v>
      </c>
      <c r="B22" s="131">
        <f>SUM(F20:F22)</f>
        <v>257648.19285714286</v>
      </c>
      <c r="C22" s="131">
        <f>AVERAGE(F20:F22)</f>
        <v>85882.730952380953</v>
      </c>
      <c r="D22" s="90">
        <f>C22/C19-1</f>
        <v>0.31989071370212607</v>
      </c>
      <c r="E22" s="286">
        <f>C22/C10-1</f>
        <v>0.54041233112898013</v>
      </c>
      <c r="F22" s="78">
        <f>Q22/21</f>
        <v>113467.09523809524</v>
      </c>
      <c r="G22" s="90">
        <f t="shared" si="2"/>
        <v>0.71581753413728078</v>
      </c>
      <c r="H22" s="90">
        <f t="shared" si="3"/>
        <v>1.4397303487670849</v>
      </c>
      <c r="I22" s="130">
        <f t="shared" si="0"/>
        <v>28.728704180946266</v>
      </c>
      <c r="J22" s="130">
        <f t="shared" si="4"/>
        <v>0.85587583731735051</v>
      </c>
      <c r="K22" s="78">
        <f>R20+R21+R22</f>
        <v>7004859286</v>
      </c>
      <c r="L22" s="87">
        <f>U22/U19-1</f>
        <v>0.31168275965548586</v>
      </c>
      <c r="M22" s="87">
        <f>U22/U10-1</f>
        <v>0.51819103735176997</v>
      </c>
      <c r="N22" s="88">
        <f>AVERAGE(T20:T22)</f>
        <v>24.736194264262451</v>
      </c>
      <c r="O22" s="89">
        <f>N22/N19-1</f>
        <v>0.28776556658372887</v>
      </c>
      <c r="P22" s="129" t="s">
        <v>155</v>
      </c>
      <c r="Q22" s="116">
        <v>2382809</v>
      </c>
      <c r="R22" s="116">
        <v>3101344108</v>
      </c>
      <c r="S22" s="116">
        <v>82941.75</v>
      </c>
      <c r="T22" s="130">
        <f t="shared" si="1"/>
        <v>28.728704180946266</v>
      </c>
      <c r="U22" s="85">
        <f>Q20+Q21+Q22</f>
        <v>5332561</v>
      </c>
    </row>
    <row r="23" spans="1:21" hidden="1">
      <c r="A23" s="129" t="s">
        <v>189</v>
      </c>
      <c r="B23" s="131"/>
      <c r="C23" s="131"/>
      <c r="F23" s="78">
        <f>Q23/21</f>
        <v>80543.333333333328</v>
      </c>
      <c r="G23" s="90">
        <f t="shared" si="2"/>
        <v>-0.29016131800744416</v>
      </c>
      <c r="H23" s="90">
        <f t="shared" si="3"/>
        <v>0.49395540771739888</v>
      </c>
      <c r="I23" s="130">
        <f t="shared" si="0"/>
        <v>21.639885217425569</v>
      </c>
      <c r="J23" s="130">
        <f t="shared" si="4"/>
        <v>0.56489897953835677</v>
      </c>
      <c r="K23" s="78"/>
      <c r="O23" s="89"/>
      <c r="P23" s="129" t="s">
        <v>189</v>
      </c>
      <c r="Q23" s="116">
        <v>1691410</v>
      </c>
      <c r="R23" s="116">
        <v>2186137577</v>
      </c>
      <c r="S23" s="116">
        <v>78161.69</v>
      </c>
      <c r="T23" s="130">
        <f t="shared" si="1"/>
        <v>21.639885217425569</v>
      </c>
      <c r="U23" s="78"/>
    </row>
    <row r="24" spans="1:21" hidden="1">
      <c r="A24" s="129" t="s">
        <v>204</v>
      </c>
      <c r="B24" s="131"/>
      <c r="C24" s="131"/>
      <c r="F24" s="78">
        <f>Q24/22</f>
        <v>55820.181818181816</v>
      </c>
      <c r="G24" s="90">
        <f t="shared" si="2"/>
        <v>-0.30695466020549822</v>
      </c>
      <c r="H24" s="90">
        <f t="shared" si="3"/>
        <v>1.0598129461649939</v>
      </c>
      <c r="I24" s="130">
        <f t="shared" si="0"/>
        <v>29.804947201262827</v>
      </c>
      <c r="J24" s="130">
        <f t="shared" si="4"/>
        <v>0.37403700146114804</v>
      </c>
      <c r="K24" s="78"/>
      <c r="O24" s="89"/>
      <c r="P24" s="129" t="s">
        <v>204</v>
      </c>
      <c r="Q24" s="116">
        <v>1228044</v>
      </c>
      <c r="R24" s="116">
        <v>1620352652</v>
      </c>
      <c r="S24" s="116">
        <v>41202.69</v>
      </c>
      <c r="T24" s="130">
        <f t="shared" si="1"/>
        <v>29.804947201262827</v>
      </c>
      <c r="U24" s="78"/>
    </row>
    <row r="25" spans="1:21" s="79" customFormat="1" ht="13.2" hidden="1">
      <c r="A25" s="129" t="s">
        <v>217</v>
      </c>
      <c r="B25" s="131">
        <f>SUM(F23:F25)</f>
        <v>204849.1467304625</v>
      </c>
      <c r="C25" s="131">
        <f>AVERAGE(F23:F25)</f>
        <v>68283.048910154161</v>
      </c>
      <c r="D25" s="90">
        <f>C25/C22-1</f>
        <v>-0.20492690261544222</v>
      </c>
      <c r="E25" s="286">
        <f>C25/C13-1</f>
        <v>0.62350757870279949</v>
      </c>
      <c r="F25" s="78">
        <f>Q25/19</f>
        <v>68485.631578947374</v>
      </c>
      <c r="G25" s="90">
        <f t="shared" si="2"/>
        <v>0.22689732186863187</v>
      </c>
      <c r="H25" s="90">
        <f t="shared" si="3"/>
        <v>0.51636146524417725</v>
      </c>
      <c r="I25" s="130">
        <f t="shared" si="0"/>
        <v>19.016541358657797</v>
      </c>
      <c r="J25" s="130">
        <f t="shared" si="4"/>
        <v>-0.27536558303515857</v>
      </c>
      <c r="K25" s="78">
        <f>R23+R24+R25</f>
        <v>5532815267</v>
      </c>
      <c r="L25" s="90">
        <f>U25/U22-1</f>
        <v>-0.20850769452051277</v>
      </c>
      <c r="M25" s="90">
        <f>U25/U13-1</f>
        <v>0.60381547698212157</v>
      </c>
      <c r="N25" s="88">
        <f>AVERAGE(T23:T25)</f>
        <v>23.487124592448726</v>
      </c>
      <c r="O25" s="91">
        <f>N25/N22-1</f>
        <v>-5.0495628327851372E-2</v>
      </c>
      <c r="P25" s="129" t="s">
        <v>217</v>
      </c>
      <c r="Q25" s="116">
        <v>1301227</v>
      </c>
      <c r="R25" s="116">
        <v>1726325038</v>
      </c>
      <c r="S25" s="116">
        <v>68426.06</v>
      </c>
      <c r="T25" s="130">
        <f t="shared" si="1"/>
        <v>19.016541358657797</v>
      </c>
      <c r="U25" s="85">
        <f>Q23+Q24+Q25</f>
        <v>4220681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72023.736842105267</v>
      </c>
      <c r="G26" s="90">
        <f t="shared" si="2"/>
        <v>5.1662008242989055E-2</v>
      </c>
      <c r="H26" s="90">
        <f t="shared" si="3"/>
        <v>1.0990769099561168</v>
      </c>
      <c r="I26" s="130">
        <f t="shared" si="0"/>
        <v>27.785214731462577</v>
      </c>
      <c r="J26" s="130">
        <f t="shared" si="4"/>
        <v>-0.35420901697064722</v>
      </c>
      <c r="K26" s="78"/>
      <c r="L26" s="90"/>
      <c r="M26" s="90"/>
      <c r="P26" s="129" t="s">
        <v>312</v>
      </c>
      <c r="Q26" s="116">
        <v>1368451</v>
      </c>
      <c r="R26" s="116">
        <v>1842685164</v>
      </c>
      <c r="S26" s="116">
        <v>49251.05</v>
      </c>
      <c r="T26" s="130">
        <f t="shared" si="1"/>
        <v>27.785214731462577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63877.545454545456</v>
      </c>
      <c r="G27" s="90">
        <f t="shared" si="2"/>
        <v>-0.11310425902252719</v>
      </c>
      <c r="H27" s="90">
        <f t="shared" si="3"/>
        <v>1.2642232344112769</v>
      </c>
      <c r="I27" s="130">
        <f t="shared" si="0"/>
        <v>22.599931459121443</v>
      </c>
      <c r="J27" s="130">
        <f t="shared" si="4"/>
        <v>-0.37117879222303007</v>
      </c>
      <c r="K27" s="78"/>
      <c r="L27" s="90"/>
      <c r="M27" s="90"/>
      <c r="P27" s="129" t="s">
        <v>373</v>
      </c>
      <c r="Q27" s="116">
        <v>1405306</v>
      </c>
      <c r="R27" s="116">
        <v>1853980745</v>
      </c>
      <c r="S27" s="116">
        <v>62181.87</v>
      </c>
      <c r="T27" s="130">
        <f t="shared" si="1"/>
        <v>22.599931459121443</v>
      </c>
      <c r="U27" s="78"/>
    </row>
    <row r="28" spans="1:21" s="79" customFormat="1" ht="13.2" hidden="1">
      <c r="A28" s="123" t="s">
        <v>413</v>
      </c>
      <c r="B28" s="131">
        <f>SUM(F26:F28)</f>
        <v>189081.80861244019</v>
      </c>
      <c r="C28" s="131">
        <f>AVERAGE(F26:F28)</f>
        <v>63027.269537480061</v>
      </c>
      <c r="D28" s="90">
        <f>C28/C25-1</f>
        <v>-7.6970484718536514E-2</v>
      </c>
      <c r="E28" s="286">
        <f>C28/C16-1</f>
        <v>0.96431915898995713</v>
      </c>
      <c r="F28" s="78">
        <f>Q28/19</f>
        <v>53180.526315789473</v>
      </c>
      <c r="G28" s="90">
        <f t="shared" si="2"/>
        <v>-0.16746133657198614</v>
      </c>
      <c r="H28" s="90">
        <f t="shared" si="3"/>
        <v>0.5764475426996829</v>
      </c>
      <c r="I28" s="130">
        <f t="shared" si="0"/>
        <v>17.407763900946147</v>
      </c>
      <c r="J28" s="130">
        <f t="shared" si="4"/>
        <v>-4.5679567060559756E-2</v>
      </c>
      <c r="K28" s="78">
        <f>R26+R27+R28</f>
        <v>5015588037</v>
      </c>
      <c r="L28" s="90">
        <f>U28/U25-1</f>
        <v>-0.10341790815273644</v>
      </c>
      <c r="M28" s="90">
        <f>U28/U16-1</f>
        <v>0.84679530476473075</v>
      </c>
      <c r="N28" s="88">
        <f>AVERAGE(T26:T28)</f>
        <v>22.597636697176725</v>
      </c>
      <c r="O28" s="91">
        <f>N28/N25-1</f>
        <v>-3.7871298028451683E-2</v>
      </c>
      <c r="P28" s="129" t="s">
        <v>413</v>
      </c>
      <c r="Q28" s="116">
        <v>1010430</v>
      </c>
      <c r="R28" s="116">
        <v>1318922128</v>
      </c>
      <c r="S28" s="116">
        <v>58044.79</v>
      </c>
      <c r="T28" s="130">
        <f t="shared" si="1"/>
        <v>17.407763900946147</v>
      </c>
      <c r="U28" s="85">
        <f>Q26+Q27+Q28</f>
        <v>3784187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95356</v>
      </c>
      <c r="G29" s="190">
        <f t="shared" si="2"/>
        <v>0.79306235958948168</v>
      </c>
      <c r="H29" s="190">
        <f t="shared" si="3"/>
        <v>1.2164087604813734</v>
      </c>
      <c r="I29" s="130">
        <f t="shared" si="0"/>
        <v>19.129808516072742</v>
      </c>
      <c r="J29" s="130">
        <f t="shared" si="4"/>
        <v>-4.6086508614894939E-2</v>
      </c>
      <c r="K29" s="136"/>
      <c r="L29" s="190"/>
      <c r="M29" s="190"/>
      <c r="N29" s="191"/>
      <c r="O29" s="192"/>
      <c r="P29" s="129" t="s">
        <v>426</v>
      </c>
      <c r="Q29" s="116">
        <v>2097832</v>
      </c>
      <c r="R29" s="116">
        <v>2767665936</v>
      </c>
      <c r="S29" s="116">
        <v>109662.99</v>
      </c>
      <c r="T29" s="130">
        <f t="shared" si="1"/>
        <v>19.129808516072742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143973.52631578947</v>
      </c>
      <c r="G30" s="190">
        <f t="shared" si="2"/>
        <v>0.50985282851408886</v>
      </c>
      <c r="H30" s="190">
        <f t="shared" si="3"/>
        <v>1.0134524236605906</v>
      </c>
      <c r="I30" s="130">
        <f t="shared" si="0"/>
        <v>20.392102809409405</v>
      </c>
      <c r="J30" s="130">
        <f t="shared" si="4"/>
        <v>0.29556077595145802</v>
      </c>
      <c r="K30" s="136"/>
      <c r="L30" s="190"/>
      <c r="M30" s="190"/>
      <c r="N30" s="191"/>
      <c r="O30" s="192"/>
      <c r="P30" s="129" t="s">
        <v>466</v>
      </c>
      <c r="Q30" s="116">
        <v>2735497</v>
      </c>
      <c r="R30" s="116">
        <v>3643547920</v>
      </c>
      <c r="S30" s="116">
        <v>134144.92000000001</v>
      </c>
      <c r="T30" s="130">
        <f t="shared" si="1"/>
        <v>20.392102809409405</v>
      </c>
      <c r="U30" s="85"/>
    </row>
    <row r="31" spans="1:21" s="79" customFormat="1" ht="13.2" hidden="1">
      <c r="A31" s="129" t="s">
        <v>505</v>
      </c>
      <c r="B31" s="188">
        <f>SUM(F29:F31)</f>
        <v>537913.92631578946</v>
      </c>
      <c r="C31" s="188">
        <f>AVERAGE(F29:F31)</f>
        <v>179304.64210526316</v>
      </c>
      <c r="D31" s="190">
        <f>C31/C28-1</f>
        <v>1.8448740270850084</v>
      </c>
      <c r="E31" s="287">
        <f>C31/C19-1</f>
        <v>1.7556474906421107</v>
      </c>
      <c r="F31" s="136">
        <f>Q31/20</f>
        <v>298584.40000000002</v>
      </c>
      <c r="G31" s="190">
        <f t="shared" si="2"/>
        <v>1.0738840510517838</v>
      </c>
      <c r="H31" s="190">
        <f t="shared" si="3"/>
        <v>2.7010479676189276</v>
      </c>
      <c r="I31" s="130">
        <f t="shared" si="0"/>
        <v>25.585540826343891</v>
      </c>
      <c r="J31" s="130">
        <f t="shared" si="4"/>
        <v>0.17193711283586843</v>
      </c>
      <c r="K31" s="136">
        <f>R29+R30+R31</f>
        <v>14347541895</v>
      </c>
      <c r="L31" s="190">
        <f>U31/U28-1</f>
        <v>1.8553073619247673</v>
      </c>
      <c r="M31" s="190">
        <f>U31/U19-1</f>
        <v>1.657776351116178</v>
      </c>
      <c r="N31" s="191">
        <f>AVERAGE(T29:T31)</f>
        <v>21.702484050608678</v>
      </c>
      <c r="O31" s="192">
        <f>N31/N28-1</f>
        <v>-3.9612666517463091E-2</v>
      </c>
      <c r="P31" s="129" t="s">
        <v>505</v>
      </c>
      <c r="Q31" s="116">
        <v>5971688</v>
      </c>
      <c r="R31" s="116">
        <v>7936328039</v>
      </c>
      <c r="S31" s="116">
        <v>233400.89</v>
      </c>
      <c r="T31" s="130">
        <f t="shared" si="1"/>
        <v>25.585540826343891</v>
      </c>
      <c r="U31" s="85">
        <f>Q29+Q30+Q31</f>
        <v>10805017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341931.85714285716</v>
      </c>
      <c r="G32" s="190">
        <f t="shared" si="2"/>
        <v>0.14517656362106379</v>
      </c>
      <c r="H32" s="190">
        <f t="shared" si="3"/>
        <v>3.3808745320256053</v>
      </c>
      <c r="I32" s="130">
        <f t="shared" si="0"/>
        <v>30.335368951303632</v>
      </c>
      <c r="J32" s="130">
        <f t="shared" si="4"/>
        <v>0.4776969791144543</v>
      </c>
      <c r="K32" s="136"/>
      <c r="L32" s="190"/>
      <c r="M32" s="190"/>
      <c r="N32" s="191"/>
      <c r="O32" s="192"/>
      <c r="P32" s="129" t="s">
        <v>583</v>
      </c>
      <c r="Q32" s="116">
        <v>7180569</v>
      </c>
      <c r="R32" s="116">
        <v>9752401177</v>
      </c>
      <c r="S32" s="116">
        <v>236706.17</v>
      </c>
      <c r="T32" s="130">
        <f t="shared" si="1"/>
        <v>30.335368951303632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176457.66666666666</v>
      </c>
      <c r="G33" s="190">
        <f t="shared" si="2"/>
        <v>-0.48393908616434167</v>
      </c>
      <c r="H33" s="190">
        <f t="shared" si="3"/>
        <v>1.6683432572614856</v>
      </c>
      <c r="I33" s="130">
        <f t="shared" si="0"/>
        <v>22.515991769194756</v>
      </c>
      <c r="J33" s="130">
        <f t="shared" si="4"/>
        <v>-9.7593883964368966E-2</v>
      </c>
      <c r="K33" s="136"/>
      <c r="L33" s="190"/>
      <c r="M33" s="190"/>
      <c r="N33" s="191"/>
      <c r="O33" s="192"/>
      <c r="P33" s="129" t="s">
        <v>606</v>
      </c>
      <c r="Q33" s="116">
        <v>3705611</v>
      </c>
      <c r="R33" s="116">
        <v>5064322019</v>
      </c>
      <c r="S33" s="116">
        <v>164576.85</v>
      </c>
      <c r="T33" s="130">
        <f t="shared" si="1"/>
        <v>22.515991769194756</v>
      </c>
      <c r="U33" s="85"/>
    </row>
    <row r="34" spans="1:21" s="79" customFormat="1" ht="13.2" hidden="1">
      <c r="A34" s="129" t="s">
        <v>652</v>
      </c>
      <c r="B34" s="188">
        <f>SUM(F32:F34)</f>
        <v>818189.8395989975</v>
      </c>
      <c r="C34" s="188">
        <f>AVERAGE(F32:F34)</f>
        <v>272729.94653299917</v>
      </c>
      <c r="D34" s="190">
        <f>C34/C31-1</f>
        <v>0.5210423072755106</v>
      </c>
      <c r="E34" s="287">
        <f>C34/C22-1</f>
        <v>2.1756086876675895</v>
      </c>
      <c r="F34" s="136">
        <f>Q34/19</f>
        <v>299800.31578947371</v>
      </c>
      <c r="G34" s="190">
        <f t="shared" si="2"/>
        <v>0.69899286017311257</v>
      </c>
      <c r="H34" s="190">
        <f t="shared" si="3"/>
        <v>1.6421784673378972</v>
      </c>
      <c r="I34" s="130">
        <f t="shared" si="0"/>
        <v>26.529608809076489</v>
      </c>
      <c r="J34" s="130">
        <f t="shared" si="4"/>
        <v>-7.6546973995725298E-2</v>
      </c>
      <c r="K34" s="136">
        <f>R32+R33+R34</f>
        <v>22645654290</v>
      </c>
      <c r="L34" s="190">
        <f>U34/U31-1</f>
        <v>0.53469318928420018</v>
      </c>
      <c r="M34" s="190">
        <f>U34/U22-1</f>
        <v>2.109647690856232</v>
      </c>
      <c r="N34" s="191">
        <f>AVERAGE(T32:T34)</f>
        <v>26.460323176524962</v>
      </c>
      <c r="O34" s="192">
        <f>N34/N31-1</f>
        <v>0.21923016346061286</v>
      </c>
      <c r="P34" s="129" t="s">
        <v>652</v>
      </c>
      <c r="Q34" s="116">
        <v>5696206</v>
      </c>
      <c r="R34" s="116">
        <v>7828931094</v>
      </c>
      <c r="S34" s="116">
        <v>214711.27</v>
      </c>
      <c r="T34" s="130">
        <f t="shared" si="1"/>
        <v>26.529608809076489</v>
      </c>
      <c r="U34" s="85">
        <f>Q32+Q33+Q34</f>
        <v>16582386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206664.86956521738</v>
      </c>
      <c r="G35" s="190">
        <f t="shared" si="2"/>
        <v>-0.31065826591609746</v>
      </c>
      <c r="H35" s="190">
        <f t="shared" si="3"/>
        <v>1.5658842391079424</v>
      </c>
      <c r="I35" s="130">
        <f t="shared" si="0"/>
        <v>24.015795592207638</v>
      </c>
      <c r="J35" s="130">
        <f t="shared" si="4"/>
        <v>0.10979311354520771</v>
      </c>
      <c r="K35" s="136"/>
      <c r="L35" s="190"/>
      <c r="M35" s="190"/>
      <c r="N35" s="191"/>
      <c r="O35" s="192"/>
      <c r="P35" s="129" t="s">
        <v>660</v>
      </c>
      <c r="Q35" s="116">
        <v>4753292</v>
      </c>
      <c r="R35" s="116">
        <v>6580875578</v>
      </c>
      <c r="S35" s="116">
        <v>197923.57</v>
      </c>
      <c r="T35" s="130">
        <f t="shared" si="1"/>
        <v>24.015795592207638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248940</v>
      </c>
      <c r="G36" s="190">
        <f t="shared" si="2"/>
        <v>0.20455886152165714</v>
      </c>
      <c r="H36" s="190">
        <f t="shared" si="3"/>
        <v>3.4596773405513161</v>
      </c>
      <c r="I36" s="130">
        <f t="shared" si="0"/>
        <v>24.969770173071847</v>
      </c>
      <c r="J36" s="130">
        <f t="shared" si="4"/>
        <v>-0.16222733076964202</v>
      </c>
      <c r="K36" s="136"/>
      <c r="L36" s="190"/>
      <c r="M36" s="190"/>
      <c r="N36" s="191"/>
      <c r="O36" s="192"/>
      <c r="P36" s="129" t="s">
        <v>666</v>
      </c>
      <c r="Q36" s="116">
        <v>5227740</v>
      </c>
      <c r="R36" s="116">
        <v>7135263057</v>
      </c>
      <c r="S36" s="116">
        <v>209362.76</v>
      </c>
      <c r="T36" s="130">
        <f t="shared" si="1"/>
        <v>24.969770173071847</v>
      </c>
      <c r="U36" s="85"/>
    </row>
    <row r="37" spans="1:21" s="79" customFormat="1" ht="13.2" hidden="1">
      <c r="A37" s="129" t="s">
        <v>702</v>
      </c>
      <c r="B37" s="188">
        <f>SUM(F35:F37)</f>
        <v>706976.25845410628</v>
      </c>
      <c r="C37" s="188">
        <f>AVERAGE(F35:F37)</f>
        <v>235658.75281803543</v>
      </c>
      <c r="D37" s="190">
        <f>C37/C34-1</f>
        <v>-0.13592637767220139</v>
      </c>
      <c r="E37" s="287">
        <f>C37/C25-1</f>
        <v>2.4512043117481732</v>
      </c>
      <c r="F37" s="136">
        <f>Q37/18</f>
        <v>251371.38888888888</v>
      </c>
      <c r="G37" s="190">
        <f t="shared" si="2"/>
        <v>9.7669674977458598E-3</v>
      </c>
      <c r="H37" s="190">
        <f t="shared" si="3"/>
        <v>2.6704252131940764</v>
      </c>
      <c r="I37" s="130">
        <f t="shared" si="0"/>
        <v>27.664963446077692</v>
      </c>
      <c r="J37" s="130">
        <f t="shared" si="4"/>
        <v>0.45478417575036412</v>
      </c>
      <c r="K37" s="136">
        <f>R35+R36+R37</f>
        <v>19751655635</v>
      </c>
      <c r="L37" s="190">
        <f>U37/U34-1</f>
        <v>-0.12523342539487381</v>
      </c>
      <c r="M37" s="190">
        <f>U37/U25-1</f>
        <v>2.4368190820391304</v>
      </c>
      <c r="N37" s="191">
        <f>AVERAGE(T35:T37)</f>
        <v>25.550176403785727</v>
      </c>
      <c r="O37" s="192">
        <f>N37/N34-1</f>
        <v>-3.4396661245116533E-2</v>
      </c>
      <c r="P37" s="129" t="s">
        <v>702</v>
      </c>
      <c r="Q37" s="116">
        <v>4524685</v>
      </c>
      <c r="R37" s="116">
        <v>6035517000</v>
      </c>
      <c r="S37" s="116">
        <v>163552.9</v>
      </c>
      <c r="T37" s="130">
        <f t="shared" si="1"/>
        <v>27.664963446077692</v>
      </c>
      <c r="U37" s="85">
        <f>Q35+Q36+Q37</f>
        <v>14505717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123752.95</v>
      </c>
      <c r="G38" s="190">
        <f t="shared" si="2"/>
        <v>-0.50768880043583142</v>
      </c>
      <c r="H38" s="190">
        <f t="shared" si="3"/>
        <v>0.71822451077897553</v>
      </c>
      <c r="I38" s="130">
        <f t="shared" si="0"/>
        <v>29.210860563304152</v>
      </c>
      <c r="J38" s="130">
        <f t="shared" si="4"/>
        <v>5.1309512833357607E-2</v>
      </c>
      <c r="K38" s="136"/>
      <c r="L38" s="190"/>
      <c r="M38" s="190"/>
      <c r="N38" s="191"/>
      <c r="O38" s="192"/>
      <c r="P38" s="129" t="s">
        <v>728</v>
      </c>
      <c r="Q38" s="116">
        <v>2475059</v>
      </c>
      <c r="R38" s="116">
        <v>3332861521</v>
      </c>
      <c r="S38" s="116">
        <v>84730.78</v>
      </c>
      <c r="T38" s="130">
        <f t="shared" si="1"/>
        <v>29.210860563304152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287823.57142857142</v>
      </c>
      <c r="G39" s="190">
        <f t="shared" si="2"/>
        <v>1.3257915987341833</v>
      </c>
      <c r="H39" s="190">
        <f t="shared" si="3"/>
        <v>3.5058646098633117</v>
      </c>
      <c r="I39" s="130">
        <f t="shared" si="0"/>
        <v>26.325028549328273</v>
      </c>
      <c r="J39" s="130">
        <f t="shared" si="4"/>
        <v>0.16482780476324699</v>
      </c>
      <c r="K39" s="136"/>
      <c r="L39" s="190"/>
      <c r="M39" s="190"/>
      <c r="N39" s="191"/>
      <c r="O39" s="192"/>
      <c r="P39" s="129" t="s">
        <v>762</v>
      </c>
      <c r="Q39" s="116">
        <v>6044295</v>
      </c>
      <c r="R39" s="116">
        <v>8409917510</v>
      </c>
      <c r="S39" s="116">
        <v>229602.6</v>
      </c>
      <c r="T39" s="130">
        <f t="shared" si="1"/>
        <v>26.325028549328273</v>
      </c>
      <c r="U39" s="85"/>
    </row>
    <row r="40" spans="1:21" s="79" customFormat="1" ht="13.2" hidden="1">
      <c r="A40" s="129" t="s">
        <v>778</v>
      </c>
      <c r="B40" s="188">
        <f>SUM(F38:F40)</f>
        <v>760363.09285714291</v>
      </c>
      <c r="C40" s="188">
        <f>AVERAGE(F38:F40)</f>
        <v>253454.36428571431</v>
      </c>
      <c r="D40" s="190">
        <f>C40/C37-1</f>
        <v>7.5514324228898033E-2</v>
      </c>
      <c r="E40" s="287">
        <f>C40/C28-1</f>
        <v>3.0213445092206328</v>
      </c>
      <c r="F40" s="136">
        <f>Q40/21</f>
        <v>348786.57142857142</v>
      </c>
      <c r="G40" s="190">
        <f t="shared" si="2"/>
        <v>0.21180683603298656</v>
      </c>
      <c r="H40" s="190">
        <f t="shared" si="3"/>
        <v>5.5585392923239185</v>
      </c>
      <c r="I40" s="130">
        <f t="shared" si="0"/>
        <v>24.816685797948253</v>
      </c>
      <c r="J40" s="130">
        <f t="shared" si="4"/>
        <v>0.42561020123896642</v>
      </c>
      <c r="K40" s="136">
        <f>R38+R39+R40</f>
        <v>22172922821</v>
      </c>
      <c r="L40" s="190">
        <f>U40/U37-1</f>
        <v>9.2250179705008817E-2</v>
      </c>
      <c r="M40" s="190">
        <f>U40/U28-1</f>
        <v>3.1868628585215264</v>
      </c>
      <c r="N40" s="191">
        <f>AVERAGE(T38:T40)</f>
        <v>26.784191636860225</v>
      </c>
      <c r="O40" s="192">
        <f>N40/N37-1</f>
        <v>4.8297718715228033E-2</v>
      </c>
      <c r="P40" s="129" t="s">
        <v>778</v>
      </c>
      <c r="Q40" s="116">
        <v>7324518</v>
      </c>
      <c r="R40" s="116">
        <v>10430143790</v>
      </c>
      <c r="S40" s="116">
        <v>295144.89</v>
      </c>
      <c r="T40" s="130">
        <f t="shared" si="1"/>
        <v>24.816685797948253</v>
      </c>
      <c r="U40" s="85">
        <f>Q38+Q39+Q40</f>
        <v>15843872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428022.83333333331</v>
      </c>
      <c r="G41" s="190">
        <f t="shared" si="2"/>
        <v>0.22717692822927038</v>
      </c>
      <c r="H41" s="190">
        <f t="shared" si="3"/>
        <v>3.4886827607422006</v>
      </c>
      <c r="I41" s="130">
        <f t="shared" si="0"/>
        <v>35.20323161586002</v>
      </c>
      <c r="J41" s="130">
        <f t="shared" si="4"/>
        <v>0.84022916833080119</v>
      </c>
      <c r="K41" s="193"/>
      <c r="L41" s="190"/>
      <c r="M41" s="190"/>
      <c r="N41" s="193"/>
      <c r="O41" s="193"/>
      <c r="P41" s="129" t="s">
        <v>792</v>
      </c>
      <c r="Q41" s="116">
        <v>7704411</v>
      </c>
      <c r="R41" s="116">
        <v>11269526817</v>
      </c>
      <c r="S41" s="116">
        <v>218855.22</v>
      </c>
      <c r="T41" s="130">
        <f t="shared" si="1"/>
        <v>35.20323161586002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476985.4</v>
      </c>
      <c r="G42" s="190">
        <f t="shared" si="2"/>
        <v>0.11439241753847251</v>
      </c>
      <c r="H42" s="190">
        <f t="shared" si="3"/>
        <v>2.3130076911069546</v>
      </c>
      <c r="I42" s="130">
        <f t="shared" si="0"/>
        <v>26.579532169755016</v>
      </c>
      <c r="J42" s="130">
        <f t="shared" si="4"/>
        <v>0.30342282098982865</v>
      </c>
      <c r="K42" s="193"/>
      <c r="L42" s="190"/>
      <c r="M42" s="190"/>
      <c r="N42" s="193"/>
      <c r="O42" s="193"/>
      <c r="P42" s="129" t="s">
        <v>826</v>
      </c>
      <c r="Q42" s="116">
        <v>9539708</v>
      </c>
      <c r="R42" s="116">
        <v>13765973864</v>
      </c>
      <c r="S42" s="116">
        <v>358911.81</v>
      </c>
      <c r="T42" s="130">
        <f t="shared" si="1"/>
        <v>26.579532169755016</v>
      </c>
      <c r="U42" s="78"/>
    </row>
    <row r="43" spans="1:21" s="79" customFormat="1" ht="13.2">
      <c r="A43" s="129" t="s">
        <v>835</v>
      </c>
      <c r="B43" s="188">
        <f>SUM(F41:F43)</f>
        <v>1765279.9333333333</v>
      </c>
      <c r="C43" s="188">
        <f>AVERAGE(F41:F43)</f>
        <v>588426.64444444445</v>
      </c>
      <c r="D43" s="190">
        <f>C43/C40-1</f>
        <v>1.3216275880778374</v>
      </c>
      <c r="E43" s="287">
        <f>C43/C31-1</f>
        <v>2.2817145029574908</v>
      </c>
      <c r="F43" s="136">
        <f>Q43/20</f>
        <v>860271.7</v>
      </c>
      <c r="G43" s="190">
        <f t="shared" si="2"/>
        <v>0.80355981545766375</v>
      </c>
      <c r="H43" s="190">
        <f t="shared" si="3"/>
        <v>1.8811676028620381</v>
      </c>
      <c r="I43" s="130">
        <f t="shared" si="0"/>
        <v>27.481016375525382</v>
      </c>
      <c r="J43" s="130">
        <f t="shared" si="4"/>
        <v>7.4083857052176683E-2</v>
      </c>
      <c r="K43" s="136">
        <f>R41+R42+R43</f>
        <v>50003012903</v>
      </c>
      <c r="L43" s="190">
        <f>U43/U40-1</f>
        <v>1.1743140186944201</v>
      </c>
      <c r="M43" s="190">
        <f>K43/K31-1</f>
        <v>2.4851275060869931</v>
      </c>
      <c r="N43" s="191">
        <f>AVERAGE(T41:T43)</f>
        <v>29.754593387046807</v>
      </c>
      <c r="O43" s="192">
        <f>N43/N40-1</f>
        <v>0.11090130291999301</v>
      </c>
      <c r="P43" s="129" t="s">
        <v>835</v>
      </c>
      <c r="Q43" s="116">
        <v>17205434</v>
      </c>
      <c r="R43" s="116">
        <v>24967512222</v>
      </c>
      <c r="S43" s="116">
        <v>626084.34</v>
      </c>
      <c r="T43" s="130">
        <f t="shared" si="1"/>
        <v>27.481016375525382</v>
      </c>
      <c r="U43" s="85">
        <f>Q41+Q42+Q43</f>
        <v>34449553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596867.72727272729</v>
      </c>
      <c r="G44" s="190">
        <f t="shared" si="2"/>
        <v>-0.30618695550170105</v>
      </c>
      <c r="H44" s="190">
        <f t="shared" si="3"/>
        <v>0.745575075279866</v>
      </c>
      <c r="I44" s="130">
        <f t="shared" si="0"/>
        <v>31.109696667966073</v>
      </c>
      <c r="J44" s="130">
        <f t="shared" si="4"/>
        <v>2.5525574384984262E-2</v>
      </c>
      <c r="K44" s="136"/>
      <c r="L44" s="190"/>
      <c r="M44" s="190"/>
      <c r="N44" s="191"/>
      <c r="O44" s="192"/>
      <c r="P44" s="129" t="s">
        <v>838</v>
      </c>
      <c r="Q44" s="116">
        <v>13131090</v>
      </c>
      <c r="R44" s="116">
        <v>19125711641</v>
      </c>
      <c r="S44" s="116">
        <v>422089.94</v>
      </c>
      <c r="T44" s="130">
        <f t="shared" si="1"/>
        <v>31.109696667966073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669409.94999999995</v>
      </c>
      <c r="G45" s="190">
        <f t="shared" si="2"/>
        <v>0.12153818913738301</v>
      </c>
      <c r="H45" s="190">
        <f t="shared" si="3"/>
        <v>2.7936008258826952</v>
      </c>
      <c r="I45" s="130">
        <f t="shared" si="0"/>
        <v>32.085584988713293</v>
      </c>
      <c r="J45" s="130">
        <f t="shared" si="4"/>
        <v>0.42501317808310679</v>
      </c>
      <c r="K45" s="136"/>
      <c r="L45" s="190"/>
      <c r="M45" s="190"/>
      <c r="N45" s="191"/>
      <c r="O45" s="192"/>
      <c r="P45" s="129" t="s">
        <v>853</v>
      </c>
      <c r="Q45" s="116">
        <v>13388199</v>
      </c>
      <c r="R45" s="116">
        <v>18773853498</v>
      </c>
      <c r="S45" s="116">
        <v>417265.23</v>
      </c>
      <c r="T45" s="130">
        <f t="shared" si="1"/>
        <v>32.085584988713293</v>
      </c>
      <c r="U45" s="85"/>
    </row>
    <row r="46" spans="1:21" s="79" customFormat="1" ht="13.2">
      <c r="A46" s="129" t="s">
        <v>893</v>
      </c>
      <c r="B46" s="188">
        <f>SUM(F44:F46)</f>
        <v>2523796.6772727272</v>
      </c>
      <c r="C46" s="188">
        <f>AVERAGE(F44:F46)</f>
        <v>841265.55909090908</v>
      </c>
      <c r="D46" s="189">
        <f>C46/C43-1</f>
        <v>0.42968637982934865</v>
      </c>
      <c r="E46" s="287">
        <f>C46/C34-1</f>
        <v>2.0846101419563747</v>
      </c>
      <c r="F46" s="136">
        <f>Q46/19</f>
        <v>1257519</v>
      </c>
      <c r="G46" s="190">
        <f t="shared" si="2"/>
        <v>0.87854841416683471</v>
      </c>
      <c r="H46" s="190">
        <f t="shared" si="3"/>
        <v>3.1945219326688674</v>
      </c>
      <c r="I46" s="130">
        <f t="shared" si="0"/>
        <v>36.692089596789934</v>
      </c>
      <c r="J46" s="130">
        <f t="shared" si="4"/>
        <v>0.38306184086048756</v>
      </c>
      <c r="K46" s="136">
        <f>R44+R45+R46</f>
        <v>70624467389</v>
      </c>
      <c r="L46" s="190">
        <f>U46/U43-1</f>
        <v>0.46336151299263584</v>
      </c>
      <c r="M46" s="190">
        <f>K46/K34-1</f>
        <v>2.118676390824652</v>
      </c>
      <c r="N46" s="191">
        <f>AVERAGE(T44:T46)</f>
        <v>33.295790417823099</v>
      </c>
      <c r="O46" s="192">
        <f>N46/N43-1</f>
        <v>0.11901345734127555</v>
      </c>
      <c r="P46" s="129" t="s">
        <v>888</v>
      </c>
      <c r="Q46" s="116">
        <v>23892861</v>
      </c>
      <c r="R46" s="116">
        <v>32724902250</v>
      </c>
      <c r="S46" s="116">
        <v>651171.99</v>
      </c>
      <c r="T46" s="130">
        <f t="shared" si="1"/>
        <v>36.692089596789934</v>
      </c>
      <c r="U46" s="85">
        <f t="shared" ref="U46:U51" si="5">Q44+Q45+Q46</f>
        <v>50412150</v>
      </c>
    </row>
    <row r="47" spans="1:21" s="79" customFormat="1" ht="13.2">
      <c r="A47" s="129" t="s">
        <v>1027</v>
      </c>
      <c r="B47" s="188"/>
      <c r="C47" s="188"/>
      <c r="D47" s="189"/>
      <c r="E47" s="287"/>
      <c r="F47" s="136">
        <f>Q47/23</f>
        <v>472241.86956521741</v>
      </c>
      <c r="G47" s="190">
        <f t="shared" ref="G47" si="6">F47/F46-1</f>
        <v>-0.62446541995372051</v>
      </c>
      <c r="H47" s="190">
        <f t="shared" ref="H47" si="7">F47/F35-1</f>
        <v>1.2850611744449956</v>
      </c>
      <c r="I47" s="130">
        <f t="shared" si="0"/>
        <v>30.773483907911444</v>
      </c>
      <c r="J47" s="130">
        <f t="shared" si="4"/>
        <v>0.28138515294061128</v>
      </c>
      <c r="K47" s="136"/>
      <c r="L47" s="190"/>
      <c r="M47" s="190"/>
      <c r="N47" s="191"/>
      <c r="O47" s="192"/>
      <c r="P47" s="129" t="s">
        <v>991</v>
      </c>
      <c r="Q47" s="116">
        <v>10861563</v>
      </c>
      <c r="R47" s="116">
        <v>14913095826</v>
      </c>
      <c r="S47" s="116">
        <v>352952.01</v>
      </c>
      <c r="T47" s="130">
        <f t="shared" ref="T47" si="8">Q47/S47</f>
        <v>30.773483907911444</v>
      </c>
      <c r="U47" s="85">
        <f t="shared" si="5"/>
        <v>48142623</v>
      </c>
    </row>
    <row r="48" spans="1:21" s="79" customFormat="1" ht="13.2">
      <c r="A48" s="129" t="s">
        <v>1070</v>
      </c>
      <c r="B48" s="188"/>
      <c r="C48" s="188"/>
      <c r="D48" s="189"/>
      <c r="E48" s="287"/>
      <c r="F48" s="136">
        <f>Q48/20</f>
        <v>365818.7</v>
      </c>
      <c r="G48" s="190">
        <f t="shared" ref="G48" si="9">F48/F47-1</f>
        <v>-0.22535733577202466</v>
      </c>
      <c r="H48" s="190">
        <f t="shared" ref="H48" si="10">F48/F36-1</f>
        <v>0.46950550333413688</v>
      </c>
      <c r="I48" s="130">
        <f t="shared" si="0"/>
        <v>24.91935767610326</v>
      </c>
      <c r="J48" s="130">
        <f t="shared" si="4"/>
        <v>-2.0189411684274905E-3</v>
      </c>
      <c r="K48" s="136"/>
      <c r="L48" s="190"/>
      <c r="M48" s="190"/>
      <c r="N48" s="191"/>
      <c r="O48" s="192"/>
      <c r="P48" s="129" t="s">
        <v>1153</v>
      </c>
      <c r="Q48" s="116">
        <v>7316374</v>
      </c>
      <c r="R48" s="116">
        <v>10154027494</v>
      </c>
      <c r="S48" s="116">
        <v>293602.03000000003</v>
      </c>
      <c r="T48" s="130">
        <f t="shared" ref="T48" si="11">Q48/S48</f>
        <v>24.91935767610326</v>
      </c>
      <c r="U48" s="85">
        <f t="shared" si="5"/>
        <v>42070798</v>
      </c>
    </row>
    <row r="49" spans="1:26" ht="13.2">
      <c r="A49" s="129" t="s">
        <v>1158</v>
      </c>
      <c r="B49" s="188">
        <f>SUM(F47:F49)</f>
        <v>1218268.0241106721</v>
      </c>
      <c r="C49" s="188">
        <f>AVERAGE(F47:F49)</f>
        <v>406089.34137022402</v>
      </c>
      <c r="D49" s="189">
        <f>C49/C46-1</f>
        <v>-0.51728757111006241</v>
      </c>
      <c r="E49" s="287">
        <f>C49/C37-1</f>
        <v>0.723209244359309</v>
      </c>
      <c r="F49" s="136">
        <f>Q49/22</f>
        <v>380207.45454545453</v>
      </c>
      <c r="G49" s="190">
        <f t="shared" ref="G49" si="12">F49/F48-1</f>
        <v>3.9333020825492282E-2</v>
      </c>
      <c r="H49" s="190">
        <f t="shared" ref="H49" si="13">F49/F37-1</f>
        <v>0.51253273582982728</v>
      </c>
      <c r="I49" s="130">
        <f t="shared" si="0"/>
        <v>22.919877740397112</v>
      </c>
      <c r="J49" s="130">
        <f t="shared" si="4"/>
        <v>-0.17151968101925441</v>
      </c>
      <c r="K49" s="136">
        <f>R47+R48+R49</f>
        <v>36693951431</v>
      </c>
      <c r="L49" s="190">
        <f>U49/U46-1</f>
        <v>-0.47349000191422108</v>
      </c>
      <c r="M49" s="190">
        <f>K49/K37-1</f>
        <v>0.8577658556368406</v>
      </c>
      <c r="N49" s="191">
        <f>AVERAGE(T47:T49)</f>
        <v>26.204239774803938</v>
      </c>
      <c r="O49" s="192">
        <f>N49/N46-1</f>
        <v>-0.21298640320678752</v>
      </c>
      <c r="P49" s="129" t="s">
        <v>1198</v>
      </c>
      <c r="Q49" s="116">
        <v>8364564</v>
      </c>
      <c r="R49" s="116">
        <v>11626828111</v>
      </c>
      <c r="S49" s="116">
        <v>364948.02</v>
      </c>
      <c r="T49" s="130">
        <f t="shared" ref="T49" si="14">Q49/S49</f>
        <v>22.919877740397112</v>
      </c>
      <c r="U49" s="85">
        <f t="shared" si="5"/>
        <v>26542501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757214.11111111112</v>
      </c>
      <c r="G50" s="190">
        <f t="shared" ref="G50" si="15">F50/F49-1</f>
        <v>0.99158144338957133</v>
      </c>
      <c r="H50" s="190">
        <f t="shared" ref="H50" si="16">F50/F38-1</f>
        <v>5.1187560467133197</v>
      </c>
      <c r="I50" s="130">
        <f t="shared" ref="I50" si="17">T50</f>
        <v>30.423329653700453</v>
      </c>
      <c r="J50" s="130">
        <f t="shared" ref="J50" si="18">I50/I38-1</f>
        <v>4.1507475884481559E-2</v>
      </c>
      <c r="K50" s="136"/>
      <c r="L50" s="190"/>
      <c r="M50" s="190"/>
      <c r="N50" s="191"/>
      <c r="O50" s="192"/>
      <c r="P50" s="129" t="s">
        <v>1291</v>
      </c>
      <c r="Q50" s="116">
        <v>13629854</v>
      </c>
      <c r="R50" s="116">
        <v>19276914839</v>
      </c>
      <c r="S50" s="116">
        <v>448006.65</v>
      </c>
      <c r="T50" s="130">
        <f t="shared" ref="T50" si="19">Q50/S50</f>
        <v>30.423329653700453</v>
      </c>
      <c r="U50" s="85">
        <f t="shared" si="5"/>
        <v>29310792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1126497.8500000001</v>
      </c>
      <c r="G51" s="190">
        <f t="shared" ref="G51:G52" si="20">F51/F50-1</f>
        <v>0.48768734426649041</v>
      </c>
      <c r="H51" s="190">
        <f t="shared" ref="H51:H52" si="21">F51/F39-1</f>
        <v>2.9138484885334024</v>
      </c>
      <c r="I51" s="130">
        <f t="shared" ref="I51:I52" si="22">T51</f>
        <v>31.743304467676449</v>
      </c>
      <c r="J51" s="130">
        <f t="shared" ref="J51:J52" si="23">I51/I39-1</f>
        <v>0.20582222382761417</v>
      </c>
      <c r="K51" s="136"/>
      <c r="L51" s="190"/>
      <c r="M51" s="190"/>
      <c r="N51" s="191"/>
      <c r="O51" s="192"/>
      <c r="P51" s="129" t="s">
        <v>1402</v>
      </c>
      <c r="Q51" s="116">
        <v>22529957</v>
      </c>
      <c r="R51" s="116">
        <v>32633482243</v>
      </c>
      <c r="S51" s="116">
        <v>709754.62</v>
      </c>
      <c r="T51" s="130">
        <f t="shared" ref="T51:T52" si="24">Q51/S51</f>
        <v>31.743304467676449</v>
      </c>
      <c r="U51" s="85">
        <f t="shared" si="5"/>
        <v>44524375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2657580.4611111111</v>
      </c>
      <c r="C52" s="188">
        <f>AVERAGE(F50:F52)</f>
        <v>885860.15370370366</v>
      </c>
      <c r="D52" s="190">
        <f>C52/C49-1</f>
        <v>1.181441528887806</v>
      </c>
      <c r="E52" s="287">
        <f>C52/C40-1</f>
        <v>2.4951465767821235</v>
      </c>
      <c r="F52" s="136">
        <f>Q52/22</f>
        <v>773868.5</v>
      </c>
      <c r="G52" s="190">
        <f t="shared" si="20"/>
        <v>-0.31303153397052652</v>
      </c>
      <c r="H52" s="190">
        <f t="shared" si="21"/>
        <v>1.2187451105997691</v>
      </c>
      <c r="I52" s="130">
        <f t="shared" si="22"/>
        <v>28.336375916971431</v>
      </c>
      <c r="J52" s="130">
        <f t="shared" si="23"/>
        <v>0.14182756503747851</v>
      </c>
      <c r="K52" s="136">
        <f>R50+R51+R52</f>
        <v>76958252201</v>
      </c>
      <c r="L52" s="190">
        <f>U52/U49-1</f>
        <v>1.0037643777427001</v>
      </c>
      <c r="M52" s="190">
        <f>K52/K40-1</f>
        <v>2.4708212725167993</v>
      </c>
      <c r="N52" s="191">
        <f>AVERAGE(T50:T52)</f>
        <v>30.167670012782779</v>
      </c>
      <c r="O52" s="192">
        <f>N52/N49-1</f>
        <v>0.15125148724176252</v>
      </c>
      <c r="P52" s="129" t="s">
        <v>1403</v>
      </c>
      <c r="Q52" s="116">
        <v>17025107</v>
      </c>
      <c r="R52" s="116">
        <v>25047855119</v>
      </c>
      <c r="S52" s="116">
        <v>600821.61</v>
      </c>
      <c r="T52" s="130">
        <f t="shared" si="24"/>
        <v>28.336375916971431</v>
      </c>
      <c r="U52" s="85">
        <f t="shared" ref="U52" si="25">Q50+Q51+Q52</f>
        <v>53184918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665230.23809523811</v>
      </c>
      <c r="G53" s="190">
        <f t="shared" ref="G53" si="26">F53/F52-1</f>
        <v>-0.14038336216652036</v>
      </c>
      <c r="H53" s="190">
        <f t="shared" ref="H53" si="27">F53/F41-1</f>
        <v>0.55419334271163456</v>
      </c>
      <c r="I53" s="130">
        <f t="shared" ref="I53" si="28">T53</f>
        <v>35.0486518415725</v>
      </c>
      <c r="J53" s="130">
        <f t="shared" ref="J53" si="29">I53/I41-1</f>
        <v>-4.3910677285058375E-3</v>
      </c>
      <c r="K53" s="136"/>
      <c r="L53" s="190"/>
      <c r="M53" s="190"/>
      <c r="N53" s="191"/>
      <c r="O53" s="192"/>
      <c r="P53" s="129" t="s">
        <v>1414</v>
      </c>
      <c r="Q53" s="116">
        <v>13969835</v>
      </c>
      <c r="R53" s="116">
        <v>20292282760</v>
      </c>
      <c r="S53" s="116">
        <v>398584.09</v>
      </c>
      <c r="T53" s="130">
        <f t="shared" ref="T53" si="30">Q53/S53</f>
        <v>35.0486518415725</v>
      </c>
      <c r="U53" s="85">
        <f t="shared" ref="U53" si="31">Q51+Q52+Q53</f>
        <v>53524899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1001093.9411764706</v>
      </c>
      <c r="G54" s="190">
        <f t="shared" ref="G54" si="32">F54/F53-1</f>
        <v>0.50488339802910209</v>
      </c>
      <c r="H54" s="190">
        <f t="shared" ref="H54" si="33">F54/F42-1</f>
        <v>1.0987936762351018</v>
      </c>
      <c r="I54" s="130">
        <f t="shared" ref="I54" si="34">T54</f>
        <v>31.809414052568961</v>
      </c>
      <c r="J54" s="130">
        <f t="shared" ref="J54" si="35">I54/I42-1</f>
        <v>0.19676350394026332</v>
      </c>
      <c r="K54" s="136"/>
      <c r="L54" s="190"/>
      <c r="M54" s="190"/>
      <c r="N54" s="191"/>
      <c r="O54" s="192"/>
      <c r="P54" s="129" t="s">
        <v>1417</v>
      </c>
      <c r="Q54" s="116">
        <v>17018597</v>
      </c>
      <c r="R54" s="116">
        <v>24652059291</v>
      </c>
      <c r="S54" s="116">
        <v>535017.62</v>
      </c>
      <c r="T54" s="130">
        <f t="shared" ref="T54" si="36">Q54/S54</f>
        <v>31.809414052568961</v>
      </c>
      <c r="U54" s="85">
        <f t="shared" ref="U54" si="37">Q52+Q53+Q54</f>
        <v>48013539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3342164.417366947</v>
      </c>
      <c r="C55" s="188">
        <f>AVERAGE(F53:F55)</f>
        <v>1114054.8057889824</v>
      </c>
      <c r="D55" s="190">
        <f>C55/C52-1</f>
        <v>0.257596699807771</v>
      </c>
      <c r="E55" s="287">
        <f>C55/C43-1</f>
        <v>0.89327729515172294</v>
      </c>
      <c r="F55" s="136">
        <f>Q55/21</f>
        <v>1675840.2380952381</v>
      </c>
      <c r="G55" s="190">
        <f t="shared" ref="G55" si="38">F55/F54-1</f>
        <v>0.67400897075235089</v>
      </c>
      <c r="H55" s="190">
        <f t="shared" ref="H55" si="39">F55/F43-1</f>
        <v>0.94803599618032086</v>
      </c>
      <c r="I55" s="130">
        <f>T55</f>
        <v>33.294889881525748</v>
      </c>
      <c r="J55" s="130">
        <f t="shared" ref="J55" si="40">I55/I43-1</f>
        <v>0.21155962452604937</v>
      </c>
      <c r="K55" s="136">
        <f>R53+R54+R55</f>
        <v>96925630948</v>
      </c>
      <c r="L55" s="190">
        <f>U55/U52-1</f>
        <v>0.24435797757552247</v>
      </c>
      <c r="M55" s="190">
        <f>K55/K43-1</f>
        <v>0.93839581498867664</v>
      </c>
      <c r="N55" s="191">
        <f>AVERAGE(T53:T55)</f>
        <v>33.38431859188907</v>
      </c>
      <c r="O55" s="192">
        <f>N55/N52-1</f>
        <v>0.10662568828627861</v>
      </c>
      <c r="P55" s="129" t="s">
        <v>1418</v>
      </c>
      <c r="Q55" s="116">
        <v>35192645</v>
      </c>
      <c r="R55" s="116">
        <v>51981288897</v>
      </c>
      <c r="S55" s="116">
        <v>1056998.3899999999</v>
      </c>
      <c r="T55" s="130">
        <f t="shared" ref="T55" si="41">Q55/S55</f>
        <v>33.294889881525748</v>
      </c>
      <c r="U55" s="85">
        <f t="shared" ref="U55" si="42">Q53+Q54+Q55</f>
        <v>66181077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1609210.3636363635</v>
      </c>
      <c r="G56" s="190">
        <f t="shared" ref="G56" si="43">F56/F55-1</f>
        <v>-3.9759084991661364E-2</v>
      </c>
      <c r="H56" s="190">
        <f t="shared" ref="H56" si="44">F56/F44-1</f>
        <v>1.6960920989803587</v>
      </c>
      <c r="I56" s="291">
        <f>T56</f>
        <v>31.696890347760792</v>
      </c>
      <c r="J56" s="130">
        <f t="shared" ref="J56" si="45">I56/I44-1</f>
        <v>1.8874940699738829E-2</v>
      </c>
      <c r="K56" s="136"/>
      <c r="L56" s="190"/>
      <c r="M56" s="190"/>
      <c r="N56" s="191"/>
      <c r="O56" s="192"/>
      <c r="P56" s="129" t="s">
        <v>1420</v>
      </c>
      <c r="Q56" s="116">
        <v>35402628</v>
      </c>
      <c r="R56" s="116">
        <v>52827917351</v>
      </c>
      <c r="S56" s="116">
        <v>1116911.71</v>
      </c>
      <c r="T56" s="130">
        <f t="shared" ref="T56" si="46">Q56/S56</f>
        <v>31.696890347760792</v>
      </c>
      <c r="U56" s="85">
        <f t="shared" ref="U56" si="47">Q54+Q55+Q56</f>
        <v>87613870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1655185.25</v>
      </c>
      <c r="G57" s="254">
        <f t="shared" ref="G57" si="48">F57/F56-1</f>
        <v>2.856984232921933E-2</v>
      </c>
      <c r="H57" s="254">
        <f t="shared" ref="H57" si="49">F57/F45-1</f>
        <v>1.4726032978744938</v>
      </c>
      <c r="I57" s="282">
        <f>T57</f>
        <v>25.49692875341816</v>
      </c>
      <c r="J57" s="277">
        <f t="shared" ref="J57" si="50">I57/I45-1</f>
        <v>-0.20534630232276629</v>
      </c>
      <c r="K57" s="204"/>
      <c r="L57" s="254"/>
      <c r="M57" s="254"/>
      <c r="N57" s="257"/>
      <c r="O57" s="258"/>
      <c r="P57" s="129" t="s">
        <v>1436</v>
      </c>
      <c r="Q57" s="116">
        <v>19862223</v>
      </c>
      <c r="R57" s="116">
        <v>29249263530</v>
      </c>
      <c r="S57" s="116">
        <v>779004.53</v>
      </c>
      <c r="T57" s="130">
        <f t="shared" ref="T57" si="51">Q57/S57</f>
        <v>25.49692875341816</v>
      </c>
      <c r="U57" s="85">
        <f t="shared" ref="U57" si="52">Q55+Q56+Q57</f>
        <v>90457496</v>
      </c>
      <c r="V57" s="79"/>
      <c r="W57" s="79"/>
      <c r="X57" s="79"/>
      <c r="Y57" s="79"/>
      <c r="Z57" s="79"/>
    </row>
    <row r="58" spans="1:26">
      <c r="B58" s="196">
        <f>SUM(F56:F58)</f>
        <v>3264395.6136363633</v>
      </c>
      <c r="C58" s="196">
        <f>AVERAGE(F56:F58)</f>
        <v>1632197.8068181816</v>
      </c>
      <c r="D58" s="197">
        <f>C58/C55-1</f>
        <v>0.46509650901981092</v>
      </c>
      <c r="E58" s="233">
        <f>C58/C46-1</f>
        <v>0.94016953289038985</v>
      </c>
    </row>
    <row r="65" spans="16:19">
      <c r="P65" s="266"/>
      <c r="Q65" s="266"/>
      <c r="R65" s="266"/>
      <c r="S65" s="266"/>
    </row>
    <row r="66" spans="16:19">
      <c r="P66" s="266" t="s">
        <v>971</v>
      </c>
      <c r="Q66" s="266" t="s">
        <v>9</v>
      </c>
      <c r="R66" s="266" t="s">
        <v>10</v>
      </c>
      <c r="S66" s="266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121445928</v>
      </c>
      <c r="R68" s="212">
        <v>179002811829</v>
      </c>
      <c r="S68" s="213">
        <v>3886516.35</v>
      </c>
    </row>
    <row r="69" spans="16:19" ht="18" thickBot="1">
      <c r="P69" s="180" t="s">
        <v>976</v>
      </c>
      <c r="Q69" s="181">
        <v>13969835</v>
      </c>
      <c r="R69" s="181">
        <v>20292282760</v>
      </c>
      <c r="S69" s="182">
        <v>398584.09</v>
      </c>
    </row>
    <row r="70" spans="16:19" ht="18" thickBot="1">
      <c r="P70" s="180" t="s">
        <v>977</v>
      </c>
      <c r="Q70" s="181">
        <v>17018597</v>
      </c>
      <c r="R70" s="181">
        <v>24652059291</v>
      </c>
      <c r="S70" s="182">
        <v>535017.62</v>
      </c>
    </row>
    <row r="71" spans="16:19" ht="18" thickBot="1">
      <c r="P71" s="180" t="s">
        <v>978</v>
      </c>
      <c r="Q71" s="181">
        <v>35192645</v>
      </c>
      <c r="R71" s="181">
        <v>51981288897</v>
      </c>
      <c r="S71" s="182">
        <v>1056998.3899999999</v>
      </c>
    </row>
    <row r="72" spans="16:19" ht="18" thickBot="1">
      <c r="P72" s="180" t="s">
        <v>979</v>
      </c>
      <c r="Q72" s="181">
        <v>35402628</v>
      </c>
      <c r="R72" s="181">
        <v>52827917351</v>
      </c>
      <c r="S72" s="182">
        <v>1116911.71</v>
      </c>
    </row>
    <row r="73" spans="16:19" ht="18" thickBot="1">
      <c r="P73" s="180" t="s">
        <v>980</v>
      </c>
      <c r="Q73" s="181">
        <v>19862223</v>
      </c>
      <c r="R73" s="181">
        <v>29249263530</v>
      </c>
      <c r="S73" s="182">
        <v>779004.53</v>
      </c>
    </row>
    <row r="74" spans="16:19" ht="18" thickBot="1">
      <c r="P74" s="180" t="s">
        <v>975</v>
      </c>
      <c r="Q74" s="181">
        <v>164588440</v>
      </c>
      <c r="R74" s="181">
        <v>234278706861</v>
      </c>
      <c r="S74" s="182">
        <v>5464463.6500000004</v>
      </c>
    </row>
    <row r="75" spans="16:19" ht="18" thickBot="1">
      <c r="P75" s="215" t="s">
        <v>982</v>
      </c>
      <c r="Q75" s="217" t="s">
        <v>1493</v>
      </c>
      <c r="R75"/>
      <c r="S75"/>
    </row>
  </sheetData>
  <phoneticPr fontId="1" type="noConversion"/>
  <conditionalFormatting sqref="C29:C30">
    <cfRule type="cellIs" dxfId="19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463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6351838.9000000004</v>
      </c>
      <c r="G5" s="90"/>
      <c r="H5" s="90"/>
      <c r="I5" s="130">
        <f t="shared" ref="I5:I49" si="0">T5</f>
        <v>34.289882836293948</v>
      </c>
      <c r="J5" s="130"/>
      <c r="K5" s="86"/>
      <c r="L5" s="80"/>
      <c r="M5" s="80"/>
      <c r="P5" s="129" t="s">
        <v>0</v>
      </c>
      <c r="Q5" s="116">
        <v>127036778</v>
      </c>
      <c r="R5" s="116">
        <v>149858850475</v>
      </c>
      <c r="S5" s="116">
        <v>3704788.92</v>
      </c>
      <c r="T5" s="130">
        <f t="shared" ref="T5:T29" si="1">Q5/S5</f>
        <v>34.289882836293948</v>
      </c>
      <c r="U5" s="85"/>
    </row>
    <row r="6" spans="1:21" ht="15" hidden="1" customHeight="1">
      <c r="A6" s="129" t="s">
        <v>1</v>
      </c>
      <c r="C6" s="79"/>
      <c r="F6" s="78">
        <f>Q6/18</f>
        <v>7594067.222222222</v>
      </c>
      <c r="G6" s="90">
        <f t="shared" ref="G6:G29" si="2">F6/F5-1</f>
        <v>0.1955698722494712</v>
      </c>
      <c r="H6" s="90"/>
      <c r="I6" s="130">
        <f t="shared" si="0"/>
        <v>32.69575282122512</v>
      </c>
      <c r="J6" s="130"/>
      <c r="K6" s="78"/>
      <c r="P6" s="129" t="s">
        <v>1</v>
      </c>
      <c r="Q6" s="116">
        <v>136693210</v>
      </c>
      <c r="R6" s="116">
        <v>162357802909</v>
      </c>
      <c r="S6" s="116">
        <v>4180763.5</v>
      </c>
      <c r="T6" s="130">
        <f t="shared" si="1"/>
        <v>32.69575282122512</v>
      </c>
      <c r="U6" s="85"/>
    </row>
    <row r="7" spans="1:21" ht="15" hidden="1" customHeight="1">
      <c r="A7" s="129" t="s">
        <v>2</v>
      </c>
      <c r="B7" s="131">
        <f>F5+F6+F7</f>
        <v>21583072.940404043</v>
      </c>
      <c r="C7" s="131">
        <f>AVERAGE(F5:F7)</f>
        <v>7194357.6468013478</v>
      </c>
      <c r="F7" s="78">
        <f>Q7/22</f>
        <v>7637166.8181818184</v>
      </c>
      <c r="G7" s="90">
        <f t="shared" si="2"/>
        <v>5.6754298715548934E-3</v>
      </c>
      <c r="H7" s="90"/>
      <c r="I7" s="130">
        <f t="shared" si="0"/>
        <v>32.937311720451291</v>
      </c>
      <c r="J7" s="130"/>
      <c r="K7" s="85">
        <f>R5+R6+R7</f>
        <v>514599247000</v>
      </c>
      <c r="N7" s="88">
        <f>AVERAGE(T5:T7)</f>
        <v>33.307649125990118</v>
      </c>
      <c r="P7" s="129" t="s">
        <v>2</v>
      </c>
      <c r="Q7" s="116">
        <v>168017670</v>
      </c>
      <c r="R7" s="116">
        <v>202382593616</v>
      </c>
      <c r="S7" s="116">
        <v>5101134.8899999997</v>
      </c>
      <c r="T7" s="130">
        <f t="shared" si="1"/>
        <v>32.937311720451291</v>
      </c>
      <c r="U7" s="85">
        <f>Q5+Q6+Q7</f>
        <v>431747658</v>
      </c>
    </row>
    <row r="8" spans="1:21" ht="15" hidden="1" customHeight="1">
      <c r="A8" s="129" t="s">
        <v>3</v>
      </c>
      <c r="C8" s="79"/>
      <c r="F8" s="78">
        <f>Q8/21</f>
        <v>8897832.3809523806</v>
      </c>
      <c r="G8" s="90">
        <f t="shared" si="2"/>
        <v>0.1650697952242306</v>
      </c>
      <c r="H8" s="90"/>
      <c r="I8" s="130">
        <f t="shared" si="0"/>
        <v>36.420910950692154</v>
      </c>
      <c r="J8" s="130"/>
      <c r="K8" s="78"/>
      <c r="P8" s="129" t="s">
        <v>3</v>
      </c>
      <c r="Q8" s="116">
        <v>186854480</v>
      </c>
      <c r="R8" s="116">
        <v>226619961089</v>
      </c>
      <c r="S8" s="116">
        <v>5130417.53</v>
      </c>
      <c r="T8" s="130">
        <f t="shared" si="1"/>
        <v>36.420910950692154</v>
      </c>
      <c r="U8" s="85"/>
    </row>
    <row r="9" spans="1:21" ht="15" hidden="1" customHeight="1">
      <c r="A9" s="129" t="s">
        <v>4</v>
      </c>
      <c r="C9" s="79"/>
      <c r="F9" s="78">
        <f>Q9/21</f>
        <v>12624447.523809524</v>
      </c>
      <c r="G9" s="90">
        <f t="shared" si="2"/>
        <v>0.41882280799475624</v>
      </c>
      <c r="H9" s="90"/>
      <c r="I9" s="130">
        <f t="shared" si="0"/>
        <v>41.979684547465411</v>
      </c>
      <c r="J9" s="130"/>
      <c r="K9" s="78"/>
      <c r="P9" s="129" t="s">
        <v>4</v>
      </c>
      <c r="Q9" s="116">
        <v>265113398</v>
      </c>
      <c r="R9" s="116">
        <v>332702883515</v>
      </c>
      <c r="S9" s="116">
        <v>6315278.4699999997</v>
      </c>
      <c r="T9" s="130">
        <f t="shared" si="1"/>
        <v>41.979684547465411</v>
      </c>
      <c r="U9" s="85"/>
    </row>
    <row r="10" spans="1:21" ht="15" hidden="1" customHeight="1">
      <c r="A10" s="129" t="s">
        <v>5</v>
      </c>
      <c r="B10" s="131">
        <f>F8+F9+F10</f>
        <v>27882668.714285713</v>
      </c>
      <c r="C10" s="131">
        <f>AVERAGE(F8:F10)</f>
        <v>9294222.9047619049</v>
      </c>
      <c r="D10" s="90">
        <f>C10/C7-1</f>
        <v>0.2918766846257872</v>
      </c>
      <c r="E10" s="286"/>
      <c r="F10" s="78">
        <f>Q10/21</f>
        <v>6360388.8095238097</v>
      </c>
      <c r="G10" s="90">
        <f t="shared" si="2"/>
        <v>-0.49618477976733566</v>
      </c>
      <c r="H10" s="90"/>
      <c r="I10" s="130">
        <f t="shared" si="0"/>
        <v>30.958878071744909</v>
      </c>
      <c r="J10" s="130"/>
      <c r="K10" s="85">
        <f>R8+R9+R10</f>
        <v>727506329377</v>
      </c>
      <c r="L10" s="87">
        <f>U10/U7-1</f>
        <v>0.35619969709250854</v>
      </c>
      <c r="N10" s="88">
        <f>AVERAGE(T8:T10)</f>
        <v>36.453157856634157</v>
      </c>
      <c r="O10" s="89">
        <f>N10/N7-1</f>
        <v>9.4438028896779214E-2</v>
      </c>
      <c r="P10" s="129" t="s">
        <v>5</v>
      </c>
      <c r="Q10" s="116">
        <v>133568165</v>
      </c>
      <c r="R10" s="116">
        <v>168183484773</v>
      </c>
      <c r="S10" s="116">
        <v>4314373.5599999996</v>
      </c>
      <c r="T10" s="130">
        <f t="shared" si="1"/>
        <v>30.958878071744909</v>
      </c>
      <c r="U10" s="85">
        <f>Q8+Q9+Q10</f>
        <v>585536043</v>
      </c>
    </row>
    <row r="11" spans="1:21" ht="15" hidden="1" customHeight="1">
      <c r="A11" s="129" t="s">
        <v>6</v>
      </c>
      <c r="C11" s="79"/>
      <c r="F11" s="78">
        <f>Q11/21</f>
        <v>6753373.1904761903</v>
      </c>
      <c r="G11" s="90">
        <f t="shared" si="2"/>
        <v>6.17862197927177E-2</v>
      </c>
      <c r="H11" s="90"/>
      <c r="I11" s="130">
        <f t="shared" si="0"/>
        <v>32.321007609100157</v>
      </c>
      <c r="J11" s="130"/>
      <c r="K11" s="78"/>
      <c r="O11" s="89"/>
      <c r="P11" s="129" t="s">
        <v>6</v>
      </c>
      <c r="Q11" s="116">
        <v>141820837</v>
      </c>
      <c r="R11" s="116">
        <v>183099016338</v>
      </c>
      <c r="S11" s="116">
        <v>4387884.1500000004</v>
      </c>
      <c r="T11" s="130">
        <f t="shared" si="1"/>
        <v>32.321007609100157</v>
      </c>
      <c r="U11" s="85"/>
    </row>
    <row r="12" spans="1:21" ht="15" hidden="1" customHeight="1">
      <c r="A12" s="129" t="s">
        <v>7</v>
      </c>
      <c r="C12" s="79"/>
      <c r="F12" s="78">
        <f>Q12/22</f>
        <v>6222617.1818181816</v>
      </c>
      <c r="G12" s="90">
        <f t="shared" si="2"/>
        <v>-7.8591245247115471E-2</v>
      </c>
      <c r="H12" s="90"/>
      <c r="I12" s="130">
        <f t="shared" si="0"/>
        <v>36.1110101635036</v>
      </c>
      <c r="J12" s="130"/>
      <c r="K12" s="78"/>
      <c r="O12" s="89"/>
      <c r="P12" s="129" t="s">
        <v>7</v>
      </c>
      <c r="Q12" s="116">
        <v>136897578</v>
      </c>
      <c r="R12" s="116">
        <v>178122725443</v>
      </c>
      <c r="S12" s="116">
        <v>3791020.45</v>
      </c>
      <c r="T12" s="130">
        <f t="shared" si="1"/>
        <v>36.1110101635036</v>
      </c>
      <c r="U12" s="85"/>
    </row>
    <row r="13" spans="1:21" ht="15" hidden="1" customHeight="1">
      <c r="A13" s="129" t="s">
        <v>96</v>
      </c>
      <c r="B13" s="131">
        <f>F11+F12+F13</f>
        <v>23051466.672294371</v>
      </c>
      <c r="C13" s="131">
        <f>AVERAGE(F11:F13)</f>
        <v>7683822.2240981236</v>
      </c>
      <c r="D13" s="90">
        <f>C13/C10-1</f>
        <v>-0.17326899700659115</v>
      </c>
      <c r="E13" s="286"/>
      <c r="F13" s="78">
        <f>Q13/20</f>
        <v>10075476.300000001</v>
      </c>
      <c r="G13" s="90">
        <f t="shared" si="2"/>
        <v>0.61917019890592973</v>
      </c>
      <c r="H13" s="90"/>
      <c r="I13" s="130">
        <f t="shared" si="0"/>
        <v>35.999013977345435</v>
      </c>
      <c r="J13" s="130"/>
      <c r="K13" s="78">
        <f>R11+R12+R13</f>
        <v>636536124272</v>
      </c>
      <c r="L13" s="87">
        <f>U13/U10-1</f>
        <v>-0.1798490515809289</v>
      </c>
      <c r="N13" s="88">
        <f>AVERAGE(T11:T13)</f>
        <v>34.810343916649735</v>
      </c>
      <c r="O13" s="89">
        <f>N13/N10-1</f>
        <v>-4.5066436944788402E-2</v>
      </c>
      <c r="P13" s="129" t="s">
        <v>96</v>
      </c>
      <c r="Q13" s="116">
        <v>201509526</v>
      </c>
      <c r="R13" s="116">
        <v>275314382491</v>
      </c>
      <c r="S13" s="116">
        <v>5597640.1500000004</v>
      </c>
      <c r="T13" s="130">
        <f t="shared" si="1"/>
        <v>35.999013977345435</v>
      </c>
      <c r="U13" s="85">
        <f>Q11+Q12+Q13</f>
        <v>480227941</v>
      </c>
    </row>
    <row r="14" spans="1:21" ht="15" hidden="1" customHeight="1">
      <c r="A14" s="129" t="s">
        <v>97</v>
      </c>
      <c r="C14" s="79"/>
      <c r="F14" s="78">
        <f>Q14/20</f>
        <v>10121412.1</v>
      </c>
      <c r="G14" s="90">
        <f t="shared" si="2"/>
        <v>4.5591690786865868E-3</v>
      </c>
      <c r="H14" s="90"/>
      <c r="I14" s="130">
        <f t="shared" si="0"/>
        <v>43.959298352603007</v>
      </c>
      <c r="J14" s="130"/>
      <c r="K14" s="78"/>
      <c r="O14" s="89"/>
      <c r="P14" s="129" t="s">
        <v>97</v>
      </c>
      <c r="Q14" s="116">
        <v>202428242</v>
      </c>
      <c r="R14" s="116">
        <v>288513007618</v>
      </c>
      <c r="S14" s="116">
        <v>4604901.57</v>
      </c>
      <c r="T14" s="130">
        <f t="shared" si="1"/>
        <v>43.959298352603007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6430357.5909090908</v>
      </c>
      <c r="G15" s="90">
        <f t="shared" si="2"/>
        <v>-0.36467782090316325</v>
      </c>
      <c r="H15" s="90"/>
      <c r="I15" s="130">
        <f t="shared" si="0"/>
        <v>35.725248930290192</v>
      </c>
      <c r="J15" s="130"/>
      <c r="K15" s="78"/>
      <c r="O15" s="89"/>
      <c r="P15" s="129" t="s">
        <v>98</v>
      </c>
      <c r="Q15" s="116">
        <v>141467867</v>
      </c>
      <c r="R15" s="116">
        <v>195871019673</v>
      </c>
      <c r="S15" s="116">
        <v>3959884.71</v>
      </c>
      <c r="T15" s="130">
        <f t="shared" si="1"/>
        <v>35.725248930290192</v>
      </c>
      <c r="U15" s="85"/>
    </row>
    <row r="16" spans="1:21" ht="15" hidden="1" customHeight="1">
      <c r="A16" s="129" t="s">
        <v>99</v>
      </c>
      <c r="B16" s="131">
        <f>F14+F15+F16</f>
        <v>21329029.054545455</v>
      </c>
      <c r="C16" s="131">
        <f>AVERAGE(F14:F16)</f>
        <v>7109676.3515151516</v>
      </c>
      <c r="D16" s="90">
        <f>C16/C13-1</f>
        <v>-7.4721389412462869E-2</v>
      </c>
      <c r="E16" s="286"/>
      <c r="F16" s="78">
        <f>Q16/22</f>
        <v>4777259.3636363633</v>
      </c>
      <c r="G16" s="90">
        <f t="shared" si="2"/>
        <v>-0.25707718488467779</v>
      </c>
      <c r="H16" s="90"/>
      <c r="I16" s="130">
        <f t="shared" si="0"/>
        <v>29.836933463253526</v>
      </c>
      <c r="J16" s="130"/>
      <c r="K16" s="78">
        <f>R14+R15+R16</f>
        <v>622149588879</v>
      </c>
      <c r="L16" s="87">
        <f>U16/U13-1</f>
        <v>-6.5036045039286838E-2</v>
      </c>
      <c r="N16" s="88">
        <f>AVERAGE(T14:T16)</f>
        <v>36.507160248715572</v>
      </c>
      <c r="O16" s="89">
        <f>N16/N13-1</f>
        <v>4.8744601206144766E-2</v>
      </c>
      <c r="P16" s="129" t="s">
        <v>99</v>
      </c>
      <c r="Q16" s="116">
        <v>105099706</v>
      </c>
      <c r="R16" s="116">
        <v>137765561588</v>
      </c>
      <c r="S16" s="116">
        <v>3522470.1</v>
      </c>
      <c r="T16" s="130">
        <f t="shared" si="1"/>
        <v>29.836933463253526</v>
      </c>
      <c r="U16" s="85">
        <f>Q14+Q15+Q16</f>
        <v>448995815</v>
      </c>
    </row>
    <row r="17" spans="1:21" ht="15" hidden="1" customHeight="1">
      <c r="A17" s="129" t="s">
        <v>100</v>
      </c>
      <c r="C17" s="79"/>
      <c r="F17" s="78">
        <f>Q17/20</f>
        <v>3134340</v>
      </c>
      <c r="G17" s="90">
        <f t="shared" si="2"/>
        <v>-0.34390415897072057</v>
      </c>
      <c r="H17" s="90">
        <f t="shared" ref="H17:H29" si="3">F17/F5-1</f>
        <v>-0.5065460492078917</v>
      </c>
      <c r="I17" s="130">
        <f t="shared" si="0"/>
        <v>23.041472282990924</v>
      </c>
      <c r="J17" s="130">
        <f t="shared" ref="J17:J49" si="4">I17/I5-1</f>
        <v>-0.3280387572919089</v>
      </c>
      <c r="K17" s="78"/>
      <c r="O17" s="89"/>
      <c r="P17" s="129" t="s">
        <v>100</v>
      </c>
      <c r="Q17" s="116">
        <v>62686800</v>
      </c>
      <c r="R17" s="116">
        <v>79035633475</v>
      </c>
      <c r="S17" s="116">
        <v>2720607.4</v>
      </c>
      <c r="T17" s="130">
        <f t="shared" si="1"/>
        <v>23.041472282990924</v>
      </c>
      <c r="U17" s="78"/>
    </row>
    <row r="18" spans="1:21" ht="15" hidden="1" customHeight="1">
      <c r="A18" s="129" t="s">
        <v>106</v>
      </c>
      <c r="C18" s="79"/>
      <c r="F18" s="78">
        <f>Q18/20</f>
        <v>5615758.7000000002</v>
      </c>
      <c r="G18" s="90">
        <f t="shared" si="2"/>
        <v>0.79168778754059876</v>
      </c>
      <c r="H18" s="90">
        <f t="shared" si="3"/>
        <v>-0.26050711224061529</v>
      </c>
      <c r="I18" s="130">
        <f t="shared" si="0"/>
        <v>24.087797807739491</v>
      </c>
      <c r="J18" s="130">
        <f t="shared" si="4"/>
        <v>-0.26327440938743574</v>
      </c>
      <c r="K18" s="78"/>
      <c r="O18" s="89"/>
      <c r="P18" s="129" t="s">
        <v>106</v>
      </c>
      <c r="Q18" s="116">
        <v>112315174</v>
      </c>
      <c r="R18" s="116">
        <v>140885187065</v>
      </c>
      <c r="S18" s="116">
        <v>4662741.4800000004</v>
      </c>
      <c r="T18" s="130">
        <f t="shared" si="1"/>
        <v>24.087797807739491</v>
      </c>
      <c r="U18" s="78"/>
    </row>
    <row r="19" spans="1:21" hidden="1">
      <c r="A19" s="129" t="s">
        <v>114</v>
      </c>
      <c r="B19" s="131">
        <f>SUM(F17:F19)</f>
        <v>15672208.063636363</v>
      </c>
      <c r="C19" s="131">
        <f>AVERAGE(F17:F19)</f>
        <v>5224069.3545454545</v>
      </c>
      <c r="D19" s="90">
        <f>C19/C16-1</f>
        <v>-0.26521699494349738</v>
      </c>
      <c r="E19" s="286">
        <f>C19/C7-1</f>
        <v>-0.27386576939664586</v>
      </c>
      <c r="F19" s="78">
        <f>Q19/22</f>
        <v>6922109.3636363633</v>
      </c>
      <c r="G19" s="90">
        <f t="shared" si="2"/>
        <v>0.23262229262741707</v>
      </c>
      <c r="H19" s="90">
        <f t="shared" si="3"/>
        <v>-9.3628628465089458E-2</v>
      </c>
      <c r="I19" s="130">
        <f t="shared" si="0"/>
        <v>28.96210758805671</v>
      </c>
      <c r="J19" s="130">
        <f t="shared" si="4"/>
        <v>-0.12068999941869307</v>
      </c>
      <c r="K19" s="78">
        <f>R17+R18+R19</f>
        <v>418871944312</v>
      </c>
      <c r="L19" s="87">
        <f>U19/U16-1</f>
        <v>-0.27106585614834744</v>
      </c>
      <c r="M19" s="87">
        <f>U19/U7-1</f>
        <v>-0.24194521050534568</v>
      </c>
      <c r="N19" s="88">
        <f>AVERAGE(T17:T19)</f>
        <v>25.363792559595709</v>
      </c>
      <c r="O19" s="89">
        <f>N19/N16-1</f>
        <v>-0.3052378660296351</v>
      </c>
      <c r="P19" s="129" t="s">
        <v>114</v>
      </c>
      <c r="Q19" s="116">
        <v>152286406</v>
      </c>
      <c r="R19" s="116">
        <v>198951123772</v>
      </c>
      <c r="S19" s="116">
        <v>5258125.83</v>
      </c>
      <c r="T19" s="130">
        <f t="shared" si="1"/>
        <v>28.96210758805671</v>
      </c>
      <c r="U19" s="85">
        <f>Q17+Q18+Q19</f>
        <v>327288380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6707499.25</v>
      </c>
      <c r="G20" s="90">
        <f t="shared" si="2"/>
        <v>-3.1003571651694206E-2</v>
      </c>
      <c r="H20" s="90">
        <f t="shared" si="3"/>
        <v>-0.24616480027666443</v>
      </c>
      <c r="I20" s="130">
        <f t="shared" si="0"/>
        <v>28.068775642903454</v>
      </c>
      <c r="J20" s="130">
        <f t="shared" si="4"/>
        <v>-0.22932252625685556</v>
      </c>
      <c r="K20" s="78"/>
      <c r="O20" s="89"/>
      <c r="P20" s="129" t="s">
        <v>131</v>
      </c>
      <c r="Q20" s="116">
        <v>134149985</v>
      </c>
      <c r="R20" s="116">
        <v>176030257007</v>
      </c>
      <c r="S20" s="116">
        <v>4779331.55</v>
      </c>
      <c r="T20" s="130">
        <f t="shared" si="1"/>
        <v>28.068775642903454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8683454.5238095243</v>
      </c>
      <c r="G21" s="90">
        <f t="shared" si="2"/>
        <v>0.29458896679109192</v>
      </c>
      <c r="H21" s="90">
        <f t="shared" si="3"/>
        <v>-0.31217152216501709</v>
      </c>
      <c r="I21" s="130">
        <f t="shared" si="0"/>
        <v>38.942799977839542</v>
      </c>
      <c r="J21" s="130">
        <f t="shared" si="4"/>
        <v>-7.2341767270598156E-2</v>
      </c>
      <c r="K21" s="78"/>
      <c r="O21" s="89"/>
      <c r="P21" s="129" t="s">
        <v>141</v>
      </c>
      <c r="Q21" s="116">
        <v>182352545</v>
      </c>
      <c r="R21" s="116">
        <v>243012756462</v>
      </c>
      <c r="S21" s="116">
        <v>4682574.0599999996</v>
      </c>
      <c r="T21" s="130">
        <f t="shared" si="1"/>
        <v>38.942799977839542</v>
      </c>
      <c r="U21" s="78"/>
    </row>
    <row r="22" spans="1:21" hidden="1">
      <c r="A22" s="129" t="s">
        <v>155</v>
      </c>
      <c r="B22" s="131">
        <f>SUM(F20:F22)</f>
        <v>21099376.869047619</v>
      </c>
      <c r="C22" s="131">
        <f>AVERAGE(F20:F22)</f>
        <v>7033125.6230158731</v>
      </c>
      <c r="D22" s="90">
        <f>C22/C19-1</f>
        <v>0.34629254431631185</v>
      </c>
      <c r="E22" s="286">
        <f>C22/C10-1</f>
        <v>-0.24327986372992583</v>
      </c>
      <c r="F22" s="78">
        <f>Q22/21</f>
        <v>5708423.0952380951</v>
      </c>
      <c r="G22" s="90">
        <f t="shared" si="2"/>
        <v>-0.34260920241063819</v>
      </c>
      <c r="H22" s="90">
        <f t="shared" si="3"/>
        <v>-0.10250406599506701</v>
      </c>
      <c r="I22" s="130">
        <f t="shared" si="0"/>
        <v>29.679843150282782</v>
      </c>
      <c r="J22" s="130">
        <f t="shared" si="4"/>
        <v>-4.131399459948315E-2</v>
      </c>
      <c r="K22" s="78">
        <f>R20+R21+R22</f>
        <v>574572232201</v>
      </c>
      <c r="L22" s="87">
        <f>U22/U19-1</f>
        <v>0.33331777620702585</v>
      </c>
      <c r="M22" s="87">
        <f>U22/U10-1</f>
        <v>-0.25473517776257537</v>
      </c>
      <c r="N22" s="88">
        <f>AVERAGE(T20:T22)</f>
        <v>32.230472923675258</v>
      </c>
      <c r="O22" s="89">
        <f>N22/N19-1</f>
        <v>0.27072766613846655</v>
      </c>
      <c r="P22" s="129" t="s">
        <v>155</v>
      </c>
      <c r="Q22" s="116">
        <v>119876885</v>
      </c>
      <c r="R22" s="116">
        <v>155529218732</v>
      </c>
      <c r="S22" s="116">
        <v>4038999.95</v>
      </c>
      <c r="T22" s="130">
        <f t="shared" si="1"/>
        <v>29.679843150282782</v>
      </c>
      <c r="U22" s="85">
        <f>Q20+Q21+Q22</f>
        <v>436379415</v>
      </c>
    </row>
    <row r="23" spans="1:21" hidden="1">
      <c r="A23" s="129" t="s">
        <v>189</v>
      </c>
      <c r="B23" s="131"/>
      <c r="C23" s="131"/>
      <c r="F23" s="78">
        <f>Q23/21</f>
        <v>5078303.3809523806</v>
      </c>
      <c r="G23" s="90">
        <f t="shared" si="2"/>
        <v>-0.11038419958943713</v>
      </c>
      <c r="H23" s="90">
        <f t="shared" si="3"/>
        <v>-0.24803453952256682</v>
      </c>
      <c r="I23" s="130">
        <f t="shared" si="0"/>
        <v>28.843784721541169</v>
      </c>
      <c r="J23" s="130">
        <f t="shared" si="4"/>
        <v>-0.10758398777703815</v>
      </c>
      <c r="K23" s="78"/>
      <c r="O23" s="89"/>
      <c r="P23" s="129" t="s">
        <v>189</v>
      </c>
      <c r="Q23" s="116">
        <v>106644371</v>
      </c>
      <c r="R23" s="116">
        <v>137814735573</v>
      </c>
      <c r="S23" s="116">
        <v>3697308.52</v>
      </c>
      <c r="T23" s="130">
        <f t="shared" si="1"/>
        <v>28.843784721541169</v>
      </c>
      <c r="U23" s="78"/>
    </row>
    <row r="24" spans="1:21" hidden="1">
      <c r="A24" s="129" t="s">
        <v>204</v>
      </c>
      <c r="B24" s="131"/>
      <c r="C24" s="131"/>
      <c r="F24" s="78">
        <f>Q24/22</f>
        <v>5079895.9090909092</v>
      </c>
      <c r="G24" s="90">
        <f t="shared" si="2"/>
        <v>3.1359452538848309E-4</v>
      </c>
      <c r="H24" s="90">
        <f t="shared" si="3"/>
        <v>-0.18363997645013119</v>
      </c>
      <c r="I24" s="130">
        <f t="shared" si="0"/>
        <v>28.65947003122746</v>
      </c>
      <c r="J24" s="130">
        <f t="shared" si="4"/>
        <v>-0.20635091897282909</v>
      </c>
      <c r="K24" s="78"/>
      <c r="O24" s="89"/>
      <c r="P24" s="129" t="s">
        <v>204</v>
      </c>
      <c r="Q24" s="116">
        <v>111757710</v>
      </c>
      <c r="R24" s="116">
        <v>146685493514</v>
      </c>
      <c r="S24" s="116">
        <v>3899503.72</v>
      </c>
      <c r="T24" s="130">
        <f t="shared" si="1"/>
        <v>28.65947003122746</v>
      </c>
      <c r="U24" s="78"/>
    </row>
    <row r="25" spans="1:21" s="79" customFormat="1" ht="13.2" hidden="1">
      <c r="A25" s="129" t="s">
        <v>217</v>
      </c>
      <c r="B25" s="131">
        <f>SUM(F23:F25)</f>
        <v>18281446.81635908</v>
      </c>
      <c r="C25" s="131">
        <f>AVERAGE(F23:F25)</f>
        <v>6093815.6054530265</v>
      </c>
      <c r="D25" s="90">
        <f>C25/C22-1</f>
        <v>-0.13355513151776488</v>
      </c>
      <c r="E25" s="286">
        <f>C25/C13-1</f>
        <v>-0.206929126191714</v>
      </c>
      <c r="F25" s="78">
        <f>Q25/19</f>
        <v>8123247.5263157897</v>
      </c>
      <c r="G25" s="90">
        <f t="shared" si="2"/>
        <v>0.59909723972464501</v>
      </c>
      <c r="H25" s="90">
        <f t="shared" si="3"/>
        <v>-0.19376044521927072</v>
      </c>
      <c r="I25" s="130">
        <f t="shared" si="0"/>
        <v>26.504925108218721</v>
      </c>
      <c r="J25" s="130">
        <f t="shared" si="4"/>
        <v>-0.26373191429913734</v>
      </c>
      <c r="K25" s="78">
        <f>R23+R24+R25</f>
        <v>489348832329</v>
      </c>
      <c r="L25" s="90">
        <f>U25/U22-1</f>
        <v>-0.14582638138419068</v>
      </c>
      <c r="M25" s="90">
        <f>U25/U13-1</f>
        <v>-0.22381904055016244</v>
      </c>
      <c r="N25" s="88">
        <f>AVERAGE(T23:T25)</f>
        <v>28.002726620329117</v>
      </c>
      <c r="O25" s="91">
        <f>N25/N22-1</f>
        <v>-0.13117233226325398</v>
      </c>
      <c r="P25" s="129" t="s">
        <v>217</v>
      </c>
      <c r="Q25" s="116">
        <v>154341703</v>
      </c>
      <c r="R25" s="116">
        <v>204848603242</v>
      </c>
      <c r="S25" s="116">
        <v>5823132.96</v>
      </c>
      <c r="T25" s="130">
        <f t="shared" si="1"/>
        <v>26.504925108218721</v>
      </c>
      <c r="U25" s="85">
        <f>Q23+Q24+Q25</f>
        <v>372743784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6772245.0526315793</v>
      </c>
      <c r="G26" s="90">
        <f t="shared" si="2"/>
        <v>-0.16631309944791783</v>
      </c>
      <c r="H26" s="90">
        <f t="shared" si="3"/>
        <v>-0.33089918820402742</v>
      </c>
      <c r="I26" s="130">
        <f t="shared" si="0"/>
        <v>23.884085720673713</v>
      </c>
      <c r="J26" s="130">
        <f t="shared" si="4"/>
        <v>-0.4566772761226422</v>
      </c>
      <c r="K26" s="78"/>
      <c r="L26" s="90"/>
      <c r="M26" s="90"/>
      <c r="P26" s="129" t="s">
        <v>312</v>
      </c>
      <c r="Q26" s="116">
        <v>128672656</v>
      </c>
      <c r="R26" s="116">
        <v>173570886868</v>
      </c>
      <c r="S26" s="116">
        <v>5387380.4299999997</v>
      </c>
      <c r="T26" s="130">
        <f t="shared" si="1"/>
        <v>23.884085720673713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4138812.2272727271</v>
      </c>
      <c r="G27" s="90">
        <f t="shared" si="2"/>
        <v>-0.38885669447763782</v>
      </c>
      <c r="H27" s="90">
        <f t="shared" si="3"/>
        <v>-0.35636359739558388</v>
      </c>
      <c r="I27" s="130">
        <f t="shared" si="0"/>
        <v>24.780194252519948</v>
      </c>
      <c r="J27" s="130">
        <f t="shared" si="4"/>
        <v>-0.30636748533584923</v>
      </c>
      <c r="K27" s="78"/>
      <c r="L27" s="90"/>
      <c r="M27" s="90"/>
      <c r="P27" s="129" t="s">
        <v>373</v>
      </c>
      <c r="Q27" s="116">
        <v>91053869</v>
      </c>
      <c r="R27" s="116">
        <v>121045255252</v>
      </c>
      <c r="S27" s="116">
        <v>3674461.47</v>
      </c>
      <c r="T27" s="130">
        <f t="shared" si="1"/>
        <v>24.780194252519948</v>
      </c>
      <c r="U27" s="78"/>
    </row>
    <row r="28" spans="1:21" s="79" customFormat="1" ht="13.2" hidden="1">
      <c r="A28" s="123" t="s">
        <v>413</v>
      </c>
      <c r="B28" s="131">
        <f>SUM(F26:F28)</f>
        <v>16162221.122009568</v>
      </c>
      <c r="C28" s="131">
        <f>AVERAGE(F26:F28)</f>
        <v>5387407.0406698557</v>
      </c>
      <c r="D28" s="90">
        <f>C28/C25-1</f>
        <v>-0.11592220876375781</v>
      </c>
      <c r="E28" s="286">
        <f>C28/C16-1</f>
        <v>-0.24224299752804657</v>
      </c>
      <c r="F28" s="78">
        <f>Q28/19</f>
        <v>5251163.8421052629</v>
      </c>
      <c r="G28" s="90">
        <f t="shared" si="2"/>
        <v>0.26876107292393892</v>
      </c>
      <c r="H28" s="90">
        <f t="shared" si="3"/>
        <v>9.9200073179232184E-2</v>
      </c>
      <c r="I28" s="130">
        <f t="shared" si="0"/>
        <v>30.016772814040742</v>
      </c>
      <c r="J28" s="130">
        <f t="shared" si="4"/>
        <v>6.0274073074131351E-3</v>
      </c>
      <c r="K28" s="78">
        <f>R26+R27+R28</f>
        <v>424604358272</v>
      </c>
      <c r="L28" s="90">
        <f>U28/U25-1</f>
        <v>-0.14284650284067513</v>
      </c>
      <c r="M28" s="90">
        <f>U28/U16-1</f>
        <v>-0.28841510916978141</v>
      </c>
      <c r="N28" s="88">
        <f>AVERAGE(T26:T28)</f>
        <v>26.227017595744798</v>
      </c>
      <c r="O28" s="91">
        <f>N28/N25-1</f>
        <v>-6.3412004432997215E-2</v>
      </c>
      <c r="P28" s="129" t="s">
        <v>413</v>
      </c>
      <c r="Q28" s="116">
        <v>99772113</v>
      </c>
      <c r="R28" s="116">
        <v>129988216152</v>
      </c>
      <c r="S28" s="116">
        <v>3323878.74</v>
      </c>
      <c r="T28" s="130">
        <f t="shared" si="1"/>
        <v>30.016772814040742</v>
      </c>
      <c r="U28" s="85">
        <f>Q26+Q27+Q28</f>
        <v>319498638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6437154.5454545459</v>
      </c>
      <c r="G29" s="190">
        <f t="shared" si="2"/>
        <v>0.22585292308719951</v>
      </c>
      <c r="H29" s="190">
        <f t="shared" si="3"/>
        <v>1.0537512029500773</v>
      </c>
      <c r="I29" s="130">
        <f t="shared" si="0"/>
        <v>30.90743941735478</v>
      </c>
      <c r="J29" s="130">
        <f t="shared" si="4"/>
        <v>0.34138300876591399</v>
      </c>
      <c r="K29" s="136"/>
      <c r="L29" s="190"/>
      <c r="M29" s="190"/>
      <c r="N29" s="191"/>
      <c r="O29" s="192"/>
      <c r="P29" s="129" t="s">
        <v>426</v>
      </c>
      <c r="Q29" s="116">
        <v>141617400</v>
      </c>
      <c r="R29" s="116">
        <v>186277964662</v>
      </c>
      <c r="S29" s="116">
        <v>4581984.2300000004</v>
      </c>
      <c r="T29" s="130">
        <f t="shared" si="1"/>
        <v>30.90743941735478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4445233.1578947371</v>
      </c>
      <c r="G30" s="190">
        <f t="shared" ref="G30" si="5">F30/F29-1</f>
        <v>-0.30944128706158835</v>
      </c>
      <c r="H30" s="190">
        <f t="shared" ref="H30" si="6">F30/F18-1</f>
        <v>-0.20843586853282403</v>
      </c>
      <c r="I30" s="130">
        <f t="shared" si="0"/>
        <v>31.163678845089738</v>
      </c>
      <c r="J30" s="130">
        <f t="shared" si="4"/>
        <v>0.29375375423803751</v>
      </c>
      <c r="K30" s="136"/>
      <c r="L30" s="190"/>
      <c r="M30" s="190"/>
      <c r="N30" s="191"/>
      <c r="O30" s="192"/>
      <c r="P30" s="129" t="s">
        <v>466</v>
      </c>
      <c r="Q30" s="116">
        <v>84459430</v>
      </c>
      <c r="R30" s="116">
        <v>112559444029</v>
      </c>
      <c r="S30" s="116">
        <v>2710188.05</v>
      </c>
      <c r="T30" s="130">
        <f t="shared" ref="T30" si="7">Q30/S30</f>
        <v>31.163678845089738</v>
      </c>
      <c r="U30" s="85"/>
    </row>
    <row r="31" spans="1:21" s="79" customFormat="1" ht="13.2" hidden="1">
      <c r="A31" s="129" t="s">
        <v>505</v>
      </c>
      <c r="B31" s="188">
        <f>SUM(F29:F31)</f>
        <v>15172169.803349283</v>
      </c>
      <c r="C31" s="188">
        <f>AVERAGE(F29:F31)</f>
        <v>5057389.9344497612</v>
      </c>
      <c r="D31" s="190">
        <f>C31/C28-1</f>
        <v>-6.1257132369760714E-2</v>
      </c>
      <c r="E31" s="287">
        <f>C31/C19-1</f>
        <v>-3.1906050395495988E-2</v>
      </c>
      <c r="F31" s="136">
        <f>Q31/20</f>
        <v>4289782.0999999996</v>
      </c>
      <c r="G31" s="190">
        <f t="shared" ref="G31" si="8">F31/F30-1</f>
        <v>-3.497028218163456E-2</v>
      </c>
      <c r="H31" s="190">
        <f t="shared" ref="H31" si="9">F31/F19-1</f>
        <v>-0.38027819633487181</v>
      </c>
      <c r="I31" s="130">
        <f t="shared" si="0"/>
        <v>25.042586380718966</v>
      </c>
      <c r="J31" s="130">
        <f t="shared" si="4"/>
        <v>-0.13533273417415459</v>
      </c>
      <c r="K31" s="136">
        <f>R29+R30+R31</f>
        <v>412876156757</v>
      </c>
      <c r="L31" s="190">
        <f>U31/U28-1</f>
        <v>-2.386916591487942E-2</v>
      </c>
      <c r="M31" s="190">
        <f>U31/U19-1</f>
        <v>-4.710191055362245E-2</v>
      </c>
      <c r="N31" s="191">
        <f>AVERAGE(T29:T31)</f>
        <v>29.037901547721162</v>
      </c>
      <c r="O31" s="192">
        <f>N31/N28-1</f>
        <v>0.10717512739353241</v>
      </c>
      <c r="P31" s="129" t="s">
        <v>505</v>
      </c>
      <c r="Q31" s="116">
        <v>85795642</v>
      </c>
      <c r="R31" s="116">
        <v>114038748066</v>
      </c>
      <c r="S31" s="116">
        <v>3425989.66</v>
      </c>
      <c r="T31" s="130">
        <f t="shared" ref="T31" si="10">Q31/S31</f>
        <v>25.042586380718966</v>
      </c>
      <c r="U31" s="85">
        <f>Q29+Q30+Q31</f>
        <v>311872472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4931908</v>
      </c>
      <c r="G32" s="190">
        <f t="shared" ref="G32" si="11">F32/F31-1</f>
        <v>0.1496872999679868</v>
      </c>
      <c r="H32" s="190">
        <f t="shared" ref="H32" si="12">F32/F20-1</f>
        <v>-0.26471732367320056</v>
      </c>
      <c r="I32" s="130">
        <f t="shared" si="0"/>
        <v>29.303668311257699</v>
      </c>
      <c r="J32" s="130">
        <f t="shared" si="4"/>
        <v>4.3995245252760329E-2</v>
      </c>
      <c r="K32" s="136"/>
      <c r="L32" s="190"/>
      <c r="M32" s="190"/>
      <c r="N32" s="191"/>
      <c r="O32" s="192"/>
      <c r="P32" s="129" t="s">
        <v>587</v>
      </c>
      <c r="Q32" s="116">
        <v>103570068</v>
      </c>
      <c r="R32" s="116">
        <v>140931590958</v>
      </c>
      <c r="S32" s="116">
        <v>3534372.11</v>
      </c>
      <c r="T32" s="130">
        <f t="shared" ref="T32" si="13">Q32/S32</f>
        <v>29.303668311257699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5175271.5714285718</v>
      </c>
      <c r="G33" s="190">
        <f t="shared" ref="G33" si="14">F33/F32-1</f>
        <v>4.9344710288304672E-2</v>
      </c>
      <c r="H33" s="190">
        <f t="shared" ref="H33" si="15">F33/F21-1</f>
        <v>-0.40400775322329607</v>
      </c>
      <c r="I33" s="130">
        <f t="shared" si="0"/>
        <v>28.086366143993232</v>
      </c>
      <c r="J33" s="130">
        <f t="shared" si="4"/>
        <v>-0.27877897429111875</v>
      </c>
      <c r="K33" s="136"/>
      <c r="L33" s="190"/>
      <c r="M33" s="190"/>
      <c r="N33" s="191"/>
      <c r="O33" s="192"/>
      <c r="P33" s="129" t="s">
        <v>624</v>
      </c>
      <c r="Q33" s="116">
        <v>108680703</v>
      </c>
      <c r="R33" s="116">
        <v>148519621482</v>
      </c>
      <c r="S33" s="116">
        <v>3869518.13</v>
      </c>
      <c r="T33" s="130">
        <f t="shared" ref="T33" si="16">Q33/S33</f>
        <v>28.086366143993232</v>
      </c>
      <c r="U33" s="85"/>
    </row>
    <row r="34" spans="1:21" s="79" customFormat="1" ht="13.2" hidden="1">
      <c r="A34" s="129" t="s">
        <v>652</v>
      </c>
      <c r="B34" s="188">
        <f>SUM(F32:F34)</f>
        <v>13946252.67669173</v>
      </c>
      <c r="C34" s="188">
        <f>AVERAGE(F32:F34)</f>
        <v>4648750.8922305768</v>
      </c>
      <c r="D34" s="190">
        <f>C34/C31-1</f>
        <v>-8.0800382710383922E-2</v>
      </c>
      <c r="E34" s="287">
        <f>C34/C22-1</f>
        <v>-0.33902063728002241</v>
      </c>
      <c r="F34" s="136">
        <f>Q34/19</f>
        <v>3839073.1052631577</v>
      </c>
      <c r="G34" s="190">
        <f t="shared" ref="G34" si="17">F34/F33-1</f>
        <v>-0.258189053023274</v>
      </c>
      <c r="H34" s="190">
        <f t="shared" ref="H34" si="18">F34/F22-1</f>
        <v>-0.32747222109978658</v>
      </c>
      <c r="I34" s="130">
        <f t="shared" si="0"/>
        <v>25.204435868597926</v>
      </c>
      <c r="J34" s="130">
        <f t="shared" si="4"/>
        <v>-0.15078945191939852</v>
      </c>
      <c r="K34" s="136">
        <f>R32+R33+R34</f>
        <v>389697636124</v>
      </c>
      <c r="L34" s="190">
        <f>U34/U31-1</f>
        <v>-8.5545581592722297E-2</v>
      </c>
      <c r="M34" s="190">
        <f>U34/U22-1</f>
        <v>-0.34645597341020318</v>
      </c>
      <c r="N34" s="191">
        <f>AVERAGE(T32:T34)</f>
        <v>27.531490107949619</v>
      </c>
      <c r="O34" s="192">
        <f>N34/N31-1</f>
        <v>-5.187742086995828E-2</v>
      </c>
      <c r="P34" s="129" t="s">
        <v>652</v>
      </c>
      <c r="Q34" s="116">
        <v>72942389</v>
      </c>
      <c r="R34" s="116">
        <v>100246423684</v>
      </c>
      <c r="S34" s="116">
        <v>2894029.82</v>
      </c>
      <c r="T34" s="130">
        <f t="shared" ref="T34" si="19">Q34/S34</f>
        <v>25.204435868597926</v>
      </c>
      <c r="U34" s="85">
        <f>Q32+Q33+Q34</f>
        <v>285193160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3749381.1739130435</v>
      </c>
      <c r="G35" s="190">
        <f t="shared" ref="G35" si="20">F35/F34-1</f>
        <v>-2.3362913101902527E-2</v>
      </c>
      <c r="H35" s="190">
        <f t="shared" ref="H35" si="21">F35/F23-1</f>
        <v>-0.26168625766310805</v>
      </c>
      <c r="I35" s="130">
        <f t="shared" si="0"/>
        <v>28.964837131465735</v>
      </c>
      <c r="J35" s="130">
        <f t="shared" si="4"/>
        <v>4.1968282280986369E-3</v>
      </c>
      <c r="K35" s="136"/>
      <c r="L35" s="190"/>
      <c r="M35" s="190"/>
      <c r="N35" s="191"/>
      <c r="O35" s="192"/>
      <c r="P35" s="129" t="s">
        <v>660</v>
      </c>
      <c r="Q35" s="116">
        <v>86235767</v>
      </c>
      <c r="R35" s="116">
        <v>119326889563</v>
      </c>
      <c r="S35" s="116">
        <v>2977257.1</v>
      </c>
      <c r="T35" s="130">
        <f t="shared" ref="T35" si="22">Q35/S35</f>
        <v>28.964837131465735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3813757.6666666665</v>
      </c>
      <c r="G36" s="190">
        <f t="shared" ref="G36" si="23">F36/F35-1</f>
        <v>1.7169898115863447E-2</v>
      </c>
      <c r="H36" s="190">
        <f t="shared" ref="H36" si="24">F36/F24-1</f>
        <v>-0.2492449186130723</v>
      </c>
      <c r="I36" s="130">
        <f t="shared" si="0"/>
        <v>23.911821402413747</v>
      </c>
      <c r="J36" s="130">
        <f t="shared" si="4"/>
        <v>-0.16565723733344195</v>
      </c>
      <c r="K36" s="136"/>
      <c r="L36" s="190"/>
      <c r="M36" s="190"/>
      <c r="N36" s="191"/>
      <c r="O36" s="192"/>
      <c r="P36" s="129" t="s">
        <v>664</v>
      </c>
      <c r="Q36" s="116">
        <v>80088911</v>
      </c>
      <c r="R36" s="116">
        <v>109134480941</v>
      </c>
      <c r="S36" s="116">
        <v>3349343.81</v>
      </c>
      <c r="T36" s="130">
        <f t="shared" ref="T36" si="25">Q36/S36</f>
        <v>23.911821402413747</v>
      </c>
      <c r="U36" s="85"/>
    </row>
    <row r="37" spans="1:21" s="79" customFormat="1" ht="13.2" hidden="1">
      <c r="A37" s="129" t="s">
        <v>702</v>
      </c>
      <c r="B37" s="188">
        <f>SUM(F35:F37)</f>
        <v>14735756.618357487</v>
      </c>
      <c r="C37" s="188">
        <f>AVERAGE(F35:F37)</f>
        <v>4911918.872785829</v>
      </c>
      <c r="D37" s="190">
        <f>C37/C34-1</f>
        <v>5.6610471641980853E-2</v>
      </c>
      <c r="E37" s="287">
        <f>C37/C25-1</f>
        <v>-0.19395019626284427</v>
      </c>
      <c r="F37" s="136">
        <f>Q37/18</f>
        <v>7172617.777777778</v>
      </c>
      <c r="G37" s="190">
        <f t="shared" ref="G37" si="26">F37/F36-1</f>
        <v>0.88072195579402179</v>
      </c>
      <c r="H37" s="190">
        <f t="shared" ref="H37" si="27">F37/F25-1</f>
        <v>-0.11702582562680564</v>
      </c>
      <c r="I37" s="130">
        <f t="shared" si="0"/>
        <v>33.034456645907703</v>
      </c>
      <c r="J37" s="130">
        <f t="shared" si="4"/>
        <v>0.24635163129226445</v>
      </c>
      <c r="K37" s="136">
        <f>R35+R36+R37</f>
        <v>400915858822</v>
      </c>
      <c r="L37" s="190">
        <f>U37/U34-1</f>
        <v>3.5900713747833324E-2</v>
      </c>
      <c r="M37" s="190">
        <f>U37/U25-1</f>
        <v>-0.20741321336159424</v>
      </c>
      <c r="N37" s="191">
        <f>AVERAGE(T35:T37)</f>
        <v>28.63703839326239</v>
      </c>
      <c r="O37" s="192">
        <f>N37/N34-1</f>
        <v>4.0155773660560001E-2</v>
      </c>
      <c r="P37" s="129" t="s">
        <v>702</v>
      </c>
      <c r="Q37" s="116">
        <v>129107120</v>
      </c>
      <c r="R37" s="116">
        <v>172454488318</v>
      </c>
      <c r="S37" s="116">
        <v>3908256.2</v>
      </c>
      <c r="T37" s="130">
        <f t="shared" ref="T37" si="28">Q37/S37</f>
        <v>33.034456645907703</v>
      </c>
      <c r="U37" s="85">
        <f>Q35+Q36+Q37</f>
        <v>295431798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10838043.1</v>
      </c>
      <c r="G38" s="190">
        <f t="shared" ref="G38" si="29">F38/F37-1</f>
        <v>0.51103034286567617</v>
      </c>
      <c r="H38" s="190">
        <f t="shared" ref="H38" si="30">F38/F26-1</f>
        <v>0.6003619207176385</v>
      </c>
      <c r="I38" s="130">
        <f t="shared" si="0"/>
        <v>56.339095798899791</v>
      </c>
      <c r="J38" s="130">
        <f t="shared" si="4"/>
        <v>1.3588550325011393</v>
      </c>
      <c r="K38" s="136"/>
      <c r="L38" s="190"/>
      <c r="M38" s="190"/>
      <c r="N38" s="191"/>
      <c r="O38" s="192"/>
      <c r="P38" s="129" t="s">
        <v>727</v>
      </c>
      <c r="Q38" s="116">
        <v>216760862</v>
      </c>
      <c r="R38" s="116">
        <v>291385252057</v>
      </c>
      <c r="S38" s="116">
        <v>3847432.39</v>
      </c>
      <c r="T38" s="130">
        <f t="shared" ref="T38" si="31">Q38/S38</f>
        <v>56.339095798899791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5202694.1428571427</v>
      </c>
      <c r="G39" s="190">
        <f t="shared" ref="G39" si="32">F39/F38-1</f>
        <v>-0.519960006169643</v>
      </c>
      <c r="H39" s="190">
        <f t="shared" ref="H39" si="33">F39/F27-1</f>
        <v>0.25705005619099119</v>
      </c>
      <c r="I39" s="130">
        <f t="shared" si="0"/>
        <v>34.000789387007281</v>
      </c>
      <c r="J39" s="130">
        <f t="shared" si="4"/>
        <v>0.37209535326986676</v>
      </c>
      <c r="K39" s="136"/>
      <c r="L39" s="190"/>
      <c r="M39" s="190"/>
      <c r="N39" s="191"/>
      <c r="O39" s="192"/>
      <c r="P39" s="129" t="s">
        <v>762</v>
      </c>
      <c r="Q39" s="116">
        <v>109256577</v>
      </c>
      <c r="R39" s="116">
        <v>151819609252</v>
      </c>
      <c r="S39" s="116">
        <v>3213354.13</v>
      </c>
      <c r="T39" s="130">
        <f t="shared" ref="T39" si="34">Q39/S39</f>
        <v>34.000789387007281</v>
      </c>
      <c r="U39" s="85"/>
    </row>
    <row r="40" spans="1:21" s="79" customFormat="1" ht="13.2" hidden="1">
      <c r="A40" s="129" t="s">
        <v>778</v>
      </c>
      <c r="B40" s="188">
        <f>SUM(F38:F40)</f>
        <v>19528453.861904763</v>
      </c>
      <c r="C40" s="188">
        <f>AVERAGE(F38:F40)</f>
        <v>6509484.6206349209</v>
      </c>
      <c r="D40" s="190">
        <f>C40/C37-1</f>
        <v>0.32524269826610985</v>
      </c>
      <c r="E40" s="287">
        <f>C40/C28-1</f>
        <v>0.20827785454012204</v>
      </c>
      <c r="F40" s="136">
        <f>Q40/21</f>
        <v>3487716.6190476189</v>
      </c>
      <c r="G40" s="190">
        <f t="shared" ref="G40" si="35">F40/F39-1</f>
        <v>-0.32963258587169542</v>
      </c>
      <c r="H40" s="190">
        <f t="shared" ref="H40" si="36">F40/F28-1</f>
        <v>-0.33582026310393198</v>
      </c>
      <c r="I40" s="130">
        <f t="shared" si="0"/>
        <v>24.006764460706236</v>
      </c>
      <c r="J40" s="130">
        <f t="shared" si="4"/>
        <v>-0.20022166908373462</v>
      </c>
      <c r="K40" s="136">
        <f>R38+R39+R40</f>
        <v>547260631015</v>
      </c>
      <c r="L40" s="190">
        <f>U40/U37-1</f>
        <v>0.35144385507209353</v>
      </c>
      <c r="M40" s="190">
        <f>U40/U28-1</f>
        <v>0.24964378721389102</v>
      </c>
      <c r="N40" s="191">
        <f>AVERAGE(T38:T40)</f>
        <v>38.115549882204434</v>
      </c>
      <c r="O40" s="192">
        <f>N40/N37-1</f>
        <v>0.33098784024999284</v>
      </c>
      <c r="P40" s="129" t="s">
        <v>778</v>
      </c>
      <c r="Q40" s="116">
        <v>73242049</v>
      </c>
      <c r="R40" s="116">
        <v>104055769706</v>
      </c>
      <c r="S40" s="116">
        <v>3050892.14</v>
      </c>
      <c r="T40" s="130">
        <f t="shared" ref="T40" si="37">Q40/S40</f>
        <v>24.006764460706236</v>
      </c>
      <c r="U40" s="85">
        <f>Q38+Q39+Q40</f>
        <v>399259488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3630031.3333333335</v>
      </c>
      <c r="G41" s="190">
        <f t="shared" ref="G41" si="38">F41/F40-1</f>
        <v>4.0804552040863973E-2</v>
      </c>
      <c r="H41" s="190">
        <f t="shared" ref="H41" si="39">F41/F29-1</f>
        <v>-0.43608137606442898</v>
      </c>
      <c r="I41" s="130">
        <f t="shared" si="0"/>
        <v>27.751219001271465</v>
      </c>
      <c r="J41" s="130">
        <f t="shared" si="4"/>
        <v>-0.10211846971415794</v>
      </c>
      <c r="K41" s="193"/>
      <c r="L41" s="190"/>
      <c r="M41" s="190"/>
      <c r="N41" s="193"/>
      <c r="O41" s="193"/>
      <c r="P41" s="129" t="s">
        <v>821</v>
      </c>
      <c r="Q41" s="116">
        <v>65340564</v>
      </c>
      <c r="R41" s="116">
        <v>95620900108</v>
      </c>
      <c r="S41" s="116">
        <v>2354511.4900000002</v>
      </c>
      <c r="T41" s="130">
        <f t="shared" ref="T41" si="40">Q41/S41</f>
        <v>27.751219001271465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3898961.05</v>
      </c>
      <c r="G42" s="190">
        <f t="shared" ref="G42" si="41">F42/F41-1</f>
        <v>7.4084681913672901E-2</v>
      </c>
      <c r="H42" s="190">
        <f t="shared" ref="H42" si="42">F42/F30-1</f>
        <v>-0.1228894162558285</v>
      </c>
      <c r="I42" s="130">
        <f t="shared" si="0"/>
        <v>28.833249249690201</v>
      </c>
      <c r="J42" s="130">
        <f t="shared" si="4"/>
        <v>-7.478031098265947E-2</v>
      </c>
      <c r="K42" s="193"/>
      <c r="L42" s="190"/>
      <c r="M42" s="190"/>
      <c r="N42" s="193"/>
      <c r="O42" s="193"/>
      <c r="P42" s="129" t="s">
        <v>826</v>
      </c>
      <c r="Q42" s="116">
        <v>77979221</v>
      </c>
      <c r="R42" s="116">
        <v>112803379883</v>
      </c>
      <c r="S42" s="116">
        <v>2704489.54</v>
      </c>
      <c r="T42" s="130">
        <f t="shared" ref="T42" si="43">Q42/S42</f>
        <v>28.833249249690201</v>
      </c>
      <c r="U42" s="78"/>
    </row>
    <row r="43" spans="1:21" s="79" customFormat="1" ht="13.2">
      <c r="A43" s="129" t="s">
        <v>835</v>
      </c>
      <c r="B43" s="188">
        <f>SUM(F41:F43)</f>
        <v>12934189.583333332</v>
      </c>
      <c r="C43" s="188">
        <f>AVERAGE(F41:F43)</f>
        <v>4311396.5277777771</v>
      </c>
      <c r="D43" s="190">
        <f>C43/C40-1</f>
        <v>-0.33767467333577439</v>
      </c>
      <c r="E43" s="287">
        <f>C43/C31-1</f>
        <v>-0.1475056138326315</v>
      </c>
      <c r="F43" s="136">
        <f>Q43/20</f>
        <v>5405197.2000000002</v>
      </c>
      <c r="G43" s="190">
        <f t="shared" ref="G43" si="44">F43/F42-1</f>
        <v>0.38631731137709124</v>
      </c>
      <c r="H43" s="190">
        <f t="shared" ref="H43" si="45">F43/F31-1</f>
        <v>0.26001672672371878</v>
      </c>
      <c r="I43" s="130">
        <f t="shared" si="0"/>
        <v>32.454915110211296</v>
      </c>
      <c r="J43" s="130">
        <f t="shared" si="4"/>
        <v>0.29598894526322983</v>
      </c>
      <c r="K43" s="136">
        <f>R41+R42+R43</f>
        <v>365090882366</v>
      </c>
      <c r="L43" s="190">
        <f>U43/U40-1</f>
        <v>-0.37027487997980901</v>
      </c>
      <c r="M43" s="190">
        <f>K43/K31-1</f>
        <v>-0.11573754892105392</v>
      </c>
      <c r="N43" s="191">
        <f>AVERAGE(T41:T43)</f>
        <v>29.679794453724316</v>
      </c>
      <c r="O43" s="192">
        <f>N43/N40-1</f>
        <v>-0.22132057531770366</v>
      </c>
      <c r="P43" s="129" t="s">
        <v>835</v>
      </c>
      <c r="Q43" s="116">
        <v>108103944</v>
      </c>
      <c r="R43" s="116">
        <v>156666602375</v>
      </c>
      <c r="S43" s="116">
        <v>3330895.91</v>
      </c>
      <c r="T43" s="130">
        <f t="shared" ref="T43" si="46">Q43/S43</f>
        <v>32.454915110211296</v>
      </c>
      <c r="U43" s="85">
        <f>Q41+Q42+Q43</f>
        <v>251423729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4416119.6363636367</v>
      </c>
      <c r="G44" s="190">
        <f t="shared" ref="G44" si="47">F44/F43-1</f>
        <v>-0.18298639754278778</v>
      </c>
      <c r="H44" s="190">
        <f t="shared" ref="H44" si="48">F44/F32-1</f>
        <v>-0.10458191102436687</v>
      </c>
      <c r="I44" s="130">
        <f t="shared" si="0"/>
        <v>24.154098836570057</v>
      </c>
      <c r="J44" s="130">
        <f t="shared" si="4"/>
        <v>-0.17573122313527256</v>
      </c>
      <c r="K44" s="136"/>
      <c r="L44" s="190"/>
      <c r="M44" s="190"/>
      <c r="N44" s="191"/>
      <c r="O44" s="192"/>
      <c r="P44" s="129" t="s">
        <v>843</v>
      </c>
      <c r="Q44" s="116">
        <v>97154632</v>
      </c>
      <c r="R44" s="116">
        <v>140924644931</v>
      </c>
      <c r="S44" s="116">
        <v>4022283.45</v>
      </c>
      <c r="T44" s="130">
        <f t="shared" ref="T44" si="49">Q44/S44</f>
        <v>24.154098836570057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3716326.95</v>
      </c>
      <c r="G45" s="190">
        <f t="shared" ref="G45" si="50">F45/F44-1</f>
        <v>-0.15846325371290582</v>
      </c>
      <c r="H45" s="190">
        <f t="shared" ref="H45" si="51">F45/F33-1</f>
        <v>-0.28190687218870858</v>
      </c>
      <c r="I45" s="130">
        <f t="shared" si="0"/>
        <v>25.999317333103491</v>
      </c>
      <c r="J45" s="130">
        <f t="shared" si="4"/>
        <v>-7.4308253342203701E-2</v>
      </c>
      <c r="K45" s="136"/>
      <c r="L45" s="190"/>
      <c r="M45" s="190"/>
      <c r="N45" s="191"/>
      <c r="O45" s="192"/>
      <c r="P45" s="129" t="s">
        <v>849</v>
      </c>
      <c r="Q45" s="116">
        <v>74326539</v>
      </c>
      <c r="R45" s="116">
        <v>104697600180</v>
      </c>
      <c r="S45" s="116">
        <v>2858788.1</v>
      </c>
      <c r="T45" s="130">
        <f t="shared" ref="T45" si="52">Q45/S45</f>
        <v>25.999317333103491</v>
      </c>
      <c r="U45" s="85"/>
    </row>
    <row r="46" spans="1:21" s="79" customFormat="1" ht="13.2">
      <c r="A46" s="129" t="s">
        <v>888</v>
      </c>
      <c r="B46" s="188">
        <f>SUM(F44:F46)</f>
        <v>11244269.586363636</v>
      </c>
      <c r="C46" s="188">
        <f>AVERAGE(F44:F46)</f>
        <v>3748089.8621212118</v>
      </c>
      <c r="D46" s="190">
        <f>C46/C43-1</f>
        <v>-0.13065526727297117</v>
      </c>
      <c r="E46" s="287">
        <f>C46/C34-1</f>
        <v>-0.1937425882756233</v>
      </c>
      <c r="F46" s="136">
        <f>Q46/19</f>
        <v>3111823</v>
      </c>
      <c r="G46" s="190">
        <f t="shared" ref="G46" si="53">F46/F45-1</f>
        <v>-0.16266167055081093</v>
      </c>
      <c r="H46" s="190">
        <f t="shared" ref="H46" si="54">F46/F34-1</f>
        <v>-0.18943377354969826</v>
      </c>
      <c r="I46" s="130">
        <f t="shared" si="0"/>
        <v>25.029919457140576</v>
      </c>
      <c r="J46" s="130">
        <f t="shared" si="4"/>
        <v>-6.9240356089373956E-3</v>
      </c>
      <c r="K46" s="136">
        <f>R44+R45+R46</f>
        <v>326585417486</v>
      </c>
      <c r="L46" s="190">
        <f>U46/U43-1</f>
        <v>-8.2800144134366871E-2</v>
      </c>
      <c r="M46" s="190">
        <f>K46/K34-1</f>
        <v>-0.16195176153934376</v>
      </c>
      <c r="N46" s="191">
        <f>AVERAGE(T44:T46)</f>
        <v>25.061111875604709</v>
      </c>
      <c r="O46" s="192">
        <f>N46/N43-1</f>
        <v>-0.15561706754138382</v>
      </c>
      <c r="P46" s="129" t="s">
        <v>928</v>
      </c>
      <c r="Q46" s="116">
        <v>59124637</v>
      </c>
      <c r="R46" s="116">
        <v>80963172375</v>
      </c>
      <c r="S46" s="116">
        <v>2362158.5</v>
      </c>
      <c r="T46" s="130">
        <f t="shared" ref="T46" si="55">Q46/S46</f>
        <v>25.029919457140576</v>
      </c>
      <c r="U46" s="85">
        <f t="shared" ref="U46:U51" si="56">Q44+Q45+Q46</f>
        <v>230605808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2796339.2608695654</v>
      </c>
      <c r="G47" s="190">
        <f t="shared" ref="G47" si="57">F47/F46-1</f>
        <v>-0.10138228913740743</v>
      </c>
      <c r="H47" s="190">
        <f t="shared" ref="H47" si="58">F47/F35-1</f>
        <v>-0.25418645606758494</v>
      </c>
      <c r="I47" s="130">
        <f t="shared" si="0"/>
        <v>26.284873392783229</v>
      </c>
      <c r="J47" s="130">
        <f t="shared" si="4"/>
        <v>-9.2524730124277088E-2</v>
      </c>
      <c r="K47" s="136"/>
      <c r="L47" s="190"/>
      <c r="M47" s="190"/>
      <c r="N47" s="191"/>
      <c r="O47" s="192"/>
      <c r="P47" s="129" t="s">
        <v>1029</v>
      </c>
      <c r="Q47" s="116">
        <v>64315803</v>
      </c>
      <c r="R47" s="116">
        <v>88233139603</v>
      </c>
      <c r="S47" s="116">
        <v>2446875.13</v>
      </c>
      <c r="T47" s="130">
        <f t="shared" ref="T47" si="59">Q47/S47</f>
        <v>26.284873392783229</v>
      </c>
      <c r="U47" s="85">
        <f t="shared" si="56"/>
        <v>197766979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3078506.65</v>
      </c>
      <c r="G48" s="190">
        <f t="shared" ref="G48" si="60">F48/F47-1</f>
        <v>0.10090599273089995</v>
      </c>
      <c r="H48" s="190">
        <f t="shared" ref="H48" si="61">F48/F36-1</f>
        <v>-0.19278912844750751</v>
      </c>
      <c r="I48" s="130">
        <f t="shared" si="0"/>
        <v>22.75440556788347</v>
      </c>
      <c r="J48" s="130">
        <f t="shared" si="4"/>
        <v>-4.8403499467984612E-2</v>
      </c>
      <c r="K48" s="136"/>
      <c r="L48" s="190"/>
      <c r="M48" s="190"/>
      <c r="N48" s="191"/>
      <c r="O48" s="192"/>
      <c r="P48" s="129" t="s">
        <v>1070</v>
      </c>
      <c r="Q48" s="116">
        <v>61570133</v>
      </c>
      <c r="R48" s="116">
        <v>85426248715</v>
      </c>
      <c r="S48" s="116">
        <v>2705855.48</v>
      </c>
      <c r="T48" s="130">
        <f t="shared" ref="T48" si="62">Q48/S48</f>
        <v>22.75440556788347</v>
      </c>
      <c r="U48" s="85">
        <f t="shared" si="56"/>
        <v>185010573</v>
      </c>
    </row>
    <row r="49" spans="1:26" ht="13.2">
      <c r="A49" s="129" t="s">
        <v>1158</v>
      </c>
      <c r="B49" s="188">
        <f>SUM(F47:F49)</f>
        <v>9973122.8654150199</v>
      </c>
      <c r="C49" s="188">
        <f>AVERAGE(F47:F49)</f>
        <v>3324374.2884716731</v>
      </c>
      <c r="D49" s="190">
        <f>C49/C46-1</f>
        <v>-0.11304840311639142</v>
      </c>
      <c r="E49" s="287">
        <f>C49/C37-1</f>
        <v>-0.32320252541422145</v>
      </c>
      <c r="F49" s="136">
        <f>Q49/22</f>
        <v>4098276.9545454546</v>
      </c>
      <c r="G49" s="190">
        <f t="shared" ref="G49" si="63">F49/F48-1</f>
        <v>0.33125486493441714</v>
      </c>
      <c r="H49" s="190">
        <f t="shared" ref="H49" si="64">F49/F37-1</f>
        <v>-0.42862186700610949</v>
      </c>
      <c r="I49" s="130">
        <f t="shared" si="0"/>
        <v>22.253735686343699</v>
      </c>
      <c r="J49" s="130">
        <f t="shared" si="4"/>
        <v>-0.3263477609188864</v>
      </c>
      <c r="K49" s="136">
        <f>R47+R48+R49</f>
        <v>298953044117</v>
      </c>
      <c r="L49" s="190">
        <f>U49/U46-1</f>
        <v>-6.3128414354594264E-2</v>
      </c>
      <c r="M49" s="190">
        <f>K49/K37-1</f>
        <v>-0.25432472290967612</v>
      </c>
      <c r="N49" s="191">
        <f>AVERAGE(T47:T49)</f>
        <v>23.764338215670133</v>
      </c>
      <c r="O49" s="192">
        <f>N49/N46-1</f>
        <v>-5.1744458361278722E-2</v>
      </c>
      <c r="P49" s="129" t="s">
        <v>1158</v>
      </c>
      <c r="Q49" s="116">
        <v>90162093</v>
      </c>
      <c r="R49" s="116">
        <v>125293655799</v>
      </c>
      <c r="S49" s="116">
        <v>4051548.66</v>
      </c>
      <c r="T49" s="130">
        <f t="shared" ref="T49" si="65">Q49/S49</f>
        <v>22.253735686343699</v>
      </c>
      <c r="U49" s="85">
        <f t="shared" si="56"/>
        <v>216048029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3137480.4444444445</v>
      </c>
      <c r="G50" s="190">
        <f t="shared" ref="G50" si="66">F50/F49-1</f>
        <v>-0.23443913643644254</v>
      </c>
      <c r="H50" s="190">
        <f t="shared" ref="H50" si="67">F50/F38-1</f>
        <v>-0.71051227463337496</v>
      </c>
      <c r="I50" s="130">
        <f t="shared" ref="I50" si="68">T50</f>
        <v>23.713883525034174</v>
      </c>
      <c r="J50" s="130">
        <f t="shared" ref="J50" si="69">I50/I38-1</f>
        <v>-0.57908654392182723</v>
      </c>
      <c r="K50" s="136"/>
      <c r="L50" s="190"/>
      <c r="M50" s="190"/>
      <c r="N50" s="191"/>
      <c r="O50" s="192"/>
      <c r="P50" s="129" t="s">
        <v>1374</v>
      </c>
      <c r="Q50" s="116">
        <v>56474648</v>
      </c>
      <c r="R50" s="116">
        <v>79755801597</v>
      </c>
      <c r="S50" s="116">
        <v>2381501.4500000002</v>
      </c>
      <c r="T50" s="130">
        <f t="shared" ref="T50" si="70">Q50/S50</f>
        <v>23.713883525034174</v>
      </c>
      <c r="U50" s="85">
        <f t="shared" si="56"/>
        <v>208206874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2661521.9500000002</v>
      </c>
      <c r="G51" s="190">
        <f t="shared" ref="G51:G52" si="71">F51/F50-1</f>
        <v>-0.15170086407621342</v>
      </c>
      <c r="H51" s="190">
        <f t="shared" ref="H51:H52" si="72">F51/F39-1</f>
        <v>-0.48843390041406842</v>
      </c>
      <c r="I51" s="130">
        <f t="shared" ref="I51:I52" si="73">T51</f>
        <v>27.369645298132443</v>
      </c>
      <c r="J51" s="130">
        <f t="shared" ref="J51:J52" si="74">I51/I39-1</f>
        <v>-0.1950291216300053</v>
      </c>
      <c r="K51" s="136"/>
      <c r="L51" s="190"/>
      <c r="M51" s="190"/>
      <c r="N51" s="191"/>
      <c r="O51" s="192"/>
      <c r="P51" s="129" t="s">
        <v>1402</v>
      </c>
      <c r="Q51" s="116">
        <v>53230439</v>
      </c>
      <c r="R51" s="116">
        <v>76926668207</v>
      </c>
      <c r="S51" s="116">
        <v>1944871.35</v>
      </c>
      <c r="T51" s="130">
        <f t="shared" ref="T51:T52" si="75">Q51/S51</f>
        <v>27.369645298132443</v>
      </c>
      <c r="U51" s="85">
        <f t="shared" si="56"/>
        <v>199867180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8504654.1671717186</v>
      </c>
      <c r="C52" s="188">
        <f>AVERAGE(F50:F52)</f>
        <v>2834884.722390573</v>
      </c>
      <c r="D52" s="190">
        <f>C52/C49-1</f>
        <v>-0.14724261578443831</v>
      </c>
      <c r="E52" s="287">
        <f>C52/C40-1</f>
        <v>-0.56449935938030305</v>
      </c>
      <c r="F52" s="136">
        <f>Q52/22</f>
        <v>2705651.7727272729</v>
      </c>
      <c r="G52" s="190">
        <f t="shared" si="71"/>
        <v>1.6580672095254601E-2</v>
      </c>
      <c r="H52" s="190">
        <f t="shared" si="72"/>
        <v>-0.22423405676058117</v>
      </c>
      <c r="I52" s="130">
        <f t="shared" si="73"/>
        <v>31.27797919215962</v>
      </c>
      <c r="J52" s="130">
        <f t="shared" si="74"/>
        <v>0.30288191244408447</v>
      </c>
      <c r="K52" s="136">
        <f>R50+R51+R52</f>
        <v>244233081257</v>
      </c>
      <c r="L52" s="190">
        <f>U52/U49-1</f>
        <v>-0.21670460599295727</v>
      </c>
      <c r="M52" s="190">
        <f>K52/K40-1</f>
        <v>-0.55371706383478969</v>
      </c>
      <c r="N52" s="191">
        <f>AVERAGE(T50:T52)</f>
        <v>27.453836005108744</v>
      </c>
      <c r="O52" s="192">
        <f>N52/N49-1</f>
        <v>0.15525354655177259</v>
      </c>
      <c r="P52" s="129" t="s">
        <v>1403</v>
      </c>
      <c r="Q52" s="116">
        <v>59524339</v>
      </c>
      <c r="R52" s="116">
        <v>87550611453</v>
      </c>
      <c r="S52" s="116">
        <v>1903074.96</v>
      </c>
      <c r="T52" s="130">
        <f t="shared" si="75"/>
        <v>31.27797919215962</v>
      </c>
      <c r="U52" s="85">
        <f t="shared" ref="U52" si="76">Q50+Q51+Q52</f>
        <v>169229426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3819360.0952380951</v>
      </c>
      <c r="G53" s="190">
        <f t="shared" ref="G53" si="77">F53/F52-1</f>
        <v>0.41162293453167265</v>
      </c>
      <c r="H53" s="190">
        <f t="shared" ref="H53" si="78">F53/F41-1</f>
        <v>5.2156233519589978E-2</v>
      </c>
      <c r="I53" s="130">
        <f t="shared" ref="I53" si="79">T53</f>
        <v>30.073366637049446</v>
      </c>
      <c r="J53" s="130">
        <f t="shared" ref="J53" si="80">I53/I41-1</f>
        <v>8.3677320108770381E-2</v>
      </c>
      <c r="K53" s="136"/>
      <c r="L53" s="190"/>
      <c r="M53" s="190"/>
      <c r="N53" s="191"/>
      <c r="O53" s="192"/>
      <c r="P53" s="129" t="s">
        <v>1414</v>
      </c>
      <c r="Q53" s="116">
        <v>80206562</v>
      </c>
      <c r="R53" s="116">
        <v>117007157745</v>
      </c>
      <c r="S53" s="116">
        <v>2667029.7000000002</v>
      </c>
      <c r="T53" s="130">
        <f t="shared" ref="T53" si="81">Q53/S53</f>
        <v>30.073366637049446</v>
      </c>
      <c r="U53" s="85">
        <f t="shared" ref="U53" si="82">Q51+Q52+Q53</f>
        <v>192961340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2683726.2352941176</v>
      </c>
      <c r="G54" s="190">
        <f t="shared" ref="G54" si="83">F54/F53-1</f>
        <v>-0.29733615883976583</v>
      </c>
      <c r="H54" s="190">
        <f t="shared" ref="H54" si="84">F54/F42-1</f>
        <v>-0.3116817016435397</v>
      </c>
      <c r="I54" s="130">
        <f t="shared" ref="I54" si="85">T54</f>
        <v>25.678723250707304</v>
      </c>
      <c r="J54" s="130">
        <f t="shared" ref="J54" si="86">I54/I42-1</f>
        <v>-0.10940584502514195</v>
      </c>
      <c r="K54" s="136"/>
      <c r="L54" s="190"/>
      <c r="M54" s="190"/>
      <c r="N54" s="191"/>
      <c r="O54" s="192"/>
      <c r="P54" s="129" t="s">
        <v>1417</v>
      </c>
      <c r="Q54" s="116">
        <v>45623346</v>
      </c>
      <c r="R54" s="116">
        <v>66067795139</v>
      </c>
      <c r="S54" s="116">
        <v>1776698.38</v>
      </c>
      <c r="T54" s="130">
        <f t="shared" ref="T54" si="87">Q54/S54</f>
        <v>25.678723250707304</v>
      </c>
      <c r="U54" s="85">
        <f t="shared" ref="U54" si="88">Q52+Q53+Q54</f>
        <v>185354247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10188504.949579831</v>
      </c>
      <c r="C55" s="188">
        <f>AVERAGE(F53:F55)</f>
        <v>3396168.3165266104</v>
      </c>
      <c r="D55" s="190">
        <f>C55/C52-1</f>
        <v>0.19799168188494232</v>
      </c>
      <c r="E55" s="287">
        <f>C55/C43-1</f>
        <v>-0.21228114958911071</v>
      </c>
      <c r="F55" s="136">
        <f>Q55/21</f>
        <v>3685418.6190476189</v>
      </c>
      <c r="G55" s="190">
        <f t="shared" ref="G55" si="89">F55/F54-1</f>
        <v>0.37324685751478026</v>
      </c>
      <c r="H55" s="190">
        <f t="shared" ref="H55" si="90">F55/F43-1</f>
        <v>-0.31817129279804657</v>
      </c>
      <c r="I55" s="130">
        <f>T55</f>
        <v>27.560476257312398</v>
      </c>
      <c r="J55" s="130">
        <f t="shared" ref="J55" si="91">I55/I43-1</f>
        <v>-0.15080732259746255</v>
      </c>
      <c r="K55" s="136">
        <f>R53+R54+R55</f>
        <v>296871850790</v>
      </c>
      <c r="L55" s="190">
        <f>U55/U52-1</f>
        <v>0.2008768439597497</v>
      </c>
      <c r="M55" s="190">
        <f>K55/K43-1</f>
        <v>-0.18685493084324989</v>
      </c>
      <c r="N55" s="191">
        <f>AVERAGE(T53:T55)</f>
        <v>27.770855381689717</v>
      </c>
      <c r="O55" s="192">
        <f>N55/N52-1</f>
        <v>1.1547361779314924E-2</v>
      </c>
      <c r="P55" s="129" t="s">
        <v>1418</v>
      </c>
      <c r="Q55" s="116">
        <v>77393791</v>
      </c>
      <c r="R55" s="116">
        <v>113796897906</v>
      </c>
      <c r="S55" s="116">
        <v>2808144.18</v>
      </c>
      <c r="T55" s="130">
        <f t="shared" ref="T55" si="92">Q55/S55</f>
        <v>27.560476257312398</v>
      </c>
      <c r="U55" s="85">
        <f t="shared" ref="U55" si="93">Q53+Q54+Q55</f>
        <v>203223699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3284032.6363636362</v>
      </c>
      <c r="G56" s="190">
        <f t="shared" ref="G56" si="94">F56/F55-1</f>
        <v>-0.10891191047048765</v>
      </c>
      <c r="H56" s="190">
        <f t="shared" ref="H56" si="95">F56/F44-1</f>
        <v>-0.25635333578331099</v>
      </c>
      <c r="I56" s="291">
        <f>T56</f>
        <v>22.816367536675198</v>
      </c>
      <c r="J56" s="130">
        <f t="shared" ref="J56" si="96">I56/I44-1</f>
        <v>-5.5383200546877509E-2</v>
      </c>
      <c r="K56" s="136"/>
      <c r="L56" s="190"/>
      <c r="M56" s="190"/>
      <c r="N56" s="191"/>
      <c r="O56" s="192"/>
      <c r="P56" s="129" t="s">
        <v>1420</v>
      </c>
      <c r="Q56" s="116">
        <v>72248718</v>
      </c>
      <c r="R56" s="116">
        <v>107829404825</v>
      </c>
      <c r="S56" s="116">
        <v>3166530.25</v>
      </c>
      <c r="T56" s="130">
        <f t="shared" ref="T56" si="97">Q56/S56</f>
        <v>22.816367536675198</v>
      </c>
      <c r="U56" s="85">
        <f t="shared" ref="U56" si="98">Q54+Q55+Q56</f>
        <v>195265855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5033246.916666667</v>
      </c>
      <c r="G57" s="254">
        <f t="shared" ref="G57" si="99">F57/F56-1</f>
        <v>0.53264217320322116</v>
      </c>
      <c r="H57" s="254">
        <f t="shared" ref="H57" si="100">F57/F45-1</f>
        <v>0.35436063198547885</v>
      </c>
      <c r="I57" s="282">
        <f>T57</f>
        <v>36.398532933147493</v>
      </c>
      <c r="J57" s="277">
        <f t="shared" ref="J57" si="101">I57/I45-1</f>
        <v>0.39998033282217205</v>
      </c>
      <c r="K57" s="204"/>
      <c r="L57" s="254"/>
      <c r="M57" s="254"/>
      <c r="N57" s="257"/>
      <c r="O57" s="258"/>
      <c r="P57" s="129" t="s">
        <v>1436</v>
      </c>
      <c r="Q57" s="116">
        <v>60398963</v>
      </c>
      <c r="R57" s="116">
        <v>88960549804</v>
      </c>
      <c r="S57" s="116">
        <v>1659379.05</v>
      </c>
      <c r="T57" s="130">
        <f t="shared" ref="T57" si="102">Q57/S57</f>
        <v>36.398532933147493</v>
      </c>
      <c r="U57" s="85">
        <f t="shared" ref="U57" si="103">Q55+Q56+Q57</f>
        <v>210041472</v>
      </c>
      <c r="V57" s="79"/>
      <c r="W57" s="79"/>
      <c r="X57" s="79"/>
      <c r="Y57" s="79"/>
      <c r="Z57" s="79"/>
    </row>
    <row r="58" spans="1:26">
      <c r="B58" s="196">
        <f>SUM(F56:F58)</f>
        <v>8317279.5530303027</v>
      </c>
      <c r="C58" s="196">
        <f>AVERAGE(F56:F58)</f>
        <v>4158639.7765151514</v>
      </c>
      <c r="D58" s="197">
        <f>C58/C55-1</f>
        <v>0.22450932607732166</v>
      </c>
      <c r="E58" s="233">
        <f>C58/C46-1</f>
        <v>0.10953577141866888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335871380</v>
      </c>
      <c r="R66" s="212">
        <v>493661805419</v>
      </c>
      <c r="S66" s="213">
        <v>12077781.560000001</v>
      </c>
    </row>
    <row r="67" spans="16:19" ht="18" thickBot="1">
      <c r="P67" s="180" t="s">
        <v>976</v>
      </c>
      <c r="Q67" s="181">
        <v>80206562</v>
      </c>
      <c r="R67" s="181">
        <v>117007157745</v>
      </c>
      <c r="S67" s="182">
        <v>2667029.7000000002</v>
      </c>
    </row>
    <row r="68" spans="16:19" ht="18" thickBot="1">
      <c r="P68" s="180" t="s">
        <v>977</v>
      </c>
      <c r="Q68" s="181">
        <v>45623346</v>
      </c>
      <c r="R68" s="181">
        <v>66067795139</v>
      </c>
      <c r="S68" s="182">
        <v>1776698.38</v>
      </c>
    </row>
    <row r="69" spans="16:19" ht="18" thickBot="1">
      <c r="P69" s="180" t="s">
        <v>978</v>
      </c>
      <c r="Q69" s="181">
        <v>77393791</v>
      </c>
      <c r="R69" s="181">
        <v>113796897906</v>
      </c>
      <c r="S69" s="182">
        <v>2808144.18</v>
      </c>
    </row>
    <row r="70" spans="16:19" ht="18" thickBot="1">
      <c r="P70" s="180" t="s">
        <v>979</v>
      </c>
      <c r="Q70" s="181">
        <v>72248718</v>
      </c>
      <c r="R70" s="181">
        <v>107829404825</v>
      </c>
      <c r="S70" s="182">
        <v>3166530.25</v>
      </c>
    </row>
    <row r="71" spans="16:19" ht="18" thickBot="1">
      <c r="P71" s="180" t="s">
        <v>980</v>
      </c>
      <c r="Q71" s="181">
        <v>60398963</v>
      </c>
      <c r="R71" s="181">
        <v>88960549804</v>
      </c>
      <c r="S71" s="182">
        <v>1659379.05</v>
      </c>
    </row>
    <row r="72" spans="16:19" ht="18" thickBot="1">
      <c r="P72" s="180" t="s">
        <v>975</v>
      </c>
      <c r="Q72" s="181">
        <v>871382434</v>
      </c>
      <c r="R72" s="181">
        <v>1240743769744</v>
      </c>
      <c r="S72" s="182">
        <v>33096727.629999999</v>
      </c>
    </row>
    <row r="73" spans="16:19" ht="18" thickBot="1">
      <c r="P73" s="215" t="s">
        <v>982</v>
      </c>
      <c r="Q73" s="216">
        <v>1289</v>
      </c>
      <c r="R73"/>
      <c r="S73"/>
    </row>
  </sheetData>
  <phoneticPr fontId="1" type="noConversion"/>
  <conditionalFormatting sqref="C29:C30">
    <cfRule type="cellIs" dxfId="19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3"/>
  <sheetViews>
    <sheetView topLeftCell="C48" zoomScaleNormal="10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1284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1348743.5</v>
      </c>
      <c r="G5" s="90"/>
      <c r="H5" s="90"/>
      <c r="I5" s="130">
        <f t="shared" ref="I5:I49" si="0">T5</f>
        <v>22.680110520059582</v>
      </c>
      <c r="J5" s="130"/>
      <c r="K5" s="86"/>
      <c r="L5" s="80"/>
      <c r="M5" s="80"/>
      <c r="P5" s="129" t="s">
        <v>0</v>
      </c>
      <c r="Q5" s="116">
        <v>26974870</v>
      </c>
      <c r="R5" s="116">
        <v>31824108628</v>
      </c>
      <c r="S5" s="116">
        <v>1189362.3700000001</v>
      </c>
      <c r="T5" s="130">
        <f t="shared" ref="T5:T29" si="1">Q5/S5</f>
        <v>22.680110520059582</v>
      </c>
      <c r="U5" s="85"/>
    </row>
    <row r="6" spans="1:21" ht="15" hidden="1" customHeight="1">
      <c r="A6" s="129" t="s">
        <v>1</v>
      </c>
      <c r="C6" s="79"/>
      <c r="F6" s="78">
        <f>Q6/18</f>
        <v>1208040.5</v>
      </c>
      <c r="G6" s="90">
        <f t="shared" ref="G6:G29" si="2">F6/F5-1</f>
        <v>-0.10432154075255973</v>
      </c>
      <c r="H6" s="90"/>
      <c r="I6" s="130">
        <f t="shared" si="0"/>
        <v>22.170579495599316</v>
      </c>
      <c r="J6" s="130"/>
      <c r="K6" s="78"/>
      <c r="P6" s="129" t="s">
        <v>1</v>
      </c>
      <c r="Q6" s="116">
        <v>21744729</v>
      </c>
      <c r="R6" s="116">
        <v>25827887493</v>
      </c>
      <c r="S6" s="116">
        <v>980792.09</v>
      </c>
      <c r="T6" s="130">
        <f t="shared" si="1"/>
        <v>22.170579495599316</v>
      </c>
      <c r="U6" s="85"/>
    </row>
    <row r="7" spans="1:21" ht="15" hidden="1" customHeight="1">
      <c r="A7" s="129" t="s">
        <v>2</v>
      </c>
      <c r="B7" s="131">
        <f>F5+F6+F7</f>
        <v>3927064.0454545454</v>
      </c>
      <c r="C7" s="131">
        <f>AVERAGE(F5:F7)</f>
        <v>1309021.3484848484</v>
      </c>
      <c r="F7" s="78">
        <f>Q7/22</f>
        <v>1370280.0454545454</v>
      </c>
      <c r="G7" s="90">
        <f t="shared" si="2"/>
        <v>0.13429975688277462</v>
      </c>
      <c r="H7" s="90"/>
      <c r="I7" s="130">
        <f t="shared" si="0"/>
        <v>21.325860715057683</v>
      </c>
      <c r="J7" s="130"/>
      <c r="K7" s="85">
        <f>R5+R6+R7</f>
        <v>94012133504</v>
      </c>
      <c r="N7" s="88">
        <f>AVERAGE(T5:T7)</f>
        <v>22.058850243572195</v>
      </c>
      <c r="P7" s="129" t="s">
        <v>2</v>
      </c>
      <c r="Q7" s="116">
        <v>30146161</v>
      </c>
      <c r="R7" s="116">
        <v>36360137383</v>
      </c>
      <c r="S7" s="116">
        <v>1413596.45</v>
      </c>
      <c r="T7" s="130">
        <f t="shared" si="1"/>
        <v>21.325860715057683</v>
      </c>
      <c r="U7" s="85">
        <f>Q5+Q6+Q7</f>
        <v>78865760</v>
      </c>
    </row>
    <row r="8" spans="1:21" ht="15" hidden="1" customHeight="1">
      <c r="A8" s="129" t="s">
        <v>3</v>
      </c>
      <c r="C8" s="79"/>
      <c r="F8" s="78">
        <f>Q8/21</f>
        <v>1438044.5238095238</v>
      </c>
      <c r="G8" s="90">
        <f t="shared" si="2"/>
        <v>4.945301406071323E-2</v>
      </c>
      <c r="H8" s="90"/>
      <c r="I8" s="130">
        <f t="shared" si="0"/>
        <v>20.642112081339025</v>
      </c>
      <c r="J8" s="130"/>
      <c r="K8" s="78"/>
      <c r="P8" s="129" t="s">
        <v>3</v>
      </c>
      <c r="Q8" s="116">
        <v>30198935</v>
      </c>
      <c r="R8" s="116">
        <v>36582299381</v>
      </c>
      <c r="S8" s="116">
        <v>1462976.99</v>
      </c>
      <c r="T8" s="130">
        <f t="shared" si="1"/>
        <v>20.642112081339025</v>
      </c>
      <c r="U8" s="85"/>
    </row>
    <row r="9" spans="1:21" ht="15" hidden="1" customHeight="1">
      <c r="A9" s="129" t="s">
        <v>4</v>
      </c>
      <c r="C9" s="79"/>
      <c r="F9" s="78">
        <f>Q9/21</f>
        <v>1452039.2857142857</v>
      </c>
      <c r="G9" s="90">
        <f t="shared" si="2"/>
        <v>9.7318001446078384E-3</v>
      </c>
      <c r="H9" s="90"/>
      <c r="I9" s="130">
        <f t="shared" si="0"/>
        <v>19.637180133435187</v>
      </c>
      <c r="J9" s="130"/>
      <c r="K9" s="78"/>
      <c r="P9" s="129" t="s">
        <v>4</v>
      </c>
      <c r="Q9" s="116">
        <v>30492825</v>
      </c>
      <c r="R9" s="116">
        <v>38290870889</v>
      </c>
      <c r="S9" s="116">
        <v>1552810.78</v>
      </c>
      <c r="T9" s="130">
        <f t="shared" si="1"/>
        <v>19.637180133435187</v>
      </c>
      <c r="U9" s="85"/>
    </row>
    <row r="10" spans="1:21" ht="15" hidden="1" customHeight="1">
      <c r="A10" s="129" t="s">
        <v>5</v>
      </c>
      <c r="B10" s="131">
        <f>F8+F9+F10</f>
        <v>4259726.5714285718</v>
      </c>
      <c r="C10" s="131">
        <f>AVERAGE(F8:F10)</f>
        <v>1419908.8571428573</v>
      </c>
      <c r="D10" s="90">
        <f>C10/C7-1</f>
        <v>8.4710236992206145E-2</v>
      </c>
      <c r="E10" s="286"/>
      <c r="F10" s="78">
        <f>Q10/21</f>
        <v>1369642.7619047619</v>
      </c>
      <c r="G10" s="90">
        <f t="shared" si="2"/>
        <v>-5.6745381905415448E-2</v>
      </c>
      <c r="H10" s="90"/>
      <c r="I10" s="130">
        <f t="shared" si="0"/>
        <v>18.664925934940563</v>
      </c>
      <c r="J10" s="130"/>
      <c r="K10" s="85">
        <f>R8+R9+R10</f>
        <v>111123813829</v>
      </c>
      <c r="L10" s="87">
        <f>U10/U7-1</f>
        <v>0.13425975987551508</v>
      </c>
      <c r="N10" s="88">
        <f>AVERAGE(T8:T10)</f>
        <v>19.648072716571594</v>
      </c>
      <c r="O10" s="89">
        <f>N10/N7-1</f>
        <v>-0.1092884488711322</v>
      </c>
      <c r="P10" s="129" t="s">
        <v>5</v>
      </c>
      <c r="Q10" s="116">
        <v>28762498</v>
      </c>
      <c r="R10" s="116">
        <v>36250643559</v>
      </c>
      <c r="S10" s="116">
        <v>1540991.81</v>
      </c>
      <c r="T10" s="130">
        <f t="shared" si="1"/>
        <v>18.664925934940563</v>
      </c>
      <c r="U10" s="85">
        <f>Q8+Q9+Q10</f>
        <v>89454258</v>
      </c>
    </row>
    <row r="11" spans="1:21" ht="15" hidden="1" customHeight="1">
      <c r="A11" s="129" t="s">
        <v>6</v>
      </c>
      <c r="C11" s="79"/>
      <c r="F11" s="78">
        <f>Q11/21</f>
        <v>1373155.857142857</v>
      </c>
      <c r="G11" s="90">
        <f t="shared" si="2"/>
        <v>2.5649719297675677E-3</v>
      </c>
      <c r="H11" s="90"/>
      <c r="I11" s="130">
        <f t="shared" si="0"/>
        <v>21.451634171894643</v>
      </c>
      <c r="J11" s="130"/>
      <c r="K11" s="78"/>
      <c r="O11" s="89"/>
      <c r="P11" s="129" t="s">
        <v>6</v>
      </c>
      <c r="Q11" s="116">
        <v>28836273</v>
      </c>
      <c r="R11" s="116">
        <v>37207984037</v>
      </c>
      <c r="S11" s="116">
        <v>1344245.98</v>
      </c>
      <c r="T11" s="130">
        <f t="shared" si="1"/>
        <v>21.451634171894643</v>
      </c>
      <c r="U11" s="85"/>
    </row>
    <row r="12" spans="1:21" ht="15" hidden="1" customHeight="1">
      <c r="A12" s="129" t="s">
        <v>7</v>
      </c>
      <c r="C12" s="79"/>
      <c r="F12" s="78">
        <f>Q12/22</f>
        <v>1118866.0909090908</v>
      </c>
      <c r="G12" s="90">
        <f t="shared" si="2"/>
        <v>-0.18518638282100774</v>
      </c>
      <c r="H12" s="90"/>
      <c r="I12" s="130">
        <f t="shared" si="0"/>
        <v>24.300950125082242</v>
      </c>
      <c r="J12" s="130"/>
      <c r="K12" s="78"/>
      <c r="O12" s="89"/>
      <c r="P12" s="129" t="s">
        <v>7</v>
      </c>
      <c r="Q12" s="116">
        <v>24615054</v>
      </c>
      <c r="R12" s="116">
        <v>31995526199</v>
      </c>
      <c r="S12" s="116">
        <v>1012925.58</v>
      </c>
      <c r="T12" s="130">
        <f t="shared" si="1"/>
        <v>24.300950125082242</v>
      </c>
      <c r="U12" s="85"/>
    </row>
    <row r="13" spans="1:21" ht="15" hidden="1" customHeight="1">
      <c r="A13" s="129" t="s">
        <v>96</v>
      </c>
      <c r="B13" s="131">
        <f>F11+F12+F13</f>
        <v>3724471.098051948</v>
      </c>
      <c r="C13" s="131">
        <f>AVERAGE(F11:F13)</f>
        <v>1241490.366017316</v>
      </c>
      <c r="D13" s="90">
        <f>C13/C10-1</f>
        <v>-0.12565488990931095</v>
      </c>
      <c r="E13" s="286"/>
      <c r="F13" s="78">
        <f>Q13/20</f>
        <v>1232449.1499999999</v>
      </c>
      <c r="G13" s="90">
        <f t="shared" si="2"/>
        <v>0.10151622255226411</v>
      </c>
      <c r="H13" s="90"/>
      <c r="I13" s="130">
        <f t="shared" si="0"/>
        <v>24.093681938038504</v>
      </c>
      <c r="J13" s="130"/>
      <c r="K13" s="78">
        <f>R11+R12+R13</f>
        <v>102823982774</v>
      </c>
      <c r="L13" s="87">
        <f>U13/U10-1</f>
        <v>-0.12692462330859644</v>
      </c>
      <c r="N13" s="88">
        <f>AVERAGE(T11:T13)</f>
        <v>23.282088745005129</v>
      </c>
      <c r="O13" s="89">
        <f>N13/N10-1</f>
        <v>0.18495534299242133</v>
      </c>
      <c r="P13" s="129" t="s">
        <v>96</v>
      </c>
      <c r="Q13" s="116">
        <v>24648983</v>
      </c>
      <c r="R13" s="116">
        <v>33620472538</v>
      </c>
      <c r="S13" s="116">
        <v>1023047.58</v>
      </c>
      <c r="T13" s="130">
        <f t="shared" si="1"/>
        <v>24.093681938038504</v>
      </c>
      <c r="U13" s="85">
        <f>Q11+Q12+Q13</f>
        <v>78100310</v>
      </c>
    </row>
    <row r="14" spans="1:21" ht="15" hidden="1" customHeight="1">
      <c r="A14" s="129" t="s">
        <v>97</v>
      </c>
      <c r="C14" s="79"/>
      <c r="F14" s="78">
        <f>Q14/20</f>
        <v>1218856.3</v>
      </c>
      <c r="G14" s="90">
        <f t="shared" si="2"/>
        <v>-1.1029136577358933E-2</v>
      </c>
      <c r="H14" s="90"/>
      <c r="I14" s="130">
        <f t="shared" si="0"/>
        <v>23.479824320926863</v>
      </c>
      <c r="J14" s="130"/>
      <c r="K14" s="78"/>
      <c r="O14" s="89"/>
      <c r="P14" s="129" t="s">
        <v>97</v>
      </c>
      <c r="Q14" s="116">
        <v>24377126</v>
      </c>
      <c r="R14" s="116">
        <v>34760283986</v>
      </c>
      <c r="S14" s="116">
        <v>1038215.86</v>
      </c>
      <c r="T14" s="130">
        <f t="shared" si="1"/>
        <v>23.479824320926863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1197620.1363636365</v>
      </c>
      <c r="G15" s="90">
        <f t="shared" si="2"/>
        <v>-1.7423024876979776E-2</v>
      </c>
      <c r="H15" s="90"/>
      <c r="I15" s="130">
        <f t="shared" si="0"/>
        <v>24.331762105836713</v>
      </c>
      <c r="J15" s="130"/>
      <c r="K15" s="78"/>
      <c r="O15" s="89"/>
      <c r="P15" s="129" t="s">
        <v>98</v>
      </c>
      <c r="Q15" s="116">
        <v>26347643</v>
      </c>
      <c r="R15" s="116">
        <v>36378515315</v>
      </c>
      <c r="S15" s="116">
        <v>1082849.77</v>
      </c>
      <c r="T15" s="130">
        <f t="shared" si="1"/>
        <v>24.331762105836713</v>
      </c>
      <c r="U15" s="85"/>
    </row>
    <row r="16" spans="1:21" ht="15" hidden="1" customHeight="1">
      <c r="A16" s="129" t="s">
        <v>99</v>
      </c>
      <c r="B16" s="131">
        <f>F14+F15+F16</f>
        <v>3555242.4363636365</v>
      </c>
      <c r="C16" s="131">
        <f>AVERAGE(F14:F16)</f>
        <v>1185080.8121212122</v>
      </c>
      <c r="D16" s="90">
        <f>C16/C13-1</f>
        <v>-4.5436964667768476E-2</v>
      </c>
      <c r="E16" s="286"/>
      <c r="F16" s="78">
        <f>Q16/22</f>
        <v>1138766</v>
      </c>
      <c r="G16" s="90">
        <f t="shared" si="2"/>
        <v>-4.9142574157392427E-2</v>
      </c>
      <c r="H16" s="90"/>
      <c r="I16" s="130">
        <f t="shared" si="0"/>
        <v>22.293782406842173</v>
      </c>
      <c r="J16" s="130"/>
      <c r="K16" s="78">
        <f>R14+R15+R16</f>
        <v>103925409849</v>
      </c>
      <c r="L16" s="87">
        <f>U16/U13-1</f>
        <v>-2.9739817934141377E-2</v>
      </c>
      <c r="N16" s="88">
        <f>AVERAGE(T14:T16)</f>
        <v>23.368456277868585</v>
      </c>
      <c r="O16" s="89">
        <f>N16/N13-1</f>
        <v>3.7096127331781581E-3</v>
      </c>
      <c r="P16" s="129" t="s">
        <v>99</v>
      </c>
      <c r="Q16" s="116">
        <v>25052852</v>
      </c>
      <c r="R16" s="116">
        <v>32786610548</v>
      </c>
      <c r="S16" s="116">
        <v>1123759.6000000001</v>
      </c>
      <c r="T16" s="130">
        <f t="shared" si="1"/>
        <v>22.293782406842173</v>
      </c>
      <c r="U16" s="85">
        <f>Q14+Q15+Q16</f>
        <v>75777621</v>
      </c>
    </row>
    <row r="17" spans="1:21" ht="15" hidden="1" customHeight="1">
      <c r="A17" s="129" t="s">
        <v>100</v>
      </c>
      <c r="C17" s="79"/>
      <c r="F17" s="78">
        <f>Q17/20</f>
        <v>1283961.75</v>
      </c>
      <c r="G17" s="90">
        <f t="shared" si="2"/>
        <v>0.12750270907280337</v>
      </c>
      <c r="H17" s="90">
        <f t="shared" ref="H17:H29" si="3">F17/F5-1</f>
        <v>-4.8031186063176579E-2</v>
      </c>
      <c r="I17" s="130">
        <f t="shared" si="0"/>
        <v>23.612110213984593</v>
      </c>
      <c r="J17" s="130">
        <f t="shared" ref="J17:J49" si="4">I17/I5-1</f>
        <v>4.1093260683218391E-2</v>
      </c>
      <c r="K17" s="78"/>
      <c r="O17" s="89"/>
      <c r="P17" s="129" t="s">
        <v>100</v>
      </c>
      <c r="Q17" s="116">
        <v>25679235</v>
      </c>
      <c r="R17" s="116">
        <v>32314881017</v>
      </c>
      <c r="S17" s="116">
        <v>1087545.1100000001</v>
      </c>
      <c r="T17" s="130">
        <f t="shared" si="1"/>
        <v>23.612110213984593</v>
      </c>
      <c r="U17" s="78"/>
    </row>
    <row r="18" spans="1:21" ht="15" hidden="1" customHeight="1">
      <c r="A18" s="129" t="s">
        <v>106</v>
      </c>
      <c r="C18" s="79"/>
      <c r="F18" s="78">
        <f>Q18/20</f>
        <v>1488534.8</v>
      </c>
      <c r="G18" s="90">
        <f t="shared" si="2"/>
        <v>0.15932955167862284</v>
      </c>
      <c r="H18" s="90">
        <f t="shared" si="3"/>
        <v>0.23218948371350145</v>
      </c>
      <c r="I18" s="130">
        <f t="shared" si="0"/>
        <v>24.964769010384387</v>
      </c>
      <c r="J18" s="130">
        <f t="shared" si="4"/>
        <v>0.12603141543231633</v>
      </c>
      <c r="K18" s="78"/>
      <c r="O18" s="89"/>
      <c r="P18" s="129" t="s">
        <v>106</v>
      </c>
      <c r="Q18" s="116">
        <v>29770696</v>
      </c>
      <c r="R18" s="116">
        <v>37388067328</v>
      </c>
      <c r="S18" s="116">
        <v>1192508.3700000001</v>
      </c>
      <c r="T18" s="130">
        <f t="shared" si="1"/>
        <v>24.964769010384387</v>
      </c>
      <c r="U18" s="78"/>
    </row>
    <row r="19" spans="1:21" hidden="1">
      <c r="A19" s="129" t="s">
        <v>114</v>
      </c>
      <c r="B19" s="131">
        <f>SUM(F17:F19)</f>
        <v>4541535.9136363631</v>
      </c>
      <c r="C19" s="131">
        <f>AVERAGE(F17:F19)</f>
        <v>1513845.3045454544</v>
      </c>
      <c r="D19" s="90">
        <f>C19/C16-1</f>
        <v>0.27741947136565037</v>
      </c>
      <c r="E19" s="286">
        <f>C19/C7-1</f>
        <v>0.15647105854895593</v>
      </c>
      <c r="F19" s="78">
        <f>Q19/22</f>
        <v>1769039.3636363635</v>
      </c>
      <c r="G19" s="90">
        <f t="shared" si="2"/>
        <v>0.18844340329588771</v>
      </c>
      <c r="H19" s="90">
        <f t="shared" si="3"/>
        <v>0.29100571047835899</v>
      </c>
      <c r="I19" s="130">
        <f t="shared" si="0"/>
        <v>25.13327319340133</v>
      </c>
      <c r="J19" s="130">
        <f t="shared" si="4"/>
        <v>0.17853499697929309</v>
      </c>
      <c r="K19" s="78">
        <f>R17+R18+R19</f>
        <v>120579373872</v>
      </c>
      <c r="L19" s="87">
        <f>U19/U16-1</f>
        <v>0.24533860729145873</v>
      </c>
      <c r="M19" s="87">
        <f>U19/U7-1</f>
        <v>0.1965750028909885</v>
      </c>
      <c r="N19" s="88">
        <f>AVERAGE(T17:T19)</f>
        <v>24.570050805923433</v>
      </c>
      <c r="O19" s="89">
        <f>N19/N16-1</f>
        <v>5.1419508150944315E-2</v>
      </c>
      <c r="P19" s="129" t="s">
        <v>114</v>
      </c>
      <c r="Q19" s="116">
        <v>38918866</v>
      </c>
      <c r="R19" s="116">
        <v>50876425527</v>
      </c>
      <c r="S19" s="116">
        <v>1548499.7</v>
      </c>
      <c r="T19" s="130">
        <f t="shared" si="1"/>
        <v>25.13327319340133</v>
      </c>
      <c r="U19" s="85">
        <f>Q17+Q18+Q19</f>
        <v>94368797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1928991.1</v>
      </c>
      <c r="G20" s="90">
        <f t="shared" si="2"/>
        <v>9.0417285025725214E-2</v>
      </c>
      <c r="H20" s="90">
        <f t="shared" si="3"/>
        <v>0.34139873144533084</v>
      </c>
      <c r="I20" s="130">
        <f t="shared" si="0"/>
        <v>21.512172764844689</v>
      </c>
      <c r="J20" s="130">
        <f t="shared" si="4"/>
        <v>4.2149789715182351E-2</v>
      </c>
      <c r="K20" s="78"/>
      <c r="O20" s="89"/>
      <c r="P20" s="129" t="s">
        <v>131</v>
      </c>
      <c r="Q20" s="116">
        <v>38579822</v>
      </c>
      <c r="R20" s="116">
        <v>50590856087</v>
      </c>
      <c r="S20" s="116">
        <v>1793394.95</v>
      </c>
      <c r="T20" s="130">
        <f t="shared" si="1"/>
        <v>21.512172764844689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1948300.142857143</v>
      </c>
      <c r="G21" s="90">
        <f t="shared" si="2"/>
        <v>1.0009918063978107E-2</v>
      </c>
      <c r="H21" s="90">
        <f t="shared" si="3"/>
        <v>0.34176820284771914</v>
      </c>
      <c r="I21" s="130">
        <f t="shared" si="0"/>
        <v>24.159414605079341</v>
      </c>
      <c r="J21" s="130">
        <f t="shared" si="4"/>
        <v>0.23028940208907001</v>
      </c>
      <c r="K21" s="78"/>
      <c r="O21" s="89"/>
      <c r="P21" s="129" t="s">
        <v>141</v>
      </c>
      <c r="Q21" s="116">
        <v>40914303</v>
      </c>
      <c r="R21" s="116">
        <v>54479466705</v>
      </c>
      <c r="S21" s="116">
        <v>1693513.84</v>
      </c>
      <c r="T21" s="130">
        <f t="shared" si="1"/>
        <v>24.159414605079341</v>
      </c>
      <c r="U21" s="78"/>
    </row>
    <row r="22" spans="1:21" hidden="1">
      <c r="A22" s="129" t="s">
        <v>155</v>
      </c>
      <c r="B22" s="131">
        <f>SUM(F20:F22)</f>
        <v>6310449.9095238093</v>
      </c>
      <c r="C22" s="131">
        <f>AVERAGE(F20:F22)</f>
        <v>2103483.3031746033</v>
      </c>
      <c r="D22" s="90">
        <f>C22/C19-1</f>
        <v>0.38949686395215455</v>
      </c>
      <c r="E22" s="286">
        <f>C22/C10-1</f>
        <v>0.4814213550348827</v>
      </c>
      <c r="F22" s="78">
        <f>Q22/21</f>
        <v>2433158.6666666665</v>
      </c>
      <c r="G22" s="90">
        <f t="shared" si="2"/>
        <v>0.24886233550159687</v>
      </c>
      <c r="H22" s="90">
        <f t="shared" si="3"/>
        <v>0.77649145773082706</v>
      </c>
      <c r="I22" s="130">
        <f t="shared" si="0"/>
        <v>23.033455448411143</v>
      </c>
      <c r="J22" s="130">
        <f t="shared" si="4"/>
        <v>0.23405019278928596</v>
      </c>
      <c r="K22" s="78">
        <f>R20+R21+R22</f>
        <v>171479141066</v>
      </c>
      <c r="L22" s="87">
        <f>U22/U19-1</f>
        <v>0.3838308969860027</v>
      </c>
      <c r="M22" s="87">
        <f>U22/U10-1</f>
        <v>0.45985736084245432</v>
      </c>
      <c r="N22" s="88">
        <f>AVERAGE(T20:T22)</f>
        <v>22.901680939445058</v>
      </c>
      <c r="O22" s="89">
        <f>N22/N19-1</f>
        <v>-6.7902581059220202E-2</v>
      </c>
      <c r="P22" s="129" t="s">
        <v>155</v>
      </c>
      <c r="Q22" s="116">
        <v>51096332</v>
      </c>
      <c r="R22" s="116">
        <v>66408818274</v>
      </c>
      <c r="S22" s="116">
        <v>2218352.87</v>
      </c>
      <c r="T22" s="130">
        <f t="shared" si="1"/>
        <v>23.033455448411143</v>
      </c>
      <c r="U22" s="85">
        <f>Q20+Q21+Q22</f>
        <v>130590457</v>
      </c>
    </row>
    <row r="23" spans="1:21" hidden="1">
      <c r="A23" s="129" t="s">
        <v>189</v>
      </c>
      <c r="B23" s="131"/>
      <c r="C23" s="131"/>
      <c r="F23" s="78">
        <f>Q23/21</f>
        <v>1840674.3333333333</v>
      </c>
      <c r="G23" s="90">
        <f t="shared" si="2"/>
        <v>-0.2435041912597562</v>
      </c>
      <c r="H23" s="90">
        <f t="shared" si="3"/>
        <v>0.34047007392390838</v>
      </c>
      <c r="I23" s="130">
        <f t="shared" si="0"/>
        <v>21.510086117725702</v>
      </c>
      <c r="J23" s="130">
        <f t="shared" si="4"/>
        <v>2.7248248484323945E-3</v>
      </c>
      <c r="K23" s="78"/>
      <c r="O23" s="89"/>
      <c r="P23" s="129" t="s">
        <v>189</v>
      </c>
      <c r="Q23" s="116">
        <v>38654161</v>
      </c>
      <c r="R23" s="116">
        <v>49893635369</v>
      </c>
      <c r="S23" s="116">
        <v>1797024.93</v>
      </c>
      <c r="T23" s="130">
        <f t="shared" si="1"/>
        <v>21.510086117725702</v>
      </c>
      <c r="U23" s="78"/>
    </row>
    <row r="24" spans="1:21" hidden="1">
      <c r="A24" s="129" t="s">
        <v>204</v>
      </c>
      <c r="B24" s="131"/>
      <c r="C24" s="131"/>
      <c r="F24" s="78">
        <f>Q24/22</f>
        <v>2549130.2727272729</v>
      </c>
      <c r="G24" s="90">
        <f t="shared" si="2"/>
        <v>0.38488934547752129</v>
      </c>
      <c r="H24" s="90">
        <f t="shared" si="3"/>
        <v>1.2783157818788458</v>
      </c>
      <c r="I24" s="130">
        <f t="shared" si="0"/>
        <v>23.055673596890394</v>
      </c>
      <c r="J24" s="130">
        <f t="shared" si="4"/>
        <v>-5.1243944034374822E-2</v>
      </c>
      <c r="K24" s="78"/>
      <c r="O24" s="89"/>
      <c r="P24" s="129" t="s">
        <v>204</v>
      </c>
      <c r="Q24" s="116">
        <v>56080866</v>
      </c>
      <c r="R24" s="116">
        <v>73838917836</v>
      </c>
      <c r="S24" s="116">
        <v>2432410.65</v>
      </c>
      <c r="T24" s="130">
        <f t="shared" si="1"/>
        <v>23.055673596890394</v>
      </c>
      <c r="U24" s="78"/>
    </row>
    <row r="25" spans="1:21" s="79" customFormat="1" ht="13.2" hidden="1">
      <c r="A25" s="129" t="s">
        <v>217</v>
      </c>
      <c r="B25" s="131">
        <f>SUM(F23:F25)</f>
        <v>7893212.5007974487</v>
      </c>
      <c r="C25" s="131">
        <f>AVERAGE(F23:F25)</f>
        <v>2631070.8335991497</v>
      </c>
      <c r="D25" s="90">
        <f>C25/C22-1</f>
        <v>0.25081612467677061</v>
      </c>
      <c r="E25" s="286">
        <f>C25/C13-1</f>
        <v>1.1192841326989824</v>
      </c>
      <c r="F25" s="78">
        <f>Q25/19</f>
        <v>3503407.8947368423</v>
      </c>
      <c r="G25" s="90">
        <f t="shared" si="2"/>
        <v>0.37435419924169011</v>
      </c>
      <c r="H25" s="90">
        <f t="shared" si="3"/>
        <v>1.8426388989248297</v>
      </c>
      <c r="I25" s="130">
        <f t="shared" si="0"/>
        <v>20.912945472898958</v>
      </c>
      <c r="J25" s="130">
        <f t="shared" si="4"/>
        <v>-0.13201537537182639</v>
      </c>
      <c r="K25" s="78">
        <f>R23+R24+R25</f>
        <v>212104030396</v>
      </c>
      <c r="L25" s="90">
        <f>U25/U22-1</f>
        <v>0.23515745871078475</v>
      </c>
      <c r="M25" s="90">
        <f>U25/U13-1</f>
        <v>1.0652898432797513</v>
      </c>
      <c r="N25" s="88">
        <f>AVERAGE(T23:T25)</f>
        <v>21.826235062505017</v>
      </c>
      <c r="O25" s="91">
        <f>N25/N22-1</f>
        <v>-4.6959255077548945E-2</v>
      </c>
      <c r="P25" s="129" t="s">
        <v>217</v>
      </c>
      <c r="Q25" s="116">
        <v>66564750</v>
      </c>
      <c r="R25" s="116">
        <v>88371477191</v>
      </c>
      <c r="S25" s="116">
        <v>3182944.75</v>
      </c>
      <c r="T25" s="130">
        <f t="shared" si="1"/>
        <v>20.912945472898958</v>
      </c>
      <c r="U25" s="85">
        <f>Q23+Q24+Q25</f>
        <v>161299777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2579300.789473684</v>
      </c>
      <c r="G26" s="90">
        <f t="shared" si="2"/>
        <v>-0.2637737691495875</v>
      </c>
      <c r="H26" s="90">
        <f t="shared" si="3"/>
        <v>1.1161647927435614</v>
      </c>
      <c r="I26" s="130">
        <f t="shared" si="0"/>
        <v>22.207835983544108</v>
      </c>
      <c r="J26" s="130">
        <f t="shared" si="4"/>
        <v>-5.4173673533369215E-2</v>
      </c>
      <c r="K26" s="78"/>
      <c r="L26" s="90"/>
      <c r="M26" s="90"/>
      <c r="P26" s="129" t="s">
        <v>312</v>
      </c>
      <c r="Q26" s="116">
        <v>49006715</v>
      </c>
      <c r="R26" s="116">
        <v>66115421063</v>
      </c>
      <c r="S26" s="116">
        <v>2206730.77</v>
      </c>
      <c r="T26" s="130">
        <f t="shared" si="1"/>
        <v>22.207835983544108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3106146.5</v>
      </c>
      <c r="G27" s="90">
        <f t="shared" si="2"/>
        <v>0.20425912040829508</v>
      </c>
      <c r="H27" s="90">
        <f t="shared" si="3"/>
        <v>1.5935990934748885</v>
      </c>
      <c r="I27" s="130">
        <f t="shared" si="0"/>
        <v>22.114489915040735</v>
      </c>
      <c r="J27" s="130">
        <f t="shared" si="4"/>
        <v>-9.1126659103086372E-2</v>
      </c>
      <c r="K27" s="78"/>
      <c r="L27" s="90"/>
      <c r="M27" s="90"/>
      <c r="P27" s="129" t="s">
        <v>373</v>
      </c>
      <c r="Q27" s="116">
        <v>68335223</v>
      </c>
      <c r="R27" s="116">
        <v>90374129039</v>
      </c>
      <c r="S27" s="116">
        <v>3090065.53</v>
      </c>
      <c r="T27" s="130">
        <f t="shared" si="1"/>
        <v>22.114489915040735</v>
      </c>
      <c r="U27" s="78"/>
    </row>
    <row r="28" spans="1:21" s="79" customFormat="1" ht="13.2" hidden="1">
      <c r="A28" s="123" t="s">
        <v>413</v>
      </c>
      <c r="B28" s="131">
        <f>SUM(F26:F28)</f>
        <v>8368814.4473684207</v>
      </c>
      <c r="C28" s="131">
        <f>AVERAGE(F26:F28)</f>
        <v>2789604.8157894737</v>
      </c>
      <c r="D28" s="90">
        <f>C28/C25-1</f>
        <v>6.0254547375092393E-2</v>
      </c>
      <c r="E28" s="286">
        <f>C28/C16-1</f>
        <v>1.3539363621931191</v>
      </c>
      <c r="F28" s="78">
        <f>Q28/19</f>
        <v>2683367.1578947366</v>
      </c>
      <c r="G28" s="90">
        <f t="shared" si="2"/>
        <v>-0.13611056082038098</v>
      </c>
      <c r="H28" s="90">
        <f t="shared" si="3"/>
        <v>1.3563815199037701</v>
      </c>
      <c r="I28" s="130">
        <f t="shared" si="0"/>
        <v>24.134325287516191</v>
      </c>
      <c r="J28" s="130">
        <f t="shared" si="4"/>
        <v>8.2558573825011417E-2</v>
      </c>
      <c r="K28" s="78">
        <f>R26+R27+R28</f>
        <v>223006377911</v>
      </c>
      <c r="L28" s="90">
        <f>U28/U25-1</f>
        <v>4.3559496055595837E-2</v>
      </c>
      <c r="M28" s="90">
        <f>U28/U16-1</f>
        <v>1.2213143112529226</v>
      </c>
      <c r="N28" s="88">
        <f>AVERAGE(T26:T28)</f>
        <v>22.818883728700342</v>
      </c>
      <c r="O28" s="91">
        <f>N28/N25-1</f>
        <v>4.5479610356647493E-2</v>
      </c>
      <c r="P28" s="129" t="s">
        <v>413</v>
      </c>
      <c r="Q28" s="116">
        <v>50983976</v>
      </c>
      <c r="R28" s="116">
        <v>66516827809</v>
      </c>
      <c r="S28" s="116">
        <v>2112508.86</v>
      </c>
      <c r="T28" s="130">
        <f t="shared" si="1"/>
        <v>24.134325287516191</v>
      </c>
      <c r="U28" s="85">
        <f>Q26+Q27+Q28</f>
        <v>168325914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2592619.5909090908</v>
      </c>
      <c r="G29" s="190">
        <f t="shared" si="2"/>
        <v>-3.3818542765814752E-2</v>
      </c>
      <c r="H29" s="190">
        <f t="shared" si="3"/>
        <v>1.0192342886453516</v>
      </c>
      <c r="I29" s="130">
        <f t="shared" si="0"/>
        <v>25.225922355233802</v>
      </c>
      <c r="J29" s="130">
        <f t="shared" si="4"/>
        <v>6.8346798597162417E-2</v>
      </c>
      <c r="K29" s="136"/>
      <c r="L29" s="190"/>
      <c r="M29" s="190"/>
      <c r="N29" s="191"/>
      <c r="O29" s="192"/>
      <c r="P29" s="129" t="s">
        <v>426</v>
      </c>
      <c r="Q29" s="116">
        <v>57037631</v>
      </c>
      <c r="R29" s="116">
        <v>75109262204</v>
      </c>
      <c r="S29" s="116">
        <v>2261072.17</v>
      </c>
      <c r="T29" s="130">
        <f t="shared" si="1"/>
        <v>25.225922355233802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3021217.0526315789</v>
      </c>
      <c r="G30" s="190">
        <f t="shared" ref="G30" si="5">F30/F29-1</f>
        <v>0.16531444228275771</v>
      </c>
      <c r="H30" s="190">
        <f t="shared" ref="H30" si="6">F30/F18-1</f>
        <v>1.0296583275255498</v>
      </c>
      <c r="I30" s="130">
        <f t="shared" si="0"/>
        <v>24.468325926433895</v>
      </c>
      <c r="J30" s="130">
        <f t="shared" si="4"/>
        <v>-1.9885747140059307E-2</v>
      </c>
      <c r="K30" s="136"/>
      <c r="L30" s="190"/>
      <c r="M30" s="190"/>
      <c r="N30" s="191"/>
      <c r="O30" s="192"/>
      <c r="P30" s="129" t="s">
        <v>466</v>
      </c>
      <c r="Q30" s="116">
        <v>57403124</v>
      </c>
      <c r="R30" s="116">
        <v>76480774776</v>
      </c>
      <c r="S30" s="116">
        <v>2346017.63</v>
      </c>
      <c r="T30" s="130">
        <f t="shared" ref="T30" si="7">Q30/S30</f>
        <v>24.468325926433895</v>
      </c>
      <c r="U30" s="85"/>
    </row>
    <row r="31" spans="1:21" s="79" customFormat="1" ht="13.2" hidden="1">
      <c r="A31" s="129" t="s">
        <v>505</v>
      </c>
      <c r="B31" s="188">
        <f>SUM(F29:F31)</f>
        <v>8818062.94354067</v>
      </c>
      <c r="C31" s="188">
        <f>AVERAGE(F29:F31)</f>
        <v>2939354.3145135567</v>
      </c>
      <c r="D31" s="190">
        <f>C31/C28-1</f>
        <v>5.3681259035861961E-2</v>
      </c>
      <c r="E31" s="287">
        <f>C31/C19-1</f>
        <v>0.94164774015408659</v>
      </c>
      <c r="F31" s="136">
        <f>Q31/20</f>
        <v>3204226.3</v>
      </c>
      <c r="G31" s="190">
        <f t="shared" ref="G31" si="8">F31/F30-1</f>
        <v>6.0574677085518891E-2</v>
      </c>
      <c r="H31" s="190">
        <f t="shared" ref="H31" si="9">F31/F19-1</f>
        <v>0.81128038519930157</v>
      </c>
      <c r="I31" s="130">
        <f t="shared" si="0"/>
        <v>26.956113431794154</v>
      </c>
      <c r="J31" s="130">
        <f t="shared" si="4"/>
        <v>7.2526973481170209E-2</v>
      </c>
      <c r="K31" s="136">
        <f>R29+R30+R31</f>
        <v>236751704401</v>
      </c>
      <c r="L31" s="190">
        <f>U31/U28-1</f>
        <v>6.0592969660036911E-2</v>
      </c>
      <c r="M31" s="190">
        <f>U31/U19-1</f>
        <v>0.89178294812850067</v>
      </c>
      <c r="N31" s="191">
        <f>AVERAGE(T29:T31)</f>
        <v>25.550120571153951</v>
      </c>
      <c r="O31" s="192">
        <f>N31/N28-1</f>
        <v>0.11969195666738108</v>
      </c>
      <c r="P31" s="129" t="s">
        <v>505</v>
      </c>
      <c r="Q31" s="116">
        <v>64084526</v>
      </c>
      <c r="R31" s="116">
        <v>85161667421</v>
      </c>
      <c r="S31" s="116">
        <v>2377365.2000000002</v>
      </c>
      <c r="T31" s="130">
        <f t="shared" ref="T31" si="10">Q31/S31</f>
        <v>26.956113431794154</v>
      </c>
      <c r="U31" s="85">
        <f>Q29+Q30+Q31</f>
        <v>178525281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4112978.2380952379</v>
      </c>
      <c r="G32" s="190">
        <f t="shared" ref="G32" si="11">F32/F31-1</f>
        <v>0.28361041106717022</v>
      </c>
      <c r="H32" s="190">
        <f t="shared" ref="H32" si="12">F32/F20-1</f>
        <v>1.1321914020729476</v>
      </c>
      <c r="I32" s="130">
        <f t="shared" si="0"/>
        <v>25.192873742334143</v>
      </c>
      <c r="J32" s="130">
        <f t="shared" si="4"/>
        <v>0.17109852257715574</v>
      </c>
      <c r="K32" s="136"/>
      <c r="L32" s="190"/>
      <c r="M32" s="190"/>
      <c r="N32" s="191"/>
      <c r="O32" s="192"/>
      <c r="P32" s="129" t="s">
        <v>587</v>
      </c>
      <c r="Q32" s="116">
        <v>86372543</v>
      </c>
      <c r="R32" s="116">
        <v>117511800772</v>
      </c>
      <c r="S32" s="116">
        <v>3428451.39</v>
      </c>
      <c r="T32" s="130">
        <f t="shared" ref="T32" si="13">Q32/S32</f>
        <v>25.192873742334143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3918383.5238095238</v>
      </c>
      <c r="G33" s="190">
        <f t="shared" ref="G33" si="14">F33/F32-1</f>
        <v>-4.7312361753665155E-2</v>
      </c>
      <c r="H33" s="190">
        <f t="shared" ref="H33" si="15">F33/F21-1</f>
        <v>1.0111806377344372</v>
      </c>
      <c r="I33" s="130">
        <f t="shared" si="0"/>
        <v>27.156963585478287</v>
      </c>
      <c r="J33" s="130">
        <f t="shared" si="4"/>
        <v>0.12407374224078804</v>
      </c>
      <c r="K33" s="136"/>
      <c r="L33" s="190"/>
      <c r="M33" s="190"/>
      <c r="N33" s="191"/>
      <c r="O33" s="192"/>
      <c r="P33" s="129" t="s">
        <v>607</v>
      </c>
      <c r="Q33" s="116">
        <v>82286054</v>
      </c>
      <c r="R33" s="116">
        <v>112536534497</v>
      </c>
      <c r="S33" s="116">
        <v>3030016.73</v>
      </c>
      <c r="T33" s="130">
        <f t="shared" ref="T33" si="16">Q33/S33</f>
        <v>27.156963585478287</v>
      </c>
      <c r="U33" s="85"/>
    </row>
    <row r="34" spans="1:21" s="79" customFormat="1" ht="13.2" hidden="1">
      <c r="A34" s="129" t="s">
        <v>652</v>
      </c>
      <c r="B34" s="188">
        <f>SUM(F32:F34)</f>
        <v>11837249.972431077</v>
      </c>
      <c r="C34" s="188">
        <f>AVERAGE(F32:F34)</f>
        <v>3945749.9908103589</v>
      </c>
      <c r="D34" s="190">
        <f>C34/C31-1</f>
        <v>0.34238664979160705</v>
      </c>
      <c r="E34" s="287">
        <f>C34/C22-1</f>
        <v>0.87581711956324249</v>
      </c>
      <c r="F34" s="136">
        <f>Q34/19</f>
        <v>3805888.210526316</v>
      </c>
      <c r="G34" s="190">
        <f t="shared" ref="G34" si="17">F34/F33-1</f>
        <v>-2.870962288393808E-2</v>
      </c>
      <c r="H34" s="190">
        <f t="shared" ref="H34" si="18">F34/F22-1</f>
        <v>0.56417592599509181</v>
      </c>
      <c r="I34" s="130">
        <f t="shared" si="0"/>
        <v>25.535344802891601</v>
      </c>
      <c r="J34" s="130">
        <f t="shared" si="4"/>
        <v>0.10861980131830551</v>
      </c>
      <c r="K34" s="136">
        <f>R32+R33+R34</f>
        <v>329431884261</v>
      </c>
      <c r="L34" s="190">
        <f>U34/U31-1</f>
        <v>0.34978346848253938</v>
      </c>
      <c r="M34" s="190">
        <f>U34/U22-1</f>
        <v>0.84523799468746796</v>
      </c>
      <c r="N34" s="191">
        <f>AVERAGE(T32:T34)</f>
        <v>25.961727376901347</v>
      </c>
      <c r="O34" s="192">
        <f>N34/N31-1</f>
        <v>1.610977938836422E-2</v>
      </c>
      <c r="P34" s="129" t="s">
        <v>652</v>
      </c>
      <c r="Q34" s="116">
        <v>72311876</v>
      </c>
      <c r="R34" s="116">
        <v>99383548992</v>
      </c>
      <c r="S34" s="116">
        <v>2831834.72</v>
      </c>
      <c r="T34" s="130">
        <f t="shared" ref="T34" si="19">Q34/S34</f>
        <v>25.535344802891601</v>
      </c>
      <c r="U34" s="85">
        <f>Q32+Q33+Q34</f>
        <v>240970473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3185679.2173913042</v>
      </c>
      <c r="G35" s="190">
        <f t="shared" ref="G35" si="20">F35/F34-1</f>
        <v>-0.16296038107993804</v>
      </c>
      <c r="H35" s="190">
        <f t="shared" ref="H35" si="21">F35/F23-1</f>
        <v>0.73071311948065287</v>
      </c>
      <c r="I35" s="130">
        <f t="shared" si="0"/>
        <v>28.235585350257189</v>
      </c>
      <c r="J35" s="130">
        <f t="shared" si="4"/>
        <v>0.31266723878846947</v>
      </c>
      <c r="K35" s="136"/>
      <c r="L35" s="190"/>
      <c r="M35" s="190"/>
      <c r="N35" s="191"/>
      <c r="O35" s="192"/>
      <c r="P35" s="129" t="s">
        <v>660</v>
      </c>
      <c r="Q35" s="116">
        <v>73270622</v>
      </c>
      <c r="R35" s="116">
        <v>101438271172</v>
      </c>
      <c r="S35" s="116">
        <v>2594974.4300000002</v>
      </c>
      <c r="T35" s="130">
        <f t="shared" ref="T35" si="22">Q35/S35</f>
        <v>28.235585350257189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4899266.666666667</v>
      </c>
      <c r="G36" s="190">
        <f t="shared" ref="G36" si="23">F36/F35-1</f>
        <v>0.53790332683859776</v>
      </c>
      <c r="H36" s="190">
        <f t="shared" ref="H36" si="24">F36/F24-1</f>
        <v>0.92193655972906452</v>
      </c>
      <c r="I36" s="130">
        <f t="shared" si="0"/>
        <v>33.893505089380689</v>
      </c>
      <c r="J36" s="130">
        <f t="shared" si="4"/>
        <v>0.47007221224506046</v>
      </c>
      <c r="K36" s="136"/>
      <c r="L36" s="190"/>
      <c r="M36" s="190"/>
      <c r="N36" s="191"/>
      <c r="O36" s="192"/>
      <c r="P36" s="129" t="s">
        <v>666</v>
      </c>
      <c r="Q36" s="116">
        <v>102884600</v>
      </c>
      <c r="R36" s="116">
        <v>140244058392</v>
      </c>
      <c r="S36" s="116">
        <v>3035525.53</v>
      </c>
      <c r="T36" s="130">
        <f t="shared" ref="T36" si="25">Q36/S36</f>
        <v>33.893505089380689</v>
      </c>
      <c r="U36" s="85"/>
    </row>
    <row r="37" spans="1:21" s="79" customFormat="1" ht="13.2" hidden="1">
      <c r="A37" s="129" t="s">
        <v>702</v>
      </c>
      <c r="B37" s="188">
        <f>SUM(F35:F37)</f>
        <v>12691394.939613527</v>
      </c>
      <c r="C37" s="188">
        <f>AVERAGE(F35:F37)</f>
        <v>4230464.9798711753</v>
      </c>
      <c r="D37" s="190">
        <f>C37/C34-1</f>
        <v>7.2157381923314112E-2</v>
      </c>
      <c r="E37" s="287">
        <f>C37/C25-1</f>
        <v>0.60788714839887015</v>
      </c>
      <c r="F37" s="136">
        <f>Q37/18</f>
        <v>4606449.055555556</v>
      </c>
      <c r="G37" s="190">
        <f t="shared" ref="G37" si="26">F37/F36-1</f>
        <v>-5.9767640962139379E-2</v>
      </c>
      <c r="H37" s="190">
        <f t="shared" ref="H37" si="27">F37/F25-1</f>
        <v>0.31484805479710443</v>
      </c>
      <c r="I37" s="130">
        <f t="shared" si="0"/>
        <v>30.166718102041052</v>
      </c>
      <c r="J37" s="130">
        <f t="shared" si="4"/>
        <v>0.44249016194940305</v>
      </c>
      <c r="K37" s="136">
        <f>R35+R36+R37</f>
        <v>352360690033</v>
      </c>
      <c r="L37" s="190">
        <f>U37/U34-1</f>
        <v>7.5116389882340373E-2</v>
      </c>
      <c r="M37" s="190">
        <f>U37/U25-1</f>
        <v>0.60614794278357875</v>
      </c>
      <c r="N37" s="191">
        <f>AVERAGE(T35:T37)</f>
        <v>30.765269513892974</v>
      </c>
      <c r="O37" s="192">
        <f>N37/N34-1</f>
        <v>0.18502398038681478</v>
      </c>
      <c r="P37" s="129" t="s">
        <v>702</v>
      </c>
      <c r="Q37" s="116">
        <v>82916083</v>
      </c>
      <c r="R37" s="116">
        <v>110678360469</v>
      </c>
      <c r="S37" s="116">
        <v>2748594.75</v>
      </c>
      <c r="T37" s="130">
        <f t="shared" ref="T37" si="28">Q37/S37</f>
        <v>30.166718102041052</v>
      </c>
      <c r="U37" s="85">
        <f>Q35+Q36+Q37</f>
        <v>259071305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3575793.2</v>
      </c>
      <c r="G38" s="190">
        <f t="shared" ref="G38" si="29">F38/F37-1</f>
        <v>-0.2237419415965417</v>
      </c>
      <c r="H38" s="190">
        <f t="shared" ref="H38" si="30">F38/F26-1</f>
        <v>0.38634207169364454</v>
      </c>
      <c r="I38" s="130">
        <f t="shared" si="0"/>
        <v>27.638910009070624</v>
      </c>
      <c r="J38" s="130">
        <f t="shared" si="4"/>
        <v>0.2445566524154319</v>
      </c>
      <c r="K38" s="136"/>
      <c r="L38" s="190"/>
      <c r="M38" s="190"/>
      <c r="N38" s="191"/>
      <c r="O38" s="192"/>
      <c r="P38" s="129" t="s">
        <v>728</v>
      </c>
      <c r="Q38" s="116">
        <v>71515864</v>
      </c>
      <c r="R38" s="116">
        <v>96222531535</v>
      </c>
      <c r="S38" s="116">
        <v>2587506.67</v>
      </c>
      <c r="T38" s="130">
        <f t="shared" ref="T38" si="31">Q38/S38</f>
        <v>27.638910009070624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3095165.9047619049</v>
      </c>
      <c r="G39" s="190">
        <f t="shared" ref="G39" si="32">F39/F38-1</f>
        <v>-0.13441137905796552</v>
      </c>
      <c r="H39" s="190">
        <f t="shared" ref="H39" si="33">F39/F27-1</f>
        <v>-3.5351182689210559E-3</v>
      </c>
      <c r="I39" s="130">
        <f t="shared" si="0"/>
        <v>27.511740612853469</v>
      </c>
      <c r="J39" s="130">
        <f t="shared" si="4"/>
        <v>0.24405947044439391</v>
      </c>
      <c r="K39" s="136"/>
      <c r="L39" s="190"/>
      <c r="M39" s="190"/>
      <c r="N39" s="191"/>
      <c r="O39" s="192"/>
      <c r="P39" s="129" t="s">
        <v>762</v>
      </c>
      <c r="Q39" s="116">
        <v>64998484</v>
      </c>
      <c r="R39" s="116">
        <v>90406458758</v>
      </c>
      <c r="S39" s="116">
        <v>2362572.58</v>
      </c>
      <c r="T39" s="130">
        <f t="shared" ref="T39" si="34">Q39/S39</f>
        <v>27.511740612853469</v>
      </c>
      <c r="U39" s="85"/>
    </row>
    <row r="40" spans="1:21" s="79" customFormat="1" ht="13.2" hidden="1">
      <c r="A40" s="129" t="s">
        <v>778</v>
      </c>
      <c r="B40" s="188">
        <f>SUM(F38:F40)</f>
        <v>9460014.2952380963</v>
      </c>
      <c r="C40" s="188">
        <f>AVERAGE(F38:F40)</f>
        <v>3153338.0984126986</v>
      </c>
      <c r="D40" s="190">
        <f>C40/C37-1</f>
        <v>-0.25461193665082105</v>
      </c>
      <c r="E40" s="287">
        <f>C40/C28-1</f>
        <v>0.1303888208696995</v>
      </c>
      <c r="F40" s="136">
        <f>Q40/21</f>
        <v>2789055.1904761903</v>
      </c>
      <c r="G40" s="190">
        <f t="shared" ref="G40" si="35">F40/F39-1</f>
        <v>-9.8899614335620556E-2</v>
      </c>
      <c r="H40" s="190">
        <f t="shared" ref="H40" si="36">F40/F28-1</f>
        <v>3.9386347958574763E-2</v>
      </c>
      <c r="I40" s="130">
        <f t="shared" si="0"/>
        <v>32.380070586703724</v>
      </c>
      <c r="J40" s="130">
        <f t="shared" si="4"/>
        <v>0.3416604856756762</v>
      </c>
      <c r="K40" s="136">
        <f>R38+R39+R40</f>
        <v>269851575923</v>
      </c>
      <c r="L40" s="190">
        <f>U40/U37-1</f>
        <v>-0.24698527689124039</v>
      </c>
      <c r="M40" s="190">
        <f>U40/U28-1</f>
        <v>0.15896894520947025</v>
      </c>
      <c r="N40" s="191">
        <f>AVERAGE(T38:T40)</f>
        <v>29.176907069542608</v>
      </c>
      <c r="O40" s="192">
        <f>N40/N37-1</f>
        <v>-5.1628426126190563E-2</v>
      </c>
      <c r="P40" s="129" t="s">
        <v>778</v>
      </c>
      <c r="Q40" s="116">
        <v>58570159</v>
      </c>
      <c r="R40" s="116">
        <v>83222585630</v>
      </c>
      <c r="S40" s="116">
        <v>1808833.58</v>
      </c>
      <c r="T40" s="130">
        <f t="shared" ref="T40" si="37">Q40/S40</f>
        <v>32.380070586703724</v>
      </c>
      <c r="U40" s="85">
        <f>Q38+Q39+Q40</f>
        <v>195084507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2662702.222222222</v>
      </c>
      <c r="G41" s="190">
        <f t="shared" ref="G41" si="38">F41/F40-1</f>
        <v>-4.5303143761882825E-2</v>
      </c>
      <c r="H41" s="190">
        <f t="shared" ref="H41" si="39">F41/F29-1</f>
        <v>2.7031590580767428E-2</v>
      </c>
      <c r="I41" s="130">
        <f t="shared" si="0"/>
        <v>32.125098643541051</v>
      </c>
      <c r="J41" s="130">
        <f t="shared" si="4"/>
        <v>0.27349550161743941</v>
      </c>
      <c r="K41" s="193"/>
      <c r="L41" s="190"/>
      <c r="M41" s="190"/>
      <c r="N41" s="193"/>
      <c r="O41" s="193"/>
      <c r="P41" s="129" t="s">
        <v>792</v>
      </c>
      <c r="Q41" s="116">
        <v>47928640</v>
      </c>
      <c r="R41" s="116">
        <v>70065908012</v>
      </c>
      <c r="S41" s="116">
        <v>1491937.52</v>
      </c>
      <c r="T41" s="130">
        <f t="shared" ref="T41" si="40">Q41/S41</f>
        <v>32.125098643541051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3468108.05</v>
      </c>
      <c r="G42" s="190">
        <f t="shared" ref="G42" si="41">F42/F41-1</f>
        <v>0.30247686769330406</v>
      </c>
      <c r="H42" s="190">
        <f t="shared" ref="H42" si="42">F42/F30-1</f>
        <v>0.14791754103835886</v>
      </c>
      <c r="I42" s="130">
        <f t="shared" si="0"/>
        <v>31.708493862106156</v>
      </c>
      <c r="J42" s="130">
        <f t="shared" si="4"/>
        <v>0.29589960332555831</v>
      </c>
      <c r="K42" s="193"/>
      <c r="L42" s="190"/>
      <c r="M42" s="190"/>
      <c r="N42" s="193"/>
      <c r="O42" s="193"/>
      <c r="P42" s="129" t="s">
        <v>826</v>
      </c>
      <c r="Q42" s="116">
        <v>69362161</v>
      </c>
      <c r="R42" s="116">
        <v>100289992827</v>
      </c>
      <c r="S42" s="116">
        <v>2187494.66</v>
      </c>
      <c r="T42" s="130">
        <f t="shared" ref="T42" si="43">Q42/S42</f>
        <v>31.708493862106156</v>
      </c>
      <c r="U42" s="78"/>
    </row>
    <row r="43" spans="1:21" s="79" customFormat="1" ht="13.2">
      <c r="A43" s="129" t="s">
        <v>835</v>
      </c>
      <c r="B43" s="188">
        <f>SUM(F41:F43)</f>
        <v>9389874.6222222224</v>
      </c>
      <c r="C43" s="188">
        <f>AVERAGE(F41:F43)</f>
        <v>3129958.2074074075</v>
      </c>
      <c r="D43" s="190">
        <f>C43/C40-1</f>
        <v>-7.4143305524579928E-3</v>
      </c>
      <c r="E43" s="287">
        <f>C43/C31-1</f>
        <v>6.4845497513760675E-2</v>
      </c>
      <c r="F43" s="136">
        <f>Q43/20</f>
        <v>3259064.35</v>
      </c>
      <c r="G43" s="190">
        <f t="shared" ref="G43" si="44">F43/F42-1</f>
        <v>-6.0276005529873777E-2</v>
      </c>
      <c r="H43" s="190">
        <f t="shared" ref="H43" si="45">F43/F31-1</f>
        <v>1.71142874646526E-2</v>
      </c>
      <c r="I43" s="130">
        <f t="shared" si="0"/>
        <v>27.405902966939454</v>
      </c>
      <c r="J43" s="130">
        <f t="shared" si="4"/>
        <v>1.6685993560732859E-2</v>
      </c>
      <c r="K43" s="136">
        <f>R41+R42+R43</f>
        <v>264797548769</v>
      </c>
      <c r="L43" s="190">
        <f>U43/U40-1</f>
        <v>-6.465105401732385E-2</v>
      </c>
      <c r="M43" s="190">
        <f>K43/K31-1</f>
        <v>0.11846100301139595</v>
      </c>
      <c r="N43" s="191">
        <f>AVERAGE(T41:T43)</f>
        <v>30.413165157528883</v>
      </c>
      <c r="O43" s="192">
        <f>N43/N40-1</f>
        <v>4.2371115109619994E-2</v>
      </c>
      <c r="P43" s="129" t="s">
        <v>835</v>
      </c>
      <c r="Q43" s="116">
        <v>65181287</v>
      </c>
      <c r="R43" s="116">
        <v>94441647930</v>
      </c>
      <c r="S43" s="116">
        <v>2378366.7000000002</v>
      </c>
      <c r="T43" s="130">
        <f t="shared" ref="T43" si="46">Q43/S43</f>
        <v>27.405902966939454</v>
      </c>
      <c r="U43" s="85">
        <f>Q41+Q42+Q43</f>
        <v>182472088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3690294.5</v>
      </c>
      <c r="G44" s="190">
        <f t="shared" ref="G44" si="47">F44/F43-1</f>
        <v>0.13231716336009125</v>
      </c>
      <c r="H44" s="190">
        <f t="shared" ref="H44" si="48">F44/F32-1</f>
        <v>-0.10276828945513383</v>
      </c>
      <c r="I44" s="130">
        <f t="shared" si="0"/>
        <v>24.943407976162668</v>
      </c>
      <c r="J44" s="130">
        <f t="shared" si="4"/>
        <v>-9.9022353989045575E-3</v>
      </c>
      <c r="K44" s="136"/>
      <c r="L44" s="190"/>
      <c r="M44" s="190"/>
      <c r="N44" s="191"/>
      <c r="O44" s="192"/>
      <c r="P44" s="129" t="s">
        <v>843</v>
      </c>
      <c r="Q44" s="116">
        <v>81186479</v>
      </c>
      <c r="R44" s="116">
        <v>117415264115</v>
      </c>
      <c r="S44" s="116">
        <v>3254827.05</v>
      </c>
      <c r="T44" s="130">
        <f t="shared" ref="T44" si="49">Q44/S44</f>
        <v>24.943407976162668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4478706.1500000004</v>
      </c>
      <c r="G45" s="190">
        <f t="shared" ref="G45" si="50">F45/F44-1</f>
        <v>0.21364464272431394</v>
      </c>
      <c r="H45" s="190">
        <f t="shared" ref="H45" si="51">F45/F33-1</f>
        <v>0.14299841319405115</v>
      </c>
      <c r="I45" s="130">
        <f t="shared" si="0"/>
        <v>28.444951016695537</v>
      </c>
      <c r="J45" s="130">
        <f t="shared" si="4"/>
        <v>4.7427519912645044E-2</v>
      </c>
      <c r="K45" s="136"/>
      <c r="L45" s="190"/>
      <c r="M45" s="190"/>
      <c r="N45" s="191"/>
      <c r="O45" s="192"/>
      <c r="P45" s="129" t="s">
        <v>853</v>
      </c>
      <c r="Q45" s="116">
        <v>89574123</v>
      </c>
      <c r="R45" s="116">
        <v>126069967608</v>
      </c>
      <c r="S45" s="116">
        <v>3149034.18</v>
      </c>
      <c r="T45" s="130">
        <f t="shared" ref="T45" si="52">Q45/S45</f>
        <v>28.444951016695537</v>
      </c>
      <c r="U45" s="85"/>
    </row>
    <row r="46" spans="1:21" s="79" customFormat="1" ht="13.2">
      <c r="A46" s="129" t="s">
        <v>893</v>
      </c>
      <c r="B46" s="188">
        <f>SUM(F44:F46)</f>
        <v>12056311.807894737</v>
      </c>
      <c r="C46" s="188">
        <f>AVERAGE(F44:F46)</f>
        <v>4018770.6026315787</v>
      </c>
      <c r="D46" s="189">
        <f>C46/C43-1</f>
        <v>0.28396941311251189</v>
      </c>
      <c r="E46" s="287">
        <f>C46/C34-1</f>
        <v>1.8506142556240057E-2</v>
      </c>
      <c r="F46" s="136">
        <f>Q46/19</f>
        <v>3887311.1578947366</v>
      </c>
      <c r="G46" s="190">
        <f t="shared" ref="G46" si="53">F46/F45-1</f>
        <v>-0.13204594637343281</v>
      </c>
      <c r="H46" s="190">
        <f t="shared" ref="H46" si="54">F46/F34-1</f>
        <v>2.1393940879088635E-2</v>
      </c>
      <c r="I46" s="130">
        <f t="shared" si="0"/>
        <v>24.714869574991575</v>
      </c>
      <c r="J46" s="130">
        <f t="shared" si="4"/>
        <v>-3.2130963346424735E-2</v>
      </c>
      <c r="K46" s="136">
        <f>R44+R45+R46</f>
        <v>344687410742</v>
      </c>
      <c r="L46" s="190">
        <f>U46/U43-1</f>
        <v>0.34058593114800106</v>
      </c>
      <c r="M46" s="190">
        <f>K46/K34-1</f>
        <v>4.6308591274405675E-2</v>
      </c>
      <c r="N46" s="191">
        <f>AVERAGE(T44:T46)</f>
        <v>26.034409522616595</v>
      </c>
      <c r="O46" s="192">
        <f>N46/N43-1</f>
        <v>-0.14397566357306002</v>
      </c>
      <c r="P46" s="129" t="s">
        <v>888</v>
      </c>
      <c r="Q46" s="116">
        <v>73858912</v>
      </c>
      <c r="R46" s="116">
        <v>101202179019</v>
      </c>
      <c r="S46" s="116">
        <v>2988440.29</v>
      </c>
      <c r="T46" s="130">
        <f t="shared" ref="T46" si="55">Q46/S46</f>
        <v>24.714869574991575</v>
      </c>
      <c r="U46" s="85">
        <f t="shared" ref="U46:U51" si="56">Q44+Q45+Q46</f>
        <v>244619514</v>
      </c>
    </row>
    <row r="47" spans="1:21" s="79" customFormat="1" ht="13.2">
      <c r="A47" s="129" t="s">
        <v>991</v>
      </c>
      <c r="B47" s="188"/>
      <c r="C47" s="188"/>
      <c r="D47" s="189"/>
      <c r="E47" s="287"/>
      <c r="F47" s="136">
        <f>Q47/23</f>
        <v>3644076.2173913042</v>
      </c>
      <c r="G47" s="190">
        <f t="shared" ref="G47" si="57">F47/F46-1</f>
        <v>-6.2571512961972942E-2</v>
      </c>
      <c r="H47" s="190">
        <f t="shared" ref="H47" si="58">F47/F35-1</f>
        <v>0.14389301895103324</v>
      </c>
      <c r="I47" s="130">
        <f t="shared" si="0"/>
        <v>26.477635220442252</v>
      </c>
      <c r="J47" s="130">
        <f t="shared" si="4"/>
        <v>-6.2260091583294375E-2</v>
      </c>
      <c r="K47" s="136"/>
      <c r="L47" s="190"/>
      <c r="M47" s="190"/>
      <c r="N47" s="191"/>
      <c r="O47" s="192"/>
      <c r="P47" s="129" t="s">
        <v>991</v>
      </c>
      <c r="Q47" s="116">
        <v>83813753</v>
      </c>
      <c r="R47" s="116">
        <v>114994830561</v>
      </c>
      <c r="S47" s="116">
        <v>3165454.63</v>
      </c>
      <c r="T47" s="130">
        <f t="shared" ref="T47" si="59">Q47/S47</f>
        <v>26.477635220442252</v>
      </c>
      <c r="U47" s="85">
        <f t="shared" si="56"/>
        <v>247246788</v>
      </c>
    </row>
    <row r="48" spans="1:21" s="79" customFormat="1" ht="13.2">
      <c r="A48" s="129" t="s">
        <v>1110</v>
      </c>
      <c r="B48" s="188"/>
      <c r="C48" s="188"/>
      <c r="D48" s="189"/>
      <c r="E48" s="287"/>
      <c r="F48" s="136">
        <f>Q48/20</f>
        <v>3925373</v>
      </c>
      <c r="G48" s="190">
        <f t="shared" ref="G48" si="60">F48/F47-1</f>
        <v>7.7192892197537111E-2</v>
      </c>
      <c r="H48" s="190">
        <f t="shared" ref="H48" si="61">F48/F36-1</f>
        <v>-0.19878355944427062</v>
      </c>
      <c r="I48" s="130">
        <f t="shared" si="0"/>
        <v>28.236046324683812</v>
      </c>
      <c r="J48" s="130">
        <f t="shared" si="4"/>
        <v>-0.16691866921929643</v>
      </c>
      <c r="K48" s="136"/>
      <c r="L48" s="190"/>
      <c r="M48" s="190"/>
      <c r="N48" s="191"/>
      <c r="O48" s="192"/>
      <c r="P48" s="129" t="s">
        <v>1070</v>
      </c>
      <c r="Q48" s="116">
        <v>78507460</v>
      </c>
      <c r="R48" s="116">
        <v>108979393615</v>
      </c>
      <c r="S48" s="116">
        <v>2780398.47</v>
      </c>
      <c r="T48" s="130">
        <f t="shared" ref="T48" si="62">Q48/S48</f>
        <v>28.236046324683812</v>
      </c>
      <c r="U48" s="85">
        <f t="shared" si="56"/>
        <v>236180125</v>
      </c>
    </row>
    <row r="49" spans="1:26" ht="13.2">
      <c r="A49" s="129" t="s">
        <v>1158</v>
      </c>
      <c r="B49" s="188">
        <f>SUM(F47:F49)</f>
        <v>12586938.353754941</v>
      </c>
      <c r="C49" s="188">
        <f>AVERAGE(F47:F49)</f>
        <v>4195646.1179183135</v>
      </c>
      <c r="D49" s="189">
        <f>C49/C46-1</f>
        <v>4.401234426541123E-2</v>
      </c>
      <c r="E49" s="287">
        <f>C49/C37-1</f>
        <v>-8.2305047124919817E-3</v>
      </c>
      <c r="F49" s="136">
        <f>Q49/22</f>
        <v>5017489.1363636367</v>
      </c>
      <c r="G49" s="190">
        <f t="shared" ref="G49" si="63">F49/F48-1</f>
        <v>0.27821970965909149</v>
      </c>
      <c r="H49" s="190">
        <f t="shared" ref="H49" si="64">F49/F37-1</f>
        <v>8.9231439629697151E-2</v>
      </c>
      <c r="I49" s="130">
        <f t="shared" si="0"/>
        <v>26.763625968288128</v>
      </c>
      <c r="J49" s="130">
        <f t="shared" si="4"/>
        <v>-0.11280949164711007</v>
      </c>
      <c r="K49" s="136">
        <f>R47+R48+R49</f>
        <v>377335287207</v>
      </c>
      <c r="L49" s="190">
        <f>U49/U46-1</f>
        <v>0.11481692339557181</v>
      </c>
      <c r="M49" s="190">
        <f>K49/K37-1</f>
        <v>7.0877932415392308E-2</v>
      </c>
      <c r="N49" s="191">
        <f>AVERAGE(T47:T49)</f>
        <v>27.159102504471395</v>
      </c>
      <c r="O49" s="192">
        <f>N49/N46-1</f>
        <v>4.3200249303820604E-2</v>
      </c>
      <c r="P49" s="129" t="s">
        <v>1158</v>
      </c>
      <c r="Q49" s="116">
        <v>110384761</v>
      </c>
      <c r="R49" s="116">
        <v>153361063031</v>
      </c>
      <c r="S49" s="116">
        <v>4124432.21</v>
      </c>
      <c r="T49" s="130">
        <f t="shared" ref="T49" si="65">Q49/S49</f>
        <v>26.763625968288128</v>
      </c>
      <c r="U49" s="85">
        <f t="shared" si="56"/>
        <v>272705974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87"/>
      <c r="F50" s="136">
        <f>Q50/18</f>
        <v>4212576.777777778</v>
      </c>
      <c r="G50" s="190">
        <f t="shared" ref="G50" si="66">F50/F49-1</f>
        <v>-0.1604213455595459</v>
      </c>
      <c r="H50" s="190">
        <f t="shared" ref="H50" si="67">F50/F38-1</f>
        <v>0.17808176876050275</v>
      </c>
      <c r="I50" s="130">
        <f t="shared" ref="I50" si="68">T50</f>
        <v>26.402469987963617</v>
      </c>
      <c r="J50" s="130">
        <f t="shared" ref="J50" si="69">I50/I38-1</f>
        <v>-4.4735484167111816E-2</v>
      </c>
      <c r="K50" s="136"/>
      <c r="L50" s="190"/>
      <c r="M50" s="190"/>
      <c r="N50" s="191"/>
      <c r="O50" s="192"/>
      <c r="P50" s="129" t="s">
        <v>1291</v>
      </c>
      <c r="Q50" s="116">
        <v>75826382</v>
      </c>
      <c r="R50" s="116">
        <v>107052183938</v>
      </c>
      <c r="S50" s="116">
        <v>2871942.74</v>
      </c>
      <c r="T50" s="130">
        <f t="shared" ref="T50" si="70">Q50/S50</f>
        <v>26.402469987963617</v>
      </c>
      <c r="U50" s="85">
        <f t="shared" si="56"/>
        <v>264718603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3009357.6</v>
      </c>
      <c r="G51" s="190">
        <f t="shared" ref="G51:G52" si="71">F51/F50-1</f>
        <v>-0.28562545948717433</v>
      </c>
      <c r="H51" s="190">
        <f t="shared" ref="H51:H52" si="72">F51/F39-1</f>
        <v>-2.7723329670273578E-2</v>
      </c>
      <c r="I51" s="130">
        <f t="shared" ref="I51:I52" si="73">T51</f>
        <v>24.508567648234081</v>
      </c>
      <c r="J51" s="130">
        <f t="shared" ref="J51:J52" si="74">I51/I39-1</f>
        <v>-0.10915968592755299</v>
      </c>
      <c r="K51" s="136"/>
      <c r="L51" s="190"/>
      <c r="M51" s="190"/>
      <c r="N51" s="191"/>
      <c r="O51" s="192"/>
      <c r="P51" s="129" t="s">
        <v>1402</v>
      </c>
      <c r="Q51" s="116">
        <v>60187152</v>
      </c>
      <c r="R51" s="116">
        <v>87106933254</v>
      </c>
      <c r="S51" s="116">
        <v>2455759.67</v>
      </c>
      <c r="T51" s="130">
        <f t="shared" ref="T51:T52" si="75">Q51/S51</f>
        <v>24.508567648234081</v>
      </c>
      <c r="U51" s="85">
        <f t="shared" si="56"/>
        <v>246398295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10140808.150505051</v>
      </c>
      <c r="C52" s="188">
        <f>AVERAGE(F50:F52)</f>
        <v>3380269.3835016838</v>
      </c>
      <c r="D52" s="190">
        <f>C52/C49-1</f>
        <v>-0.19433877679397371</v>
      </c>
      <c r="E52" s="287">
        <f>C52/C40-1</f>
        <v>7.1965415063870219E-2</v>
      </c>
      <c r="F52" s="136">
        <f>Q52/22</f>
        <v>2918873.7727272729</v>
      </c>
      <c r="G52" s="190">
        <f t="shared" si="71"/>
        <v>-3.006748924512237E-2</v>
      </c>
      <c r="H52" s="190">
        <f t="shared" si="72"/>
        <v>4.6545720104204102E-2</v>
      </c>
      <c r="I52" s="130">
        <f t="shared" si="73"/>
        <v>23.076807582020429</v>
      </c>
      <c r="J52" s="130">
        <f t="shared" si="74"/>
        <v>-0.2873144757288919</v>
      </c>
      <c r="K52" s="136">
        <f>R50+R51+R52</f>
        <v>288657436894</v>
      </c>
      <c r="L52" s="190">
        <f>U52/U49-1</f>
        <v>-0.26577055110644554</v>
      </c>
      <c r="M52" s="190">
        <f>K52/K40-1</f>
        <v>6.9689646638810387E-2</v>
      </c>
      <c r="N52" s="191">
        <f>AVERAGE(T50:T52)</f>
        <v>24.662615072739374</v>
      </c>
      <c r="O52" s="192">
        <f>N52/N49-1</f>
        <v>-9.1920836902508296E-2</v>
      </c>
      <c r="P52" s="129" t="s">
        <v>1403</v>
      </c>
      <c r="Q52" s="116">
        <v>64215223</v>
      </c>
      <c r="R52" s="116">
        <v>94498319702</v>
      </c>
      <c r="S52" s="116">
        <v>2782673.59</v>
      </c>
      <c r="T52" s="130">
        <f t="shared" si="75"/>
        <v>23.076807582020429</v>
      </c>
      <c r="U52" s="85">
        <f t="shared" ref="U52" si="76">Q50+Q51+Q52</f>
        <v>200228757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3389915.7142857141</v>
      </c>
      <c r="G53" s="190">
        <f t="shared" ref="G53" si="77">F53/F52-1</f>
        <v>0.16137797597130055</v>
      </c>
      <c r="H53" s="190">
        <f t="shared" ref="H53" si="78">F53/F41-1</f>
        <v>0.27311108466968514</v>
      </c>
      <c r="I53" s="130">
        <f t="shared" ref="I53" si="79">T53</f>
        <v>27.328048709459832</v>
      </c>
      <c r="J53" s="130">
        <f t="shared" ref="J53" si="80">I53/I41-1</f>
        <v>-0.14932405304989449</v>
      </c>
      <c r="K53" s="136"/>
      <c r="L53" s="190"/>
      <c r="M53" s="190"/>
      <c r="N53" s="191"/>
      <c r="O53" s="192"/>
      <c r="P53" s="129" t="s">
        <v>1414</v>
      </c>
      <c r="Q53" s="116">
        <v>71188230</v>
      </c>
      <c r="R53" s="116">
        <v>103882812097</v>
      </c>
      <c r="S53" s="116">
        <v>2604951.08</v>
      </c>
      <c r="T53" s="130">
        <f t="shared" ref="T53" si="81">Q53/S53</f>
        <v>27.328048709459832</v>
      </c>
      <c r="U53" s="85">
        <f t="shared" ref="U53" si="82">Q51+Q52+Q53</f>
        <v>195590605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4535936.2941176472</v>
      </c>
      <c r="G54" s="190">
        <f t="shared" ref="G54" si="83">F54/F53-1</f>
        <v>0.33806757348048411</v>
      </c>
      <c r="H54" s="190">
        <f t="shared" ref="H54" si="84">F54/F42-1</f>
        <v>0.30789935859052808</v>
      </c>
      <c r="I54" s="130">
        <f t="shared" ref="I54" si="85">T54</f>
        <v>31.493703217080895</v>
      </c>
      <c r="J54" s="130">
        <f t="shared" ref="J54" si="86">I54/I42-1</f>
        <v>-6.7739150891032995E-3</v>
      </c>
      <c r="K54" s="136"/>
      <c r="L54" s="190"/>
      <c r="M54" s="190"/>
      <c r="N54" s="191"/>
      <c r="O54" s="192"/>
      <c r="P54" s="129" t="s">
        <v>1417</v>
      </c>
      <c r="Q54" s="116">
        <v>77110917</v>
      </c>
      <c r="R54" s="116">
        <v>111652167910</v>
      </c>
      <c r="S54" s="116">
        <v>2448455.06</v>
      </c>
      <c r="T54" s="130">
        <f t="shared" ref="T54" si="87">Q54/S54</f>
        <v>31.493703217080895</v>
      </c>
      <c r="U54" s="85">
        <f t="shared" ref="U54" si="88">Q52+Q53+Q54</f>
        <v>212514370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12427023.532212885</v>
      </c>
      <c r="C55" s="188">
        <f>AVERAGE(F53:F55)</f>
        <v>4142341.1774042952</v>
      </c>
      <c r="D55" s="190">
        <f>C55/C52-1</f>
        <v>0.22544705981780866</v>
      </c>
      <c r="E55" s="287">
        <f>C55/C43-1</f>
        <v>0.32344935711951894</v>
      </c>
      <c r="F55" s="136">
        <f>Q55/21</f>
        <v>4501171.5238095243</v>
      </c>
      <c r="G55" s="190">
        <f t="shared" ref="G55" si="89">F55/F54-1</f>
        <v>-7.6642986263292245E-3</v>
      </c>
      <c r="H55" s="190">
        <f t="shared" ref="H55" si="90">F55/F43-1</f>
        <v>0.38112385654782299</v>
      </c>
      <c r="I55" s="130">
        <f>T55</f>
        <v>29.080556936804506</v>
      </c>
      <c r="J55" s="130">
        <f t="shared" ref="J55" si="91">I55/I43-1</f>
        <v>6.1105593633796085E-2</v>
      </c>
      <c r="K55" s="136">
        <f>R53+R54+R55</f>
        <v>354548743741</v>
      </c>
      <c r="L55" s="190">
        <f>U55/U52-1</f>
        <v>0.21273164074029594</v>
      </c>
      <c r="M55" s="190">
        <f>K55/K43-1</f>
        <v>0.33894269561496504</v>
      </c>
      <c r="N55" s="191">
        <f>AVERAGE(T53:T55)</f>
        <v>29.30076962111508</v>
      </c>
      <c r="O55" s="192">
        <f>N55/N52-1</f>
        <v>0.18806418275985881</v>
      </c>
      <c r="P55" s="129" t="s">
        <v>1418</v>
      </c>
      <c r="Q55" s="116">
        <v>94524602</v>
      </c>
      <c r="R55" s="116">
        <v>139013763734</v>
      </c>
      <c r="S55" s="116">
        <v>3250439.88</v>
      </c>
      <c r="T55" s="130">
        <f t="shared" ref="T55" si="92">Q55/S55</f>
        <v>29.080556936804506</v>
      </c>
      <c r="U55" s="85">
        <f t="shared" ref="U55" si="93">Q53+Q54+Q55</f>
        <v>242823749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4122843.1363636362</v>
      </c>
      <c r="G56" s="190">
        <f t="shared" ref="G56" si="94">F56/F55-1</f>
        <v>-8.4051093241986341E-2</v>
      </c>
      <c r="H56" s="190">
        <f t="shared" ref="H56" si="95">F56/F44-1</f>
        <v>0.11721249790867261</v>
      </c>
      <c r="I56" s="291">
        <f>T56</f>
        <v>27.303648216365104</v>
      </c>
      <c r="J56" s="130">
        <f t="shared" ref="J56" si="96">I56/I44-1</f>
        <v>9.4623807719378838E-2</v>
      </c>
      <c r="K56" s="136"/>
      <c r="L56" s="190"/>
      <c r="M56" s="190"/>
      <c r="N56" s="191"/>
      <c r="O56" s="192"/>
      <c r="P56" s="129" t="s">
        <v>1420</v>
      </c>
      <c r="Q56" s="116">
        <v>90702549</v>
      </c>
      <c r="R56" s="116">
        <v>135364407991</v>
      </c>
      <c r="S56" s="116">
        <v>3321993.76</v>
      </c>
      <c r="T56" s="130">
        <f t="shared" ref="T56" si="97">Q56/S56</f>
        <v>27.303648216365104</v>
      </c>
      <c r="U56" s="85">
        <f t="shared" ref="U56" si="98">Q54+Q55+Q56</f>
        <v>262338068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5877323.333333333</v>
      </c>
      <c r="G57" s="254">
        <f t="shared" ref="G57" si="99">F57/F56-1</f>
        <v>0.42555104303996272</v>
      </c>
      <c r="H57" s="254">
        <f t="shared" ref="H57" si="100">F57/F45-1</f>
        <v>0.3122815242820367</v>
      </c>
      <c r="I57" s="282">
        <f>T57</f>
        <v>33.707454309051663</v>
      </c>
      <c r="J57" s="277">
        <f t="shared" ref="J57" si="101">I57/I45-1</f>
        <v>0.18500658655616387</v>
      </c>
      <c r="K57" s="204"/>
      <c r="L57" s="254"/>
      <c r="M57" s="254"/>
      <c r="N57" s="257"/>
      <c r="O57" s="258"/>
      <c r="P57" s="129" t="s">
        <v>1436</v>
      </c>
      <c r="Q57" s="116">
        <v>70527880</v>
      </c>
      <c r="R57" s="116">
        <v>103857577573</v>
      </c>
      <c r="S57" s="116">
        <v>2092352.61</v>
      </c>
      <c r="T57" s="130">
        <f t="shared" ref="T57" si="102">Q57/S57</f>
        <v>33.707454309051663</v>
      </c>
      <c r="U57" s="85">
        <f t="shared" ref="U57" si="103">Q55+Q56+Q57</f>
        <v>255755031</v>
      </c>
      <c r="V57" s="79"/>
      <c r="W57" s="79"/>
      <c r="X57" s="79"/>
      <c r="Y57" s="79"/>
      <c r="Z57" s="79"/>
    </row>
    <row r="58" spans="1:26">
      <c r="B58" s="196">
        <f>SUM(F56:F58)</f>
        <v>10000166.469696969</v>
      </c>
      <c r="C58" s="196">
        <f>AVERAGE(F56:F58)</f>
        <v>5000083.2348484844</v>
      </c>
      <c r="D58" s="197">
        <f>C58/C55-1</f>
        <v>0.20706697510166805</v>
      </c>
      <c r="E58" s="233">
        <f>C58/C46-1</f>
        <v>0.24418229584299267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404054178</v>
      </c>
      <c r="R66" s="212">
        <v>593770729305</v>
      </c>
      <c r="S66" s="213">
        <v>13718192.390000001</v>
      </c>
    </row>
    <row r="67" spans="16:19" ht="18" thickBot="1">
      <c r="P67" s="180" t="s">
        <v>976</v>
      </c>
      <c r="Q67" s="181">
        <v>71188230</v>
      </c>
      <c r="R67" s="181">
        <v>103882812097</v>
      </c>
      <c r="S67" s="182">
        <v>2604951.08</v>
      </c>
    </row>
    <row r="68" spans="16:19" ht="18" thickBot="1">
      <c r="P68" s="180" t="s">
        <v>977</v>
      </c>
      <c r="Q68" s="181">
        <v>77110917</v>
      </c>
      <c r="R68" s="181">
        <v>111652167910</v>
      </c>
      <c r="S68" s="182">
        <v>2448455.06</v>
      </c>
    </row>
    <row r="69" spans="16:19" ht="18" thickBot="1">
      <c r="P69" s="180" t="s">
        <v>978</v>
      </c>
      <c r="Q69" s="181">
        <v>94524602</v>
      </c>
      <c r="R69" s="181">
        <v>139013763734</v>
      </c>
      <c r="S69" s="182">
        <v>3250439.88</v>
      </c>
    </row>
    <row r="70" spans="16:19" ht="18" thickBot="1">
      <c r="P70" s="180" t="s">
        <v>979</v>
      </c>
      <c r="Q70" s="181">
        <v>90702549</v>
      </c>
      <c r="R70" s="181">
        <v>135364407991</v>
      </c>
      <c r="S70" s="182">
        <v>3321993.76</v>
      </c>
    </row>
    <row r="71" spans="16:19" ht="18" thickBot="1">
      <c r="P71" s="180" t="s">
        <v>980</v>
      </c>
      <c r="Q71" s="181">
        <v>70527880</v>
      </c>
      <c r="R71" s="181">
        <v>103857577573</v>
      </c>
      <c r="S71" s="182">
        <v>2092352.61</v>
      </c>
    </row>
    <row r="72" spans="16:19" ht="18" thickBot="1">
      <c r="P72" s="180" t="s">
        <v>975</v>
      </c>
      <c r="Q72" s="181">
        <v>899400424</v>
      </c>
      <c r="R72" s="181">
        <v>1274622690139</v>
      </c>
      <c r="S72" s="182">
        <v>33619827.899999999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2"/>
  <sheetViews>
    <sheetView zoomScale="90" zoomScaleNormal="90" workbookViewId="0">
      <selection activeCell="I67" sqref="I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863381.35</v>
      </c>
      <c r="G5" s="90"/>
      <c r="H5" s="90"/>
      <c r="I5" s="130">
        <f t="shared" ref="I5:I49" si="0">T5</f>
        <v>30.273299039683845</v>
      </c>
      <c r="J5" s="130"/>
      <c r="K5" s="86"/>
      <c r="L5" s="80"/>
      <c r="M5" s="80"/>
      <c r="P5" s="129" t="s">
        <v>0</v>
      </c>
      <c r="Q5" s="116">
        <v>17267627</v>
      </c>
      <c r="R5" s="116">
        <v>20382076070</v>
      </c>
      <c r="S5" s="116">
        <v>570391.31999999995</v>
      </c>
      <c r="T5" s="130">
        <f t="shared" ref="T5:T29" si="1">Q5/S5</f>
        <v>30.273299039683845</v>
      </c>
      <c r="U5" s="85"/>
    </row>
    <row r="6" spans="1:21" ht="15" hidden="1" customHeight="1">
      <c r="A6" s="129" t="s">
        <v>1</v>
      </c>
      <c r="C6" s="79"/>
      <c r="F6" s="78">
        <f>Q6/18</f>
        <v>933143.83333333337</v>
      </c>
      <c r="G6" s="90">
        <f t="shared" ref="G6:G29" si="2">F6/F5-1</f>
        <v>8.080147125407966E-2</v>
      </c>
      <c r="H6" s="90"/>
      <c r="I6" s="130">
        <f t="shared" si="0"/>
        <v>33.437178848313927</v>
      </c>
      <c r="J6" s="130"/>
      <c r="K6" s="78"/>
      <c r="P6" s="129" t="s">
        <v>1</v>
      </c>
      <c r="Q6" s="116">
        <v>16796589</v>
      </c>
      <c r="R6" s="116">
        <v>19957766545</v>
      </c>
      <c r="S6" s="116">
        <v>502332.72</v>
      </c>
      <c r="T6" s="130">
        <f t="shared" si="1"/>
        <v>33.437178848313927</v>
      </c>
      <c r="U6" s="85"/>
    </row>
    <row r="7" spans="1:21" ht="15" hidden="1" customHeight="1">
      <c r="A7" s="129" t="s">
        <v>2</v>
      </c>
      <c r="B7" s="131">
        <f>F5+F6+F7</f>
        <v>3075065.1378787877</v>
      </c>
      <c r="C7" s="131">
        <f>AVERAGE(F5:F7)</f>
        <v>1025021.7126262626</v>
      </c>
      <c r="F7" s="78">
        <f>Q7/22</f>
        <v>1278539.9545454546</v>
      </c>
      <c r="G7" s="90">
        <f t="shared" si="2"/>
        <v>0.37014242485889137</v>
      </c>
      <c r="H7" s="90"/>
      <c r="I7" s="130">
        <f t="shared" si="0"/>
        <v>35.10231561592655</v>
      </c>
      <c r="J7" s="130"/>
      <c r="K7" s="85">
        <f>R5+R6+R7</f>
        <v>74138402332</v>
      </c>
      <c r="N7" s="88">
        <f>AVERAGE(T5:T7)</f>
        <v>32.937597834641444</v>
      </c>
      <c r="P7" s="129" t="s">
        <v>2</v>
      </c>
      <c r="Q7" s="116">
        <v>28127879</v>
      </c>
      <c r="R7" s="116">
        <v>33798559717</v>
      </c>
      <c r="S7" s="116">
        <v>801311.21</v>
      </c>
      <c r="T7" s="130">
        <f t="shared" si="1"/>
        <v>35.10231561592655</v>
      </c>
      <c r="U7" s="85">
        <f>Q5+Q6+Q7</f>
        <v>62192095</v>
      </c>
    </row>
    <row r="8" spans="1:21" ht="15" hidden="1" customHeight="1">
      <c r="A8" s="129" t="s">
        <v>3</v>
      </c>
      <c r="C8" s="79"/>
      <c r="F8" s="78">
        <f>Q8/21</f>
        <v>983228.57142857148</v>
      </c>
      <c r="G8" s="90">
        <f t="shared" si="2"/>
        <v>-0.23097548267224233</v>
      </c>
      <c r="H8" s="90"/>
      <c r="I8" s="130">
        <f t="shared" si="0"/>
        <v>26.858492551463524</v>
      </c>
      <c r="J8" s="130"/>
      <c r="K8" s="78"/>
      <c r="P8" s="129" t="s">
        <v>3</v>
      </c>
      <c r="Q8" s="116">
        <v>20647800</v>
      </c>
      <c r="R8" s="116">
        <v>24981201349</v>
      </c>
      <c r="S8" s="116">
        <v>768762.43</v>
      </c>
      <c r="T8" s="130">
        <f t="shared" si="1"/>
        <v>26.858492551463524</v>
      </c>
      <c r="U8" s="85"/>
    </row>
    <row r="9" spans="1:21" ht="15" hidden="1" customHeight="1">
      <c r="A9" s="129" t="s">
        <v>4</v>
      </c>
      <c r="C9" s="79"/>
      <c r="F9" s="78">
        <f>Q9/21</f>
        <v>1040526.6666666666</v>
      </c>
      <c r="G9" s="90">
        <f t="shared" si="2"/>
        <v>5.8275457918034679E-2</v>
      </c>
      <c r="H9" s="90"/>
      <c r="I9" s="130">
        <f t="shared" si="0"/>
        <v>24.234718308579019</v>
      </c>
      <c r="J9" s="130"/>
      <c r="K9" s="78"/>
      <c r="P9" s="129" t="s">
        <v>4</v>
      </c>
      <c r="Q9" s="116">
        <v>21851060</v>
      </c>
      <c r="R9" s="116">
        <v>27433803036</v>
      </c>
      <c r="S9" s="116">
        <v>901642.83</v>
      </c>
      <c r="T9" s="130">
        <f t="shared" si="1"/>
        <v>24.234718308579019</v>
      </c>
      <c r="U9" s="85"/>
    </row>
    <row r="10" spans="1:21" ht="15" hidden="1" customHeight="1">
      <c r="A10" s="129" t="s">
        <v>5</v>
      </c>
      <c r="B10" s="131">
        <f>F8+F9+F10</f>
        <v>2953447.5238095238</v>
      </c>
      <c r="C10" s="131">
        <f>AVERAGE(F8:F10)</f>
        <v>984482.50793650793</v>
      </c>
      <c r="D10" s="90">
        <f>C10/C7-1</f>
        <v>-3.9549605818482658E-2</v>
      </c>
      <c r="E10" s="286"/>
      <c r="F10" s="78">
        <f>Q10/21</f>
        <v>929692.28571428568</v>
      </c>
      <c r="G10" s="90">
        <f t="shared" si="2"/>
        <v>-0.1065175785522533</v>
      </c>
      <c r="H10" s="90"/>
      <c r="I10" s="130">
        <f t="shared" si="0"/>
        <v>24.525838583627195</v>
      </c>
      <c r="J10" s="130"/>
      <c r="K10" s="85">
        <f>R8+R9+R10</f>
        <v>76897634864</v>
      </c>
      <c r="L10" s="87">
        <f>U10/U7-1</f>
        <v>-2.7285943655700473E-3</v>
      </c>
      <c r="N10" s="88">
        <f>AVERAGE(T8:T10)</f>
        <v>25.206349814556578</v>
      </c>
      <c r="O10" s="89">
        <f>N10/N7-1</f>
        <v>-0.23472410036999369</v>
      </c>
      <c r="P10" s="129" t="s">
        <v>5</v>
      </c>
      <c r="Q10" s="116">
        <v>19523538</v>
      </c>
      <c r="R10" s="116">
        <v>24482630479</v>
      </c>
      <c r="S10" s="116">
        <v>796039.57</v>
      </c>
      <c r="T10" s="130">
        <f t="shared" si="1"/>
        <v>24.525838583627195</v>
      </c>
      <c r="U10" s="85">
        <f>Q8+Q9+Q10</f>
        <v>62022398</v>
      </c>
    </row>
    <row r="11" spans="1:21" ht="15" hidden="1" customHeight="1">
      <c r="A11" s="129" t="s">
        <v>6</v>
      </c>
      <c r="C11" s="79"/>
      <c r="F11" s="78">
        <f>Q11/21</f>
        <v>805612.71428571432</v>
      </c>
      <c r="G11" s="90">
        <f t="shared" si="2"/>
        <v>-0.13346305367398059</v>
      </c>
      <c r="H11" s="90"/>
      <c r="I11" s="130">
        <f t="shared" si="0"/>
        <v>23.751865992036112</v>
      </c>
      <c r="J11" s="130"/>
      <c r="K11" s="78"/>
      <c r="O11" s="89"/>
      <c r="P11" s="129" t="s">
        <v>6</v>
      </c>
      <c r="Q11" s="116">
        <v>16917867</v>
      </c>
      <c r="R11" s="116">
        <v>21833026417</v>
      </c>
      <c r="S11" s="116">
        <v>712275.28</v>
      </c>
      <c r="T11" s="130">
        <f t="shared" si="1"/>
        <v>23.751865992036112</v>
      </c>
      <c r="U11" s="85"/>
    </row>
    <row r="12" spans="1:21" ht="15" hidden="1" customHeight="1">
      <c r="A12" s="129" t="s">
        <v>7</v>
      </c>
      <c r="C12" s="79"/>
      <c r="F12" s="78">
        <f>Q12/22</f>
        <v>755635.22727272729</v>
      </c>
      <c r="G12" s="90">
        <f t="shared" si="2"/>
        <v>-6.2036616511568998E-2</v>
      </c>
      <c r="H12" s="90"/>
      <c r="I12" s="130">
        <f t="shared" si="0"/>
        <v>22.417369873809061</v>
      </c>
      <c r="J12" s="130"/>
      <c r="K12" s="78"/>
      <c r="O12" s="89"/>
      <c r="P12" s="129" t="s">
        <v>7</v>
      </c>
      <c r="Q12" s="116">
        <v>16623975</v>
      </c>
      <c r="R12" s="116">
        <v>21597363536</v>
      </c>
      <c r="S12" s="116">
        <v>741566.7</v>
      </c>
      <c r="T12" s="130">
        <f t="shared" si="1"/>
        <v>22.417369873809061</v>
      </c>
      <c r="U12" s="85"/>
    </row>
    <row r="13" spans="1:21" ht="15" hidden="1" customHeight="1">
      <c r="A13" s="129" t="s">
        <v>96</v>
      </c>
      <c r="B13" s="131">
        <f>F11+F12+F13</f>
        <v>2362815.6915584416</v>
      </c>
      <c r="C13" s="131">
        <f>AVERAGE(F11:F13)</f>
        <v>787605.23051948054</v>
      </c>
      <c r="D13" s="90">
        <f>C13/C10-1</f>
        <v>-0.19998047281681575</v>
      </c>
      <c r="E13" s="286"/>
      <c r="F13" s="78">
        <f>Q13/20</f>
        <v>801567.75</v>
      </c>
      <c r="G13" s="90">
        <f t="shared" si="2"/>
        <v>6.0786634965463993E-2</v>
      </c>
      <c r="H13" s="90"/>
      <c r="I13" s="130">
        <f t="shared" si="0"/>
        <v>23.259396756506799</v>
      </c>
      <c r="J13" s="130"/>
      <c r="K13" s="78">
        <f>R11+R12+R13</f>
        <v>65278700953</v>
      </c>
      <c r="L13" s="87">
        <f>U13/U10-1</f>
        <v>-0.20072105241722515</v>
      </c>
      <c r="N13" s="88">
        <f>AVERAGE(T11:T13)</f>
        <v>23.142877540783989</v>
      </c>
      <c r="O13" s="89">
        <f>N13/N10-1</f>
        <v>-8.1863192765060377E-2</v>
      </c>
      <c r="P13" s="129" t="s">
        <v>96</v>
      </c>
      <c r="Q13" s="116">
        <v>16031355</v>
      </c>
      <c r="R13" s="116">
        <v>21848311000</v>
      </c>
      <c r="S13" s="116">
        <v>689242.08</v>
      </c>
      <c r="T13" s="130">
        <f t="shared" si="1"/>
        <v>23.259396756506799</v>
      </c>
      <c r="U13" s="85">
        <f>Q11+Q12+Q13</f>
        <v>49573197</v>
      </c>
    </row>
    <row r="14" spans="1:21" ht="15" hidden="1" customHeight="1">
      <c r="A14" s="129" t="s">
        <v>97</v>
      </c>
      <c r="C14" s="79"/>
      <c r="F14" s="78">
        <f>Q14/20</f>
        <v>774523.7</v>
      </c>
      <c r="G14" s="90">
        <f t="shared" si="2"/>
        <v>-3.3738944711785179E-2</v>
      </c>
      <c r="H14" s="90"/>
      <c r="I14" s="130">
        <f t="shared" si="0"/>
        <v>23.357198211125571</v>
      </c>
      <c r="J14" s="130"/>
      <c r="K14" s="78"/>
      <c r="O14" s="89"/>
      <c r="P14" s="129" t="s">
        <v>97</v>
      </c>
      <c r="Q14" s="116">
        <v>15490474</v>
      </c>
      <c r="R14" s="116">
        <v>22083647476</v>
      </c>
      <c r="S14" s="116">
        <v>663199.15</v>
      </c>
      <c r="T14" s="130">
        <f t="shared" si="1"/>
        <v>23.357198211125571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794300.68181818177</v>
      </c>
      <c r="G15" s="90">
        <f t="shared" si="2"/>
        <v>2.5534379152222009E-2</v>
      </c>
      <c r="H15" s="90"/>
      <c r="I15" s="130">
        <f t="shared" si="0"/>
        <v>21.628018330715616</v>
      </c>
      <c r="J15" s="130"/>
      <c r="K15" s="78"/>
      <c r="O15" s="89"/>
      <c r="P15" s="129" t="s">
        <v>98</v>
      </c>
      <c r="Q15" s="116">
        <v>17474615</v>
      </c>
      <c r="R15" s="116">
        <v>24166640806</v>
      </c>
      <c r="S15" s="116">
        <v>807961.91</v>
      </c>
      <c r="T15" s="130">
        <f t="shared" si="1"/>
        <v>21.628018330715616</v>
      </c>
      <c r="U15" s="85"/>
    </row>
    <row r="16" spans="1:21" ht="15" hidden="1" customHeight="1">
      <c r="A16" s="129" t="s">
        <v>99</v>
      </c>
      <c r="B16" s="131">
        <f>F14+F15+F16</f>
        <v>2290031.8818181818</v>
      </c>
      <c r="C16" s="131">
        <f>AVERAGE(F14:F16)</f>
        <v>763343.96060606057</v>
      </c>
      <c r="D16" s="90">
        <f>C16/C13-1</f>
        <v>-3.0803845598407209E-2</v>
      </c>
      <c r="E16" s="286"/>
      <c r="F16" s="78">
        <f>Q16/22</f>
        <v>721207.5</v>
      </c>
      <c r="G16" s="90">
        <f t="shared" si="2"/>
        <v>-9.2022055993794316E-2</v>
      </c>
      <c r="H16" s="90"/>
      <c r="I16" s="130">
        <f t="shared" si="0"/>
        <v>25.489247690904349</v>
      </c>
      <c r="J16" s="130"/>
      <c r="K16" s="78">
        <f>R14+R15+R16</f>
        <v>67068187087</v>
      </c>
      <c r="L16" s="87">
        <f>U16/U13-1</f>
        <v>-1.4958547055175853E-2</v>
      </c>
      <c r="N16" s="88">
        <f>AVERAGE(T14:T16)</f>
        <v>23.491488077581845</v>
      </c>
      <c r="O16" s="89">
        <f>N16/N13-1</f>
        <v>1.5063404979934303E-2</v>
      </c>
      <c r="P16" s="129" t="s">
        <v>99</v>
      </c>
      <c r="Q16" s="116">
        <v>15866565</v>
      </c>
      <c r="R16" s="116">
        <v>20817898805</v>
      </c>
      <c r="S16" s="116">
        <v>622480.71</v>
      </c>
      <c r="T16" s="130">
        <f t="shared" si="1"/>
        <v>25.489247690904349</v>
      </c>
      <c r="U16" s="85">
        <f>Q14+Q15+Q16</f>
        <v>48831654</v>
      </c>
    </row>
    <row r="17" spans="1:21" ht="15" hidden="1" customHeight="1">
      <c r="A17" s="129" t="s">
        <v>100</v>
      </c>
      <c r="C17" s="79"/>
      <c r="F17" s="78">
        <f>Q17/20</f>
        <v>624537.44999999995</v>
      </c>
      <c r="G17" s="90">
        <f t="shared" si="2"/>
        <v>-0.13403916348623668</v>
      </c>
      <c r="H17" s="90">
        <f t="shared" ref="H17:H29" si="3">F17/F5-1</f>
        <v>-0.27663778004933748</v>
      </c>
      <c r="I17" s="130">
        <f t="shared" si="0"/>
        <v>23.938293501334684</v>
      </c>
      <c r="J17" s="130">
        <f t="shared" ref="J17:J49" si="4">I17/I5-1</f>
        <v>-0.20926049486859366</v>
      </c>
      <c r="K17" s="78"/>
      <c r="O17" s="89"/>
      <c r="P17" s="129" t="s">
        <v>100</v>
      </c>
      <c r="Q17" s="116">
        <v>12490749</v>
      </c>
      <c r="R17" s="116">
        <v>15742522986</v>
      </c>
      <c r="S17" s="116">
        <v>521789.45</v>
      </c>
      <c r="T17" s="130">
        <f t="shared" si="1"/>
        <v>23.938293501334684</v>
      </c>
      <c r="U17" s="78"/>
    </row>
    <row r="18" spans="1:21" ht="15" hidden="1" customHeight="1">
      <c r="A18" s="129" t="s">
        <v>106</v>
      </c>
      <c r="C18" s="79"/>
      <c r="F18" s="78">
        <f>Q18/20</f>
        <v>850156.65</v>
      </c>
      <c r="G18" s="90">
        <f t="shared" si="2"/>
        <v>0.36125807987975755</v>
      </c>
      <c r="H18" s="90">
        <f t="shared" si="3"/>
        <v>-8.8932895839744619E-2</v>
      </c>
      <c r="I18" s="130">
        <f t="shared" si="0"/>
        <v>24.735312190351863</v>
      </c>
      <c r="J18" s="130">
        <f t="shared" si="4"/>
        <v>-0.26024524070758615</v>
      </c>
      <c r="K18" s="78"/>
      <c r="O18" s="89"/>
      <c r="P18" s="129" t="s">
        <v>106</v>
      </c>
      <c r="Q18" s="116">
        <v>17003133</v>
      </c>
      <c r="R18" s="116">
        <v>21294988493</v>
      </c>
      <c r="S18" s="116">
        <v>687403.21</v>
      </c>
      <c r="T18" s="130">
        <f t="shared" si="1"/>
        <v>24.735312190351863</v>
      </c>
      <c r="U18" s="78"/>
    </row>
    <row r="19" spans="1:21" hidden="1">
      <c r="A19" s="129" t="s">
        <v>114</v>
      </c>
      <c r="B19" s="131">
        <f>SUM(F17:F19)</f>
        <v>2311640.9636363639</v>
      </c>
      <c r="C19" s="131">
        <f>AVERAGE(F17:F19)</f>
        <v>770546.98787878791</v>
      </c>
      <c r="D19" s="90">
        <f>C19/C16-1</f>
        <v>9.4361488980778674E-3</v>
      </c>
      <c r="E19" s="286">
        <f>C19/C7-1</f>
        <v>-0.24826276518130674</v>
      </c>
      <c r="F19" s="78">
        <f>Q19/22</f>
        <v>836946.86363636365</v>
      </c>
      <c r="G19" s="90">
        <f t="shared" si="2"/>
        <v>-1.5538061560344651E-2</v>
      </c>
      <c r="H19" s="90">
        <f t="shared" si="3"/>
        <v>-0.3453885733794575</v>
      </c>
      <c r="I19" s="130">
        <f t="shared" si="0"/>
        <v>28.483919896102432</v>
      </c>
      <c r="J19" s="130">
        <f t="shared" si="4"/>
        <v>-0.18854584387650009</v>
      </c>
      <c r="K19" s="78">
        <f>R17+R18+R19</f>
        <v>61109480127</v>
      </c>
      <c r="L19" s="87">
        <f>U19/U16-1</f>
        <v>-1.8941422709130462E-2</v>
      </c>
      <c r="M19" s="87">
        <f>U19/U7-1</f>
        <v>-0.2296977131900767</v>
      </c>
      <c r="N19" s="88">
        <f>AVERAGE(T17:T19)</f>
        <v>25.719175195929662</v>
      </c>
      <c r="O19" s="89">
        <f>N19/N16-1</f>
        <v>9.4829544684047473E-2</v>
      </c>
      <c r="P19" s="129" t="s">
        <v>114</v>
      </c>
      <c r="Q19" s="116">
        <v>18412831</v>
      </c>
      <c r="R19" s="116">
        <v>24071968648</v>
      </c>
      <c r="S19" s="116">
        <v>646428.97</v>
      </c>
      <c r="T19" s="130">
        <f t="shared" si="1"/>
        <v>28.483919896102432</v>
      </c>
      <c r="U19" s="85">
        <f>Q17+Q18+Q19</f>
        <v>47906713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699260.2</v>
      </c>
      <c r="G20" s="90">
        <f t="shared" si="2"/>
        <v>-0.16451063934709453</v>
      </c>
      <c r="H20" s="90">
        <f t="shared" si="3"/>
        <v>-0.28881216400778786</v>
      </c>
      <c r="I20" s="130">
        <f t="shared" si="0"/>
        <v>25.897831000794071</v>
      </c>
      <c r="J20" s="130">
        <f t="shared" si="4"/>
        <v>-3.5767515575519715E-2</v>
      </c>
      <c r="K20" s="78"/>
      <c r="O20" s="89"/>
      <c r="P20" s="129" t="s">
        <v>131</v>
      </c>
      <c r="Q20" s="116">
        <v>13985204</v>
      </c>
      <c r="R20" s="116">
        <v>18329501998</v>
      </c>
      <c r="S20" s="116">
        <v>540014.49</v>
      </c>
      <c r="T20" s="130">
        <f t="shared" si="1"/>
        <v>25.897831000794071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861888.23809523811</v>
      </c>
      <c r="G21" s="90">
        <f t="shared" si="2"/>
        <v>0.2325715636257264</v>
      </c>
      <c r="H21" s="90">
        <f t="shared" si="3"/>
        <v>-0.17168077887296995</v>
      </c>
      <c r="I21" s="130">
        <f t="shared" si="0"/>
        <v>20.860600399182733</v>
      </c>
      <c r="J21" s="130">
        <f t="shared" si="4"/>
        <v>-0.13922661969633288</v>
      </c>
      <c r="K21" s="78"/>
      <c r="O21" s="89"/>
      <c r="P21" s="129" t="s">
        <v>141</v>
      </c>
      <c r="Q21" s="116">
        <v>18099653</v>
      </c>
      <c r="R21" s="116">
        <v>24103442899</v>
      </c>
      <c r="S21" s="116">
        <v>867647.75</v>
      </c>
      <c r="T21" s="130">
        <f t="shared" si="1"/>
        <v>20.860600399182733</v>
      </c>
      <c r="U21" s="78"/>
    </row>
    <row r="22" spans="1:21" hidden="1">
      <c r="A22" s="129" t="s">
        <v>155</v>
      </c>
      <c r="B22" s="131">
        <f>SUM(F20:F22)</f>
        <v>2287800.0095238094</v>
      </c>
      <c r="C22" s="131">
        <f>AVERAGE(F20:F22)</f>
        <v>762600.0031746031</v>
      </c>
      <c r="D22" s="90">
        <f>C22/C19-1</f>
        <v>-1.0313432962812286E-2</v>
      </c>
      <c r="E22" s="286">
        <f>C22/C10-1</f>
        <v>-0.22537983455589716</v>
      </c>
      <c r="F22" s="78">
        <f>Q22/21</f>
        <v>726651.57142857148</v>
      </c>
      <c r="G22" s="90">
        <f t="shared" si="2"/>
        <v>-0.1569074280042827</v>
      </c>
      <c r="H22" s="90">
        <f t="shared" si="3"/>
        <v>-0.21839561046773381</v>
      </c>
      <c r="I22" s="130">
        <f t="shared" si="0"/>
        <v>29.121432407293259</v>
      </c>
      <c r="J22" s="130">
        <f t="shared" si="4"/>
        <v>0.18737764288858871</v>
      </c>
      <c r="K22" s="78">
        <f>R20+R21+R22</f>
        <v>62277747106</v>
      </c>
      <c r="L22" s="87">
        <f>U22/U19-1</f>
        <v>-1.1734743729965413E-2</v>
      </c>
      <c r="M22" s="87">
        <f>U22/U10-1</f>
        <v>-0.23665415194040063</v>
      </c>
      <c r="N22" s="88">
        <f>AVERAGE(T20:T22)</f>
        <v>25.293287935756684</v>
      </c>
      <c r="O22" s="89">
        <f>N22/N19-1</f>
        <v>-1.6559133678609506E-2</v>
      </c>
      <c r="P22" s="129" t="s">
        <v>155</v>
      </c>
      <c r="Q22" s="116">
        <v>15259683</v>
      </c>
      <c r="R22" s="116">
        <v>19844802209</v>
      </c>
      <c r="S22" s="116">
        <v>524001.8</v>
      </c>
      <c r="T22" s="130">
        <f t="shared" si="1"/>
        <v>29.121432407293259</v>
      </c>
      <c r="U22" s="85">
        <f>Q20+Q21+Q22</f>
        <v>47344540</v>
      </c>
    </row>
    <row r="23" spans="1:21" hidden="1">
      <c r="A23" s="129" t="s">
        <v>189</v>
      </c>
      <c r="B23" s="131"/>
      <c r="C23" s="131"/>
      <c r="F23" s="78">
        <f>Q23/21</f>
        <v>722216.47619047621</v>
      </c>
      <c r="G23" s="90">
        <f t="shared" si="2"/>
        <v>-6.1034688597397802E-3</v>
      </c>
      <c r="H23" s="90">
        <f t="shared" si="3"/>
        <v>-0.10351901927116458</v>
      </c>
      <c r="I23" s="130">
        <f t="shared" si="0"/>
        <v>28.361770816343405</v>
      </c>
      <c r="J23" s="130">
        <f t="shared" si="4"/>
        <v>0.194086006794286</v>
      </c>
      <c r="K23" s="78"/>
      <c r="O23" s="89"/>
      <c r="P23" s="129" t="s">
        <v>189</v>
      </c>
      <c r="Q23" s="116">
        <v>15166546</v>
      </c>
      <c r="R23" s="116">
        <v>19592827551</v>
      </c>
      <c r="S23" s="116">
        <v>534753.14</v>
      </c>
      <c r="T23" s="130">
        <f t="shared" si="1"/>
        <v>28.361770816343405</v>
      </c>
      <c r="U23" s="78"/>
    </row>
    <row r="24" spans="1:21" hidden="1">
      <c r="A24" s="129" t="s">
        <v>204</v>
      </c>
      <c r="B24" s="131"/>
      <c r="C24" s="131"/>
      <c r="F24" s="78">
        <f>Q24/22</f>
        <v>801160.68181818177</v>
      </c>
      <c r="G24" s="90">
        <f t="shared" si="2"/>
        <v>0.10930823129945444</v>
      </c>
      <c r="H24" s="90">
        <f t="shared" si="3"/>
        <v>6.0247925060041174E-2</v>
      </c>
      <c r="I24" s="130">
        <f t="shared" si="0"/>
        <v>29.929428973168168</v>
      </c>
      <c r="J24" s="130">
        <f t="shared" si="4"/>
        <v>0.33509993106442382</v>
      </c>
      <c r="K24" s="78"/>
      <c r="O24" s="89"/>
      <c r="P24" s="129" t="s">
        <v>204</v>
      </c>
      <c r="Q24" s="116">
        <v>17625535</v>
      </c>
      <c r="R24" s="116">
        <v>23125438899</v>
      </c>
      <c r="S24" s="116">
        <v>588903.15</v>
      </c>
      <c r="T24" s="130">
        <f t="shared" si="1"/>
        <v>29.929428973168168</v>
      </c>
      <c r="U24" s="78"/>
    </row>
    <row r="25" spans="1:21" s="79" customFormat="1" ht="13.2" hidden="1">
      <c r="A25" s="129" t="s">
        <v>217</v>
      </c>
      <c r="B25" s="131">
        <f>SUM(F23:F25)</f>
        <v>2580583.4211665527</v>
      </c>
      <c r="C25" s="131">
        <f>AVERAGE(F23:F25)</f>
        <v>860194.47372218419</v>
      </c>
      <c r="D25" s="90">
        <f>C25/C22-1</f>
        <v>0.12797596399332312</v>
      </c>
      <c r="E25" s="286">
        <f>C25/C13-1</f>
        <v>9.2164501186496661E-2</v>
      </c>
      <c r="F25" s="78">
        <f>Q25/19</f>
        <v>1057206.2631578948</v>
      </c>
      <c r="G25" s="90">
        <f t="shared" si="2"/>
        <v>0.31959329401766734</v>
      </c>
      <c r="H25" s="90">
        <f t="shared" si="3"/>
        <v>0.31892315173345587</v>
      </c>
      <c r="I25" s="130">
        <f t="shared" si="0"/>
        <v>23.643786713374212</v>
      </c>
      <c r="J25" s="130">
        <f t="shared" si="4"/>
        <v>1.6526222106765465E-2</v>
      </c>
      <c r="K25" s="78">
        <f>R23+R24+R25</f>
        <v>69392940539</v>
      </c>
      <c r="L25" s="90">
        <f>U25/U22-1</f>
        <v>0.11689753454146978</v>
      </c>
      <c r="M25" s="90">
        <f>U25/U13-1</f>
        <v>6.6685289633428235E-2</v>
      </c>
      <c r="N25" s="88">
        <f>AVERAGE(T23:T25)</f>
        <v>27.311662167628594</v>
      </c>
      <c r="O25" s="91">
        <f>N25/N22-1</f>
        <v>7.9798808165962853E-2</v>
      </c>
      <c r="P25" s="129" t="s">
        <v>217</v>
      </c>
      <c r="Q25" s="116">
        <v>20086919</v>
      </c>
      <c r="R25" s="116">
        <v>26674674089</v>
      </c>
      <c r="S25" s="116">
        <v>849564.38</v>
      </c>
      <c r="T25" s="130">
        <f t="shared" si="1"/>
        <v>23.643786713374212</v>
      </c>
      <c r="U25" s="85">
        <f>Q23+Q24+Q25</f>
        <v>52879000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1010941.3684210526</v>
      </c>
      <c r="G26" s="90">
        <f t="shared" si="2"/>
        <v>-4.3761464861784116E-2</v>
      </c>
      <c r="H26" s="90">
        <f t="shared" si="3"/>
        <v>0.30524265225331737</v>
      </c>
      <c r="I26" s="130">
        <f t="shared" si="0"/>
        <v>20.980788657758531</v>
      </c>
      <c r="J26" s="130">
        <f t="shared" si="4"/>
        <v>-0.10174206391908347</v>
      </c>
      <c r="K26" s="78"/>
      <c r="L26" s="90"/>
      <c r="M26" s="90"/>
      <c r="P26" s="129" t="s">
        <v>312</v>
      </c>
      <c r="Q26" s="116">
        <v>19207886</v>
      </c>
      <c r="R26" s="116">
        <v>25892267072</v>
      </c>
      <c r="S26" s="116">
        <v>915498.76</v>
      </c>
      <c r="T26" s="130">
        <f t="shared" si="1"/>
        <v>20.980788657758531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992649.09090909094</v>
      </c>
      <c r="G27" s="90">
        <f t="shared" si="2"/>
        <v>-1.8094301097334231E-2</v>
      </c>
      <c r="H27" s="90">
        <f t="shared" si="3"/>
        <v>0.24971451445425275</v>
      </c>
      <c r="I27" s="130">
        <f t="shared" si="0"/>
        <v>22.259585845726921</v>
      </c>
      <c r="J27" s="130">
        <f t="shared" si="4"/>
        <v>2.9201358411758305E-2</v>
      </c>
      <c r="K27" s="78"/>
      <c r="L27" s="90"/>
      <c r="M27" s="90"/>
      <c r="P27" s="129" t="s">
        <v>373</v>
      </c>
      <c r="Q27" s="116">
        <v>21838280</v>
      </c>
      <c r="R27" s="116">
        <v>28875788778</v>
      </c>
      <c r="S27" s="116">
        <v>981073.06</v>
      </c>
      <c r="T27" s="130">
        <f t="shared" si="1"/>
        <v>22.259585845726921</v>
      </c>
      <c r="U27" s="78"/>
    </row>
    <row r="28" spans="1:21" s="79" customFormat="1" ht="13.2" hidden="1">
      <c r="A28" s="123" t="s">
        <v>413</v>
      </c>
      <c r="B28" s="131">
        <f>SUM(F26:F28)</f>
        <v>2928437.4066985645</v>
      </c>
      <c r="C28" s="131">
        <f>AVERAGE(F26:F28)</f>
        <v>976145.80223285488</v>
      </c>
      <c r="D28" s="90">
        <f>C28/C25-1</f>
        <v>0.13479664430873717</v>
      </c>
      <c r="E28" s="286">
        <f>C28/C16-1</f>
        <v>0.2787758240175755</v>
      </c>
      <c r="F28" s="78">
        <f>Q28/19</f>
        <v>924846.94736842101</v>
      </c>
      <c r="G28" s="90">
        <f t="shared" si="2"/>
        <v>-6.8304241812758959E-2</v>
      </c>
      <c r="H28" s="90">
        <f t="shared" si="3"/>
        <v>0.28235902617266317</v>
      </c>
      <c r="I28" s="130">
        <f t="shared" si="0"/>
        <v>25.256865664678255</v>
      </c>
      <c r="J28" s="130">
        <f t="shared" si="4"/>
        <v>-9.1168648460746571E-3</v>
      </c>
      <c r="K28" s="78">
        <f>R26+R27+R28</f>
        <v>77693033176</v>
      </c>
      <c r="L28" s="90">
        <f>U28/U25-1</f>
        <v>0.10853567578811996</v>
      </c>
      <c r="M28" s="90">
        <f>U28/U16-1</f>
        <v>0.20041516513038848</v>
      </c>
      <c r="N28" s="88">
        <f>AVERAGE(T26:T28)</f>
        <v>22.832413389387906</v>
      </c>
      <c r="O28" s="91">
        <f>N28/N25-1</f>
        <v>-0.16400498624905224</v>
      </c>
      <c r="P28" s="129" t="s">
        <v>413</v>
      </c>
      <c r="Q28" s="116">
        <v>17572092</v>
      </c>
      <c r="R28" s="116">
        <v>22924977326</v>
      </c>
      <c r="S28" s="116">
        <v>695735.26</v>
      </c>
      <c r="T28" s="130">
        <f t="shared" si="1"/>
        <v>25.256865664678255</v>
      </c>
      <c r="U28" s="85">
        <f>Q26+Q27+Q28</f>
        <v>58618258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900783.77272727271</v>
      </c>
      <c r="G29" s="190">
        <f t="shared" si="2"/>
        <v>-2.6018547944195669E-2</v>
      </c>
      <c r="H29" s="190">
        <f t="shared" si="3"/>
        <v>0.44232146963688534</v>
      </c>
      <c r="I29" s="130">
        <f t="shared" si="0"/>
        <v>30.184531894249819</v>
      </c>
      <c r="J29" s="130">
        <f t="shared" si="4"/>
        <v>0.26093081332497126</v>
      </c>
      <c r="K29" s="136"/>
      <c r="L29" s="190"/>
      <c r="M29" s="190"/>
      <c r="N29" s="191"/>
      <c r="O29" s="192"/>
      <c r="P29" s="129" t="s">
        <v>426</v>
      </c>
      <c r="Q29" s="116">
        <v>19817243</v>
      </c>
      <c r="R29" s="116">
        <v>26085368924</v>
      </c>
      <c r="S29" s="116">
        <v>656536.37</v>
      </c>
      <c r="T29" s="130">
        <f t="shared" si="1"/>
        <v>30.184531894249819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1029800.8421052631</v>
      </c>
      <c r="G30" s="190">
        <f t="shared" ref="G30" si="5">F30/F29-1</f>
        <v>0.14322756835124784</v>
      </c>
      <c r="H30" s="190">
        <f t="shared" ref="H30" si="6">F30/F18-1</f>
        <v>0.21130716569147956</v>
      </c>
      <c r="I30" s="130">
        <f t="shared" si="0"/>
        <v>28.565829011618042</v>
      </c>
      <c r="J30" s="130">
        <f t="shared" si="4"/>
        <v>0.1548602577476379</v>
      </c>
      <c r="K30" s="136"/>
      <c r="L30" s="190"/>
      <c r="M30" s="190"/>
      <c r="N30" s="191"/>
      <c r="O30" s="192"/>
      <c r="P30" s="129" t="s">
        <v>466</v>
      </c>
      <c r="Q30" s="116">
        <v>19566216</v>
      </c>
      <c r="R30" s="116">
        <v>26078945002</v>
      </c>
      <c r="S30" s="116">
        <v>684951.8</v>
      </c>
      <c r="T30" s="130">
        <f t="shared" ref="T30" si="7">Q30/S30</f>
        <v>28.565829011618042</v>
      </c>
      <c r="U30" s="85"/>
    </row>
    <row r="31" spans="1:21" s="79" customFormat="1" ht="13.2" hidden="1">
      <c r="A31" s="129" t="s">
        <v>535</v>
      </c>
      <c r="B31" s="188">
        <f>SUM(F29:F31)</f>
        <v>2845590.1148325359</v>
      </c>
      <c r="C31" s="188">
        <f>AVERAGE(F29:F31)</f>
        <v>948530.03827751195</v>
      </c>
      <c r="D31" s="190">
        <f>C31/C28-1</f>
        <v>-2.8290613853149904E-2</v>
      </c>
      <c r="E31" s="287">
        <f>C31/C19-1</f>
        <v>0.23098273460089369</v>
      </c>
      <c r="F31" s="136">
        <f>Q31/20</f>
        <v>915005.5</v>
      </c>
      <c r="G31" s="190">
        <f t="shared" ref="G31" si="8">F31/F30-1</f>
        <v>-0.11147334262281472</v>
      </c>
      <c r="H31" s="190">
        <f t="shared" ref="H31" si="9">F31/F19-1</f>
        <v>9.326594047379233E-2</v>
      </c>
      <c r="I31" s="130">
        <f t="shared" si="0"/>
        <v>29.782817513766823</v>
      </c>
      <c r="J31" s="130">
        <f t="shared" si="4"/>
        <v>4.5601083783490148E-2</v>
      </c>
      <c r="K31" s="136">
        <f>R29+R30+R31</f>
        <v>76471320577</v>
      </c>
      <c r="L31" s="190">
        <f>U31/U28-1</f>
        <v>-1.5945356138014177E-2</v>
      </c>
      <c r="M31" s="190">
        <f>U31/U19-1</f>
        <v>0.20408112741944961</v>
      </c>
      <c r="N31" s="191">
        <f>AVERAGE(T29:T31)</f>
        <v>29.51105947321156</v>
      </c>
      <c r="O31" s="192">
        <f>N31/N28-1</f>
        <v>0.2925072339014223</v>
      </c>
      <c r="P31" s="129" t="s">
        <v>535</v>
      </c>
      <c r="Q31" s="116">
        <v>18300110</v>
      </c>
      <c r="R31" s="116">
        <v>24307006651</v>
      </c>
      <c r="S31" s="116">
        <v>614451.93999999994</v>
      </c>
      <c r="T31" s="130">
        <f t="shared" ref="T31" si="10">Q31/S31</f>
        <v>29.782817513766823</v>
      </c>
      <c r="U31" s="85">
        <f>Q29+Q30+Q31</f>
        <v>57683569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1020147.9047619047</v>
      </c>
      <c r="G32" s="190">
        <f t="shared" ref="G32" si="11">F32/F31-1</f>
        <v>0.11490904127013968</v>
      </c>
      <c r="H32" s="190">
        <f t="shared" ref="H32" si="12">F32/F20-1</f>
        <v>0.45889599431213846</v>
      </c>
      <c r="I32" s="130">
        <f t="shared" si="0"/>
        <v>34.582674913002961</v>
      </c>
      <c r="J32" s="130">
        <f t="shared" si="4"/>
        <v>0.33535024272660507</v>
      </c>
      <c r="K32" s="136"/>
      <c r="L32" s="190"/>
      <c r="M32" s="190"/>
      <c r="N32" s="191"/>
      <c r="O32" s="192"/>
      <c r="P32" s="129" t="s">
        <v>562</v>
      </c>
      <c r="Q32" s="116">
        <v>21423106</v>
      </c>
      <c r="R32" s="116">
        <v>29100891894</v>
      </c>
      <c r="S32" s="116">
        <v>619475.1</v>
      </c>
      <c r="T32" s="130">
        <f t="shared" ref="T32" si="13">Q32/S32</f>
        <v>34.582674913002961</v>
      </c>
      <c r="U32" s="85"/>
    </row>
    <row r="33" spans="1:21" s="79" customFormat="1" ht="13.2" hidden="1">
      <c r="A33" s="129" t="s">
        <v>638</v>
      </c>
      <c r="B33" s="188"/>
      <c r="C33" s="188"/>
      <c r="D33" s="190"/>
      <c r="E33" s="287"/>
      <c r="F33" s="136">
        <f>Q33/21</f>
        <v>1142114.4285714286</v>
      </c>
      <c r="G33" s="190">
        <f t="shared" ref="G33" si="14">F33/F32-1</f>
        <v>0.11955768691990798</v>
      </c>
      <c r="H33" s="190">
        <f t="shared" ref="H33" si="15">F33/F21-1</f>
        <v>0.3251305425579154</v>
      </c>
      <c r="I33" s="130">
        <f t="shared" si="0"/>
        <v>24.996658170544254</v>
      </c>
      <c r="J33" s="130">
        <f t="shared" si="4"/>
        <v>0.19827127178580928</v>
      </c>
      <c r="K33" s="136"/>
      <c r="L33" s="190"/>
      <c r="M33" s="190"/>
      <c r="N33" s="191"/>
      <c r="O33" s="192"/>
      <c r="P33" s="129" t="s">
        <v>638</v>
      </c>
      <c r="Q33" s="116">
        <v>23984403</v>
      </c>
      <c r="R33" s="116">
        <v>32794096436</v>
      </c>
      <c r="S33" s="116">
        <v>959504.38</v>
      </c>
      <c r="T33" s="130">
        <f t="shared" ref="T33" si="16">Q33/S33</f>
        <v>24.996658170544254</v>
      </c>
      <c r="U33" s="85"/>
    </row>
    <row r="34" spans="1:21" s="79" customFormat="1" ht="13.2" hidden="1">
      <c r="A34" s="129" t="s">
        <v>652</v>
      </c>
      <c r="B34" s="188">
        <f>SUM(F32:F34)</f>
        <v>3118579.1228070175</v>
      </c>
      <c r="C34" s="188">
        <f>AVERAGE(F32:F34)</f>
        <v>1039526.3742690058</v>
      </c>
      <c r="D34" s="190">
        <f>C34/C31-1</f>
        <v>9.5934058300082059E-2</v>
      </c>
      <c r="E34" s="287">
        <f>C34/C22-1</f>
        <v>0.36313450031680405</v>
      </c>
      <c r="F34" s="136">
        <f>Q34/19</f>
        <v>956316.78947368416</v>
      </c>
      <c r="G34" s="190">
        <f t="shared" ref="G34" si="17">F34/F33-1</f>
        <v>-0.16267865500144552</v>
      </c>
      <c r="H34" s="190">
        <f t="shared" ref="H34" si="18">F34/F22-1</f>
        <v>0.31605961794536408</v>
      </c>
      <c r="I34" s="130">
        <f t="shared" si="0"/>
        <v>27.510140625423695</v>
      </c>
      <c r="J34" s="130">
        <f t="shared" si="4"/>
        <v>-5.5330100502406165E-2</v>
      </c>
      <c r="K34" s="136">
        <f>R32+R33+R34</f>
        <v>86869356852</v>
      </c>
      <c r="L34" s="190">
        <f>U34/U31-1</f>
        <v>0.10217743288387715</v>
      </c>
      <c r="M34" s="190">
        <f>U34/U22-1</f>
        <v>0.34286927278203572</v>
      </c>
      <c r="N34" s="191">
        <f>AVERAGE(T32:T34)</f>
        <v>29.029824569656967</v>
      </c>
      <c r="O34" s="192">
        <f>N34/N31-1</f>
        <v>-1.6306934150955521E-2</v>
      </c>
      <c r="P34" s="129" t="s">
        <v>652</v>
      </c>
      <c r="Q34" s="116">
        <v>18170019</v>
      </c>
      <c r="R34" s="116">
        <v>24974368522</v>
      </c>
      <c r="S34" s="116">
        <v>660484.41</v>
      </c>
      <c r="T34" s="130">
        <f t="shared" ref="T34" si="19">Q34/S34</f>
        <v>27.510140625423695</v>
      </c>
      <c r="U34" s="85">
        <f>Q32+Q33+Q34</f>
        <v>63577528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944841.39130434778</v>
      </c>
      <c r="G35" s="190">
        <f t="shared" ref="G35" si="20">F35/F34-1</f>
        <v>-1.1999578273274802E-2</v>
      </c>
      <c r="H35" s="190">
        <f t="shared" ref="H35" si="21">F35/F23-1</f>
        <v>0.308252334934487</v>
      </c>
      <c r="I35" s="130">
        <f t="shared" si="0"/>
        <v>21.624859083949545</v>
      </c>
      <c r="J35" s="130">
        <f t="shared" si="4"/>
        <v>-0.23753494716598333</v>
      </c>
      <c r="K35" s="136"/>
      <c r="L35" s="190"/>
      <c r="M35" s="190"/>
      <c r="N35" s="191"/>
      <c r="O35" s="192"/>
      <c r="P35" s="129" t="s">
        <v>660</v>
      </c>
      <c r="Q35" s="116">
        <v>21731352</v>
      </c>
      <c r="R35" s="116">
        <v>30065554714</v>
      </c>
      <c r="S35" s="116">
        <v>1004924.56</v>
      </c>
      <c r="T35" s="130">
        <f t="shared" ref="T35" si="22">Q35/S35</f>
        <v>21.624859083949545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1410250.9047619049</v>
      </c>
      <c r="G36" s="190">
        <f t="shared" ref="G36" si="23">F36/F35-1</f>
        <v>0.4925795141288869</v>
      </c>
      <c r="H36" s="190">
        <f t="shared" ref="H36" si="24">F36/F24-1</f>
        <v>0.76025975408757285</v>
      </c>
      <c r="I36" s="130">
        <f t="shared" si="0"/>
        <v>24.231707215494566</v>
      </c>
      <c r="J36" s="130">
        <f t="shared" si="4"/>
        <v>-0.19037188323177257</v>
      </c>
      <c r="K36" s="136"/>
      <c r="L36" s="190"/>
      <c r="M36" s="190"/>
      <c r="N36" s="191"/>
      <c r="O36" s="192"/>
      <c r="P36" s="129" t="s">
        <v>666</v>
      </c>
      <c r="Q36" s="116">
        <v>29615269</v>
      </c>
      <c r="R36" s="116">
        <v>40456591360</v>
      </c>
      <c r="S36" s="116">
        <v>1222170.1399999999</v>
      </c>
      <c r="T36" s="130">
        <f t="shared" ref="T36" si="25">Q36/S36</f>
        <v>24.231707215494566</v>
      </c>
      <c r="U36" s="85"/>
    </row>
    <row r="37" spans="1:21" s="79" customFormat="1" ht="13.2" hidden="1">
      <c r="A37" s="129" t="s">
        <v>702</v>
      </c>
      <c r="B37" s="188">
        <f>SUM(F35:F37)</f>
        <v>3811291.2960662525</v>
      </c>
      <c r="C37" s="188">
        <f>AVERAGE(F35:F37)</f>
        <v>1270430.4320220842</v>
      </c>
      <c r="D37" s="190">
        <f>C37/C34-1</f>
        <v>0.22212428993487543</v>
      </c>
      <c r="E37" s="287">
        <f>C37/C25-1</f>
        <v>0.47691071127759121</v>
      </c>
      <c r="F37" s="136">
        <f>Q37/18</f>
        <v>1456199</v>
      </c>
      <c r="G37" s="190">
        <f t="shared" ref="G37" si="26">F37/F36-1</f>
        <v>3.2581503818182478E-2</v>
      </c>
      <c r="H37" s="190">
        <f t="shared" ref="H37" si="27">F37/F25-1</f>
        <v>0.37740292575481571</v>
      </c>
      <c r="I37" s="130">
        <f t="shared" si="0"/>
        <v>23.338260961800813</v>
      </c>
      <c r="J37" s="130">
        <f t="shared" si="4"/>
        <v>-1.2922031283617352E-2</v>
      </c>
      <c r="K37" s="136">
        <f>R35+R36+R37</f>
        <v>105513253141</v>
      </c>
      <c r="L37" s="190">
        <f>U37/U34-1</f>
        <v>0.2198996318321782</v>
      </c>
      <c r="M37" s="190">
        <f>U37/U25-1</f>
        <v>0.46671084929745277</v>
      </c>
      <c r="N37" s="191">
        <f>AVERAGE(T35:T37)</f>
        <v>23.064942420414976</v>
      </c>
      <c r="O37" s="192">
        <f>N37/N34-1</f>
        <v>-0.20547427473870106</v>
      </c>
      <c r="P37" s="129" t="s">
        <v>702</v>
      </c>
      <c r="Q37" s="116">
        <v>26211582</v>
      </c>
      <c r="R37" s="116">
        <v>34991107067</v>
      </c>
      <c r="S37" s="116">
        <v>1123116.33</v>
      </c>
      <c r="T37" s="130">
        <f t="shared" ref="T37" si="28">Q37/S37</f>
        <v>23.338260961800813</v>
      </c>
      <c r="U37" s="85">
        <f>Q35+Q36+Q37</f>
        <v>77558203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1611178.7</v>
      </c>
      <c r="G38" s="190">
        <f t="shared" ref="G38" si="29">F38/F37-1</f>
        <v>0.10642755557447847</v>
      </c>
      <c r="H38" s="190">
        <f t="shared" ref="H38" si="30">F38/F26-1</f>
        <v>0.5937409926318804</v>
      </c>
      <c r="I38" s="130">
        <f t="shared" si="0"/>
        <v>24.07902957956296</v>
      </c>
      <c r="J38" s="130">
        <f t="shared" si="4"/>
        <v>0.14767037466242838</v>
      </c>
      <c r="K38" s="136"/>
      <c r="L38" s="190"/>
      <c r="M38" s="190"/>
      <c r="N38" s="191"/>
      <c r="O38" s="192"/>
      <c r="P38" s="129" t="s">
        <v>728</v>
      </c>
      <c r="Q38" s="116">
        <v>32223574</v>
      </c>
      <c r="R38" s="116">
        <v>43380132776</v>
      </c>
      <c r="S38" s="116">
        <v>1338242.22</v>
      </c>
      <c r="T38" s="130">
        <f t="shared" ref="T38" si="31">Q38/S38</f>
        <v>24.07902957956296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1300441</v>
      </c>
      <c r="G39" s="190">
        <f t="shared" ref="G39" si="32">F39/F38-1</f>
        <v>-0.19286358490215882</v>
      </c>
      <c r="H39" s="190">
        <f t="shared" ref="H39" si="33">F39/F27-1</f>
        <v>0.31007121439966889</v>
      </c>
      <c r="I39" s="130">
        <f t="shared" si="0"/>
        <v>29.334996203211887</v>
      </c>
      <c r="J39" s="130">
        <f t="shared" si="4"/>
        <v>0.31785902965679846</v>
      </c>
      <c r="K39" s="136"/>
      <c r="L39" s="190"/>
      <c r="M39" s="190"/>
      <c r="N39" s="191"/>
      <c r="O39" s="192"/>
      <c r="P39" s="129" t="s">
        <v>762</v>
      </c>
      <c r="Q39" s="116">
        <v>27309261</v>
      </c>
      <c r="R39" s="116">
        <v>37911614288</v>
      </c>
      <c r="S39" s="116">
        <v>930944.76</v>
      </c>
      <c r="T39" s="130">
        <f t="shared" ref="T39" si="34">Q39/S39</f>
        <v>29.334996203211887</v>
      </c>
      <c r="U39" s="85"/>
    </row>
    <row r="40" spans="1:21" s="79" customFormat="1" ht="13.2" hidden="1">
      <c r="A40" s="129" t="s">
        <v>778</v>
      </c>
      <c r="B40" s="188">
        <f>SUM(F38:F40)</f>
        <v>4064438.9380952381</v>
      </c>
      <c r="C40" s="188">
        <f>AVERAGE(F38:F40)</f>
        <v>1354812.9793650794</v>
      </c>
      <c r="D40" s="190">
        <f>C40/C37-1</f>
        <v>6.6420439259068598E-2</v>
      </c>
      <c r="E40" s="287">
        <f>C40/C28-1</f>
        <v>0.38792071457568511</v>
      </c>
      <c r="F40" s="136">
        <f>Q40/21</f>
        <v>1152819.2380952381</v>
      </c>
      <c r="G40" s="190">
        <f t="shared" ref="G40" si="35">F40/F39-1</f>
        <v>-0.11351669311007717</v>
      </c>
      <c r="H40" s="190">
        <f t="shared" ref="H40" si="36">F40/F28-1</f>
        <v>0.24649731652950169</v>
      </c>
      <c r="I40" s="130">
        <f t="shared" si="0"/>
        <v>28.308208202690537</v>
      </c>
      <c r="J40" s="130">
        <f t="shared" si="4"/>
        <v>0.12081239923129439</v>
      </c>
      <c r="K40" s="136">
        <f>R38+R39+R40</f>
        <v>115559570414</v>
      </c>
      <c r="L40" s="190">
        <f>U40/U37-1</f>
        <v>7.973155334710369E-2</v>
      </c>
      <c r="M40" s="190">
        <f>U40/U28-1</f>
        <v>0.42859992529972479</v>
      </c>
      <c r="N40" s="191">
        <f>AVERAGE(T38:T40)</f>
        <v>27.240744661821793</v>
      </c>
      <c r="O40" s="192">
        <f>N40/N37-1</f>
        <v>0.18104542232504239</v>
      </c>
      <c r="P40" s="129" t="s">
        <v>778</v>
      </c>
      <c r="Q40" s="116">
        <v>24209204</v>
      </c>
      <c r="R40" s="116">
        <v>34267823350</v>
      </c>
      <c r="S40" s="116">
        <v>855200.86</v>
      </c>
      <c r="T40" s="130">
        <f t="shared" ref="T40" si="37">Q40/S40</f>
        <v>28.308208202690537</v>
      </c>
      <c r="U40" s="85">
        <f>Q38+Q39+Q40</f>
        <v>83742039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1410555.7777777778</v>
      </c>
      <c r="G41" s="190">
        <f t="shared" ref="G41" si="38">F41/F40-1</f>
        <v>0.22357064417869066</v>
      </c>
      <c r="H41" s="190">
        <f t="shared" ref="H41" si="39">F41/F29-1</f>
        <v>0.56592050221673684</v>
      </c>
      <c r="I41" s="130">
        <f t="shared" si="0"/>
        <v>24.613194118259894</v>
      </c>
      <c r="J41" s="130">
        <f t="shared" si="4"/>
        <v>-0.18457592105482579</v>
      </c>
      <c r="K41" s="193"/>
      <c r="L41" s="190"/>
      <c r="M41" s="190"/>
      <c r="N41" s="193"/>
      <c r="O41" s="193"/>
      <c r="P41" s="129" t="s">
        <v>793</v>
      </c>
      <c r="Q41" s="116">
        <v>25390004</v>
      </c>
      <c r="R41" s="116">
        <v>37158149461</v>
      </c>
      <c r="S41" s="116">
        <v>1031560.71</v>
      </c>
      <c r="T41" s="130">
        <f t="shared" ref="T41" si="40">Q41/S41</f>
        <v>24.613194118259894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1155845.2</v>
      </c>
      <c r="G42" s="190">
        <f t="shared" ref="G42" si="41">F42/F41-1</f>
        <v>-0.18057462298942528</v>
      </c>
      <c r="H42" s="190">
        <f t="shared" ref="H42" si="42">F42/F30-1</f>
        <v>0.1223968293102764</v>
      </c>
      <c r="I42" s="130">
        <f t="shared" si="0"/>
        <v>23.975841643746637</v>
      </c>
      <c r="J42" s="130">
        <f t="shared" si="4"/>
        <v>-0.16068104888552703</v>
      </c>
      <c r="K42" s="193"/>
      <c r="L42" s="190"/>
      <c r="M42" s="190"/>
      <c r="N42" s="193"/>
      <c r="O42" s="193"/>
      <c r="P42" s="129" t="s">
        <v>826</v>
      </c>
      <c r="Q42" s="116">
        <v>23116904</v>
      </c>
      <c r="R42" s="116">
        <v>33408271671</v>
      </c>
      <c r="S42" s="116">
        <v>964174.87</v>
      </c>
      <c r="T42" s="130">
        <f t="shared" ref="T42" si="43">Q42/S42</f>
        <v>23.975841643746637</v>
      </c>
      <c r="U42" s="78"/>
    </row>
    <row r="43" spans="1:21" s="79" customFormat="1" ht="13.2">
      <c r="A43" s="129" t="s">
        <v>835</v>
      </c>
      <c r="B43" s="188">
        <f>SUM(F41:F43)</f>
        <v>3744630.0777777778</v>
      </c>
      <c r="C43" s="188">
        <f>AVERAGE(F41:F43)</f>
        <v>1248210.0259259259</v>
      </c>
      <c r="D43" s="190">
        <f>C43/C40-1</f>
        <v>-7.8684626633199195E-2</v>
      </c>
      <c r="E43" s="287">
        <f>C43/C31-1</f>
        <v>0.31594148372213859</v>
      </c>
      <c r="F43" s="136">
        <f>Q43/20</f>
        <v>1178229.1000000001</v>
      </c>
      <c r="G43" s="190">
        <f t="shared" ref="G43" si="44">F43/F42-1</f>
        <v>1.9365828572892152E-2</v>
      </c>
      <c r="H43" s="190">
        <f t="shared" ref="H43" si="45">F43/F31-1</f>
        <v>0.28767433638377038</v>
      </c>
      <c r="I43" s="130">
        <f t="shared" si="0"/>
        <v>26.078509936154934</v>
      </c>
      <c r="J43" s="130">
        <f t="shared" si="4"/>
        <v>-0.12437733857448541</v>
      </c>
      <c r="K43" s="136">
        <f>R41+R42+R43</f>
        <v>104726695738</v>
      </c>
      <c r="L43" s="190">
        <f>U43/U40-1</f>
        <v>-0.13936308620333449</v>
      </c>
      <c r="M43" s="190">
        <f>K43/K31-1</f>
        <v>0.36948982896861682</v>
      </c>
      <c r="N43" s="191">
        <f>AVERAGE(T41:T43)</f>
        <v>24.889181899387154</v>
      </c>
      <c r="O43" s="192">
        <f>N43/N40-1</f>
        <v>-8.6325201150994291E-2</v>
      </c>
      <c r="P43" s="129" t="s">
        <v>835</v>
      </c>
      <c r="Q43" s="116">
        <v>23564582</v>
      </c>
      <c r="R43" s="116">
        <v>34160274606</v>
      </c>
      <c r="S43" s="116">
        <v>903601.55</v>
      </c>
      <c r="T43" s="130">
        <f t="shared" ref="T43" si="46">Q43/S43</f>
        <v>26.078509936154934</v>
      </c>
      <c r="U43" s="85">
        <f>Q41+Q42+Q43</f>
        <v>72071490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1161719.9090909092</v>
      </c>
      <c r="G44" s="190">
        <f t="shared" ref="G44" si="47">F44/F43-1</f>
        <v>-1.4011868242849279E-2</v>
      </c>
      <c r="H44" s="190">
        <f t="shared" ref="H44" si="48">F44/F32-1</f>
        <v>0.13877595951348476</v>
      </c>
      <c r="I44" s="130">
        <f t="shared" si="0"/>
        <v>30.785214899097742</v>
      </c>
      <c r="J44" s="130">
        <f t="shared" si="4"/>
        <v>-0.10980816329153842</v>
      </c>
      <c r="K44" s="136"/>
      <c r="L44" s="190"/>
      <c r="M44" s="190"/>
      <c r="N44" s="191"/>
      <c r="O44" s="192"/>
      <c r="P44" s="129" t="s">
        <v>843</v>
      </c>
      <c r="Q44" s="116">
        <v>25557838</v>
      </c>
      <c r="R44" s="116">
        <v>37196165090</v>
      </c>
      <c r="S44" s="116">
        <v>830198.46</v>
      </c>
      <c r="T44" s="130">
        <f t="shared" ref="T44" si="49">Q44/S44</f>
        <v>30.785214899097742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1161391.25</v>
      </c>
      <c r="G45" s="190">
        <f t="shared" ref="G45" si="50">F45/F44-1</f>
        <v>-2.8290734138003426E-4</v>
      </c>
      <c r="H45" s="190">
        <f t="shared" ref="H45" si="51">F45/F33-1</f>
        <v>1.6878187462076921E-2</v>
      </c>
      <c r="I45" s="130">
        <f t="shared" si="0"/>
        <v>26.940342384547012</v>
      </c>
      <c r="J45" s="130">
        <f t="shared" si="4"/>
        <v>7.7757762687380882E-2</v>
      </c>
      <c r="K45" s="136"/>
      <c r="L45" s="190"/>
      <c r="M45" s="190"/>
      <c r="N45" s="191"/>
      <c r="O45" s="192"/>
      <c r="P45" s="129" t="s">
        <v>853</v>
      </c>
      <c r="Q45" s="116">
        <v>23227825</v>
      </c>
      <c r="R45" s="116">
        <v>32816474375</v>
      </c>
      <c r="S45" s="116">
        <v>862194.87</v>
      </c>
      <c r="T45" s="130">
        <f t="shared" ref="T45" si="52">Q45/S45</f>
        <v>26.940342384547012</v>
      </c>
      <c r="U45" s="85"/>
    </row>
    <row r="46" spans="1:21" s="79" customFormat="1" ht="13.2">
      <c r="A46" s="129" t="s">
        <v>888</v>
      </c>
      <c r="B46" s="188">
        <f>SUM(F44:F46)</f>
        <v>3785657.0011961721</v>
      </c>
      <c r="C46" s="188">
        <f>AVERAGE(F44:F46)</f>
        <v>1261885.6670653906</v>
      </c>
      <c r="D46" s="190">
        <f>C46/C43-1</f>
        <v>1.0956201965546697E-2</v>
      </c>
      <c r="E46" s="287">
        <f>C46/C34-1</f>
        <v>0.21390442638143514</v>
      </c>
      <c r="F46" s="136">
        <f>Q46/19</f>
        <v>1462545.8421052631</v>
      </c>
      <c r="G46" s="190">
        <f t="shared" ref="G46" si="53">F46/F45-1</f>
        <v>0.25930502929590959</v>
      </c>
      <c r="H46" s="190">
        <f t="shared" ref="H46" si="54">F46/F34-1</f>
        <v>0.52935288620226539</v>
      </c>
      <c r="I46" s="130">
        <f t="shared" si="0"/>
        <v>28.102186713925065</v>
      </c>
      <c r="J46" s="130">
        <f t="shared" si="4"/>
        <v>2.152101279897578E-2</v>
      </c>
      <c r="K46" s="136">
        <f>R44+R45+R46</f>
        <v>108094128411</v>
      </c>
      <c r="L46" s="190">
        <f>U46/U43-1</f>
        <v>6.2473302550009713E-2</v>
      </c>
      <c r="M46" s="190">
        <f>K46/K34-1</f>
        <v>0.24432978818020734</v>
      </c>
      <c r="N46" s="191">
        <f>AVERAGE(T44:T46)</f>
        <v>28.609247999189943</v>
      </c>
      <c r="O46" s="192">
        <f>N46/N43-1</f>
        <v>0.14946518189472457</v>
      </c>
      <c r="P46" s="129" t="s">
        <v>949</v>
      </c>
      <c r="Q46" s="116">
        <v>27788371</v>
      </c>
      <c r="R46" s="116">
        <v>38081488946</v>
      </c>
      <c r="S46" s="116">
        <v>988833.05</v>
      </c>
      <c r="T46" s="130">
        <f t="shared" ref="T46" si="55">Q46/S46</f>
        <v>28.102186713925065</v>
      </c>
      <c r="U46" s="85">
        <f t="shared" ref="U46:U51" si="56">Q44+Q45+Q46</f>
        <v>76574034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1091596.6086956521</v>
      </c>
      <c r="G47" s="190">
        <f t="shared" ref="G47" si="57">F47/F46-1</f>
        <v>-0.25363255135691865</v>
      </c>
      <c r="H47" s="190">
        <f t="shared" ref="H47" si="58">F47/F35-1</f>
        <v>0.15532259566731055</v>
      </c>
      <c r="I47" s="130">
        <f t="shared" si="0"/>
        <v>21.82654044903412</v>
      </c>
      <c r="J47" s="130">
        <f t="shared" si="4"/>
        <v>9.3263666737262163E-3</v>
      </c>
      <c r="K47" s="136"/>
      <c r="L47" s="190"/>
      <c r="M47" s="190"/>
      <c r="N47" s="191"/>
      <c r="O47" s="192"/>
      <c r="P47" s="129" t="s">
        <v>1029</v>
      </c>
      <c r="Q47" s="116">
        <v>25106722</v>
      </c>
      <c r="R47" s="116">
        <v>34435719998</v>
      </c>
      <c r="S47" s="116">
        <v>1150284.08</v>
      </c>
      <c r="T47" s="130">
        <f t="shared" ref="T47" si="59">Q47/S47</f>
        <v>21.82654044903412</v>
      </c>
      <c r="U47" s="85">
        <f t="shared" si="56"/>
        <v>76122918</v>
      </c>
    </row>
    <row r="48" spans="1:21" s="79" customFormat="1" ht="13.2">
      <c r="A48" s="129" t="s">
        <v>1109</v>
      </c>
      <c r="B48" s="188"/>
      <c r="C48" s="188"/>
      <c r="D48" s="190"/>
      <c r="E48" s="287"/>
      <c r="F48" s="136">
        <f>Q48/20</f>
        <v>966382.75</v>
      </c>
      <c r="G48" s="190">
        <f t="shared" ref="G48" si="60">F48/F47-1</f>
        <v>-0.11470707924355872</v>
      </c>
      <c r="H48" s="190">
        <f t="shared" ref="H48" si="61">F48/F36-1</f>
        <v>-0.31474410210489734</v>
      </c>
      <c r="I48" s="130">
        <f t="shared" si="0"/>
        <v>20.96506175393683</v>
      </c>
      <c r="J48" s="130">
        <f t="shared" si="4"/>
        <v>-0.13480872117293219</v>
      </c>
      <c r="K48" s="136"/>
      <c r="L48" s="190"/>
      <c r="M48" s="190"/>
      <c r="N48" s="191"/>
      <c r="O48" s="192"/>
      <c r="P48" s="129" t="s">
        <v>1070</v>
      </c>
      <c r="Q48" s="116">
        <v>19327655</v>
      </c>
      <c r="R48" s="116">
        <v>26814730406</v>
      </c>
      <c r="S48" s="116">
        <v>921898.31</v>
      </c>
      <c r="T48" s="130">
        <f t="shared" ref="T48" si="62">Q48/S48</f>
        <v>20.96506175393683</v>
      </c>
      <c r="U48" s="85">
        <f t="shared" si="56"/>
        <v>72222748</v>
      </c>
    </row>
    <row r="49" spans="1:26" ht="13.2">
      <c r="A49" s="129" t="s">
        <v>1158</v>
      </c>
      <c r="B49" s="188">
        <f>SUM(F47:F49)</f>
        <v>3245822.6314229248</v>
      </c>
      <c r="C49" s="188">
        <f>AVERAGE(F47:F49)</f>
        <v>1081940.8771409749</v>
      </c>
      <c r="D49" s="190">
        <f>C49/C46-1</f>
        <v>-0.14259991584094212</v>
      </c>
      <c r="E49" s="287">
        <f>C49/C37-1</f>
        <v>-0.14836668748646031</v>
      </c>
      <c r="F49" s="136">
        <f>Q49/22</f>
        <v>1187843.2727272727</v>
      </c>
      <c r="G49" s="190">
        <f t="shared" ref="G49" si="63">F49/F48-1</f>
        <v>0.22916439964110769</v>
      </c>
      <c r="H49" s="190">
        <f t="shared" ref="H49" si="64">F49/F37-1</f>
        <v>-0.18428506493461905</v>
      </c>
      <c r="I49" s="130">
        <f t="shared" si="0"/>
        <v>25.684854203592614</v>
      </c>
      <c r="J49" s="130">
        <f t="shared" si="4"/>
        <v>0.10054704785556279</v>
      </c>
      <c r="K49" s="136">
        <f>R47+R48+R49</f>
        <v>97572205941</v>
      </c>
      <c r="L49" s="190">
        <f>U49/U46-1</f>
        <v>-7.844832884212416E-2</v>
      </c>
      <c r="M49" s="190">
        <f>K49/K37-1</f>
        <v>-7.5261135104878085E-2</v>
      </c>
      <c r="N49" s="191">
        <f>AVERAGE(T47:T49)</f>
        <v>22.82548546885452</v>
      </c>
      <c r="O49" s="192">
        <f>N49/N46-1</f>
        <v>-0.20216408800745789</v>
      </c>
      <c r="P49" s="129" t="s">
        <v>1158</v>
      </c>
      <c r="Q49" s="116">
        <v>26132552</v>
      </c>
      <c r="R49" s="116">
        <v>36321755537</v>
      </c>
      <c r="S49" s="116">
        <v>1017430.42</v>
      </c>
      <c r="T49" s="130">
        <f t="shared" ref="T49" si="65">Q49/S49</f>
        <v>25.684854203592614</v>
      </c>
      <c r="U49" s="85">
        <f t="shared" si="56"/>
        <v>70566929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1283217.2777777778</v>
      </c>
      <c r="G50" s="190">
        <f t="shared" ref="G50" si="66">F50/F49-1</f>
        <v>8.0291741545606143E-2</v>
      </c>
      <c r="H50" s="190">
        <f t="shared" ref="H50" si="67">F50/F38-1</f>
        <v>-0.20355372263934612</v>
      </c>
      <c r="I50" s="130">
        <f t="shared" ref="I50" si="68">T50</f>
        <v>26.592225111685934</v>
      </c>
      <c r="J50" s="130">
        <f t="shared" ref="J50" si="69">I50/I38-1</f>
        <v>0.10437279142910505</v>
      </c>
      <c r="K50" s="136"/>
      <c r="L50" s="190"/>
      <c r="M50" s="190"/>
      <c r="N50" s="191"/>
      <c r="O50" s="192"/>
      <c r="P50" s="129" t="s">
        <v>1291</v>
      </c>
      <c r="Q50" s="116">
        <v>23097911</v>
      </c>
      <c r="R50" s="116">
        <v>32650282158</v>
      </c>
      <c r="S50" s="116">
        <v>868596.4</v>
      </c>
      <c r="T50" s="130">
        <f t="shared" ref="T50" si="70">Q50/S50</f>
        <v>26.592225111685934</v>
      </c>
      <c r="U50" s="85">
        <f t="shared" si="56"/>
        <v>68558118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1173978.45</v>
      </c>
      <c r="G51" s="190">
        <f t="shared" ref="G51:G52" si="71">F51/F50-1</f>
        <v>-8.5128862952151829E-2</v>
      </c>
      <c r="H51" s="190">
        <f t="shared" ref="H51:H52" si="72">F51/F39-1</f>
        <v>-9.7245895815342709E-2</v>
      </c>
      <c r="I51" s="130">
        <f t="shared" ref="I51:I52" si="73">T51</f>
        <v>26.398817266303723</v>
      </c>
      <c r="J51" s="130">
        <f t="shared" ref="J51:J52" si="74">I51/I39-1</f>
        <v>-0.1000913351605166</v>
      </c>
      <c r="K51" s="136"/>
      <c r="L51" s="190"/>
      <c r="M51" s="190"/>
      <c r="N51" s="191"/>
      <c r="O51" s="192"/>
      <c r="P51" s="129" t="s">
        <v>1402</v>
      </c>
      <c r="Q51" s="116">
        <v>23479569</v>
      </c>
      <c r="R51" s="116">
        <v>34052461721</v>
      </c>
      <c r="S51" s="116">
        <v>889417.46</v>
      </c>
      <c r="T51" s="130">
        <f t="shared" ref="T51:T52" si="75">Q51/S51</f>
        <v>26.398817266303723</v>
      </c>
      <c r="U51" s="85">
        <f t="shared" si="56"/>
        <v>72710032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3683707.6823232323</v>
      </c>
      <c r="C52" s="188">
        <f>AVERAGE(F50:F52)</f>
        <v>1227902.5607744108</v>
      </c>
      <c r="D52" s="190">
        <f>C52/C49-1</f>
        <v>0.13490726408187781</v>
      </c>
      <c r="E52" s="287">
        <f>C52/C40-1</f>
        <v>-9.3673754624157834E-2</v>
      </c>
      <c r="F52" s="136">
        <f>Q52/22</f>
        <v>1226511.9545454546</v>
      </c>
      <c r="G52" s="190">
        <f t="shared" si="71"/>
        <v>4.474826990687486E-2</v>
      </c>
      <c r="H52" s="190">
        <f t="shared" si="72"/>
        <v>6.3923912800046834E-2</v>
      </c>
      <c r="I52" s="130">
        <f t="shared" si="73"/>
        <v>24.807743927076039</v>
      </c>
      <c r="J52" s="130">
        <f t="shared" si="74"/>
        <v>-0.12365545182339721</v>
      </c>
      <c r="K52" s="136">
        <f>R50+R51+R52</f>
        <v>106403684666</v>
      </c>
      <c r="L52" s="190">
        <f>U52/U49-1</f>
        <v>4.2425170578132887E-2</v>
      </c>
      <c r="M52" s="190">
        <f>K52/K40-1</f>
        <v>-7.9230873870493101E-2</v>
      </c>
      <c r="N52" s="191">
        <f>AVERAGE(T50:T52)</f>
        <v>25.932928768355236</v>
      </c>
      <c r="O52" s="192">
        <f>N52/N49-1</f>
        <v>0.13613919860503465</v>
      </c>
      <c r="P52" s="129" t="s">
        <v>1403</v>
      </c>
      <c r="Q52" s="116">
        <v>26983263</v>
      </c>
      <c r="R52" s="116">
        <v>39700940787</v>
      </c>
      <c r="S52" s="116">
        <v>1087695.1599999999</v>
      </c>
      <c r="T52" s="130">
        <f t="shared" si="75"/>
        <v>24.807743927076039</v>
      </c>
      <c r="U52" s="85">
        <f t="shared" ref="U52" si="76">Q50+Q51+Q52</f>
        <v>73560743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1444516.4761904762</v>
      </c>
      <c r="G53" s="190">
        <f t="shared" ref="G53" si="77">F53/F52-1</f>
        <v>0.17774349515069687</v>
      </c>
      <c r="H53" s="190">
        <f t="shared" ref="H53" si="78">F53/F41-1</f>
        <v>2.4076111663021926E-2</v>
      </c>
      <c r="I53" s="130">
        <f t="shared" ref="I53" si="79">T53</f>
        <v>24.207310110104519</v>
      </c>
      <c r="J53" s="130">
        <f t="shared" ref="J53" si="80">I53/I41-1</f>
        <v>-1.6490505303993097E-2</v>
      </c>
      <c r="K53" s="136"/>
      <c r="L53" s="190"/>
      <c r="M53" s="190"/>
      <c r="N53" s="191"/>
      <c r="O53" s="192"/>
      <c r="P53" s="129" t="s">
        <v>1414</v>
      </c>
      <c r="Q53" s="116">
        <v>30334846</v>
      </c>
      <c r="R53" s="116">
        <v>44233618080</v>
      </c>
      <c r="S53" s="116">
        <v>1253127.5</v>
      </c>
      <c r="T53" s="130">
        <f t="shared" ref="T53" si="81">Q53/S53</f>
        <v>24.207310110104519</v>
      </c>
      <c r="U53" s="85">
        <f t="shared" ref="U53" si="82">Q51+Q52+Q53</f>
        <v>80797678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1358885</v>
      </c>
      <c r="G54" s="190">
        <f t="shared" ref="G54" si="83">F54/F53-1</f>
        <v>-5.9280373468848402E-2</v>
      </c>
      <c r="H54" s="190">
        <f t="shared" ref="H54" si="84">F54/F42-1</f>
        <v>0.17566348850174762</v>
      </c>
      <c r="I54" s="130">
        <f t="shared" ref="I54" si="85">T54</f>
        <v>26.418128457015968</v>
      </c>
      <c r="J54" s="130">
        <f t="shared" ref="J54" si="86">I54/I42-1</f>
        <v>0.10186448715998786</v>
      </c>
      <c r="K54" s="136"/>
      <c r="L54" s="190"/>
      <c r="M54" s="190"/>
      <c r="N54" s="191"/>
      <c r="O54" s="192"/>
      <c r="P54" s="129" t="s">
        <v>1417</v>
      </c>
      <c r="Q54" s="116">
        <v>23101045</v>
      </c>
      <c r="R54" s="116">
        <v>33441992239</v>
      </c>
      <c r="S54" s="116">
        <v>874439.12</v>
      </c>
      <c r="T54" s="130">
        <f t="shared" ref="T54" si="87">Q54/S54</f>
        <v>26.418128457015968</v>
      </c>
      <c r="U54" s="85">
        <f t="shared" ref="U54" si="88">Q52+Q53+Q54</f>
        <v>80419154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4057153.1904761903</v>
      </c>
      <c r="C55" s="188">
        <f>AVERAGE(F53:F55)</f>
        <v>1352384.3968253967</v>
      </c>
      <c r="D55" s="190">
        <f>C55/C52-1</f>
        <v>0.10137761743283424</v>
      </c>
      <c r="E55" s="287">
        <f>C55/C43-1</f>
        <v>8.3459008288444103E-2</v>
      </c>
      <c r="F55" s="136">
        <f>Q55/21</f>
        <v>1253751.7142857143</v>
      </c>
      <c r="G55" s="190">
        <f t="shared" ref="G55" si="89">F55/F54-1</f>
        <v>-7.7367316376504069E-2</v>
      </c>
      <c r="H55" s="190">
        <f t="shared" ref="H55" si="90">F55/F43-1</f>
        <v>6.4098412002991711E-2</v>
      </c>
      <c r="I55" s="130">
        <f>T55</f>
        <v>26.313848680657937</v>
      </c>
      <c r="J55" s="130">
        <f t="shared" ref="J55" si="91">I55/I43-1</f>
        <v>9.0242404600247017E-3</v>
      </c>
      <c r="K55" s="136">
        <f>R53+R54+R55</f>
        <v>116475001172</v>
      </c>
      <c r="L55" s="190">
        <f>U55/U52-1</f>
        <v>8.4337565758410005E-2</v>
      </c>
      <c r="M55" s="190">
        <f>K55/K43-1</f>
        <v>0.11218061785689604</v>
      </c>
      <c r="N55" s="191">
        <f>AVERAGE(T53:T55)</f>
        <v>25.646429082592807</v>
      </c>
      <c r="O55" s="192">
        <f>N55/N52-1</f>
        <v>-1.1047718070009593E-2</v>
      </c>
      <c r="P55" s="129" t="s">
        <v>1418</v>
      </c>
      <c r="Q55" s="116">
        <v>26328786</v>
      </c>
      <c r="R55" s="116">
        <v>38799390853</v>
      </c>
      <c r="S55" s="116">
        <v>1000567.66</v>
      </c>
      <c r="T55" s="130">
        <f t="shared" ref="T55" si="92">Q55/S55</f>
        <v>26.313848680657937</v>
      </c>
      <c r="U55" s="85">
        <f t="shared" ref="U55" si="93">Q53+Q54+Q55</f>
        <v>79764677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1601558.1363636365</v>
      </c>
      <c r="G56" s="190">
        <f t="shared" ref="G56" si="94">F56/F55-1</f>
        <v>0.27741251965192637</v>
      </c>
      <c r="H56" s="190">
        <f t="shared" ref="H56" si="95">F56/F44-1</f>
        <v>0.37860952870896192</v>
      </c>
      <c r="I56" s="291">
        <f>T56</f>
        <v>32.080427765271097</v>
      </c>
      <c r="J56" s="130">
        <f t="shared" ref="J56" si="96">I56/I44-1</f>
        <v>4.2072562118490087E-2</v>
      </c>
      <c r="K56" s="136"/>
      <c r="L56" s="190"/>
      <c r="M56" s="190"/>
      <c r="N56" s="191"/>
      <c r="O56" s="192"/>
      <c r="P56" s="129" t="s">
        <v>1420</v>
      </c>
      <c r="Q56" s="116">
        <v>35234279</v>
      </c>
      <c r="R56" s="116">
        <v>52634605137</v>
      </c>
      <c r="S56" s="116">
        <v>1098310.76</v>
      </c>
      <c r="T56" s="130">
        <f t="shared" ref="T56" si="97">Q56/S56</f>
        <v>32.080427765271097</v>
      </c>
      <c r="U56" s="85">
        <f t="shared" ref="U56" si="98">Q54+Q55+Q56</f>
        <v>84664110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1003030.8333333334</v>
      </c>
      <c r="G57" s="254">
        <f t="shared" ref="G57" si="99">F57/F56-1</f>
        <v>-0.37371562695143179</v>
      </c>
      <c r="H57" s="254">
        <f t="shared" ref="H57" si="100">F57/F45-1</f>
        <v>-0.13635406385803805</v>
      </c>
      <c r="I57" s="282">
        <f>T57</f>
        <v>23.23258872241502</v>
      </c>
      <c r="J57" s="277">
        <f t="shared" ref="J57" si="101">I57/I45-1</f>
        <v>-0.13762830513463553</v>
      </c>
      <c r="K57" s="204"/>
      <c r="L57" s="254"/>
      <c r="M57" s="254"/>
      <c r="N57" s="257"/>
      <c r="O57" s="258"/>
      <c r="P57" s="129" t="s">
        <v>1436</v>
      </c>
      <c r="Q57" s="116">
        <v>12036370</v>
      </c>
      <c r="R57" s="116">
        <v>17721712138</v>
      </c>
      <c r="S57" s="116">
        <v>518081.31</v>
      </c>
      <c r="T57" s="130">
        <f t="shared" ref="T57" si="102">Q57/S57</f>
        <v>23.23258872241502</v>
      </c>
      <c r="U57" s="85">
        <f t="shared" ref="U57" si="103">Q55+Q56+Q57</f>
        <v>73599435</v>
      </c>
      <c r="V57" s="79"/>
      <c r="W57" s="79"/>
      <c r="X57" s="79"/>
      <c r="Y57" s="79"/>
      <c r="Z57" s="79"/>
    </row>
    <row r="58" spans="1:26">
      <c r="B58" s="196">
        <f>SUM(F56:F58)</f>
        <v>2604588.9696969697</v>
      </c>
      <c r="C58" s="196">
        <f>AVERAGE(F56:F58)</f>
        <v>1302294.4848484849</v>
      </c>
      <c r="D58" s="197">
        <f>C58/C55-1</f>
        <v>-3.7038220859759607E-2</v>
      </c>
      <c r="E58" s="233">
        <f>C58/C46-1</f>
        <v>3.2022566574567701E-2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127035326</v>
      </c>
      <c r="R64" s="212">
        <v>186831318447</v>
      </c>
      <c r="S64" s="213">
        <v>4744526.3499999996</v>
      </c>
    </row>
    <row r="65" spans="16:19" ht="18" thickBot="1">
      <c r="P65" s="180" t="s">
        <v>976</v>
      </c>
      <c r="Q65" s="181">
        <v>30334846</v>
      </c>
      <c r="R65" s="181">
        <v>44233618080</v>
      </c>
      <c r="S65" s="182">
        <v>1253127.5</v>
      </c>
    </row>
    <row r="66" spans="16:19" ht="18" thickBot="1">
      <c r="P66" s="180" t="s">
        <v>977</v>
      </c>
      <c r="Q66" s="181">
        <v>23101045</v>
      </c>
      <c r="R66" s="181">
        <v>33441992239</v>
      </c>
      <c r="S66" s="182">
        <v>874439.12</v>
      </c>
    </row>
    <row r="67" spans="16:19" ht="18" thickBot="1">
      <c r="P67" s="180" t="s">
        <v>978</v>
      </c>
      <c r="Q67" s="181">
        <v>26328786</v>
      </c>
      <c r="R67" s="181">
        <v>38799390853</v>
      </c>
      <c r="S67" s="182">
        <v>1000567.66</v>
      </c>
    </row>
    <row r="68" spans="16:19" ht="18" thickBot="1">
      <c r="P68" s="180" t="s">
        <v>979</v>
      </c>
      <c r="Q68" s="181">
        <v>35234279</v>
      </c>
      <c r="R68" s="181">
        <v>52634605137</v>
      </c>
      <c r="S68" s="182">
        <v>1098310.76</v>
      </c>
    </row>
    <row r="69" spans="16:19" ht="18" thickBot="1">
      <c r="P69" s="180" t="s">
        <v>980</v>
      </c>
      <c r="Q69" s="181">
        <v>12036370</v>
      </c>
      <c r="R69" s="181">
        <v>17721712138</v>
      </c>
      <c r="S69" s="182">
        <v>518081.31</v>
      </c>
    </row>
    <row r="70" spans="16:19" ht="18" thickBot="1">
      <c r="P70" s="180" t="s">
        <v>975</v>
      </c>
      <c r="Q70" s="181">
        <v>292766906</v>
      </c>
      <c r="R70" s="181">
        <v>416787739493</v>
      </c>
      <c r="S70" s="182">
        <v>11515802.449999999</v>
      </c>
    </row>
    <row r="71" spans="16:19" ht="18" thickBot="1">
      <c r="P71" s="180" t="s">
        <v>982</v>
      </c>
      <c r="Q71" s="181">
        <v>282531131</v>
      </c>
      <c r="R71" s="181">
        <v>384371204950</v>
      </c>
      <c r="S71" s="182">
        <v>10668742.369999999</v>
      </c>
    </row>
    <row r="72" spans="16:19" ht="18" thickBot="1">
      <c r="P72" s="215" t="s">
        <v>1386</v>
      </c>
      <c r="Q72" s="217"/>
      <c r="R72"/>
      <c r="S72"/>
    </row>
  </sheetData>
  <phoneticPr fontId="1" type="noConversion"/>
  <conditionalFormatting sqref="C29:C30">
    <cfRule type="cellIs" dxfId="19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163"/>
  <dimension ref="A1:Z71"/>
  <sheetViews>
    <sheetView zoomScale="90" zoomScaleNormal="90" workbookViewId="0">
      <selection activeCell="D69" sqref="D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5402110000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850581.95</v>
      </c>
      <c r="G5" s="90"/>
      <c r="H5" s="90"/>
      <c r="I5" s="130">
        <f t="shared" ref="I5:I49" si="0">T5</f>
        <v>22.906556582159357</v>
      </c>
      <c r="J5" s="130"/>
      <c r="L5" s="80"/>
      <c r="M5" s="80"/>
      <c r="P5" s="129" t="s">
        <v>0</v>
      </c>
      <c r="Q5" s="116">
        <v>17011639</v>
      </c>
      <c r="R5" s="116"/>
      <c r="S5" s="116">
        <v>742653.7</v>
      </c>
      <c r="T5" s="130">
        <f t="shared" ref="T5:T23" si="1">Q5/S5</f>
        <v>22.906556582159357</v>
      </c>
      <c r="U5" s="85"/>
    </row>
    <row r="6" spans="1:21" ht="15" hidden="1" customHeight="1">
      <c r="A6" s="129" t="s">
        <v>1</v>
      </c>
      <c r="C6" s="79"/>
      <c r="F6" s="78">
        <f>Q6/18</f>
        <v>936922.9444444445</v>
      </c>
      <c r="G6" s="90">
        <f t="shared" ref="G6:G22" si="2">F6/F5-1</f>
        <v>0.10150814327113866</v>
      </c>
      <c r="H6" s="90"/>
      <c r="I6" s="130">
        <f t="shared" si="0"/>
        <v>22.668252293423837</v>
      </c>
      <c r="J6" s="130"/>
      <c r="P6" s="129" t="s">
        <v>1</v>
      </c>
      <c r="Q6" s="116">
        <v>16864613</v>
      </c>
      <c r="R6" s="116"/>
      <c r="S6" s="116">
        <v>743975</v>
      </c>
      <c r="T6" s="130">
        <f t="shared" si="1"/>
        <v>22.668252293423837</v>
      </c>
      <c r="U6" s="85"/>
    </row>
    <row r="7" spans="1:21" ht="15" hidden="1" customHeight="1">
      <c r="A7" s="129" t="s">
        <v>2</v>
      </c>
      <c r="B7" s="131">
        <f>F5+F6+F7</f>
        <v>2638935.2126262626</v>
      </c>
      <c r="C7" s="131">
        <f>AVERAGE(F5:F7)</f>
        <v>879645.07087542082</v>
      </c>
      <c r="F7" s="78">
        <f>Q7/22</f>
        <v>851430.31818181823</v>
      </c>
      <c r="G7" s="90">
        <f t="shared" si="2"/>
        <v>-9.1248300374711988E-2</v>
      </c>
      <c r="H7" s="90"/>
      <c r="I7" s="130">
        <f t="shared" si="0"/>
        <v>23.405237889425223</v>
      </c>
      <c r="J7" s="130"/>
      <c r="K7" s="79">
        <f>R5+R6+R7</f>
        <v>0</v>
      </c>
      <c r="N7" s="88">
        <f>AVERAGE(T5:T7)</f>
        <v>22.993348921669469</v>
      </c>
      <c r="P7" s="129" t="s">
        <v>2</v>
      </c>
      <c r="Q7" s="116">
        <v>18731467</v>
      </c>
      <c r="R7" s="116"/>
      <c r="S7" s="116">
        <v>800310.9</v>
      </c>
      <c r="T7" s="130">
        <f t="shared" si="1"/>
        <v>23.405237889425223</v>
      </c>
      <c r="U7" s="85">
        <f>Q5+Q6+Q7</f>
        <v>52607719</v>
      </c>
    </row>
    <row r="8" spans="1:21" ht="15" hidden="1" customHeight="1">
      <c r="A8" s="129" t="s">
        <v>3</v>
      </c>
      <c r="C8" s="79"/>
      <c r="F8" s="78">
        <f>Q8/21</f>
        <v>831650.66666666663</v>
      </c>
      <c r="G8" s="90">
        <f t="shared" si="2"/>
        <v>-2.3231086670004841E-2</v>
      </c>
      <c r="H8" s="90"/>
      <c r="I8" s="130">
        <f t="shared" si="0"/>
        <v>23.268038572528663</v>
      </c>
      <c r="J8" s="130"/>
      <c r="K8" s="78"/>
      <c r="P8" s="129" t="s">
        <v>3</v>
      </c>
      <c r="Q8" s="116">
        <v>17464664</v>
      </c>
      <c r="R8" s="116"/>
      <c r="S8" s="116">
        <v>750586</v>
      </c>
      <c r="T8" s="130">
        <f t="shared" si="1"/>
        <v>23.268038572528663</v>
      </c>
      <c r="U8" s="85"/>
    </row>
    <row r="9" spans="1:21" ht="15" hidden="1" customHeight="1">
      <c r="A9" s="129" t="s">
        <v>4</v>
      </c>
      <c r="C9" s="79"/>
      <c r="F9" s="78">
        <f>Q9/21</f>
        <v>983027.52380952379</v>
      </c>
      <c r="G9" s="90">
        <f t="shared" si="2"/>
        <v>0.18201976287662913</v>
      </c>
      <c r="H9" s="90"/>
      <c r="I9" s="130">
        <f t="shared" si="0"/>
        <v>22.789596850811638</v>
      </c>
      <c r="J9" s="130"/>
      <c r="K9" s="78"/>
      <c r="P9" s="129" t="s">
        <v>4</v>
      </c>
      <c r="Q9" s="116">
        <v>20643578</v>
      </c>
      <c r="R9" s="116"/>
      <c r="S9" s="116">
        <v>905833.4</v>
      </c>
      <c r="T9" s="130">
        <f t="shared" si="1"/>
        <v>22.789596850811638</v>
      </c>
      <c r="U9" s="85"/>
    </row>
    <row r="10" spans="1:21" ht="15" hidden="1" customHeight="1">
      <c r="A10" s="129" t="s">
        <v>5</v>
      </c>
      <c r="B10" s="131">
        <f>F8+F9+F10</f>
        <v>2653165.0476190476</v>
      </c>
      <c r="C10" s="131">
        <f>AVERAGE(F8:F10)</f>
        <v>884388.34920634923</v>
      </c>
      <c r="D10" s="90">
        <f>C10/C7-1</f>
        <v>5.3922638663885802E-3</v>
      </c>
      <c r="E10" s="286"/>
      <c r="F10" s="78">
        <f>Q10/21</f>
        <v>838486.85714285716</v>
      </c>
      <c r="G10" s="90">
        <f t="shared" si="2"/>
        <v>-0.14703623567581159</v>
      </c>
      <c r="H10" s="90"/>
      <c r="I10" s="130">
        <f t="shared" si="0"/>
        <v>23.48040581860737</v>
      </c>
      <c r="J10" s="130"/>
      <c r="K10" s="79">
        <f>R8+R9+R10</f>
        <v>0</v>
      </c>
      <c r="L10" s="87">
        <f>U10/U7-1</f>
        <v>5.9092982153436502E-2</v>
      </c>
      <c r="N10" s="88">
        <f>AVERAGE(T8:T10)</f>
        <v>23.179347080649222</v>
      </c>
      <c r="O10" s="89">
        <f>N10/N7-1</f>
        <v>8.0892156950858052E-3</v>
      </c>
      <c r="P10" s="129" t="s">
        <v>5</v>
      </c>
      <c r="Q10" s="116">
        <v>17608224</v>
      </c>
      <c r="R10" s="116"/>
      <c r="S10" s="116">
        <v>749911.4</v>
      </c>
      <c r="T10" s="130">
        <f t="shared" si="1"/>
        <v>23.48040581860737</v>
      </c>
      <c r="U10" s="85">
        <f>Q8+Q9+Q10</f>
        <v>55716466</v>
      </c>
    </row>
    <row r="11" spans="1:21" ht="15" hidden="1" customHeight="1">
      <c r="A11" s="129" t="s">
        <v>6</v>
      </c>
      <c r="C11" s="79"/>
      <c r="F11" s="78">
        <f>Q11/21</f>
        <v>836661.85714285716</v>
      </c>
      <c r="G11" s="90">
        <f t="shared" si="2"/>
        <v>-2.1765397805025843E-3</v>
      </c>
      <c r="H11" s="90"/>
      <c r="I11" s="130">
        <f t="shared" si="0"/>
        <v>22.694955568265836</v>
      </c>
      <c r="J11" s="130"/>
      <c r="K11" s="78"/>
      <c r="O11" s="89"/>
      <c r="P11" s="129" t="s">
        <v>6</v>
      </c>
      <c r="Q11" s="116">
        <v>17569899</v>
      </c>
      <c r="R11" s="116"/>
      <c r="S11" s="116">
        <v>774176.4</v>
      </c>
      <c r="T11" s="130">
        <f t="shared" si="1"/>
        <v>22.694955568265836</v>
      </c>
      <c r="U11" s="85"/>
    </row>
    <row r="12" spans="1:21" ht="15" hidden="1" customHeight="1">
      <c r="A12" s="129" t="s">
        <v>7</v>
      </c>
      <c r="C12" s="79"/>
      <c r="F12" s="78">
        <f>Q12/22</f>
        <v>833050.54545454541</v>
      </c>
      <c r="G12" s="90">
        <f t="shared" si="2"/>
        <v>-4.3163336029732324E-3</v>
      </c>
      <c r="H12" s="90"/>
      <c r="I12" s="130">
        <f t="shared" si="0"/>
        <v>22.648757693511175</v>
      </c>
      <c r="J12" s="130"/>
      <c r="K12" s="78"/>
      <c r="O12" s="89"/>
      <c r="P12" s="129" t="s">
        <v>7</v>
      </c>
      <c r="Q12" s="116">
        <v>18327112</v>
      </c>
      <c r="R12" s="116"/>
      <c r="S12" s="116">
        <v>809188.4</v>
      </c>
      <c r="T12" s="130">
        <f t="shared" si="1"/>
        <v>22.648757693511175</v>
      </c>
      <c r="U12" s="85"/>
    </row>
    <row r="13" spans="1:21" ht="15" hidden="1" customHeight="1">
      <c r="A13" s="129" t="s">
        <v>96</v>
      </c>
      <c r="B13" s="131">
        <f>F11+F12+F13</f>
        <v>2480713.4025974027</v>
      </c>
      <c r="C13" s="131">
        <f>AVERAGE(F11:F13)</f>
        <v>826904.46753246756</v>
      </c>
      <c r="D13" s="90">
        <f>C13/C10-1</f>
        <v>-6.4998461055562062E-2</v>
      </c>
      <c r="E13" s="286"/>
      <c r="F13" s="78">
        <f>Q13/20</f>
        <v>811001</v>
      </c>
      <c r="G13" s="90">
        <f t="shared" si="2"/>
        <v>-2.6468436489065938E-2</v>
      </c>
      <c r="H13" s="90"/>
      <c r="I13" s="130">
        <f t="shared" si="0"/>
        <v>23.496017705140119</v>
      </c>
      <c r="J13" s="130"/>
      <c r="K13" s="78">
        <f>R11+R12+R13</f>
        <v>0</v>
      </c>
      <c r="L13" s="87">
        <f>U13/U10-1</f>
        <v>-6.4602715470144845E-2</v>
      </c>
      <c r="N13" s="88">
        <f>AVERAGE(T11:T13)</f>
        <v>22.946576988972378</v>
      </c>
      <c r="O13" s="89">
        <f>N13/N10-1</f>
        <v>-1.004213323468317E-2</v>
      </c>
      <c r="P13" s="129" t="s">
        <v>96</v>
      </c>
      <c r="Q13" s="116">
        <v>16220020</v>
      </c>
      <c r="R13" s="116"/>
      <c r="S13" s="116">
        <v>690330.6</v>
      </c>
      <c r="T13" s="130">
        <f t="shared" si="1"/>
        <v>23.496017705140119</v>
      </c>
      <c r="U13" s="85">
        <f>Q11+Q12+Q13</f>
        <v>52117031</v>
      </c>
    </row>
    <row r="14" spans="1:21" ht="15" hidden="1" customHeight="1">
      <c r="A14" s="129" t="s">
        <v>97</v>
      </c>
      <c r="C14" s="79"/>
      <c r="F14" s="78">
        <f>Q14/20</f>
        <v>765960.25</v>
      </c>
      <c r="G14" s="90">
        <f t="shared" si="2"/>
        <v>-5.5537231150146527E-2</v>
      </c>
      <c r="H14" s="90"/>
      <c r="I14" s="130">
        <f t="shared" si="0"/>
        <v>23.564183044136684</v>
      </c>
      <c r="J14" s="130"/>
      <c r="O14" s="89"/>
      <c r="P14" s="129" t="s">
        <v>97</v>
      </c>
      <c r="Q14" s="116">
        <v>15319205</v>
      </c>
      <c r="R14" s="116"/>
      <c r="S14" s="116">
        <v>650105.5</v>
      </c>
      <c r="T14" s="130">
        <f t="shared" si="1"/>
        <v>23.564183044136684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646871.40909090906</v>
      </c>
      <c r="G15" s="90">
        <f t="shared" si="2"/>
        <v>-0.15547652885262775</v>
      </c>
      <c r="H15" s="90"/>
      <c r="I15" s="130">
        <f t="shared" si="0"/>
        <v>23.109014095988215</v>
      </c>
      <c r="J15" s="130"/>
      <c r="O15" s="89"/>
      <c r="P15" s="129" t="s">
        <v>98</v>
      </c>
      <c r="Q15" s="116">
        <v>14231171</v>
      </c>
      <c r="R15" s="116"/>
      <c r="S15" s="116">
        <v>615827.69999999995</v>
      </c>
      <c r="T15" s="130">
        <f t="shared" si="1"/>
        <v>23.109014095988215</v>
      </c>
      <c r="U15" s="78"/>
    </row>
    <row r="16" spans="1:21" ht="15" hidden="1" customHeight="1">
      <c r="A16" s="129" t="s">
        <v>99</v>
      </c>
      <c r="B16" s="131">
        <f>F14+F15+F16</f>
        <v>2152566.9318181816</v>
      </c>
      <c r="C16" s="131">
        <f>AVERAGE(F14:F16)</f>
        <v>717522.31060606055</v>
      </c>
      <c r="D16" s="90">
        <f>C16/C13-1</f>
        <v>-0.13227907360666458</v>
      </c>
      <c r="E16" s="286"/>
      <c r="F16" s="78">
        <f>Q16/22</f>
        <v>739735.27272727271</v>
      </c>
      <c r="G16" s="90">
        <f t="shared" si="2"/>
        <v>0.14355846050897703</v>
      </c>
      <c r="H16" s="90"/>
      <c r="I16" s="130">
        <f t="shared" si="0"/>
        <v>22.493569139610244</v>
      </c>
      <c r="J16" s="130"/>
      <c r="K16" s="78">
        <f>R14+R15+R16</f>
        <v>0</v>
      </c>
      <c r="L16" s="87">
        <f>U16/U13-1</f>
        <v>-0.12073748022983122</v>
      </c>
      <c r="N16" s="88">
        <f>AVERAGE(T14:T16)</f>
        <v>23.055588759911714</v>
      </c>
      <c r="O16" s="89">
        <f>N16/N13-1</f>
        <v>4.7506767999307975E-3</v>
      </c>
      <c r="P16" s="129" t="s">
        <v>99</v>
      </c>
      <c r="Q16" s="116">
        <v>16274176</v>
      </c>
      <c r="R16" s="116"/>
      <c r="S16" s="116">
        <v>723503.5</v>
      </c>
      <c r="T16" s="130">
        <f t="shared" si="1"/>
        <v>22.493569139610244</v>
      </c>
      <c r="U16" s="85">
        <f>Q14+Q15+Q16</f>
        <v>45824552</v>
      </c>
    </row>
    <row r="17" spans="1:21" ht="15" hidden="1" customHeight="1">
      <c r="A17" s="129" t="s">
        <v>100</v>
      </c>
      <c r="C17" s="79"/>
      <c r="F17" s="78">
        <f>Q17/20</f>
        <v>869388.25</v>
      </c>
      <c r="G17" s="90">
        <f t="shared" si="2"/>
        <v>0.17526942685147318</v>
      </c>
      <c r="H17" s="90">
        <f t="shared" ref="H17:H22" si="3">F17/F5-1</f>
        <v>2.2109921330919491E-2</v>
      </c>
      <c r="I17" s="130">
        <f t="shared" si="0"/>
        <v>23.505749915610405</v>
      </c>
      <c r="J17" s="130">
        <f t="shared" ref="J17:J49" si="4">I17/I5-1</f>
        <v>2.6158158311656798E-2</v>
      </c>
      <c r="O17" s="89"/>
      <c r="P17" s="129" t="s">
        <v>100</v>
      </c>
      <c r="Q17" s="116">
        <v>17387765</v>
      </c>
      <c r="R17" s="116">
        <v>21774550891</v>
      </c>
      <c r="S17" s="116">
        <v>739723.9</v>
      </c>
      <c r="T17" s="130">
        <f t="shared" si="1"/>
        <v>23.505749915610405</v>
      </c>
      <c r="U17" s="78"/>
    </row>
    <row r="18" spans="1:21" ht="15" hidden="1" customHeight="1">
      <c r="A18" s="129" t="s">
        <v>106</v>
      </c>
      <c r="C18" s="79"/>
      <c r="F18" s="78">
        <f>Q18/20</f>
        <v>910724.15</v>
      </c>
      <c r="G18" s="90">
        <f t="shared" si="2"/>
        <v>4.7545961197428266E-2</v>
      </c>
      <c r="H18" s="90">
        <f t="shared" si="3"/>
        <v>-2.7962592441344469E-2</v>
      </c>
      <c r="I18" s="130">
        <f t="shared" si="0"/>
        <v>23.209843944379198</v>
      </c>
      <c r="J18" s="130">
        <f t="shared" si="4"/>
        <v>2.3892077957526459E-2</v>
      </c>
      <c r="O18" s="89"/>
      <c r="P18" s="129" t="s">
        <v>106</v>
      </c>
      <c r="Q18" s="116">
        <v>18214483</v>
      </c>
      <c r="R18" s="116">
        <v>22970754642</v>
      </c>
      <c r="S18" s="116">
        <v>784774.04</v>
      </c>
      <c r="T18" s="130">
        <f t="shared" si="1"/>
        <v>23.209843944379198</v>
      </c>
      <c r="U18" s="78"/>
    </row>
    <row r="19" spans="1:21" hidden="1">
      <c r="A19" s="129" t="s">
        <v>114</v>
      </c>
      <c r="B19" s="131">
        <f>SUM(F17:F19)</f>
        <v>2621163.127272727</v>
      </c>
      <c r="C19" s="131">
        <f>AVERAGE(F17:F19)</f>
        <v>873721.04242424236</v>
      </c>
      <c r="D19" s="90">
        <f>C19/C16-1</f>
        <v>0.21769181182149921</v>
      </c>
      <c r="E19" s="286">
        <f>C19/C7-1</f>
        <v>-6.7345667557516808E-3</v>
      </c>
      <c r="F19" s="78">
        <f>Q19/22</f>
        <v>841050.72727272729</v>
      </c>
      <c r="G19" s="90">
        <f t="shared" si="2"/>
        <v>-7.6503321809653024E-2</v>
      </c>
      <c r="H19" s="90">
        <f t="shared" si="3"/>
        <v>-1.2190769681840741E-2</v>
      </c>
      <c r="I19" s="130">
        <f t="shared" si="0"/>
        <v>23.191789393450836</v>
      </c>
      <c r="J19" s="130">
        <f t="shared" si="4"/>
        <v>-9.1196892329312718E-3</v>
      </c>
      <c r="K19" s="78">
        <f>R17+R18+R19</f>
        <v>68952882023</v>
      </c>
      <c r="L19" s="87">
        <f>U19/U16-1</f>
        <v>0.18070688394291334</v>
      </c>
      <c r="M19" s="87">
        <f>U19/U7-1</f>
        <v>2.8468160727516123E-2</v>
      </c>
      <c r="N19" s="88">
        <f>AVERAGE(T17:T19)</f>
        <v>23.302461084480147</v>
      </c>
      <c r="O19" s="89">
        <f>N19/N16-1</f>
        <v>1.0707699861375319E-2</v>
      </c>
      <c r="P19" s="129" t="s">
        <v>115</v>
      </c>
      <c r="Q19" s="116">
        <v>18503116</v>
      </c>
      <c r="R19" s="116">
        <v>24207576490</v>
      </c>
      <c r="S19" s="116">
        <v>797830.46</v>
      </c>
      <c r="T19" s="130">
        <f t="shared" si="1"/>
        <v>23.191789393450836</v>
      </c>
      <c r="U19" s="85">
        <f>Q17+Q18+Q19</f>
        <v>54105364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852101.15</v>
      </c>
      <c r="G20" s="90">
        <f t="shared" si="2"/>
        <v>1.3138830238107024E-2</v>
      </c>
      <c r="H20" s="90">
        <f t="shared" si="3"/>
        <v>2.4590232597661243E-2</v>
      </c>
      <c r="I20" s="130">
        <f t="shared" si="0"/>
        <v>23.186075693278646</v>
      </c>
      <c r="J20" s="130">
        <f t="shared" si="4"/>
        <v>-3.522552147854352E-3</v>
      </c>
      <c r="O20" s="89"/>
      <c r="P20" s="129" t="s">
        <v>132</v>
      </c>
      <c r="Q20" s="116">
        <v>17042023</v>
      </c>
      <c r="R20" s="116">
        <v>22376801348</v>
      </c>
      <c r="S20" s="116">
        <v>735011.1</v>
      </c>
      <c r="T20" s="130">
        <f t="shared" si="1"/>
        <v>23.186075693278646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943415.04761904757</v>
      </c>
      <c r="G21" s="90">
        <f t="shared" si="2"/>
        <v>0.10716321368542636</v>
      </c>
      <c r="H21" s="90">
        <f t="shared" si="3"/>
        <v>-4.0296405981560035E-2</v>
      </c>
      <c r="I21" s="130">
        <f t="shared" si="0"/>
        <v>23.805684194447693</v>
      </c>
      <c r="J21" s="130">
        <f t="shared" si="4"/>
        <v>4.4585577809370891E-2</v>
      </c>
      <c r="O21" s="89"/>
      <c r="P21" s="129" t="s">
        <v>141</v>
      </c>
      <c r="Q21" s="116">
        <v>19811716</v>
      </c>
      <c r="R21" s="116">
        <v>26350686094</v>
      </c>
      <c r="S21" s="116">
        <v>832226.28</v>
      </c>
      <c r="T21" s="130">
        <f t="shared" si="1"/>
        <v>23.805684194447693</v>
      </c>
      <c r="U21" s="78"/>
    </row>
    <row r="22" spans="1:21" hidden="1">
      <c r="A22" s="129" t="s">
        <v>155</v>
      </c>
      <c r="B22" s="131">
        <f>SUM(F20:F22)</f>
        <v>2659063.864285714</v>
      </c>
      <c r="C22" s="131">
        <f>AVERAGE(F20:F22)</f>
        <v>886354.62142857129</v>
      </c>
      <c r="D22" s="90">
        <f>C22/C19-1</f>
        <v>1.4459510977640644E-2</v>
      </c>
      <c r="E22" s="286">
        <f>C22/C10-1</f>
        <v>2.223313122551307E-3</v>
      </c>
      <c r="F22" s="78">
        <f>Q22/21</f>
        <v>863547.66666666663</v>
      </c>
      <c r="G22" s="90">
        <f t="shared" si="2"/>
        <v>-8.4657734847400357E-2</v>
      </c>
      <c r="H22" s="90">
        <f t="shared" si="3"/>
        <v>2.9888136361736262E-2</v>
      </c>
      <c r="I22" s="130">
        <f t="shared" si="0"/>
        <v>23.453025730494232</v>
      </c>
      <c r="J22" s="130">
        <f t="shared" si="4"/>
        <v>-1.1660824060987229E-3</v>
      </c>
      <c r="K22" s="78">
        <f>R20+R21+R22</f>
        <v>72283654170</v>
      </c>
      <c r="L22" s="87">
        <f>U22/U19-1</f>
        <v>1.6317716668535764E-2</v>
      </c>
      <c r="M22" s="87">
        <f>U22/U10-1</f>
        <v>-1.3070211595975989E-2</v>
      </c>
      <c r="N22" s="88">
        <f>AVERAGE(T20:T22)</f>
        <v>23.481595206073525</v>
      </c>
      <c r="O22" s="89">
        <f>N22/N19-1</f>
        <v>7.6873477416805613E-3</v>
      </c>
      <c r="P22" s="129" t="s">
        <v>155</v>
      </c>
      <c r="Q22" s="116">
        <v>18134501</v>
      </c>
      <c r="R22" s="116">
        <v>23556166728</v>
      </c>
      <c r="S22" s="116">
        <v>773226.5</v>
      </c>
      <c r="T22" s="130">
        <f t="shared" si="1"/>
        <v>23.453025730494232</v>
      </c>
      <c r="U22" s="85">
        <f>Q20+Q21+Q22</f>
        <v>54988240</v>
      </c>
    </row>
    <row r="23" spans="1:21" hidden="1">
      <c r="A23" s="129" t="s">
        <v>189</v>
      </c>
      <c r="C23" s="131"/>
      <c r="F23" s="78">
        <f>Q23/21</f>
        <v>858831.28571428568</v>
      </c>
      <c r="G23" s="90">
        <f t="shared" ref="G23" si="5">F23/F22-1</f>
        <v>-5.4616336010568922E-3</v>
      </c>
      <c r="H23" s="90">
        <f t="shared" ref="H23" si="6">F23/F11-1</f>
        <v>2.6497477304792572E-2</v>
      </c>
      <c r="I23" s="130">
        <f t="shared" si="0"/>
        <v>22.754346714467879</v>
      </c>
      <c r="J23" s="130">
        <f t="shared" si="4"/>
        <v>2.6169315918418423E-3</v>
      </c>
      <c r="O23" s="89"/>
      <c r="P23" s="129" t="s">
        <v>189</v>
      </c>
      <c r="Q23" s="116">
        <v>18035457</v>
      </c>
      <c r="R23" s="116">
        <v>23278843991</v>
      </c>
      <c r="S23" s="116">
        <v>792615.9</v>
      </c>
      <c r="T23" s="130">
        <f t="shared" si="1"/>
        <v>22.754346714467879</v>
      </c>
      <c r="U23" s="78"/>
    </row>
    <row r="24" spans="1:21" hidden="1">
      <c r="A24" s="129" t="s">
        <v>204</v>
      </c>
      <c r="C24" s="131"/>
      <c r="F24" s="78">
        <f>Q24/22</f>
        <v>729238.59090909094</v>
      </c>
      <c r="G24" s="90">
        <f t="shared" ref="G24" si="7">F24/F23-1</f>
        <v>-0.15089424076745539</v>
      </c>
      <c r="H24" s="90">
        <f t="shared" ref="H24" si="8">F24/F12-1</f>
        <v>-0.12461663354269881</v>
      </c>
      <c r="I24" s="130">
        <f t="shared" si="0"/>
        <v>23.153595448035972</v>
      </c>
      <c r="J24" s="130">
        <f t="shared" si="4"/>
        <v>2.2289865137699483E-2</v>
      </c>
      <c r="O24" s="89"/>
      <c r="P24" s="129" t="s">
        <v>204</v>
      </c>
      <c r="Q24" s="116">
        <v>16043249</v>
      </c>
      <c r="R24" s="116">
        <v>21134538162</v>
      </c>
      <c r="S24" s="116">
        <v>692905.3</v>
      </c>
      <c r="T24" s="130">
        <f t="shared" ref="T24" si="9">Q24/S24</f>
        <v>23.153595448035972</v>
      </c>
      <c r="U24" s="78"/>
    </row>
    <row r="25" spans="1:21" s="79" customFormat="1" ht="13.2" hidden="1">
      <c r="A25" s="129" t="s">
        <v>218</v>
      </c>
      <c r="B25" s="131">
        <f>SUM(F23:F25)</f>
        <v>2302449.560833903</v>
      </c>
      <c r="C25" s="131">
        <f>AVERAGE(F23:F25)</f>
        <v>767483.1869446343</v>
      </c>
      <c r="D25" s="90">
        <f>C25/C22-1</f>
        <v>-0.13411272600163959</v>
      </c>
      <c r="E25" s="286">
        <f>C25/C13-1</f>
        <v>-7.1859909966564772E-2</v>
      </c>
      <c r="F25" s="78">
        <f>Q25/19</f>
        <v>714379.68421052629</v>
      </c>
      <c r="G25" s="90">
        <f t="shared" ref="G25" si="10">F25/F24-1</f>
        <v>-2.0375919327090264E-2</v>
      </c>
      <c r="H25" s="90">
        <f t="shared" ref="H25" si="11">F25/F13-1</f>
        <v>-0.11913834358955622</v>
      </c>
      <c r="I25" s="130">
        <f t="shared" si="0"/>
        <v>22.192237368339388</v>
      </c>
      <c r="J25" s="130">
        <f t="shared" si="4"/>
        <v>-5.5489417532891494E-2</v>
      </c>
      <c r="K25" s="78">
        <f>R23+R24+R25</f>
        <v>62437944427</v>
      </c>
      <c r="L25" s="90">
        <f>U25/U22-1</f>
        <v>-0.13341616316506943</v>
      </c>
      <c r="M25" s="90">
        <f>U25/U13-1</f>
        <v>-8.5674700080286659E-2</v>
      </c>
      <c r="N25" s="88">
        <f>AVERAGE(T23:T25)</f>
        <v>22.700059843614412</v>
      </c>
      <c r="O25" s="91">
        <f>N25/N22-1</f>
        <v>-3.3282890519165775E-2</v>
      </c>
      <c r="P25" s="129" t="s">
        <v>228</v>
      </c>
      <c r="Q25" s="116">
        <v>13573214</v>
      </c>
      <c r="R25" s="116">
        <v>18024562274</v>
      </c>
      <c r="S25" s="116">
        <v>611619.9</v>
      </c>
      <c r="T25" s="130">
        <f t="shared" ref="T25" si="12">Q25/S25</f>
        <v>22.192237368339388</v>
      </c>
      <c r="U25" s="85">
        <f>Q23+Q24+Q25</f>
        <v>47651920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555704.36842105258</v>
      </c>
      <c r="G26" s="90">
        <f t="shared" ref="G26" si="13">F26/F25-1</f>
        <v>-0.22211622096284644</v>
      </c>
      <c r="H26" s="90">
        <f t="shared" ref="H26" si="14">F26/F14-1</f>
        <v>-0.274499729690865</v>
      </c>
      <c r="I26" s="130">
        <f t="shared" si="0"/>
        <v>21.872962431784128</v>
      </c>
      <c r="J26" s="130">
        <f t="shared" si="4"/>
        <v>-7.1770814595389587E-2</v>
      </c>
      <c r="L26" s="90"/>
      <c r="M26" s="90"/>
      <c r="P26" s="129" t="s">
        <v>312</v>
      </c>
      <c r="Q26" s="116">
        <v>10558383</v>
      </c>
      <c r="R26" s="116">
        <v>14237991105</v>
      </c>
      <c r="S26" s="116">
        <v>482713.9</v>
      </c>
      <c r="T26" s="130">
        <f t="shared" ref="T26" si="15">Q26/S26</f>
        <v>21.872962431784128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429724</v>
      </c>
      <c r="G27" s="90">
        <f t="shared" ref="G27" si="16">F27/F26-1</f>
        <v>-0.22670393752528195</v>
      </c>
      <c r="H27" s="90">
        <f t="shared" ref="H27" si="17">F27/F15-1</f>
        <v>-0.33568867944879588</v>
      </c>
      <c r="I27" s="130">
        <f t="shared" si="0"/>
        <v>20.018434717574664</v>
      </c>
      <c r="J27" s="130">
        <f t="shared" si="4"/>
        <v>-0.13373912731958926</v>
      </c>
      <c r="L27" s="90"/>
      <c r="M27" s="90"/>
      <c r="P27" s="129" t="s">
        <v>375</v>
      </c>
      <c r="Q27" s="116">
        <v>9453928</v>
      </c>
      <c r="R27" s="116">
        <v>12449998021</v>
      </c>
      <c r="S27" s="116">
        <v>472261.1</v>
      </c>
      <c r="T27" s="130">
        <f t="shared" ref="T27" si="18">Q27/S27</f>
        <v>20.018434717574664</v>
      </c>
      <c r="U27" s="78"/>
    </row>
    <row r="28" spans="1:21" s="79" customFormat="1" ht="13.2" hidden="1">
      <c r="A28" s="123" t="s">
        <v>413</v>
      </c>
      <c r="B28" s="131">
        <f>SUM(F26:F28)</f>
        <v>1602503.5263157894</v>
      </c>
      <c r="C28" s="131">
        <f>AVERAGE(F26:F28)</f>
        <v>534167.84210526315</v>
      </c>
      <c r="D28" s="90">
        <f>C28/C25-1</f>
        <v>-0.30400059416051073</v>
      </c>
      <c r="E28" s="286">
        <f>C28/C16-1</f>
        <v>-0.25553835161714444</v>
      </c>
      <c r="F28" s="78">
        <f>Q28/19</f>
        <v>617075.15789473685</v>
      </c>
      <c r="G28" s="90">
        <f t="shared" ref="G28" si="19">F28/F27-1</f>
        <v>0.43598020565464535</v>
      </c>
      <c r="H28" s="90">
        <f t="shared" ref="H28" si="20">F28/F16-1</f>
        <v>-0.1658162309609893</v>
      </c>
      <c r="I28" s="130">
        <f t="shared" si="0"/>
        <v>20.316182000284179</v>
      </c>
      <c r="J28" s="130">
        <f t="shared" si="4"/>
        <v>-9.6800428860877252E-2</v>
      </c>
      <c r="K28" s="78">
        <f>R26+R27+R28</f>
        <v>41992925887</v>
      </c>
      <c r="L28" s="90">
        <f>U28/U25-1</f>
        <v>-0.33398824223661927</v>
      </c>
      <c r="M28" s="90">
        <f>U28/U16-1</f>
        <v>-0.30742936668535248</v>
      </c>
      <c r="N28" s="88">
        <f>AVERAGE(T26:T28)</f>
        <v>20.735859716547658</v>
      </c>
      <c r="O28" s="91">
        <f>N28/N25-1</f>
        <v>-8.6528411845543607E-2</v>
      </c>
      <c r="P28" s="129" t="s">
        <v>413</v>
      </c>
      <c r="Q28" s="116">
        <v>11724428</v>
      </c>
      <c r="R28" s="116">
        <v>15304936761</v>
      </c>
      <c r="S28" s="116">
        <v>577098</v>
      </c>
      <c r="T28" s="130">
        <f t="shared" ref="T28" si="21">Q28/S28</f>
        <v>20.316182000284179</v>
      </c>
      <c r="U28" s="85">
        <f>Q26+Q27+Q28</f>
        <v>31736739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618471.59090909094</v>
      </c>
      <c r="G29" s="190">
        <f t="shared" ref="G29" si="22">F29/F28-1</f>
        <v>2.2629869254797708E-3</v>
      </c>
      <c r="H29" s="190">
        <f t="shared" ref="H29" si="23">F29/F17-1</f>
        <v>-0.28861289428619386</v>
      </c>
      <c r="I29" s="130">
        <f t="shared" si="0"/>
        <v>19.21856496673356</v>
      </c>
      <c r="J29" s="130">
        <f t="shared" si="4"/>
        <v>-0.18238877569397105</v>
      </c>
      <c r="K29" s="136"/>
      <c r="L29" s="190"/>
      <c r="M29" s="190"/>
      <c r="N29" s="191"/>
      <c r="O29" s="192"/>
      <c r="P29" s="129" t="s">
        <v>427</v>
      </c>
      <c r="Q29" s="116">
        <v>13606375</v>
      </c>
      <c r="R29" s="116">
        <v>17916433809</v>
      </c>
      <c r="S29" s="116">
        <v>707980.80000000005</v>
      </c>
      <c r="T29" s="130">
        <f t="shared" ref="T29" si="24">Q29/S29</f>
        <v>19.21856496673356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718933.21052631584</v>
      </c>
      <c r="G30" s="190">
        <f t="shared" ref="G30" si="25">F30/F29-1</f>
        <v>0.16243530195066258</v>
      </c>
      <c r="H30" s="190">
        <f t="shared" ref="H30" si="26">F30/F18-1</f>
        <v>-0.2105916917583488</v>
      </c>
      <c r="I30" s="130">
        <f t="shared" si="0"/>
        <v>20.066150557852907</v>
      </c>
      <c r="J30" s="130">
        <f t="shared" si="4"/>
        <v>-0.13544655423189988</v>
      </c>
      <c r="K30" s="136"/>
      <c r="L30" s="190"/>
      <c r="M30" s="190"/>
      <c r="N30" s="191"/>
      <c r="O30" s="192"/>
      <c r="P30" s="129" t="s">
        <v>466</v>
      </c>
      <c r="Q30" s="116">
        <v>13659731</v>
      </c>
      <c r="R30" s="116">
        <v>18196994591</v>
      </c>
      <c r="S30" s="116">
        <v>680735</v>
      </c>
      <c r="T30" s="130">
        <f t="shared" ref="T30" si="27">Q30/S30</f>
        <v>20.066150557852907</v>
      </c>
      <c r="U30" s="85"/>
    </row>
    <row r="31" spans="1:21" s="79" customFormat="1" ht="13.2" hidden="1">
      <c r="A31" s="129" t="s">
        <v>505</v>
      </c>
      <c r="B31" s="188">
        <f>SUM(F29:F31)</f>
        <v>2214264.0014354065</v>
      </c>
      <c r="C31" s="188">
        <f>AVERAGE(F29:F31)</f>
        <v>738088.00047846884</v>
      </c>
      <c r="D31" s="190">
        <f>C31/C28-1</f>
        <v>0.38175296657603952</v>
      </c>
      <c r="E31" s="287">
        <f>C31/C19-1</f>
        <v>-0.15523609408495376</v>
      </c>
      <c r="F31" s="136">
        <f>Q31/20</f>
        <v>876859.2</v>
      </c>
      <c r="G31" s="190">
        <f t="shared" ref="G31" si="28">F31/F30-1</f>
        <v>0.21966712228813279</v>
      </c>
      <c r="H31" s="190">
        <f t="shared" ref="H31" si="29">F31/F19-1</f>
        <v>4.2575877490039993E-2</v>
      </c>
      <c r="I31" s="130">
        <f t="shared" si="0"/>
        <v>19.417817058113659</v>
      </c>
      <c r="J31" s="130">
        <f t="shared" si="4"/>
        <v>-0.1627288119649325</v>
      </c>
      <c r="K31" s="136">
        <f>R29+R30+R31</f>
        <v>59372727947</v>
      </c>
      <c r="L31" s="190">
        <f>U31/U28-1</f>
        <v>0.41171687488119058</v>
      </c>
      <c r="M31" s="190">
        <f>U31/U19-1</f>
        <v>-0.17192517178148914</v>
      </c>
      <c r="N31" s="191">
        <f>AVERAGE(T29:T31)</f>
        <v>19.567510860900043</v>
      </c>
      <c r="O31" s="192">
        <f>N31/N28-1</f>
        <v>-5.6344365346725822E-2</v>
      </c>
      <c r="P31" s="129" t="s">
        <v>505</v>
      </c>
      <c r="Q31" s="116">
        <v>17537184</v>
      </c>
      <c r="R31" s="116">
        <v>23259299547</v>
      </c>
      <c r="S31" s="116">
        <v>903149.1</v>
      </c>
      <c r="T31" s="130">
        <f t="shared" ref="T31" si="30">Q31/S31</f>
        <v>19.417817058113659</v>
      </c>
      <c r="U31" s="85">
        <f>Q29+Q30+Q31</f>
        <v>44803290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584594.19047619053</v>
      </c>
      <c r="G32" s="190">
        <f t="shared" ref="G32" si="31">F32/F31-1</f>
        <v>-0.33330893890810454</v>
      </c>
      <c r="H32" s="190">
        <f t="shared" ref="H32" si="32">F32/F20-1</f>
        <v>-0.31393803367570794</v>
      </c>
      <c r="I32" s="130">
        <f t="shared" si="0"/>
        <v>20.064145235482211</v>
      </c>
      <c r="J32" s="130">
        <f t="shared" si="4"/>
        <v>-0.13464678107220374</v>
      </c>
      <c r="K32" s="136"/>
      <c r="L32" s="190"/>
      <c r="M32" s="190"/>
      <c r="N32" s="191"/>
      <c r="O32" s="192"/>
      <c r="P32" s="129" t="s">
        <v>570</v>
      </c>
      <c r="Q32" s="116">
        <v>12276478</v>
      </c>
      <c r="R32" s="116">
        <v>16732032433</v>
      </c>
      <c r="S32" s="116">
        <v>611861.5</v>
      </c>
      <c r="T32" s="130">
        <f t="shared" ref="T32" si="33">Q32/S32</f>
        <v>20.064145235482211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614514.42857142852</v>
      </c>
      <c r="G33" s="190">
        <f t="shared" ref="G33" si="34">F33/F32-1</f>
        <v>5.1181210115800235E-2</v>
      </c>
      <c r="H33" s="190">
        <f t="shared" ref="H33" si="35">F33/F21-1</f>
        <v>-0.34862770090183004</v>
      </c>
      <c r="I33" s="130">
        <f t="shared" si="0"/>
        <v>18.75279170917776</v>
      </c>
      <c r="J33" s="130">
        <f t="shared" si="4"/>
        <v>-0.21225571355132244</v>
      </c>
      <c r="K33" s="136"/>
      <c r="L33" s="190"/>
      <c r="M33" s="190"/>
      <c r="N33" s="191"/>
      <c r="O33" s="192"/>
      <c r="P33" s="129" t="s">
        <v>616</v>
      </c>
      <c r="Q33" s="116">
        <v>12904803</v>
      </c>
      <c r="R33" s="116">
        <v>17634861310</v>
      </c>
      <c r="S33" s="116">
        <v>688153.7</v>
      </c>
      <c r="T33" s="130">
        <f t="shared" ref="T33" si="36">Q33/S33</f>
        <v>18.75279170917776</v>
      </c>
      <c r="U33" s="85"/>
    </row>
    <row r="34" spans="1:21" s="79" customFormat="1" ht="13.2" hidden="1">
      <c r="A34" s="129" t="s">
        <v>652</v>
      </c>
      <c r="B34" s="188">
        <f>SUM(F32:F34)</f>
        <v>1900013.3558897241</v>
      </c>
      <c r="C34" s="188">
        <f>AVERAGE(F32:F34)</f>
        <v>633337.7852965747</v>
      </c>
      <c r="D34" s="190">
        <f>C34/C31-1</f>
        <v>-0.14192103802526168</v>
      </c>
      <c r="E34" s="287">
        <f>C34/C22-1</f>
        <v>-0.28545779535080418</v>
      </c>
      <c r="F34" s="136">
        <f>Q34/19</f>
        <v>700904.73684210528</v>
      </c>
      <c r="G34" s="190">
        <f t="shared" ref="G34" si="37">F34/F33-1</f>
        <v>0.14058304289373602</v>
      </c>
      <c r="H34" s="190">
        <f t="shared" ref="H34" si="38">F34/F22-1</f>
        <v>-0.18834273555780712</v>
      </c>
      <c r="I34" s="130">
        <f t="shared" si="0"/>
        <v>18.121633794997265</v>
      </c>
      <c r="J34" s="130">
        <f t="shared" si="4"/>
        <v>-0.22732213731232775</v>
      </c>
      <c r="K34" s="136">
        <f>R32+R33+R34</f>
        <v>52680387892</v>
      </c>
      <c r="L34" s="190">
        <f>U34/U31-1</f>
        <v>-0.14072223267532358</v>
      </c>
      <c r="M34" s="190">
        <f>U34/U22-1</f>
        <v>-0.2998781012085493</v>
      </c>
      <c r="N34" s="191">
        <f>AVERAGE(T32:T34)</f>
        <v>18.979523579885747</v>
      </c>
      <c r="O34" s="192">
        <f>N34/N31-1</f>
        <v>-3.0049160835741051E-2</v>
      </c>
      <c r="P34" s="129" t="s">
        <v>652</v>
      </c>
      <c r="Q34" s="116">
        <v>13317190</v>
      </c>
      <c r="R34" s="116">
        <v>18313494149</v>
      </c>
      <c r="S34" s="116">
        <v>734878</v>
      </c>
      <c r="T34" s="130">
        <f t="shared" ref="T34" si="39">Q34/S34</f>
        <v>18.121633794997265</v>
      </c>
      <c r="U34" s="85">
        <f>Q32+Q33+Q34</f>
        <v>38498471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508084.34782608697</v>
      </c>
      <c r="G35" s="190">
        <f t="shared" ref="G35" si="40">F35/F34-1</f>
        <v>-0.27510213425687757</v>
      </c>
      <c r="H35" s="190">
        <f t="shared" ref="H35" si="41">F35/F23-1</f>
        <v>-0.40840028038392229</v>
      </c>
      <c r="I35" s="130">
        <f t="shared" si="0"/>
        <v>18.01134384488525</v>
      </c>
      <c r="J35" s="130">
        <f t="shared" si="4"/>
        <v>-0.20844381643208809</v>
      </c>
      <c r="K35" s="136"/>
      <c r="L35" s="190"/>
      <c r="M35" s="190"/>
      <c r="N35" s="191"/>
      <c r="O35" s="192"/>
      <c r="P35" s="129" t="s">
        <v>660</v>
      </c>
      <c r="Q35" s="116">
        <v>11685940</v>
      </c>
      <c r="R35" s="116">
        <v>16163129196</v>
      </c>
      <c r="S35" s="116">
        <v>648810</v>
      </c>
      <c r="T35" s="130">
        <f t="shared" ref="T35" si="42">Q35/S35</f>
        <v>18.01134384488525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432857.09523809527</v>
      </c>
      <c r="G36" s="190">
        <f t="shared" ref="G36" si="43">F36/F35-1</f>
        <v>-0.14806055905847615</v>
      </c>
      <c r="H36" s="190">
        <f t="shared" ref="H36" si="44">F36/F24-1</f>
        <v>-0.4064259617713285</v>
      </c>
      <c r="I36" s="130">
        <f t="shared" si="0"/>
        <v>17.506522095005153</v>
      </c>
      <c r="J36" s="130">
        <f t="shared" si="4"/>
        <v>-0.24389617438486588</v>
      </c>
      <c r="K36" s="136"/>
      <c r="L36" s="190"/>
      <c r="M36" s="190"/>
      <c r="N36" s="191"/>
      <c r="O36" s="192"/>
      <c r="P36" s="129" t="s">
        <v>664</v>
      </c>
      <c r="Q36" s="116">
        <v>9089999</v>
      </c>
      <c r="R36" s="116">
        <v>12452277628</v>
      </c>
      <c r="S36" s="116">
        <v>519235</v>
      </c>
      <c r="T36" s="130">
        <f t="shared" ref="T36" si="45">Q36/S36</f>
        <v>17.506522095005153</v>
      </c>
      <c r="U36" s="85"/>
    </row>
    <row r="37" spans="1:21" s="79" customFormat="1" ht="13.2" hidden="1">
      <c r="A37" s="129" t="s">
        <v>702</v>
      </c>
      <c r="B37" s="188">
        <f>SUM(F35:F37)</f>
        <v>1384313.109730849</v>
      </c>
      <c r="C37" s="188">
        <f>AVERAGE(F35:F37)</f>
        <v>461437.70324361633</v>
      </c>
      <c r="D37" s="190">
        <f>C37/C34-1</f>
        <v>-0.27141927426998891</v>
      </c>
      <c r="E37" s="287">
        <f>C37/C25-1</f>
        <v>-0.39876506600671091</v>
      </c>
      <c r="F37" s="136">
        <f>Q37/18</f>
        <v>443371.66666666669</v>
      </c>
      <c r="G37" s="190">
        <f t="shared" ref="G37" si="46">F37/F36-1</f>
        <v>2.429109178119826E-2</v>
      </c>
      <c r="H37" s="190">
        <f t="shared" ref="H37" si="47">F37/F25-1</f>
        <v>-0.37936131658524885</v>
      </c>
      <c r="I37" s="130">
        <f t="shared" si="0"/>
        <v>18.160339200345152</v>
      </c>
      <c r="J37" s="130">
        <f t="shared" si="4"/>
        <v>-0.18168056249012343</v>
      </c>
      <c r="K37" s="136">
        <f>R35+R36+R37</f>
        <v>39274174226</v>
      </c>
      <c r="L37" s="190">
        <f>U37/U34-1</f>
        <v>-0.25304490664057799</v>
      </c>
      <c r="M37" s="190">
        <f>U37/U25-1</f>
        <v>-0.39652738021888734</v>
      </c>
      <c r="N37" s="191">
        <f>AVERAGE(T35:T37)</f>
        <v>17.892735046745184</v>
      </c>
      <c r="O37" s="192">
        <f>N37/N34-1</f>
        <v>-5.7261107138238621E-2</v>
      </c>
      <c r="P37" s="129" t="s">
        <v>702</v>
      </c>
      <c r="Q37" s="116">
        <v>7980690</v>
      </c>
      <c r="R37" s="116">
        <v>10658767402</v>
      </c>
      <c r="S37" s="116">
        <v>439457.1</v>
      </c>
      <c r="T37" s="130">
        <f t="shared" ref="T37" si="48">Q37/S37</f>
        <v>18.160339200345152</v>
      </c>
      <c r="U37" s="85">
        <f>Q35+Q36+Q37</f>
        <v>28756629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547405.6</v>
      </c>
      <c r="G38" s="190">
        <f t="shared" ref="G38" si="49">F38/F37-1</f>
        <v>0.23464271886265453</v>
      </c>
      <c r="H38" s="190">
        <f t="shared" ref="H38" si="50">F38/F26-1</f>
        <v>-1.4933782947635033E-2</v>
      </c>
      <c r="I38" s="130">
        <f t="shared" si="0"/>
        <v>18.232188576321779</v>
      </c>
      <c r="J38" s="130">
        <f t="shared" si="4"/>
        <v>-0.1664508804793563</v>
      </c>
      <c r="K38" s="136"/>
      <c r="L38" s="190"/>
      <c r="M38" s="190"/>
      <c r="N38" s="191"/>
      <c r="O38" s="192"/>
      <c r="P38" s="129" t="s">
        <v>728</v>
      </c>
      <c r="Q38" s="116">
        <v>10948112</v>
      </c>
      <c r="R38" s="116">
        <v>14748238208</v>
      </c>
      <c r="S38" s="116">
        <v>600482.6</v>
      </c>
      <c r="T38" s="130">
        <f t="shared" ref="T38" si="51">Q38/S38</f>
        <v>18.232188576321779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586298.52380952379</v>
      </c>
      <c r="G39" s="190">
        <f t="shared" ref="G39" si="52">F39/F38-1</f>
        <v>7.1049554132299297E-2</v>
      </c>
      <c r="H39" s="190">
        <f t="shared" ref="H39" si="53">F39/F27-1</f>
        <v>0.36436066826503466</v>
      </c>
      <c r="I39" s="130">
        <f t="shared" si="0"/>
        <v>17.58317085107571</v>
      </c>
      <c r="J39" s="130">
        <f t="shared" si="4"/>
        <v>-0.12165106317533292</v>
      </c>
      <c r="K39" s="136"/>
      <c r="L39" s="190"/>
      <c r="M39" s="190"/>
      <c r="N39" s="191"/>
      <c r="O39" s="192"/>
      <c r="P39" s="129" t="s">
        <v>762</v>
      </c>
      <c r="Q39" s="116">
        <v>12312269</v>
      </c>
      <c r="R39" s="116">
        <v>17124056481</v>
      </c>
      <c r="S39" s="116">
        <v>700230.3</v>
      </c>
      <c r="T39" s="130">
        <f t="shared" ref="T39" si="54">Q39/S39</f>
        <v>17.58317085107571</v>
      </c>
      <c r="U39" s="85"/>
    </row>
    <row r="40" spans="1:21" s="79" customFormat="1" ht="13.2" hidden="1">
      <c r="A40" s="129" t="s">
        <v>778</v>
      </c>
      <c r="B40" s="188">
        <f>SUM(F38:F40)</f>
        <v>1784322.6</v>
      </c>
      <c r="C40" s="188">
        <f>AVERAGE(F38:F40)</f>
        <v>594774.20000000007</v>
      </c>
      <c r="D40" s="190">
        <f>C40/C37-1</f>
        <v>0.2889588254689901</v>
      </c>
      <c r="E40" s="287">
        <f>C40/C28-1</f>
        <v>0.11345939069614341</v>
      </c>
      <c r="F40" s="136">
        <f>Q40/21</f>
        <v>650618.47619047621</v>
      </c>
      <c r="G40" s="190">
        <f t="shared" ref="G40" si="55">F40/F39-1</f>
        <v>0.10970512421390421</v>
      </c>
      <c r="H40" s="190">
        <f t="shared" ref="H40" si="56">F40/F28-1</f>
        <v>5.4358562108023367E-2</v>
      </c>
      <c r="I40" s="130">
        <f t="shared" si="0"/>
        <v>15.924320866104793</v>
      </c>
      <c r="J40" s="130">
        <f t="shared" si="4"/>
        <v>-0.21617551635036314</v>
      </c>
      <c r="K40" s="136">
        <f>R38+R39+R40</f>
        <v>51304491323</v>
      </c>
      <c r="L40" s="190">
        <f>U40/U37-1</f>
        <v>0.28399503989149766</v>
      </c>
      <c r="M40" s="190">
        <f>U40/U28-1</f>
        <v>0.1634266835039353</v>
      </c>
      <c r="N40" s="191">
        <f>AVERAGE(T38:T40)</f>
        <v>17.246560097834095</v>
      </c>
      <c r="O40" s="192">
        <f>N40/N37-1</f>
        <v>-3.6113816430128898E-2</v>
      </c>
      <c r="P40" s="129" t="s">
        <v>778</v>
      </c>
      <c r="Q40" s="116">
        <v>13662988</v>
      </c>
      <c r="R40" s="116">
        <v>19432196634</v>
      </c>
      <c r="S40" s="116">
        <v>857995.02</v>
      </c>
      <c r="T40" s="130">
        <f t="shared" ref="T40" si="57">Q40/S40</f>
        <v>15.924320866104793</v>
      </c>
      <c r="U40" s="85">
        <f>Q38+Q39+Q40</f>
        <v>36923369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726219.5</v>
      </c>
      <c r="G41" s="190">
        <f t="shared" ref="G41" si="58">F41/F40-1</f>
        <v>0.11619870411947963</v>
      </c>
      <c r="H41" s="190">
        <f t="shared" ref="H41" si="59">F41/F29-1</f>
        <v>0.17421642428640971</v>
      </c>
      <c r="I41" s="130">
        <f t="shared" si="0"/>
        <v>15.438142795797672</v>
      </c>
      <c r="J41" s="130">
        <f t="shared" si="4"/>
        <v>-0.19670678729029056</v>
      </c>
      <c r="K41" s="193"/>
      <c r="L41" s="190"/>
      <c r="M41" s="190"/>
      <c r="N41" s="193"/>
      <c r="O41" s="193"/>
      <c r="P41" s="129" t="s">
        <v>793</v>
      </c>
      <c r="Q41" s="116">
        <v>13071951</v>
      </c>
      <c r="R41" s="116">
        <v>19124149886</v>
      </c>
      <c r="S41" s="116">
        <v>846730.8</v>
      </c>
      <c r="T41" s="130">
        <f t="shared" ref="T41" si="60">Q41/S41</f>
        <v>15.438142795797672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733969.25</v>
      </c>
      <c r="G42" s="190">
        <f t="shared" ref="G42" si="61">F42/F41-1</f>
        <v>1.067136038071137E-2</v>
      </c>
      <c r="H42" s="190">
        <f t="shared" ref="H42" si="62">F42/F30-1</f>
        <v>2.0914375985881417E-2</v>
      </c>
      <c r="I42" s="130">
        <f t="shared" si="0"/>
        <v>15.274172583280661</v>
      </c>
      <c r="J42" s="130">
        <f t="shared" si="4"/>
        <v>-0.23880903119691288</v>
      </c>
      <c r="K42" s="193"/>
      <c r="L42" s="190"/>
      <c r="M42" s="190"/>
      <c r="N42" s="193"/>
      <c r="O42" s="193"/>
      <c r="P42" s="129" t="s">
        <v>826</v>
      </c>
      <c r="Q42" s="116">
        <v>14679385</v>
      </c>
      <c r="R42" s="116">
        <v>21232436240</v>
      </c>
      <c r="S42" s="116">
        <v>961059.26</v>
      </c>
      <c r="T42" s="130">
        <f t="shared" ref="T42" si="63">Q42/S42</f>
        <v>15.274172583280661</v>
      </c>
      <c r="U42" s="78"/>
    </row>
    <row r="43" spans="1:21" s="79" customFormat="1" ht="13.2">
      <c r="A43" s="129" t="s">
        <v>835</v>
      </c>
      <c r="B43" s="188">
        <f>SUM(F41:F43)</f>
        <v>2107011.9</v>
      </c>
      <c r="C43" s="188">
        <f>AVERAGE(F41:F43)</f>
        <v>702337.29999999993</v>
      </c>
      <c r="D43" s="190">
        <f>C43/C40-1</f>
        <v>0.18084694998538908</v>
      </c>
      <c r="E43" s="287">
        <f>C43/C31-1</f>
        <v>-4.8436907869106927E-2</v>
      </c>
      <c r="F43" s="136">
        <f>Q43/20</f>
        <v>646823.15</v>
      </c>
      <c r="G43" s="190">
        <f t="shared" ref="G43" si="64">F43/F42-1</f>
        <v>-0.11873263082888008</v>
      </c>
      <c r="H43" s="190">
        <f t="shared" ref="H43" si="65">F43/F31-1</f>
        <v>-0.26234092086848149</v>
      </c>
      <c r="I43" s="130">
        <f t="shared" si="0"/>
        <v>14.85769949230545</v>
      </c>
      <c r="J43" s="130">
        <f t="shared" si="4"/>
        <v>-0.23484192647199664</v>
      </c>
      <c r="K43" s="136">
        <f>R41+R42+R43</f>
        <v>59112441375</v>
      </c>
      <c r="L43" s="190">
        <f>U43/U40-1</f>
        <v>0.10195250601319716</v>
      </c>
      <c r="M43" s="190">
        <f>K43/K31-1</f>
        <v>-4.3839416008027987E-3</v>
      </c>
      <c r="N43" s="191">
        <f>AVERAGE(T41:T43)</f>
        <v>15.190004957127927</v>
      </c>
      <c r="O43" s="192">
        <f>N43/N40-1</f>
        <v>-0.11924436693694296</v>
      </c>
      <c r="P43" s="129" t="s">
        <v>835</v>
      </c>
      <c r="Q43" s="116">
        <v>12936463</v>
      </c>
      <c r="R43" s="116">
        <v>18755855249</v>
      </c>
      <c r="S43" s="116">
        <v>870690.85</v>
      </c>
      <c r="T43" s="130">
        <f t="shared" ref="T43" si="66">Q43/S43</f>
        <v>14.85769949230545</v>
      </c>
      <c r="U43" s="85">
        <f>Q41+Q42+Q43</f>
        <v>40687799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634532.36363636365</v>
      </c>
      <c r="G44" s="190">
        <f t="shared" ref="G44" si="67">F44/F43-1</f>
        <v>-1.9001772530306549E-2</v>
      </c>
      <c r="H44" s="190">
        <f t="shared" ref="H44" si="68">F44/F32-1</f>
        <v>8.54236562280839E-2</v>
      </c>
      <c r="I44" s="130">
        <f t="shared" si="0"/>
        <v>14.405214877922056</v>
      </c>
      <c r="J44" s="130">
        <f t="shared" si="4"/>
        <v>-0.28204193555939194</v>
      </c>
      <c r="K44" s="136"/>
      <c r="L44" s="190"/>
      <c r="M44" s="190"/>
      <c r="N44" s="191"/>
      <c r="O44" s="192"/>
      <c r="P44" s="129" t="s">
        <v>843</v>
      </c>
      <c r="Q44" s="116">
        <v>13959712</v>
      </c>
      <c r="R44" s="116">
        <v>20239250817</v>
      </c>
      <c r="S44" s="116">
        <v>969073.5</v>
      </c>
      <c r="T44" s="130">
        <f t="shared" ref="T44" si="69">Q44/S44</f>
        <v>14.405214877922056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804459.65</v>
      </c>
      <c r="G45" s="190">
        <f t="shared" ref="G45" si="70">F45/F44-1</f>
        <v>0.26779924256317034</v>
      </c>
      <c r="H45" s="190">
        <f t="shared" ref="H45" si="71">F45/F33-1</f>
        <v>0.30909806604564216</v>
      </c>
      <c r="I45" s="130">
        <f t="shared" si="0"/>
        <v>15.38580051185742</v>
      </c>
      <c r="J45" s="130">
        <f t="shared" si="4"/>
        <v>-0.17954613102605455</v>
      </c>
      <c r="K45" s="136"/>
      <c r="L45" s="190"/>
      <c r="M45" s="190"/>
      <c r="N45" s="191"/>
      <c r="O45" s="192"/>
      <c r="P45" s="129" t="s">
        <v>855</v>
      </c>
      <c r="Q45" s="116">
        <v>16089193</v>
      </c>
      <c r="R45" s="116">
        <v>22593960466</v>
      </c>
      <c r="S45" s="116">
        <v>1045716.99</v>
      </c>
      <c r="T45" s="130">
        <f t="shared" ref="T45" si="72">Q45/S45</f>
        <v>15.38580051185742</v>
      </c>
      <c r="U45" s="85"/>
    </row>
    <row r="46" spans="1:21" s="79" customFormat="1" ht="13.2">
      <c r="A46" s="129" t="s">
        <v>893</v>
      </c>
      <c r="B46" s="188">
        <f>SUM(F44:F46)</f>
        <v>2153274.4346889951</v>
      </c>
      <c r="C46" s="188">
        <f>AVERAGE(F44:F46)</f>
        <v>717758.14489633171</v>
      </c>
      <c r="D46" s="190">
        <f>C46/C43-1</f>
        <v>2.1956465784078061E-2</v>
      </c>
      <c r="E46" s="287">
        <f>C46/C34-1</f>
        <v>0.13329436764968206</v>
      </c>
      <c r="F46" s="136">
        <f>Q46/19</f>
        <v>714282.42105263157</v>
      </c>
      <c r="G46" s="190">
        <f t="shared" ref="G46" si="73">F46/F45-1</f>
        <v>-0.11209664642268691</v>
      </c>
      <c r="H46" s="190">
        <f t="shared" ref="H46" si="74">F46/F34-1</f>
        <v>1.9086308748317071E-2</v>
      </c>
      <c r="I46" s="130">
        <f t="shared" si="0"/>
        <v>14.990304778443615</v>
      </c>
      <c r="J46" s="130">
        <f t="shared" si="4"/>
        <v>-0.17279507201045519</v>
      </c>
      <c r="K46" s="136">
        <f>R44+R45+R46</f>
        <v>61402614542</v>
      </c>
      <c r="L46" s="190">
        <f>U46/U43-1</f>
        <v>7.2072514907970398E-2</v>
      </c>
      <c r="M46" s="190">
        <f>K46/K34-1</f>
        <v>0.16556876285500066</v>
      </c>
      <c r="N46" s="191">
        <f>AVERAGE(T44:T46)</f>
        <v>14.92710672274103</v>
      </c>
      <c r="O46" s="192">
        <f>N46/N43-1</f>
        <v>-1.7307317221350371E-2</v>
      </c>
      <c r="P46" s="129" t="s">
        <v>888</v>
      </c>
      <c r="Q46" s="116">
        <v>13571366</v>
      </c>
      <c r="R46" s="116">
        <v>18569403259</v>
      </c>
      <c r="S46" s="116">
        <v>905342.9</v>
      </c>
      <c r="T46" s="130">
        <f t="shared" ref="T46" si="75">Q46/S46</f>
        <v>14.990304778443615</v>
      </c>
      <c r="U46" s="85">
        <f t="shared" ref="U46:U51" si="76">Q44+Q45+Q46</f>
        <v>43620271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531286.52173913049</v>
      </c>
      <c r="G47" s="190">
        <f t="shared" ref="G47" si="77">F47/F46-1</f>
        <v>-0.25619544023472074</v>
      </c>
      <c r="H47" s="190">
        <f t="shared" ref="H47" si="78">F47/F35-1</f>
        <v>4.5665988358660092E-2</v>
      </c>
      <c r="I47" s="130">
        <f t="shared" si="0"/>
        <v>14.889782062084675</v>
      </c>
      <c r="J47" s="130">
        <f t="shared" si="4"/>
        <v>-0.17331087617246377</v>
      </c>
      <c r="K47" s="136"/>
      <c r="L47" s="190"/>
      <c r="M47" s="190"/>
      <c r="N47" s="191"/>
      <c r="O47" s="192"/>
      <c r="P47" s="129" t="s">
        <v>991</v>
      </c>
      <c r="Q47" s="116">
        <v>12219590</v>
      </c>
      <c r="R47" s="116">
        <v>16756719707</v>
      </c>
      <c r="S47" s="116">
        <v>820669.5</v>
      </c>
      <c r="T47" s="130">
        <f t="shared" ref="T47" si="79">Q47/S47</f>
        <v>14.889782062084675</v>
      </c>
      <c r="U47" s="85">
        <f t="shared" si="76"/>
        <v>41880149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531802.15</v>
      </c>
      <c r="G48" s="190">
        <f t="shared" ref="G48" si="80">F48/F47-1</f>
        <v>9.705276527280926E-4</v>
      </c>
      <c r="H48" s="190">
        <f t="shared" ref="H48" si="81">F48/F36-1</f>
        <v>0.22858596024047961</v>
      </c>
      <c r="I48" s="130">
        <f t="shared" si="0"/>
        <v>14.134526231493528</v>
      </c>
      <c r="J48" s="130">
        <f t="shared" si="4"/>
        <v>-0.19261369249770643</v>
      </c>
      <c r="K48" s="136"/>
      <c r="L48" s="190"/>
      <c r="M48" s="190"/>
      <c r="N48" s="191"/>
      <c r="O48" s="192"/>
      <c r="P48" s="129" t="s">
        <v>1070</v>
      </c>
      <c r="Q48" s="116">
        <v>10636043</v>
      </c>
      <c r="R48" s="116">
        <v>14763659540</v>
      </c>
      <c r="S48" s="116">
        <v>752486.7</v>
      </c>
      <c r="T48" s="130">
        <f t="shared" ref="T48" si="82">Q48/S48</f>
        <v>14.134526231493528</v>
      </c>
      <c r="U48" s="85">
        <f t="shared" si="76"/>
        <v>36426999</v>
      </c>
    </row>
    <row r="49" spans="1:26" ht="13.2">
      <c r="A49" s="129" t="s">
        <v>1207</v>
      </c>
      <c r="B49" s="188">
        <f>SUM(F47:F49)</f>
        <v>1533508.308102767</v>
      </c>
      <c r="C49" s="188">
        <f>AVERAGE(F47:F49)</f>
        <v>511169.43603425566</v>
      </c>
      <c r="D49" s="190">
        <f>C49/C46-1</f>
        <v>-0.2878249593279284</v>
      </c>
      <c r="E49" s="287">
        <f>C49/C37-1</f>
        <v>0.10777561616889253</v>
      </c>
      <c r="F49" s="136">
        <f>Q49/22</f>
        <v>470419.63636363635</v>
      </c>
      <c r="G49" s="190">
        <f t="shared" ref="G49" si="83">F49/F48-1</f>
        <v>-0.11542359058977791</v>
      </c>
      <c r="H49" s="190">
        <f t="shared" ref="H49" si="84">F49/F37-1</f>
        <v>6.1005183078838288E-2</v>
      </c>
      <c r="I49" s="130">
        <f t="shared" si="0"/>
        <v>15.705986397758203</v>
      </c>
      <c r="J49" s="130">
        <f t="shared" si="4"/>
        <v>-0.13514906167282947</v>
      </c>
      <c r="K49" s="136">
        <f>R47+R48+R49</f>
        <v>45902596372</v>
      </c>
      <c r="L49" s="190">
        <f>U49/U46-1</f>
        <v>-0.23877444502809253</v>
      </c>
      <c r="M49" s="190">
        <f>K49/K37-1</f>
        <v>0.16877304937991289</v>
      </c>
      <c r="N49" s="191">
        <f>AVERAGE(T47:T49)</f>
        <v>14.910098230445469</v>
      </c>
      <c r="O49" s="192">
        <f>N49/N46-1</f>
        <v>-1.1394366377543985E-3</v>
      </c>
      <c r="P49" s="129" t="s">
        <v>1167</v>
      </c>
      <c r="Q49" s="116">
        <v>10349232</v>
      </c>
      <c r="R49" s="116">
        <v>14382217125</v>
      </c>
      <c r="S49" s="116">
        <v>658935.5</v>
      </c>
      <c r="T49" s="130">
        <f t="shared" ref="T49" si="85">Q49/S49</f>
        <v>15.705986397758203</v>
      </c>
      <c r="U49" s="85">
        <f t="shared" si="76"/>
        <v>33204865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715902.22222222225</v>
      </c>
      <c r="G50" s="190">
        <f t="shared" ref="G50" si="86">F50/F49-1</f>
        <v>0.52183745507771873</v>
      </c>
      <c r="H50" s="190">
        <f t="shared" ref="H50" si="87">F50/F38-1</f>
        <v>0.30780946015572774</v>
      </c>
      <c r="I50" s="130">
        <f t="shared" ref="I50" si="88">T50</f>
        <v>15.152896652843207</v>
      </c>
      <c r="J50" s="130">
        <f t="shared" ref="J50" si="89">I50/I38-1</f>
        <v>-0.16889315896379331</v>
      </c>
      <c r="K50" s="136"/>
      <c r="L50" s="190"/>
      <c r="M50" s="190"/>
      <c r="N50" s="191"/>
      <c r="O50" s="192"/>
      <c r="P50" s="129" t="s">
        <v>1293</v>
      </c>
      <c r="Q50" s="116">
        <v>12886240</v>
      </c>
      <c r="R50" s="116">
        <v>18248454350</v>
      </c>
      <c r="S50" s="116">
        <v>850414.3</v>
      </c>
      <c r="T50" s="130">
        <f t="shared" ref="T50" si="90">Q50/S50</f>
        <v>15.152896652843207</v>
      </c>
      <c r="U50" s="85">
        <f t="shared" si="76"/>
        <v>33871515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620683.75</v>
      </c>
      <c r="G51" s="190">
        <f t="shared" ref="G51:G52" si="91">F51/F50-1</f>
        <v>-0.13300485634288983</v>
      </c>
      <c r="H51" s="190">
        <f t="shared" ref="H51:H52" si="92">F51/F39-1</f>
        <v>5.8647983568260287E-2</v>
      </c>
      <c r="I51" s="130">
        <f t="shared" ref="I51:I52" si="93">T51</f>
        <v>15.232833837753677</v>
      </c>
      <c r="J51" s="130">
        <f t="shared" ref="J51:J52" si="94">I51/I39-1</f>
        <v>-0.13366969093508196</v>
      </c>
      <c r="K51" s="136"/>
      <c r="L51" s="190"/>
      <c r="M51" s="190"/>
      <c r="N51" s="191"/>
      <c r="O51" s="192"/>
      <c r="P51" s="129" t="s">
        <v>1402</v>
      </c>
      <c r="Q51" s="116">
        <v>12413675</v>
      </c>
      <c r="R51" s="116">
        <v>18009637266</v>
      </c>
      <c r="S51" s="116">
        <v>814928.8</v>
      </c>
      <c r="T51" s="130">
        <f t="shared" ref="T51:T52" si="95">Q51/S51</f>
        <v>15.232833837753677</v>
      </c>
      <c r="U51" s="85">
        <f t="shared" si="76"/>
        <v>35649147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2001341.6540404041</v>
      </c>
      <c r="C52" s="188">
        <f>AVERAGE(F50:F52)</f>
        <v>667113.88468013471</v>
      </c>
      <c r="D52" s="190">
        <f>C52/C49-1</f>
        <v>0.30507389067649293</v>
      </c>
      <c r="E52" s="287">
        <f>C52/C40-1</f>
        <v>0.12162545833382588</v>
      </c>
      <c r="F52" s="136">
        <f>Q52/22</f>
        <v>664755.68181818177</v>
      </c>
      <c r="G52" s="190">
        <f t="shared" si="91"/>
        <v>7.1005454578409344E-2</v>
      </c>
      <c r="H52" s="190">
        <f t="shared" si="92"/>
        <v>2.1728872057987347E-2</v>
      </c>
      <c r="I52" s="130">
        <f t="shared" si="93"/>
        <v>14.701744175210601</v>
      </c>
      <c r="J52" s="130">
        <f t="shared" si="94"/>
        <v>-7.6774180900641587E-2</v>
      </c>
      <c r="K52" s="136">
        <f>R50+R51+R52</f>
        <v>57775772746</v>
      </c>
      <c r="L52" s="190">
        <f>U52/U49-1</f>
        <v>0.20237019484945962</v>
      </c>
      <c r="M52" s="190">
        <f>K52/K40-1</f>
        <v>0.12613479358480451</v>
      </c>
      <c r="N52" s="191">
        <f>AVERAGE(T50:T52)</f>
        <v>15.029158221935829</v>
      </c>
      <c r="O52" s="192">
        <f>N52/N49-1</f>
        <v>7.9851916231676867E-3</v>
      </c>
      <c r="P52" s="129" t="s">
        <v>1403</v>
      </c>
      <c r="Q52" s="116">
        <v>14624625</v>
      </c>
      <c r="R52" s="116">
        <v>21517681130</v>
      </c>
      <c r="S52" s="116">
        <v>994754.42</v>
      </c>
      <c r="T52" s="130">
        <f t="shared" si="95"/>
        <v>14.701744175210601</v>
      </c>
      <c r="U52" s="85">
        <f t="shared" ref="U52" si="96">Q50+Q51+Q52</f>
        <v>39924540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680955.09523809527</v>
      </c>
      <c r="G53" s="190">
        <f t="shared" ref="G53" si="97">F53/F52-1</f>
        <v>2.4368973237816061E-2</v>
      </c>
      <c r="H53" s="190">
        <f t="shared" ref="H53" si="98">F53/F41-1</f>
        <v>-6.2328820366163051E-2</v>
      </c>
      <c r="I53" s="130">
        <f t="shared" ref="I53" si="99">T53</f>
        <v>16.060093936575011</v>
      </c>
      <c r="J53" s="130">
        <f t="shared" ref="J53" si="100">I53/I41-1</f>
        <v>4.0286655526119208E-2</v>
      </c>
      <c r="K53" s="136"/>
      <c r="L53" s="190"/>
      <c r="M53" s="190"/>
      <c r="N53" s="191"/>
      <c r="O53" s="192"/>
      <c r="P53" s="129" t="s">
        <v>1414</v>
      </c>
      <c r="Q53" s="116">
        <v>14300057</v>
      </c>
      <c r="R53" s="116">
        <v>20850228625</v>
      </c>
      <c r="S53" s="116">
        <v>890409.3</v>
      </c>
      <c r="T53" s="130">
        <f t="shared" ref="T53" si="101">Q53/S53</f>
        <v>16.060093936575011</v>
      </c>
      <c r="U53" s="85">
        <f t="shared" ref="U53" si="102">Q51+Q52+Q53</f>
        <v>41338357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794135.17647058819</v>
      </c>
      <c r="G54" s="190">
        <f t="shared" ref="G54" si="103">F54/F53-1</f>
        <v>0.16620784839405545</v>
      </c>
      <c r="H54" s="190">
        <f t="shared" ref="H54" si="104">F54/F42-1</f>
        <v>8.1973361241752585E-2</v>
      </c>
      <c r="I54" s="130">
        <f t="shared" ref="I54" si="105">T54</f>
        <v>15.406345841047177</v>
      </c>
      <c r="J54" s="130">
        <f t="shared" ref="J54" si="106">I54/I42-1</f>
        <v>8.6533825021195554E-3</v>
      </c>
      <c r="K54" s="136"/>
      <c r="L54" s="190"/>
      <c r="M54" s="190"/>
      <c r="N54" s="191"/>
      <c r="O54" s="192"/>
      <c r="P54" s="129" t="s">
        <v>1417</v>
      </c>
      <c r="Q54" s="116">
        <v>13500298</v>
      </c>
      <c r="R54" s="116">
        <v>19566578669</v>
      </c>
      <c r="S54" s="116">
        <v>876281.64</v>
      </c>
      <c r="T54" s="130">
        <f t="shared" ref="T54" si="107">Q54/S54</f>
        <v>15.406345841047177</v>
      </c>
      <c r="U54" s="85">
        <f t="shared" ref="U54" si="108">Q52+Q53+Q54</f>
        <v>42424980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2211744.5098039219</v>
      </c>
      <c r="C55" s="188">
        <f>AVERAGE(F53:F55)</f>
        <v>737248.16993464064</v>
      </c>
      <c r="D55" s="190">
        <f>C55/C52-1</f>
        <v>0.1051309032312131</v>
      </c>
      <c r="E55" s="287">
        <f>C55/C43-1</f>
        <v>4.9706700661691583E-2</v>
      </c>
      <c r="F55" s="136">
        <f>Q55/21</f>
        <v>736654.23809523811</v>
      </c>
      <c r="G55" s="190">
        <f t="shared" ref="G55" si="109">F55/F54-1</f>
        <v>-7.2381806118720582E-2</v>
      </c>
      <c r="H55" s="190">
        <f t="shared" ref="H55" si="110">F55/F43-1</f>
        <v>0.13888044683502443</v>
      </c>
      <c r="I55" s="130">
        <f>T55</f>
        <v>15.161671721393908</v>
      </c>
      <c r="J55" s="130">
        <f t="shared" ref="J55" si="111">I55/I43-1</f>
        <v>2.0458902755832398E-2</v>
      </c>
      <c r="K55" s="136">
        <f>R53+R54+R55</f>
        <v>63142399555</v>
      </c>
      <c r="L55" s="190">
        <f>U55/U52-1</f>
        <v>8.3796932913942079E-2</v>
      </c>
      <c r="M55" s="190">
        <f>K55/K43-1</f>
        <v>6.817445001864475E-2</v>
      </c>
      <c r="N55" s="191">
        <f>AVERAGE(T53:T55)</f>
        <v>15.542703833005367</v>
      </c>
      <c r="O55" s="192">
        <f>N55/N52-1</f>
        <v>3.416995173555315E-2</v>
      </c>
      <c r="P55" s="129" t="s">
        <v>1418</v>
      </c>
      <c r="Q55" s="116">
        <v>15469739</v>
      </c>
      <c r="R55" s="116">
        <v>22725592261</v>
      </c>
      <c r="S55" s="116">
        <v>1020318.82</v>
      </c>
      <c r="T55" s="130">
        <f t="shared" ref="T55" si="112">Q55/S55</f>
        <v>15.161671721393908</v>
      </c>
      <c r="U55" s="85">
        <f t="shared" ref="U55" si="113">Q53+Q54+Q55</f>
        <v>43270094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757268.09090909094</v>
      </c>
      <c r="G56" s="190">
        <f t="shared" ref="G56" si="114">F56/F55-1</f>
        <v>2.7983077742352869E-2</v>
      </c>
      <c r="H56" s="190">
        <f t="shared" ref="H56" si="115">F56/F44-1</f>
        <v>0.19342705637480195</v>
      </c>
      <c r="I56" s="291">
        <f>T56</f>
        <v>14.562770378259087</v>
      </c>
      <c r="J56" s="130">
        <f t="shared" ref="J56" si="116">I56/I44-1</f>
        <v>1.0937393275438412E-2</v>
      </c>
      <c r="K56" s="136"/>
      <c r="L56" s="190"/>
      <c r="M56" s="190"/>
      <c r="N56" s="191"/>
      <c r="O56" s="192"/>
      <c r="P56" s="129" t="s">
        <v>1420</v>
      </c>
      <c r="Q56" s="116">
        <v>16659898</v>
      </c>
      <c r="R56" s="116">
        <v>24895561709</v>
      </c>
      <c r="S56" s="116">
        <v>1144006.0900000001</v>
      </c>
      <c r="T56" s="130">
        <f t="shared" ref="T56" si="117">Q56/S56</f>
        <v>14.562770378259087</v>
      </c>
      <c r="U56" s="85">
        <f t="shared" ref="U56" si="118">Q54+Q55+Q56</f>
        <v>45629935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870687.5</v>
      </c>
      <c r="G57" s="254">
        <f t="shared" ref="G57" si="119">F57/F56-1</f>
        <v>0.14977444639817117</v>
      </c>
      <c r="H57" s="254">
        <f t="shared" ref="H57" si="120">F57/F45-1</f>
        <v>8.2325881726945438E-2</v>
      </c>
      <c r="I57" s="282">
        <f>T57</f>
        <v>15.75278453732331</v>
      </c>
      <c r="J57" s="277">
        <f t="shared" ref="J57" si="121">I57/I45-1</f>
        <v>2.3852124248137985E-2</v>
      </c>
      <c r="K57" s="204"/>
      <c r="L57" s="254"/>
      <c r="M57" s="254"/>
      <c r="N57" s="257"/>
      <c r="O57" s="258"/>
      <c r="P57" s="129" t="s">
        <v>1436</v>
      </c>
      <c r="Q57" s="116">
        <v>10448250</v>
      </c>
      <c r="R57" s="116">
        <v>15403554580</v>
      </c>
      <c r="S57" s="116">
        <v>663263.68999999994</v>
      </c>
      <c r="T57" s="130">
        <f t="shared" ref="T57" si="122">Q57/S57</f>
        <v>15.75278453732331</v>
      </c>
      <c r="U57" s="85">
        <f t="shared" ref="U57" si="123">Q55+Q56+Q57</f>
        <v>42577887</v>
      </c>
      <c r="V57" s="79"/>
      <c r="W57" s="79"/>
      <c r="X57" s="79"/>
      <c r="Y57" s="79"/>
      <c r="Z57" s="79"/>
    </row>
    <row r="58" spans="1:26">
      <c r="B58" s="196">
        <f>SUM(F56:F58)</f>
        <v>1627955.5909090908</v>
      </c>
      <c r="C58" s="196">
        <f>AVERAGE(F56:F58)</f>
        <v>813977.79545454541</v>
      </c>
      <c r="D58" s="197">
        <f>C58/C55-1</f>
        <v>0.10407570835571844</v>
      </c>
      <c r="E58" s="233">
        <f>C58/C46-1</f>
        <v>0.1340558114768744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70378242</v>
      </c>
      <c r="R65" s="212">
        <v>103441515844</v>
      </c>
      <c r="S65" s="213">
        <v>4594279.55</v>
      </c>
      <c r="T65" s="214">
        <v>17</v>
      </c>
      <c r="U65" s="214">
        <v>153</v>
      </c>
    </row>
    <row r="66" spans="16:21" ht="18" thickBot="1">
      <c r="P66" s="180" t="s">
        <v>976</v>
      </c>
      <c r="Q66" s="181">
        <v>14300057</v>
      </c>
      <c r="R66" s="181">
        <v>20850228625</v>
      </c>
      <c r="S66" s="182">
        <v>890409.3</v>
      </c>
      <c r="T66" s="210">
        <v>6</v>
      </c>
      <c r="U66" s="210">
        <v>70</v>
      </c>
    </row>
    <row r="67" spans="16:21" ht="18" thickBot="1">
      <c r="P67" s="180" t="s">
        <v>977</v>
      </c>
      <c r="Q67" s="181">
        <v>13500298</v>
      </c>
      <c r="R67" s="181">
        <v>19566578669</v>
      </c>
      <c r="S67" s="182">
        <v>876281.64</v>
      </c>
      <c r="T67" s="210">
        <v>8</v>
      </c>
      <c r="U67" s="210">
        <v>59</v>
      </c>
    </row>
    <row r="68" spans="16:21" ht="18" thickBot="1">
      <c r="P68" s="180" t="s">
        <v>978</v>
      </c>
      <c r="Q68" s="181">
        <v>15469739</v>
      </c>
      <c r="R68" s="181">
        <v>22725592261</v>
      </c>
      <c r="S68" s="182">
        <v>1020318.82</v>
      </c>
      <c r="T68" s="210">
        <v>8</v>
      </c>
      <c r="U68" s="210">
        <v>73</v>
      </c>
    </row>
    <row r="69" spans="16:21" ht="18" thickBot="1">
      <c r="P69" s="180" t="s">
        <v>979</v>
      </c>
      <c r="Q69" s="181">
        <v>16659898</v>
      </c>
      <c r="R69" s="181">
        <v>24895561709</v>
      </c>
      <c r="S69" s="182">
        <v>1144006.0900000001</v>
      </c>
      <c r="T69" s="210">
        <v>12</v>
      </c>
      <c r="U69" s="210">
        <v>78</v>
      </c>
    </row>
    <row r="70" spans="16:21" ht="18" thickBot="1">
      <c r="P70" s="180" t="s">
        <v>980</v>
      </c>
      <c r="Q70" s="181">
        <v>10448250</v>
      </c>
      <c r="R70" s="181">
        <v>15403554580</v>
      </c>
      <c r="S70" s="182">
        <v>663263.68999999994</v>
      </c>
      <c r="T70" s="210">
        <v>5</v>
      </c>
      <c r="U70" s="210">
        <v>51</v>
      </c>
    </row>
    <row r="71" spans="16:21" ht="18" thickBot="1">
      <c r="P71" s="215" t="s">
        <v>975</v>
      </c>
      <c r="Q71" s="217" t="s">
        <v>1494</v>
      </c>
      <c r="R71"/>
      <c r="S71"/>
      <c r="T71"/>
      <c r="U71"/>
    </row>
  </sheetData>
  <phoneticPr fontId="1" type="noConversion"/>
  <conditionalFormatting sqref="C29:C30">
    <cfRule type="cellIs" dxfId="19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62"/>
  <dimension ref="A1:Z74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5402440000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1290519.1000000001</v>
      </c>
      <c r="G5" s="90"/>
      <c r="H5" s="90"/>
      <c r="I5" s="130">
        <f t="shared" ref="I5:I49" si="0">T5</f>
        <v>10.689464523196659</v>
      </c>
      <c r="J5" s="130"/>
      <c r="L5" s="80"/>
      <c r="M5" s="80"/>
      <c r="P5" s="129" t="s">
        <v>0</v>
      </c>
      <c r="Q5" s="116">
        <v>25810382</v>
      </c>
      <c r="R5" s="116">
        <v>30466772906</v>
      </c>
      <c r="S5" s="116">
        <v>2414562.67</v>
      </c>
      <c r="T5" s="130">
        <f t="shared" ref="T5:T17" si="1">Q5/S5</f>
        <v>10.689464523196659</v>
      </c>
      <c r="U5" s="85"/>
    </row>
    <row r="6" spans="1:21" ht="15" hidden="1" customHeight="1">
      <c r="A6" s="129" t="s">
        <v>1</v>
      </c>
      <c r="C6" s="79"/>
      <c r="F6" s="78">
        <f>Q6/18</f>
        <v>1207642.9444444445</v>
      </c>
      <c r="G6" s="90">
        <f t="shared" ref="G6:G16" si="2">F6/F5-1</f>
        <v>-6.4219239804785166E-2</v>
      </c>
      <c r="H6" s="90"/>
      <c r="I6" s="130">
        <f t="shared" si="0"/>
        <v>10.290669937855498</v>
      </c>
      <c r="J6" s="130"/>
      <c r="P6" s="129" t="s">
        <v>1</v>
      </c>
      <c r="Q6" s="116">
        <v>21737573</v>
      </c>
      <c r="R6" s="116">
        <v>25825259116</v>
      </c>
      <c r="S6" s="116">
        <v>2112357.42</v>
      </c>
      <c r="T6" s="130">
        <f t="shared" si="1"/>
        <v>10.290669937855498</v>
      </c>
      <c r="U6" s="85"/>
    </row>
    <row r="7" spans="1:21" ht="15" hidden="1" customHeight="1">
      <c r="A7" s="129" t="s">
        <v>2</v>
      </c>
      <c r="B7" s="131">
        <f>F5+F6+F7</f>
        <v>3438504.4535353538</v>
      </c>
      <c r="C7" s="131">
        <f>AVERAGE(F5:F7)</f>
        <v>1146168.1511784513</v>
      </c>
      <c r="F7" s="78">
        <f>Q7/22</f>
        <v>940342.40909090906</v>
      </c>
      <c r="G7" s="90">
        <f t="shared" si="2"/>
        <v>-0.2213407005631971</v>
      </c>
      <c r="H7" s="90"/>
      <c r="I7" s="130">
        <f t="shared" si="0"/>
        <v>9.925690176577735</v>
      </c>
      <c r="J7" s="130"/>
      <c r="K7" s="79">
        <f>R5+R6+R7</f>
        <v>81250267219</v>
      </c>
      <c r="N7" s="88">
        <f>AVERAGE(T5:T7)</f>
        <v>10.30194154587663</v>
      </c>
      <c r="P7" s="129" t="s">
        <v>2</v>
      </c>
      <c r="Q7" s="116">
        <v>20687533</v>
      </c>
      <c r="R7" s="116">
        <v>24958235197</v>
      </c>
      <c r="S7" s="116">
        <v>2084241.26</v>
      </c>
      <c r="T7" s="130">
        <f t="shared" si="1"/>
        <v>9.925690176577735</v>
      </c>
      <c r="U7" s="85">
        <f>Q5+Q6+Q7</f>
        <v>68235488</v>
      </c>
    </row>
    <row r="8" spans="1:21" ht="15" hidden="1" customHeight="1">
      <c r="A8" s="129" t="s">
        <v>3</v>
      </c>
      <c r="C8" s="79"/>
      <c r="F8" s="78">
        <f>Q8/21</f>
        <v>1029825.8571428572</v>
      </c>
      <c r="G8" s="90">
        <f t="shared" si="2"/>
        <v>9.5160493865694695E-2</v>
      </c>
      <c r="H8" s="90"/>
      <c r="I8" s="130">
        <f t="shared" si="0"/>
        <v>9.8834172854451818</v>
      </c>
      <c r="J8" s="130"/>
      <c r="K8" s="78"/>
      <c r="P8" s="129" t="s">
        <v>3</v>
      </c>
      <c r="Q8" s="116">
        <v>21626343</v>
      </c>
      <c r="R8" s="116">
        <v>26206944547</v>
      </c>
      <c r="S8" s="116">
        <v>2188144.2799999998</v>
      </c>
      <c r="T8" s="130">
        <f t="shared" si="1"/>
        <v>9.8834172854451818</v>
      </c>
      <c r="U8" s="85"/>
    </row>
    <row r="9" spans="1:21" ht="15" hidden="1" customHeight="1">
      <c r="A9" s="129" t="s">
        <v>4</v>
      </c>
      <c r="C9" s="79"/>
      <c r="F9" s="78">
        <f>Q9/21</f>
        <v>959129.52380952379</v>
      </c>
      <c r="G9" s="90">
        <f t="shared" si="2"/>
        <v>-6.8648823335503373E-2</v>
      </c>
      <c r="H9" s="90"/>
      <c r="I9" s="130">
        <f t="shared" si="0"/>
        <v>9.839585030860805</v>
      </c>
      <c r="J9" s="130"/>
      <c r="K9" s="78"/>
      <c r="P9" s="129" t="s">
        <v>4</v>
      </c>
      <c r="Q9" s="116">
        <v>20141720</v>
      </c>
      <c r="R9" s="116">
        <v>25332541117</v>
      </c>
      <c r="S9" s="116">
        <v>2047009.09</v>
      </c>
      <c r="T9" s="130">
        <f t="shared" si="1"/>
        <v>9.839585030860805</v>
      </c>
      <c r="U9" s="85"/>
    </row>
    <row r="10" spans="1:21" ht="15" hidden="1" customHeight="1">
      <c r="A10" s="129" t="s">
        <v>5</v>
      </c>
      <c r="B10" s="131">
        <f>F8+F9+F10</f>
        <v>2755306.666666667</v>
      </c>
      <c r="C10" s="131">
        <f>AVERAGE(F8:F10)</f>
        <v>918435.55555555562</v>
      </c>
      <c r="D10" s="90">
        <f>C10/C7-1</f>
        <v>-0.19869038883059931</v>
      </c>
      <c r="E10" s="286"/>
      <c r="F10" s="78">
        <f>Q10/21</f>
        <v>766351.28571428568</v>
      </c>
      <c r="G10" s="90">
        <f t="shared" si="2"/>
        <v>-0.20099291420990861</v>
      </c>
      <c r="H10" s="90"/>
      <c r="I10" s="130">
        <f t="shared" si="0"/>
        <v>9.2315378773206636</v>
      </c>
      <c r="J10" s="130"/>
      <c r="K10" s="79">
        <f>R8+R9+R10</f>
        <v>71743387144</v>
      </c>
      <c r="L10" s="87">
        <f>U10/U7-1</f>
        <v>-0.15203303008545932</v>
      </c>
      <c r="N10" s="88">
        <f>AVERAGE(T8:T10)</f>
        <v>9.651513397875549</v>
      </c>
      <c r="O10" s="89">
        <f>N10/N7-1</f>
        <v>-6.3136462685659089E-2</v>
      </c>
      <c r="P10" s="129" t="s">
        <v>5</v>
      </c>
      <c r="Q10" s="116">
        <v>16093377</v>
      </c>
      <c r="R10" s="116">
        <v>20203901480</v>
      </c>
      <c r="S10" s="116">
        <v>1743304.01</v>
      </c>
      <c r="T10" s="130">
        <f t="shared" si="1"/>
        <v>9.2315378773206636</v>
      </c>
      <c r="U10" s="85">
        <f>Q8+Q9+Q10</f>
        <v>57861440</v>
      </c>
    </row>
    <row r="11" spans="1:21" ht="15" hidden="1" customHeight="1">
      <c r="A11" s="129" t="s">
        <v>6</v>
      </c>
      <c r="C11" s="79"/>
      <c r="F11" s="78">
        <f>Q11/21</f>
        <v>712734.19047619053</v>
      </c>
      <c r="G11" s="90">
        <f t="shared" si="2"/>
        <v>-6.9964122508283877E-2</v>
      </c>
      <c r="H11" s="90"/>
      <c r="I11" s="130">
        <f t="shared" si="0"/>
        <v>8.8966420123569687</v>
      </c>
      <c r="J11" s="130"/>
      <c r="K11" s="78"/>
      <c r="O11" s="89"/>
      <c r="P11" s="129" t="s">
        <v>6</v>
      </c>
      <c r="Q11" s="116">
        <v>14967418</v>
      </c>
      <c r="R11" s="116">
        <v>19324872230</v>
      </c>
      <c r="S11" s="116">
        <v>1682367.12</v>
      </c>
      <c r="T11" s="130">
        <f t="shared" si="1"/>
        <v>8.8966420123569687</v>
      </c>
      <c r="U11" s="85"/>
    </row>
    <row r="12" spans="1:21" ht="15" hidden="1" customHeight="1">
      <c r="A12" s="129" t="s">
        <v>7</v>
      </c>
      <c r="C12" s="79"/>
      <c r="F12" s="78">
        <f>Q12/22</f>
        <v>697180.95454545459</v>
      </c>
      <c r="G12" s="90">
        <f t="shared" si="2"/>
        <v>-2.1821930445548809E-2</v>
      </c>
      <c r="H12" s="90"/>
      <c r="I12" s="130">
        <f t="shared" si="0"/>
        <v>8.3567221593369645</v>
      </c>
      <c r="J12" s="130"/>
      <c r="K12" s="78"/>
      <c r="O12" s="89"/>
      <c r="P12" s="129" t="s">
        <v>7</v>
      </c>
      <c r="Q12" s="116">
        <v>15337981</v>
      </c>
      <c r="R12" s="116">
        <v>19903789788</v>
      </c>
      <c r="S12" s="116">
        <v>1835406.36</v>
      </c>
      <c r="T12" s="130">
        <f t="shared" si="1"/>
        <v>8.3567221593369645</v>
      </c>
      <c r="U12" s="85"/>
    </row>
    <row r="13" spans="1:21" ht="15" hidden="1" customHeight="1">
      <c r="A13" s="129" t="s">
        <v>96</v>
      </c>
      <c r="B13" s="131">
        <f>F11+F12+F13</f>
        <v>2057177.6950216452</v>
      </c>
      <c r="C13" s="131">
        <f>AVERAGE(F11:F13)</f>
        <v>685725.89834054839</v>
      </c>
      <c r="D13" s="90">
        <f>C13/C10-1</f>
        <v>-0.2533761414258866</v>
      </c>
      <c r="E13" s="286"/>
      <c r="F13" s="78">
        <f>Q13/20</f>
        <v>647262.55000000005</v>
      </c>
      <c r="G13" s="90">
        <f t="shared" si="2"/>
        <v>-7.1600356005135257E-2</v>
      </c>
      <c r="H13" s="90"/>
      <c r="I13" s="130">
        <f t="shared" si="0"/>
        <v>7.7353748558690674</v>
      </c>
      <c r="J13" s="130"/>
      <c r="K13" s="78">
        <f>R11+R12+R13</f>
        <v>56967866593</v>
      </c>
      <c r="L13" s="87">
        <f>U13/U10-1</f>
        <v>-0.25251341826266338</v>
      </c>
      <c r="N13" s="88">
        <f>AVERAGE(T11:T13)</f>
        <v>8.3295796758543332</v>
      </c>
      <c r="O13" s="89">
        <f>N13/N10-1</f>
        <v>-0.13696647018199182</v>
      </c>
      <c r="P13" s="129" t="s">
        <v>96</v>
      </c>
      <c r="Q13" s="116">
        <v>12945251</v>
      </c>
      <c r="R13" s="116">
        <v>17739204575</v>
      </c>
      <c r="S13" s="116">
        <v>1673513.08</v>
      </c>
      <c r="T13" s="130">
        <f t="shared" si="1"/>
        <v>7.7353748558690674</v>
      </c>
      <c r="U13" s="85">
        <f>Q11+Q12+Q13</f>
        <v>43250650</v>
      </c>
    </row>
    <row r="14" spans="1:21" ht="15" hidden="1" customHeight="1">
      <c r="A14" s="129" t="s">
        <v>97</v>
      </c>
      <c r="C14" s="79"/>
      <c r="F14" s="78">
        <f>Q14/20</f>
        <v>591992.35</v>
      </c>
      <c r="G14" s="90">
        <f t="shared" si="2"/>
        <v>-8.539069655737086E-2</v>
      </c>
      <c r="H14" s="90"/>
      <c r="I14" s="130">
        <f t="shared" si="0"/>
        <v>7.6389751743647647</v>
      </c>
      <c r="J14" s="130"/>
      <c r="O14" s="89"/>
      <c r="P14" s="129" t="s">
        <v>97</v>
      </c>
      <c r="Q14" s="116">
        <v>11839847</v>
      </c>
      <c r="R14" s="116">
        <v>16885499935</v>
      </c>
      <c r="S14" s="116">
        <v>1549926.1</v>
      </c>
      <c r="T14" s="130">
        <f t="shared" si="1"/>
        <v>7.6389751743647647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493221.86363636365</v>
      </c>
      <c r="G15" s="90">
        <f t="shared" si="2"/>
        <v>-0.16684419378668713</v>
      </c>
      <c r="H15" s="90"/>
      <c r="I15" s="130">
        <f t="shared" si="0"/>
        <v>7.6812064322481071</v>
      </c>
      <c r="J15" s="130"/>
      <c r="O15" s="89"/>
      <c r="P15" s="129" t="s">
        <v>98</v>
      </c>
      <c r="Q15" s="116">
        <v>10850881</v>
      </c>
      <c r="R15" s="116">
        <v>14995989893</v>
      </c>
      <c r="S15" s="116">
        <v>1412653.22</v>
      </c>
      <c r="T15" s="130">
        <f t="shared" si="1"/>
        <v>7.6812064322481071</v>
      </c>
      <c r="U15" s="85"/>
    </row>
    <row r="16" spans="1:21" ht="15" hidden="1" customHeight="1">
      <c r="A16" s="129" t="s">
        <v>99</v>
      </c>
      <c r="B16" s="131">
        <f>F14+F15+F16</f>
        <v>1589131.4409090909</v>
      </c>
      <c r="C16" s="131">
        <f>AVERAGE(F14:F16)</f>
        <v>529710.48030303034</v>
      </c>
      <c r="D16" s="90">
        <f>C16/C13-1</f>
        <v>-0.22751863159182728</v>
      </c>
      <c r="E16" s="286"/>
      <c r="F16" s="78">
        <f>Q16/22</f>
        <v>503917.22727272729</v>
      </c>
      <c r="G16" s="90">
        <f t="shared" si="2"/>
        <v>2.1684690855977573E-2</v>
      </c>
      <c r="H16" s="90"/>
      <c r="I16" s="130">
        <f t="shared" si="0"/>
        <v>6.7456205498926973</v>
      </c>
      <c r="J16" s="130"/>
      <c r="K16" s="78">
        <f>R14+R15+R16</f>
        <v>46378419418</v>
      </c>
      <c r="L16" s="87">
        <f>U16/U13-1</f>
        <v>-0.21904278895230478</v>
      </c>
      <c r="N16" s="88">
        <f>AVERAGE(T14:T16)</f>
        <v>7.3552673855018567</v>
      </c>
      <c r="O16" s="89">
        <f>N16/N13-1</f>
        <v>-0.11697016275344596</v>
      </c>
      <c r="P16" s="129" t="s">
        <v>99</v>
      </c>
      <c r="Q16" s="116">
        <v>11086179</v>
      </c>
      <c r="R16" s="116">
        <v>14496929590</v>
      </c>
      <c r="S16" s="116">
        <v>1643463.18</v>
      </c>
      <c r="T16" s="130">
        <f t="shared" si="1"/>
        <v>6.7456205498926973</v>
      </c>
      <c r="U16" s="85">
        <f>Q14+Q15+Q16</f>
        <v>33776907</v>
      </c>
    </row>
    <row r="17" spans="1:21" ht="15" hidden="1" customHeight="1">
      <c r="A17" s="129" t="s">
        <v>100</v>
      </c>
      <c r="C17" s="79"/>
      <c r="F17" s="78">
        <f>Q17/20</f>
        <v>456534.8</v>
      </c>
      <c r="G17" s="90">
        <f t="shared" ref="G17:G22" si="3">F17/F16-1</f>
        <v>-9.4028194926313313E-2</v>
      </c>
      <c r="H17" s="90">
        <f t="shared" ref="H17:H22" si="4">F17/F5-1</f>
        <v>-0.64623940862246831</v>
      </c>
      <c r="I17" s="130">
        <f t="shared" si="0"/>
        <v>7.007261939995626</v>
      </c>
      <c r="J17" s="130">
        <f t="shared" ref="J17:J49" si="5">I17/I5-1</f>
        <v>-0.34447025622382432</v>
      </c>
      <c r="O17" s="89"/>
      <c r="P17" s="129" t="s">
        <v>100</v>
      </c>
      <c r="Q17" s="116">
        <v>9130696</v>
      </c>
      <c r="R17" s="116">
        <v>11461852463</v>
      </c>
      <c r="S17" s="116">
        <v>1303033.3500000001</v>
      </c>
      <c r="T17" s="130">
        <f t="shared" si="1"/>
        <v>7.007261939995626</v>
      </c>
      <c r="U17" s="78"/>
    </row>
    <row r="18" spans="1:21" ht="15" hidden="1" customHeight="1">
      <c r="A18" s="129" t="s">
        <v>106</v>
      </c>
      <c r="C18" s="79"/>
      <c r="F18" s="78">
        <f>Q18/20</f>
        <v>542862</v>
      </c>
      <c r="G18" s="90">
        <f t="shared" si="3"/>
        <v>0.18909226635077991</v>
      </c>
      <c r="H18" s="90">
        <f t="shared" si="4"/>
        <v>-0.55047805934912786</v>
      </c>
      <c r="I18" s="130">
        <f t="shared" si="0"/>
        <v>7.4933418088055195</v>
      </c>
      <c r="J18" s="130">
        <f t="shared" si="5"/>
        <v>-0.27183148871189244</v>
      </c>
      <c r="O18" s="89"/>
      <c r="P18" s="129" t="s">
        <v>106</v>
      </c>
      <c r="Q18" s="116">
        <v>10857240</v>
      </c>
      <c r="R18" s="116">
        <v>13591573724</v>
      </c>
      <c r="S18" s="116">
        <v>1448918.29</v>
      </c>
      <c r="T18" s="130">
        <f t="shared" ref="T18" si="6">Q18/S18</f>
        <v>7.4933418088055195</v>
      </c>
      <c r="U18" s="78"/>
    </row>
    <row r="19" spans="1:21" hidden="1">
      <c r="A19" s="129" t="s">
        <v>114</v>
      </c>
      <c r="B19" s="131">
        <f>SUM(F17:F19)</f>
        <v>1478688.6181818182</v>
      </c>
      <c r="C19" s="131">
        <f>AVERAGE(F17:F19)</f>
        <v>492896.20606060605</v>
      </c>
      <c r="D19" s="90">
        <f>C19/C16-1</f>
        <v>-6.949885949276291E-2</v>
      </c>
      <c r="E19" s="286">
        <f>C19/C7-1</f>
        <v>-0.56996169754514048</v>
      </c>
      <c r="F19" s="78">
        <f>Q19/22</f>
        <v>479291.81818181818</v>
      </c>
      <c r="G19" s="90">
        <f t="shared" si="3"/>
        <v>-0.11710191875316711</v>
      </c>
      <c r="H19" s="90">
        <f t="shared" si="4"/>
        <v>-0.49030075263203199</v>
      </c>
      <c r="I19" s="130">
        <f t="shared" si="0"/>
        <v>7.47259525638081</v>
      </c>
      <c r="J19" s="130">
        <f t="shared" si="5"/>
        <v>-0.24714602980311084</v>
      </c>
      <c r="K19" s="78">
        <f>R17+R18+R19</f>
        <v>38854608879</v>
      </c>
      <c r="L19" s="87">
        <f>U19/U16-1</f>
        <v>-9.6058262528300742E-2</v>
      </c>
      <c r="M19" s="87">
        <f>U19/U7-1</f>
        <v>-0.55254433001197267</v>
      </c>
      <c r="N19" s="88">
        <f>AVERAGE(T17:T19)</f>
        <v>7.3243996683939843</v>
      </c>
      <c r="O19" s="89">
        <f>N19/N16-1</f>
        <v>-4.1966818458178956E-3</v>
      </c>
      <c r="P19" s="129" t="s">
        <v>115</v>
      </c>
      <c r="Q19" s="116">
        <v>10544420</v>
      </c>
      <c r="R19" s="116">
        <v>13801182692</v>
      </c>
      <c r="S19" s="116">
        <v>1411078.7</v>
      </c>
      <c r="T19" s="130">
        <f t="shared" ref="T19" si="7">Q19/S19</f>
        <v>7.47259525638081</v>
      </c>
      <c r="U19" s="85">
        <f>Q17+Q18+Q19</f>
        <v>30532356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446255.95</v>
      </c>
      <c r="G20" s="90">
        <f t="shared" si="3"/>
        <v>-6.892641795376131E-2</v>
      </c>
      <c r="H20" s="90">
        <f t="shared" si="4"/>
        <v>-0.56666853244674797</v>
      </c>
      <c r="I20" s="130">
        <f t="shared" si="0"/>
        <v>7.0659176487422339</v>
      </c>
      <c r="J20" s="130">
        <f t="shared" si="5"/>
        <v>-0.2850734270677957</v>
      </c>
      <c r="O20" s="89"/>
      <c r="P20" s="129" t="s">
        <v>132</v>
      </c>
      <c r="Q20" s="116">
        <v>8925119</v>
      </c>
      <c r="R20" s="116">
        <v>11724563432</v>
      </c>
      <c r="S20" s="116">
        <v>1263122.42</v>
      </c>
      <c r="T20" s="130">
        <f t="shared" ref="T20" si="8">Q20/S20</f>
        <v>7.0659176487422339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436828.14285714284</v>
      </c>
      <c r="G21" s="90">
        <f t="shared" si="3"/>
        <v>-2.1126457009384758E-2</v>
      </c>
      <c r="H21" s="90">
        <f t="shared" si="4"/>
        <v>-0.54455771403832443</v>
      </c>
      <c r="I21" s="130">
        <f t="shared" si="0"/>
        <v>7.0199456599931969</v>
      </c>
      <c r="J21" s="130">
        <f t="shared" si="5"/>
        <v>-0.28656080129640749</v>
      </c>
      <c r="O21" s="89"/>
      <c r="P21" s="129" t="s">
        <v>141</v>
      </c>
      <c r="Q21" s="116">
        <v>9173391</v>
      </c>
      <c r="R21" s="116">
        <v>12229598406</v>
      </c>
      <c r="S21" s="116">
        <v>1306760.97</v>
      </c>
      <c r="T21" s="130">
        <f t="shared" ref="T21" si="9">Q21/S21</f>
        <v>7.0199456599931969</v>
      </c>
      <c r="U21" s="78"/>
    </row>
    <row r="22" spans="1:21" hidden="1">
      <c r="A22" s="129" t="s">
        <v>156</v>
      </c>
      <c r="B22" s="131">
        <f>SUM(F20:F22)</f>
        <v>1345017.1404761905</v>
      </c>
      <c r="C22" s="131">
        <f>AVERAGE(F20:F22)</f>
        <v>448339.04682539683</v>
      </c>
      <c r="D22" s="90">
        <f>C22/C19-1</f>
        <v>-9.0398665453981009E-2</v>
      </c>
      <c r="E22" s="286">
        <f>C22/C10-1</f>
        <v>-0.51184484952327503</v>
      </c>
      <c r="F22" s="78">
        <f>Q22/21</f>
        <v>461933.04761904763</v>
      </c>
      <c r="G22" s="90">
        <f t="shared" si="3"/>
        <v>5.7470895986009962E-2</v>
      </c>
      <c r="H22" s="90">
        <f t="shared" si="4"/>
        <v>-0.39723067445695204</v>
      </c>
      <c r="I22" s="130">
        <f t="shared" si="0"/>
        <v>7.1094423494819656</v>
      </c>
      <c r="J22" s="130">
        <f t="shared" si="5"/>
        <v>-0.22987454051963541</v>
      </c>
      <c r="K22" s="78">
        <f>R20+R21+R22</f>
        <v>36536498313</v>
      </c>
      <c r="L22" s="87">
        <f>U22/U19-1</f>
        <v>-8.9519852316670256E-2</v>
      </c>
      <c r="M22" s="87">
        <f>U22/U10-1</f>
        <v>-0.51955734250651209</v>
      </c>
      <c r="N22" s="88">
        <f>AVERAGE(T20:T22)</f>
        <v>7.0651018860724655</v>
      </c>
      <c r="O22" s="89">
        <f>N22/N19-1</f>
        <v>-3.5401916069713213E-2</v>
      </c>
      <c r="P22" s="129" t="s">
        <v>156</v>
      </c>
      <c r="Q22" s="116">
        <v>9700594</v>
      </c>
      <c r="R22" s="116">
        <v>12582336475</v>
      </c>
      <c r="S22" s="116">
        <v>1364466.23</v>
      </c>
      <c r="T22" s="130">
        <f t="shared" ref="T22:T23" si="10">Q22/S22</f>
        <v>7.1094423494819656</v>
      </c>
      <c r="U22" s="85">
        <f>Q20+Q21+Q22</f>
        <v>27799104</v>
      </c>
    </row>
    <row r="23" spans="1:21" hidden="1">
      <c r="A23" s="129" t="s">
        <v>189</v>
      </c>
      <c r="B23" s="131"/>
      <c r="C23" s="131"/>
      <c r="F23" s="78">
        <f>Q23/21</f>
        <v>437900.28571428574</v>
      </c>
      <c r="G23" s="90">
        <f t="shared" ref="G23" si="11">F23/F22-1</f>
        <v>-5.2026504768676984E-2</v>
      </c>
      <c r="H23" s="90">
        <f t="shared" ref="H23" si="12">F23/F11-1</f>
        <v>-0.38560505225416974</v>
      </c>
      <c r="I23" s="130">
        <f t="shared" si="0"/>
        <v>7.0590775525970946</v>
      </c>
      <c r="J23" s="130">
        <f t="shared" si="5"/>
        <v>-0.20654584698446821</v>
      </c>
      <c r="O23" s="89"/>
      <c r="P23" s="129" t="s">
        <v>189</v>
      </c>
      <c r="Q23" s="116">
        <v>9195906</v>
      </c>
      <c r="R23" s="116">
        <v>11876607208</v>
      </c>
      <c r="S23" s="116">
        <v>1302706.47</v>
      </c>
      <c r="T23" s="130">
        <f t="shared" si="10"/>
        <v>7.0590775525970946</v>
      </c>
      <c r="U23" s="78"/>
    </row>
    <row r="24" spans="1:21" hidden="1">
      <c r="A24" s="129" t="s">
        <v>204</v>
      </c>
      <c r="B24" s="131"/>
      <c r="C24" s="131"/>
      <c r="F24" s="78">
        <f>Q24/22</f>
        <v>461563.86363636365</v>
      </c>
      <c r="G24" s="90">
        <f t="shared" ref="G24" si="13">F24/F23-1</f>
        <v>5.4038735972685714E-2</v>
      </c>
      <c r="H24" s="90">
        <f t="shared" ref="H24" si="14">F24/F12-1</f>
        <v>-0.33795686668277924</v>
      </c>
      <c r="I24" s="130">
        <f t="shared" si="0"/>
        <v>7.2444924683469907</v>
      </c>
      <c r="J24" s="130">
        <f t="shared" si="5"/>
        <v>-0.13309401339223415</v>
      </c>
      <c r="O24" s="89"/>
      <c r="P24" s="129" t="s">
        <v>204</v>
      </c>
      <c r="Q24" s="116">
        <v>10154405</v>
      </c>
      <c r="R24" s="116">
        <v>13323405921</v>
      </c>
      <c r="S24" s="116">
        <v>1401672.38</v>
      </c>
      <c r="T24" s="130">
        <f t="shared" ref="T24" si="15">Q24/S24</f>
        <v>7.2444924683469907</v>
      </c>
      <c r="U24" s="78"/>
    </row>
    <row r="25" spans="1:21" s="79" customFormat="1" ht="13.2" hidden="1">
      <c r="A25" s="129" t="s">
        <v>231</v>
      </c>
      <c r="B25" s="131">
        <f>SUM(F23:F25)</f>
        <v>1417489.5704032811</v>
      </c>
      <c r="C25" s="131">
        <f>AVERAGE(F23:F25)</f>
        <v>472496.52346776036</v>
      </c>
      <c r="D25" s="90">
        <f>C25/C22-1</f>
        <v>5.3882160863342188E-2</v>
      </c>
      <c r="E25" s="286">
        <f>C25/C13-1</f>
        <v>-0.31095423898791275</v>
      </c>
      <c r="F25" s="78">
        <f>Q25/19</f>
        <v>518025.42105263157</v>
      </c>
      <c r="G25" s="90">
        <f t="shared" ref="G25" si="16">F25/F24-1</f>
        <v>0.12232664180302977</v>
      </c>
      <c r="H25" s="90">
        <f t="shared" ref="H25" si="17">F25/F13-1</f>
        <v>-0.19966724314170259</v>
      </c>
      <c r="I25" s="130">
        <f t="shared" si="0"/>
        <v>6.8798790956583389</v>
      </c>
      <c r="J25" s="130">
        <f t="shared" si="5"/>
        <v>-0.11059525571170448</v>
      </c>
      <c r="K25" s="78">
        <f>R23+R24+R25</f>
        <v>38259391549</v>
      </c>
      <c r="L25" s="90">
        <f>U25/U22-1</f>
        <v>5.0134349653859323E-2</v>
      </c>
      <c r="M25" s="90">
        <f>U25/U13-1</f>
        <v>-0.32503224807026021</v>
      </c>
      <c r="N25" s="88">
        <f>AVERAGE(T23:T25)</f>
        <v>7.0611497055341417</v>
      </c>
      <c r="O25" s="91">
        <f>N25/N22-1</f>
        <v>-5.5939469834320743E-4</v>
      </c>
      <c r="P25" s="129" t="s">
        <v>231</v>
      </c>
      <c r="Q25" s="116">
        <v>9842483</v>
      </c>
      <c r="R25" s="116">
        <v>13059378420</v>
      </c>
      <c r="S25" s="116">
        <v>1430618.6</v>
      </c>
      <c r="T25" s="130">
        <f t="shared" ref="T25" si="18">Q25/S25</f>
        <v>6.8798790956583389</v>
      </c>
      <c r="U25" s="85">
        <f>Q23+Q24+Q25</f>
        <v>29192794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480697.10526315792</v>
      </c>
      <c r="G26" s="90">
        <f t="shared" ref="G26" si="19">F26/F25-1</f>
        <v>-7.2058849377743317E-2</v>
      </c>
      <c r="H26" s="90">
        <f t="shared" ref="H26" si="20">F26/F14-1</f>
        <v>-0.18800115362443803</v>
      </c>
      <c r="I26" s="130">
        <f t="shared" si="0"/>
        <v>7.8099992484370739</v>
      </c>
      <c r="J26" s="130">
        <f t="shared" si="5"/>
        <v>2.2388353171540532E-2</v>
      </c>
      <c r="L26" s="90"/>
      <c r="M26" s="90"/>
      <c r="P26" s="129" t="s">
        <v>312</v>
      </c>
      <c r="Q26" s="116">
        <v>9133245</v>
      </c>
      <c r="R26" s="116">
        <v>12318456310</v>
      </c>
      <c r="S26" s="116">
        <v>1169429.69</v>
      </c>
      <c r="T26" s="130">
        <f t="shared" ref="T26" si="21">Q26/S26</f>
        <v>7.8099992484370739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409992.45454545453</v>
      </c>
      <c r="G27" s="90">
        <f t="shared" ref="G27" si="22">F27/F26-1</f>
        <v>-0.14708773975036959</v>
      </c>
      <c r="H27" s="90">
        <f t="shared" ref="H27" si="23">F27/F15-1</f>
        <v>-0.168746390270062</v>
      </c>
      <c r="I27" s="130">
        <f t="shared" si="0"/>
        <v>7.3641828440071704</v>
      </c>
      <c r="J27" s="130">
        <f t="shared" si="5"/>
        <v>-4.1272629636663893E-2</v>
      </c>
      <c r="L27" s="90"/>
      <c r="M27" s="90"/>
      <c r="P27" s="129" t="s">
        <v>392</v>
      </c>
      <c r="Q27" s="116">
        <v>9019834</v>
      </c>
      <c r="R27" s="116">
        <v>11903182462</v>
      </c>
      <c r="S27" s="116">
        <v>1224824.83</v>
      </c>
      <c r="T27" s="130">
        <f t="shared" ref="T27" si="24">Q27/S27</f>
        <v>7.3641828440071704</v>
      </c>
      <c r="U27" s="78"/>
    </row>
    <row r="28" spans="1:21" s="79" customFormat="1" ht="13.2" hidden="1">
      <c r="A28" s="123" t="s">
        <v>413</v>
      </c>
      <c r="B28" s="131">
        <f>SUM(F26:F28)</f>
        <v>1355682.3492822966</v>
      </c>
      <c r="C28" s="131">
        <f>AVERAGE(F26:F28)</f>
        <v>451894.11642743222</v>
      </c>
      <c r="D28" s="90">
        <f>C28/C25-1</f>
        <v>-4.360329868487145E-2</v>
      </c>
      <c r="E28" s="286">
        <f>C28/C16-1</f>
        <v>-0.14690357614046423</v>
      </c>
      <c r="F28" s="78">
        <f>Q28/19</f>
        <v>464992.78947368421</v>
      </c>
      <c r="G28" s="90">
        <f t="shared" ref="G28" si="25">F28/F27-1</f>
        <v>0.13414962719059509</v>
      </c>
      <c r="H28" s="90">
        <f t="shared" ref="H28" si="26">F28/F16-1</f>
        <v>-7.7243713237802436E-2</v>
      </c>
      <c r="I28" s="130">
        <f t="shared" si="0"/>
        <v>7.2522882411865268</v>
      </c>
      <c r="J28" s="130">
        <f t="shared" si="5"/>
        <v>7.5110612514646791E-2</v>
      </c>
      <c r="K28" s="78">
        <f>R26+R27+R28</f>
        <v>35763916417</v>
      </c>
      <c r="L28" s="90">
        <f>U28/U25-1</f>
        <v>-7.5527268818462501E-2</v>
      </c>
      <c r="M28" s="90">
        <f>U28/U16-1</f>
        <v>-0.20099427694785676</v>
      </c>
      <c r="N28" s="88">
        <f>AVERAGE(T26:T28)</f>
        <v>7.4754901112102567</v>
      </c>
      <c r="O28" s="91">
        <f>N28/N25-1</f>
        <v>5.8678887002123536E-2</v>
      </c>
      <c r="P28" s="129" t="s">
        <v>413</v>
      </c>
      <c r="Q28" s="116">
        <v>8834863</v>
      </c>
      <c r="R28" s="116">
        <v>11542277645</v>
      </c>
      <c r="S28" s="116">
        <v>1218217.3</v>
      </c>
      <c r="T28" s="130">
        <f t="shared" ref="T28" si="27">Q28/S28</f>
        <v>7.2522882411865268</v>
      </c>
      <c r="U28" s="85">
        <f>Q26+Q27+Q28</f>
        <v>26987942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426168.22727272729</v>
      </c>
      <c r="G29" s="190">
        <f t="shared" ref="G29" si="28">F29/F28-1</f>
        <v>-8.3494976868139448E-2</v>
      </c>
      <c r="H29" s="190">
        <f t="shared" ref="H29" si="29">F29/F17-1</f>
        <v>-6.651535157291999E-2</v>
      </c>
      <c r="I29" s="130">
        <f t="shared" si="0"/>
        <v>7.3341312323652259</v>
      </c>
      <c r="J29" s="130">
        <f t="shared" si="5"/>
        <v>4.664722043626135E-2</v>
      </c>
      <c r="K29" s="136"/>
      <c r="L29" s="190"/>
      <c r="M29" s="190"/>
      <c r="N29" s="191"/>
      <c r="O29" s="192"/>
      <c r="P29" s="129" t="s">
        <v>427</v>
      </c>
      <c r="Q29" s="116">
        <v>9375701</v>
      </c>
      <c r="R29" s="116">
        <v>12335354621</v>
      </c>
      <c r="S29" s="116">
        <v>1278365.5900000001</v>
      </c>
      <c r="T29" s="130">
        <f t="shared" ref="T29" si="30">Q29/S29</f>
        <v>7.3341312323652259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496322.5263157895</v>
      </c>
      <c r="G30" s="190">
        <f t="shared" ref="G30" si="31">F30/F29-1</f>
        <v>0.16461644616731785</v>
      </c>
      <c r="H30" s="190">
        <f t="shared" ref="H30" si="32">F30/F18-1</f>
        <v>-8.5729842361798259E-2</v>
      </c>
      <c r="I30" s="130">
        <f t="shared" si="0"/>
        <v>7.1681256100045303</v>
      </c>
      <c r="J30" s="130">
        <f t="shared" si="5"/>
        <v>-4.3400689185007391E-2</v>
      </c>
      <c r="K30" s="136"/>
      <c r="L30" s="190"/>
      <c r="M30" s="190"/>
      <c r="N30" s="191"/>
      <c r="O30" s="192"/>
      <c r="P30" s="129" t="s">
        <v>466</v>
      </c>
      <c r="Q30" s="116">
        <v>9430128</v>
      </c>
      <c r="R30" s="116">
        <v>12567211137</v>
      </c>
      <c r="S30" s="116">
        <v>1315564</v>
      </c>
      <c r="T30" s="130">
        <f t="shared" ref="T30" si="33">Q30/S30</f>
        <v>7.1681256100045303</v>
      </c>
      <c r="U30" s="85"/>
    </row>
    <row r="31" spans="1:21" s="79" customFormat="1" ht="13.2" hidden="1">
      <c r="A31" s="129" t="s">
        <v>505</v>
      </c>
      <c r="B31" s="188">
        <f>SUM(F29:F31)</f>
        <v>1354980.3535885168</v>
      </c>
      <c r="C31" s="188">
        <f>AVERAGE(F29:F31)</f>
        <v>451660.11786283896</v>
      </c>
      <c r="D31" s="190">
        <f>C31/C28-1</f>
        <v>-5.1781724100152804E-4</v>
      </c>
      <c r="E31" s="287">
        <f>C31/C19-1</f>
        <v>-8.3660794485191814E-2</v>
      </c>
      <c r="F31" s="136">
        <f>Q31/20</f>
        <v>432489.6</v>
      </c>
      <c r="G31" s="190">
        <f t="shared" ref="G31" si="34">F31/F30-1</f>
        <v>-0.12861178554522279</v>
      </c>
      <c r="H31" s="190">
        <f t="shared" ref="H31" si="35">F31/F19-1</f>
        <v>-9.7648690018037998E-2</v>
      </c>
      <c r="I31" s="130">
        <f t="shared" si="0"/>
        <v>7.4620546045913576</v>
      </c>
      <c r="J31" s="130">
        <f t="shared" si="5"/>
        <v>-1.4105744293392286E-3</v>
      </c>
      <c r="K31" s="136">
        <f>R29+R30+R31</f>
        <v>36393697789</v>
      </c>
      <c r="L31" s="190">
        <f>U31/U28-1</f>
        <v>1.7329183529444459E-2</v>
      </c>
      <c r="M31" s="190">
        <f>U31/U19-1</f>
        <v>-0.10076965564006912</v>
      </c>
      <c r="N31" s="191">
        <f>AVERAGE(T29:T31)</f>
        <v>7.3214371489870382</v>
      </c>
      <c r="O31" s="192">
        <f>N31/N28-1</f>
        <v>-2.0607740754308601E-2</v>
      </c>
      <c r="P31" s="129" t="s">
        <v>505</v>
      </c>
      <c r="Q31" s="116">
        <v>8649792</v>
      </c>
      <c r="R31" s="116">
        <v>11491132031</v>
      </c>
      <c r="S31" s="116">
        <v>1159170.29</v>
      </c>
      <c r="T31" s="130">
        <f t="shared" ref="T31" si="36">Q31/S31</f>
        <v>7.4620546045913576</v>
      </c>
      <c r="U31" s="85">
        <f>Q29+Q30+Q31</f>
        <v>27455621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435999.66666666669</v>
      </c>
      <c r="G32" s="190">
        <f t="shared" ref="G32" si="37">F32/F31-1</f>
        <v>8.1159562372521421E-3</v>
      </c>
      <c r="H32" s="190">
        <f t="shared" ref="H32" si="38">F32/F20-1</f>
        <v>-2.2982961534369073E-2</v>
      </c>
      <c r="I32" s="130">
        <f t="shared" si="0"/>
        <v>7.6129837158519669</v>
      </c>
      <c r="J32" s="130">
        <f t="shared" si="5"/>
        <v>7.7423215823511971E-2</v>
      </c>
      <c r="K32" s="136"/>
      <c r="L32" s="190"/>
      <c r="M32" s="190"/>
      <c r="N32" s="191"/>
      <c r="O32" s="192"/>
      <c r="P32" s="129" t="s">
        <v>562</v>
      </c>
      <c r="Q32" s="116">
        <v>9155993</v>
      </c>
      <c r="R32" s="116">
        <v>12433909502</v>
      </c>
      <c r="S32" s="116">
        <v>1202681.28</v>
      </c>
      <c r="T32" s="130">
        <f t="shared" ref="T32" si="39">Q32/S32</f>
        <v>7.6129837158519669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440289.38095238095</v>
      </c>
      <c r="G33" s="190">
        <f t="shared" ref="G33" si="40">F33/F32-1</f>
        <v>9.8388017553092677E-3</v>
      </c>
      <c r="H33" s="190">
        <f t="shared" ref="H33" si="41">F33/F21-1</f>
        <v>7.9235693758175074E-3</v>
      </c>
      <c r="I33" s="130">
        <f t="shared" si="0"/>
        <v>7.8690307003429218</v>
      </c>
      <c r="J33" s="130">
        <f t="shared" si="5"/>
        <v>0.12095322121774776</v>
      </c>
      <c r="K33" s="136"/>
      <c r="L33" s="190"/>
      <c r="M33" s="190"/>
      <c r="N33" s="191"/>
      <c r="O33" s="192"/>
      <c r="P33" s="129" t="s">
        <v>607</v>
      </c>
      <c r="Q33" s="116">
        <v>9246077</v>
      </c>
      <c r="R33" s="116">
        <v>12650377607</v>
      </c>
      <c r="S33" s="116">
        <v>1174995.67</v>
      </c>
      <c r="T33" s="130">
        <f t="shared" ref="T33" si="42">Q33/S33</f>
        <v>7.8690307003429218</v>
      </c>
      <c r="U33" s="85"/>
    </row>
    <row r="34" spans="1:21" s="79" customFormat="1" ht="13.2" hidden="1">
      <c r="A34" s="129" t="s">
        <v>652</v>
      </c>
      <c r="B34" s="188">
        <f>SUM(F32:F34)</f>
        <v>1358905.1002506264</v>
      </c>
      <c r="C34" s="188">
        <f>AVERAGE(F32:F34)</f>
        <v>452968.36675020884</v>
      </c>
      <c r="D34" s="190">
        <f>C34/C31-1</f>
        <v>2.8965339989730499E-3</v>
      </c>
      <c r="E34" s="287">
        <f>C34/C22-1</f>
        <v>1.0325489063670368E-2</v>
      </c>
      <c r="F34" s="136">
        <f>Q34/19</f>
        <v>482616.05263157893</v>
      </c>
      <c r="G34" s="190">
        <f t="shared" ref="G34" si="43">F34/F33-1</f>
        <v>9.6133755457926462E-2</v>
      </c>
      <c r="H34" s="190">
        <f t="shared" ref="H34" si="44">F34/F22-1</f>
        <v>4.477489783235522E-2</v>
      </c>
      <c r="I34" s="130">
        <f t="shared" si="0"/>
        <v>7.4081182613493546</v>
      </c>
      <c r="J34" s="130">
        <f t="shared" si="5"/>
        <v>4.2011158848366259E-2</v>
      </c>
      <c r="K34" s="136">
        <f>R32+R33+R34</f>
        <v>37678656814</v>
      </c>
      <c r="L34" s="190">
        <f>U34/U31-1</f>
        <v>4.2306090982242583E-3</v>
      </c>
      <c r="M34" s="190">
        <f>U34/U22-1</f>
        <v>-8.1775657229815613E-3</v>
      </c>
      <c r="N34" s="191">
        <f>AVERAGE(T32:T34)</f>
        <v>7.6300442258480814</v>
      </c>
      <c r="O34" s="192">
        <f>N34/N31-1</f>
        <v>4.2151161115101754E-2</v>
      </c>
      <c r="P34" s="129" t="s">
        <v>652</v>
      </c>
      <c r="Q34" s="116">
        <v>9169705</v>
      </c>
      <c r="R34" s="116">
        <v>12594369705</v>
      </c>
      <c r="S34" s="116">
        <v>1237791.3899999999</v>
      </c>
      <c r="T34" s="130">
        <f t="shared" ref="T34" si="45">Q34/S34</f>
        <v>7.4081182613493546</v>
      </c>
      <c r="U34" s="85">
        <f>Q32+Q33+Q34</f>
        <v>27571775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452500.13043478259</v>
      </c>
      <c r="G35" s="190">
        <f t="shared" ref="G35" si="46">F35/F34-1</f>
        <v>-6.2401410049628736E-2</v>
      </c>
      <c r="H35" s="190">
        <f t="shared" ref="H35" si="47">F35/F23-1</f>
        <v>3.3340569067412673E-2</v>
      </c>
      <c r="I35" s="130">
        <f t="shared" si="0"/>
        <v>7.404714461343767</v>
      </c>
      <c r="J35" s="130">
        <f t="shared" si="5"/>
        <v>4.8963466709543324E-2</v>
      </c>
      <c r="K35" s="136"/>
      <c r="L35" s="190"/>
      <c r="M35" s="190"/>
      <c r="N35" s="191"/>
      <c r="O35" s="192"/>
      <c r="P35" s="129" t="s">
        <v>660</v>
      </c>
      <c r="Q35" s="116">
        <v>10407503</v>
      </c>
      <c r="R35" s="116">
        <v>14406594182</v>
      </c>
      <c r="S35" s="116">
        <v>1405523.88</v>
      </c>
      <c r="T35" s="130">
        <f t="shared" ref="T35" si="48">Q35/S35</f>
        <v>7.404714461343767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372731.71428571426</v>
      </c>
      <c r="G36" s="190">
        <f t="shared" ref="G36" si="49">F36/F35-1</f>
        <v>-0.17628374178019179</v>
      </c>
      <c r="H36" s="190">
        <f t="shared" ref="H36" si="50">F36/F24-1</f>
        <v>-0.19245906438774962</v>
      </c>
      <c r="I36" s="130">
        <f t="shared" si="0"/>
        <v>7.576084622311706</v>
      </c>
      <c r="J36" s="130">
        <f t="shared" si="5"/>
        <v>4.5771619670187391E-2</v>
      </c>
      <c r="K36" s="136"/>
      <c r="L36" s="190"/>
      <c r="M36" s="190"/>
      <c r="N36" s="191"/>
      <c r="O36" s="192"/>
      <c r="P36" s="129" t="s">
        <v>664</v>
      </c>
      <c r="Q36" s="116">
        <v>7827366</v>
      </c>
      <c r="R36" s="116">
        <v>10713335512</v>
      </c>
      <c r="S36" s="116">
        <v>1033167.71</v>
      </c>
      <c r="T36" s="130">
        <f t="shared" ref="T36" si="51">Q36/S36</f>
        <v>7.576084622311706</v>
      </c>
      <c r="U36" s="85"/>
    </row>
    <row r="37" spans="1:21" s="79" customFormat="1" ht="13.2" hidden="1">
      <c r="A37" s="129" t="s">
        <v>702</v>
      </c>
      <c r="B37" s="188">
        <f>SUM(F35:F37)</f>
        <v>1316438.2891649413</v>
      </c>
      <c r="C37" s="188">
        <f>AVERAGE(F35:F37)</f>
        <v>438812.76305498043</v>
      </c>
      <c r="D37" s="190">
        <f>C37/C34-1</f>
        <v>-3.1250755536831099E-2</v>
      </c>
      <c r="E37" s="287">
        <f>C37/C25-1</f>
        <v>-7.1288906351240633E-2</v>
      </c>
      <c r="F37" s="136">
        <f>Q37/18</f>
        <v>491206.44444444444</v>
      </c>
      <c r="G37" s="190">
        <f t="shared" ref="G37" si="52">F37/F36-1</f>
        <v>0.31785524445047475</v>
      </c>
      <c r="H37" s="190">
        <f t="shared" ref="H37" si="53">F37/F25-1</f>
        <v>-5.1771545407348518E-2</v>
      </c>
      <c r="I37" s="130">
        <f t="shared" si="0"/>
        <v>7.7008400168775921</v>
      </c>
      <c r="J37" s="130">
        <f t="shared" si="5"/>
        <v>0.1193278122775927</v>
      </c>
      <c r="K37" s="136">
        <f>R35+R36+R37</f>
        <v>36922781520</v>
      </c>
      <c r="L37" s="190">
        <f>U37/U34-1</f>
        <v>-1.7960033403725317E-2</v>
      </c>
      <c r="M37" s="190">
        <f>U37/U25-1</f>
        <v>-7.2490800298183222E-2</v>
      </c>
      <c r="N37" s="191">
        <f>AVERAGE(T35:T37)</f>
        <v>7.5605463668443553</v>
      </c>
      <c r="O37" s="192">
        <f>N37/N34-1</f>
        <v>-9.1084477293447152E-3</v>
      </c>
      <c r="P37" s="129" t="s">
        <v>702</v>
      </c>
      <c r="Q37" s="116">
        <v>8841716</v>
      </c>
      <c r="R37" s="116">
        <v>11802851826</v>
      </c>
      <c r="S37" s="116">
        <v>1148149.55</v>
      </c>
      <c r="T37" s="130">
        <f t="shared" ref="T37" si="54">Q37/S37</f>
        <v>7.7008400168775921</v>
      </c>
      <c r="U37" s="85">
        <f>Q35+Q36+Q37</f>
        <v>27076585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421347.45</v>
      </c>
      <c r="G38" s="190">
        <f t="shared" ref="G38" si="55">F38/F37-1</f>
        <v>-0.14221921400777859</v>
      </c>
      <c r="H38" s="190">
        <f t="shared" ref="H38" si="56">F38/F26-1</f>
        <v>-0.12346580541746122</v>
      </c>
      <c r="I38" s="130">
        <f t="shared" si="0"/>
        <v>6.9080946833269907</v>
      </c>
      <c r="J38" s="130">
        <f t="shared" si="5"/>
        <v>-0.11548074928311558</v>
      </c>
      <c r="K38" s="136"/>
      <c r="L38" s="190"/>
      <c r="M38" s="190"/>
      <c r="N38" s="191"/>
      <c r="O38" s="192"/>
      <c r="P38" s="129" t="s">
        <v>727</v>
      </c>
      <c r="Q38" s="116">
        <v>8426949</v>
      </c>
      <c r="R38" s="116">
        <v>11306166862</v>
      </c>
      <c r="S38" s="116">
        <v>1219865.8799999999</v>
      </c>
      <c r="T38" s="130">
        <f t="shared" ref="T38" si="57">Q38/S38</f>
        <v>6.9080946833269907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390811.42857142858</v>
      </c>
      <c r="G39" s="190">
        <f t="shared" ref="G39" si="58">F39/F38-1</f>
        <v>-7.2472306236981976E-2</v>
      </c>
      <c r="H39" s="190">
        <f t="shared" ref="H39" si="59">F39/F27-1</f>
        <v>-4.6783851169386326E-2</v>
      </c>
      <c r="I39" s="130">
        <f t="shared" si="0"/>
        <v>7.0903474327607325</v>
      </c>
      <c r="J39" s="130">
        <f t="shared" si="5"/>
        <v>-3.7184765376823803E-2</v>
      </c>
      <c r="K39" s="136"/>
      <c r="L39" s="190"/>
      <c r="M39" s="190"/>
      <c r="N39" s="191"/>
      <c r="O39" s="192"/>
      <c r="P39" s="129" t="s">
        <v>762</v>
      </c>
      <c r="Q39" s="116">
        <v>8207040</v>
      </c>
      <c r="R39" s="116">
        <v>11423819267</v>
      </c>
      <c r="S39" s="116">
        <v>1157494.76</v>
      </c>
      <c r="T39" s="130">
        <f t="shared" ref="T39" si="60">Q39/S39</f>
        <v>7.0903474327607325</v>
      </c>
      <c r="U39" s="85"/>
    </row>
    <row r="40" spans="1:21" s="79" customFormat="1" ht="13.2" hidden="1">
      <c r="A40" s="129" t="s">
        <v>778</v>
      </c>
      <c r="B40" s="188">
        <f>SUM(F38:F40)</f>
        <v>1134375.7833333332</v>
      </c>
      <c r="C40" s="188">
        <f>AVERAGE(F38:F40)</f>
        <v>378125.26111111109</v>
      </c>
      <c r="D40" s="190">
        <f>C40/C37-1</f>
        <v>-0.1382993090751683</v>
      </c>
      <c r="E40" s="287">
        <f>C40/C28-1</f>
        <v>-0.16324367287523067</v>
      </c>
      <c r="F40" s="136">
        <f>Q40/21</f>
        <v>322216.90476190473</v>
      </c>
      <c r="G40" s="190">
        <f t="shared" ref="G40" si="61">F40/F39-1</f>
        <v>-0.175518213631224</v>
      </c>
      <c r="H40" s="190">
        <f t="shared" ref="H40" si="62">F40/F28-1</f>
        <v>-0.30704967462696475</v>
      </c>
      <c r="I40" s="130">
        <f t="shared" si="0"/>
        <v>6.9768071533896192</v>
      </c>
      <c r="J40" s="130">
        <f t="shared" si="5"/>
        <v>-3.7985402487510145E-2</v>
      </c>
      <c r="K40" s="136">
        <f>R38+R39+R40</f>
        <v>32352413744</v>
      </c>
      <c r="L40" s="190">
        <f>U40/U37-1</f>
        <v>-0.13576457296959721</v>
      </c>
      <c r="M40" s="190">
        <f>U40/U28-1</f>
        <v>-0.13292595634005733</v>
      </c>
      <c r="N40" s="191">
        <f>AVERAGE(T38:T40)</f>
        <v>6.9917497564924469</v>
      </c>
      <c r="O40" s="192">
        <f>N40/N37-1</f>
        <v>-7.523220978397549E-2</v>
      </c>
      <c r="P40" s="129" t="s">
        <v>778</v>
      </c>
      <c r="Q40" s="116">
        <v>6766555</v>
      </c>
      <c r="R40" s="116">
        <v>9622427615</v>
      </c>
      <c r="S40" s="116">
        <v>969864.13</v>
      </c>
      <c r="T40" s="130">
        <f t="shared" ref="T40" si="63">Q40/S40</f>
        <v>6.9768071533896192</v>
      </c>
      <c r="U40" s="85">
        <f>Q38+Q39+Q40</f>
        <v>23400544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374058.88888888888</v>
      </c>
      <c r="G41" s="190">
        <f t="shared" ref="G41" si="64">F41/F40-1</f>
        <v>0.16089157136336985</v>
      </c>
      <c r="H41" s="190">
        <f t="shared" ref="H41" si="65">F41/F29-1</f>
        <v>-0.12227410456502885</v>
      </c>
      <c r="I41" s="130">
        <f t="shared" si="0"/>
        <v>6.7085514477394304</v>
      </c>
      <c r="J41" s="130">
        <f t="shared" si="5"/>
        <v>-8.529705357127193E-2</v>
      </c>
      <c r="K41" s="193"/>
      <c r="L41" s="190"/>
      <c r="M41" s="190"/>
      <c r="N41" s="193"/>
      <c r="O41" s="193"/>
      <c r="P41" s="129" t="s">
        <v>792</v>
      </c>
      <c r="Q41" s="116">
        <v>6733060</v>
      </c>
      <c r="R41" s="116">
        <v>9849362955</v>
      </c>
      <c r="S41" s="116">
        <v>1003653.33</v>
      </c>
      <c r="T41" s="130">
        <f t="shared" ref="T41" si="66">Q41/S41</f>
        <v>6.7085514477394304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361572.85</v>
      </c>
      <c r="G42" s="190">
        <f t="shared" ref="G42" si="67">F42/F41-1</f>
        <v>-3.3379874826601874E-2</v>
      </c>
      <c r="H42" s="190">
        <f t="shared" ref="H42" si="68">F42/F30-1</f>
        <v>-0.27149619284064874</v>
      </c>
      <c r="I42" s="130">
        <f t="shared" si="0"/>
        <v>6.8634664142533541</v>
      </c>
      <c r="J42" s="130">
        <f t="shared" si="5"/>
        <v>-4.250193318682427E-2</v>
      </c>
      <c r="K42" s="193"/>
      <c r="L42" s="190"/>
      <c r="M42" s="190"/>
      <c r="N42" s="193"/>
      <c r="O42" s="193"/>
      <c r="P42" s="129" t="s">
        <v>826</v>
      </c>
      <c r="Q42" s="116">
        <v>7231457</v>
      </c>
      <c r="R42" s="116">
        <v>10455716808</v>
      </c>
      <c r="S42" s="116">
        <v>1053615.8500000001</v>
      </c>
      <c r="T42" s="130">
        <f t="shared" ref="T42" si="69">Q42/S42</f>
        <v>6.8634664142533541</v>
      </c>
      <c r="U42" s="78"/>
    </row>
    <row r="43" spans="1:21" s="79" customFormat="1" ht="13.2">
      <c r="A43" s="129" t="s">
        <v>835</v>
      </c>
      <c r="B43" s="188">
        <f>SUM(F41:F43)</f>
        <v>1079807.138888889</v>
      </c>
      <c r="C43" s="188">
        <f>AVERAGE(F41:F43)</f>
        <v>359935.71296296298</v>
      </c>
      <c r="D43" s="190">
        <f>C43/C40-1</f>
        <v>-4.8104556925656294E-2</v>
      </c>
      <c r="E43" s="287">
        <f>C43/C31-1</f>
        <v>-0.20308280778452759</v>
      </c>
      <c r="F43" s="136">
        <f>Q43/20</f>
        <v>344175.4</v>
      </c>
      <c r="G43" s="190">
        <f t="shared" ref="G43" si="70">F43/F42-1</f>
        <v>-4.8116029729555088E-2</v>
      </c>
      <c r="H43" s="190">
        <f t="shared" ref="H43" si="71">F43/F31-1</f>
        <v>-0.20419959231389606</v>
      </c>
      <c r="I43" s="130">
        <f t="shared" si="0"/>
        <v>7.2166282832160826</v>
      </c>
      <c r="J43" s="130">
        <f t="shared" si="5"/>
        <v>-3.2889912280227196E-2</v>
      </c>
      <c r="K43" s="136">
        <f>R41+R42+R43</f>
        <v>30273926983</v>
      </c>
      <c r="L43" s="190">
        <f>U43/U40-1</f>
        <v>-0.10907947268234452</v>
      </c>
      <c r="M43" s="190">
        <f>K43/K31-1</f>
        <v>-0.16815468550298562</v>
      </c>
      <c r="N43" s="191">
        <f>AVERAGE(T41:T43)</f>
        <v>6.9295487150696218</v>
      </c>
      <c r="O43" s="192">
        <f>N43/N40-1</f>
        <v>-8.8963483518651465E-3</v>
      </c>
      <c r="P43" s="129" t="s">
        <v>835</v>
      </c>
      <c r="Q43" s="116">
        <v>6883508</v>
      </c>
      <c r="R43" s="116">
        <v>9968847220</v>
      </c>
      <c r="S43" s="116">
        <v>953839.9</v>
      </c>
      <c r="T43" s="130">
        <f t="shared" ref="T43" si="72">Q43/S43</f>
        <v>7.2166282832160826</v>
      </c>
      <c r="U43" s="85">
        <f>Q41+Q42+Q43</f>
        <v>20848025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464525.68181818182</v>
      </c>
      <c r="G44" s="190">
        <f t="shared" ref="G44" si="73">F44/F43-1</f>
        <v>0.3496771757022199</v>
      </c>
      <c r="H44" s="190">
        <f t="shared" ref="H44" si="74">F44/F32-1</f>
        <v>6.5426690276173982E-2</v>
      </c>
      <c r="I44" s="130">
        <f t="shared" si="0"/>
        <v>7.1008796682905908</v>
      </c>
      <c r="J44" s="130">
        <f t="shared" si="5"/>
        <v>-6.7267193346947418E-2</v>
      </c>
      <c r="K44" s="136"/>
      <c r="L44" s="190"/>
      <c r="M44" s="190"/>
      <c r="N44" s="191"/>
      <c r="O44" s="192"/>
      <c r="P44" s="129" t="s">
        <v>843</v>
      </c>
      <c r="Q44" s="116">
        <v>10219565</v>
      </c>
      <c r="R44" s="116">
        <v>14833433514</v>
      </c>
      <c r="S44" s="116">
        <v>1439197.04</v>
      </c>
      <c r="T44" s="130">
        <f t="shared" ref="T44" si="75">Q44/S44</f>
        <v>7.1008796682905908</v>
      </c>
      <c r="U44" s="85"/>
    </row>
    <row r="45" spans="1:21" s="79" customFormat="1" ht="13.2">
      <c r="A45" s="129" t="s">
        <v>857</v>
      </c>
      <c r="B45" s="188"/>
      <c r="C45" s="188"/>
      <c r="D45" s="190"/>
      <c r="E45" s="287"/>
      <c r="F45" s="136">
        <f>Q45/20</f>
        <v>412169</v>
      </c>
      <c r="G45" s="190">
        <f t="shared" ref="G45" si="76">F45/F44-1</f>
        <v>-0.11270998325271187</v>
      </c>
      <c r="H45" s="190">
        <f t="shared" ref="H45" si="77">F45/F33-1</f>
        <v>-6.3867951781063415E-2</v>
      </c>
      <c r="I45" s="130">
        <f t="shared" si="0"/>
        <v>7.3183527943597353</v>
      </c>
      <c r="J45" s="130">
        <f t="shared" si="5"/>
        <v>-6.9980398724227677E-2</v>
      </c>
      <c r="K45" s="136"/>
      <c r="L45" s="190"/>
      <c r="M45" s="190"/>
      <c r="N45" s="191"/>
      <c r="O45" s="192"/>
      <c r="P45" s="129" t="s">
        <v>857</v>
      </c>
      <c r="Q45" s="116">
        <v>8243380</v>
      </c>
      <c r="R45" s="116">
        <v>11610969577</v>
      </c>
      <c r="S45" s="116">
        <v>1126398.28</v>
      </c>
      <c r="T45" s="130">
        <f t="shared" ref="T45" si="78">Q45/S45</f>
        <v>7.3183527943597353</v>
      </c>
      <c r="U45" s="85"/>
    </row>
    <row r="46" spans="1:21" s="79" customFormat="1" ht="13.2">
      <c r="A46" s="129" t="s">
        <v>893</v>
      </c>
      <c r="B46" s="188">
        <f>SUM(F44:F46)</f>
        <v>1245142.1555023924</v>
      </c>
      <c r="C46" s="188">
        <f>AVERAGE(F44:F46)</f>
        <v>415047.38516746415</v>
      </c>
      <c r="D46" s="190">
        <f>C46/C43-1</f>
        <v>0.15311532093002422</v>
      </c>
      <c r="E46" s="287">
        <f>C46/C34-1</f>
        <v>-8.3716622100581173E-2</v>
      </c>
      <c r="F46" s="136">
        <f>Q46/19</f>
        <v>368447.4736842105</v>
      </c>
      <c r="G46" s="190">
        <f t="shared" ref="G46" si="79">F46/F45-1</f>
        <v>-0.10607669746096748</v>
      </c>
      <c r="H46" s="190">
        <f t="shared" ref="H46" si="80">F46/F34-1</f>
        <v>-0.23656191774980773</v>
      </c>
      <c r="I46" s="130">
        <f t="shared" si="0"/>
        <v>7.4760865950254756</v>
      </c>
      <c r="J46" s="130">
        <f t="shared" si="5"/>
        <v>9.1748445797275036E-3</v>
      </c>
      <c r="K46" s="136">
        <f>R44+R45+R46</f>
        <v>36030010918</v>
      </c>
      <c r="L46" s="190">
        <f>U46/U43-1</f>
        <v>0.22138413590735806</v>
      </c>
      <c r="M46" s="190">
        <f>K46/K34-1</f>
        <v>-4.3755431732572347E-2</v>
      </c>
      <c r="N46" s="191">
        <f>AVERAGE(T44:T46)</f>
        <v>7.2984396858919345</v>
      </c>
      <c r="O46" s="192">
        <f>N46/N43-1</f>
        <v>5.323448697605504E-2</v>
      </c>
      <c r="P46" s="129" t="s">
        <v>928</v>
      </c>
      <c r="Q46" s="116">
        <v>7000502</v>
      </c>
      <c r="R46" s="116">
        <v>9585607827</v>
      </c>
      <c r="S46" s="116">
        <v>936385.89</v>
      </c>
      <c r="T46" s="130">
        <f t="shared" ref="T46" si="81">Q46/S46</f>
        <v>7.4760865950254756</v>
      </c>
      <c r="U46" s="85">
        <f t="shared" ref="U46:U51" si="82">Q44+Q45+Q46</f>
        <v>25463447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370427.4347826087</v>
      </c>
      <c r="G47" s="190">
        <f t="shared" ref="G47" si="83">F47/F46-1</f>
        <v>5.373794746371896E-3</v>
      </c>
      <c r="H47" s="190">
        <f t="shared" ref="H47" si="84">F47/F35-1</f>
        <v>-0.18137607070591277</v>
      </c>
      <c r="I47" s="130">
        <f t="shared" si="0"/>
        <v>6.9450979605119656</v>
      </c>
      <c r="J47" s="130">
        <f t="shared" si="5"/>
        <v>-6.2070793307591354E-2</v>
      </c>
      <c r="K47" s="136"/>
      <c r="L47" s="190"/>
      <c r="M47" s="190"/>
      <c r="N47" s="191"/>
      <c r="O47" s="192"/>
      <c r="P47" s="129" t="s">
        <v>1033</v>
      </c>
      <c r="Q47" s="116">
        <v>8519831</v>
      </c>
      <c r="R47" s="116">
        <v>11677286664</v>
      </c>
      <c r="S47" s="116">
        <v>1226740.22</v>
      </c>
      <c r="T47" s="130">
        <f t="shared" ref="T47" si="85">Q47/S47</f>
        <v>6.9450979605119656</v>
      </c>
      <c r="U47" s="85">
        <f t="shared" si="82"/>
        <v>23763713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305845.09999999998</v>
      </c>
      <c r="G48" s="190">
        <f t="shared" ref="G48" si="86">F48/F47-1</f>
        <v>-0.17434544182859968</v>
      </c>
      <c r="H48" s="190">
        <f t="shared" ref="H48" si="87">F48/F36-1</f>
        <v>-0.17944975359527071</v>
      </c>
      <c r="I48" s="130">
        <f t="shared" si="0"/>
        <v>6.6985328620098405</v>
      </c>
      <c r="J48" s="130">
        <f t="shared" si="5"/>
        <v>-0.1158318318828514</v>
      </c>
      <c r="K48" s="136"/>
      <c r="L48" s="190"/>
      <c r="M48" s="190"/>
      <c r="N48" s="191"/>
      <c r="O48" s="192"/>
      <c r="P48" s="129" t="s">
        <v>1070</v>
      </c>
      <c r="Q48" s="116">
        <v>6116902</v>
      </c>
      <c r="R48" s="116">
        <v>8486441827</v>
      </c>
      <c r="S48" s="116">
        <v>913170.41</v>
      </c>
      <c r="T48" s="130">
        <f t="shared" ref="T48" si="88">Q48/S48</f>
        <v>6.6985328620098405</v>
      </c>
      <c r="U48" s="85">
        <f t="shared" si="82"/>
        <v>21637235</v>
      </c>
    </row>
    <row r="49" spans="1:26" ht="13.2">
      <c r="A49" s="129" t="s">
        <v>1158</v>
      </c>
      <c r="B49" s="188">
        <f>SUM(F47:F49)</f>
        <v>1060230.0802371542</v>
      </c>
      <c r="C49" s="188">
        <f>AVERAGE(F47:F49)</f>
        <v>353410.02674571803</v>
      </c>
      <c r="D49" s="190">
        <f>C49/C46-1</f>
        <v>-0.14850679855958271</v>
      </c>
      <c r="E49" s="287">
        <f>C49/C37-1</f>
        <v>-0.19462227058915782</v>
      </c>
      <c r="F49" s="136">
        <f>Q49/22</f>
        <v>383957.54545454547</v>
      </c>
      <c r="G49" s="190">
        <f t="shared" ref="G49" si="89">F49/F48-1</f>
        <v>0.25539871475640941</v>
      </c>
      <c r="H49" s="190">
        <f t="shared" ref="H49" si="90">F49/F37-1</f>
        <v>-0.21833772785940886</v>
      </c>
      <c r="I49" s="130">
        <f t="shared" si="0"/>
        <v>6.3750604331686516</v>
      </c>
      <c r="J49" s="130">
        <f t="shared" si="5"/>
        <v>-0.17216038520515786</v>
      </c>
      <c r="K49" s="136">
        <f>R47+R48+R49</f>
        <v>31903184110</v>
      </c>
      <c r="L49" s="190">
        <f>U49/U46-1</f>
        <v>-9.3453490409212914E-2</v>
      </c>
      <c r="M49" s="190">
        <f>K49/K37-1</f>
        <v>-0.13594851751028103</v>
      </c>
      <c r="N49" s="191">
        <f>AVERAGE(T47:T49)</f>
        <v>6.6728970852301535</v>
      </c>
      <c r="O49" s="192">
        <f>N49/N46-1</f>
        <v>-8.5709086816319169E-2</v>
      </c>
      <c r="P49" s="129" t="s">
        <v>1170</v>
      </c>
      <c r="Q49" s="116">
        <v>8447066</v>
      </c>
      <c r="R49" s="116">
        <v>11739455619</v>
      </c>
      <c r="S49" s="116">
        <v>1325017.3999999999</v>
      </c>
      <c r="T49" s="130">
        <f t="shared" ref="T49" si="91">Q49/S49</f>
        <v>6.3750604331686516</v>
      </c>
      <c r="U49" s="85">
        <f t="shared" si="82"/>
        <v>23083799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384788.77777777775</v>
      </c>
      <c r="G50" s="190">
        <f t="shared" ref="G50" si="92">F50/F49-1</f>
        <v>2.1649068577314079E-3</v>
      </c>
      <c r="H50" s="190">
        <f t="shared" ref="H50" si="93">F50/F38-1</f>
        <v>-8.676609345143127E-2</v>
      </c>
      <c r="I50" s="130">
        <f t="shared" ref="I50" si="94">T50</f>
        <v>6.7532344957564119</v>
      </c>
      <c r="J50" s="130">
        <f t="shared" ref="J50" si="95">I50/I38-1</f>
        <v>-2.2417206866654715E-2</v>
      </c>
      <c r="K50" s="136"/>
      <c r="L50" s="190"/>
      <c r="M50" s="190"/>
      <c r="N50" s="191"/>
      <c r="O50" s="192"/>
      <c r="P50" s="129" t="s">
        <v>1340</v>
      </c>
      <c r="Q50" s="116">
        <v>6926198</v>
      </c>
      <c r="R50" s="116">
        <v>9798675583</v>
      </c>
      <c r="S50" s="116">
        <v>1025611.95</v>
      </c>
      <c r="T50" s="130">
        <f t="shared" ref="T50" si="96">Q50/S50</f>
        <v>6.7532344957564119</v>
      </c>
      <c r="U50" s="85">
        <f t="shared" si="82"/>
        <v>21490166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337933.95</v>
      </c>
      <c r="G51" s="190">
        <f t="shared" ref="G51:G52" si="97">F51/F50-1</f>
        <v>-0.12176765665665334</v>
      </c>
      <c r="H51" s="190">
        <f t="shared" ref="H51:H52" si="98">F51/F39-1</f>
        <v>-0.13530177140601241</v>
      </c>
      <c r="I51" s="130">
        <f t="shared" ref="I51:I52" si="99">T51</f>
        <v>6.0719351226714924</v>
      </c>
      <c r="J51" s="130">
        <f t="shared" ref="J51:J52" si="100">I51/I39-1</f>
        <v>-0.14363362581975847</v>
      </c>
      <c r="K51" s="136"/>
      <c r="L51" s="190"/>
      <c r="M51" s="190"/>
      <c r="N51" s="191"/>
      <c r="O51" s="192"/>
      <c r="P51" s="129" t="s">
        <v>1402</v>
      </c>
      <c r="Q51" s="116">
        <v>6758679</v>
      </c>
      <c r="R51" s="116">
        <v>9792333885</v>
      </c>
      <c r="S51" s="116">
        <v>1113101.32</v>
      </c>
      <c r="T51" s="130">
        <f t="shared" ref="T51:T52" si="101">Q51/S51</f>
        <v>6.0719351226714924</v>
      </c>
      <c r="U51" s="85">
        <f t="shared" si="82"/>
        <v>22131943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1060436.0459595958</v>
      </c>
      <c r="C52" s="188">
        <f>AVERAGE(F50:F52)</f>
        <v>353478.68198653194</v>
      </c>
      <c r="D52" s="190">
        <f>C52/C49-1</f>
        <v>1.9426511875209052E-4</v>
      </c>
      <c r="E52" s="287">
        <f>C52/C40-1</f>
        <v>-6.5180990691168894E-2</v>
      </c>
      <c r="F52" s="136">
        <f>Q52/22</f>
        <v>337713.31818181818</v>
      </c>
      <c r="G52" s="190">
        <f t="shared" si="97"/>
        <v>-6.5288444141775592E-4</v>
      </c>
      <c r="H52" s="190">
        <f t="shared" si="98"/>
        <v>4.8093111164866365E-2</v>
      </c>
      <c r="I52" s="130">
        <f t="shared" si="99"/>
        <v>6.4189942969414853</v>
      </c>
      <c r="J52" s="130">
        <f t="shared" si="100"/>
        <v>-7.9952454494478298E-2</v>
      </c>
      <c r="K52" s="136">
        <f>R50+R51+R52</f>
        <v>30521909677</v>
      </c>
      <c r="L52" s="190">
        <f>U52/U49-1</f>
        <v>-8.5307838627428745E-2</v>
      </c>
      <c r="M52" s="190">
        <f>K52/K40-1</f>
        <v>-5.658013901171377E-2</v>
      </c>
      <c r="N52" s="191">
        <f>AVERAGE(T50:T52)</f>
        <v>6.4147213051231295</v>
      </c>
      <c r="O52" s="192">
        <f>N52/N49-1</f>
        <v>-3.8690208586982799E-2</v>
      </c>
      <c r="P52" s="129" t="s">
        <v>1403</v>
      </c>
      <c r="Q52" s="116">
        <v>7429693</v>
      </c>
      <c r="R52" s="116">
        <v>10930900209</v>
      </c>
      <c r="S52" s="116">
        <v>1157454.3700000001</v>
      </c>
      <c r="T52" s="130">
        <f t="shared" si="101"/>
        <v>6.4189942969414853</v>
      </c>
      <c r="U52" s="85">
        <f t="shared" ref="U52" si="102">Q50+Q51+Q52</f>
        <v>21114570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309664.14285714284</v>
      </c>
      <c r="G53" s="190">
        <f t="shared" ref="G53" si="103">F53/F52-1</f>
        <v>-8.3056171653775879E-2</v>
      </c>
      <c r="H53" s="190">
        <f t="shared" ref="H53" si="104">F53/F41-1</f>
        <v>-0.17215135890240529</v>
      </c>
      <c r="I53" s="130">
        <f t="shared" ref="I53" si="105">T53</f>
        <v>6.5860340344058113</v>
      </c>
      <c r="J53" s="130">
        <f t="shared" ref="J53" si="106">I53/I41-1</f>
        <v>-1.826287154358841E-2</v>
      </c>
      <c r="K53" s="136"/>
      <c r="L53" s="190"/>
      <c r="M53" s="190"/>
      <c r="N53" s="191"/>
      <c r="O53" s="192"/>
      <c r="P53" s="129" t="s">
        <v>1414</v>
      </c>
      <c r="Q53" s="116">
        <v>6502947</v>
      </c>
      <c r="R53" s="116">
        <v>9479056810</v>
      </c>
      <c r="S53" s="116">
        <v>987384.36</v>
      </c>
      <c r="T53" s="130">
        <f t="shared" ref="T53" si="107">Q53/S53</f>
        <v>6.5860340344058113</v>
      </c>
      <c r="U53" s="85">
        <f t="shared" ref="U53" si="108">Q51+Q52+Q53</f>
        <v>20691319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374279.23529411765</v>
      </c>
      <c r="G54" s="190">
        <f t="shared" ref="G54" si="109">F54/F53-1</f>
        <v>0.20866184841679791</v>
      </c>
      <c r="H54" s="190">
        <f t="shared" ref="H54" si="110">F54/F42-1</f>
        <v>3.5141978425973219E-2</v>
      </c>
      <c r="I54" s="130">
        <f t="shared" ref="I54" si="111">T54</f>
        <v>6.9249042147428641</v>
      </c>
      <c r="J54" s="130">
        <f t="shared" ref="J54" si="112">I54/I42-1</f>
        <v>8.95142436508789E-3</v>
      </c>
      <c r="K54" s="136"/>
      <c r="L54" s="190"/>
      <c r="M54" s="190"/>
      <c r="N54" s="191"/>
      <c r="O54" s="192"/>
      <c r="P54" s="129" t="s">
        <v>1417</v>
      </c>
      <c r="Q54" s="116">
        <v>6362747</v>
      </c>
      <c r="R54" s="116">
        <v>9213470801</v>
      </c>
      <c r="S54" s="116">
        <v>918820.94</v>
      </c>
      <c r="T54" s="130">
        <f t="shared" ref="T54" si="113">Q54/S54</f>
        <v>6.9249042147428641</v>
      </c>
      <c r="U54" s="85">
        <f t="shared" ref="U54" si="114">Q52+Q53+Q54</f>
        <v>20295387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1099083.5686274511</v>
      </c>
      <c r="C55" s="188">
        <f>AVERAGE(F53:F55)</f>
        <v>366361.18954248371</v>
      </c>
      <c r="D55" s="190">
        <f>C55/C52-1</f>
        <v>3.644493490683165E-2</v>
      </c>
      <c r="E55" s="287">
        <f>C55/C43-1</f>
        <v>1.7851733929447278E-2</v>
      </c>
      <c r="F55" s="136">
        <f>Q55/21</f>
        <v>415140.19047619047</v>
      </c>
      <c r="G55" s="190">
        <f t="shared" ref="G55" si="115">F55/F54-1</f>
        <v>0.10917238074926416</v>
      </c>
      <c r="H55" s="190">
        <f t="shared" ref="H55" si="116">F55/F43-1</f>
        <v>0.20618786373514908</v>
      </c>
      <c r="I55" s="130">
        <f>T55</f>
        <v>7.0432813713083853</v>
      </c>
      <c r="J55" s="130">
        <f t="shared" ref="J55" si="117">I55/I43-1</f>
        <v>-2.4020485066530983E-2</v>
      </c>
      <c r="K55" s="136">
        <f>R53+R54+R55</f>
        <v>31475844550</v>
      </c>
      <c r="L55" s="190">
        <f>U55/U52-1</f>
        <v>2.2215370713208893E-2</v>
      </c>
      <c r="M55" s="190">
        <f>K55/K43-1</f>
        <v>3.9701409324099934E-2</v>
      </c>
      <c r="N55" s="191">
        <f>AVERAGE(T53:T55)</f>
        <v>6.8514065401523538</v>
      </c>
      <c r="O55" s="192">
        <f>N55/N52-1</f>
        <v>6.8075480485873197E-2</v>
      </c>
      <c r="P55" s="129" t="s">
        <v>1418</v>
      </c>
      <c r="Q55" s="116">
        <v>8717944</v>
      </c>
      <c r="R55" s="116">
        <v>12783316939</v>
      </c>
      <c r="S55" s="116">
        <v>1237767.3899999999</v>
      </c>
      <c r="T55" s="130">
        <f t="shared" ref="T55" si="118">Q55/S55</f>
        <v>7.0432813713083853</v>
      </c>
      <c r="U55" s="85">
        <f t="shared" ref="U55" si="119">Q53+Q54+Q55</f>
        <v>21583638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411926.13636363635</v>
      </c>
      <c r="G56" s="190">
        <f t="shared" ref="G56" si="120">F56/F55-1</f>
        <v>-7.7420933609617659E-3</v>
      </c>
      <c r="H56" s="190">
        <f t="shared" ref="H56" si="121">F56/F44-1</f>
        <v>-0.11323280394028512</v>
      </c>
      <c r="I56" s="291">
        <f>T56</f>
        <v>6.8558407530503365</v>
      </c>
      <c r="J56" s="130">
        <f t="shared" ref="J56" si="122">I56/I44-1</f>
        <v>-3.4508247806886549E-2</v>
      </c>
      <c r="K56" s="136"/>
      <c r="L56" s="190"/>
      <c r="M56" s="190"/>
      <c r="N56" s="191"/>
      <c r="O56" s="192"/>
      <c r="P56" s="129" t="s">
        <v>1420</v>
      </c>
      <c r="Q56" s="116">
        <v>9062375</v>
      </c>
      <c r="R56" s="116">
        <v>13539990608</v>
      </c>
      <c r="S56" s="116">
        <v>1321847.3600000001</v>
      </c>
      <c r="T56" s="130">
        <f t="shared" ref="T56" si="123">Q56/S56</f>
        <v>6.8558407530503365</v>
      </c>
      <c r="U56" s="85">
        <f t="shared" ref="U56" si="124">Q54+Q55+Q56</f>
        <v>24143066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404258.08333333331</v>
      </c>
      <c r="G57" s="254">
        <f t="shared" ref="G57" si="125">F57/F56-1</f>
        <v>-1.8615116530342979E-2</v>
      </c>
      <c r="H57" s="254">
        <f t="shared" ref="H57" si="126">F57/F45-1</f>
        <v>-1.919338103221413E-2</v>
      </c>
      <c r="I57" s="282">
        <f>T57</f>
        <v>7.3627969241578475</v>
      </c>
      <c r="J57" s="277">
        <f t="shared" ref="J57" si="127">I57/I45-1</f>
        <v>6.072969020073149E-3</v>
      </c>
      <c r="K57" s="204"/>
      <c r="L57" s="254"/>
      <c r="M57" s="254"/>
      <c r="N57" s="257"/>
      <c r="O57" s="258"/>
      <c r="P57" s="129" t="s">
        <v>1436</v>
      </c>
      <c r="Q57" s="116">
        <v>4851097</v>
      </c>
      <c r="R57" s="116">
        <v>7149443742</v>
      </c>
      <c r="S57" s="116">
        <v>658866.06000000006</v>
      </c>
      <c r="T57" s="130">
        <f t="shared" ref="T57" si="128">Q57/S57</f>
        <v>7.3627969241578475</v>
      </c>
      <c r="U57" s="85">
        <f t="shared" ref="U57" si="129">Q55+Q56+Q57</f>
        <v>22631416</v>
      </c>
      <c r="V57" s="79"/>
      <c r="W57" s="79"/>
      <c r="X57" s="79"/>
      <c r="Y57" s="79"/>
      <c r="Z57" s="79"/>
    </row>
    <row r="58" spans="1:26">
      <c r="B58" s="196">
        <f>SUM(F56:F58)</f>
        <v>816184.21969696973</v>
      </c>
      <c r="C58" s="196">
        <f>AVERAGE(F56:F58)</f>
        <v>408092.10984848486</v>
      </c>
      <c r="D58" s="197">
        <f>C58/C55-1</f>
        <v>0.11390649855164847</v>
      </c>
      <c r="E58" s="233">
        <f>C58/C46-1</f>
        <v>-1.6757786140907616E-2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35497110</v>
      </c>
      <c r="R66" s="212">
        <v>52165278900</v>
      </c>
      <c r="S66" s="213">
        <v>5124686.13</v>
      </c>
      <c r="T66" s="214">
        <v>21</v>
      </c>
      <c r="U66" s="214">
        <v>139</v>
      </c>
    </row>
    <row r="67" spans="16:21" ht="18" thickBot="1">
      <c r="P67" s="180" t="s">
        <v>976</v>
      </c>
      <c r="Q67" s="181">
        <v>6502947</v>
      </c>
      <c r="R67" s="181">
        <v>9479056810</v>
      </c>
      <c r="S67" s="182">
        <v>987384.36</v>
      </c>
      <c r="T67" s="210">
        <v>11</v>
      </c>
      <c r="U67" s="210">
        <v>70</v>
      </c>
    </row>
    <row r="68" spans="16:21" ht="18" thickBot="1">
      <c r="P68" s="180" t="s">
        <v>977</v>
      </c>
      <c r="Q68" s="181">
        <v>6362747</v>
      </c>
      <c r="R68" s="181">
        <v>9213470801</v>
      </c>
      <c r="S68" s="182">
        <v>918820.94</v>
      </c>
      <c r="T68" s="210">
        <v>8</v>
      </c>
      <c r="U68" s="210">
        <v>67</v>
      </c>
    </row>
    <row r="69" spans="16:21" ht="18" thickBot="1">
      <c r="P69" s="180" t="s">
        <v>978</v>
      </c>
      <c r="Q69" s="181">
        <v>8717944</v>
      </c>
      <c r="R69" s="181">
        <v>12783316939</v>
      </c>
      <c r="S69" s="182">
        <v>1237767.3899999999</v>
      </c>
      <c r="T69" s="210">
        <v>10</v>
      </c>
      <c r="U69" s="210">
        <v>74</v>
      </c>
    </row>
    <row r="70" spans="16:21" ht="18" thickBot="1">
      <c r="P70" s="180" t="s">
        <v>979</v>
      </c>
      <c r="Q70" s="181">
        <v>9062375</v>
      </c>
      <c r="R70" s="181">
        <v>13539990608</v>
      </c>
      <c r="S70" s="182">
        <v>1321847.3600000001</v>
      </c>
      <c r="T70" s="210">
        <v>8</v>
      </c>
      <c r="U70" s="210">
        <v>68</v>
      </c>
    </row>
    <row r="71" spans="16:21" ht="18" thickBot="1">
      <c r="P71" s="180" t="s">
        <v>980</v>
      </c>
      <c r="Q71" s="181">
        <v>4851097</v>
      </c>
      <c r="R71" s="181">
        <v>7149443742</v>
      </c>
      <c r="S71" s="182">
        <v>658866.06000000006</v>
      </c>
      <c r="T71" s="210">
        <v>7</v>
      </c>
      <c r="U71" s="210">
        <v>52</v>
      </c>
    </row>
    <row r="72" spans="16:21" ht="18" thickBot="1">
      <c r="P72" s="180" t="s">
        <v>975</v>
      </c>
      <c r="Q72" s="181">
        <v>90509841</v>
      </c>
      <c r="R72" s="181">
        <v>128729031688</v>
      </c>
      <c r="S72" s="182">
        <v>13274185.98</v>
      </c>
      <c r="T72" s="210">
        <v>33</v>
      </c>
      <c r="U72" s="210">
        <v>228</v>
      </c>
    </row>
    <row r="73" spans="16:21" ht="18" thickBot="1">
      <c r="P73" s="180" t="s">
        <v>982</v>
      </c>
      <c r="Q73" s="181">
        <v>105504617</v>
      </c>
      <c r="R73" s="181">
        <v>143347681023</v>
      </c>
      <c r="S73" s="182">
        <v>14302634.119999999</v>
      </c>
      <c r="T73" s="210">
        <v>43</v>
      </c>
      <c r="U73" s="210">
        <v>242</v>
      </c>
    </row>
    <row r="74" spans="16:21" ht="18" thickBot="1">
      <c r="P74" s="215" t="s">
        <v>1386</v>
      </c>
      <c r="Q74" s="216">
        <v>114501712</v>
      </c>
      <c r="R74" s="217" t="s">
        <v>1495</v>
      </c>
      <c r="S74"/>
      <c r="T74"/>
      <c r="U74"/>
    </row>
  </sheetData>
  <phoneticPr fontId="1" type="noConversion"/>
  <conditionalFormatting sqref="C29:C30">
    <cfRule type="cellIs" dxfId="19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64"/>
  <dimension ref="A1:Z73"/>
  <sheetViews>
    <sheetView zoomScale="90" zoomScaleNormal="90" workbookViewId="0">
      <selection activeCell="D68" sqref="D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6815110000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1256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645954.5</v>
      </c>
      <c r="G5" s="90"/>
      <c r="H5" s="90"/>
      <c r="I5" s="130">
        <f t="shared" ref="I5:I49" si="0">T5</f>
        <v>20.722658668269119</v>
      </c>
      <c r="J5" s="130"/>
      <c r="L5" s="80"/>
      <c r="M5" s="80"/>
      <c r="P5" s="129" t="s">
        <v>0</v>
      </c>
      <c r="Q5" s="116">
        <v>12919090</v>
      </c>
      <c r="R5" s="116"/>
      <c r="S5" s="116">
        <v>623428.21</v>
      </c>
      <c r="T5" s="130">
        <f t="shared" ref="T5:T23" si="1">Q5/S5</f>
        <v>20.722658668269119</v>
      </c>
      <c r="U5" s="85"/>
    </row>
    <row r="6" spans="1:21" ht="15" hidden="1" customHeight="1">
      <c r="A6" s="129" t="s">
        <v>1</v>
      </c>
      <c r="C6" s="79"/>
      <c r="F6" s="78">
        <f>Q6/18</f>
        <v>596063.9444444445</v>
      </c>
      <c r="G6" s="90">
        <f t="shared" ref="G6:G22" si="2">F6/F5-1</f>
        <v>-7.7235402115095608E-2</v>
      </c>
      <c r="H6" s="90"/>
      <c r="I6" s="130">
        <f t="shared" si="0"/>
        <v>22.167742011197269</v>
      </c>
      <c r="J6" s="130"/>
      <c r="P6" s="129" t="s">
        <v>1</v>
      </c>
      <c r="Q6" s="116">
        <v>10729151</v>
      </c>
      <c r="R6" s="116"/>
      <c r="S6" s="116">
        <v>483998.37</v>
      </c>
      <c r="T6" s="130">
        <f t="shared" si="1"/>
        <v>22.167742011197269</v>
      </c>
      <c r="U6" s="85"/>
    </row>
    <row r="7" spans="1:21" ht="15" hidden="1" customHeight="1">
      <c r="A7" s="129" t="s">
        <v>2</v>
      </c>
      <c r="B7" s="131">
        <f>F5+F6+F7</f>
        <v>1962976.8080808083</v>
      </c>
      <c r="C7" s="131">
        <f>AVERAGE(F5:F7)</f>
        <v>654325.60269360279</v>
      </c>
      <c r="F7" s="78">
        <f>Q7/22</f>
        <v>720958.36363636365</v>
      </c>
      <c r="G7" s="90">
        <f t="shared" si="2"/>
        <v>0.20953191407731553</v>
      </c>
      <c r="H7" s="90"/>
      <c r="I7" s="130">
        <f t="shared" si="0"/>
        <v>22.267660807185724</v>
      </c>
      <c r="J7" s="130"/>
      <c r="K7" s="79">
        <f>R5+R6+R7</f>
        <v>0</v>
      </c>
      <c r="N7" s="88">
        <f>AVERAGE(T5:T7)</f>
        <v>21.719353828884039</v>
      </c>
      <c r="P7" s="129" t="s">
        <v>2</v>
      </c>
      <c r="Q7" s="116">
        <v>15861084</v>
      </c>
      <c r="R7" s="116"/>
      <c r="S7" s="116">
        <v>712292.33</v>
      </c>
      <c r="T7" s="130">
        <f t="shared" si="1"/>
        <v>22.267660807185724</v>
      </c>
      <c r="U7" s="85">
        <f>Q5+Q6+Q7</f>
        <v>39509325</v>
      </c>
    </row>
    <row r="8" spans="1:21" ht="15" hidden="1" customHeight="1">
      <c r="A8" s="129" t="s">
        <v>3</v>
      </c>
      <c r="C8" s="79"/>
      <c r="F8" s="78">
        <f>Q8/21</f>
        <v>622500.38095238095</v>
      </c>
      <c r="G8" s="90">
        <f t="shared" si="2"/>
        <v>-0.13656542131972949</v>
      </c>
      <c r="H8" s="90"/>
      <c r="I8" s="130">
        <f t="shared" si="0"/>
        <v>22.650274364004595</v>
      </c>
      <c r="J8" s="130"/>
      <c r="K8" s="78"/>
      <c r="P8" s="129" t="s">
        <v>3</v>
      </c>
      <c r="Q8" s="116">
        <v>13072508</v>
      </c>
      <c r="R8" s="116"/>
      <c r="S8" s="116">
        <v>577145.68000000005</v>
      </c>
      <c r="T8" s="130">
        <f t="shared" si="1"/>
        <v>22.650274364004595</v>
      </c>
      <c r="U8" s="85"/>
    </row>
    <row r="9" spans="1:21" ht="15" hidden="1" customHeight="1">
      <c r="A9" s="129" t="s">
        <v>4</v>
      </c>
      <c r="C9" s="79"/>
      <c r="F9" s="78">
        <f>Q9/21</f>
        <v>709305.85714285716</v>
      </c>
      <c r="G9" s="90">
        <f t="shared" si="2"/>
        <v>0.13944646275986217</v>
      </c>
      <c r="H9" s="90"/>
      <c r="I9" s="130">
        <f t="shared" si="0"/>
        <v>21.26415471539476</v>
      </c>
      <c r="J9" s="130"/>
      <c r="K9" s="78"/>
      <c r="P9" s="129" t="s">
        <v>4</v>
      </c>
      <c r="Q9" s="116">
        <v>14895423</v>
      </c>
      <c r="R9" s="116"/>
      <c r="S9" s="116">
        <v>700494.48</v>
      </c>
      <c r="T9" s="130">
        <f t="shared" si="1"/>
        <v>21.26415471539476</v>
      </c>
      <c r="U9" s="85"/>
    </row>
    <row r="10" spans="1:21" ht="15" hidden="1" customHeight="1">
      <c r="A10" s="129" t="s">
        <v>5</v>
      </c>
      <c r="B10" s="131">
        <f>F8+F9+F10</f>
        <v>1859712.7142857143</v>
      </c>
      <c r="C10" s="131">
        <f>AVERAGE(F8:F10)</f>
        <v>619904.23809523811</v>
      </c>
      <c r="D10" s="90">
        <f>C10/C7-1</f>
        <v>-5.2605865423369313E-2</v>
      </c>
      <c r="E10" s="286"/>
      <c r="F10" s="78">
        <f>Q10/21</f>
        <v>527906.47619047621</v>
      </c>
      <c r="G10" s="90">
        <f t="shared" si="2"/>
        <v>-0.2557421162191903</v>
      </c>
      <c r="H10" s="90"/>
      <c r="I10" s="130">
        <f t="shared" si="0"/>
        <v>21.692382276845088</v>
      </c>
      <c r="J10" s="130"/>
      <c r="K10" s="79">
        <f>R8+R9+R10</f>
        <v>0</v>
      </c>
      <c r="L10" s="87">
        <f>U10/U7-1</f>
        <v>-1.1525329779741855E-2</v>
      </c>
      <c r="N10" s="88">
        <f>AVERAGE(T8:T10)</f>
        <v>21.868937118748146</v>
      </c>
      <c r="O10" s="89">
        <f>N10/N7-1</f>
        <v>6.8870966900120845E-3</v>
      </c>
      <c r="P10" s="129" t="s">
        <v>5</v>
      </c>
      <c r="Q10" s="116">
        <v>11086036</v>
      </c>
      <c r="R10" s="116"/>
      <c r="S10" s="116">
        <v>511056.64000000001</v>
      </c>
      <c r="T10" s="130">
        <f t="shared" si="1"/>
        <v>21.692382276845088</v>
      </c>
      <c r="U10" s="85">
        <f>Q8+Q9+Q10</f>
        <v>39053967</v>
      </c>
    </row>
    <row r="11" spans="1:21" ht="15" hidden="1" customHeight="1">
      <c r="A11" s="129" t="s">
        <v>6</v>
      </c>
      <c r="C11" s="79"/>
      <c r="F11" s="78">
        <f>Q11/21</f>
        <v>630836.90476190473</v>
      </c>
      <c r="G11" s="90">
        <f t="shared" si="2"/>
        <v>0.1949785297467912</v>
      </c>
      <c r="H11" s="90"/>
      <c r="I11" s="130">
        <f t="shared" si="0"/>
        <v>22.931970356015377</v>
      </c>
      <c r="J11" s="130"/>
      <c r="K11" s="78"/>
      <c r="O11" s="89"/>
      <c r="P11" s="129" t="s">
        <v>6</v>
      </c>
      <c r="Q11" s="116">
        <v>13247575</v>
      </c>
      <c r="R11" s="116"/>
      <c r="S11" s="116">
        <v>577690.22</v>
      </c>
      <c r="T11" s="130">
        <f t="shared" si="1"/>
        <v>22.931970356015377</v>
      </c>
      <c r="U11" s="85"/>
    </row>
    <row r="12" spans="1:21" ht="15" hidden="1" customHeight="1">
      <c r="A12" s="129" t="s">
        <v>7</v>
      </c>
      <c r="C12" s="79"/>
      <c r="F12" s="78">
        <f>Q12/22</f>
        <v>713022.13636363635</v>
      </c>
      <c r="G12" s="90">
        <f t="shared" si="2"/>
        <v>0.13027968240499588</v>
      </c>
      <c r="H12" s="90"/>
      <c r="I12" s="130">
        <f t="shared" si="0"/>
        <v>21.517495446775399</v>
      </c>
      <c r="J12" s="130"/>
      <c r="K12" s="78"/>
      <c r="O12" s="89"/>
      <c r="P12" s="129" t="s">
        <v>7</v>
      </c>
      <c r="Q12" s="116">
        <v>15686487</v>
      </c>
      <c r="R12" s="116"/>
      <c r="S12" s="116">
        <v>729010.82</v>
      </c>
      <c r="T12" s="130">
        <f t="shared" si="1"/>
        <v>21.517495446775399</v>
      </c>
      <c r="U12" s="85"/>
    </row>
    <row r="13" spans="1:21" ht="15" hidden="1" customHeight="1">
      <c r="A13" s="129" t="s">
        <v>96</v>
      </c>
      <c r="B13" s="131">
        <f>F11+F12+F13</f>
        <v>2212615.0911255414</v>
      </c>
      <c r="C13" s="131">
        <f>AVERAGE(F11:F13)</f>
        <v>737538.36370851379</v>
      </c>
      <c r="D13" s="90">
        <f>C13/C10-1</f>
        <v>0.18976177026104324</v>
      </c>
      <c r="E13" s="286"/>
      <c r="F13" s="78">
        <f>Q13/20</f>
        <v>868756.05</v>
      </c>
      <c r="G13" s="90">
        <f t="shared" si="2"/>
        <v>0.21841385518631418</v>
      </c>
      <c r="H13" s="90"/>
      <c r="I13" s="130">
        <f t="shared" si="0"/>
        <v>21.703436195246123</v>
      </c>
      <c r="J13" s="130"/>
      <c r="K13" s="78">
        <f>R11+R12+R13</f>
        <v>0</v>
      </c>
      <c r="L13" s="87">
        <f>U13/U10-1</f>
        <v>0.18577411098852004</v>
      </c>
      <c r="N13" s="88">
        <f>AVERAGE(T11:T13)</f>
        <v>22.050967332678965</v>
      </c>
      <c r="O13" s="89">
        <f>N13/N10-1</f>
        <v>8.3236882040675919E-3</v>
      </c>
      <c r="P13" s="129" t="s">
        <v>96</v>
      </c>
      <c r="Q13" s="116">
        <v>17375121</v>
      </c>
      <c r="R13" s="116"/>
      <c r="S13" s="116">
        <v>800570.05</v>
      </c>
      <c r="T13" s="130">
        <f t="shared" si="1"/>
        <v>21.703436195246123</v>
      </c>
      <c r="U13" s="85">
        <f>Q11+Q12+Q13</f>
        <v>46309183</v>
      </c>
    </row>
    <row r="14" spans="1:21" ht="15" hidden="1" customHeight="1">
      <c r="A14" s="129" t="s">
        <v>97</v>
      </c>
      <c r="C14" s="79"/>
      <c r="F14" s="78">
        <f>Q14/20</f>
        <v>734637.3</v>
      </c>
      <c r="G14" s="90">
        <f t="shared" si="2"/>
        <v>-0.15438021985573513</v>
      </c>
      <c r="H14" s="90"/>
      <c r="I14" s="130">
        <f t="shared" si="0"/>
        <v>23.236600475133674</v>
      </c>
      <c r="J14" s="130"/>
      <c r="O14" s="89"/>
      <c r="P14" s="129" t="s">
        <v>97</v>
      </c>
      <c r="Q14" s="116">
        <v>14692746</v>
      </c>
      <c r="R14" s="116"/>
      <c r="S14" s="116">
        <v>632310.48</v>
      </c>
      <c r="T14" s="130">
        <f t="shared" si="1"/>
        <v>23.236600475133674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736902.59090909094</v>
      </c>
      <c r="G15" s="90">
        <f t="shared" si="2"/>
        <v>3.0835500853154674E-3</v>
      </c>
      <c r="H15" s="90"/>
      <c r="I15" s="130">
        <f t="shared" si="0"/>
        <v>22.628563674285836</v>
      </c>
      <c r="J15" s="130"/>
      <c r="O15" s="89"/>
      <c r="P15" s="129" t="s">
        <v>98</v>
      </c>
      <c r="Q15" s="116">
        <v>16211857</v>
      </c>
      <c r="R15" s="116"/>
      <c r="S15" s="116">
        <v>716433.32</v>
      </c>
      <c r="T15" s="130">
        <f t="shared" si="1"/>
        <v>22.628563674285836</v>
      </c>
      <c r="U15" s="78"/>
    </row>
    <row r="16" spans="1:21" ht="15" hidden="1" customHeight="1">
      <c r="A16" s="129" t="s">
        <v>99</v>
      </c>
      <c r="B16" s="131">
        <f>F14+F15+F16</f>
        <v>2136586.663636364</v>
      </c>
      <c r="C16" s="131">
        <f>AVERAGE(F14:F16)</f>
        <v>712195.55454545468</v>
      </c>
      <c r="D16" s="90">
        <f>C16/C13-1</f>
        <v>-3.4361343639983111E-2</v>
      </c>
      <c r="E16" s="286"/>
      <c r="F16" s="78">
        <f>Q16/22</f>
        <v>665046.77272727271</v>
      </c>
      <c r="G16" s="90">
        <f t="shared" si="2"/>
        <v>-9.7510605971913078E-2</v>
      </c>
      <c r="H16" s="90"/>
      <c r="I16" s="130">
        <f t="shared" si="0"/>
        <v>23.025168090790398</v>
      </c>
      <c r="J16" s="130"/>
      <c r="K16" s="78">
        <f>R14+R15+R16</f>
        <v>0</v>
      </c>
      <c r="L16" s="87">
        <f>U16/U13-1</f>
        <v>-1.6704051980359957E-2</v>
      </c>
      <c r="N16" s="88">
        <f>AVERAGE(T14:T16)</f>
        <v>22.963444080069973</v>
      </c>
      <c r="O16" s="89">
        <f>N16/N13-1</f>
        <v>4.1380350060141735E-2</v>
      </c>
      <c r="P16" s="129" t="s">
        <v>99</v>
      </c>
      <c r="Q16" s="116">
        <v>14631029</v>
      </c>
      <c r="R16" s="116"/>
      <c r="S16" s="116">
        <v>635436.36</v>
      </c>
      <c r="T16" s="130">
        <f t="shared" si="1"/>
        <v>23.025168090790398</v>
      </c>
      <c r="U16" s="85">
        <f>Q14+Q15+Q16</f>
        <v>45535632</v>
      </c>
    </row>
    <row r="17" spans="1:21" ht="15" hidden="1" customHeight="1">
      <c r="A17" s="129" t="s">
        <v>100</v>
      </c>
      <c r="C17" s="79"/>
      <c r="F17" s="78">
        <f>Q17/20</f>
        <v>907334.85</v>
      </c>
      <c r="G17" s="90">
        <f t="shared" si="2"/>
        <v>0.36431734910784463</v>
      </c>
      <c r="H17" s="90">
        <f t="shared" ref="H17:H22" si="3">F17/F5-1</f>
        <v>0.40464204522145142</v>
      </c>
      <c r="I17" s="130">
        <f t="shared" si="0"/>
        <v>23.847498829091517</v>
      </c>
      <c r="J17" s="130">
        <f t="shared" ref="J17:J49" si="4">I17/I5-1</f>
        <v>0.15079340015416087</v>
      </c>
      <c r="O17" s="89"/>
      <c r="P17" s="129" t="s">
        <v>100</v>
      </c>
      <c r="Q17" s="116">
        <v>18146697</v>
      </c>
      <c r="R17" s="116">
        <v>22806188494</v>
      </c>
      <c r="S17" s="116">
        <v>760947.6</v>
      </c>
      <c r="T17" s="130">
        <f t="shared" si="1"/>
        <v>23.847498829091517</v>
      </c>
      <c r="U17" s="78"/>
    </row>
    <row r="18" spans="1:21" ht="15" hidden="1" customHeight="1">
      <c r="A18" s="129" t="s">
        <v>106</v>
      </c>
      <c r="C18" s="79"/>
      <c r="F18" s="78">
        <f>Q18/20</f>
        <v>871925.65</v>
      </c>
      <c r="G18" s="90">
        <f t="shared" si="2"/>
        <v>-3.9025504200571492E-2</v>
      </c>
      <c r="H18" s="90">
        <f t="shared" si="3"/>
        <v>0.46280555656267675</v>
      </c>
      <c r="I18" s="130">
        <f t="shared" si="0"/>
        <v>22.01631856370258</v>
      </c>
      <c r="J18" s="130">
        <f t="shared" si="4"/>
        <v>-6.8308015953182366E-3</v>
      </c>
      <c r="O18" s="89"/>
      <c r="P18" s="129" t="s">
        <v>106</v>
      </c>
      <c r="Q18" s="116">
        <v>17438513</v>
      </c>
      <c r="R18" s="116">
        <v>21877556369</v>
      </c>
      <c r="S18" s="116">
        <v>792072.16</v>
      </c>
      <c r="T18" s="130">
        <f t="shared" si="1"/>
        <v>22.01631856370258</v>
      </c>
      <c r="U18" s="78"/>
    </row>
    <row r="19" spans="1:21" hidden="1">
      <c r="A19" s="129" t="s">
        <v>114</v>
      </c>
      <c r="B19" s="131">
        <f>SUM(F17:F19)</f>
        <v>2891501.5909090908</v>
      </c>
      <c r="C19" s="131">
        <f>AVERAGE(F17:F19)</f>
        <v>963833.86363636365</v>
      </c>
      <c r="D19" s="90">
        <f>C19/C16-1</f>
        <v>0.35332754815004752</v>
      </c>
      <c r="E19" s="286">
        <f>C19/C7-1</f>
        <v>0.47301872289367286</v>
      </c>
      <c r="F19" s="78">
        <f>Q19/22</f>
        <v>1112241.0909090908</v>
      </c>
      <c r="G19" s="90">
        <f t="shared" si="2"/>
        <v>0.27561460189763975</v>
      </c>
      <c r="H19" s="90">
        <f t="shared" si="3"/>
        <v>0.5427258313492318</v>
      </c>
      <c r="I19" s="130">
        <f t="shared" si="0"/>
        <v>21.98190228007411</v>
      </c>
      <c r="J19" s="130">
        <f t="shared" si="4"/>
        <v>-1.2832893835862613E-2</v>
      </c>
      <c r="K19" s="78">
        <f>R17+R18+R19</f>
        <v>76711694737</v>
      </c>
      <c r="L19" s="87">
        <f>U19/U16-1</f>
        <v>0.31884661225301536</v>
      </c>
      <c r="M19" s="87">
        <f>U19/U7-1</f>
        <v>0.52000860556337014</v>
      </c>
      <c r="N19" s="88">
        <f>AVERAGE(T17:T19)</f>
        <v>22.615239890956065</v>
      </c>
      <c r="O19" s="89">
        <f>N19/N16-1</f>
        <v>-1.516341311432956E-2</v>
      </c>
      <c r="P19" s="129" t="s">
        <v>115</v>
      </c>
      <c r="Q19" s="116">
        <v>24469304</v>
      </c>
      <c r="R19" s="116">
        <v>32027949874</v>
      </c>
      <c r="S19" s="116">
        <v>1113156.8</v>
      </c>
      <c r="T19" s="130">
        <f t="shared" si="1"/>
        <v>21.98190228007411</v>
      </c>
      <c r="U19" s="85">
        <f>Q17+Q18+Q19</f>
        <v>60054514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911510.3</v>
      </c>
      <c r="G20" s="90">
        <f t="shared" si="2"/>
        <v>-0.18047417286572587</v>
      </c>
      <c r="H20" s="90">
        <f t="shared" si="3"/>
        <v>0.46427267820375406</v>
      </c>
      <c r="I20" s="130">
        <f t="shared" si="0"/>
        <v>24.616037365615238</v>
      </c>
      <c r="J20" s="130">
        <f t="shared" si="4"/>
        <v>8.6787602217066162E-2</v>
      </c>
      <c r="O20" s="89"/>
      <c r="P20" s="129" t="s">
        <v>132</v>
      </c>
      <c r="Q20" s="116">
        <v>18230206</v>
      </c>
      <c r="R20" s="116">
        <v>23919506959</v>
      </c>
      <c r="S20" s="116">
        <v>740582.48</v>
      </c>
      <c r="T20" s="130">
        <f t="shared" si="1"/>
        <v>24.616037365615238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1075912.7142857143</v>
      </c>
      <c r="G21" s="90">
        <f t="shared" si="2"/>
        <v>0.18036265117982131</v>
      </c>
      <c r="H21" s="90">
        <f t="shared" si="3"/>
        <v>0.51685299571552945</v>
      </c>
      <c r="I21" s="130">
        <f t="shared" si="0"/>
        <v>23.966427350317833</v>
      </c>
      <c r="J21" s="130">
        <f t="shared" si="4"/>
        <v>0.12708112177939945</v>
      </c>
      <c r="O21" s="89"/>
      <c r="P21" s="129" t="s">
        <v>141</v>
      </c>
      <c r="Q21" s="116">
        <v>22594167</v>
      </c>
      <c r="R21" s="116">
        <v>30081534108</v>
      </c>
      <c r="S21" s="116">
        <v>942742.39</v>
      </c>
      <c r="T21" s="130">
        <f t="shared" si="1"/>
        <v>23.966427350317833</v>
      </c>
      <c r="U21" s="78"/>
    </row>
    <row r="22" spans="1:21" hidden="1">
      <c r="A22" s="129" t="s">
        <v>155</v>
      </c>
      <c r="B22" s="131">
        <f>SUM(F20:F22)</f>
        <v>2825533.7761904765</v>
      </c>
      <c r="C22" s="131">
        <f>AVERAGE(F20:F22)</f>
        <v>941844.59206349216</v>
      </c>
      <c r="D22" s="90">
        <f>C22/C19-1</f>
        <v>-2.2814379534155549E-2</v>
      </c>
      <c r="E22" s="286">
        <f>C22/C10-1</f>
        <v>0.51933884975116618</v>
      </c>
      <c r="F22" s="78">
        <f>Q22/21</f>
        <v>838110.76190476189</v>
      </c>
      <c r="G22" s="90">
        <f t="shared" si="2"/>
        <v>-0.22102346149782826</v>
      </c>
      <c r="H22" s="90">
        <f t="shared" si="3"/>
        <v>0.58761219970781253</v>
      </c>
      <c r="I22" s="130">
        <f t="shared" si="0"/>
        <v>24.206451571021873</v>
      </c>
      <c r="J22" s="130">
        <f t="shared" si="4"/>
        <v>0.11589641294770825</v>
      </c>
      <c r="K22" s="78">
        <f>R20+R21+R22</f>
        <v>76810077092</v>
      </c>
      <c r="L22" s="87">
        <f>U22/U19-1</f>
        <v>-2.7138925809973236E-2</v>
      </c>
      <c r="M22" s="87">
        <f>U22/U10-1</f>
        <v>0.49599908762149569</v>
      </c>
      <c r="N22" s="88">
        <f>AVERAGE(T20:T22)</f>
        <v>24.262972095651648</v>
      </c>
      <c r="O22" s="89">
        <f>N22/N19-1</f>
        <v>7.2859373265128147E-2</v>
      </c>
      <c r="P22" s="129" t="s">
        <v>155</v>
      </c>
      <c r="Q22" s="116">
        <v>17600326</v>
      </c>
      <c r="R22" s="116">
        <v>22809036025</v>
      </c>
      <c r="S22" s="116">
        <v>727092.36</v>
      </c>
      <c r="T22" s="130">
        <f t="shared" si="1"/>
        <v>24.206451571021873</v>
      </c>
      <c r="U22" s="85">
        <f>Q20+Q21+Q22</f>
        <v>58424699</v>
      </c>
    </row>
    <row r="23" spans="1:21" hidden="1">
      <c r="A23" s="129" t="s">
        <v>189</v>
      </c>
      <c r="C23" s="131"/>
      <c r="F23" s="78">
        <f>Q23/21</f>
        <v>1065559.0476190476</v>
      </c>
      <c r="G23" s="90">
        <f t="shared" ref="G23" si="5">F23/F22-1</f>
        <v>0.27138213235368469</v>
      </c>
      <c r="H23" s="90">
        <f t="shared" ref="H23" si="6">F23/F11-1</f>
        <v>0.68911970681426604</v>
      </c>
      <c r="I23" s="130">
        <f t="shared" si="0"/>
        <v>22.752924105523221</v>
      </c>
      <c r="J23" s="130">
        <f t="shared" si="4"/>
        <v>-7.8077133239093932E-3</v>
      </c>
      <c r="O23" s="89"/>
      <c r="P23" s="129" t="s">
        <v>189</v>
      </c>
      <c r="Q23" s="116">
        <v>22376740</v>
      </c>
      <c r="R23" s="116">
        <v>28861220902</v>
      </c>
      <c r="S23" s="116">
        <v>983466.56</v>
      </c>
      <c r="T23" s="130">
        <f t="shared" si="1"/>
        <v>22.752924105523221</v>
      </c>
      <c r="U23" s="78"/>
    </row>
    <row r="24" spans="1:21" hidden="1">
      <c r="A24" s="129" t="s">
        <v>204</v>
      </c>
      <c r="C24" s="131"/>
      <c r="F24" s="78">
        <f>Q24/22</f>
        <v>972757.40909090906</v>
      </c>
      <c r="G24" s="90">
        <f t="shared" ref="G24" si="7">F24/F23-1</f>
        <v>-8.7091971801563139E-2</v>
      </c>
      <c r="H24" s="90">
        <f t="shared" ref="H24" si="8">F24/F12-1</f>
        <v>0.36427378545623368</v>
      </c>
      <c r="I24" s="130">
        <f t="shared" si="0"/>
        <v>22.4027423708228</v>
      </c>
      <c r="J24" s="130">
        <f t="shared" si="4"/>
        <v>4.1140797554116038E-2</v>
      </c>
      <c r="O24" s="89"/>
      <c r="P24" s="129" t="s">
        <v>204</v>
      </c>
      <c r="Q24" s="116">
        <v>21400663</v>
      </c>
      <c r="R24" s="116">
        <v>27997216114</v>
      </c>
      <c r="S24" s="116">
        <v>955269.79</v>
      </c>
      <c r="T24" s="130">
        <f t="shared" ref="T24" si="9">Q24/S24</f>
        <v>22.4027423708228</v>
      </c>
      <c r="U24" s="78"/>
    </row>
    <row r="25" spans="1:21" s="79" customFormat="1" ht="13.2" hidden="1">
      <c r="A25" s="129" t="s">
        <v>219</v>
      </c>
      <c r="B25" s="131">
        <f>SUM(F23:F25)</f>
        <v>3081686.7724994305</v>
      </c>
      <c r="C25" s="131">
        <f>AVERAGE(F23:F25)</f>
        <v>1027228.9241664768</v>
      </c>
      <c r="D25" s="90">
        <f>C25/C22-1</f>
        <v>9.0656497709368011E-2</v>
      </c>
      <c r="E25" s="286">
        <f>C25/C13-1</f>
        <v>0.39278032806501306</v>
      </c>
      <c r="F25" s="78">
        <f>Q25/19</f>
        <v>1043370.3157894737</v>
      </c>
      <c r="G25" s="90">
        <f t="shared" ref="G25" si="10">F25/F24-1</f>
        <v>7.2590458873560193E-2</v>
      </c>
      <c r="H25" s="90">
        <f t="shared" ref="H25" si="11">F25/F13-1</f>
        <v>0.20099343859472829</v>
      </c>
      <c r="I25" s="130">
        <f t="shared" si="0"/>
        <v>23.302935971820236</v>
      </c>
      <c r="J25" s="130">
        <f t="shared" si="4"/>
        <v>7.3697997044563035E-2</v>
      </c>
      <c r="K25" s="78">
        <f>R23+R24+R25</f>
        <v>83170049510</v>
      </c>
      <c r="L25" s="90">
        <f>U25/U22-1</f>
        <v>8.8605334534971325E-2</v>
      </c>
      <c r="M25" s="90">
        <f>U25/U13-1</f>
        <v>0.37340879021769835</v>
      </c>
      <c r="N25" s="88">
        <f>AVERAGE(T23:T25)</f>
        <v>22.819534149388755</v>
      </c>
      <c r="O25" s="91">
        <f>N25/N22-1</f>
        <v>-5.9491390443530356E-2</v>
      </c>
      <c r="P25" s="129" t="s">
        <v>219</v>
      </c>
      <c r="Q25" s="116">
        <v>19824036</v>
      </c>
      <c r="R25" s="116">
        <v>26311612494</v>
      </c>
      <c r="S25" s="116">
        <v>850709.8</v>
      </c>
      <c r="T25" s="130">
        <f t="shared" ref="T25" si="12">Q25/S25</f>
        <v>23.302935971820236</v>
      </c>
      <c r="U25" s="85">
        <f>Q23+Q24+Q25</f>
        <v>63601439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878253.57894736843</v>
      </c>
      <c r="G26" s="90">
        <f t="shared" ref="G26" si="13">F26/F25-1</f>
        <v>-0.15825324368862126</v>
      </c>
      <c r="H26" s="90">
        <f t="shared" ref="H26" si="14">F26/F14-1</f>
        <v>0.19549276758390621</v>
      </c>
      <c r="I26" s="130">
        <f t="shared" si="0"/>
        <v>22.607147797774658</v>
      </c>
      <c r="J26" s="130">
        <f t="shared" si="4"/>
        <v>-2.7088845377042814E-2</v>
      </c>
      <c r="L26" s="90"/>
      <c r="M26" s="90"/>
      <c r="P26" s="129" t="s">
        <v>312</v>
      </c>
      <c r="Q26" s="116">
        <v>16686818</v>
      </c>
      <c r="R26" s="116">
        <v>22530433292</v>
      </c>
      <c r="S26" s="116">
        <v>738121.33</v>
      </c>
      <c r="T26" s="130">
        <f t="shared" ref="T26" si="15">Q26/S26</f>
        <v>22.607147797774658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770977.95454545459</v>
      </c>
      <c r="G27" s="90">
        <f t="shared" ref="G27" si="16">F27/F26-1</f>
        <v>-0.12214652689544303</v>
      </c>
      <c r="H27" s="90">
        <f t="shared" ref="H27" si="17">F27/F15-1</f>
        <v>4.6241340520089658E-2</v>
      </c>
      <c r="I27" s="130">
        <f t="shared" si="0"/>
        <v>21.705129899869718</v>
      </c>
      <c r="J27" s="130">
        <f t="shared" si="4"/>
        <v>-4.0808324722150568E-2</v>
      </c>
      <c r="L27" s="90"/>
      <c r="M27" s="90"/>
      <c r="P27" s="129" t="s">
        <v>375</v>
      </c>
      <c r="Q27" s="116">
        <v>16961515</v>
      </c>
      <c r="R27" s="116">
        <v>22530212445</v>
      </c>
      <c r="S27" s="116">
        <v>781451.9</v>
      </c>
      <c r="T27" s="130">
        <f t="shared" ref="T27" si="18">Q27/S27</f>
        <v>21.705129899869718</v>
      </c>
      <c r="U27" s="78"/>
    </row>
    <row r="28" spans="1:21" s="79" customFormat="1" ht="13.2" hidden="1">
      <c r="A28" s="123" t="s">
        <v>413</v>
      </c>
      <c r="B28" s="131">
        <f>SUM(F26:F28)</f>
        <v>2335112.3229665072</v>
      </c>
      <c r="C28" s="131">
        <f>AVERAGE(F26:F28)</f>
        <v>778370.77432216902</v>
      </c>
      <c r="D28" s="90">
        <f>C28/C25-1</f>
        <v>-0.24226162639086368</v>
      </c>
      <c r="E28" s="286">
        <f>C28/C16-1</f>
        <v>9.2917204206574233E-2</v>
      </c>
      <c r="F28" s="78">
        <f>Q28/19</f>
        <v>685880.78947368416</v>
      </c>
      <c r="G28" s="90">
        <f t="shared" ref="G28" si="19">F28/F27-1</f>
        <v>-0.11037561394598006</v>
      </c>
      <c r="H28" s="90">
        <f t="shared" ref="H28" si="20">F28/F16-1</f>
        <v>3.1327145098342113E-2</v>
      </c>
      <c r="I28" s="130">
        <f t="shared" si="0"/>
        <v>20.109901178164492</v>
      </c>
      <c r="J28" s="130">
        <f t="shared" si="4"/>
        <v>-0.1266121880687574</v>
      </c>
      <c r="K28" s="78">
        <f>R26+R27+R28</f>
        <v>62076275887</v>
      </c>
      <c r="L28" s="90">
        <f>U28/U25-1</f>
        <v>-0.26605327278837199</v>
      </c>
      <c r="M28" s="90">
        <f>U28/U16-1</f>
        <v>2.5132757573234077E-2</v>
      </c>
      <c r="N28" s="88">
        <f>AVERAGE(T26:T28)</f>
        <v>21.474059625269621</v>
      </c>
      <c r="O28" s="91">
        <f>N28/N25-1</f>
        <v>-5.8961524600412263E-2</v>
      </c>
      <c r="P28" s="129" t="s">
        <v>413</v>
      </c>
      <c r="Q28" s="116">
        <v>13031735</v>
      </c>
      <c r="R28" s="116">
        <v>17015630150</v>
      </c>
      <c r="S28" s="116">
        <v>648025.81000000006</v>
      </c>
      <c r="T28" s="130">
        <f t="shared" ref="T28" si="21">Q28/S28</f>
        <v>20.109901178164492</v>
      </c>
      <c r="U28" s="85">
        <f>Q26+Q27+Q28</f>
        <v>46680068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668514.59090909094</v>
      </c>
      <c r="G29" s="190">
        <f t="shared" ref="G29" si="22">F29/F28-1</f>
        <v>-2.5319558195993963E-2</v>
      </c>
      <c r="H29" s="190">
        <f t="shared" ref="H29" si="23">F29/F17-1</f>
        <v>-0.26321071993532386</v>
      </c>
      <c r="I29" s="130">
        <f t="shared" si="0"/>
        <v>20.928243461863175</v>
      </c>
      <c r="J29" s="130">
        <f t="shared" si="4"/>
        <v>-0.12241348193996548</v>
      </c>
      <c r="K29" s="136"/>
      <c r="L29" s="190"/>
      <c r="M29" s="190"/>
      <c r="N29" s="191"/>
      <c r="O29" s="192"/>
      <c r="P29" s="129" t="s">
        <v>427</v>
      </c>
      <c r="Q29" s="116">
        <v>14707321</v>
      </c>
      <c r="R29" s="116">
        <v>19342819108</v>
      </c>
      <c r="S29" s="116">
        <v>702749.9</v>
      </c>
      <c r="T29" s="130">
        <f t="shared" ref="T29" si="24">Q29/S29</f>
        <v>20.928243461863175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872509.78947368416</v>
      </c>
      <c r="G30" s="190">
        <f t="shared" ref="G30" si="25">F30/F29-1</f>
        <v>0.30514696513532624</v>
      </c>
      <c r="H30" s="190">
        <f t="shared" ref="H30" si="26">F30/F18-1</f>
        <v>6.6994183928881235E-4</v>
      </c>
      <c r="I30" s="130">
        <f t="shared" si="0"/>
        <v>20.310055818182231</v>
      </c>
      <c r="J30" s="130">
        <f t="shared" si="4"/>
        <v>-7.7499911739712712E-2</v>
      </c>
      <c r="K30" s="136"/>
      <c r="L30" s="190"/>
      <c r="M30" s="190"/>
      <c r="N30" s="191"/>
      <c r="O30" s="192"/>
      <c r="P30" s="129" t="s">
        <v>466</v>
      </c>
      <c r="Q30" s="116">
        <v>16577686</v>
      </c>
      <c r="R30" s="116">
        <v>22075903956</v>
      </c>
      <c r="S30" s="116">
        <v>816230.45</v>
      </c>
      <c r="T30" s="130">
        <f t="shared" ref="T30" si="27">Q30/S30</f>
        <v>20.310055818182231</v>
      </c>
      <c r="U30" s="85"/>
    </row>
    <row r="31" spans="1:21" s="79" customFormat="1" ht="13.2" hidden="1">
      <c r="A31" s="129" t="s">
        <v>505</v>
      </c>
      <c r="B31" s="188">
        <f>SUM(F29:F31)</f>
        <v>2441462.0303827752</v>
      </c>
      <c r="C31" s="188">
        <f>AVERAGE(F29:F31)</f>
        <v>813820.67679425841</v>
      </c>
      <c r="D31" s="190">
        <f>C31/C28-1</f>
        <v>4.5543722402681786E-2</v>
      </c>
      <c r="E31" s="287">
        <f>C31/C19-1</f>
        <v>-0.15564216251557472</v>
      </c>
      <c r="F31" s="136">
        <f>Q31/20</f>
        <v>900437.65</v>
      </c>
      <c r="G31" s="190">
        <f t="shared" ref="G31" si="28">F31/F30-1</f>
        <v>3.2008650061293276E-2</v>
      </c>
      <c r="H31" s="190">
        <f t="shared" ref="H31" si="29">F31/F19-1</f>
        <v>-0.19042943354661812</v>
      </c>
      <c r="I31" s="130">
        <f t="shared" si="0"/>
        <v>21.038021994608005</v>
      </c>
      <c r="J31" s="130">
        <f t="shared" si="4"/>
        <v>-4.2938971952472982E-2</v>
      </c>
      <c r="K31" s="136">
        <f>R29+R30+R31</f>
        <v>65287783977</v>
      </c>
      <c r="L31" s="190">
        <f>U31/U28-1</f>
        <v>5.599160652465196E-2</v>
      </c>
      <c r="M31" s="190">
        <f>U31/U19-1</f>
        <v>-0.17918310020792105</v>
      </c>
      <c r="N31" s="191">
        <f>AVERAGE(T29:T31)</f>
        <v>20.758773758217803</v>
      </c>
      <c r="O31" s="192">
        <f>N31/N28-1</f>
        <v>-3.3309298732229653E-2</v>
      </c>
      <c r="P31" s="129" t="s">
        <v>505</v>
      </c>
      <c r="Q31" s="116">
        <v>18008753</v>
      </c>
      <c r="R31" s="116">
        <v>23869060913</v>
      </c>
      <c r="S31" s="116">
        <v>856009.8</v>
      </c>
      <c r="T31" s="130">
        <f t="shared" ref="T31" si="30">Q31/S31</f>
        <v>21.038021994608005</v>
      </c>
      <c r="U31" s="85">
        <f>Q29+Q30+Q31</f>
        <v>49293760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831937</v>
      </c>
      <c r="G32" s="190">
        <f t="shared" ref="G32" si="31">F32/F31-1</f>
        <v>-7.6074839829276431E-2</v>
      </c>
      <c r="H32" s="190">
        <f t="shared" ref="H32" si="32">F32/F20-1</f>
        <v>-8.7298300414158869E-2</v>
      </c>
      <c r="I32" s="130">
        <f t="shared" si="0"/>
        <v>20.540893547152574</v>
      </c>
      <c r="J32" s="130">
        <f t="shared" si="4"/>
        <v>-0.16554832761811633</v>
      </c>
      <c r="K32" s="136"/>
      <c r="L32" s="190"/>
      <c r="M32" s="190"/>
      <c r="N32" s="191"/>
      <c r="O32" s="192"/>
      <c r="P32" s="129" t="s">
        <v>562</v>
      </c>
      <c r="Q32" s="116">
        <v>17470677</v>
      </c>
      <c r="R32" s="116">
        <v>23775051216</v>
      </c>
      <c r="S32" s="116">
        <v>850531.5</v>
      </c>
      <c r="T32" s="130">
        <f t="shared" ref="T32" si="33">Q32/S32</f>
        <v>20.540893547152574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773205.38095238095</v>
      </c>
      <c r="G33" s="190">
        <f t="shared" ref="G33" si="34">F33/F32-1</f>
        <v>-7.0596233906676908E-2</v>
      </c>
      <c r="H33" s="190">
        <f t="shared" ref="H33" si="35">F33/F21-1</f>
        <v>-0.28134934118173072</v>
      </c>
      <c r="I33" s="130">
        <f t="shared" si="0"/>
        <v>20.981160258150773</v>
      </c>
      <c r="J33" s="130">
        <f t="shared" si="4"/>
        <v>-0.12456037141169773</v>
      </c>
      <c r="K33" s="136"/>
      <c r="L33" s="190"/>
      <c r="M33" s="190"/>
      <c r="N33" s="191"/>
      <c r="O33" s="192"/>
      <c r="P33" s="129" t="s">
        <v>607</v>
      </c>
      <c r="Q33" s="116">
        <v>16237313</v>
      </c>
      <c r="R33" s="116">
        <v>22221969667</v>
      </c>
      <c r="S33" s="116">
        <v>773899.67</v>
      </c>
      <c r="T33" s="130">
        <f t="shared" ref="T33" si="36">Q33/S33</f>
        <v>20.981160258150773</v>
      </c>
      <c r="U33" s="85"/>
    </row>
    <row r="34" spans="1:21" s="79" customFormat="1" ht="13.2" hidden="1">
      <c r="A34" s="129" t="s">
        <v>652</v>
      </c>
      <c r="B34" s="188">
        <f>SUM(F32:F34)</f>
        <v>2543991.3283208022</v>
      </c>
      <c r="C34" s="188">
        <f>AVERAGE(F32:F34)</f>
        <v>847997.10944026744</v>
      </c>
      <c r="D34" s="190">
        <f>C34/C31-1</f>
        <v>4.1995040947637508E-2</v>
      </c>
      <c r="E34" s="287">
        <f>C34/C22-1</f>
        <v>-9.9642216363544422E-2</v>
      </c>
      <c r="F34" s="136">
        <f>Q34/19</f>
        <v>938848.94736842101</v>
      </c>
      <c r="G34" s="190">
        <f t="shared" ref="G34" si="37">F34/F33-1</f>
        <v>0.21422971243683242</v>
      </c>
      <c r="H34" s="190">
        <f t="shared" ref="H34" si="38">F34/F22-1</f>
        <v>0.12019674492034071</v>
      </c>
      <c r="I34" s="130">
        <f t="shared" si="0"/>
        <v>21.068865929370396</v>
      </c>
      <c r="J34" s="130">
        <f t="shared" si="4"/>
        <v>-0.12961774394920222</v>
      </c>
      <c r="K34" s="136">
        <f>R32+R33+R34</f>
        <v>70546204103</v>
      </c>
      <c r="L34" s="190">
        <f>U34/U31-1</f>
        <v>4.5692598819810026E-2</v>
      </c>
      <c r="M34" s="190">
        <f>U34/U22-1</f>
        <v>-0.11773409393174628</v>
      </c>
      <c r="N34" s="191">
        <f>AVERAGE(T32:T34)</f>
        <v>20.863639911557915</v>
      </c>
      <c r="O34" s="192">
        <f>N34/N31-1</f>
        <v>5.0516545226375609E-3</v>
      </c>
      <c r="P34" s="129" t="s">
        <v>652</v>
      </c>
      <c r="Q34" s="116">
        <v>17838130</v>
      </c>
      <c r="R34" s="116">
        <v>24549183220</v>
      </c>
      <c r="S34" s="116">
        <v>846658.29</v>
      </c>
      <c r="T34" s="130">
        <f t="shared" ref="T34" si="39">Q34/S34</f>
        <v>21.068865929370396</v>
      </c>
      <c r="U34" s="85">
        <f>Q32+Q33+Q34</f>
        <v>51546120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354462.69565217389</v>
      </c>
      <c r="G35" s="190">
        <f t="shared" ref="G35" si="40">F35/F34-1</f>
        <v>-0.62244970647756781</v>
      </c>
      <c r="H35" s="190">
        <f t="shared" ref="H35" si="41">F35/F23-1</f>
        <v>-0.667345797077874</v>
      </c>
      <c r="I35" s="130">
        <f t="shared" si="0"/>
        <v>18.312039215405285</v>
      </c>
      <c r="J35" s="130">
        <f t="shared" si="4"/>
        <v>-0.19517864471054602</v>
      </c>
      <c r="K35" s="136"/>
      <c r="L35" s="190"/>
      <c r="M35" s="190"/>
      <c r="N35" s="191"/>
      <c r="O35" s="192"/>
      <c r="P35" s="129" t="s">
        <v>660</v>
      </c>
      <c r="Q35" s="116">
        <v>8152642</v>
      </c>
      <c r="R35" s="116">
        <v>11272931517</v>
      </c>
      <c r="S35" s="116">
        <v>445206.67</v>
      </c>
      <c r="T35" s="130">
        <f t="shared" ref="T35" si="42">Q35/S35</f>
        <v>18.312039215405285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443868.47619047621</v>
      </c>
      <c r="G36" s="190">
        <f t="shared" ref="G36" si="43">F36/F35-1</f>
        <v>0.25222902617101961</v>
      </c>
      <c r="H36" s="190">
        <f t="shared" ref="H36" si="44">F36/F24-1</f>
        <v>-0.54370075000991891</v>
      </c>
      <c r="I36" s="130">
        <f t="shared" si="0"/>
        <v>18.711715710110752</v>
      </c>
      <c r="J36" s="130">
        <f t="shared" si="4"/>
        <v>-0.16475780507654358</v>
      </c>
      <c r="K36" s="136"/>
      <c r="L36" s="190"/>
      <c r="M36" s="190"/>
      <c r="N36" s="191"/>
      <c r="O36" s="192"/>
      <c r="P36" s="129" t="s">
        <v>664</v>
      </c>
      <c r="Q36" s="116">
        <v>9321238</v>
      </c>
      <c r="R36" s="116">
        <v>12744498605</v>
      </c>
      <c r="S36" s="116">
        <v>498149.83</v>
      </c>
      <c r="T36" s="130">
        <f t="shared" ref="T36" si="45">Q36/S36</f>
        <v>18.711715710110752</v>
      </c>
      <c r="U36" s="85"/>
    </row>
    <row r="37" spans="1:21" s="79" customFormat="1" ht="13.2" hidden="1">
      <c r="A37" s="129" t="s">
        <v>702</v>
      </c>
      <c r="B37" s="188">
        <f>SUM(F35:F37)</f>
        <v>1403072.2273982055</v>
      </c>
      <c r="C37" s="188">
        <f>AVERAGE(F35:F37)</f>
        <v>467690.74246606854</v>
      </c>
      <c r="D37" s="190">
        <f>C37/C34-1</f>
        <v>-0.44847601806712001</v>
      </c>
      <c r="E37" s="287">
        <f>C37/C25-1</f>
        <v>-0.54470641211201654</v>
      </c>
      <c r="F37" s="136">
        <f>Q37/18</f>
        <v>604741.0555555555</v>
      </c>
      <c r="G37" s="190">
        <f t="shared" ref="G37" si="46">F37/F36-1</f>
        <v>0.36243299083948566</v>
      </c>
      <c r="H37" s="190">
        <f t="shared" ref="H37" si="47">F37/F25-1</f>
        <v>-0.42039652997222388</v>
      </c>
      <c r="I37" s="130">
        <f t="shared" si="0"/>
        <v>16.928932532707631</v>
      </c>
      <c r="J37" s="130">
        <f t="shared" si="4"/>
        <v>-0.2735279128269742</v>
      </c>
      <c r="K37" s="136">
        <f>R35+R36+R37</f>
        <v>38564554014</v>
      </c>
      <c r="L37" s="190">
        <f>U37/U34-1</f>
        <v>-0.44982825089453871</v>
      </c>
      <c r="M37" s="190">
        <f>U37/U25-1</f>
        <v>-0.55411041879099621</v>
      </c>
      <c r="N37" s="191">
        <f>AVERAGE(T35:T37)</f>
        <v>17.984229152741221</v>
      </c>
      <c r="O37" s="192">
        <f>N37/N34-1</f>
        <v>-0.13801094972031103</v>
      </c>
      <c r="P37" s="129" t="s">
        <v>702</v>
      </c>
      <c r="Q37" s="116">
        <v>10885339</v>
      </c>
      <c r="R37" s="116">
        <v>14547123892</v>
      </c>
      <c r="S37" s="116">
        <v>643002.09</v>
      </c>
      <c r="T37" s="130">
        <f t="shared" ref="T37" si="48">Q37/S37</f>
        <v>16.928932532707631</v>
      </c>
      <c r="U37" s="85">
        <f>Q35+Q36+Q37</f>
        <v>28359219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373571.25</v>
      </c>
      <c r="G38" s="190">
        <f t="shared" ref="G38" si="49">F38/F37-1</f>
        <v>-0.38226246330040792</v>
      </c>
      <c r="H38" s="190">
        <f t="shared" ref="H38" si="50">F38/F26-1</f>
        <v>-0.57464306556228995</v>
      </c>
      <c r="I38" s="130">
        <f t="shared" si="0"/>
        <v>17.735542847533782</v>
      </c>
      <c r="J38" s="130">
        <f t="shared" si="4"/>
        <v>-0.21548958735610224</v>
      </c>
      <c r="K38" s="136"/>
      <c r="L38" s="190"/>
      <c r="M38" s="190"/>
      <c r="N38" s="191"/>
      <c r="O38" s="192"/>
      <c r="P38" s="129" t="s">
        <v>728</v>
      </c>
      <c r="Q38" s="116">
        <v>7471425</v>
      </c>
      <c r="R38" s="116">
        <v>10028955168</v>
      </c>
      <c r="S38" s="116">
        <v>421268.47</v>
      </c>
      <c r="T38" s="130">
        <f t="shared" ref="T38" si="51">Q38/S38</f>
        <v>17.735542847533782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462522.28571428574</v>
      </c>
      <c r="G39" s="190">
        <f t="shared" ref="G39:G44" si="52">F39/F38-1</f>
        <v>0.23810996085562186</v>
      </c>
      <c r="H39" s="190">
        <f t="shared" ref="H39:H44" si="53">F39/F27-1</f>
        <v>-0.40008364313480926</v>
      </c>
      <c r="I39" s="130">
        <f t="shared" si="0"/>
        <v>18.171338797112902</v>
      </c>
      <c r="J39" s="130">
        <f t="shared" si="4"/>
        <v>-0.16280902805276587</v>
      </c>
      <c r="K39" s="136"/>
      <c r="L39" s="190"/>
      <c r="M39" s="190"/>
      <c r="N39" s="191"/>
      <c r="O39" s="192"/>
      <c r="P39" s="129" t="s">
        <v>762</v>
      </c>
      <c r="Q39" s="116">
        <v>9712968</v>
      </c>
      <c r="R39" s="116">
        <v>13485829747</v>
      </c>
      <c r="S39" s="116">
        <v>534521.31999999995</v>
      </c>
      <c r="T39" s="130">
        <f t="shared" ref="T39" si="54">Q39/S39</f>
        <v>18.171338797112902</v>
      </c>
      <c r="U39" s="85"/>
    </row>
    <row r="40" spans="1:21" s="79" customFormat="1" ht="13.2" hidden="1">
      <c r="A40" s="129" t="s">
        <v>778</v>
      </c>
      <c r="B40" s="188">
        <f>SUM(F38:F40)</f>
        <v>1454013.4880952381</v>
      </c>
      <c r="C40" s="188">
        <f>AVERAGE(F38:F40)</f>
        <v>484671.16269841272</v>
      </c>
      <c r="D40" s="190">
        <f>C40/C37-1</f>
        <v>3.6306941084206068E-2</v>
      </c>
      <c r="E40" s="287">
        <f>C40/C28-1</f>
        <v>-0.37732610384751353</v>
      </c>
      <c r="F40" s="136">
        <f>Q40/21</f>
        <v>617919.95238095243</v>
      </c>
      <c r="G40" s="190">
        <f t="shared" si="52"/>
        <v>0.33597876570786611</v>
      </c>
      <c r="H40" s="190">
        <f t="shared" si="53"/>
        <v>-9.908549435373748E-2</v>
      </c>
      <c r="I40" s="130">
        <f t="shared" si="0"/>
        <v>17.899579070901986</v>
      </c>
      <c r="J40" s="130">
        <f t="shared" si="4"/>
        <v>-0.10991213172457026</v>
      </c>
      <c r="K40" s="136">
        <f>R38+R39+R40</f>
        <v>42023765085</v>
      </c>
      <c r="L40" s="190">
        <f>U40/U37-1</f>
        <v>6.3524069545074502E-2</v>
      </c>
      <c r="M40" s="190">
        <f>U40/U28-1</f>
        <v>-0.35388457446120258</v>
      </c>
      <c r="N40" s="191">
        <f>AVERAGE(T38:T40)</f>
        <v>17.935486905182891</v>
      </c>
      <c r="O40" s="192">
        <f>N40/N37-1</f>
        <v>-2.7102772737357395E-3</v>
      </c>
      <c r="P40" s="129" t="s">
        <v>778</v>
      </c>
      <c r="Q40" s="116">
        <v>12976319</v>
      </c>
      <c r="R40" s="116">
        <v>18508980170</v>
      </c>
      <c r="S40" s="116">
        <v>724951.07</v>
      </c>
      <c r="T40" s="130">
        <f t="shared" ref="T40" si="55">Q40/S40</f>
        <v>17.899579070901986</v>
      </c>
      <c r="U40" s="85">
        <f>Q38+Q39+Q40</f>
        <v>30160712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642422.66666666663</v>
      </c>
      <c r="G41" s="190">
        <f t="shared" si="52"/>
        <v>3.9653541192999242E-2</v>
      </c>
      <c r="H41" s="190">
        <f t="shared" si="53"/>
        <v>-3.9029700469129236E-2</v>
      </c>
      <c r="I41" s="130">
        <f t="shared" si="0"/>
        <v>17.924876842899931</v>
      </c>
      <c r="J41" s="130">
        <f t="shared" si="4"/>
        <v>-0.14350782111437954</v>
      </c>
      <c r="K41" s="193"/>
      <c r="L41" s="190"/>
      <c r="M41" s="190"/>
      <c r="N41" s="193"/>
      <c r="O41" s="193"/>
      <c r="P41" s="129" t="s">
        <v>793</v>
      </c>
      <c r="Q41" s="116">
        <v>11563608</v>
      </c>
      <c r="R41" s="116">
        <v>16916546125</v>
      </c>
      <c r="S41" s="116">
        <v>645115.06000000006</v>
      </c>
      <c r="T41" s="130">
        <f t="shared" ref="T41" si="56">Q41/S41</f>
        <v>17.924876842899931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335802.75</v>
      </c>
      <c r="G42" s="190">
        <f t="shared" si="52"/>
        <v>-0.47728689004331515</v>
      </c>
      <c r="H42" s="190">
        <f t="shared" si="53"/>
        <v>-0.61513010621627173</v>
      </c>
      <c r="I42" s="130">
        <f t="shared" si="0"/>
        <v>15.363568692615848</v>
      </c>
      <c r="J42" s="130">
        <f t="shared" si="4"/>
        <v>-0.24354867213797238</v>
      </c>
      <c r="K42" s="193"/>
      <c r="L42" s="190"/>
      <c r="M42" s="190"/>
      <c r="N42" s="193"/>
      <c r="O42" s="193"/>
      <c r="P42" s="129" t="s">
        <v>826</v>
      </c>
      <c r="Q42" s="116">
        <v>6716055</v>
      </c>
      <c r="R42" s="116">
        <v>9748361593</v>
      </c>
      <c r="S42" s="116">
        <v>437141.6</v>
      </c>
      <c r="T42" s="130">
        <f t="shared" ref="T42" si="57">Q42/S42</f>
        <v>15.363568692615848</v>
      </c>
      <c r="U42" s="78"/>
    </row>
    <row r="43" spans="1:21" s="79" customFormat="1" ht="13.2">
      <c r="A43" s="129" t="s">
        <v>835</v>
      </c>
      <c r="B43" s="188">
        <f>SUM(F41:F43)</f>
        <v>1525278.0166666666</v>
      </c>
      <c r="C43" s="188">
        <f>AVERAGE(F41:F43)</f>
        <v>508426.00555555552</v>
      </c>
      <c r="D43" s="190">
        <f>C43/C40-1</f>
        <v>4.9012288506886659E-2</v>
      </c>
      <c r="E43" s="287">
        <f>C43/C31-1</f>
        <v>-0.37526039820183821</v>
      </c>
      <c r="F43" s="136">
        <f>Q43/20</f>
        <v>547052.6</v>
      </c>
      <c r="G43" s="190">
        <f t="shared" si="52"/>
        <v>0.62908910066996171</v>
      </c>
      <c r="H43" s="190">
        <f t="shared" si="53"/>
        <v>-0.39245921136238593</v>
      </c>
      <c r="I43" s="130">
        <f t="shared" si="0"/>
        <v>17.66921874582637</v>
      </c>
      <c r="J43" s="130">
        <f t="shared" si="4"/>
        <v>-0.16012927687047063</v>
      </c>
      <c r="K43" s="136">
        <f>R41+R42+R43</f>
        <v>42527602931</v>
      </c>
      <c r="L43" s="190">
        <f>U43/U40-1</f>
        <v>-3.1166273528290711E-2</v>
      </c>
      <c r="M43" s="190">
        <f>K43/K31-1</f>
        <v>-0.34861316558114608</v>
      </c>
      <c r="N43" s="191">
        <f>AVERAGE(T41:T43)</f>
        <v>16.985888093780716</v>
      </c>
      <c r="O43" s="192">
        <f>N43/N40-1</f>
        <v>-5.2945248513312837E-2</v>
      </c>
      <c r="P43" s="129" t="s">
        <v>835</v>
      </c>
      <c r="Q43" s="116">
        <v>10941052</v>
      </c>
      <c r="R43" s="116">
        <v>15862695213</v>
      </c>
      <c r="S43" s="116">
        <v>619215.38</v>
      </c>
      <c r="T43" s="130">
        <f t="shared" ref="T43" si="58">Q43/S43</f>
        <v>17.66921874582637</v>
      </c>
      <c r="U43" s="85">
        <f>Q41+Q42+Q43</f>
        <v>29220715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643344.45454545459</v>
      </c>
      <c r="G44" s="190">
        <f t="shared" si="52"/>
        <v>0.17601937098087928</v>
      </c>
      <c r="H44" s="190">
        <f t="shared" si="53"/>
        <v>-0.22669089781383134</v>
      </c>
      <c r="I44" s="130">
        <f t="shared" si="0"/>
        <v>16.64539691423197</v>
      </c>
      <c r="J44" s="130">
        <f t="shared" si="4"/>
        <v>-0.18964591895568272</v>
      </c>
      <c r="K44" s="136"/>
      <c r="L44" s="190"/>
      <c r="M44" s="190"/>
      <c r="N44" s="191"/>
      <c r="O44" s="192"/>
      <c r="P44" s="129" t="s">
        <v>843</v>
      </c>
      <c r="Q44" s="116">
        <v>14153578</v>
      </c>
      <c r="R44" s="116">
        <v>20618337400</v>
      </c>
      <c r="S44" s="116">
        <v>850299.82</v>
      </c>
      <c r="T44" s="130">
        <f t="shared" ref="T44" si="59">Q44/S44</f>
        <v>16.64539691423197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564548.75</v>
      </c>
      <c r="G45" s="190">
        <f t="shared" ref="G45" si="60">F45/F44-1</f>
        <v>-0.12247825249558808</v>
      </c>
      <c r="H45" s="190">
        <f t="shared" ref="H45" si="61">F45/F33-1</f>
        <v>-0.26985925873326455</v>
      </c>
      <c r="I45" s="130">
        <f t="shared" si="0"/>
        <v>16.411270816567981</v>
      </c>
      <c r="J45" s="130">
        <f t="shared" si="4"/>
        <v>-0.21780918621063761</v>
      </c>
      <c r="K45" s="136"/>
      <c r="L45" s="190"/>
      <c r="M45" s="190"/>
      <c r="N45" s="191"/>
      <c r="O45" s="192"/>
      <c r="P45" s="129" t="s">
        <v>849</v>
      </c>
      <c r="Q45" s="116">
        <v>11290975</v>
      </c>
      <c r="R45" s="116">
        <v>15825390036</v>
      </c>
      <c r="S45" s="116">
        <v>688001.26</v>
      </c>
      <c r="T45" s="130">
        <f t="shared" ref="T45" si="62">Q45/S45</f>
        <v>16.411270816567981</v>
      </c>
      <c r="U45" s="85"/>
    </row>
    <row r="46" spans="1:21" s="79" customFormat="1" ht="13.2">
      <c r="A46" s="129" t="s">
        <v>893</v>
      </c>
      <c r="B46" s="188">
        <f>SUM(F44:F46)</f>
        <v>1582106.7834928231</v>
      </c>
      <c r="C46" s="188">
        <f>AVERAGE(F44:F46)</f>
        <v>527368.92783094104</v>
      </c>
      <c r="D46" s="190">
        <f>C46/C43-1</f>
        <v>3.725797277951326E-2</v>
      </c>
      <c r="E46" s="287">
        <f>C46/C34-1</f>
        <v>-0.37810055958912592</v>
      </c>
      <c r="F46" s="136">
        <f>Q46/19</f>
        <v>374213.57894736843</v>
      </c>
      <c r="G46" s="190">
        <f t="shared" ref="G46" si="63">F46/F45-1</f>
        <v>-0.33714567794655748</v>
      </c>
      <c r="H46" s="190">
        <f t="shared" ref="H46" si="64">F46/F34-1</f>
        <v>-0.60141236777621865</v>
      </c>
      <c r="I46" s="130">
        <f t="shared" si="0"/>
        <v>15.272615465830734</v>
      </c>
      <c r="J46" s="130">
        <f t="shared" si="4"/>
        <v>-0.27510975118312275</v>
      </c>
      <c r="K46" s="136">
        <f>R44+R45+R46</f>
        <v>46179957108</v>
      </c>
      <c r="L46" s="190">
        <f>U46/U43-1</f>
        <v>0.11409358053011376</v>
      </c>
      <c r="M46" s="190">
        <f>K46/K34-1</f>
        <v>-0.34539416124252986</v>
      </c>
      <c r="N46" s="191">
        <f>AVERAGE(T44:T46)</f>
        <v>16.109761065543562</v>
      </c>
      <c r="O46" s="192">
        <f>N46/N43-1</f>
        <v>-5.1579700949398233E-2</v>
      </c>
      <c r="P46" s="129" t="s">
        <v>933</v>
      </c>
      <c r="Q46" s="116">
        <v>7110058</v>
      </c>
      <c r="R46" s="116">
        <v>9736229672</v>
      </c>
      <c r="S46" s="116">
        <v>465542.92</v>
      </c>
      <c r="T46" s="130">
        <f t="shared" ref="T46" si="65">Q46/S46</f>
        <v>15.272615465830734</v>
      </c>
      <c r="U46" s="85">
        <f t="shared" ref="U46:U51" si="66">Q44+Q45+Q46</f>
        <v>32554611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347621.39130434784</v>
      </c>
      <c r="G47" s="190">
        <f t="shared" ref="G47" si="67">F47/F46-1</f>
        <v>-7.1061525126432379E-2</v>
      </c>
      <c r="H47" s="190">
        <f t="shared" ref="H47" si="68">F47/F35-1</f>
        <v>-1.9300491791495178E-2</v>
      </c>
      <c r="I47" s="130">
        <f t="shared" si="0"/>
        <v>14.760088826090396</v>
      </c>
      <c r="J47" s="130">
        <f t="shared" si="4"/>
        <v>-0.19396804187306216</v>
      </c>
      <c r="K47" s="136"/>
      <c r="L47" s="190"/>
      <c r="M47" s="190"/>
      <c r="N47" s="191"/>
      <c r="O47" s="192"/>
      <c r="P47" s="129" t="s">
        <v>1029</v>
      </c>
      <c r="Q47" s="116">
        <v>7995292</v>
      </c>
      <c r="R47" s="116">
        <v>11014237585</v>
      </c>
      <c r="S47" s="116">
        <v>541683.18999999994</v>
      </c>
      <c r="T47" s="130">
        <f t="shared" ref="T47" si="69">Q47/S47</f>
        <v>14.760088826090396</v>
      </c>
      <c r="U47" s="85">
        <f t="shared" si="66"/>
        <v>26396325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294025.8</v>
      </c>
      <c r="G48" s="190">
        <f t="shared" ref="G48" si="70">F48/F47-1</f>
        <v>-0.15417805878759661</v>
      </c>
      <c r="H48" s="190">
        <f t="shared" ref="H48" si="71">F48/F36-1</f>
        <v>-0.33758350553864203</v>
      </c>
      <c r="I48" s="130">
        <f t="shared" si="0"/>
        <v>14.773747475148177</v>
      </c>
      <c r="J48" s="130">
        <f t="shared" si="4"/>
        <v>-0.21045468496695474</v>
      </c>
      <c r="K48" s="136"/>
      <c r="L48" s="190"/>
      <c r="M48" s="190"/>
      <c r="N48" s="191"/>
      <c r="O48" s="192"/>
      <c r="P48" s="129" t="s">
        <v>1070</v>
      </c>
      <c r="Q48" s="116">
        <v>5880516</v>
      </c>
      <c r="R48" s="116">
        <v>8156850799</v>
      </c>
      <c r="S48" s="116">
        <v>398038.21</v>
      </c>
      <c r="T48" s="130">
        <f t="shared" ref="T48" si="72">Q48/S48</f>
        <v>14.773747475148177</v>
      </c>
      <c r="U48" s="85">
        <f t="shared" si="66"/>
        <v>20985866</v>
      </c>
    </row>
    <row r="49" spans="1:26" ht="13.2">
      <c r="A49" s="129" t="s">
        <v>1213</v>
      </c>
      <c r="B49" s="188">
        <f>SUM(F47:F49)</f>
        <v>1044759.6003952569</v>
      </c>
      <c r="C49" s="188">
        <f>AVERAGE(F47:F49)</f>
        <v>348253.2001317523</v>
      </c>
      <c r="D49" s="190">
        <f>C49/C46-1</f>
        <v>-0.33964027504595029</v>
      </c>
      <c r="E49" s="287">
        <f>C49/C37-1</f>
        <v>-0.25537717874110277</v>
      </c>
      <c r="F49" s="136">
        <f>Q49/22</f>
        <v>403112.40909090912</v>
      </c>
      <c r="G49" s="190">
        <f t="shared" ref="G49" si="73">F49/F48-1</f>
        <v>0.3710103300149481</v>
      </c>
      <c r="H49" s="190">
        <f t="shared" ref="H49" si="74">F49/F37-1</f>
        <v>-0.33341319332026642</v>
      </c>
      <c r="I49" s="130">
        <f t="shared" si="0"/>
        <v>17.352334965946781</v>
      </c>
      <c r="J49" s="130">
        <f t="shared" si="4"/>
        <v>2.5010580697933271E-2</v>
      </c>
      <c r="K49" s="136">
        <f>R47+R48+R49</f>
        <v>31485841583</v>
      </c>
      <c r="L49" s="190">
        <f>U49/U46-1</f>
        <v>-0.30134993780143771</v>
      </c>
      <c r="M49" s="190">
        <f>K49/K37-1</f>
        <v>-0.18355488899029482</v>
      </c>
      <c r="N49" s="191">
        <f>AVERAGE(T47:T49)</f>
        <v>15.628723755728451</v>
      </c>
      <c r="O49" s="192">
        <f>N49/N46-1</f>
        <v>-2.9859990341134179E-2</v>
      </c>
      <c r="P49" s="129" t="s">
        <v>1167</v>
      </c>
      <c r="Q49" s="116">
        <v>8868473</v>
      </c>
      <c r="R49" s="116">
        <v>12314753199</v>
      </c>
      <c r="S49" s="116">
        <v>511082.4</v>
      </c>
      <c r="T49" s="130">
        <f t="shared" ref="T49" si="75">Q49/S49</f>
        <v>17.352334965946781</v>
      </c>
      <c r="U49" s="85">
        <f t="shared" si="66"/>
        <v>22744281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287215.83333333331</v>
      </c>
      <c r="G50" s="190">
        <f t="shared" ref="G50" si="76">F50/F49-1</f>
        <v>-0.2875043614235131</v>
      </c>
      <c r="H50" s="190">
        <f t="shared" ref="H50" si="77">F50/F38-1</f>
        <v>-0.23116183771279697</v>
      </c>
      <c r="I50" s="130">
        <f t="shared" ref="I50" si="78">T50</f>
        <v>14.007574337574662</v>
      </c>
      <c r="J50" s="130">
        <f t="shared" ref="J50" si="79">I50/I38-1</f>
        <v>-0.21019759823576611</v>
      </c>
      <c r="K50" s="136"/>
      <c r="L50" s="190"/>
      <c r="M50" s="190"/>
      <c r="N50" s="191"/>
      <c r="O50" s="192"/>
      <c r="P50" s="129" t="s">
        <v>1293</v>
      </c>
      <c r="Q50" s="116">
        <v>5169885</v>
      </c>
      <c r="R50" s="116">
        <v>7339460033</v>
      </c>
      <c r="S50" s="116">
        <v>369077.82</v>
      </c>
      <c r="T50" s="130">
        <f t="shared" ref="T50" si="80">Q50/S50</f>
        <v>14.007574337574662</v>
      </c>
      <c r="U50" s="85">
        <f t="shared" si="66"/>
        <v>19918874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426540.85</v>
      </c>
      <c r="G51" s="190">
        <f t="shared" ref="G51:G52" si="81">F51/F50-1</f>
        <v>0.48508821762959919</v>
      </c>
      <c r="H51" s="190">
        <f t="shared" ref="H51:H52" si="82">F51/F39-1</f>
        <v>-7.7793950314672178E-2</v>
      </c>
      <c r="I51" s="130">
        <f t="shared" ref="I51:I52" si="83">T51</f>
        <v>14.888437814560117</v>
      </c>
      <c r="J51" s="130">
        <f t="shared" ref="J51:J52" si="84">I51/I39-1</f>
        <v>-0.18066368247310316</v>
      </c>
      <c r="K51" s="136"/>
      <c r="L51" s="190"/>
      <c r="M51" s="190"/>
      <c r="N51" s="191"/>
      <c r="O51" s="192"/>
      <c r="P51" s="129" t="s">
        <v>1402</v>
      </c>
      <c r="Q51" s="116">
        <v>8530817</v>
      </c>
      <c r="R51" s="116">
        <v>12392346774</v>
      </c>
      <c r="S51" s="116">
        <v>572982.68000000005</v>
      </c>
      <c r="T51" s="130">
        <f t="shared" ref="T51:T52" si="85">Q51/S51</f>
        <v>14.888437814560117</v>
      </c>
      <c r="U51" s="85">
        <f t="shared" si="66"/>
        <v>22569175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1069359.5924242425</v>
      </c>
      <c r="C52" s="188">
        <f>AVERAGE(F50:F52)</f>
        <v>356453.19747474749</v>
      </c>
      <c r="D52" s="190">
        <f>C52/C49-1</f>
        <v>2.3546078944552296E-2</v>
      </c>
      <c r="E52" s="287">
        <f>C52/C40-1</f>
        <v>-0.2645463049829706</v>
      </c>
      <c r="F52" s="136">
        <f>Q52/22</f>
        <v>355602.90909090912</v>
      </c>
      <c r="G52" s="190">
        <f t="shared" si="81"/>
        <v>-0.16630984091931844</v>
      </c>
      <c r="H52" s="190">
        <f t="shared" si="82"/>
        <v>-0.4245162213637711</v>
      </c>
      <c r="I52" s="130">
        <f t="shared" si="83"/>
        <v>15.531764105658571</v>
      </c>
      <c r="J52" s="130">
        <f t="shared" si="84"/>
        <v>-0.13228327637562132</v>
      </c>
      <c r="K52" s="136">
        <f>R50+R51+R52</f>
        <v>31246098810</v>
      </c>
      <c r="L52" s="190">
        <f>U52/U49-1</f>
        <v>-5.365370749684284E-2</v>
      </c>
      <c r="M52" s="190">
        <f>K52/K40-1</f>
        <v>-0.25646598426391332</v>
      </c>
      <c r="N52" s="191">
        <f>AVERAGE(T50:T52)</f>
        <v>14.809258752597785</v>
      </c>
      <c r="O52" s="192">
        <f>N52/N49-1</f>
        <v>-5.2433264285595027E-2</v>
      </c>
      <c r="P52" s="129" t="s">
        <v>1403</v>
      </c>
      <c r="Q52" s="116">
        <v>7823264</v>
      </c>
      <c r="R52" s="116">
        <v>11514292003</v>
      </c>
      <c r="S52" s="116">
        <v>503694.49</v>
      </c>
      <c r="T52" s="130">
        <f t="shared" si="85"/>
        <v>15.531764105658571</v>
      </c>
      <c r="U52" s="85">
        <f t="shared" ref="U52" si="86">Q50+Q51+Q52</f>
        <v>21523966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509462.19047619047</v>
      </c>
      <c r="G53" s="190">
        <f t="shared" ref="G53" si="87">F53/F52-1</f>
        <v>0.43267160490508694</v>
      </c>
      <c r="H53" s="190">
        <f t="shared" ref="H53" si="88">F53/F41-1</f>
        <v>-0.20696728663134989</v>
      </c>
      <c r="I53" s="130">
        <f t="shared" ref="I53" si="89">T53</f>
        <v>15.936360412414967</v>
      </c>
      <c r="J53" s="130">
        <f t="shared" ref="J53" si="90">I53/I41-1</f>
        <v>-0.11093612792506402</v>
      </c>
      <c r="K53" s="136"/>
      <c r="L53" s="190"/>
      <c r="M53" s="190"/>
      <c r="N53" s="191"/>
      <c r="O53" s="192"/>
      <c r="P53" s="129" t="s">
        <v>1414</v>
      </c>
      <c r="Q53" s="116">
        <v>10698706</v>
      </c>
      <c r="R53" s="116">
        <v>15624344410</v>
      </c>
      <c r="S53" s="116">
        <v>671339.36</v>
      </c>
      <c r="T53" s="130">
        <f t="shared" ref="T53" si="91">Q53/S53</f>
        <v>15.936360412414967</v>
      </c>
      <c r="U53" s="85">
        <f t="shared" ref="U53" si="92">Q51+Q52+Q53</f>
        <v>27052787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577421.17647058819</v>
      </c>
      <c r="G54" s="190">
        <f t="shared" ref="G54" si="93">F54/F53-1</f>
        <v>0.13339358104450683</v>
      </c>
      <c r="H54" s="190">
        <f t="shared" ref="H54" si="94">F54/F42-1</f>
        <v>0.71952485937231958</v>
      </c>
      <c r="I54" s="130">
        <f t="shared" ref="I54" si="95">T54</f>
        <v>16.432802701069456</v>
      </c>
      <c r="J54" s="130">
        <f t="shared" ref="J54" si="96">I54/I42-1</f>
        <v>6.9595419517830548E-2</v>
      </c>
      <c r="K54" s="136"/>
      <c r="L54" s="190"/>
      <c r="M54" s="190"/>
      <c r="N54" s="191"/>
      <c r="O54" s="192"/>
      <c r="P54" s="129" t="s">
        <v>1417</v>
      </c>
      <c r="Q54" s="116">
        <v>9816160</v>
      </c>
      <c r="R54" s="116">
        <v>14224229533</v>
      </c>
      <c r="S54" s="116">
        <v>597351.54</v>
      </c>
      <c r="T54" s="130">
        <f t="shared" ref="T54" si="97">Q54/S54</f>
        <v>16.432802701069456</v>
      </c>
      <c r="U54" s="85">
        <f t="shared" ref="U54" si="98">Q52+Q53+Q54</f>
        <v>28338130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1794242.1764705882</v>
      </c>
      <c r="C55" s="188">
        <f>AVERAGE(F53:F55)</f>
        <v>598080.72549019603</v>
      </c>
      <c r="D55" s="190">
        <f>C55/C52-1</f>
        <v>0.67786606973154262</v>
      </c>
      <c r="E55" s="287">
        <f>C55/C43-1</f>
        <v>0.17633779341533695</v>
      </c>
      <c r="F55" s="136">
        <f>Q55/21</f>
        <v>707358.80952380947</v>
      </c>
      <c r="G55" s="190">
        <f t="shared" ref="G55" si="99">F55/F54-1</f>
        <v>0.22503094508491728</v>
      </c>
      <c r="H55" s="190">
        <f t="shared" ref="H55" si="100">F55/F43-1</f>
        <v>0.29303618979931634</v>
      </c>
      <c r="I55" s="130">
        <f>T55</f>
        <v>15.076050118073882</v>
      </c>
      <c r="J55" s="130">
        <f t="shared" ref="J55" si="101">I55/I43-1</f>
        <v>-0.14676192903916696</v>
      </c>
      <c r="K55" s="136">
        <f>R53+R54+R55</f>
        <v>51835235866</v>
      </c>
      <c r="L55" s="190">
        <f>U55/U52-1</f>
        <v>0.64325668420030024</v>
      </c>
      <c r="M55" s="190">
        <f>K55/K43-1</f>
        <v>0.21886098189219383</v>
      </c>
      <c r="N55" s="191">
        <f>AVERAGE(T53:T55)</f>
        <v>15.815071077186099</v>
      </c>
      <c r="O55" s="192">
        <f>N55/N52-1</f>
        <v>6.791780340875464E-2</v>
      </c>
      <c r="P55" s="129" t="s">
        <v>1418</v>
      </c>
      <c r="Q55" s="116">
        <v>14854535</v>
      </c>
      <c r="R55" s="116">
        <v>21986661923</v>
      </c>
      <c r="S55" s="116">
        <v>985306.82</v>
      </c>
      <c r="T55" s="130">
        <f t="shared" ref="T55" si="102">Q55/S55</f>
        <v>15.076050118073882</v>
      </c>
      <c r="U55" s="85">
        <f t="shared" ref="U55" si="103">Q53+Q54+Q55</f>
        <v>35369401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806590.31818181823</v>
      </c>
      <c r="G56" s="190">
        <f t="shared" ref="G56" si="104">F56/F55-1</f>
        <v>0.1402845448759038</v>
      </c>
      <c r="H56" s="190">
        <f t="shared" ref="H56" si="105">F56/F44-1</f>
        <v>0.25374566063789672</v>
      </c>
      <c r="I56" s="291">
        <f>T56</f>
        <v>15.199604009981398</v>
      </c>
      <c r="J56" s="130">
        <f t="shared" ref="J56" si="106">I56/I44-1</f>
        <v>-8.685842168259772E-2</v>
      </c>
      <c r="K56" s="136"/>
      <c r="L56" s="190"/>
      <c r="M56" s="190"/>
      <c r="N56" s="191"/>
      <c r="O56" s="192"/>
      <c r="P56" s="129" t="s">
        <v>1420</v>
      </c>
      <c r="Q56" s="116">
        <v>17744987</v>
      </c>
      <c r="R56" s="116">
        <v>26428870179</v>
      </c>
      <c r="S56" s="116">
        <v>1167463.77</v>
      </c>
      <c r="T56" s="130">
        <f t="shared" ref="T56" si="107">Q56/S56</f>
        <v>15.199604009981398</v>
      </c>
      <c r="U56" s="85">
        <f t="shared" ref="U56" si="108">Q54+Q55+Q56</f>
        <v>42415682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591035.58333333337</v>
      </c>
      <c r="G57" s="254">
        <f t="shared" ref="G57" si="109">F57/F56-1</f>
        <v>-0.26724190706178974</v>
      </c>
      <c r="H57" s="254">
        <f t="shared" ref="H57" si="110">F57/F45-1</f>
        <v>4.6916822211249931E-2</v>
      </c>
      <c r="I57" s="282">
        <f>T57</f>
        <v>16.190347485984674</v>
      </c>
      <c r="J57" s="277">
        <f t="shared" ref="J57" si="111">I57/I45-1</f>
        <v>-1.3461683318288453E-2</v>
      </c>
      <c r="K57" s="204"/>
      <c r="L57" s="254"/>
      <c r="M57" s="254"/>
      <c r="N57" s="257"/>
      <c r="O57" s="258"/>
      <c r="P57" s="129" t="s">
        <v>1436</v>
      </c>
      <c r="Q57" s="116">
        <v>7092427</v>
      </c>
      <c r="R57" s="116">
        <v>10444262105</v>
      </c>
      <c r="S57" s="116">
        <v>438065.15</v>
      </c>
      <c r="T57" s="130">
        <f t="shared" ref="T57" si="112">Q57/S57</f>
        <v>16.190347485984674</v>
      </c>
      <c r="U57" s="85">
        <f t="shared" ref="U57" si="113">Q55+Q56+Q57</f>
        <v>39691949</v>
      </c>
      <c r="V57" s="79"/>
      <c r="W57" s="79"/>
      <c r="X57" s="79"/>
      <c r="Y57" s="79"/>
      <c r="Z57" s="79"/>
    </row>
    <row r="58" spans="1:26">
      <c r="B58" s="196">
        <f>SUM(F56:F58)</f>
        <v>1397625.9015151516</v>
      </c>
      <c r="C58" s="196">
        <f>AVERAGE(F56:F58)</f>
        <v>698812.9507575758</v>
      </c>
      <c r="D58" s="197">
        <f>C58/C55-1</f>
        <v>0.16842580102346227</v>
      </c>
      <c r="E58" s="233">
        <f>C58/C46-1</f>
        <v>0.32509314424681968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60206815</v>
      </c>
      <c r="R66" s="212">
        <v>88708368150</v>
      </c>
      <c r="S66" s="213">
        <v>3859526.64</v>
      </c>
      <c r="T66" s="214">
        <v>21</v>
      </c>
      <c r="U66" s="214">
        <v>83</v>
      </c>
    </row>
    <row r="67" spans="16:21" ht="18" thickBot="1">
      <c r="P67" s="180" t="s">
        <v>976</v>
      </c>
      <c r="Q67" s="181">
        <v>10698706</v>
      </c>
      <c r="R67" s="181">
        <v>15624344410</v>
      </c>
      <c r="S67" s="182">
        <v>671339.36</v>
      </c>
      <c r="T67" s="210">
        <v>8</v>
      </c>
      <c r="U67" s="210">
        <v>29</v>
      </c>
    </row>
    <row r="68" spans="16:21" ht="18" thickBot="1">
      <c r="P68" s="180" t="s">
        <v>977</v>
      </c>
      <c r="Q68" s="181">
        <v>9816160</v>
      </c>
      <c r="R68" s="181">
        <v>14224229533</v>
      </c>
      <c r="S68" s="182">
        <v>597351.54</v>
      </c>
      <c r="T68" s="210">
        <v>8</v>
      </c>
      <c r="U68" s="210">
        <v>29</v>
      </c>
    </row>
    <row r="69" spans="16:21" ht="18" thickBot="1">
      <c r="P69" s="180" t="s">
        <v>978</v>
      </c>
      <c r="Q69" s="181">
        <v>14854535</v>
      </c>
      <c r="R69" s="181">
        <v>21986661923</v>
      </c>
      <c r="S69" s="182">
        <v>985306.82</v>
      </c>
      <c r="T69" s="210">
        <v>11</v>
      </c>
      <c r="U69" s="210">
        <v>31</v>
      </c>
    </row>
    <row r="70" spans="16:21" ht="18" thickBot="1">
      <c r="P70" s="180" t="s">
        <v>979</v>
      </c>
      <c r="Q70" s="181">
        <v>17744987</v>
      </c>
      <c r="R70" s="181">
        <v>26428870179</v>
      </c>
      <c r="S70" s="182">
        <v>1167463.77</v>
      </c>
      <c r="T70" s="210">
        <v>7</v>
      </c>
      <c r="U70" s="210">
        <v>43</v>
      </c>
    </row>
    <row r="71" spans="16:21" ht="18" thickBot="1">
      <c r="P71" s="180" t="s">
        <v>980</v>
      </c>
      <c r="Q71" s="181">
        <v>7092427</v>
      </c>
      <c r="R71" s="181">
        <v>10444262105</v>
      </c>
      <c r="S71" s="182">
        <v>438065.15</v>
      </c>
      <c r="T71" s="210">
        <v>9</v>
      </c>
      <c r="U71" s="210">
        <v>24</v>
      </c>
    </row>
    <row r="72" spans="16:21" ht="18" thickBot="1">
      <c r="P72" s="180" t="s">
        <v>975</v>
      </c>
      <c r="Q72" s="181">
        <v>106043573</v>
      </c>
      <c r="R72" s="181">
        <v>151439500432</v>
      </c>
      <c r="S72" s="182">
        <v>6601874.8600000003</v>
      </c>
      <c r="T72" s="210">
        <v>38</v>
      </c>
      <c r="U72" s="210">
        <v>135</v>
      </c>
    </row>
    <row r="73" spans="16:21" ht="18" thickBot="1">
      <c r="P73" s="215" t="s">
        <v>982</v>
      </c>
      <c r="Q73" s="217" t="s">
        <v>1496</v>
      </c>
      <c r="R73"/>
      <c r="S73"/>
      <c r="T73"/>
      <c r="U73"/>
    </row>
  </sheetData>
  <phoneticPr fontId="1" type="noConversion"/>
  <conditionalFormatting sqref="C29:C30">
    <cfRule type="cellIs" dxfId="19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1"/>
  <sheetViews>
    <sheetView topLeftCell="C1" zoomScale="90" zoomScaleNormal="90" workbookViewId="0">
      <selection activeCell="G64" sqref="G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605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3921909090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628480.4</v>
      </c>
      <c r="G5" s="90"/>
      <c r="H5" s="90"/>
      <c r="I5" s="130">
        <f t="shared" ref="I5:I49" si="0">T5</f>
        <v>86.631143344139474</v>
      </c>
      <c r="J5" s="130"/>
      <c r="K5" s="85"/>
      <c r="L5" s="80"/>
      <c r="M5" s="80"/>
      <c r="P5" s="129" t="s">
        <v>0</v>
      </c>
      <c r="Q5" s="116">
        <v>12569608</v>
      </c>
      <c r="R5" s="116">
        <v>15129802043</v>
      </c>
      <c r="S5" s="116">
        <v>145093.41</v>
      </c>
      <c r="T5" s="130">
        <f t="shared" ref="T5:T32" si="1">Q5/S5</f>
        <v>86.631143344139474</v>
      </c>
      <c r="U5" s="78">
        <f>S5/20</f>
        <v>7254.6705000000002</v>
      </c>
    </row>
    <row r="6" spans="1:29" ht="15" hidden="1" customHeight="1">
      <c r="A6" s="129" t="s">
        <v>1</v>
      </c>
      <c r="C6" s="79"/>
      <c r="F6" s="78">
        <f>Q6/18</f>
        <v>698777.11111111112</v>
      </c>
      <c r="G6" s="90">
        <f t="shared" ref="G6:G32" si="2">F6/F5-1</f>
        <v>0.11185187495284032</v>
      </c>
      <c r="H6" s="90"/>
      <c r="I6" s="130">
        <f t="shared" si="0"/>
        <v>78.031882425730515</v>
      </c>
      <c r="J6" s="130"/>
      <c r="K6" s="85"/>
      <c r="P6" s="129" t="s">
        <v>1</v>
      </c>
      <c r="Q6" s="116">
        <v>12577988</v>
      </c>
      <c r="R6" s="116">
        <v>15238047790</v>
      </c>
      <c r="S6" s="116">
        <v>161190.37</v>
      </c>
      <c r="T6" s="130">
        <f t="shared" si="1"/>
        <v>78.031882425730515</v>
      </c>
      <c r="U6" s="78">
        <f>S6/18</f>
        <v>8955.0205555555549</v>
      </c>
    </row>
    <row r="7" spans="1:29" ht="15" hidden="1" customHeight="1">
      <c r="A7" s="129" t="s">
        <v>2</v>
      </c>
      <c r="B7" s="131">
        <f>F5+F6+F7</f>
        <v>2044464.5111111111</v>
      </c>
      <c r="C7" s="131">
        <f>AVERAGE(F5:F7)</f>
        <v>681488.17037037038</v>
      </c>
      <c r="F7" s="78">
        <f>Q7/22</f>
        <v>717207</v>
      </c>
      <c r="G7" s="90">
        <f t="shared" si="2"/>
        <v>2.6374488511199168E-2</v>
      </c>
      <c r="H7" s="90"/>
      <c r="I7" s="130">
        <f t="shared" si="0"/>
        <v>88.279206730244709</v>
      </c>
      <c r="J7" s="130"/>
      <c r="K7" s="85">
        <f>Q5+Q6+Q7</f>
        <v>40926150</v>
      </c>
      <c r="L7" s="102"/>
      <c r="N7" s="88">
        <f>AVERAGE(T5:T7)</f>
        <v>84.314077500038238</v>
      </c>
      <c r="P7" s="129" t="s">
        <v>2</v>
      </c>
      <c r="Q7" s="116">
        <v>15778554</v>
      </c>
      <c r="R7" s="116">
        <v>19365428840</v>
      </c>
      <c r="S7" s="116">
        <v>178734.66</v>
      </c>
      <c r="T7" s="130">
        <f t="shared" si="1"/>
        <v>88.279206730244709</v>
      </c>
      <c r="U7" s="78">
        <f>S7/22</f>
        <v>8124.3027272727277</v>
      </c>
    </row>
    <row r="8" spans="1:29" ht="15" hidden="1" customHeight="1">
      <c r="A8" s="129" t="s">
        <v>3</v>
      </c>
      <c r="C8" s="79"/>
      <c r="F8" s="78">
        <f>Q8/21</f>
        <v>719064.90476190473</v>
      </c>
      <c r="G8" s="90">
        <f t="shared" si="2"/>
        <v>2.590472153652712E-3</v>
      </c>
      <c r="H8" s="90"/>
      <c r="I8" s="130">
        <f t="shared" si="0"/>
        <v>114.85195558515436</v>
      </c>
      <c r="J8" s="130"/>
      <c r="K8" s="85"/>
      <c r="L8" s="90"/>
      <c r="P8" s="129" t="s">
        <v>3</v>
      </c>
      <c r="Q8" s="116">
        <v>15100363</v>
      </c>
      <c r="R8" s="116">
        <v>18658855517</v>
      </c>
      <c r="S8" s="116">
        <v>131476.76</v>
      </c>
      <c r="T8" s="130">
        <f t="shared" si="1"/>
        <v>114.85195558515436</v>
      </c>
      <c r="U8" s="78">
        <f>S8/21</f>
        <v>6260.7980952380958</v>
      </c>
    </row>
    <row r="9" spans="1:29" ht="15" hidden="1" customHeight="1">
      <c r="A9" s="129" t="s">
        <v>4</v>
      </c>
      <c r="C9" s="79"/>
      <c r="F9" s="78">
        <f>Q9/21</f>
        <v>758003.19047619053</v>
      </c>
      <c r="G9" s="90">
        <f t="shared" si="2"/>
        <v>5.4151280999006568E-2</v>
      </c>
      <c r="H9" s="90"/>
      <c r="I9" s="130">
        <f t="shared" si="0"/>
        <v>67.774810093592961</v>
      </c>
      <c r="J9" s="130"/>
      <c r="K9" s="85"/>
      <c r="L9" s="90"/>
      <c r="P9" s="129" t="s">
        <v>4</v>
      </c>
      <c r="Q9" s="116">
        <v>15918067</v>
      </c>
      <c r="R9" s="116">
        <v>20403876996</v>
      </c>
      <c r="S9" s="116">
        <v>234867.01</v>
      </c>
      <c r="T9" s="130">
        <f t="shared" si="1"/>
        <v>67.774810093592961</v>
      </c>
      <c r="U9" s="78">
        <f>S9/21</f>
        <v>11184.143333333333</v>
      </c>
      <c r="AC9" s="79">
        <v>2500</v>
      </c>
    </row>
    <row r="10" spans="1:29" ht="15" hidden="1" customHeight="1">
      <c r="A10" s="129" t="s">
        <v>320</v>
      </c>
      <c r="B10" s="131">
        <f>F8+F9+F10</f>
        <v>2135851.0476190476</v>
      </c>
      <c r="C10" s="131">
        <f>AVERAGE(F8:F10)</f>
        <v>711950.34920634923</v>
      </c>
      <c r="D10" s="90">
        <f>C10/C7-1</f>
        <v>4.4699497600117599E-2</v>
      </c>
      <c r="E10" s="90"/>
      <c r="F10" s="78">
        <f>Q10/21</f>
        <v>658782.95238095243</v>
      </c>
      <c r="G10" s="90">
        <f t="shared" si="2"/>
        <v>-0.13089686078089757</v>
      </c>
      <c r="H10" s="90"/>
      <c r="I10" s="130">
        <f t="shared" si="0"/>
        <v>87.514916407390245</v>
      </c>
      <c r="J10" s="130"/>
      <c r="K10" s="85">
        <f>Q8+Q9+Q10</f>
        <v>44852872</v>
      </c>
      <c r="L10" s="102">
        <f>K10/K7-1</f>
        <v>9.5946528075570248E-2</v>
      </c>
      <c r="N10" s="88">
        <f>AVERAGE(T8:T10)</f>
        <v>90.047227362045859</v>
      </c>
      <c r="O10" s="89">
        <f>N10/N7-1</f>
        <v>6.7997540054981043E-2</v>
      </c>
      <c r="P10" s="129" t="s">
        <v>320</v>
      </c>
      <c r="Q10" s="116">
        <v>13834442</v>
      </c>
      <c r="R10" s="116">
        <v>17700617075</v>
      </c>
      <c r="S10" s="116">
        <v>158080.95999999999</v>
      </c>
      <c r="T10" s="130">
        <f t="shared" si="1"/>
        <v>87.514916407390245</v>
      </c>
      <c r="U10" s="78">
        <f>S10/21</f>
        <v>7527.6647619047617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588567.76190476189</v>
      </c>
      <c r="G11" s="90">
        <f t="shared" si="2"/>
        <v>-0.10658319287471085</v>
      </c>
      <c r="H11" s="90"/>
      <c r="I11" s="130">
        <f t="shared" si="0"/>
        <v>110.62077975963636</v>
      </c>
      <c r="J11" s="130"/>
      <c r="K11" s="85"/>
      <c r="L11" s="90"/>
      <c r="O11" s="89"/>
      <c r="P11" s="129" t="s">
        <v>6</v>
      </c>
      <c r="Q11" s="116">
        <v>12359923</v>
      </c>
      <c r="R11" s="116">
        <v>16247033427</v>
      </c>
      <c r="S11" s="116">
        <v>111732.38</v>
      </c>
      <c r="T11" s="130">
        <f t="shared" si="1"/>
        <v>110.62077975963636</v>
      </c>
      <c r="U11" s="78">
        <f>S11/21</f>
        <v>5320.5895238095236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615349.27272727271</v>
      </c>
      <c r="G12" s="90">
        <f t="shared" si="2"/>
        <v>4.5502850403900341E-2</v>
      </c>
      <c r="H12" s="90"/>
      <c r="I12" s="130">
        <f t="shared" si="0"/>
        <v>103.93950515102982</v>
      </c>
      <c r="J12" s="130"/>
      <c r="K12" s="85"/>
      <c r="L12" s="90"/>
      <c r="O12" s="89"/>
      <c r="P12" s="129" t="s">
        <v>7</v>
      </c>
      <c r="Q12" s="116">
        <v>13537684</v>
      </c>
      <c r="R12" s="116">
        <v>17916500326</v>
      </c>
      <c r="S12" s="116">
        <v>130245.8</v>
      </c>
      <c r="T12" s="130">
        <f t="shared" si="1"/>
        <v>103.93950515102982</v>
      </c>
      <c r="U12" s="78">
        <f>S12/22</f>
        <v>5920.2636363636366</v>
      </c>
    </row>
    <row r="13" spans="1:29" ht="15" hidden="1" customHeight="1">
      <c r="A13" s="129" t="s">
        <v>96</v>
      </c>
      <c r="B13" s="131">
        <f>F11+F12+F13</f>
        <v>1808839.9346320345</v>
      </c>
      <c r="C13" s="131">
        <f>AVERAGE(F11:F13)</f>
        <v>602946.64487734484</v>
      </c>
      <c r="D13" s="90">
        <f>C13/C10-1</f>
        <v>-0.15310576706720758</v>
      </c>
      <c r="E13" s="90"/>
      <c r="F13" s="78">
        <f>Q13/20</f>
        <v>604922.9</v>
      </c>
      <c r="G13" s="90">
        <f t="shared" si="2"/>
        <v>-1.6943828796712856E-2</v>
      </c>
      <c r="H13" s="90"/>
      <c r="I13" s="130">
        <f t="shared" si="0"/>
        <v>66.391959161436219</v>
      </c>
      <c r="J13" s="130"/>
      <c r="K13" s="85">
        <f>Q11+Q12+Q13</f>
        <v>37996065</v>
      </c>
      <c r="L13" s="102">
        <f>K13/K10-1</f>
        <v>-0.15287330987411463</v>
      </c>
      <c r="N13" s="88">
        <f>AVERAGE(T11:T13)</f>
        <v>93.650748024034144</v>
      </c>
      <c r="O13" s="89">
        <f>N13/N10-1</f>
        <v>4.0018119019921583E-2</v>
      </c>
      <c r="P13" s="129" t="s">
        <v>96</v>
      </c>
      <c r="Q13" s="116">
        <v>12098458</v>
      </c>
      <c r="R13" s="116">
        <v>16613951854</v>
      </c>
      <c r="S13" s="116">
        <v>182227.76</v>
      </c>
      <c r="T13" s="130">
        <f t="shared" si="1"/>
        <v>66.391959161436219</v>
      </c>
      <c r="U13" s="78">
        <f>S13/20</f>
        <v>9111.3880000000008</v>
      </c>
    </row>
    <row r="14" spans="1:29" ht="15" hidden="1" customHeight="1">
      <c r="A14" s="129" t="s">
        <v>97</v>
      </c>
      <c r="C14" s="79"/>
      <c r="F14" s="78">
        <f>Q14/20</f>
        <v>517173.8</v>
      </c>
      <c r="G14" s="90">
        <f t="shared" si="2"/>
        <v>-0.14505832065540925</v>
      </c>
      <c r="H14" s="90"/>
      <c r="I14" s="130">
        <f t="shared" si="0"/>
        <v>94.157908554420814</v>
      </c>
      <c r="J14" s="130"/>
      <c r="K14" s="85"/>
      <c r="L14" s="90"/>
      <c r="O14" s="89"/>
      <c r="P14" s="129" t="s">
        <v>97</v>
      </c>
      <c r="Q14" s="116">
        <v>10343476</v>
      </c>
      <c r="R14" s="116">
        <v>14747872298</v>
      </c>
      <c r="S14" s="116">
        <v>109852.44</v>
      </c>
      <c r="T14" s="130">
        <f t="shared" si="1"/>
        <v>94.157908554420814</v>
      </c>
      <c r="U14" s="78">
        <f>S14/20</f>
        <v>5492.6220000000003</v>
      </c>
    </row>
    <row r="15" spans="1:29" ht="15" hidden="1" customHeight="1">
      <c r="A15" s="129" t="s">
        <v>98</v>
      </c>
      <c r="B15" s="131"/>
      <c r="C15" s="131"/>
      <c r="F15" s="78">
        <f>Q15/22</f>
        <v>395450.77272727271</v>
      </c>
      <c r="G15" s="90">
        <f t="shared" si="2"/>
        <v>-0.23536193688219953</v>
      </c>
      <c r="H15" s="90"/>
      <c r="I15" s="130">
        <f t="shared" si="0"/>
        <v>96.470306322757466</v>
      </c>
      <c r="J15" s="130"/>
      <c r="K15" s="78"/>
      <c r="L15" s="90"/>
      <c r="O15" s="89"/>
      <c r="P15" s="129" t="s">
        <v>98</v>
      </c>
      <c r="Q15" s="116">
        <v>8699917</v>
      </c>
      <c r="R15" s="116">
        <v>12059508123</v>
      </c>
      <c r="S15" s="116">
        <v>90182.33</v>
      </c>
      <c r="T15" s="130">
        <f t="shared" si="1"/>
        <v>96.470306322757466</v>
      </c>
      <c r="U15" s="78">
        <f>S15/22</f>
        <v>4099.1968181818183</v>
      </c>
    </row>
    <row r="16" spans="1:29" ht="15" hidden="1" customHeight="1">
      <c r="A16" s="129" t="s">
        <v>99</v>
      </c>
      <c r="B16" s="131">
        <f>F14+F15+F16</f>
        <v>1283176.5272727273</v>
      </c>
      <c r="C16" s="131">
        <f>AVERAGE(F14:F16)</f>
        <v>427725.50909090909</v>
      </c>
      <c r="D16" s="90">
        <f>C16/C13-1</f>
        <v>-0.2906080285463406</v>
      </c>
      <c r="E16" s="90"/>
      <c r="F16" s="78">
        <f>Q16/22</f>
        <v>370551.95454545453</v>
      </c>
      <c r="G16" s="90">
        <f t="shared" si="2"/>
        <v>-6.296312941836113E-2</v>
      </c>
      <c r="H16" s="90"/>
      <c r="I16" s="130">
        <f t="shared" si="0"/>
        <v>125.0095726026515</v>
      </c>
      <c r="J16" s="130"/>
      <c r="K16" s="85">
        <f>Q14+Q15+Q16</f>
        <v>27195536</v>
      </c>
      <c r="L16" s="102">
        <f>K16/K13-1</f>
        <v>-0.28425388260600148</v>
      </c>
      <c r="N16" s="88">
        <f>AVERAGE(T14:T16)</f>
        <v>105.21259582660991</v>
      </c>
      <c r="O16" s="89">
        <f>N16/N13-1</f>
        <v>0.12345707905727132</v>
      </c>
      <c r="P16" s="129" t="s">
        <v>99</v>
      </c>
      <c r="Q16" s="116">
        <v>8152143</v>
      </c>
      <c r="R16" s="116">
        <v>10691604608</v>
      </c>
      <c r="S16" s="116">
        <v>65212.15</v>
      </c>
      <c r="T16" s="130">
        <f t="shared" si="1"/>
        <v>125.0095726026515</v>
      </c>
      <c r="U16" s="78">
        <f>S16/22</f>
        <v>2964.1886363636363</v>
      </c>
    </row>
    <row r="17" spans="1:21" ht="15" hidden="1" customHeight="1">
      <c r="A17" s="129" t="s">
        <v>100</v>
      </c>
      <c r="C17" s="79"/>
      <c r="F17" s="78">
        <f>Q17/20</f>
        <v>415701.4</v>
      </c>
      <c r="G17" s="90">
        <f t="shared" si="2"/>
        <v>0.12184376549822562</v>
      </c>
      <c r="H17" s="90">
        <f t="shared" ref="H17:H32" si="3">F17/F5-1</f>
        <v>-0.33856107525389811</v>
      </c>
      <c r="I17" s="130">
        <f t="shared" si="0"/>
        <v>166.15262248068987</v>
      </c>
      <c r="J17" s="130">
        <f t="shared" ref="J17:J49" si="4">I17/I5-1</f>
        <v>0.91793177449654384</v>
      </c>
      <c r="K17" s="78"/>
      <c r="L17" s="90"/>
      <c r="O17" s="89"/>
      <c r="P17" s="129" t="s">
        <v>100</v>
      </c>
      <c r="Q17" s="116">
        <v>8314028</v>
      </c>
      <c r="R17" s="116">
        <v>10400745255</v>
      </c>
      <c r="S17" s="116">
        <v>50038.5</v>
      </c>
      <c r="T17" s="130">
        <f t="shared" si="1"/>
        <v>166.15262248068987</v>
      </c>
      <c r="U17" s="78">
        <f>S17/20</f>
        <v>2501.9250000000002</v>
      </c>
    </row>
    <row r="18" spans="1:21" ht="15" hidden="1" customHeight="1">
      <c r="A18" s="129" t="s">
        <v>106</v>
      </c>
      <c r="C18" s="79"/>
      <c r="F18" s="78">
        <f>Q18/20</f>
        <v>517532.95</v>
      </c>
      <c r="G18" s="90">
        <f t="shared" si="2"/>
        <v>0.24496321157446177</v>
      </c>
      <c r="H18" s="90">
        <f t="shared" si="3"/>
        <v>-0.25937335128639016</v>
      </c>
      <c r="I18" s="130">
        <f t="shared" si="0"/>
        <v>125.76190764900835</v>
      </c>
      <c r="J18" s="130">
        <f t="shared" si="4"/>
        <v>0.61167337938702815</v>
      </c>
      <c r="K18" s="78"/>
      <c r="O18" s="89"/>
      <c r="P18" s="129" t="s">
        <v>106</v>
      </c>
      <c r="Q18" s="116">
        <v>10350659</v>
      </c>
      <c r="R18" s="116">
        <v>12971296477</v>
      </c>
      <c r="S18" s="116">
        <v>82303.61</v>
      </c>
      <c r="T18" s="130">
        <f t="shared" si="1"/>
        <v>125.76190764900835</v>
      </c>
      <c r="U18" s="78">
        <f>S18/20</f>
        <v>4115.1805000000004</v>
      </c>
    </row>
    <row r="19" spans="1:21" hidden="1">
      <c r="A19" s="129" t="s">
        <v>114</v>
      </c>
      <c r="B19" s="131">
        <f>SUM(F17:F19)</f>
        <v>1405397.8045454547</v>
      </c>
      <c r="C19" s="131">
        <f>AVERAGE(F17:F19)</f>
        <v>468465.93484848487</v>
      </c>
      <c r="D19" s="90">
        <f>C19/C16-1</f>
        <v>9.5248997059272478E-2</v>
      </c>
      <c r="E19" s="90">
        <f>C19/C7-1</f>
        <v>-0.31258390795853974</v>
      </c>
      <c r="F19" s="78">
        <f>Q19/22</f>
        <v>472163.45454545453</v>
      </c>
      <c r="G19" s="90">
        <f t="shared" si="2"/>
        <v>-8.7664940859409013E-2</v>
      </c>
      <c r="H19" s="90">
        <f t="shared" si="3"/>
        <v>-0.3416636277316667</v>
      </c>
      <c r="I19" s="130">
        <f t="shared" si="0"/>
        <v>73.940872193128996</v>
      </c>
      <c r="J19" s="130">
        <f t="shared" si="4"/>
        <v>-0.16242029202787744</v>
      </c>
      <c r="K19" s="85">
        <f>Q17+Q18+Q19</f>
        <v>29052283</v>
      </c>
      <c r="L19" s="102">
        <f>K19/K16-1</f>
        <v>6.8273962314991721E-2</v>
      </c>
      <c r="M19" s="87">
        <f>U19/U7-1</f>
        <v>-0.21400152606103373</v>
      </c>
      <c r="N19" s="88">
        <f>AVERAGE(T17:T19)</f>
        <v>121.95180077427574</v>
      </c>
      <c r="O19" s="89">
        <f>N19/N16-1</f>
        <v>0.15909886849719013</v>
      </c>
      <c r="P19" s="129" t="s">
        <v>114</v>
      </c>
      <c r="Q19" s="116">
        <v>10387596</v>
      </c>
      <c r="R19" s="116">
        <v>13580174142</v>
      </c>
      <c r="S19" s="116">
        <v>140485.17000000001</v>
      </c>
      <c r="T19" s="130">
        <f t="shared" si="1"/>
        <v>73.940872193128996</v>
      </c>
      <c r="U19" s="78">
        <f>S19/22</f>
        <v>6385.6895454545456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646893.69999999995</v>
      </c>
      <c r="G20" s="90">
        <f t="shared" si="2"/>
        <v>0.3700630444233679</v>
      </c>
      <c r="H20" s="90">
        <f t="shared" si="3"/>
        <v>-0.10036813684545198</v>
      </c>
      <c r="I20" s="130">
        <f t="shared" si="0"/>
        <v>143.49506723970609</v>
      </c>
      <c r="J20" s="130">
        <f t="shared" si="4"/>
        <v>0.24939158857695687</v>
      </c>
      <c r="K20" s="78"/>
      <c r="O20" s="89"/>
      <c r="P20" s="129" t="s">
        <v>131</v>
      </c>
      <c r="Q20" s="116">
        <v>12937874</v>
      </c>
      <c r="R20" s="116">
        <v>16967410482</v>
      </c>
      <c r="S20" s="116">
        <v>90162.5</v>
      </c>
      <c r="T20" s="130">
        <f t="shared" si="1"/>
        <v>143.49506723970609</v>
      </c>
      <c r="U20" s="78">
        <f>S20/20</f>
        <v>4508.125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414270.42857142858</v>
      </c>
      <c r="G21" s="90">
        <f t="shared" si="2"/>
        <v>-0.35960045897582771</v>
      </c>
      <c r="H21" s="90">
        <f t="shared" si="3"/>
        <v>-0.45347139197240471</v>
      </c>
      <c r="I21" s="130">
        <f t="shared" si="0"/>
        <v>107.35885738318062</v>
      </c>
      <c r="J21" s="130">
        <f t="shared" si="4"/>
        <v>0.5840525002567245</v>
      </c>
      <c r="K21" s="78"/>
      <c r="O21" s="89"/>
      <c r="P21" s="129" t="s">
        <v>141</v>
      </c>
      <c r="Q21" s="116">
        <v>8699679</v>
      </c>
      <c r="R21" s="116">
        <v>11562022702</v>
      </c>
      <c r="S21" s="116">
        <v>81033.64</v>
      </c>
      <c r="T21" s="130">
        <f t="shared" si="1"/>
        <v>107.35885738318062</v>
      </c>
      <c r="U21" s="78">
        <f>S21/21</f>
        <v>3858.7447619047621</v>
      </c>
    </row>
    <row r="22" spans="1:21" hidden="1">
      <c r="A22" s="129" t="s">
        <v>155</v>
      </c>
      <c r="B22" s="131">
        <f>SUM(F20:F22)</f>
        <v>1575360.7476190478</v>
      </c>
      <c r="C22" s="131">
        <f>AVERAGE(F20:F22)</f>
        <v>525120.24920634925</v>
      </c>
      <c r="D22" s="90">
        <f>C22/C19-1</f>
        <v>0.12093582509086387</v>
      </c>
      <c r="E22" s="90">
        <f>C22/C10-1</f>
        <v>-0.26242012551615423</v>
      </c>
      <c r="F22" s="78">
        <f>Q22/21</f>
        <v>514196.61904761905</v>
      </c>
      <c r="G22" s="90">
        <f t="shared" si="2"/>
        <v>0.24121004924434564</v>
      </c>
      <c r="H22" s="90">
        <f t="shared" si="3"/>
        <v>-0.21947491629947924</v>
      </c>
      <c r="I22" s="130">
        <f t="shared" si="0"/>
        <v>106.1935951609815</v>
      </c>
      <c r="J22" s="130">
        <f t="shared" si="4"/>
        <v>0.21343422950483348</v>
      </c>
      <c r="K22" s="85">
        <f>Q20+Q21+Q22</f>
        <v>32435682</v>
      </c>
      <c r="L22" s="102">
        <f>K22/K19-1</f>
        <v>0.11645897157204477</v>
      </c>
      <c r="M22" s="87">
        <f>U22/U10-1</f>
        <v>-0.38600160380420956</v>
      </c>
      <c r="N22" s="88">
        <f>AVERAGE(T20:T22)</f>
        <v>119.01583992795607</v>
      </c>
      <c r="O22" s="89">
        <f>N22/N19-1</f>
        <v>-2.4074764191091669E-2</v>
      </c>
      <c r="P22" s="129" t="s">
        <v>155</v>
      </c>
      <c r="Q22" s="116">
        <v>10798129</v>
      </c>
      <c r="R22" s="116">
        <v>14070736371</v>
      </c>
      <c r="S22" s="116">
        <v>101683.43</v>
      </c>
      <c r="T22" s="130">
        <f t="shared" si="1"/>
        <v>106.1935951609815</v>
      </c>
      <c r="U22" s="78">
        <f>S22/22</f>
        <v>4621.9740909090906</v>
      </c>
    </row>
    <row r="23" spans="1:21" hidden="1">
      <c r="A23" s="129" t="s">
        <v>189</v>
      </c>
      <c r="B23" s="131"/>
      <c r="C23" s="131"/>
      <c r="F23" s="78">
        <f>Q23/21</f>
        <v>602488.66666666663</v>
      </c>
      <c r="G23" s="90">
        <f t="shared" si="2"/>
        <v>0.17170872842878615</v>
      </c>
      <c r="H23" s="90">
        <f t="shared" si="3"/>
        <v>2.3652170001382755E-2</v>
      </c>
      <c r="I23" s="130">
        <f t="shared" si="0"/>
        <v>72.056411051101406</v>
      </c>
      <c r="J23" s="130">
        <f t="shared" si="4"/>
        <v>-0.34861776234383801</v>
      </c>
      <c r="O23" s="89"/>
      <c r="P23" s="129" t="s">
        <v>189</v>
      </c>
      <c r="Q23" s="116">
        <v>12652262</v>
      </c>
      <c r="R23" s="116">
        <v>16353556964</v>
      </c>
      <c r="S23" s="116">
        <v>175588.29</v>
      </c>
      <c r="T23" s="130">
        <f t="shared" si="1"/>
        <v>72.056411051101406</v>
      </c>
      <c r="U23" s="78">
        <f>S23/21</f>
        <v>8361.3471428571429</v>
      </c>
    </row>
    <row r="24" spans="1:21" hidden="1">
      <c r="A24" s="129" t="s">
        <v>204</v>
      </c>
      <c r="B24" s="131"/>
      <c r="C24" s="131"/>
      <c r="F24" s="78">
        <f>Q24/22</f>
        <v>580480.54545454541</v>
      </c>
      <c r="G24" s="90">
        <f t="shared" si="2"/>
        <v>-3.6528689135155834E-2</v>
      </c>
      <c r="H24" s="90">
        <f t="shared" si="3"/>
        <v>-5.666493618849433E-2</v>
      </c>
      <c r="I24" s="130">
        <f t="shared" si="0"/>
        <v>111.94570184137609</v>
      </c>
      <c r="J24" s="130">
        <f t="shared" si="4"/>
        <v>7.7027465915994409E-2</v>
      </c>
      <c r="O24" s="89"/>
      <c r="P24" s="129" t="s">
        <v>204</v>
      </c>
      <c r="Q24" s="116">
        <v>12770572</v>
      </c>
      <c r="R24" s="116">
        <v>16709654754</v>
      </c>
      <c r="S24" s="116">
        <v>114078.27</v>
      </c>
      <c r="T24" s="130">
        <f t="shared" si="1"/>
        <v>111.94570184137609</v>
      </c>
      <c r="U24" s="78">
        <f>S24/22</f>
        <v>5185.3759090909089</v>
      </c>
    </row>
    <row r="25" spans="1:21" s="79" customFormat="1" ht="13.2" hidden="1">
      <c r="A25" s="129" t="s">
        <v>217</v>
      </c>
      <c r="B25" s="131">
        <f>SUM(F23:F25)</f>
        <v>1904536.4226475279</v>
      </c>
      <c r="C25" s="131">
        <f>AVERAGE(F23:F25)</f>
        <v>634845.47421584267</v>
      </c>
      <c r="D25" s="90">
        <f>C25/C22-1</f>
        <v>0.20895256881700663</v>
      </c>
      <c r="E25" s="90">
        <f>C25/C13-1</f>
        <v>5.2904895664502627E-2</v>
      </c>
      <c r="F25" s="78">
        <f>Q25/19</f>
        <v>721567.21052631584</v>
      </c>
      <c r="G25" s="90">
        <f t="shared" si="2"/>
        <v>0.24305149617252453</v>
      </c>
      <c r="H25" s="90">
        <f t="shared" si="3"/>
        <v>0.19282508651319996</v>
      </c>
      <c r="I25" s="130">
        <f t="shared" si="0"/>
        <v>51.398394611950991</v>
      </c>
      <c r="J25" s="130">
        <f t="shared" si="4"/>
        <v>-0.22583404283984798</v>
      </c>
      <c r="K25" s="85">
        <f>Q23+Q24+Q25</f>
        <v>39132611</v>
      </c>
      <c r="L25" s="102">
        <f>K25/K22-1</f>
        <v>0.20646795710970411</v>
      </c>
      <c r="M25" s="90">
        <f>U25/U13-1</f>
        <v>0.33067995388149019</v>
      </c>
      <c r="N25" s="88">
        <f>AVERAGE(T23:T25)</f>
        <v>78.466835834809501</v>
      </c>
      <c r="O25" s="91">
        <f>N25/N22-1</f>
        <v>-0.34070258309895651</v>
      </c>
      <c r="P25" s="129" t="s">
        <v>217</v>
      </c>
      <c r="Q25" s="116">
        <v>13709777</v>
      </c>
      <c r="R25" s="116">
        <v>18193190238</v>
      </c>
      <c r="S25" s="116">
        <v>266735.51</v>
      </c>
      <c r="T25" s="130">
        <f t="shared" si="1"/>
        <v>51.398394611950991</v>
      </c>
      <c r="U25" s="78">
        <f>S25/22</f>
        <v>12124.341363636364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662570</v>
      </c>
      <c r="G26" s="90">
        <f t="shared" si="2"/>
        <v>-8.1762599056133478E-2</v>
      </c>
      <c r="H26" s="90">
        <f t="shared" si="3"/>
        <v>0.28113605136223074</v>
      </c>
      <c r="I26" s="130">
        <f t="shared" si="0"/>
        <v>62.329888944452421</v>
      </c>
      <c r="J26" s="130">
        <f t="shared" si="4"/>
        <v>-0.33802810723618215</v>
      </c>
      <c r="K26" s="78"/>
      <c r="L26" s="90"/>
      <c r="M26" s="90"/>
      <c r="P26" s="129" t="s">
        <v>312</v>
      </c>
      <c r="Q26" s="116">
        <v>12588830</v>
      </c>
      <c r="R26" s="116">
        <v>16967187735</v>
      </c>
      <c r="S26" s="116">
        <v>201971</v>
      </c>
      <c r="T26" s="130">
        <f t="shared" si="1"/>
        <v>62.329888944452421</v>
      </c>
      <c r="U26" s="122">
        <f>S26/19</f>
        <v>10630.052631578947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632214.77272727271</v>
      </c>
      <c r="G27" s="90">
        <f t="shared" si="2"/>
        <v>-4.5814370214056321E-2</v>
      </c>
      <c r="H27" s="90">
        <f t="shared" si="3"/>
        <v>0.59871927513791223</v>
      </c>
      <c r="I27" s="130">
        <f t="shared" si="0"/>
        <v>81.058853889415786</v>
      </c>
      <c r="J27" s="130">
        <f t="shared" si="4"/>
        <v>-0.15975332743093096</v>
      </c>
      <c r="K27" s="78"/>
      <c r="L27" s="90"/>
      <c r="M27" s="90"/>
      <c r="P27" s="129" t="s">
        <v>373</v>
      </c>
      <c r="Q27" s="116">
        <v>13908725</v>
      </c>
      <c r="R27" s="116">
        <v>18406727332</v>
      </c>
      <c r="S27" s="116">
        <v>171587.98</v>
      </c>
      <c r="T27" s="130">
        <f t="shared" si="1"/>
        <v>81.058853889415786</v>
      </c>
      <c r="U27" s="122">
        <f>S27/22</f>
        <v>7799.4536363636371</v>
      </c>
    </row>
    <row r="28" spans="1:21" s="79" customFormat="1" ht="13.2" hidden="1">
      <c r="A28" s="123" t="s">
        <v>413</v>
      </c>
      <c r="B28" s="131">
        <f>SUM(F26:F28)</f>
        <v>2039559.6674641147</v>
      </c>
      <c r="C28" s="131">
        <f>AVERAGE(F26:F28)</f>
        <v>679853.22248803824</v>
      </c>
      <c r="D28" s="90">
        <f>C28/C25-1</f>
        <v>7.0895596015374984E-2</v>
      </c>
      <c r="E28" s="90">
        <f>C28/C16-1</f>
        <v>0.58946148414903576</v>
      </c>
      <c r="F28" s="78">
        <f>Q28/19</f>
        <v>744774.89473684214</v>
      </c>
      <c r="G28" s="90">
        <f t="shared" si="2"/>
        <v>0.17804095517098273</v>
      </c>
      <c r="H28" s="90">
        <f t="shared" si="3"/>
        <v>1.009906804163093</v>
      </c>
      <c r="I28" s="130">
        <f t="shared" si="0"/>
        <v>157.27591799708071</v>
      </c>
      <c r="J28" s="130">
        <f t="shared" si="4"/>
        <v>0.2581109968033346</v>
      </c>
      <c r="K28" s="85">
        <f>Q26+Q27+Q28</f>
        <v>40648278</v>
      </c>
      <c r="L28" s="102">
        <f>K28/K25-1</f>
        <v>3.8731558188131121E-2</v>
      </c>
      <c r="M28" s="90">
        <f>U28/U16-1</f>
        <v>0.5975592052449703</v>
      </c>
      <c r="N28" s="88">
        <f>AVERAGE(T26:T28)</f>
        <v>100.22155361031632</v>
      </c>
      <c r="O28" s="91">
        <f>N28/N25-1</f>
        <v>0.27724729236317658</v>
      </c>
      <c r="P28" s="129" t="s">
        <v>413</v>
      </c>
      <c r="Q28" s="116">
        <v>14150723</v>
      </c>
      <c r="R28" s="116">
        <v>18451548627</v>
      </c>
      <c r="S28" s="116">
        <v>89973.87</v>
      </c>
      <c r="T28" s="130">
        <f t="shared" si="1"/>
        <v>157.27591799708071</v>
      </c>
      <c r="U28" s="122">
        <f>S28/19</f>
        <v>4735.4668421052629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522731.22727272729</v>
      </c>
      <c r="G29" s="190">
        <f t="shared" si="2"/>
        <v>-0.29813527420600217</v>
      </c>
      <c r="H29" s="190">
        <f t="shared" si="3"/>
        <v>0.25746804622916186</v>
      </c>
      <c r="I29" s="130">
        <f t="shared" si="0"/>
        <v>97.95759950159551</v>
      </c>
      <c r="J29" s="130">
        <f t="shared" si="4"/>
        <v>-0.4104360314085318</v>
      </c>
      <c r="K29" s="136"/>
      <c r="L29" s="190"/>
      <c r="M29" s="190"/>
      <c r="N29" s="191"/>
      <c r="O29" s="192"/>
      <c r="P29" s="129" t="s">
        <v>426</v>
      </c>
      <c r="Q29" s="116">
        <v>11500087</v>
      </c>
      <c r="R29" s="116">
        <v>15197046591</v>
      </c>
      <c r="S29" s="116">
        <v>117398.62</v>
      </c>
      <c r="T29" s="130">
        <f t="shared" si="1"/>
        <v>97.95759950159551</v>
      </c>
      <c r="U29" s="122">
        <f>S29/22</f>
        <v>5336.300909090909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587860.05263157899</v>
      </c>
      <c r="G30" s="190">
        <f t="shared" si="2"/>
        <v>0.12459333202390011</v>
      </c>
      <c r="H30" s="190">
        <f t="shared" si="3"/>
        <v>0.13588913059850394</v>
      </c>
      <c r="I30" s="130">
        <f t="shared" si="0"/>
        <v>109.43080767738169</v>
      </c>
      <c r="J30" s="130">
        <f t="shared" si="4"/>
        <v>-0.12985728569898514</v>
      </c>
      <c r="K30" s="136"/>
      <c r="L30" s="190"/>
      <c r="M30" s="190"/>
      <c r="N30" s="191"/>
      <c r="O30" s="192"/>
      <c r="P30" s="129" t="s">
        <v>466</v>
      </c>
      <c r="Q30" s="116">
        <v>11169341</v>
      </c>
      <c r="R30" s="116">
        <v>14875705039</v>
      </c>
      <c r="S30" s="116">
        <v>102067.61</v>
      </c>
      <c r="T30" s="130">
        <f t="shared" si="1"/>
        <v>109.43080767738169</v>
      </c>
      <c r="U30" s="122">
        <f>S30/19</f>
        <v>5371.9794736842105</v>
      </c>
    </row>
    <row r="31" spans="1:21" s="79" customFormat="1" ht="13.2" hidden="1">
      <c r="A31" s="129" t="s">
        <v>505</v>
      </c>
      <c r="B31" s="188">
        <f>SUM(F29:F31)</f>
        <v>1791576.0299043064</v>
      </c>
      <c r="C31" s="188">
        <f>AVERAGE(F29:F31)</f>
        <v>597192.00996810209</v>
      </c>
      <c r="D31" s="190">
        <f>C31/C28-1</f>
        <v>-0.12158685108150757</v>
      </c>
      <c r="E31" s="190">
        <f>C31/C19-1</f>
        <v>0.27478214645692622</v>
      </c>
      <c r="F31" s="136">
        <f>Q31/20</f>
        <v>680984.75</v>
      </c>
      <c r="G31" s="190">
        <f t="shared" si="2"/>
        <v>0.15841303887131741</v>
      </c>
      <c r="H31" s="190">
        <f t="shared" si="3"/>
        <v>0.44226484164382218</v>
      </c>
      <c r="I31" s="130">
        <f t="shared" si="0"/>
        <v>107.91974331324359</v>
      </c>
      <c r="J31" s="130">
        <f t="shared" si="4"/>
        <v>0.45954111863008418</v>
      </c>
      <c r="K31" s="136">
        <f>Q29+Q30+Q31</f>
        <v>36289123</v>
      </c>
      <c r="L31" s="190">
        <f>K31/K28-1</f>
        <v>-0.1072408282584566</v>
      </c>
      <c r="M31" s="190">
        <f>U31/U19-1</f>
        <v>-1.1836786758346096E-2</v>
      </c>
      <c r="N31" s="191">
        <f>AVERAGE(T29:T31)</f>
        <v>105.10271683074028</v>
      </c>
      <c r="O31" s="192">
        <f>N31/N28-1</f>
        <v>4.8703727337963798E-2</v>
      </c>
      <c r="P31" s="129" t="s">
        <v>505</v>
      </c>
      <c r="Q31" s="116">
        <v>13619695</v>
      </c>
      <c r="R31" s="116">
        <v>18090340626</v>
      </c>
      <c r="S31" s="116">
        <v>126202.07</v>
      </c>
      <c r="T31" s="130">
        <f t="shared" si="1"/>
        <v>107.91974331324359</v>
      </c>
      <c r="U31" s="122">
        <f>S31/20</f>
        <v>6310.1035000000002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972217.14285714284</v>
      </c>
      <c r="G32" s="190">
        <f t="shared" si="2"/>
        <v>0.42766360459194264</v>
      </c>
      <c r="H32" s="190">
        <f t="shared" si="3"/>
        <v>0.50290092925181207</v>
      </c>
      <c r="I32" s="130">
        <f t="shared" si="0"/>
        <v>117.73703356716702</v>
      </c>
      <c r="J32" s="130">
        <f t="shared" si="4"/>
        <v>-0.17950466289904388</v>
      </c>
      <c r="K32" s="136"/>
      <c r="L32" s="190"/>
      <c r="M32" s="190"/>
      <c r="N32" s="191"/>
      <c r="O32" s="192"/>
      <c r="P32" s="129" t="s">
        <v>561</v>
      </c>
      <c r="Q32" s="116">
        <v>20416560</v>
      </c>
      <c r="R32" s="116">
        <v>27767755240</v>
      </c>
      <c r="S32" s="116">
        <v>173408.14</v>
      </c>
      <c r="T32" s="130">
        <f t="shared" si="1"/>
        <v>117.73703356716702</v>
      </c>
      <c r="U32" s="122">
        <f>S32/21</f>
        <v>8257.5304761904772</v>
      </c>
    </row>
    <row r="33" spans="1:21" s="79" customFormat="1" ht="13.2" hidden="1">
      <c r="A33" s="129" t="s">
        <v>615</v>
      </c>
      <c r="B33" s="188"/>
      <c r="C33" s="188"/>
      <c r="D33" s="190"/>
      <c r="E33" s="190"/>
      <c r="F33" s="136">
        <f>Q33/21</f>
        <v>677122.47619047621</v>
      </c>
      <c r="G33" s="190">
        <f t="shared" ref="G33" si="5">F33/F32-1</f>
        <v>-0.30352752863361898</v>
      </c>
      <c r="H33" s="190">
        <f t="shared" ref="H33" si="6">F33/F21-1</f>
        <v>0.63449387040602301</v>
      </c>
      <c r="I33" s="130">
        <f t="shared" si="0"/>
        <v>120.96175485911699</v>
      </c>
      <c r="J33" s="130">
        <f t="shared" si="4"/>
        <v>0.12670493900084545</v>
      </c>
      <c r="K33" s="136"/>
      <c r="L33" s="190"/>
      <c r="M33" s="190"/>
      <c r="N33" s="191"/>
      <c r="O33" s="192"/>
      <c r="P33" s="129" t="s">
        <v>624</v>
      </c>
      <c r="Q33" s="116">
        <v>14219572</v>
      </c>
      <c r="R33" s="116">
        <v>19398426830</v>
      </c>
      <c r="S33" s="116">
        <v>117554.28</v>
      </c>
      <c r="T33" s="130">
        <f t="shared" ref="T33" si="7">Q33/S33</f>
        <v>120.96175485911699</v>
      </c>
      <c r="U33" s="122">
        <f>S33/21</f>
        <v>5597.8228571428572</v>
      </c>
    </row>
    <row r="34" spans="1:21" s="79" customFormat="1" ht="13.2" hidden="1">
      <c r="A34" s="129" t="s">
        <v>652</v>
      </c>
      <c r="B34" s="188">
        <f>SUM(F32:F34)</f>
        <v>2522832.0401002504</v>
      </c>
      <c r="C34" s="188">
        <f>AVERAGE(F32:F34)</f>
        <v>840944.01336675009</v>
      </c>
      <c r="D34" s="190">
        <f>C34/C31-1</f>
        <v>0.40816353757255985</v>
      </c>
      <c r="E34" s="190">
        <f>C34/C22-1</f>
        <v>0.60143131908877501</v>
      </c>
      <c r="F34" s="136">
        <f>Q34/19</f>
        <v>873492.42105263157</v>
      </c>
      <c r="G34" s="190">
        <f t="shared" ref="G34" si="8">F34/F33-1</f>
        <v>0.29000653761627015</v>
      </c>
      <c r="H34" s="190">
        <f t="shared" ref="H34" si="9">F34/F22-1</f>
        <v>0.6987517783965409</v>
      </c>
      <c r="I34" s="130">
        <f t="shared" si="0"/>
        <v>127.94214758422252</v>
      </c>
      <c r="J34" s="130">
        <f t="shared" si="4"/>
        <v>0.20480098060784035</v>
      </c>
      <c r="K34" s="136">
        <f>Q32+Q33+Q34</f>
        <v>51232488</v>
      </c>
      <c r="L34" s="190">
        <f>K34/K31-1</f>
        <v>0.41178633608753779</v>
      </c>
      <c r="M34" s="190">
        <f>U34/U22-1</f>
        <v>0.47712754958672932</v>
      </c>
      <c r="N34" s="191">
        <f>AVERAGE(T32:T34)</f>
        <v>122.21364533683551</v>
      </c>
      <c r="O34" s="192">
        <f>N34/N31-1</f>
        <v>0.16280196194786334</v>
      </c>
      <c r="P34" s="129" t="s">
        <v>652</v>
      </c>
      <c r="Q34" s="116">
        <v>16596356</v>
      </c>
      <c r="R34" s="116">
        <v>22818373606</v>
      </c>
      <c r="S34" s="116">
        <v>129717.66</v>
      </c>
      <c r="T34" s="130">
        <f t="shared" ref="T34" si="10">Q34/S34</f>
        <v>127.94214758422252</v>
      </c>
      <c r="U34" s="142">
        <f>S34/19</f>
        <v>6827.2452631578954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772954.43478260865</v>
      </c>
      <c r="G35" s="190">
        <f t="shared" ref="G35" si="11">F35/F34-1</f>
        <v>-0.11509886502376998</v>
      </c>
      <c r="H35" s="190">
        <f t="shared" ref="H35" si="12">F35/F23-1</f>
        <v>0.28293605763418284</v>
      </c>
      <c r="I35" s="130">
        <f t="shared" si="0"/>
        <v>157.11636169206773</v>
      </c>
      <c r="J35" s="130">
        <f t="shared" si="4"/>
        <v>1.1804633258884207</v>
      </c>
      <c r="K35" s="136"/>
      <c r="L35" s="190"/>
      <c r="M35" s="190"/>
      <c r="N35" s="191"/>
      <c r="O35" s="192"/>
      <c r="P35" s="129" t="s">
        <v>660</v>
      </c>
      <c r="Q35" s="116">
        <v>17777952</v>
      </c>
      <c r="R35" s="116">
        <v>24592928875</v>
      </c>
      <c r="S35" s="116">
        <v>113151.5</v>
      </c>
      <c r="T35" s="130">
        <f t="shared" ref="T35" si="13">Q35/S35</f>
        <v>157.11636169206773</v>
      </c>
      <c r="U35" s="142">
        <f>S35/23</f>
        <v>4919.630434782609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770474</v>
      </c>
      <c r="G36" s="190">
        <f t="shared" ref="G36" si="14">F36/F35-1</f>
        <v>-3.2090310514956144E-3</v>
      </c>
      <c r="H36" s="190">
        <f t="shared" ref="H36" si="15">F36/F24-1</f>
        <v>0.3273037417587874</v>
      </c>
      <c r="I36" s="130">
        <f t="shared" si="0"/>
        <v>173.83939579356891</v>
      </c>
      <c r="J36" s="130">
        <f t="shared" si="4"/>
        <v>0.5528903114109236</v>
      </c>
      <c r="K36" s="136"/>
      <c r="L36" s="190"/>
      <c r="M36" s="190"/>
      <c r="N36" s="191"/>
      <c r="O36" s="192"/>
      <c r="P36" s="129" t="s">
        <v>666</v>
      </c>
      <c r="Q36" s="116">
        <v>16179954</v>
      </c>
      <c r="R36" s="116">
        <v>22083670912</v>
      </c>
      <c r="S36" s="116">
        <v>93074.15</v>
      </c>
      <c r="T36" s="130">
        <f t="shared" ref="T36" si="16">Q36/S36</f>
        <v>173.83939579356891</v>
      </c>
      <c r="U36" s="142">
        <f>S36/21</f>
        <v>4432.1023809523804</v>
      </c>
    </row>
    <row r="37" spans="1:21" s="79" customFormat="1" ht="13.2" hidden="1">
      <c r="A37" s="129" t="s">
        <v>702</v>
      </c>
      <c r="B37" s="188">
        <f>SUM(F35:F37)</f>
        <v>2946010.9347826084</v>
      </c>
      <c r="C37" s="188">
        <f>AVERAGE(F35:F37)</f>
        <v>982003.64492753614</v>
      </c>
      <c r="D37" s="190">
        <f>C37/C34-1</f>
        <v>0.16773962275567977</v>
      </c>
      <c r="E37" s="190">
        <f>C37/C25-1</f>
        <v>0.54683885262079124</v>
      </c>
      <c r="F37" s="136">
        <f>Q37/18</f>
        <v>1402582.5</v>
      </c>
      <c r="G37" s="190">
        <f t="shared" ref="G37" si="17">F37/F36-1</f>
        <v>0.82041509512326183</v>
      </c>
      <c r="H37" s="190">
        <f t="shared" ref="H37" si="18">F37/F25-1</f>
        <v>0.94380021644407486</v>
      </c>
      <c r="I37" s="130">
        <f t="shared" si="0"/>
        <v>147.15508166641214</v>
      </c>
      <c r="J37" s="130">
        <f t="shared" si="4"/>
        <v>1.8630287536684289</v>
      </c>
      <c r="K37" s="136">
        <f>Q35+Q36+Q37</f>
        <v>59204391</v>
      </c>
      <c r="L37" s="190">
        <f>K37/K34-1</f>
        <v>0.15560249582257257</v>
      </c>
      <c r="M37" s="190">
        <f>U37/U25-1</f>
        <v>-0.21386886624548462</v>
      </c>
      <c r="N37" s="191">
        <f>AVERAGE(T35:T37)</f>
        <v>159.3702797173496</v>
      </c>
      <c r="O37" s="192">
        <f>N37/N34-1</f>
        <v>0.30403016191936616</v>
      </c>
      <c r="P37" s="129" t="s">
        <v>702</v>
      </c>
      <c r="Q37" s="116">
        <v>25246485</v>
      </c>
      <c r="R37" s="116">
        <v>33692393889</v>
      </c>
      <c r="S37" s="116">
        <v>171563.8</v>
      </c>
      <c r="T37" s="130">
        <f t="shared" ref="T37" si="19">Q37/S37</f>
        <v>147.15508166641214</v>
      </c>
      <c r="U37" s="142">
        <f>S37/18</f>
        <v>9531.3222222222212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1277909.3</v>
      </c>
      <c r="G38" s="190">
        <f t="shared" ref="G38" si="20">F38/F37-1</f>
        <v>-8.8888318512458264E-2</v>
      </c>
      <c r="H38" s="190">
        <f t="shared" ref="H38" si="21">F38/F26-1</f>
        <v>0.92871590926241754</v>
      </c>
      <c r="I38" s="130">
        <f t="shared" si="0"/>
        <v>292.81803630491032</v>
      </c>
      <c r="J38" s="130">
        <f t="shared" si="4"/>
        <v>3.6978751488850863</v>
      </c>
      <c r="K38" s="136"/>
      <c r="L38" s="190"/>
      <c r="M38" s="190"/>
      <c r="N38" s="191"/>
      <c r="O38" s="192"/>
      <c r="P38" s="129" t="s">
        <v>759</v>
      </c>
      <c r="Q38" s="116">
        <v>25558186</v>
      </c>
      <c r="R38" s="116">
        <v>34548252956</v>
      </c>
      <c r="S38" s="116">
        <v>87283.51</v>
      </c>
      <c r="T38" s="130">
        <f t="shared" ref="T38" si="22">Q38/S38</f>
        <v>292.81803630491032</v>
      </c>
      <c r="U38" s="142">
        <f>S38/20</f>
        <v>4364.1754999999994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988871.19047619053</v>
      </c>
      <c r="G39" s="190">
        <f t="shared" ref="G39" si="23">F39/F38-1</f>
        <v>-0.22618045703541678</v>
      </c>
      <c r="H39" s="190">
        <f t="shared" ref="H39" si="24">F39/F27-1</f>
        <v>0.5641380637316642</v>
      </c>
      <c r="I39" s="130">
        <f t="shared" si="0"/>
        <v>207.96024997336193</v>
      </c>
      <c r="J39" s="130">
        <f t="shared" si="4"/>
        <v>1.5655463899979494</v>
      </c>
      <c r="K39" s="136"/>
      <c r="L39" s="190"/>
      <c r="M39" s="190"/>
      <c r="N39" s="191"/>
      <c r="O39" s="192"/>
      <c r="P39" s="129" t="s">
        <v>762</v>
      </c>
      <c r="Q39" s="116">
        <v>20766295</v>
      </c>
      <c r="R39" s="116">
        <v>28880116335</v>
      </c>
      <c r="S39" s="116">
        <v>99857.04</v>
      </c>
      <c r="T39" s="130">
        <f t="shared" ref="T39" si="25">Q39/S39</f>
        <v>207.96024997336193</v>
      </c>
      <c r="U39" s="142">
        <f>S39/21</f>
        <v>4755.0971428571429</v>
      </c>
    </row>
    <row r="40" spans="1:21" s="79" customFormat="1" ht="13.2" hidden="1">
      <c r="A40" s="129" t="s">
        <v>778</v>
      </c>
      <c r="B40" s="188">
        <f>SUM(F38:F40)</f>
        <v>3126233.1095238095</v>
      </c>
      <c r="C40" s="188">
        <f>AVERAGE(F38:F40)</f>
        <v>1042077.7031746032</v>
      </c>
      <c r="D40" s="190">
        <f>C40/C37-1</f>
        <v>6.117498499865559E-2</v>
      </c>
      <c r="E40" s="190">
        <f>C40/C28-1</f>
        <v>0.53279806391288842</v>
      </c>
      <c r="F40" s="136">
        <f>Q40/21</f>
        <v>859452.61904761905</v>
      </c>
      <c r="G40" s="190">
        <f t="shared" ref="G40" si="26">F40/F39-1</f>
        <v>-0.13087505498693919</v>
      </c>
      <c r="H40" s="190">
        <f t="shared" ref="H40" si="27">F40/F28-1</f>
        <v>0.15397635597168868</v>
      </c>
      <c r="I40" s="130">
        <f t="shared" si="0"/>
        <v>196.88562234100579</v>
      </c>
      <c r="J40" s="130">
        <f t="shared" si="4"/>
        <v>0.25184850197256714</v>
      </c>
      <c r="K40" s="136">
        <f>Q38+Q39+Q40</f>
        <v>64372986</v>
      </c>
      <c r="L40" s="190">
        <f>K40/K37-1</f>
        <v>8.7300872666691287E-2</v>
      </c>
      <c r="M40" s="190">
        <f>U40/U28-1</f>
        <v>-7.8182100986388448E-2</v>
      </c>
      <c r="N40" s="191">
        <f>AVERAGE(T38:T40)</f>
        <v>232.55463620642604</v>
      </c>
      <c r="O40" s="192">
        <f>N40/N37-1</f>
        <v>0.45920956290515513</v>
      </c>
      <c r="P40" s="129" t="s">
        <v>778</v>
      </c>
      <c r="Q40" s="116">
        <v>18048505</v>
      </c>
      <c r="R40" s="116">
        <v>25636885516</v>
      </c>
      <c r="S40" s="116">
        <v>91670</v>
      </c>
      <c r="T40" s="130">
        <f t="shared" ref="T40" si="28">Q40/S40</f>
        <v>196.88562234100579</v>
      </c>
      <c r="U40" s="142">
        <f>S40/21</f>
        <v>4365.2380952380954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628863.66666666663</v>
      </c>
      <c r="G41" s="190">
        <f t="shared" ref="G41" si="29">F41/F40-1</f>
        <v>-0.26829745732402777</v>
      </c>
      <c r="H41" s="190">
        <f t="shared" ref="H41" si="30">F41/F29-1</f>
        <v>0.20303443501485385</v>
      </c>
      <c r="I41" s="130">
        <f t="shared" si="0"/>
        <v>138.61587962466899</v>
      </c>
      <c r="J41" s="130">
        <f t="shared" si="4"/>
        <v>0.41505998850463111</v>
      </c>
      <c r="K41" s="136"/>
      <c r="L41" s="190"/>
      <c r="M41" s="190"/>
      <c r="N41" s="193"/>
      <c r="O41" s="193"/>
      <c r="P41" s="129" t="s">
        <v>792</v>
      </c>
      <c r="Q41" s="116">
        <v>11319546</v>
      </c>
      <c r="R41" s="116">
        <v>16523823292</v>
      </c>
      <c r="S41" s="116">
        <v>81661.25</v>
      </c>
      <c r="T41" s="130">
        <f t="shared" ref="T41" si="31">Q41/S41</f>
        <v>138.61587962466899</v>
      </c>
      <c r="U41" s="142">
        <f>S41/18</f>
        <v>4536.7361111111113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985237.75</v>
      </c>
      <c r="G42" s="190">
        <f t="shared" ref="G42" si="32">F42/F41-1</f>
        <v>0.56669529855702705</v>
      </c>
      <c r="H42" s="190">
        <f t="shared" ref="H42" si="33">F42/F30-1</f>
        <v>0.67597329600734724</v>
      </c>
      <c r="I42" s="130">
        <f t="shared" si="0"/>
        <v>146.29138740972678</v>
      </c>
      <c r="J42" s="130">
        <f t="shared" si="4"/>
        <v>0.33683914534392878</v>
      </c>
      <c r="K42" s="136"/>
      <c r="L42" s="190"/>
      <c r="M42" s="190"/>
      <c r="N42" s="193"/>
      <c r="O42" s="193"/>
      <c r="P42" s="129" t="s">
        <v>826</v>
      </c>
      <c r="Q42" s="116">
        <v>19704755</v>
      </c>
      <c r="R42" s="116">
        <v>28466361661</v>
      </c>
      <c r="S42" s="116">
        <v>134695.25</v>
      </c>
      <c r="T42" s="130">
        <f t="shared" ref="T42" si="34">Q42/S42</f>
        <v>146.29138740972678</v>
      </c>
      <c r="U42" s="142">
        <f>S42/20</f>
        <v>6734.7624999999998</v>
      </c>
    </row>
    <row r="43" spans="1:21" s="79" customFormat="1" ht="13.2">
      <c r="A43" s="129" t="s">
        <v>835</v>
      </c>
      <c r="B43" s="188">
        <f>SUM(F41:F43)</f>
        <v>2393299.5666666664</v>
      </c>
      <c r="C43" s="188">
        <f>AVERAGE(F41:F43)</f>
        <v>797766.52222222218</v>
      </c>
      <c r="D43" s="190">
        <f>C43/C40-1</f>
        <v>-0.23444622239599533</v>
      </c>
      <c r="E43" s="190">
        <f>C43/C31-1</f>
        <v>0.33586268554536325</v>
      </c>
      <c r="F43" s="136">
        <f>Q43/20</f>
        <v>779198.15</v>
      </c>
      <c r="G43" s="190">
        <f t="shared" ref="G43" si="35">F43/F42-1</f>
        <v>-0.20912678183514588</v>
      </c>
      <c r="H43" s="190">
        <f t="shared" ref="H43" si="36">F43/F31-1</f>
        <v>0.14422261291460647</v>
      </c>
      <c r="I43" s="130">
        <f t="shared" si="0"/>
        <v>204.64608382315089</v>
      </c>
      <c r="J43" s="130">
        <f t="shared" si="4"/>
        <v>0.89628030553365234</v>
      </c>
      <c r="K43" s="136">
        <f>Q41+Q42+Q43</f>
        <v>46608264</v>
      </c>
      <c r="L43" s="190">
        <f>K43/K40-1</f>
        <v>-0.27596548030256041</v>
      </c>
      <c r="M43" s="190">
        <f>U43/U31-1</f>
        <v>-0.39659626819116356</v>
      </c>
      <c r="N43" s="191">
        <f>AVERAGE(T41:T43)</f>
        <v>163.1844502858489</v>
      </c>
      <c r="O43" s="192">
        <f>N43/N40-1</f>
        <v>-0.29829629308701899</v>
      </c>
      <c r="P43" s="129" t="s">
        <v>835</v>
      </c>
      <c r="Q43" s="116">
        <v>15583963</v>
      </c>
      <c r="R43" s="116">
        <v>22628403578</v>
      </c>
      <c r="S43" s="116">
        <v>76150.8</v>
      </c>
      <c r="T43" s="130">
        <f t="shared" ref="T43" si="37">Q43/S43</f>
        <v>204.64608382315089</v>
      </c>
      <c r="U43" s="142">
        <f>S43/20</f>
        <v>3807.54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915947.5</v>
      </c>
      <c r="G44" s="190">
        <f t="shared" ref="G44" si="38">F44/F43-1</f>
        <v>0.17550009583569981</v>
      </c>
      <c r="H44" s="190">
        <f t="shared" ref="H44" si="39">F44/F32-1</f>
        <v>-5.7877649319963753E-2</v>
      </c>
      <c r="I44" s="130">
        <f t="shared" si="0"/>
        <v>184.72215652561636</v>
      </c>
      <c r="J44" s="130">
        <f t="shared" si="4"/>
        <v>0.56893842938751682</v>
      </c>
      <c r="K44" s="136"/>
      <c r="L44" s="190"/>
      <c r="M44" s="190"/>
      <c r="N44" s="191"/>
      <c r="O44" s="192"/>
      <c r="P44" s="129" t="s">
        <v>839</v>
      </c>
      <c r="Q44" s="116">
        <v>20150845</v>
      </c>
      <c r="R44" s="116">
        <v>29230823039</v>
      </c>
      <c r="S44" s="116">
        <v>109087.32</v>
      </c>
      <c r="T44" s="130">
        <f t="shared" ref="T44" si="40">Q44/S44</f>
        <v>184.72215652561636</v>
      </c>
      <c r="U44" s="142">
        <f>S44/22</f>
        <v>4958.5145454545454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794953.4</v>
      </c>
      <c r="G45" s="190">
        <f t="shared" ref="G45" si="41">F45/F44-1</f>
        <v>-0.13209719989409874</v>
      </c>
      <c r="H45" s="190">
        <f t="shared" ref="H45" si="42">F45/F33-1</f>
        <v>0.17401715044587829</v>
      </c>
      <c r="I45" s="130">
        <f t="shared" si="0"/>
        <v>226.7419113638156</v>
      </c>
      <c r="J45" s="130">
        <f t="shared" si="4"/>
        <v>0.87449257517716861</v>
      </c>
      <c r="K45" s="136"/>
      <c r="L45" s="190"/>
      <c r="M45" s="190"/>
      <c r="N45" s="191"/>
      <c r="O45" s="192"/>
      <c r="P45" s="129" t="s">
        <v>848</v>
      </c>
      <c r="Q45" s="116">
        <v>15899068</v>
      </c>
      <c r="R45" s="116">
        <v>22311519023</v>
      </c>
      <c r="S45" s="116">
        <v>70119.67</v>
      </c>
      <c r="T45" s="130">
        <f t="shared" ref="T45" si="43">Q45/S45</f>
        <v>226.7419113638156</v>
      </c>
      <c r="U45" s="142">
        <f>S45/20</f>
        <v>3505.9834999999998</v>
      </c>
    </row>
    <row r="46" spans="1:21" s="79" customFormat="1" ht="13.2">
      <c r="A46" s="129" t="s">
        <v>888</v>
      </c>
      <c r="B46" s="188">
        <f>SUM(F44:F46)</f>
        <v>2671405.1105263159</v>
      </c>
      <c r="C46" s="188">
        <f>AVERAGE(F44:F46)</f>
        <v>890468.37017543858</v>
      </c>
      <c r="D46" s="190">
        <f>C46/C43-1</f>
        <v>0.11620172741141155</v>
      </c>
      <c r="E46" s="190">
        <f>C46/C34-1</f>
        <v>5.8891383994061464E-2</v>
      </c>
      <c r="F46" s="136">
        <f>Q46/19</f>
        <v>960504.21052631584</v>
      </c>
      <c r="G46" s="190">
        <f t="shared" ref="G46" si="44">F46/F45-1</f>
        <v>0.20825222022613632</v>
      </c>
      <c r="H46" s="190">
        <f t="shared" ref="H46" si="45">F46/F34-1</f>
        <v>9.961367423065659E-2</v>
      </c>
      <c r="I46" s="130">
        <f t="shared" si="0"/>
        <v>197.14844409567871</v>
      </c>
      <c r="J46" s="130">
        <f t="shared" si="4"/>
        <v>0.54091867158864626</v>
      </c>
      <c r="K46" s="136">
        <f>Q44+Q45+Q46</f>
        <v>54299493</v>
      </c>
      <c r="L46" s="190">
        <f>K46/K43-1</f>
        <v>0.16501856838092066</v>
      </c>
      <c r="M46" s="190">
        <f>U46/U34-1</f>
        <v>-0.28639084300472262</v>
      </c>
      <c r="N46" s="191">
        <f>AVERAGE(T44:T46)</f>
        <v>202.87083732837019</v>
      </c>
      <c r="O46" s="192">
        <f>N46/N43-1</f>
        <v>0.24319956327335701</v>
      </c>
      <c r="P46" s="129" t="s">
        <v>888</v>
      </c>
      <c r="Q46" s="116">
        <v>18249580</v>
      </c>
      <c r="R46" s="116">
        <v>25004410907</v>
      </c>
      <c r="S46" s="116">
        <v>92567.71</v>
      </c>
      <c r="T46" s="130">
        <f t="shared" ref="T46" si="46">Q46/S46</f>
        <v>197.14844409567871</v>
      </c>
      <c r="U46" s="142">
        <f>S46/19</f>
        <v>4871.984736842106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958633.34782608692</v>
      </c>
      <c r="G47" s="190">
        <f t="shared" ref="G47" si="47">F47/F46-1</f>
        <v>-1.9477922946363746E-3</v>
      </c>
      <c r="H47" s="190">
        <f t="shared" ref="H47" si="48">F47/F35-1</f>
        <v>0.24021973959655196</v>
      </c>
      <c r="I47" s="130">
        <f t="shared" si="0"/>
        <v>157.21023326167267</v>
      </c>
      <c r="J47" s="130">
        <f t="shared" si="4"/>
        <v>5.9746527092396917E-4</v>
      </c>
      <c r="K47" s="136"/>
      <c r="L47" s="190"/>
      <c r="M47" s="190"/>
      <c r="N47" s="191"/>
      <c r="O47" s="192"/>
      <c r="P47" s="129" t="s">
        <v>991</v>
      </c>
      <c r="Q47" s="116">
        <v>22048567</v>
      </c>
      <c r="R47" s="116">
        <v>30240225493</v>
      </c>
      <c r="S47" s="116">
        <v>140248.93</v>
      </c>
      <c r="T47" s="130">
        <f t="shared" ref="T47" si="49">Q47/S47</f>
        <v>157.21023326167267</v>
      </c>
      <c r="U47" s="142">
        <f>S47/23</f>
        <v>6097.7795652173909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969598.05</v>
      </c>
      <c r="G48" s="190">
        <f t="shared" ref="G48" si="50">F48/F47-1</f>
        <v>1.1437847638805732E-2</v>
      </c>
      <c r="H48" s="190">
        <f t="shared" ref="H48" si="51">F48/F36-1</f>
        <v>0.25844356850458294</v>
      </c>
      <c r="I48" s="130">
        <f t="shared" si="0"/>
        <v>229.85339586199049</v>
      </c>
      <c r="J48" s="130">
        <f t="shared" si="4"/>
        <v>0.32221695095476033</v>
      </c>
      <c r="K48" s="136"/>
      <c r="L48" s="190"/>
      <c r="M48" s="190"/>
      <c r="N48" s="191"/>
      <c r="O48" s="192"/>
      <c r="P48" s="129" t="s">
        <v>1070</v>
      </c>
      <c r="Q48" s="116">
        <v>19391961</v>
      </c>
      <c r="R48" s="116">
        <v>26904259512</v>
      </c>
      <c r="S48" s="116">
        <v>84366.65</v>
      </c>
      <c r="T48" s="130">
        <f t="shared" ref="T48" si="52">Q48/S48</f>
        <v>229.85339586199049</v>
      </c>
      <c r="U48" s="142">
        <f>S48/13</f>
        <v>6489.7423076923069</v>
      </c>
    </row>
    <row r="49" spans="1:26" ht="13.2">
      <c r="A49" s="129" t="s">
        <v>1158</v>
      </c>
      <c r="B49" s="188">
        <f>SUM(F47:F49)</f>
        <v>3019083.6705533597</v>
      </c>
      <c r="C49" s="188">
        <f>AVERAGE(F47:F49)</f>
        <v>1006361.2235177866</v>
      </c>
      <c r="D49" s="190">
        <f>C49/C46-1</f>
        <v>0.13014819753734197</v>
      </c>
      <c r="E49" s="190">
        <f>C49/C37-1</f>
        <v>2.4803959451747071E-2</v>
      </c>
      <c r="F49" s="136">
        <f>Q49/22</f>
        <v>1090852.2727272727</v>
      </c>
      <c r="G49" s="190">
        <f t="shared" ref="G49" si="53">F49/F48-1</f>
        <v>0.12505617428507887</v>
      </c>
      <c r="H49" s="190">
        <f t="shared" ref="H49" si="54">F49/F37-1</f>
        <v>-0.22225446793520331</v>
      </c>
      <c r="I49" s="130">
        <f t="shared" si="0"/>
        <v>215.11999435639154</v>
      </c>
      <c r="J49" s="130">
        <f t="shared" si="4"/>
        <v>0.46185909395945957</v>
      </c>
      <c r="K49" s="136">
        <f>Q47+Q48+Q49</f>
        <v>65439278</v>
      </c>
      <c r="L49" s="190">
        <f>K49/K46-1</f>
        <v>0.20515449379978556</v>
      </c>
      <c r="M49" s="190">
        <f>U49/U37-1</f>
        <v>-0.46797503584407341</v>
      </c>
      <c r="N49" s="191">
        <f>AVERAGE(T47:T49)</f>
        <v>200.72787449335158</v>
      </c>
      <c r="O49" s="192">
        <f>N49/N46-1</f>
        <v>-1.0563188200135354E-2</v>
      </c>
      <c r="P49" s="129" t="s">
        <v>1158</v>
      </c>
      <c r="Q49" s="116">
        <v>23998750</v>
      </c>
      <c r="R49" s="116">
        <v>33358034096</v>
      </c>
      <c r="S49" s="116">
        <v>111559.83</v>
      </c>
      <c r="T49" s="130">
        <f t="shared" ref="T49" si="55">Q49/S49</f>
        <v>215.11999435639154</v>
      </c>
      <c r="U49" s="142">
        <f>S49/22</f>
        <v>5070.9013636363634</v>
      </c>
      <c r="V49" s="79"/>
      <c r="W49" s="79"/>
      <c r="X49" s="79"/>
      <c r="Y49" s="79"/>
      <c r="Z49" s="79"/>
    </row>
    <row r="50" spans="1:26" ht="13.2">
      <c r="A50" s="129" t="s">
        <v>1324</v>
      </c>
      <c r="B50" s="188"/>
      <c r="C50" s="188"/>
      <c r="D50" s="190"/>
      <c r="E50" s="190"/>
      <c r="F50" s="136">
        <f>Q50/18</f>
        <v>1307562.3333333333</v>
      </c>
      <c r="G50" s="190">
        <f t="shared" ref="G50" si="56">F50/F49-1</f>
        <v>0.1986612358282549</v>
      </c>
      <c r="H50" s="190">
        <f t="shared" ref="H50" si="57">F50/F38-1</f>
        <v>2.3204333307014213E-2</v>
      </c>
      <c r="I50" s="130">
        <f t="shared" ref="I50" si="58">T50</f>
        <v>208.4982621986708</v>
      </c>
      <c r="J50" s="130">
        <f t="shared" ref="J50" si="59">I50/I38-1</f>
        <v>-0.28795963244025602</v>
      </c>
      <c r="K50" s="136"/>
      <c r="L50" s="190"/>
      <c r="M50" s="190"/>
      <c r="N50" s="191"/>
      <c r="O50" s="192"/>
      <c r="P50" s="129" t="s">
        <v>1293</v>
      </c>
      <c r="Q50" s="116">
        <v>23536122</v>
      </c>
      <c r="R50" s="116">
        <v>33214704724</v>
      </c>
      <c r="S50" s="116">
        <v>112884.02</v>
      </c>
      <c r="T50" s="130">
        <f t="shared" ref="T50" si="60">Q50/S50</f>
        <v>208.4982621986708</v>
      </c>
      <c r="U50" s="121">
        <f>S50/18</f>
        <v>6271.3344444444447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1103168.1000000001</v>
      </c>
      <c r="G51" s="190">
        <f t="shared" ref="G51:G52" si="61">F51/F50-1</f>
        <v>-0.1563170092337216</v>
      </c>
      <c r="H51" s="190">
        <f t="shared" ref="H51:H52" si="62">F51/F39-1</f>
        <v>0.11558321308639807</v>
      </c>
      <c r="I51" s="130">
        <f t="shared" ref="I51:I52" si="63">T51</f>
        <v>233.66636130159654</v>
      </c>
      <c r="J51" s="130">
        <f t="shared" ref="J51:J52" si="64">I51/I39-1</f>
        <v>0.12361069642649181</v>
      </c>
      <c r="K51" s="136"/>
      <c r="L51" s="190"/>
      <c r="M51" s="190"/>
      <c r="N51" s="191"/>
      <c r="O51" s="192"/>
      <c r="P51" s="129" t="s">
        <v>1402</v>
      </c>
      <c r="Q51" s="116">
        <v>22063362</v>
      </c>
      <c r="R51" s="116">
        <v>32041351574</v>
      </c>
      <c r="S51" s="116">
        <v>94422.5</v>
      </c>
      <c r="T51" s="130">
        <f t="shared" ref="T51:T52" si="65">Q51/S51</f>
        <v>233.66636130159654</v>
      </c>
      <c r="U51" s="121">
        <f>S51/20</f>
        <v>4721.125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3670639.9333333336</v>
      </c>
      <c r="C52" s="253">
        <f>AVERAGE(F50:F52)</f>
        <v>1223546.6444444444</v>
      </c>
      <c r="D52" s="254">
        <f>C52/C49-1</f>
        <v>0.21581258881127718</v>
      </c>
      <c r="E52" s="254">
        <f>C52/C40-1</f>
        <v>0.17414146825808796</v>
      </c>
      <c r="F52" s="136">
        <f>Q52/22</f>
        <v>1259909.5</v>
      </c>
      <c r="G52" s="190">
        <f t="shared" si="61"/>
        <v>0.14208296994809766</v>
      </c>
      <c r="H52" s="190">
        <f t="shared" si="62"/>
        <v>0.46594410451170321</v>
      </c>
      <c r="I52" s="130">
        <f t="shared" si="63"/>
        <v>159.99959015920294</v>
      </c>
      <c r="J52" s="130">
        <f t="shared" si="64"/>
        <v>-0.18734751549260542</v>
      </c>
      <c r="K52" s="204">
        <f>Q50+Q51+Q52</f>
        <v>73317493</v>
      </c>
      <c r="L52" s="254">
        <f>K52/K49-1</f>
        <v>0.12038969928733012</v>
      </c>
      <c r="M52" s="254">
        <f>U52/U40-1</f>
        <v>1.6457205192538455</v>
      </c>
      <c r="N52" s="257">
        <f>AVERAGE(T50:T52)</f>
        <v>200.72140455315676</v>
      </c>
      <c r="O52" s="258">
        <f>N52/N49-1</f>
        <v>-3.2232395282161264E-5</v>
      </c>
      <c r="P52" s="129" t="s">
        <v>1403</v>
      </c>
      <c r="Q52" s="116">
        <v>27718009</v>
      </c>
      <c r="R52" s="116">
        <v>40784415964</v>
      </c>
      <c r="S52" s="116">
        <v>173238</v>
      </c>
      <c r="T52" s="130">
        <f t="shared" si="65"/>
        <v>159.99959015920294</v>
      </c>
      <c r="U52" s="121">
        <f>S52/15</f>
        <v>11549.2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821228.71428571432</v>
      </c>
      <c r="G53" s="197">
        <f t="shared" ref="G53" si="66">F53/F52-1</f>
        <v>-0.34818436222148152</v>
      </c>
      <c r="H53" s="197">
        <f t="shared" ref="H53" si="67">F53/F41-1</f>
        <v>0.30589308591906939</v>
      </c>
      <c r="I53" s="146">
        <f t="shared" ref="I53" si="68">T53</f>
        <v>171.84101764205445</v>
      </c>
      <c r="J53" s="146">
        <f t="shared" ref="J53" si="69">I53/I41-1</f>
        <v>0.23969214860050192</v>
      </c>
      <c r="K53" s="147"/>
      <c r="L53" s="197"/>
      <c r="M53" s="197"/>
      <c r="N53" s="198"/>
      <c r="O53" s="199"/>
      <c r="P53" s="129" t="s">
        <v>1414</v>
      </c>
      <c r="Q53" s="116">
        <v>17245803</v>
      </c>
      <c r="R53" s="116">
        <v>25216356673</v>
      </c>
      <c r="S53" s="116">
        <v>100359.06</v>
      </c>
      <c r="T53" s="130">
        <f t="shared" ref="T53" si="70">Q53/S53</f>
        <v>171.84101764205445</v>
      </c>
      <c r="U53" s="121">
        <f>S53/21</f>
        <v>4779.0028571428575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1162366</v>
      </c>
      <c r="G54" s="197">
        <f t="shared" ref="G54" si="71">F54/F53-1</f>
        <v>0.41539863351100559</v>
      </c>
      <c r="H54" s="197">
        <f t="shared" ref="H54" si="72">F54/F42-1</f>
        <v>0.17978224037802049</v>
      </c>
      <c r="I54" s="146">
        <f t="shared" ref="I54" si="73">T54</f>
        <v>161.50173677801118</v>
      </c>
      <c r="J54" s="146">
        <f t="shared" ref="J54" si="74">I54/I42-1</f>
        <v>0.10397296544658419</v>
      </c>
      <c r="K54" s="147"/>
      <c r="L54" s="197"/>
      <c r="M54" s="197"/>
      <c r="N54" s="198"/>
      <c r="O54" s="199"/>
      <c r="P54" s="129" t="s">
        <v>1417</v>
      </c>
      <c r="Q54" s="116">
        <v>19760222</v>
      </c>
      <c r="R54" s="116">
        <v>28671787725</v>
      </c>
      <c r="S54" s="116">
        <v>122353</v>
      </c>
      <c r="T54" s="130">
        <f t="shared" ref="T54" si="75">Q54/S54</f>
        <v>161.50173677801118</v>
      </c>
      <c r="U54" s="121">
        <f>S54/21</f>
        <v>5826.333333333333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2557216.2857142859</v>
      </c>
      <c r="C55" s="253">
        <f>AVERAGE(F53:F55)</f>
        <v>852405.42857142864</v>
      </c>
      <c r="D55" s="254">
        <f>C55/C52-1</f>
        <v>-0.30333229841150333</v>
      </c>
      <c r="E55" s="254">
        <f>C55/C43-1</f>
        <v>6.8489846123157339E-2</v>
      </c>
      <c r="F55" s="147">
        <f>Q55/14</f>
        <v>573621.57142857148</v>
      </c>
      <c r="G55" s="197">
        <f t="shared" ref="G55" si="76">F55/F54-1</f>
        <v>-0.50650520453233194</v>
      </c>
      <c r="H55" s="197">
        <f t="shared" ref="H55" si="77">F55/F43-1</f>
        <v>-0.26383093770362331</v>
      </c>
      <c r="I55" s="146">
        <f>T55</f>
        <v>146.96940082720252</v>
      </c>
      <c r="J55" s="146">
        <f t="shared" ref="J55" si="78">I55/I43-1</f>
        <v>-0.281836240979773</v>
      </c>
      <c r="K55" s="204">
        <f>Q53+Q54+Q55</f>
        <v>45036727</v>
      </c>
      <c r="L55" s="254">
        <f>K55/K52-1</f>
        <v>-0.38573012855199507</v>
      </c>
      <c r="M55" s="254">
        <f>U55/U43-1</f>
        <v>-0.31661912941164105</v>
      </c>
      <c r="N55" s="257">
        <f>AVERAGE(T53:T55)</f>
        <v>160.10405174908939</v>
      </c>
      <c r="O55" s="258">
        <f>N55/N52-1</f>
        <v>-0.20235685822590355</v>
      </c>
      <c r="P55" s="129" t="s">
        <v>1418</v>
      </c>
      <c r="Q55" s="116">
        <v>8030702</v>
      </c>
      <c r="R55" s="116">
        <v>11645800498</v>
      </c>
      <c r="S55" s="116">
        <v>54642</v>
      </c>
      <c r="T55" s="130">
        <f t="shared" ref="T55" si="79">Q55/S55</f>
        <v>146.96940082720252</v>
      </c>
      <c r="U55" s="121">
        <f>S55/21</f>
        <v>2602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45036727</v>
      </c>
      <c r="R66" s="226">
        <v>65533944896</v>
      </c>
      <c r="S66" s="227">
        <v>277354.06</v>
      </c>
    </row>
    <row r="67" spans="16:19" ht="18" thickBot="1">
      <c r="P67" s="228" t="s">
        <v>976</v>
      </c>
      <c r="Q67" s="229">
        <v>17245803</v>
      </c>
      <c r="R67" s="229">
        <v>25216356673</v>
      </c>
      <c r="S67" s="230">
        <v>100359.06</v>
      </c>
    </row>
    <row r="68" spans="16:19" ht="18" thickBot="1">
      <c r="P68" s="228" t="s">
        <v>977</v>
      </c>
      <c r="Q68" s="229">
        <v>19760222</v>
      </c>
      <c r="R68" s="229">
        <v>28671787725</v>
      </c>
      <c r="S68" s="230">
        <v>122353</v>
      </c>
    </row>
    <row r="69" spans="16:19" ht="18" thickBot="1">
      <c r="P69" s="228" t="s">
        <v>978</v>
      </c>
      <c r="Q69" s="229">
        <v>8030702</v>
      </c>
      <c r="R69" s="229">
        <v>11645800498</v>
      </c>
      <c r="S69" s="230">
        <v>54642</v>
      </c>
    </row>
    <row r="70" spans="16:19" ht="18" thickBot="1">
      <c r="P70" s="228" t="s">
        <v>975</v>
      </c>
      <c r="Q70" s="229">
        <v>239664528</v>
      </c>
      <c r="R70" s="229">
        <v>340708332863</v>
      </c>
      <c r="S70" s="230">
        <v>1280980.06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18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2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119" customWidth="1"/>
    <col min="9" max="9" width="12.59765625" style="79" customWidth="1"/>
    <col min="10" max="10" width="8.3984375" style="79" customWidth="1"/>
    <col min="11" max="11" width="17.19921875" style="92" bestFit="1" customWidth="1"/>
    <col min="12" max="12" width="9.59765625" style="119" customWidth="1"/>
    <col min="13" max="13" width="5.59765625" style="119" customWidth="1"/>
    <col min="14" max="14" width="10.59765625" style="92" customWidth="1"/>
    <col min="15" max="15" width="5.59765625" style="92" customWidth="1"/>
    <col min="16" max="16" width="20.69921875" style="92" customWidth="1"/>
    <col min="17" max="19" width="20.69921875" style="93" customWidth="1"/>
    <col min="20" max="20" width="14.19921875" style="92" bestFit="1" customWidth="1"/>
    <col min="21" max="21" width="14.59765625" style="93" customWidth="1"/>
    <col min="27" max="28" width="8.69921875" style="92"/>
    <col min="29" max="29" width="10.19921875" style="92" bestFit="1" customWidth="1"/>
    <col min="30" max="16384" width="8.69921875" style="92"/>
  </cols>
  <sheetData>
    <row r="1" spans="1:29" ht="15" customHeight="1">
      <c r="A1" s="123"/>
      <c r="B1" s="79"/>
      <c r="C1" s="79"/>
      <c r="D1" s="117"/>
      <c r="F1" s="79"/>
      <c r="G1" s="117"/>
      <c r="H1" s="117"/>
      <c r="K1" s="79" t="s">
        <v>539</v>
      </c>
      <c r="L1" s="117"/>
      <c r="M1" s="117"/>
      <c r="N1" s="79"/>
      <c r="O1" s="79"/>
      <c r="P1" s="123"/>
      <c r="Q1" s="124"/>
      <c r="R1" s="124"/>
      <c r="S1" s="124"/>
      <c r="T1" s="79"/>
      <c r="U1" s="78"/>
      <c r="AC1" s="168">
        <v>8703217000</v>
      </c>
    </row>
    <row r="2" spans="1:29" ht="15" customHeight="1">
      <c r="A2" s="125"/>
      <c r="B2" s="79"/>
      <c r="C2" s="79"/>
      <c r="D2" s="117"/>
      <c r="F2" s="79"/>
      <c r="G2" s="117"/>
      <c r="H2" s="117"/>
      <c r="K2" s="79">
        <v>8703</v>
      </c>
      <c r="L2" s="117"/>
      <c r="M2" s="117"/>
      <c r="N2" s="79"/>
      <c r="O2" s="79"/>
      <c r="P2" s="125"/>
      <c r="Q2" s="126"/>
      <c r="R2" s="126"/>
      <c r="S2" s="126"/>
      <c r="T2" s="79"/>
      <c r="U2" s="78"/>
      <c r="AC2" s="168">
        <v>8703227000</v>
      </c>
    </row>
    <row r="3" spans="1:29" ht="15" customHeight="1">
      <c r="A3" s="125"/>
      <c r="B3" s="79"/>
      <c r="C3" s="79"/>
      <c r="D3" s="117"/>
      <c r="F3" s="79"/>
      <c r="G3" s="117"/>
      <c r="H3" s="117"/>
      <c r="K3" s="79"/>
      <c r="L3" s="117"/>
      <c r="M3" s="117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  <c r="AC3" s="168">
        <v>8703231010</v>
      </c>
    </row>
    <row r="4" spans="1:29" ht="15" customHeight="1">
      <c r="A4" s="125" t="s">
        <v>8</v>
      </c>
      <c r="B4" s="84" t="s">
        <v>321</v>
      </c>
      <c r="C4" s="84" t="s">
        <v>540</v>
      </c>
      <c r="D4" s="118" t="s">
        <v>541</v>
      </c>
      <c r="E4" s="285" t="s">
        <v>542</v>
      </c>
      <c r="F4" s="84" t="s">
        <v>543</v>
      </c>
      <c r="G4" s="118" t="s">
        <v>544</v>
      </c>
      <c r="H4" s="118" t="s">
        <v>258</v>
      </c>
      <c r="I4" s="84" t="s">
        <v>45</v>
      </c>
      <c r="J4" s="84" t="s">
        <v>1253</v>
      </c>
      <c r="K4" s="82" t="s">
        <v>545</v>
      </c>
      <c r="L4" s="118" t="s">
        <v>422</v>
      </c>
      <c r="M4" s="118" t="s">
        <v>423</v>
      </c>
      <c r="N4" s="84" t="s">
        <v>546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  <c r="AC4" s="168">
        <v>8703239010</v>
      </c>
    </row>
    <row r="5" spans="1:29" ht="15" hidden="1" customHeight="1">
      <c r="A5" s="129" t="s">
        <v>0</v>
      </c>
      <c r="B5" s="79"/>
      <c r="C5" s="79"/>
      <c r="D5" s="117"/>
      <c r="F5" s="78">
        <f>Q5/20</f>
        <v>196202637.5</v>
      </c>
      <c r="G5" s="90"/>
      <c r="H5" s="139"/>
      <c r="I5" s="130">
        <f t="shared" ref="I5:I49" si="0">T5</f>
        <v>12.430981185574984</v>
      </c>
      <c r="J5" s="130"/>
      <c r="K5" s="86"/>
      <c r="L5" s="117"/>
      <c r="M5" s="117"/>
      <c r="N5" s="79"/>
      <c r="O5" s="79"/>
      <c r="P5" s="129" t="s">
        <v>0</v>
      </c>
      <c r="Q5" s="116">
        <v>3924052750</v>
      </c>
      <c r="R5" s="116">
        <v>4630971134112</v>
      </c>
      <c r="S5" s="116">
        <v>315667177.94999999</v>
      </c>
      <c r="T5" s="130">
        <f t="shared" ref="T5:T10" si="1">Q5/S5</f>
        <v>12.430981185574984</v>
      </c>
      <c r="U5" s="85"/>
    </row>
    <row r="6" spans="1:29" ht="15" hidden="1" customHeight="1">
      <c r="A6" s="129" t="s">
        <v>1</v>
      </c>
      <c r="B6" s="79"/>
      <c r="C6" s="79"/>
      <c r="D6" s="117"/>
      <c r="F6" s="78">
        <f>Q6/18</f>
        <v>201770131.83333334</v>
      </c>
      <c r="G6" s="90">
        <f t="shared" ref="G6:G30" si="2">F6/F5-1</f>
        <v>2.837624613141787E-2</v>
      </c>
      <c r="H6" s="139"/>
      <c r="I6" s="130">
        <f t="shared" si="0"/>
        <v>12.492905598439913</v>
      </c>
      <c r="J6" s="130"/>
      <c r="K6" s="78"/>
      <c r="L6" s="117"/>
      <c r="M6" s="117"/>
      <c r="N6" s="79"/>
      <c r="O6" s="79"/>
      <c r="P6" s="129" t="s">
        <v>1</v>
      </c>
      <c r="Q6" s="116">
        <v>3631862373</v>
      </c>
      <c r="R6" s="116">
        <v>4315416759211</v>
      </c>
      <c r="S6" s="116">
        <v>290713985.18000001</v>
      </c>
      <c r="T6" s="130">
        <f t="shared" si="1"/>
        <v>12.492905598439913</v>
      </c>
      <c r="U6" s="85"/>
    </row>
    <row r="7" spans="1:29" ht="15" hidden="1" customHeight="1">
      <c r="A7" s="129" t="s">
        <v>2</v>
      </c>
      <c r="B7" s="131">
        <f>F5+F6+F7</f>
        <v>569923135.56060612</v>
      </c>
      <c r="C7" s="131">
        <f>AVERAGE(F5:F7)</f>
        <v>189974378.52020204</v>
      </c>
      <c r="D7" s="117"/>
      <c r="F7" s="78">
        <f>Q7/22</f>
        <v>171950366.22727272</v>
      </c>
      <c r="G7" s="90">
        <f t="shared" si="2"/>
        <v>-0.14779078218917163</v>
      </c>
      <c r="H7" s="139"/>
      <c r="I7" s="130">
        <f t="shared" si="0"/>
        <v>12.301187105604543</v>
      </c>
      <c r="J7" s="130"/>
      <c r="K7" s="85">
        <f>R5+R6+R7</f>
        <v>13511487317021</v>
      </c>
      <c r="L7" s="117"/>
      <c r="M7" s="117"/>
      <c r="N7" s="88">
        <f>AVERAGE(T5:T7)</f>
        <v>12.408357963206479</v>
      </c>
      <c r="O7" s="79"/>
      <c r="P7" s="129" t="s">
        <v>2</v>
      </c>
      <c r="Q7" s="116">
        <v>3782908057</v>
      </c>
      <c r="R7" s="116">
        <v>4565099423698</v>
      </c>
      <c r="S7" s="116">
        <v>307523820.63</v>
      </c>
      <c r="T7" s="130">
        <f t="shared" si="1"/>
        <v>12.301187105604543</v>
      </c>
      <c r="U7" s="85">
        <f>Q5+Q6+Q7</f>
        <v>11338823180</v>
      </c>
    </row>
    <row r="8" spans="1:29" ht="15" hidden="1" customHeight="1">
      <c r="A8" s="129" t="s">
        <v>3</v>
      </c>
      <c r="B8" s="79"/>
      <c r="C8" s="79"/>
      <c r="D8" s="117"/>
      <c r="F8" s="78">
        <f>Q8/21</f>
        <v>199587693.7142857</v>
      </c>
      <c r="G8" s="90">
        <f t="shared" si="2"/>
        <v>0.16072851773100494</v>
      </c>
      <c r="H8" s="139"/>
      <c r="I8" s="130">
        <f t="shared" si="0"/>
        <v>12.511802410823542</v>
      </c>
      <c r="J8" s="130"/>
      <c r="K8" s="78"/>
      <c r="L8" s="117"/>
      <c r="M8" s="117"/>
      <c r="N8" s="79"/>
      <c r="O8" s="79"/>
      <c r="P8" s="129" t="s">
        <v>3</v>
      </c>
      <c r="Q8" s="116">
        <v>4191341568</v>
      </c>
      <c r="R8" s="116">
        <v>5085776788556</v>
      </c>
      <c r="S8" s="116">
        <v>334991029.30000001</v>
      </c>
      <c r="T8" s="130">
        <f t="shared" si="1"/>
        <v>12.511802410823542</v>
      </c>
      <c r="U8" s="85"/>
    </row>
    <row r="9" spans="1:29" ht="15" hidden="1" customHeight="1">
      <c r="A9" s="129" t="s">
        <v>4</v>
      </c>
      <c r="B9" s="79"/>
      <c r="C9" s="79"/>
      <c r="D9" s="117"/>
      <c r="F9" s="78">
        <f>Q9/21</f>
        <v>186130893.61904761</v>
      </c>
      <c r="G9" s="90">
        <f t="shared" si="2"/>
        <v>-6.7422995099596705E-2</v>
      </c>
      <c r="H9" s="139"/>
      <c r="I9" s="130">
        <f t="shared" si="0"/>
        <v>12.260418521052941</v>
      </c>
      <c r="J9" s="130"/>
      <c r="K9" s="78"/>
      <c r="L9" s="117"/>
      <c r="M9" s="117"/>
      <c r="N9" s="79"/>
      <c r="O9" s="79"/>
      <c r="P9" s="129" t="s">
        <v>4</v>
      </c>
      <c r="Q9" s="116">
        <v>3908748766</v>
      </c>
      <c r="R9" s="116">
        <v>4919527644829</v>
      </c>
      <c r="S9" s="116">
        <v>318810386.38999999</v>
      </c>
      <c r="T9" s="130">
        <f t="shared" si="1"/>
        <v>12.260418521052941</v>
      </c>
      <c r="U9" s="85"/>
    </row>
    <row r="10" spans="1:29" ht="15" hidden="1" customHeight="1">
      <c r="A10" s="129" t="s">
        <v>5</v>
      </c>
      <c r="B10" s="131">
        <f>F8+F9+F10</f>
        <v>563170941.52380943</v>
      </c>
      <c r="C10" s="131">
        <f>AVERAGE(F8:F10)</f>
        <v>187723647.17460313</v>
      </c>
      <c r="D10" s="90">
        <f>C10/C7-1</f>
        <v>-1.184755209166044E-2</v>
      </c>
      <c r="E10" s="286"/>
      <c r="F10" s="78">
        <f>Q10/21</f>
        <v>177452354.19047618</v>
      </c>
      <c r="G10" s="90">
        <f t="shared" si="2"/>
        <v>-4.662600205602474E-2</v>
      </c>
      <c r="H10" s="139"/>
      <c r="I10" s="130">
        <f t="shared" si="0"/>
        <v>12.788684759180635</v>
      </c>
      <c r="J10" s="130"/>
      <c r="K10" s="85">
        <f>R8+R9+R10</f>
        <v>14710971057370</v>
      </c>
      <c r="L10" s="87">
        <f>U10/U7-1</f>
        <v>4.3017391157518681E-2</v>
      </c>
      <c r="M10" s="117"/>
      <c r="N10" s="88">
        <f>AVERAGE(T8:T10)</f>
        <v>12.520301897019039</v>
      </c>
      <c r="O10" s="89">
        <f>N10/N7-1</f>
        <v>9.0216557375679685E-3</v>
      </c>
      <c r="P10" s="129" t="s">
        <v>5</v>
      </c>
      <c r="Q10" s="116">
        <v>3726499438</v>
      </c>
      <c r="R10" s="116">
        <v>4705666623985</v>
      </c>
      <c r="S10" s="116">
        <v>291390358.60000002</v>
      </c>
      <c r="T10" s="130">
        <f t="shared" si="1"/>
        <v>12.788684759180635</v>
      </c>
      <c r="U10" s="85">
        <f>Q8+Q9+Q10</f>
        <v>11826589772</v>
      </c>
    </row>
    <row r="11" spans="1:29" ht="15" hidden="1" customHeight="1">
      <c r="A11" s="129" t="s">
        <v>6</v>
      </c>
      <c r="B11" s="79"/>
      <c r="C11" s="79"/>
      <c r="D11" s="117"/>
      <c r="F11" s="78">
        <f>Q11/21</f>
        <v>233677418.85714287</v>
      </c>
      <c r="G11" s="90">
        <f>F11/F10-1</f>
        <v>0.31684597774518708</v>
      </c>
      <c r="H11" s="139"/>
      <c r="I11" s="130">
        <f t="shared" si="0"/>
        <v>12.964058448733796</v>
      </c>
      <c r="J11" s="130"/>
      <c r="K11" s="78"/>
      <c r="L11" s="87"/>
      <c r="M11" s="117"/>
      <c r="N11" s="79"/>
      <c r="O11" s="89"/>
      <c r="P11" s="129" t="s">
        <v>6</v>
      </c>
      <c r="Q11" s="116">
        <v>4907225796</v>
      </c>
      <c r="R11" s="116">
        <v>6338803975808</v>
      </c>
      <c r="S11" s="116">
        <v>378525429.77999997</v>
      </c>
      <c r="T11" s="130">
        <f t="shared" ref="T11:T28" si="3">Q11/S11</f>
        <v>12.964058448733796</v>
      </c>
      <c r="U11" s="85"/>
      <c r="AC11" s="168">
        <v>8703241010</v>
      </c>
    </row>
    <row r="12" spans="1:29" ht="15" hidden="1" customHeight="1">
      <c r="A12" s="129" t="s">
        <v>7</v>
      </c>
      <c r="B12" s="79"/>
      <c r="C12" s="79"/>
      <c r="D12" s="117"/>
      <c r="F12" s="78">
        <f>Q12/22</f>
        <v>179770274.90909091</v>
      </c>
      <c r="G12" s="90">
        <f t="shared" si="2"/>
        <v>-0.23069042876157297</v>
      </c>
      <c r="H12" s="139"/>
      <c r="I12" s="130">
        <f t="shared" si="0"/>
        <v>12.970979679330441</v>
      </c>
      <c r="J12" s="130"/>
      <c r="K12" s="78"/>
      <c r="L12" s="87"/>
      <c r="M12" s="117"/>
      <c r="N12" s="79"/>
      <c r="O12" s="89"/>
      <c r="P12" s="129" t="s">
        <v>7</v>
      </c>
      <c r="Q12" s="116">
        <v>3954946048</v>
      </c>
      <c r="R12" s="116">
        <v>5149411740570</v>
      </c>
      <c r="S12" s="116">
        <v>304907273.44999999</v>
      </c>
      <c r="T12" s="130">
        <f t="shared" si="3"/>
        <v>12.970979679330441</v>
      </c>
      <c r="U12" s="85"/>
      <c r="AC12" s="168">
        <v>8703249010</v>
      </c>
    </row>
    <row r="13" spans="1:29" ht="15" hidden="1" customHeight="1">
      <c r="A13" s="129" t="s">
        <v>96</v>
      </c>
      <c r="B13" s="131">
        <f>F11+F12+F13</f>
        <v>642172450.66623378</v>
      </c>
      <c r="C13" s="131">
        <f>AVERAGE(F11:F13)</f>
        <v>214057483.55541125</v>
      </c>
      <c r="D13" s="90">
        <f>C13/C10-1</f>
        <v>0.14027980372826887</v>
      </c>
      <c r="E13" s="286"/>
      <c r="F13" s="78">
        <f>Q13/20</f>
        <v>228724756.90000001</v>
      </c>
      <c r="G13" s="90">
        <f t="shared" si="2"/>
        <v>0.2723168889610097</v>
      </c>
      <c r="H13" s="139"/>
      <c r="I13" s="130">
        <f t="shared" si="0"/>
        <v>12.940696442684219</v>
      </c>
      <c r="J13" s="130"/>
      <c r="K13" s="78">
        <f>R11+R12+R13</f>
        <v>17753191515327</v>
      </c>
      <c r="L13" s="87">
        <f>U13/U10-1</f>
        <v>0.13614044631969335</v>
      </c>
      <c r="M13" s="117"/>
      <c r="N13" s="88">
        <f>AVERAGE(T11:T13)</f>
        <v>12.958578190249485</v>
      </c>
      <c r="O13" s="89">
        <f>N13/N10-1</f>
        <v>3.5005249620601919E-2</v>
      </c>
      <c r="P13" s="129" t="s">
        <v>96</v>
      </c>
      <c r="Q13" s="116">
        <v>4574495138</v>
      </c>
      <c r="R13" s="116">
        <v>6264975798949</v>
      </c>
      <c r="S13" s="116">
        <v>353496827.49000001</v>
      </c>
      <c r="T13" s="130">
        <f t="shared" si="3"/>
        <v>12.940696442684219</v>
      </c>
      <c r="U13" s="85">
        <f>Q11+Q12+Q13</f>
        <v>13436666982</v>
      </c>
      <c r="AC13" s="168">
        <v>8703317000</v>
      </c>
    </row>
    <row r="14" spans="1:29" ht="15" hidden="1" customHeight="1">
      <c r="A14" s="129" t="s">
        <v>97</v>
      </c>
      <c r="B14" s="79"/>
      <c r="C14" s="79"/>
      <c r="D14" s="117"/>
      <c r="F14" s="78">
        <f>Q14/20</f>
        <v>235830468.69999999</v>
      </c>
      <c r="G14" s="90">
        <f t="shared" si="2"/>
        <v>3.1066649261350499E-2</v>
      </c>
      <c r="H14" s="139"/>
      <c r="I14" s="130">
        <f t="shared" si="0"/>
        <v>12.771384643013109</v>
      </c>
      <c r="J14" s="130"/>
      <c r="K14" s="78"/>
      <c r="L14" s="87"/>
      <c r="M14" s="117"/>
      <c r="N14" s="79"/>
      <c r="O14" s="89"/>
      <c r="P14" s="129" t="s">
        <v>97</v>
      </c>
      <c r="Q14" s="116">
        <v>4716609374</v>
      </c>
      <c r="R14" s="116">
        <v>6727673633334</v>
      </c>
      <c r="S14" s="116">
        <v>369310729.08999997</v>
      </c>
      <c r="T14" s="130">
        <f t="shared" si="3"/>
        <v>12.771384643013109</v>
      </c>
      <c r="U14" s="85"/>
      <c r="AC14" s="168">
        <v>8703321010</v>
      </c>
    </row>
    <row r="15" spans="1:29" ht="15" hidden="1" customHeight="1">
      <c r="A15" s="129" t="s">
        <v>98</v>
      </c>
      <c r="B15" s="131"/>
      <c r="C15" s="131"/>
      <c r="D15" s="117"/>
      <c r="F15" s="78">
        <f>Q15/22</f>
        <v>234556958.04545453</v>
      </c>
      <c r="G15" s="90">
        <f t="shared" si="2"/>
        <v>-5.4001107726477926E-3</v>
      </c>
      <c r="H15" s="139"/>
      <c r="I15" s="130">
        <f t="shared" si="0"/>
        <v>12.866015050811587</v>
      </c>
      <c r="J15" s="130"/>
      <c r="K15" s="78"/>
      <c r="L15" s="87"/>
      <c r="M15" s="117"/>
      <c r="N15" s="79"/>
      <c r="O15" s="89"/>
      <c r="P15" s="129" t="s">
        <v>98</v>
      </c>
      <c r="Q15" s="116">
        <v>5160253077</v>
      </c>
      <c r="R15" s="116">
        <v>7125741361473</v>
      </c>
      <c r="S15" s="116">
        <v>401076250.62</v>
      </c>
      <c r="T15" s="130">
        <f t="shared" si="3"/>
        <v>12.866015050811587</v>
      </c>
      <c r="U15" s="78"/>
      <c r="AC15" s="92">
        <v>8703329010</v>
      </c>
    </row>
    <row r="16" spans="1:29" ht="15" hidden="1" customHeight="1">
      <c r="A16" s="129" t="s">
        <v>99</v>
      </c>
      <c r="B16" s="131">
        <f>F14+F15+F16</f>
        <v>706814297.0636363</v>
      </c>
      <c r="C16" s="131">
        <f>AVERAGE(F14:F16)</f>
        <v>235604765.68787876</v>
      </c>
      <c r="D16" s="90">
        <f>C16/C13-1</f>
        <v>0.10066119518260042</v>
      </c>
      <c r="E16" s="286"/>
      <c r="F16" s="78">
        <f>Q16/22</f>
        <v>236426870.31818181</v>
      </c>
      <c r="G16" s="90">
        <f t="shared" si="2"/>
        <v>7.9721031868298375E-3</v>
      </c>
      <c r="H16" s="139"/>
      <c r="I16" s="130">
        <f t="shared" si="0"/>
        <v>13.282924668274221</v>
      </c>
      <c r="J16" s="130"/>
      <c r="K16" s="78">
        <f>R14+R15+R16</f>
        <v>20662702854449</v>
      </c>
      <c r="L16" s="87">
        <f>U16/U13-1</f>
        <v>0.12217215907777557</v>
      </c>
      <c r="M16" s="117"/>
      <c r="N16" s="88">
        <f>AVERAGE(T14:T16)</f>
        <v>12.973441454032972</v>
      </c>
      <c r="O16" s="89">
        <f>N16/N13-1</f>
        <v>1.1469826060601651E-3</v>
      </c>
      <c r="P16" s="129" t="s">
        <v>99</v>
      </c>
      <c r="Q16" s="116">
        <v>5201391147</v>
      </c>
      <c r="R16" s="116">
        <v>6809287859642</v>
      </c>
      <c r="S16" s="116">
        <v>391584780.98000002</v>
      </c>
      <c r="T16" s="130">
        <f t="shared" si="3"/>
        <v>13.282924668274221</v>
      </c>
      <c r="U16" s="85">
        <f>Q14+Q15+Q16</f>
        <v>15078253598</v>
      </c>
      <c r="AC16" s="168">
        <v>8703337000</v>
      </c>
    </row>
    <row r="17" spans="1:29" ht="15" hidden="1" customHeight="1">
      <c r="A17" s="129" t="s">
        <v>100</v>
      </c>
      <c r="B17" s="79"/>
      <c r="C17" s="79"/>
      <c r="D17" s="117"/>
      <c r="F17" s="78">
        <f>Q17/20</f>
        <v>239824938.19999999</v>
      </c>
      <c r="G17" s="90">
        <f t="shared" si="2"/>
        <v>1.437259596273921E-2</v>
      </c>
      <c r="H17" s="90">
        <f>F17/F5-1</f>
        <v>0.22233289651878407</v>
      </c>
      <c r="I17" s="130">
        <f t="shared" si="0"/>
        <v>13.147985040608175</v>
      </c>
      <c r="J17" s="130">
        <f t="shared" ref="J17:J49" si="4">I17/I5-1</f>
        <v>5.7678782095270886E-2</v>
      </c>
      <c r="K17" s="78"/>
      <c r="L17" s="87"/>
      <c r="M17" s="117"/>
      <c r="N17" s="79"/>
      <c r="O17" s="89"/>
      <c r="P17" s="129" t="s">
        <v>100</v>
      </c>
      <c r="Q17" s="116">
        <v>4796498764</v>
      </c>
      <c r="R17" s="116">
        <v>6021361052569</v>
      </c>
      <c r="S17" s="116">
        <v>364808656.93000001</v>
      </c>
      <c r="T17" s="130">
        <f t="shared" si="3"/>
        <v>13.147985040608175</v>
      </c>
      <c r="U17" s="78"/>
      <c r="AC17" s="168">
        <v>8703801000</v>
      </c>
    </row>
    <row r="18" spans="1:29" ht="15" hidden="1" customHeight="1">
      <c r="A18" s="129" t="s">
        <v>106</v>
      </c>
      <c r="B18" s="79"/>
      <c r="C18" s="79"/>
      <c r="D18" s="117"/>
      <c r="F18" s="78">
        <f>Q18/20</f>
        <v>268470923.39999998</v>
      </c>
      <c r="G18" s="90">
        <f t="shared" si="2"/>
        <v>0.11944539802658438</v>
      </c>
      <c r="H18" s="90">
        <f t="shared" ref="H18:H30" si="5">F18/F6-1</f>
        <v>0.33057812353397775</v>
      </c>
      <c r="I18" s="130">
        <f t="shared" si="0"/>
        <v>13.136851803453029</v>
      </c>
      <c r="J18" s="130">
        <f t="shared" si="4"/>
        <v>5.1544950847425719E-2</v>
      </c>
      <c r="K18" s="78"/>
      <c r="L18" s="87"/>
      <c r="M18" s="117"/>
      <c r="N18" s="79"/>
      <c r="O18" s="89"/>
      <c r="P18" s="129" t="s">
        <v>106</v>
      </c>
      <c r="Q18" s="116">
        <v>5369418468</v>
      </c>
      <c r="R18" s="116">
        <v>6744958402488</v>
      </c>
      <c r="S18" s="116">
        <v>408729469.45999998</v>
      </c>
      <c r="T18" s="130">
        <f t="shared" si="3"/>
        <v>13.136851803453029</v>
      </c>
      <c r="U18" s="78"/>
    </row>
    <row r="19" spans="1:29" hidden="1">
      <c r="A19" s="129" t="s">
        <v>547</v>
      </c>
      <c r="B19" s="131">
        <f>SUM(F17:F19)</f>
        <v>792434122.78181815</v>
      </c>
      <c r="C19" s="131">
        <f>AVERAGE(F17:F19)</f>
        <v>264144707.59393939</v>
      </c>
      <c r="D19" s="90">
        <f>C19/C16-1</f>
        <v>0.12113482434336409</v>
      </c>
      <c r="E19" s="286">
        <f>C19/C7-1</f>
        <v>0.3904228014929394</v>
      </c>
      <c r="F19" s="78">
        <f>Q19/22</f>
        <v>284138261.18181819</v>
      </c>
      <c r="G19" s="90">
        <f t="shared" si="2"/>
        <v>5.8357670854638943E-2</v>
      </c>
      <c r="H19" s="90">
        <f t="shared" si="5"/>
        <v>0.65244347782465817</v>
      </c>
      <c r="I19" s="130">
        <f t="shared" si="0"/>
        <v>12.912673986111157</v>
      </c>
      <c r="J19" s="130">
        <f t="shared" si="4"/>
        <v>4.9709582925375972E-2</v>
      </c>
      <c r="K19" s="78">
        <f>R17+R18+R19</f>
        <v>20937535235754</v>
      </c>
      <c r="L19" s="87">
        <f>U19/U16-1</f>
        <v>8.8783848295108214E-2</v>
      </c>
      <c r="M19" s="87">
        <f>U19/U7-1</f>
        <v>0.44785386608348188</v>
      </c>
      <c r="N19" s="88">
        <f>AVERAGE(T17:T19)</f>
        <v>13.065836943390787</v>
      </c>
      <c r="O19" s="89">
        <f>N19/N16-1</f>
        <v>7.1218951182063783E-3</v>
      </c>
      <c r="P19" s="129" t="s">
        <v>547</v>
      </c>
      <c r="Q19" s="116">
        <v>6251041746</v>
      </c>
      <c r="R19" s="116">
        <v>8171215780697</v>
      </c>
      <c r="S19" s="116">
        <v>484101259.94999999</v>
      </c>
      <c r="T19" s="130">
        <f t="shared" si="3"/>
        <v>12.912673986111157</v>
      </c>
      <c r="U19" s="85">
        <f>Q17+Q18+Q19</f>
        <v>16416958978</v>
      </c>
    </row>
    <row r="20" spans="1:29" hidden="1">
      <c r="A20" s="129" t="s">
        <v>132</v>
      </c>
      <c r="B20" s="131"/>
      <c r="C20" s="131"/>
      <c r="D20" s="90"/>
      <c r="E20" s="286"/>
      <c r="F20" s="78">
        <f>Q20/20</f>
        <v>295301550</v>
      </c>
      <c r="G20" s="90">
        <f t="shared" si="2"/>
        <v>3.9288228103284251E-2</v>
      </c>
      <c r="H20" s="90">
        <f t="shared" si="5"/>
        <v>0.47955790512179997</v>
      </c>
      <c r="I20" s="130">
        <f t="shared" si="0"/>
        <v>13.013469751644061</v>
      </c>
      <c r="J20" s="130">
        <f t="shared" si="4"/>
        <v>4.0095529352872861E-2</v>
      </c>
      <c r="K20" s="78"/>
      <c r="L20" s="87"/>
      <c r="M20" s="87"/>
      <c r="N20" s="79"/>
      <c r="O20" s="89"/>
      <c r="P20" s="129" t="s">
        <v>548</v>
      </c>
      <c r="Q20" s="116">
        <v>5906031000</v>
      </c>
      <c r="R20" s="116">
        <v>7748472077878</v>
      </c>
      <c r="S20" s="116">
        <v>453839837.69999999</v>
      </c>
      <c r="T20" s="130">
        <f t="shared" si="3"/>
        <v>13.013469751644061</v>
      </c>
      <c r="U20" s="78"/>
    </row>
    <row r="21" spans="1:29" hidden="1">
      <c r="A21" s="129" t="s">
        <v>549</v>
      </c>
      <c r="B21" s="131"/>
      <c r="C21" s="131"/>
      <c r="D21" s="90"/>
      <c r="E21" s="286"/>
      <c r="F21" s="78">
        <f>Q21/21</f>
        <v>284482660.04761904</v>
      </c>
      <c r="G21" s="90">
        <f t="shared" si="2"/>
        <v>-3.6636753015285461E-2</v>
      </c>
      <c r="H21" s="90">
        <f t="shared" si="5"/>
        <v>0.52840108654862572</v>
      </c>
      <c r="I21" s="130">
        <f t="shared" si="0"/>
        <v>12.836326824994664</v>
      </c>
      <c r="J21" s="130">
        <f t="shared" si="4"/>
        <v>4.697297265609679E-2</v>
      </c>
      <c r="K21" s="78"/>
      <c r="L21" s="87"/>
      <c r="M21" s="87"/>
      <c r="N21" s="79"/>
      <c r="O21" s="89"/>
      <c r="P21" s="129" t="s">
        <v>549</v>
      </c>
      <c r="Q21" s="116">
        <v>5974135861</v>
      </c>
      <c r="R21" s="116">
        <v>7952163946920</v>
      </c>
      <c r="S21" s="116">
        <v>465408519.31</v>
      </c>
      <c r="T21" s="130">
        <f t="shared" si="3"/>
        <v>12.836326824994664</v>
      </c>
      <c r="U21" s="78"/>
    </row>
    <row r="22" spans="1:29" hidden="1">
      <c r="A22" s="129" t="s">
        <v>155</v>
      </c>
      <c r="B22" s="131">
        <f>SUM(F20:F22)</f>
        <v>864941684.19047618</v>
      </c>
      <c r="C22" s="131">
        <f>AVERAGE(F20:F22)</f>
        <v>288313894.73015875</v>
      </c>
      <c r="D22" s="90">
        <f>C22/C19-1</f>
        <v>9.1499797048267162E-2</v>
      </c>
      <c r="E22" s="286">
        <f>C22/C10-1</f>
        <v>0.53584217582346394</v>
      </c>
      <c r="F22" s="78">
        <f>Q22/21</f>
        <v>285157474.14285713</v>
      </c>
      <c r="G22" s="90">
        <f t="shared" si="2"/>
        <v>2.3720746112438906E-3</v>
      </c>
      <c r="H22" s="90">
        <f t="shared" si="5"/>
        <v>0.60695233063389509</v>
      </c>
      <c r="I22" s="130">
        <f t="shared" si="0"/>
        <v>13.013499300061964</v>
      </c>
      <c r="J22" s="130">
        <f t="shared" si="4"/>
        <v>1.7579176054045798E-2</v>
      </c>
      <c r="K22" s="78">
        <f>R20+R21+R22</f>
        <v>23475139811073</v>
      </c>
      <c r="L22" s="87">
        <f>U22/U19-1</f>
        <v>8.84155733071601E-2</v>
      </c>
      <c r="M22" s="87">
        <f>U22/U10-1</f>
        <v>0.51087288580047319</v>
      </c>
      <c r="N22" s="88">
        <f>AVERAGE(T20:T22)</f>
        <v>12.95443195890023</v>
      </c>
      <c r="O22" s="89">
        <f>N22/N19-1</f>
        <v>-8.5264330921341891E-3</v>
      </c>
      <c r="P22" s="129" t="s">
        <v>155</v>
      </c>
      <c r="Q22" s="116">
        <v>5988306957</v>
      </c>
      <c r="R22" s="116">
        <v>7774503786275</v>
      </c>
      <c r="S22" s="116">
        <v>460161161.80000001</v>
      </c>
      <c r="T22" s="130">
        <f t="shared" si="3"/>
        <v>13.013499300061964</v>
      </c>
      <c r="U22" s="85">
        <f>Q20+Q21+Q22</f>
        <v>17868473818</v>
      </c>
    </row>
    <row r="23" spans="1:29" hidden="1">
      <c r="A23" s="129" t="s">
        <v>550</v>
      </c>
      <c r="B23" s="131"/>
      <c r="C23" s="131"/>
      <c r="D23" s="117"/>
      <c r="F23" s="78">
        <f>Q23/21</f>
        <v>270423309.04761904</v>
      </c>
      <c r="G23" s="90">
        <f t="shared" si="2"/>
        <v>-5.1670274957817286E-2</v>
      </c>
      <c r="H23" s="90">
        <f t="shared" si="5"/>
        <v>0.15725049673259406</v>
      </c>
      <c r="I23" s="130">
        <f t="shared" si="0"/>
        <v>13.083214052013167</v>
      </c>
      <c r="J23" s="130">
        <f t="shared" si="4"/>
        <v>9.1912269410516778E-3</v>
      </c>
      <c r="K23" s="78"/>
      <c r="L23" s="87"/>
      <c r="M23" s="87"/>
      <c r="N23" s="79"/>
      <c r="O23" s="89"/>
      <c r="P23" s="129" t="s">
        <v>550</v>
      </c>
      <c r="Q23" s="116">
        <v>5678889490</v>
      </c>
      <c r="R23" s="116">
        <v>7331922243062</v>
      </c>
      <c r="S23" s="116">
        <v>434059204.98000002</v>
      </c>
      <c r="T23" s="130">
        <f t="shared" si="3"/>
        <v>13.083214052013167</v>
      </c>
      <c r="U23" s="78"/>
    </row>
    <row r="24" spans="1:29" hidden="1">
      <c r="A24" s="129" t="s">
        <v>204</v>
      </c>
      <c r="B24" s="131"/>
      <c r="C24" s="131"/>
      <c r="D24" s="117"/>
      <c r="F24" s="78">
        <f>Q24/22</f>
        <v>230284007.54545453</v>
      </c>
      <c r="G24" s="90">
        <f t="shared" si="2"/>
        <v>-0.14843136726463302</v>
      </c>
      <c r="H24" s="90">
        <f t="shared" si="5"/>
        <v>0.28099046219909396</v>
      </c>
      <c r="I24" s="130">
        <f t="shared" si="0"/>
        <v>12.93891454615086</v>
      </c>
      <c r="J24" s="130">
        <f t="shared" si="4"/>
        <v>-2.4720671816853557E-3</v>
      </c>
      <c r="K24" s="78"/>
      <c r="L24" s="87"/>
      <c r="M24" s="87"/>
      <c r="N24" s="79"/>
      <c r="O24" s="89"/>
      <c r="P24" s="129" t="s">
        <v>204</v>
      </c>
      <c r="Q24" s="116">
        <v>5066248166</v>
      </c>
      <c r="R24" s="116">
        <v>6687794984754</v>
      </c>
      <c r="S24" s="116">
        <v>391551250.13999999</v>
      </c>
      <c r="T24" s="130">
        <f t="shared" si="3"/>
        <v>12.93891454615086</v>
      </c>
      <c r="U24" s="78"/>
    </row>
    <row r="25" spans="1:29" ht="13.2" hidden="1">
      <c r="A25" s="129" t="s">
        <v>218</v>
      </c>
      <c r="B25" s="131">
        <f>SUM(F23:F25)</f>
        <v>763168899.54044199</v>
      </c>
      <c r="C25" s="131">
        <f>AVERAGE(F23:F25)</f>
        <v>254389633.18014732</v>
      </c>
      <c r="D25" s="90">
        <f>C25/C22-1</f>
        <v>-0.11766433102976914</v>
      </c>
      <c r="E25" s="286">
        <f>C25/C13-1</f>
        <v>0.18841737721491825</v>
      </c>
      <c r="F25" s="78">
        <f>Q25/19</f>
        <v>262461582.94736841</v>
      </c>
      <c r="G25" s="90">
        <f t="shared" si="2"/>
        <v>0.13972996103762236</v>
      </c>
      <c r="H25" s="90">
        <f t="shared" si="5"/>
        <v>0.14749966949191418</v>
      </c>
      <c r="I25" s="130">
        <f t="shared" si="0"/>
        <v>13.14113640503502</v>
      </c>
      <c r="J25" s="130">
        <f t="shared" si="4"/>
        <v>1.5489117084120707E-2</v>
      </c>
      <c r="K25" s="78">
        <f>R23+R24+R25</f>
        <v>20637187488314</v>
      </c>
      <c r="L25" s="90">
        <f>U25/U22-1</f>
        <v>-0.11957182844836511</v>
      </c>
      <c r="M25" s="90">
        <f>U25/U13-1</f>
        <v>0.17081920338390066</v>
      </c>
      <c r="N25" s="88">
        <f>AVERAGE(T23:T25)</f>
        <v>13.054421667733015</v>
      </c>
      <c r="O25" s="91">
        <f>N25/N22-1</f>
        <v>7.7185714626482049E-3</v>
      </c>
      <c r="P25" s="129" t="s">
        <v>551</v>
      </c>
      <c r="Q25" s="116">
        <v>4986770076</v>
      </c>
      <c r="R25" s="116">
        <v>6617470260498</v>
      </c>
      <c r="S25" s="116">
        <v>379477841.36000001</v>
      </c>
      <c r="T25" s="130">
        <f t="shared" si="3"/>
        <v>13.14113640503502</v>
      </c>
      <c r="U25" s="85">
        <f>Q23+Q24+Q25</f>
        <v>15731907732</v>
      </c>
      <c r="V25" s="92"/>
      <c r="W25" s="92"/>
      <c r="X25" s="92"/>
      <c r="Y25" s="92"/>
      <c r="Z25" s="92"/>
    </row>
    <row r="26" spans="1:29" ht="13.2" hidden="1">
      <c r="A26" s="129" t="s">
        <v>312</v>
      </c>
      <c r="B26" s="131"/>
      <c r="C26" s="131"/>
      <c r="D26" s="132"/>
      <c r="E26" s="286"/>
      <c r="F26" s="78">
        <f>Q26/19</f>
        <v>300291581.63157892</v>
      </c>
      <c r="G26" s="90">
        <f t="shared" si="2"/>
        <v>0.14413537501142248</v>
      </c>
      <c r="H26" s="90">
        <f t="shared" si="5"/>
        <v>0.27333666123345557</v>
      </c>
      <c r="I26" s="130">
        <f t="shared" si="0"/>
        <v>13.156911067769698</v>
      </c>
      <c r="J26" s="130">
        <f t="shared" si="4"/>
        <v>3.0186736640768208E-2</v>
      </c>
      <c r="K26" s="78"/>
      <c r="L26" s="117"/>
      <c r="M26" s="117"/>
      <c r="N26" s="79"/>
      <c r="O26" s="79"/>
      <c r="P26" s="129" t="s">
        <v>552</v>
      </c>
      <c r="Q26" s="116">
        <v>5705540051</v>
      </c>
      <c r="R26" s="116">
        <v>7695167596406</v>
      </c>
      <c r="S26" s="116">
        <v>433653463.31</v>
      </c>
      <c r="T26" s="130">
        <f t="shared" si="3"/>
        <v>13.156911067769698</v>
      </c>
      <c r="U26" s="78"/>
      <c r="V26" s="92"/>
      <c r="W26" s="92"/>
      <c r="X26" s="92"/>
      <c r="Y26" s="92"/>
      <c r="Z26" s="92"/>
    </row>
    <row r="27" spans="1:29" ht="13.2" hidden="1">
      <c r="A27" s="129" t="s">
        <v>374</v>
      </c>
      <c r="B27" s="131"/>
      <c r="C27" s="131"/>
      <c r="D27" s="132"/>
      <c r="E27" s="286"/>
      <c r="F27" s="78">
        <f>Q27/22</f>
        <v>288250264.90909094</v>
      </c>
      <c r="G27" s="90">
        <f t="shared" si="2"/>
        <v>-4.0098748879551338E-2</v>
      </c>
      <c r="H27" s="90">
        <f t="shared" si="5"/>
        <v>0.22891372445762714</v>
      </c>
      <c r="I27" s="130">
        <f t="shared" si="0"/>
        <v>13.587415432385455</v>
      </c>
      <c r="J27" s="130">
        <f t="shared" si="4"/>
        <v>5.6070226773779819E-2</v>
      </c>
      <c r="K27" s="78"/>
      <c r="L27" s="117"/>
      <c r="M27" s="117"/>
      <c r="N27" s="79"/>
      <c r="O27" s="79"/>
      <c r="P27" s="129" t="s">
        <v>553</v>
      </c>
      <c r="Q27" s="116">
        <v>6341505828</v>
      </c>
      <c r="R27" s="116">
        <v>8372310282746</v>
      </c>
      <c r="S27" s="116">
        <v>466719065.12</v>
      </c>
      <c r="T27" s="130">
        <f t="shared" si="3"/>
        <v>13.587415432385455</v>
      </c>
      <c r="U27" s="78"/>
      <c r="V27" s="92"/>
      <c r="W27" s="92"/>
      <c r="X27" s="92"/>
      <c r="Y27" s="92"/>
      <c r="Z27" s="92"/>
    </row>
    <row r="28" spans="1:29" ht="13.2" hidden="1">
      <c r="A28" s="123" t="s">
        <v>554</v>
      </c>
      <c r="B28" s="131">
        <f>SUM(F26:F28)</f>
        <v>914668531.06698573</v>
      </c>
      <c r="C28" s="131">
        <f>AVERAGE(F26:F28)</f>
        <v>304889510.35566193</v>
      </c>
      <c r="D28" s="90">
        <f>C28/C25-1</f>
        <v>0.19851389596427804</v>
      </c>
      <c r="E28" s="286">
        <f>C28/C16-1</f>
        <v>0.29407191516477749</v>
      </c>
      <c r="F28" s="78">
        <f>Q28/19</f>
        <v>326126684.52631581</v>
      </c>
      <c r="G28" s="90">
        <f t="shared" si="2"/>
        <v>0.1314011615190378</v>
      </c>
      <c r="H28" s="90">
        <f t="shared" si="5"/>
        <v>0.37939771434362157</v>
      </c>
      <c r="I28" s="130">
        <f t="shared" si="0"/>
        <v>13.51303017097325</v>
      </c>
      <c r="J28" s="130">
        <f t="shared" si="4"/>
        <v>1.7323406436884126E-2</v>
      </c>
      <c r="K28" s="78">
        <f>R26+R27+R28</f>
        <v>24149578810717</v>
      </c>
      <c r="L28" s="90">
        <f>U28/U25-1</f>
        <v>0.15964657279875283</v>
      </c>
      <c r="M28" s="90">
        <f>U28/U16-1</f>
        <v>0.20991816236728078</v>
      </c>
      <c r="N28" s="88">
        <f>AVERAGE(T26:T28)</f>
        <v>13.419118890376135</v>
      </c>
      <c r="O28" s="91">
        <f>N28/N25-1</f>
        <v>2.7936681679629816E-2</v>
      </c>
      <c r="P28" s="129" t="s">
        <v>554</v>
      </c>
      <c r="Q28" s="116">
        <v>6196407006</v>
      </c>
      <c r="R28" s="116">
        <v>8082100931565</v>
      </c>
      <c r="S28" s="116">
        <v>458550519.57999998</v>
      </c>
      <c r="T28" s="130">
        <f t="shared" si="3"/>
        <v>13.51303017097325</v>
      </c>
      <c r="U28" s="85">
        <f>Q26+Q27+Q28</f>
        <v>18243452885</v>
      </c>
      <c r="V28" s="92"/>
      <c r="W28" s="92"/>
      <c r="X28" s="92"/>
      <c r="Y28" s="92"/>
      <c r="Z28" s="92"/>
    </row>
    <row r="29" spans="1:29" ht="13.2" hidden="1">
      <c r="A29" s="129" t="s">
        <v>426</v>
      </c>
      <c r="B29" s="188"/>
      <c r="C29" s="188"/>
      <c r="D29" s="189"/>
      <c r="E29" s="287"/>
      <c r="F29" s="136">
        <f>Q29/22</f>
        <v>272082774.13636363</v>
      </c>
      <c r="G29" s="190">
        <f t="shared" si="2"/>
        <v>-0.16571446911327881</v>
      </c>
      <c r="H29" s="190">
        <f t="shared" si="5"/>
        <v>0.13450576148783355</v>
      </c>
      <c r="I29" s="130">
        <f t="shared" si="0"/>
        <v>13.642461147570145</v>
      </c>
      <c r="J29" s="130">
        <f t="shared" si="4"/>
        <v>3.7608508485122094E-2</v>
      </c>
      <c r="K29" s="136"/>
      <c r="L29" s="190"/>
      <c r="M29" s="190"/>
      <c r="N29" s="191"/>
      <c r="O29" s="192"/>
      <c r="P29" s="129" t="s">
        <v>555</v>
      </c>
      <c r="Q29" s="116">
        <v>5985821031</v>
      </c>
      <c r="R29" s="116">
        <v>7885415683559</v>
      </c>
      <c r="S29" s="116">
        <v>438764015.25</v>
      </c>
      <c r="T29" s="130">
        <f t="shared" ref="T29:T34" si="6">Q29/S29</f>
        <v>13.642461147570145</v>
      </c>
      <c r="U29" s="85"/>
      <c r="V29" s="92"/>
      <c r="W29" s="92"/>
      <c r="X29" s="92"/>
      <c r="Y29" s="92"/>
      <c r="Z29" s="92"/>
    </row>
    <row r="30" spans="1:29" ht="13.2" hidden="1">
      <c r="A30" s="129" t="s">
        <v>498</v>
      </c>
      <c r="B30" s="188"/>
      <c r="C30" s="188"/>
      <c r="D30" s="189"/>
      <c r="E30" s="287"/>
      <c r="F30" s="136">
        <f>Q30/19</f>
        <v>259275056.36842105</v>
      </c>
      <c r="G30" s="190">
        <f t="shared" si="2"/>
        <v>-4.7072872616050088E-2</v>
      </c>
      <c r="H30" s="190">
        <f t="shared" si="5"/>
        <v>-3.4252748547662359E-2</v>
      </c>
      <c r="I30" s="130">
        <f t="shared" si="0"/>
        <v>13.146562683826041</v>
      </c>
      <c r="J30" s="130">
        <f t="shared" si="4"/>
        <v>7.3920909806246549E-4</v>
      </c>
      <c r="K30" s="136"/>
      <c r="L30" s="190"/>
      <c r="M30" s="190"/>
      <c r="N30" s="191"/>
      <c r="O30" s="192"/>
      <c r="P30" s="129" t="s">
        <v>556</v>
      </c>
      <c r="Q30" s="116">
        <v>4926226071</v>
      </c>
      <c r="R30" s="116">
        <v>6563928848100</v>
      </c>
      <c r="S30" s="116">
        <v>374715900.23000002</v>
      </c>
      <c r="T30" s="130">
        <f t="shared" si="6"/>
        <v>13.146562683826041</v>
      </c>
      <c r="U30" s="85"/>
      <c r="V30" s="92"/>
      <c r="W30" s="92"/>
      <c r="X30" s="92"/>
      <c r="Y30" s="92"/>
      <c r="Z30" s="92"/>
    </row>
    <row r="31" spans="1:29" ht="13.2" hidden="1">
      <c r="A31" s="129" t="s">
        <v>505</v>
      </c>
      <c r="B31" s="188">
        <f>SUM(F29:F31)</f>
        <v>826120854.40478468</v>
      </c>
      <c r="C31" s="188">
        <f>AVERAGE(F29:F31)</f>
        <v>275373618.13492823</v>
      </c>
      <c r="D31" s="190">
        <f>C31/C28-1</f>
        <v>-9.680848706897982E-2</v>
      </c>
      <c r="E31" s="287">
        <f>C31/C19-1</f>
        <v>4.2510450590782511E-2</v>
      </c>
      <c r="F31" s="136">
        <f>Q31/20</f>
        <v>294763023.89999998</v>
      </c>
      <c r="G31" s="190">
        <f t="shared" ref="G31" si="7">F31/F30-1</f>
        <v>0.13687382052345098</v>
      </c>
      <c r="H31" s="190">
        <f t="shared" ref="H31" si="8">F31/F19-1</f>
        <v>3.7392932138002655E-2</v>
      </c>
      <c r="I31" s="130">
        <f t="shared" si="0"/>
        <v>13.135894072074299</v>
      </c>
      <c r="J31" s="130">
        <f t="shared" si="4"/>
        <v>1.7286898608548151E-2</v>
      </c>
      <c r="K31" s="136">
        <f>R29+R30+R31</f>
        <v>22281316384962</v>
      </c>
      <c r="L31" s="190">
        <f>U31/U28-1</f>
        <v>-7.8721134318866626E-2</v>
      </c>
      <c r="M31" s="190">
        <f>U31/U19-1</f>
        <v>2.3777156446763259E-2</v>
      </c>
      <c r="N31" s="191">
        <f>AVERAGE(T29:T31)</f>
        <v>13.308305967823495</v>
      </c>
      <c r="O31" s="192">
        <f>N31/N28-1</f>
        <v>-8.2578389429213139E-3</v>
      </c>
      <c r="P31" s="129" t="s">
        <v>557</v>
      </c>
      <c r="Q31" s="116">
        <v>5895260478</v>
      </c>
      <c r="R31" s="116">
        <v>7831971853303</v>
      </c>
      <c r="S31" s="116">
        <v>448790196.20999998</v>
      </c>
      <c r="T31" s="130">
        <f t="shared" si="6"/>
        <v>13.135894072074299</v>
      </c>
      <c r="U31" s="85">
        <f>Q29+Q30+Q31</f>
        <v>16807307580</v>
      </c>
      <c r="V31" s="92"/>
      <c r="W31" s="92"/>
      <c r="X31" s="92"/>
      <c r="Y31" s="92"/>
      <c r="Z31" s="92"/>
    </row>
    <row r="32" spans="1:29" ht="13.2" hidden="1">
      <c r="A32" s="129" t="s">
        <v>561</v>
      </c>
      <c r="B32" s="188"/>
      <c r="C32" s="188"/>
      <c r="D32" s="190"/>
      <c r="E32" s="287"/>
      <c r="F32" s="136">
        <f>Q32/21</f>
        <v>312935674.66666669</v>
      </c>
      <c r="G32" s="190">
        <f t="shared" ref="G32" si="9">F32/F31-1</f>
        <v>6.1651731367879714E-2</v>
      </c>
      <c r="H32" s="190">
        <f t="shared" ref="H32" si="10">F32/F20-1</f>
        <v>5.9715652243161887E-2</v>
      </c>
      <c r="I32" s="130">
        <f t="shared" si="0"/>
        <v>13.209289652120008</v>
      </c>
      <c r="J32" s="130">
        <f t="shared" si="4"/>
        <v>1.5047478052592878E-2</v>
      </c>
      <c r="K32" s="136"/>
      <c r="L32" s="190"/>
      <c r="M32" s="190"/>
      <c r="N32" s="191"/>
      <c r="O32" s="192"/>
      <c r="P32" s="129" t="s">
        <v>562</v>
      </c>
      <c r="Q32" s="116">
        <v>6571649168</v>
      </c>
      <c r="R32" s="116">
        <v>8952648775222</v>
      </c>
      <c r="S32" s="116">
        <v>497502086.87</v>
      </c>
      <c r="T32" s="130">
        <f t="shared" si="6"/>
        <v>13.209289652120008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299624920.04761904</v>
      </c>
      <c r="G33" s="190">
        <f t="shared" ref="G33" si="11">F33/F32-1</f>
        <v>-4.2535114071689084E-2</v>
      </c>
      <c r="H33" s="190">
        <f t="shared" ref="H33" si="12">F33/F21-1</f>
        <v>5.3227356625058952E-2</v>
      </c>
      <c r="I33" s="130">
        <f t="shared" si="0"/>
        <v>13.122024659935699</v>
      </c>
      <c r="J33" s="130">
        <f t="shared" si="4"/>
        <v>2.2256977314158766E-2</v>
      </c>
      <c r="K33" s="136"/>
      <c r="L33" s="190"/>
      <c r="M33" s="190"/>
      <c r="N33" s="191"/>
      <c r="O33" s="192"/>
      <c r="P33" s="129" t="s">
        <v>607</v>
      </c>
      <c r="Q33" s="116">
        <v>6292123321</v>
      </c>
      <c r="R33" s="116">
        <v>8599441519669</v>
      </c>
      <c r="S33" s="116">
        <v>479508573.11000001</v>
      </c>
      <c r="T33" s="130">
        <f t="shared" si="6"/>
        <v>13.122024659935699</v>
      </c>
      <c r="U33" s="85"/>
    </row>
    <row r="34" spans="1:21" s="92" customFormat="1" ht="13.2" hidden="1">
      <c r="A34" s="129" t="s">
        <v>652</v>
      </c>
      <c r="B34" s="188">
        <f>SUM(F32:F34)</f>
        <v>929324215.29323316</v>
      </c>
      <c r="C34" s="188">
        <f>AVERAGE(F32:F34)</f>
        <v>309774738.43107772</v>
      </c>
      <c r="D34" s="190">
        <f>C34/C31-1</f>
        <v>0.12492525801543386</v>
      </c>
      <c r="E34" s="287">
        <f>C34/C22-1</f>
        <v>7.4435690035004276E-2</v>
      </c>
      <c r="F34" s="136">
        <f>Q34/19</f>
        <v>316763620.57894737</v>
      </c>
      <c r="G34" s="190">
        <f t="shared" ref="G34" si="13">F34/F33-1</f>
        <v>5.720051766256451E-2</v>
      </c>
      <c r="H34" s="190">
        <f t="shared" ref="H34" si="14">F34/F22-1</f>
        <v>0.1108375171686935</v>
      </c>
      <c r="I34" s="130">
        <f t="shared" si="0"/>
        <v>13.294051586646964</v>
      </c>
      <c r="J34" s="130">
        <f t="shared" si="4"/>
        <v>2.1558558548788076E-2</v>
      </c>
      <c r="K34" s="136">
        <f>R32+R33+R34</f>
        <v>25831203139798</v>
      </c>
      <c r="L34" s="190">
        <f>U34/U31-1</f>
        <v>0.12345663873428081</v>
      </c>
      <c r="M34" s="190">
        <f>U34/U22-1</f>
        <v>5.6737216190155593E-2</v>
      </c>
      <c r="N34" s="191">
        <f>AVERAGE(T32:T34)</f>
        <v>13.208455299567555</v>
      </c>
      <c r="O34" s="192">
        <f>N34/N31-1</f>
        <v>-7.5028834246338993E-3</v>
      </c>
      <c r="P34" s="129" t="s">
        <v>652</v>
      </c>
      <c r="Q34" s="116">
        <v>6018508791</v>
      </c>
      <c r="R34" s="116">
        <v>8279112844907</v>
      </c>
      <c r="S34" s="116">
        <v>452721937.45999998</v>
      </c>
      <c r="T34" s="130">
        <f t="shared" si="6"/>
        <v>13.294051586646964</v>
      </c>
      <c r="U34" s="85">
        <f>Q32+Q33+Q34</f>
        <v>18882281280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224704467.65217391</v>
      </c>
      <c r="G35" s="190">
        <f t="shared" ref="G35" si="15">F35/F34-1</f>
        <v>-0.29062413404202603</v>
      </c>
      <c r="H35" s="190">
        <f t="shared" ref="H35" si="16">F35/F23-1</f>
        <v>-0.1690639817864017</v>
      </c>
      <c r="I35" s="130">
        <f t="shared" si="0"/>
        <v>13.025195690976807</v>
      </c>
      <c r="J35" s="130">
        <f t="shared" si="4"/>
        <v>-4.4345648405433868E-3</v>
      </c>
      <c r="K35" s="136"/>
      <c r="L35" s="190"/>
      <c r="M35" s="190"/>
      <c r="N35" s="191"/>
      <c r="O35" s="192"/>
      <c r="P35" s="129" t="s">
        <v>660</v>
      </c>
      <c r="Q35" s="116">
        <v>5168202756</v>
      </c>
      <c r="R35" s="116">
        <v>7150690432353</v>
      </c>
      <c r="S35" s="116">
        <v>396785037.13999999</v>
      </c>
      <c r="T35" s="130">
        <f t="shared" ref="T35" si="17">Q35/S35</f>
        <v>13.025195690976807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232191321.23809522</v>
      </c>
      <c r="G36" s="190">
        <f t="shared" ref="G36" si="18">F36/F35-1</f>
        <v>3.3318668133961671E-2</v>
      </c>
      <c r="H36" s="190">
        <f t="shared" ref="H36" si="19">F36/F24-1</f>
        <v>8.2824409431219159E-3</v>
      </c>
      <c r="I36" s="130">
        <f t="shared" si="0"/>
        <v>12.724828392528671</v>
      </c>
      <c r="J36" s="130">
        <f t="shared" si="4"/>
        <v>-1.6545912940268748E-2</v>
      </c>
      <c r="K36" s="136"/>
      <c r="L36" s="190"/>
      <c r="M36" s="190"/>
      <c r="N36" s="191"/>
      <c r="O36" s="192"/>
      <c r="P36" s="129" t="s">
        <v>664</v>
      </c>
      <c r="Q36" s="116">
        <v>4876017746</v>
      </c>
      <c r="R36" s="116">
        <v>6633394858970</v>
      </c>
      <c r="S36" s="116">
        <v>383189273.41000003</v>
      </c>
      <c r="T36" s="130">
        <f t="shared" ref="T36" si="20">Q36/S36</f>
        <v>12.724828392528671</v>
      </c>
      <c r="U36" s="85"/>
    </row>
    <row r="37" spans="1:21" s="92" customFormat="1" ht="13.2" hidden="1">
      <c r="A37" s="129" t="s">
        <v>702</v>
      </c>
      <c r="B37" s="188">
        <f>SUM(F35:F37)</f>
        <v>751458175.83471358</v>
      </c>
      <c r="C37" s="188">
        <f>AVERAGE(F35:F37)</f>
        <v>250486058.61157119</v>
      </c>
      <c r="D37" s="190">
        <f>C37/C34-1</f>
        <v>-0.19139288154930612</v>
      </c>
      <c r="E37" s="287">
        <f>C37/C25-1</f>
        <v>-1.5344864960797344E-2</v>
      </c>
      <c r="F37" s="136">
        <f>Q37/18</f>
        <v>294562386.94444442</v>
      </c>
      <c r="G37" s="190">
        <f t="shared" ref="G37" si="21">F37/F36-1</f>
        <v>0.26861928074560648</v>
      </c>
      <c r="H37" s="190">
        <f t="shared" ref="H37" si="22">F37/F25-1</f>
        <v>0.12230667679663121</v>
      </c>
      <c r="I37" s="130">
        <f t="shared" si="0"/>
        <v>13.192562681684805</v>
      </c>
      <c r="J37" s="130">
        <f t="shared" si="4"/>
        <v>3.9133812377201149E-3</v>
      </c>
      <c r="K37" s="136">
        <f>R35+R36+R37</f>
        <v>20858848846825</v>
      </c>
      <c r="L37" s="190">
        <f>U37/U34-1</f>
        <v>-0.18726221480162164</v>
      </c>
      <c r="M37" s="190">
        <f>U37/U25-1</f>
        <v>-2.4508423998427786E-2</v>
      </c>
      <c r="N37" s="191">
        <f>AVERAGE(T35:T37)</f>
        <v>12.980862255063428</v>
      </c>
      <c r="O37" s="192">
        <f>N37/N34-1</f>
        <v>-1.7230860031875128E-2</v>
      </c>
      <c r="P37" s="129" t="s">
        <v>702</v>
      </c>
      <c r="Q37" s="116">
        <v>5302122965</v>
      </c>
      <c r="R37" s="116">
        <v>7074763555502</v>
      </c>
      <c r="S37" s="116">
        <v>401902427.37</v>
      </c>
      <c r="T37" s="130">
        <f t="shared" ref="T37:T42" si="23">Q37/S37</f>
        <v>13.192562681684805</v>
      </c>
      <c r="U37" s="85">
        <f>Q35+Q36+Q37</f>
        <v>15346343467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300200855.39999998</v>
      </c>
      <c r="G38" s="190">
        <f t="shared" ref="G38" si="24">F38/F37-1</f>
        <v>1.9141848061609457E-2</v>
      </c>
      <c r="H38" s="190">
        <f t="shared" ref="H38" si="25">F38/F26-1</f>
        <v>-3.0212712286503685E-4</v>
      </c>
      <c r="I38" s="130">
        <f t="shared" si="0"/>
        <v>12.772663002180053</v>
      </c>
      <c r="J38" s="130">
        <f t="shared" si="4"/>
        <v>-2.9205036319728039E-2</v>
      </c>
      <c r="K38" s="136"/>
      <c r="L38" s="190"/>
      <c r="M38" s="190"/>
      <c r="N38" s="191"/>
      <c r="O38" s="192"/>
      <c r="P38" s="129" t="s">
        <v>749</v>
      </c>
      <c r="Q38" s="116">
        <v>6004017108</v>
      </c>
      <c r="R38" s="116">
        <v>8089327419171</v>
      </c>
      <c r="S38" s="116">
        <v>470067761.67000002</v>
      </c>
      <c r="T38" s="130">
        <f t="shared" si="23"/>
        <v>12.772663002180053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259521482.23809522</v>
      </c>
      <c r="G39" s="190">
        <f t="shared" ref="G39" si="26">F39/F38-1</f>
        <v>-0.13550718603949974</v>
      </c>
      <c r="H39" s="190">
        <f t="shared" ref="H39" si="27">F39/F27-1</f>
        <v>-9.9666110211750425E-2</v>
      </c>
      <c r="I39" s="130">
        <f t="shared" si="0"/>
        <v>12.79073233715015</v>
      </c>
      <c r="J39" s="130">
        <f t="shared" si="4"/>
        <v>-5.8633895401212222E-2</v>
      </c>
      <c r="K39" s="136"/>
      <c r="L39" s="190"/>
      <c r="M39" s="190"/>
      <c r="N39" s="191"/>
      <c r="O39" s="192"/>
      <c r="P39" s="129" t="s">
        <v>762</v>
      </c>
      <c r="Q39" s="116">
        <v>5449951127</v>
      </c>
      <c r="R39" s="116">
        <v>7579969444374</v>
      </c>
      <c r="S39" s="116">
        <v>426085933.42000002</v>
      </c>
      <c r="T39" s="130">
        <f t="shared" si="23"/>
        <v>12.79073233715015</v>
      </c>
      <c r="U39" s="85"/>
    </row>
    <row r="40" spans="1:21" s="92" customFormat="1" ht="13.2" hidden="1">
      <c r="A40" s="129" t="s">
        <v>778</v>
      </c>
      <c r="B40" s="188">
        <f>SUM(F38:F40)</f>
        <v>837514297.54285705</v>
      </c>
      <c r="C40" s="188">
        <f>AVERAGE(F38:F40)</f>
        <v>279171432.51428568</v>
      </c>
      <c r="D40" s="190">
        <f>C40/C37-1</f>
        <v>0.11451884412935298</v>
      </c>
      <c r="E40" s="287">
        <f>C40/C28-1</f>
        <v>-8.4352124188777133E-2</v>
      </c>
      <c r="F40" s="136">
        <f>Q40/21</f>
        <v>277791959.90476191</v>
      </c>
      <c r="G40" s="190">
        <f t="shared" ref="G40" si="28">F40/F39-1</f>
        <v>7.0400637007400624E-2</v>
      </c>
      <c r="H40" s="190">
        <f t="shared" ref="H40" si="29">F40/F28-1</f>
        <v>-0.14820843222859204</v>
      </c>
      <c r="I40" s="130">
        <f t="shared" si="0"/>
        <v>11.982522869425093</v>
      </c>
      <c r="J40" s="130">
        <f t="shared" si="4"/>
        <v>-0.11326159138131531</v>
      </c>
      <c r="K40" s="136">
        <f>R38+R39+R40</f>
        <v>23971295033329</v>
      </c>
      <c r="L40" s="190">
        <f>U40/U37-1</f>
        <v>0.12649631687016383</v>
      </c>
      <c r="M40" s="190">
        <f>U40/U28-1</f>
        <v>-5.2394330065988481E-2</v>
      </c>
      <c r="N40" s="191">
        <f>AVERAGE(T38:T40)</f>
        <v>12.515306069585099</v>
      </c>
      <c r="O40" s="192">
        <f>N40/N37-1</f>
        <v>-3.5864812084939079E-2</v>
      </c>
      <c r="P40" s="129" t="s">
        <v>778</v>
      </c>
      <c r="Q40" s="116">
        <v>5833631158</v>
      </c>
      <c r="R40" s="116">
        <v>8301998169784</v>
      </c>
      <c r="S40" s="116">
        <v>486844984.27999997</v>
      </c>
      <c r="T40" s="130">
        <f t="shared" si="23"/>
        <v>11.982522869425093</v>
      </c>
      <c r="U40" s="85">
        <f>Q38+Q39+Q40</f>
        <v>17287599393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268508585.94444442</v>
      </c>
      <c r="G41" s="190">
        <f t="shared" ref="G41" si="30">F41/F40-1</f>
        <v>-3.3418440056725229E-2</v>
      </c>
      <c r="H41" s="190">
        <f t="shared" ref="H41" si="31">F41/F29-1</f>
        <v>-1.3136400138760274E-2</v>
      </c>
      <c r="I41" s="130">
        <f t="shared" si="0"/>
        <v>12.143970788912432</v>
      </c>
      <c r="J41" s="130">
        <f t="shared" si="4"/>
        <v>-0.10984017784244227</v>
      </c>
      <c r="K41" s="194"/>
      <c r="L41" s="201"/>
      <c r="M41" s="201"/>
      <c r="N41" s="194"/>
      <c r="O41" s="194"/>
      <c r="P41" s="129" t="s">
        <v>799</v>
      </c>
      <c r="Q41" s="116">
        <v>4833154547</v>
      </c>
      <c r="R41" s="116">
        <v>7068386680861</v>
      </c>
      <c r="S41" s="116">
        <v>397987991.81999999</v>
      </c>
      <c r="T41" s="130">
        <f t="shared" si="23"/>
        <v>12.143970788912432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292457843.5</v>
      </c>
      <c r="G42" s="190">
        <f t="shared" ref="G42" si="32">F42/F41-1</f>
        <v>8.9193637780025314E-2</v>
      </c>
      <c r="H42" s="190">
        <f t="shared" ref="H42" si="33">F42/F30-1</f>
        <v>0.12798295214495048</v>
      </c>
      <c r="I42" s="130">
        <f t="shared" si="0"/>
        <v>12.244096171029401</v>
      </c>
      <c r="J42" s="130">
        <f t="shared" si="4"/>
        <v>-6.8646575876972538E-2</v>
      </c>
      <c r="K42" s="194"/>
      <c r="L42" s="201"/>
      <c r="M42" s="201"/>
      <c r="N42" s="194"/>
      <c r="O42" s="194"/>
      <c r="P42" s="129" t="s">
        <v>826</v>
      </c>
      <c r="Q42" s="116">
        <v>5849156870</v>
      </c>
      <c r="R42" s="116">
        <v>8459105702801</v>
      </c>
      <c r="S42" s="116">
        <v>477712424.69</v>
      </c>
      <c r="T42" s="130">
        <f t="shared" si="23"/>
        <v>12.244096171029401</v>
      </c>
      <c r="U42" s="175"/>
    </row>
    <row r="43" spans="1:21" s="92" customFormat="1" ht="13.2">
      <c r="A43" s="129" t="s">
        <v>835</v>
      </c>
      <c r="B43" s="188">
        <f>SUM(F41:F43)</f>
        <v>861548689.89444447</v>
      </c>
      <c r="C43" s="188">
        <f>AVERAGE(F41:F43)</f>
        <v>287182896.63148147</v>
      </c>
      <c r="D43" s="190">
        <f>C43/C40-1</f>
        <v>2.8697292000985142E-2</v>
      </c>
      <c r="E43" s="287">
        <f>C43/C31-1</f>
        <v>4.2884567434368082E-2</v>
      </c>
      <c r="F43" s="136">
        <f>Q43/20</f>
        <v>300582260.44999999</v>
      </c>
      <c r="G43" s="190">
        <f t="shared" ref="G43" si="34">F43/F42-1</f>
        <v>2.777978820048288E-2</v>
      </c>
      <c r="H43" s="190">
        <f t="shared" ref="H43" si="35">F43/F31-1</f>
        <v>1.9742084583764585E-2</v>
      </c>
      <c r="I43" s="130">
        <f t="shared" si="0"/>
        <v>12.267796297299535</v>
      </c>
      <c r="J43" s="130">
        <f t="shared" si="4"/>
        <v>-6.6085929896485651E-2</v>
      </c>
      <c r="K43" s="136">
        <f>R41+R42+R43</f>
        <v>24248181942290</v>
      </c>
      <c r="L43" s="190">
        <f>U43/U40-1</f>
        <v>-3.4339225100297854E-2</v>
      </c>
      <c r="M43" s="190">
        <f>K43/K31-1</f>
        <v>8.8274208011132949E-2</v>
      </c>
      <c r="N43" s="191">
        <f>AVERAGE(T41:T43)</f>
        <v>12.218621085747122</v>
      </c>
      <c r="O43" s="192">
        <f>N43/N40-1</f>
        <v>-2.3705771332191872E-2</v>
      </c>
      <c r="P43" s="129" t="s">
        <v>835</v>
      </c>
      <c r="Q43" s="116">
        <v>6011645209</v>
      </c>
      <c r="R43" s="116">
        <v>8720689558628</v>
      </c>
      <c r="S43" s="116">
        <v>490034645.44999999</v>
      </c>
      <c r="T43" s="130">
        <f t="shared" ref="T43" si="36">Q43/S43</f>
        <v>12.267796297299535</v>
      </c>
      <c r="U43" s="85">
        <f>Q41+Q42+Q43</f>
        <v>16693956626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286294323.86363637</v>
      </c>
      <c r="G44" s="190">
        <f t="shared" ref="G44" si="37">F44/F43-1</f>
        <v>-4.7534197676779799E-2</v>
      </c>
      <c r="H44" s="190">
        <f t="shared" ref="H44" si="38">F44/F32-1</f>
        <v>-8.5133632755064359E-2</v>
      </c>
      <c r="I44" s="130">
        <f t="shared" si="0"/>
        <v>12.403554193028153</v>
      </c>
      <c r="J44" s="130">
        <f t="shared" si="4"/>
        <v>-6.0997637292520057E-2</v>
      </c>
      <c r="K44" s="136"/>
      <c r="L44" s="190"/>
      <c r="M44" s="190"/>
      <c r="N44" s="191"/>
      <c r="O44" s="192"/>
      <c r="P44" s="129" t="s">
        <v>843</v>
      </c>
      <c r="Q44" s="116">
        <v>6298475125</v>
      </c>
      <c r="R44" s="116">
        <v>9132146352081</v>
      </c>
      <c r="S44" s="116">
        <v>507795993.55000001</v>
      </c>
      <c r="T44" s="130">
        <f t="shared" ref="T44" si="39">Q44/S44</f>
        <v>12.403554193028153</v>
      </c>
      <c r="U44" s="85"/>
    </row>
    <row r="45" spans="1:21" s="92" customFormat="1" ht="13.2">
      <c r="A45" s="129" t="s">
        <v>867</v>
      </c>
      <c r="B45" s="188"/>
      <c r="C45" s="188"/>
      <c r="D45" s="190"/>
      <c r="E45" s="287"/>
      <c r="F45" s="136">
        <f>Q45/20</f>
        <v>296995458.44999999</v>
      </c>
      <c r="G45" s="190">
        <f t="shared" ref="G45" si="40">F45/F44-1</f>
        <v>3.7378088541708765E-2</v>
      </c>
      <c r="H45" s="190">
        <f t="shared" ref="H45" si="41">F45/F33-1</f>
        <v>-8.7758441360656914E-3</v>
      </c>
      <c r="I45" s="130">
        <f t="shared" si="0"/>
        <v>12.143064588399298</v>
      </c>
      <c r="J45" s="130">
        <f t="shared" si="4"/>
        <v>-7.460434627328294E-2</v>
      </c>
      <c r="K45" s="136"/>
      <c r="L45" s="190"/>
      <c r="M45" s="190"/>
      <c r="N45" s="191"/>
      <c r="O45" s="192"/>
      <c r="P45" s="129" t="s">
        <v>867</v>
      </c>
      <c r="Q45" s="116">
        <v>5939909169</v>
      </c>
      <c r="R45" s="116">
        <v>8352779121212</v>
      </c>
      <c r="S45" s="116">
        <v>489160633.69</v>
      </c>
      <c r="T45" s="130">
        <f t="shared" ref="T45" si="42">Q45/S45</f>
        <v>12.143064588399298</v>
      </c>
      <c r="U45" s="85"/>
    </row>
    <row r="46" spans="1:21" s="92" customFormat="1" ht="13.2">
      <c r="A46" s="129" t="s">
        <v>888</v>
      </c>
      <c r="B46" s="188">
        <f>SUM(F44:F46)</f>
        <v>898866482.734689</v>
      </c>
      <c r="C46" s="188">
        <f>AVERAGE(F44:F46)</f>
        <v>299622160.91156298</v>
      </c>
      <c r="D46" s="190">
        <f>C46/C43-1</f>
        <v>4.3314781019302195E-2</v>
      </c>
      <c r="E46" s="287">
        <f>C46/C34-1</f>
        <v>-3.2774065344820191E-2</v>
      </c>
      <c r="F46" s="136">
        <f>Q46/19</f>
        <v>315576700.42105263</v>
      </c>
      <c r="G46" s="190">
        <f t="shared" ref="G46" si="43">F46/F45-1</f>
        <v>6.2564060972605251E-2</v>
      </c>
      <c r="H46" s="190">
        <f t="shared" ref="H46" si="44">F46/F34-1</f>
        <v>-3.7470216931015932E-3</v>
      </c>
      <c r="I46" s="130">
        <f t="shared" si="0"/>
        <v>12.504638940991528</v>
      </c>
      <c r="J46" s="130">
        <f t="shared" si="4"/>
        <v>-5.9380892311893141E-2</v>
      </c>
      <c r="K46" s="136">
        <f>R44+R45+R46</f>
        <v>25693558578824</v>
      </c>
      <c r="L46" s="190">
        <f>U46/U43-1</f>
        <v>9.2272012591726016E-2</v>
      </c>
      <c r="M46" s="190">
        <f>K46/K34-1</f>
        <v>-5.3286159467319516E-3</v>
      </c>
      <c r="N46" s="191">
        <f>AVERAGE(T44:T46)</f>
        <v>12.350419240806326</v>
      </c>
      <c r="O46" s="192">
        <f>N46/N43-1</f>
        <v>1.0786663579652744E-2</v>
      </c>
      <c r="P46" s="129" t="s">
        <v>928</v>
      </c>
      <c r="Q46" s="116">
        <v>5995957308</v>
      </c>
      <c r="R46" s="116">
        <v>8208633105531</v>
      </c>
      <c r="S46" s="116">
        <v>479498635.37</v>
      </c>
      <c r="T46" s="130">
        <f t="shared" ref="T46" si="45">Q46/S46</f>
        <v>12.504638940991528</v>
      </c>
      <c r="U46" s="85">
        <f t="shared" ref="U46:U51" si="46">Q44+Q45+Q46</f>
        <v>18234341602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238825019</v>
      </c>
      <c r="G47" s="190">
        <f t="shared" ref="G47" si="47">F47/F46-1</f>
        <v>-0.24321086226786726</v>
      </c>
      <c r="H47" s="190">
        <f t="shared" ref="H47" si="48">F47/F35-1</f>
        <v>6.284054560803698E-2</v>
      </c>
      <c r="I47" s="130">
        <f t="shared" si="0"/>
        <v>11.556046421978145</v>
      </c>
      <c r="J47" s="130">
        <f t="shared" si="4"/>
        <v>-0.11279287496743051</v>
      </c>
      <c r="K47" s="136"/>
      <c r="L47" s="190"/>
      <c r="M47" s="190"/>
      <c r="N47" s="191"/>
      <c r="O47" s="192"/>
      <c r="P47" s="129" t="s">
        <v>991</v>
      </c>
      <c r="Q47" s="116">
        <v>5492975437</v>
      </c>
      <c r="R47" s="116">
        <v>7526828570869</v>
      </c>
      <c r="S47" s="116">
        <v>475333451.98000002</v>
      </c>
      <c r="T47" s="130">
        <f t="shared" ref="T47" si="49">Q47/S47</f>
        <v>11.556046421978145</v>
      </c>
      <c r="U47" s="85">
        <f t="shared" si="46"/>
        <v>17428841914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260649358.90000001</v>
      </c>
      <c r="G48" s="190">
        <f t="shared" ref="G48" si="50">F48/F47-1</f>
        <v>9.1382134046852137E-2</v>
      </c>
      <c r="H48" s="190">
        <f t="shared" ref="H48" si="51">F48/F36-1</f>
        <v>0.12256288267003379</v>
      </c>
      <c r="I48" s="130">
        <f t="shared" si="0"/>
        <v>12.243049341083033</v>
      </c>
      <c r="J48" s="130">
        <f t="shared" si="4"/>
        <v>-3.7861339782665593E-2</v>
      </c>
      <c r="K48" s="136"/>
      <c r="L48" s="190"/>
      <c r="M48" s="190"/>
      <c r="N48" s="191"/>
      <c r="O48" s="192"/>
      <c r="P48" s="129" t="s">
        <v>1070</v>
      </c>
      <c r="Q48" s="116">
        <v>5212987178</v>
      </c>
      <c r="R48" s="116">
        <v>7236720911890</v>
      </c>
      <c r="S48" s="116">
        <v>425791568.16000003</v>
      </c>
      <c r="T48" s="130">
        <f t="shared" ref="T48" si="52">Q48/S48</f>
        <v>12.243049341083033</v>
      </c>
      <c r="U48" s="85">
        <f t="shared" si="46"/>
        <v>16701919923</v>
      </c>
    </row>
    <row r="49" spans="1:26" ht="13.2">
      <c r="A49" s="129" t="s">
        <v>1207</v>
      </c>
      <c r="B49" s="188">
        <f>SUM(F47:F49)</f>
        <v>774142666.80909085</v>
      </c>
      <c r="C49" s="188">
        <f>AVERAGE(F47:F49)</f>
        <v>258047555.60303029</v>
      </c>
      <c r="D49" s="190">
        <f>C49/C46-1</f>
        <v>-0.13875677680865506</v>
      </c>
      <c r="E49" s="287">
        <f>C49/C37-1</f>
        <v>3.0187296783589446E-2</v>
      </c>
      <c r="F49" s="136">
        <f>Q49/22</f>
        <v>274668288.90909094</v>
      </c>
      <c r="G49" s="190">
        <f t="shared" ref="G49" si="53">F49/F48-1</f>
        <v>5.3784632612387862E-2</v>
      </c>
      <c r="H49" s="190">
        <f t="shared" ref="H49" si="54">F49/F37-1</f>
        <v>-6.7537808345861872E-2</v>
      </c>
      <c r="I49" s="130">
        <f t="shared" si="0"/>
        <v>12.304774448414749</v>
      </c>
      <c r="J49" s="130">
        <f t="shared" si="4"/>
        <v>-6.7294600351042511E-2</v>
      </c>
      <c r="K49" s="136">
        <f>R47+R48+R49</f>
        <v>23160921096194</v>
      </c>
      <c r="L49" s="190">
        <f>U49/U46-1</f>
        <v>-8.1476845362875472E-2</v>
      </c>
      <c r="M49" s="190">
        <f>K49/K37-1</f>
        <v>0.11036429988414276</v>
      </c>
      <c r="N49" s="191">
        <f>AVERAGE(T47:T49)</f>
        <v>12.034623403825309</v>
      </c>
      <c r="O49" s="192">
        <f>N49/N46-1</f>
        <v>-2.5569645112743511E-2</v>
      </c>
      <c r="P49" s="129" t="s">
        <v>1158</v>
      </c>
      <c r="Q49" s="116">
        <v>6042702356</v>
      </c>
      <c r="R49" s="116">
        <v>8397371613435</v>
      </c>
      <c r="S49" s="116">
        <v>491085991.16000003</v>
      </c>
      <c r="T49" s="130">
        <f t="shared" ref="T49" si="55">Q49/S49</f>
        <v>12.304774448414749</v>
      </c>
      <c r="U49" s="85">
        <f t="shared" si="46"/>
        <v>16748664971</v>
      </c>
      <c r="V49" s="92"/>
      <c r="W49" s="92"/>
      <c r="X49" s="92"/>
      <c r="Y49" s="92"/>
      <c r="Z49" s="92"/>
    </row>
    <row r="50" spans="1:26" s="79" customFormat="1" ht="13.2">
      <c r="A50" s="129" t="s">
        <v>1323</v>
      </c>
      <c r="B50" s="188"/>
      <c r="C50" s="188"/>
      <c r="D50" s="190"/>
      <c r="E50" s="287"/>
      <c r="F50" s="136">
        <f>Q50/18</f>
        <v>291523889.5</v>
      </c>
      <c r="G50" s="190">
        <f t="shared" ref="G50" si="56">F50/F49-1</f>
        <v>6.1367115431690378E-2</v>
      </c>
      <c r="H50" s="190">
        <f t="shared" ref="H50" si="57">F50/F38-1</f>
        <v>-2.8903868006766475E-2</v>
      </c>
      <c r="I50" s="130">
        <f t="shared" ref="I50" si="58">T50</f>
        <v>12.199684065686119</v>
      </c>
      <c r="J50" s="130">
        <f t="shared" ref="J50" si="59">I50/I38-1</f>
        <v>-4.485978659236034E-2</v>
      </c>
      <c r="K50" s="136"/>
      <c r="L50" s="190"/>
      <c r="M50" s="190"/>
      <c r="N50" s="191"/>
      <c r="O50" s="192"/>
      <c r="P50" s="129" t="s">
        <v>1293</v>
      </c>
      <c r="Q50" s="116">
        <v>5247430011</v>
      </c>
      <c r="R50" s="116">
        <v>7425977205390</v>
      </c>
      <c r="S50" s="116">
        <v>430128352.73000002</v>
      </c>
      <c r="T50" s="130">
        <f t="shared" ref="T50" si="60">Q50/S50</f>
        <v>12.199684065686119</v>
      </c>
      <c r="U50" s="85">
        <f t="shared" si="46"/>
        <v>16503119545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302258321.35000002</v>
      </c>
      <c r="G51" s="190">
        <f t="shared" ref="G51:G52" si="61">F51/F50-1</f>
        <v>3.6821791409310967E-2</v>
      </c>
      <c r="H51" s="190">
        <f t="shared" ref="H51:H52" si="62">F51/F39-1</f>
        <v>0.16467553569494631</v>
      </c>
      <c r="I51" s="130">
        <f t="shared" ref="I51:I52" si="63">T51</f>
        <v>12.471759094119031</v>
      </c>
      <c r="J51" s="130">
        <f t="shared" ref="J51:J52" si="64">I51/I39-1</f>
        <v>-2.4937840510091402E-2</v>
      </c>
      <c r="K51" s="136"/>
      <c r="L51" s="190"/>
      <c r="M51" s="190"/>
      <c r="N51" s="191"/>
      <c r="O51" s="192"/>
      <c r="P51" s="129" t="s">
        <v>1402</v>
      </c>
      <c r="Q51" s="116">
        <v>6045166427</v>
      </c>
      <c r="R51" s="116">
        <v>8763664463788</v>
      </c>
      <c r="S51" s="116">
        <v>484708402.50999999</v>
      </c>
      <c r="T51" s="130">
        <f t="shared" ref="T51:T52" si="65">Q51/S51</f>
        <v>12.471759094119031</v>
      </c>
      <c r="U51" s="85">
        <f t="shared" si="46"/>
        <v>17335298794</v>
      </c>
    </row>
    <row r="52" spans="1:26" s="79" customFormat="1" ht="13.2">
      <c r="A52" s="129" t="s">
        <v>1403</v>
      </c>
      <c r="B52" s="188">
        <f>SUM(F50:F52)</f>
        <v>847800356.98636365</v>
      </c>
      <c r="C52" s="188">
        <f>AVERAGE(F50:F52)</f>
        <v>282600118.99545455</v>
      </c>
      <c r="D52" s="190">
        <f>C52/C49-1</f>
        <v>9.5147436429101173E-2</v>
      </c>
      <c r="E52" s="287">
        <f>C52/C40-1</f>
        <v>1.2281652353499428E-2</v>
      </c>
      <c r="F52" s="136">
        <f>Q52/22</f>
        <v>254018146.13636363</v>
      </c>
      <c r="G52" s="190">
        <f t="shared" si="61"/>
        <v>-0.15959916338507252</v>
      </c>
      <c r="H52" s="190">
        <f t="shared" si="62"/>
        <v>-8.5581360153652031E-2</v>
      </c>
      <c r="I52" s="130">
        <f t="shared" si="63"/>
        <v>12.062382938077064</v>
      </c>
      <c r="J52" s="130">
        <f t="shared" si="64"/>
        <v>6.6647123917238371E-3</v>
      </c>
      <c r="K52" s="136">
        <f>R50+R51+R52</f>
        <v>24415056452547</v>
      </c>
      <c r="L52" s="190">
        <f>U52/U49-1</f>
        <v>7.9009689565783248E-3</v>
      </c>
      <c r="M52" s="190">
        <f>K52/K40-1</f>
        <v>1.8512200471480833E-2</v>
      </c>
      <c r="N52" s="191">
        <f>AVERAGE(T50:T52)</f>
        <v>12.244608699294071</v>
      </c>
      <c r="O52" s="192">
        <f>N52/N49-1</f>
        <v>1.7448430949822402E-2</v>
      </c>
      <c r="P52" s="129" t="s">
        <v>1403</v>
      </c>
      <c r="Q52" s="116">
        <v>5588399215</v>
      </c>
      <c r="R52" s="116">
        <v>8225414783369</v>
      </c>
      <c r="S52" s="116">
        <v>463291477.62</v>
      </c>
      <c r="T52" s="130">
        <f t="shared" si="65"/>
        <v>12.062382938077064</v>
      </c>
      <c r="U52" s="85">
        <f t="shared" ref="U52" si="66">Q50+Q51+Q52</f>
        <v>16880995653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273513603.5714286</v>
      </c>
      <c r="G53" s="190">
        <f t="shared" ref="G53" si="67">F53/F52-1</f>
        <v>7.6748286418086398E-2</v>
      </c>
      <c r="H53" s="190">
        <f t="shared" ref="H53" si="68">F53/F41-1</f>
        <v>1.8640065491312585E-2</v>
      </c>
      <c r="I53" s="130">
        <f t="shared" ref="I53" si="69">T53</f>
        <v>12.45543292141172</v>
      </c>
      <c r="J53" s="130">
        <f t="shared" ref="J53" si="70">I53/I41-1</f>
        <v>2.56474704948777E-2</v>
      </c>
      <c r="K53" s="136"/>
      <c r="L53" s="190"/>
      <c r="M53" s="190"/>
      <c r="N53" s="191"/>
      <c r="O53" s="192"/>
      <c r="P53" s="129" t="s">
        <v>1414</v>
      </c>
      <c r="Q53" s="116">
        <v>5743785675</v>
      </c>
      <c r="R53" s="116">
        <v>8378227477865</v>
      </c>
      <c r="S53" s="116">
        <v>461147012.00999999</v>
      </c>
      <c r="T53" s="130">
        <f t="shared" ref="T53" si="71">Q53/S53</f>
        <v>12.45543292141172</v>
      </c>
      <c r="U53" s="85">
        <f t="shared" ref="U53" si="72">Q51+Q52+Q53</f>
        <v>17377351317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264897302.47058824</v>
      </c>
      <c r="G54" s="190">
        <f t="shared" ref="G54" si="73">F54/F53-1</f>
        <v>-3.1502276260969242E-2</v>
      </c>
      <c r="H54" s="190">
        <f t="shared" ref="H54" si="74">F54/F42-1</f>
        <v>-9.423765387715366E-2</v>
      </c>
      <c r="I54" s="130">
        <f t="shared" ref="I54" si="75">T54</f>
        <v>12.350945011024328</v>
      </c>
      <c r="J54" s="130">
        <f t="shared" ref="J54" si="76">I54/I42-1</f>
        <v>8.7265600092019113E-3</v>
      </c>
      <c r="K54" s="136"/>
      <c r="L54" s="190"/>
      <c r="M54" s="190"/>
      <c r="N54" s="191"/>
      <c r="O54" s="192"/>
      <c r="P54" s="129" t="s">
        <v>1417</v>
      </c>
      <c r="Q54" s="116">
        <v>4503254142</v>
      </c>
      <c r="R54" s="116">
        <v>6522416965180</v>
      </c>
      <c r="S54" s="116">
        <v>364608063.43000001</v>
      </c>
      <c r="T54" s="130">
        <f t="shared" ref="T54" si="77">Q54/S54</f>
        <v>12.350945011024328</v>
      </c>
      <c r="U54" s="85">
        <f t="shared" ref="U54" si="78">Q52+Q53+Q54</f>
        <v>15835439032</v>
      </c>
    </row>
    <row r="55" spans="1:26" s="79" customFormat="1" ht="13.2">
      <c r="A55" s="129" t="s">
        <v>1418</v>
      </c>
      <c r="B55" s="188">
        <f>SUM(F53:F55)</f>
        <v>827880725.04201686</v>
      </c>
      <c r="C55" s="188">
        <f>AVERAGE(F53:F55)</f>
        <v>275960241.68067229</v>
      </c>
      <c r="D55" s="190">
        <f>C55/C52-1</f>
        <v>-2.3495663548850354E-2</v>
      </c>
      <c r="E55" s="287">
        <f>C55/C43-1</f>
        <v>-3.9078423828318387E-2</v>
      </c>
      <c r="F55" s="136">
        <f>Q55/21</f>
        <v>289469819</v>
      </c>
      <c r="G55" s="190">
        <f t="shared" ref="G55" si="79">F55/F54-1</f>
        <v>9.2762426420480715E-2</v>
      </c>
      <c r="H55" s="190">
        <f t="shared" ref="H55" si="80">F55/F43-1</f>
        <v>-3.6969718150910214E-2</v>
      </c>
      <c r="I55" s="130">
        <f>T55</f>
        <v>12.409484451675127</v>
      </c>
      <c r="J55" s="130">
        <f t="shared" ref="J55" si="81">I55/I43-1</f>
        <v>1.1549601162417433E-2</v>
      </c>
      <c r="K55" s="136">
        <f>R53+R54+R55</f>
        <v>23863058746259</v>
      </c>
      <c r="L55" s="190">
        <f>U55/U52-1</f>
        <v>-3.2882517619827301E-2</v>
      </c>
      <c r="M55" s="190">
        <f>K55/K43-1</f>
        <v>-1.588255964705243E-2</v>
      </c>
      <c r="N55" s="191">
        <f>AVERAGE(T53:T55)</f>
        <v>12.405287461370392</v>
      </c>
      <c r="O55" s="192">
        <f>N55/N52-1</f>
        <v>1.312240889213423E-2</v>
      </c>
      <c r="P55" s="129" t="s">
        <v>1418</v>
      </c>
      <c r="Q55" s="116">
        <v>6078866199</v>
      </c>
      <c r="R55" s="116">
        <v>8962414303214</v>
      </c>
      <c r="S55" s="116">
        <v>489856466.05000001</v>
      </c>
      <c r="T55" s="130">
        <f t="shared" ref="T55" si="82">Q55/S55</f>
        <v>12.409484451675127</v>
      </c>
      <c r="U55" s="85">
        <f t="shared" ref="U55" si="83">Q53+Q54+Q55</f>
        <v>16325906016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265726823.5</v>
      </c>
      <c r="G56" s="190">
        <f t="shared" ref="G56" si="84">F56/F55-1</f>
        <v>-8.2022352389006792E-2</v>
      </c>
      <c r="H56" s="190">
        <f t="shared" ref="H56" si="85">F56/F44-1</f>
        <v>-7.184040565691685E-2</v>
      </c>
      <c r="I56" s="291">
        <f>T56</f>
        <v>12.164352105284953</v>
      </c>
      <c r="J56" s="130">
        <f t="shared" ref="J56" si="86">I56/I44-1</f>
        <v>-1.9284963327499405E-2</v>
      </c>
      <c r="K56" s="136"/>
      <c r="L56" s="190"/>
      <c r="M56" s="190"/>
      <c r="N56" s="191"/>
      <c r="O56" s="192"/>
      <c r="P56" s="129" t="s">
        <v>1420</v>
      </c>
      <c r="Q56" s="116">
        <v>5845990117</v>
      </c>
      <c r="R56" s="116">
        <v>8719917407065</v>
      </c>
      <c r="S56" s="116">
        <v>480583763.63999999</v>
      </c>
      <c r="T56" s="130">
        <f t="shared" ref="T56" si="87">Q56/S56</f>
        <v>12.164352105284953</v>
      </c>
      <c r="U56" s="85">
        <f t="shared" ref="U56" si="88">Q54+Q55+Q56</f>
        <v>16428110458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230563780.16666666</v>
      </c>
      <c r="G57" s="254">
        <f t="shared" ref="G57" si="89">F57/F56-1</f>
        <v>-0.13232779013494411</v>
      </c>
      <c r="H57" s="254">
        <f t="shared" ref="H57" si="90">F57/F45-1</f>
        <v>-0.22367910482549447</v>
      </c>
      <c r="I57" s="282">
        <f>T57</f>
        <v>12.044051356598594</v>
      </c>
      <c r="J57" s="277">
        <f t="shared" ref="J57" si="91">I57/I45-1</f>
        <v>-8.153891555126469E-3</v>
      </c>
      <c r="K57" s="204"/>
      <c r="L57" s="254"/>
      <c r="M57" s="254"/>
      <c r="N57" s="257"/>
      <c r="O57" s="258"/>
      <c r="P57" s="129" t="s">
        <v>1436</v>
      </c>
      <c r="Q57" s="116">
        <v>2766765362</v>
      </c>
      <c r="R57" s="116">
        <v>4075741363575</v>
      </c>
      <c r="S57" s="116">
        <v>229720488.56999999</v>
      </c>
      <c r="T57" s="130">
        <f t="shared" ref="T57" si="92">Q57/S57</f>
        <v>12.044051356598594</v>
      </c>
      <c r="U57" s="85">
        <f t="shared" ref="U57" si="93">Q55+Q56+Q57</f>
        <v>14691621678</v>
      </c>
    </row>
    <row r="58" spans="1:26">
      <c r="B58" s="196">
        <f>SUM(F56:F58)</f>
        <v>496290603.66666663</v>
      </c>
      <c r="C58" s="196">
        <f>AVERAGE(F56:F58)</f>
        <v>248145301.83333331</v>
      </c>
      <c r="D58" s="197">
        <f>C58/C55-1</f>
        <v>-0.1007932870254733</v>
      </c>
      <c r="E58" s="233">
        <f>C58/C46-1</f>
        <v>-0.17180591355999086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24938661495</v>
      </c>
      <c r="R65" s="212">
        <v>36658717516899</v>
      </c>
      <c r="S65" s="213">
        <v>2025915793.72</v>
      </c>
      <c r="T65" s="214">
        <v>5004</v>
      </c>
      <c r="U65" s="214">
        <v>15624</v>
      </c>
    </row>
    <row r="66" spans="16:21" ht="18" thickBot="1">
      <c r="P66" s="180" t="s">
        <v>976</v>
      </c>
      <c r="Q66" s="181">
        <v>5743785675</v>
      </c>
      <c r="R66" s="181">
        <v>8378227477865</v>
      </c>
      <c r="S66" s="182">
        <v>461147012.00999999</v>
      </c>
      <c r="T66" s="210">
        <v>3455</v>
      </c>
      <c r="U66" s="210">
        <v>5972</v>
      </c>
    </row>
    <row r="67" spans="16:21" ht="18" thickBot="1">
      <c r="P67" s="180" t="s">
        <v>977</v>
      </c>
      <c r="Q67" s="181">
        <v>4503254142</v>
      </c>
      <c r="R67" s="181">
        <v>6522416965180</v>
      </c>
      <c r="S67" s="182">
        <v>364608063.43000001</v>
      </c>
      <c r="T67" s="210">
        <v>3412</v>
      </c>
      <c r="U67" s="210">
        <v>5864</v>
      </c>
    </row>
    <row r="68" spans="16:21" ht="18" thickBot="1">
      <c r="P68" s="180" t="s">
        <v>978</v>
      </c>
      <c r="Q68" s="181">
        <v>6078866199</v>
      </c>
      <c r="R68" s="181">
        <v>8962414303214</v>
      </c>
      <c r="S68" s="182">
        <v>489856466.05000001</v>
      </c>
      <c r="T68" s="210">
        <v>3549</v>
      </c>
      <c r="U68" s="210">
        <v>6681</v>
      </c>
    </row>
    <row r="69" spans="16:21" ht="18" thickBot="1">
      <c r="P69" s="180" t="s">
        <v>979</v>
      </c>
      <c r="Q69" s="181">
        <v>5845990117</v>
      </c>
      <c r="R69" s="181">
        <v>8719917407065</v>
      </c>
      <c r="S69" s="182">
        <v>480583763.63999999</v>
      </c>
      <c r="T69" s="210">
        <v>3713</v>
      </c>
      <c r="U69" s="210">
        <v>6975</v>
      </c>
    </row>
    <row r="70" spans="16:21" ht="18" thickBot="1">
      <c r="P70" s="180" t="s">
        <v>980</v>
      </c>
      <c r="Q70" s="181">
        <v>2766765362</v>
      </c>
      <c r="R70" s="181">
        <v>4075741363575</v>
      </c>
      <c r="S70" s="182">
        <v>229720488.56999999</v>
      </c>
      <c r="T70" s="210">
        <v>3250</v>
      </c>
      <c r="U70" s="210">
        <v>5014</v>
      </c>
    </row>
    <row r="71" spans="16:21" ht="18" thickBot="1">
      <c r="P71" s="180" t="s">
        <v>975</v>
      </c>
      <c r="Q71" s="181">
        <v>68548281912</v>
      </c>
      <c r="R71" s="181">
        <v>97503791423531</v>
      </c>
      <c r="S71" s="182">
        <v>5611545442.7700005</v>
      </c>
      <c r="T71" s="210">
        <v>6128</v>
      </c>
      <c r="U71" s="210">
        <v>32996</v>
      </c>
    </row>
    <row r="72" spans="16:21" ht="18" thickBot="1">
      <c r="P72" s="215" t="s">
        <v>982</v>
      </c>
      <c r="Q72" s="217">
        <v>68</v>
      </c>
      <c r="R72"/>
      <c r="S72"/>
      <c r="T72"/>
      <c r="U72"/>
    </row>
  </sheetData>
  <phoneticPr fontId="1" type="noConversion"/>
  <conditionalFormatting sqref="C29:C30">
    <cfRule type="cellIs" dxfId="18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73"/>
  <sheetViews>
    <sheetView zoomScale="90" zoomScaleNormal="90" workbookViewId="0">
      <selection activeCell="F73" sqref="F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84" bestFit="1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698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3006104000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9196.2000000000007</v>
      </c>
      <c r="G5" s="90"/>
      <c r="H5" s="90"/>
      <c r="I5" s="130">
        <f t="shared" ref="I5:I49" si="0">T5</f>
        <v>198.49555898509587</v>
      </c>
      <c r="J5" s="130"/>
      <c r="K5" s="86"/>
      <c r="L5" s="80"/>
      <c r="M5" s="80"/>
      <c r="N5" s="79"/>
      <c r="O5" s="79"/>
      <c r="P5" s="129" t="s">
        <v>0</v>
      </c>
      <c r="Q5" s="116">
        <v>183924</v>
      </c>
      <c r="R5" s="116"/>
      <c r="S5" s="116">
        <v>926.59</v>
      </c>
      <c r="T5" s="130">
        <f t="shared" ref="T5:T36" si="1">Q5/S5</f>
        <v>198.49555898509587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1731.5555555555557</v>
      </c>
      <c r="G6" s="90">
        <f t="shared" ref="G6:G36" si="2">F6/F5-1</f>
        <v>-0.81170966751967599</v>
      </c>
      <c r="H6" s="90"/>
      <c r="I6" s="130">
        <f t="shared" si="0"/>
        <v>182.15183215475423</v>
      </c>
      <c r="J6" s="130"/>
      <c r="K6" s="78"/>
      <c r="L6" s="87"/>
      <c r="M6" s="87"/>
      <c r="N6" s="79"/>
      <c r="O6" s="79"/>
      <c r="P6" s="129" t="s">
        <v>1</v>
      </c>
      <c r="Q6" s="116">
        <v>31168</v>
      </c>
      <c r="R6" s="116"/>
      <c r="S6" s="116">
        <v>171.11</v>
      </c>
      <c r="T6" s="130">
        <f t="shared" si="1"/>
        <v>182.15183215475423</v>
      </c>
      <c r="U6" s="85"/>
    </row>
    <row r="7" spans="1:21" ht="15" hidden="1" customHeight="1">
      <c r="A7" s="129" t="s">
        <v>2</v>
      </c>
      <c r="B7" s="131">
        <f>F5+F6+F7</f>
        <v>17104.801010101011</v>
      </c>
      <c r="C7" s="131">
        <f>AVERAGE(F5:F7)</f>
        <v>5701.6003367003368</v>
      </c>
      <c r="D7" s="117"/>
      <c r="F7" s="78">
        <f>Q7/22</f>
        <v>6177.045454545455</v>
      </c>
      <c r="G7" s="90">
        <f t="shared" si="2"/>
        <v>2.5673388790367744</v>
      </c>
      <c r="H7" s="90"/>
      <c r="I7" s="130">
        <f t="shared" si="0"/>
        <v>202.73758018797554</v>
      </c>
      <c r="J7" s="130"/>
      <c r="K7" s="85">
        <f>R5+R6+R7</f>
        <v>0</v>
      </c>
      <c r="L7" s="87"/>
      <c r="M7" s="87"/>
      <c r="N7" s="88">
        <f>AVERAGE(T5:T7)</f>
        <v>194.46165710927525</v>
      </c>
      <c r="O7" s="79"/>
      <c r="P7" s="129" t="s">
        <v>2</v>
      </c>
      <c r="Q7" s="116">
        <v>135895</v>
      </c>
      <c r="R7" s="116"/>
      <c r="S7" s="116">
        <v>670.3</v>
      </c>
      <c r="T7" s="130">
        <f t="shared" si="1"/>
        <v>202.73758018797554</v>
      </c>
      <c r="U7" s="85">
        <f>Q5+Q6+Q7</f>
        <v>350987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4381.9047619047615</v>
      </c>
      <c r="G8" s="90">
        <f t="shared" si="2"/>
        <v>-0.29061477786596457</v>
      </c>
      <c r="H8" s="90"/>
      <c r="I8" s="130">
        <f t="shared" si="0"/>
        <v>227.60326490230025</v>
      </c>
      <c r="J8" s="130"/>
      <c r="K8" s="78"/>
      <c r="L8" s="87"/>
      <c r="M8" s="87"/>
      <c r="N8" s="79"/>
      <c r="O8" s="79"/>
      <c r="P8" s="129" t="s">
        <v>3</v>
      </c>
      <c r="Q8" s="116">
        <v>92020</v>
      </c>
      <c r="R8" s="116"/>
      <c r="S8" s="116">
        <v>404.3</v>
      </c>
      <c r="T8" s="130">
        <f t="shared" si="1"/>
        <v>227.60326490230025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8968.5714285714294</v>
      </c>
      <c r="G9" s="90">
        <f t="shared" si="2"/>
        <v>1.0467289719626174</v>
      </c>
      <c r="H9" s="90"/>
      <c r="I9" s="130">
        <f t="shared" si="0"/>
        <v>187.36942637139617</v>
      </c>
      <c r="J9" s="130"/>
      <c r="K9" s="78"/>
      <c r="L9" s="87"/>
      <c r="M9" s="87"/>
      <c r="N9" s="79"/>
      <c r="O9" s="79"/>
      <c r="P9" s="129" t="s">
        <v>4</v>
      </c>
      <c r="Q9" s="116">
        <v>188340</v>
      </c>
      <c r="R9" s="116"/>
      <c r="S9" s="116">
        <v>1005.18</v>
      </c>
      <c r="T9" s="130">
        <f t="shared" si="1"/>
        <v>187.36942637139617</v>
      </c>
      <c r="U9" s="85"/>
    </row>
    <row r="10" spans="1:21" ht="15" hidden="1" customHeight="1">
      <c r="A10" s="129" t="s">
        <v>5</v>
      </c>
      <c r="B10" s="131">
        <f>F8+F9+F10</f>
        <v>18074.809523809523</v>
      </c>
      <c r="C10" s="131">
        <f>AVERAGE(F8:F10)</f>
        <v>6024.936507936508</v>
      </c>
      <c r="D10" s="90">
        <f>C10/C7-1</f>
        <v>5.6709722208150071E-2</v>
      </c>
      <c r="E10" s="286"/>
      <c r="F10" s="78">
        <f>Q10/21</f>
        <v>4724.333333333333</v>
      </c>
      <c r="G10" s="90">
        <f t="shared" si="2"/>
        <v>-0.4732345757672296</v>
      </c>
      <c r="H10" s="90"/>
      <c r="I10" s="130">
        <f t="shared" si="0"/>
        <v>138.752762160499</v>
      </c>
      <c r="J10" s="130"/>
      <c r="K10" s="85">
        <f>R8+R9+R10</f>
        <v>0</v>
      </c>
      <c r="L10" s="87">
        <f>U10/U7-1</f>
        <v>8.1438913691959991E-2</v>
      </c>
      <c r="M10" s="87"/>
      <c r="N10" s="88">
        <f>AVERAGE(T8:T10)</f>
        <v>184.57515114473185</v>
      </c>
      <c r="O10" s="89">
        <f>N10/N7-1</f>
        <v>-5.0840387310840396E-2</v>
      </c>
      <c r="P10" s="129" t="s">
        <v>5</v>
      </c>
      <c r="Q10" s="116">
        <v>99211</v>
      </c>
      <c r="R10" s="116"/>
      <c r="S10" s="116">
        <v>715.02</v>
      </c>
      <c r="T10" s="130">
        <f t="shared" si="1"/>
        <v>138.752762160499</v>
      </c>
      <c r="U10" s="85">
        <f>Q8+Q9+Q10</f>
        <v>379571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3646.3809523809523</v>
      </c>
      <c r="G11" s="90">
        <f t="shared" si="2"/>
        <v>-0.2281702633780528</v>
      </c>
      <c r="H11" s="90"/>
      <c r="I11" s="130">
        <f t="shared" si="0"/>
        <v>170.1984841412727</v>
      </c>
      <c r="J11" s="130"/>
      <c r="K11" s="78"/>
      <c r="L11" s="87"/>
      <c r="M11" s="87"/>
      <c r="N11" s="79"/>
      <c r="O11" s="89"/>
      <c r="P11" s="129" t="s">
        <v>6</v>
      </c>
      <c r="Q11" s="116">
        <v>76574</v>
      </c>
      <c r="R11" s="116"/>
      <c r="S11" s="116">
        <v>449.91</v>
      </c>
      <c r="T11" s="130">
        <f t="shared" si="1"/>
        <v>170.1984841412727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3914.909090909091</v>
      </c>
      <c r="G12" s="90">
        <f t="shared" si="2"/>
        <v>7.3642370897313958E-2</v>
      </c>
      <c r="H12" s="90"/>
      <c r="I12" s="130">
        <f t="shared" si="0"/>
        <v>198.40589725869614</v>
      </c>
      <c r="J12" s="130"/>
      <c r="K12" s="78"/>
      <c r="L12" s="87"/>
      <c r="M12" s="87"/>
      <c r="N12" s="79"/>
      <c r="O12" s="89"/>
      <c r="P12" s="129" t="s">
        <v>7</v>
      </c>
      <c r="Q12" s="116">
        <v>86128</v>
      </c>
      <c r="R12" s="116"/>
      <c r="S12" s="116">
        <v>434.1</v>
      </c>
      <c r="T12" s="130">
        <f t="shared" si="1"/>
        <v>198.40589725869614</v>
      </c>
      <c r="U12" s="85"/>
    </row>
    <row r="13" spans="1:21" ht="15" hidden="1" customHeight="1">
      <c r="A13" s="129" t="s">
        <v>96</v>
      </c>
      <c r="B13" s="131">
        <f>F11+F12+F13</f>
        <v>14210.740043290043</v>
      </c>
      <c r="C13" s="131">
        <f>AVERAGE(F11:F13)</f>
        <v>4736.9133477633477</v>
      </c>
      <c r="D13" s="90">
        <f>C13/C10-1</f>
        <v>-0.21378203047890665</v>
      </c>
      <c r="E13" s="286"/>
      <c r="F13" s="78">
        <f>Q13/20</f>
        <v>6649.45</v>
      </c>
      <c r="G13" s="90">
        <f t="shared" si="2"/>
        <v>0.69849410180196903</v>
      </c>
      <c r="H13" s="90"/>
      <c r="I13" s="130">
        <f t="shared" si="0"/>
        <v>221.07721718892861</v>
      </c>
      <c r="J13" s="130"/>
      <c r="K13" s="78">
        <f>R11+R12+R13</f>
        <v>0</v>
      </c>
      <c r="L13" s="87">
        <f>U13/U10-1</f>
        <v>-0.22098632403423868</v>
      </c>
      <c r="M13" s="87"/>
      <c r="N13" s="88">
        <f>AVERAGE(T11:T13)</f>
        <v>196.56053286296583</v>
      </c>
      <c r="O13" s="89">
        <f>N13/N10-1</f>
        <v>6.4934969002603316E-2</v>
      </c>
      <c r="P13" s="129" t="s">
        <v>96</v>
      </c>
      <c r="Q13" s="116">
        <v>132989</v>
      </c>
      <c r="R13" s="116"/>
      <c r="S13" s="116">
        <v>601.54999999999995</v>
      </c>
      <c r="T13" s="130">
        <f t="shared" si="1"/>
        <v>221.07721718892861</v>
      </c>
      <c r="U13" s="85">
        <f>Q11+Q12+Q13</f>
        <v>295691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7624.3</v>
      </c>
      <c r="G14" s="90">
        <f t="shared" si="2"/>
        <v>0.14660611027979753</v>
      </c>
      <c r="H14" s="90"/>
      <c r="I14" s="130">
        <f t="shared" si="0"/>
        <v>192.24397685296083</v>
      </c>
      <c r="J14" s="130"/>
      <c r="K14" s="78"/>
      <c r="L14" s="87"/>
      <c r="M14" s="87"/>
      <c r="N14" s="79"/>
      <c r="O14" s="89"/>
      <c r="P14" s="129" t="s">
        <v>97</v>
      </c>
      <c r="Q14" s="116">
        <v>152486</v>
      </c>
      <c r="R14" s="116"/>
      <c r="S14" s="116">
        <v>793.19</v>
      </c>
      <c r="T14" s="130">
        <f t="shared" si="1"/>
        <v>192.24397685296083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16474.409090909092</v>
      </c>
      <c r="G15" s="90">
        <f t="shared" si="2"/>
        <v>1.1607766078078106</v>
      </c>
      <c r="H15" s="90"/>
      <c r="I15" s="130">
        <f t="shared" si="0"/>
        <v>240.64444164104881</v>
      </c>
      <c r="J15" s="130"/>
      <c r="K15" s="78"/>
      <c r="L15" s="87"/>
      <c r="M15" s="87"/>
      <c r="N15" s="79"/>
      <c r="O15" s="89"/>
      <c r="P15" s="129" t="s">
        <v>98</v>
      </c>
      <c r="Q15" s="116">
        <v>362437</v>
      </c>
      <c r="R15" s="116"/>
      <c r="S15" s="116">
        <v>1506.11</v>
      </c>
      <c r="T15" s="130">
        <f t="shared" si="1"/>
        <v>240.64444164104881</v>
      </c>
      <c r="U15" s="78"/>
    </row>
    <row r="16" spans="1:21" ht="15" hidden="1" customHeight="1">
      <c r="A16" s="129" t="s">
        <v>99</v>
      </c>
      <c r="B16" s="131">
        <f>F14+F15+F16</f>
        <v>42756.618181818179</v>
      </c>
      <c r="C16" s="131">
        <f>AVERAGE(F14:F16)</f>
        <v>14252.20606060606</v>
      </c>
      <c r="D16" s="90">
        <f>C16/C13-1</f>
        <v>2.0087538053309748</v>
      </c>
      <c r="E16" s="286"/>
      <c r="F16" s="78">
        <f>Q16/22</f>
        <v>18657.909090909092</v>
      </c>
      <c r="G16" s="90">
        <f t="shared" si="2"/>
        <v>0.13253889641510108</v>
      </c>
      <c r="H16" s="90"/>
      <c r="I16" s="130">
        <f t="shared" si="0"/>
        <v>206.78790931989926</v>
      </c>
      <c r="J16" s="130"/>
      <c r="K16" s="78">
        <f>R14+R15+R16</f>
        <v>0</v>
      </c>
      <c r="L16" s="87">
        <f>U16/U13-1</f>
        <v>2.1296082735017299</v>
      </c>
      <c r="M16" s="87"/>
      <c r="N16" s="88">
        <f>AVERAGE(T14:T16)</f>
        <v>213.22544260463633</v>
      </c>
      <c r="O16" s="89">
        <f>N16/N13-1</f>
        <v>8.4782583252806853E-2</v>
      </c>
      <c r="P16" s="129" t="s">
        <v>99</v>
      </c>
      <c r="Q16" s="116">
        <v>410474</v>
      </c>
      <c r="R16" s="116"/>
      <c r="S16" s="116">
        <v>1985</v>
      </c>
      <c r="T16" s="130">
        <f t="shared" si="1"/>
        <v>206.78790931989926</v>
      </c>
      <c r="U16" s="85">
        <f>Q14+Q15+Q16</f>
        <v>925397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19294.8</v>
      </c>
      <c r="G17" s="90">
        <f t="shared" si="2"/>
        <v>3.4135170558914796E-2</v>
      </c>
      <c r="H17" s="90">
        <f t="shared" ref="H17:H36" si="3">F17/F5-1</f>
        <v>1.0981274874404643</v>
      </c>
      <c r="I17" s="130">
        <f t="shared" si="0"/>
        <v>225.01224489795919</v>
      </c>
      <c r="J17" s="130">
        <f t="shared" ref="J17:J49" si="4">I17/I5-1</f>
        <v>0.1335883082142626</v>
      </c>
      <c r="K17" s="78"/>
      <c r="L17" s="87"/>
      <c r="M17" s="87"/>
      <c r="N17" s="79"/>
      <c r="O17" s="89"/>
      <c r="P17" s="129" t="s">
        <v>100</v>
      </c>
      <c r="Q17" s="116">
        <v>385896</v>
      </c>
      <c r="R17" s="116"/>
      <c r="S17" s="116">
        <v>1715</v>
      </c>
      <c r="T17" s="130">
        <f t="shared" si="1"/>
        <v>225.01224489795919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14647.55</v>
      </c>
      <c r="G18" s="90">
        <f t="shared" si="2"/>
        <v>-0.24085504902875388</v>
      </c>
      <c r="H18" s="90">
        <f t="shared" si="3"/>
        <v>7.4591857032854207</v>
      </c>
      <c r="I18" s="130">
        <f t="shared" si="0"/>
        <v>231.45374101287825</v>
      </c>
      <c r="J18" s="130">
        <f t="shared" si="4"/>
        <v>0.27066380982782356</v>
      </c>
      <c r="K18" s="78"/>
      <c r="L18" s="87"/>
      <c r="M18" s="87"/>
      <c r="N18" s="79"/>
      <c r="O18" s="89"/>
      <c r="P18" s="129" t="s">
        <v>106</v>
      </c>
      <c r="Q18" s="116">
        <v>292951</v>
      </c>
      <c r="R18" s="116"/>
      <c r="S18" s="116">
        <v>1265.7</v>
      </c>
      <c r="T18" s="130">
        <f t="shared" si="1"/>
        <v>231.45374101287825</v>
      </c>
      <c r="U18" s="78"/>
    </row>
    <row r="19" spans="1:21" hidden="1">
      <c r="A19" s="129" t="s">
        <v>114</v>
      </c>
      <c r="B19" s="131">
        <f>SUM(F17:F19)</f>
        <v>46068.94090909091</v>
      </c>
      <c r="C19" s="131">
        <f>AVERAGE(F17:F19)</f>
        <v>15356.313636363637</v>
      </c>
      <c r="D19" s="90">
        <f>C19/C16-1</f>
        <v>7.7469240274977036E-2</v>
      </c>
      <c r="E19" s="286">
        <f>C19/C7-1</f>
        <v>1.6933339289878622</v>
      </c>
      <c r="F19" s="78">
        <f>Q19/22</f>
        <v>12126.59090909091</v>
      </c>
      <c r="G19" s="90">
        <f t="shared" si="2"/>
        <v>-0.17210790138344567</v>
      </c>
      <c r="H19" s="90">
        <f t="shared" si="3"/>
        <v>0.96317009455829861</v>
      </c>
      <c r="I19" s="130">
        <f t="shared" si="0"/>
        <v>206.33023975251353</v>
      </c>
      <c r="J19" s="130">
        <f t="shared" si="4"/>
        <v>1.7720738114793244E-2</v>
      </c>
      <c r="K19" s="78">
        <f>R17+R18+R19</f>
        <v>0</v>
      </c>
      <c r="L19" s="87">
        <f>U19/U16-1</f>
        <v>2.1866290900013796E-2</v>
      </c>
      <c r="M19" s="87">
        <f>U19/U7-1</f>
        <v>1.6942080475915064</v>
      </c>
      <c r="N19" s="88">
        <f>AVERAGE(T17:T19)</f>
        <v>220.93207522111697</v>
      </c>
      <c r="O19" s="89">
        <f>N19/N16-1</f>
        <v>3.6143119331075058E-2</v>
      </c>
      <c r="P19" s="129" t="s">
        <v>114</v>
      </c>
      <c r="Q19" s="116">
        <v>266785</v>
      </c>
      <c r="R19" s="116"/>
      <c r="S19" s="116">
        <v>1293</v>
      </c>
      <c r="T19" s="130">
        <f t="shared" si="1"/>
        <v>206.33023975251353</v>
      </c>
      <c r="U19" s="85">
        <f>Q17+Q18+Q19</f>
        <v>945632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7979.7</v>
      </c>
      <c r="G20" s="90">
        <f t="shared" si="2"/>
        <v>-0.34196675225368744</v>
      </c>
      <c r="H20" s="90">
        <f t="shared" si="3"/>
        <v>0.82105737883068919</v>
      </c>
      <c r="I20" s="130">
        <f t="shared" si="0"/>
        <v>202.02027873770552</v>
      </c>
      <c r="J20" s="130">
        <f t="shared" si="4"/>
        <v>-0.11240166601114598</v>
      </c>
      <c r="K20" s="78"/>
      <c r="L20" s="87"/>
      <c r="M20" s="87"/>
      <c r="N20" s="79"/>
      <c r="O20" s="89"/>
      <c r="P20" s="129" t="s">
        <v>132</v>
      </c>
      <c r="Q20" s="116">
        <v>159594</v>
      </c>
      <c r="R20" s="116"/>
      <c r="S20" s="116">
        <v>789.99</v>
      </c>
      <c r="T20" s="130">
        <f t="shared" si="1"/>
        <v>202.02027873770552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15276</v>
      </c>
      <c r="G21" s="90">
        <f t="shared" si="2"/>
        <v>0.91435768261964734</v>
      </c>
      <c r="H21" s="90">
        <f t="shared" si="3"/>
        <v>0.70328129977699883</v>
      </c>
      <c r="I21" s="130">
        <f t="shared" si="0"/>
        <v>220.97954122752634</v>
      </c>
      <c r="J21" s="130">
        <f t="shared" si="4"/>
        <v>0.17937886402827297</v>
      </c>
      <c r="K21" s="78"/>
      <c r="L21" s="87"/>
      <c r="M21" s="87"/>
      <c r="N21" s="79"/>
      <c r="O21" s="89"/>
      <c r="P21" s="129" t="s">
        <v>141</v>
      </c>
      <c r="Q21" s="116">
        <v>320796</v>
      </c>
      <c r="R21" s="116"/>
      <c r="S21" s="116">
        <v>1451.7</v>
      </c>
      <c r="T21" s="130">
        <f t="shared" si="1"/>
        <v>220.97954122752634</v>
      </c>
      <c r="U21" s="78"/>
    </row>
    <row r="22" spans="1:21" hidden="1">
      <c r="A22" s="129" t="s">
        <v>155</v>
      </c>
      <c r="B22" s="131">
        <f>SUM(F20:F22)</f>
        <v>36152.890476190478</v>
      </c>
      <c r="C22" s="131">
        <f>AVERAGE(F20:F22)</f>
        <v>12050.963492063493</v>
      </c>
      <c r="D22" s="90">
        <f>C22/C19-1</f>
        <v>-0.21524372467055497</v>
      </c>
      <c r="E22" s="286">
        <f>C22/C10-1</f>
        <v>1.0001809938061657</v>
      </c>
      <c r="F22" s="78">
        <f>Q22/21</f>
        <v>12897.190476190477</v>
      </c>
      <c r="G22" s="90">
        <f t="shared" si="2"/>
        <v>-0.15572201648399597</v>
      </c>
      <c r="H22" s="90">
        <f t="shared" si="3"/>
        <v>1.7299492999768176</v>
      </c>
      <c r="I22" s="130">
        <f t="shared" si="0"/>
        <v>193.87329992841805</v>
      </c>
      <c r="J22" s="130">
        <f t="shared" si="4"/>
        <v>0.39725722868247959</v>
      </c>
      <c r="K22" s="78">
        <f>R20+R21+R22</f>
        <v>0</v>
      </c>
      <c r="L22" s="87">
        <f>U22/U19-1</f>
        <v>-0.20557785692531561</v>
      </c>
      <c r="M22" s="87">
        <f>U22/U10-1</f>
        <v>0.97915804948217855</v>
      </c>
      <c r="N22" s="88">
        <f>AVERAGE(T20:T22)</f>
        <v>205.6243732978833</v>
      </c>
      <c r="O22" s="89">
        <f>N22/N19-1</f>
        <v>-6.9286915029939222E-2</v>
      </c>
      <c r="P22" s="129" t="s">
        <v>155</v>
      </c>
      <c r="Q22" s="116">
        <v>270841</v>
      </c>
      <c r="R22" s="116"/>
      <c r="S22" s="116">
        <v>1397</v>
      </c>
      <c r="T22" s="130">
        <f t="shared" si="1"/>
        <v>193.87329992841805</v>
      </c>
      <c r="U22" s="85">
        <f>Q20+Q21+Q22</f>
        <v>751231</v>
      </c>
    </row>
    <row r="23" spans="1:21" hidden="1">
      <c r="A23" s="129" t="s">
        <v>189</v>
      </c>
      <c r="B23" s="131"/>
      <c r="C23" s="131"/>
      <c r="D23" s="117"/>
      <c r="F23" s="78">
        <f>Q23/21</f>
        <v>15207.428571428571</v>
      </c>
      <c r="G23" s="90">
        <f t="shared" si="2"/>
        <v>0.17912723701359834</v>
      </c>
      <c r="H23" s="90">
        <f t="shared" si="3"/>
        <v>3.1705539739337114</v>
      </c>
      <c r="I23" s="130">
        <f t="shared" si="0"/>
        <v>172.85284375067658</v>
      </c>
      <c r="J23" s="130">
        <f t="shared" si="4"/>
        <v>1.5595671270495215E-2</v>
      </c>
      <c r="K23" s="78"/>
      <c r="L23" s="87"/>
      <c r="M23" s="87"/>
      <c r="N23" s="79"/>
      <c r="O23" s="89"/>
      <c r="P23" s="129" t="s">
        <v>189</v>
      </c>
      <c r="Q23" s="116">
        <v>319356</v>
      </c>
      <c r="R23" s="116"/>
      <c r="S23" s="116">
        <v>1847.56</v>
      </c>
      <c r="T23" s="130">
        <f t="shared" si="1"/>
        <v>172.85284375067658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8439.545454545454</v>
      </c>
      <c r="G24" s="90">
        <f t="shared" si="2"/>
        <v>-0.44503796845697419</v>
      </c>
      <c r="H24" s="90">
        <f t="shared" si="3"/>
        <v>1.1557449377670443</v>
      </c>
      <c r="I24" s="130">
        <f t="shared" si="0"/>
        <v>226.59262875274592</v>
      </c>
      <c r="J24" s="130">
        <f t="shared" si="4"/>
        <v>0.14206599644212115</v>
      </c>
      <c r="K24" s="78"/>
      <c r="L24" s="87"/>
      <c r="M24" s="87"/>
      <c r="N24" s="79"/>
      <c r="O24" s="89"/>
      <c r="P24" s="129" t="s">
        <v>204</v>
      </c>
      <c r="Q24" s="116">
        <v>185670</v>
      </c>
      <c r="R24" s="116"/>
      <c r="S24" s="116">
        <v>819.4</v>
      </c>
      <c r="T24" s="130">
        <f t="shared" si="1"/>
        <v>226.59262875274592</v>
      </c>
      <c r="U24" s="78"/>
    </row>
    <row r="25" spans="1:21" s="92" customFormat="1" ht="13.2" hidden="1">
      <c r="A25" s="129" t="s">
        <v>217</v>
      </c>
      <c r="B25" s="131">
        <f>SUM(F23:F25)</f>
        <v>41911.395078605608</v>
      </c>
      <c r="C25" s="131">
        <f>AVERAGE(F23:F25)</f>
        <v>13970.465026201869</v>
      </c>
      <c r="D25" s="90">
        <f>C25/C22-1</f>
        <v>0.15928199727785408</v>
      </c>
      <c r="E25" s="286">
        <f>C25/C13-1</f>
        <v>1.9492760370629059</v>
      </c>
      <c r="F25" s="78">
        <f>Q25/19</f>
        <v>18264.42105263158</v>
      </c>
      <c r="G25" s="90">
        <f t="shared" si="2"/>
        <v>1.1641474829422891</v>
      </c>
      <c r="H25" s="90">
        <f t="shared" si="3"/>
        <v>1.74675665696134</v>
      </c>
      <c r="I25" s="130">
        <f t="shared" si="0"/>
        <v>223.5979381443299</v>
      </c>
      <c r="J25" s="130">
        <f t="shared" si="4"/>
        <v>1.1401993328182369E-2</v>
      </c>
      <c r="K25" s="78">
        <f>R23+R24+R25</f>
        <v>0</v>
      </c>
      <c r="L25" s="90">
        <f>U25/U22-1</f>
        <v>0.13420505809797523</v>
      </c>
      <c r="M25" s="90">
        <f>U25/U13-1</f>
        <v>1.8815554075031029</v>
      </c>
      <c r="N25" s="88">
        <f>AVERAGE(T23:T25)</f>
        <v>207.68113688258413</v>
      </c>
      <c r="O25" s="91">
        <f>N25/N22-1</f>
        <v>1.0002528161976443E-2</v>
      </c>
      <c r="P25" s="129" t="s">
        <v>217</v>
      </c>
      <c r="Q25" s="116">
        <v>347024</v>
      </c>
      <c r="R25" s="116"/>
      <c r="S25" s="116">
        <v>1552</v>
      </c>
      <c r="T25" s="130">
        <f t="shared" si="1"/>
        <v>223.5979381443299</v>
      </c>
      <c r="U25" s="85">
        <f>Q23+Q24+Q25</f>
        <v>852050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16762.36842105263</v>
      </c>
      <c r="G26" s="90">
        <f t="shared" si="2"/>
        <v>-8.223926875374632E-2</v>
      </c>
      <c r="H26" s="90">
        <f t="shared" si="3"/>
        <v>1.1985452331430597</v>
      </c>
      <c r="I26" s="130">
        <f t="shared" si="0"/>
        <v>215.36718961319991</v>
      </c>
      <c r="J26" s="130">
        <f t="shared" si="4"/>
        <v>0.12028055775149227</v>
      </c>
      <c r="K26" s="78"/>
      <c r="L26" s="90"/>
      <c r="M26" s="90"/>
      <c r="N26" s="79"/>
      <c r="O26" s="79"/>
      <c r="P26" s="129" t="s">
        <v>312</v>
      </c>
      <c r="Q26" s="116">
        <v>318485</v>
      </c>
      <c r="R26" s="116"/>
      <c r="S26" s="116">
        <v>1478.8</v>
      </c>
      <c r="T26" s="130">
        <f t="shared" si="1"/>
        <v>215.36718961319991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16864.18181818182</v>
      </c>
      <c r="G27" s="90">
        <f t="shared" si="2"/>
        <v>6.0739267012719367E-3</v>
      </c>
      <c r="H27" s="90">
        <f t="shared" si="3"/>
        <v>2.3659284234225586E-2</v>
      </c>
      <c r="I27" s="130">
        <f t="shared" si="0"/>
        <v>230.04929468299488</v>
      </c>
      <c r="J27" s="130">
        <f t="shared" si="4"/>
        <v>-4.4028222242747272E-2</v>
      </c>
      <c r="K27" s="78"/>
      <c r="L27" s="90"/>
      <c r="M27" s="90"/>
      <c r="N27" s="79"/>
      <c r="O27" s="79"/>
      <c r="P27" s="129" t="s">
        <v>373</v>
      </c>
      <c r="Q27" s="116">
        <v>371012</v>
      </c>
      <c r="R27" s="116"/>
      <c r="S27" s="116">
        <v>1612.75</v>
      </c>
      <c r="T27" s="130">
        <f t="shared" si="1"/>
        <v>230.04929468299488</v>
      </c>
      <c r="U27" s="78"/>
    </row>
    <row r="28" spans="1:21" s="92" customFormat="1" ht="13.2" hidden="1">
      <c r="A28" s="123" t="s">
        <v>413</v>
      </c>
      <c r="B28" s="131">
        <f>SUM(F26:F28)</f>
        <v>57807.287081339717</v>
      </c>
      <c r="C28" s="131">
        <f>AVERAGE(F26:F28)</f>
        <v>19269.095693779906</v>
      </c>
      <c r="D28" s="90">
        <f>C28/C25-1</f>
        <v>0.37927375056165658</v>
      </c>
      <c r="E28" s="286">
        <f>C28/C16-1</f>
        <v>0.35200793560239241</v>
      </c>
      <c r="F28" s="78">
        <f>Q28/19</f>
        <v>24180.736842105263</v>
      </c>
      <c r="G28" s="90">
        <f t="shared" si="2"/>
        <v>0.43385176362574729</v>
      </c>
      <c r="H28" s="90">
        <f t="shared" si="3"/>
        <v>0.29600464469446486</v>
      </c>
      <c r="I28" s="130">
        <f t="shared" si="0"/>
        <v>220.52126331957376</v>
      </c>
      <c r="J28" s="130">
        <f t="shared" si="4"/>
        <v>6.6412751329813613E-2</v>
      </c>
      <c r="K28" s="78">
        <f>R26+R27+R28</f>
        <v>0</v>
      </c>
      <c r="L28" s="90">
        <f>U28/U25-1</f>
        <v>0.34843143008039434</v>
      </c>
      <c r="M28" s="90">
        <f>U28/U16-1</f>
        <v>0.24155470571008975</v>
      </c>
      <c r="N28" s="88">
        <f>AVERAGE(T26:T28)</f>
        <v>221.9792492052562</v>
      </c>
      <c r="O28" s="91">
        <f>N28/N25-1</f>
        <v>6.8846465968431803E-2</v>
      </c>
      <c r="P28" s="129" t="s">
        <v>413</v>
      </c>
      <c r="Q28" s="116">
        <v>459434</v>
      </c>
      <c r="R28" s="116"/>
      <c r="S28" s="116">
        <v>2083.4</v>
      </c>
      <c r="T28" s="130">
        <f t="shared" si="1"/>
        <v>220.52126331957376</v>
      </c>
      <c r="U28" s="85">
        <f>Q26+Q27+Q28</f>
        <v>1148931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28726.045454545456</v>
      </c>
      <c r="G29" s="190">
        <f t="shared" si="2"/>
        <v>0.18797229555575701</v>
      </c>
      <c r="H29" s="190">
        <f t="shared" si="3"/>
        <v>0.48879726426526604</v>
      </c>
      <c r="I29" s="130">
        <f t="shared" si="0"/>
        <v>238.99444087282077</v>
      </c>
      <c r="J29" s="130">
        <f t="shared" si="4"/>
        <v>6.2139711468601977E-2</v>
      </c>
      <c r="K29" s="136"/>
      <c r="L29" s="190"/>
      <c r="M29" s="190"/>
      <c r="N29" s="191"/>
      <c r="O29" s="192"/>
      <c r="P29" s="129" t="s">
        <v>426</v>
      </c>
      <c r="Q29" s="116">
        <v>631973</v>
      </c>
      <c r="R29" s="116">
        <v>823061837</v>
      </c>
      <c r="S29" s="116">
        <v>2644.3</v>
      </c>
      <c r="T29" s="130">
        <f t="shared" si="1"/>
        <v>238.99444087282077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54850.526315789473</v>
      </c>
      <c r="G30" s="190">
        <f t="shared" si="2"/>
        <v>0.90943533813528177</v>
      </c>
      <c r="H30" s="190">
        <f t="shared" si="3"/>
        <v>2.7446894747442045</v>
      </c>
      <c r="I30" s="130">
        <f t="shared" si="0"/>
        <v>223.72590270920099</v>
      </c>
      <c r="J30" s="130">
        <f t="shared" si="4"/>
        <v>-3.338826268203321E-2</v>
      </c>
      <c r="K30" s="136"/>
      <c r="L30" s="190"/>
      <c r="M30" s="190"/>
      <c r="N30" s="191"/>
      <c r="O30" s="192"/>
      <c r="P30" s="129" t="s">
        <v>466</v>
      </c>
      <c r="Q30" s="116">
        <v>1042160</v>
      </c>
      <c r="R30" s="116">
        <v>1390930021</v>
      </c>
      <c r="S30" s="116">
        <v>4658.2</v>
      </c>
      <c r="T30" s="130">
        <f t="shared" si="1"/>
        <v>223.72590270920099</v>
      </c>
      <c r="U30" s="85"/>
    </row>
    <row r="31" spans="1:21" s="92" customFormat="1" ht="13.2" hidden="1">
      <c r="A31" s="129" t="s">
        <v>505</v>
      </c>
      <c r="B31" s="188">
        <f>SUM(F29:F31)</f>
        <v>114379.87177033494</v>
      </c>
      <c r="C31" s="188">
        <f>AVERAGE(F29:F31)</f>
        <v>38126.623923444982</v>
      </c>
      <c r="D31" s="190">
        <f>C31/C28-1</f>
        <v>0.97864105972302151</v>
      </c>
      <c r="E31" s="287">
        <f>C31/C19-1</f>
        <v>1.4827979439780012</v>
      </c>
      <c r="F31" s="136">
        <f>Q31/20</f>
        <v>30803.3</v>
      </c>
      <c r="G31" s="190">
        <f t="shared" si="2"/>
        <v>-0.43841377523604819</v>
      </c>
      <c r="H31" s="190">
        <f t="shared" si="3"/>
        <v>1.5401450606293454</v>
      </c>
      <c r="I31" s="130">
        <f t="shared" si="0"/>
        <v>225.97477863446625</v>
      </c>
      <c r="J31" s="130">
        <f t="shared" si="4"/>
        <v>9.5209208817455426E-2</v>
      </c>
      <c r="K31" s="136">
        <f>R29+R30+R31</f>
        <v>3034875213</v>
      </c>
      <c r="L31" s="190">
        <f>U31/U28-1</f>
        <v>0.99333032183830006</v>
      </c>
      <c r="M31" s="190">
        <f>U31/U19-1</f>
        <v>1.4218712987716153</v>
      </c>
      <c r="N31" s="191">
        <f>AVERAGE(T29:T31)</f>
        <v>229.56504073882934</v>
      </c>
      <c r="O31" s="192">
        <f>N31/N28-1</f>
        <v>3.4173426393377948E-2</v>
      </c>
      <c r="P31" s="129" t="s">
        <v>505</v>
      </c>
      <c r="Q31" s="116">
        <v>616066</v>
      </c>
      <c r="R31" s="116">
        <v>820883355</v>
      </c>
      <c r="S31" s="116">
        <v>2726.26</v>
      </c>
      <c r="T31" s="130">
        <f t="shared" si="1"/>
        <v>225.97477863446625</v>
      </c>
      <c r="U31" s="85">
        <f>Q29+Q30+Q31</f>
        <v>2290199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48704.428571428572</v>
      </c>
      <c r="G32" s="190">
        <f t="shared" si="2"/>
        <v>0.58114320775464234</v>
      </c>
      <c r="H32" s="190">
        <f t="shared" si="3"/>
        <v>5.1035413074963438</v>
      </c>
      <c r="I32" s="130">
        <f t="shared" si="0"/>
        <v>235.24380146280876</v>
      </c>
      <c r="J32" s="130">
        <f t="shared" si="4"/>
        <v>0.16445637503668253</v>
      </c>
      <c r="K32" s="136"/>
      <c r="L32" s="190"/>
      <c r="M32" s="190"/>
      <c r="N32" s="191"/>
      <c r="O32" s="192"/>
      <c r="P32" s="129" t="s">
        <v>561</v>
      </c>
      <c r="Q32" s="116">
        <v>1022793</v>
      </c>
      <c r="R32" s="116">
        <v>1407374398</v>
      </c>
      <c r="S32" s="116">
        <v>4347.8</v>
      </c>
      <c r="T32" s="130">
        <f t="shared" si="1"/>
        <v>235.24380146280876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8111.0952380952385</v>
      </c>
      <c r="G33" s="190">
        <f t="shared" si="2"/>
        <v>-0.83346288056332019</v>
      </c>
      <c r="H33" s="190">
        <f t="shared" si="3"/>
        <v>-0.46903016247085372</v>
      </c>
      <c r="I33" s="130">
        <f t="shared" si="0"/>
        <v>324.01179379874452</v>
      </c>
      <c r="J33" s="130">
        <f t="shared" si="4"/>
        <v>0.46625245033490881</v>
      </c>
      <c r="K33" s="136"/>
      <c r="L33" s="190"/>
      <c r="M33" s="190"/>
      <c r="N33" s="191"/>
      <c r="O33" s="192"/>
      <c r="P33" s="129" t="s">
        <v>606</v>
      </c>
      <c r="Q33" s="116">
        <v>170333</v>
      </c>
      <c r="R33" s="116">
        <v>231943258</v>
      </c>
      <c r="S33" s="116">
        <v>525.70000000000005</v>
      </c>
      <c r="T33" s="130">
        <f t="shared" si="1"/>
        <v>324.01179379874452</v>
      </c>
      <c r="U33" s="85"/>
    </row>
    <row r="34" spans="1:21" s="92" customFormat="1" ht="13.2" hidden="1">
      <c r="A34" s="129" t="s">
        <v>652</v>
      </c>
      <c r="B34" s="188">
        <f>SUM(F32:F34)</f>
        <v>84165.523809523816</v>
      </c>
      <c r="C34" s="188">
        <f>AVERAGE(F32:F34)</f>
        <v>28055.174603174604</v>
      </c>
      <c r="D34" s="190">
        <f>C34/C31-1</f>
        <v>-0.2641579107684171</v>
      </c>
      <c r="E34" s="287">
        <f>C34/C22-1</f>
        <v>1.3280441121285564</v>
      </c>
      <c r="F34" s="136">
        <f>Q34/19</f>
        <v>27350</v>
      </c>
      <c r="G34" s="190">
        <f t="shared" si="2"/>
        <v>2.3719244068970777</v>
      </c>
      <c r="H34" s="190">
        <f t="shared" si="3"/>
        <v>1.1206168933064049</v>
      </c>
      <c r="I34" s="130">
        <f t="shared" si="0"/>
        <v>256.31603350136629</v>
      </c>
      <c r="J34" s="130">
        <f t="shared" si="4"/>
        <v>0.32208010899903883</v>
      </c>
      <c r="K34" s="136">
        <f>R32+R33+R34</f>
        <v>2353700792</v>
      </c>
      <c r="L34" s="190">
        <f>U34/U31-1</f>
        <v>-0.25212787185742369</v>
      </c>
      <c r="M34" s="190">
        <f>U34/U22-1</f>
        <v>1.279959160364788</v>
      </c>
      <c r="N34" s="191">
        <f>AVERAGE(T32:T34)</f>
        <v>271.85720958763983</v>
      </c>
      <c r="O34" s="206">
        <f>N34/N31-1</f>
        <v>0.18422739243178277</v>
      </c>
      <c r="P34" s="129" t="s">
        <v>652</v>
      </c>
      <c r="Q34" s="116">
        <v>519650</v>
      </c>
      <c r="R34" s="116">
        <v>714383136</v>
      </c>
      <c r="S34" s="116">
        <v>2027.38</v>
      </c>
      <c r="T34" s="130">
        <f t="shared" si="1"/>
        <v>256.31603350136629</v>
      </c>
      <c r="U34" s="85">
        <f>Q32+Q33+Q34</f>
        <v>1712776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45692.869565217392</v>
      </c>
      <c r="G35" s="190">
        <f t="shared" si="2"/>
        <v>0.67067164772275656</v>
      </c>
      <c r="H35" s="190">
        <f t="shared" si="3"/>
        <v>2.0046414060470612</v>
      </c>
      <c r="I35" s="130">
        <f t="shared" si="0"/>
        <v>230.6095176654137</v>
      </c>
      <c r="J35" s="130">
        <f t="shared" si="4"/>
        <v>0.33413782881145715</v>
      </c>
      <c r="K35" s="136"/>
      <c r="L35" s="190"/>
      <c r="M35" s="190"/>
      <c r="N35" s="191"/>
      <c r="O35" s="206"/>
      <c r="P35" s="129" t="s">
        <v>659</v>
      </c>
      <c r="Q35" s="116">
        <v>1050936</v>
      </c>
      <c r="R35" s="116">
        <v>1456924017</v>
      </c>
      <c r="S35" s="116">
        <v>4557.21</v>
      </c>
      <c r="T35" s="130">
        <f t="shared" si="1"/>
        <v>230.6095176654137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1246.5238095238096</v>
      </c>
      <c r="G36" s="190">
        <f t="shared" si="2"/>
        <v>-0.9727195113507886</v>
      </c>
      <c r="H36" s="190">
        <f t="shared" si="3"/>
        <v>-0.85229965094240423</v>
      </c>
      <c r="I36" s="130">
        <f t="shared" si="0"/>
        <v>61.360493190501863</v>
      </c>
      <c r="J36" s="130">
        <f t="shared" si="4"/>
        <v>-0.72920348941510627</v>
      </c>
      <c r="K36" s="136"/>
      <c r="L36" s="190"/>
      <c r="M36" s="190"/>
      <c r="N36" s="191"/>
      <c r="O36" s="206"/>
      <c r="P36" s="129" t="s">
        <v>664</v>
      </c>
      <c r="Q36" s="116">
        <v>26177</v>
      </c>
      <c r="R36" s="116">
        <v>35990824</v>
      </c>
      <c r="S36" s="116">
        <v>426.61</v>
      </c>
      <c r="T36" s="130">
        <f t="shared" si="1"/>
        <v>61.360493190501863</v>
      </c>
      <c r="U36" s="85"/>
    </row>
    <row r="37" spans="1:21" s="92" customFormat="1" ht="13.2" hidden="1">
      <c r="A37" s="129" t="s">
        <v>702</v>
      </c>
      <c r="B37" s="188">
        <f>SUM(F35:F37)</f>
        <v>64114.004485852311</v>
      </c>
      <c r="C37" s="188">
        <f>AVERAGE(F35:F37)</f>
        <v>21371.334828617437</v>
      </c>
      <c r="D37" s="190">
        <f>C37/C34-1</f>
        <v>-0.23823910808243032</v>
      </c>
      <c r="E37" s="287">
        <f>C37/C25-1</f>
        <v>0.52975114203679663</v>
      </c>
      <c r="F37" s="136">
        <f>Q37/18</f>
        <v>17174.611111111109</v>
      </c>
      <c r="G37" s="190">
        <f t="shared" ref="G37" si="5">F37/F36-1</f>
        <v>12.778004864321094</v>
      </c>
      <c r="H37" s="190">
        <f t="shared" ref="H37" si="6">F37/F25-1</f>
        <v>-5.966846353246158E-2</v>
      </c>
      <c r="I37" s="130">
        <f t="shared" si="0"/>
        <v>245.44898769352918</v>
      </c>
      <c r="J37" s="130">
        <f t="shared" si="4"/>
        <v>9.772473633050538E-2</v>
      </c>
      <c r="K37" s="136">
        <f>R35+R36+R37</f>
        <v>1906235755</v>
      </c>
      <c r="L37" s="190">
        <f>U37/U34-1</f>
        <v>-0.19063788843374729</v>
      </c>
      <c r="M37" s="190">
        <f>U37/U25-1</f>
        <v>0.62696555366469098</v>
      </c>
      <c r="N37" s="191">
        <f>AVERAGE(T35:T37)</f>
        <v>179.13966618314825</v>
      </c>
      <c r="O37" s="206">
        <f>N37/N34-1</f>
        <v>-0.34105236180834786</v>
      </c>
      <c r="P37" s="129" t="s">
        <v>702</v>
      </c>
      <c r="Q37" s="116">
        <v>309143</v>
      </c>
      <c r="R37" s="116">
        <v>413320914</v>
      </c>
      <c r="S37" s="116">
        <v>1259.5</v>
      </c>
      <c r="T37" s="130">
        <f t="shared" ref="T37" si="7">Q37/S37</f>
        <v>245.44898769352918</v>
      </c>
      <c r="U37" s="85">
        <f>Q35+Q36+Q37</f>
        <v>1386256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33126.199999999997</v>
      </c>
      <c r="G38" s="190">
        <f t="shared" ref="G38" si="8">F38/F37-1</f>
        <v>0.92878894233413023</v>
      </c>
      <c r="H38" s="190">
        <f t="shared" ref="H38" si="9">F38/F26-1</f>
        <v>0.9762243119770162</v>
      </c>
      <c r="I38" s="130">
        <f t="shared" si="0"/>
        <v>250.40403353213748</v>
      </c>
      <c r="J38" s="130">
        <f t="shared" si="4"/>
        <v>0.16268422307902997</v>
      </c>
      <c r="K38" s="136"/>
      <c r="L38" s="190"/>
      <c r="M38" s="190"/>
      <c r="N38" s="191"/>
      <c r="O38" s="206"/>
      <c r="P38" s="129" t="s">
        <v>728</v>
      </c>
      <c r="Q38" s="116">
        <v>662524</v>
      </c>
      <c r="R38" s="116">
        <v>900034014</v>
      </c>
      <c r="S38" s="116">
        <v>2645.82</v>
      </c>
      <c r="T38" s="130">
        <f t="shared" ref="T38" si="10">Q38/S38</f>
        <v>250.40403353213748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13569.285714285714</v>
      </c>
      <c r="G39" s="190">
        <f t="shared" ref="G39" si="11">F39/F38-1</f>
        <v>-0.59037602519197141</v>
      </c>
      <c r="H39" s="190">
        <f t="shared" ref="H39" si="12">F39/F27-1</f>
        <v>-0.19537835510903778</v>
      </c>
      <c r="I39" s="130">
        <f t="shared" si="0"/>
        <v>207.95840175150519</v>
      </c>
      <c r="J39" s="130">
        <f t="shared" si="4"/>
        <v>-9.6026779660118855E-2</v>
      </c>
      <c r="K39" s="136"/>
      <c r="L39" s="190"/>
      <c r="M39" s="190"/>
      <c r="N39" s="191"/>
      <c r="O39" s="206"/>
      <c r="P39" s="129" t="s">
        <v>762</v>
      </c>
      <c r="Q39" s="116">
        <v>284955</v>
      </c>
      <c r="R39" s="116">
        <v>397634647</v>
      </c>
      <c r="S39" s="116">
        <v>1370.25</v>
      </c>
      <c r="T39" s="130">
        <f t="shared" ref="T39" si="13">Q39/S39</f>
        <v>207.95840175150519</v>
      </c>
      <c r="U39" s="85"/>
    </row>
    <row r="40" spans="1:21" s="92" customFormat="1" ht="13.2" hidden="1">
      <c r="A40" s="129" t="s">
        <v>778</v>
      </c>
      <c r="B40" s="188">
        <f>SUM(F38:F40)</f>
        <v>92972.295238095234</v>
      </c>
      <c r="C40" s="188">
        <f>AVERAGE(F38:F40)</f>
        <v>30990.765079365079</v>
      </c>
      <c r="D40" s="190">
        <f>C40/C37-1</f>
        <v>0.45010900479022387</v>
      </c>
      <c r="E40" s="287">
        <f>C40/C28-1</f>
        <v>0.60831445190076816</v>
      </c>
      <c r="F40" s="136">
        <f>Q40/21</f>
        <v>46276.809523809527</v>
      </c>
      <c r="G40" s="190">
        <f t="shared" ref="G40" si="14">F40/F39-1</f>
        <v>2.410408661016652</v>
      </c>
      <c r="H40" s="190">
        <f t="shared" ref="H40" si="15">F40/F28-1</f>
        <v>0.9137882284558414</v>
      </c>
      <c r="I40" s="130">
        <f t="shared" si="0"/>
        <v>238.3612210759714</v>
      </c>
      <c r="J40" s="130">
        <f t="shared" si="4"/>
        <v>8.0899036618271358E-2</v>
      </c>
      <c r="K40" s="136">
        <f>R38+R39+R40</f>
        <v>2672323179</v>
      </c>
      <c r="L40" s="190">
        <f>U40/U37-1</f>
        <v>0.3845148370863678</v>
      </c>
      <c r="M40" s="190">
        <f>U40/U28-1</f>
        <v>0.67050240614971646</v>
      </c>
      <c r="N40" s="191">
        <f>AVERAGE(T38:T40)</f>
        <v>232.24121878653804</v>
      </c>
      <c r="O40" s="206">
        <f>N40/N37-1</f>
        <v>0.29642543013952016</v>
      </c>
      <c r="P40" s="129" t="s">
        <v>778</v>
      </c>
      <c r="Q40" s="116">
        <v>971813</v>
      </c>
      <c r="R40" s="116">
        <v>1374654518</v>
      </c>
      <c r="S40" s="116">
        <v>4077.06</v>
      </c>
      <c r="T40" s="130">
        <f t="shared" ref="T40" si="16">Q40/S40</f>
        <v>238.3612210759714</v>
      </c>
      <c r="U40" s="85">
        <f>Q38+Q39+Q40</f>
        <v>1919292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47399.333333333336</v>
      </c>
      <c r="G41" s="190">
        <f t="shared" ref="G41" si="17">F41/F40-1</f>
        <v>2.4256724287491593E-2</v>
      </c>
      <c r="H41" s="190">
        <f t="shared" ref="H41" si="18">F41/F29-1</f>
        <v>0.6500472857753945</v>
      </c>
      <c r="I41" s="130">
        <f t="shared" si="0"/>
        <v>241.12254126158714</v>
      </c>
      <c r="J41" s="130">
        <f t="shared" si="4"/>
        <v>8.9043928427559038E-3</v>
      </c>
      <c r="K41" s="194"/>
      <c r="L41" s="202"/>
      <c r="M41" s="202"/>
      <c r="N41" s="194"/>
      <c r="O41" s="194"/>
      <c r="P41" s="129" t="s">
        <v>792</v>
      </c>
      <c r="Q41" s="116">
        <v>853188</v>
      </c>
      <c r="R41" s="116">
        <v>1244868985</v>
      </c>
      <c r="S41" s="116">
        <v>3538.4</v>
      </c>
      <c r="T41" s="130">
        <f t="shared" ref="T41" si="19">Q41/S41</f>
        <v>241.12254126158714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38486.800000000003</v>
      </c>
      <c r="G42" s="190">
        <f t="shared" ref="G42" si="20">F42/F41-1</f>
        <v>-0.18803077399119539</v>
      </c>
      <c r="H42" s="190">
        <f t="shared" ref="H42:H47" si="21">F42/F30-1</f>
        <v>-0.29833307745451754</v>
      </c>
      <c r="I42" s="130">
        <f t="shared" si="0"/>
        <v>217.1696196817515</v>
      </c>
      <c r="J42" s="130">
        <f t="shared" si="4"/>
        <v>-2.9304979656161523E-2</v>
      </c>
      <c r="K42" s="194"/>
      <c r="L42" s="202"/>
      <c r="M42" s="202"/>
      <c r="N42" s="194"/>
      <c r="O42" s="194"/>
      <c r="P42" s="129" t="s">
        <v>826</v>
      </c>
      <c r="Q42" s="116">
        <v>769736</v>
      </c>
      <c r="R42" s="116">
        <v>1109994657</v>
      </c>
      <c r="S42" s="116">
        <v>3544.4</v>
      </c>
      <c r="T42" s="130">
        <f t="shared" ref="T42" si="22">Q42/S42</f>
        <v>217.1696196817515</v>
      </c>
      <c r="U42" s="175"/>
    </row>
    <row r="43" spans="1:21" s="92" customFormat="1" ht="13.2">
      <c r="A43" s="129" t="s">
        <v>835</v>
      </c>
      <c r="B43" s="188">
        <f>SUM(F41:F43)</f>
        <v>133614.93333333335</v>
      </c>
      <c r="C43" s="188">
        <f>AVERAGE(F41:F43)</f>
        <v>44538.311111111114</v>
      </c>
      <c r="D43" s="190">
        <f>C43/C40-1</f>
        <v>0.43714784055997846</v>
      </c>
      <c r="E43" s="287">
        <f>C43/C31-1</f>
        <v>0.16816823856579211</v>
      </c>
      <c r="F43" s="136">
        <f>Q43/20</f>
        <v>47728.800000000003</v>
      </c>
      <c r="G43" s="190">
        <f t="shared" ref="G43" si="23">F43/F42-1</f>
        <v>0.24013427980502411</v>
      </c>
      <c r="H43" s="190">
        <f t="shared" si="21"/>
        <v>0.54947034895611857</v>
      </c>
      <c r="I43" s="130">
        <f t="shared" si="0"/>
        <v>213.96380948538459</v>
      </c>
      <c r="J43" s="130">
        <f t="shared" si="4"/>
        <v>-5.3151812877801019E-2</v>
      </c>
      <c r="K43" s="136">
        <f>R41+R42+R43</f>
        <v>3734072265</v>
      </c>
      <c r="L43" s="190">
        <f>U43/U40-1</f>
        <v>0.34294312694472762</v>
      </c>
      <c r="M43" s="190">
        <f>K43/K31-1</f>
        <v>0.23038741395526374</v>
      </c>
      <c r="N43" s="191">
        <f>AVERAGE(T41:T43)</f>
        <v>224.08532347624109</v>
      </c>
      <c r="O43" s="206">
        <f>N43/N40-1</f>
        <v>-3.5118207495256737E-2</v>
      </c>
      <c r="P43" s="129" t="s">
        <v>835</v>
      </c>
      <c r="Q43" s="116">
        <v>954576</v>
      </c>
      <c r="R43" s="116">
        <v>1379208623</v>
      </c>
      <c r="S43" s="116">
        <v>4461.3900000000003</v>
      </c>
      <c r="T43" s="130">
        <f t="shared" ref="T43" si="24">Q43/S43</f>
        <v>213.96380948538459</v>
      </c>
      <c r="U43" s="85">
        <f>Q41+Q42+Q43</f>
        <v>2577500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36224.818181818184</v>
      </c>
      <c r="G44" s="190">
        <f t="shared" ref="G44" si="25">F44/F43-1</f>
        <v>-0.24102809662471758</v>
      </c>
      <c r="H44" s="190">
        <f t="shared" si="21"/>
        <v>-0.25623153285348854</v>
      </c>
      <c r="I44" s="130">
        <f t="shared" si="0"/>
        <v>205.61307550406997</v>
      </c>
      <c r="J44" s="130">
        <f t="shared" si="4"/>
        <v>-0.12595752055734111</v>
      </c>
      <c r="K44" s="136"/>
      <c r="L44" s="190"/>
      <c r="M44" s="190"/>
      <c r="N44" s="191"/>
      <c r="O44" s="206"/>
      <c r="P44" s="129" t="s">
        <v>843</v>
      </c>
      <c r="Q44" s="116">
        <v>796946</v>
      </c>
      <c r="R44" s="116">
        <v>1167447834</v>
      </c>
      <c r="S44" s="116">
        <v>3875.95</v>
      </c>
      <c r="T44" s="130">
        <f t="shared" ref="T44" si="26">Q44/S44</f>
        <v>205.61307550406997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57118.25</v>
      </c>
      <c r="G45" s="190">
        <f t="shared" ref="G45" si="27">F45/F44-1</f>
        <v>0.57677119905238228</v>
      </c>
      <c r="H45" s="190">
        <f t="shared" si="21"/>
        <v>6.0419898081992329</v>
      </c>
      <c r="I45" s="130">
        <f t="shared" si="0"/>
        <v>237.04059527564286</v>
      </c>
      <c r="J45" s="130">
        <f t="shared" si="4"/>
        <v>-0.26841985442394922</v>
      </c>
      <c r="K45" s="136"/>
      <c r="L45" s="190"/>
      <c r="M45" s="190"/>
      <c r="N45" s="191"/>
      <c r="O45" s="206"/>
      <c r="P45" s="129" t="s">
        <v>881</v>
      </c>
      <c r="Q45" s="116">
        <v>1142365</v>
      </c>
      <c r="R45" s="116">
        <v>1606899596</v>
      </c>
      <c r="S45" s="116">
        <v>4819.28</v>
      </c>
      <c r="T45" s="130">
        <f t="shared" ref="T45" si="28">Q45/S45</f>
        <v>237.04059527564286</v>
      </c>
      <c r="U45" s="85"/>
    </row>
    <row r="46" spans="1:21" s="92" customFormat="1" ht="13.2">
      <c r="A46" s="129" t="s">
        <v>888</v>
      </c>
      <c r="B46" s="188">
        <f>SUM(F44:F46)</f>
        <v>140430.43660287082</v>
      </c>
      <c r="C46" s="188">
        <f>AVERAGE(F44:F46)</f>
        <v>46810.14553429027</v>
      </c>
      <c r="D46" s="190">
        <f>C46/C43-1</f>
        <v>5.100854447559855E-2</v>
      </c>
      <c r="E46" s="287">
        <f>C46/C34-1</f>
        <v>0.66850309065599012</v>
      </c>
      <c r="F46" s="136">
        <f>Q46/19</f>
        <v>47087.368421052633</v>
      </c>
      <c r="G46" s="190">
        <f t="shared" ref="G46" si="29">F46/F45-1</f>
        <v>-0.17561605229409805</v>
      </c>
      <c r="H46" s="190">
        <f t="shared" si="21"/>
        <v>0.72165880881362465</v>
      </c>
      <c r="I46" s="130">
        <f t="shared" si="0"/>
        <v>210.57016769638128</v>
      </c>
      <c r="J46" s="130">
        <f t="shared" si="4"/>
        <v>-0.17847446053249405</v>
      </c>
      <c r="K46" s="136">
        <f>R44+R45+R46</f>
        <v>3998782582</v>
      </c>
      <c r="L46" s="190">
        <f>U46/U43-1</f>
        <v>9.9503782735208546E-2</v>
      </c>
      <c r="M46" s="190">
        <f>K46/K34-1</f>
        <v>0.698934119235322</v>
      </c>
      <c r="N46" s="191">
        <f>AVERAGE(T44:T46)</f>
        <v>217.74127949203137</v>
      </c>
      <c r="O46" s="206">
        <f>N46/N43-1</f>
        <v>-2.8310841093001637E-2</v>
      </c>
      <c r="P46" s="129" t="s">
        <v>928</v>
      </c>
      <c r="Q46" s="116">
        <v>894660</v>
      </c>
      <c r="R46" s="116">
        <v>1224435152</v>
      </c>
      <c r="S46" s="116">
        <v>4248.75</v>
      </c>
      <c r="T46" s="130">
        <f t="shared" ref="T46" si="30">Q46/S46</f>
        <v>210.57016769638128</v>
      </c>
      <c r="U46" s="85">
        <f t="shared" ref="U46:U51" si="31">Q44+Q45+Q46</f>
        <v>2833971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40317.434782608696</v>
      </c>
      <c r="G47" s="190">
        <f t="shared" ref="G47" si="32">F47/F46-1</f>
        <v>-0.14377387960838173</v>
      </c>
      <c r="H47" s="190">
        <f t="shared" si="21"/>
        <v>-0.11764274893999249</v>
      </c>
      <c r="I47" s="130">
        <f t="shared" si="0"/>
        <v>209.53918602260117</v>
      </c>
      <c r="J47" s="130">
        <f t="shared" si="4"/>
        <v>-9.1368005345655368E-2</v>
      </c>
      <c r="K47" s="136"/>
      <c r="L47" s="190"/>
      <c r="M47" s="190"/>
      <c r="N47" s="191"/>
      <c r="O47" s="206"/>
      <c r="P47" s="129" t="s">
        <v>991</v>
      </c>
      <c r="Q47" s="116">
        <v>927301</v>
      </c>
      <c r="R47" s="116">
        <v>1263160593</v>
      </c>
      <c r="S47" s="116">
        <v>4425.43</v>
      </c>
      <c r="T47" s="130">
        <f t="shared" ref="T47" si="33">Q47/S47</f>
        <v>209.53918602260117</v>
      </c>
      <c r="U47" s="85">
        <f t="shared" si="31"/>
        <v>2964326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52193.3</v>
      </c>
      <c r="G48" s="190">
        <f t="shared" ref="G48" si="34">F48/F47-1</f>
        <v>0.29455904824862689</v>
      </c>
      <c r="H48" s="190">
        <f t="shared" ref="H48" si="35">F48/F36-1</f>
        <v>40.871081483745272</v>
      </c>
      <c r="I48" s="130">
        <f t="shared" si="0"/>
        <v>213.5970763728034</v>
      </c>
      <c r="J48" s="130">
        <f t="shared" si="4"/>
        <v>2.4810195496581602</v>
      </c>
      <c r="K48" s="136"/>
      <c r="L48" s="190"/>
      <c r="M48" s="190"/>
      <c r="N48" s="191"/>
      <c r="O48" s="206"/>
      <c r="P48" s="129" t="s">
        <v>1070</v>
      </c>
      <c r="Q48" s="116">
        <v>1043866</v>
      </c>
      <c r="R48" s="116">
        <v>1447354475</v>
      </c>
      <c r="S48" s="116">
        <v>4887.08</v>
      </c>
      <c r="T48" s="130">
        <f t="shared" ref="T48" si="36">Q48/S48</f>
        <v>213.5970763728034</v>
      </c>
      <c r="U48" s="85">
        <f t="shared" si="31"/>
        <v>2865827</v>
      </c>
    </row>
    <row r="49" spans="1:26" ht="13.2">
      <c r="A49" s="129" t="s">
        <v>1240</v>
      </c>
      <c r="B49" s="188">
        <f>SUM(F47:F49)</f>
        <v>162136.59841897234</v>
      </c>
      <c r="C49" s="188">
        <f>AVERAGE(F47:F49)</f>
        <v>54045.53280632411</v>
      </c>
      <c r="D49" s="190">
        <f>C49/C46-1</f>
        <v>0.15456878395589757</v>
      </c>
      <c r="E49" s="287">
        <f>C49/C37-1</f>
        <v>1.5288796062449994</v>
      </c>
      <c r="F49" s="136">
        <f>Q49/22</f>
        <v>69625.863636363632</v>
      </c>
      <c r="G49" s="190">
        <f t="shared" ref="G49" si="37">F49/F48-1</f>
        <v>0.33400002752007696</v>
      </c>
      <c r="H49" s="190">
        <f t="shared" ref="H49" si="38">F49/F37-1</f>
        <v>3.0539994289197736</v>
      </c>
      <c r="I49" s="130">
        <f t="shared" si="0"/>
        <v>217.90427552261525</v>
      </c>
      <c r="J49" s="130">
        <f t="shared" si="4"/>
        <v>-0.11222173873989094</v>
      </c>
      <c r="K49" s="136">
        <f>R47+R48+R49</f>
        <v>4841159372</v>
      </c>
      <c r="L49" s="190">
        <f>U49/U46-1</f>
        <v>0.23605216849431421</v>
      </c>
      <c r="M49" s="190">
        <f>K49/K37-1</f>
        <v>1.539643566805303</v>
      </c>
      <c r="N49" s="191">
        <f>AVERAGE(T47:T49)</f>
        <v>213.68017930600661</v>
      </c>
      <c r="O49" s="206">
        <f>N49/N46-1</f>
        <v>-1.8651034822147139E-2</v>
      </c>
      <c r="P49" s="129" t="s">
        <v>1165</v>
      </c>
      <c r="Q49" s="116">
        <v>1531769</v>
      </c>
      <c r="R49" s="116">
        <v>2130644304</v>
      </c>
      <c r="S49" s="116">
        <v>7029.55</v>
      </c>
      <c r="T49" s="130">
        <f t="shared" ref="T49" si="39">Q49/S49</f>
        <v>217.90427552261525</v>
      </c>
      <c r="U49" s="85">
        <f t="shared" si="31"/>
        <v>3502936</v>
      </c>
      <c r="V49" s="92"/>
      <c r="W49" s="92"/>
      <c r="X49" s="92"/>
      <c r="Y49" s="92"/>
      <c r="Z49" s="92"/>
    </row>
    <row r="50" spans="1:26" s="79" customFormat="1" ht="13.2">
      <c r="A50" s="129" t="s">
        <v>1322</v>
      </c>
      <c r="B50" s="188"/>
      <c r="C50" s="188"/>
      <c r="D50" s="190"/>
      <c r="E50" s="287"/>
      <c r="F50" s="136">
        <f>Q50/18</f>
        <v>41002.111111111109</v>
      </c>
      <c r="G50" s="190">
        <f t="shared" ref="G50" si="40">F50/F49-1</f>
        <v>-0.41110804276333801</v>
      </c>
      <c r="H50" s="190">
        <f t="shared" ref="H50" si="41">F50/F38-1</f>
        <v>0.23775474129574525</v>
      </c>
      <c r="I50" s="130">
        <f t="shared" ref="I50" si="42">T50</f>
        <v>211.55707160465516</v>
      </c>
      <c r="J50" s="130">
        <f t="shared" ref="J50" si="43">I50/I38-1</f>
        <v>-0.15513712530711532</v>
      </c>
      <c r="K50" s="136"/>
      <c r="L50" s="190"/>
      <c r="M50" s="190"/>
      <c r="N50" s="191"/>
      <c r="O50" s="192"/>
      <c r="P50" s="129" t="s">
        <v>1291</v>
      </c>
      <c r="Q50" s="116">
        <v>738038</v>
      </c>
      <c r="R50" s="116">
        <v>1037220091</v>
      </c>
      <c r="S50" s="116">
        <v>3488.6</v>
      </c>
      <c r="T50" s="130">
        <f t="shared" ref="T50" si="44">Q50/S50</f>
        <v>211.55707160465516</v>
      </c>
      <c r="U50" s="85">
        <f t="shared" si="31"/>
        <v>3313673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48914.75</v>
      </c>
      <c r="G51" s="190">
        <f t="shared" ref="G51:G52" si="45">F51/F50-1</f>
        <v>0.19298125570770064</v>
      </c>
      <c r="H51" s="190">
        <f t="shared" ref="H51:H52" si="46">F51/F39-1</f>
        <v>2.6048139179870509</v>
      </c>
      <c r="I51" s="130">
        <f t="shared" ref="I51:I52" si="47">T51</f>
        <v>209.67942439135214</v>
      </c>
      <c r="J51" s="130">
        <f t="shared" ref="J51:J52" si="48">I51/I39-1</f>
        <v>8.2758023977480555E-3</v>
      </c>
      <c r="K51" s="136"/>
      <c r="L51" s="190"/>
      <c r="M51" s="190"/>
      <c r="N51" s="191"/>
      <c r="O51" s="192"/>
      <c r="P51" s="129" t="s">
        <v>1402</v>
      </c>
      <c r="Q51" s="116">
        <v>978295</v>
      </c>
      <c r="R51" s="116">
        <v>1413203775</v>
      </c>
      <c r="S51" s="116">
        <v>4665.67</v>
      </c>
      <c r="T51" s="130">
        <f t="shared" ref="T51:T52" si="49">Q51/S51</f>
        <v>209.67942439135214</v>
      </c>
      <c r="U51" s="85">
        <f t="shared" si="31"/>
        <v>3248102</v>
      </c>
    </row>
    <row r="52" spans="1:26" s="79" customFormat="1" ht="13.2">
      <c r="A52" s="129" t="s">
        <v>1403</v>
      </c>
      <c r="B52" s="188">
        <f>SUM(F50:F52)</f>
        <v>118801.54292929293</v>
      </c>
      <c r="C52" s="188">
        <f>AVERAGE(F50:F52)</f>
        <v>39600.514309764309</v>
      </c>
      <c r="D52" s="190">
        <f>C52/C49-1</f>
        <v>-0.2672749762376202</v>
      </c>
      <c r="E52" s="287">
        <f>C52/C40-1</f>
        <v>0.27781660789432894</v>
      </c>
      <c r="F52" s="136">
        <f>Q52/22</f>
        <v>28884.68181818182</v>
      </c>
      <c r="G52" s="190">
        <f t="shared" si="45"/>
        <v>-0.40948932953389683</v>
      </c>
      <c r="H52" s="190">
        <f t="shared" si="46"/>
        <v>-0.37582814987881596</v>
      </c>
      <c r="I52" s="130">
        <f t="shared" si="47"/>
        <v>186.61821065151315</v>
      </c>
      <c r="J52" s="130">
        <f t="shared" si="48"/>
        <v>-0.21707813960210631</v>
      </c>
      <c r="K52" s="136">
        <f>R50+R51+R52</f>
        <v>3384405773</v>
      </c>
      <c r="L52" s="190">
        <f>U52/U49-1</f>
        <v>-0.32862147638438155</v>
      </c>
      <c r="M52" s="190">
        <f>K52/K40-1</f>
        <v>0.26646574770438725</v>
      </c>
      <c r="N52" s="191">
        <f>AVERAGE(T50:T52)</f>
        <v>202.61823554917351</v>
      </c>
      <c r="O52" s="192">
        <f>N52/N49-1</f>
        <v>-5.1768693721430892E-2</v>
      </c>
      <c r="P52" s="129" t="s">
        <v>1403</v>
      </c>
      <c r="Q52" s="116">
        <v>635463</v>
      </c>
      <c r="R52" s="116">
        <v>933981907</v>
      </c>
      <c r="S52" s="116">
        <v>3405.15</v>
      </c>
      <c r="T52" s="130">
        <f t="shared" si="49"/>
        <v>186.61821065151315</v>
      </c>
      <c r="U52" s="85">
        <f t="shared" ref="U52" si="50">Q50+Q51+Q52</f>
        <v>2351796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30504.571428571428</v>
      </c>
      <c r="G53" s="190">
        <f t="shared" ref="G53" si="51">F53/F52-1</f>
        <v>5.6081268978007248E-2</v>
      </c>
      <c r="H53" s="190">
        <f t="shared" ref="H53" si="52">F53/F41-1</f>
        <v>-0.35643458919454363</v>
      </c>
      <c r="I53" s="130">
        <f t="shared" ref="I53" si="53">T53</f>
        <v>195.35666690046995</v>
      </c>
      <c r="J53" s="130">
        <f t="shared" ref="J53" si="54">I53/I41-1</f>
        <v>-0.18980338429440768</v>
      </c>
      <c r="K53" s="136"/>
      <c r="L53" s="190"/>
      <c r="M53" s="190"/>
      <c r="N53" s="191"/>
      <c r="O53" s="192"/>
      <c r="P53" s="129" t="s">
        <v>1414</v>
      </c>
      <c r="Q53" s="116">
        <v>640596</v>
      </c>
      <c r="R53" s="116">
        <v>933000861</v>
      </c>
      <c r="S53" s="116">
        <v>3279.11</v>
      </c>
      <c r="T53" s="130">
        <f t="shared" ref="T53" si="55">Q53/S53</f>
        <v>195.35666690046995</v>
      </c>
      <c r="U53" s="85">
        <f t="shared" ref="U53" si="56">Q51+Q52+Q53</f>
        <v>2254354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55805.294117647056</v>
      </c>
      <c r="G54" s="190">
        <f t="shared" ref="G54" si="57">F54/F53-1</f>
        <v>0.82940757742881344</v>
      </c>
      <c r="H54" s="190">
        <f t="shared" ref="H54" si="58">F54/F42-1</f>
        <v>0.44998529671594034</v>
      </c>
      <c r="I54" s="130">
        <f t="shared" ref="I54" si="59">T54</f>
        <v>205.01799085869879</v>
      </c>
      <c r="J54" s="130">
        <f t="shared" ref="J54" si="60">I54/I42-1</f>
        <v>-5.5954552210664477E-2</v>
      </c>
      <c r="K54" s="136"/>
      <c r="L54" s="190"/>
      <c r="M54" s="190"/>
      <c r="N54" s="191"/>
      <c r="O54" s="192"/>
      <c r="P54" s="129" t="s">
        <v>1417</v>
      </c>
      <c r="Q54" s="116">
        <v>948690</v>
      </c>
      <c r="R54" s="116">
        <v>1378385096</v>
      </c>
      <c r="S54" s="116">
        <v>4627.3500000000004</v>
      </c>
      <c r="T54" s="130">
        <f t="shared" ref="T54" si="61">Q54/S54</f>
        <v>205.01799085869879</v>
      </c>
      <c r="U54" s="85">
        <f t="shared" ref="U54" si="62">Q52+Q53+Q54</f>
        <v>2224749</v>
      </c>
    </row>
    <row r="55" spans="1:26" s="79" customFormat="1" ht="13.2">
      <c r="A55" s="129" t="s">
        <v>1418</v>
      </c>
      <c r="B55" s="188">
        <f>SUM(F53:F55)</f>
        <v>134410.19887955181</v>
      </c>
      <c r="C55" s="188">
        <f>AVERAGE(F53:F55)</f>
        <v>44803.399626517268</v>
      </c>
      <c r="D55" s="190">
        <f>C55/C52-1</f>
        <v>0.13138428647806943</v>
      </c>
      <c r="E55" s="287">
        <f>C55/C43-1</f>
        <v>5.9519211391925175E-3</v>
      </c>
      <c r="F55" s="136">
        <f>Q55/21</f>
        <v>48100.333333333336</v>
      </c>
      <c r="G55" s="190">
        <f t="shared" ref="G55" si="63">F55/F54-1</f>
        <v>-0.13806863499492272</v>
      </c>
      <c r="H55" s="190">
        <f t="shared" ref="H55" si="64">F55/F43-1</f>
        <v>7.7842588402250446E-3</v>
      </c>
      <c r="I55" s="130">
        <f>T55</f>
        <v>225.52266597603014</v>
      </c>
      <c r="J55" s="130">
        <f t="shared" ref="J55" si="65">I55/I43-1</f>
        <v>5.4022484075444188E-2</v>
      </c>
      <c r="K55" s="136">
        <f>R53+R54+R55</f>
        <v>3813671631</v>
      </c>
      <c r="L55" s="190">
        <f>U55/U52-1</f>
        <v>0.10527996475884804</v>
      </c>
      <c r="M55" s="190">
        <f>K55/K43-1</f>
        <v>2.1317039508339519E-2</v>
      </c>
      <c r="N55" s="191">
        <f>AVERAGE(T53:T55)</f>
        <v>208.63244124506627</v>
      </c>
      <c r="O55" s="192">
        <f>N55/N52-1</f>
        <v>2.9682450247342951E-2</v>
      </c>
      <c r="P55" s="129" t="s">
        <v>1418</v>
      </c>
      <c r="Q55" s="116">
        <v>1010107</v>
      </c>
      <c r="R55" s="116">
        <v>1502285674</v>
      </c>
      <c r="S55" s="116">
        <v>4478.96</v>
      </c>
      <c r="T55" s="130">
        <f t="shared" ref="T55" si="66">Q55/S55</f>
        <v>225.52266597603014</v>
      </c>
      <c r="U55" s="85">
        <f t="shared" ref="U55" si="67">Q53+Q54+Q55</f>
        <v>2599393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50317.36363636364</v>
      </c>
      <c r="G56" s="190">
        <f t="shared" ref="G56" si="68">F56/F55-1</f>
        <v>4.6091786675705126E-2</v>
      </c>
      <c r="H56" s="190">
        <f t="shared" ref="H56" si="69">F56/F44-1</f>
        <v>0.38903012249261559</v>
      </c>
      <c r="I56" s="291">
        <f>T56</f>
        <v>223.29575368080896</v>
      </c>
      <c r="J56" s="130">
        <f t="shared" ref="J56" si="70">I56/I44-1</f>
        <v>8.5999774738980461E-2</v>
      </c>
      <c r="K56" s="136"/>
      <c r="L56" s="190"/>
      <c r="M56" s="190"/>
      <c r="N56" s="191"/>
      <c r="O56" s="192"/>
      <c r="P56" s="129" t="s">
        <v>1420</v>
      </c>
      <c r="Q56" s="116">
        <v>1106982</v>
      </c>
      <c r="R56" s="116">
        <v>1645940607</v>
      </c>
      <c r="S56" s="116">
        <v>4957.47</v>
      </c>
      <c r="T56" s="130">
        <f t="shared" ref="T56" si="71">Q56/S56</f>
        <v>223.29575368080896</v>
      </c>
      <c r="U56" s="85">
        <f t="shared" ref="U56" si="72">Q54+Q55+Q56</f>
        <v>3065779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33603.833333333336</v>
      </c>
      <c r="G57" s="254">
        <f t="shared" ref="G57" si="73">F57/F56-1</f>
        <v>-0.33216228147040028</v>
      </c>
      <c r="H57" s="254">
        <f t="shared" ref="H57" si="74">F57/F45-1</f>
        <v>-0.41167957118200693</v>
      </c>
      <c r="I57" s="282">
        <f>T57</f>
        <v>224.82994714422713</v>
      </c>
      <c r="J57" s="277">
        <f t="shared" ref="J57" si="75">I57/I45-1</f>
        <v>-5.1512898527851569E-2</v>
      </c>
      <c r="K57" s="204"/>
      <c r="L57" s="254"/>
      <c r="M57" s="254"/>
      <c r="N57" s="257"/>
      <c r="O57" s="258"/>
      <c r="P57" s="129" t="s">
        <v>1436</v>
      </c>
      <c r="Q57" s="116">
        <v>403246</v>
      </c>
      <c r="R57" s="116">
        <v>595379876</v>
      </c>
      <c r="S57" s="116">
        <v>1793.56</v>
      </c>
      <c r="T57" s="130">
        <f t="shared" ref="T57" si="76">Q57/S57</f>
        <v>224.82994714422713</v>
      </c>
      <c r="U57" s="85">
        <f t="shared" ref="U57" si="77">Q55+Q56+Q57</f>
        <v>2520335</v>
      </c>
    </row>
    <row r="58" spans="1:26">
      <c r="B58" s="196">
        <f>SUM(F56:F58)</f>
        <v>83921.196969696975</v>
      </c>
      <c r="C58" s="196">
        <f>AVERAGE(F56:F58)</f>
        <v>41960.598484848488</v>
      </c>
      <c r="D58" s="197">
        <f>C58/C55-1</f>
        <v>-6.3450567710630734E-2</v>
      </c>
      <c r="E58" s="233">
        <f>C58/C46-1</f>
        <v>-0.1036003412099904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4109621</v>
      </c>
      <c r="R66" s="212">
        <v>6054992114</v>
      </c>
      <c r="S66" s="213">
        <v>19136.46</v>
      </c>
      <c r="T66" s="214">
        <v>14</v>
      </c>
      <c r="U66" s="214">
        <v>53</v>
      </c>
    </row>
    <row r="67" spans="16:21" ht="18" thickBot="1">
      <c r="P67" s="180" t="s">
        <v>976</v>
      </c>
      <c r="Q67" s="181">
        <v>640596</v>
      </c>
      <c r="R67" s="181">
        <v>933000861</v>
      </c>
      <c r="S67" s="182">
        <v>3279.11</v>
      </c>
      <c r="T67" s="210">
        <v>8</v>
      </c>
      <c r="U67" s="210">
        <v>22</v>
      </c>
    </row>
    <row r="68" spans="16:21" ht="18" thickBot="1">
      <c r="P68" s="180" t="s">
        <v>977</v>
      </c>
      <c r="Q68" s="181">
        <v>948690</v>
      </c>
      <c r="R68" s="181">
        <v>1378385096</v>
      </c>
      <c r="S68" s="182">
        <v>4627.3500000000004</v>
      </c>
      <c r="T68" s="210">
        <v>6</v>
      </c>
      <c r="U68" s="210">
        <v>14</v>
      </c>
    </row>
    <row r="69" spans="16:21" ht="18" thickBot="1">
      <c r="P69" s="180" t="s">
        <v>978</v>
      </c>
      <c r="Q69" s="181">
        <v>1010107</v>
      </c>
      <c r="R69" s="181">
        <v>1502285674</v>
      </c>
      <c r="S69" s="182">
        <v>4478.96</v>
      </c>
      <c r="T69" s="210">
        <v>5</v>
      </c>
      <c r="U69" s="210">
        <v>14</v>
      </c>
    </row>
    <row r="70" spans="16:21" ht="18" thickBot="1">
      <c r="P70" s="180" t="s">
        <v>979</v>
      </c>
      <c r="Q70" s="181">
        <v>1106982</v>
      </c>
      <c r="R70" s="181">
        <v>1645940607</v>
      </c>
      <c r="S70" s="182">
        <v>4957.47</v>
      </c>
      <c r="T70" s="210">
        <v>7</v>
      </c>
      <c r="U70" s="210">
        <v>19</v>
      </c>
    </row>
    <row r="71" spans="16:21" ht="18" thickBot="1">
      <c r="P71" s="180" t="s">
        <v>980</v>
      </c>
      <c r="Q71" s="181">
        <v>403246</v>
      </c>
      <c r="R71" s="181">
        <v>595379876</v>
      </c>
      <c r="S71" s="182">
        <v>1793.56</v>
      </c>
      <c r="T71" s="210">
        <v>5</v>
      </c>
      <c r="U71" s="210">
        <v>12</v>
      </c>
    </row>
    <row r="72" spans="16:21" ht="18" thickBot="1">
      <c r="P72" s="215" t="s">
        <v>975</v>
      </c>
      <c r="Q72" s="217" t="s">
        <v>1497</v>
      </c>
      <c r="R72"/>
      <c r="S72"/>
      <c r="T72"/>
      <c r="U72"/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18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2"/>
  <sheetViews>
    <sheetView zoomScale="90" zoomScaleNormal="9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986</v>
      </c>
      <c r="L1" s="80" t="s">
        <v>987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901180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60954.25</v>
      </c>
      <c r="G5" s="90"/>
      <c r="H5" s="90"/>
      <c r="I5" s="130">
        <f t="shared" ref="I5:I49" si="0">T5</f>
        <v>43.237937492019803</v>
      </c>
      <c r="J5" s="130"/>
      <c r="K5" s="86"/>
      <c r="L5" s="80"/>
      <c r="M5" s="80"/>
      <c r="P5" s="129" t="s">
        <v>0</v>
      </c>
      <c r="Q5" s="116">
        <v>1219085</v>
      </c>
      <c r="R5" s="116">
        <v>1436733269</v>
      </c>
      <c r="S5" s="116">
        <v>28194.799999999999</v>
      </c>
      <c r="T5" s="130">
        <f t="shared" ref="T5:T46" si="1">Q5/S5</f>
        <v>43.237937492019803</v>
      </c>
      <c r="U5" s="85"/>
    </row>
    <row r="6" spans="1:21" ht="15" hidden="1" customHeight="1">
      <c r="A6" s="129" t="s">
        <v>1</v>
      </c>
      <c r="C6" s="79"/>
      <c r="F6" s="78">
        <f>Q6/18</f>
        <v>53308.777777777781</v>
      </c>
      <c r="G6" s="90">
        <f t="shared" ref="G6:G46" si="2">F6/F5-1</f>
        <v>-0.12542968246221087</v>
      </c>
      <c r="H6" s="90"/>
      <c r="I6" s="130">
        <f t="shared" si="0"/>
        <v>311.4639054790963</v>
      </c>
      <c r="J6" s="130"/>
      <c r="K6" s="78"/>
      <c r="P6" s="129" t="s">
        <v>1</v>
      </c>
      <c r="Q6" s="116">
        <v>959558</v>
      </c>
      <c r="R6" s="116">
        <v>1140651799</v>
      </c>
      <c r="S6" s="116">
        <v>3080.8</v>
      </c>
      <c r="T6" s="130">
        <f t="shared" si="1"/>
        <v>311.4639054790963</v>
      </c>
      <c r="U6" s="85"/>
    </row>
    <row r="7" spans="1:21" ht="15" hidden="1" customHeight="1">
      <c r="A7" s="129" t="s">
        <v>2</v>
      </c>
      <c r="B7" s="131">
        <f>F5+F6+F7</f>
        <v>178887.39141414143</v>
      </c>
      <c r="C7" s="131">
        <f>AVERAGE(F5:F7)</f>
        <v>59629.130471380478</v>
      </c>
      <c r="F7" s="78">
        <f>Q7/22</f>
        <v>64624.36363636364</v>
      </c>
      <c r="G7" s="90">
        <f t="shared" si="2"/>
        <v>0.21226496517620141</v>
      </c>
      <c r="H7" s="90"/>
      <c r="I7" s="130">
        <f t="shared" si="0"/>
        <v>593.09677365527261</v>
      </c>
      <c r="J7" s="130"/>
      <c r="K7" s="85">
        <f>R5+R6+R7</f>
        <v>4304522616</v>
      </c>
      <c r="N7" s="88">
        <f>AVERAGE(T5:T7)</f>
        <v>315.93287220879625</v>
      </c>
      <c r="P7" s="129" t="s">
        <v>2</v>
      </c>
      <c r="Q7" s="116">
        <v>1421736</v>
      </c>
      <c r="R7" s="116">
        <v>1727137548</v>
      </c>
      <c r="S7" s="116">
        <v>2397.14</v>
      </c>
      <c r="T7" s="130">
        <f t="shared" si="1"/>
        <v>593.09677365527261</v>
      </c>
      <c r="U7" s="85">
        <f>Q5+Q6+Q7</f>
        <v>3600379</v>
      </c>
    </row>
    <row r="8" spans="1:21" ht="15" hidden="1" customHeight="1">
      <c r="A8" s="129" t="s">
        <v>3</v>
      </c>
      <c r="C8" s="79"/>
      <c r="F8" s="78">
        <f>Q8/21</f>
        <v>35423.952380952382</v>
      </c>
      <c r="G8" s="90">
        <f t="shared" si="2"/>
        <v>-0.45184833725744278</v>
      </c>
      <c r="H8" s="90"/>
      <c r="I8" s="130">
        <f t="shared" si="0"/>
        <v>147.52779397357639</v>
      </c>
      <c r="J8" s="130"/>
      <c r="K8" s="78"/>
      <c r="P8" s="129" t="s">
        <v>3</v>
      </c>
      <c r="Q8" s="116">
        <v>743903</v>
      </c>
      <c r="R8" s="116">
        <v>904706875</v>
      </c>
      <c r="S8" s="116">
        <v>5042.46</v>
      </c>
      <c r="T8" s="130">
        <f t="shared" si="1"/>
        <v>147.52779397357639</v>
      </c>
      <c r="U8" s="85"/>
    </row>
    <row r="9" spans="1:21" ht="15" hidden="1" customHeight="1">
      <c r="A9" s="129" t="s">
        <v>4</v>
      </c>
      <c r="C9" s="79"/>
      <c r="F9" s="78">
        <f>Q9/21</f>
        <v>26789.333333333332</v>
      </c>
      <c r="G9" s="90">
        <f t="shared" si="2"/>
        <v>-0.2437508653681999</v>
      </c>
      <c r="H9" s="90"/>
      <c r="I9" s="130">
        <f t="shared" si="0"/>
        <v>574.99591169255928</v>
      </c>
      <c r="J9" s="130"/>
      <c r="K9" s="78"/>
      <c r="P9" s="129" t="s">
        <v>4</v>
      </c>
      <c r="Q9" s="116">
        <v>562576</v>
      </c>
      <c r="R9" s="116">
        <v>706172863</v>
      </c>
      <c r="S9" s="116">
        <v>978.4</v>
      </c>
      <c r="T9" s="130">
        <f t="shared" si="1"/>
        <v>574.99591169255928</v>
      </c>
      <c r="U9" s="85"/>
    </row>
    <row r="10" spans="1:21" ht="15" hidden="1" customHeight="1">
      <c r="A10" s="129" t="s">
        <v>5</v>
      </c>
      <c r="B10" s="131">
        <f>F8+F9+F10</f>
        <v>109211.04761904762</v>
      </c>
      <c r="C10" s="131">
        <f>AVERAGE(F8:F10)</f>
        <v>36403.682539682537</v>
      </c>
      <c r="D10" s="90">
        <f>C10/C7-1</f>
        <v>-0.38949835001946231</v>
      </c>
      <c r="E10" s="286"/>
      <c r="F10" s="78">
        <f>Q10/21</f>
        <v>46997.761904761908</v>
      </c>
      <c r="G10" s="90">
        <f t="shared" si="2"/>
        <v>0.75434607946304166</v>
      </c>
      <c r="H10" s="90"/>
      <c r="I10" s="130">
        <f t="shared" si="0"/>
        <v>619.77405742131566</v>
      </c>
      <c r="J10" s="130"/>
      <c r="K10" s="85">
        <f>R8+R9+R10</f>
        <v>2842424303</v>
      </c>
      <c r="L10" s="87">
        <f>U10/U7-1</f>
        <v>-0.36300261722446447</v>
      </c>
      <c r="N10" s="88">
        <f>AVERAGE(T8:T10)</f>
        <v>447.43258769581712</v>
      </c>
      <c r="O10" s="89">
        <f>N10/N7-1</f>
        <v>0.41622675908227191</v>
      </c>
      <c r="P10" s="129" t="s">
        <v>5</v>
      </c>
      <c r="Q10" s="116">
        <v>986953</v>
      </c>
      <c r="R10" s="116">
        <v>1231544565</v>
      </c>
      <c r="S10" s="116">
        <v>1592.44</v>
      </c>
      <c r="T10" s="130">
        <f t="shared" si="1"/>
        <v>619.77405742131566</v>
      </c>
      <c r="U10" s="85">
        <f>Q8+Q9+Q10</f>
        <v>2293432</v>
      </c>
    </row>
    <row r="11" spans="1:21" ht="15" hidden="1" customHeight="1">
      <c r="A11" s="129" t="s">
        <v>6</v>
      </c>
      <c r="C11" s="79"/>
      <c r="F11" s="78">
        <f>Q11/21</f>
        <v>45101.904761904763</v>
      </c>
      <c r="G11" s="90">
        <f t="shared" si="2"/>
        <v>-4.0339306937615116E-2</v>
      </c>
      <c r="H11" s="90"/>
      <c r="I11" s="130">
        <f t="shared" si="0"/>
        <v>480.54023612499304</v>
      </c>
      <c r="J11" s="130"/>
      <c r="K11" s="78"/>
      <c r="O11" s="89"/>
      <c r="P11" s="129" t="s">
        <v>6</v>
      </c>
      <c r="Q11" s="116">
        <v>947140</v>
      </c>
      <c r="R11" s="116">
        <v>1221700490</v>
      </c>
      <c r="S11" s="116">
        <v>1970.99</v>
      </c>
      <c r="T11" s="130">
        <f t="shared" si="1"/>
        <v>480.54023612499304</v>
      </c>
      <c r="U11" s="85"/>
    </row>
    <row r="12" spans="1:21" ht="15" hidden="1" customHeight="1">
      <c r="A12" s="129" t="s">
        <v>7</v>
      </c>
      <c r="C12" s="79"/>
      <c r="F12" s="78">
        <f>Q12/22</f>
        <v>54953.727272727272</v>
      </c>
      <c r="G12" s="90">
        <f t="shared" si="2"/>
        <v>0.21843473269767166</v>
      </c>
      <c r="H12" s="90"/>
      <c r="I12" s="130">
        <f t="shared" si="0"/>
        <v>331.61679997366775</v>
      </c>
      <c r="J12" s="130"/>
      <c r="K12" s="78"/>
      <c r="O12" s="89"/>
      <c r="P12" s="129" t="s">
        <v>7</v>
      </c>
      <c r="Q12" s="116">
        <v>1208982</v>
      </c>
      <c r="R12" s="116">
        <v>1566310074</v>
      </c>
      <c r="S12" s="116">
        <v>3645.72</v>
      </c>
      <c r="T12" s="130">
        <f t="shared" si="1"/>
        <v>331.61679997366775</v>
      </c>
      <c r="U12" s="85"/>
    </row>
    <row r="13" spans="1:21" ht="15" hidden="1" customHeight="1">
      <c r="A13" s="129" t="s">
        <v>96</v>
      </c>
      <c r="B13" s="131">
        <f>F11+F12+F13</f>
        <v>235696.63203463203</v>
      </c>
      <c r="C13" s="131">
        <f>AVERAGE(F11:F13)</f>
        <v>78565.544011544014</v>
      </c>
      <c r="D13" s="90">
        <f>C13/C10-1</f>
        <v>1.1581757264777299</v>
      </c>
      <c r="E13" s="286"/>
      <c r="F13" s="78">
        <f>Q13/20</f>
        <v>135641</v>
      </c>
      <c r="G13" s="90">
        <f t="shared" si="2"/>
        <v>1.4682766161944514</v>
      </c>
      <c r="H13" s="90"/>
      <c r="I13" s="130">
        <f t="shared" si="0"/>
        <v>551.71474068906889</v>
      </c>
      <c r="J13" s="130"/>
      <c r="K13" s="78">
        <f>R11+R12+R13</f>
        <v>6449082167</v>
      </c>
      <c r="L13" s="87">
        <f>U13/U10-1</f>
        <v>1.1229938363116934</v>
      </c>
      <c r="N13" s="88">
        <f>AVERAGE(T11:T13)</f>
        <v>454.6239255959099</v>
      </c>
      <c r="O13" s="89">
        <f>N13/N10-1</f>
        <v>1.6072450013367767E-2</v>
      </c>
      <c r="P13" s="129" t="s">
        <v>96</v>
      </c>
      <c r="Q13" s="116">
        <v>2712820</v>
      </c>
      <c r="R13" s="116">
        <v>3661071603</v>
      </c>
      <c r="S13" s="116">
        <v>4917.07</v>
      </c>
      <c r="T13" s="130">
        <f t="shared" si="1"/>
        <v>551.71474068906889</v>
      </c>
      <c r="U13" s="85">
        <f>Q11+Q12+Q13</f>
        <v>4868942</v>
      </c>
    </row>
    <row r="14" spans="1:21" ht="15" hidden="1" customHeight="1">
      <c r="A14" s="129" t="s">
        <v>97</v>
      </c>
      <c r="C14" s="79"/>
      <c r="F14" s="78">
        <f>Q14/20</f>
        <v>37356.25</v>
      </c>
      <c r="G14" s="90">
        <f t="shared" si="2"/>
        <v>-0.7245947021918151</v>
      </c>
      <c r="H14" s="90"/>
      <c r="I14" s="130">
        <f t="shared" si="0"/>
        <v>31.533149427771203</v>
      </c>
      <c r="J14" s="130"/>
      <c r="K14" s="78"/>
      <c r="O14" s="89"/>
      <c r="P14" s="129" t="s">
        <v>97</v>
      </c>
      <c r="Q14" s="116">
        <v>747125</v>
      </c>
      <c r="R14" s="116">
        <v>1065447970</v>
      </c>
      <c r="S14" s="116">
        <v>23693.32</v>
      </c>
      <c r="T14" s="130">
        <f t="shared" si="1"/>
        <v>31.533149427771203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42706.63636363636</v>
      </c>
      <c r="G15" s="90">
        <f t="shared" si="2"/>
        <v>0.14322600270734775</v>
      </c>
      <c r="H15" s="90"/>
      <c r="I15" s="130">
        <f t="shared" si="0"/>
        <v>156.27272455099779</v>
      </c>
      <c r="J15" s="130"/>
      <c r="K15" s="78"/>
      <c r="O15" s="89"/>
      <c r="P15" s="129" t="s">
        <v>98</v>
      </c>
      <c r="Q15" s="116">
        <v>939546</v>
      </c>
      <c r="R15" s="116">
        <v>1298948113</v>
      </c>
      <c r="S15" s="116">
        <v>6012.22</v>
      </c>
      <c r="T15" s="130">
        <f t="shared" si="1"/>
        <v>156.27272455099779</v>
      </c>
      <c r="U15" s="85"/>
    </row>
    <row r="16" spans="1:21" ht="15" hidden="1" customHeight="1">
      <c r="A16" s="129" t="s">
        <v>99</v>
      </c>
      <c r="B16" s="131">
        <f>F14+F15+F16</f>
        <v>152724.93181818182</v>
      </c>
      <c r="C16" s="131">
        <f>AVERAGE(F14:F16)</f>
        <v>50908.310606060608</v>
      </c>
      <c r="D16" s="90">
        <f>C16/C13-1</f>
        <v>-0.35202751732260129</v>
      </c>
      <c r="E16" s="286"/>
      <c r="F16" s="78">
        <f>Q16/22</f>
        <v>72662.045454545456</v>
      </c>
      <c r="G16" s="90">
        <f t="shared" si="2"/>
        <v>0.70142281484887392</v>
      </c>
      <c r="H16" s="90"/>
      <c r="I16" s="130">
        <f t="shared" si="0"/>
        <v>203.94255904652914</v>
      </c>
      <c r="J16" s="130"/>
      <c r="K16" s="78">
        <f>R14+R15+R16</f>
        <v>4449945568</v>
      </c>
      <c r="L16" s="87">
        <f>U16/U13-1</f>
        <v>-0.32526696764923468</v>
      </c>
      <c r="N16" s="88">
        <f>AVERAGE(T14:T16)</f>
        <v>130.58281100843271</v>
      </c>
      <c r="O16" s="89">
        <f>N16/N13-1</f>
        <v>-0.71276740255746995</v>
      </c>
      <c r="P16" s="129" t="s">
        <v>99</v>
      </c>
      <c r="Q16" s="116">
        <v>1598565</v>
      </c>
      <c r="R16" s="116">
        <v>2085549485</v>
      </c>
      <c r="S16" s="116">
        <v>7838.31</v>
      </c>
      <c r="T16" s="130">
        <f t="shared" si="1"/>
        <v>203.94255904652914</v>
      </c>
      <c r="U16" s="85">
        <f>Q14+Q15+Q16</f>
        <v>3285236</v>
      </c>
    </row>
    <row r="17" spans="1:21" ht="15" hidden="1" customHeight="1">
      <c r="A17" s="129" t="s">
        <v>100</v>
      </c>
      <c r="C17" s="79"/>
      <c r="F17" s="78">
        <f>Q17/20</f>
        <v>47351.4</v>
      </c>
      <c r="G17" s="90">
        <f t="shared" si="2"/>
        <v>-0.34833378686509464</v>
      </c>
      <c r="H17" s="90">
        <f t="shared" ref="H17:H46" si="3">F17/F5-1</f>
        <v>-0.22316491466960875</v>
      </c>
      <c r="I17" s="130">
        <f t="shared" si="0"/>
        <v>84.999739712822461</v>
      </c>
      <c r="J17" s="130">
        <f t="shared" ref="J17:J49" si="4">I17/I5-1</f>
        <v>0.96586018305129406</v>
      </c>
      <c r="K17" s="78"/>
      <c r="O17" s="89"/>
      <c r="P17" s="129" t="s">
        <v>100</v>
      </c>
      <c r="Q17" s="116">
        <v>947028</v>
      </c>
      <c r="R17" s="116">
        <v>1184434140</v>
      </c>
      <c r="S17" s="116">
        <v>11141.54</v>
      </c>
      <c r="T17" s="130">
        <f t="shared" si="1"/>
        <v>84.999739712822461</v>
      </c>
      <c r="U17" s="78"/>
    </row>
    <row r="18" spans="1:21" ht="15" hidden="1" customHeight="1">
      <c r="A18" s="129" t="s">
        <v>106</v>
      </c>
      <c r="C18" s="79"/>
      <c r="F18" s="78">
        <f>Q18/20</f>
        <v>33555.599999999999</v>
      </c>
      <c r="G18" s="90">
        <f t="shared" si="2"/>
        <v>-0.29134935820271424</v>
      </c>
      <c r="H18" s="90">
        <f t="shared" si="3"/>
        <v>-0.37054268736230644</v>
      </c>
      <c r="I18" s="130">
        <f t="shared" si="0"/>
        <v>178.83205649190594</v>
      </c>
      <c r="J18" s="130">
        <f t="shared" si="4"/>
        <v>-0.42583376967284525</v>
      </c>
      <c r="K18" s="78"/>
      <c r="O18" s="89"/>
      <c r="P18" s="129" t="s">
        <v>106</v>
      </c>
      <c r="Q18" s="116">
        <v>671112</v>
      </c>
      <c r="R18" s="116">
        <v>839957872</v>
      </c>
      <c r="S18" s="116">
        <v>3752.75</v>
      </c>
      <c r="T18" s="130">
        <f t="shared" si="1"/>
        <v>178.83205649190594</v>
      </c>
      <c r="U18" s="78"/>
    </row>
    <row r="19" spans="1:21" hidden="1">
      <c r="A19" s="129" t="s">
        <v>114</v>
      </c>
      <c r="B19" s="131">
        <f>SUM(F17:F19)</f>
        <v>173913.13636363635</v>
      </c>
      <c r="C19" s="131">
        <f>AVERAGE(F17:F19)</f>
        <v>57971.045454545449</v>
      </c>
      <c r="D19" s="90">
        <f>C19/C16-1</f>
        <v>0.13873441810194387</v>
      </c>
      <c r="E19" s="286">
        <f>C19/C7-1</f>
        <v>-2.7806627460899236E-2</v>
      </c>
      <c r="F19" s="78">
        <f>Q19/22</f>
        <v>93006.136363636368</v>
      </c>
      <c r="G19" s="90">
        <f t="shared" si="2"/>
        <v>1.7717023794429654</v>
      </c>
      <c r="H19" s="90">
        <f t="shared" si="3"/>
        <v>0.43918069177400021</v>
      </c>
      <c r="I19" s="130">
        <f t="shared" si="0"/>
        <v>178.81043848487812</v>
      </c>
      <c r="J19" s="130">
        <f t="shared" si="4"/>
        <v>-0.69851389110943196</v>
      </c>
      <c r="K19" s="78">
        <f>R17+R18+R19</f>
        <v>4699623645</v>
      </c>
      <c r="L19" s="87">
        <f>U19/U16-1</f>
        <v>0.115376490456089</v>
      </c>
      <c r="M19" s="87">
        <f>U19/U7-1</f>
        <v>1.7747020522006052E-2</v>
      </c>
      <c r="N19" s="88">
        <f>AVERAGE(T17:T19)</f>
        <v>147.54741156320219</v>
      </c>
      <c r="O19" s="89">
        <f>N19/N16-1</f>
        <v>0.12991449964784363</v>
      </c>
      <c r="P19" s="129" t="s">
        <v>115</v>
      </c>
      <c r="Q19" s="116">
        <v>2046135</v>
      </c>
      <c r="R19" s="116">
        <v>2675231633</v>
      </c>
      <c r="S19" s="116">
        <v>11443.04</v>
      </c>
      <c r="T19" s="130">
        <f t="shared" si="1"/>
        <v>178.81043848487812</v>
      </c>
      <c r="U19" s="85">
        <f>Q17+Q18+Q19</f>
        <v>3664275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35641.4</v>
      </c>
      <c r="G20" s="90">
        <f t="shared" si="2"/>
        <v>-0.61678442527008237</v>
      </c>
      <c r="H20" s="90">
        <f t="shared" si="3"/>
        <v>6.1384347152788621E-3</v>
      </c>
      <c r="I20" s="130">
        <f t="shared" si="0"/>
        <v>208.56401358772774</v>
      </c>
      <c r="J20" s="130">
        <f t="shared" si="4"/>
        <v>0.41372691863801281</v>
      </c>
      <c r="K20" s="78"/>
      <c r="O20" s="89"/>
      <c r="P20" s="129" t="s">
        <v>132</v>
      </c>
      <c r="Q20" s="116">
        <v>712828</v>
      </c>
      <c r="R20" s="116">
        <v>933494965</v>
      </c>
      <c r="S20" s="116">
        <v>3417.79</v>
      </c>
      <c r="T20" s="130">
        <f t="shared" si="1"/>
        <v>208.56401358772774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107532.80952380953</v>
      </c>
      <c r="G21" s="90">
        <f t="shared" si="2"/>
        <v>2.0170759151943956</v>
      </c>
      <c r="H21" s="90">
        <f t="shared" si="3"/>
        <v>3.0140158840761071</v>
      </c>
      <c r="I21" s="130">
        <f t="shared" si="0"/>
        <v>159.38365049766168</v>
      </c>
      <c r="J21" s="130">
        <f t="shared" si="4"/>
        <v>-0.72280907175757192</v>
      </c>
      <c r="K21" s="78"/>
      <c r="O21" s="89"/>
      <c r="P21" s="129" t="s">
        <v>142</v>
      </c>
      <c r="Q21" s="116">
        <v>2258189</v>
      </c>
      <c r="R21" s="116">
        <v>2996596774</v>
      </c>
      <c r="S21" s="116">
        <v>14168.26</v>
      </c>
      <c r="T21" s="130">
        <f t="shared" si="1"/>
        <v>159.38365049766168</v>
      </c>
      <c r="U21" s="78"/>
    </row>
    <row r="22" spans="1:21" hidden="1">
      <c r="A22" s="129" t="s">
        <v>155</v>
      </c>
      <c r="B22" s="131">
        <f>SUM(F20:F22)</f>
        <v>237541.16190476192</v>
      </c>
      <c r="C22" s="131">
        <f>AVERAGE(F20:F22)</f>
        <v>79180.387301587311</v>
      </c>
      <c r="D22" s="90">
        <f>C22/C19-1</f>
        <v>0.36586095145846409</v>
      </c>
      <c r="E22" s="286">
        <f>C22/C10-1</f>
        <v>1.1750653169572942</v>
      </c>
      <c r="F22" s="78">
        <f>Q22/21</f>
        <v>94366.952380952382</v>
      </c>
      <c r="G22" s="90">
        <f t="shared" si="2"/>
        <v>-0.12243572172214112</v>
      </c>
      <c r="H22" s="90">
        <f t="shared" si="3"/>
        <v>1.0079031119009718</v>
      </c>
      <c r="I22" s="130">
        <f t="shared" si="0"/>
        <v>316.55027219055899</v>
      </c>
      <c r="J22" s="130">
        <f t="shared" si="4"/>
        <v>-0.48924891514881275</v>
      </c>
      <c r="K22" s="78">
        <f>R20+R21+R22</f>
        <v>6489300716</v>
      </c>
      <c r="L22" s="87">
        <f>U22/U19-1</f>
        <v>0.35162426400856917</v>
      </c>
      <c r="M22" s="87">
        <f>U22/U10-1</f>
        <v>1.1595246774266688</v>
      </c>
      <c r="N22" s="88">
        <f>AVERAGE(T20:T22)</f>
        <v>228.16597875864946</v>
      </c>
      <c r="O22" s="89">
        <f>N22/N19-1</f>
        <v>0.54639092845701431</v>
      </c>
      <c r="P22" s="129" t="s">
        <v>155</v>
      </c>
      <c r="Q22" s="116">
        <v>1981706</v>
      </c>
      <c r="R22" s="116">
        <v>2559208977</v>
      </c>
      <c r="S22" s="116">
        <v>6260.32</v>
      </c>
      <c r="T22" s="130">
        <f t="shared" si="1"/>
        <v>316.55027219055899</v>
      </c>
      <c r="U22" s="85">
        <f>Q20+Q21+Q22</f>
        <v>4952723</v>
      </c>
    </row>
    <row r="23" spans="1:21" hidden="1">
      <c r="A23" s="129" t="s">
        <v>189</v>
      </c>
      <c r="B23" s="131"/>
      <c r="C23" s="131"/>
      <c r="F23" s="78">
        <f>Q23/21</f>
        <v>72378.571428571435</v>
      </c>
      <c r="G23" s="90">
        <f t="shared" si="2"/>
        <v>-0.23300933640005117</v>
      </c>
      <c r="H23" s="90">
        <f t="shared" si="3"/>
        <v>0.60477859661718436</v>
      </c>
      <c r="I23" s="130">
        <f t="shared" si="0"/>
        <v>134.76024300198955</v>
      </c>
      <c r="J23" s="130">
        <f t="shared" si="4"/>
        <v>-0.7195651209383076</v>
      </c>
      <c r="K23" s="78"/>
      <c r="O23" s="89"/>
      <c r="P23" s="129" t="s">
        <v>189</v>
      </c>
      <c r="Q23" s="116">
        <v>1519950</v>
      </c>
      <c r="R23" s="116">
        <v>1971842064</v>
      </c>
      <c r="S23" s="116">
        <v>11278.92</v>
      </c>
      <c r="T23" s="130">
        <f t="shared" si="1"/>
        <v>134.76024300198955</v>
      </c>
      <c r="U23" s="78"/>
    </row>
    <row r="24" spans="1:21" hidden="1">
      <c r="A24" s="129" t="s">
        <v>204</v>
      </c>
      <c r="B24" s="131"/>
      <c r="C24" s="131"/>
      <c r="F24" s="78">
        <f>Q24/22</f>
        <v>39966.545454545456</v>
      </c>
      <c r="G24" s="90">
        <f t="shared" si="2"/>
        <v>-0.44781245794568603</v>
      </c>
      <c r="H24" s="90">
        <f t="shared" si="3"/>
        <v>-0.27272366337960363</v>
      </c>
      <c r="I24" s="130">
        <f t="shared" si="0"/>
        <v>106.78857231690772</v>
      </c>
      <c r="J24" s="130">
        <f t="shared" si="4"/>
        <v>-0.67797598817253124</v>
      </c>
      <c r="K24" s="78"/>
      <c r="O24" s="89"/>
      <c r="P24" s="129" t="s">
        <v>204</v>
      </c>
      <c r="Q24" s="116">
        <v>879264</v>
      </c>
      <c r="R24" s="116">
        <v>1141632161</v>
      </c>
      <c r="S24" s="116">
        <v>8233.69</v>
      </c>
      <c r="T24" s="130">
        <f t="shared" si="1"/>
        <v>106.78857231690772</v>
      </c>
      <c r="U24" s="78"/>
    </row>
    <row r="25" spans="1:21" s="79" customFormat="1" ht="13.2" hidden="1">
      <c r="A25" s="129" t="s">
        <v>219</v>
      </c>
      <c r="B25" s="131">
        <f>SUM(F23:F25)</f>
        <v>166483.06425153796</v>
      </c>
      <c r="C25" s="131">
        <f>AVERAGE(F23:F25)</f>
        <v>55494.354750512655</v>
      </c>
      <c r="D25" s="90">
        <f>C25/C22-1</f>
        <v>-0.29914014515814102</v>
      </c>
      <c r="E25" s="286">
        <f>C25/C13-1</f>
        <v>-0.29365531100556497</v>
      </c>
      <c r="F25" s="78">
        <f>Q25/19</f>
        <v>54137.947368421053</v>
      </c>
      <c r="G25" s="90">
        <f t="shared" si="2"/>
        <v>0.35458160700911567</v>
      </c>
      <c r="H25" s="90">
        <f t="shared" si="3"/>
        <v>-0.60087328043570121</v>
      </c>
      <c r="I25" s="130">
        <f t="shared" si="0"/>
        <v>530.37284150497828</v>
      </c>
      <c r="J25" s="130">
        <f t="shared" si="4"/>
        <v>-3.8682851136867313E-2</v>
      </c>
      <c r="K25" s="78">
        <f>R23+R24+R25</f>
        <v>4478902665</v>
      </c>
      <c r="L25" s="90">
        <f>U25/U22-1</f>
        <v>-0.30788881187177231</v>
      </c>
      <c r="M25" s="90">
        <f>U25/U13-1</f>
        <v>-0.29597949616158914</v>
      </c>
      <c r="N25" s="88">
        <f>AVERAGE(T23:T25)</f>
        <v>257.30721894129186</v>
      </c>
      <c r="O25" s="91">
        <f>N25/N22-1</f>
        <v>0.12771948009596801</v>
      </c>
      <c r="P25" s="129" t="s">
        <v>219</v>
      </c>
      <c r="Q25" s="116">
        <v>1028621</v>
      </c>
      <c r="R25" s="116">
        <v>1365428440</v>
      </c>
      <c r="S25" s="116">
        <v>1939.43</v>
      </c>
      <c r="T25" s="130">
        <f t="shared" si="1"/>
        <v>530.37284150497828</v>
      </c>
      <c r="U25" s="85">
        <f>Q23+Q24+Q25</f>
        <v>3427835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114606.47368421052</v>
      </c>
      <c r="G26" s="90">
        <f t="shared" si="2"/>
        <v>1.1169342255310748</v>
      </c>
      <c r="H26" s="90">
        <f t="shared" si="3"/>
        <v>2.0679330415716386</v>
      </c>
      <c r="I26" s="130">
        <f t="shared" si="0"/>
        <v>325.3822360359822</v>
      </c>
      <c r="J26" s="130">
        <f t="shared" si="4"/>
        <v>9.3187357412963792</v>
      </c>
      <c r="K26" s="78"/>
      <c r="L26" s="90"/>
      <c r="M26" s="90"/>
      <c r="P26" s="129" t="s">
        <v>312</v>
      </c>
      <c r="Q26" s="116">
        <v>2177523</v>
      </c>
      <c r="R26" s="116">
        <v>2931877958</v>
      </c>
      <c r="S26" s="116">
        <v>6692.2</v>
      </c>
      <c r="T26" s="130">
        <f t="shared" si="1"/>
        <v>325.3822360359822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41868.772727272728</v>
      </c>
      <c r="G27" s="90">
        <f t="shared" si="2"/>
        <v>-0.63467358010997732</v>
      </c>
      <c r="H27" s="90">
        <f t="shared" si="3"/>
        <v>-1.9619050051833509E-2</v>
      </c>
      <c r="I27" s="130">
        <f t="shared" si="0"/>
        <v>405.00945345820691</v>
      </c>
      <c r="J27" s="130">
        <f t="shared" si="4"/>
        <v>1.5916835751208573</v>
      </c>
      <c r="K27" s="78"/>
      <c r="L27" s="90"/>
      <c r="M27" s="90"/>
      <c r="P27" s="129" t="s">
        <v>375</v>
      </c>
      <c r="Q27" s="116">
        <v>921113</v>
      </c>
      <c r="R27" s="116">
        <v>1216574875</v>
      </c>
      <c r="S27" s="116">
        <v>2274.3000000000002</v>
      </c>
      <c r="T27" s="130">
        <f t="shared" si="1"/>
        <v>405.00945345820691</v>
      </c>
      <c r="U27" s="78"/>
    </row>
    <row r="28" spans="1:21" s="79" customFormat="1" ht="13.2" hidden="1">
      <c r="A28" s="123" t="s">
        <v>413</v>
      </c>
      <c r="B28" s="131">
        <f>SUM(F26:F28)</f>
        <v>291354.50956937799</v>
      </c>
      <c r="C28" s="131">
        <f>AVERAGE(F26:F28)</f>
        <v>97118.169856459324</v>
      </c>
      <c r="D28" s="90">
        <f>C28/C25-1</f>
        <v>0.75005494330145628</v>
      </c>
      <c r="E28" s="286">
        <f>C28/C16-1</f>
        <v>0.90770757662693802</v>
      </c>
      <c r="F28" s="78">
        <f>Q28/19</f>
        <v>134879.26315789475</v>
      </c>
      <c r="G28" s="90">
        <f t="shared" si="2"/>
        <v>2.221476398089794</v>
      </c>
      <c r="H28" s="90">
        <f t="shared" si="3"/>
        <v>0.85625469685229216</v>
      </c>
      <c r="I28" s="130">
        <f t="shared" si="0"/>
        <v>254.06984698541234</v>
      </c>
      <c r="J28" s="130">
        <f t="shared" si="4"/>
        <v>0.2457912079422655</v>
      </c>
      <c r="K28" s="78">
        <f>R26+R27+R28</f>
        <v>7498191496</v>
      </c>
      <c r="L28" s="90">
        <f>U28/U25-1</f>
        <v>0.65157949551247363</v>
      </c>
      <c r="M28" s="90">
        <f>U28/U16-1</f>
        <v>0.7232679783126692</v>
      </c>
      <c r="N28" s="88">
        <f>AVERAGE(T26:T28)</f>
        <v>328.15384549320049</v>
      </c>
      <c r="O28" s="91">
        <f>N28/N25-1</f>
        <v>0.27533866653027417</v>
      </c>
      <c r="P28" s="129" t="s">
        <v>413</v>
      </c>
      <c r="Q28" s="116">
        <v>2562706</v>
      </c>
      <c r="R28" s="116">
        <v>3349738663</v>
      </c>
      <c r="S28" s="116">
        <v>10086.620000000001</v>
      </c>
      <c r="T28" s="130">
        <f t="shared" si="1"/>
        <v>254.06984698541234</v>
      </c>
      <c r="U28" s="85">
        <f>Q26+Q27+Q28</f>
        <v>5661342</v>
      </c>
    </row>
    <row r="29" spans="1:21" s="79" customFormat="1" ht="13.2" hidden="1">
      <c r="A29" s="129" t="s">
        <v>455</v>
      </c>
      <c r="B29" s="188"/>
      <c r="C29" s="188"/>
      <c r="D29" s="189"/>
      <c r="E29" s="287"/>
      <c r="F29" s="136">
        <f>Q29/22</f>
        <v>40944</v>
      </c>
      <c r="G29" s="190">
        <f t="shared" si="2"/>
        <v>-0.69643962280495697</v>
      </c>
      <c r="H29" s="190">
        <f t="shared" si="3"/>
        <v>-0.13531595686716757</v>
      </c>
      <c r="I29" s="130">
        <f t="shared" si="0"/>
        <v>231.64088215931534</v>
      </c>
      <c r="J29" s="130">
        <f t="shared" si="4"/>
        <v>1.7251951940315369</v>
      </c>
      <c r="K29" s="136"/>
      <c r="L29" s="190"/>
      <c r="M29" s="190"/>
      <c r="N29" s="191"/>
      <c r="O29" s="192"/>
      <c r="P29" s="129" t="s">
        <v>455</v>
      </c>
      <c r="Q29" s="116">
        <v>900768</v>
      </c>
      <c r="R29" s="116">
        <v>1177791793</v>
      </c>
      <c r="S29" s="116">
        <v>3888.64</v>
      </c>
      <c r="T29" s="130">
        <f t="shared" si="1"/>
        <v>231.64088215931534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47284.315789473687</v>
      </c>
      <c r="G30" s="190">
        <f t="shared" si="2"/>
        <v>0.15485335554595747</v>
      </c>
      <c r="H30" s="190">
        <f t="shared" si="3"/>
        <v>0.40913337235733205</v>
      </c>
      <c r="I30" s="130">
        <f t="shared" si="0"/>
        <v>245.07531739147038</v>
      </c>
      <c r="J30" s="130">
        <f t="shared" si="4"/>
        <v>0.37042162461830586</v>
      </c>
      <c r="K30" s="136"/>
      <c r="L30" s="190"/>
      <c r="M30" s="190"/>
      <c r="N30" s="191"/>
      <c r="O30" s="192"/>
      <c r="P30" s="129" t="s">
        <v>469</v>
      </c>
      <c r="Q30" s="116">
        <v>898402</v>
      </c>
      <c r="R30" s="116">
        <v>1197622727</v>
      </c>
      <c r="S30" s="116">
        <v>3665.82</v>
      </c>
      <c r="T30" s="130">
        <f t="shared" si="1"/>
        <v>245.07531739147038</v>
      </c>
      <c r="U30" s="85"/>
    </row>
    <row r="31" spans="1:21" s="79" customFormat="1" ht="13.2" hidden="1">
      <c r="A31" s="129" t="s">
        <v>505</v>
      </c>
      <c r="B31" s="188">
        <f>SUM(F29:F31)</f>
        <v>147736.51578947366</v>
      </c>
      <c r="C31" s="188">
        <f>AVERAGE(F29:F31)</f>
        <v>49245.505263157887</v>
      </c>
      <c r="D31" s="190">
        <f>C31/C28-1</f>
        <v>-0.49293211212749632</v>
      </c>
      <c r="E31" s="287">
        <f>C31/C19-1</f>
        <v>-0.1505154879124817</v>
      </c>
      <c r="F31" s="136">
        <f>Q31/20</f>
        <v>59508.2</v>
      </c>
      <c r="G31" s="190">
        <f t="shared" si="2"/>
        <v>0.2585187922555825</v>
      </c>
      <c r="H31" s="190">
        <f t="shared" si="3"/>
        <v>-0.36016909930185448</v>
      </c>
      <c r="I31" s="130">
        <f t="shared" si="0"/>
        <v>283.66753026363142</v>
      </c>
      <c r="J31" s="130">
        <f t="shared" si="4"/>
        <v>0.58641482380583154</v>
      </c>
      <c r="K31" s="136">
        <f>R29+R30+R31</f>
        <v>3958804749</v>
      </c>
      <c r="L31" s="190">
        <f>U31/U28-1</f>
        <v>-0.4719743128042786</v>
      </c>
      <c r="M31" s="190">
        <f>U31/U19-1</f>
        <v>-0.18419496353303177</v>
      </c>
      <c r="N31" s="191">
        <f>AVERAGE(T29:T31)</f>
        <v>253.4612432714724</v>
      </c>
      <c r="O31" s="192">
        <f>N31/N28-1</f>
        <v>-0.22761458763181175</v>
      </c>
      <c r="P31" s="129" t="s">
        <v>506</v>
      </c>
      <c r="Q31" s="116">
        <v>1190164</v>
      </c>
      <c r="R31" s="116">
        <v>1583390229</v>
      </c>
      <c r="S31" s="116">
        <v>4195.63</v>
      </c>
      <c r="T31" s="130">
        <f t="shared" si="1"/>
        <v>283.66753026363142</v>
      </c>
      <c r="U31" s="85">
        <f>Q29+Q30+Q31</f>
        <v>2989334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38724.714285714283</v>
      </c>
      <c r="G32" s="190">
        <f t="shared" si="2"/>
        <v>-0.3492541484078785</v>
      </c>
      <c r="H32" s="190">
        <f t="shared" si="3"/>
        <v>8.6509348277965525E-2</v>
      </c>
      <c r="I32" s="130">
        <f t="shared" si="0"/>
        <v>276.45277092214496</v>
      </c>
      <c r="J32" s="130">
        <f t="shared" si="4"/>
        <v>0.32550561415937351</v>
      </c>
      <c r="K32" s="136"/>
      <c r="L32" s="190"/>
      <c r="M32" s="190"/>
      <c r="N32" s="191"/>
      <c r="O32" s="192"/>
      <c r="P32" s="129" t="s">
        <v>561</v>
      </c>
      <c r="Q32" s="116">
        <v>813219</v>
      </c>
      <c r="R32" s="116">
        <v>1106850969</v>
      </c>
      <c r="S32" s="116">
        <v>2941.62</v>
      </c>
      <c r="T32" s="130">
        <f t="shared" si="1"/>
        <v>276.45277092214496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44024</v>
      </c>
      <c r="G33" s="190">
        <f t="shared" si="2"/>
        <v>0.13684505649769618</v>
      </c>
      <c r="H33" s="190">
        <f t="shared" si="3"/>
        <v>-0.59059936967189197</v>
      </c>
      <c r="I33" s="130">
        <f t="shared" si="0"/>
        <v>299.75682353170049</v>
      </c>
      <c r="J33" s="130">
        <f t="shared" si="4"/>
        <v>0.88072504673933438</v>
      </c>
      <c r="K33" s="136"/>
      <c r="L33" s="190"/>
      <c r="M33" s="190"/>
      <c r="N33" s="191"/>
      <c r="O33" s="192"/>
      <c r="P33" s="129" t="s">
        <v>639</v>
      </c>
      <c r="Q33" s="116">
        <v>924504</v>
      </c>
      <c r="R33" s="116">
        <v>1261353122</v>
      </c>
      <c r="S33" s="116">
        <v>3084.18</v>
      </c>
      <c r="T33" s="130">
        <f t="shared" si="1"/>
        <v>299.75682353170049</v>
      </c>
      <c r="U33" s="85"/>
    </row>
    <row r="34" spans="1:21" s="79" customFormat="1" ht="13.2" hidden="1">
      <c r="A34" s="129" t="s">
        <v>652</v>
      </c>
      <c r="B34" s="188">
        <f>SUM(F32:F34)</f>
        <v>177055.97744360904</v>
      </c>
      <c r="C34" s="188">
        <f>AVERAGE(F32:F34)</f>
        <v>59018.659147869679</v>
      </c>
      <c r="D34" s="190">
        <f>C34/C31-1</f>
        <v>0.1984577847762159</v>
      </c>
      <c r="E34" s="287">
        <f>C34/C22-1</f>
        <v>-0.25463033007055591</v>
      </c>
      <c r="F34" s="136">
        <f>Q34/19</f>
        <v>94307.263157894733</v>
      </c>
      <c r="G34" s="190">
        <f t="shared" si="2"/>
        <v>1.1421784289908854</v>
      </c>
      <c r="H34" s="190">
        <f t="shared" si="3"/>
        <v>-6.325225256473832E-4</v>
      </c>
      <c r="I34" s="130">
        <f t="shared" si="0"/>
        <v>354.2694114483653</v>
      </c>
      <c r="J34" s="130">
        <f t="shared" si="4"/>
        <v>0.11915686881829601</v>
      </c>
      <c r="K34" s="136">
        <f>R32+R33+R34</f>
        <v>4831025867</v>
      </c>
      <c r="L34" s="190">
        <f>U34/U31-1</f>
        <v>0.18071818003608842</v>
      </c>
      <c r="M34" s="190">
        <f>U34/U22-1</f>
        <v>-0.28734940355032978</v>
      </c>
      <c r="N34" s="191">
        <f>AVERAGE(T32:T34)</f>
        <v>310.15966863407027</v>
      </c>
      <c r="O34" s="192">
        <f>N34/N31-1</f>
        <v>0.22369662766102039</v>
      </c>
      <c r="P34" s="129" t="s">
        <v>652</v>
      </c>
      <c r="Q34" s="116">
        <v>1791838</v>
      </c>
      <c r="R34" s="116">
        <v>2462821776</v>
      </c>
      <c r="S34" s="116">
        <v>5057.84</v>
      </c>
      <c r="T34" s="130">
        <f t="shared" si="1"/>
        <v>354.2694114483653</v>
      </c>
      <c r="U34" s="85">
        <f>Q32+Q33+Q34</f>
        <v>3529561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28468.608695652172</v>
      </c>
      <c r="G35" s="190">
        <f t="shared" si="2"/>
        <v>-0.69812920296511671</v>
      </c>
      <c r="H35" s="190">
        <f t="shared" si="3"/>
        <v>-0.60667075719023944</v>
      </c>
      <c r="I35" s="130">
        <f t="shared" si="0"/>
        <v>295.1497885920864</v>
      </c>
      <c r="J35" s="130">
        <f t="shared" si="4"/>
        <v>1.1901844491904701</v>
      </c>
      <c r="K35" s="136"/>
      <c r="L35" s="190"/>
      <c r="M35" s="190"/>
      <c r="N35" s="191"/>
      <c r="O35" s="192"/>
      <c r="P35" s="129" t="s">
        <v>659</v>
      </c>
      <c r="Q35" s="116">
        <v>654778</v>
      </c>
      <c r="R35" s="116">
        <v>905982823</v>
      </c>
      <c r="S35" s="116">
        <v>2218.46</v>
      </c>
      <c r="T35" s="130">
        <f t="shared" si="1"/>
        <v>295.1497885920864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38481.619047619046</v>
      </c>
      <c r="G36" s="190">
        <f t="shared" si="2"/>
        <v>0.35172109951042652</v>
      </c>
      <c r="H36" s="190">
        <f t="shared" si="3"/>
        <v>-3.7154234623936633E-2</v>
      </c>
      <c r="I36" s="130">
        <f t="shared" si="0"/>
        <v>165.87585697278212</v>
      </c>
      <c r="J36" s="130">
        <f t="shared" si="4"/>
        <v>0.55331093368797823</v>
      </c>
      <c r="K36" s="136"/>
      <c r="L36" s="190"/>
      <c r="M36" s="190"/>
      <c r="N36" s="191"/>
      <c r="O36" s="192"/>
      <c r="P36" s="129" t="s">
        <v>664</v>
      </c>
      <c r="Q36" s="116">
        <v>808114</v>
      </c>
      <c r="R36" s="116">
        <v>1107764366</v>
      </c>
      <c r="S36" s="116">
        <v>4871.8</v>
      </c>
      <c r="T36" s="130">
        <f t="shared" si="1"/>
        <v>165.87585697278212</v>
      </c>
      <c r="U36" s="85"/>
    </row>
    <row r="37" spans="1:21" s="79" customFormat="1" ht="13.2" hidden="1">
      <c r="A37" s="129" t="s">
        <v>702</v>
      </c>
      <c r="B37" s="188">
        <f>SUM(F35:F37)</f>
        <v>108135.83885438232</v>
      </c>
      <c r="C37" s="188">
        <f>AVERAGE(F35:F37)</f>
        <v>36045.279618127439</v>
      </c>
      <c r="D37" s="190">
        <f>C37/C34-1</f>
        <v>-0.38925620916230996</v>
      </c>
      <c r="E37" s="287">
        <f>C37/C25-1</f>
        <v>-0.35046943459065172</v>
      </c>
      <c r="F37" s="136">
        <f>Q37/18</f>
        <v>41185.611111111109</v>
      </c>
      <c r="G37" s="190">
        <f t="shared" si="2"/>
        <v>7.0267107528558359E-2</v>
      </c>
      <c r="H37" s="190">
        <f t="shared" si="3"/>
        <v>-0.23924690327038722</v>
      </c>
      <c r="I37" s="130">
        <f t="shared" si="0"/>
        <v>167.38640571516305</v>
      </c>
      <c r="J37" s="130">
        <f t="shared" si="4"/>
        <v>-0.68439861053181039</v>
      </c>
      <c r="K37" s="136">
        <f>R35+R36+R37</f>
        <v>3001938192</v>
      </c>
      <c r="L37" s="190">
        <f>U37/U34-1</f>
        <v>-0.37549372287375116</v>
      </c>
      <c r="M37" s="190">
        <f>U37/U25-1</f>
        <v>-0.35696058882647497</v>
      </c>
      <c r="N37" s="191">
        <f>AVERAGE(T35:T37)</f>
        <v>209.47068376001053</v>
      </c>
      <c r="O37" s="192">
        <f>N37/N34-1</f>
        <v>-0.32463596997472188</v>
      </c>
      <c r="P37" s="129" t="s">
        <v>702</v>
      </c>
      <c r="Q37" s="116">
        <v>741341</v>
      </c>
      <c r="R37" s="116">
        <v>988191003</v>
      </c>
      <c r="S37" s="116">
        <v>4428.92</v>
      </c>
      <c r="T37" s="130">
        <f t="shared" si="1"/>
        <v>167.38640571516305</v>
      </c>
      <c r="U37" s="85">
        <f>Q35+Q36+Q37</f>
        <v>2204233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25066.45</v>
      </c>
      <c r="G38" s="190">
        <f t="shared" si="2"/>
        <v>-0.39137846146375277</v>
      </c>
      <c r="H38" s="190">
        <f t="shared" si="3"/>
        <v>-0.7812824250306426</v>
      </c>
      <c r="I38" s="130">
        <f t="shared" si="0"/>
        <v>495.48230875667127</v>
      </c>
      <c r="J38" s="130">
        <f t="shared" si="4"/>
        <v>0.52277000365157811</v>
      </c>
      <c r="K38" s="136"/>
      <c r="L38" s="190"/>
      <c r="M38" s="190"/>
      <c r="N38" s="191"/>
      <c r="O38" s="192"/>
      <c r="P38" s="129" t="s">
        <v>725</v>
      </c>
      <c r="Q38" s="116">
        <v>501329</v>
      </c>
      <c r="R38" s="116">
        <v>674554275</v>
      </c>
      <c r="S38" s="116">
        <v>1011.8</v>
      </c>
      <c r="T38" s="130">
        <f t="shared" si="1"/>
        <v>495.48230875667127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67825.28571428571</v>
      </c>
      <c r="G39" s="190">
        <f t="shared" si="2"/>
        <v>1.7058193607106595</v>
      </c>
      <c r="H39" s="190">
        <f t="shared" si="3"/>
        <v>0.61994921981807405</v>
      </c>
      <c r="I39" s="130">
        <f t="shared" si="0"/>
        <v>401.40204430741829</v>
      </c>
      <c r="J39" s="130">
        <f t="shared" si="4"/>
        <v>-8.9069751828912969E-3</v>
      </c>
      <c r="K39" s="136"/>
      <c r="L39" s="190"/>
      <c r="M39" s="190"/>
      <c r="N39" s="191"/>
      <c r="O39" s="192"/>
      <c r="P39" s="129" t="s">
        <v>762</v>
      </c>
      <c r="Q39" s="116">
        <v>1424331</v>
      </c>
      <c r="R39" s="116">
        <v>1966959656</v>
      </c>
      <c r="S39" s="116">
        <v>3548.39</v>
      </c>
      <c r="T39" s="130">
        <f t="shared" si="1"/>
        <v>401.40204430741829</v>
      </c>
      <c r="U39" s="85"/>
    </row>
    <row r="40" spans="1:21" s="79" customFormat="1" ht="13.2" hidden="1">
      <c r="A40" s="129" t="s">
        <v>778</v>
      </c>
      <c r="B40" s="188">
        <f>SUM(F38:F40)</f>
        <v>225610.64047619049</v>
      </c>
      <c r="C40" s="188">
        <f>AVERAGE(F38:F40)</f>
        <v>75203.546825396828</v>
      </c>
      <c r="D40" s="190">
        <f>C40/C37-1</f>
        <v>1.0863632526123173</v>
      </c>
      <c r="E40" s="287">
        <f>C40/C28-1</f>
        <v>-0.22564905273083624</v>
      </c>
      <c r="F40" s="136">
        <f>Q40/21</f>
        <v>132718.90476190476</v>
      </c>
      <c r="G40" s="190">
        <f t="shared" si="2"/>
        <v>0.95677619879087117</v>
      </c>
      <c r="H40" s="190">
        <f t="shared" si="3"/>
        <v>-1.6016979522352481E-2</v>
      </c>
      <c r="I40" s="130">
        <f t="shared" si="0"/>
        <v>921.23560929334735</v>
      </c>
      <c r="J40" s="130">
        <f t="shared" si="4"/>
        <v>2.6259147640854876</v>
      </c>
      <c r="K40" s="136">
        <f>R38+R39+R40</f>
        <v>6648395925</v>
      </c>
      <c r="L40" s="190">
        <f>U40/U37-1</f>
        <v>1.1380484730969913</v>
      </c>
      <c r="M40" s="190">
        <f>U40/U28-1</f>
        <v>-0.16755479531178297</v>
      </c>
      <c r="N40" s="191">
        <f>AVERAGE(T38:T40)</f>
        <v>606.03998745247895</v>
      </c>
      <c r="O40" s="192">
        <f>N40/N37-1</f>
        <v>1.8931971604523707</v>
      </c>
      <c r="P40" s="129" t="s">
        <v>778</v>
      </c>
      <c r="Q40" s="116">
        <v>2787097</v>
      </c>
      <c r="R40" s="116">
        <v>4006881994</v>
      </c>
      <c r="S40" s="116">
        <v>3025.39</v>
      </c>
      <c r="T40" s="130">
        <f t="shared" si="1"/>
        <v>921.23560929334735</v>
      </c>
      <c r="U40" s="85">
        <f>Q38+Q39+Q40</f>
        <v>4712757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10032.555555555555</v>
      </c>
      <c r="G41" s="190">
        <f t="shared" si="2"/>
        <v>-0.92440748683426999</v>
      </c>
      <c r="H41" s="190">
        <f t="shared" si="3"/>
        <v>-0.75496884633754502</v>
      </c>
      <c r="I41" s="130">
        <f t="shared" si="0"/>
        <v>302.66655493170202</v>
      </c>
      <c r="J41" s="130">
        <f t="shared" si="4"/>
        <v>0.30661976465595342</v>
      </c>
      <c r="K41" s="193"/>
      <c r="L41" s="190"/>
      <c r="M41" s="190"/>
      <c r="N41" s="193"/>
      <c r="O41" s="193"/>
      <c r="P41" s="129" t="s">
        <v>792</v>
      </c>
      <c r="Q41" s="116">
        <v>180586</v>
      </c>
      <c r="R41" s="116">
        <v>264202110</v>
      </c>
      <c r="S41" s="116">
        <v>596.65</v>
      </c>
      <c r="T41" s="130">
        <f t="shared" si="1"/>
        <v>302.66655493170202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36206.050000000003</v>
      </c>
      <c r="G42" s="190">
        <f t="shared" si="2"/>
        <v>2.6088561682522462</v>
      </c>
      <c r="H42" s="190">
        <f t="shared" si="3"/>
        <v>-0.23429049579141625</v>
      </c>
      <c r="I42" s="130">
        <f t="shared" si="0"/>
        <v>375.88557131288803</v>
      </c>
      <c r="J42" s="130">
        <f t="shared" si="4"/>
        <v>0.53375531780896668</v>
      </c>
      <c r="K42" s="193"/>
      <c r="L42" s="190"/>
      <c r="M42" s="190"/>
      <c r="N42" s="193"/>
      <c r="O42" s="193"/>
      <c r="P42" s="129" t="s">
        <v>826</v>
      </c>
      <c r="Q42" s="116">
        <v>724121</v>
      </c>
      <c r="R42" s="116">
        <v>1045447304</v>
      </c>
      <c r="S42" s="116">
        <v>1926.44</v>
      </c>
      <c r="T42" s="130">
        <f t="shared" si="1"/>
        <v>375.88557131288803</v>
      </c>
      <c r="U42" s="78"/>
    </row>
    <row r="43" spans="1:21" s="79" customFormat="1" ht="13.2">
      <c r="A43" s="129" t="s">
        <v>834</v>
      </c>
      <c r="B43" s="188">
        <f>SUM(F41:F43)</f>
        <v>105150.40555555557</v>
      </c>
      <c r="C43" s="188">
        <f>AVERAGE(F41:F43)</f>
        <v>35050.135185185187</v>
      </c>
      <c r="D43" s="190">
        <f>C43/C40-1</f>
        <v>-0.53392975910348306</v>
      </c>
      <c r="E43" s="287">
        <f>C43/C31-1</f>
        <v>-0.28825717194118639</v>
      </c>
      <c r="F43" s="136">
        <f>Q43/20</f>
        <v>58911.8</v>
      </c>
      <c r="G43" s="190">
        <f t="shared" si="2"/>
        <v>0.62712585327590276</v>
      </c>
      <c r="H43" s="190">
        <f t="shared" si="3"/>
        <v>-1.0022148208145953E-2</v>
      </c>
      <c r="I43" s="130">
        <f t="shared" si="0"/>
        <v>43.391377009901788</v>
      </c>
      <c r="J43" s="130">
        <f t="shared" si="4"/>
        <v>-0.84703438927403762</v>
      </c>
      <c r="K43" s="136">
        <f>R41+R42+R43</f>
        <v>3011672695</v>
      </c>
      <c r="L43" s="190">
        <f>U43/U40-1</f>
        <v>-0.55802028409272952</v>
      </c>
      <c r="M43" s="190">
        <f>K43/K31-1</f>
        <v>-0.23924697327880262</v>
      </c>
      <c r="N43" s="191">
        <f>AVERAGE(T41:T43)</f>
        <v>240.64783441816394</v>
      </c>
      <c r="O43" s="192">
        <f>N43/N40-1</f>
        <v>-0.60291756418625142</v>
      </c>
      <c r="P43" s="129" t="s">
        <v>834</v>
      </c>
      <c r="Q43" s="116">
        <v>1178236</v>
      </c>
      <c r="R43" s="116">
        <v>1702023281</v>
      </c>
      <c r="S43" s="116">
        <v>27153.69</v>
      </c>
      <c r="T43" s="130">
        <f t="shared" si="1"/>
        <v>43.391377009901788</v>
      </c>
      <c r="U43" s="85">
        <f>Q41+Q42+Q43</f>
        <v>2082943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76863.909090909088</v>
      </c>
      <c r="G44" s="190">
        <f t="shared" si="2"/>
        <v>0.30472857884004712</v>
      </c>
      <c r="H44" s="190">
        <f t="shared" si="3"/>
        <v>0.9848799535046413</v>
      </c>
      <c r="I44" s="130">
        <f t="shared" si="0"/>
        <v>215.15001921202699</v>
      </c>
      <c r="J44" s="130">
        <f t="shared" si="4"/>
        <v>-0.22174764790974788</v>
      </c>
      <c r="K44" s="136"/>
      <c r="L44" s="190"/>
      <c r="M44" s="190"/>
      <c r="N44" s="191"/>
      <c r="O44" s="192"/>
      <c r="P44" s="129" t="s">
        <v>838</v>
      </c>
      <c r="Q44" s="116">
        <v>1691006</v>
      </c>
      <c r="R44" s="116">
        <v>2451291826</v>
      </c>
      <c r="S44" s="116">
        <v>7859.66</v>
      </c>
      <c r="T44" s="130">
        <f t="shared" si="1"/>
        <v>215.15001921202699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46219.95</v>
      </c>
      <c r="G45" s="190">
        <f t="shared" si="2"/>
        <v>-0.39867812414621828</v>
      </c>
      <c r="H45" s="190">
        <f t="shared" si="3"/>
        <v>4.9880746865346159E-2</v>
      </c>
      <c r="I45" s="130">
        <f t="shared" si="0"/>
        <v>119.93188629552266</v>
      </c>
      <c r="J45" s="130">
        <f t="shared" si="4"/>
        <v>-0.59990273154586127</v>
      </c>
      <c r="K45" s="136"/>
      <c r="L45" s="190"/>
      <c r="M45" s="190"/>
      <c r="N45" s="191"/>
      <c r="O45" s="192"/>
      <c r="P45" s="129" t="s">
        <v>847</v>
      </c>
      <c r="Q45" s="116">
        <v>924399</v>
      </c>
      <c r="R45" s="116">
        <v>1304051577</v>
      </c>
      <c r="S45" s="116">
        <v>7707.7</v>
      </c>
      <c r="T45" s="130">
        <f t="shared" si="1"/>
        <v>119.93188629552266</v>
      </c>
      <c r="U45" s="85"/>
    </row>
    <row r="46" spans="1:21" s="79" customFormat="1" ht="13.2">
      <c r="A46" s="129" t="s">
        <v>888</v>
      </c>
      <c r="B46" s="188">
        <f>SUM(F44:F46)</f>
        <v>182340.06961722486</v>
      </c>
      <c r="C46" s="188">
        <f>AVERAGE(F44:F46)</f>
        <v>60780.023205741621</v>
      </c>
      <c r="D46" s="189">
        <f>C46/C43-1</f>
        <v>0.73408812504186316</v>
      </c>
      <c r="E46" s="287">
        <f>C46/C34-1</f>
        <v>2.9844189673284394E-2</v>
      </c>
      <c r="F46" s="136">
        <f>Q46/19</f>
        <v>59256.210526315786</v>
      </c>
      <c r="G46" s="190">
        <f t="shared" si="2"/>
        <v>0.28204834765757614</v>
      </c>
      <c r="H46" s="190">
        <f t="shared" si="3"/>
        <v>-0.37166864415198253</v>
      </c>
      <c r="I46" s="130">
        <f t="shared" si="0"/>
        <v>358.46650046644316</v>
      </c>
      <c r="J46" s="130">
        <f t="shared" si="4"/>
        <v>1.1847167388566948E-2</v>
      </c>
      <c r="K46" s="136">
        <f>R44+R45+R46</f>
        <v>5295044661</v>
      </c>
      <c r="L46" s="190">
        <f>U46/U43-1</f>
        <v>0.79614756620800464</v>
      </c>
      <c r="M46" s="190">
        <f>K46/K34-1</f>
        <v>9.6049743216992889E-2</v>
      </c>
      <c r="N46" s="191">
        <f>AVERAGE(T44:T46)</f>
        <v>231.18280199133096</v>
      </c>
      <c r="O46" s="192">
        <f>N46/N43-1</f>
        <v>-3.9331467285867894E-2</v>
      </c>
      <c r="P46" s="129" t="s">
        <v>908</v>
      </c>
      <c r="Q46" s="116">
        <v>1125868</v>
      </c>
      <c r="R46" s="116">
        <v>1539701258</v>
      </c>
      <c r="S46" s="116">
        <v>3140.79</v>
      </c>
      <c r="T46" s="130">
        <f t="shared" si="1"/>
        <v>358.46650046644316</v>
      </c>
      <c r="U46" s="85">
        <f t="shared" ref="U46:U51" si="5">Q44+Q45+Q46</f>
        <v>3741273</v>
      </c>
    </row>
    <row r="47" spans="1:21" s="79" customFormat="1" ht="13.2">
      <c r="A47" s="129" t="s">
        <v>1026</v>
      </c>
      <c r="B47" s="188"/>
      <c r="C47" s="188"/>
      <c r="D47" s="189"/>
      <c r="E47" s="287"/>
      <c r="F47" s="136">
        <f>Q47/23</f>
        <v>121313.69565217392</v>
      </c>
      <c r="G47" s="190">
        <f t="shared" ref="G47" si="6">F47/F46-1</f>
        <v>1.0472739409871359</v>
      </c>
      <c r="H47" s="190">
        <f t="shared" ref="H47" si="7">F47/F35-1</f>
        <v>3.2613145218684814</v>
      </c>
      <c r="I47" s="130">
        <f t="shared" si="0"/>
        <v>585.05989587155682</v>
      </c>
      <c r="J47" s="130">
        <f t="shared" si="4"/>
        <v>0.98224738246430698</v>
      </c>
      <c r="K47" s="136"/>
      <c r="L47" s="190"/>
      <c r="M47" s="190"/>
      <c r="N47" s="191"/>
      <c r="O47" s="192"/>
      <c r="P47" s="129" t="s">
        <v>991</v>
      </c>
      <c r="Q47" s="116">
        <v>2790215</v>
      </c>
      <c r="R47" s="116">
        <v>3814190524</v>
      </c>
      <c r="S47" s="116">
        <v>4769.1099999999997</v>
      </c>
      <c r="T47" s="130">
        <f t="shared" ref="T47" si="8">Q47/S47</f>
        <v>585.05989587155682</v>
      </c>
      <c r="U47" s="85">
        <f t="shared" si="5"/>
        <v>4840482</v>
      </c>
    </row>
    <row r="48" spans="1:21" s="79" customFormat="1" ht="13.2">
      <c r="A48" s="129" t="s">
        <v>1111</v>
      </c>
      <c r="B48" s="188"/>
      <c r="C48" s="188"/>
      <c r="D48" s="189"/>
      <c r="E48" s="287"/>
      <c r="F48" s="136">
        <f>Q48/20</f>
        <v>39465.4</v>
      </c>
      <c r="G48" s="190">
        <f t="shared" ref="G48" si="9">F48/F47-1</f>
        <v>-0.67468306205794182</v>
      </c>
      <c r="H48" s="190">
        <f t="shared" ref="H48" si="10">F48/F36-1</f>
        <v>2.5564957419374146E-2</v>
      </c>
      <c r="I48" s="130">
        <f t="shared" si="0"/>
        <v>493.514905962385</v>
      </c>
      <c r="J48" s="130">
        <f t="shared" si="4"/>
        <v>1.9752063679970244</v>
      </c>
      <c r="K48" s="136"/>
      <c r="L48" s="190"/>
      <c r="M48" s="190"/>
      <c r="N48" s="191"/>
      <c r="O48" s="192"/>
      <c r="P48" s="129" t="s">
        <v>1070</v>
      </c>
      <c r="Q48" s="116">
        <v>789308</v>
      </c>
      <c r="R48" s="116">
        <v>1095983623</v>
      </c>
      <c r="S48" s="116">
        <v>1599.36</v>
      </c>
      <c r="T48" s="130">
        <f t="shared" ref="T48" si="11">Q48/S48</f>
        <v>493.514905962385</v>
      </c>
      <c r="U48" s="85">
        <f t="shared" si="5"/>
        <v>4705391</v>
      </c>
    </row>
    <row r="49" spans="1:26" ht="13.2">
      <c r="A49" s="129" t="s">
        <v>1158</v>
      </c>
      <c r="B49" s="188">
        <f>SUM(F47:F49)</f>
        <v>255290.18656126483</v>
      </c>
      <c r="C49" s="188">
        <f>AVERAGE(F47:F49)</f>
        <v>85096.728853754947</v>
      </c>
      <c r="D49" s="189">
        <f>C49/C46-1</f>
        <v>0.40007726824487677</v>
      </c>
      <c r="E49" s="287">
        <f>C49/C37-1</f>
        <v>1.360828650943775</v>
      </c>
      <c r="F49" s="136">
        <f>Q49/22</f>
        <v>94511.090909090912</v>
      </c>
      <c r="G49" s="190">
        <f t="shared" ref="G49" si="12">F49/F48-1</f>
        <v>1.3947835549390328</v>
      </c>
      <c r="H49" s="190">
        <f t="shared" ref="H49" si="13">F49/F37-1</f>
        <v>1.294759950365131</v>
      </c>
      <c r="I49" s="130">
        <f t="shared" si="0"/>
        <v>569.74798666085758</v>
      </c>
      <c r="J49" s="130">
        <f t="shared" si="4"/>
        <v>2.4037888813407129</v>
      </c>
      <c r="K49" s="136">
        <f>R47+R48+R49</f>
        <v>7798925138</v>
      </c>
      <c r="L49" s="190">
        <f>U49/U46-1</f>
        <v>0.51252448030389663</v>
      </c>
      <c r="M49" s="190">
        <f>K49/K37-1</f>
        <v>1.597963262129682</v>
      </c>
      <c r="N49" s="191">
        <f>AVERAGE(T47:T49)</f>
        <v>549.44092949826643</v>
      </c>
      <c r="O49" s="192">
        <f>N49/N46-1</f>
        <v>1.3766513977924264</v>
      </c>
      <c r="P49" s="129" t="s">
        <v>1165</v>
      </c>
      <c r="Q49" s="116">
        <v>2079244</v>
      </c>
      <c r="R49" s="116">
        <v>2888750991</v>
      </c>
      <c r="S49" s="116">
        <v>3649.41</v>
      </c>
      <c r="T49" s="130">
        <f t="shared" ref="T49" si="14">Q49/S49</f>
        <v>569.74798666085758</v>
      </c>
      <c r="U49" s="85">
        <f t="shared" si="5"/>
        <v>5658767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73572.111111111109</v>
      </c>
      <c r="G50" s="190">
        <f t="shared" ref="G50" si="15">F50/F49-1</f>
        <v>-0.22155050371940743</v>
      </c>
      <c r="H50" s="190">
        <f t="shared" ref="H50" si="16">F50/F38-1</f>
        <v>1.9350829938467995</v>
      </c>
      <c r="I50" s="130">
        <f t="shared" ref="I50" si="17">T50</f>
        <v>432.09227205246589</v>
      </c>
      <c r="J50" s="130">
        <f t="shared" ref="J50" si="18">I50/I38-1</f>
        <v>-0.12793602432198214</v>
      </c>
      <c r="K50" s="136"/>
      <c r="L50" s="190"/>
      <c r="M50" s="190"/>
      <c r="N50" s="191"/>
      <c r="O50" s="192"/>
      <c r="P50" s="129" t="s">
        <v>1373</v>
      </c>
      <c r="Q50" s="116">
        <v>1324298</v>
      </c>
      <c r="R50" s="116">
        <v>1872726071</v>
      </c>
      <c r="S50" s="116">
        <v>3064.85</v>
      </c>
      <c r="T50" s="130">
        <f t="shared" ref="T50" si="19">Q50/S50</f>
        <v>432.09227205246589</v>
      </c>
      <c r="U50" s="85">
        <f t="shared" si="5"/>
        <v>4192850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112276.55</v>
      </c>
      <c r="G51" s="190">
        <f t="shared" ref="G51:G52" si="20">F51/F50-1</f>
        <v>0.52607487136581055</v>
      </c>
      <c r="H51" s="190">
        <f t="shared" ref="H51:H52" si="21">F51/F39-1</f>
        <v>0.65537894632638083</v>
      </c>
      <c r="I51" s="130">
        <f t="shared" ref="I51:I52" si="22">T51</f>
        <v>255.35649913404015</v>
      </c>
      <c r="J51" s="130">
        <f t="shared" ref="J51:J52" si="23">I51/I39-1</f>
        <v>-0.36383856844916196</v>
      </c>
      <c r="K51" s="136"/>
      <c r="L51" s="190"/>
      <c r="M51" s="190"/>
      <c r="N51" s="191"/>
      <c r="O51" s="192"/>
      <c r="P51" s="129" t="s">
        <v>1402</v>
      </c>
      <c r="Q51" s="116">
        <v>2245531</v>
      </c>
      <c r="R51" s="116">
        <v>3257104330</v>
      </c>
      <c r="S51" s="116">
        <v>8793.7099999999991</v>
      </c>
      <c r="T51" s="130">
        <f t="shared" ref="T51:T52" si="24">Q51/S51</f>
        <v>255.35649913404015</v>
      </c>
      <c r="U51" s="85">
        <f t="shared" si="5"/>
        <v>5649073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273060.84292929294</v>
      </c>
      <c r="C52" s="188">
        <f>AVERAGE(F50:F52)</f>
        <v>91020.280976430979</v>
      </c>
      <c r="D52" s="190">
        <f>C52/C49-1</f>
        <v>6.9609633677648164E-2</v>
      </c>
      <c r="E52" s="287">
        <f>C52/C40-1</f>
        <v>0.21031899183899538</v>
      </c>
      <c r="F52" s="136">
        <f>Q52/22</f>
        <v>87212.181818181823</v>
      </c>
      <c r="G52" s="190">
        <f t="shared" si="20"/>
        <v>-0.22323778368517899</v>
      </c>
      <c r="H52" s="190">
        <f t="shared" si="21"/>
        <v>-0.34288048884490985</v>
      </c>
      <c r="I52" s="130">
        <f t="shared" si="22"/>
        <v>126.16275246779959</v>
      </c>
      <c r="J52" s="130">
        <f t="shared" si="23"/>
        <v>-0.86305050391552351</v>
      </c>
      <c r="K52" s="136">
        <f>R50+R51+R52</f>
        <v>7951094041</v>
      </c>
      <c r="L52" s="190">
        <f>U52/U49-1</f>
        <v>-3.0089593722448682E-2</v>
      </c>
      <c r="M52" s="190">
        <f>K52/K40-1</f>
        <v>0.1959417174752569</v>
      </c>
      <c r="N52" s="191">
        <f>AVERAGE(T50:T52)</f>
        <v>271.2038412181019</v>
      </c>
      <c r="O52" s="192">
        <f>N52/N49-1</f>
        <v>-0.50640036688610479</v>
      </c>
      <c r="P52" s="129" t="s">
        <v>1403</v>
      </c>
      <c r="Q52" s="116">
        <v>1918668</v>
      </c>
      <c r="R52" s="116">
        <v>2821263640</v>
      </c>
      <c r="S52" s="116">
        <v>15207.88</v>
      </c>
      <c r="T52" s="130">
        <f t="shared" si="24"/>
        <v>126.16275246779959</v>
      </c>
      <c r="U52" s="85">
        <f t="shared" ref="U52" si="25">Q50+Q51+Q52</f>
        <v>5488497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83687.047619047618</v>
      </c>
      <c r="G53" s="190">
        <f t="shared" ref="G53" si="26">F53/F52-1</f>
        <v>-4.0420204215086963E-2</v>
      </c>
      <c r="H53" s="190">
        <f t="shared" ref="H53" si="27">F53/F41-1</f>
        <v>7.3415483877092207</v>
      </c>
      <c r="I53" s="130">
        <f t="shared" ref="I53" si="28">T53</f>
        <v>303.01370902250585</v>
      </c>
      <c r="J53" s="130">
        <f t="shared" ref="J53" si="29">I53/I41-1</f>
        <v>1.1469853049410617E-3</v>
      </c>
      <c r="K53" s="136"/>
      <c r="L53" s="190"/>
      <c r="M53" s="190"/>
      <c r="N53" s="191"/>
      <c r="O53" s="192"/>
      <c r="P53" s="129" t="s">
        <v>1414</v>
      </c>
      <c r="Q53" s="116">
        <v>1757428</v>
      </c>
      <c r="R53" s="116">
        <v>2552277971</v>
      </c>
      <c r="S53" s="116">
        <v>5799.83</v>
      </c>
      <c r="T53" s="130">
        <f t="shared" ref="T53" si="30">Q53/S53</f>
        <v>303.01370902250585</v>
      </c>
      <c r="U53" s="85">
        <f t="shared" ref="U53" si="31">Q51+Q52+Q53</f>
        <v>5921627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72034.352941176476</v>
      </c>
      <c r="G54" s="190">
        <f t="shared" ref="G54" si="32">F54/F53-1</f>
        <v>-0.13924131642109605</v>
      </c>
      <c r="H54" s="190">
        <f t="shared" ref="H54" si="33">F54/F42-1</f>
        <v>0.98956674205489059</v>
      </c>
      <c r="I54" s="130">
        <f t="shared" ref="I54" si="34">T54</f>
        <v>420.95232857123216</v>
      </c>
      <c r="J54" s="130">
        <f t="shared" ref="J54" si="35">I54/I42-1</f>
        <v>0.11989488476755183</v>
      </c>
      <c r="K54" s="136"/>
      <c r="L54" s="190"/>
      <c r="M54" s="190"/>
      <c r="N54" s="191"/>
      <c r="O54" s="192"/>
      <c r="P54" s="129" t="s">
        <v>1417</v>
      </c>
      <c r="Q54" s="116">
        <v>1224584</v>
      </c>
      <c r="R54" s="116">
        <v>1778756988</v>
      </c>
      <c r="S54" s="116">
        <v>2909.08</v>
      </c>
      <c r="T54" s="130">
        <f t="shared" ref="T54" si="36">Q54/S54</f>
        <v>420.95232857123216</v>
      </c>
      <c r="U54" s="85">
        <f t="shared" ref="U54" si="37">Q52+Q53+Q54</f>
        <v>4900680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208684.21008403361</v>
      </c>
      <c r="C55" s="188">
        <f>AVERAGE(F53:F55)</f>
        <v>69561.403361344535</v>
      </c>
      <c r="D55" s="190">
        <f>C55/C52-1</f>
        <v>-0.23575929875060553</v>
      </c>
      <c r="E55" s="287">
        <f>C55/C43-1</f>
        <v>0.98462582223495665</v>
      </c>
      <c r="F55" s="136">
        <f>Q55/21</f>
        <v>52962.809523809527</v>
      </c>
      <c r="G55" s="190">
        <f t="shared" ref="G55" si="38">F55/F54-1</f>
        <v>-0.26475622586546788</v>
      </c>
      <c r="H55" s="190">
        <f t="shared" ref="H55" si="39">F55/F43-1</f>
        <v>-0.10098130554813256</v>
      </c>
      <c r="I55" s="130">
        <f>T55</f>
        <v>305.6210001621231</v>
      </c>
      <c r="J55" s="130">
        <f t="shared" ref="J55" si="40">I55/I43-1</f>
        <v>6.0433579485707787</v>
      </c>
      <c r="K55" s="136">
        <f>R53+R54+R55</f>
        <v>5961922331</v>
      </c>
      <c r="L55" s="190">
        <f>U55/U52-1</f>
        <v>-0.25403421009431182</v>
      </c>
      <c r="M55" s="190">
        <f>K55/K43-1</f>
        <v>0.97960500186425481</v>
      </c>
      <c r="N55" s="191">
        <f>AVERAGE(T53:T55)</f>
        <v>343.19567925195378</v>
      </c>
      <c r="O55" s="192">
        <f>N55/N52-1</f>
        <v>0.265452870101335</v>
      </c>
      <c r="P55" s="129" t="s">
        <v>1418</v>
      </c>
      <c r="Q55" s="116">
        <v>1112219</v>
      </c>
      <c r="R55" s="116">
        <v>1630887372</v>
      </c>
      <c r="S55" s="116">
        <v>3639.21</v>
      </c>
      <c r="T55" s="130">
        <f t="shared" ref="T55" si="41">Q55/S55</f>
        <v>305.6210001621231</v>
      </c>
      <c r="U55" s="85">
        <f t="shared" ref="U55" si="42">Q53+Q54+Q55</f>
        <v>4094231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85968.318181818177</v>
      </c>
      <c r="G56" s="190">
        <f t="shared" ref="G56" si="43">F56/F55-1</f>
        <v>0.62318273812817582</v>
      </c>
      <c r="H56" s="190">
        <f t="shared" ref="H56" si="44">F56/F44-1</f>
        <v>0.11844842655791865</v>
      </c>
      <c r="I56" s="291">
        <f>T56</f>
        <v>1042.597421211336</v>
      </c>
      <c r="J56" s="130">
        <f t="shared" ref="J56" si="45">I56/I44-1</f>
        <v>3.8459090314273805</v>
      </c>
      <c r="K56" s="136"/>
      <c r="L56" s="190"/>
      <c r="M56" s="190"/>
      <c r="N56" s="191"/>
      <c r="O56" s="192"/>
      <c r="P56" s="129" t="s">
        <v>1420</v>
      </c>
      <c r="Q56" s="116">
        <v>1891303</v>
      </c>
      <c r="R56" s="116">
        <v>2826467276</v>
      </c>
      <c r="S56" s="116">
        <v>1814.03</v>
      </c>
      <c r="T56" s="130">
        <f t="shared" ref="T56" si="46">Q56/S56</f>
        <v>1042.597421211336</v>
      </c>
      <c r="U56" s="85">
        <f t="shared" ref="U56" si="47">Q54+Q55+Q56</f>
        <v>4228106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57611.166666666664</v>
      </c>
      <c r="G57" s="254">
        <f t="shared" ref="G57" si="48">F57/F56-1</f>
        <v>-0.32985583660224371</v>
      </c>
      <c r="H57" s="254">
        <f t="shared" ref="H57" si="49">F57/F45-1</f>
        <v>0.24645670682609278</v>
      </c>
      <c r="I57" s="282">
        <f>T57</f>
        <v>604.12282848054815</v>
      </c>
      <c r="J57" s="277">
        <f t="shared" ref="J57" si="50">I57/I45-1</f>
        <v>4.0372160994110997</v>
      </c>
      <c r="K57" s="204"/>
      <c r="L57" s="254"/>
      <c r="M57" s="254"/>
      <c r="N57" s="257"/>
      <c r="O57" s="258"/>
      <c r="P57" s="129" t="s">
        <v>1436</v>
      </c>
      <c r="Q57" s="116">
        <v>691334</v>
      </c>
      <c r="R57" s="116">
        <v>1016525992</v>
      </c>
      <c r="S57" s="116">
        <v>1144.3599999999999</v>
      </c>
      <c r="T57" s="130">
        <f t="shared" ref="T57" si="51">Q57/S57</f>
        <v>604.12282848054815</v>
      </c>
      <c r="U57" s="85">
        <f t="shared" ref="U57" si="52">Q55+Q56+Q57</f>
        <v>3694856</v>
      </c>
      <c r="V57" s="79"/>
      <c r="W57" s="79"/>
      <c r="X57" s="79"/>
      <c r="Y57" s="79"/>
      <c r="Z57" s="79"/>
    </row>
    <row r="58" spans="1:26">
      <c r="B58" s="196">
        <f>SUM(F56:F58)</f>
        <v>143579.48484848483</v>
      </c>
      <c r="C58" s="196">
        <f>AVERAGE(F56:F58)</f>
        <v>71789.742424242417</v>
      </c>
      <c r="D58" s="197">
        <f>C58/C55-1</f>
        <v>3.2034130354192669E-2</v>
      </c>
      <c r="E58" s="233">
        <f>C58/C46-1</f>
        <v>0.18114042472857683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6676868</v>
      </c>
      <c r="R64" s="212">
        <v>9804915599</v>
      </c>
      <c r="S64" s="213">
        <v>15306.53</v>
      </c>
      <c r="T64" s="214">
        <v>80</v>
      </c>
      <c r="U64" s="214">
        <v>102</v>
      </c>
    </row>
    <row r="65" spans="16:21" ht="18" thickBot="1">
      <c r="P65" s="180" t="s">
        <v>976</v>
      </c>
      <c r="Q65" s="181">
        <v>1757428</v>
      </c>
      <c r="R65" s="181">
        <v>2552277971</v>
      </c>
      <c r="S65" s="182">
        <v>5799.83</v>
      </c>
      <c r="T65" s="210">
        <v>33</v>
      </c>
      <c r="U65" s="210">
        <v>37</v>
      </c>
    </row>
    <row r="66" spans="16:21" ht="18" thickBot="1">
      <c r="P66" s="180" t="s">
        <v>977</v>
      </c>
      <c r="Q66" s="181">
        <v>1224584</v>
      </c>
      <c r="R66" s="181">
        <v>1778756988</v>
      </c>
      <c r="S66" s="182">
        <v>2909.08</v>
      </c>
      <c r="T66" s="210">
        <v>18</v>
      </c>
      <c r="U66" s="210">
        <v>20</v>
      </c>
    </row>
    <row r="67" spans="16:21" ht="18" thickBot="1">
      <c r="P67" s="180" t="s">
        <v>978</v>
      </c>
      <c r="Q67" s="181">
        <v>1112219</v>
      </c>
      <c r="R67" s="181">
        <v>1630887372</v>
      </c>
      <c r="S67" s="182">
        <v>3639.21</v>
      </c>
      <c r="T67" s="210">
        <v>25</v>
      </c>
      <c r="U67" s="210">
        <v>29</v>
      </c>
    </row>
    <row r="68" spans="16:21" ht="18" thickBot="1">
      <c r="P68" s="180" t="s">
        <v>979</v>
      </c>
      <c r="Q68" s="181">
        <v>1891303</v>
      </c>
      <c r="R68" s="181">
        <v>2826467276</v>
      </c>
      <c r="S68" s="182">
        <v>1814.03</v>
      </c>
      <c r="T68" s="210">
        <v>26</v>
      </c>
      <c r="U68" s="210">
        <v>36</v>
      </c>
    </row>
    <row r="69" spans="16:21" ht="18" thickBot="1">
      <c r="P69" s="180" t="s">
        <v>980</v>
      </c>
      <c r="Q69" s="181">
        <v>691334</v>
      </c>
      <c r="R69" s="181">
        <v>1016525992</v>
      </c>
      <c r="S69" s="182">
        <v>1144.3599999999999</v>
      </c>
      <c r="T69" s="210">
        <v>13</v>
      </c>
      <c r="U69" s="210">
        <v>17</v>
      </c>
    </row>
    <row r="70" spans="16:21" ht="18" thickBot="1">
      <c r="P70" s="215" t="s">
        <v>975</v>
      </c>
      <c r="Q70" s="217" t="s">
        <v>1498</v>
      </c>
      <c r="R70"/>
      <c r="S70"/>
      <c r="T70"/>
      <c r="U70"/>
    </row>
    <row r="71" spans="16:21" ht="18" thickBot="1">
      <c r="P71" s="180" t="s">
        <v>975</v>
      </c>
      <c r="Q71" s="181">
        <v>17340761</v>
      </c>
      <c r="R71" s="181">
        <v>24601411921</v>
      </c>
      <c r="S71" s="182">
        <v>85469.29</v>
      </c>
      <c r="T71" s="210">
        <v>184</v>
      </c>
      <c r="U71" s="210">
        <v>279</v>
      </c>
    </row>
    <row r="72" spans="16:21" ht="18" thickBot="1">
      <c r="P72" s="215" t="s">
        <v>982</v>
      </c>
      <c r="Q72" s="217">
        <v>13</v>
      </c>
      <c r="R72"/>
      <c r="S72"/>
      <c r="T72"/>
      <c r="U72"/>
    </row>
  </sheetData>
  <phoneticPr fontId="1" type="noConversion"/>
  <conditionalFormatting sqref="C29:C30">
    <cfRule type="cellIs" dxfId="18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0000"/>
  </sheetPr>
  <dimension ref="A1:Z71"/>
  <sheetViews>
    <sheetView zoomScale="90" zoomScaleNormal="90" workbookViewId="0">
      <selection activeCell="J71" sqref="J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268</v>
      </c>
      <c r="F4" s="84" t="s">
        <v>72</v>
      </c>
      <c r="G4" s="172" t="s">
        <v>282</v>
      </c>
      <c r="H4" s="172" t="s">
        <v>268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2121262.4500000002</v>
      </c>
      <c r="G5" s="90"/>
      <c r="H5" s="90"/>
      <c r="I5" s="130">
        <f t="shared" ref="I5:I49" si="0">T5</f>
        <v>60.45999087682975</v>
      </c>
      <c r="J5" s="130"/>
      <c r="K5" s="86"/>
      <c r="L5" s="80"/>
      <c r="M5" s="80"/>
      <c r="P5" s="129" t="s">
        <v>0</v>
      </c>
      <c r="Q5" s="116">
        <v>42425249</v>
      </c>
      <c r="R5" s="116"/>
      <c r="S5" s="116">
        <v>701707.83</v>
      </c>
      <c r="T5" s="130">
        <f t="shared" ref="T5:T25" si="1">Q5/S5</f>
        <v>60.45999087682975</v>
      </c>
      <c r="U5" s="85"/>
    </row>
    <row r="6" spans="1:21" ht="15" hidden="1" customHeight="1">
      <c r="A6" s="129" t="s">
        <v>1</v>
      </c>
      <c r="C6" s="79"/>
      <c r="F6" s="78">
        <f>Q6/18</f>
        <v>2575131.4444444445</v>
      </c>
      <c r="G6" s="90">
        <f t="shared" ref="G6:G25" si="2">F6/F5-1</f>
        <v>0.2139617351188412</v>
      </c>
      <c r="H6" s="90"/>
      <c r="I6" s="130">
        <f t="shared" si="0"/>
        <v>64.420280976498788</v>
      </c>
      <c r="J6" s="130"/>
      <c r="K6" s="78"/>
      <c r="P6" s="129" t="s">
        <v>1</v>
      </c>
      <c r="Q6" s="116">
        <v>46352366</v>
      </c>
      <c r="R6" s="116"/>
      <c r="S6" s="116">
        <v>719530.64</v>
      </c>
      <c r="T6" s="130">
        <f t="shared" si="1"/>
        <v>64.420280976498788</v>
      </c>
      <c r="U6" s="85"/>
    </row>
    <row r="7" spans="1:21" ht="15" hidden="1" customHeight="1">
      <c r="A7" s="129" t="s">
        <v>2</v>
      </c>
      <c r="B7" s="131">
        <f>F5+F6+F7</f>
        <v>7495749.2580808084</v>
      </c>
      <c r="C7" s="131">
        <f>AVERAGE(F5:F7)</f>
        <v>2498583.0860269363</v>
      </c>
      <c r="F7" s="78">
        <f>Q7/22</f>
        <v>2799355.3636363638</v>
      </c>
      <c r="G7" s="90">
        <f t="shared" si="2"/>
        <v>8.7072805419566857E-2</v>
      </c>
      <c r="H7" s="90"/>
      <c r="I7" s="130">
        <f t="shared" si="0"/>
        <v>66.201987950978989</v>
      </c>
      <c r="J7" s="130"/>
      <c r="K7" s="85">
        <f>R5+R6+R7</f>
        <v>0</v>
      </c>
      <c r="N7" s="88">
        <f>AVERAGE(T5:T7)</f>
        <v>63.694086601435835</v>
      </c>
      <c r="P7" s="129" t="s">
        <v>2</v>
      </c>
      <c r="Q7" s="116">
        <v>61585818</v>
      </c>
      <c r="R7" s="116"/>
      <c r="S7" s="116">
        <v>930271.43</v>
      </c>
      <c r="T7" s="130">
        <f t="shared" si="1"/>
        <v>66.201987950978989</v>
      </c>
      <c r="U7" s="85">
        <f>Q5+Q6+Q7</f>
        <v>150363433</v>
      </c>
    </row>
    <row r="8" spans="1:21" ht="15" hidden="1" customHeight="1">
      <c r="A8" s="129" t="s">
        <v>3</v>
      </c>
      <c r="C8" s="79"/>
      <c r="F8" s="78">
        <f>Q8/21</f>
        <v>2580504.6666666665</v>
      </c>
      <c r="G8" s="90">
        <f t="shared" si="2"/>
        <v>-7.8178962132699814E-2</v>
      </c>
      <c r="H8" s="90"/>
      <c r="I8" s="130">
        <f t="shared" si="0"/>
        <v>65.743734623897268</v>
      </c>
      <c r="J8" s="130"/>
      <c r="K8" s="78"/>
      <c r="P8" s="129" t="s">
        <v>3</v>
      </c>
      <c r="Q8" s="116">
        <v>54190598</v>
      </c>
      <c r="R8" s="116"/>
      <c r="S8" s="116">
        <v>824270.15</v>
      </c>
      <c r="T8" s="130">
        <f t="shared" si="1"/>
        <v>65.743734623897268</v>
      </c>
      <c r="U8" s="85"/>
    </row>
    <row r="9" spans="1:21" ht="15" hidden="1" customHeight="1">
      <c r="A9" s="129" t="s">
        <v>4</v>
      </c>
      <c r="C9" s="79"/>
      <c r="F9" s="78">
        <f>Q9/21</f>
        <v>3148933.4285714286</v>
      </c>
      <c r="G9" s="90">
        <f t="shared" si="2"/>
        <v>0.22027813754703374</v>
      </c>
      <c r="H9" s="90"/>
      <c r="I9" s="130">
        <f t="shared" si="0"/>
        <v>67.235223644328642</v>
      </c>
      <c r="J9" s="130"/>
      <c r="K9" s="78"/>
      <c r="P9" s="129" t="s">
        <v>4</v>
      </c>
      <c r="Q9" s="116">
        <v>66127602</v>
      </c>
      <c r="R9" s="116"/>
      <c r="S9" s="116">
        <v>983526.17</v>
      </c>
      <c r="T9" s="130">
        <f t="shared" si="1"/>
        <v>67.235223644328642</v>
      </c>
      <c r="U9" s="85"/>
    </row>
    <row r="10" spans="1:21" ht="15" hidden="1" customHeight="1">
      <c r="A10" s="129" t="s">
        <v>5</v>
      </c>
      <c r="B10" s="131">
        <f>F8+F9+F10</f>
        <v>8465924.2380952388</v>
      </c>
      <c r="C10" s="131">
        <f>AVERAGE(F8:F10)</f>
        <v>2821974.7460317463</v>
      </c>
      <c r="D10" s="90">
        <f>C10/C7-1</f>
        <v>0.12943002048374685</v>
      </c>
      <c r="E10" s="286"/>
      <c r="F10" s="78">
        <f>Q10/21</f>
        <v>2736486.1428571427</v>
      </c>
      <c r="G10" s="90">
        <f t="shared" si="2"/>
        <v>-0.13097999531269866</v>
      </c>
      <c r="H10" s="90"/>
      <c r="I10" s="130">
        <f t="shared" si="0"/>
        <v>58.078910726340204</v>
      </c>
      <c r="J10" s="130"/>
      <c r="K10" s="85">
        <f>R8+R9+R10</f>
        <v>0</v>
      </c>
      <c r="L10" s="87">
        <f>U10/U7-1</f>
        <v>0.18236465776888711</v>
      </c>
      <c r="N10" s="88">
        <f>AVERAGE(T8:T10)</f>
        <v>63.685956331522043</v>
      </c>
      <c r="O10" s="89">
        <f>N10/N7-1</f>
        <v>-1.2764560020561699E-4</v>
      </c>
      <c r="P10" s="129" t="s">
        <v>5</v>
      </c>
      <c r="Q10" s="116">
        <v>57466209</v>
      </c>
      <c r="R10" s="116"/>
      <c r="S10" s="116">
        <v>989450.53</v>
      </c>
      <c r="T10" s="130">
        <f t="shared" si="1"/>
        <v>58.078910726340204</v>
      </c>
      <c r="U10" s="85">
        <f>Q8+Q9+Q10</f>
        <v>177784409</v>
      </c>
    </row>
    <row r="11" spans="1:21" ht="15" hidden="1" customHeight="1">
      <c r="A11" s="129" t="s">
        <v>6</v>
      </c>
      <c r="C11" s="79"/>
      <c r="F11" s="78">
        <f>Q11/21</f>
        <v>2086432.5714285714</v>
      </c>
      <c r="G11" s="90">
        <f t="shared" si="2"/>
        <v>-0.23755047074707847</v>
      </c>
      <c r="H11" s="90"/>
      <c r="I11" s="130">
        <f t="shared" si="0"/>
        <v>53.983297477806367</v>
      </c>
      <c r="J11" s="130"/>
      <c r="K11" s="78"/>
      <c r="O11" s="89"/>
      <c r="P11" s="129" t="s">
        <v>6</v>
      </c>
      <c r="Q11" s="116">
        <v>43815084</v>
      </c>
      <c r="R11" s="116"/>
      <c r="S11" s="116">
        <v>811641.49</v>
      </c>
      <c r="T11" s="130">
        <f t="shared" si="1"/>
        <v>53.983297477806367</v>
      </c>
      <c r="U11" s="85"/>
    </row>
    <row r="12" spans="1:21" ht="15" hidden="1" customHeight="1">
      <c r="A12" s="129" t="s">
        <v>7</v>
      </c>
      <c r="C12" s="79"/>
      <c r="F12" s="78">
        <f>Q12/22</f>
        <v>2086263.1363636365</v>
      </c>
      <c r="G12" s="90">
        <f t="shared" si="2"/>
        <v>-8.1208023329004675E-5</v>
      </c>
      <c r="H12" s="90"/>
      <c r="I12" s="130">
        <f t="shared" si="0"/>
        <v>54.101376577416943</v>
      </c>
      <c r="J12" s="130"/>
      <c r="K12" s="78"/>
      <c r="O12" s="89"/>
      <c r="P12" s="129" t="s">
        <v>7</v>
      </c>
      <c r="Q12" s="116">
        <v>45897789</v>
      </c>
      <c r="R12" s="116"/>
      <c r="S12" s="116">
        <v>848366.38</v>
      </c>
      <c r="T12" s="130">
        <f t="shared" si="1"/>
        <v>54.101376577416943</v>
      </c>
      <c r="U12" s="85"/>
    </row>
    <row r="13" spans="1:21" ht="15" hidden="1" customHeight="1">
      <c r="A13" s="129" t="s">
        <v>96</v>
      </c>
      <c r="B13" s="131">
        <f>F11+F12+F13</f>
        <v>6903668.6577922078</v>
      </c>
      <c r="C13" s="131">
        <f>AVERAGE(F11:F13)</f>
        <v>2301222.8859307361</v>
      </c>
      <c r="D13" s="90">
        <f>C13/C10-1</f>
        <v>-0.18453455716897893</v>
      </c>
      <c r="E13" s="286"/>
      <c r="F13" s="78">
        <f>Q13/20</f>
        <v>2730972.95</v>
      </c>
      <c r="G13" s="90">
        <f t="shared" si="2"/>
        <v>0.30902612541967978</v>
      </c>
      <c r="H13" s="90"/>
      <c r="I13" s="130">
        <f t="shared" si="0"/>
        <v>55.164530903532864</v>
      </c>
      <c r="J13" s="130"/>
      <c r="K13" s="78">
        <f>R11+R12+R13</f>
        <v>0</v>
      </c>
      <c r="L13" s="87">
        <f>U13/U10-1</f>
        <v>-0.18816091460528461</v>
      </c>
      <c r="N13" s="88">
        <f>AVERAGE(T11:T13)</f>
        <v>54.416401652918722</v>
      </c>
      <c r="O13" s="89">
        <f>N13/N10-1</f>
        <v>-0.14555100076302463</v>
      </c>
      <c r="P13" s="129" t="s">
        <v>96</v>
      </c>
      <c r="Q13" s="116">
        <v>54619459</v>
      </c>
      <c r="R13" s="116"/>
      <c r="S13" s="116">
        <v>990119.16</v>
      </c>
      <c r="T13" s="130">
        <f t="shared" si="1"/>
        <v>55.164530903532864</v>
      </c>
      <c r="U13" s="85">
        <f>Q11+Q12+Q13</f>
        <v>144332332</v>
      </c>
    </row>
    <row r="14" spans="1:21" ht="15" hidden="1" customHeight="1">
      <c r="A14" s="129" t="s">
        <v>97</v>
      </c>
      <c r="C14" s="79"/>
      <c r="F14" s="78">
        <f>Q14/20</f>
        <v>2647983.85</v>
      </c>
      <c r="G14" s="90">
        <f t="shared" si="2"/>
        <v>-3.0388107652256302E-2</v>
      </c>
      <c r="H14" s="90"/>
      <c r="I14" s="130">
        <f t="shared" si="0"/>
        <v>64.277154147083266</v>
      </c>
      <c r="J14" s="130"/>
      <c r="K14" s="78"/>
      <c r="O14" s="89"/>
      <c r="P14" s="129" t="s">
        <v>97</v>
      </c>
      <c r="Q14" s="116">
        <v>52959677</v>
      </c>
      <c r="R14" s="116"/>
      <c r="S14" s="116">
        <v>823926.91</v>
      </c>
      <c r="T14" s="130">
        <f t="shared" si="1"/>
        <v>64.277154147083266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1952070.4545454546</v>
      </c>
      <c r="G15" s="90">
        <f t="shared" si="2"/>
        <v>-0.26280877636566613</v>
      </c>
      <c r="H15" s="90"/>
      <c r="I15" s="130">
        <f t="shared" si="0"/>
        <v>58.022974182410763</v>
      </c>
      <c r="J15" s="130"/>
      <c r="K15" s="78"/>
      <c r="O15" s="89"/>
      <c r="P15" s="129" t="s">
        <v>98</v>
      </c>
      <c r="Q15" s="116">
        <v>42945550</v>
      </c>
      <c r="R15" s="116"/>
      <c r="S15" s="116">
        <v>740147.34</v>
      </c>
      <c r="T15" s="130">
        <f t="shared" si="1"/>
        <v>58.022974182410763</v>
      </c>
      <c r="U15" s="85"/>
    </row>
    <row r="16" spans="1:21" ht="15" hidden="1" customHeight="1">
      <c r="A16" s="129" t="s">
        <v>99</v>
      </c>
      <c r="B16" s="131">
        <f>F14+F15+F16</f>
        <v>6149728.622727273</v>
      </c>
      <c r="C16" s="131">
        <f>AVERAGE(F14:F16)</f>
        <v>2049909.540909091</v>
      </c>
      <c r="D16" s="90">
        <f>C16/C13-1</f>
        <v>-0.10920860667522903</v>
      </c>
      <c r="E16" s="286"/>
      <c r="F16" s="78">
        <f>Q16/22</f>
        <v>1549674.3181818181</v>
      </c>
      <c r="G16" s="90">
        <f t="shared" si="2"/>
        <v>-0.20613812141188093</v>
      </c>
      <c r="H16" s="90"/>
      <c r="I16" s="130">
        <f t="shared" si="0"/>
        <v>49.027642244341102</v>
      </c>
      <c r="J16" s="130"/>
      <c r="K16" s="78">
        <f>R14+R15+R16</f>
        <v>0</v>
      </c>
      <c r="L16" s="87">
        <f>U16/U13-1</f>
        <v>-9.931433796829392E-2</v>
      </c>
      <c r="N16" s="88">
        <f>AVERAGE(T14:T16)</f>
        <v>57.109256857945041</v>
      </c>
      <c r="O16" s="89">
        <f>N16/N13-1</f>
        <v>4.9486094692589466E-2</v>
      </c>
      <c r="P16" s="129" t="s">
        <v>99</v>
      </c>
      <c r="Q16" s="116">
        <v>34092835</v>
      </c>
      <c r="R16" s="116"/>
      <c r="S16" s="116">
        <v>695379.86</v>
      </c>
      <c r="T16" s="130">
        <f t="shared" si="1"/>
        <v>49.027642244341102</v>
      </c>
      <c r="U16" s="85">
        <f>Q14+Q15+Q16</f>
        <v>129998062</v>
      </c>
    </row>
    <row r="17" spans="1:21" ht="15" hidden="1" customHeight="1">
      <c r="A17" s="129" t="s">
        <v>100</v>
      </c>
      <c r="C17" s="79"/>
      <c r="F17" s="78">
        <f>Q17/20</f>
        <v>2050060.1</v>
      </c>
      <c r="G17" s="90">
        <f t="shared" si="2"/>
        <v>0.32289738298384418</v>
      </c>
      <c r="H17" s="90">
        <f t="shared" ref="H17:H25" si="3">F17/F5-1</f>
        <v>-3.3566025740945027E-2</v>
      </c>
      <c r="I17" s="130">
        <f t="shared" si="0"/>
        <v>57.717953637005706</v>
      </c>
      <c r="J17" s="130">
        <f t="shared" ref="J17:J49" si="4">I17/I5-1</f>
        <v>-4.5352921825776882E-2</v>
      </c>
      <c r="K17" s="78"/>
      <c r="O17" s="89"/>
      <c r="P17" s="129" t="s">
        <v>100</v>
      </c>
      <c r="Q17" s="116">
        <v>41001202</v>
      </c>
      <c r="R17" s="116">
        <v>51549090234</v>
      </c>
      <c r="S17" s="116">
        <v>710371.72</v>
      </c>
      <c r="T17" s="130">
        <f t="shared" si="1"/>
        <v>57.717953637005706</v>
      </c>
      <c r="U17" s="78"/>
    </row>
    <row r="18" spans="1:21" ht="15" hidden="1" customHeight="1">
      <c r="A18" s="129" t="s">
        <v>106</v>
      </c>
      <c r="C18" s="79"/>
      <c r="F18" s="78">
        <f>Q18/20</f>
        <v>2391825.4</v>
      </c>
      <c r="G18" s="90">
        <f t="shared" si="2"/>
        <v>0.16670989304167216</v>
      </c>
      <c r="H18" s="90">
        <f t="shared" si="3"/>
        <v>-7.1183179732400292E-2</v>
      </c>
      <c r="I18" s="130">
        <f t="shared" si="0"/>
        <v>60.681425278847634</v>
      </c>
      <c r="J18" s="130">
        <f t="shared" si="4"/>
        <v>-5.8038487895064161E-2</v>
      </c>
      <c r="K18" s="78"/>
      <c r="O18" s="89"/>
      <c r="P18" s="129" t="s">
        <v>106</v>
      </c>
      <c r="Q18" s="116">
        <v>47836508</v>
      </c>
      <c r="R18" s="116">
        <v>59866735087</v>
      </c>
      <c r="S18" s="116">
        <v>788322.09</v>
      </c>
      <c r="T18" s="130">
        <f t="shared" si="1"/>
        <v>60.681425278847634</v>
      </c>
      <c r="U18" s="78"/>
    </row>
    <row r="19" spans="1:21" hidden="1">
      <c r="A19" s="129" t="s">
        <v>114</v>
      </c>
      <c r="B19" s="131">
        <f>SUM(F17:F19)</f>
        <v>7050180.6363636367</v>
      </c>
      <c r="C19" s="131">
        <f>AVERAGE(F17:F19)</f>
        <v>2350060.2121212124</v>
      </c>
      <c r="D19" s="90">
        <f>C19/C16-1</f>
        <v>0.14642142261507352</v>
      </c>
      <c r="E19" s="286">
        <f>C19/C7-1</f>
        <v>-5.9442839718367835E-2</v>
      </c>
      <c r="F19" s="78">
        <f>Q19/22</f>
        <v>2608295.1363636362</v>
      </c>
      <c r="G19" s="90">
        <f t="shared" si="2"/>
        <v>9.0503987608642422E-2</v>
      </c>
      <c r="H19" s="90">
        <f t="shared" si="3"/>
        <v>-6.8251508813279127E-2</v>
      </c>
      <c r="I19" s="130">
        <f t="shared" si="0"/>
        <v>60.922028754288029</v>
      </c>
      <c r="J19" s="130">
        <f t="shared" si="4"/>
        <v>-7.9755296783544427E-2</v>
      </c>
      <c r="K19" s="78">
        <f>R17+R18+R19</f>
        <v>186416153882</v>
      </c>
      <c r="L19" s="87">
        <f>U19/U16-1</f>
        <v>0.12478756029455274</v>
      </c>
      <c r="M19" s="87">
        <f>U19/U7-1</f>
        <v>-2.7554771245479559E-2</v>
      </c>
      <c r="N19" s="88">
        <f>AVERAGE(T17:T19)</f>
        <v>59.773802556713783</v>
      </c>
      <c r="O19" s="89">
        <f>N19/N16-1</f>
        <v>4.665698426783238E-2</v>
      </c>
      <c r="P19" s="129" t="s">
        <v>114</v>
      </c>
      <c r="Q19" s="116">
        <v>57382493</v>
      </c>
      <c r="R19" s="116">
        <v>75000328561</v>
      </c>
      <c r="S19" s="116">
        <v>941900.56</v>
      </c>
      <c r="T19" s="130">
        <f t="shared" si="1"/>
        <v>60.922028754288029</v>
      </c>
      <c r="U19" s="85">
        <f>Q17+Q18+Q19</f>
        <v>146220203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2722197</v>
      </c>
      <c r="G20" s="90">
        <f t="shared" si="2"/>
        <v>4.3669085621637294E-2</v>
      </c>
      <c r="H20" s="90">
        <f t="shared" si="3"/>
        <v>5.4908768491537918E-2</v>
      </c>
      <c r="I20" s="130">
        <f t="shared" si="0"/>
        <v>56.004100553084818</v>
      </c>
      <c r="J20" s="130">
        <f t="shared" si="4"/>
        <v>-0.14814543357675602</v>
      </c>
      <c r="K20" s="78"/>
      <c r="O20" s="89"/>
      <c r="P20" s="129" t="s">
        <v>131</v>
      </c>
      <c r="Q20" s="116">
        <v>54443940</v>
      </c>
      <c r="R20" s="116">
        <v>71395565076</v>
      </c>
      <c r="S20" s="116">
        <v>972142.03</v>
      </c>
      <c r="T20" s="130">
        <f t="shared" si="1"/>
        <v>56.004100553084818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2532635.1428571427</v>
      </c>
      <c r="G21" s="90">
        <f t="shared" si="2"/>
        <v>-6.9635613125301865E-2</v>
      </c>
      <c r="H21" s="90">
        <f t="shared" si="3"/>
        <v>-0.1957165178921807</v>
      </c>
      <c r="I21" s="130">
        <f t="shared" si="0"/>
        <v>56.838381109134673</v>
      </c>
      <c r="J21" s="130">
        <f t="shared" si="4"/>
        <v>-0.15463386557904235</v>
      </c>
      <c r="K21" s="78"/>
      <c r="O21" s="89"/>
      <c r="P21" s="129" t="s">
        <v>141</v>
      </c>
      <c r="Q21" s="116">
        <v>53185338</v>
      </c>
      <c r="R21" s="116">
        <v>70848522904</v>
      </c>
      <c r="S21" s="116">
        <v>935729.29</v>
      </c>
      <c r="T21" s="130">
        <f t="shared" si="1"/>
        <v>56.838381109134673</v>
      </c>
      <c r="U21" s="78"/>
    </row>
    <row r="22" spans="1:21" hidden="1">
      <c r="A22" s="129" t="s">
        <v>155</v>
      </c>
      <c r="B22" s="131">
        <f>SUM(F20:F22)</f>
        <v>7789093.4761904757</v>
      </c>
      <c r="C22" s="131">
        <f>AVERAGE(F20:F22)</f>
        <v>2596364.4920634921</v>
      </c>
      <c r="D22" s="90">
        <f>C22/C19-1</f>
        <v>0.10480764649002783</v>
      </c>
      <c r="E22" s="286">
        <f>C22/C10-1</f>
        <v>-7.9947651652626184E-2</v>
      </c>
      <c r="F22" s="78">
        <f>Q22/21</f>
        <v>2534261.3333333335</v>
      </c>
      <c r="G22" s="90">
        <f t="shared" si="2"/>
        <v>6.4209425537553599E-4</v>
      </c>
      <c r="H22" s="90">
        <f t="shared" si="3"/>
        <v>-7.3899445846514644E-2</v>
      </c>
      <c r="I22" s="130">
        <f t="shared" si="0"/>
        <v>56.430553530313276</v>
      </c>
      <c r="J22" s="130">
        <f t="shared" si="4"/>
        <v>-2.8381338000530998E-2</v>
      </c>
      <c r="K22" s="78">
        <f>R20+R21+R22</f>
        <v>211413842812</v>
      </c>
      <c r="L22" s="87">
        <f>U22/U19-1</f>
        <v>0.10004474552671772</v>
      </c>
      <c r="M22" s="87">
        <f>U22/U10-1</f>
        <v>-9.5259438638401583E-2</v>
      </c>
      <c r="N22" s="88">
        <f>AVERAGE(T20:T22)</f>
        <v>56.424345064177579</v>
      </c>
      <c r="O22" s="89">
        <f>N22/N19-1</f>
        <v>-5.6035543152172962E-2</v>
      </c>
      <c r="P22" s="129" t="s">
        <v>155</v>
      </c>
      <c r="Q22" s="116">
        <v>53219488</v>
      </c>
      <c r="R22" s="116">
        <v>69169754832</v>
      </c>
      <c r="S22" s="116">
        <v>943097.04</v>
      </c>
      <c r="T22" s="130">
        <f t="shared" si="1"/>
        <v>56.430553530313276</v>
      </c>
      <c r="U22" s="85">
        <f>Q20+Q21+Q22</f>
        <v>160848766</v>
      </c>
    </row>
    <row r="23" spans="1:21" hidden="1">
      <c r="A23" s="129" t="s">
        <v>189</v>
      </c>
      <c r="B23" s="131"/>
      <c r="C23" s="131"/>
      <c r="F23" s="78">
        <f>Q23/21</f>
        <v>2063182.4761904762</v>
      </c>
      <c r="G23" s="90">
        <f t="shared" si="2"/>
        <v>-0.18588408817461755</v>
      </c>
      <c r="H23" s="90">
        <f t="shared" si="3"/>
        <v>-1.1143468308767779E-2</v>
      </c>
      <c r="I23" s="130">
        <f t="shared" si="0"/>
        <v>51.970124817065695</v>
      </c>
      <c r="J23" s="130">
        <f t="shared" si="4"/>
        <v>-3.7292509994750311E-2</v>
      </c>
      <c r="K23" s="78"/>
      <c r="O23" s="89"/>
      <c r="P23" s="129" t="s">
        <v>189</v>
      </c>
      <c r="Q23" s="116">
        <v>43326832</v>
      </c>
      <c r="R23" s="116">
        <v>55899342415</v>
      </c>
      <c r="S23" s="116">
        <v>833687.28</v>
      </c>
      <c r="T23" s="130">
        <f t="shared" si="1"/>
        <v>51.970124817065695</v>
      </c>
      <c r="U23" s="78"/>
    </row>
    <row r="24" spans="1:21" hidden="1">
      <c r="A24" s="129" t="s">
        <v>204</v>
      </c>
      <c r="B24" s="131"/>
      <c r="C24" s="131"/>
      <c r="F24" s="78">
        <f>Q24/22</f>
        <v>2398261.9545454546</v>
      </c>
      <c r="G24" s="90">
        <f t="shared" si="2"/>
        <v>0.16240903663241624</v>
      </c>
      <c r="H24" s="90">
        <f t="shared" si="3"/>
        <v>0.14954912098271222</v>
      </c>
      <c r="I24" s="130">
        <f t="shared" si="0"/>
        <v>67.259699519556662</v>
      </c>
      <c r="J24" s="130">
        <f t="shared" si="4"/>
        <v>0.24321604688395815</v>
      </c>
      <c r="K24" s="78"/>
      <c r="O24" s="89"/>
      <c r="P24" s="129" t="s">
        <v>204</v>
      </c>
      <c r="Q24" s="116">
        <v>52761763</v>
      </c>
      <c r="R24" s="116">
        <v>69234282305</v>
      </c>
      <c r="S24" s="116">
        <v>784448.39</v>
      </c>
      <c r="T24" s="130">
        <f t="shared" si="1"/>
        <v>67.259699519556662</v>
      </c>
      <c r="U24" s="78"/>
    </row>
    <row r="25" spans="1:21" s="79" customFormat="1" ht="13.2" hidden="1">
      <c r="A25" s="129" t="s">
        <v>217</v>
      </c>
      <c r="B25" s="131">
        <f>SUM(F23:F25)</f>
        <v>7315667.3781043515</v>
      </c>
      <c r="C25" s="131">
        <f>AVERAGE(F23:F25)</f>
        <v>2438555.7927014506</v>
      </c>
      <c r="D25" s="90">
        <f>C25/C22-1</f>
        <v>-6.0780641487136133E-2</v>
      </c>
      <c r="E25" s="286">
        <f>C25/C13-1</f>
        <v>5.9678229175601949E-2</v>
      </c>
      <c r="F25" s="78">
        <f>Q25/19</f>
        <v>2854222.9473684211</v>
      </c>
      <c r="G25" s="90">
        <f t="shared" si="2"/>
        <v>0.1901214302127332</v>
      </c>
      <c r="H25" s="90">
        <f t="shared" si="3"/>
        <v>4.5130435059205221E-2</v>
      </c>
      <c r="I25" s="130">
        <f t="shared" si="0"/>
        <v>54.684955624102876</v>
      </c>
      <c r="J25" s="130">
        <f t="shared" si="4"/>
        <v>-8.6935440504085637E-3</v>
      </c>
      <c r="K25" s="78">
        <f>R23+R24+R25</f>
        <v>197117766546</v>
      </c>
      <c r="L25" s="90">
        <f>U25/U22-1</f>
        <v>-6.5464816808106563E-2</v>
      </c>
      <c r="M25" s="90">
        <f>U25/U13-1</f>
        <v>4.1477186137337529E-2</v>
      </c>
      <c r="N25" s="88">
        <f>AVERAGE(T23:T25)</f>
        <v>57.971593320241745</v>
      </c>
      <c r="O25" s="91">
        <f>N25/N22-1</f>
        <v>2.7421643163147325E-2</v>
      </c>
      <c r="P25" s="129" t="s">
        <v>217</v>
      </c>
      <c r="Q25" s="116">
        <v>54230236</v>
      </c>
      <c r="R25" s="116">
        <v>71984141826</v>
      </c>
      <c r="S25" s="116">
        <v>991684.74</v>
      </c>
      <c r="T25" s="130">
        <f t="shared" si="1"/>
        <v>54.684955624102876</v>
      </c>
      <c r="U25" s="85">
        <f>Q23+Q24+Q25</f>
        <v>150318831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3055302.9473684211</v>
      </c>
      <c r="G26" s="90">
        <f t="shared" ref="G26" si="5">F26/F25-1</f>
        <v>7.0449997672884956E-2</v>
      </c>
      <c r="H26" s="90">
        <f t="shared" ref="H26" si="6">F26/F14-1</f>
        <v>0.15382234954658847</v>
      </c>
      <c r="I26" s="130">
        <f t="shared" si="0"/>
        <v>65.577485324955305</v>
      </c>
      <c r="J26" s="130">
        <f t="shared" si="4"/>
        <v>2.0230067667534435E-2</v>
      </c>
      <c r="K26" s="78"/>
      <c r="L26" s="90"/>
      <c r="M26" s="90"/>
      <c r="P26" s="129" t="s">
        <v>312</v>
      </c>
      <c r="Q26" s="116">
        <v>58050756</v>
      </c>
      <c r="R26" s="116">
        <v>78301462534</v>
      </c>
      <c r="S26" s="116">
        <v>885223.88</v>
      </c>
      <c r="T26" s="130">
        <f t="shared" ref="T26" si="7">Q26/S26</f>
        <v>65.577485324955305</v>
      </c>
      <c r="U26" s="78"/>
    </row>
    <row r="27" spans="1:21" s="79" customFormat="1" ht="13.2" hidden="1">
      <c r="A27" s="129" t="s">
        <v>407</v>
      </c>
      <c r="B27" s="131"/>
      <c r="C27" s="131"/>
      <c r="D27" s="132"/>
      <c r="E27" s="286"/>
      <c r="F27" s="78">
        <f>Q27/22</f>
        <v>2444008.2727272729</v>
      </c>
      <c r="G27" s="90">
        <f t="shared" ref="G27" si="8">F27/F26-1</f>
        <v>-0.20007661602515248</v>
      </c>
      <c r="H27" s="90">
        <f t="shared" ref="H27" si="9">F27/F15-1</f>
        <v>0.25200822902489328</v>
      </c>
      <c r="I27" s="130">
        <f t="shared" si="0"/>
        <v>55.039583724941899</v>
      </c>
      <c r="J27" s="130">
        <f t="shared" si="4"/>
        <v>-5.1417399737038294E-2</v>
      </c>
      <c r="K27" s="78"/>
      <c r="L27" s="90"/>
      <c r="M27" s="90"/>
      <c r="P27" s="129" t="s">
        <v>407</v>
      </c>
      <c r="Q27" s="116">
        <v>53768182</v>
      </c>
      <c r="R27" s="116">
        <v>71138619798</v>
      </c>
      <c r="S27" s="116">
        <v>976900.23</v>
      </c>
      <c r="T27" s="130">
        <f t="shared" ref="T27" si="10">Q27/S27</f>
        <v>55.039583724941899</v>
      </c>
      <c r="U27" s="78"/>
    </row>
    <row r="28" spans="1:21" s="79" customFormat="1" ht="13.2" hidden="1">
      <c r="A28" s="123" t="s">
        <v>413</v>
      </c>
      <c r="B28" s="131">
        <f>SUM(F26:F28)</f>
        <v>8076458.6411483251</v>
      </c>
      <c r="C28" s="131">
        <f>AVERAGE(F26:F28)</f>
        <v>2692152.8803827749</v>
      </c>
      <c r="D28" s="90">
        <f>C28/C25-1</f>
        <v>0.10399478594680311</v>
      </c>
      <c r="E28" s="286">
        <f>C28/C16-1</f>
        <v>0.31330325883007637</v>
      </c>
      <c r="F28" s="78">
        <f>Q28/19</f>
        <v>2577147.4210526315</v>
      </c>
      <c r="G28" s="90">
        <f t="shared" ref="G28" si="11">F28/F27-1</f>
        <v>5.4475735541102965E-2</v>
      </c>
      <c r="H28" s="90">
        <f t="shared" ref="H28" si="12">F28/F16-1</f>
        <v>0.66302518588313042</v>
      </c>
      <c r="I28" s="130">
        <f t="shared" si="0"/>
        <v>57.932550813611599</v>
      </c>
      <c r="J28" s="130">
        <f t="shared" si="4"/>
        <v>0.18163036527212006</v>
      </c>
      <c r="K28" s="78">
        <f>R26+R27+R28</f>
        <v>213335623596</v>
      </c>
      <c r="L28" s="90">
        <f>U28/U25-1</f>
        <v>6.9624729851710976E-2</v>
      </c>
      <c r="M28" s="90">
        <f>U28/U16-1</f>
        <v>0.23682412280884613</v>
      </c>
      <c r="N28" s="88">
        <f>AVERAGE(T26:T28)</f>
        <v>59.516539954502925</v>
      </c>
      <c r="O28" s="91">
        <f>N28/N25-1</f>
        <v>2.6650063346141284E-2</v>
      </c>
      <c r="P28" s="129" t="s">
        <v>413</v>
      </c>
      <c r="Q28" s="116">
        <v>48965801</v>
      </c>
      <c r="R28" s="116">
        <v>63895541264</v>
      </c>
      <c r="S28" s="116">
        <v>845220.87</v>
      </c>
      <c r="T28" s="130">
        <f t="shared" ref="T28" si="13">Q28/S28</f>
        <v>57.932550813611599</v>
      </c>
      <c r="U28" s="85">
        <f>Q26+Q27+Q28</f>
        <v>160784739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3074527.2272727271</v>
      </c>
      <c r="G29" s="190">
        <f t="shared" ref="G29" si="14">F29/F28-1</f>
        <v>0.1929962570852628</v>
      </c>
      <c r="H29" s="190">
        <f t="shared" ref="H29" si="15">F29/F17-1</f>
        <v>0.49972541159780004</v>
      </c>
      <c r="I29" s="130">
        <f t="shared" si="0"/>
        <v>59.985612413455783</v>
      </c>
      <c r="J29" s="130">
        <f t="shared" si="4"/>
        <v>3.9288620499465798E-2</v>
      </c>
      <c r="K29" s="136"/>
      <c r="L29" s="190"/>
      <c r="M29" s="190"/>
      <c r="N29" s="191"/>
      <c r="O29" s="192"/>
      <c r="P29" s="129" t="s">
        <v>430</v>
      </c>
      <c r="Q29" s="116">
        <v>67639599</v>
      </c>
      <c r="R29" s="116">
        <v>88938486346</v>
      </c>
      <c r="S29" s="116">
        <v>1127597.04</v>
      </c>
      <c r="T29" s="130">
        <f t="shared" ref="T29" si="16">Q29/S29</f>
        <v>59.985612413455783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2996569.4736842103</v>
      </c>
      <c r="G30" s="190">
        <f t="shared" ref="G30" si="17">F30/F29-1</f>
        <v>-2.5356013404919331E-2</v>
      </c>
      <c r="H30" s="190">
        <f t="shared" ref="H30" si="18">F30/F18-1</f>
        <v>0.25283788427207532</v>
      </c>
      <c r="I30" s="130">
        <f t="shared" si="0"/>
        <v>50.387130766633305</v>
      </c>
      <c r="J30" s="130">
        <f t="shared" si="4"/>
        <v>-0.16964490311341973</v>
      </c>
      <c r="K30" s="136"/>
      <c r="L30" s="190"/>
      <c r="M30" s="190"/>
      <c r="N30" s="191"/>
      <c r="O30" s="192"/>
      <c r="P30" s="129" t="s">
        <v>466</v>
      </c>
      <c r="Q30" s="116">
        <v>56934820</v>
      </c>
      <c r="R30" s="116">
        <v>75871149201</v>
      </c>
      <c r="S30" s="116">
        <v>1129947.6499999999</v>
      </c>
      <c r="T30" s="130">
        <f t="shared" ref="T30" si="19">Q30/S30</f>
        <v>50.387130766633305</v>
      </c>
      <c r="U30" s="85"/>
    </row>
    <row r="31" spans="1:21" s="79" customFormat="1" ht="13.2" hidden="1">
      <c r="A31" s="129" t="s">
        <v>505</v>
      </c>
      <c r="B31" s="188">
        <f>SUM(F29:F31)</f>
        <v>8794551.5009569377</v>
      </c>
      <c r="C31" s="188">
        <f>AVERAGE(F29:F31)</f>
        <v>2931517.1669856459</v>
      </c>
      <c r="D31" s="190">
        <f>C31/C28-1</f>
        <v>8.891184759493953E-2</v>
      </c>
      <c r="E31" s="287">
        <f>C31/C19-1</f>
        <v>0.24742215193694905</v>
      </c>
      <c r="F31" s="136">
        <f>Q31/20</f>
        <v>2723454.8</v>
      </c>
      <c r="G31" s="190">
        <f t="shared" ref="G31" si="20">F31/F30-1</f>
        <v>-9.1142446748755823E-2</v>
      </c>
      <c r="H31" s="190">
        <f t="shared" ref="H31" si="21">F31/F19-1</f>
        <v>4.4151316325695245E-2</v>
      </c>
      <c r="I31" s="130">
        <f t="shared" si="0"/>
        <v>52.686148780860293</v>
      </c>
      <c r="J31" s="130">
        <f t="shared" si="4"/>
        <v>-0.13518722442164322</v>
      </c>
      <c r="K31" s="136">
        <f>R29+R30+R31</f>
        <v>237161521462</v>
      </c>
      <c r="L31" s="190">
        <f>U31/U28-1</f>
        <v>0.11356037963279597</v>
      </c>
      <c r="M31" s="190">
        <f>U31/U19-1</f>
        <v>0.22447863788015665</v>
      </c>
      <c r="N31" s="191">
        <f>AVERAGE(T29:T31)</f>
        <v>54.352963986983127</v>
      </c>
      <c r="O31" s="192">
        <f>N31/N28-1</f>
        <v>-8.6758671983738656E-2</v>
      </c>
      <c r="P31" s="129" t="s">
        <v>505</v>
      </c>
      <c r="Q31" s="116">
        <v>54469096</v>
      </c>
      <c r="R31" s="116">
        <v>72351885915</v>
      </c>
      <c r="S31" s="116">
        <v>1033840.91</v>
      </c>
      <c r="T31" s="130">
        <f t="shared" ref="T31" si="22">Q31/S31</f>
        <v>52.686148780860293</v>
      </c>
      <c r="U31" s="85">
        <f>Q29+Q30+Q31</f>
        <v>179043515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2841545.7619047621</v>
      </c>
      <c r="G32" s="190">
        <f t="shared" ref="G32" si="23">F32/F31-1</f>
        <v>4.336072032653604E-2</v>
      </c>
      <c r="H32" s="190">
        <f t="shared" ref="H32" si="24">F32/F20-1</f>
        <v>4.3842808549404033E-2</v>
      </c>
      <c r="I32" s="130">
        <f t="shared" si="0"/>
        <v>49.932934725902967</v>
      </c>
      <c r="J32" s="130">
        <f t="shared" si="4"/>
        <v>-0.10840573756607608</v>
      </c>
      <c r="K32" s="136"/>
      <c r="L32" s="190"/>
      <c r="M32" s="190"/>
      <c r="N32" s="191"/>
      <c r="O32" s="192"/>
      <c r="P32" s="129" t="s">
        <v>562</v>
      </c>
      <c r="Q32" s="116">
        <v>59672461</v>
      </c>
      <c r="R32" s="116">
        <v>81218093965</v>
      </c>
      <c r="S32" s="116">
        <v>1195052.1499999999</v>
      </c>
      <c r="T32" s="130">
        <f t="shared" ref="T32" si="25">Q32/S32</f>
        <v>49.932934725902967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3604955.7619047621</v>
      </c>
      <c r="G33" s="190">
        <f t="shared" ref="G33" si="26">F33/F32-1</f>
        <v>0.26866011106865528</v>
      </c>
      <c r="H33" s="190">
        <f t="shared" ref="H33" si="27">F33/F21-1</f>
        <v>0.42340114487944036</v>
      </c>
      <c r="I33" s="130">
        <f t="shared" si="0"/>
        <v>58.299705440598665</v>
      </c>
      <c r="J33" s="130">
        <f t="shared" si="4"/>
        <v>2.5710168075655071E-2</v>
      </c>
      <c r="K33" s="136"/>
      <c r="L33" s="190"/>
      <c r="M33" s="190"/>
      <c r="N33" s="191"/>
      <c r="O33" s="192"/>
      <c r="P33" s="129" t="s">
        <v>607</v>
      </c>
      <c r="Q33" s="116">
        <v>75704071</v>
      </c>
      <c r="R33" s="116">
        <v>103486286769</v>
      </c>
      <c r="S33" s="116">
        <v>1298532.6499999999</v>
      </c>
      <c r="T33" s="130">
        <f t="shared" ref="T33" si="28">Q33/S33</f>
        <v>58.299705440598665</v>
      </c>
      <c r="U33" s="85"/>
    </row>
    <row r="34" spans="1:21" s="79" customFormat="1" ht="13.2" hidden="1">
      <c r="A34" s="129" t="s">
        <v>652</v>
      </c>
      <c r="B34" s="188">
        <f>SUM(F32:F34)</f>
        <v>9786455.1553884707</v>
      </c>
      <c r="C34" s="188">
        <f>AVERAGE(F32:F34)</f>
        <v>3262151.7184628234</v>
      </c>
      <c r="D34" s="190">
        <f>C34/C31-1</f>
        <v>0.11278615564689143</v>
      </c>
      <c r="E34" s="287">
        <f>C34/C22-1</f>
        <v>0.2564305699120808</v>
      </c>
      <c r="F34" s="136">
        <f>Q34/19</f>
        <v>3339953.6315789474</v>
      </c>
      <c r="G34" s="190">
        <f t="shared" ref="G34" si="29">F34/F33-1</f>
        <v>-7.3510508263711638E-2</v>
      </c>
      <c r="H34" s="190">
        <f t="shared" ref="H34" si="30">F34/F22-1</f>
        <v>0.31791997441158948</v>
      </c>
      <c r="I34" s="130">
        <f t="shared" si="0"/>
        <v>47.728505630503776</v>
      </c>
      <c r="J34" s="130">
        <f t="shared" si="4"/>
        <v>-0.1542080903944163</v>
      </c>
      <c r="K34" s="136">
        <f>R32+R33+R34</f>
        <v>272011449426</v>
      </c>
      <c r="L34" s="190">
        <f>U34/U31-1</f>
        <v>0.11054371893894066</v>
      </c>
      <c r="M34" s="190">
        <f>U34/U22-1</f>
        <v>0.23616522491692593</v>
      </c>
      <c r="N34" s="191">
        <f>AVERAGE(T32:T34)</f>
        <v>51.987048599001803</v>
      </c>
      <c r="O34" s="192">
        <f>N34/N31-1</f>
        <v>-4.3528728047801279E-2</v>
      </c>
      <c r="P34" s="129" t="s">
        <v>652</v>
      </c>
      <c r="Q34" s="116">
        <v>63459119</v>
      </c>
      <c r="R34" s="116">
        <v>87307068692</v>
      </c>
      <c r="S34" s="116">
        <v>1329585.29</v>
      </c>
      <c r="T34" s="130">
        <f t="shared" ref="T34" si="31">Q34/S34</f>
        <v>47.728505630503776</v>
      </c>
      <c r="U34" s="85">
        <f>Q32+Q33+Q34</f>
        <v>198835651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2499207.4782608696</v>
      </c>
      <c r="G35" s="190">
        <f t="shared" ref="G35" si="32">F35/F34-1</f>
        <v>-0.25172389980774046</v>
      </c>
      <c r="H35" s="190">
        <f t="shared" ref="H35" si="33">F35/F23-1</f>
        <v>0.2113361310025681</v>
      </c>
      <c r="I35" s="130">
        <f t="shared" si="0"/>
        <v>48.474429068014736</v>
      </c>
      <c r="J35" s="130">
        <f t="shared" si="4"/>
        <v>-6.7263562697911006E-2</v>
      </c>
      <c r="K35" s="136"/>
      <c r="L35" s="190"/>
      <c r="M35" s="190"/>
      <c r="N35" s="191"/>
      <c r="O35" s="192"/>
      <c r="P35" s="129" t="s">
        <v>660</v>
      </c>
      <c r="Q35" s="116">
        <v>57481772</v>
      </c>
      <c r="R35" s="116">
        <v>79554281580</v>
      </c>
      <c r="S35" s="116">
        <v>1185816.3799999999</v>
      </c>
      <c r="T35" s="130">
        <f t="shared" ref="T35" si="34">Q35/S35</f>
        <v>48.474429068014736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2968464.9523809524</v>
      </c>
      <c r="G36" s="190">
        <f t="shared" ref="G36" si="35">F36/F35-1</f>
        <v>0.18776251199705363</v>
      </c>
      <c r="H36" s="190">
        <f t="shared" ref="H36" si="36">F36/F24-1</f>
        <v>0.23775676245657196</v>
      </c>
      <c r="I36" s="130">
        <f t="shared" si="0"/>
        <v>52.891199985202832</v>
      </c>
      <c r="J36" s="130">
        <f t="shared" si="4"/>
        <v>-0.21362717402827525</v>
      </c>
      <c r="K36" s="136"/>
      <c r="L36" s="190"/>
      <c r="M36" s="190"/>
      <c r="N36" s="191"/>
      <c r="O36" s="192"/>
      <c r="P36" s="129" t="s">
        <v>664</v>
      </c>
      <c r="Q36" s="116">
        <v>62337764</v>
      </c>
      <c r="R36" s="116">
        <v>85025622216</v>
      </c>
      <c r="S36" s="116">
        <v>1178603.7</v>
      </c>
      <c r="T36" s="130">
        <f t="shared" ref="T36" si="37">Q36/S36</f>
        <v>52.891199985202832</v>
      </c>
      <c r="U36" s="85"/>
    </row>
    <row r="37" spans="1:21" s="79" customFormat="1" ht="13.2" hidden="1">
      <c r="A37" s="129" t="s">
        <v>702</v>
      </c>
      <c r="B37" s="188">
        <f>SUM(F35:F37)</f>
        <v>9492256.8195307106</v>
      </c>
      <c r="C37" s="188">
        <f>AVERAGE(F35:F37)</f>
        <v>3164085.6065102369</v>
      </c>
      <c r="D37" s="190">
        <f>C37/C34-1</f>
        <v>-3.0061787561124431E-2</v>
      </c>
      <c r="E37" s="287">
        <f>C37/C25-1</f>
        <v>0.29752438553191296</v>
      </c>
      <c r="F37" s="136">
        <f>Q37/18</f>
        <v>4024584.388888889</v>
      </c>
      <c r="G37" s="190">
        <f t="shared" ref="G37" si="38">F37/F36-1</f>
        <v>0.3557796549562906</v>
      </c>
      <c r="H37" s="190">
        <f t="shared" ref="H37" si="39">F37/F25-1</f>
        <v>0.41004555814377963</v>
      </c>
      <c r="I37" s="130">
        <f t="shared" si="0"/>
        <v>66.599630824348438</v>
      </c>
      <c r="J37" s="130">
        <f t="shared" si="4"/>
        <v>0.2178784834744214</v>
      </c>
      <c r="K37" s="136">
        <f>R35+R36+R37</f>
        <v>261248078168</v>
      </c>
      <c r="L37" s="190">
        <f>U37/U34-1</f>
        <v>-3.306044950661291E-2</v>
      </c>
      <c r="M37" s="190">
        <f>U37/U25-1</f>
        <v>0.27902840729249689</v>
      </c>
      <c r="N37" s="191">
        <f>AVERAGE(T35:T37)</f>
        <v>55.988419959188661</v>
      </c>
      <c r="O37" s="192">
        <f>N37/N34-1</f>
        <v>7.6968619454647946E-2</v>
      </c>
      <c r="P37" s="129" t="s">
        <v>702</v>
      </c>
      <c r="Q37" s="116">
        <v>72442519</v>
      </c>
      <c r="R37" s="116">
        <v>96668174372</v>
      </c>
      <c r="S37" s="116">
        <v>1087731.54</v>
      </c>
      <c r="T37" s="130">
        <f t="shared" ref="T37" si="40">Q37/S37</f>
        <v>66.599630824348438</v>
      </c>
      <c r="U37" s="85">
        <f>Q35+Q36+Q37</f>
        <v>192262055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4062305.35</v>
      </c>
      <c r="G38" s="190">
        <f t="shared" ref="G38" si="41">F38/F37-1</f>
        <v>9.3726351509118011E-3</v>
      </c>
      <c r="H38" s="190">
        <f t="shared" ref="H38" si="42">F38/F26-1</f>
        <v>0.32959167060632244</v>
      </c>
      <c r="I38" s="130">
        <f t="shared" si="0"/>
        <v>62.948785915804535</v>
      </c>
      <c r="J38" s="130">
        <f t="shared" si="4"/>
        <v>-4.0085395103590882E-2</v>
      </c>
      <c r="K38" s="136"/>
      <c r="L38" s="190"/>
      <c r="M38" s="190"/>
      <c r="N38" s="191"/>
      <c r="O38" s="192"/>
      <c r="P38" s="129" t="s">
        <v>727</v>
      </c>
      <c r="Q38" s="116">
        <v>81246107</v>
      </c>
      <c r="R38" s="116">
        <v>109495201022</v>
      </c>
      <c r="S38" s="116">
        <v>1290669.96</v>
      </c>
      <c r="T38" s="130">
        <f t="shared" ref="T38" si="43">Q38/S38</f>
        <v>62.948785915804535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2855910.9523809524</v>
      </c>
      <c r="G39" s="190">
        <f t="shared" ref="G39" si="44">F39/F38-1</f>
        <v>-0.29697285006383078</v>
      </c>
      <c r="H39" s="190">
        <f t="shared" ref="H39" si="45">F39/F27-1</f>
        <v>0.16853571415862545</v>
      </c>
      <c r="I39" s="130">
        <f t="shared" si="0"/>
        <v>50.947815131036748</v>
      </c>
      <c r="J39" s="130">
        <f t="shared" si="4"/>
        <v>-7.4342288167614012E-2</v>
      </c>
      <c r="K39" s="136"/>
      <c r="L39" s="190"/>
      <c r="M39" s="190"/>
      <c r="N39" s="191"/>
      <c r="O39" s="192"/>
      <c r="P39" s="129" t="s">
        <v>762</v>
      </c>
      <c r="Q39" s="116">
        <v>59974130</v>
      </c>
      <c r="R39" s="116">
        <v>83366071902</v>
      </c>
      <c r="S39" s="116">
        <v>1177167.8500000001</v>
      </c>
      <c r="T39" s="130">
        <f t="shared" ref="T39" si="46">Q39/S39</f>
        <v>50.947815131036748</v>
      </c>
      <c r="U39" s="85"/>
    </row>
    <row r="40" spans="1:21" s="79" customFormat="1" ht="13.2" hidden="1">
      <c r="A40" s="129" t="s">
        <v>778</v>
      </c>
      <c r="B40" s="188">
        <f>SUM(F38:F40)</f>
        <v>9972848.8738095239</v>
      </c>
      <c r="C40" s="188">
        <f>AVERAGE(F38:F40)</f>
        <v>3324282.9579365081</v>
      </c>
      <c r="D40" s="190">
        <f>C40/C37-1</f>
        <v>5.0629904291040306E-2</v>
      </c>
      <c r="E40" s="287">
        <f>C40/C28-1</f>
        <v>0.23480467330066923</v>
      </c>
      <c r="F40" s="136">
        <f>Q40/21</f>
        <v>3054632.5714285714</v>
      </c>
      <c r="G40" s="190">
        <f t="shared" ref="G40" si="47">F40/F39-1</f>
        <v>6.9582568350720519E-2</v>
      </c>
      <c r="H40" s="190">
        <f t="shared" ref="H40" si="48">F40/F28-1</f>
        <v>0.18527661494075964</v>
      </c>
      <c r="I40" s="130">
        <f t="shared" si="0"/>
        <v>52.961495255398574</v>
      </c>
      <c r="J40" s="130">
        <f t="shared" si="4"/>
        <v>-8.5807641617690389E-2</v>
      </c>
      <c r="K40" s="136">
        <f>R38+R39+R40</f>
        <v>284038518555</v>
      </c>
      <c r="L40" s="190">
        <f>U40/U37-1</f>
        <v>6.8164599613792731E-2</v>
      </c>
      <c r="M40" s="190">
        <f>U40/U28-1</f>
        <v>0.27728242292945482</v>
      </c>
      <c r="N40" s="191">
        <f>AVERAGE(T38:T40)</f>
        <v>55.619365434079953</v>
      </c>
      <c r="O40" s="192">
        <f>N40/N37-1</f>
        <v>-6.5916224350985875E-3</v>
      </c>
      <c r="P40" s="129" t="s">
        <v>778</v>
      </c>
      <c r="Q40" s="116">
        <v>64147284</v>
      </c>
      <c r="R40" s="116">
        <v>91177245631</v>
      </c>
      <c r="S40" s="116">
        <v>1211206.06</v>
      </c>
      <c r="T40" s="130">
        <f t="shared" ref="T40" si="49">Q40/S40</f>
        <v>52.961495255398574</v>
      </c>
      <c r="U40" s="85">
        <f>Q38+Q39+Q40</f>
        <v>205367521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3092647.3333333335</v>
      </c>
      <c r="G41" s="190">
        <f t="shared" ref="G41" si="50">F41/F40-1</f>
        <v>1.2444954021747945E-2</v>
      </c>
      <c r="H41" s="190">
        <f t="shared" ref="H41" si="51">F41/F29-1</f>
        <v>5.893623546368687E-3</v>
      </c>
      <c r="I41" s="130">
        <f t="shared" si="0"/>
        <v>50.429045898826409</v>
      </c>
      <c r="J41" s="130">
        <f t="shared" si="4"/>
        <v>-0.15931431105112259</v>
      </c>
      <c r="K41" s="193"/>
      <c r="L41" s="190"/>
      <c r="M41" s="190"/>
      <c r="N41" s="193"/>
      <c r="O41" s="193"/>
      <c r="P41" s="129" t="s">
        <v>792</v>
      </c>
      <c r="Q41" s="116">
        <v>55667652</v>
      </c>
      <c r="R41" s="116">
        <v>81383682464</v>
      </c>
      <c r="S41" s="116">
        <v>1103880.73</v>
      </c>
      <c r="T41" s="130">
        <f t="shared" ref="T41" si="52">Q41/S41</f>
        <v>50.429045898826409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3395887.55</v>
      </c>
      <c r="G42" s="190">
        <f t="shared" ref="G42" si="53">F42/F41-1</f>
        <v>9.8051987175604038E-2</v>
      </c>
      <c r="H42" s="190">
        <f t="shared" ref="H42" si="54">F42/F30-1</f>
        <v>0.13325840759661656</v>
      </c>
      <c r="I42" s="130">
        <f t="shared" si="0"/>
        <v>54.127082005149006</v>
      </c>
      <c r="J42" s="130">
        <f t="shared" si="4"/>
        <v>7.4224334301494332E-2</v>
      </c>
      <c r="K42" s="193"/>
      <c r="L42" s="190"/>
      <c r="M42" s="190"/>
      <c r="N42" s="193"/>
      <c r="O42" s="193"/>
      <c r="P42" s="129" t="s">
        <v>826</v>
      </c>
      <c r="Q42" s="116">
        <v>67917751</v>
      </c>
      <c r="R42" s="116">
        <v>98180707110</v>
      </c>
      <c r="S42" s="116">
        <v>1254783.1599999999</v>
      </c>
      <c r="T42" s="130">
        <f t="shared" ref="T42" si="55">Q42/S42</f>
        <v>54.127082005149006</v>
      </c>
      <c r="U42" s="78"/>
    </row>
    <row r="43" spans="1:21" s="79" customFormat="1" ht="13.2">
      <c r="A43" s="129" t="s">
        <v>835</v>
      </c>
      <c r="B43" s="188">
        <f>SUM(F41:F43)</f>
        <v>9807103.3833333328</v>
      </c>
      <c r="C43" s="188">
        <f>AVERAGE(F41:F43)</f>
        <v>3269034.4611111111</v>
      </c>
      <c r="D43" s="190">
        <f>C43/C40-1</f>
        <v>-1.6619673332408325E-2</v>
      </c>
      <c r="E43" s="287">
        <f>C43/C31-1</f>
        <v>0.115133998847607</v>
      </c>
      <c r="F43" s="136">
        <f>Q43/20</f>
        <v>3318568.5</v>
      </c>
      <c r="G43" s="190">
        <f t="shared" ref="G43" si="56">F43/F42-1</f>
        <v>-2.2768436487244692E-2</v>
      </c>
      <c r="H43" s="190">
        <f t="shared" ref="H43" si="57">F43/F31-1</f>
        <v>0.21851425623072585</v>
      </c>
      <c r="I43" s="130">
        <f t="shared" si="0"/>
        <v>51.654661077743036</v>
      </c>
      <c r="J43" s="130">
        <f t="shared" si="4"/>
        <v>-1.957796739722939E-2</v>
      </c>
      <c r="K43" s="136">
        <f>R41+R42+R43</f>
        <v>275829044792</v>
      </c>
      <c r="L43" s="190">
        <f>U43/U40-1</f>
        <v>-7.5039850142613385E-2</v>
      </c>
      <c r="M43" s="190">
        <f>K43/K31-1</f>
        <v>0.16304298897911917</v>
      </c>
      <c r="N43" s="191">
        <f>AVERAGE(T41:T43)</f>
        <v>52.070262993906148</v>
      </c>
      <c r="O43" s="192">
        <f>N43/N40-1</f>
        <v>-6.3810552538219767E-2</v>
      </c>
      <c r="P43" s="129" t="s">
        <v>835</v>
      </c>
      <c r="Q43" s="116">
        <v>66371370</v>
      </c>
      <c r="R43" s="116">
        <v>96264655218</v>
      </c>
      <c r="S43" s="116">
        <v>1284905.73</v>
      </c>
      <c r="T43" s="130">
        <f t="shared" ref="T43" si="58">Q43/S43</f>
        <v>51.654661077743036</v>
      </c>
      <c r="U43" s="85">
        <f>Q41+Q42+Q43</f>
        <v>189956773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3478585.9090909092</v>
      </c>
      <c r="G44" s="190">
        <f t="shared" ref="G44" si="59">F44/F43-1</f>
        <v>4.8218805515362728E-2</v>
      </c>
      <c r="H44" s="190">
        <f t="shared" ref="H44" si="60">F44/F32-1</f>
        <v>0.22418788946728863</v>
      </c>
      <c r="I44" s="130">
        <f t="shared" si="0"/>
        <v>55.249879959899253</v>
      </c>
      <c r="J44" s="130">
        <f t="shared" si="4"/>
        <v>0.10648172920703769</v>
      </c>
      <c r="K44" s="136"/>
      <c r="L44" s="190"/>
      <c r="M44" s="190"/>
      <c r="N44" s="191"/>
      <c r="O44" s="192"/>
      <c r="P44" s="129" t="s">
        <v>843</v>
      </c>
      <c r="Q44" s="116">
        <v>76528890</v>
      </c>
      <c r="R44" s="116">
        <v>110856801437</v>
      </c>
      <c r="S44" s="116">
        <v>1385141.29</v>
      </c>
      <c r="T44" s="130">
        <f t="shared" ref="T44" si="61">Q44/S44</f>
        <v>55.249879959899253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3718766.8</v>
      </c>
      <c r="G45" s="190">
        <f t="shared" ref="G45" si="62">F45/F44-1</f>
        <v>6.9045553907811641E-2</v>
      </c>
      <c r="H45" s="190">
        <f t="shared" ref="H45" si="63">F45/F33-1</f>
        <v>3.1570716982974201E-2</v>
      </c>
      <c r="I45" s="130">
        <f t="shared" si="0"/>
        <v>54.171617808773902</v>
      </c>
      <c r="J45" s="130">
        <f t="shared" si="4"/>
        <v>-7.0808035831859462E-2</v>
      </c>
      <c r="K45" s="136"/>
      <c r="L45" s="190"/>
      <c r="M45" s="190"/>
      <c r="N45" s="191"/>
      <c r="O45" s="192"/>
      <c r="P45" s="129" t="s">
        <v>853</v>
      </c>
      <c r="Q45" s="116">
        <v>74375336</v>
      </c>
      <c r="R45" s="116">
        <v>104551438069</v>
      </c>
      <c r="S45" s="116">
        <v>1372957.63</v>
      </c>
      <c r="T45" s="130">
        <f t="shared" ref="T45" si="64">Q45/S45</f>
        <v>54.171617808773902</v>
      </c>
      <c r="U45" s="85"/>
    </row>
    <row r="46" spans="1:21" s="79" customFormat="1" ht="13.2">
      <c r="A46" s="129" t="s">
        <v>916</v>
      </c>
      <c r="B46" s="188">
        <f>SUM(F44:F46)</f>
        <v>10653215.814354066</v>
      </c>
      <c r="C46" s="188">
        <f>AVERAGE(F44:F46)</f>
        <v>3551071.9381180219</v>
      </c>
      <c r="D46" s="190">
        <f>C46/C43-1</f>
        <v>8.6275467683827767E-2</v>
      </c>
      <c r="E46" s="287">
        <f>C46/C34-1</f>
        <v>8.8567376563142286E-2</v>
      </c>
      <c r="F46" s="136">
        <f>Q46/19</f>
        <v>3455863.1052631577</v>
      </c>
      <c r="G46" s="190">
        <f t="shared" ref="G46" si="65">F46/F45-1</f>
        <v>-7.0696472480296979E-2</v>
      </c>
      <c r="H46" s="190">
        <f t="shared" ref="H46" si="66">F46/F34-1</f>
        <v>3.4703917020972197E-2</v>
      </c>
      <c r="I46" s="130">
        <f t="shared" si="0"/>
        <v>48.196044913939964</v>
      </c>
      <c r="J46" s="130">
        <f t="shared" si="4"/>
        <v>9.7958081289135635E-3</v>
      </c>
      <c r="K46" s="136">
        <f>R44+R45+R46</f>
        <v>305348184359</v>
      </c>
      <c r="L46" s="190">
        <f>U46/U43-1</f>
        <v>0.14007845879757075</v>
      </c>
      <c r="M46" s="190">
        <f>K46/K34-1</f>
        <v>0.12255636666525382</v>
      </c>
      <c r="N46" s="191">
        <f>AVERAGE(T44:T46)</f>
        <v>52.539180894204378</v>
      </c>
      <c r="O46" s="192">
        <f>N46/N43-1</f>
        <v>9.0054836164954466E-3</v>
      </c>
      <c r="P46" s="129" t="s">
        <v>888</v>
      </c>
      <c r="Q46" s="116">
        <v>65661399</v>
      </c>
      <c r="R46" s="116">
        <v>89939944853</v>
      </c>
      <c r="S46" s="116">
        <v>1362381.48</v>
      </c>
      <c r="T46" s="130">
        <f t="shared" ref="T46" si="67">Q46/S46</f>
        <v>48.196044913939964</v>
      </c>
      <c r="U46" s="85">
        <f t="shared" ref="U46:U51" si="68">Q44+Q45+Q46</f>
        <v>216565625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3280510.9565217393</v>
      </c>
      <c r="G47" s="190">
        <f t="shared" ref="G47" si="69">F47/F46-1</f>
        <v>-5.074047883273014E-2</v>
      </c>
      <c r="H47" s="190">
        <f t="shared" ref="H47" si="70">F47/F35-1</f>
        <v>0.31262049471961295</v>
      </c>
      <c r="I47" s="130">
        <f t="shared" si="0"/>
        <v>49.509514493939641</v>
      </c>
      <c r="J47" s="130">
        <f t="shared" si="4"/>
        <v>2.1353225727992919E-2</v>
      </c>
      <c r="K47" s="136"/>
      <c r="L47" s="190"/>
      <c r="M47" s="190"/>
      <c r="N47" s="191"/>
      <c r="O47" s="192"/>
      <c r="P47" s="129" t="s">
        <v>1029</v>
      </c>
      <c r="Q47" s="116">
        <v>75451752</v>
      </c>
      <c r="R47" s="116">
        <v>103595593519</v>
      </c>
      <c r="S47" s="116">
        <v>1523984.89</v>
      </c>
      <c r="T47" s="130">
        <f t="shared" ref="T47" si="71">Q47/S47</f>
        <v>49.509514493939641</v>
      </c>
      <c r="U47" s="85">
        <f t="shared" si="68"/>
        <v>215488487</v>
      </c>
    </row>
    <row r="48" spans="1:21" s="79" customFormat="1" ht="13.2">
      <c r="A48" s="129" t="s">
        <v>1108</v>
      </c>
      <c r="B48" s="188"/>
      <c r="C48" s="188"/>
      <c r="D48" s="190"/>
      <c r="E48" s="287"/>
      <c r="F48" s="136">
        <f>Q48/20</f>
        <v>3227200.8</v>
      </c>
      <c r="G48" s="190">
        <f t="shared" ref="G48" si="72">F48/F47-1</f>
        <v>-1.6250564996820871E-2</v>
      </c>
      <c r="H48" s="190">
        <f t="shared" ref="H48" si="73">F48/F36-1</f>
        <v>8.7161496520792747E-2</v>
      </c>
      <c r="I48" s="130">
        <f t="shared" si="0"/>
        <v>51.198860882740988</v>
      </c>
      <c r="J48" s="130">
        <f t="shared" si="4"/>
        <v>-3.1996610077580034E-2</v>
      </c>
      <c r="K48" s="136"/>
      <c r="L48" s="190"/>
      <c r="M48" s="190"/>
      <c r="N48" s="191"/>
      <c r="O48" s="192"/>
      <c r="P48" s="129" t="s">
        <v>1070</v>
      </c>
      <c r="Q48" s="116">
        <v>64544016</v>
      </c>
      <c r="R48" s="116">
        <v>89558228651</v>
      </c>
      <c r="S48" s="116">
        <v>1260653.3600000001</v>
      </c>
      <c r="T48" s="130">
        <f t="shared" ref="T48" si="74">Q48/S48</f>
        <v>51.198860882740988</v>
      </c>
      <c r="U48" s="85">
        <f t="shared" si="68"/>
        <v>205657167</v>
      </c>
    </row>
    <row r="49" spans="1:26" ht="13.2">
      <c r="A49" s="129" t="s">
        <v>1158</v>
      </c>
      <c r="B49" s="188">
        <f>SUM(F47:F49)</f>
        <v>10476296.938339921</v>
      </c>
      <c r="C49" s="188">
        <f>AVERAGE(F47:F49)</f>
        <v>3492098.9794466402</v>
      </c>
      <c r="D49" s="190">
        <f>C49/C46-1</f>
        <v>-1.6607086451376096E-2</v>
      </c>
      <c r="E49" s="287">
        <f>C49/C37-1</f>
        <v>0.10366766697509777</v>
      </c>
      <c r="F49" s="136">
        <f>Q49/22</f>
        <v>3968585.1818181816</v>
      </c>
      <c r="G49" s="190">
        <f t="shared" ref="G49" si="75">F49/F48-1</f>
        <v>0.2297298580919358</v>
      </c>
      <c r="H49" s="190">
        <f t="shared" ref="H49" si="76">F49/F37-1</f>
        <v>-1.3914283230166746E-2</v>
      </c>
      <c r="I49" s="130">
        <f t="shared" si="0"/>
        <v>62.313834661200396</v>
      </c>
      <c r="J49" s="130">
        <f t="shared" si="4"/>
        <v>-6.4351650453611575E-2</v>
      </c>
      <c r="K49" s="136">
        <f>R47+R48+R49</f>
        <v>314479940648</v>
      </c>
      <c r="L49" s="190">
        <f>U49/U46-1</f>
        <v>4.9587818934791805E-2</v>
      </c>
      <c r="M49" s="190">
        <f>K49/K37-1</f>
        <v>0.20375982419961902</v>
      </c>
      <c r="N49" s="191">
        <f>AVERAGE(T47:T49)</f>
        <v>54.340736679293677</v>
      </c>
      <c r="O49" s="192">
        <f>N49/N46-1</f>
        <v>3.4289757747023142E-2</v>
      </c>
      <c r="P49" s="129" t="s">
        <v>1197</v>
      </c>
      <c r="Q49" s="116">
        <v>87308874</v>
      </c>
      <c r="R49" s="116">
        <v>121326118478</v>
      </c>
      <c r="S49" s="116">
        <v>1401115.41</v>
      </c>
      <c r="T49" s="130">
        <f t="shared" ref="T49" si="77">Q49/S49</f>
        <v>62.313834661200396</v>
      </c>
      <c r="U49" s="85">
        <f t="shared" si="68"/>
        <v>227304642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3894895.6666666665</v>
      </c>
      <c r="G50" s="190">
        <f t="shared" ref="G50" si="78">F50/F49-1</f>
        <v>-1.8568208007508247E-2</v>
      </c>
      <c r="H50" s="190">
        <f t="shared" ref="H50" si="79">F50/F38-1</f>
        <v>-4.1210511990028897E-2</v>
      </c>
      <c r="I50" s="130">
        <f t="shared" ref="I50" si="80">T50</f>
        <v>58.229932566835465</v>
      </c>
      <c r="J50" s="130">
        <f t="shared" ref="J50" si="81">I50/I38-1</f>
        <v>-7.4963373483972306E-2</v>
      </c>
      <c r="K50" s="136"/>
      <c r="L50" s="190"/>
      <c r="M50" s="190"/>
      <c r="N50" s="191"/>
      <c r="O50" s="192"/>
      <c r="P50" s="129" t="s">
        <v>1291</v>
      </c>
      <c r="Q50" s="116">
        <v>70108122</v>
      </c>
      <c r="R50" s="116">
        <v>99092291422</v>
      </c>
      <c r="S50" s="116">
        <v>1203987.69</v>
      </c>
      <c r="T50" s="130">
        <f t="shared" ref="T50" si="82">Q50/S50</f>
        <v>58.229932566835465</v>
      </c>
      <c r="U50" s="85">
        <f t="shared" si="68"/>
        <v>221961012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2739242.2</v>
      </c>
      <c r="G51" s="190">
        <f t="shared" ref="G51:G52" si="83">F51/F50-1</f>
        <v>-0.2967097364268293</v>
      </c>
      <c r="H51" s="190">
        <f t="shared" ref="H51:H52" si="84">F51/F39-1</f>
        <v>-4.0851677214825743E-2</v>
      </c>
      <c r="I51" s="130">
        <f t="shared" ref="I51:I52" si="85">T51</f>
        <v>46.592323753966241</v>
      </c>
      <c r="J51" s="130">
        <f t="shared" ref="J51:J52" si="86">I51/I39-1</f>
        <v>-8.5489267123001644E-2</v>
      </c>
      <c r="K51" s="136"/>
      <c r="L51" s="190"/>
      <c r="M51" s="190"/>
      <c r="N51" s="191"/>
      <c r="O51" s="192"/>
      <c r="P51" s="129" t="s">
        <v>1402</v>
      </c>
      <c r="Q51" s="116">
        <v>54784844</v>
      </c>
      <c r="R51" s="116">
        <v>79453853506</v>
      </c>
      <c r="S51" s="116">
        <v>1175834.1200000001</v>
      </c>
      <c r="T51" s="130">
        <f t="shared" ref="T51:T52" si="87">Q51/S51</f>
        <v>46.592323753966241</v>
      </c>
      <c r="U51" s="85">
        <f t="shared" si="68"/>
        <v>212201840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9913279.5484848488</v>
      </c>
      <c r="C52" s="188">
        <f>AVERAGE(F50:F52)</f>
        <v>3304426.5161616164</v>
      </c>
      <c r="D52" s="190">
        <f>C52/C49-1</f>
        <v>-5.3742022889271768E-2</v>
      </c>
      <c r="E52" s="287">
        <f>C52/C40-1</f>
        <v>-5.9731503082448567E-3</v>
      </c>
      <c r="F52" s="136">
        <f>Q52/22</f>
        <v>3279141.6818181816</v>
      </c>
      <c r="G52" s="190">
        <f t="shared" si="83"/>
        <v>0.19709811779994535</v>
      </c>
      <c r="H52" s="190">
        <f t="shared" si="84"/>
        <v>7.3497910187153348E-2</v>
      </c>
      <c r="I52" s="130">
        <f t="shared" si="85"/>
        <v>53.208807229688951</v>
      </c>
      <c r="J52" s="130">
        <f t="shared" si="86"/>
        <v>4.6696561926311553E-3</v>
      </c>
      <c r="K52" s="136">
        <f>R50+R51+R52</f>
        <v>284691927311</v>
      </c>
      <c r="L52" s="190">
        <f>U52/U49-1</f>
        <v>-0.13317175898237921</v>
      </c>
      <c r="M52" s="190">
        <f>K52/K40-1</f>
        <v>2.3004230529160008E-3</v>
      </c>
      <c r="N52" s="191">
        <f>AVERAGE(T50:T52)</f>
        <v>52.677021183496883</v>
      </c>
      <c r="O52" s="192">
        <f>N52/N49-1</f>
        <v>-3.0616358876686789E-2</v>
      </c>
      <c r="P52" s="129" t="s">
        <v>1403</v>
      </c>
      <c r="Q52" s="116">
        <v>72141117</v>
      </c>
      <c r="R52" s="116">
        <v>106145782383</v>
      </c>
      <c r="S52" s="116">
        <v>1355811.58</v>
      </c>
      <c r="T52" s="130">
        <f t="shared" si="87"/>
        <v>53.208807229688951</v>
      </c>
      <c r="U52" s="85">
        <f t="shared" ref="U52" si="88">Q50+Q51+Q52</f>
        <v>197034083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2822076.5714285714</v>
      </c>
      <c r="G53" s="190">
        <f t="shared" ref="G53" si="89">F53/F52-1</f>
        <v>-0.13938559377409454</v>
      </c>
      <c r="H53" s="190">
        <f t="shared" ref="H53" si="90">F53/F41-1</f>
        <v>-8.7488398366177167E-2</v>
      </c>
      <c r="I53" s="130">
        <f t="shared" ref="I53" si="91">T53</f>
        <v>55.209196438823042</v>
      </c>
      <c r="J53" s="130">
        <f t="shared" ref="J53" si="92">I53/I41-1</f>
        <v>9.4789628770427958E-2</v>
      </c>
      <c r="K53" s="136"/>
      <c r="L53" s="190"/>
      <c r="M53" s="190"/>
      <c r="N53" s="191"/>
      <c r="O53" s="192"/>
      <c r="P53" s="129" t="s">
        <v>1414</v>
      </c>
      <c r="Q53" s="116">
        <v>59263608</v>
      </c>
      <c r="R53" s="116">
        <v>86404524099</v>
      </c>
      <c r="S53" s="116">
        <v>1073437.25</v>
      </c>
      <c r="T53" s="130">
        <f t="shared" ref="T53" si="93">Q53/S53</f>
        <v>55.209196438823042</v>
      </c>
      <c r="U53" s="85">
        <f t="shared" ref="U53" si="94">Q51+Q52+Q53</f>
        <v>186189569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3375953.2352941176</v>
      </c>
      <c r="G54" s="190">
        <f t="shared" ref="G54" si="95">F54/F53-1</f>
        <v>0.19626563980337597</v>
      </c>
      <c r="H54" s="190">
        <f t="shared" ref="H54" si="96">F54/F42-1</f>
        <v>-5.8701339229805249E-3</v>
      </c>
      <c r="I54" s="130">
        <f t="shared" ref="I54" si="97">T54</f>
        <v>50.382040421893983</v>
      </c>
      <c r="J54" s="130">
        <f t="shared" ref="J54" si="98">I54/I42-1</f>
        <v>-6.918979269746639E-2</v>
      </c>
      <c r="K54" s="136"/>
      <c r="L54" s="190"/>
      <c r="M54" s="190"/>
      <c r="N54" s="191"/>
      <c r="O54" s="192"/>
      <c r="P54" s="129" t="s">
        <v>1417</v>
      </c>
      <c r="Q54" s="116">
        <v>57391205</v>
      </c>
      <c r="R54" s="116">
        <v>83094441946</v>
      </c>
      <c r="S54" s="116">
        <v>1139120.3</v>
      </c>
      <c r="T54" s="130">
        <f t="shared" ref="T54" si="99">Q54/S54</f>
        <v>50.382040421893983</v>
      </c>
      <c r="U54" s="85">
        <f t="shared" ref="U54" si="100">Q52+Q53+Q54</f>
        <v>188795930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9600574.7114845943</v>
      </c>
      <c r="C55" s="188">
        <f>AVERAGE(F53:F55)</f>
        <v>3200191.5704948646</v>
      </c>
      <c r="D55" s="190">
        <f>C55/C52-1</f>
        <v>-3.1544034995769854E-2</v>
      </c>
      <c r="E55" s="287">
        <f>C55/C43-1</f>
        <v>-2.1059089904132633E-2</v>
      </c>
      <c r="F55" s="136">
        <f>Q55/21</f>
        <v>3402544.9047619049</v>
      </c>
      <c r="G55" s="190">
        <f t="shared" ref="G55" si="101">F55/F54-1</f>
        <v>7.8767884548229805E-3</v>
      </c>
      <c r="H55" s="190">
        <f t="shared" ref="H55" si="102">F55/F43-1</f>
        <v>2.5305008699354703E-2</v>
      </c>
      <c r="I55" s="130">
        <f>T55</f>
        <v>53.587679780346242</v>
      </c>
      <c r="J55" s="130">
        <f t="shared" ref="J55" si="103">I55/I43-1</f>
        <v>3.7421960811898636E-2</v>
      </c>
      <c r="K55" s="136">
        <f>R53+R54+R55</f>
        <v>274824932931</v>
      </c>
      <c r="L55" s="190">
        <f>U55/U52-1</f>
        <v>-4.5300928976841015E-2</v>
      </c>
      <c r="M55" s="190">
        <f>K55/K43-1</f>
        <v>-3.6403412909513655E-3</v>
      </c>
      <c r="N55" s="191">
        <f>AVERAGE(T53:T55)</f>
        <v>53.05963888035442</v>
      </c>
      <c r="O55" s="192">
        <f>N55/N52-1</f>
        <v>7.2634649465981305E-3</v>
      </c>
      <c r="P55" s="129" t="s">
        <v>1418</v>
      </c>
      <c r="Q55" s="116">
        <v>71453443</v>
      </c>
      <c r="R55" s="116">
        <v>105325966886</v>
      </c>
      <c r="S55" s="116">
        <v>1333393.1100000001</v>
      </c>
      <c r="T55" s="130">
        <f t="shared" ref="T55" si="104">Q55/S55</f>
        <v>53.587679780346242</v>
      </c>
      <c r="U55" s="85">
        <f t="shared" ref="U55" si="105">Q53+Q54+Q55</f>
        <v>188108256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3780842.1818181816</v>
      </c>
      <c r="G56" s="190">
        <f t="shared" ref="G56" si="106">F56/F55-1</f>
        <v>0.11118068611727794</v>
      </c>
      <c r="H56" s="190">
        <f t="shared" ref="H56" si="107">F56/F44-1</f>
        <v>8.6890558585130284E-2</v>
      </c>
      <c r="I56" s="291">
        <f>T56</f>
        <v>53.135100850487753</v>
      </c>
      <c r="J56" s="130">
        <f t="shared" ref="J56" si="108">I56/I44-1</f>
        <v>-3.8276628129263357E-2</v>
      </c>
      <c r="K56" s="136"/>
      <c r="L56" s="190"/>
      <c r="M56" s="190"/>
      <c r="N56" s="191"/>
      <c r="O56" s="192"/>
      <c r="P56" s="129" t="s">
        <v>1420</v>
      </c>
      <c r="Q56" s="116">
        <v>83178528</v>
      </c>
      <c r="R56" s="116">
        <v>124190923919</v>
      </c>
      <c r="S56" s="116">
        <v>1565415.83</v>
      </c>
      <c r="T56" s="130">
        <f t="shared" ref="T56" si="109">Q56/S56</f>
        <v>53.135100850487753</v>
      </c>
      <c r="U56" s="85">
        <f t="shared" ref="U56" si="110">Q54+Q55+Q56</f>
        <v>212023176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8400347.583333334</v>
      </c>
      <c r="G57" s="254">
        <f t="shared" ref="G57" si="111">F57/F56-1</f>
        <v>1.2218191554596078</v>
      </c>
      <c r="H57" s="254">
        <f t="shared" ref="H57" si="112">F57/F45-1</f>
        <v>1.2589067922552535</v>
      </c>
      <c r="I57" s="282">
        <f>T57</f>
        <v>122.41776422969296</v>
      </c>
      <c r="J57" s="277">
        <f t="shared" ref="J57" si="113">I57/I45-1</f>
        <v>1.2598137028476484</v>
      </c>
      <c r="K57" s="204"/>
      <c r="L57" s="254"/>
      <c r="M57" s="254"/>
      <c r="N57" s="257"/>
      <c r="O57" s="258"/>
      <c r="P57" s="129" t="s">
        <v>1436</v>
      </c>
      <c r="Q57" s="116">
        <v>100804171</v>
      </c>
      <c r="R57" s="116">
        <v>148987802861</v>
      </c>
      <c r="S57" s="116">
        <v>823443.98</v>
      </c>
      <c r="T57" s="130">
        <f t="shared" ref="T57" si="114">Q57/S57</f>
        <v>122.41776422969296</v>
      </c>
      <c r="U57" s="85">
        <f t="shared" ref="U57" si="115">Q55+Q56+Q57</f>
        <v>255436142</v>
      </c>
      <c r="V57" s="79"/>
      <c r="W57" s="79"/>
      <c r="X57" s="79"/>
      <c r="Y57" s="79"/>
      <c r="Z57" s="79"/>
    </row>
    <row r="58" spans="1:26">
      <c r="B58" s="196">
        <f>SUM(F56:F58)</f>
        <v>12181189.765151516</v>
      </c>
      <c r="C58" s="196">
        <f>AVERAGE(F56:F58)</f>
        <v>6090594.8825757578</v>
      </c>
      <c r="D58" s="197">
        <f>C58/C55-1</f>
        <v>0.90319696443483011</v>
      </c>
      <c r="E58" s="233">
        <f>C58/C46-1</f>
        <v>0.71514263543858769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372090955</v>
      </c>
      <c r="R64" s="212">
        <v>548003659711</v>
      </c>
      <c r="S64" s="213">
        <v>5934810.5</v>
      </c>
      <c r="T64" s="214">
        <v>877</v>
      </c>
      <c r="U64" s="214">
        <v>3694</v>
      </c>
    </row>
    <row r="65" spans="16:21" ht="18" thickBot="1">
      <c r="P65" s="180" t="s">
        <v>976</v>
      </c>
      <c r="Q65" s="181">
        <v>59263608</v>
      </c>
      <c r="R65" s="181">
        <v>86404524099</v>
      </c>
      <c r="S65" s="182">
        <v>1073437.25</v>
      </c>
      <c r="T65" s="210">
        <v>447</v>
      </c>
      <c r="U65" s="210">
        <v>1646</v>
      </c>
    </row>
    <row r="66" spans="16:21" ht="18" thickBot="1">
      <c r="P66" s="180" t="s">
        <v>977</v>
      </c>
      <c r="Q66" s="181">
        <v>57391205</v>
      </c>
      <c r="R66" s="181">
        <v>83094441946</v>
      </c>
      <c r="S66" s="182">
        <v>1139120.3</v>
      </c>
      <c r="T66" s="210">
        <v>428</v>
      </c>
      <c r="U66" s="210">
        <v>1498</v>
      </c>
    </row>
    <row r="67" spans="16:21" ht="18" thickBot="1">
      <c r="P67" s="180" t="s">
        <v>978</v>
      </c>
      <c r="Q67" s="181">
        <v>71453443</v>
      </c>
      <c r="R67" s="181">
        <v>105325966886</v>
      </c>
      <c r="S67" s="182">
        <v>1333393.1100000001</v>
      </c>
      <c r="T67" s="210">
        <v>477</v>
      </c>
      <c r="U67" s="210">
        <v>1659</v>
      </c>
    </row>
    <row r="68" spans="16:21" ht="18" thickBot="1">
      <c r="P68" s="180" t="s">
        <v>979</v>
      </c>
      <c r="Q68" s="181">
        <v>83178528</v>
      </c>
      <c r="R68" s="181">
        <v>124190923919</v>
      </c>
      <c r="S68" s="182">
        <v>1565415.83</v>
      </c>
      <c r="T68" s="210">
        <v>510</v>
      </c>
      <c r="U68" s="210">
        <v>1793</v>
      </c>
    </row>
    <row r="69" spans="16:21" ht="18" thickBot="1">
      <c r="P69" s="180" t="s">
        <v>980</v>
      </c>
      <c r="Q69" s="181">
        <v>100804171</v>
      </c>
      <c r="R69" s="181">
        <v>148987802861</v>
      </c>
      <c r="S69" s="182">
        <v>823443.98</v>
      </c>
      <c r="T69" s="210">
        <v>363</v>
      </c>
      <c r="U69" s="210">
        <v>1149</v>
      </c>
    </row>
    <row r="70" spans="16:21" ht="18" thickBot="1">
      <c r="P70" s="180" t="s">
        <v>975</v>
      </c>
      <c r="Q70" s="181">
        <v>830138639</v>
      </c>
      <c r="R70" s="181">
        <v>1179289671160</v>
      </c>
      <c r="S70" s="182">
        <v>15678836.01</v>
      </c>
      <c r="T70" s="210">
        <v>1313</v>
      </c>
      <c r="U70" s="210">
        <v>8560</v>
      </c>
    </row>
    <row r="71" spans="16:21" ht="18" thickBot="1">
      <c r="P71" s="215" t="s">
        <v>982</v>
      </c>
      <c r="Q71" s="217" t="s">
        <v>1499</v>
      </c>
      <c r="R71"/>
      <c r="S71"/>
      <c r="T71"/>
      <c r="U71"/>
    </row>
  </sheetData>
  <phoneticPr fontId="1" type="noConversion"/>
  <conditionalFormatting sqref="C29:C30">
    <cfRule type="cellIs" dxfId="1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102"/>
      <c r="H1" s="102"/>
      <c r="K1" s="79" t="s">
        <v>256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208"/>
      <c r="G2" s="102"/>
      <c r="H2" s="102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102"/>
      <c r="H3" s="102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209" t="s">
        <v>282</v>
      </c>
      <c r="H4" s="209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240752.95</v>
      </c>
      <c r="G5" s="90"/>
      <c r="H5" s="90"/>
      <c r="I5" s="130">
        <f t="shared" ref="I5:I49" si="0">T5</f>
        <v>31.102082825737199</v>
      </c>
      <c r="J5" s="130"/>
      <c r="K5" s="86"/>
      <c r="L5" s="80"/>
      <c r="M5" s="80"/>
      <c r="P5" s="129" t="s">
        <v>0</v>
      </c>
      <c r="Q5" s="116">
        <v>4815059</v>
      </c>
      <c r="R5" s="116">
        <v>5679764480</v>
      </c>
      <c r="S5" s="116">
        <v>154814.68</v>
      </c>
      <c r="T5" s="130">
        <f t="shared" ref="T5:T45" si="1">Q5/S5</f>
        <v>31.102082825737199</v>
      </c>
      <c r="U5" s="85"/>
    </row>
    <row r="6" spans="1:21" ht="15" hidden="1" customHeight="1">
      <c r="A6" s="129" t="s">
        <v>1</v>
      </c>
      <c r="C6" s="79"/>
      <c r="F6" s="78">
        <f>Q6/18</f>
        <v>247137.77777777778</v>
      </c>
      <c r="G6" s="90">
        <f t="shared" ref="G6:G46" si="2">F6/F5-1</f>
        <v>2.6520247323149171E-2</v>
      </c>
      <c r="H6" s="90"/>
      <c r="I6" s="130">
        <f t="shared" si="0"/>
        <v>39.058695689203596</v>
      </c>
      <c r="J6" s="130"/>
      <c r="K6" s="78"/>
      <c r="P6" s="129" t="s">
        <v>1</v>
      </c>
      <c r="Q6" s="116">
        <v>4448480</v>
      </c>
      <c r="R6" s="116">
        <v>5282870937</v>
      </c>
      <c r="S6" s="116">
        <v>113892.18</v>
      </c>
      <c r="T6" s="130">
        <f t="shared" si="1"/>
        <v>39.058695689203596</v>
      </c>
      <c r="U6" s="85"/>
    </row>
    <row r="7" spans="1:21" ht="15" hidden="1" customHeight="1">
      <c r="A7" s="129" t="s">
        <v>2</v>
      </c>
      <c r="B7" s="131">
        <f>F5+F6+F7</f>
        <v>720701.18232323241</v>
      </c>
      <c r="C7" s="131">
        <f>AVERAGE(F5:F7)</f>
        <v>240233.72744107747</v>
      </c>
      <c r="F7" s="78">
        <f>Q7/22</f>
        <v>232810.45454545456</v>
      </c>
      <c r="G7" s="90">
        <f t="shared" si="2"/>
        <v>-5.7973019589122154E-2</v>
      </c>
      <c r="H7" s="90"/>
      <c r="I7" s="130">
        <f t="shared" si="0"/>
        <v>32.985250750001434</v>
      </c>
      <c r="J7" s="130"/>
      <c r="K7" s="85">
        <f>R5+R6+R7</f>
        <v>17122768152</v>
      </c>
      <c r="N7" s="88">
        <f>AVERAGE(T5:T7)</f>
        <v>34.382009754980743</v>
      </c>
      <c r="P7" s="129" t="s">
        <v>2</v>
      </c>
      <c r="Q7" s="116">
        <v>5121830</v>
      </c>
      <c r="R7" s="116">
        <v>6160132735</v>
      </c>
      <c r="S7" s="116">
        <v>155276.37</v>
      </c>
      <c r="T7" s="130">
        <f t="shared" si="1"/>
        <v>32.985250750001434</v>
      </c>
      <c r="U7" s="85">
        <f>Q5+Q6+Q7</f>
        <v>14385369</v>
      </c>
    </row>
    <row r="8" spans="1:21" ht="15" hidden="1" customHeight="1">
      <c r="A8" s="129" t="s">
        <v>3</v>
      </c>
      <c r="C8" s="79"/>
      <c r="F8" s="78">
        <f>Q8/21</f>
        <v>256630.14285714287</v>
      </c>
      <c r="G8" s="90">
        <f t="shared" si="2"/>
        <v>0.10231365407620774</v>
      </c>
      <c r="H8" s="90"/>
      <c r="I8" s="130">
        <f t="shared" si="0"/>
        <v>43.800761559012123</v>
      </c>
      <c r="J8" s="130"/>
      <c r="K8" s="78"/>
      <c r="P8" s="129" t="s">
        <v>3</v>
      </c>
      <c r="Q8" s="116">
        <v>5389233</v>
      </c>
      <c r="R8" s="116">
        <v>6526774933</v>
      </c>
      <c r="S8" s="116">
        <v>123039.71</v>
      </c>
      <c r="T8" s="130">
        <f t="shared" si="1"/>
        <v>43.800761559012123</v>
      </c>
      <c r="U8" s="85"/>
    </row>
    <row r="9" spans="1:21" ht="15" hidden="1" customHeight="1">
      <c r="A9" s="129" t="s">
        <v>4</v>
      </c>
      <c r="C9" s="79"/>
      <c r="F9" s="78">
        <f>Q9/21</f>
        <v>158383.61904761905</v>
      </c>
      <c r="G9" s="90">
        <f t="shared" si="2"/>
        <v>-0.38283314156207382</v>
      </c>
      <c r="H9" s="90"/>
      <c r="I9" s="130">
        <f t="shared" si="0"/>
        <v>40.54165963253493</v>
      </c>
      <c r="J9" s="130"/>
      <c r="K9" s="78"/>
      <c r="P9" s="129" t="s">
        <v>4</v>
      </c>
      <c r="Q9" s="116">
        <v>3326056</v>
      </c>
      <c r="R9" s="116">
        <v>4185989021</v>
      </c>
      <c r="S9" s="116">
        <v>82040.45</v>
      </c>
      <c r="T9" s="130">
        <f t="shared" si="1"/>
        <v>40.54165963253493</v>
      </c>
      <c r="U9" s="85"/>
    </row>
    <row r="10" spans="1:21" ht="15" hidden="1" customHeight="1">
      <c r="A10" s="129" t="s">
        <v>5</v>
      </c>
      <c r="B10" s="131">
        <f>F8+F9+F10</f>
        <v>622252.33333333326</v>
      </c>
      <c r="C10" s="131">
        <f>AVERAGE(F8:F10)</f>
        <v>207417.44444444441</v>
      </c>
      <c r="D10" s="90">
        <f>C10/C7-1</f>
        <v>-0.13660148117496107</v>
      </c>
      <c r="E10" s="286"/>
      <c r="F10" s="78">
        <f>Q10/21</f>
        <v>207238.57142857142</v>
      </c>
      <c r="G10" s="90">
        <f t="shared" si="2"/>
        <v>0.30845962906216839</v>
      </c>
      <c r="H10" s="90"/>
      <c r="I10" s="130">
        <f t="shared" si="0"/>
        <v>43.139788254704179</v>
      </c>
      <c r="J10" s="130"/>
      <c r="K10" s="85">
        <f>R8+R9+R10</f>
        <v>16162663369</v>
      </c>
      <c r="L10" s="87">
        <f>U10/U7-1</f>
        <v>-9.1625734452831953E-2</v>
      </c>
      <c r="N10" s="88">
        <f>AVERAGE(T8:T10)</f>
        <v>42.494069815417078</v>
      </c>
      <c r="O10" s="89">
        <f>N10/N7-1</f>
        <v>0.23593908902492777</v>
      </c>
      <c r="P10" s="129" t="s">
        <v>5</v>
      </c>
      <c r="Q10" s="116">
        <v>4352010</v>
      </c>
      <c r="R10" s="116">
        <v>5449899415</v>
      </c>
      <c r="S10" s="116">
        <v>100881.58</v>
      </c>
      <c r="T10" s="130">
        <f t="shared" si="1"/>
        <v>43.139788254704179</v>
      </c>
      <c r="U10" s="85">
        <f>Q8+Q9+Q10</f>
        <v>13067299</v>
      </c>
    </row>
    <row r="11" spans="1:21" ht="15" hidden="1" customHeight="1">
      <c r="A11" s="129" t="s">
        <v>6</v>
      </c>
      <c r="C11" s="79"/>
      <c r="F11" s="78">
        <f>Q11/21</f>
        <v>186696.23809523811</v>
      </c>
      <c r="G11" s="90">
        <f t="shared" si="2"/>
        <v>-9.9124082895030052E-2</v>
      </c>
      <c r="H11" s="90"/>
      <c r="I11" s="130">
        <f t="shared" si="0"/>
        <v>40.939549590095034</v>
      </c>
      <c r="J11" s="130"/>
      <c r="K11" s="78"/>
      <c r="O11" s="89"/>
      <c r="P11" s="129" t="s">
        <v>6</v>
      </c>
      <c r="Q11" s="116">
        <v>3920621</v>
      </c>
      <c r="R11" s="116">
        <v>5056071792</v>
      </c>
      <c r="S11" s="116">
        <v>95766.1</v>
      </c>
      <c r="T11" s="130">
        <f t="shared" si="1"/>
        <v>40.939549590095034</v>
      </c>
      <c r="U11" s="85"/>
    </row>
    <row r="12" spans="1:21" ht="15" hidden="1" customHeight="1">
      <c r="A12" s="129" t="s">
        <v>7</v>
      </c>
      <c r="C12" s="79"/>
      <c r="F12" s="78">
        <f>Q12/22</f>
        <v>156822.63636363635</v>
      </c>
      <c r="G12" s="90">
        <f t="shared" si="2"/>
        <v>-0.1600118033249418</v>
      </c>
      <c r="H12" s="90"/>
      <c r="I12" s="130">
        <f t="shared" si="0"/>
        <v>32.787050072291017</v>
      </c>
      <c r="J12" s="130"/>
      <c r="K12" s="78"/>
      <c r="O12" s="89"/>
      <c r="P12" s="129" t="s">
        <v>7</v>
      </c>
      <c r="Q12" s="116">
        <v>3450098</v>
      </c>
      <c r="R12" s="116">
        <v>4497061765</v>
      </c>
      <c r="S12" s="116">
        <v>105227.46</v>
      </c>
      <c r="T12" s="130">
        <f t="shared" si="1"/>
        <v>32.787050072291017</v>
      </c>
      <c r="U12" s="85"/>
    </row>
    <row r="13" spans="1:21" ht="15" hidden="1" customHeight="1">
      <c r="A13" s="129" t="s">
        <v>96</v>
      </c>
      <c r="B13" s="131">
        <f>F11+F12+F13</f>
        <v>531731.17445887439</v>
      </c>
      <c r="C13" s="131">
        <f>AVERAGE(F11:F13)</f>
        <v>177243.7248196248</v>
      </c>
      <c r="D13" s="90">
        <f>C13/C10-1</f>
        <v>-0.14547339403220483</v>
      </c>
      <c r="E13" s="286"/>
      <c r="F13" s="78">
        <f>Q13/20</f>
        <v>188212.3</v>
      </c>
      <c r="G13" s="90">
        <f t="shared" si="2"/>
        <v>0.20016028530204077</v>
      </c>
      <c r="H13" s="90"/>
      <c r="I13" s="130">
        <f t="shared" si="0"/>
        <v>38.852100730183906</v>
      </c>
      <c r="J13" s="130"/>
      <c r="K13" s="78">
        <f>R11+R12+R13</f>
        <v>14709078587</v>
      </c>
      <c r="L13" s="87">
        <f>U13/U10-1</f>
        <v>-0.14787554796136526</v>
      </c>
      <c r="N13" s="88">
        <f>AVERAGE(T11:T13)</f>
        <v>37.526233464189986</v>
      </c>
      <c r="O13" s="89">
        <f>N13/N10-1</f>
        <v>-0.1169065795017058</v>
      </c>
      <c r="P13" s="129" t="s">
        <v>96</v>
      </c>
      <c r="Q13" s="116">
        <v>3764246</v>
      </c>
      <c r="R13" s="116">
        <v>5155945030</v>
      </c>
      <c r="S13" s="116">
        <v>96886.55</v>
      </c>
      <c r="T13" s="130">
        <f t="shared" si="1"/>
        <v>38.852100730183906</v>
      </c>
      <c r="U13" s="85">
        <f>Q11+Q12+Q13</f>
        <v>11134965</v>
      </c>
    </row>
    <row r="14" spans="1:21" ht="15" hidden="1" customHeight="1">
      <c r="A14" s="129" t="s">
        <v>97</v>
      </c>
      <c r="C14" s="79"/>
      <c r="F14" s="78">
        <f>Q14/20</f>
        <v>166707.15</v>
      </c>
      <c r="G14" s="90">
        <f t="shared" si="2"/>
        <v>-0.11426006695630408</v>
      </c>
      <c r="H14" s="90"/>
      <c r="I14" s="130">
        <f t="shared" si="0"/>
        <v>35.299773165806002</v>
      </c>
      <c r="J14" s="130"/>
      <c r="K14" s="78"/>
      <c r="O14" s="89"/>
      <c r="P14" s="129" t="s">
        <v>97</v>
      </c>
      <c r="Q14" s="116">
        <v>3334143</v>
      </c>
      <c r="R14" s="116">
        <v>4752646401</v>
      </c>
      <c r="S14" s="116">
        <v>94452.25</v>
      </c>
      <c r="T14" s="130">
        <f t="shared" si="1"/>
        <v>35.299773165806002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126309.04545454546</v>
      </c>
      <c r="G15" s="90">
        <f t="shared" si="2"/>
        <v>-0.24232976537271822</v>
      </c>
      <c r="H15" s="90"/>
      <c r="I15" s="130">
        <f t="shared" si="0"/>
        <v>40.026991004294963</v>
      </c>
      <c r="J15" s="130"/>
      <c r="K15" s="78"/>
      <c r="O15" s="89"/>
      <c r="P15" s="129" t="s">
        <v>98</v>
      </c>
      <c r="Q15" s="116">
        <v>2778799</v>
      </c>
      <c r="R15" s="116">
        <v>3843440704</v>
      </c>
      <c r="S15" s="116">
        <v>69423.13</v>
      </c>
      <c r="T15" s="130">
        <f t="shared" si="1"/>
        <v>40.026991004294963</v>
      </c>
      <c r="U15" s="85"/>
    </row>
    <row r="16" spans="1:21" ht="15" hidden="1" customHeight="1">
      <c r="A16" s="129" t="s">
        <v>99</v>
      </c>
      <c r="B16" s="131">
        <f>F14+F15+F16</f>
        <v>494907.60454545449</v>
      </c>
      <c r="C16" s="131">
        <f>AVERAGE(F14:F16)</f>
        <v>164969.20151515151</v>
      </c>
      <c r="D16" s="90">
        <f>C16/C13-1</f>
        <v>-6.9252230604861631E-2</v>
      </c>
      <c r="E16" s="286"/>
      <c r="F16" s="78">
        <f>Q16/22</f>
        <v>201891.40909090909</v>
      </c>
      <c r="G16" s="90">
        <f t="shared" si="2"/>
        <v>0.59839232704488521</v>
      </c>
      <c r="H16" s="90"/>
      <c r="I16" s="130">
        <f t="shared" si="0"/>
        <v>35.233828897728706</v>
      </c>
      <c r="J16" s="130"/>
      <c r="K16" s="78">
        <f>R14+R15+R16</f>
        <v>14422562664</v>
      </c>
      <c r="L16" s="87">
        <f>U16/U13-1</f>
        <v>-5.2125175067905483E-2</v>
      </c>
      <c r="N16" s="88">
        <f>AVERAGE(T14:T16)</f>
        <v>36.853531022609893</v>
      </c>
      <c r="O16" s="89">
        <f>N16/N13-1</f>
        <v>-1.7926191346169351E-2</v>
      </c>
      <c r="P16" s="129" t="s">
        <v>99</v>
      </c>
      <c r="Q16" s="116">
        <v>4441611</v>
      </c>
      <c r="R16" s="116">
        <v>5826475559</v>
      </c>
      <c r="S16" s="116">
        <v>126060.98</v>
      </c>
      <c r="T16" s="130">
        <f t="shared" si="1"/>
        <v>35.233828897728706</v>
      </c>
      <c r="U16" s="85">
        <f>Q14+Q15+Q16</f>
        <v>10554553</v>
      </c>
    </row>
    <row r="17" spans="1:21" ht="15" hidden="1" customHeight="1">
      <c r="A17" s="129" t="s">
        <v>100</v>
      </c>
      <c r="C17" s="79"/>
      <c r="F17" s="78">
        <f>Q17/20</f>
        <v>246617.05</v>
      </c>
      <c r="G17" s="90">
        <f t="shared" si="2"/>
        <v>0.22153315542491225</v>
      </c>
      <c r="H17" s="90">
        <f t="shared" ref="H17:H45" si="3">F17/F5-1</f>
        <v>2.4357333939210246E-2</v>
      </c>
      <c r="I17" s="130">
        <f t="shared" si="0"/>
        <v>33.241651038824131</v>
      </c>
      <c r="J17" s="130">
        <f t="shared" ref="J17:J49" si="4">I17/I5-1</f>
        <v>6.8791798448829988E-2</v>
      </c>
      <c r="K17" s="78"/>
      <c r="O17" s="89"/>
      <c r="P17" s="129" t="s">
        <v>100</v>
      </c>
      <c r="Q17" s="116">
        <v>4932341</v>
      </c>
      <c r="R17" s="116">
        <v>6175175808</v>
      </c>
      <c r="S17" s="116">
        <v>148378.34</v>
      </c>
      <c r="T17" s="130">
        <f t="shared" si="1"/>
        <v>33.241651038824131</v>
      </c>
      <c r="U17" s="78"/>
    </row>
    <row r="18" spans="1:21" ht="15" hidden="1" customHeight="1">
      <c r="A18" s="129" t="s">
        <v>106</v>
      </c>
      <c r="C18" s="79"/>
      <c r="F18" s="78">
        <f>Q18/20</f>
        <v>239951.15</v>
      </c>
      <c r="G18" s="90">
        <f t="shared" si="2"/>
        <v>-2.7029355837319469E-2</v>
      </c>
      <c r="H18" s="90">
        <f t="shared" si="3"/>
        <v>-2.9079438369960076E-2</v>
      </c>
      <c r="I18" s="130">
        <f t="shared" si="0"/>
        <v>31.795121145191306</v>
      </c>
      <c r="J18" s="130">
        <f t="shared" si="4"/>
        <v>-0.18596561958468183</v>
      </c>
      <c r="K18" s="78"/>
      <c r="O18" s="89"/>
      <c r="P18" s="129" t="s">
        <v>106</v>
      </c>
      <c r="Q18" s="116">
        <v>4799023</v>
      </c>
      <c r="R18" s="116">
        <v>6017694039</v>
      </c>
      <c r="S18" s="116">
        <v>150935.82999999999</v>
      </c>
      <c r="T18" s="130">
        <f t="shared" si="1"/>
        <v>31.795121145191306</v>
      </c>
      <c r="U18" s="78"/>
    </row>
    <row r="19" spans="1:21" hidden="1">
      <c r="A19" s="129" t="s">
        <v>114</v>
      </c>
      <c r="B19" s="131">
        <f>SUM(F17:F19)</f>
        <v>824600.2</v>
      </c>
      <c r="C19" s="131">
        <f>AVERAGE(F17:F19)</f>
        <v>274866.73333333334</v>
      </c>
      <c r="D19" s="90">
        <f>C19/C16-1</f>
        <v>0.66616999299768298</v>
      </c>
      <c r="E19" s="286">
        <f>C19/C7-1</f>
        <v>0.14416379523874467</v>
      </c>
      <c r="F19" s="78">
        <f>Q19/22</f>
        <v>338032</v>
      </c>
      <c r="G19" s="90">
        <f t="shared" si="2"/>
        <v>0.40875340668298521</v>
      </c>
      <c r="H19" s="90">
        <f t="shared" si="3"/>
        <v>0.45196228691698082</v>
      </c>
      <c r="I19" s="130">
        <f t="shared" si="0"/>
        <v>55.283916549706213</v>
      </c>
      <c r="J19" s="130">
        <f t="shared" si="4"/>
        <v>0.67601929021879004</v>
      </c>
      <c r="K19" s="78">
        <f>R17+R18+R19</f>
        <v>21922867959</v>
      </c>
      <c r="L19" s="87">
        <f>U19/U16-1</f>
        <v>0.62660304041298565</v>
      </c>
      <c r="M19" s="87">
        <f>U19/U7-1</f>
        <v>0.19343952873228343</v>
      </c>
      <c r="N19" s="88">
        <f>AVERAGE(T17:T19)</f>
        <v>40.106896244573882</v>
      </c>
      <c r="O19" s="89">
        <f>N19/N16-1</f>
        <v>8.8278249917708829E-2</v>
      </c>
      <c r="P19" s="129" t="s">
        <v>114</v>
      </c>
      <c r="Q19" s="116">
        <v>7436704</v>
      </c>
      <c r="R19" s="116">
        <v>9729998112</v>
      </c>
      <c r="S19" s="116">
        <v>134518.39999999999</v>
      </c>
      <c r="T19" s="130">
        <f t="shared" si="1"/>
        <v>55.283916549706213</v>
      </c>
      <c r="U19" s="85">
        <f>Q17+Q18+Q19</f>
        <v>17168068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237720</v>
      </c>
      <c r="G20" s="90">
        <f t="shared" si="2"/>
        <v>-0.29675297013300517</v>
      </c>
      <c r="H20" s="90">
        <f t="shared" si="3"/>
        <v>-7.3686366872614428E-2</v>
      </c>
      <c r="I20" s="130">
        <f t="shared" si="0"/>
        <v>31.987484889808886</v>
      </c>
      <c r="J20" s="130">
        <f t="shared" si="4"/>
        <v>-0.26970482358594117</v>
      </c>
      <c r="K20" s="78"/>
      <c r="O20" s="89"/>
      <c r="P20" s="129" t="s">
        <v>131</v>
      </c>
      <c r="Q20" s="116">
        <v>4754400</v>
      </c>
      <c r="R20" s="116">
        <v>6224180318</v>
      </c>
      <c r="S20" s="116">
        <v>148633.13</v>
      </c>
      <c r="T20" s="130">
        <f t="shared" si="1"/>
        <v>31.987484889808886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215335.14285714287</v>
      </c>
      <c r="G21" s="90">
        <f t="shared" si="2"/>
        <v>-9.4164803730679481E-2</v>
      </c>
      <c r="H21" s="90">
        <f t="shared" si="3"/>
        <v>0.35957963425751105</v>
      </c>
      <c r="I21" s="130">
        <f t="shared" si="0"/>
        <v>30.839242490363159</v>
      </c>
      <c r="J21" s="130">
        <f t="shared" si="4"/>
        <v>-0.23931968326194331</v>
      </c>
      <c r="K21" s="78"/>
      <c r="O21" s="89"/>
      <c r="P21" s="129" t="s">
        <v>141</v>
      </c>
      <c r="Q21" s="116">
        <v>4522038</v>
      </c>
      <c r="R21" s="116">
        <v>6026538902</v>
      </c>
      <c r="S21" s="116">
        <v>146632.59</v>
      </c>
      <c r="T21" s="130">
        <f t="shared" si="1"/>
        <v>30.839242490363159</v>
      </c>
      <c r="U21" s="78"/>
    </row>
    <row r="22" spans="1:21" hidden="1">
      <c r="A22" s="129" t="s">
        <v>155</v>
      </c>
      <c r="B22" s="131">
        <f>SUM(F20:F22)</f>
        <v>650076.57142857136</v>
      </c>
      <c r="C22" s="131">
        <f>AVERAGE(F20:F22)</f>
        <v>216692.19047619044</v>
      </c>
      <c r="D22" s="90">
        <f>C22/C19-1</f>
        <v>-0.2116463573152525</v>
      </c>
      <c r="E22" s="286">
        <f>C22/C10-1</f>
        <v>4.4715361606097792E-2</v>
      </c>
      <c r="F22" s="78">
        <f>Q22/21</f>
        <v>197021.42857142858</v>
      </c>
      <c r="G22" s="90">
        <f t="shared" si="2"/>
        <v>-8.5047494072363006E-2</v>
      </c>
      <c r="H22" s="90">
        <f t="shared" si="3"/>
        <v>-4.9301357303866422E-2</v>
      </c>
      <c r="I22" s="130">
        <f t="shared" si="0"/>
        <v>35.02284448187784</v>
      </c>
      <c r="J22" s="130">
        <f t="shared" si="4"/>
        <v>-0.18815446485046727</v>
      </c>
      <c r="K22" s="78">
        <f>R20+R21+R22</f>
        <v>17627388166</v>
      </c>
      <c r="L22" s="87">
        <f>U22/U19-1</f>
        <v>-0.21867224663835205</v>
      </c>
      <c r="M22" s="87">
        <f>U22/U10-1</f>
        <v>2.6523384824974183E-2</v>
      </c>
      <c r="N22" s="88">
        <f>AVERAGE(T20:T22)</f>
        <v>32.616523954016628</v>
      </c>
      <c r="O22" s="89">
        <f>N22/N19-1</f>
        <v>-0.18676020814177652</v>
      </c>
      <c r="P22" s="129" t="s">
        <v>155</v>
      </c>
      <c r="Q22" s="116">
        <v>4137450</v>
      </c>
      <c r="R22" s="116">
        <v>5376668946</v>
      </c>
      <c r="S22" s="116">
        <v>118135.75</v>
      </c>
      <c r="T22" s="130">
        <f t="shared" si="1"/>
        <v>35.02284448187784</v>
      </c>
      <c r="U22" s="85">
        <f>Q20+Q21+Q22</f>
        <v>13413888</v>
      </c>
    </row>
    <row r="23" spans="1:21" hidden="1">
      <c r="A23" s="129" t="s">
        <v>189</v>
      </c>
      <c r="B23" s="131"/>
      <c r="C23" s="131"/>
      <c r="F23" s="78">
        <f>Q23/21</f>
        <v>177077.61904761905</v>
      </c>
      <c r="G23" s="90">
        <f t="shared" si="2"/>
        <v>-0.10122660092569091</v>
      </c>
      <c r="H23" s="90">
        <f t="shared" si="3"/>
        <v>-5.1520154587755385E-2</v>
      </c>
      <c r="I23" s="130">
        <f t="shared" si="0"/>
        <v>29.444951386845545</v>
      </c>
      <c r="J23" s="130">
        <f t="shared" si="4"/>
        <v>-0.28077002112476845</v>
      </c>
      <c r="K23" s="78"/>
      <c r="O23" s="89"/>
      <c r="P23" s="129" t="s">
        <v>189</v>
      </c>
      <c r="Q23" s="116">
        <v>3718630</v>
      </c>
      <c r="R23" s="116">
        <v>4767304004</v>
      </c>
      <c r="S23" s="116">
        <v>126290.92</v>
      </c>
      <c r="T23" s="130">
        <f t="shared" si="1"/>
        <v>29.444951386845545</v>
      </c>
      <c r="U23" s="78"/>
    </row>
    <row r="24" spans="1:21" hidden="1">
      <c r="A24" s="129" t="s">
        <v>204</v>
      </c>
      <c r="B24" s="131"/>
      <c r="C24" s="131"/>
      <c r="F24" s="78">
        <f>Q24/22</f>
        <v>136787.27272727274</v>
      </c>
      <c r="G24" s="90">
        <f t="shared" si="2"/>
        <v>-0.22752929781324649</v>
      </c>
      <c r="H24" s="90">
        <f t="shared" si="3"/>
        <v>-0.12775811005948223</v>
      </c>
      <c r="I24" s="130">
        <f t="shared" si="0"/>
        <v>31.502291184211543</v>
      </c>
      <c r="J24" s="130">
        <f t="shared" si="4"/>
        <v>-3.9184949095656729E-2</v>
      </c>
      <c r="K24" s="78"/>
      <c r="O24" s="89"/>
      <c r="P24" s="129" t="s">
        <v>204</v>
      </c>
      <c r="Q24" s="116">
        <v>3009320</v>
      </c>
      <c r="R24" s="116">
        <v>3970950603</v>
      </c>
      <c r="S24" s="116">
        <v>95527.02</v>
      </c>
      <c r="T24" s="130">
        <f t="shared" si="1"/>
        <v>31.502291184211543</v>
      </c>
      <c r="U24" s="78"/>
    </row>
    <row r="25" spans="1:21" s="79" customFormat="1" ht="13.2" hidden="1">
      <c r="A25" s="129" t="s">
        <v>217</v>
      </c>
      <c r="B25" s="131">
        <f>SUM(F23:F25)</f>
        <v>596296.47072226019</v>
      </c>
      <c r="C25" s="131">
        <f>AVERAGE(F23:F25)</f>
        <v>198765.4902407534</v>
      </c>
      <c r="D25" s="90">
        <f>C25/C22-1</f>
        <v>-8.2728870828442602E-2</v>
      </c>
      <c r="E25" s="286">
        <f>C25/C13-1</f>
        <v>0.12142469609590179</v>
      </c>
      <c r="F25" s="78">
        <f>Q25/19</f>
        <v>282431.57894736843</v>
      </c>
      <c r="G25" s="90">
        <f t="shared" si="2"/>
        <v>1.0647504209728793</v>
      </c>
      <c r="H25" s="90">
        <f t="shared" si="3"/>
        <v>0.50060107095746909</v>
      </c>
      <c r="I25" s="130">
        <f t="shared" si="0"/>
        <v>27.827598119741747</v>
      </c>
      <c r="J25" s="130">
        <f t="shared" si="4"/>
        <v>-0.28375563748802146</v>
      </c>
      <c r="K25" s="78">
        <f>R23+R24+R25</f>
        <v>15863306322</v>
      </c>
      <c r="L25" s="90">
        <f>U25/U22-1</f>
        <v>-9.8385941495858664E-2</v>
      </c>
      <c r="M25" s="90">
        <f>U25/U13-1</f>
        <v>8.6141716655598E-2</v>
      </c>
      <c r="N25" s="88">
        <f>AVERAGE(T23:T25)</f>
        <v>29.591613563599612</v>
      </c>
      <c r="O25" s="91">
        <f>N25/N22-1</f>
        <v>-9.2741654343105107E-2</v>
      </c>
      <c r="P25" s="129" t="s">
        <v>217</v>
      </c>
      <c r="Q25" s="116">
        <v>5366200</v>
      </c>
      <c r="R25" s="116">
        <v>7125051715</v>
      </c>
      <c r="S25" s="116">
        <v>192837.34</v>
      </c>
      <c r="T25" s="130">
        <f t="shared" si="1"/>
        <v>27.827598119741747</v>
      </c>
      <c r="U25" s="85">
        <f>Q23+Q24+Q25</f>
        <v>12094150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181865.15789473685</v>
      </c>
      <c r="G26" s="90">
        <f t="shared" si="2"/>
        <v>-0.35607357161492303</v>
      </c>
      <c r="H26" s="90">
        <f t="shared" si="3"/>
        <v>9.0925961452384296E-2</v>
      </c>
      <c r="I26" s="130">
        <f t="shared" si="0"/>
        <v>42.256316212787823</v>
      </c>
      <c r="J26" s="130">
        <f t="shared" si="4"/>
        <v>0.19707047448453441</v>
      </c>
      <c r="K26" s="78"/>
      <c r="L26" s="90"/>
      <c r="M26" s="90"/>
      <c r="P26" s="129" t="s">
        <v>312</v>
      </c>
      <c r="Q26" s="116">
        <v>3455438</v>
      </c>
      <c r="R26" s="116">
        <v>4656546304</v>
      </c>
      <c r="S26" s="116">
        <v>81773.289999999994</v>
      </c>
      <c r="T26" s="130">
        <f t="shared" si="1"/>
        <v>42.256316212787823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174918.13636363635</v>
      </c>
      <c r="G27" s="90">
        <f t="shared" si="2"/>
        <v>-3.8198749070569193E-2</v>
      </c>
      <c r="H27" s="90">
        <f t="shared" si="3"/>
        <v>0.38484251649723489</v>
      </c>
      <c r="I27" s="130">
        <f t="shared" si="0"/>
        <v>30.695467651338259</v>
      </c>
      <c r="J27" s="130">
        <f t="shared" si="4"/>
        <v>-0.23313077298154683</v>
      </c>
      <c r="K27" s="78"/>
      <c r="L27" s="90"/>
      <c r="M27" s="90"/>
      <c r="P27" s="129" t="s">
        <v>373</v>
      </c>
      <c r="Q27" s="116">
        <v>3848199</v>
      </c>
      <c r="R27" s="116">
        <v>5050490164</v>
      </c>
      <c r="S27" s="116">
        <v>125367.01</v>
      </c>
      <c r="T27" s="130">
        <f t="shared" si="1"/>
        <v>30.695467651338259</v>
      </c>
      <c r="U27" s="78"/>
    </row>
    <row r="28" spans="1:21" s="79" customFormat="1" ht="13.2" hidden="1">
      <c r="A28" s="123" t="s">
        <v>413</v>
      </c>
      <c r="B28" s="131">
        <f>SUM(F26:F28)</f>
        <v>622216.61004784692</v>
      </c>
      <c r="C28" s="131">
        <f>AVERAGE(F26:F28)</f>
        <v>207405.53668261564</v>
      </c>
      <c r="D28" s="90">
        <f>C28/C25-1</f>
        <v>4.3468543917744684E-2</v>
      </c>
      <c r="E28" s="286">
        <f>C28/C16-1</f>
        <v>0.25723792548978652</v>
      </c>
      <c r="F28" s="78">
        <f>Q28/19</f>
        <v>265433.31578947371</v>
      </c>
      <c r="G28" s="90">
        <f t="shared" si="2"/>
        <v>0.517471665932147</v>
      </c>
      <c r="H28" s="90">
        <f t="shared" si="3"/>
        <v>0.31473308837005809</v>
      </c>
      <c r="I28" s="130">
        <f t="shared" si="0"/>
        <v>30.6839086487998</v>
      </c>
      <c r="J28" s="130">
        <f t="shared" si="4"/>
        <v>-0.12913499302433773</v>
      </c>
      <c r="K28" s="78">
        <f>R26+R27+R28</f>
        <v>16281866566</v>
      </c>
      <c r="L28" s="90">
        <f>U28/U25-1</f>
        <v>2.0896053050441843E-2</v>
      </c>
      <c r="M28" s="90">
        <f>U28/U16-1</f>
        <v>0.16981458144177219</v>
      </c>
      <c r="N28" s="88">
        <f>AVERAGE(T26:T28)</f>
        <v>34.545230837641959</v>
      </c>
      <c r="O28" s="91">
        <f>N28/N25-1</f>
        <v>0.16739936345126338</v>
      </c>
      <c r="P28" s="129" t="s">
        <v>413</v>
      </c>
      <c r="Q28" s="116">
        <v>5043233</v>
      </c>
      <c r="R28" s="116">
        <v>6574830098</v>
      </c>
      <c r="S28" s="116">
        <v>164360.84</v>
      </c>
      <c r="T28" s="130">
        <f t="shared" si="1"/>
        <v>30.6839086487998</v>
      </c>
      <c r="U28" s="85">
        <f>Q26+Q27+Q28</f>
        <v>12346870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243387.5</v>
      </c>
      <c r="G29" s="190">
        <f t="shared" si="2"/>
        <v>-8.3055948436251192E-2</v>
      </c>
      <c r="H29" s="190">
        <f t="shared" si="3"/>
        <v>-1.3095404393167365E-2</v>
      </c>
      <c r="I29" s="130">
        <f t="shared" si="0"/>
        <v>28.250944670351874</v>
      </c>
      <c r="J29" s="130">
        <f t="shared" si="4"/>
        <v>-0.15013413030067102</v>
      </c>
      <c r="K29" s="136"/>
      <c r="L29" s="190"/>
      <c r="M29" s="190"/>
      <c r="N29" s="191"/>
      <c r="O29" s="192"/>
      <c r="P29" s="129" t="s">
        <v>426</v>
      </c>
      <c r="Q29" s="116">
        <v>5354525</v>
      </c>
      <c r="R29" s="116">
        <v>7038531872</v>
      </c>
      <c r="S29" s="116">
        <v>189534.37</v>
      </c>
      <c r="T29" s="130">
        <f t="shared" si="1"/>
        <v>28.250944670351874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314848.42105263157</v>
      </c>
      <c r="G30" s="190">
        <f t="shared" si="2"/>
        <v>0.29360965970985187</v>
      </c>
      <c r="H30" s="190">
        <f t="shared" si="3"/>
        <v>0.31213549529823714</v>
      </c>
      <c r="I30" s="130">
        <f t="shared" si="0"/>
        <v>24.049628560897808</v>
      </c>
      <c r="J30" s="130">
        <f t="shared" si="4"/>
        <v>-0.24360632403078375</v>
      </c>
      <c r="K30" s="136"/>
      <c r="L30" s="190"/>
      <c r="M30" s="190"/>
      <c r="N30" s="191"/>
      <c r="O30" s="192"/>
      <c r="P30" s="129" t="s">
        <v>496</v>
      </c>
      <c r="Q30" s="116">
        <v>5982120</v>
      </c>
      <c r="R30" s="116">
        <v>7972034841</v>
      </c>
      <c r="S30" s="116">
        <v>248740.64</v>
      </c>
      <c r="T30" s="130">
        <f t="shared" si="1"/>
        <v>24.049628560897808</v>
      </c>
      <c r="U30" s="85"/>
    </row>
    <row r="31" spans="1:21" s="79" customFormat="1" ht="13.2" hidden="1">
      <c r="A31" s="129" t="s">
        <v>505</v>
      </c>
      <c r="B31" s="188">
        <f>SUM(F29:F31)</f>
        <v>759562.77105263155</v>
      </c>
      <c r="C31" s="188">
        <f>AVERAGE(F29:F31)</f>
        <v>253187.59035087717</v>
      </c>
      <c r="D31" s="190">
        <f>C31/C28-1</f>
        <v>0.22073689256579487</v>
      </c>
      <c r="E31" s="287">
        <f>C31/C19-1</f>
        <v>-7.8871468800721267E-2</v>
      </c>
      <c r="F31" s="136">
        <f>Q31/20</f>
        <v>201326.85</v>
      </c>
      <c r="G31" s="190">
        <f t="shared" si="2"/>
        <v>-0.36055944213756996</v>
      </c>
      <c r="H31" s="190">
        <f t="shared" si="3"/>
        <v>-0.40441481871538787</v>
      </c>
      <c r="I31" s="130">
        <f t="shared" si="0"/>
        <v>29.515346556390067</v>
      </c>
      <c r="J31" s="130">
        <f t="shared" si="4"/>
        <v>-0.46611332194866151</v>
      </c>
      <c r="K31" s="136">
        <f>R29+R30+R31</f>
        <v>20367890277</v>
      </c>
      <c r="L31" s="190">
        <f>U31/U28-1</f>
        <v>0.24429770460043709</v>
      </c>
      <c r="M31" s="190">
        <f>U31/U19-1</f>
        <v>-0.10513040838375054</v>
      </c>
      <c r="N31" s="191">
        <f>AVERAGE(T29:T31)</f>
        <v>27.271973262546584</v>
      </c>
      <c r="O31" s="192">
        <f>N31/N28-1</f>
        <v>-0.21054303007204467</v>
      </c>
      <c r="P31" s="129" t="s">
        <v>505</v>
      </c>
      <c r="Q31" s="116">
        <v>4026537</v>
      </c>
      <c r="R31" s="116">
        <v>5357323564</v>
      </c>
      <c r="S31" s="116">
        <v>136421.81</v>
      </c>
      <c r="T31" s="130">
        <f t="shared" si="1"/>
        <v>29.515346556390067</v>
      </c>
      <c r="U31" s="85">
        <f>Q29+Q30+Q31</f>
        <v>15363182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338545.71428571426</v>
      </c>
      <c r="G32" s="190">
        <f t="shared" si="2"/>
        <v>0.68157259841751983</v>
      </c>
      <c r="H32" s="190">
        <f t="shared" si="3"/>
        <v>0.42413643902790787</v>
      </c>
      <c r="I32" s="130">
        <f t="shared" si="0"/>
        <v>28.827576145351653</v>
      </c>
      <c r="J32" s="130">
        <f t="shared" si="4"/>
        <v>-9.8785783106816627E-2</v>
      </c>
      <c r="K32" s="136"/>
      <c r="L32" s="190"/>
      <c r="M32" s="190"/>
      <c r="N32" s="191"/>
      <c r="O32" s="192"/>
      <c r="P32" s="129" t="s">
        <v>562</v>
      </c>
      <c r="Q32" s="116">
        <v>7109460</v>
      </c>
      <c r="R32" s="116">
        <v>9680575146</v>
      </c>
      <c r="S32" s="116">
        <v>246620.11</v>
      </c>
      <c r="T32" s="130">
        <f t="shared" si="1"/>
        <v>28.827576145351653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338726.38095238095</v>
      </c>
      <c r="G33" s="190">
        <f t="shared" si="2"/>
        <v>5.3365515805703367E-4</v>
      </c>
      <c r="H33" s="190">
        <f t="shared" si="3"/>
        <v>0.57301951022967956</v>
      </c>
      <c r="I33" s="130">
        <f t="shared" si="0"/>
        <v>31.792947831347405</v>
      </c>
      <c r="J33" s="130">
        <f t="shared" si="4"/>
        <v>3.0925057296146807E-2</v>
      </c>
      <c r="K33" s="136"/>
      <c r="L33" s="190"/>
      <c r="M33" s="190"/>
      <c r="N33" s="191"/>
      <c r="O33" s="192"/>
      <c r="P33" s="129" t="s">
        <v>637</v>
      </c>
      <c r="Q33" s="116">
        <v>7113254</v>
      </c>
      <c r="R33" s="116">
        <v>9721418313</v>
      </c>
      <c r="S33" s="116">
        <v>223736.85</v>
      </c>
      <c r="T33" s="130">
        <f t="shared" si="1"/>
        <v>31.792947831347405</v>
      </c>
      <c r="U33" s="85"/>
    </row>
    <row r="34" spans="1:21" s="79" customFormat="1" ht="13.2" hidden="1">
      <c r="A34" s="129" t="s">
        <v>652</v>
      </c>
      <c r="B34" s="188">
        <f>SUM(F32:F34)</f>
        <v>1182036.4110275689</v>
      </c>
      <c r="C34" s="188">
        <f>AVERAGE(F32:F34)</f>
        <v>394012.13700918964</v>
      </c>
      <c r="D34" s="190">
        <f>C34/C31-1</f>
        <v>0.55620635459720735</v>
      </c>
      <c r="E34" s="287">
        <f>C34/C22-1</f>
        <v>0.81830335529550435</v>
      </c>
      <c r="F34" s="136">
        <f>Q34/19</f>
        <v>504764.31578947371</v>
      </c>
      <c r="G34" s="190">
        <f t="shared" si="2"/>
        <v>0.49018306271348511</v>
      </c>
      <c r="H34" s="190">
        <f t="shared" si="3"/>
        <v>1.5619767324267237</v>
      </c>
      <c r="I34" s="130">
        <f t="shared" si="0"/>
        <v>24.888403385271836</v>
      </c>
      <c r="J34" s="130">
        <f t="shared" si="4"/>
        <v>-0.28936659047924995</v>
      </c>
      <c r="K34" s="136">
        <f>R32+R33+R34</f>
        <v>32591552115</v>
      </c>
      <c r="L34" s="190">
        <f>U34/U31-1</f>
        <v>0.55001978105837712</v>
      </c>
      <c r="M34" s="190">
        <f>U34/U22-1</f>
        <v>0.77526724541013015</v>
      </c>
      <c r="N34" s="191">
        <f>AVERAGE(T32:T34)</f>
        <v>28.502975787323635</v>
      </c>
      <c r="O34" s="192">
        <f>N34/N31-1</f>
        <v>4.5138007174113204E-2</v>
      </c>
      <c r="P34" s="129" t="s">
        <v>652</v>
      </c>
      <c r="Q34" s="116">
        <v>9590522</v>
      </c>
      <c r="R34" s="116">
        <v>13189558656</v>
      </c>
      <c r="S34" s="116">
        <v>385340.99</v>
      </c>
      <c r="T34" s="130">
        <f t="shared" si="1"/>
        <v>24.888403385271836</v>
      </c>
      <c r="U34" s="85">
        <f>Q32+Q33+Q34</f>
        <v>23813236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341836.78260869568</v>
      </c>
      <c r="G35" s="190">
        <f t="shared" si="2"/>
        <v>-0.32277942018534367</v>
      </c>
      <c r="H35" s="190">
        <f t="shared" si="3"/>
        <v>0.93043471245663301</v>
      </c>
      <c r="I35" s="130">
        <f t="shared" si="0"/>
        <v>29.780133885959366</v>
      </c>
      <c r="J35" s="130">
        <f t="shared" si="4"/>
        <v>1.1383360587362334E-2</v>
      </c>
      <c r="K35" s="136"/>
      <c r="L35" s="190"/>
      <c r="M35" s="190"/>
      <c r="N35" s="191"/>
      <c r="O35" s="192"/>
      <c r="P35" s="129" t="s">
        <v>660</v>
      </c>
      <c r="Q35" s="116">
        <v>7862246</v>
      </c>
      <c r="R35" s="116">
        <v>10880981102</v>
      </c>
      <c r="S35" s="116">
        <v>264009.76</v>
      </c>
      <c r="T35" s="130">
        <f t="shared" si="1"/>
        <v>29.780133885959366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270173.04761904763</v>
      </c>
      <c r="G36" s="190">
        <f t="shared" si="2"/>
        <v>-0.20964313565893322</v>
      </c>
      <c r="H36" s="190">
        <f t="shared" si="3"/>
        <v>0.97513293621783248</v>
      </c>
      <c r="I36" s="130">
        <f t="shared" si="0"/>
        <v>36.380582108909479</v>
      </c>
      <c r="J36" s="130">
        <f t="shared" si="4"/>
        <v>0.15485511501915328</v>
      </c>
      <c r="K36" s="136"/>
      <c r="L36" s="190"/>
      <c r="M36" s="190"/>
      <c r="N36" s="191"/>
      <c r="O36" s="192"/>
      <c r="P36" s="129" t="s">
        <v>664</v>
      </c>
      <c r="Q36" s="116">
        <v>5673634</v>
      </c>
      <c r="R36" s="116">
        <v>7714942446</v>
      </c>
      <c r="S36" s="116">
        <v>155952.26</v>
      </c>
      <c r="T36" s="130">
        <f t="shared" si="1"/>
        <v>36.380582108909479</v>
      </c>
      <c r="U36" s="85"/>
    </row>
    <row r="37" spans="1:21" s="79" customFormat="1" ht="13.2" hidden="1">
      <c r="A37" s="129" t="s">
        <v>702</v>
      </c>
      <c r="B37" s="188">
        <f>SUM(F35:F37)</f>
        <v>905130.27467218786</v>
      </c>
      <c r="C37" s="188">
        <f>AVERAGE(F35:F37)</f>
        <v>301710.09155739594</v>
      </c>
      <c r="D37" s="190">
        <f>C37/C34-1</f>
        <v>-0.23426193454959721</v>
      </c>
      <c r="E37" s="287">
        <f>C37/C25-1</f>
        <v>0.51791989239153913</v>
      </c>
      <c r="F37" s="136">
        <f>Q37/18</f>
        <v>293120.44444444444</v>
      </c>
      <c r="G37" s="190">
        <f t="shared" si="2"/>
        <v>8.4935921727297359E-2</v>
      </c>
      <c r="H37" s="190">
        <f t="shared" si="3"/>
        <v>3.7845858231978724E-2</v>
      </c>
      <c r="I37" s="130">
        <f t="shared" si="0"/>
        <v>35.991805644435068</v>
      </c>
      <c r="J37" s="130">
        <f t="shared" si="4"/>
        <v>0.29338527491890809</v>
      </c>
      <c r="K37" s="136">
        <f>R35+R36+R37</f>
        <v>25637843941</v>
      </c>
      <c r="L37" s="190">
        <f>U37/U34-1</f>
        <v>-0.2100171518058277</v>
      </c>
      <c r="M37" s="190">
        <f>U37/U25-1</f>
        <v>0.55546673391681112</v>
      </c>
      <c r="N37" s="191">
        <f>AVERAGE(T35:T37)</f>
        <v>34.050840546434635</v>
      </c>
      <c r="O37" s="192">
        <f>N37/N34-1</f>
        <v>0.19464159814423132</v>
      </c>
      <c r="P37" s="129" t="s">
        <v>702</v>
      </c>
      <c r="Q37" s="116">
        <v>5276168</v>
      </c>
      <c r="R37" s="116">
        <v>7041920393</v>
      </c>
      <c r="S37" s="116">
        <v>146593.59</v>
      </c>
      <c r="T37" s="130">
        <f t="shared" si="1"/>
        <v>35.991805644435068</v>
      </c>
      <c r="U37" s="85">
        <f>Q35+Q36+Q37</f>
        <v>18812048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539901.6</v>
      </c>
      <c r="G38" s="190">
        <f t="shared" si="2"/>
        <v>0.84191041680249756</v>
      </c>
      <c r="H38" s="190">
        <f t="shared" si="3"/>
        <v>1.9686917837912294</v>
      </c>
      <c r="I38" s="130">
        <f t="shared" si="0"/>
        <v>48.74202127119338</v>
      </c>
      <c r="J38" s="130">
        <f t="shared" si="4"/>
        <v>0.15348486663498662</v>
      </c>
      <c r="K38" s="136"/>
      <c r="L38" s="190"/>
      <c r="M38" s="190"/>
      <c r="N38" s="191"/>
      <c r="O38" s="192"/>
      <c r="P38" s="129" t="s">
        <v>728</v>
      </c>
      <c r="Q38" s="116">
        <v>10798032</v>
      </c>
      <c r="R38" s="116">
        <v>14625141377</v>
      </c>
      <c r="S38" s="116">
        <v>221534.35</v>
      </c>
      <c r="T38" s="130">
        <f t="shared" si="1"/>
        <v>48.74202127119338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486028.52380952379</v>
      </c>
      <c r="G39" s="190">
        <f t="shared" si="2"/>
        <v>-9.9783138613547706E-2</v>
      </c>
      <c r="H39" s="190">
        <f t="shared" si="3"/>
        <v>1.7786056604166065</v>
      </c>
      <c r="I39" s="130">
        <f t="shared" si="0"/>
        <v>50.881036241213806</v>
      </c>
      <c r="J39" s="130">
        <f t="shared" si="4"/>
        <v>0.65760746241621426</v>
      </c>
      <c r="K39" s="136"/>
      <c r="L39" s="190"/>
      <c r="M39" s="190"/>
      <c r="N39" s="191"/>
      <c r="O39" s="192"/>
      <c r="P39" s="129" t="s">
        <v>762</v>
      </c>
      <c r="Q39" s="116">
        <v>10206599</v>
      </c>
      <c r="R39" s="116">
        <v>14187268233</v>
      </c>
      <c r="S39" s="116">
        <v>200597.31</v>
      </c>
      <c r="T39" s="130">
        <f t="shared" si="1"/>
        <v>50.881036241213806</v>
      </c>
      <c r="U39" s="85"/>
    </row>
    <row r="40" spans="1:21" s="79" customFormat="1" ht="13.2" hidden="1">
      <c r="A40" s="129" t="s">
        <v>778</v>
      </c>
      <c r="B40" s="188">
        <f>SUM(F38:F40)</f>
        <v>1434659.7904761904</v>
      </c>
      <c r="C40" s="188">
        <f>AVERAGE(F38:F40)</f>
        <v>478219.93015873013</v>
      </c>
      <c r="D40" s="190">
        <f>C40/C37-1</f>
        <v>0.58503127187496062</v>
      </c>
      <c r="E40" s="287">
        <f>C40/C28-1</f>
        <v>1.3057240313238641</v>
      </c>
      <c r="F40" s="136">
        <f>Q40/21</f>
        <v>408729.66666666669</v>
      </c>
      <c r="G40" s="190">
        <f t="shared" si="2"/>
        <v>-0.1590418120668794</v>
      </c>
      <c r="H40" s="190">
        <f t="shared" si="3"/>
        <v>0.53985819546046487</v>
      </c>
      <c r="I40" s="130">
        <f t="shared" si="0"/>
        <v>46.062019910193442</v>
      </c>
      <c r="J40" s="130">
        <f t="shared" si="4"/>
        <v>0.50117836803021354</v>
      </c>
      <c r="K40" s="136">
        <f>R38+R39+R40</f>
        <v>40975870543</v>
      </c>
      <c r="L40" s="190">
        <f>U40/U37-1</f>
        <v>0.57281939744146948</v>
      </c>
      <c r="M40" s="190">
        <f>U40/U28-1</f>
        <v>1.3963930939582259</v>
      </c>
      <c r="N40" s="191">
        <f>AVERAGE(T38:T40)</f>
        <v>48.561692474200207</v>
      </c>
      <c r="O40" s="192">
        <f>N40/N37-1</f>
        <v>0.4261525323575297</v>
      </c>
      <c r="P40" s="129" t="s">
        <v>778</v>
      </c>
      <c r="Q40" s="116">
        <v>8583323</v>
      </c>
      <c r="R40" s="116">
        <v>12163460933</v>
      </c>
      <c r="S40" s="116">
        <v>186342.74</v>
      </c>
      <c r="T40" s="130">
        <f t="shared" si="1"/>
        <v>46.062019910193442</v>
      </c>
      <c r="U40" s="85">
        <f>Q38+Q39+Q40</f>
        <v>29587954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317033.77777777775</v>
      </c>
      <c r="G41" s="190">
        <f t="shared" si="2"/>
        <v>-0.2243436098893945</v>
      </c>
      <c r="H41" s="190">
        <f t="shared" si="3"/>
        <v>0.30258857902635827</v>
      </c>
      <c r="I41" s="130">
        <f t="shared" si="0"/>
        <v>34.577669616422654</v>
      </c>
      <c r="J41" s="130">
        <f t="shared" si="4"/>
        <v>0.22394737662384778</v>
      </c>
      <c r="K41" s="193"/>
      <c r="L41" s="190"/>
      <c r="M41" s="190"/>
      <c r="N41" s="193"/>
      <c r="O41" s="193"/>
      <c r="P41" s="129" t="s">
        <v>792</v>
      </c>
      <c r="Q41" s="116">
        <v>5706608</v>
      </c>
      <c r="R41" s="116">
        <v>8326818360</v>
      </c>
      <c r="S41" s="116">
        <v>165037.38</v>
      </c>
      <c r="T41" s="130">
        <f t="shared" si="1"/>
        <v>34.577669616422654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240773.1</v>
      </c>
      <c r="G42" s="190">
        <f t="shared" si="2"/>
        <v>-0.24054433036227463</v>
      </c>
      <c r="H42" s="190">
        <f t="shared" si="3"/>
        <v>-0.23527296343102444</v>
      </c>
      <c r="I42" s="130">
        <f t="shared" si="0"/>
        <v>37.960103856447482</v>
      </c>
      <c r="J42" s="130">
        <f t="shared" si="4"/>
        <v>0.57840707436815286</v>
      </c>
      <c r="K42" s="193"/>
      <c r="L42" s="190"/>
      <c r="M42" s="190"/>
      <c r="N42" s="193"/>
      <c r="O42" s="193"/>
      <c r="P42" s="129" t="s">
        <v>826</v>
      </c>
      <c r="Q42" s="116">
        <v>4815462</v>
      </c>
      <c r="R42" s="116">
        <v>6960821291</v>
      </c>
      <c r="S42" s="116">
        <v>126855.87</v>
      </c>
      <c r="T42" s="130">
        <f t="shared" si="1"/>
        <v>37.960103856447482</v>
      </c>
      <c r="U42" s="78"/>
    </row>
    <row r="43" spans="1:21" s="79" customFormat="1" ht="13.2">
      <c r="A43" s="129" t="s">
        <v>835</v>
      </c>
      <c r="B43" s="188">
        <f>SUM(F41:F43)</f>
        <v>863023.12777777773</v>
      </c>
      <c r="C43" s="188">
        <f>AVERAGE(F41:F43)</f>
        <v>287674.37592592591</v>
      </c>
      <c r="D43" s="190">
        <f>C43/C40-1</f>
        <v>-0.39844753891699702</v>
      </c>
      <c r="E43" s="287">
        <f>C43/C31-1</f>
        <v>0.13621041034142167</v>
      </c>
      <c r="F43" s="136">
        <f>Q43/20</f>
        <v>305216.25</v>
      </c>
      <c r="G43" s="190">
        <f t="shared" si="2"/>
        <v>0.26765095436325725</v>
      </c>
      <c r="H43" s="190">
        <f t="shared" si="3"/>
        <v>0.51602357062657056</v>
      </c>
      <c r="I43" s="130">
        <f t="shared" si="0"/>
        <v>32.365467905573155</v>
      </c>
      <c r="J43" s="130">
        <f t="shared" si="4"/>
        <v>9.656404825665299E-2</v>
      </c>
      <c r="K43" s="136">
        <f>R41+R42+R43</f>
        <v>24147719642</v>
      </c>
      <c r="L43" s="190">
        <f>U43/U40-1</f>
        <v>-0.43806878299188923</v>
      </c>
      <c r="M43" s="190">
        <f>K43/K31-1</f>
        <v>0.18557785384715531</v>
      </c>
      <c r="N43" s="191">
        <f>AVERAGE(T41:T43)</f>
        <v>34.967747126147763</v>
      </c>
      <c r="O43" s="192">
        <f>N43/N40-1</f>
        <v>-0.27993145739874314</v>
      </c>
      <c r="P43" s="129" t="s">
        <v>835</v>
      </c>
      <c r="Q43" s="116">
        <v>6104325</v>
      </c>
      <c r="R43" s="116">
        <v>8860079991</v>
      </c>
      <c r="S43" s="116">
        <v>188606.11</v>
      </c>
      <c r="T43" s="130">
        <f t="shared" si="1"/>
        <v>32.365467905573155</v>
      </c>
      <c r="U43" s="85">
        <f>Q41+Q42+Q43</f>
        <v>16626395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326001.5</v>
      </c>
      <c r="G44" s="190">
        <f t="shared" si="2"/>
        <v>6.8100076585044134E-2</v>
      </c>
      <c r="H44" s="190">
        <f t="shared" si="3"/>
        <v>-3.7053236110759391E-2</v>
      </c>
      <c r="I44" s="130">
        <f t="shared" si="0"/>
        <v>35.083493634615607</v>
      </c>
      <c r="J44" s="130">
        <f t="shared" si="4"/>
        <v>0.21701156759489471</v>
      </c>
      <c r="K44" s="136"/>
      <c r="L44" s="190"/>
      <c r="M44" s="190"/>
      <c r="N44" s="191"/>
      <c r="O44" s="192"/>
      <c r="P44" s="129" t="s">
        <v>843</v>
      </c>
      <c r="Q44" s="116">
        <v>7172033</v>
      </c>
      <c r="R44" s="116">
        <v>10391015977</v>
      </c>
      <c r="S44" s="116">
        <v>204427.56</v>
      </c>
      <c r="T44" s="130">
        <f t="shared" si="1"/>
        <v>35.083493634615607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431164.9</v>
      </c>
      <c r="G45" s="190">
        <f t="shared" si="2"/>
        <v>0.32258563227469828</v>
      </c>
      <c r="H45" s="190">
        <f t="shared" si="3"/>
        <v>0.2729002647733374</v>
      </c>
      <c r="I45" s="130">
        <f t="shared" si="0"/>
        <v>32.132715041220344</v>
      </c>
      <c r="J45" s="130">
        <f t="shared" si="4"/>
        <v>1.0686873443610967E-2</v>
      </c>
      <c r="K45" s="136"/>
      <c r="L45" s="190"/>
      <c r="M45" s="190"/>
      <c r="N45" s="191"/>
      <c r="O45" s="192"/>
      <c r="P45" s="129" t="s">
        <v>853</v>
      </c>
      <c r="Q45" s="116">
        <v>8623298</v>
      </c>
      <c r="R45" s="116">
        <v>12111508531</v>
      </c>
      <c r="S45" s="116">
        <v>268365.06</v>
      </c>
      <c r="T45" s="130">
        <f t="shared" si="1"/>
        <v>32.132715041220344</v>
      </c>
      <c r="U45" s="85"/>
    </row>
    <row r="46" spans="1:21" s="79" customFormat="1" ht="13.2">
      <c r="A46" s="129" t="s">
        <v>888</v>
      </c>
      <c r="B46" s="188">
        <f>SUM(F44:F46)</f>
        <v>1272022.9263157896</v>
      </c>
      <c r="C46" s="188">
        <f>AVERAGE(F44:F46)</f>
        <v>424007.64210526319</v>
      </c>
      <c r="D46" s="190">
        <f>C46/C43-1</f>
        <v>0.47391522355971705</v>
      </c>
      <c r="E46" s="287">
        <f>C46/C34-1</f>
        <v>7.6128378490467608E-2</v>
      </c>
      <c r="F46" s="136">
        <f>Q46/19</f>
        <v>514856.5263157895</v>
      </c>
      <c r="G46" s="190">
        <f t="shared" si="2"/>
        <v>0.19410584283597632</v>
      </c>
      <c r="H46" s="190">
        <f t="shared" ref="H46" si="5">F46/F34-1</f>
        <v>1.9993906483922297E-2</v>
      </c>
      <c r="I46" s="130">
        <f t="shared" si="0"/>
        <v>33.785647228456071</v>
      </c>
      <c r="J46" s="130">
        <f t="shared" si="4"/>
        <v>0.3574855206842773</v>
      </c>
      <c r="K46" s="136">
        <f>R44+R45+R46</f>
        <v>35905155374</v>
      </c>
      <c r="L46" s="190">
        <f>U46/U43-1</f>
        <v>0.53837347181995865</v>
      </c>
      <c r="M46" s="190">
        <f>K46/K34-1</f>
        <v>0.10167061842614555</v>
      </c>
      <c r="N46" s="191">
        <f>AVERAGE(T44:T46)</f>
        <v>33.667285301430674</v>
      </c>
      <c r="O46" s="192">
        <f>N46/N43-1</f>
        <v>-3.7190323415049131E-2</v>
      </c>
      <c r="P46" s="129" t="s">
        <v>928</v>
      </c>
      <c r="Q46" s="116">
        <v>9782274</v>
      </c>
      <c r="R46" s="116">
        <v>13402630866</v>
      </c>
      <c r="S46" s="116">
        <v>289539.34000000003</v>
      </c>
      <c r="T46" s="130">
        <f t="shared" ref="T46" si="6">Q46/S46</f>
        <v>33.785647228456071</v>
      </c>
      <c r="U46" s="85">
        <f t="shared" ref="U46:U51" si="7">Q44+Q45+Q46</f>
        <v>25577605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532261.13043478259</v>
      </c>
      <c r="G47" s="190">
        <f t="shared" ref="G47" si="8">F47/F46-1</f>
        <v>3.3804765462597919E-2</v>
      </c>
      <c r="H47" s="190">
        <f t="shared" ref="H47" si="9">F47/F35-1</f>
        <v>0.55706219316973793</v>
      </c>
      <c r="I47" s="130">
        <f t="shared" si="0"/>
        <v>38.47761967415488</v>
      </c>
      <c r="J47" s="130">
        <f t="shared" si="4"/>
        <v>0.29205663821062178</v>
      </c>
      <c r="K47" s="136"/>
      <c r="L47" s="190"/>
      <c r="M47" s="190"/>
      <c r="N47" s="191"/>
      <c r="O47" s="192"/>
      <c r="P47" s="129" t="s">
        <v>991</v>
      </c>
      <c r="Q47" s="116">
        <v>12242006</v>
      </c>
      <c r="R47" s="116">
        <v>16825453808</v>
      </c>
      <c r="S47" s="116">
        <v>318159.13</v>
      </c>
      <c r="T47" s="130">
        <f t="shared" ref="T47" si="10">Q47/S47</f>
        <v>38.47761967415488</v>
      </c>
      <c r="U47" s="85">
        <f t="shared" si="7"/>
        <v>30647578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543129.69999999995</v>
      </c>
      <c r="G48" s="190">
        <f t="shared" ref="G48" si="11">F48/F47-1</f>
        <v>2.0419619137582501E-2</v>
      </c>
      <c r="H48" s="190">
        <f t="shared" ref="H48" si="12">F48/F36-1</f>
        <v>1.0103030438692375</v>
      </c>
      <c r="I48" s="130">
        <f t="shared" si="0"/>
        <v>44.14433734345355</v>
      </c>
      <c r="J48" s="130">
        <f t="shared" si="4"/>
        <v>0.21340382106318079</v>
      </c>
      <c r="K48" s="136"/>
      <c r="L48" s="190"/>
      <c r="M48" s="190"/>
      <c r="N48" s="191"/>
      <c r="O48" s="192"/>
      <c r="P48" s="129" t="s">
        <v>1151</v>
      </c>
      <c r="Q48" s="116">
        <v>10862594</v>
      </c>
      <c r="R48" s="116">
        <v>15079626689</v>
      </c>
      <c r="S48" s="116">
        <v>246069.93</v>
      </c>
      <c r="T48" s="130">
        <f t="shared" ref="T48" si="13">Q48/S48</f>
        <v>44.14433734345355</v>
      </c>
      <c r="U48" s="85">
        <f t="shared" si="7"/>
        <v>32886874</v>
      </c>
    </row>
    <row r="49" spans="1:26" ht="13.2">
      <c r="A49" s="129" t="s">
        <v>1207</v>
      </c>
      <c r="B49" s="188">
        <f>SUM(F47:F49)</f>
        <v>1709099.9213438733</v>
      </c>
      <c r="C49" s="188">
        <f>AVERAGE(F47:F49)</f>
        <v>569699.97378129105</v>
      </c>
      <c r="D49" s="190">
        <f>C49/C46-1</f>
        <v>0.34360779667235009</v>
      </c>
      <c r="E49" s="287">
        <f>C49/C37-1</f>
        <v>0.88823638891413736</v>
      </c>
      <c r="F49" s="136">
        <f>Q49/22</f>
        <v>633709.09090909094</v>
      </c>
      <c r="G49" s="190">
        <f t="shared" ref="G49" si="14">F49/F48-1</f>
        <v>0.16677303949515365</v>
      </c>
      <c r="H49" s="190">
        <f t="shared" ref="H49" si="15">F49/F37-1</f>
        <v>1.1619409458462346</v>
      </c>
      <c r="I49" s="130">
        <f t="shared" si="0"/>
        <v>55.438463746630283</v>
      </c>
      <c r="J49" s="130">
        <f t="shared" si="4"/>
        <v>0.54030793270862176</v>
      </c>
      <c r="K49" s="136">
        <f>R47+R48+R49</f>
        <v>51274836122</v>
      </c>
      <c r="L49" s="190">
        <f>U49/U46-1</f>
        <v>0.4483842408231733</v>
      </c>
      <c r="M49" s="190">
        <f>K49/K37-1</f>
        <v>0.99996677723751026</v>
      </c>
      <c r="N49" s="191">
        <f>AVERAGE(T47:T49)</f>
        <v>46.020140254746231</v>
      </c>
      <c r="O49" s="192">
        <f>N49/N46-1</f>
        <v>0.36690974168893353</v>
      </c>
      <c r="P49" s="129" t="s">
        <v>1158</v>
      </c>
      <c r="Q49" s="116">
        <v>13941600</v>
      </c>
      <c r="R49" s="116">
        <v>19369755625</v>
      </c>
      <c r="S49" s="116">
        <v>251478.83</v>
      </c>
      <c r="T49" s="130">
        <f t="shared" ref="T49" si="16">Q49/S49</f>
        <v>55.438463746630283</v>
      </c>
      <c r="U49" s="85">
        <f t="shared" si="7"/>
        <v>37046200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786289.9444444445</v>
      </c>
      <c r="G50" s="190">
        <f t="shared" ref="G50" si="17">F50/F49-1</f>
        <v>0.2407742854319288</v>
      </c>
      <c r="H50" s="190">
        <f t="shared" ref="H50" si="18">F50/F38-1</f>
        <v>0.45635787047944398</v>
      </c>
      <c r="I50" s="130">
        <f t="shared" ref="I50" si="19">T50</f>
        <v>49.526229266745652</v>
      </c>
      <c r="J50" s="130">
        <f t="shared" ref="J50" si="20">I50/I38-1</f>
        <v>1.6088951075480695E-2</v>
      </c>
      <c r="K50" s="136"/>
      <c r="L50" s="190"/>
      <c r="M50" s="190"/>
      <c r="N50" s="191"/>
      <c r="O50" s="192"/>
      <c r="P50" s="129" t="s">
        <v>1293</v>
      </c>
      <c r="Q50" s="116">
        <v>14153219</v>
      </c>
      <c r="R50" s="116">
        <v>19956763289</v>
      </c>
      <c r="S50" s="116">
        <v>285772.19</v>
      </c>
      <c r="T50" s="130">
        <f t="shared" ref="T50" si="21">Q50/S50</f>
        <v>49.526229266745652</v>
      </c>
      <c r="U50" s="85">
        <f t="shared" si="7"/>
        <v>38957413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526338.9</v>
      </c>
      <c r="G51" s="190">
        <f t="shared" ref="G51:G52" si="22">F51/F50-1</f>
        <v>-0.33060456423376194</v>
      </c>
      <c r="H51" s="190">
        <f t="shared" ref="H51:H52" si="23">F51/F39-1</f>
        <v>8.2938293157201581E-2</v>
      </c>
      <c r="I51" s="130">
        <f t="shared" ref="I51:I52" si="24">T51</f>
        <v>40.817915685554205</v>
      </c>
      <c r="J51" s="130">
        <f t="shared" ref="J51:J52" si="25">I51/I39-1</f>
        <v>-0.19777742945235932</v>
      </c>
      <c r="K51" s="136"/>
      <c r="L51" s="190"/>
      <c r="M51" s="190"/>
      <c r="N51" s="191"/>
      <c r="O51" s="192"/>
      <c r="P51" s="129" t="s">
        <v>1402</v>
      </c>
      <c r="Q51" s="116">
        <v>10526778</v>
      </c>
      <c r="R51" s="116">
        <v>15251302323</v>
      </c>
      <c r="S51" s="116">
        <v>257896.02</v>
      </c>
      <c r="T51" s="130">
        <f t="shared" ref="T51:T52" si="26">Q51/S51</f>
        <v>40.817915685554205</v>
      </c>
      <c r="U51" s="85">
        <f t="shared" si="7"/>
        <v>38621597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2041227.0262626261</v>
      </c>
      <c r="C52" s="188">
        <f>AVERAGE(F50:F52)</f>
        <v>680409.00875420868</v>
      </c>
      <c r="D52" s="190">
        <f>C52/C49-1</f>
        <v>0.19432866432853135</v>
      </c>
      <c r="E52" s="287">
        <f>C52/C40-1</f>
        <v>0.42279517402875322</v>
      </c>
      <c r="F52" s="136">
        <f>Q52/22</f>
        <v>728598.18181818177</v>
      </c>
      <c r="G52" s="190">
        <f t="shared" si="22"/>
        <v>0.3842757619058399</v>
      </c>
      <c r="H52" s="190">
        <f t="shared" si="23"/>
        <v>0.78259187242304828</v>
      </c>
      <c r="I52" s="130">
        <f t="shared" si="24"/>
        <v>40.023763825745228</v>
      </c>
      <c r="J52" s="130">
        <f t="shared" si="25"/>
        <v>-0.1310896937698548</v>
      </c>
      <c r="K52" s="136">
        <f>R50+R51+R52</f>
        <v>58787704518</v>
      </c>
      <c r="L52" s="190">
        <f>U52/U49-1</f>
        <v>9.8875377231672834E-2</v>
      </c>
      <c r="M52" s="190">
        <f>K52/K40-1</f>
        <v>0.43469080068252119</v>
      </c>
      <c r="N52" s="191">
        <f>AVERAGE(T50:T52)</f>
        <v>43.455969592681697</v>
      </c>
      <c r="O52" s="192">
        <f>N52/N49-1</f>
        <v>-5.5718445182271759E-2</v>
      </c>
      <c r="P52" s="129" t="s">
        <v>1403</v>
      </c>
      <c r="Q52" s="116">
        <v>16029160</v>
      </c>
      <c r="R52" s="116">
        <v>23579638906</v>
      </c>
      <c r="S52" s="116">
        <v>400491.07</v>
      </c>
      <c r="T52" s="130">
        <f t="shared" si="26"/>
        <v>40.023763825745228</v>
      </c>
      <c r="U52" s="85">
        <f t="shared" ref="U52" si="27">Q50+Q51+Q52</f>
        <v>40709157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415634.04761904763</v>
      </c>
      <c r="G53" s="190">
        <f t="shared" ref="G53" si="28">F53/F52-1</f>
        <v>-0.42954284269300147</v>
      </c>
      <c r="H53" s="190">
        <f t="shared" ref="H53" si="29">F53/F41-1</f>
        <v>0.31100872131796287</v>
      </c>
      <c r="I53" s="130">
        <f t="shared" ref="I53" si="30">T53</f>
        <v>46.480642879497587</v>
      </c>
      <c r="J53" s="130">
        <f t="shared" ref="J53" si="31">I53/I41-1</f>
        <v>0.34423873543582073</v>
      </c>
      <c r="K53" s="136"/>
      <c r="L53" s="190"/>
      <c r="M53" s="190"/>
      <c r="N53" s="191"/>
      <c r="O53" s="192"/>
      <c r="P53" s="129" t="s">
        <v>1414</v>
      </c>
      <c r="Q53" s="116">
        <v>8728315</v>
      </c>
      <c r="R53" s="116">
        <v>12750368967</v>
      </c>
      <c r="S53" s="116">
        <v>187783.87</v>
      </c>
      <c r="T53" s="130">
        <f t="shared" ref="T53" si="32">Q53/S53</f>
        <v>46.480642879497587</v>
      </c>
      <c r="U53" s="85">
        <f t="shared" ref="U53" si="33">Q51+Q52+Q53</f>
        <v>35284253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496586.29411764705</v>
      </c>
      <c r="G54" s="190">
        <f t="shared" ref="G54" si="34">F54/F53-1</f>
        <v>0.19476808255322897</v>
      </c>
      <c r="H54" s="190">
        <f t="shared" ref="H54" si="35">F54/F42-1</f>
        <v>1.0624658407340646</v>
      </c>
      <c r="I54" s="130">
        <f t="shared" ref="I54" si="36">T54</f>
        <v>42.654853082206664</v>
      </c>
      <c r="J54" s="130">
        <f t="shared" ref="J54" si="37">I54/I42-1</f>
        <v>0.12367587937886482</v>
      </c>
      <c r="K54" s="136"/>
      <c r="L54" s="190"/>
      <c r="M54" s="190"/>
      <c r="N54" s="191"/>
      <c r="O54" s="192"/>
      <c r="P54" s="129" t="s">
        <v>1417</v>
      </c>
      <c r="Q54" s="116">
        <v>8441967</v>
      </c>
      <c r="R54" s="116">
        <v>12222488997</v>
      </c>
      <c r="S54" s="116">
        <v>197913.4</v>
      </c>
      <c r="T54" s="130">
        <f t="shared" ref="T54" si="38">Q54/S54</f>
        <v>42.654853082206664</v>
      </c>
      <c r="U54" s="85">
        <f t="shared" ref="U54" si="39">Q52+Q53+Q54</f>
        <v>33199442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1311252.5322128851</v>
      </c>
      <c r="C55" s="188">
        <f>AVERAGE(F53:F55)</f>
        <v>437084.17740429501</v>
      </c>
      <c r="D55" s="190">
        <f>C55/C52-1</f>
        <v>-0.35761553450832173</v>
      </c>
      <c r="E55" s="287">
        <f>C55/C43-1</f>
        <v>0.51937125438256304</v>
      </c>
      <c r="F55" s="136">
        <f>Q55/21</f>
        <v>399032.19047619047</v>
      </c>
      <c r="G55" s="190">
        <f t="shared" ref="G55" si="40">F55/F54-1</f>
        <v>-0.19644944855917601</v>
      </c>
      <c r="H55" s="190">
        <f t="shared" ref="H55" si="41">F55/F43-1</f>
        <v>0.30737531332683132</v>
      </c>
      <c r="I55" s="130">
        <f>T55</f>
        <v>39.322873357432272</v>
      </c>
      <c r="J55" s="130">
        <f t="shared" ref="J55" si="42">I55/I43-1</f>
        <v>0.21496384579260441</v>
      </c>
      <c r="K55" s="136">
        <f>R53+R54+R55</f>
        <v>37333971427</v>
      </c>
      <c r="L55" s="190">
        <f>U55/U52-1</f>
        <v>-0.37237811139149846</v>
      </c>
      <c r="M55" s="190">
        <f>K55/K43-1</f>
        <v>0.54606612883086569</v>
      </c>
      <c r="N55" s="191">
        <f>AVERAGE(T53:T55)</f>
        <v>42.819456439712177</v>
      </c>
      <c r="O55" s="192">
        <f>N55/N52-1</f>
        <v>-1.4647312186004346E-2</v>
      </c>
      <c r="P55" s="129" t="s">
        <v>1418</v>
      </c>
      <c r="Q55" s="116">
        <v>8379676</v>
      </c>
      <c r="R55" s="116">
        <v>12361113463</v>
      </c>
      <c r="S55" s="116">
        <v>213099.28</v>
      </c>
      <c r="T55" s="130">
        <f t="shared" ref="T55" si="43">Q55/S55</f>
        <v>39.322873357432272</v>
      </c>
      <c r="U55" s="85">
        <f t="shared" ref="U55" si="44">Q53+Q54+Q55</f>
        <v>25549958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472976.5</v>
      </c>
      <c r="G56" s="190">
        <f t="shared" ref="G56" si="45">F56/F55-1</f>
        <v>0.1853091336705619</v>
      </c>
      <c r="H56" s="190">
        <f t="shared" ref="H56" si="46">F56/F44-1</f>
        <v>0.45084148385820311</v>
      </c>
      <c r="I56" s="291">
        <f>T56</f>
        <v>40.664283249754298</v>
      </c>
      <c r="J56" s="130">
        <f t="shared" ref="J56" si="47">I56/I44-1</f>
        <v>0.15907166125645844</v>
      </c>
      <c r="K56" s="136"/>
      <c r="L56" s="190"/>
      <c r="M56" s="190"/>
      <c r="N56" s="191"/>
      <c r="O56" s="192"/>
      <c r="P56" s="129" t="s">
        <v>1420</v>
      </c>
      <c r="Q56" s="116">
        <v>10405483</v>
      </c>
      <c r="R56" s="116">
        <v>15507188157</v>
      </c>
      <c r="S56" s="116">
        <v>255887.53</v>
      </c>
      <c r="T56" s="130">
        <f t="shared" ref="T56" si="48">Q56/S56</f>
        <v>40.664283249754298</v>
      </c>
      <c r="U56" s="85">
        <f t="shared" ref="U56" si="49">Q54+Q55+Q56</f>
        <v>27227126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384437.58333333331</v>
      </c>
      <c r="G57" s="254">
        <f t="shared" ref="G57" si="50">F57/F56-1</f>
        <v>-0.18719517072553649</v>
      </c>
      <c r="H57" s="254">
        <f t="shared" ref="H57" si="51">F57/F45-1</f>
        <v>-0.10837458398553945</v>
      </c>
      <c r="I57" s="282">
        <f>T57</f>
        <v>41.823588761861572</v>
      </c>
      <c r="J57" s="277">
        <f t="shared" ref="J57" si="52">I57/I45-1</f>
        <v>0.30158901008550409</v>
      </c>
      <c r="K57" s="204"/>
      <c r="L57" s="254"/>
      <c r="M57" s="254"/>
      <c r="N57" s="257"/>
      <c r="O57" s="258"/>
      <c r="P57" s="129" t="s">
        <v>1436</v>
      </c>
      <c r="Q57" s="116">
        <v>4613251</v>
      </c>
      <c r="R57" s="116">
        <v>6793978471</v>
      </c>
      <c r="S57" s="116">
        <v>110302.61</v>
      </c>
      <c r="T57" s="130">
        <f t="shared" ref="T57" si="53">Q57/S57</f>
        <v>41.823588761861572</v>
      </c>
      <c r="U57" s="85">
        <f t="shared" ref="U57" si="54">Q55+Q56+Q57</f>
        <v>23398410</v>
      </c>
      <c r="V57" s="79"/>
      <c r="W57" s="79"/>
      <c r="X57" s="79"/>
      <c r="Y57" s="79"/>
      <c r="Z57" s="79"/>
    </row>
    <row r="58" spans="1:26">
      <c r="B58" s="196">
        <f>SUM(F56:F58)</f>
        <v>857414.08333333326</v>
      </c>
      <c r="C58" s="196">
        <f>AVERAGE(F56:F58)</f>
        <v>428707.04166666663</v>
      </c>
      <c r="D58" s="197">
        <f>C58/C55-1</f>
        <v>-1.9165955142502633E-2</v>
      </c>
      <c r="E58" s="233">
        <f>C58/C46-1</f>
        <v>1.1083289768246241E-2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40568692</v>
      </c>
      <c r="R66" s="212">
        <v>59635138055</v>
      </c>
      <c r="S66" s="213">
        <v>964986.69</v>
      </c>
    </row>
    <row r="67" spans="16:19" ht="18" thickBot="1">
      <c r="P67" s="180" t="s">
        <v>976</v>
      </c>
      <c r="Q67" s="181">
        <v>8728315</v>
      </c>
      <c r="R67" s="181">
        <v>12750368967</v>
      </c>
      <c r="S67" s="182">
        <v>187783.87</v>
      </c>
    </row>
    <row r="68" spans="16:19" ht="18" thickBot="1">
      <c r="P68" s="180" t="s">
        <v>977</v>
      </c>
      <c r="Q68" s="181">
        <v>8441967</v>
      </c>
      <c r="R68" s="181">
        <v>12222488997</v>
      </c>
      <c r="S68" s="182">
        <v>197913.4</v>
      </c>
    </row>
    <row r="69" spans="16:19" ht="18" thickBot="1">
      <c r="P69" s="180" t="s">
        <v>978</v>
      </c>
      <c r="Q69" s="181">
        <v>8379676</v>
      </c>
      <c r="R69" s="181">
        <v>12361113463</v>
      </c>
      <c r="S69" s="182">
        <v>213099.28</v>
      </c>
    </row>
    <row r="70" spans="16:19" ht="18" thickBot="1">
      <c r="P70" s="180" t="s">
        <v>979</v>
      </c>
      <c r="Q70" s="181">
        <v>10405483</v>
      </c>
      <c r="R70" s="181">
        <v>15507188157</v>
      </c>
      <c r="S70" s="182">
        <v>255887.53</v>
      </c>
    </row>
    <row r="71" spans="16:19" ht="18" thickBot="1">
      <c r="P71" s="180" t="s">
        <v>980</v>
      </c>
      <c r="Q71" s="181">
        <v>4613251</v>
      </c>
      <c r="R71" s="181">
        <v>6793978471</v>
      </c>
      <c r="S71" s="182">
        <v>110302.61</v>
      </c>
    </row>
    <row r="72" spans="16:19" ht="18" thickBot="1">
      <c r="P72" s="180" t="s">
        <v>975</v>
      </c>
      <c r="Q72" s="181">
        <v>119894081</v>
      </c>
      <c r="R72" s="181">
        <v>170020734378</v>
      </c>
      <c r="S72" s="182">
        <v>3002423.29</v>
      </c>
    </row>
    <row r="73" spans="16:19" ht="18" thickBot="1">
      <c r="P73" s="215" t="s">
        <v>982</v>
      </c>
      <c r="Q73" s="216">
        <v>87600164</v>
      </c>
      <c r="R73" s="216">
        <v>119606240693</v>
      </c>
      <c r="S73" s="272">
        <v>2605433.08</v>
      </c>
    </row>
    <row r="74" spans="16:19" ht="18" thickBot="1">
      <c r="P74" s="180" t="s">
        <v>1386</v>
      </c>
      <c r="Q74" s="210"/>
      <c r="R74"/>
      <c r="S74"/>
    </row>
  </sheetData>
  <phoneticPr fontId="1" type="noConversion"/>
  <conditionalFormatting sqref="C29:C30">
    <cfRule type="cellIs" dxfId="1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72"/>
  <sheetViews>
    <sheetView zoomScale="90" zoomScaleNormal="90" workbookViewId="0">
      <selection activeCell="P73" sqref="P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 t="s">
        <v>464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137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1092456.3999999999</v>
      </c>
      <c r="G5" s="90"/>
      <c r="H5" s="90"/>
      <c r="I5" s="130">
        <f t="shared" ref="I5:I49" si="0">T5</f>
        <v>94.733492127744526</v>
      </c>
      <c r="J5" s="130"/>
      <c r="K5" s="86"/>
      <c r="L5" s="80"/>
      <c r="M5" s="80"/>
      <c r="P5" s="129" t="s">
        <v>0</v>
      </c>
      <c r="Q5" s="116">
        <v>21849128</v>
      </c>
      <c r="R5" s="116">
        <v>25807455593</v>
      </c>
      <c r="S5" s="116">
        <v>230637.84</v>
      </c>
      <c r="T5" s="130">
        <f t="shared" ref="T5:T29" si="1">Q5/S5</f>
        <v>94.733492127744526</v>
      </c>
      <c r="U5" s="85"/>
    </row>
    <row r="6" spans="1:21" ht="15" hidden="1" customHeight="1">
      <c r="A6" s="129" t="s">
        <v>1</v>
      </c>
      <c r="C6" s="79"/>
      <c r="F6" s="78">
        <f>Q6/18</f>
        <v>1291159.7777777778</v>
      </c>
      <c r="G6" s="90">
        <f t="shared" ref="G6:G29" si="2">F6/F5-1</f>
        <v>0.18188678081594634</v>
      </c>
      <c r="H6" s="90"/>
      <c r="I6" s="130">
        <f t="shared" si="0"/>
        <v>85.008310675668426</v>
      </c>
      <c r="J6" s="130"/>
      <c r="K6" s="78"/>
      <c r="P6" s="129" t="s">
        <v>1</v>
      </c>
      <c r="Q6" s="116">
        <v>23240876</v>
      </c>
      <c r="R6" s="116">
        <v>27589284219</v>
      </c>
      <c r="S6" s="116">
        <v>273395.34000000003</v>
      </c>
      <c r="T6" s="130">
        <f t="shared" si="1"/>
        <v>85.008310675668426</v>
      </c>
      <c r="U6" s="85"/>
    </row>
    <row r="7" spans="1:21" ht="15" hidden="1" customHeight="1">
      <c r="A7" s="129" t="s">
        <v>2</v>
      </c>
      <c r="B7" s="131">
        <f>F5+F6+F7</f>
        <v>3911721.5414141407</v>
      </c>
      <c r="C7" s="131">
        <f>AVERAGE(F5:F7)</f>
        <v>1303907.1804713802</v>
      </c>
      <c r="F7" s="78">
        <f>Q7/22</f>
        <v>1528105.3636363635</v>
      </c>
      <c r="G7" s="90">
        <f t="shared" si="2"/>
        <v>0.18351376021517196</v>
      </c>
      <c r="H7" s="90"/>
      <c r="I7" s="130">
        <f t="shared" si="0"/>
        <v>86.318675789858617</v>
      </c>
      <c r="J7" s="130"/>
      <c r="K7" s="85">
        <f>R5+R6+R7</f>
        <v>93971400970</v>
      </c>
      <c r="N7" s="88">
        <f>AVERAGE(T5:T7)</f>
        <v>88.686826197757185</v>
      </c>
      <c r="P7" s="129" t="s">
        <v>2</v>
      </c>
      <c r="Q7" s="116">
        <v>33618318</v>
      </c>
      <c r="R7" s="116">
        <v>40574661158</v>
      </c>
      <c r="S7" s="116">
        <v>389467.49</v>
      </c>
      <c r="T7" s="130">
        <f t="shared" si="1"/>
        <v>86.318675789858617</v>
      </c>
      <c r="U7" s="85">
        <f>Q5+Q6+Q7</f>
        <v>78708322</v>
      </c>
    </row>
    <row r="8" spans="1:21" ht="15" hidden="1" customHeight="1">
      <c r="A8" s="129" t="s">
        <v>3</v>
      </c>
      <c r="C8" s="79"/>
      <c r="F8" s="78">
        <f>Q8/21</f>
        <v>1176718.6666666667</v>
      </c>
      <c r="G8" s="90">
        <f t="shared" si="2"/>
        <v>-0.22994925960701929</v>
      </c>
      <c r="H8" s="90"/>
      <c r="I8" s="130">
        <f t="shared" si="0"/>
        <v>85.451987321020837</v>
      </c>
      <c r="J8" s="130"/>
      <c r="K8" s="78"/>
      <c r="P8" s="129" t="s">
        <v>3</v>
      </c>
      <c r="Q8" s="116">
        <v>24711092</v>
      </c>
      <c r="R8" s="116">
        <v>29948116109</v>
      </c>
      <c r="S8" s="116">
        <v>289181.01</v>
      </c>
      <c r="T8" s="130">
        <f t="shared" si="1"/>
        <v>85.451987321020837</v>
      </c>
      <c r="U8" s="85"/>
    </row>
    <row r="9" spans="1:21" ht="15" hidden="1" customHeight="1">
      <c r="A9" s="129" t="s">
        <v>4</v>
      </c>
      <c r="C9" s="79"/>
      <c r="F9" s="78">
        <f>Q9/21</f>
        <v>1914530.6190476189</v>
      </c>
      <c r="G9" s="90">
        <f t="shared" si="2"/>
        <v>0.62700794444858987</v>
      </c>
      <c r="H9" s="90"/>
      <c r="I9" s="130">
        <f t="shared" si="0"/>
        <v>78.255867534201712</v>
      </c>
      <c r="J9" s="130"/>
      <c r="K9" s="78"/>
      <c r="P9" s="129" t="s">
        <v>4</v>
      </c>
      <c r="Q9" s="116">
        <v>40205143</v>
      </c>
      <c r="R9" s="116">
        <v>50530035519</v>
      </c>
      <c r="S9" s="116">
        <v>513765.22</v>
      </c>
      <c r="T9" s="130">
        <f t="shared" si="1"/>
        <v>78.255867534201712</v>
      </c>
      <c r="U9" s="85"/>
    </row>
    <row r="10" spans="1:21" ht="15" hidden="1" customHeight="1">
      <c r="A10" s="129" t="s">
        <v>5</v>
      </c>
      <c r="B10" s="131">
        <f>F8+F9+F10</f>
        <v>4567699.9523809524</v>
      </c>
      <c r="C10" s="131">
        <f>AVERAGE(F8:F10)</f>
        <v>1522566.6507936509</v>
      </c>
      <c r="D10" s="90">
        <f>C10/C7-1</f>
        <v>0.16769557956051928</v>
      </c>
      <c r="E10" s="286"/>
      <c r="F10" s="78">
        <f>Q10/21</f>
        <v>1476450.6666666667</v>
      </c>
      <c r="G10" s="90">
        <f t="shared" si="2"/>
        <v>-0.2288184623544306</v>
      </c>
      <c r="H10" s="90"/>
      <c r="I10" s="130">
        <f t="shared" si="0"/>
        <v>69.033421873504082</v>
      </c>
      <c r="J10" s="130"/>
      <c r="K10" s="85">
        <f>R8+R9+R10</f>
        <v>119668185370</v>
      </c>
      <c r="L10" s="87">
        <f>U10/U7-1</f>
        <v>0.21869830994491291</v>
      </c>
      <c r="N10" s="88">
        <f>AVERAGE(T8:T10)</f>
        <v>77.580425576242206</v>
      </c>
      <c r="O10" s="89">
        <f>N10/N7-1</f>
        <v>-0.12523168431746012</v>
      </c>
      <c r="P10" s="129" t="s">
        <v>5</v>
      </c>
      <c r="Q10" s="116">
        <v>31005464</v>
      </c>
      <c r="R10" s="116">
        <v>39190033742</v>
      </c>
      <c r="S10" s="116">
        <v>449137</v>
      </c>
      <c r="T10" s="130">
        <f t="shared" si="1"/>
        <v>69.033421873504082</v>
      </c>
      <c r="U10" s="85">
        <f>Q8+Q9+Q10</f>
        <v>95921699</v>
      </c>
    </row>
    <row r="11" spans="1:21" ht="15" hidden="1" customHeight="1">
      <c r="A11" s="129" t="s">
        <v>6</v>
      </c>
      <c r="C11" s="79"/>
      <c r="F11" s="78">
        <f>Q11/21</f>
        <v>997162.71428571432</v>
      </c>
      <c r="G11" s="90">
        <f t="shared" si="2"/>
        <v>-0.3246217182881056</v>
      </c>
      <c r="H11" s="90"/>
      <c r="I11" s="130">
        <f t="shared" si="0"/>
        <v>59.293566056983884</v>
      </c>
      <c r="J11" s="130"/>
      <c r="K11" s="78"/>
      <c r="O11" s="89"/>
      <c r="P11" s="129" t="s">
        <v>6</v>
      </c>
      <c r="Q11" s="116">
        <v>20940417</v>
      </c>
      <c r="R11" s="116">
        <v>27079630451</v>
      </c>
      <c r="S11" s="116">
        <v>353165.08</v>
      </c>
      <c r="T11" s="130">
        <f t="shared" si="1"/>
        <v>59.293566056983884</v>
      </c>
      <c r="U11" s="85"/>
    </row>
    <row r="12" spans="1:21" ht="15" hidden="1" customHeight="1">
      <c r="A12" s="129" t="s">
        <v>7</v>
      </c>
      <c r="C12" s="79"/>
      <c r="F12" s="78">
        <f>Q12/22</f>
        <v>902443.27272727271</v>
      </c>
      <c r="G12" s="90">
        <f t="shared" si="2"/>
        <v>-9.4988952355976153E-2</v>
      </c>
      <c r="H12" s="90"/>
      <c r="I12" s="130">
        <f t="shared" si="0"/>
        <v>56.48681373204937</v>
      </c>
      <c r="J12" s="130"/>
      <c r="K12" s="78"/>
      <c r="O12" s="89"/>
      <c r="P12" s="129" t="s">
        <v>7</v>
      </c>
      <c r="Q12" s="116">
        <v>19853752</v>
      </c>
      <c r="R12" s="116">
        <v>25845879053</v>
      </c>
      <c r="S12" s="116">
        <v>351475.87</v>
      </c>
      <c r="T12" s="130">
        <f t="shared" si="1"/>
        <v>56.48681373204937</v>
      </c>
      <c r="U12" s="85"/>
    </row>
    <row r="13" spans="1:21" ht="15" hidden="1" customHeight="1">
      <c r="A13" s="129" t="s">
        <v>96</v>
      </c>
      <c r="B13" s="131">
        <f>F11+F12+F13</f>
        <v>3218162.5870129871</v>
      </c>
      <c r="C13" s="131">
        <f>AVERAGE(F11:F13)</f>
        <v>1072720.8623376624</v>
      </c>
      <c r="D13" s="90">
        <f>C13/C10-1</f>
        <v>-0.29545228001775981</v>
      </c>
      <c r="E13" s="286"/>
      <c r="F13" s="78">
        <f>Q13/20</f>
        <v>1318556.6000000001</v>
      </c>
      <c r="G13" s="90">
        <f t="shared" si="2"/>
        <v>0.46109638117772422</v>
      </c>
      <c r="H13" s="90"/>
      <c r="I13" s="130">
        <f t="shared" si="0"/>
        <v>64.817214575563909</v>
      </c>
      <c r="J13" s="130"/>
      <c r="K13" s="78">
        <f>R11+R12+R13</f>
        <v>89060834768</v>
      </c>
      <c r="L13" s="87">
        <f>U13/U10-1</f>
        <v>-0.29979033211244521</v>
      </c>
      <c r="N13" s="88">
        <f>AVERAGE(T11:T13)</f>
        <v>60.19919812153239</v>
      </c>
      <c r="O13" s="89">
        <f>N13/N10-1</f>
        <v>-0.22404140381555915</v>
      </c>
      <c r="P13" s="129" t="s">
        <v>96</v>
      </c>
      <c r="Q13" s="116">
        <v>26371132</v>
      </c>
      <c r="R13" s="116">
        <v>36135325264</v>
      </c>
      <c r="S13" s="116">
        <v>406853.83</v>
      </c>
      <c r="T13" s="130">
        <f t="shared" si="1"/>
        <v>64.817214575563909</v>
      </c>
      <c r="U13" s="85">
        <f>Q11+Q12+Q13</f>
        <v>67165301</v>
      </c>
    </row>
    <row r="14" spans="1:21" ht="15" hidden="1" customHeight="1">
      <c r="A14" s="129" t="s">
        <v>97</v>
      </c>
      <c r="C14" s="79"/>
      <c r="F14" s="78">
        <f>Q14/20</f>
        <v>1458138.1</v>
      </c>
      <c r="G14" s="90">
        <f t="shared" si="2"/>
        <v>0.10585931616435729</v>
      </c>
      <c r="H14" s="90"/>
      <c r="I14" s="130">
        <f t="shared" si="0"/>
        <v>92.744398574873671</v>
      </c>
      <c r="J14" s="130"/>
      <c r="K14" s="78"/>
      <c r="O14" s="89"/>
      <c r="P14" s="129" t="s">
        <v>97</v>
      </c>
      <c r="Q14" s="116">
        <v>29162762</v>
      </c>
      <c r="R14" s="116">
        <v>41612945549</v>
      </c>
      <c r="S14" s="116">
        <v>314442.3</v>
      </c>
      <c r="T14" s="130">
        <f t="shared" si="1"/>
        <v>92.744398574873671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873953</v>
      </c>
      <c r="G15" s="90">
        <f t="shared" si="2"/>
        <v>-0.40063770365783602</v>
      </c>
      <c r="H15" s="90"/>
      <c r="I15" s="130">
        <f t="shared" si="0"/>
        <v>73.560265770836963</v>
      </c>
      <c r="J15" s="130"/>
      <c r="K15" s="78"/>
      <c r="O15" s="89"/>
      <c r="P15" s="129" t="s">
        <v>98</v>
      </c>
      <c r="Q15" s="116">
        <v>19226966</v>
      </c>
      <c r="R15" s="116">
        <v>26582909321</v>
      </c>
      <c r="S15" s="116">
        <v>261377.06</v>
      </c>
      <c r="T15" s="130">
        <f t="shared" si="1"/>
        <v>73.560265770836963</v>
      </c>
      <c r="U15" s="85"/>
    </row>
    <row r="16" spans="1:21" ht="15" hidden="1" customHeight="1">
      <c r="A16" s="129" t="s">
        <v>99</v>
      </c>
      <c r="B16" s="131">
        <f>F14+F15+F16</f>
        <v>2943134.9636363639</v>
      </c>
      <c r="C16" s="131">
        <f>AVERAGE(F14:F16)</f>
        <v>981044.98787878791</v>
      </c>
      <c r="D16" s="90">
        <f>C16/C13-1</f>
        <v>-8.5461071633393337E-2</v>
      </c>
      <c r="E16" s="286"/>
      <c r="F16" s="78">
        <f>Q16/22</f>
        <v>611043.86363636365</v>
      </c>
      <c r="G16" s="90">
        <f t="shared" si="2"/>
        <v>-0.30082754606212958</v>
      </c>
      <c r="H16" s="90"/>
      <c r="I16" s="130">
        <f t="shared" si="0"/>
        <v>67.342314101942094</v>
      </c>
      <c r="J16" s="130"/>
      <c r="K16" s="78">
        <f>R14+R15+R16</f>
        <v>85808446148</v>
      </c>
      <c r="L16" s="87">
        <f>U16/U13-1</f>
        <v>-7.9395281798856243E-2</v>
      </c>
      <c r="N16" s="88">
        <f>AVERAGE(T14:T16)</f>
        <v>77.882326149217576</v>
      </c>
      <c r="O16" s="89">
        <f>N16/N13-1</f>
        <v>0.29374358096906583</v>
      </c>
      <c r="P16" s="129" t="s">
        <v>99</v>
      </c>
      <c r="Q16" s="116">
        <v>13442965</v>
      </c>
      <c r="R16" s="116">
        <v>17612591278</v>
      </c>
      <c r="S16" s="116">
        <v>199621.37</v>
      </c>
      <c r="T16" s="130">
        <f t="shared" si="1"/>
        <v>67.342314101942094</v>
      </c>
      <c r="U16" s="85">
        <f>Q14+Q15+Q16</f>
        <v>61832693</v>
      </c>
    </row>
    <row r="17" spans="1:21" ht="15" hidden="1" customHeight="1">
      <c r="A17" s="129" t="s">
        <v>100</v>
      </c>
      <c r="C17" s="79"/>
      <c r="F17" s="78">
        <f>Q17/20</f>
        <v>672521.15</v>
      </c>
      <c r="G17" s="90">
        <f t="shared" si="2"/>
        <v>0.10061026715460475</v>
      </c>
      <c r="H17" s="90">
        <f t="shared" ref="H17:H29" si="3">F17/F5-1</f>
        <v>-0.38439543216553074</v>
      </c>
      <c r="I17" s="130">
        <f t="shared" si="0"/>
        <v>123.54268306796527</v>
      </c>
      <c r="J17" s="130">
        <f t="shared" ref="J17:J49" si="4">I17/I5-1</f>
        <v>0.30410776899655123</v>
      </c>
      <c r="K17" s="78"/>
      <c r="O17" s="89"/>
      <c r="P17" s="129" t="s">
        <v>100</v>
      </c>
      <c r="Q17" s="116">
        <v>13450423</v>
      </c>
      <c r="R17" s="116">
        <v>16946717393</v>
      </c>
      <c r="S17" s="116">
        <v>108872.68</v>
      </c>
      <c r="T17" s="130">
        <f t="shared" si="1"/>
        <v>123.54268306796527</v>
      </c>
      <c r="U17" s="78"/>
    </row>
    <row r="18" spans="1:21" ht="15" hidden="1" customHeight="1">
      <c r="A18" s="129" t="s">
        <v>106</v>
      </c>
      <c r="C18" s="79"/>
      <c r="F18" s="78">
        <f>Q18/20</f>
        <v>907664.9</v>
      </c>
      <c r="G18" s="90">
        <f t="shared" si="2"/>
        <v>0.34964513755441007</v>
      </c>
      <c r="H18" s="90">
        <f t="shared" si="3"/>
        <v>-0.29701581816451317</v>
      </c>
      <c r="I18" s="130">
        <f t="shared" si="0"/>
        <v>111.35176169727896</v>
      </c>
      <c r="J18" s="130">
        <f t="shared" si="4"/>
        <v>0.30989265416787903</v>
      </c>
      <c r="K18" s="78"/>
      <c r="O18" s="89"/>
      <c r="P18" s="129" t="s">
        <v>106</v>
      </c>
      <c r="Q18" s="116">
        <v>18153298</v>
      </c>
      <c r="R18" s="116">
        <v>22802165330</v>
      </c>
      <c r="S18" s="116">
        <v>163026.59</v>
      </c>
      <c r="T18" s="130">
        <f t="shared" si="1"/>
        <v>111.35176169727896</v>
      </c>
      <c r="U18" s="78"/>
    </row>
    <row r="19" spans="1:21" hidden="1">
      <c r="A19" s="129" t="s">
        <v>114</v>
      </c>
      <c r="B19" s="131">
        <f>SUM(F17:F19)</f>
        <v>2523784.5954545457</v>
      </c>
      <c r="C19" s="131">
        <f>AVERAGE(F17:F19)</f>
        <v>841261.53181818186</v>
      </c>
      <c r="D19" s="90">
        <f>C19/C16-1</f>
        <v>-0.14248424668357496</v>
      </c>
      <c r="E19" s="286">
        <f>C19/C7-1</f>
        <v>-0.35481486380491112</v>
      </c>
      <c r="F19" s="78">
        <f>Q19/22</f>
        <v>943598.54545454541</v>
      </c>
      <c r="G19" s="90">
        <f t="shared" si="2"/>
        <v>3.9589109873638728E-2</v>
      </c>
      <c r="H19" s="90">
        <f t="shared" si="3"/>
        <v>-0.38250426449056729</v>
      </c>
      <c r="I19" s="130">
        <f t="shared" si="0"/>
        <v>83.183807518739144</v>
      </c>
      <c r="J19" s="130">
        <f t="shared" si="4"/>
        <v>-3.6317381405980509E-2</v>
      </c>
      <c r="K19" s="78">
        <f>R17+R18+R19</f>
        <v>66889345294</v>
      </c>
      <c r="L19" s="87">
        <f>U19/U16-1</f>
        <v>-0.15315205501400364</v>
      </c>
      <c r="M19" s="87">
        <f>U19/U7-1</f>
        <v>-0.33472233088643411</v>
      </c>
      <c r="N19" s="88">
        <f>AVERAGE(T17:T19)</f>
        <v>106.02608409466113</v>
      </c>
      <c r="O19" s="89">
        <f>N19/N16-1</f>
        <v>0.36136257527185189</v>
      </c>
      <c r="P19" s="129" t="s">
        <v>114</v>
      </c>
      <c r="Q19" s="116">
        <v>20759168</v>
      </c>
      <c r="R19" s="116">
        <v>27140462571</v>
      </c>
      <c r="S19" s="116">
        <v>249557.8</v>
      </c>
      <c r="T19" s="130">
        <f t="shared" si="1"/>
        <v>83.183807518739144</v>
      </c>
      <c r="U19" s="85">
        <f>Q17+Q18+Q19</f>
        <v>52362889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1236652.1499999999</v>
      </c>
      <c r="G20" s="90">
        <f t="shared" si="2"/>
        <v>0.31057021649422545</v>
      </c>
      <c r="H20" s="90">
        <f t="shared" si="3"/>
        <v>5.093272082026945E-2</v>
      </c>
      <c r="I20" s="130">
        <f t="shared" si="0"/>
        <v>76.005980409218338</v>
      </c>
      <c r="J20" s="130">
        <f t="shared" si="4"/>
        <v>-0.11054168788744856</v>
      </c>
      <c r="K20" s="78"/>
      <c r="O20" s="89"/>
      <c r="P20" s="129" t="s">
        <v>131</v>
      </c>
      <c r="Q20" s="116">
        <v>24733043</v>
      </c>
      <c r="R20" s="116">
        <v>32446029279</v>
      </c>
      <c r="S20" s="116">
        <v>325409.17</v>
      </c>
      <c r="T20" s="130">
        <f t="shared" si="1"/>
        <v>76.005980409218338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1042482.9523809524</v>
      </c>
      <c r="G21" s="90">
        <f t="shared" si="2"/>
        <v>-0.15701197593765348</v>
      </c>
      <c r="H21" s="90">
        <f t="shared" si="3"/>
        <v>-0.45548901542272835</v>
      </c>
      <c r="I21" s="130">
        <f t="shared" si="0"/>
        <v>80.717752108512684</v>
      </c>
      <c r="J21" s="130">
        <f t="shared" si="4"/>
        <v>3.1459424729206376E-2</v>
      </c>
      <c r="K21" s="78"/>
      <c r="O21" s="89"/>
      <c r="P21" s="129" t="s">
        <v>141</v>
      </c>
      <c r="Q21" s="116">
        <v>21892142</v>
      </c>
      <c r="R21" s="116">
        <v>29157399559</v>
      </c>
      <c r="S21" s="116">
        <v>271218.43</v>
      </c>
      <c r="T21" s="130">
        <f t="shared" si="1"/>
        <v>80.717752108512684</v>
      </c>
      <c r="U21" s="78"/>
    </row>
    <row r="22" spans="1:21" hidden="1">
      <c r="A22" s="129" t="s">
        <v>155</v>
      </c>
      <c r="B22" s="131">
        <f>SUM(F20:F22)</f>
        <v>3164706.2928571431</v>
      </c>
      <c r="C22" s="131">
        <f>AVERAGE(F20:F22)</f>
        <v>1054902.0976190476</v>
      </c>
      <c r="D22" s="90">
        <f>C22/C19-1</f>
        <v>0.25395261487724707</v>
      </c>
      <c r="E22" s="286">
        <f>C22/C10-1</f>
        <v>-0.30715538983520307</v>
      </c>
      <c r="F22" s="78">
        <f>Q22/21</f>
        <v>885571.19047619053</v>
      </c>
      <c r="G22" s="90">
        <f t="shared" si="2"/>
        <v>-0.15051734087966351</v>
      </c>
      <c r="H22" s="90">
        <f t="shared" si="3"/>
        <v>-0.40020265460307258</v>
      </c>
      <c r="I22" s="130">
        <f t="shared" si="0"/>
        <v>75.636856442411755</v>
      </c>
      <c r="J22" s="130">
        <f t="shared" si="4"/>
        <v>9.5655617086571665E-2</v>
      </c>
      <c r="K22" s="78">
        <f>R20+R21+R22</f>
        <v>85762545840</v>
      </c>
      <c r="L22" s="87">
        <f>U22/U19-1</f>
        <v>0.24558024290829339</v>
      </c>
      <c r="M22" s="87">
        <f>U22/U10-1</f>
        <v>-0.32004769848790937</v>
      </c>
      <c r="N22" s="88">
        <f>AVERAGE(T20:T22)</f>
        <v>77.453529653380926</v>
      </c>
      <c r="O22" s="89">
        <f>N22/N19-1</f>
        <v>-0.26948608623299097</v>
      </c>
      <c r="P22" s="129" t="s">
        <v>155</v>
      </c>
      <c r="Q22" s="116">
        <v>18596995</v>
      </c>
      <c r="R22" s="116">
        <v>24159117002</v>
      </c>
      <c r="S22" s="116">
        <v>245872.13</v>
      </c>
      <c r="T22" s="130">
        <f t="shared" si="1"/>
        <v>75.636856442411755</v>
      </c>
      <c r="U22" s="85">
        <f>Q20+Q21+Q22</f>
        <v>65222180</v>
      </c>
    </row>
    <row r="23" spans="1:21" hidden="1">
      <c r="A23" s="129" t="s">
        <v>189</v>
      </c>
      <c r="B23" s="131"/>
      <c r="C23" s="131"/>
      <c r="F23" s="78">
        <f>Q23/21</f>
        <v>698670.42857142852</v>
      </c>
      <c r="G23" s="90">
        <f t="shared" si="2"/>
        <v>-0.21105108647929416</v>
      </c>
      <c r="H23" s="90">
        <f t="shared" si="3"/>
        <v>-0.29934160336921667</v>
      </c>
      <c r="I23" s="130">
        <f t="shared" si="0"/>
        <v>64.471853916143104</v>
      </c>
      <c r="J23" s="130">
        <f t="shared" si="4"/>
        <v>8.7333048145268322E-2</v>
      </c>
      <c r="K23" s="78"/>
      <c r="O23" s="89"/>
      <c r="P23" s="129" t="s">
        <v>189</v>
      </c>
      <c r="Q23" s="116">
        <v>14672079</v>
      </c>
      <c r="R23" s="116">
        <v>18914321254</v>
      </c>
      <c r="S23" s="116">
        <v>227573.4</v>
      </c>
      <c r="T23" s="130">
        <f t="shared" si="1"/>
        <v>64.471853916143104</v>
      </c>
      <c r="U23" s="78"/>
    </row>
    <row r="24" spans="1:21" hidden="1">
      <c r="A24" s="129" t="s">
        <v>204</v>
      </c>
      <c r="B24" s="131"/>
      <c r="C24" s="131"/>
      <c r="F24" s="78">
        <f>Q24/22</f>
        <v>916760.86363636365</v>
      </c>
      <c r="G24" s="90">
        <f t="shared" si="2"/>
        <v>0.31215065951891607</v>
      </c>
      <c r="H24" s="90">
        <f t="shared" si="3"/>
        <v>1.5865363886886419E-2</v>
      </c>
      <c r="I24" s="130">
        <f t="shared" si="0"/>
        <v>94.098305051533359</v>
      </c>
      <c r="J24" s="130">
        <f t="shared" si="4"/>
        <v>0.6658455103857992</v>
      </c>
      <c r="K24" s="78"/>
      <c r="O24" s="89"/>
      <c r="P24" s="129" t="s">
        <v>204</v>
      </c>
      <c r="Q24" s="116">
        <v>20168739</v>
      </c>
      <c r="R24" s="116">
        <v>26598257206</v>
      </c>
      <c r="S24" s="116">
        <v>214336.9</v>
      </c>
      <c r="T24" s="130">
        <f t="shared" si="1"/>
        <v>94.098305051533359</v>
      </c>
      <c r="U24" s="78"/>
    </row>
    <row r="25" spans="1:21" s="79" customFormat="1" ht="13.2" hidden="1">
      <c r="A25" s="129" t="s">
        <v>217</v>
      </c>
      <c r="B25" s="131">
        <f>SUM(F23:F25)</f>
        <v>2996423.8711551605</v>
      </c>
      <c r="C25" s="131">
        <f>AVERAGE(F23:F25)</f>
        <v>998807.95705172012</v>
      </c>
      <c r="D25" s="90">
        <f>C25/C22-1</f>
        <v>-5.3174736019516944E-2</v>
      </c>
      <c r="E25" s="286">
        <f>C25/C13-1</f>
        <v>-6.890227260507642E-2</v>
      </c>
      <c r="F25" s="78">
        <f>Q25/19</f>
        <v>1380992.5789473683</v>
      </c>
      <c r="G25" s="90">
        <f t="shared" si="2"/>
        <v>0.50638256248157609</v>
      </c>
      <c r="H25" s="90">
        <f t="shared" si="3"/>
        <v>4.7351762485863924E-2</v>
      </c>
      <c r="I25" s="130">
        <f t="shared" si="0"/>
        <v>84.938752579390354</v>
      </c>
      <c r="J25" s="130">
        <f t="shared" si="4"/>
        <v>0.31043509252266244</v>
      </c>
      <c r="K25" s="78">
        <f>R23+R24+R25</f>
        <v>80350211703</v>
      </c>
      <c r="L25" s="90">
        <f>U25/U22-1</f>
        <v>-6.3513715732899434E-2</v>
      </c>
      <c r="M25" s="90">
        <f>U25/U13-1</f>
        <v>-9.0606666081940124E-2</v>
      </c>
      <c r="N25" s="88">
        <f>AVERAGE(T23:T25)</f>
        <v>81.169637182355601</v>
      </c>
      <c r="O25" s="91">
        <f>N25/N22-1</f>
        <v>4.7978543335661428E-2</v>
      </c>
      <c r="P25" s="129" t="s">
        <v>217</v>
      </c>
      <c r="Q25" s="116">
        <v>26238859</v>
      </c>
      <c r="R25" s="116">
        <v>34837633243</v>
      </c>
      <c r="S25" s="116">
        <v>308915.05</v>
      </c>
      <c r="T25" s="130">
        <f t="shared" si="1"/>
        <v>84.938752579390354</v>
      </c>
      <c r="U25" s="85">
        <f>Q23+Q24+Q25</f>
        <v>61079677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1496757.3157894737</v>
      </c>
      <c r="G26" s="90">
        <f t="shared" si="2"/>
        <v>8.3827196906694823E-2</v>
      </c>
      <c r="H26" s="90">
        <f t="shared" si="3"/>
        <v>2.6485293669696652E-2</v>
      </c>
      <c r="I26" s="130">
        <f t="shared" si="0"/>
        <v>90.375385130112491</v>
      </c>
      <c r="J26" s="130">
        <f t="shared" si="4"/>
        <v>-2.5543466572255036E-2</v>
      </c>
      <c r="K26" s="78"/>
      <c r="L26" s="90"/>
      <c r="M26" s="90"/>
      <c r="P26" s="129" t="s">
        <v>312</v>
      </c>
      <c r="Q26" s="116">
        <v>28438389</v>
      </c>
      <c r="R26" s="116">
        <v>38376486368</v>
      </c>
      <c r="S26" s="116">
        <v>314669.63</v>
      </c>
      <c r="T26" s="130">
        <f t="shared" si="1"/>
        <v>90.375385130112491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1034744.9090909091</v>
      </c>
      <c r="G27" s="90">
        <f t="shared" si="2"/>
        <v>-0.30867556271463648</v>
      </c>
      <c r="H27" s="90">
        <f t="shared" si="3"/>
        <v>0.18398232981740326</v>
      </c>
      <c r="I27" s="130">
        <f t="shared" si="0"/>
        <v>77.330505674934443</v>
      </c>
      <c r="J27" s="130">
        <f t="shared" si="4"/>
        <v>5.125375587743175E-2</v>
      </c>
      <c r="K27" s="78"/>
      <c r="L27" s="90"/>
      <c r="M27" s="90"/>
      <c r="P27" s="129" t="s">
        <v>373</v>
      </c>
      <c r="Q27" s="116">
        <v>22764388</v>
      </c>
      <c r="R27" s="116">
        <v>30175607128</v>
      </c>
      <c r="S27" s="116">
        <v>294377.84999999998</v>
      </c>
      <c r="T27" s="130">
        <f t="shared" si="1"/>
        <v>77.330505674934443</v>
      </c>
      <c r="U27" s="78"/>
    </row>
    <row r="28" spans="1:21" s="79" customFormat="1" ht="13.2" hidden="1">
      <c r="A28" s="123" t="s">
        <v>413</v>
      </c>
      <c r="B28" s="131">
        <f>SUM(F26:F28)</f>
        <v>3479665.4354066988</v>
      </c>
      <c r="C28" s="131">
        <f>AVERAGE(F26:F28)</f>
        <v>1159888.4784688996</v>
      </c>
      <c r="D28" s="90">
        <f>C28/C25-1</f>
        <v>0.16127276548001945</v>
      </c>
      <c r="E28" s="286">
        <f>C28/C16-1</f>
        <v>0.18229896977182114</v>
      </c>
      <c r="F28" s="78">
        <f>Q28/19</f>
        <v>948163.21052631584</v>
      </c>
      <c r="G28" s="90">
        <f t="shared" si="2"/>
        <v>-8.3674437828991977E-2</v>
      </c>
      <c r="H28" s="90">
        <f t="shared" si="3"/>
        <v>0.55171055132397862</v>
      </c>
      <c r="I28" s="130">
        <f t="shared" si="0"/>
        <v>95.632108235298375</v>
      </c>
      <c r="J28" s="130">
        <f t="shared" si="4"/>
        <v>0.42008942684285366</v>
      </c>
      <c r="K28" s="78">
        <f>R26+R27+R28</f>
        <v>92093335991</v>
      </c>
      <c r="L28" s="90">
        <f>U28/U25-1</f>
        <v>0.13323909686031898</v>
      </c>
      <c r="M28" s="90">
        <f>U28/U16-1</f>
        <v>0.11943819105533704</v>
      </c>
      <c r="N28" s="88">
        <f>AVERAGE(T26:T28)</f>
        <v>87.779333013448422</v>
      </c>
      <c r="O28" s="91">
        <f>N28/N25-1</f>
        <v>8.1430644025714871E-2</v>
      </c>
      <c r="P28" s="129" t="s">
        <v>413</v>
      </c>
      <c r="Q28" s="116">
        <v>18015101</v>
      </c>
      <c r="R28" s="116">
        <v>23541242495</v>
      </c>
      <c r="S28" s="116">
        <v>188379.21</v>
      </c>
      <c r="T28" s="130">
        <f t="shared" si="1"/>
        <v>95.632108235298375</v>
      </c>
      <c r="U28" s="85">
        <f>Q26+Q27+Q28</f>
        <v>69217878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1437115.3636363635</v>
      </c>
      <c r="G29" s="190">
        <f t="shared" si="2"/>
        <v>0.51568353178208137</v>
      </c>
      <c r="H29" s="190">
        <f t="shared" si="3"/>
        <v>1.1369073130805827</v>
      </c>
      <c r="I29" s="130">
        <f t="shared" si="0"/>
        <v>96.162814354452536</v>
      </c>
      <c r="J29" s="130">
        <f t="shared" si="4"/>
        <v>-0.22162274635439227</v>
      </c>
      <c r="K29" s="136"/>
      <c r="L29" s="190"/>
      <c r="M29" s="190"/>
      <c r="N29" s="191"/>
      <c r="O29" s="192"/>
      <c r="P29" s="129" t="s">
        <v>426</v>
      </c>
      <c r="Q29" s="116">
        <v>31616538</v>
      </c>
      <c r="R29" s="116">
        <v>41552253842</v>
      </c>
      <c r="S29" s="116">
        <v>328781.33</v>
      </c>
      <c r="T29" s="130">
        <f t="shared" si="1"/>
        <v>96.162814354452536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1012296.4210526316</v>
      </c>
      <c r="G30" s="190">
        <f t="shared" ref="G30" si="5">F30/F29-1</f>
        <v>-0.2956053169655104</v>
      </c>
      <c r="H30" s="190">
        <f t="shared" ref="H30" si="6">F30/F18-1</f>
        <v>0.11527549545281701</v>
      </c>
      <c r="I30" s="130">
        <f t="shared" si="0"/>
        <v>85.632219986321019</v>
      </c>
      <c r="J30" s="130">
        <f t="shared" si="4"/>
        <v>-0.23097561564296687</v>
      </c>
      <c r="K30" s="136"/>
      <c r="L30" s="190"/>
      <c r="M30" s="190"/>
      <c r="N30" s="191"/>
      <c r="O30" s="192"/>
      <c r="P30" s="129" t="s">
        <v>497</v>
      </c>
      <c r="Q30" s="116">
        <v>19233632</v>
      </c>
      <c r="R30" s="116">
        <v>25625319489</v>
      </c>
      <c r="S30" s="116">
        <v>224607.42</v>
      </c>
      <c r="T30" s="130">
        <f t="shared" ref="T30" si="7">Q30/S30</f>
        <v>85.632219986321019</v>
      </c>
      <c r="U30" s="85"/>
    </row>
    <row r="31" spans="1:21" s="79" customFormat="1" ht="13.2" hidden="1">
      <c r="A31" s="129" t="s">
        <v>505</v>
      </c>
      <c r="B31" s="188">
        <f>SUM(F29:F31)</f>
        <v>3474557.9846889954</v>
      </c>
      <c r="C31" s="188">
        <f>AVERAGE(F29:F31)</f>
        <v>1158185.9948963318</v>
      </c>
      <c r="D31" s="190">
        <f>C31/C28-1</f>
        <v>-1.4677993653451349E-3</v>
      </c>
      <c r="E31" s="287">
        <f>C31/C19-1</f>
        <v>0.37672525260152434</v>
      </c>
      <c r="F31" s="136">
        <f>Q31/20</f>
        <v>1025146.2</v>
      </c>
      <c r="G31" s="190">
        <f t="shared" ref="G31" si="8">F31/F30-1</f>
        <v>1.269369196623904E-2</v>
      </c>
      <c r="H31" s="190">
        <f t="shared" ref="H31" si="9">F31/F19-1</f>
        <v>8.6421979917499669E-2</v>
      </c>
      <c r="I31" s="130">
        <f t="shared" si="0"/>
        <v>73.648285119744017</v>
      </c>
      <c r="J31" s="130">
        <f t="shared" si="4"/>
        <v>-0.11463195402358828</v>
      </c>
      <c r="K31" s="136">
        <f>R29+R30+R31</f>
        <v>94415308807</v>
      </c>
      <c r="L31" s="190">
        <f>U31/U28-1</f>
        <v>3.0847752946139062E-2</v>
      </c>
      <c r="M31" s="190">
        <f>U31/U19-1</f>
        <v>0.36266534109682147</v>
      </c>
      <c r="N31" s="191">
        <f>AVERAGE(T29:T31)</f>
        <v>85.147773153505852</v>
      </c>
      <c r="O31" s="192">
        <f>N31/N28-1</f>
        <v>-2.9979264703906994E-2</v>
      </c>
      <c r="P31" s="129" t="s">
        <v>505</v>
      </c>
      <c r="Q31" s="116">
        <v>20502924</v>
      </c>
      <c r="R31" s="116">
        <v>27237735476</v>
      </c>
      <c r="S31" s="116">
        <v>278389.7</v>
      </c>
      <c r="T31" s="130">
        <f t="shared" ref="T31" si="10">Q31/S31</f>
        <v>73.648285119744017</v>
      </c>
      <c r="U31" s="85">
        <f>Q29+Q30+Q31</f>
        <v>71353094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1031401.5238095238</v>
      </c>
      <c r="G32" s="190">
        <f t="shared" ref="G32" si="11">F32/F31-1</f>
        <v>6.1018845990199466E-3</v>
      </c>
      <c r="H32" s="190">
        <f t="shared" ref="H32" si="12">F32/F20-1</f>
        <v>-0.16597280503695089</v>
      </c>
      <c r="I32" s="130">
        <f t="shared" si="0"/>
        <v>72.341166145463731</v>
      </c>
      <c r="J32" s="130">
        <f t="shared" si="4"/>
        <v>-4.8217446101256001E-2</v>
      </c>
      <c r="K32" s="136"/>
      <c r="L32" s="190"/>
      <c r="M32" s="190"/>
      <c r="N32" s="191"/>
      <c r="O32" s="192"/>
      <c r="P32" s="129" t="s">
        <v>562</v>
      </c>
      <c r="Q32" s="116">
        <v>21659432</v>
      </c>
      <c r="R32" s="116">
        <v>29485283688</v>
      </c>
      <c r="S32" s="116">
        <v>299406.73</v>
      </c>
      <c r="T32" s="130">
        <f t="shared" ref="T32" si="13">Q32/S32</f>
        <v>72.341166145463731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1664249.8095238095</v>
      </c>
      <c r="G33" s="190">
        <f t="shared" ref="G33" si="14">F33/F32-1</f>
        <v>0.61358091015498473</v>
      </c>
      <c r="H33" s="190">
        <f t="shared" ref="H33" si="15">F33/F21-1</f>
        <v>0.59642880079984861</v>
      </c>
      <c r="I33" s="130">
        <f t="shared" si="0"/>
        <v>91.254485372217061</v>
      </c>
      <c r="J33" s="130">
        <f t="shared" si="4"/>
        <v>0.13053799181051717</v>
      </c>
      <c r="K33" s="136"/>
      <c r="L33" s="190"/>
      <c r="M33" s="190"/>
      <c r="N33" s="191"/>
      <c r="O33" s="192"/>
      <c r="P33" s="129" t="s">
        <v>624</v>
      </c>
      <c r="Q33" s="116">
        <v>34949246</v>
      </c>
      <c r="R33" s="116">
        <v>47776952062</v>
      </c>
      <c r="S33" s="116">
        <v>382986.61</v>
      </c>
      <c r="T33" s="130">
        <f t="shared" ref="T33" si="16">Q33/S33</f>
        <v>91.254485372217061</v>
      </c>
      <c r="U33" s="85"/>
    </row>
    <row r="34" spans="1:21" s="79" customFormat="1" ht="13.2" hidden="1">
      <c r="A34" s="129" t="s">
        <v>652</v>
      </c>
      <c r="B34" s="188">
        <f>SUM(F32:F34)</f>
        <v>3634270.7543859645</v>
      </c>
      <c r="C34" s="188">
        <f>AVERAGE(F32:F34)</f>
        <v>1211423.5847953216</v>
      </c>
      <c r="D34" s="190">
        <f>C34/C31-1</f>
        <v>4.5966356123789076E-2</v>
      </c>
      <c r="E34" s="287">
        <f>C34/C22-1</f>
        <v>0.1483753682256852</v>
      </c>
      <c r="F34" s="136">
        <f>Q34/19</f>
        <v>938619.42105263157</v>
      </c>
      <c r="G34" s="190">
        <f t="shared" ref="G34" si="17">F34/F33-1</f>
        <v>-0.43601049813477344</v>
      </c>
      <c r="H34" s="190">
        <f t="shared" ref="H34" si="18">F34/F22-1</f>
        <v>5.9902841405574447E-2</v>
      </c>
      <c r="I34" s="130">
        <f t="shared" si="0"/>
        <v>85.059679911232294</v>
      </c>
      <c r="J34" s="130">
        <f t="shared" si="4"/>
        <v>0.12457978705123574</v>
      </c>
      <c r="K34" s="136">
        <f>R32+R33+R34</f>
        <v>101810274242</v>
      </c>
      <c r="L34" s="190">
        <f>U34/U31-1</f>
        <v>4.3296692922664359E-2</v>
      </c>
      <c r="M34" s="190">
        <f>U34/U22-1</f>
        <v>0.14136704722227922</v>
      </c>
      <c r="N34" s="191">
        <f>AVERAGE(T32:T34)</f>
        <v>82.885110476304362</v>
      </c>
      <c r="O34" s="192">
        <f>N34/N31-1</f>
        <v>-2.6573362912525322E-2</v>
      </c>
      <c r="P34" s="129" t="s">
        <v>652</v>
      </c>
      <c r="Q34" s="116">
        <v>17833769</v>
      </c>
      <c r="R34" s="116">
        <v>24548038492</v>
      </c>
      <c r="S34" s="116">
        <v>209661.84</v>
      </c>
      <c r="T34" s="130">
        <f t="shared" ref="T34" si="19">Q34/S34</f>
        <v>85.059679911232294</v>
      </c>
      <c r="U34" s="85">
        <f>Q32+Q33+Q34</f>
        <v>74442447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560846.26086956519</v>
      </c>
      <c r="G35" s="190">
        <f t="shared" ref="G35" si="20">F35/F34-1</f>
        <v>-0.40247745967093451</v>
      </c>
      <c r="H35" s="190">
        <f t="shared" ref="H35" si="21">F35/F23-1</f>
        <v>-0.19726635344173993</v>
      </c>
      <c r="I35" s="130">
        <f t="shared" si="0"/>
        <v>69.689749951431253</v>
      </c>
      <c r="J35" s="130">
        <f t="shared" si="4"/>
        <v>8.0932929927452157E-2</v>
      </c>
      <c r="K35" s="136"/>
      <c r="L35" s="190"/>
      <c r="M35" s="190"/>
      <c r="N35" s="191"/>
      <c r="O35" s="192"/>
      <c r="P35" s="129" t="s">
        <v>660</v>
      </c>
      <c r="Q35" s="116">
        <v>12899464</v>
      </c>
      <c r="R35" s="116">
        <v>17852062294</v>
      </c>
      <c r="S35" s="116">
        <v>185098.44</v>
      </c>
      <c r="T35" s="130">
        <f t="shared" ref="T35" si="22">Q35/S35</f>
        <v>69.689749951431253</v>
      </c>
      <c r="U35" s="85"/>
    </row>
    <row r="36" spans="1:21" s="79" customFormat="1" ht="13.2" hidden="1">
      <c r="A36" s="129" t="s">
        <v>690</v>
      </c>
      <c r="B36" s="188"/>
      <c r="C36" s="188"/>
      <c r="D36" s="190"/>
      <c r="E36" s="287"/>
      <c r="F36" s="136">
        <f>Q36/21</f>
        <v>888928.71428571432</v>
      </c>
      <c r="G36" s="190">
        <f t="shared" ref="G36" si="23">F36/F35-1</f>
        <v>0.58497751755975513</v>
      </c>
      <c r="H36" s="190">
        <f t="shared" ref="H36" si="24">F36/F24-1</f>
        <v>-3.0359225022163483E-2</v>
      </c>
      <c r="I36" s="130">
        <f t="shared" si="0"/>
        <v>79.159253593344005</v>
      </c>
      <c r="J36" s="130">
        <f t="shared" si="4"/>
        <v>-0.1587600483346423</v>
      </c>
      <c r="K36" s="136"/>
      <c r="L36" s="190"/>
      <c r="M36" s="190"/>
      <c r="N36" s="191"/>
      <c r="O36" s="192"/>
      <c r="P36" s="129" t="s">
        <v>690</v>
      </c>
      <c r="Q36" s="116">
        <v>18667503</v>
      </c>
      <c r="R36" s="116">
        <v>25412535193</v>
      </c>
      <c r="S36" s="116">
        <v>235822.12</v>
      </c>
      <c r="T36" s="130">
        <f t="shared" ref="T36" si="25">Q36/S36</f>
        <v>79.159253593344005</v>
      </c>
      <c r="U36" s="85"/>
    </row>
    <row r="37" spans="1:21" s="79" customFormat="1" ht="13.2" hidden="1">
      <c r="A37" s="129" t="s">
        <v>702</v>
      </c>
      <c r="B37" s="188">
        <f>SUM(F35:F37)</f>
        <v>3318409.3640441685</v>
      </c>
      <c r="C37" s="188">
        <f>AVERAGE(F35:F37)</f>
        <v>1106136.4546813895</v>
      </c>
      <c r="D37" s="190">
        <f>C37/C34-1</f>
        <v>-8.6911903842223026E-2</v>
      </c>
      <c r="E37" s="287">
        <f>C37/C25-1</f>
        <v>0.10745659050062195</v>
      </c>
      <c r="F37" s="136">
        <f>Q37/18</f>
        <v>1868634.388888889</v>
      </c>
      <c r="G37" s="190">
        <f t="shared" ref="G37" si="26">F37/F36-1</f>
        <v>1.1021195050386048</v>
      </c>
      <c r="H37" s="190">
        <f t="shared" ref="H37" si="27">F37/F25-1</f>
        <v>0.35310965270589301</v>
      </c>
      <c r="I37" s="130">
        <f t="shared" si="0"/>
        <v>128.39005156112304</v>
      </c>
      <c r="J37" s="130">
        <f t="shared" si="4"/>
        <v>0.51156036158077245</v>
      </c>
      <c r="K37" s="136">
        <f>R35+R36+R37</f>
        <v>88138208541</v>
      </c>
      <c r="L37" s="190">
        <f>U37/U34-1</f>
        <v>-0.12412355278971421</v>
      </c>
      <c r="M37" s="190">
        <f>U37/U25-1</f>
        <v>6.7497229888756616E-2</v>
      </c>
      <c r="N37" s="191">
        <f>AVERAGE(T35:T37)</f>
        <v>92.413018368632763</v>
      </c>
      <c r="O37" s="192">
        <f>N37/N34-1</f>
        <v>0.11495319047746566</v>
      </c>
      <c r="P37" s="129" t="s">
        <v>702</v>
      </c>
      <c r="Q37" s="116">
        <v>33635419</v>
      </c>
      <c r="R37" s="116">
        <v>44873611054</v>
      </c>
      <c r="S37" s="116">
        <v>261978.39</v>
      </c>
      <c r="T37" s="130">
        <f t="shared" ref="T37" si="28">Q37/S37</f>
        <v>128.39005156112304</v>
      </c>
      <c r="U37" s="85">
        <f>Q35+Q36+Q37</f>
        <v>65202386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1515690.2</v>
      </c>
      <c r="G38" s="190">
        <f t="shared" ref="G38" si="29">F38/F37-1</f>
        <v>-0.18887814062907915</v>
      </c>
      <c r="H38" s="190">
        <f t="shared" ref="H38" si="30">F38/F26-1</f>
        <v>1.264926786112941E-2</v>
      </c>
      <c r="I38" s="130">
        <f t="shared" si="0"/>
        <v>116.32067877626201</v>
      </c>
      <c r="J38" s="130">
        <f t="shared" si="4"/>
        <v>0.2870836302251587</v>
      </c>
      <c r="K38" s="136"/>
      <c r="L38" s="190"/>
      <c r="M38" s="190"/>
      <c r="N38" s="191"/>
      <c r="O38" s="192"/>
      <c r="P38" s="129" t="s">
        <v>757</v>
      </c>
      <c r="Q38" s="116">
        <v>30313804</v>
      </c>
      <c r="R38" s="116">
        <v>40826642460</v>
      </c>
      <c r="S38" s="116">
        <v>260605.46</v>
      </c>
      <c r="T38" s="130">
        <f t="shared" ref="T38" si="31">Q38/S38</f>
        <v>116.32067877626201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700156.57142857148</v>
      </c>
      <c r="G39" s="190">
        <f t="shared" ref="G39" si="32">F39/F38-1</f>
        <v>-0.53806089699031401</v>
      </c>
      <c r="H39" s="190">
        <f t="shared" ref="H39" si="33">F39/F27-1</f>
        <v>-0.32335345138957516</v>
      </c>
      <c r="I39" s="130">
        <f t="shared" si="0"/>
        <v>62.929283431270626</v>
      </c>
      <c r="J39" s="130">
        <f t="shared" si="4"/>
        <v>-0.18622951082462358</v>
      </c>
      <c r="K39" s="136"/>
      <c r="L39" s="190"/>
      <c r="M39" s="190"/>
      <c r="N39" s="191"/>
      <c r="O39" s="192"/>
      <c r="P39" s="129" t="s">
        <v>762</v>
      </c>
      <c r="Q39" s="116">
        <v>14703288</v>
      </c>
      <c r="R39" s="116">
        <v>20466086943</v>
      </c>
      <c r="S39" s="116">
        <v>233647.79</v>
      </c>
      <c r="T39" s="130">
        <f t="shared" ref="T39" si="34">Q39/S39</f>
        <v>62.929283431270626</v>
      </c>
      <c r="U39" s="85"/>
    </row>
    <row r="40" spans="1:21" s="79" customFormat="1" ht="13.2" hidden="1">
      <c r="A40" s="129" t="s">
        <v>778</v>
      </c>
      <c r="B40" s="188">
        <f>SUM(F38:F40)</f>
        <v>3199390.3904761905</v>
      </c>
      <c r="C40" s="188">
        <f>AVERAGE(F38:F40)</f>
        <v>1066463.4634920636</v>
      </c>
      <c r="D40" s="190">
        <f>C40/C37-1</f>
        <v>-3.5866272213904482E-2</v>
      </c>
      <c r="E40" s="287">
        <f>C40/C28-1</f>
        <v>-8.0546549699468395E-2</v>
      </c>
      <c r="F40" s="136">
        <f>Q40/21</f>
        <v>983543.61904761905</v>
      </c>
      <c r="G40" s="190">
        <f t="shared" ref="G40" si="35">F40/F39-1</f>
        <v>0.40474810804222838</v>
      </c>
      <c r="H40" s="190">
        <f t="shared" ref="H40" si="36">F40/F28-1</f>
        <v>3.7314681827471441E-2</v>
      </c>
      <c r="I40" s="130">
        <f t="shared" si="0"/>
        <v>69.827469716655415</v>
      </c>
      <c r="J40" s="130">
        <f t="shared" si="4"/>
        <v>-0.2698323711023064</v>
      </c>
      <c r="K40" s="136">
        <f>R38+R39+R40</f>
        <v>90680757901</v>
      </c>
      <c r="L40" s="190">
        <f>U40/U37-1</f>
        <v>7.1948594028445889E-3</v>
      </c>
      <c r="M40" s="190">
        <f>U40/U28-1</f>
        <v>-5.1234884721545471E-2</v>
      </c>
      <c r="N40" s="191">
        <f>AVERAGE(T38:T40)</f>
        <v>83.025810641396006</v>
      </c>
      <c r="O40" s="192">
        <f>N40/N37-1</f>
        <v>-0.10157884563180775</v>
      </c>
      <c r="P40" s="129" t="s">
        <v>778</v>
      </c>
      <c r="Q40" s="116">
        <v>20654416</v>
      </c>
      <c r="R40" s="116">
        <v>29388028498</v>
      </c>
      <c r="S40" s="116">
        <v>295792.13</v>
      </c>
      <c r="T40" s="130">
        <f t="shared" ref="T40" si="37">Q40/S40</f>
        <v>69.827469716655415</v>
      </c>
      <c r="U40" s="85">
        <f>Q38+Q39+Q40</f>
        <v>65671508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785796.66666666663</v>
      </c>
      <c r="G41" s="190">
        <f t="shared" ref="G41" si="38">F41/F40-1</f>
        <v>-0.20105559992594324</v>
      </c>
      <c r="H41" s="190">
        <f t="shared" ref="H41" si="39">F41/F29-1</f>
        <v>-0.45321253495032676</v>
      </c>
      <c r="I41" s="130">
        <f t="shared" si="0"/>
        <v>64.245470664658015</v>
      </c>
      <c r="J41" s="130">
        <f t="shared" si="4"/>
        <v>-0.33190941741938196</v>
      </c>
      <c r="K41" s="193"/>
      <c r="L41" s="190"/>
      <c r="M41" s="190"/>
      <c r="N41" s="193"/>
      <c r="O41" s="193"/>
      <c r="P41" s="129" t="s">
        <v>792</v>
      </c>
      <c r="Q41" s="116">
        <v>14144340</v>
      </c>
      <c r="R41" s="116">
        <v>20690291501</v>
      </c>
      <c r="S41" s="116">
        <v>220160.89</v>
      </c>
      <c r="T41" s="130">
        <f t="shared" ref="T41" si="40">Q41/S41</f>
        <v>64.245470664658015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956996</v>
      </c>
      <c r="G42" s="190">
        <f t="shared" ref="G42" si="41">F42/F41-1</f>
        <v>0.21786721755840155</v>
      </c>
      <c r="H42" s="190">
        <f t="shared" ref="H42" si="42">F42/F30-1</f>
        <v>-5.4628683755621354E-2</v>
      </c>
      <c r="I42" s="130">
        <f t="shared" si="0"/>
        <v>73.434397237473902</v>
      </c>
      <c r="J42" s="130">
        <f t="shared" si="4"/>
        <v>-0.14244431302605032</v>
      </c>
      <c r="K42" s="193"/>
      <c r="L42" s="190"/>
      <c r="M42" s="190"/>
      <c r="N42" s="193"/>
      <c r="O42" s="193"/>
      <c r="P42" s="129" t="s">
        <v>826</v>
      </c>
      <c r="Q42" s="116">
        <v>19139920</v>
      </c>
      <c r="R42" s="116">
        <v>27656092016</v>
      </c>
      <c r="S42" s="116">
        <v>260639.71</v>
      </c>
      <c r="T42" s="130">
        <f t="shared" ref="T42" si="43">Q42/S42</f>
        <v>73.434397237473902</v>
      </c>
      <c r="U42" s="78"/>
    </row>
    <row r="43" spans="1:21" s="79" customFormat="1" ht="13.2">
      <c r="A43" s="129" t="s">
        <v>835</v>
      </c>
      <c r="B43" s="188">
        <f>SUM(F41:F43)</f>
        <v>2513271.6666666665</v>
      </c>
      <c r="C43" s="188">
        <f>AVERAGE(F41:F43)</f>
        <v>837757.22222222213</v>
      </c>
      <c r="D43" s="190">
        <f>C43/C40-1</f>
        <v>-0.21445295511667894</v>
      </c>
      <c r="E43" s="287">
        <f>C43/C31-1</f>
        <v>-0.27666434759711545</v>
      </c>
      <c r="F43" s="136">
        <f>Q43/20</f>
        <v>770479</v>
      </c>
      <c r="G43" s="190">
        <f t="shared" ref="G43" si="44">F43/F42-1</f>
        <v>-0.19489841127862606</v>
      </c>
      <c r="H43" s="190">
        <f t="shared" ref="H43" si="45">F43/F31-1</f>
        <v>-0.24842037165040454</v>
      </c>
      <c r="I43" s="130">
        <f t="shared" si="0"/>
        <v>61.616140654010188</v>
      </c>
      <c r="J43" s="130">
        <f t="shared" si="4"/>
        <v>-0.16337304318995183</v>
      </c>
      <c r="K43" s="136">
        <f>R41+R42+R43</f>
        <v>70666874320</v>
      </c>
      <c r="L43" s="190">
        <f>U43/U40-1</f>
        <v>-0.25852410759320466</v>
      </c>
      <c r="M43" s="190">
        <f>K43/K31-1</f>
        <v>-0.25153160845499745</v>
      </c>
      <c r="N43" s="191">
        <f>AVERAGE(T41:T43)</f>
        <v>66.432002852047376</v>
      </c>
      <c r="O43" s="192">
        <f>N43/N40-1</f>
        <v>-0.19986324326323524</v>
      </c>
      <c r="P43" s="129" t="s">
        <v>835</v>
      </c>
      <c r="Q43" s="116">
        <v>15409580</v>
      </c>
      <c r="R43" s="116">
        <v>22320490803</v>
      </c>
      <c r="S43" s="116">
        <v>250089.99</v>
      </c>
      <c r="T43" s="130">
        <f t="shared" ref="T43" si="46">Q43/S43</f>
        <v>61.616140654010188</v>
      </c>
      <c r="U43" s="85">
        <f>Q41+Q42+Q43</f>
        <v>48693840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949063.40909090906</v>
      </c>
      <c r="G44" s="190">
        <f t="shared" ref="G44" si="47">F44/F43-1</f>
        <v>0.23178361654361646</v>
      </c>
      <c r="H44" s="190">
        <f t="shared" ref="H44" si="48">F44/F32-1</f>
        <v>-7.9831290547734968E-2</v>
      </c>
      <c r="I44" s="130">
        <f t="shared" si="0"/>
        <v>95.358191364407915</v>
      </c>
      <c r="J44" s="130">
        <f t="shared" si="4"/>
        <v>0.31817326766147946</v>
      </c>
      <c r="K44" s="136"/>
      <c r="L44" s="190"/>
      <c r="M44" s="190"/>
      <c r="N44" s="191"/>
      <c r="O44" s="192"/>
      <c r="P44" s="129" t="s">
        <v>843</v>
      </c>
      <c r="Q44" s="116">
        <v>20879395</v>
      </c>
      <c r="R44" s="116">
        <v>30210033850</v>
      </c>
      <c r="S44" s="116">
        <v>218957.54</v>
      </c>
      <c r="T44" s="130">
        <f t="shared" ref="T44" si="49">Q44/S44</f>
        <v>95.358191364407915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1038734.3</v>
      </c>
      <c r="G45" s="190">
        <f t="shared" ref="G45" si="50">F45/F44-1</f>
        <v>9.4483561425031892E-2</v>
      </c>
      <c r="H45" s="190">
        <f t="shared" ref="H45" si="51">F45/F33-1</f>
        <v>-0.3758543374583817</v>
      </c>
      <c r="I45" s="130">
        <f t="shared" si="0"/>
        <v>84.478689882642584</v>
      </c>
      <c r="J45" s="130">
        <f t="shared" si="4"/>
        <v>-7.4251643214432117E-2</v>
      </c>
      <c r="K45" s="136"/>
      <c r="L45" s="190"/>
      <c r="M45" s="190"/>
      <c r="N45" s="191"/>
      <c r="O45" s="192"/>
      <c r="P45" s="129" t="s">
        <v>849</v>
      </c>
      <c r="Q45" s="116">
        <v>20774686</v>
      </c>
      <c r="R45" s="116">
        <v>29158795899</v>
      </c>
      <c r="S45" s="116">
        <v>245916.29</v>
      </c>
      <c r="T45" s="130">
        <f t="shared" ref="T45" si="52">Q45/S45</f>
        <v>84.478689882642584</v>
      </c>
      <c r="U45" s="85"/>
    </row>
    <row r="46" spans="1:21" s="79" customFormat="1" ht="13.2">
      <c r="A46" s="129" t="s">
        <v>917</v>
      </c>
      <c r="B46" s="188">
        <f>SUM(F44:F46)</f>
        <v>2534173.1301435404</v>
      </c>
      <c r="C46" s="188">
        <f>AVERAGE(F44:F46)</f>
        <v>844724.37671451352</v>
      </c>
      <c r="D46" s="190">
        <f>C46/C43-1</f>
        <v>8.3164362030927474E-3</v>
      </c>
      <c r="E46" s="287">
        <f>C46/C34-1</f>
        <v>-0.30270106400707431</v>
      </c>
      <c r="F46" s="136">
        <f>Q46/19</f>
        <v>546375.42105263157</v>
      </c>
      <c r="G46" s="190">
        <f t="shared" ref="G46" si="53">F46/F45-1</f>
        <v>-0.47399886472158326</v>
      </c>
      <c r="H46" s="190">
        <f t="shared" ref="H46" si="54">F46/F34-1</f>
        <v>-0.41789461330355915</v>
      </c>
      <c r="I46" s="130">
        <f t="shared" si="0"/>
        <v>55.521995809669981</v>
      </c>
      <c r="J46" s="130">
        <f t="shared" si="4"/>
        <v>-0.34725835004772698</v>
      </c>
      <c r="K46" s="136">
        <f>R44+R45+R46</f>
        <v>73585777549</v>
      </c>
      <c r="L46" s="190">
        <f>U46/U43-1</f>
        <v>6.8620055432062843E-2</v>
      </c>
      <c r="M46" s="190">
        <f>K46/K34-1</f>
        <v>-0.27722640866197068</v>
      </c>
      <c r="N46" s="191">
        <f>AVERAGE(T44:T46)</f>
        <v>78.452959018906824</v>
      </c>
      <c r="O46" s="192">
        <f>N46/N43-1</f>
        <v>0.18095128327880872</v>
      </c>
      <c r="P46" s="129" t="s">
        <v>888</v>
      </c>
      <c r="Q46" s="116">
        <v>10381133</v>
      </c>
      <c r="R46" s="116">
        <v>14216947800</v>
      </c>
      <c r="S46" s="116">
        <v>186973.34</v>
      </c>
      <c r="T46" s="130">
        <f t="shared" ref="T46" si="55">Q46/S46</f>
        <v>55.521995809669981</v>
      </c>
      <c r="U46" s="85">
        <f t="shared" ref="U46:U51" si="56">Q44+Q45+Q46</f>
        <v>52035214</v>
      </c>
    </row>
    <row r="47" spans="1:21" s="79" customFormat="1" ht="13.2">
      <c r="A47" s="129" t="s">
        <v>1024</v>
      </c>
      <c r="B47" s="188"/>
      <c r="C47" s="188"/>
      <c r="D47" s="190"/>
      <c r="E47" s="287"/>
      <c r="F47" s="136">
        <f>Q47/23</f>
        <v>451985.78260869568</v>
      </c>
      <c r="G47" s="190">
        <f t="shared" ref="G47" si="57">F47/F46-1</f>
        <v>-0.1727560113558686</v>
      </c>
      <c r="H47" s="190">
        <f t="shared" ref="H47" si="58">F47/F35-1</f>
        <v>-0.19410039052785444</v>
      </c>
      <c r="I47" s="130">
        <f t="shared" si="0"/>
        <v>63.147596051632497</v>
      </c>
      <c r="J47" s="130">
        <f t="shared" si="4"/>
        <v>-9.3875410721923513E-2</v>
      </c>
      <c r="K47" s="136"/>
      <c r="L47" s="190"/>
      <c r="M47" s="190"/>
      <c r="N47" s="191"/>
      <c r="O47" s="192"/>
      <c r="P47" s="129" t="s">
        <v>991</v>
      </c>
      <c r="Q47" s="116">
        <v>10395673</v>
      </c>
      <c r="R47" s="116">
        <v>14284249294</v>
      </c>
      <c r="S47" s="116">
        <v>164625</v>
      </c>
      <c r="T47" s="130">
        <f t="shared" ref="T47" si="59">Q47/S47</f>
        <v>63.147596051632497</v>
      </c>
      <c r="U47" s="85">
        <f t="shared" si="56"/>
        <v>41551492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860310.5</v>
      </c>
      <c r="G48" s="190">
        <f t="shared" ref="G48" si="60">F48/F47-1</f>
        <v>0.90340168452778369</v>
      </c>
      <c r="H48" s="190">
        <f t="shared" ref="H48" si="61">F48/F36-1</f>
        <v>-3.2194048663069741E-2</v>
      </c>
      <c r="I48" s="130">
        <f t="shared" si="0"/>
        <v>79.077227902238093</v>
      </c>
      <c r="J48" s="130">
        <f t="shared" si="4"/>
        <v>-1.0362110224951815E-3</v>
      </c>
      <c r="K48" s="136"/>
      <c r="L48" s="190"/>
      <c r="M48" s="190"/>
      <c r="N48" s="191"/>
      <c r="O48" s="192"/>
      <c r="P48" s="129" t="s">
        <v>1070</v>
      </c>
      <c r="Q48" s="116">
        <v>17206210</v>
      </c>
      <c r="R48" s="116">
        <v>23873559606</v>
      </c>
      <c r="S48" s="116">
        <v>217587.42</v>
      </c>
      <c r="T48" s="130">
        <f t="shared" ref="T48" si="62">Q48/S48</f>
        <v>79.077227902238093</v>
      </c>
      <c r="U48" s="85">
        <f t="shared" si="56"/>
        <v>37983016</v>
      </c>
    </row>
    <row r="49" spans="1:26" ht="13.2">
      <c r="A49" s="129" t="s">
        <v>1207</v>
      </c>
      <c r="B49" s="188">
        <f>SUM(F47:F49)</f>
        <v>2539483.5553359687</v>
      </c>
      <c r="C49" s="188">
        <f>AVERAGE(F47:F49)</f>
        <v>846494.51844532287</v>
      </c>
      <c r="D49" s="190">
        <f>C49/C46-1</f>
        <v>2.0955258065289417E-3</v>
      </c>
      <c r="E49" s="287">
        <f>C49/C37-1</f>
        <v>-0.23472866764060651</v>
      </c>
      <c r="F49" s="136">
        <f>Q49/22</f>
        <v>1227187.2727272727</v>
      </c>
      <c r="G49" s="190">
        <f t="shared" ref="G49" si="63">F49/F48-1</f>
        <v>0.42644693134312872</v>
      </c>
      <c r="H49" s="190">
        <f t="shared" ref="H49" si="64">F49/F37-1</f>
        <v>-0.34327052952451975</v>
      </c>
      <c r="I49" s="130">
        <f t="shared" si="0"/>
        <v>117.44466122468511</v>
      </c>
      <c r="J49" s="130">
        <f t="shared" si="4"/>
        <v>-8.5251078283328896E-2</v>
      </c>
      <c r="K49" s="136">
        <f>R47+R48+R49</f>
        <v>75642316347</v>
      </c>
      <c r="L49" s="190">
        <f>U49/U46-1</f>
        <v>4.9289486923220771E-2</v>
      </c>
      <c r="M49" s="190">
        <f>K49/K37-1</f>
        <v>-0.14177610823786124</v>
      </c>
      <c r="N49" s="191">
        <f>AVERAGE(T47:T49)</f>
        <v>86.556495059518568</v>
      </c>
      <c r="O49" s="192">
        <f>N49/N46-1</f>
        <v>0.10329165581452227</v>
      </c>
      <c r="P49" s="129" t="s">
        <v>1158</v>
      </c>
      <c r="Q49" s="116">
        <v>26998120</v>
      </c>
      <c r="R49" s="116">
        <v>37484507447</v>
      </c>
      <c r="S49" s="116">
        <v>229879.5</v>
      </c>
      <c r="T49" s="130">
        <f t="shared" ref="T49" si="65">Q49/S49</f>
        <v>117.44466122468511</v>
      </c>
      <c r="U49" s="85">
        <f t="shared" si="56"/>
        <v>54600003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946681.83333333337</v>
      </c>
      <c r="G50" s="190">
        <f t="shared" ref="G50" si="66">F50/F49-1</f>
        <v>-0.2285759033098107</v>
      </c>
      <c r="H50" s="190">
        <f t="shared" ref="H50" si="67">F50/F38-1</f>
        <v>-0.37541205100268282</v>
      </c>
      <c r="I50" s="130">
        <f t="shared" ref="I50" si="68">T50</f>
        <v>103.18971621950426</v>
      </c>
      <c r="J50" s="130">
        <f t="shared" ref="J50" si="69">I50/I38-1</f>
        <v>-0.11288588318861692</v>
      </c>
      <c r="K50" s="136"/>
      <c r="L50" s="190"/>
      <c r="M50" s="190"/>
      <c r="N50" s="191"/>
      <c r="O50" s="192"/>
      <c r="P50" s="129" t="s">
        <v>1293</v>
      </c>
      <c r="Q50" s="116">
        <v>17040273</v>
      </c>
      <c r="R50" s="116">
        <v>24117909615</v>
      </c>
      <c r="S50" s="116">
        <v>165135.38</v>
      </c>
      <c r="T50" s="130">
        <f t="shared" ref="T50" si="70">Q50/S50</f>
        <v>103.18971621950426</v>
      </c>
      <c r="U50" s="85">
        <f t="shared" si="56"/>
        <v>61244603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418510.6</v>
      </c>
      <c r="G51" s="190">
        <f t="shared" ref="G51:G52" si="71">F51/F50-1</f>
        <v>-0.55791842067318997</v>
      </c>
      <c r="H51" s="190">
        <f t="shared" ref="H51:H52" si="72">F51/F39-1</f>
        <v>-0.40226141254935643</v>
      </c>
      <c r="I51" s="130">
        <f t="shared" ref="I51:I52" si="73">T51</f>
        <v>47.645164650573975</v>
      </c>
      <c r="J51" s="130">
        <f t="shared" ref="J51:J52" si="74">I51/I39-1</f>
        <v>-0.24287768662405762</v>
      </c>
      <c r="K51" s="136"/>
      <c r="L51" s="190"/>
      <c r="M51" s="190"/>
      <c r="N51" s="191"/>
      <c r="O51" s="192"/>
      <c r="P51" s="129" t="s">
        <v>1402</v>
      </c>
      <c r="Q51" s="116">
        <v>8370212</v>
      </c>
      <c r="R51" s="116">
        <v>12148401105</v>
      </c>
      <c r="S51" s="116">
        <v>175678.1</v>
      </c>
      <c r="T51" s="130">
        <f t="shared" ref="T51:T52" si="75">Q51/S51</f>
        <v>47.645164650573975</v>
      </c>
      <c r="U51" s="85">
        <f t="shared" si="56"/>
        <v>52408605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1993789.3878787879</v>
      </c>
      <c r="C52" s="188">
        <f>AVERAGE(F50:F52)</f>
        <v>664596.46262626268</v>
      </c>
      <c r="D52" s="190">
        <f>C52/C49-1</f>
        <v>-0.21488391460955392</v>
      </c>
      <c r="E52" s="287">
        <f>C52/C40-1</f>
        <v>-0.37682209904305031</v>
      </c>
      <c r="F52" s="136">
        <f>Q52/22</f>
        <v>628596.95454545459</v>
      </c>
      <c r="G52" s="190">
        <f t="shared" si="71"/>
        <v>0.50198574312204913</v>
      </c>
      <c r="H52" s="190">
        <f t="shared" si="72"/>
        <v>-0.36088553433539117</v>
      </c>
      <c r="I52" s="130">
        <f t="shared" si="73"/>
        <v>82.634963365857189</v>
      </c>
      <c r="J52" s="130">
        <f t="shared" si="74"/>
        <v>0.18341626441816916</v>
      </c>
      <c r="K52" s="136">
        <f>R50+R51+R52</f>
        <v>56610314823</v>
      </c>
      <c r="L52" s="190">
        <f>U52/U49-1</f>
        <v>-0.28132571714327559</v>
      </c>
      <c r="M52" s="190">
        <f>K52/K40-1</f>
        <v>-0.3757185522776082</v>
      </c>
      <c r="N52" s="191">
        <f>AVERAGE(T50:T52)</f>
        <v>77.823281411978471</v>
      </c>
      <c r="O52" s="192">
        <f>N52/N49-1</f>
        <v>-0.10089611000924781</v>
      </c>
      <c r="P52" s="129" t="s">
        <v>1403</v>
      </c>
      <c r="Q52" s="116">
        <v>13829133</v>
      </c>
      <c r="R52" s="116">
        <v>20344004103</v>
      </c>
      <c r="S52" s="116">
        <v>167352.07999999999</v>
      </c>
      <c r="T52" s="130">
        <f t="shared" si="75"/>
        <v>82.634963365857189</v>
      </c>
      <c r="U52" s="85">
        <f t="shared" ref="U52" si="76">Q50+Q51+Q52</f>
        <v>39239618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586230.19047619053</v>
      </c>
      <c r="G53" s="190">
        <f t="shared" ref="G53" si="77">F53/F52-1</f>
        <v>-6.7398933072941647E-2</v>
      </c>
      <c r="H53" s="190">
        <f t="shared" ref="H53" si="78">F53/F41-1</f>
        <v>-0.25396706890732057</v>
      </c>
      <c r="I53" s="130">
        <f t="shared" ref="I53" si="79">T53</f>
        <v>72.13079925881982</v>
      </c>
      <c r="J53" s="130">
        <f t="shared" ref="J53" si="80">I53/I41-1</f>
        <v>0.12273750215514556</v>
      </c>
      <c r="K53" s="136"/>
      <c r="L53" s="190"/>
      <c r="M53" s="190"/>
      <c r="N53" s="191"/>
      <c r="O53" s="192"/>
      <c r="P53" s="129" t="s">
        <v>1414</v>
      </c>
      <c r="Q53" s="116">
        <v>12310834</v>
      </c>
      <c r="R53" s="116">
        <v>17962228512</v>
      </c>
      <c r="S53" s="116">
        <v>170673.75</v>
      </c>
      <c r="T53" s="130">
        <f t="shared" ref="T53" si="81">Q53/S53</f>
        <v>72.13079925881982</v>
      </c>
      <c r="U53" s="85">
        <f t="shared" ref="U53" si="82">Q51+Q52+Q53</f>
        <v>34510179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596902.17647058819</v>
      </c>
      <c r="G54" s="190">
        <f t="shared" ref="G54" si="83">F54/F53-1</f>
        <v>1.820442919483356E-2</v>
      </c>
      <c r="H54" s="190">
        <f t="shared" ref="H54" si="84">F54/F42-1</f>
        <v>-0.37627516053297172</v>
      </c>
      <c r="I54" s="130">
        <f t="shared" ref="I54" si="85">T54</f>
        <v>75.349747998475081</v>
      </c>
      <c r="J54" s="130">
        <f t="shared" ref="J54" si="86">I54/I42-1</f>
        <v>2.6082474059224259E-2</v>
      </c>
      <c r="K54" s="136"/>
      <c r="L54" s="190"/>
      <c r="M54" s="190"/>
      <c r="N54" s="191"/>
      <c r="O54" s="192"/>
      <c r="P54" s="129" t="s">
        <v>1417</v>
      </c>
      <c r="Q54" s="116">
        <v>10147337</v>
      </c>
      <c r="R54" s="116">
        <v>14695853313</v>
      </c>
      <c r="S54" s="116">
        <v>134669.82</v>
      </c>
      <c r="T54" s="130">
        <f t="shared" ref="T54" si="87">Q54/S54</f>
        <v>75.349747998475081</v>
      </c>
      <c r="U54" s="85">
        <f t="shared" ref="U54" si="88">Q52+Q53+Q54</f>
        <v>36287304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2144627.8431372549</v>
      </c>
      <c r="C55" s="188">
        <f>AVERAGE(F53:F55)</f>
        <v>714875.94771241827</v>
      </c>
      <c r="D55" s="190">
        <f>C55/C52-1</f>
        <v>7.5654156941293182E-2</v>
      </c>
      <c r="E55" s="287">
        <f>C55/C43-1</f>
        <v>-0.14667886023572663</v>
      </c>
      <c r="F55" s="136">
        <f>Q55/21</f>
        <v>961495.47619047621</v>
      </c>
      <c r="G55" s="190">
        <f t="shared" ref="G55" si="89">F55/F54-1</f>
        <v>0.61080913102995371</v>
      </c>
      <c r="H55" s="190">
        <f t="shared" ref="H55" si="90">F55/F43-1</f>
        <v>0.24791912069047473</v>
      </c>
      <c r="I55" s="130">
        <f>T55</f>
        <v>74.427935420215249</v>
      </c>
      <c r="J55" s="130">
        <f t="shared" ref="J55" si="91">I55/I43-1</f>
        <v>0.20792919891147421</v>
      </c>
      <c r="K55" s="136">
        <f>R53+R54+R55</f>
        <v>62405850848</v>
      </c>
      <c r="L55" s="190">
        <f>U55/U52-1</f>
        <v>8.6900896945530937E-2</v>
      </c>
      <c r="M55" s="190">
        <f>K55/K43-1</f>
        <v>-0.11690093203488383</v>
      </c>
      <c r="N55" s="191">
        <f>AVERAGE(T53:T55)</f>
        <v>73.969494225836726</v>
      </c>
      <c r="O55" s="192">
        <f>N55/N52-1</f>
        <v>-4.9519721042610487E-2</v>
      </c>
      <c r="P55" s="129" t="s">
        <v>1418</v>
      </c>
      <c r="Q55" s="116">
        <v>20191405</v>
      </c>
      <c r="R55" s="116">
        <v>29747769023</v>
      </c>
      <c r="S55" s="116">
        <v>271287.99</v>
      </c>
      <c r="T55" s="130">
        <f t="shared" ref="T55" si="92">Q55/S55</f>
        <v>74.427935420215249</v>
      </c>
      <c r="U55" s="85">
        <f t="shared" ref="U55" si="93">Q53+Q54+Q55</f>
        <v>42649576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995165</v>
      </c>
      <c r="G56" s="190">
        <f t="shared" ref="G56" si="94">F56/F55-1</f>
        <v>3.5017870227455727E-2</v>
      </c>
      <c r="H56" s="190">
        <f t="shared" ref="H56" si="95">F56/F44-1</f>
        <v>4.857588067087204E-2</v>
      </c>
      <c r="I56" s="291">
        <f>T56</f>
        <v>90.178696799014048</v>
      </c>
      <c r="J56" s="130">
        <f t="shared" ref="J56" si="96">I56/I44-1</f>
        <v>-5.4316199702242773E-2</v>
      </c>
      <c r="K56" s="136"/>
      <c r="L56" s="190"/>
      <c r="M56" s="190"/>
      <c r="N56" s="191"/>
      <c r="O56" s="192"/>
      <c r="P56" s="129" t="s">
        <v>1420</v>
      </c>
      <c r="Q56" s="116">
        <v>21893630</v>
      </c>
      <c r="R56" s="116">
        <v>32665720853</v>
      </c>
      <c r="S56" s="116">
        <v>242780.51</v>
      </c>
      <c r="T56" s="130">
        <f t="shared" ref="T56" si="97">Q56/S56</f>
        <v>90.178696799014048</v>
      </c>
      <c r="U56" s="85">
        <f t="shared" ref="U56" si="98">Q54+Q55+Q56</f>
        <v>52232372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5644410.416666667</v>
      </c>
      <c r="G57" s="254">
        <f t="shared" ref="G57" si="99">F57/F56-1</f>
        <v>4.6718337327645836</v>
      </c>
      <c r="H57" s="254">
        <f t="shared" ref="H57" si="100">F57/F45-1</f>
        <v>4.4339309067455144</v>
      </c>
      <c r="I57" s="282">
        <f>T57</f>
        <v>522.21878271918285</v>
      </c>
      <c r="J57" s="277">
        <f t="shared" ref="J57" si="101">I57/I45-1</f>
        <v>5.1816628956325772</v>
      </c>
      <c r="K57" s="204"/>
      <c r="L57" s="254"/>
      <c r="M57" s="254"/>
      <c r="N57" s="257"/>
      <c r="O57" s="258"/>
      <c r="P57" s="129" t="s">
        <v>1436</v>
      </c>
      <c r="Q57" s="116">
        <v>67732925</v>
      </c>
      <c r="R57" s="116">
        <v>100272022440</v>
      </c>
      <c r="S57" s="116">
        <v>129702.2</v>
      </c>
      <c r="T57" s="130">
        <f t="shared" ref="T57" si="102">Q57/S57</f>
        <v>522.21878271918285</v>
      </c>
      <c r="U57" s="85">
        <f t="shared" ref="U57" si="103">Q55+Q56+Q57</f>
        <v>109817960</v>
      </c>
      <c r="V57" s="79"/>
      <c r="W57" s="79"/>
      <c r="X57" s="79"/>
      <c r="Y57" s="79"/>
      <c r="Z57" s="79"/>
    </row>
    <row r="58" spans="1:26">
      <c r="B58" s="196">
        <f>SUM(F56:F58)</f>
        <v>6639575.416666667</v>
      </c>
      <c r="C58" s="196">
        <f>AVERAGE(F56:F58)</f>
        <v>3319787.7083333335</v>
      </c>
      <c r="D58" s="197">
        <f>C58/C55-1</f>
        <v>3.6438654412091429</v>
      </c>
      <c r="E58" s="233">
        <f>C58/C46-1</f>
        <v>2.9300247510855275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132276131</v>
      </c>
      <c r="R66" s="212">
        <v>195343594141</v>
      </c>
      <c r="S66" s="213">
        <v>949114.28</v>
      </c>
    </row>
    <row r="67" spans="16:19" ht="18" thickBot="1">
      <c r="P67" s="180" t="s">
        <v>976</v>
      </c>
      <c r="Q67" s="181">
        <v>12310834</v>
      </c>
      <c r="R67" s="181">
        <v>17962228512</v>
      </c>
      <c r="S67" s="182">
        <v>170673.75</v>
      </c>
    </row>
    <row r="68" spans="16:19" ht="18" thickBot="1">
      <c r="P68" s="180" t="s">
        <v>977</v>
      </c>
      <c r="Q68" s="181">
        <v>10147337</v>
      </c>
      <c r="R68" s="181">
        <v>14695853313</v>
      </c>
      <c r="S68" s="182">
        <v>134669.82</v>
      </c>
    </row>
    <row r="69" spans="16:19" ht="18" thickBot="1">
      <c r="P69" s="180" t="s">
        <v>978</v>
      </c>
      <c r="Q69" s="181">
        <v>20191405</v>
      </c>
      <c r="R69" s="181">
        <v>29747769023</v>
      </c>
      <c r="S69" s="182">
        <v>271287.99</v>
      </c>
    </row>
    <row r="70" spans="16:19" ht="18" thickBot="1">
      <c r="P70" s="180" t="s">
        <v>979</v>
      </c>
      <c r="Q70" s="181">
        <v>21893630</v>
      </c>
      <c r="R70" s="181">
        <v>32665720853</v>
      </c>
      <c r="S70" s="182">
        <v>242780.51</v>
      </c>
    </row>
    <row r="71" spans="16:19" ht="18" thickBot="1">
      <c r="P71" s="180" t="s">
        <v>980</v>
      </c>
      <c r="Q71" s="181">
        <v>67732925</v>
      </c>
      <c r="R71" s="181">
        <v>100272022440</v>
      </c>
      <c r="S71" s="182">
        <v>129702.2</v>
      </c>
    </row>
    <row r="72" spans="16:19" ht="18" thickBot="1">
      <c r="P72" s="215" t="s">
        <v>975</v>
      </c>
      <c r="Q72" s="217"/>
      <c r="R72"/>
      <c r="S72"/>
    </row>
  </sheetData>
  <phoneticPr fontId="1" type="noConversion"/>
  <conditionalFormatting sqref="C29:C30">
    <cfRule type="cellIs" dxfId="1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4"/>
  <sheetViews>
    <sheetView zoomScale="90" zoomScaleNormal="90" workbookViewId="0">
      <selection activeCell="L68" sqref="L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393976.25</v>
      </c>
      <c r="G5" s="90"/>
      <c r="H5" s="90"/>
      <c r="I5" s="130">
        <f t="shared" ref="I5:I49" si="0">T5</f>
        <v>65.067492600190988</v>
      </c>
      <c r="J5" s="130"/>
      <c r="K5" s="86"/>
      <c r="L5" s="80"/>
      <c r="M5" s="80"/>
      <c r="P5" s="129" t="s">
        <v>0</v>
      </c>
      <c r="Q5" s="116">
        <v>7879525</v>
      </c>
      <c r="R5" s="116">
        <v>9287385558</v>
      </c>
      <c r="S5" s="116">
        <v>121097.72</v>
      </c>
      <c r="T5" s="130">
        <f t="shared" ref="T5:T29" si="1">Q5/S5</f>
        <v>65.067492600190988</v>
      </c>
      <c r="U5" s="85"/>
    </row>
    <row r="6" spans="1:21" ht="15" hidden="1" customHeight="1">
      <c r="A6" s="129" t="s">
        <v>1</v>
      </c>
      <c r="C6" s="79"/>
      <c r="F6" s="78">
        <f>Q6/18</f>
        <v>605091.61111111112</v>
      </c>
      <c r="G6" s="90">
        <f t="shared" ref="G6:G29" si="2">F6/F5-1</f>
        <v>0.53585809071260293</v>
      </c>
      <c r="H6" s="90"/>
      <c r="I6" s="130">
        <f t="shared" si="0"/>
        <v>68.297496476219706</v>
      </c>
      <c r="J6" s="130"/>
      <c r="K6" s="78"/>
      <c r="P6" s="129" t="s">
        <v>1</v>
      </c>
      <c r="Q6" s="116">
        <v>10891649</v>
      </c>
      <c r="R6" s="116">
        <v>12950001463</v>
      </c>
      <c r="S6" s="116">
        <v>159473.62</v>
      </c>
      <c r="T6" s="130">
        <f t="shared" si="1"/>
        <v>68.297496476219706</v>
      </c>
      <c r="U6" s="85"/>
    </row>
    <row r="7" spans="1:21" ht="15" hidden="1" customHeight="1">
      <c r="A7" s="129" t="s">
        <v>2</v>
      </c>
      <c r="B7" s="131">
        <f>F5+F6+F7</f>
        <v>1565716.7702020202</v>
      </c>
      <c r="C7" s="131">
        <f>AVERAGE(F5:F7)</f>
        <v>521905.59006734006</v>
      </c>
      <c r="F7" s="78">
        <f>Q7/22</f>
        <v>566648.90909090906</v>
      </c>
      <c r="G7" s="90">
        <f t="shared" si="2"/>
        <v>-6.3532035999657843E-2</v>
      </c>
      <c r="H7" s="90"/>
      <c r="I7" s="130">
        <f t="shared" si="0"/>
        <v>70.865241692533289</v>
      </c>
      <c r="J7" s="130"/>
      <c r="K7" s="85">
        <f>R5+R6+R7</f>
        <v>37239735031</v>
      </c>
      <c r="N7" s="88">
        <f>AVERAGE(T5:T7)</f>
        <v>68.07674358964799</v>
      </c>
      <c r="P7" s="129" t="s">
        <v>2</v>
      </c>
      <c r="Q7" s="116">
        <v>12466276</v>
      </c>
      <c r="R7" s="116">
        <v>15002348010</v>
      </c>
      <c r="S7" s="116">
        <v>175915.24</v>
      </c>
      <c r="T7" s="130">
        <f t="shared" si="1"/>
        <v>70.865241692533289</v>
      </c>
      <c r="U7" s="85">
        <f>Q5+Q6+Q7</f>
        <v>31237450</v>
      </c>
    </row>
    <row r="8" spans="1:21" ht="15" hidden="1" customHeight="1">
      <c r="A8" s="129" t="s">
        <v>3</v>
      </c>
      <c r="C8" s="79"/>
      <c r="F8" s="78">
        <f>Q8/21</f>
        <v>686266.85714285716</v>
      </c>
      <c r="G8" s="90">
        <f t="shared" si="2"/>
        <v>0.21109711169100209</v>
      </c>
      <c r="H8" s="90"/>
      <c r="I8" s="130">
        <f t="shared" si="0"/>
        <v>65.659073796184202</v>
      </c>
      <c r="J8" s="130"/>
      <c r="K8" s="78"/>
      <c r="P8" s="129" t="s">
        <v>3</v>
      </c>
      <c r="Q8" s="116">
        <v>14411604</v>
      </c>
      <c r="R8" s="116">
        <v>17480097703</v>
      </c>
      <c r="S8" s="116">
        <v>219491.43</v>
      </c>
      <c r="T8" s="130">
        <f t="shared" si="1"/>
        <v>65.659073796184202</v>
      </c>
      <c r="U8" s="85"/>
    </row>
    <row r="9" spans="1:21" ht="15" hidden="1" customHeight="1">
      <c r="A9" s="129" t="s">
        <v>4</v>
      </c>
      <c r="C9" s="79"/>
      <c r="F9" s="78">
        <f>Q9/21</f>
        <v>625256.71428571432</v>
      </c>
      <c r="G9" s="90">
        <f t="shared" si="2"/>
        <v>-8.8901485219826992E-2</v>
      </c>
      <c r="H9" s="90"/>
      <c r="I9" s="130">
        <f t="shared" si="0"/>
        <v>68.003305286905317</v>
      </c>
      <c r="J9" s="130"/>
      <c r="K9" s="78"/>
      <c r="P9" s="129" t="s">
        <v>4</v>
      </c>
      <c r="Q9" s="116">
        <v>13130391</v>
      </c>
      <c r="R9" s="116">
        <v>16478605273</v>
      </c>
      <c r="S9" s="116">
        <v>193084.6</v>
      </c>
      <c r="T9" s="130">
        <f t="shared" si="1"/>
        <v>68.003305286905317</v>
      </c>
      <c r="U9" s="85"/>
    </row>
    <row r="10" spans="1:21" ht="15" hidden="1" customHeight="1">
      <c r="A10" s="129" t="s">
        <v>5</v>
      </c>
      <c r="B10" s="131">
        <f>F8+F9+F10</f>
        <v>1833788.0476190476</v>
      </c>
      <c r="C10" s="131">
        <f>AVERAGE(F8:F10)</f>
        <v>611262.68253968249</v>
      </c>
      <c r="D10" s="90">
        <f>C10/C7-1</f>
        <v>0.17121313542706629</v>
      </c>
      <c r="E10" s="286"/>
      <c r="F10" s="78">
        <f>Q10/21</f>
        <v>522264.47619047621</v>
      </c>
      <c r="G10" s="90">
        <f t="shared" si="2"/>
        <v>-0.16471992342040687</v>
      </c>
      <c r="H10" s="90"/>
      <c r="I10" s="130">
        <f t="shared" si="0"/>
        <v>60.231954076429702</v>
      </c>
      <c r="J10" s="130"/>
      <c r="K10" s="85">
        <f>R8+R9+R10</f>
        <v>47771614087</v>
      </c>
      <c r="L10" s="87">
        <f>U10/U7-1</f>
        <v>0.23280066074535544</v>
      </c>
      <c r="N10" s="88">
        <f>AVERAGE(T8:T10)</f>
        <v>64.631444386506402</v>
      </c>
      <c r="O10" s="89">
        <f>N10/N7-1</f>
        <v>-5.0609048280997548E-2</v>
      </c>
      <c r="P10" s="129" t="s">
        <v>5</v>
      </c>
      <c r="Q10" s="116">
        <v>10967554</v>
      </c>
      <c r="R10" s="116">
        <v>13812911111</v>
      </c>
      <c r="S10" s="116">
        <v>182088.63</v>
      </c>
      <c r="T10" s="130">
        <f t="shared" si="1"/>
        <v>60.231954076429702</v>
      </c>
      <c r="U10" s="85">
        <f>Q8+Q9+Q10</f>
        <v>38509549</v>
      </c>
    </row>
    <row r="11" spans="1:21" ht="15" hidden="1" customHeight="1">
      <c r="A11" s="129" t="s">
        <v>6</v>
      </c>
      <c r="C11" s="79"/>
      <c r="F11" s="78">
        <f>Q11/21</f>
        <v>446436.66666666669</v>
      </c>
      <c r="G11" s="90">
        <f t="shared" si="2"/>
        <v>-0.14519044082208299</v>
      </c>
      <c r="H11" s="90"/>
      <c r="I11" s="130">
        <f t="shared" si="0"/>
        <v>62.325997280973795</v>
      </c>
      <c r="J11" s="130"/>
      <c r="K11" s="78"/>
      <c r="O11" s="89"/>
      <c r="P11" s="129" t="s">
        <v>6</v>
      </c>
      <c r="Q11" s="116">
        <v>9375170</v>
      </c>
      <c r="R11" s="116">
        <v>12111141360</v>
      </c>
      <c r="S11" s="116">
        <v>150421.5</v>
      </c>
      <c r="T11" s="130">
        <f t="shared" si="1"/>
        <v>62.325997280973795</v>
      </c>
      <c r="U11" s="85"/>
    </row>
    <row r="12" spans="1:21" ht="15" hidden="1" customHeight="1">
      <c r="A12" s="129" t="s">
        <v>7</v>
      </c>
      <c r="C12" s="79"/>
      <c r="F12" s="78">
        <f>Q12/22</f>
        <v>632288.59090909094</v>
      </c>
      <c r="G12" s="90">
        <f t="shared" si="2"/>
        <v>0.41630076138255734</v>
      </c>
      <c r="H12" s="90"/>
      <c r="I12" s="130">
        <f t="shared" si="0"/>
        <v>77.843628888271454</v>
      </c>
      <c r="J12" s="130"/>
      <c r="K12" s="78"/>
      <c r="O12" s="89"/>
      <c r="P12" s="129" t="s">
        <v>7</v>
      </c>
      <c r="Q12" s="116">
        <v>13910349</v>
      </c>
      <c r="R12" s="116">
        <v>18029465648</v>
      </c>
      <c r="S12" s="116">
        <v>178696.05</v>
      </c>
      <c r="T12" s="130">
        <f t="shared" si="1"/>
        <v>77.843628888271454</v>
      </c>
      <c r="U12" s="85"/>
    </row>
    <row r="13" spans="1:21" ht="15" hidden="1" customHeight="1">
      <c r="A13" s="129" t="s">
        <v>96</v>
      </c>
      <c r="B13" s="131">
        <f>F11+F12+F13</f>
        <v>1745995.9575757575</v>
      </c>
      <c r="C13" s="131">
        <f>AVERAGE(F11:F13)</f>
        <v>581998.65252525255</v>
      </c>
      <c r="D13" s="90">
        <f>C13/C10-1</f>
        <v>-4.7874720394910031E-2</v>
      </c>
      <c r="E13" s="286"/>
      <c r="F13" s="78">
        <f>Q13/20</f>
        <v>667270.69999999995</v>
      </c>
      <c r="G13" s="90">
        <f t="shared" si="2"/>
        <v>5.5326174778217219E-2</v>
      </c>
      <c r="H13" s="90"/>
      <c r="I13" s="130">
        <f t="shared" si="0"/>
        <v>60.664824943656647</v>
      </c>
      <c r="J13" s="130"/>
      <c r="K13" s="78">
        <f>R11+R12+R13</f>
        <v>48318172481</v>
      </c>
      <c r="L13" s="87">
        <f>U13/U10-1</f>
        <v>-4.8783121298044851E-2</v>
      </c>
      <c r="N13" s="88">
        <f>AVERAGE(T11:T13)</f>
        <v>66.944817037633968</v>
      </c>
      <c r="O13" s="89">
        <f>N13/N10-1</f>
        <v>3.57932995786574E-2</v>
      </c>
      <c r="P13" s="129" t="s">
        <v>96</v>
      </c>
      <c r="Q13" s="116">
        <v>13345414</v>
      </c>
      <c r="R13" s="116">
        <v>18177565473</v>
      </c>
      <c r="S13" s="116">
        <v>219986.03</v>
      </c>
      <c r="T13" s="130">
        <f t="shared" si="1"/>
        <v>60.664824943656647</v>
      </c>
      <c r="U13" s="85">
        <f>Q11+Q12+Q13</f>
        <v>36630933</v>
      </c>
    </row>
    <row r="14" spans="1:21" ht="15" hidden="1" customHeight="1">
      <c r="A14" s="129" t="s">
        <v>97</v>
      </c>
      <c r="C14" s="79"/>
      <c r="F14" s="78">
        <f>Q14/20</f>
        <v>473705.9</v>
      </c>
      <c r="G14" s="90">
        <f t="shared" si="2"/>
        <v>-0.29008436905741541</v>
      </c>
      <c r="H14" s="90"/>
      <c r="I14" s="130">
        <f t="shared" si="0"/>
        <v>58.958602664915567</v>
      </c>
      <c r="J14" s="130"/>
      <c r="K14" s="78"/>
      <c r="O14" s="89"/>
      <c r="P14" s="129" t="s">
        <v>97</v>
      </c>
      <c r="Q14" s="116">
        <v>9474118</v>
      </c>
      <c r="R14" s="116">
        <v>13513010636</v>
      </c>
      <c r="S14" s="116">
        <v>160691.01999999999</v>
      </c>
      <c r="T14" s="130">
        <f t="shared" si="1"/>
        <v>58.958602664915567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460300.63636363635</v>
      </c>
      <c r="G15" s="90">
        <f t="shared" si="2"/>
        <v>-2.8298705243830935E-2</v>
      </c>
      <c r="H15" s="90"/>
      <c r="I15" s="130">
        <f t="shared" si="0"/>
        <v>64.639189846734752</v>
      </c>
      <c r="J15" s="130"/>
      <c r="K15" s="78"/>
      <c r="O15" s="89"/>
      <c r="P15" s="129" t="s">
        <v>98</v>
      </c>
      <c r="Q15" s="116">
        <v>10126614</v>
      </c>
      <c r="R15" s="116">
        <v>14079510098</v>
      </c>
      <c r="S15" s="116">
        <v>156663.69</v>
      </c>
      <c r="T15" s="130">
        <f t="shared" si="1"/>
        <v>64.639189846734752</v>
      </c>
      <c r="U15" s="85"/>
    </row>
    <row r="16" spans="1:21" ht="15" hidden="1" customHeight="1">
      <c r="A16" s="129" t="s">
        <v>99</v>
      </c>
      <c r="B16" s="131">
        <f>F14+F15+F16</f>
        <v>1218555.9454545456</v>
      </c>
      <c r="C16" s="131">
        <f>AVERAGE(F14:F16)</f>
        <v>406185.31515151518</v>
      </c>
      <c r="D16" s="90">
        <f>C16/C13-1</f>
        <v>-0.30208547152282095</v>
      </c>
      <c r="E16" s="286"/>
      <c r="F16" s="78">
        <f>Q16/22</f>
        <v>284549.40909090912</v>
      </c>
      <c r="G16" s="90">
        <f t="shared" si="2"/>
        <v>-0.38181834520403357</v>
      </c>
      <c r="H16" s="90"/>
      <c r="I16" s="130">
        <f t="shared" si="0"/>
        <v>53.562576262508415</v>
      </c>
      <c r="J16" s="130"/>
      <c r="K16" s="78">
        <f>R14+R15+R16</f>
        <v>35822310302</v>
      </c>
      <c r="L16" s="87">
        <f>U16/U13-1</f>
        <v>-0.29401691734141744</v>
      </c>
      <c r="N16" s="88">
        <f>AVERAGE(T14:T16)</f>
        <v>59.053456258052904</v>
      </c>
      <c r="O16" s="89">
        <f>N16/N13-1</f>
        <v>-0.11787859208196538</v>
      </c>
      <c r="P16" s="129" t="s">
        <v>99</v>
      </c>
      <c r="Q16" s="116">
        <v>6260087</v>
      </c>
      <c r="R16" s="116">
        <v>8229789568</v>
      </c>
      <c r="S16" s="116">
        <v>116874.27</v>
      </c>
      <c r="T16" s="130">
        <f t="shared" si="1"/>
        <v>53.562576262508415</v>
      </c>
      <c r="U16" s="85">
        <f>Q14+Q15+Q16</f>
        <v>25860819</v>
      </c>
    </row>
    <row r="17" spans="1:21" ht="15" hidden="1" customHeight="1">
      <c r="A17" s="129" t="s">
        <v>100</v>
      </c>
      <c r="C17" s="79"/>
      <c r="F17" s="78">
        <f>Q17/20</f>
        <v>706084</v>
      </c>
      <c r="G17" s="90">
        <f t="shared" si="2"/>
        <v>1.4814108813503708</v>
      </c>
      <c r="H17" s="90">
        <f t="shared" ref="H17:H29" si="3">F17/F5-1</f>
        <v>0.7921994028827879</v>
      </c>
      <c r="I17" s="130">
        <f t="shared" si="0"/>
        <v>56.340689440226086</v>
      </c>
      <c r="J17" s="130">
        <f t="shared" ref="J17:J49" si="4">I17/I5-1</f>
        <v>-0.13411924774152562</v>
      </c>
      <c r="K17" s="78"/>
      <c r="O17" s="89"/>
      <c r="P17" s="129" t="s">
        <v>100</v>
      </c>
      <c r="Q17" s="116">
        <v>14121680</v>
      </c>
      <c r="R17" s="116">
        <v>17775666114</v>
      </c>
      <c r="S17" s="116">
        <v>250647.98</v>
      </c>
      <c r="T17" s="130">
        <f t="shared" si="1"/>
        <v>56.340689440226086</v>
      </c>
      <c r="U17" s="78"/>
    </row>
    <row r="18" spans="1:21" ht="15" hidden="1" customHeight="1">
      <c r="A18" s="129" t="s">
        <v>106</v>
      </c>
      <c r="C18" s="79"/>
      <c r="F18" s="78">
        <f>Q18/20</f>
        <v>684069.65</v>
      </c>
      <c r="G18" s="90">
        <f t="shared" si="2"/>
        <v>-3.1178089292492106E-2</v>
      </c>
      <c r="H18" s="90">
        <f t="shared" si="3"/>
        <v>0.13052244889639764</v>
      </c>
      <c r="I18" s="130">
        <f t="shared" si="0"/>
        <v>62.748856669877476</v>
      </c>
      <c r="J18" s="130">
        <f t="shared" si="4"/>
        <v>-8.1242213735816748E-2</v>
      </c>
      <c r="K18" s="78"/>
      <c r="O18" s="89"/>
      <c r="P18" s="129" t="s">
        <v>106</v>
      </c>
      <c r="Q18" s="116">
        <v>13681393</v>
      </c>
      <c r="R18" s="116">
        <v>17041049025</v>
      </c>
      <c r="S18" s="116">
        <v>218034.14</v>
      </c>
      <c r="T18" s="130">
        <f t="shared" si="1"/>
        <v>62.748856669877476</v>
      </c>
      <c r="U18" s="78"/>
    </row>
    <row r="19" spans="1:21" hidden="1">
      <c r="A19" s="129" t="s">
        <v>114</v>
      </c>
      <c r="B19" s="131">
        <f>SUM(F17:F19)</f>
        <v>2184996.5590909091</v>
      </c>
      <c r="C19" s="131">
        <f>AVERAGE(F17:F19)</f>
        <v>728332.1863636364</v>
      </c>
      <c r="D19" s="90">
        <f>C19/C16-1</f>
        <v>0.79310319500830317</v>
      </c>
      <c r="E19" s="286">
        <f>C19/C7-1</f>
        <v>0.39552478498967925</v>
      </c>
      <c r="F19" s="78">
        <f>Q19/22</f>
        <v>794842.90909090906</v>
      </c>
      <c r="G19" s="90">
        <f t="shared" si="2"/>
        <v>0.16193271999555758</v>
      </c>
      <c r="H19" s="90">
        <f t="shared" si="3"/>
        <v>0.402707913734623</v>
      </c>
      <c r="I19" s="130">
        <f t="shared" si="0"/>
        <v>64.329538280880982</v>
      </c>
      <c r="J19" s="130">
        <f t="shared" si="4"/>
        <v>-9.2227208368371949E-2</v>
      </c>
      <c r="K19" s="78">
        <f>R17+R18+R19</f>
        <v>57654599919</v>
      </c>
      <c r="L19" s="87">
        <f>U19/U16-1</f>
        <v>0.75128316701802822</v>
      </c>
      <c r="M19" s="87">
        <f>U19/U7-1</f>
        <v>0.44985000376151052</v>
      </c>
      <c r="N19" s="88">
        <f>AVERAGE(T17:T19)</f>
        <v>61.139694796994853</v>
      </c>
      <c r="O19" s="89">
        <f>N19/N16-1</f>
        <v>3.5327966746357076E-2</v>
      </c>
      <c r="P19" s="129" t="s">
        <v>114</v>
      </c>
      <c r="Q19" s="116">
        <v>17486544</v>
      </c>
      <c r="R19" s="116">
        <v>22837884780</v>
      </c>
      <c r="S19" s="116">
        <v>271827.59999999998</v>
      </c>
      <c r="T19" s="130">
        <f t="shared" si="1"/>
        <v>64.329538280880982</v>
      </c>
      <c r="U19" s="85">
        <f>Q17+Q18+Q19</f>
        <v>45289617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668085.1</v>
      </c>
      <c r="G20" s="90">
        <f t="shared" si="2"/>
        <v>-0.15947529711988828</v>
      </c>
      <c r="H20" s="90">
        <f t="shared" si="3"/>
        <v>-2.6493712982954665E-2</v>
      </c>
      <c r="I20" s="130">
        <f t="shared" si="0"/>
        <v>55.992648129566241</v>
      </c>
      <c r="J20" s="130">
        <f t="shared" si="4"/>
        <v>-0.14722147462244173</v>
      </c>
      <c r="K20" s="78"/>
      <c r="O20" s="89"/>
      <c r="P20" s="129" t="s">
        <v>131</v>
      </c>
      <c r="Q20" s="116">
        <v>13361702</v>
      </c>
      <c r="R20" s="116">
        <v>17521744782</v>
      </c>
      <c r="S20" s="116">
        <v>238633.15</v>
      </c>
      <c r="T20" s="130">
        <f t="shared" si="1"/>
        <v>55.992648129566241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773006.66666666663</v>
      </c>
      <c r="G21" s="90">
        <f t="shared" si="2"/>
        <v>0.15704820638368777</v>
      </c>
      <c r="H21" s="90">
        <f t="shared" si="3"/>
        <v>0.2363028640959739</v>
      </c>
      <c r="I21" s="130">
        <f t="shared" si="0"/>
        <v>58.73673649594987</v>
      </c>
      <c r="J21" s="130">
        <f t="shared" si="4"/>
        <v>-0.13626644693018786</v>
      </c>
      <c r="K21" s="78"/>
      <c r="O21" s="89"/>
      <c r="P21" s="129" t="s">
        <v>141</v>
      </c>
      <c r="Q21" s="116">
        <v>16233140</v>
      </c>
      <c r="R21" s="116">
        <v>21622328381</v>
      </c>
      <c r="S21" s="116">
        <v>276371.15999999997</v>
      </c>
      <c r="T21" s="130">
        <f t="shared" si="1"/>
        <v>58.73673649594987</v>
      </c>
      <c r="U21" s="78"/>
    </row>
    <row r="22" spans="1:21" hidden="1">
      <c r="A22" s="129" t="s">
        <v>155</v>
      </c>
      <c r="B22" s="131">
        <f>SUM(F20:F22)</f>
        <v>2202602.5285714287</v>
      </c>
      <c r="C22" s="131">
        <f>AVERAGE(F20:F22)</f>
        <v>734200.84285714291</v>
      </c>
      <c r="D22" s="90">
        <f>C22/C19-1</f>
        <v>8.057664625268135E-3</v>
      </c>
      <c r="E22" s="286">
        <f>C22/C10-1</f>
        <v>0.20112165167138185</v>
      </c>
      <c r="F22" s="78">
        <f>Q22/21</f>
        <v>761510.76190476189</v>
      </c>
      <c r="G22" s="90">
        <f t="shared" si="2"/>
        <v>-1.4871676089776797E-2</v>
      </c>
      <c r="H22" s="90">
        <f t="shared" si="3"/>
        <v>0.45809412016571782</v>
      </c>
      <c r="I22" s="130">
        <f t="shared" si="0"/>
        <v>64.063529740637208</v>
      </c>
      <c r="J22" s="130">
        <f t="shared" si="4"/>
        <v>6.3613670234665243E-2</v>
      </c>
      <c r="K22" s="78">
        <f>R20+R21+R22</f>
        <v>59945326905</v>
      </c>
      <c r="L22" s="87">
        <f>U22/U19-1</f>
        <v>6.5567125462775433E-3</v>
      </c>
      <c r="M22" s="87">
        <f>U22/U10-1</f>
        <v>0.18377309482383186</v>
      </c>
      <c r="N22" s="88">
        <f>AVERAGE(T20:T22)</f>
        <v>59.597638122051102</v>
      </c>
      <c r="O22" s="89">
        <f>N22/N19-1</f>
        <v>-2.52218575847315E-2</v>
      </c>
      <c r="P22" s="129" t="s">
        <v>155</v>
      </c>
      <c r="Q22" s="116">
        <v>15991726</v>
      </c>
      <c r="R22" s="116">
        <v>20801253742</v>
      </c>
      <c r="S22" s="116">
        <v>249622.93</v>
      </c>
      <c r="T22" s="130">
        <f t="shared" si="1"/>
        <v>64.063529740637208</v>
      </c>
      <c r="U22" s="85">
        <f>Q20+Q21+Q22</f>
        <v>45586568</v>
      </c>
    </row>
    <row r="23" spans="1:21" hidden="1">
      <c r="A23" s="129" t="s">
        <v>189</v>
      </c>
      <c r="B23" s="131"/>
      <c r="C23" s="131"/>
      <c r="F23" s="78">
        <f>Q23/21</f>
        <v>460536.95238095237</v>
      </c>
      <c r="G23" s="90">
        <f t="shared" si="2"/>
        <v>-0.39523250961153289</v>
      </c>
      <c r="H23" s="90">
        <f t="shared" si="3"/>
        <v>3.1584067275580052E-2</v>
      </c>
      <c r="I23" s="130">
        <f t="shared" si="0"/>
        <v>55.088378125041295</v>
      </c>
      <c r="J23" s="130">
        <f t="shared" si="4"/>
        <v>-0.11612520411513605</v>
      </c>
      <c r="K23" s="78"/>
      <c r="O23" s="89"/>
      <c r="P23" s="129" t="s">
        <v>189</v>
      </c>
      <c r="Q23" s="116">
        <v>9671276</v>
      </c>
      <c r="R23" s="116">
        <v>12509387929</v>
      </c>
      <c r="S23" s="116">
        <v>175559.28</v>
      </c>
      <c r="T23" s="130">
        <f t="shared" si="1"/>
        <v>55.088378125041295</v>
      </c>
      <c r="U23" s="78"/>
    </row>
    <row r="24" spans="1:21" hidden="1">
      <c r="A24" s="129" t="s">
        <v>204</v>
      </c>
      <c r="B24" s="131"/>
      <c r="C24" s="131"/>
      <c r="F24" s="78">
        <f>Q24/22</f>
        <v>842102.31818181823</v>
      </c>
      <c r="G24" s="90">
        <f t="shared" si="2"/>
        <v>0.82852280110899357</v>
      </c>
      <c r="H24" s="90">
        <f t="shared" si="3"/>
        <v>0.33183222074442553</v>
      </c>
      <c r="I24" s="130">
        <f t="shared" si="0"/>
        <v>74.583865231688137</v>
      </c>
      <c r="J24" s="130">
        <f t="shared" si="4"/>
        <v>-4.187579257465035E-2</v>
      </c>
      <c r="K24" s="78"/>
      <c r="O24" s="89"/>
      <c r="P24" s="129" t="s">
        <v>204</v>
      </c>
      <c r="Q24" s="116">
        <v>18526251</v>
      </c>
      <c r="R24" s="116">
        <v>24147761596</v>
      </c>
      <c r="S24" s="116">
        <v>248394.89</v>
      </c>
      <c r="T24" s="130">
        <f t="shared" si="1"/>
        <v>74.583865231688137</v>
      </c>
      <c r="U24" s="78"/>
    </row>
    <row r="25" spans="1:21" s="79" customFormat="1" ht="13.2" hidden="1">
      <c r="A25" s="129" t="s">
        <v>217</v>
      </c>
      <c r="B25" s="131">
        <f>SUM(F23:F25)</f>
        <v>1796210.1126680337</v>
      </c>
      <c r="C25" s="131">
        <f>AVERAGE(F23:F25)</f>
        <v>598736.70422267786</v>
      </c>
      <c r="D25" s="90">
        <f>C25/C22-1</f>
        <v>-0.18450556132203044</v>
      </c>
      <c r="E25" s="286">
        <f>C25/C13-1</f>
        <v>2.8759605584652181E-2</v>
      </c>
      <c r="F25" s="78">
        <f>Q25/19</f>
        <v>493570.84210526315</v>
      </c>
      <c r="G25" s="90">
        <f t="shared" si="2"/>
        <v>-0.41388257525411976</v>
      </c>
      <c r="H25" s="90">
        <f t="shared" si="3"/>
        <v>-0.26031392940636655</v>
      </c>
      <c r="I25" s="130">
        <f t="shared" si="0"/>
        <v>50.016045611457265</v>
      </c>
      <c r="J25" s="130">
        <f t="shared" si="4"/>
        <v>-0.17553465854536943</v>
      </c>
      <c r="K25" s="78">
        <f>R23+R24+R25</f>
        <v>49096400555</v>
      </c>
      <c r="L25" s="90">
        <f>U25/U22-1</f>
        <v>-0.17573586588049361</v>
      </c>
      <c r="M25" s="90">
        <f>U25/U13-1</f>
        <v>2.5782581077036681E-2</v>
      </c>
      <c r="N25" s="88">
        <f>AVERAGE(T23:T25)</f>
        <v>59.896096322728901</v>
      </c>
      <c r="O25" s="91">
        <f>N25/N22-1</f>
        <v>5.0078863874871704E-3</v>
      </c>
      <c r="P25" s="129" t="s">
        <v>217</v>
      </c>
      <c r="Q25" s="116">
        <v>9377846</v>
      </c>
      <c r="R25" s="116">
        <v>12439251030</v>
      </c>
      <c r="S25" s="116">
        <v>187496.75</v>
      </c>
      <c r="T25" s="130">
        <f t="shared" si="1"/>
        <v>50.016045611457265</v>
      </c>
      <c r="U25" s="85">
        <f>Q23+Q24+Q25</f>
        <v>37575373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539564.68421052629</v>
      </c>
      <c r="G26" s="90">
        <f t="shared" si="2"/>
        <v>9.3185897913017568E-2</v>
      </c>
      <c r="H26" s="90">
        <f t="shared" si="3"/>
        <v>0.13902884513476876</v>
      </c>
      <c r="I26" s="130">
        <f t="shared" si="0"/>
        <v>54.645359459182139</v>
      </c>
      <c r="J26" s="130">
        <f t="shared" si="4"/>
        <v>-7.3157147740546824E-2</v>
      </c>
      <c r="K26" s="78"/>
      <c r="L26" s="90"/>
      <c r="M26" s="90"/>
      <c r="P26" s="129" t="s">
        <v>312</v>
      </c>
      <c r="Q26" s="116">
        <v>10251729</v>
      </c>
      <c r="R26" s="116">
        <v>13821913435</v>
      </c>
      <c r="S26" s="116">
        <v>187604.75</v>
      </c>
      <c r="T26" s="130">
        <f t="shared" si="1"/>
        <v>54.645359459182139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503884.95454545453</v>
      </c>
      <c r="G27" s="90">
        <f t="shared" si="2"/>
        <v>-6.6126881000889037E-2</v>
      </c>
      <c r="H27" s="90">
        <f t="shared" si="3"/>
        <v>9.4686634644116863E-2</v>
      </c>
      <c r="I27" s="130">
        <f t="shared" si="0"/>
        <v>55.056689601430762</v>
      </c>
      <c r="J27" s="130">
        <f t="shared" si="4"/>
        <v>-0.14824598309516168</v>
      </c>
      <c r="K27" s="78"/>
      <c r="L27" s="90"/>
      <c r="M27" s="90"/>
      <c r="P27" s="129" t="s">
        <v>373</v>
      </c>
      <c r="Q27" s="116">
        <v>11085469</v>
      </c>
      <c r="R27" s="116">
        <v>14714440657</v>
      </c>
      <c r="S27" s="116">
        <v>201346.45</v>
      </c>
      <c r="T27" s="130">
        <f t="shared" si="1"/>
        <v>55.056689601430762</v>
      </c>
      <c r="U27" s="78"/>
    </row>
    <row r="28" spans="1:21" s="79" customFormat="1" ht="13.2" hidden="1">
      <c r="A28" s="123" t="s">
        <v>413</v>
      </c>
      <c r="B28" s="131">
        <f>SUM(F26:F28)</f>
        <v>1493145.9545454546</v>
      </c>
      <c r="C28" s="131">
        <f>AVERAGE(F26:F28)</f>
        <v>497715.31818181818</v>
      </c>
      <c r="D28" s="90">
        <f>C28/C25-1</f>
        <v>-0.16872422440179735</v>
      </c>
      <c r="E28" s="286">
        <f>C28/C16-1</f>
        <v>0.22534050251462312</v>
      </c>
      <c r="F28" s="78">
        <f>Q28/19</f>
        <v>449696.31578947371</v>
      </c>
      <c r="G28" s="90">
        <f t="shared" si="2"/>
        <v>-0.10754168836984512</v>
      </c>
      <c r="H28" s="90">
        <f t="shared" si="3"/>
        <v>0.5803804240050372</v>
      </c>
      <c r="I28" s="130">
        <f t="shared" si="0"/>
        <v>60.81700723463743</v>
      </c>
      <c r="J28" s="130">
        <f t="shared" si="4"/>
        <v>0.13543842507827275</v>
      </c>
      <c r="K28" s="78">
        <f>R26+R27+R28</f>
        <v>39667457704</v>
      </c>
      <c r="L28" s="90">
        <f>U28/U25-1</f>
        <v>-0.20476030936539202</v>
      </c>
      <c r="M28" s="90">
        <f>U28/U16-1</f>
        <v>0.15547106222737961</v>
      </c>
      <c r="N28" s="88">
        <f>AVERAGE(T26:T28)</f>
        <v>56.839685431750105</v>
      </c>
      <c r="O28" s="91">
        <f>N28/N25-1</f>
        <v>-5.1028549081235774E-2</v>
      </c>
      <c r="P28" s="129" t="s">
        <v>413</v>
      </c>
      <c r="Q28" s="116">
        <v>8544230</v>
      </c>
      <c r="R28" s="116">
        <v>11131103612</v>
      </c>
      <c r="S28" s="116">
        <v>140490.79999999999</v>
      </c>
      <c r="T28" s="130">
        <f t="shared" si="1"/>
        <v>60.81700723463743</v>
      </c>
      <c r="U28" s="85">
        <f>Q26+Q27+Q28</f>
        <v>29881428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614128.72727272729</v>
      </c>
      <c r="G29" s="190">
        <f t="shared" si="2"/>
        <v>0.3656521205751504</v>
      </c>
      <c r="H29" s="190">
        <f t="shared" si="3"/>
        <v>-0.13023276653666238</v>
      </c>
      <c r="I29" s="130">
        <f t="shared" si="0"/>
        <v>60.833042581903321</v>
      </c>
      <c r="J29" s="130">
        <f t="shared" si="4"/>
        <v>7.973550175390276E-2</v>
      </c>
      <c r="K29" s="136"/>
      <c r="L29" s="190"/>
      <c r="M29" s="190"/>
      <c r="N29" s="191"/>
      <c r="O29" s="192"/>
      <c r="P29" s="129" t="s">
        <v>426</v>
      </c>
      <c r="Q29" s="116">
        <v>13510832</v>
      </c>
      <c r="R29" s="116">
        <v>17784850910</v>
      </c>
      <c r="S29" s="116">
        <v>222096.93</v>
      </c>
      <c r="T29" s="130">
        <f t="shared" si="1"/>
        <v>60.833042581903321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869182.68421052629</v>
      </c>
      <c r="G30" s="190">
        <f t="shared" ref="G30" si="5">F30/F29-1</f>
        <v>0.41531025273880817</v>
      </c>
      <c r="H30" s="190">
        <f t="shared" ref="H30" si="6">F30/F18-1</f>
        <v>0.27060553586981428</v>
      </c>
      <c r="I30" s="130">
        <f t="shared" si="0"/>
        <v>50.975122201452542</v>
      </c>
      <c r="J30" s="130">
        <f t="shared" si="4"/>
        <v>-0.18763265329863621</v>
      </c>
      <c r="K30" s="136"/>
      <c r="L30" s="190"/>
      <c r="M30" s="190"/>
      <c r="N30" s="191"/>
      <c r="O30" s="192"/>
      <c r="P30" s="129" t="s">
        <v>495</v>
      </c>
      <c r="Q30" s="116">
        <v>16514471</v>
      </c>
      <c r="R30" s="116">
        <v>22008455334</v>
      </c>
      <c r="S30" s="116">
        <v>323971.19</v>
      </c>
      <c r="T30" s="130">
        <f t="shared" ref="T30" si="7">Q30/S30</f>
        <v>50.975122201452542</v>
      </c>
      <c r="U30" s="85"/>
    </row>
    <row r="31" spans="1:21" s="79" customFormat="1" ht="13.2" hidden="1">
      <c r="A31" s="129" t="s">
        <v>534</v>
      </c>
      <c r="B31" s="188">
        <f>SUM(F29:F31)</f>
        <v>2104071.0114832534</v>
      </c>
      <c r="C31" s="188">
        <f>AVERAGE(F29:F31)</f>
        <v>701357.00382775115</v>
      </c>
      <c r="D31" s="190">
        <f>C31/C28-1</f>
        <v>0.40915293985695955</v>
      </c>
      <c r="E31" s="287">
        <f>C31/C19-1</f>
        <v>-3.7036922218919077E-2</v>
      </c>
      <c r="F31" s="136">
        <f>Q31/20</f>
        <v>620759.6</v>
      </c>
      <c r="G31" s="190">
        <f t="shared" ref="G31" si="8">F31/F30-1</f>
        <v>-0.28581227942451204</v>
      </c>
      <c r="H31" s="190">
        <f t="shared" ref="H31" si="9">F31/F19-1</f>
        <v>-0.219015993097321</v>
      </c>
      <c r="I31" s="130">
        <f t="shared" si="0"/>
        <v>56.592786758030577</v>
      </c>
      <c r="J31" s="130">
        <f t="shared" si="4"/>
        <v>-0.12026748099869078</v>
      </c>
      <c r="K31" s="136">
        <f>R29+R30+R31</f>
        <v>56279298993</v>
      </c>
      <c r="L31" s="190">
        <f>U31/U28-1</f>
        <v>0.42029674753161061</v>
      </c>
      <c r="M31" s="190">
        <f>U31/U19-1</f>
        <v>-6.2908944449673765E-2</v>
      </c>
      <c r="N31" s="191">
        <f>AVERAGE(T29:T31)</f>
        <v>56.13365051379548</v>
      </c>
      <c r="O31" s="192">
        <f>N31/N28-1</f>
        <v>-1.2421513465312728E-2</v>
      </c>
      <c r="P31" s="129" t="s">
        <v>534</v>
      </c>
      <c r="Q31" s="116">
        <v>12415192</v>
      </c>
      <c r="R31" s="116">
        <v>16485992749</v>
      </c>
      <c r="S31" s="116">
        <v>219377.64</v>
      </c>
      <c r="T31" s="130">
        <f t="shared" ref="T31" si="10">Q31/S31</f>
        <v>56.592786758030577</v>
      </c>
      <c r="U31" s="85">
        <f>Q29+Q30+Q31</f>
        <v>42440495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581663.76190476189</v>
      </c>
      <c r="G32" s="190">
        <f t="shared" ref="G32" si="11">F32/F31-1</f>
        <v>-6.2980641934877957E-2</v>
      </c>
      <c r="H32" s="190">
        <f t="shared" ref="H32" si="12">F32/F20-1</f>
        <v>-0.12935678118736382</v>
      </c>
      <c r="I32" s="130">
        <f t="shared" si="0"/>
        <v>53.91344251783169</v>
      </c>
      <c r="J32" s="130">
        <f t="shared" si="4"/>
        <v>-3.7133546656398453E-2</v>
      </c>
      <c r="K32" s="136"/>
      <c r="L32" s="190"/>
      <c r="M32" s="190"/>
      <c r="N32" s="191"/>
      <c r="O32" s="192"/>
      <c r="P32" s="129" t="s">
        <v>562</v>
      </c>
      <c r="Q32" s="116">
        <v>12214939</v>
      </c>
      <c r="R32" s="116">
        <v>16595157138</v>
      </c>
      <c r="S32" s="116">
        <v>226565.74</v>
      </c>
      <c r="T32" s="130">
        <f t="shared" ref="T32" si="13">Q32/S32</f>
        <v>53.91344251783169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649655.61904761905</v>
      </c>
      <c r="G33" s="190">
        <f t="shared" ref="G33" si="14">F33/F32-1</f>
        <v>0.11689202868716753</v>
      </c>
      <c r="H33" s="190">
        <f t="shared" ref="H33" si="15">F33/F21-1</f>
        <v>-0.15957307089078265</v>
      </c>
      <c r="I33" s="130">
        <f t="shared" si="0"/>
        <v>50.045903398208736</v>
      </c>
      <c r="J33" s="130">
        <f t="shared" si="4"/>
        <v>-0.14796247827525111</v>
      </c>
      <c r="K33" s="136"/>
      <c r="L33" s="190"/>
      <c r="M33" s="190"/>
      <c r="N33" s="191"/>
      <c r="O33" s="192"/>
      <c r="P33" s="129" t="s">
        <v>607</v>
      </c>
      <c r="Q33" s="116">
        <v>13642768</v>
      </c>
      <c r="R33" s="116">
        <v>18665336433</v>
      </c>
      <c r="S33" s="116">
        <v>272605.09000000003</v>
      </c>
      <c r="T33" s="130">
        <f t="shared" ref="T33" si="16">Q33/S33</f>
        <v>50.045903398208736</v>
      </c>
      <c r="U33" s="85"/>
    </row>
    <row r="34" spans="1:21" s="79" customFormat="1" ht="13.2" hidden="1">
      <c r="A34" s="129" t="s">
        <v>652</v>
      </c>
      <c r="B34" s="188">
        <f>SUM(F32:F34)</f>
        <v>1896333.7493734336</v>
      </c>
      <c r="C34" s="188">
        <f>AVERAGE(F32:F34)</f>
        <v>632111.24979114451</v>
      </c>
      <c r="D34" s="190">
        <f>C34/C31-1</f>
        <v>-9.8731107921769534E-2</v>
      </c>
      <c r="E34" s="287">
        <f>C34/C22-1</f>
        <v>-0.13904859148447268</v>
      </c>
      <c r="F34" s="136">
        <f>Q34/19</f>
        <v>665014.36842105258</v>
      </c>
      <c r="G34" s="190">
        <f t="shared" ref="G34" si="17">F34/F33-1</f>
        <v>2.3641370786493088E-2</v>
      </c>
      <c r="H34" s="190">
        <f t="shared" ref="H34" si="18">F34/F22-1</f>
        <v>-0.12671704499926373</v>
      </c>
      <c r="I34" s="130">
        <f t="shared" si="0"/>
        <v>52.623141320838549</v>
      </c>
      <c r="J34" s="130">
        <f t="shared" si="4"/>
        <v>-0.17857880241871393</v>
      </c>
      <c r="K34" s="136">
        <f>R32+R33+R34</f>
        <v>52640535307</v>
      </c>
      <c r="L34" s="190">
        <f>U34/U31-1</f>
        <v>-9.301293493395868E-2</v>
      </c>
      <c r="M34" s="190">
        <f>U34/U22-1</f>
        <v>-0.15560697616017072</v>
      </c>
      <c r="N34" s="191">
        <f>AVERAGE(T32:T34)</f>
        <v>52.194162412292997</v>
      </c>
      <c r="O34" s="192">
        <f>N34/N31-1</f>
        <v>-7.0180507867278474E-2</v>
      </c>
      <c r="P34" s="129" t="s">
        <v>652</v>
      </c>
      <c r="Q34" s="116">
        <v>12635273</v>
      </c>
      <c r="R34" s="116">
        <v>17380041736</v>
      </c>
      <c r="S34" s="116">
        <v>240108.68</v>
      </c>
      <c r="T34" s="130">
        <f t="shared" ref="T34" si="19">Q34/S34</f>
        <v>52.623141320838549</v>
      </c>
      <c r="U34" s="85">
        <f>Q32+Q33+Q34</f>
        <v>38492980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524261</v>
      </c>
      <c r="G35" s="190">
        <f t="shared" ref="G35" si="20">F35/F34-1</f>
        <v>-0.21165462748608588</v>
      </c>
      <c r="H35" s="190">
        <f t="shared" ref="H35" si="21">F35/F23-1</f>
        <v>0.13836902183331334</v>
      </c>
      <c r="I35" s="130">
        <f t="shared" si="0"/>
        <v>57.994801150699679</v>
      </c>
      <c r="J35" s="130">
        <f t="shared" si="4"/>
        <v>5.2759277447981701E-2</v>
      </c>
      <c r="K35" s="136"/>
      <c r="L35" s="190"/>
      <c r="M35" s="190"/>
      <c r="N35" s="191"/>
      <c r="O35" s="192"/>
      <c r="P35" s="129" t="s">
        <v>660</v>
      </c>
      <c r="Q35" s="116">
        <v>12058003</v>
      </c>
      <c r="R35" s="116">
        <v>16689310947</v>
      </c>
      <c r="S35" s="116">
        <v>207915.24</v>
      </c>
      <c r="T35" s="130">
        <f t="shared" ref="T35" si="22">Q35/S35</f>
        <v>57.994801150699679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791090.23809523811</v>
      </c>
      <c r="G36" s="190">
        <f t="shared" ref="G36" si="23">F36/F35-1</f>
        <v>0.50896259324122539</v>
      </c>
      <c r="H36" s="190">
        <f t="shared" ref="H36" si="24">F36/F24-1</f>
        <v>-6.0577056950419261E-2</v>
      </c>
      <c r="I36" s="130">
        <f t="shared" si="0"/>
        <v>55.465408904142429</v>
      </c>
      <c r="J36" s="130">
        <f t="shared" si="4"/>
        <v>-0.2563350165368331</v>
      </c>
      <c r="K36" s="136"/>
      <c r="L36" s="190"/>
      <c r="M36" s="190"/>
      <c r="N36" s="191"/>
      <c r="O36" s="192"/>
      <c r="P36" s="129" t="s">
        <v>664</v>
      </c>
      <c r="Q36" s="116">
        <v>16612895</v>
      </c>
      <c r="R36" s="116">
        <v>22728575028</v>
      </c>
      <c r="S36" s="116">
        <v>299518.12</v>
      </c>
      <c r="T36" s="130">
        <f t="shared" ref="T36" si="25">Q36/S36</f>
        <v>55.465408904142429</v>
      </c>
      <c r="U36" s="85"/>
    </row>
    <row r="37" spans="1:21" s="79" customFormat="1" ht="13.2" hidden="1">
      <c r="A37" s="129" t="s">
        <v>702</v>
      </c>
      <c r="B37" s="188">
        <f>SUM(F35:F37)</f>
        <v>2060128.0714285714</v>
      </c>
      <c r="C37" s="188">
        <f>AVERAGE(F35:F37)</f>
        <v>686709.35714285716</v>
      </c>
      <c r="D37" s="190">
        <f>C37/C34-1</f>
        <v>8.6374206074883775E-2</v>
      </c>
      <c r="E37" s="287">
        <f>C37/C25-1</f>
        <v>0.14693044922707976</v>
      </c>
      <c r="F37" s="136">
        <f>Q37/18</f>
        <v>744776.83333333337</v>
      </c>
      <c r="G37" s="190">
        <f t="shared" ref="G37" si="26">F37/F36-1</f>
        <v>-5.8543769764390796E-2</v>
      </c>
      <c r="H37" s="190">
        <f t="shared" ref="H37" si="27">F37/F25-1</f>
        <v>0.50895630332736697</v>
      </c>
      <c r="I37" s="130">
        <f t="shared" si="0"/>
        <v>53.963476670830062</v>
      </c>
      <c r="J37" s="130">
        <f t="shared" si="4"/>
        <v>7.8923293737331202E-2</v>
      </c>
      <c r="K37" s="136">
        <f>R35+R36+R37</f>
        <v>57311307305</v>
      </c>
      <c r="L37" s="190">
        <f>U37/U34-1</f>
        <v>9.3105314267692529E-2</v>
      </c>
      <c r="M37" s="190">
        <f>U37/U25-1</f>
        <v>0.11979942288264178</v>
      </c>
      <c r="N37" s="191">
        <f>AVERAGE(T35:T37)</f>
        <v>55.807895575224052</v>
      </c>
      <c r="O37" s="192">
        <f>N37/N34-1</f>
        <v>6.9236347436431478E-2</v>
      </c>
      <c r="P37" s="129" t="s">
        <v>702</v>
      </c>
      <c r="Q37" s="116">
        <v>13405983</v>
      </c>
      <c r="R37" s="116">
        <v>17893421330</v>
      </c>
      <c r="S37" s="116">
        <v>248426.97</v>
      </c>
      <c r="T37" s="130">
        <f t="shared" ref="T37" si="28">Q37/S37</f>
        <v>53.963476670830062</v>
      </c>
      <c r="U37" s="85">
        <f>Q35+Q36+Q37</f>
        <v>42076881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941013.2</v>
      </c>
      <c r="G38" s="190">
        <f t="shared" ref="G38" si="29">F38/F37-1</f>
        <v>0.26348344615982278</v>
      </c>
      <c r="H38" s="190">
        <f t="shared" ref="H38" si="30">F38/F26-1</f>
        <v>0.74402296432143289</v>
      </c>
      <c r="I38" s="130">
        <f t="shared" si="0"/>
        <v>54.511996308761233</v>
      </c>
      <c r="J38" s="130">
        <f t="shared" si="4"/>
        <v>-2.440521056879863E-3</v>
      </c>
      <c r="K38" s="136"/>
      <c r="L38" s="190"/>
      <c r="M38" s="190"/>
      <c r="N38" s="191"/>
      <c r="O38" s="192"/>
      <c r="P38" s="129" t="s">
        <v>728</v>
      </c>
      <c r="Q38" s="116">
        <v>18820264</v>
      </c>
      <c r="R38" s="116">
        <v>25317099175</v>
      </c>
      <c r="S38" s="116">
        <v>345249.95</v>
      </c>
      <c r="T38" s="130">
        <f t="shared" ref="T38" si="31">Q38/S38</f>
        <v>54.511996308761233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683180.95238095243</v>
      </c>
      <c r="G39" s="190">
        <f t="shared" ref="G39" si="32">F39/F38-1</f>
        <v>-0.27399429425543398</v>
      </c>
      <c r="H39" s="190">
        <f t="shared" ref="H39" si="33">F39/F27-1</f>
        <v>0.35582725028421924</v>
      </c>
      <c r="I39" s="130">
        <f t="shared" si="0"/>
        <v>49.457511072507643</v>
      </c>
      <c r="J39" s="130">
        <f t="shared" si="4"/>
        <v>-0.10169842337882973</v>
      </c>
      <c r="K39" s="136"/>
      <c r="L39" s="190"/>
      <c r="M39" s="190"/>
      <c r="N39" s="191"/>
      <c r="O39" s="192"/>
      <c r="P39" s="129" t="s">
        <v>762</v>
      </c>
      <c r="Q39" s="116">
        <v>14346800</v>
      </c>
      <c r="R39" s="116">
        <v>19917735287</v>
      </c>
      <c r="S39" s="116">
        <v>290083.34000000003</v>
      </c>
      <c r="T39" s="130">
        <f t="shared" ref="T39" si="34">Q39/S39</f>
        <v>49.457511072507643</v>
      </c>
      <c r="U39" s="85"/>
    </row>
    <row r="40" spans="1:21" s="79" customFormat="1" ht="13.2" hidden="1">
      <c r="A40" s="129" t="s">
        <v>778</v>
      </c>
      <c r="B40" s="188">
        <f>SUM(F38:F40)</f>
        <v>2231300.9619047618</v>
      </c>
      <c r="C40" s="188">
        <f>AVERAGE(F38:F40)</f>
        <v>743766.98730158724</v>
      </c>
      <c r="D40" s="190">
        <f>C40/C37-1</f>
        <v>8.3088470493726252E-2</v>
      </c>
      <c r="E40" s="287">
        <f>C40/C28-1</f>
        <v>0.49436225916977916</v>
      </c>
      <c r="F40" s="136">
        <f>Q40/21</f>
        <v>607106.80952380947</v>
      </c>
      <c r="G40" s="190">
        <f t="shared" ref="G40" si="35">F40/F39-1</f>
        <v>-0.11135284523378053</v>
      </c>
      <c r="H40" s="190">
        <f t="shared" ref="H40" si="36">F40/F28-1</f>
        <v>0.35003732120417874</v>
      </c>
      <c r="I40" s="130">
        <f t="shared" si="0"/>
        <v>53.956645060155715</v>
      </c>
      <c r="J40" s="130">
        <f t="shared" si="4"/>
        <v>-0.11280335035253919</v>
      </c>
      <c r="K40" s="136">
        <f>R38+R39+R40</f>
        <v>63346772664</v>
      </c>
      <c r="L40" s="190">
        <f>U40/U37-1</f>
        <v>9.1247875525754862E-2</v>
      </c>
      <c r="M40" s="190">
        <f>U40/U28-1</f>
        <v>0.53661689126771317</v>
      </c>
      <c r="N40" s="191">
        <f>AVERAGE(T38:T40)</f>
        <v>52.642050813808197</v>
      </c>
      <c r="O40" s="192">
        <f>N40/N37-1</f>
        <v>-5.6727542380604179E-2</v>
      </c>
      <c r="P40" s="129" t="s">
        <v>778</v>
      </c>
      <c r="Q40" s="116">
        <v>12749243</v>
      </c>
      <c r="R40" s="116">
        <v>18111938202</v>
      </c>
      <c r="S40" s="116">
        <v>236286.8</v>
      </c>
      <c r="T40" s="130">
        <f t="shared" ref="T40" si="37">Q40/S40</f>
        <v>53.956645060155715</v>
      </c>
      <c r="U40" s="85">
        <f>Q38+Q39+Q40</f>
        <v>45916307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712506.4444444445</v>
      </c>
      <c r="G41" s="190">
        <f t="shared" ref="G41" si="38">F41/F40-1</f>
        <v>0.17360970634361084</v>
      </c>
      <c r="H41" s="190">
        <f t="shared" ref="H41" si="39">F41/F29-1</f>
        <v>0.16019071051862532</v>
      </c>
      <c r="I41" s="130">
        <f t="shared" si="0"/>
        <v>57.742615956817112</v>
      </c>
      <c r="J41" s="130">
        <f t="shared" si="4"/>
        <v>-5.080177636890959E-2</v>
      </c>
      <c r="K41" s="193"/>
      <c r="L41" s="190"/>
      <c r="M41" s="190"/>
      <c r="N41" s="193"/>
      <c r="O41" s="193"/>
      <c r="P41" s="129" t="s">
        <v>820</v>
      </c>
      <c r="Q41" s="116">
        <v>12825116</v>
      </c>
      <c r="R41" s="116">
        <v>18765010245</v>
      </c>
      <c r="S41" s="116">
        <v>222108.33</v>
      </c>
      <c r="T41" s="130">
        <f t="shared" ref="T41" si="40">Q41/S41</f>
        <v>57.742615956817112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712218.25</v>
      </c>
      <c r="G42" s="190">
        <f t="shared" ref="G42" si="41">F42/F41-1</f>
        <v>-4.0447977234681076E-4</v>
      </c>
      <c r="H42" s="190">
        <f t="shared" ref="H42" si="42">F42/F30-1</f>
        <v>-0.18058854261816804</v>
      </c>
      <c r="I42" s="130">
        <f t="shared" si="0"/>
        <v>53.944875460933019</v>
      </c>
      <c r="J42" s="130">
        <f t="shared" si="4"/>
        <v>5.8258874745686251E-2</v>
      </c>
      <c r="K42" s="193"/>
      <c r="L42" s="190"/>
      <c r="M42" s="190"/>
      <c r="N42" s="193"/>
      <c r="O42" s="193"/>
      <c r="P42" s="129" t="s">
        <v>826</v>
      </c>
      <c r="Q42" s="116">
        <v>14244365</v>
      </c>
      <c r="R42" s="116">
        <v>20594697524</v>
      </c>
      <c r="S42" s="116">
        <v>264054.09000000003</v>
      </c>
      <c r="T42" s="130">
        <f t="shared" ref="T42" si="43">Q42/S42</f>
        <v>53.944875460933019</v>
      </c>
      <c r="U42" s="78"/>
    </row>
    <row r="43" spans="1:21" s="79" customFormat="1" ht="13.2">
      <c r="A43" s="129" t="s">
        <v>835</v>
      </c>
      <c r="B43" s="188">
        <f>SUM(F41:F43)</f>
        <v>2281103.1444444442</v>
      </c>
      <c r="C43" s="188">
        <f>AVERAGE(F41:F43)</f>
        <v>760367.71481481474</v>
      </c>
      <c r="D43" s="190">
        <f>C43/C40-1</f>
        <v>2.2319796114446344E-2</v>
      </c>
      <c r="E43" s="287">
        <f>C43/C31-1</f>
        <v>8.4137907891422836E-2</v>
      </c>
      <c r="F43" s="136">
        <f>Q43/20</f>
        <v>856378.45</v>
      </c>
      <c r="G43" s="190">
        <f t="shared" ref="G43" si="44">F43/F42-1</f>
        <v>0.20241014604722629</v>
      </c>
      <c r="H43" s="190">
        <f t="shared" ref="H43" si="45">F43/F31-1</f>
        <v>0.37956537442191784</v>
      </c>
      <c r="I43" s="130">
        <f t="shared" si="0"/>
        <v>52.344747982485217</v>
      </c>
      <c r="J43" s="130">
        <f t="shared" si="4"/>
        <v>-7.5063254858050654E-2</v>
      </c>
      <c r="K43" s="136">
        <f>R41+R42+R43</f>
        <v>64216841210</v>
      </c>
      <c r="L43" s="190">
        <f>U43/U40-1</f>
        <v>-3.7443276960405392E-2</v>
      </c>
      <c r="M43" s="190">
        <f>K43/K31-1</f>
        <v>0.14103839882560143</v>
      </c>
      <c r="N43" s="191">
        <f>AVERAGE(T41:T43)</f>
        <v>54.677413133411783</v>
      </c>
      <c r="O43" s="192">
        <f>N43/N40-1</f>
        <v>3.8664191233782619E-2</v>
      </c>
      <c r="P43" s="129" t="s">
        <v>835</v>
      </c>
      <c r="Q43" s="116">
        <v>17127569</v>
      </c>
      <c r="R43" s="116">
        <v>24857133441</v>
      </c>
      <c r="S43" s="116">
        <v>327207.02</v>
      </c>
      <c r="T43" s="130">
        <f t="shared" ref="T43" si="46">Q43/S43</f>
        <v>52.344747982485217</v>
      </c>
      <c r="U43" s="85">
        <f>Q41+Q42+Q43</f>
        <v>44197050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739890.59090909094</v>
      </c>
      <c r="G44" s="190">
        <f t="shared" ref="G44" si="47">F44/F43-1</f>
        <v>-0.13602380943951708</v>
      </c>
      <c r="H44" s="190">
        <f t="shared" ref="H44" si="48">F44/F32-1</f>
        <v>0.27202456017921262</v>
      </c>
      <c r="I44" s="130">
        <f t="shared" si="0"/>
        <v>52.922123333673838</v>
      </c>
      <c r="J44" s="130">
        <f t="shared" si="4"/>
        <v>-1.8387235870348628E-2</v>
      </c>
      <c r="K44" s="136"/>
      <c r="L44" s="190"/>
      <c r="M44" s="190"/>
      <c r="N44" s="191"/>
      <c r="O44" s="192"/>
      <c r="P44" s="129" t="s">
        <v>843</v>
      </c>
      <c r="Q44" s="116">
        <v>16277593</v>
      </c>
      <c r="R44" s="116">
        <v>23628815386</v>
      </c>
      <c r="S44" s="116">
        <v>307576.34000000003</v>
      </c>
      <c r="T44" s="130">
        <f t="shared" ref="T44" si="49">Q44/S44</f>
        <v>52.922123333673838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853167.1</v>
      </c>
      <c r="G45" s="190">
        <f t="shared" ref="G45" si="50">F45/F44-1</f>
        <v>0.15309899934222448</v>
      </c>
      <c r="H45" s="190">
        <f t="shared" ref="H45" si="51">F45/F33-1</f>
        <v>0.31326055680196263</v>
      </c>
      <c r="I45" s="130">
        <f t="shared" si="0"/>
        <v>52.46673096938391</v>
      </c>
      <c r="J45" s="130">
        <f t="shared" si="4"/>
        <v>4.8372142509107263E-2</v>
      </c>
      <c r="K45" s="136"/>
      <c r="L45" s="190"/>
      <c r="M45" s="190"/>
      <c r="N45" s="191"/>
      <c r="O45" s="192"/>
      <c r="P45" s="129" t="s">
        <v>849</v>
      </c>
      <c r="Q45" s="116">
        <v>17063342</v>
      </c>
      <c r="R45" s="116">
        <v>24046440141</v>
      </c>
      <c r="S45" s="116">
        <v>325222.13</v>
      </c>
      <c r="T45" s="130">
        <f t="shared" ref="T45" si="52">Q45/S45</f>
        <v>52.46673096938391</v>
      </c>
      <c r="U45" s="85"/>
    </row>
    <row r="46" spans="1:21" s="79" customFormat="1" ht="13.2">
      <c r="A46" s="129" t="s">
        <v>893</v>
      </c>
      <c r="B46" s="188">
        <f>SUM(F44:F46)</f>
        <v>2540595.480382775</v>
      </c>
      <c r="C46" s="188">
        <f>AVERAGE(F44:F46)</f>
        <v>846865.16012759169</v>
      </c>
      <c r="D46" s="190">
        <f>C46/C43-1</f>
        <v>0.11375738820505177</v>
      </c>
      <c r="E46" s="287">
        <f>C46/C34-1</f>
        <v>0.33974068711386463</v>
      </c>
      <c r="F46" s="136">
        <f>Q46/19</f>
        <v>947537.78947368416</v>
      </c>
      <c r="G46" s="190">
        <f t="shared" ref="G46" si="53">F46/F45-1</f>
        <v>0.11061219950193135</v>
      </c>
      <c r="H46" s="190">
        <f t="shared" ref="H46" si="54">F46/F34-1</f>
        <v>0.42483807037647714</v>
      </c>
      <c r="I46" s="130">
        <f t="shared" si="0"/>
        <v>52.245151841818817</v>
      </c>
      <c r="J46" s="130">
        <f t="shared" si="4"/>
        <v>-7.1829516355772505E-3</v>
      </c>
      <c r="K46" s="136">
        <f>R44+R45+R46</f>
        <v>72335481828</v>
      </c>
      <c r="L46" s="190">
        <f>U46/U43-1</f>
        <v>0.1617099557549655</v>
      </c>
      <c r="M46" s="190">
        <f>K46/K34-1</f>
        <v>0.37414031612974541</v>
      </c>
      <c r="N46" s="191">
        <f>AVERAGE(T44:T46)</f>
        <v>52.544668714958853</v>
      </c>
      <c r="O46" s="192">
        <f>N46/N43-1</f>
        <v>-3.9005949554509423E-2</v>
      </c>
      <c r="P46" s="129" t="s">
        <v>928</v>
      </c>
      <c r="Q46" s="116">
        <v>18003218</v>
      </c>
      <c r="R46" s="116">
        <v>24660226301</v>
      </c>
      <c r="S46" s="116">
        <v>344591.17</v>
      </c>
      <c r="T46" s="130">
        <f t="shared" ref="T46" si="55">Q46/S46</f>
        <v>52.245151841818817</v>
      </c>
      <c r="U46" s="85">
        <f t="shared" ref="U46:U51" si="56">Q44+Q45+Q46</f>
        <v>51344153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664150.69565217395</v>
      </c>
      <c r="G47" s="190">
        <f t="shared" ref="G47" si="57">F47/F46-1</f>
        <v>-0.2990773528715085</v>
      </c>
      <c r="H47" s="190">
        <f t="shared" ref="H47" si="58">F47/F35-1</f>
        <v>0.26683216117959185</v>
      </c>
      <c r="I47" s="130">
        <f t="shared" si="0"/>
        <v>57.074596033475821</v>
      </c>
      <c r="J47" s="130">
        <f t="shared" si="4"/>
        <v>-1.5867027715686155E-2</v>
      </c>
      <c r="K47" s="136"/>
      <c r="L47" s="190"/>
      <c r="M47" s="190"/>
      <c r="N47" s="191"/>
      <c r="O47" s="192"/>
      <c r="P47" s="129" t="s">
        <v>991</v>
      </c>
      <c r="Q47" s="116">
        <v>15275466</v>
      </c>
      <c r="R47" s="116">
        <v>20922078129</v>
      </c>
      <c r="S47" s="116">
        <v>267640.37</v>
      </c>
      <c r="T47" s="130">
        <f t="shared" ref="T47" si="59">Q47/S47</f>
        <v>57.074596033475821</v>
      </c>
      <c r="U47" s="85">
        <f t="shared" si="56"/>
        <v>50342026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594355.44999999995</v>
      </c>
      <c r="G48" s="190">
        <f t="shared" ref="G48" si="60">F48/F47-1</f>
        <v>-0.10508947157487714</v>
      </c>
      <c r="H48" s="190">
        <f t="shared" ref="H48" si="61">F48/F36-1</f>
        <v>-0.24868817566113555</v>
      </c>
      <c r="I48" s="130">
        <f t="shared" si="0"/>
        <v>39.960350632641479</v>
      </c>
      <c r="J48" s="130">
        <f t="shared" si="4"/>
        <v>-0.27954464913974442</v>
      </c>
      <c r="K48" s="136"/>
      <c r="L48" s="190"/>
      <c r="M48" s="190"/>
      <c r="N48" s="191"/>
      <c r="O48" s="192"/>
      <c r="P48" s="129" t="s">
        <v>1070</v>
      </c>
      <c r="Q48" s="116">
        <v>11887109</v>
      </c>
      <c r="R48" s="116">
        <v>16488895187</v>
      </c>
      <c r="S48" s="116">
        <v>297472.59000000003</v>
      </c>
      <c r="T48" s="130">
        <f t="shared" ref="T48" si="62">Q48/S48</f>
        <v>39.960350632641479</v>
      </c>
      <c r="U48" s="85">
        <f t="shared" si="56"/>
        <v>45165793</v>
      </c>
    </row>
    <row r="49" spans="1:26" ht="13.2">
      <c r="A49" s="129" t="s">
        <v>1243</v>
      </c>
      <c r="B49" s="188">
        <f>SUM(F47:F49)</f>
        <v>2133565.5547430832</v>
      </c>
      <c r="C49" s="188">
        <f>AVERAGE(F47:F49)</f>
        <v>711188.51824769436</v>
      </c>
      <c r="D49" s="190">
        <f>C49/C46-1</f>
        <v>-0.16021044230873283</v>
      </c>
      <c r="E49" s="287">
        <f>C49/C37-1</f>
        <v>3.5647047546702781E-2</v>
      </c>
      <c r="F49" s="136">
        <f>Q49/22</f>
        <v>875059.40909090906</v>
      </c>
      <c r="G49" s="190">
        <f t="shared" ref="G49" si="63">F49/F48-1</f>
        <v>0.47228297324590729</v>
      </c>
      <c r="H49" s="190">
        <f t="shared" ref="H49" si="64">F49/F37-1</f>
        <v>0.1749283408487361</v>
      </c>
      <c r="I49" s="130">
        <f t="shared" si="0"/>
        <v>50.404428145995453</v>
      </c>
      <c r="J49" s="130">
        <f t="shared" si="4"/>
        <v>-6.5952913792866386E-2</v>
      </c>
      <c r="K49" s="136">
        <f>R47+R48+R49</f>
        <v>64186107085</v>
      </c>
      <c r="L49" s="190">
        <f>U49/U46-1</f>
        <v>-9.6024001019161864E-2</v>
      </c>
      <c r="M49" s="190">
        <f>K49/K37-1</f>
        <v>0.11995538233692016</v>
      </c>
      <c r="N49" s="191">
        <f>AVERAGE(T47:T49)</f>
        <v>49.146458270704251</v>
      </c>
      <c r="O49" s="192">
        <f>N49/N46-1</f>
        <v>-6.4672792261551981E-2</v>
      </c>
      <c r="P49" s="129" t="s">
        <v>1197</v>
      </c>
      <c r="Q49" s="116">
        <v>19251307</v>
      </c>
      <c r="R49" s="116">
        <v>26775133769</v>
      </c>
      <c r="S49" s="116">
        <v>381936.82</v>
      </c>
      <c r="T49" s="130">
        <f t="shared" ref="T49" si="65">Q49/S49</f>
        <v>50.404428145995453</v>
      </c>
      <c r="U49" s="85">
        <f t="shared" si="56"/>
        <v>46413882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837024.9444444445</v>
      </c>
      <c r="G50" s="190">
        <f t="shared" ref="G50" si="66">F50/F49-1</f>
        <v>-4.3465008491227142E-2</v>
      </c>
      <c r="H50" s="190">
        <f t="shared" ref="H50" si="67">F50/F38-1</f>
        <v>-0.11050669167611615</v>
      </c>
      <c r="I50" s="130">
        <f t="shared" ref="I50" si="68">T50</f>
        <v>55.44054991441854</v>
      </c>
      <c r="J50" s="130">
        <f t="shared" ref="J50" si="69">I50/I38-1</f>
        <v>1.7033931401042146E-2</v>
      </c>
      <c r="K50" s="136"/>
      <c r="L50" s="190"/>
      <c r="M50" s="190"/>
      <c r="N50" s="191"/>
      <c r="O50" s="192"/>
      <c r="P50" s="129" t="s">
        <v>1373</v>
      </c>
      <c r="Q50" s="116">
        <v>15066449</v>
      </c>
      <c r="R50" s="116">
        <v>21287827455</v>
      </c>
      <c r="S50" s="116">
        <v>271758.65000000002</v>
      </c>
      <c r="T50" s="130">
        <f t="shared" ref="T50" si="70">Q50/S50</f>
        <v>55.44054991441854</v>
      </c>
      <c r="U50" s="85">
        <f t="shared" si="56"/>
        <v>46204865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641469</v>
      </c>
      <c r="G51" s="190">
        <f t="shared" ref="G51:G52" si="71">F51/F50-1</f>
        <v>-0.23363215844689089</v>
      </c>
      <c r="H51" s="190">
        <f t="shared" ref="H51:H52" si="72">F51/F39-1</f>
        <v>-6.105549669612742E-2</v>
      </c>
      <c r="I51" s="130">
        <f t="shared" ref="I51:I52" si="73">T51</f>
        <v>44.482608799820284</v>
      </c>
      <c r="J51" s="130">
        <f t="shared" ref="J51:J52" si="74">I51/I39-1</f>
        <v>-0.10058941836749236</v>
      </c>
      <c r="K51" s="136"/>
      <c r="L51" s="190"/>
      <c r="M51" s="190"/>
      <c r="N51" s="191"/>
      <c r="O51" s="192"/>
      <c r="P51" s="129" t="s">
        <v>1402</v>
      </c>
      <c r="Q51" s="116">
        <v>12829380</v>
      </c>
      <c r="R51" s="116">
        <v>18576909030</v>
      </c>
      <c r="S51" s="116">
        <v>288413.39</v>
      </c>
      <c r="T51" s="130">
        <f t="shared" ref="T51:T52" si="75">Q51/S51</f>
        <v>44.482608799820284</v>
      </c>
      <c r="U51" s="85">
        <f t="shared" si="56"/>
        <v>47147136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2149091.8535353537</v>
      </c>
      <c r="C52" s="188">
        <f>AVERAGE(F50:F52)</f>
        <v>716363.95117845119</v>
      </c>
      <c r="D52" s="190">
        <f>C52/C49-1</f>
        <v>7.2771604124157729E-3</v>
      </c>
      <c r="E52" s="287">
        <f>C52/C40-1</f>
        <v>-3.6843576806971812E-2</v>
      </c>
      <c r="F52" s="136">
        <f>Q52/22</f>
        <v>670597.90909090906</v>
      </c>
      <c r="G52" s="190">
        <f t="shared" si="71"/>
        <v>4.5409691023118981E-2</v>
      </c>
      <c r="H52" s="190">
        <f t="shared" si="72"/>
        <v>0.10457978492598285</v>
      </c>
      <c r="I52" s="130">
        <f t="shared" si="73"/>
        <v>54.683417342464814</v>
      </c>
      <c r="J52" s="130">
        <f t="shared" si="74"/>
        <v>1.3469560264520286E-2</v>
      </c>
      <c r="K52" s="136">
        <f>R50+R51+R52</f>
        <v>61578866029</v>
      </c>
      <c r="L52" s="190">
        <f>U52/U49-1</f>
        <v>-8.1115796347308367E-2</v>
      </c>
      <c r="M52" s="190">
        <f>K52/K40-1</f>
        <v>-2.7908393129626674E-2</v>
      </c>
      <c r="N52" s="191">
        <f>AVERAGE(T50:T52)</f>
        <v>51.535525352234544</v>
      </c>
      <c r="O52" s="192">
        <f>N52/N49-1</f>
        <v>4.8611174957329473E-2</v>
      </c>
      <c r="P52" s="129" t="s">
        <v>1403</v>
      </c>
      <c r="Q52" s="116">
        <v>14753154</v>
      </c>
      <c r="R52" s="116">
        <v>21714129544</v>
      </c>
      <c r="S52" s="116">
        <v>269792.09999999998</v>
      </c>
      <c r="T52" s="130">
        <f t="shared" si="75"/>
        <v>54.683417342464814</v>
      </c>
      <c r="U52" s="85">
        <f t="shared" ref="U52" si="76">Q50+Q51+Q52</f>
        <v>42648983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669959.95238095243</v>
      </c>
      <c r="G53" s="190">
        <f t="shared" ref="G53" si="77">F53/F52-1</f>
        <v>-9.5132522978114142E-4</v>
      </c>
      <c r="H53" s="190">
        <f t="shared" ref="H53" si="78">F53/F41-1</f>
        <v>-5.9713834724212767E-2</v>
      </c>
      <c r="I53" s="130">
        <f t="shared" ref="I53" si="79">T53</f>
        <v>54.23243963697788</v>
      </c>
      <c r="J53" s="130">
        <f t="shared" ref="J53" si="80">I53/I41-1</f>
        <v>-6.0790046686910126E-2</v>
      </c>
      <c r="K53" s="136"/>
      <c r="L53" s="190"/>
      <c r="M53" s="190"/>
      <c r="N53" s="191"/>
      <c r="O53" s="192"/>
      <c r="P53" s="129" t="s">
        <v>1414</v>
      </c>
      <c r="Q53" s="116">
        <v>14069159</v>
      </c>
      <c r="R53" s="116">
        <v>20431007042</v>
      </c>
      <c r="S53" s="116">
        <v>259423.31</v>
      </c>
      <c r="T53" s="130">
        <f t="shared" ref="T53" si="81">Q53/S53</f>
        <v>54.23243963697788</v>
      </c>
      <c r="U53" s="85">
        <f t="shared" ref="U53" si="82">Q51+Q52+Q53</f>
        <v>41651693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1064118.7647058824</v>
      </c>
      <c r="G54" s="190">
        <f t="shared" ref="G54" si="83">F54/F53-1</f>
        <v>0.58833190092055454</v>
      </c>
      <c r="H54" s="190">
        <f t="shared" ref="H54" si="84">F54/F42-1</f>
        <v>0.49409084182535667</v>
      </c>
      <c r="I54" s="130">
        <f t="shared" ref="I54" si="85">T54</f>
        <v>51.973758135184667</v>
      </c>
      <c r="J54" s="130">
        <f t="shared" ref="J54" si="86">I54/I42-1</f>
        <v>-3.6539473099272191E-2</v>
      </c>
      <c r="K54" s="136"/>
      <c r="L54" s="190"/>
      <c r="M54" s="190"/>
      <c r="N54" s="191"/>
      <c r="O54" s="192"/>
      <c r="P54" s="129" t="s">
        <v>1417</v>
      </c>
      <c r="Q54" s="116">
        <v>18090019</v>
      </c>
      <c r="R54" s="116">
        <v>26176030686</v>
      </c>
      <c r="S54" s="116">
        <v>348060.63</v>
      </c>
      <c r="T54" s="130">
        <f t="shared" ref="T54" si="87">Q54/S54</f>
        <v>51.973758135184667</v>
      </c>
      <c r="U54" s="85">
        <f t="shared" ref="U54" si="88">Q52+Q53+Q54</f>
        <v>46912332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2576273.2408963586</v>
      </c>
      <c r="C55" s="188">
        <f>AVERAGE(F53:F55)</f>
        <v>858757.74696545291</v>
      </c>
      <c r="D55" s="190">
        <f>C55/C52-1</f>
        <v>0.19877297783166981</v>
      </c>
      <c r="E55" s="287">
        <f>C55/C43-1</f>
        <v>0.12939796132007109</v>
      </c>
      <c r="F55" s="136">
        <f>Q55/21</f>
        <v>842194.52380952379</v>
      </c>
      <c r="G55" s="190">
        <f t="shared" ref="G55" si="89">F55/F54-1</f>
        <v>-0.20855213558582197</v>
      </c>
      <c r="H55" s="190">
        <f t="shared" ref="H55" si="90">F55/F43-1</f>
        <v>-1.6562684629063407E-2</v>
      </c>
      <c r="I55" s="130">
        <f>T55</f>
        <v>52.534318682231991</v>
      </c>
      <c r="J55" s="130">
        <f t="shared" ref="J55" si="91">I55/I43-1</f>
        <v>3.6215801403840508E-3</v>
      </c>
      <c r="K55" s="136">
        <f>R53+R54+R55</f>
        <v>72674193302</v>
      </c>
      <c r="L55" s="190">
        <f>U55/U52-1</f>
        <v>0.16873274563194163</v>
      </c>
      <c r="M55" s="190">
        <f>K55/K43-1</f>
        <v>0.13169990819609168</v>
      </c>
      <c r="N55" s="191">
        <f>AVERAGE(T53:T55)</f>
        <v>52.913505484798179</v>
      </c>
      <c r="O55" s="192">
        <f>N55/N52-1</f>
        <v>2.6738451255622797E-2</v>
      </c>
      <c r="P55" s="129" t="s">
        <v>1418</v>
      </c>
      <c r="Q55" s="116">
        <v>17686085</v>
      </c>
      <c r="R55" s="116">
        <v>26067155574</v>
      </c>
      <c r="S55" s="116">
        <v>336657.74</v>
      </c>
      <c r="T55" s="130">
        <f t="shared" ref="T55" si="92">Q55/S55</f>
        <v>52.534318682231991</v>
      </c>
      <c r="U55" s="85">
        <f t="shared" ref="U55" si="93">Q53+Q54+Q55</f>
        <v>49845263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918258.68181818177</v>
      </c>
      <c r="G56" s="190">
        <f t="shared" ref="G56" si="94">F56/F55-1</f>
        <v>9.0316614342960344E-2</v>
      </c>
      <c r="H56" s="190">
        <f t="shared" ref="H56" si="95">F56/F44-1</f>
        <v>0.24107360344984663</v>
      </c>
      <c r="I56" s="291">
        <f>T56</f>
        <v>47.934978559790736</v>
      </c>
      <c r="J56" s="130">
        <f t="shared" ref="J56" si="96">I56/I44-1</f>
        <v>-9.4235538178224054E-2</v>
      </c>
      <c r="K56" s="136"/>
      <c r="L56" s="190"/>
      <c r="M56" s="190"/>
      <c r="N56" s="191"/>
      <c r="O56" s="192"/>
      <c r="P56" s="129" t="s">
        <v>1420</v>
      </c>
      <c r="Q56" s="116">
        <v>20201691</v>
      </c>
      <c r="R56" s="116">
        <v>30232855467</v>
      </c>
      <c r="S56" s="116">
        <v>421439.45</v>
      </c>
      <c r="T56" s="130">
        <f t="shared" ref="T56" si="97">Q56/S56</f>
        <v>47.934978559790736</v>
      </c>
      <c r="U56" s="85">
        <f t="shared" ref="U56" si="98">Q54+Q55+Q56</f>
        <v>55977795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835579.75</v>
      </c>
      <c r="G57" s="254">
        <f t="shared" ref="G57" si="99">F57/F56-1</f>
        <v>-9.0038823977656057E-2</v>
      </c>
      <c r="H57" s="254">
        <f t="shared" ref="H57" si="100">F57/F45-1</f>
        <v>-2.0614191522387526E-2</v>
      </c>
      <c r="I57" s="282">
        <f>T57</f>
        <v>50.384938662719605</v>
      </c>
      <c r="J57" s="277">
        <f t="shared" ref="J57" si="101">I57/I45-1</f>
        <v>-3.9678330786019456E-2</v>
      </c>
      <c r="K57" s="204"/>
      <c r="L57" s="254"/>
      <c r="M57" s="254"/>
      <c r="N57" s="257"/>
      <c r="O57" s="258"/>
      <c r="P57" s="129" t="s">
        <v>1436</v>
      </c>
      <c r="Q57" s="116">
        <v>10026957</v>
      </c>
      <c r="R57" s="116">
        <v>14767909292</v>
      </c>
      <c r="S57" s="116">
        <v>199007.03</v>
      </c>
      <c r="T57" s="130">
        <f t="shared" ref="T57" si="102">Q57/S57</f>
        <v>50.384938662719605</v>
      </c>
      <c r="U57" s="85">
        <f t="shared" ref="U57" si="103">Q55+Q56+Q57</f>
        <v>47914733</v>
      </c>
      <c r="V57" s="79"/>
      <c r="W57" s="79"/>
      <c r="X57" s="79"/>
      <c r="Y57" s="79"/>
      <c r="Z57" s="79"/>
    </row>
    <row r="58" spans="1:26">
      <c r="B58" s="196">
        <f>SUM(F56:F58)</f>
        <v>1753838.4318181816</v>
      </c>
      <c r="C58" s="196">
        <f>AVERAGE(F56:F58)</f>
        <v>876919.21590909082</v>
      </c>
      <c r="D58" s="197">
        <f>C58/C55-1</f>
        <v>2.1148535786505773E-2</v>
      </c>
      <c r="E58" s="233">
        <f>C58/C46-1</f>
        <v>3.5488596291965768E-2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80073911</v>
      </c>
      <c r="R66" s="212">
        <v>117674958061</v>
      </c>
      <c r="S66" s="213">
        <v>1564588.16</v>
      </c>
    </row>
    <row r="67" spans="16:19" ht="18" thickBot="1">
      <c r="P67" s="180" t="s">
        <v>976</v>
      </c>
      <c r="Q67" s="181">
        <v>14069159</v>
      </c>
      <c r="R67" s="181">
        <v>20431007042</v>
      </c>
      <c r="S67" s="182">
        <v>259423.31</v>
      </c>
    </row>
    <row r="68" spans="16:19" ht="18" thickBot="1">
      <c r="P68" s="180" t="s">
        <v>977</v>
      </c>
      <c r="Q68" s="181">
        <v>18090019</v>
      </c>
      <c r="R68" s="181">
        <v>26176030686</v>
      </c>
      <c r="S68" s="182">
        <v>348060.63</v>
      </c>
    </row>
    <row r="69" spans="16:19" ht="18" thickBot="1">
      <c r="P69" s="180" t="s">
        <v>978</v>
      </c>
      <c r="Q69" s="181">
        <v>17686085</v>
      </c>
      <c r="R69" s="181">
        <v>26067155574</v>
      </c>
      <c r="S69" s="182">
        <v>336657.74</v>
      </c>
    </row>
    <row r="70" spans="16:19" ht="18" thickBot="1">
      <c r="P70" s="180" t="s">
        <v>979</v>
      </c>
      <c r="Q70" s="181">
        <v>20201691</v>
      </c>
      <c r="R70" s="181">
        <v>30232855467</v>
      </c>
      <c r="S70" s="182">
        <v>421439.45</v>
      </c>
    </row>
    <row r="71" spans="16:19" ht="18" thickBot="1">
      <c r="P71" s="180" t="s">
        <v>980</v>
      </c>
      <c r="Q71" s="181">
        <v>10026957</v>
      </c>
      <c r="R71" s="181">
        <v>14767909292</v>
      </c>
      <c r="S71" s="182">
        <v>199007.03</v>
      </c>
    </row>
    <row r="72" spans="16:19" ht="18" thickBot="1">
      <c r="P72" s="180" t="s">
        <v>975</v>
      </c>
      <c r="Q72" s="181">
        <v>184603521</v>
      </c>
      <c r="R72" s="181">
        <v>262316493032</v>
      </c>
      <c r="S72" s="182">
        <v>3567653.52</v>
      </c>
    </row>
    <row r="73" spans="16:19" ht="18" thickBot="1">
      <c r="P73" s="180" t="s">
        <v>982</v>
      </c>
      <c r="Q73" s="181">
        <v>168862198</v>
      </c>
      <c r="R73" s="181">
        <v>229488707193</v>
      </c>
      <c r="S73" s="182">
        <v>3131247.69</v>
      </c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18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00">
    <tabColor rgb="FFFF0000"/>
  </sheetPr>
  <dimension ref="A1:Z72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3307904000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294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1816708.15</v>
      </c>
      <c r="G5" s="90"/>
      <c r="H5" s="90"/>
      <c r="I5" s="130">
        <f t="shared" ref="I5:I49" si="0">T5</f>
        <v>9.8564845697133308</v>
      </c>
      <c r="J5" s="130"/>
      <c r="L5" s="80"/>
      <c r="M5" s="80"/>
      <c r="P5" s="129" t="s">
        <v>0</v>
      </c>
      <c r="Q5" s="116">
        <v>36334163</v>
      </c>
      <c r="R5" s="116"/>
      <c r="S5" s="116">
        <v>3686320.69</v>
      </c>
      <c r="T5" s="130">
        <f t="shared" ref="T5:T11" si="1">Q5/S5</f>
        <v>9.8564845697133308</v>
      </c>
      <c r="U5" s="85"/>
    </row>
    <row r="6" spans="1:21" ht="15" hidden="1" customHeight="1">
      <c r="A6" s="129" t="s">
        <v>1</v>
      </c>
      <c r="C6" s="79"/>
      <c r="F6" s="78">
        <f>Q6/18</f>
        <v>1879432.6666666667</v>
      </c>
      <c r="G6" s="90">
        <f t="shared" ref="G6:G16" si="2">F6/F5-1</f>
        <v>3.4526468473577765E-2</v>
      </c>
      <c r="H6" s="90"/>
      <c r="I6" s="130">
        <f t="shared" si="0"/>
        <v>10.786463657665303</v>
      </c>
      <c r="J6" s="130"/>
      <c r="P6" s="129" t="s">
        <v>1</v>
      </c>
      <c r="Q6" s="116">
        <v>33829788</v>
      </c>
      <c r="R6" s="116"/>
      <c r="S6" s="116">
        <v>3136318.73</v>
      </c>
      <c r="T6" s="130">
        <f t="shared" si="1"/>
        <v>10.786463657665303</v>
      </c>
      <c r="U6" s="85"/>
    </row>
    <row r="7" spans="1:21" ht="15" hidden="1" customHeight="1">
      <c r="A7" s="129" t="s">
        <v>2</v>
      </c>
      <c r="B7" s="131">
        <f>F5+F6+F7</f>
        <v>5513877.1803030297</v>
      </c>
      <c r="C7" s="131">
        <f>AVERAGE(F5:F7)</f>
        <v>1837959.0601010099</v>
      </c>
      <c r="F7" s="78">
        <f>Q7/22</f>
        <v>1817736.3636363635</v>
      </c>
      <c r="G7" s="90">
        <f t="shared" si="2"/>
        <v>-3.2827088793623505E-2</v>
      </c>
      <c r="H7" s="90"/>
      <c r="I7" s="130">
        <f t="shared" si="0"/>
        <v>11.391810618428195</v>
      </c>
      <c r="J7" s="130"/>
      <c r="K7" s="79">
        <f>R5+R6+R7</f>
        <v>0</v>
      </c>
      <c r="N7" s="88">
        <f>AVERAGE(T5:T7)</f>
        <v>10.678252948602276</v>
      </c>
      <c r="P7" s="129" t="s">
        <v>2</v>
      </c>
      <c r="Q7" s="116">
        <v>39990200</v>
      </c>
      <c r="R7" s="116"/>
      <c r="S7" s="116">
        <v>3510434.06</v>
      </c>
      <c r="T7" s="130">
        <f t="shared" si="1"/>
        <v>11.391810618428195</v>
      </c>
      <c r="U7" s="85">
        <f>Q5+Q6+Q7</f>
        <v>110154151</v>
      </c>
    </row>
    <row r="8" spans="1:21" ht="15" hidden="1" customHeight="1">
      <c r="A8" s="129" t="s">
        <v>3</v>
      </c>
      <c r="C8" s="79"/>
      <c r="F8" s="78">
        <f>Q8/21</f>
        <v>2189003.4285714286</v>
      </c>
      <c r="G8" s="90">
        <f t="shared" si="2"/>
        <v>0.20424692621120766</v>
      </c>
      <c r="H8" s="90"/>
      <c r="I8" s="130">
        <f t="shared" si="0"/>
        <v>11.566491418832475</v>
      </c>
      <c r="J8" s="130"/>
      <c r="K8" s="78"/>
      <c r="P8" s="129" t="s">
        <v>3</v>
      </c>
      <c r="Q8" s="116">
        <v>45969072</v>
      </c>
      <c r="R8" s="116"/>
      <c r="S8" s="116">
        <v>3974331.57</v>
      </c>
      <c r="T8" s="130">
        <f t="shared" si="1"/>
        <v>11.566491418832475</v>
      </c>
      <c r="U8" s="85"/>
    </row>
    <row r="9" spans="1:21" ht="15" hidden="1" customHeight="1">
      <c r="A9" s="129" t="s">
        <v>4</v>
      </c>
      <c r="C9" s="79"/>
      <c r="F9" s="78">
        <f>Q9/21</f>
        <v>1944893.3809523811</v>
      </c>
      <c r="G9" s="90">
        <f t="shared" si="2"/>
        <v>-0.11151652136897605</v>
      </c>
      <c r="H9" s="90"/>
      <c r="I9" s="130">
        <f t="shared" si="0"/>
        <v>11.03723965860288</v>
      </c>
      <c r="J9" s="130"/>
      <c r="K9" s="78"/>
      <c r="P9" s="129" t="s">
        <v>4</v>
      </c>
      <c r="Q9" s="116">
        <v>40842761</v>
      </c>
      <c r="R9" s="116"/>
      <c r="S9" s="116">
        <v>3700450.68</v>
      </c>
      <c r="T9" s="130">
        <f t="shared" si="1"/>
        <v>11.03723965860288</v>
      </c>
      <c r="U9" s="85"/>
    </row>
    <row r="10" spans="1:21" ht="15" hidden="1" customHeight="1">
      <c r="A10" s="129" t="s">
        <v>5</v>
      </c>
      <c r="B10" s="131">
        <f>F8+F9+F10</f>
        <v>6020942.7619047621</v>
      </c>
      <c r="C10" s="131">
        <f>AVERAGE(F8:F10)</f>
        <v>2006980.9206349207</v>
      </c>
      <c r="D10" s="90">
        <f>C10/C7-1</f>
        <v>9.1961711336824736E-2</v>
      </c>
      <c r="E10" s="286"/>
      <c r="F10" s="78">
        <f>Q10/21</f>
        <v>1887045.9523809524</v>
      </c>
      <c r="G10" s="90">
        <f t="shared" si="2"/>
        <v>-2.9743238954878737E-2</v>
      </c>
      <c r="H10" s="90"/>
      <c r="I10" s="130">
        <f t="shared" si="0"/>
        <v>9.537859354054909</v>
      </c>
      <c r="J10" s="130"/>
      <c r="K10" s="79">
        <f>R8+R9+R10</f>
        <v>0</v>
      </c>
      <c r="L10" s="87">
        <f>U10/U7-1</f>
        <v>0.14784415160169506</v>
      </c>
      <c r="N10" s="88">
        <f>AVERAGE(T8:T10)</f>
        <v>10.713863477163422</v>
      </c>
      <c r="O10" s="89">
        <f>N10/N7-1</f>
        <v>3.3348646761366396E-3</v>
      </c>
      <c r="P10" s="129" t="s">
        <v>5</v>
      </c>
      <c r="Q10" s="116">
        <v>39627965</v>
      </c>
      <c r="R10" s="116"/>
      <c r="S10" s="116">
        <v>4154807.02</v>
      </c>
      <c r="T10" s="130">
        <f t="shared" si="1"/>
        <v>9.537859354054909</v>
      </c>
      <c r="U10" s="85">
        <f>Q8+Q9+Q10</f>
        <v>126439798</v>
      </c>
    </row>
    <row r="11" spans="1:21" ht="15" hidden="1" customHeight="1">
      <c r="A11" s="129" t="s">
        <v>6</v>
      </c>
      <c r="C11" s="79"/>
      <c r="F11" s="78">
        <f>Q11/21</f>
        <v>1919193.6666666667</v>
      </c>
      <c r="G11" s="90">
        <f t="shared" si="2"/>
        <v>1.7035999703744586E-2</v>
      </c>
      <c r="H11" s="90"/>
      <c r="I11" s="130">
        <f t="shared" si="0"/>
        <v>9.653004743678828</v>
      </c>
      <c r="J11" s="130"/>
      <c r="K11" s="78"/>
      <c r="O11" s="89"/>
      <c r="P11" s="129" t="s">
        <v>6</v>
      </c>
      <c r="Q11" s="116">
        <v>40303067</v>
      </c>
      <c r="R11" s="116"/>
      <c r="S11" s="116">
        <v>4175183.59</v>
      </c>
      <c r="T11" s="130">
        <f t="shared" si="1"/>
        <v>9.653004743678828</v>
      </c>
      <c r="U11" s="85"/>
    </row>
    <row r="12" spans="1:21" ht="15" hidden="1" customHeight="1">
      <c r="A12" s="129" t="s">
        <v>7</v>
      </c>
      <c r="C12" s="79"/>
      <c r="F12" s="78">
        <f>Q12/22</f>
        <v>1625360.6818181819</v>
      </c>
      <c r="G12" s="90">
        <f t="shared" si="2"/>
        <v>-0.15310231059631718</v>
      </c>
      <c r="H12" s="90"/>
      <c r="I12" s="130">
        <f t="shared" si="0"/>
        <v>9.3095554285814384</v>
      </c>
      <c r="J12" s="130"/>
      <c r="K12" s="78"/>
      <c r="O12" s="89"/>
      <c r="P12" s="129" t="s">
        <v>7</v>
      </c>
      <c r="Q12" s="116">
        <v>35757935</v>
      </c>
      <c r="R12" s="116"/>
      <c r="S12" s="116">
        <v>3840992.76</v>
      </c>
      <c r="T12" s="130">
        <f>Q12/S12</f>
        <v>9.3095554285814384</v>
      </c>
      <c r="U12" s="85"/>
    </row>
    <row r="13" spans="1:21" ht="15" hidden="1" customHeight="1">
      <c r="A13" s="129" t="s">
        <v>35</v>
      </c>
      <c r="B13" s="131">
        <f>F11+F12+F13</f>
        <v>5387582.1984848492</v>
      </c>
      <c r="C13" s="131">
        <f>AVERAGE(F11:F13)</f>
        <v>1795860.732828283</v>
      </c>
      <c r="D13" s="90">
        <f>C13/C10-1</f>
        <v>-0.10519292218276222</v>
      </c>
      <c r="E13" s="286"/>
      <c r="F13" s="78">
        <f>Q13/20</f>
        <v>1843027.85</v>
      </c>
      <c r="G13" s="90">
        <f t="shared" si="2"/>
        <v>0.13391930210735037</v>
      </c>
      <c r="H13" s="90"/>
      <c r="I13" s="130">
        <f t="shared" si="0"/>
        <v>9.0118455986516572</v>
      </c>
      <c r="J13" s="130"/>
      <c r="K13" s="78">
        <f>R11+R12+R13</f>
        <v>0</v>
      </c>
      <c r="L13" s="87">
        <f>U13/U10-1</f>
        <v>-0.10691443053396843</v>
      </c>
      <c r="N13" s="88">
        <f>AVERAGE(T11:T13)</f>
        <v>9.3248019236373079</v>
      </c>
      <c r="O13" s="89">
        <f>N13/N10-1</f>
        <v>-0.12965085438011181</v>
      </c>
      <c r="P13" s="129" t="s">
        <v>35</v>
      </c>
      <c r="Q13" s="116">
        <v>36860557</v>
      </c>
      <c r="R13" s="116"/>
      <c r="S13" s="116">
        <v>4090233.97</v>
      </c>
      <c r="T13" s="130">
        <f>Q13/S13</f>
        <v>9.0118455986516572</v>
      </c>
      <c r="U13" s="85">
        <f>Q11+Q12+Q13</f>
        <v>112921559</v>
      </c>
    </row>
    <row r="14" spans="1:21" ht="15" hidden="1" customHeight="1">
      <c r="A14" s="129" t="s">
        <v>36</v>
      </c>
      <c r="C14" s="79"/>
      <c r="F14" s="78">
        <f>Q14/20</f>
        <v>1749587.75</v>
      </c>
      <c r="G14" s="90">
        <f t="shared" si="2"/>
        <v>-5.06992338721306E-2</v>
      </c>
      <c r="H14" s="90"/>
      <c r="I14" s="130">
        <f t="shared" si="0"/>
        <v>9.3171244693336313</v>
      </c>
      <c r="J14" s="130"/>
      <c r="O14" s="89"/>
      <c r="P14" s="129" t="s">
        <v>36</v>
      </c>
      <c r="Q14" s="116">
        <v>34991755</v>
      </c>
      <c r="R14" s="116"/>
      <c r="S14" s="116">
        <v>3755638.89</v>
      </c>
      <c r="T14" s="130">
        <f>Q14/S14</f>
        <v>9.3171244693336313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1356279.4545454546</v>
      </c>
      <c r="G15" s="90">
        <f t="shared" si="2"/>
        <v>-0.22480055399024446</v>
      </c>
      <c r="H15" s="90"/>
      <c r="I15" s="130">
        <f t="shared" si="0"/>
        <v>9.268144468564893</v>
      </c>
      <c r="J15" s="130"/>
      <c r="O15" s="89"/>
      <c r="P15" s="129" t="s">
        <v>37</v>
      </c>
      <c r="Q15" s="116">
        <v>29838148</v>
      </c>
      <c r="R15" s="116"/>
      <c r="S15" s="116">
        <v>3219430.61</v>
      </c>
      <c r="T15" s="130">
        <f t="shared" ref="T15:T20" si="3">Q15/S15</f>
        <v>9.268144468564893</v>
      </c>
      <c r="U15" s="78"/>
    </row>
    <row r="16" spans="1:21" ht="15" hidden="1" customHeight="1">
      <c r="A16" s="123" t="s">
        <v>38</v>
      </c>
      <c r="B16" s="131">
        <f>F14+F15+F16</f>
        <v>4879860.75</v>
      </c>
      <c r="C16" s="131">
        <f>AVERAGE(F14:F16)</f>
        <v>1626620.25</v>
      </c>
      <c r="D16" s="90">
        <f>C16/C13-1</f>
        <v>-9.4239202258043608E-2</v>
      </c>
      <c r="E16" s="286"/>
      <c r="F16" s="78">
        <f>Q16/22</f>
        <v>1773993.5454545454</v>
      </c>
      <c r="G16" s="90">
        <f t="shared" si="2"/>
        <v>0.30798526771835832</v>
      </c>
      <c r="H16" s="90"/>
      <c r="I16" s="130">
        <f t="shared" si="0"/>
        <v>10.650658135455185</v>
      </c>
      <c r="J16" s="130"/>
      <c r="K16" s="78">
        <f>R14+R15+R16</f>
        <v>0</v>
      </c>
      <c r="L16" s="87">
        <f>U16/U13-1</f>
        <v>-8.0266320092162391E-2</v>
      </c>
      <c r="N16" s="88">
        <f>AVERAGE(T14:T16)</f>
        <v>9.7453090244512364</v>
      </c>
      <c r="O16" s="89">
        <f>N16/N13-1</f>
        <v>4.5095553155718004E-2</v>
      </c>
      <c r="P16" s="123" t="s">
        <v>38</v>
      </c>
      <c r="Q16" s="133">
        <v>39027858</v>
      </c>
      <c r="R16" s="133"/>
      <c r="S16" s="133">
        <v>3664361.16</v>
      </c>
      <c r="T16" s="134">
        <f t="shared" si="3"/>
        <v>10.650658135455185</v>
      </c>
      <c r="U16" s="85">
        <f>Q14+Q15+Q16</f>
        <v>103857761</v>
      </c>
    </row>
    <row r="17" spans="1:21" ht="15" hidden="1" customHeight="1">
      <c r="A17" s="129" t="s">
        <v>85</v>
      </c>
      <c r="C17" s="79"/>
      <c r="F17" s="78">
        <f>Q17/20</f>
        <v>1253543.8999999999</v>
      </c>
      <c r="G17" s="90">
        <f t="shared" ref="G17:G22" si="4">F17/F16-1</f>
        <v>-0.29337741774093784</v>
      </c>
      <c r="H17" s="90">
        <f t="shared" ref="H17:H22" si="5">F17/F5-1</f>
        <v>-0.30999159110944707</v>
      </c>
      <c r="I17" s="130">
        <f t="shared" si="0"/>
        <v>11.977649104015795</v>
      </c>
      <c r="J17" s="130">
        <f t="shared" ref="J17:J49" si="6">I17/I5-1</f>
        <v>0.21520497691644613</v>
      </c>
      <c r="O17" s="89"/>
      <c r="P17" s="129" t="s">
        <v>85</v>
      </c>
      <c r="Q17" s="116">
        <v>25070878</v>
      </c>
      <c r="R17" s="116">
        <v>31502673087</v>
      </c>
      <c r="S17" s="116">
        <v>2093138.46</v>
      </c>
      <c r="T17" s="130">
        <f t="shared" si="3"/>
        <v>11.977649104015795</v>
      </c>
      <c r="U17" s="78"/>
    </row>
    <row r="18" spans="1:21" hidden="1">
      <c r="A18" s="129" t="s">
        <v>106</v>
      </c>
      <c r="C18" s="79"/>
      <c r="F18" s="78">
        <f>Q18/20</f>
        <v>1247171.6000000001</v>
      </c>
      <c r="G18" s="90">
        <f t="shared" si="4"/>
        <v>-5.0834278719714687E-3</v>
      </c>
      <c r="H18" s="90">
        <f t="shared" si="5"/>
        <v>-0.33641059766617509</v>
      </c>
      <c r="I18" s="130">
        <f t="shared" si="0"/>
        <v>12.271101890739249</v>
      </c>
      <c r="J18" s="130">
        <f t="shared" si="6"/>
        <v>0.13763901499069164</v>
      </c>
      <c r="O18" s="89"/>
      <c r="P18" s="129" t="s">
        <v>106</v>
      </c>
      <c r="Q18" s="116">
        <v>24943432</v>
      </c>
      <c r="R18" s="116">
        <v>31382656208</v>
      </c>
      <c r="S18" s="116">
        <v>2032697</v>
      </c>
      <c r="T18" s="130">
        <f t="shared" si="3"/>
        <v>12.271101890739249</v>
      </c>
      <c r="U18" s="78"/>
    </row>
    <row r="19" spans="1:21" hidden="1">
      <c r="A19" s="129" t="s">
        <v>114</v>
      </c>
      <c r="B19" s="131">
        <f>SUM(F17:F19)</f>
        <v>4400130.5</v>
      </c>
      <c r="C19" s="131">
        <f>AVERAGE(F17:F19)</f>
        <v>1466710.1666666667</v>
      </c>
      <c r="D19" s="90">
        <f>C19/C16-1</f>
        <v>-9.8308184306283741E-2</v>
      </c>
      <c r="E19" s="286">
        <f>C19/C7-1</f>
        <v>-0.20198975129181618</v>
      </c>
      <c r="F19" s="78">
        <f>Q19/22</f>
        <v>1899415</v>
      </c>
      <c r="G19" s="90">
        <f t="shared" si="4"/>
        <v>0.52297807294521448</v>
      </c>
      <c r="H19" s="90">
        <f t="shared" si="5"/>
        <v>4.4934258893428947E-2</v>
      </c>
      <c r="I19" s="130">
        <f t="shared" si="0"/>
        <v>12.428095525542037</v>
      </c>
      <c r="J19" s="130">
        <f t="shared" si="6"/>
        <v>9.0967532890467329E-2</v>
      </c>
      <c r="K19" s="78">
        <f>R17+R18+R19</f>
        <v>117495169952</v>
      </c>
      <c r="L19" s="87">
        <f>U19/U16-1</f>
        <v>-0.11608493081224813</v>
      </c>
      <c r="M19" s="87">
        <f>U19/U7-1</f>
        <v>-0.16660934547986306</v>
      </c>
      <c r="N19" s="88">
        <f>AVERAGE(T17:T19)</f>
        <v>12.225615506765692</v>
      </c>
      <c r="O19" s="89">
        <f>N19/N16-1</f>
        <v>0.25451286112028892</v>
      </c>
      <c r="P19" s="129" t="s">
        <v>114</v>
      </c>
      <c r="Q19" s="116">
        <v>41787130</v>
      </c>
      <c r="R19" s="116">
        <v>54609840657</v>
      </c>
      <c r="S19" s="116">
        <v>3362311.62</v>
      </c>
      <c r="T19" s="130">
        <f t="shared" si="3"/>
        <v>12.428095525542037</v>
      </c>
      <c r="U19" s="85">
        <f>Q17+Q18+Q19</f>
        <v>91801440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1482198.45</v>
      </c>
      <c r="G20" s="90">
        <f t="shared" si="4"/>
        <v>-0.219655288602017</v>
      </c>
      <c r="H20" s="90">
        <f t="shared" si="5"/>
        <v>-0.32288893171478428</v>
      </c>
      <c r="I20" s="130">
        <f t="shared" si="0"/>
        <v>10.777302288339527</v>
      </c>
      <c r="J20" s="130">
        <f t="shared" si="6"/>
        <v>-6.8230641593525654E-2</v>
      </c>
      <c r="O20" s="89"/>
      <c r="P20" s="129" t="s">
        <v>132</v>
      </c>
      <c r="Q20" s="116">
        <v>29643969</v>
      </c>
      <c r="R20" s="116">
        <v>38868385037</v>
      </c>
      <c r="S20" s="116">
        <v>2750592.7</v>
      </c>
      <c r="T20" s="130">
        <f t="shared" si="3"/>
        <v>10.777302288339527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1368140.9523809524</v>
      </c>
      <c r="G21" s="90">
        <f t="shared" si="4"/>
        <v>-7.695156989203944E-2</v>
      </c>
      <c r="H21" s="90">
        <f t="shared" si="5"/>
        <v>-0.29654706742279247</v>
      </c>
      <c r="I21" s="130">
        <f t="shared" si="0"/>
        <v>11.196420551079381</v>
      </c>
      <c r="J21" s="130">
        <f t="shared" si="6"/>
        <v>1.4422165088390448E-2</v>
      </c>
      <c r="O21" s="89"/>
      <c r="P21" s="129" t="s">
        <v>141</v>
      </c>
      <c r="Q21" s="116">
        <v>28730960</v>
      </c>
      <c r="R21" s="116">
        <v>38245289136</v>
      </c>
      <c r="S21" s="116">
        <v>2566084.39</v>
      </c>
      <c r="T21" s="130">
        <f t="shared" ref="T21" si="7">Q21/S21</f>
        <v>11.196420551079381</v>
      </c>
      <c r="U21" s="78"/>
    </row>
    <row r="22" spans="1:21" hidden="1">
      <c r="A22" s="129" t="s">
        <v>156</v>
      </c>
      <c r="B22" s="131">
        <f>SUM(F20:F22)</f>
        <v>4226924.354761905</v>
      </c>
      <c r="C22" s="131">
        <f>AVERAGE(F20:F22)</f>
        <v>1408974.7849206349</v>
      </c>
      <c r="D22" s="90">
        <f>C22/C19-1</f>
        <v>-3.9363865512192286E-2</v>
      </c>
      <c r="E22" s="286">
        <f>C22/C10-1</f>
        <v>-0.29796303969103144</v>
      </c>
      <c r="F22" s="78">
        <f>Q22/21</f>
        <v>1376584.9523809524</v>
      </c>
      <c r="G22" s="90">
        <f t="shared" si="4"/>
        <v>6.1718786981013185E-3</v>
      </c>
      <c r="H22" s="90">
        <f t="shared" si="5"/>
        <v>-0.27050798596395242</v>
      </c>
      <c r="I22" s="130">
        <f t="shared" si="0"/>
        <v>11.530281005280337</v>
      </c>
      <c r="J22" s="130">
        <f t="shared" si="6"/>
        <v>0.20889610312594642</v>
      </c>
      <c r="K22" s="78">
        <f>R20+R21+R22</f>
        <v>114703603605</v>
      </c>
      <c r="L22" s="87">
        <f>U22/U19-1</f>
        <v>-4.9217387003951174E-2</v>
      </c>
      <c r="M22" s="87">
        <f>U22/U10-1</f>
        <v>-0.30968560231328435</v>
      </c>
      <c r="N22" s="88">
        <f>AVERAGE(T20:T22)</f>
        <v>11.168001281566413</v>
      </c>
      <c r="O22" s="89">
        <f>N22/N19-1</f>
        <v>-8.6508055534217587E-2</v>
      </c>
      <c r="P22" s="129" t="s">
        <v>156</v>
      </c>
      <c r="Q22" s="116">
        <v>28908284</v>
      </c>
      <c r="R22" s="116">
        <v>37589929432</v>
      </c>
      <c r="S22" s="116">
        <v>2507162.14</v>
      </c>
      <c r="T22" s="130">
        <f t="shared" ref="T22:T23" si="8">Q22/S22</f>
        <v>11.530281005280337</v>
      </c>
      <c r="U22" s="85">
        <f>Q20+Q21+Q22</f>
        <v>87283213</v>
      </c>
    </row>
    <row r="23" spans="1:21" hidden="1">
      <c r="A23" s="129" t="s">
        <v>189</v>
      </c>
      <c r="B23" s="131"/>
      <c r="C23" s="131"/>
      <c r="F23" s="78">
        <f>Q23/21</f>
        <v>1528825.1904761905</v>
      </c>
      <c r="G23" s="90">
        <f t="shared" ref="G23" si="9">F23/F22-1</f>
        <v>0.11059269377594316</v>
      </c>
      <c r="H23" s="90">
        <f t="shared" ref="H23" si="10">F23/F11-1</f>
        <v>-0.20340233660133111</v>
      </c>
      <c r="I23" s="130">
        <f t="shared" si="0"/>
        <v>10.859984258207371</v>
      </c>
      <c r="J23" s="130">
        <f t="shared" si="6"/>
        <v>0.12503666439394645</v>
      </c>
      <c r="O23" s="89"/>
      <c r="P23" s="129" t="s">
        <v>189</v>
      </c>
      <c r="Q23" s="116">
        <v>32105329</v>
      </c>
      <c r="R23" s="116">
        <v>41407957624</v>
      </c>
      <c r="S23" s="116">
        <v>2956296.09</v>
      </c>
      <c r="T23" s="130">
        <f t="shared" si="8"/>
        <v>10.859984258207371</v>
      </c>
      <c r="U23" s="78"/>
    </row>
    <row r="24" spans="1:21" hidden="1">
      <c r="A24" s="129" t="s">
        <v>204</v>
      </c>
      <c r="B24" s="131"/>
      <c r="C24" s="131"/>
      <c r="F24" s="78">
        <f>Q24/22</f>
        <v>1371075.7727272727</v>
      </c>
      <c r="G24" s="90">
        <f t="shared" ref="G24" si="11">F24/F23-1</f>
        <v>-0.10318342393336866</v>
      </c>
      <c r="H24" s="90">
        <f t="shared" ref="H24" si="12">F24/F12-1</f>
        <v>-0.1564482960215684</v>
      </c>
      <c r="I24" s="130">
        <f t="shared" si="0"/>
        <v>10.38461379300292</v>
      </c>
      <c r="J24" s="130">
        <f t="shared" si="6"/>
        <v>0.11547902288877565</v>
      </c>
      <c r="O24" s="89"/>
      <c r="P24" s="129" t="s">
        <v>204</v>
      </c>
      <c r="Q24" s="116">
        <v>30163667</v>
      </c>
      <c r="R24" s="116">
        <v>39667888644</v>
      </c>
      <c r="S24" s="116">
        <v>2904649.86</v>
      </c>
      <c r="T24" s="130">
        <f t="shared" ref="T24" si="13">Q24/S24</f>
        <v>10.38461379300292</v>
      </c>
      <c r="U24" s="78"/>
    </row>
    <row r="25" spans="1:21" s="79" customFormat="1" ht="13.2" hidden="1">
      <c r="A25" s="129" t="s">
        <v>218</v>
      </c>
      <c r="B25" s="131">
        <f>SUM(F23:F25)</f>
        <v>4803753.3842560947</v>
      </c>
      <c r="C25" s="131">
        <f>AVERAGE(F23:F25)</f>
        <v>1601251.1280853648</v>
      </c>
      <c r="D25" s="90">
        <f>C25/C22-1</f>
        <v>0.13646542523155269</v>
      </c>
      <c r="E25" s="286">
        <f>C25/C13-1</f>
        <v>-0.10836564394190495</v>
      </c>
      <c r="F25" s="78">
        <f>Q25/19</f>
        <v>1903852.4210526317</v>
      </c>
      <c r="G25" s="90">
        <f t="shared" ref="G25" si="14">F25/F24-1</f>
        <v>0.38858293532937815</v>
      </c>
      <c r="H25" s="90">
        <f t="shared" ref="H25" si="15">F25/F13-1</f>
        <v>3.3002524108700637E-2</v>
      </c>
      <c r="I25" s="130">
        <f t="shared" si="0"/>
        <v>10.606390970822103</v>
      </c>
      <c r="J25" s="130">
        <f t="shared" si="6"/>
        <v>0.17693882509582948</v>
      </c>
      <c r="K25" s="78">
        <f>R23+R24+R25</f>
        <v>129087268584</v>
      </c>
      <c r="L25" s="90">
        <f>U25/U22-1</f>
        <v>0.12784794024482116</v>
      </c>
      <c r="M25" s="90">
        <f>U25/U13-1</f>
        <v>-0.12822500086099586</v>
      </c>
      <c r="N25" s="88">
        <f>AVERAGE(T23:T25)</f>
        <v>10.616996340677465</v>
      </c>
      <c r="O25" s="91">
        <f>N25/N22-1</f>
        <v>-4.9337829303298997E-2</v>
      </c>
      <c r="P25" s="129" t="s">
        <v>220</v>
      </c>
      <c r="Q25" s="116">
        <v>36173196</v>
      </c>
      <c r="R25" s="116">
        <v>48011422316</v>
      </c>
      <c r="S25" s="116">
        <v>3410509.39</v>
      </c>
      <c r="T25" s="130">
        <f t="shared" ref="T25" si="16">Q25/S25</f>
        <v>10.606390970822103</v>
      </c>
      <c r="U25" s="85">
        <f>Q23+Q24+Q25</f>
        <v>98442192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1853758.894736842</v>
      </c>
      <c r="G26" s="90">
        <f t="shared" ref="G26" si="17">F26/F25-1</f>
        <v>-2.6311664581697536E-2</v>
      </c>
      <c r="H26" s="90">
        <f t="shared" ref="H26" si="18">F26/F14-1</f>
        <v>5.9540394436827793E-2</v>
      </c>
      <c r="I26" s="130">
        <f t="shared" si="0"/>
        <v>11.14244215851855</v>
      </c>
      <c r="J26" s="130">
        <f t="shared" si="6"/>
        <v>0.19590998222603617</v>
      </c>
      <c r="L26" s="90"/>
      <c r="M26" s="90"/>
      <c r="P26" s="129" t="s">
        <v>312</v>
      </c>
      <c r="Q26" s="116">
        <v>35221419</v>
      </c>
      <c r="R26" s="116">
        <v>47482355608</v>
      </c>
      <c r="S26" s="116">
        <v>3161014.3</v>
      </c>
      <c r="T26" s="130">
        <f t="shared" ref="T26" si="19">Q26/S26</f>
        <v>11.14244215851855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1352940.1818181819</v>
      </c>
      <c r="G27" s="90">
        <f t="shared" ref="G27" si="20">F27/F26-1</f>
        <v>-0.27016388934967506</v>
      </c>
      <c r="H27" s="90">
        <f t="shared" ref="H27" si="21">F27/F15-1</f>
        <v>-2.4620831024767531E-3</v>
      </c>
      <c r="I27" s="130">
        <f t="shared" si="0"/>
        <v>11.007185347955005</v>
      </c>
      <c r="J27" s="130">
        <f t="shared" si="6"/>
        <v>0.18763635863559114</v>
      </c>
      <c r="L27" s="90"/>
      <c r="M27" s="90"/>
      <c r="P27" s="129" t="s">
        <v>406</v>
      </c>
      <c r="Q27" s="116">
        <v>29764684</v>
      </c>
      <c r="R27" s="116">
        <v>39339038099</v>
      </c>
      <c r="S27" s="116">
        <v>2704114</v>
      </c>
      <c r="T27" s="130">
        <f t="shared" ref="T27" si="22">Q27/S27</f>
        <v>11.007185347955005</v>
      </c>
      <c r="U27" s="78"/>
    </row>
    <row r="28" spans="1:21" s="79" customFormat="1" ht="13.2" hidden="1">
      <c r="A28" s="123" t="s">
        <v>413</v>
      </c>
      <c r="B28" s="131">
        <f>SUM(F26:F28)</f>
        <v>4691016.3923444971</v>
      </c>
      <c r="C28" s="131">
        <f>AVERAGE(F26:F28)</f>
        <v>1563672.130781499</v>
      </c>
      <c r="D28" s="90">
        <f>C28/C25-1</f>
        <v>-2.3468521985554824E-2</v>
      </c>
      <c r="E28" s="286">
        <f>C28/C16-1</f>
        <v>-3.869871853525797E-2</v>
      </c>
      <c r="F28" s="78">
        <f>Q28/19</f>
        <v>1484317.3157894737</v>
      </c>
      <c r="G28" s="90">
        <f t="shared" ref="G28" si="23">F28/F27-1</f>
        <v>9.710490954207418E-2</v>
      </c>
      <c r="H28" s="90">
        <f t="shared" ref="H28" si="24">F28/F16-1</f>
        <v>-0.16329046427891525</v>
      </c>
      <c r="I28" s="130">
        <f t="shared" si="0"/>
        <v>11.069808475161004</v>
      </c>
      <c r="J28" s="130">
        <f t="shared" si="6"/>
        <v>3.9354407434269323E-2</v>
      </c>
      <c r="K28" s="78">
        <f>R26+R27+R28</f>
        <v>123619384596</v>
      </c>
      <c r="L28" s="90">
        <f>U28/U25-1</f>
        <v>-5.337203381249378E-2</v>
      </c>
      <c r="M28" s="90">
        <f>U28/U16-1</f>
        <v>-0.10273309281142695</v>
      </c>
      <c r="N28" s="88">
        <f>AVERAGE(T26:T28)</f>
        <v>11.07314532721152</v>
      </c>
      <c r="O28" s="91">
        <f>N28/N25-1</f>
        <v>4.2964033507894017E-2</v>
      </c>
      <c r="P28" s="129" t="s">
        <v>413</v>
      </c>
      <c r="Q28" s="116">
        <v>28202029</v>
      </c>
      <c r="R28" s="116">
        <v>36797990889</v>
      </c>
      <c r="S28" s="116">
        <v>2547652.84</v>
      </c>
      <c r="T28" s="130">
        <f t="shared" ref="T28" si="25">Q28/S28</f>
        <v>11.069808475161004</v>
      </c>
      <c r="U28" s="85">
        <f>Q26+Q27+Q28</f>
        <v>93188132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1245321.9545454546</v>
      </c>
      <c r="G29" s="190">
        <f t="shared" ref="G29" si="26">F29/F28-1</f>
        <v>-0.16101365840154136</v>
      </c>
      <c r="H29" s="190">
        <f t="shared" ref="H29" si="27">F29/F17-1</f>
        <v>-6.558960922346091E-3</v>
      </c>
      <c r="I29" s="130">
        <f t="shared" si="0"/>
        <v>10.974368472111648</v>
      </c>
      <c r="J29" s="130">
        <f t="shared" si="6"/>
        <v>-8.3762733670981637E-2</v>
      </c>
      <c r="K29" s="136"/>
      <c r="L29" s="190"/>
      <c r="M29" s="190"/>
      <c r="N29" s="191"/>
      <c r="O29" s="192"/>
      <c r="P29" s="129" t="s">
        <v>454</v>
      </c>
      <c r="Q29" s="116">
        <v>27397083</v>
      </c>
      <c r="R29" s="116">
        <v>36027641565</v>
      </c>
      <c r="S29" s="116">
        <v>2496461.0099999998</v>
      </c>
      <c r="T29" s="130">
        <f t="shared" ref="T29" si="28">Q29/S29</f>
        <v>10.974368472111648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1452419.0526315789</v>
      </c>
      <c r="G30" s="190">
        <f t="shared" ref="G30" si="29">F30/F29-1</f>
        <v>0.16630004580760427</v>
      </c>
      <c r="H30" s="190">
        <f t="shared" ref="H30" si="30">F30/F18-1</f>
        <v>0.16457033870205096</v>
      </c>
      <c r="I30" s="130">
        <f t="shared" si="0"/>
        <v>11.918588173824633</v>
      </c>
      <c r="J30" s="130">
        <f t="shared" si="6"/>
        <v>-2.8727144477599942E-2</v>
      </c>
      <c r="K30" s="136"/>
      <c r="L30" s="190"/>
      <c r="M30" s="190"/>
      <c r="N30" s="191"/>
      <c r="O30" s="192"/>
      <c r="P30" s="129" t="s">
        <v>466</v>
      </c>
      <c r="Q30" s="116">
        <v>27595962</v>
      </c>
      <c r="R30" s="116">
        <v>36775290650</v>
      </c>
      <c r="S30" s="116">
        <v>2315371.7200000002</v>
      </c>
      <c r="T30" s="130">
        <f t="shared" ref="T30" si="31">Q30/S30</f>
        <v>11.918588173824633</v>
      </c>
      <c r="U30" s="85"/>
    </row>
    <row r="31" spans="1:21" s="79" customFormat="1" ht="13.2" hidden="1">
      <c r="A31" s="129" t="s">
        <v>505</v>
      </c>
      <c r="B31" s="188">
        <f>SUM(F29:F31)</f>
        <v>4418872.9071770329</v>
      </c>
      <c r="C31" s="188">
        <f>AVERAGE(F29:F31)</f>
        <v>1472957.6357256777</v>
      </c>
      <c r="D31" s="190">
        <f>C31/C28-1</f>
        <v>-5.8013757021098566E-2</v>
      </c>
      <c r="E31" s="287">
        <f>C31/C19-1</f>
        <v>4.2595116615367079E-3</v>
      </c>
      <c r="F31" s="136">
        <f>Q31/20</f>
        <v>1721131.9</v>
      </c>
      <c r="G31" s="190">
        <f t="shared" ref="G31" si="32">F31/F30-1</f>
        <v>0.18501054973187747</v>
      </c>
      <c r="H31" s="190">
        <f t="shared" ref="H31" si="33">F31/F19-1</f>
        <v>-9.3862110176027969E-2</v>
      </c>
      <c r="I31" s="130">
        <f t="shared" si="0"/>
        <v>10.487545568199002</v>
      </c>
      <c r="J31" s="130">
        <f t="shared" si="6"/>
        <v>-0.15614218231223331</v>
      </c>
      <c r="K31" s="136">
        <f>R29+R30+R31</f>
        <v>118541669521</v>
      </c>
      <c r="L31" s="190">
        <f>U31/U28-1</f>
        <v>-4.0482075550135499E-2</v>
      </c>
      <c r="M31" s="190">
        <f>U31/U19-1</f>
        <v>-2.5988230685705993E-2</v>
      </c>
      <c r="N31" s="191">
        <f>AVERAGE(T29:T31)</f>
        <v>11.126834071378427</v>
      </c>
      <c r="O31" s="192">
        <f>N31/N28-1</f>
        <v>4.8485540991656251E-3</v>
      </c>
      <c r="P31" s="129" t="s">
        <v>505</v>
      </c>
      <c r="Q31" s="116">
        <v>34422638</v>
      </c>
      <c r="R31" s="116">
        <v>45738737306</v>
      </c>
      <c r="S31" s="116">
        <v>3282239.66</v>
      </c>
      <c r="T31" s="130">
        <f t="shared" ref="T31" si="34">Q31/S31</f>
        <v>10.487545568199002</v>
      </c>
      <c r="U31" s="85">
        <f>Q29+Q30+Q31</f>
        <v>89415683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1695332.4285714286</v>
      </c>
      <c r="G32" s="190">
        <f t="shared" ref="G32" si="35">F32/F31-1</f>
        <v>-1.4989828163995633E-2</v>
      </c>
      <c r="H32" s="190">
        <f t="shared" ref="H32" si="36">F32/F20-1</f>
        <v>0.14379584499729359</v>
      </c>
      <c r="I32" s="130">
        <f t="shared" si="0"/>
        <v>10.786055006758859</v>
      </c>
      <c r="J32" s="130">
        <f t="shared" si="6"/>
        <v>8.1214372439042393E-4</v>
      </c>
      <c r="K32" s="136"/>
      <c r="L32" s="190"/>
      <c r="M32" s="190"/>
      <c r="N32" s="191"/>
      <c r="O32" s="192"/>
      <c r="P32" s="129" t="s">
        <v>566</v>
      </c>
      <c r="Q32" s="116">
        <v>35601981</v>
      </c>
      <c r="R32" s="116">
        <v>48469181255</v>
      </c>
      <c r="S32" s="116">
        <v>3300741.65</v>
      </c>
      <c r="T32" s="130">
        <f t="shared" ref="T32" si="37">Q32/S32</f>
        <v>10.786055006758859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2034691.4761904762</v>
      </c>
      <c r="G33" s="190">
        <f t="shared" ref="G33" si="38">F33/F32-1</f>
        <v>0.20017256904889646</v>
      </c>
      <c r="H33" s="190">
        <f t="shared" ref="H33" si="39">F33/F21-1</f>
        <v>0.48719433670159296</v>
      </c>
      <c r="I33" s="130">
        <f t="shared" si="0"/>
        <v>10.751431666967465</v>
      </c>
      <c r="J33" s="130">
        <f t="shared" si="6"/>
        <v>-3.9743852250085254E-2</v>
      </c>
      <c r="K33" s="136"/>
      <c r="L33" s="190"/>
      <c r="M33" s="190"/>
      <c r="N33" s="191"/>
      <c r="O33" s="192"/>
      <c r="P33" s="129" t="s">
        <v>607</v>
      </c>
      <c r="Q33" s="116">
        <v>42728521</v>
      </c>
      <c r="R33" s="116">
        <v>58426081825</v>
      </c>
      <c r="S33" s="116">
        <v>3974216.86</v>
      </c>
      <c r="T33" s="130">
        <f t="shared" ref="T33" si="40">Q33/S33</f>
        <v>10.751431666967465</v>
      </c>
      <c r="U33" s="85"/>
    </row>
    <row r="34" spans="1:21" s="79" customFormat="1" ht="13.2" hidden="1">
      <c r="A34" s="129" t="s">
        <v>652</v>
      </c>
      <c r="B34" s="188">
        <f>SUM(F32:F34)</f>
        <v>5770646.7994987471</v>
      </c>
      <c r="C34" s="188">
        <f>AVERAGE(F32:F34)</f>
        <v>1923548.933166249</v>
      </c>
      <c r="D34" s="190">
        <f>C34/C31-1</f>
        <v>0.30590920370807528</v>
      </c>
      <c r="E34" s="287">
        <f>C34/C22-1</f>
        <v>0.36521175095024794</v>
      </c>
      <c r="F34" s="136">
        <f>Q34/19</f>
        <v>2040622.894736842</v>
      </c>
      <c r="G34" s="190">
        <f t="shared" ref="G34" si="41">F34/F33-1</f>
        <v>2.915143949721033E-3</v>
      </c>
      <c r="H34" s="190">
        <f t="shared" ref="H34" si="42">F34/F22-1</f>
        <v>0.482380648725939</v>
      </c>
      <c r="I34" s="130">
        <f t="shared" si="0"/>
        <v>11.944802430102945</v>
      </c>
      <c r="J34" s="130">
        <f t="shared" si="6"/>
        <v>3.5950678446845741E-2</v>
      </c>
      <c r="K34" s="136">
        <f>R32+R33+R34</f>
        <v>160195267595</v>
      </c>
      <c r="L34" s="190">
        <f>U34/U31-1</f>
        <v>0.30963979775225781</v>
      </c>
      <c r="M34" s="190">
        <f>U34/U22-1</f>
        <v>0.34163641524058019</v>
      </c>
      <c r="N34" s="191">
        <f>AVERAGE(T32:T34)</f>
        <v>11.160763034609756</v>
      </c>
      <c r="O34" s="192">
        <f>N34/N31-1</f>
        <v>3.0492917404605357E-3</v>
      </c>
      <c r="P34" s="129" t="s">
        <v>652</v>
      </c>
      <c r="Q34" s="116">
        <v>38771835</v>
      </c>
      <c r="R34" s="116">
        <v>53300004515</v>
      </c>
      <c r="S34" s="116">
        <v>3245916.81</v>
      </c>
      <c r="T34" s="130">
        <f t="shared" ref="T34" si="43">Q34/S34</f>
        <v>11.944802430102945</v>
      </c>
      <c r="U34" s="85">
        <f>Q32+Q33+Q34</f>
        <v>117102337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2101468.1739130435</v>
      </c>
      <c r="G35" s="190">
        <f t="shared" ref="G35" si="44">F35/F34-1</f>
        <v>2.9817012899900908E-2</v>
      </c>
      <c r="H35" s="190">
        <f t="shared" ref="H35" si="45">F35/F23-1</f>
        <v>0.37456406854369595</v>
      </c>
      <c r="I35" s="130">
        <f t="shared" si="0"/>
        <v>10.871475848234926</v>
      </c>
      <c r="J35" s="130">
        <f t="shared" si="6"/>
        <v>1.0581589949238968E-3</v>
      </c>
      <c r="K35" s="136"/>
      <c r="L35" s="190"/>
      <c r="M35" s="190"/>
      <c r="N35" s="191"/>
      <c r="O35" s="192"/>
      <c r="P35" s="129" t="s">
        <v>660</v>
      </c>
      <c r="Q35" s="116">
        <v>48333768</v>
      </c>
      <c r="R35" s="116">
        <v>66877911814</v>
      </c>
      <c r="S35" s="116">
        <v>4445925.16</v>
      </c>
      <c r="T35" s="130">
        <f t="shared" ref="T35" si="46">Q35/S35</f>
        <v>10.871475848234926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2001053.4285714286</v>
      </c>
      <c r="G36" s="190">
        <f t="shared" ref="G36" si="47">F36/F35-1</f>
        <v>-4.7783138754196486E-2</v>
      </c>
      <c r="H36" s="190">
        <f t="shared" ref="H36" si="48">F36/F24-1</f>
        <v>0.45947690738567792</v>
      </c>
      <c r="I36" s="130">
        <f t="shared" si="0"/>
        <v>12.168017144605884</v>
      </c>
      <c r="J36" s="130">
        <f t="shared" si="6"/>
        <v>0.1717351638829947</v>
      </c>
      <c r="K36" s="136"/>
      <c r="L36" s="190"/>
      <c r="M36" s="190"/>
      <c r="N36" s="191"/>
      <c r="O36" s="192"/>
      <c r="P36" s="129" t="s">
        <v>666</v>
      </c>
      <c r="Q36" s="116">
        <v>42022122</v>
      </c>
      <c r="R36" s="116">
        <v>57344466335</v>
      </c>
      <c r="S36" s="116">
        <v>3453489.71</v>
      </c>
      <c r="T36" s="130">
        <f t="shared" ref="T36" si="49">Q36/S36</f>
        <v>12.168017144605884</v>
      </c>
      <c r="U36" s="85"/>
    </row>
    <row r="37" spans="1:21" s="79" customFormat="1" ht="13.2" hidden="1">
      <c r="A37" s="129" t="s">
        <v>702</v>
      </c>
      <c r="B37" s="188">
        <f>SUM(F35:F37)</f>
        <v>6513732.8802622501</v>
      </c>
      <c r="C37" s="188">
        <f>AVERAGE(F35:F37)</f>
        <v>2171244.2934207502</v>
      </c>
      <c r="D37" s="190">
        <f>C37/C34-1</f>
        <v>0.12876998135253226</v>
      </c>
      <c r="E37" s="287">
        <f>C37/C25-1</f>
        <v>0.35596737784468147</v>
      </c>
      <c r="F37" s="136">
        <f>Q37/18</f>
        <v>2411211.277777778</v>
      </c>
      <c r="G37" s="190">
        <f t="shared" ref="G37" si="50">F37/F36-1</f>
        <v>0.20497096346855925</v>
      </c>
      <c r="H37" s="190">
        <f t="shared" ref="H37" si="51">F37/F25-1</f>
        <v>0.26649064345262108</v>
      </c>
      <c r="I37" s="130">
        <f t="shared" si="0"/>
        <v>11.858694119113503</v>
      </c>
      <c r="J37" s="130">
        <f t="shared" si="6"/>
        <v>0.11807061909526562</v>
      </c>
      <c r="K37" s="136">
        <f>R35+R36+R37</f>
        <v>182158464150</v>
      </c>
      <c r="L37" s="190">
        <f>U37/U34-1</f>
        <v>0.14222906584690964</v>
      </c>
      <c r="M37" s="190">
        <f>U37/U25-1</f>
        <v>0.35874354565367672</v>
      </c>
      <c r="N37" s="191">
        <f>AVERAGE(T35:T37)</f>
        <v>11.632729037318105</v>
      </c>
      <c r="O37" s="192">
        <f>N37/N34-1</f>
        <v>4.2287969133004033E-2</v>
      </c>
      <c r="P37" s="129" t="s">
        <v>702</v>
      </c>
      <c r="Q37" s="116">
        <v>43401803</v>
      </c>
      <c r="R37" s="116">
        <v>57936086001</v>
      </c>
      <c r="S37" s="116">
        <v>3659914.2</v>
      </c>
      <c r="T37" s="130">
        <f t="shared" ref="T37" si="52">Q37/S37</f>
        <v>11.858694119113503</v>
      </c>
      <c r="U37" s="85">
        <f>Q35+Q36+Q37</f>
        <v>133757693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2662311.9500000002</v>
      </c>
      <c r="G38" s="190">
        <f t="shared" ref="G38" si="53">F38/F37-1</f>
        <v>0.10413880962502864</v>
      </c>
      <c r="H38" s="190">
        <f t="shared" ref="H38" si="54">F38/F26-1</f>
        <v>0.4361694811330572</v>
      </c>
      <c r="I38" s="130">
        <f t="shared" si="0"/>
        <v>10.997336393302392</v>
      </c>
      <c r="J38" s="130">
        <f t="shared" si="6"/>
        <v>-1.302279726040334E-2</v>
      </c>
      <c r="K38" s="136"/>
      <c r="L38" s="190"/>
      <c r="M38" s="190"/>
      <c r="N38" s="191"/>
      <c r="O38" s="192"/>
      <c r="P38" s="129" t="s">
        <v>727</v>
      </c>
      <c r="Q38" s="116">
        <v>53246239</v>
      </c>
      <c r="R38" s="116">
        <v>71525406775</v>
      </c>
      <c r="S38" s="116">
        <v>4841739.59</v>
      </c>
      <c r="T38" s="130">
        <f t="shared" ref="T38" si="55">Q38/S38</f>
        <v>10.997336393302392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2247092.1428571427</v>
      </c>
      <c r="G39" s="190">
        <f t="shared" ref="G39" si="56">F39/F38-1</f>
        <v>-0.15596211673949678</v>
      </c>
      <c r="H39" s="190">
        <f t="shared" ref="H39" si="57">F39/F27-1</f>
        <v>0.66089541360012882</v>
      </c>
      <c r="I39" s="130">
        <f t="shared" si="0"/>
        <v>11.160689568231067</v>
      </c>
      <c r="J39" s="130">
        <f t="shared" si="6"/>
        <v>1.3945819519118219E-2</v>
      </c>
      <c r="K39" s="136"/>
      <c r="L39" s="190"/>
      <c r="M39" s="190"/>
      <c r="N39" s="191"/>
      <c r="O39" s="192"/>
      <c r="P39" s="129" t="s">
        <v>762</v>
      </c>
      <c r="Q39" s="116">
        <v>47188935</v>
      </c>
      <c r="R39" s="116">
        <v>65545986223</v>
      </c>
      <c r="S39" s="116">
        <v>4228137.9400000004</v>
      </c>
      <c r="T39" s="130">
        <f t="shared" ref="T39" si="58">Q39/S39</f>
        <v>11.160689568231067</v>
      </c>
      <c r="U39" s="85"/>
    </row>
    <row r="40" spans="1:21" s="79" customFormat="1" ht="13.2" hidden="1">
      <c r="A40" s="129" t="s">
        <v>778</v>
      </c>
      <c r="B40" s="188">
        <f>SUM(F38:F40)</f>
        <v>6802613.6166666672</v>
      </c>
      <c r="C40" s="188">
        <f>AVERAGE(F38:F40)</f>
        <v>2267537.8722222224</v>
      </c>
      <c r="D40" s="190">
        <f>C40/C37-1</f>
        <v>4.4349490793485824E-2</v>
      </c>
      <c r="E40" s="287">
        <f>C40/C28-1</f>
        <v>0.45013639853576093</v>
      </c>
      <c r="F40" s="136">
        <f>Q40/21</f>
        <v>1893209.5238095238</v>
      </c>
      <c r="G40" s="190">
        <f t="shared" ref="G40" si="59">F40/F39-1</f>
        <v>-0.15748469424029166</v>
      </c>
      <c r="H40" s="190">
        <f t="shared" ref="H40" si="60">F40/F28-1</f>
        <v>0.27547492956556252</v>
      </c>
      <c r="I40" s="130">
        <f t="shared" si="0"/>
        <v>10.864434962509975</v>
      </c>
      <c r="J40" s="130">
        <f t="shared" si="6"/>
        <v>-1.8552580481573488E-2</v>
      </c>
      <c r="K40" s="136">
        <f>R38+R39+R40</f>
        <v>193500066869</v>
      </c>
      <c r="L40" s="190">
        <f>U40/U37-1</f>
        <v>4.8108492720489782E-2</v>
      </c>
      <c r="M40" s="190">
        <f>U40/U28-1</f>
        <v>0.50440373673334293</v>
      </c>
      <c r="N40" s="191">
        <f>AVERAGE(T38:T40)</f>
        <v>11.007486974681145</v>
      </c>
      <c r="O40" s="192">
        <f>N40/N37-1</f>
        <v>-5.3748528022200759E-2</v>
      </c>
      <c r="P40" s="129" t="s">
        <v>778</v>
      </c>
      <c r="Q40" s="116">
        <v>39757400</v>
      </c>
      <c r="R40" s="116">
        <v>56428673871</v>
      </c>
      <c r="S40" s="116">
        <v>3659407.98</v>
      </c>
      <c r="T40" s="130">
        <f t="shared" ref="T40" si="61">Q40/S40</f>
        <v>10.864434962509975</v>
      </c>
      <c r="U40" s="85">
        <f>Q38+Q39+Q40</f>
        <v>140192574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2170459.5555555555</v>
      </c>
      <c r="G41" s="190">
        <f t="shared" ref="G41" si="62">F41/F40-1</f>
        <v>0.14644445226968217</v>
      </c>
      <c r="H41" s="190">
        <f t="shared" ref="H41" si="63">F41/F29-1</f>
        <v>0.74289030048280025</v>
      </c>
      <c r="I41" s="130">
        <f t="shared" si="0"/>
        <v>11.05068607911082</v>
      </c>
      <c r="J41" s="130">
        <f t="shared" si="6"/>
        <v>6.9541684510696644E-3</v>
      </c>
      <c r="K41" s="193"/>
      <c r="L41" s="190"/>
      <c r="M41" s="190"/>
      <c r="N41" s="193"/>
      <c r="O41" s="193"/>
      <c r="P41" s="129" t="s">
        <v>792</v>
      </c>
      <c r="Q41" s="116">
        <v>39068272</v>
      </c>
      <c r="R41" s="116">
        <v>57141769476</v>
      </c>
      <c r="S41" s="116">
        <v>3535370.72</v>
      </c>
      <c r="T41" s="130">
        <f t="shared" ref="T41" si="64">Q41/S41</f>
        <v>11.05068607911082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2127941.4</v>
      </c>
      <c r="G42" s="190">
        <f t="shared" ref="G42" si="65">F42/F41-1</f>
        <v>-1.9589471477008291E-2</v>
      </c>
      <c r="H42" s="190">
        <f t="shared" ref="H42" si="66">F42/F30-1</f>
        <v>0.46510154637841583</v>
      </c>
      <c r="I42" s="130">
        <f t="shared" si="0"/>
        <v>11.165813560326301</v>
      </c>
      <c r="J42" s="130">
        <f t="shared" si="6"/>
        <v>-6.3159713425752884E-2</v>
      </c>
      <c r="K42" s="193"/>
      <c r="L42" s="190"/>
      <c r="M42" s="190"/>
      <c r="N42" s="193"/>
      <c r="O42" s="193"/>
      <c r="P42" s="129" t="s">
        <v>826</v>
      </c>
      <c r="Q42" s="116">
        <v>42558828</v>
      </c>
      <c r="R42" s="116">
        <v>61535600802</v>
      </c>
      <c r="S42" s="116">
        <v>3811529.52</v>
      </c>
      <c r="T42" s="130">
        <f t="shared" ref="T42" si="67">Q42/S42</f>
        <v>11.165813560326301</v>
      </c>
      <c r="U42" s="78"/>
    </row>
    <row r="43" spans="1:21" s="79" customFormat="1" ht="13.2">
      <c r="A43" s="129" t="s">
        <v>835</v>
      </c>
      <c r="B43" s="188">
        <f>SUM(F41:F43)</f>
        <v>6382021.2555555552</v>
      </c>
      <c r="C43" s="188">
        <f>AVERAGE(F41:F43)</f>
        <v>2127340.4185185186</v>
      </c>
      <c r="D43" s="190">
        <f>C43/C40-1</f>
        <v>-6.1828053864568133E-2</v>
      </c>
      <c r="E43" s="287">
        <f>C43/C31-1</f>
        <v>0.44426449676568458</v>
      </c>
      <c r="F43" s="136">
        <f>Q43/20</f>
        <v>2083620.3</v>
      </c>
      <c r="G43" s="190">
        <f t="shared" ref="G43" si="68">F43/F42-1</f>
        <v>-2.0828158143828546E-2</v>
      </c>
      <c r="H43" s="190">
        <f t="shared" ref="H43" si="69">F43/F31-1</f>
        <v>0.21061047093485397</v>
      </c>
      <c r="I43" s="130">
        <f t="shared" si="0"/>
        <v>11.379819676837133</v>
      </c>
      <c r="J43" s="130">
        <f t="shared" si="6"/>
        <v>8.5079402309701679E-2</v>
      </c>
      <c r="K43" s="136">
        <f>R41+R42+R43</f>
        <v>179104076893</v>
      </c>
      <c r="L43" s="190">
        <f>U43/U40-1</f>
        <v>-0.12049902158155679</v>
      </c>
      <c r="M43" s="190">
        <f>K43/K31-1</f>
        <v>0.51089551561673585</v>
      </c>
      <c r="N43" s="191">
        <f>AVERAGE(T41:T43)</f>
        <v>11.198773105424751</v>
      </c>
      <c r="O43" s="192">
        <f>N43/N40-1</f>
        <v>1.7377820312991732E-2</v>
      </c>
      <c r="P43" s="129" t="s">
        <v>835</v>
      </c>
      <c r="Q43" s="116">
        <v>41672406</v>
      </c>
      <c r="R43" s="116">
        <v>60426706615</v>
      </c>
      <c r="S43" s="116">
        <v>3661956.62</v>
      </c>
      <c r="T43" s="130">
        <f t="shared" ref="T43" si="70">Q43/S43</f>
        <v>11.379819676837133</v>
      </c>
      <c r="U43" s="85">
        <f>Q41+Q42+Q43</f>
        <v>123299506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2484859.3636363638</v>
      </c>
      <c r="G44" s="190">
        <f t="shared" ref="G44" si="71">F44/F43-1</f>
        <v>0.19256822542781116</v>
      </c>
      <c r="H44" s="190">
        <f t="shared" ref="H44" si="72">F44/F32-1</f>
        <v>0.46570626607445353</v>
      </c>
      <c r="I44" s="130">
        <f t="shared" si="0"/>
        <v>11.395672690402606</v>
      </c>
      <c r="J44" s="130">
        <f t="shared" si="6"/>
        <v>5.6519059402324823E-2</v>
      </c>
      <c r="K44" s="136"/>
      <c r="L44" s="190"/>
      <c r="M44" s="190"/>
      <c r="N44" s="191"/>
      <c r="O44" s="192"/>
      <c r="P44" s="129" t="s">
        <v>843</v>
      </c>
      <c r="Q44" s="116">
        <v>54666906</v>
      </c>
      <c r="R44" s="116">
        <v>79330606747</v>
      </c>
      <c r="S44" s="116">
        <v>4797163.58</v>
      </c>
      <c r="T44" s="130">
        <f t="shared" ref="T44" si="73">Q44/S44</f>
        <v>11.395672690402606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2362005.5499999998</v>
      </c>
      <c r="G45" s="190">
        <f t="shared" ref="G45" si="74">F45/F44-1</f>
        <v>-4.9440952447537545E-2</v>
      </c>
      <c r="H45" s="190">
        <f t="shared" ref="H45" si="75">F45/F33-1</f>
        <v>0.1608666855096621</v>
      </c>
      <c r="I45" s="130">
        <f t="shared" si="0"/>
        <v>11.087517619611884</v>
      </c>
      <c r="J45" s="130">
        <f t="shared" si="6"/>
        <v>3.1259646441041289E-2</v>
      </c>
      <c r="K45" s="136"/>
      <c r="L45" s="190"/>
      <c r="M45" s="190"/>
      <c r="N45" s="191"/>
      <c r="O45" s="192"/>
      <c r="P45" s="129" t="s">
        <v>849</v>
      </c>
      <c r="Q45" s="116">
        <v>47240111</v>
      </c>
      <c r="R45" s="116">
        <v>66454736471</v>
      </c>
      <c r="S45" s="116">
        <v>4260657.13</v>
      </c>
      <c r="T45" s="130">
        <f t="shared" ref="T45" si="76">Q45/S45</f>
        <v>11.087517619611884</v>
      </c>
      <c r="U45" s="85"/>
    </row>
    <row r="46" spans="1:21" s="79" customFormat="1" ht="13.2">
      <c r="A46" s="129" t="s">
        <v>915</v>
      </c>
      <c r="B46" s="188">
        <f>SUM(F44:F46)</f>
        <v>7518253.913636364</v>
      </c>
      <c r="C46" s="188">
        <f>AVERAGE(F44:F46)</f>
        <v>2506084.6378787882</v>
      </c>
      <c r="D46" s="190">
        <f>C46/C43-1</f>
        <v>0.17803648915956161</v>
      </c>
      <c r="E46" s="287">
        <f>C46/C34-1</f>
        <v>0.30284423477268074</v>
      </c>
      <c r="F46" s="136">
        <f>Q46/19</f>
        <v>2671389</v>
      </c>
      <c r="G46" s="190">
        <f t="shared" ref="G46" si="77">F46/F45-1</f>
        <v>0.13098337131341631</v>
      </c>
      <c r="H46" s="190">
        <f t="shared" ref="H46" si="78">F46/F34-1</f>
        <v>0.30910468900943178</v>
      </c>
      <c r="I46" s="130">
        <f t="shared" si="0"/>
        <v>11.699661608865572</v>
      </c>
      <c r="J46" s="130">
        <f t="shared" si="6"/>
        <v>-2.0522802505261728E-2</v>
      </c>
      <c r="K46" s="136">
        <f>R44+R45+R46</f>
        <v>215303712288</v>
      </c>
      <c r="L46" s="190">
        <f>U46/U43-1</f>
        <v>0.23815101092132518</v>
      </c>
      <c r="M46" s="190">
        <f>K46/K34-1</f>
        <v>0.34400794430658976</v>
      </c>
      <c r="N46" s="191">
        <f>AVERAGE(T44:T46)</f>
        <v>11.39428397296002</v>
      </c>
      <c r="O46" s="192">
        <f>N46/N43-1</f>
        <v>1.7458239906705808E-2</v>
      </c>
      <c r="P46" s="129" t="s">
        <v>948</v>
      </c>
      <c r="Q46" s="116">
        <v>50756391</v>
      </c>
      <c r="R46" s="116">
        <v>69518369070</v>
      </c>
      <c r="S46" s="116">
        <v>4338278.55</v>
      </c>
      <c r="T46" s="130">
        <f t="shared" ref="T46" si="79">Q46/S46</f>
        <v>11.699661608865572</v>
      </c>
      <c r="U46" s="85">
        <f t="shared" ref="U46:U51" si="80">Q44+Q45+Q46</f>
        <v>152663408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2323269.1304347827</v>
      </c>
      <c r="G47" s="190">
        <f t="shared" ref="G47" si="81">F47/F46-1</f>
        <v>-0.13031418096174585</v>
      </c>
      <c r="H47" s="190">
        <f t="shared" ref="H47" si="82">F47/F35-1</f>
        <v>0.10554571288545112</v>
      </c>
      <c r="I47" s="130">
        <f t="shared" si="0"/>
        <v>11.265645305622293</v>
      </c>
      <c r="J47" s="130">
        <f t="shared" si="6"/>
        <v>3.6257216857209285E-2</v>
      </c>
      <c r="K47" s="136"/>
      <c r="L47" s="190"/>
      <c r="M47" s="190"/>
      <c r="N47" s="191"/>
      <c r="O47" s="192"/>
      <c r="P47" s="129" t="s">
        <v>991</v>
      </c>
      <c r="Q47" s="116">
        <v>53435190</v>
      </c>
      <c r="R47" s="116">
        <v>73355701107</v>
      </c>
      <c r="S47" s="116">
        <v>4743198.33</v>
      </c>
      <c r="T47" s="130">
        <f t="shared" ref="T47" si="83">Q47/S47</f>
        <v>11.265645305622293</v>
      </c>
      <c r="U47" s="85">
        <f t="shared" si="80"/>
        <v>151431692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2478621</v>
      </c>
      <c r="G48" s="190">
        <f t="shared" ref="G48" si="84">F48/F47-1</f>
        <v>6.686778881108113E-2</v>
      </c>
      <c r="H48" s="190">
        <f t="shared" ref="H48" si="85">F48/F36-1</f>
        <v>0.23865808109357256</v>
      </c>
      <c r="I48" s="130">
        <f t="shared" si="0"/>
        <v>11.797538758020607</v>
      </c>
      <c r="J48" s="130">
        <f t="shared" si="6"/>
        <v>-3.0446898798914823E-2</v>
      </c>
      <c r="K48" s="136"/>
      <c r="L48" s="190"/>
      <c r="M48" s="190"/>
      <c r="N48" s="191"/>
      <c r="O48" s="192"/>
      <c r="P48" s="129" t="s">
        <v>1070</v>
      </c>
      <c r="Q48" s="116">
        <v>49572420</v>
      </c>
      <c r="R48" s="116">
        <v>68781302775</v>
      </c>
      <c r="S48" s="116">
        <v>4201928.9800000004</v>
      </c>
      <c r="T48" s="130">
        <f t="shared" ref="T48" si="86">Q48/S48</f>
        <v>11.797538758020607</v>
      </c>
      <c r="U48" s="85">
        <f t="shared" si="80"/>
        <v>153764001</v>
      </c>
    </row>
    <row r="49" spans="1:26" ht="13.2">
      <c r="A49" s="129" t="s">
        <v>1158</v>
      </c>
      <c r="B49" s="188">
        <f>SUM(F47:F49)</f>
        <v>7883071.9486166015</v>
      </c>
      <c r="C49" s="188">
        <f>AVERAGE(F47:F49)</f>
        <v>2627690.6495388672</v>
      </c>
      <c r="D49" s="190">
        <f>C49/C46-1</f>
        <v>4.8524303537892166E-2</v>
      </c>
      <c r="E49" s="287">
        <f>C49/C37-1</f>
        <v>0.21022339932048606</v>
      </c>
      <c r="F49" s="136">
        <f>Q49/22</f>
        <v>3081181.8181818184</v>
      </c>
      <c r="G49" s="190">
        <f t="shared" ref="G49" si="87">F49/F48-1</f>
        <v>0.24310324901702129</v>
      </c>
      <c r="H49" s="190">
        <f t="shared" ref="H49" si="88">F49/F37-1</f>
        <v>0.27785642286042189</v>
      </c>
      <c r="I49" s="130">
        <f t="shared" si="0"/>
        <v>12.126530269826569</v>
      </c>
      <c r="J49" s="130">
        <f t="shared" si="6"/>
        <v>2.2585636160509015E-2</v>
      </c>
      <c r="K49" s="136">
        <f>R47+R48+R49</f>
        <v>236354647343</v>
      </c>
      <c r="L49" s="190">
        <f>U49/U46-1</f>
        <v>0.11875931657440786</v>
      </c>
      <c r="M49" s="190">
        <f>K49/K37-1</f>
        <v>0.29752217908673018</v>
      </c>
      <c r="N49" s="191">
        <f>AVERAGE(T47:T49)</f>
        <v>11.729904777823156</v>
      </c>
      <c r="O49" s="192">
        <f>N49/N46-1</f>
        <v>2.9455190484948712E-2</v>
      </c>
      <c r="P49" s="129" t="s">
        <v>1158</v>
      </c>
      <c r="Q49" s="116">
        <v>67786000</v>
      </c>
      <c r="R49" s="116">
        <v>94217643461</v>
      </c>
      <c r="S49" s="116">
        <v>5589892.4500000002</v>
      </c>
      <c r="T49" s="130">
        <f t="shared" ref="T49" si="89">Q49/S49</f>
        <v>12.126530269826569</v>
      </c>
      <c r="U49" s="85">
        <f t="shared" si="80"/>
        <v>170793610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2873973.888888889</v>
      </c>
      <c r="G50" s="190">
        <f t="shared" ref="G50" si="90">F50/F49-1</f>
        <v>-6.724949760193033E-2</v>
      </c>
      <c r="H50" s="190">
        <f t="shared" ref="H50" si="91">F50/F38-1</f>
        <v>7.9503057066204752E-2</v>
      </c>
      <c r="I50" s="130">
        <f t="shared" ref="I50" si="92">T50</f>
        <v>13.52160277458324</v>
      </c>
      <c r="J50" s="130">
        <f t="shared" ref="J50" si="93">I50/I38-1</f>
        <v>0.22953434277214413</v>
      </c>
      <c r="K50" s="136"/>
      <c r="L50" s="190"/>
      <c r="M50" s="190"/>
      <c r="N50" s="191"/>
      <c r="O50" s="192"/>
      <c r="P50" s="129" t="s">
        <v>1291</v>
      </c>
      <c r="Q50" s="116">
        <v>51731530</v>
      </c>
      <c r="R50" s="116">
        <v>73159548151</v>
      </c>
      <c r="S50" s="116">
        <v>3825843.05</v>
      </c>
      <c r="T50" s="130">
        <f t="shared" ref="T50" si="94">Q50/S50</f>
        <v>13.52160277458324</v>
      </c>
      <c r="U50" s="85">
        <f t="shared" si="80"/>
        <v>169089950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2822504.25</v>
      </c>
      <c r="G51" s="190">
        <f t="shared" ref="G51:G52" si="95">F51/F50-1</f>
        <v>-1.790887491632287E-2</v>
      </c>
      <c r="H51" s="190">
        <f t="shared" ref="H51:H52" si="96">F51/F39-1</f>
        <v>0.25606965382880542</v>
      </c>
      <c r="I51" s="130">
        <f t="shared" ref="I51:I52" si="97">T51</f>
        <v>13.174177082568852</v>
      </c>
      <c r="J51" s="130">
        <f t="shared" ref="J51:J52" si="98">I51/I39-1</f>
        <v>0.1804088808337776</v>
      </c>
      <c r="K51" s="136"/>
      <c r="L51" s="190"/>
      <c r="M51" s="190"/>
      <c r="N51" s="191"/>
      <c r="O51" s="192"/>
      <c r="P51" s="129" t="s">
        <v>1402</v>
      </c>
      <c r="Q51" s="116">
        <v>56450085</v>
      </c>
      <c r="R51" s="116">
        <v>81859492403</v>
      </c>
      <c r="S51" s="116">
        <v>4284904.07</v>
      </c>
      <c r="T51" s="130">
        <f t="shared" ref="T51:T52" si="99">Q51/S51</f>
        <v>13.174177082568852</v>
      </c>
      <c r="U51" s="85">
        <f t="shared" si="80"/>
        <v>175967615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8119840.6843434349</v>
      </c>
      <c r="C52" s="188">
        <f>AVERAGE(F50:F52)</f>
        <v>2706613.5614478118</v>
      </c>
      <c r="D52" s="190">
        <f>C52/C49-1</f>
        <v>3.0035084960550629E-2</v>
      </c>
      <c r="E52" s="287">
        <f>C52/C40-1</f>
        <v>0.19363543806890782</v>
      </c>
      <c r="F52" s="136">
        <f>Q52/22</f>
        <v>2423362.5454545454</v>
      </c>
      <c r="G52" s="190">
        <f t="shared" si="95"/>
        <v>-0.14141403136787289</v>
      </c>
      <c r="H52" s="190">
        <f t="shared" si="96"/>
        <v>0.280028710492775</v>
      </c>
      <c r="I52" s="130">
        <f t="shared" si="97"/>
        <v>11.926367743699615</v>
      </c>
      <c r="J52" s="130">
        <f t="shared" si="98"/>
        <v>9.7743949395809659E-2</v>
      </c>
      <c r="K52" s="136">
        <f>R50+R51+R52</f>
        <v>233447609870</v>
      </c>
      <c r="L52" s="190">
        <f>U52/U49-1</f>
        <v>-5.444008707351522E-2</v>
      </c>
      <c r="M52" s="190">
        <f>K52/K40-1</f>
        <v>0.20644717930792544</v>
      </c>
      <c r="N52" s="191">
        <f>AVERAGE(T50:T52)</f>
        <v>12.874049200283901</v>
      </c>
      <c r="O52" s="192">
        <f>N52/N49-1</f>
        <v>9.7540810785087695E-2</v>
      </c>
      <c r="P52" s="129" t="s">
        <v>1403</v>
      </c>
      <c r="Q52" s="116">
        <v>53313976</v>
      </c>
      <c r="R52" s="116">
        <v>78428569316</v>
      </c>
      <c r="S52" s="116">
        <v>4470260.95</v>
      </c>
      <c r="T52" s="130">
        <f t="shared" si="99"/>
        <v>11.926367743699615</v>
      </c>
      <c r="U52" s="85">
        <f t="shared" ref="U52" si="100">Q50+Q51+Q52</f>
        <v>161495591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2700160.7619047621</v>
      </c>
      <c r="G53" s="190">
        <f t="shared" ref="G53" si="101">F53/F52-1</f>
        <v>0.11422072069629108</v>
      </c>
      <c r="H53" s="190">
        <f t="shared" ref="H53" si="102">F53/F41-1</f>
        <v>0.24405025423918714</v>
      </c>
      <c r="I53" s="130">
        <f t="shared" ref="I53" si="103">T53</f>
        <v>13.892646771741775</v>
      </c>
      <c r="J53" s="130">
        <f t="shared" ref="J53" si="104">I53/I41-1</f>
        <v>0.25717504526738222</v>
      </c>
      <c r="K53" s="136"/>
      <c r="L53" s="190"/>
      <c r="M53" s="190"/>
      <c r="N53" s="191"/>
      <c r="O53" s="192"/>
      <c r="P53" s="129" t="s">
        <v>1414</v>
      </c>
      <c r="Q53" s="116">
        <v>56703376</v>
      </c>
      <c r="R53" s="116">
        <v>82695116448</v>
      </c>
      <c r="S53" s="116">
        <v>4081538.74</v>
      </c>
      <c r="T53" s="130">
        <f t="shared" ref="T53" si="105">Q53/S53</f>
        <v>13.892646771741775</v>
      </c>
      <c r="U53" s="85">
        <f t="shared" ref="U53" si="106">Q51+Q52+Q53</f>
        <v>166467437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2441246.2352941176</v>
      </c>
      <c r="G54" s="190">
        <f t="shared" ref="G54" si="107">F54/F53-1</f>
        <v>-9.588855977152988E-2</v>
      </c>
      <c r="H54" s="190">
        <f t="shared" ref="H54" si="108">F54/F42-1</f>
        <v>0.1472337702974893</v>
      </c>
      <c r="I54" s="130">
        <f t="shared" ref="I54" si="109">T54</f>
        <v>11.698315503110665</v>
      </c>
      <c r="J54" s="130">
        <f t="shared" ref="J54" si="110">I54/I42-1</f>
        <v>4.7690384574968991E-2</v>
      </c>
      <c r="K54" s="136"/>
      <c r="L54" s="190"/>
      <c r="M54" s="190"/>
      <c r="N54" s="191"/>
      <c r="O54" s="192"/>
      <c r="P54" s="129" t="s">
        <v>1417</v>
      </c>
      <c r="Q54" s="116">
        <v>41501186</v>
      </c>
      <c r="R54" s="116">
        <v>60108121296</v>
      </c>
      <c r="S54" s="116">
        <v>3547620.68</v>
      </c>
      <c r="T54" s="130">
        <f t="shared" ref="T54" si="111">Q54/S54</f>
        <v>11.698315503110665</v>
      </c>
      <c r="U54" s="85">
        <f t="shared" ref="U54" si="112">Q52+Q53+Q54</f>
        <v>151518538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8018552.854341737</v>
      </c>
      <c r="C55" s="188">
        <f>AVERAGE(F53:F55)</f>
        <v>2672850.9514472457</v>
      </c>
      <c r="D55" s="190">
        <f>C55/C52-1</f>
        <v>-1.2474115433939503E-2</v>
      </c>
      <c r="E55" s="287">
        <f>C55/C43-1</f>
        <v>0.25642841558410345</v>
      </c>
      <c r="F55" s="136">
        <f>Q55/21</f>
        <v>2877145.8571428573</v>
      </c>
      <c r="G55" s="190">
        <f t="shared" ref="G55" si="113">F55/F54-1</f>
        <v>0.1785561880431219</v>
      </c>
      <c r="H55" s="190">
        <f t="shared" ref="H55" si="114">F55/F43-1</f>
        <v>0.38083980902991654</v>
      </c>
      <c r="I55" s="130">
        <f>T55</f>
        <v>13.299313671606241</v>
      </c>
      <c r="J55" s="130">
        <f t="shared" ref="J55" si="115">I55/I43-1</f>
        <v>0.1686752557842468</v>
      </c>
      <c r="K55" s="136">
        <f>R53+R54+R55</f>
        <v>231872534608</v>
      </c>
      <c r="L55" s="190">
        <f>U55/U52-1</f>
        <v>-1.7777364584522948E-2</v>
      </c>
      <c r="M55" s="190">
        <f>K55/K43-1</f>
        <v>0.29462454808622152</v>
      </c>
      <c r="N55" s="191">
        <f>AVERAGE(T53:T55)</f>
        <v>12.963425315486226</v>
      </c>
      <c r="O55" s="192">
        <f>N55/N52-1</f>
        <v>6.9423468725251514E-3</v>
      </c>
      <c r="P55" s="129" t="s">
        <v>1418</v>
      </c>
      <c r="Q55" s="116">
        <v>60420063</v>
      </c>
      <c r="R55" s="116">
        <v>89069296864</v>
      </c>
      <c r="S55" s="116">
        <v>4543096.32</v>
      </c>
      <c r="T55" s="130">
        <f t="shared" ref="T55" si="116">Q55/S55</f>
        <v>13.299313671606241</v>
      </c>
      <c r="U55" s="85">
        <f t="shared" ref="U55" si="117">Q53+Q54+Q55</f>
        <v>158624625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3696493.7272727271</v>
      </c>
      <c r="G56" s="190">
        <f t="shared" ref="G56" si="118">F56/F55-1</f>
        <v>0.28477800946230825</v>
      </c>
      <c r="H56" s="190">
        <f t="shared" ref="H56" si="119">F56/F44-1</f>
        <v>0.48760681645308401</v>
      </c>
      <c r="I56" s="291">
        <f>T56</f>
        <v>15.814114189023011</v>
      </c>
      <c r="J56" s="130">
        <f t="shared" ref="J56" si="120">I56/I44-1</f>
        <v>0.38772976538204729</v>
      </c>
      <c r="K56" s="136"/>
      <c r="L56" s="190"/>
      <c r="M56" s="190"/>
      <c r="N56" s="191"/>
      <c r="O56" s="192"/>
      <c r="P56" s="129" t="s">
        <v>1420</v>
      </c>
      <c r="Q56" s="116">
        <v>81322862</v>
      </c>
      <c r="R56" s="116">
        <v>121442812565</v>
      </c>
      <c r="S56" s="116">
        <v>5142422.84</v>
      </c>
      <c r="T56" s="130">
        <f t="shared" ref="T56" si="121">Q56/S56</f>
        <v>15.814114189023011</v>
      </c>
      <c r="U56" s="85">
        <f t="shared" ref="U56" si="122">Q54+Q55+Q56</f>
        <v>183244111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2438021.4166666665</v>
      </c>
      <c r="G57" s="254">
        <f t="shared" ref="G57" si="123">F57/F56-1</f>
        <v>-0.34045027624991031</v>
      </c>
      <c r="H57" s="254">
        <f t="shared" ref="H57" si="124">F57/F45-1</f>
        <v>3.2182763781679835E-2</v>
      </c>
      <c r="I57" s="282">
        <f>T57</f>
        <v>12.231680424552314</v>
      </c>
      <c r="J57" s="277">
        <f t="shared" ref="J57" si="125">I57/I45-1</f>
        <v>0.10319377557665432</v>
      </c>
      <c r="K57" s="204"/>
      <c r="L57" s="254"/>
      <c r="M57" s="254"/>
      <c r="N57" s="257"/>
      <c r="O57" s="258"/>
      <c r="P57" s="129" t="s">
        <v>1436</v>
      </c>
      <c r="Q57" s="116">
        <v>29256257</v>
      </c>
      <c r="R57" s="116">
        <v>43089689875</v>
      </c>
      <c r="S57" s="116">
        <v>2391842.8199999998</v>
      </c>
      <c r="T57" s="130">
        <f t="shared" ref="T57" si="126">Q57/S57</f>
        <v>12.231680424552314</v>
      </c>
      <c r="U57" s="85">
        <f t="shared" ref="U57" si="127">Q55+Q56+Q57</f>
        <v>170999182</v>
      </c>
      <c r="V57" s="79"/>
      <c r="W57" s="79"/>
      <c r="X57" s="79"/>
      <c r="Y57" s="79"/>
      <c r="Z57" s="79"/>
    </row>
    <row r="58" spans="1:26">
      <c r="B58" s="196">
        <f>SUM(F56:F58)</f>
        <v>6134515.1439393936</v>
      </c>
      <c r="C58" s="196">
        <f>AVERAGE(F56:F58)</f>
        <v>3067257.5719696968</v>
      </c>
      <c r="D58" s="197">
        <f>C58/C55-1</f>
        <v>0.14756027466061861</v>
      </c>
      <c r="E58" s="233">
        <f>C58/C46-1</f>
        <v>0.22392417463039038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269203744</v>
      </c>
      <c r="R65" s="212">
        <v>396405037048</v>
      </c>
      <c r="S65" s="213">
        <v>19706521.420000002</v>
      </c>
      <c r="T65" s="214">
        <v>1450</v>
      </c>
      <c r="U65" s="214">
        <v>3855</v>
      </c>
    </row>
    <row r="66" spans="16:21" ht="18" thickBot="1">
      <c r="P66" s="180" t="s">
        <v>976</v>
      </c>
      <c r="Q66" s="181">
        <v>56703376</v>
      </c>
      <c r="R66" s="181">
        <v>82695116448</v>
      </c>
      <c r="S66" s="182">
        <v>4081538.74</v>
      </c>
      <c r="T66" s="210">
        <v>730</v>
      </c>
      <c r="U66" s="210">
        <v>1597</v>
      </c>
    </row>
    <row r="67" spans="16:21" ht="18" thickBot="1">
      <c r="P67" s="180" t="s">
        <v>977</v>
      </c>
      <c r="Q67" s="181">
        <v>41501186</v>
      </c>
      <c r="R67" s="181">
        <v>60108121296</v>
      </c>
      <c r="S67" s="182">
        <v>3547620.68</v>
      </c>
      <c r="T67" s="210">
        <v>650</v>
      </c>
      <c r="U67" s="210">
        <v>1460</v>
      </c>
    </row>
    <row r="68" spans="16:21" ht="18" thickBot="1">
      <c r="P68" s="180" t="s">
        <v>978</v>
      </c>
      <c r="Q68" s="181">
        <v>60420063</v>
      </c>
      <c r="R68" s="181">
        <v>89069296864</v>
      </c>
      <c r="S68" s="182">
        <v>4543096.32</v>
      </c>
      <c r="T68" s="210">
        <v>779</v>
      </c>
      <c r="U68" s="210">
        <v>1748</v>
      </c>
    </row>
    <row r="69" spans="16:21" ht="18" thickBot="1">
      <c r="P69" s="180" t="s">
        <v>979</v>
      </c>
      <c r="Q69" s="181">
        <v>81322862</v>
      </c>
      <c r="R69" s="181">
        <v>121442812565</v>
      </c>
      <c r="S69" s="182">
        <v>5142422.84</v>
      </c>
      <c r="T69" s="210">
        <v>757</v>
      </c>
      <c r="U69" s="210">
        <v>1687</v>
      </c>
    </row>
    <row r="70" spans="16:21" ht="18" thickBot="1">
      <c r="P70" s="180" t="s">
        <v>980</v>
      </c>
      <c r="Q70" s="181">
        <v>29256257</v>
      </c>
      <c r="R70" s="181">
        <v>43089689875</v>
      </c>
      <c r="S70" s="182">
        <v>2391842.8199999998</v>
      </c>
      <c r="T70" s="210">
        <v>558</v>
      </c>
      <c r="U70" s="210">
        <v>1066</v>
      </c>
    </row>
    <row r="71" spans="16:21" ht="18" thickBot="1">
      <c r="P71" s="180" t="s">
        <v>975</v>
      </c>
      <c r="Q71" s="181">
        <v>608182291</v>
      </c>
      <c r="R71" s="181">
        <v>864104323842</v>
      </c>
      <c r="S71" s="182">
        <v>51510442.450000003</v>
      </c>
      <c r="T71" s="210">
        <v>2195</v>
      </c>
      <c r="U71" s="210">
        <v>7523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1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73"/>
  <dimension ref="A1:Z71"/>
  <sheetViews>
    <sheetView zoomScale="90" zoomScaleNormal="9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9.1992187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3">
        <v>2106909099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264</v>
      </c>
      <c r="F4" s="84" t="s">
        <v>72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1951987.8</v>
      </c>
      <c r="G5" s="90"/>
      <c r="H5" s="90"/>
      <c r="I5" s="130">
        <f t="shared" ref="I5:I49" si="0">T5</f>
        <v>3.9141696203032521</v>
      </c>
      <c r="J5" s="130"/>
      <c r="L5" s="80"/>
      <c r="M5" s="80"/>
      <c r="P5" s="129" t="s">
        <v>0</v>
      </c>
      <c r="Q5" s="116">
        <v>39039756</v>
      </c>
      <c r="R5" s="116"/>
      <c r="S5" s="116">
        <v>9973956.1099999994</v>
      </c>
      <c r="T5" s="130">
        <f t="shared" ref="T5:T24" si="1">Q5/S5</f>
        <v>3.9141696203032521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24" si="2">F6/F5-1</f>
        <v>0.10897038734907394</v>
      </c>
      <c r="H6" s="90"/>
      <c r="I6" s="130">
        <f t="shared" si="0"/>
        <v>4.0200645611935322</v>
      </c>
      <c r="J6" s="130"/>
      <c r="P6" s="129" t="s">
        <v>1</v>
      </c>
      <c r="Q6" s="116">
        <v>38964540</v>
      </c>
      <c r="R6" s="116"/>
      <c r="S6" s="116">
        <v>9692515.9800000004</v>
      </c>
      <c r="T6" s="130">
        <f t="shared" si="1"/>
        <v>4.0200645611935322</v>
      </c>
      <c r="U6" s="85"/>
    </row>
    <row r="7" spans="1:21" ht="15" hidden="1" customHeight="1">
      <c r="A7" s="129" t="s">
        <v>2</v>
      </c>
      <c r="B7" s="131">
        <f>F5+F6+F7</f>
        <v>6370886.5575757576</v>
      </c>
      <c r="C7" s="131">
        <f>AVERAGE(F5:F7)</f>
        <v>2123628.8525252524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4.0769419892774499</v>
      </c>
      <c r="J7" s="130"/>
      <c r="K7" s="79">
        <f>R5+R6+R7</f>
        <v>0</v>
      </c>
      <c r="N7" s="88">
        <f>AVERAGE(T5:T7)</f>
        <v>4.0037253902580785</v>
      </c>
      <c r="P7" s="129" t="s">
        <v>2</v>
      </c>
      <c r="Q7" s="116">
        <v>49592446</v>
      </c>
      <c r="R7" s="116"/>
      <c r="S7" s="116">
        <v>12164128.439999999</v>
      </c>
      <c r="T7" s="130">
        <f t="shared" si="1"/>
        <v>4.0769419892774499</v>
      </c>
      <c r="U7" s="85">
        <f>Q5+Q6+Q7</f>
        <v>127596742</v>
      </c>
    </row>
    <row r="8" spans="1:21" ht="15" hidden="1" customHeight="1">
      <c r="A8" s="129" t="s">
        <v>3</v>
      </c>
      <c r="C8" s="79"/>
      <c r="F8" s="78">
        <f>Q8/21</f>
        <v>2217552.4761904762</v>
      </c>
      <c r="G8" s="90">
        <f t="shared" si="2"/>
        <v>-1.6258353617192411E-2</v>
      </c>
      <c r="H8" s="90"/>
      <c r="I8" s="130">
        <f t="shared" si="0"/>
        <v>4.0678927840036954</v>
      </c>
      <c r="J8" s="130"/>
      <c r="K8" s="78"/>
      <c r="P8" s="129" t="s">
        <v>3</v>
      </c>
      <c r="Q8" s="116">
        <v>46568602</v>
      </c>
      <c r="R8" s="116"/>
      <c r="S8" s="116">
        <v>11447844</v>
      </c>
      <c r="T8" s="130">
        <f t="shared" si="1"/>
        <v>4.0678927840036954</v>
      </c>
      <c r="U8" s="85"/>
    </row>
    <row r="9" spans="1:21" ht="15" hidden="1" customHeight="1">
      <c r="A9" s="129" t="s">
        <v>4</v>
      </c>
      <c r="C9" s="79"/>
      <c r="F9" s="78">
        <f>Q9/21</f>
        <v>2088028.4285714286</v>
      </c>
      <c r="G9" s="90">
        <f t="shared" si="2"/>
        <v>-5.8408560342867899E-2</v>
      </c>
      <c r="H9" s="90"/>
      <c r="I9" s="130">
        <f t="shared" si="0"/>
        <v>3.8928204155942034</v>
      </c>
      <c r="J9" s="130"/>
      <c r="K9" s="78"/>
      <c r="P9" s="129" t="s">
        <v>4</v>
      </c>
      <c r="Q9" s="116">
        <v>43848597</v>
      </c>
      <c r="R9" s="116"/>
      <c r="S9" s="116">
        <v>11263966.050000001</v>
      </c>
      <c r="T9" s="130">
        <f t="shared" si="1"/>
        <v>3.8928204155942034</v>
      </c>
      <c r="U9" s="85"/>
    </row>
    <row r="10" spans="1:21" ht="15" hidden="1" customHeight="1">
      <c r="A10" s="129" t="s">
        <v>5</v>
      </c>
      <c r="B10" s="131">
        <f>F8+F9+F10</f>
        <v>6421678.0476190476</v>
      </c>
      <c r="C10" s="131">
        <f>AVERAGE(F8:F10)</f>
        <v>2140559.3492063493</v>
      </c>
      <c r="D10" s="90">
        <f>C10/C7-1</f>
        <v>7.9724367376929894E-3</v>
      </c>
      <c r="E10" s="286"/>
      <c r="F10" s="78">
        <f>Q10/21</f>
        <v>2116097.1428571427</v>
      </c>
      <c r="G10" s="90">
        <f t="shared" si="2"/>
        <v>1.3442687801390685E-2</v>
      </c>
      <c r="H10" s="90"/>
      <c r="I10" s="130">
        <f t="shared" si="0"/>
        <v>4.1018382565716998</v>
      </c>
      <c r="J10" s="130"/>
      <c r="K10" s="79">
        <f>R8+R9+R10</f>
        <v>0</v>
      </c>
      <c r="L10" s="87">
        <f>U10/U7-1</f>
        <v>5.6886225198445883E-2</v>
      </c>
      <c r="N10" s="88">
        <f>AVERAGE(T8:T10)</f>
        <v>4.0208504853898663</v>
      </c>
      <c r="O10" s="89">
        <f>N10/N7-1</f>
        <v>4.2772901391929796E-3</v>
      </c>
      <c r="P10" s="129" t="s">
        <v>5</v>
      </c>
      <c r="Q10" s="116">
        <v>44438040</v>
      </c>
      <c r="R10" s="116"/>
      <c r="S10" s="116">
        <v>10833689</v>
      </c>
      <c r="T10" s="130">
        <f t="shared" si="1"/>
        <v>4.1018382565716998</v>
      </c>
      <c r="U10" s="85">
        <f>Q8+Q9+Q10</f>
        <v>134855239</v>
      </c>
    </row>
    <row r="11" spans="1:21" ht="15" hidden="1" customHeight="1">
      <c r="A11" s="129" t="s">
        <v>6</v>
      </c>
      <c r="C11" s="79"/>
      <c r="F11" s="78">
        <f>Q11/21</f>
        <v>2061980.2380952381</v>
      </c>
      <c r="G11" s="90">
        <f t="shared" si="2"/>
        <v>-2.5573922702261331E-2</v>
      </c>
      <c r="H11" s="90"/>
      <c r="I11" s="130">
        <f t="shared" si="0"/>
        <v>3.8594670253663663</v>
      </c>
      <c r="J11" s="130"/>
      <c r="K11" s="78"/>
      <c r="O11" s="89"/>
      <c r="P11" s="129" t="s">
        <v>6</v>
      </c>
      <c r="Q11" s="116">
        <v>43301585</v>
      </c>
      <c r="R11" s="116"/>
      <c r="S11" s="116">
        <v>11219576.359999999</v>
      </c>
      <c r="T11" s="130">
        <f t="shared" si="1"/>
        <v>3.8594670253663663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-6.4703407298118409E-2</v>
      </c>
      <c r="H12" s="90"/>
      <c r="I12" s="130">
        <f t="shared" si="0"/>
        <v>3.6354168855882563</v>
      </c>
      <c r="J12" s="130"/>
      <c r="K12" s="78"/>
      <c r="O12" s="89"/>
      <c r="P12" s="129" t="s">
        <v>7</v>
      </c>
      <c r="Q12" s="116">
        <v>42428388</v>
      </c>
      <c r="R12" s="116"/>
      <c r="S12" s="116">
        <v>11670845.279999999</v>
      </c>
      <c r="T12" s="130">
        <f t="shared" si="1"/>
        <v>3.6354168855882563</v>
      </c>
      <c r="U12" s="85"/>
    </row>
    <row r="13" spans="1:21" ht="15" hidden="1" customHeight="1">
      <c r="A13" s="129" t="s">
        <v>96</v>
      </c>
      <c r="B13" s="131">
        <f>F11+F12+F13</f>
        <v>6219517.0290043289</v>
      </c>
      <c r="C13" s="131">
        <f>AVERAGE(F11:F13)</f>
        <v>2073172.343001443</v>
      </c>
      <c r="D13" s="90">
        <f>C13/C10-1</f>
        <v>-3.1481026783906407E-2</v>
      </c>
      <c r="E13" s="286"/>
      <c r="F13" s="78">
        <f>Q13/20</f>
        <v>2228973.7000000002</v>
      </c>
      <c r="G13" s="90">
        <f t="shared" si="2"/>
        <v>0.15576913739923381</v>
      </c>
      <c r="H13" s="90"/>
      <c r="I13" s="130">
        <f t="shared" si="0"/>
        <v>4.0832108170920183</v>
      </c>
      <c r="J13" s="130"/>
      <c r="K13" s="78">
        <f>R11+R12+R13</f>
        <v>0</v>
      </c>
      <c r="L13" s="87">
        <f>U13/U10-1</f>
        <v>-3.3708679274966791E-2</v>
      </c>
      <c r="N13" s="88">
        <f>AVERAGE(T11:T13)</f>
        <v>3.85936490934888</v>
      </c>
      <c r="O13" s="89">
        <f>N13/N10-1</f>
        <v>-4.016204447983307E-2</v>
      </c>
      <c r="P13" s="129" t="s">
        <v>96</v>
      </c>
      <c r="Q13" s="116">
        <v>44579474</v>
      </c>
      <c r="R13" s="116"/>
      <c r="S13" s="116">
        <v>10917749.779999999</v>
      </c>
      <c r="T13" s="130">
        <f t="shared" si="1"/>
        <v>4.0832108170920183</v>
      </c>
      <c r="U13" s="85">
        <f>Q11+Q12+Q13</f>
        <v>130309447</v>
      </c>
    </row>
    <row r="14" spans="1:21" ht="15" hidden="1" customHeight="1">
      <c r="A14" s="129" t="s">
        <v>97</v>
      </c>
      <c r="C14" s="79"/>
      <c r="F14" s="78">
        <f>Q14/20</f>
        <v>1875885.1</v>
      </c>
      <c r="G14" s="90">
        <f t="shared" si="2"/>
        <v>-0.15840859854021605</v>
      </c>
      <c r="H14" s="90"/>
      <c r="I14" s="130">
        <f t="shared" si="0"/>
        <v>3.5235444276659482</v>
      </c>
      <c r="J14" s="130"/>
      <c r="O14" s="89"/>
      <c r="P14" s="129" t="s">
        <v>97</v>
      </c>
      <c r="Q14" s="116">
        <v>37517702</v>
      </c>
      <c r="R14" s="116"/>
      <c r="S14" s="116">
        <v>10647716.460000001</v>
      </c>
      <c r="T14" s="130">
        <f t="shared" si="1"/>
        <v>3.5235444276659482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1940135.1818181819</v>
      </c>
      <c r="G15" s="90">
        <f t="shared" si="2"/>
        <v>3.4250542220406688E-2</v>
      </c>
      <c r="H15" s="90"/>
      <c r="I15" s="130">
        <f t="shared" si="0"/>
        <v>3.6116119537231155</v>
      </c>
      <c r="J15" s="130"/>
      <c r="O15" s="89"/>
      <c r="P15" s="129" t="s">
        <v>98</v>
      </c>
      <c r="Q15" s="116">
        <v>42682974</v>
      </c>
      <c r="R15" s="116"/>
      <c r="S15" s="116">
        <v>11818261.359999999</v>
      </c>
      <c r="T15" s="130">
        <f t="shared" si="1"/>
        <v>3.6116119537231155</v>
      </c>
      <c r="U15" s="78"/>
    </row>
    <row r="16" spans="1:21" ht="15" hidden="1" customHeight="1">
      <c r="A16" s="129" t="s">
        <v>99</v>
      </c>
      <c r="B16" s="131">
        <f>F14+F15+F16</f>
        <v>6068354.372727273</v>
      </c>
      <c r="C16" s="131">
        <f>AVERAGE(F14:F16)</f>
        <v>2022784.790909091</v>
      </c>
      <c r="D16" s="90">
        <f>C16/C13-1</f>
        <v>-2.4304565060617733E-2</v>
      </c>
      <c r="E16" s="286"/>
      <c r="F16" s="78">
        <f>Q16/22</f>
        <v>2252334.0909090908</v>
      </c>
      <c r="G16" s="90">
        <f t="shared" si="2"/>
        <v>0.16091605987905155</v>
      </c>
      <c r="H16" s="90"/>
      <c r="I16" s="130">
        <f t="shared" si="0"/>
        <v>3.9292914194631159</v>
      </c>
      <c r="J16" s="130"/>
      <c r="K16" s="78">
        <f>R14+R15+R16</f>
        <v>0</v>
      </c>
      <c r="L16" s="87">
        <f>U16/U13-1</f>
        <v>-4.2776714415800887E-3</v>
      </c>
      <c r="N16" s="88">
        <f>AVERAGE(T14:T16)</f>
        <v>3.6881492669507261</v>
      </c>
      <c r="O16" s="89">
        <f>N16/N13-1</f>
        <v>-4.4363683253533015E-2</v>
      </c>
      <c r="P16" s="129" t="s">
        <v>99</v>
      </c>
      <c r="Q16" s="116">
        <v>49551350</v>
      </c>
      <c r="R16" s="116"/>
      <c r="S16" s="116">
        <v>12610759.73</v>
      </c>
      <c r="T16" s="130">
        <f t="shared" si="1"/>
        <v>3.9292914194631159</v>
      </c>
      <c r="U16" s="85">
        <f>Q14+Q15+Q16</f>
        <v>129752026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si="2"/>
        <v>8.7445326918440536E-3</v>
      </c>
      <c r="H17" s="90">
        <f t="shared" ref="H17:H24" si="3">F17/F5-1</f>
        <v>0.16395691612416852</v>
      </c>
      <c r="I17" s="130">
        <f t="shared" si="0"/>
        <v>4.1540985421314094</v>
      </c>
      <c r="J17" s="130">
        <f t="shared" ref="J17:J49" si="4">I17/I5-1</f>
        <v>6.1297527982338451E-2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t="15" hidden="1" customHeight="1">
      <c r="A18" s="129" t="s">
        <v>106</v>
      </c>
      <c r="C18" s="79"/>
      <c r="F18" s="78">
        <f>Q18/20</f>
        <v>2361309.7000000002</v>
      </c>
      <c r="G18" s="90">
        <f t="shared" si="2"/>
        <v>3.9295260973041035E-2</v>
      </c>
      <c r="H18" s="90">
        <f t="shared" si="3"/>
        <v>9.0827059680417266E-2</v>
      </c>
      <c r="I18" s="130">
        <f t="shared" si="0"/>
        <v>4.3934165504868004</v>
      </c>
      <c r="J18" s="130">
        <f t="shared" si="4"/>
        <v>9.2872137651048625E-2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si="1"/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0.20866025081614858</v>
      </c>
      <c r="E19" s="286">
        <f>C19/C7-1</f>
        <v>0.15126500085927819</v>
      </c>
      <c r="F19" s="78">
        <f>Q19/22</f>
        <v>2701239.3181818184</v>
      </c>
      <c r="G19" s="90">
        <f t="shared" si="2"/>
        <v>0.14395808316961478</v>
      </c>
      <c r="H19" s="90">
        <f t="shared" si="3"/>
        <v>0.19831284385529213</v>
      </c>
      <c r="I19" s="130">
        <f t="shared" si="0"/>
        <v>4.3078228447632068</v>
      </c>
      <c r="J19" s="130">
        <f t="shared" si="4"/>
        <v>5.6630890528485356E-2</v>
      </c>
      <c r="K19" s="78">
        <f>R17+R18+R19</f>
        <v>193958257502</v>
      </c>
      <c r="L19" s="87">
        <f>U19/U16-1</f>
        <v>0.17219019763128784</v>
      </c>
      <c r="M19" s="87">
        <f>U19/U7-1</f>
        <v>0.19199009799168687</v>
      </c>
      <c r="N19" s="88">
        <f>AVERAGE(T17:T19)</f>
        <v>4.2851126457938049</v>
      </c>
      <c r="O19" s="89">
        <f>N19/N16-1</f>
        <v>0.16185987486798048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si="1"/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2"/>
        <v>-0.14659205332771075</v>
      </c>
      <c r="H20" s="90">
        <f t="shared" si="3"/>
        <v>3.9551092815713007E-2</v>
      </c>
      <c r="I20" s="130">
        <f t="shared" si="0"/>
        <v>4.7348210206516335</v>
      </c>
      <c r="J20" s="130">
        <f t="shared" si="4"/>
        <v>0.16394931529919399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si="1"/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2"/>
        <v>6.5275998900162779E-2</v>
      </c>
      <c r="H21" s="90">
        <f t="shared" si="3"/>
        <v>0.17610333119666288</v>
      </c>
      <c r="I21" s="130">
        <f t="shared" si="0"/>
        <v>4.0055284973940815</v>
      </c>
      <c r="J21" s="130">
        <f t="shared" si="4"/>
        <v>2.8952807930307189E-2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si="1"/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0.18478809785061445</v>
      </c>
      <c r="F22" s="78">
        <f>Q22/21</f>
        <v>2847331.4285714286</v>
      </c>
      <c r="G22" s="90">
        <f t="shared" si="2"/>
        <v>0.15946097148095251</v>
      </c>
      <c r="H22" s="90">
        <f t="shared" si="3"/>
        <v>0.34555799490706618</v>
      </c>
      <c r="I22" s="130">
        <f t="shared" si="0"/>
        <v>4.5414740812776317</v>
      </c>
      <c r="J22" s="130">
        <f t="shared" si="4"/>
        <v>0.10718019512387555</v>
      </c>
      <c r="K22" s="78">
        <f>R20+R21+R22</f>
        <v>206994199564</v>
      </c>
      <c r="L22" s="87">
        <f>U22/U19-1</f>
        <v>3.5343722479405537E-2</v>
      </c>
      <c r="M22" s="87">
        <f>U22/U10-1</f>
        <v>0.16769377421072984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si="1"/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si="2"/>
        <v>-0.20320127651689235</v>
      </c>
      <c r="H23" s="90">
        <f t="shared" si="3"/>
        <v>0.10027729931825813</v>
      </c>
      <c r="I23" s="130">
        <f t="shared" si="0"/>
        <v>4.2462707937185931</v>
      </c>
      <c r="J23" s="130">
        <f t="shared" si="4"/>
        <v>0.10022206843845449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si="2"/>
        <v>3.2548718623236494E-2</v>
      </c>
      <c r="H24" s="90">
        <f t="shared" si="3"/>
        <v>0.21468411668150122</v>
      </c>
      <c r="I24" s="130">
        <f t="shared" si="0"/>
        <v>4.4279622363872795</v>
      </c>
      <c r="J24" s="130">
        <f t="shared" si="4"/>
        <v>0.21800673093115686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si="1"/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0.1924389693384263</v>
      </c>
      <c r="F25" s="78">
        <f>Q25/19</f>
        <v>2805049.4736842103</v>
      </c>
      <c r="G25" s="90">
        <f t="shared" ref="G25" si="5">F25/F24-1</f>
        <v>0.19741121624181424</v>
      </c>
      <c r="H25" s="90">
        <f t="shared" ref="H25" si="6">F25/F13-1</f>
        <v>0.2584488877927138</v>
      </c>
      <c r="I25" s="130">
        <f t="shared" si="0"/>
        <v>4.712401763861676</v>
      </c>
      <c r="J25" s="130">
        <f t="shared" si="4"/>
        <v>0.15409220217969422</v>
      </c>
      <c r="K25" s="78">
        <f>R23+R24+R25</f>
        <v>199940020967</v>
      </c>
      <c r="L25" s="90">
        <f>U25/U22-1</f>
        <v>-3.1706705743494434E-2</v>
      </c>
      <c r="M25" s="90">
        <f>U25/U13-1</f>
        <v>0.17011301567414372</v>
      </c>
      <c r="N25" s="88">
        <f>AVERAGE(T23:T25)</f>
        <v>4.4622115979891825</v>
      </c>
      <c r="O25" s="91">
        <f>N25/N22-1</f>
        <v>7.8913256045309854E-3</v>
      </c>
      <c r="P25" s="129" t="s">
        <v>218</v>
      </c>
      <c r="Q25" s="116">
        <v>53295940</v>
      </c>
      <c r="R25" s="116">
        <v>70730255697</v>
      </c>
      <c r="S25" s="116">
        <v>11309719.050000001</v>
      </c>
      <c r="T25" s="130">
        <f t="shared" ref="T25" si="7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8">F26/F25-1</f>
        <v>-6.3995625182706073E-2</v>
      </c>
      <c r="H26" s="90">
        <f t="shared" ref="H26" si="9">F26/F14-1</f>
        <v>0.39962654372987361</v>
      </c>
      <c r="I26" s="130">
        <f t="shared" si="0"/>
        <v>4.8143691527818699</v>
      </c>
      <c r="J26" s="130">
        <f t="shared" si="4"/>
        <v>0.36634268465034925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10">Q26/S26</f>
        <v>4.8143691527818699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2810255.8636363638</v>
      </c>
      <c r="G27" s="90">
        <f t="shared" ref="G27" si="11">F27/F26-1</f>
        <v>7.0354054657636E-2</v>
      </c>
      <c r="H27" s="90">
        <f t="shared" ref="H27" si="12">F27/F15-1</f>
        <v>0.44848456436048711</v>
      </c>
      <c r="I27" s="130">
        <f t="shared" si="0"/>
        <v>5.042220182156659</v>
      </c>
      <c r="J27" s="130">
        <f t="shared" si="4"/>
        <v>0.39611349357695169</v>
      </c>
      <c r="L27" s="90"/>
      <c r="M27" s="90"/>
      <c r="P27" s="129" t="s">
        <v>377</v>
      </c>
      <c r="Q27" s="116">
        <v>61825629</v>
      </c>
      <c r="R27" s="116">
        <v>81720053763</v>
      </c>
      <c r="S27" s="116">
        <v>12261588.5</v>
      </c>
      <c r="T27" s="130">
        <f t="shared" ref="T27" si="13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0.4056876175220423</v>
      </c>
      <c r="F28" s="78">
        <f>Q28/19</f>
        <v>3094416.1578947366</v>
      </c>
      <c r="G28" s="90">
        <f t="shared" ref="G28" si="14">F28/F27-1</f>
        <v>0.10111545284374235</v>
      </c>
      <c r="H28" s="90">
        <f t="shared" ref="H28" si="15">F28/F16-1</f>
        <v>0.37387085263437236</v>
      </c>
      <c r="I28" s="130">
        <f t="shared" si="0"/>
        <v>5.4274792195455319</v>
      </c>
      <c r="J28" s="130">
        <f t="shared" si="4"/>
        <v>0.38128701593915459</v>
      </c>
      <c r="K28" s="78">
        <f>R26+R27+R28</f>
        <v>225689659524</v>
      </c>
      <c r="L28" s="90">
        <f>U28/U25-1</f>
        <v>0.1182343239409962</v>
      </c>
      <c r="M28" s="90">
        <f>U28/U16-1</f>
        <v>0.31408174697788538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16">Q28/S28</f>
        <v>5.4274792195455319</v>
      </c>
      <c r="U28" s="85">
        <f>Q26+Q27+Q28</f>
        <v>170504769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2482207.2272727271</v>
      </c>
      <c r="G29" s="190">
        <f t="shared" ref="G29" si="17">F29/F28-1</f>
        <v>-0.19784311462441473</v>
      </c>
      <c r="H29" s="190">
        <f t="shared" ref="H29" si="18">F29/F17-1</f>
        <v>9.250650520665582E-2</v>
      </c>
      <c r="I29" s="130">
        <f t="shared" si="0"/>
        <v>4.3592448589554333</v>
      </c>
      <c r="J29" s="130">
        <f t="shared" si="4"/>
        <v>4.9384075688961859E-2</v>
      </c>
      <c r="K29" s="136"/>
      <c r="L29" s="190"/>
      <c r="M29" s="190"/>
      <c r="N29" s="191"/>
      <c r="O29" s="192"/>
      <c r="P29" s="129" t="s">
        <v>427</v>
      </c>
      <c r="Q29" s="116">
        <v>54608559</v>
      </c>
      <c r="R29" s="116">
        <v>71838656093</v>
      </c>
      <c r="S29" s="116">
        <v>12527068.51</v>
      </c>
      <c r="T29" s="130">
        <f t="shared" ref="T29" si="19">Q29/S29</f>
        <v>4.3592448589554333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2681666.1052631577</v>
      </c>
      <c r="G30" s="190">
        <f t="shared" ref="G30" si="20">F30/F29-1</f>
        <v>8.0355449697719905E-2</v>
      </c>
      <c r="H30" s="190">
        <f t="shared" ref="H30" si="21">F30/F18-1</f>
        <v>0.13566894900027626</v>
      </c>
      <c r="I30" s="130">
        <f t="shared" si="0"/>
        <v>4.564663960585305</v>
      </c>
      <c r="J30" s="130">
        <f t="shared" si="4"/>
        <v>3.8978186595926223E-2</v>
      </c>
      <c r="K30" s="136"/>
      <c r="L30" s="190"/>
      <c r="M30" s="190"/>
      <c r="N30" s="191"/>
      <c r="O30" s="192"/>
      <c r="P30" s="129" t="s">
        <v>466</v>
      </c>
      <c r="Q30" s="116">
        <v>50951656</v>
      </c>
      <c r="R30" s="116">
        <v>67892075294</v>
      </c>
      <c r="S30" s="116">
        <v>11162192.1</v>
      </c>
      <c r="T30" s="130">
        <f t="shared" ref="T30" si="22">Q30/S30</f>
        <v>4.564663960585305</v>
      </c>
      <c r="U30" s="85"/>
    </row>
    <row r="31" spans="1:21" s="79" customFormat="1" ht="13.2" hidden="1">
      <c r="A31" s="129" t="s">
        <v>521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23">F31/F30-1</f>
        <v>0.10987014533933892</v>
      </c>
      <c r="H31" s="190">
        <f t="shared" ref="H31" si="24">F31/F19-1</f>
        <v>0.10182801278167508</v>
      </c>
      <c r="I31" s="130">
        <f t="shared" si="0"/>
        <v>5.8798928445407288</v>
      </c>
      <c r="J31" s="130">
        <f t="shared" si="4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527</v>
      </c>
      <c r="Q31" s="116">
        <v>59526023</v>
      </c>
      <c r="R31" s="116">
        <v>79117609530</v>
      </c>
      <c r="S31" s="116">
        <v>10123657.789999999</v>
      </c>
      <c r="T31" s="130">
        <f t="shared" ref="T31" si="25">Q31/S31</f>
        <v>5.8798928445407288</v>
      </c>
      <c r="U31" s="85">
        <f>Q29+Q30+Q31</f>
        <v>165086238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2601283.3809523811</v>
      </c>
      <c r="G32" s="190">
        <f t="shared" ref="G32" si="26">F32/F31-1</f>
        <v>-0.12600128486582041</v>
      </c>
      <c r="H32" s="190">
        <f t="shared" ref="H32" si="27">F32/F20-1</f>
        <v>0.12841258535857469</v>
      </c>
      <c r="I32" s="130">
        <f t="shared" si="0"/>
        <v>4.5621950184989881</v>
      </c>
      <c r="J32" s="130">
        <f t="shared" si="4"/>
        <v>-3.6458823131795493E-2</v>
      </c>
      <c r="K32" s="136"/>
      <c r="L32" s="190"/>
      <c r="M32" s="190"/>
      <c r="N32" s="191"/>
      <c r="O32" s="192"/>
      <c r="P32" s="129" t="s">
        <v>562</v>
      </c>
      <c r="Q32" s="116">
        <v>54626951</v>
      </c>
      <c r="R32" s="116">
        <v>74335518992</v>
      </c>
      <c r="S32" s="116">
        <v>11973830.75</v>
      </c>
      <c r="T32" s="130">
        <f t="shared" ref="T32" si="28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29">F33/F32-1</f>
        <v>0.20568080030679359</v>
      </c>
      <c r="H33" s="190">
        <f t="shared" ref="H33" si="30">F33/F21-1</f>
        <v>0.27713887330234521</v>
      </c>
      <c r="I33" s="130">
        <f t="shared" si="0"/>
        <v>5.285296559900722</v>
      </c>
      <c r="J33" s="130">
        <f t="shared" si="4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31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32">F34/F33-1</f>
        <v>-6.2320862594519633E-2</v>
      </c>
      <c r="H34" s="190">
        <f t="shared" ref="H34" si="33">F34/F22-1</f>
        <v>3.2847596013130032E-2</v>
      </c>
      <c r="I34" s="130">
        <f t="shared" si="0"/>
        <v>4.6905448506446046</v>
      </c>
      <c r="J34" s="130">
        <f t="shared" si="4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34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35">F35/F34-1</f>
        <v>-0.11582400514162805</v>
      </c>
      <c r="H35" s="190">
        <f t="shared" ref="H35" si="36">F35/F23-1</f>
        <v>0.14611008254376001</v>
      </c>
      <c r="I35" s="130">
        <f t="shared" si="0"/>
        <v>5.4225670455408199</v>
      </c>
      <c r="J35" s="130">
        <f t="shared" si="4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37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38">F36/F35-1</f>
        <v>-0.16768973860291525</v>
      </c>
      <c r="H36" s="190">
        <f t="shared" ref="H36" si="39">F36/F24-1</f>
        <v>-7.6150921320445875E-2</v>
      </c>
      <c r="I36" s="130">
        <f t="shared" si="0"/>
        <v>4.2921355434744779</v>
      </c>
      <c r="J36" s="130">
        <f t="shared" si="4"/>
        <v>-3.067476316681983E-2</v>
      </c>
      <c r="K36" s="136"/>
      <c r="L36" s="190"/>
      <c r="M36" s="190"/>
      <c r="N36" s="191"/>
      <c r="O36" s="192"/>
      <c r="P36" s="129" t="s">
        <v>664</v>
      </c>
      <c r="Q36" s="116">
        <v>45448288</v>
      </c>
      <c r="R36" s="116">
        <v>62085577154</v>
      </c>
      <c r="S36" s="116">
        <v>10588735.5</v>
      </c>
      <c r="T36" s="130">
        <f t="shared" ref="T36" si="40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41">F37/F36-1</f>
        <v>0.35969448398144288</v>
      </c>
      <c r="H37" s="190">
        <f t="shared" ref="H37" si="42">F37/F25-1</f>
        <v>4.9056898142710414E-2</v>
      </c>
      <c r="I37" s="130">
        <f t="shared" si="0"/>
        <v>4.7955621471203074</v>
      </c>
      <c r="J37" s="130">
        <f t="shared" si="4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43">Q37/S37</f>
        <v>4.7955621471203074</v>
      </c>
      <c r="U37" s="85">
        <f>Q35+Q36+Q37</f>
        <v>158221563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3068586.25</v>
      </c>
      <c r="G38" s="190">
        <f t="shared" ref="G38" si="44">F38/F37-1</f>
        <v>4.2794580339227561E-2</v>
      </c>
      <c r="H38" s="190">
        <f t="shared" ref="H38" si="45">F38/F26-1</f>
        <v>0.16874544316551554</v>
      </c>
      <c r="I38" s="130">
        <f t="shared" si="0"/>
        <v>6.0136459696194988</v>
      </c>
      <c r="J38" s="130">
        <f t="shared" si="4"/>
        <v>0.24910362682609311</v>
      </c>
      <c r="K38" s="136"/>
      <c r="L38" s="190"/>
      <c r="M38" s="190"/>
      <c r="N38" s="191"/>
      <c r="O38" s="192"/>
      <c r="P38" s="129" t="s">
        <v>728</v>
      </c>
      <c r="Q38" s="116">
        <v>61371725</v>
      </c>
      <c r="R38" s="116">
        <v>82540223909</v>
      </c>
      <c r="S38" s="116">
        <v>10205410.380000001</v>
      </c>
      <c r="T38" s="130">
        <f t="shared" ref="T38" si="46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47">F39/F38-1</f>
        <v>-0.13626273802332067</v>
      </c>
      <c r="H39" s="190">
        <f t="shared" ref="H39" si="48">F39/F27-1</f>
        <v>-5.6864422912473955E-2</v>
      </c>
      <c r="I39" s="130">
        <f t="shared" si="0"/>
        <v>4.1288563171295101</v>
      </c>
      <c r="J39" s="130">
        <f t="shared" si="4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49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50">F40/F39-1</f>
        <v>0.15366741180454047</v>
      </c>
      <c r="H40" s="190">
        <f t="shared" ref="H40" si="51">F40/F28-1</f>
        <v>-1.1852229128825442E-2</v>
      </c>
      <c r="I40" s="130">
        <f t="shared" si="0"/>
        <v>6.0294137380775226</v>
      </c>
      <c r="J40" s="130">
        <f t="shared" si="4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52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53">F41/F40-1</f>
        <v>-0.13368543948213818</v>
      </c>
      <c r="H41" s="190">
        <f t="shared" ref="H41" si="54">F41/F29-1</f>
        <v>6.718126772439148E-2</v>
      </c>
      <c r="I41" s="130">
        <f t="shared" si="0"/>
        <v>4.4258075758305608</v>
      </c>
      <c r="J41" s="130">
        <f t="shared" si="4"/>
        <v>1.5269322790708584E-2</v>
      </c>
      <c r="K41" s="193"/>
      <c r="L41" s="190"/>
      <c r="M41" s="190"/>
      <c r="N41" s="193"/>
      <c r="O41" s="193"/>
      <c r="P41" s="129" t="s">
        <v>792</v>
      </c>
      <c r="Q41" s="116">
        <v>47681371</v>
      </c>
      <c r="R41" s="116">
        <v>69736619142</v>
      </c>
      <c r="S41" s="116">
        <v>10773484.880000001</v>
      </c>
      <c r="T41" s="130">
        <f t="shared" ref="T41" si="55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56">F42/F41-1</f>
        <v>-1.9755075834543501E-2</v>
      </c>
      <c r="H42" s="190">
        <f t="shared" ref="H42" si="57">F42/F30-1</f>
        <v>-3.1708479700836456E-2</v>
      </c>
      <c r="I42" s="130">
        <f t="shared" si="0"/>
        <v>4.9594673793138906</v>
      </c>
      <c r="J42" s="130">
        <f t="shared" si="4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58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59">F43/F42-1</f>
        <v>0.19712901070348932</v>
      </c>
      <c r="H43" s="190">
        <f t="shared" ref="H43" si="60">F43/F31-1</f>
        <v>4.4419362603814516E-2</v>
      </c>
      <c r="I43" s="130">
        <f t="shared" si="0"/>
        <v>5.0968583999234864</v>
      </c>
      <c r="J43" s="130">
        <f t="shared" si="4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61">Q43/S43</f>
        <v>5.0968583999234864</v>
      </c>
      <c r="U43" s="85">
        <f>Q41+Q42+Q43</f>
        <v>161784193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2854493.0454545454</v>
      </c>
      <c r="G44" s="190">
        <f t="shared" ref="G44" si="62">F44/F43-1</f>
        <v>-8.1715608591995559E-2</v>
      </c>
      <c r="H44" s="190">
        <f t="shared" ref="H44" si="63">F44/F32-1</f>
        <v>9.7340284551950429E-2</v>
      </c>
      <c r="I44" s="130">
        <f t="shared" si="0"/>
        <v>5.3052878649120965</v>
      </c>
      <c r="J44" s="130">
        <f t="shared" si="4"/>
        <v>0.1628805527602355</v>
      </c>
      <c r="K44" s="136"/>
      <c r="L44" s="190"/>
      <c r="M44" s="190"/>
      <c r="N44" s="191"/>
      <c r="O44" s="192"/>
      <c r="P44" s="129" t="s">
        <v>843</v>
      </c>
      <c r="Q44" s="116">
        <v>62798847</v>
      </c>
      <c r="R44" s="116">
        <v>91101401648</v>
      </c>
      <c r="S44" s="116">
        <v>11837029.130000001</v>
      </c>
      <c r="T44" s="130">
        <f t="shared" ref="T44" si="64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65">F45/F44-1</f>
        <v>0.19726045766413502</v>
      </c>
      <c r="H45" s="190">
        <f t="shared" ref="H45" si="66">F45/F33-1</f>
        <v>8.9676580204026246E-2</v>
      </c>
      <c r="I45" s="130">
        <f t="shared" si="0"/>
        <v>6.2506189331870647</v>
      </c>
      <c r="J45" s="130">
        <f t="shared" si="4"/>
        <v>0.18264299123916627</v>
      </c>
      <c r="K45" s="136"/>
      <c r="L45" s="190"/>
      <c r="M45" s="190"/>
      <c r="N45" s="191"/>
      <c r="O45" s="192"/>
      <c r="P45" s="129" t="s">
        <v>849</v>
      </c>
      <c r="Q45" s="116">
        <v>68351433</v>
      </c>
      <c r="R45" s="116">
        <v>96114823146</v>
      </c>
      <c r="S45" s="116">
        <v>10935146.380000001</v>
      </c>
      <c r="T45" s="130">
        <f t="shared" ref="T45" si="67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68">F46/F45-1</f>
        <v>-2.8631969689570824E-2</v>
      </c>
      <c r="H46" s="190">
        <f t="shared" ref="H46" si="69">F46/F34-1</f>
        <v>0.12882643024025442</v>
      </c>
      <c r="I46" s="130">
        <f t="shared" si="0"/>
        <v>6.0916603317501306</v>
      </c>
      <c r="J46" s="130">
        <f t="shared" si="4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928</v>
      </c>
      <c r="Q46" s="116">
        <v>63074677</v>
      </c>
      <c r="R46" s="116">
        <v>86391288433</v>
      </c>
      <c r="S46" s="116">
        <v>10354266.91</v>
      </c>
      <c r="T46" s="130">
        <f t="shared" ref="T46" si="70">Q46/S46</f>
        <v>6.0916603317501306</v>
      </c>
      <c r="U46" s="85">
        <f t="shared" ref="U46:U51" si="71">Q44+Q45+Q46</f>
        <v>194224957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2880682.5217391304</v>
      </c>
      <c r="G47" s="190">
        <f t="shared" ref="G47" si="72">F47/F46-1</f>
        <v>-0.13225131675199109</v>
      </c>
      <c r="H47" s="190">
        <f t="shared" ref="H47" si="73">F47/F35-1</f>
        <v>0.10785370124579585</v>
      </c>
      <c r="I47" s="130">
        <f t="shared" si="0"/>
        <v>5.3184608894187386</v>
      </c>
      <c r="J47" s="130">
        <f t="shared" si="4"/>
        <v>-1.9198684912101083E-2</v>
      </c>
      <c r="K47" s="136"/>
      <c r="L47" s="190"/>
      <c r="M47" s="190"/>
      <c r="N47" s="191"/>
      <c r="O47" s="192"/>
      <c r="P47" s="129" t="s">
        <v>991</v>
      </c>
      <c r="Q47" s="116">
        <v>66255698</v>
      </c>
      <c r="R47" s="116">
        <v>90864814024</v>
      </c>
      <c r="S47" s="116">
        <v>12457682.66</v>
      </c>
      <c r="T47" s="130">
        <f t="shared" ref="T47" si="74">Q47/S47</f>
        <v>5.3184608894187386</v>
      </c>
      <c r="U47" s="85">
        <f t="shared" si="71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75">F48/F47-1</f>
        <v>-4.2321469468180606E-3</v>
      </c>
      <c r="H48" s="190">
        <f t="shared" ref="H48" si="76">F48/F36-1</f>
        <v>0.32542532845241601</v>
      </c>
      <c r="I48" s="130">
        <f t="shared" si="0"/>
        <v>4.8211717933177489</v>
      </c>
      <c r="J48" s="130">
        <f t="shared" si="4"/>
        <v>0.12325711629670888</v>
      </c>
      <c r="K48" s="136"/>
      <c r="L48" s="190"/>
      <c r="M48" s="190"/>
      <c r="N48" s="191"/>
      <c r="O48" s="192"/>
      <c r="P48" s="129" t="s">
        <v>1150</v>
      </c>
      <c r="Q48" s="116">
        <v>57369821</v>
      </c>
      <c r="R48" s="116">
        <v>79601595837</v>
      </c>
      <c r="S48" s="116">
        <v>11899559.58</v>
      </c>
      <c r="T48" s="130">
        <f t="shared" ref="T48" si="77">Q48/S48</f>
        <v>4.8211717933177489</v>
      </c>
      <c r="U48" s="85">
        <f t="shared" si="71"/>
        <v>186700196</v>
      </c>
    </row>
    <row r="49" spans="1:26" ht="13.2">
      <c r="A49" s="129" t="s">
        <v>1207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78">F49/F48-1</f>
        <v>9.5931826722498004E-2</v>
      </c>
      <c r="H49" s="190">
        <f t="shared" ref="H49" si="79">F49/F37-1</f>
        <v>6.8310431871214439E-2</v>
      </c>
      <c r="I49" s="130">
        <f t="shared" si="0"/>
        <v>5.5138076971530419</v>
      </c>
      <c r="J49" s="130">
        <f t="shared" si="4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1196</v>
      </c>
      <c r="Q49" s="116">
        <v>69160754</v>
      </c>
      <c r="R49" s="116">
        <v>96120044459</v>
      </c>
      <c r="S49" s="116">
        <v>12543192.98</v>
      </c>
      <c r="T49" s="130">
        <f t="shared" ref="T49" si="80">Q49/S49</f>
        <v>5.5138076971530419</v>
      </c>
      <c r="U49" s="85">
        <f t="shared" si="71"/>
        <v>192786273</v>
      </c>
      <c r="V49" s="79"/>
      <c r="W49" s="79"/>
      <c r="X49" s="79"/>
      <c r="Y49" s="79"/>
      <c r="Z49" s="79"/>
    </row>
    <row r="50" spans="1:26" ht="13.2">
      <c r="A50" s="129" t="s">
        <v>1321</v>
      </c>
      <c r="B50" s="188"/>
      <c r="C50" s="188"/>
      <c r="D50" s="190"/>
      <c r="E50" s="287"/>
      <c r="F50" s="136">
        <f>Q50/18</f>
        <v>3143235.888888889</v>
      </c>
      <c r="G50" s="190">
        <f t="shared" ref="G50" si="81">F50/F49-1</f>
        <v>-1.3829294637879297E-4</v>
      </c>
      <c r="H50" s="190">
        <f t="shared" ref="H50" si="82">F50/F38-1</f>
        <v>2.4327046009832376E-2</v>
      </c>
      <c r="I50" s="130">
        <f t="shared" ref="I50" si="83">T50</f>
        <v>5.9702709887550212</v>
      </c>
      <c r="J50" s="130">
        <f t="shared" ref="J50" si="84">I50/I38-1</f>
        <v>-7.2127592950441688E-3</v>
      </c>
      <c r="K50" s="136"/>
      <c r="L50" s="190"/>
      <c r="M50" s="190"/>
      <c r="N50" s="191"/>
      <c r="O50" s="192"/>
      <c r="P50" s="129" t="s">
        <v>1293</v>
      </c>
      <c r="Q50" s="116">
        <v>56578246</v>
      </c>
      <c r="R50" s="116">
        <v>79967214377</v>
      </c>
      <c r="S50" s="116">
        <v>9476662.9700000007</v>
      </c>
      <c r="T50" s="130">
        <f t="shared" ref="T50" si="85">Q50/S50</f>
        <v>5.9702709887550212</v>
      </c>
      <c r="U50" s="85">
        <f t="shared" si="71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86">F51/F50-1</f>
        <v>1.9616078236147416E-2</v>
      </c>
      <c r="H51" s="190">
        <f t="shared" ref="H51:H52" si="87">F51/F39-1</f>
        <v>0.20918752896405923</v>
      </c>
      <c r="I51" s="130">
        <f t="shared" ref="I51:I52" si="88">T51</f>
        <v>5.347881845885408</v>
      </c>
      <c r="J51" s="130">
        <f t="shared" ref="J51:J52" si="89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90">Q51/S51</f>
        <v>5.347881845885408</v>
      </c>
      <c r="U51" s="85">
        <f t="shared" si="71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86"/>
        <v>6.7739448190800688E-2</v>
      </c>
      <c r="H52" s="190">
        <f t="shared" si="87"/>
        <v>0.11912429156317872</v>
      </c>
      <c r="I52" s="130">
        <f t="shared" si="88"/>
        <v>6.6454151445725342</v>
      </c>
      <c r="J52" s="130">
        <f t="shared" si="89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90"/>
        <v>6.6454151445725342</v>
      </c>
      <c r="U52" s="85">
        <f t="shared" ref="U52" si="91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92">F53/F52-1</f>
        <v>-8.3065278974479351E-2</v>
      </c>
      <c r="H53" s="190">
        <f t="shared" ref="H53" si="93">F53/F41-1</f>
        <v>0.18451653342170649</v>
      </c>
      <c r="I53" s="130">
        <f t="shared" ref="I53" si="94">T53</f>
        <v>5.355278776042808</v>
      </c>
      <c r="J53" s="130">
        <f t="shared" ref="J53" si="95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96">Q53/S53</f>
        <v>5.355278776042808</v>
      </c>
      <c r="U53" s="85">
        <f t="shared" ref="U53" si="97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98">F54/F53-1</f>
        <v>7.7471885786137396E-2</v>
      </c>
      <c r="H54" s="190">
        <f t="shared" ref="H54" si="99">F54/F42-1</f>
        <v>0.30200445985203528</v>
      </c>
      <c r="I54" s="130">
        <f t="shared" ref="I54" si="100">T54</f>
        <v>5.8026395018966248</v>
      </c>
      <c r="J54" s="130">
        <f t="shared" ref="J54" si="101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02">Q54/S54</f>
        <v>5.8026395018966248</v>
      </c>
      <c r="U54" s="85">
        <f t="shared" ref="U54" si="103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04">F55/F54-1</f>
        <v>-1.8715003505023531E-2</v>
      </c>
      <c r="H55" s="190">
        <f t="shared" ref="H55" si="105">F55/F43-1</f>
        <v>6.7251257298950762E-2</v>
      </c>
      <c r="I55" s="130">
        <f>T55</f>
        <v>5.8823929876258996</v>
      </c>
      <c r="J55" s="130">
        <f t="shared" ref="J55" si="106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07">Q55/S55</f>
        <v>5.8823929876258996</v>
      </c>
      <c r="U55" s="85">
        <f t="shared" ref="U55" si="108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09">F56/F55-1</f>
        <v>5.5280941520076343E-2</v>
      </c>
      <c r="H56" s="190">
        <f t="shared" ref="H56" si="110">F56/F44-1</f>
        <v>0.22647180130552402</v>
      </c>
      <c r="I56" s="291">
        <f>T56</f>
        <v>5.7247557376769622</v>
      </c>
      <c r="J56" s="130">
        <f t="shared" ref="J56" si="111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12">Q56/S56</f>
        <v>5.7247557376769622</v>
      </c>
      <c r="U56" s="85">
        <f t="shared" ref="U56" si="113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3369100.25</v>
      </c>
      <c r="G57" s="254">
        <f t="shared" ref="G57" si="114">F57/F56-1</f>
        <v>-3.7662571702021808E-2</v>
      </c>
      <c r="H57" s="254">
        <f t="shared" ref="H57" si="115">F57/F45-1</f>
        <v>-1.4182994524781889E-2</v>
      </c>
      <c r="I57" s="282">
        <f>T57</f>
        <v>6.5759363658019421</v>
      </c>
      <c r="J57" s="277">
        <f t="shared" ref="J57" si="116">I57/I45-1</f>
        <v>5.2045635175044014E-2</v>
      </c>
      <c r="K57" s="204"/>
      <c r="L57" s="254"/>
      <c r="M57" s="254"/>
      <c r="N57" s="257"/>
      <c r="O57" s="258"/>
      <c r="P57" s="129" t="s">
        <v>1436</v>
      </c>
      <c r="Q57" s="116">
        <v>40429203</v>
      </c>
      <c r="R57" s="116">
        <v>59510992216</v>
      </c>
      <c r="S57" s="116">
        <v>6148052.6500000004</v>
      </c>
      <c r="T57" s="130">
        <f t="shared" ref="T57" si="117">Q57/S57</f>
        <v>6.5759363658019421</v>
      </c>
      <c r="U57" s="85">
        <f t="shared" ref="U57" si="118">Q55+Q56+Q57</f>
        <v>187118926</v>
      </c>
      <c r="V57" s="79"/>
      <c r="W57" s="79"/>
      <c r="X57" s="79"/>
      <c r="Y57" s="79"/>
      <c r="Z57" s="79"/>
    </row>
    <row r="58" spans="1:26">
      <c r="B58" s="196">
        <f>SUM(F56:F58)</f>
        <v>6870055.4772727266</v>
      </c>
      <c r="C58" s="196">
        <f>AVERAGE(F56:F58)</f>
        <v>3435027.7386363633</v>
      </c>
      <c r="D58" s="197">
        <f>C58/C55-1</f>
        <v>4.7676577415810772E-2</v>
      </c>
      <c r="E58" s="233">
        <f>C58/C46-1</f>
        <v>7.4365586044611742E-2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310485633</v>
      </c>
      <c r="R64" s="212">
        <v>456297928714</v>
      </c>
      <c r="S64" s="213">
        <v>53654733.479999997</v>
      </c>
      <c r="T64" s="214">
        <v>1605</v>
      </c>
      <c r="U64" s="214">
        <v>3312</v>
      </c>
    </row>
    <row r="65" spans="16:21" ht="18" thickBot="1">
      <c r="P65" s="180" t="s">
        <v>976</v>
      </c>
      <c r="Q65" s="181">
        <v>65892601</v>
      </c>
      <c r="R65" s="181">
        <v>96060616028</v>
      </c>
      <c r="S65" s="182">
        <v>12304233.59</v>
      </c>
      <c r="T65" s="210">
        <v>742</v>
      </c>
      <c r="U65" s="210">
        <v>1329</v>
      </c>
    </row>
    <row r="66" spans="16:21" ht="18" thickBot="1">
      <c r="P66" s="180" t="s">
        <v>977</v>
      </c>
      <c r="Q66" s="181">
        <v>57474106</v>
      </c>
      <c r="R66" s="181">
        <v>83237945572</v>
      </c>
      <c r="S66" s="182">
        <v>9904821.0700000003</v>
      </c>
      <c r="T66" s="210">
        <v>665</v>
      </c>
      <c r="U66" s="210">
        <v>1214</v>
      </c>
    </row>
    <row r="67" spans="16:21" ht="18" thickBot="1">
      <c r="P67" s="180" t="s">
        <v>978</v>
      </c>
      <c r="Q67" s="181">
        <v>69668708</v>
      </c>
      <c r="R67" s="181">
        <v>102493473236</v>
      </c>
      <c r="S67" s="182">
        <v>11843599.73</v>
      </c>
      <c r="T67" s="210">
        <v>795</v>
      </c>
      <c r="U67" s="210">
        <v>1368</v>
      </c>
    </row>
    <row r="68" spans="16:21" ht="18" thickBot="1">
      <c r="P68" s="180" t="s">
        <v>979</v>
      </c>
      <c r="Q68" s="181">
        <v>77021015</v>
      </c>
      <c r="R68" s="181">
        <v>114994901662</v>
      </c>
      <c r="S68" s="182">
        <v>13454026.43</v>
      </c>
      <c r="T68" s="210">
        <v>843</v>
      </c>
      <c r="U68" s="210">
        <v>1321</v>
      </c>
    </row>
    <row r="69" spans="16:21" ht="18" thickBot="1">
      <c r="P69" s="180" t="s">
        <v>980</v>
      </c>
      <c r="Q69" s="181">
        <v>40429203</v>
      </c>
      <c r="R69" s="181">
        <v>59510992216</v>
      </c>
      <c r="S69" s="182">
        <v>6148052.6500000004</v>
      </c>
      <c r="T69" s="210">
        <v>598</v>
      </c>
      <c r="U69" s="210">
        <v>859</v>
      </c>
    </row>
    <row r="70" spans="16:21" ht="18" thickBot="1">
      <c r="P70" s="180" t="s">
        <v>975</v>
      </c>
      <c r="Q70" s="181">
        <v>741086356</v>
      </c>
      <c r="R70" s="181">
        <v>1053400982281</v>
      </c>
      <c r="S70" s="182">
        <v>136251350.50999999</v>
      </c>
      <c r="T70" s="210">
        <v>2494</v>
      </c>
      <c r="U70" s="210">
        <v>7051</v>
      </c>
    </row>
    <row r="71" spans="16:21" ht="18" thickBot="1">
      <c r="P71" s="215" t="s">
        <v>982</v>
      </c>
      <c r="Q71" s="216">
        <v>680253209</v>
      </c>
      <c r="R71" s="217"/>
      <c r="S71"/>
      <c r="T71"/>
      <c r="U71"/>
    </row>
  </sheetData>
  <phoneticPr fontId="1" type="noConversion"/>
  <conditionalFormatting sqref="C29:C30">
    <cfRule type="cellIs" dxfId="1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74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6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8.09765625" style="98" bestFit="1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9234.0499999999993</v>
      </c>
      <c r="G5" s="90"/>
      <c r="H5" s="90"/>
      <c r="I5" s="130">
        <f t="shared" ref="I5:I49" si="0">T5</f>
        <v>44.662877871825877</v>
      </c>
      <c r="J5" s="130"/>
      <c r="K5" s="86"/>
      <c r="L5" s="80"/>
      <c r="M5" s="80"/>
      <c r="P5" s="129" t="s">
        <v>0</v>
      </c>
      <c r="Q5" s="116">
        <v>184681</v>
      </c>
      <c r="R5" s="116"/>
      <c r="S5" s="116">
        <v>4135</v>
      </c>
      <c r="T5" s="130">
        <f t="shared" ref="T5:T11" si="1">Q5/S5</f>
        <v>44.662877871825877</v>
      </c>
      <c r="U5" s="85"/>
    </row>
    <row r="6" spans="1:21" ht="15" hidden="1" customHeight="1">
      <c r="A6" s="129" t="s">
        <v>1</v>
      </c>
      <c r="C6" s="79"/>
      <c r="F6" s="78">
        <f>Q6/18</f>
        <v>21158.277777777777</v>
      </c>
      <c r="G6" s="90">
        <f t="shared" ref="G6:G30" si="2">F6/F5-1</f>
        <v>1.2913323815419862</v>
      </c>
      <c r="H6" s="90"/>
      <c r="I6" s="130">
        <f t="shared" si="0"/>
        <v>105.00096495823109</v>
      </c>
      <c r="J6" s="130"/>
      <c r="K6" s="78"/>
      <c r="P6" s="129" t="s">
        <v>1</v>
      </c>
      <c r="Q6" s="116">
        <v>380849</v>
      </c>
      <c r="R6" s="116"/>
      <c r="S6" s="116">
        <v>3627.1</v>
      </c>
      <c r="T6" s="130">
        <f t="shared" si="1"/>
        <v>105.00096495823109</v>
      </c>
      <c r="U6" s="85"/>
    </row>
    <row r="7" spans="1:21" ht="15" hidden="1" customHeight="1">
      <c r="A7" s="129" t="s">
        <v>2</v>
      </c>
      <c r="B7" s="131">
        <f>F5+F6+F7</f>
        <v>95550.236868686858</v>
      </c>
      <c r="C7" s="131">
        <f>AVERAGE(F5:F7)</f>
        <v>31850.078956228954</v>
      </c>
      <c r="F7" s="78">
        <f>Q7/22</f>
        <v>65157.909090909088</v>
      </c>
      <c r="G7" s="90">
        <f t="shared" si="2"/>
        <v>2.0795469165899441</v>
      </c>
      <c r="H7" s="90"/>
      <c r="I7" s="130">
        <f t="shared" si="0"/>
        <v>109.20708201916777</v>
      </c>
      <c r="J7" s="130"/>
      <c r="K7" s="85">
        <f>R5+R6+R7</f>
        <v>0</v>
      </c>
      <c r="N7" s="88">
        <f>AVERAGE(T5:T7)</f>
        <v>86.290308283074921</v>
      </c>
      <c r="P7" s="129" t="s">
        <v>2</v>
      </c>
      <c r="Q7" s="116">
        <v>1433474</v>
      </c>
      <c r="R7" s="116"/>
      <c r="S7" s="116">
        <v>13126.2</v>
      </c>
      <c r="T7" s="130">
        <f t="shared" si="1"/>
        <v>109.20708201916777</v>
      </c>
      <c r="U7" s="85">
        <f>Q5+Q6+Q7</f>
        <v>1999004</v>
      </c>
    </row>
    <row r="8" spans="1:21" ht="15" hidden="1" customHeight="1">
      <c r="A8" s="129" t="s">
        <v>3</v>
      </c>
      <c r="C8" s="79"/>
      <c r="F8" s="78">
        <f>Q8/21</f>
        <v>57244.047619047618</v>
      </c>
      <c r="G8" s="90">
        <f t="shared" si="2"/>
        <v>-0.12145665172926212</v>
      </c>
      <c r="H8" s="90"/>
      <c r="I8" s="130">
        <f t="shared" si="0"/>
        <v>41.738132603744241</v>
      </c>
      <c r="J8" s="130"/>
      <c r="K8" s="78"/>
      <c r="P8" s="129" t="s">
        <v>3</v>
      </c>
      <c r="Q8" s="116">
        <v>1202125</v>
      </c>
      <c r="R8" s="116"/>
      <c r="S8" s="116">
        <v>28801.599999999999</v>
      </c>
      <c r="T8" s="130">
        <f t="shared" si="1"/>
        <v>41.738132603744241</v>
      </c>
      <c r="U8" s="85"/>
    </row>
    <row r="9" spans="1:21" ht="15" hidden="1" customHeight="1">
      <c r="A9" s="129" t="s">
        <v>4</v>
      </c>
      <c r="C9" s="79"/>
      <c r="F9" s="78">
        <f>Q9/21</f>
        <v>269920.33333333331</v>
      </c>
      <c r="G9" s="90">
        <f t="shared" si="2"/>
        <v>3.7152559010086303</v>
      </c>
      <c r="H9" s="90"/>
      <c r="I9" s="130">
        <f t="shared" si="0"/>
        <v>217.28134163871587</v>
      </c>
      <c r="J9" s="130"/>
      <c r="K9" s="78"/>
      <c r="P9" s="129" t="s">
        <v>4</v>
      </c>
      <c r="Q9" s="116">
        <v>5668327</v>
      </c>
      <c r="R9" s="116"/>
      <c r="S9" s="116">
        <v>26087.5</v>
      </c>
      <c r="T9" s="130">
        <f t="shared" si="1"/>
        <v>217.28134163871587</v>
      </c>
      <c r="U9" s="85"/>
    </row>
    <row r="10" spans="1:21" ht="15" hidden="1" customHeight="1">
      <c r="A10" s="129" t="s">
        <v>5</v>
      </c>
      <c r="B10" s="131">
        <f>F8+F9+F10</f>
        <v>352171.61904761905</v>
      </c>
      <c r="C10" s="131">
        <f>AVERAGE(F8:F10)</f>
        <v>117390.53968253969</v>
      </c>
      <c r="D10" s="90">
        <f>C10/C7-1</f>
        <v>2.6857220933068202</v>
      </c>
      <c r="E10" s="286"/>
      <c r="F10" s="78">
        <f>Q10/21</f>
        <v>25007.238095238095</v>
      </c>
      <c r="G10" s="90">
        <f t="shared" si="2"/>
        <v>-0.90735326314095854</v>
      </c>
      <c r="H10" s="90"/>
      <c r="I10" s="130">
        <f t="shared" si="0"/>
        <v>103.79523668346674</v>
      </c>
      <c r="J10" s="130"/>
      <c r="K10" s="85">
        <f>R8+R9+R10</f>
        <v>0</v>
      </c>
      <c r="L10" s="87">
        <f>U10/U7-1</f>
        <v>2.6996444229226153</v>
      </c>
      <c r="N10" s="88">
        <f>AVERAGE(T8:T10)</f>
        <v>120.93823697530894</v>
      </c>
      <c r="O10" s="89">
        <f>N10/N7-1</f>
        <v>0.4015274644583684</v>
      </c>
      <c r="P10" s="129" t="s">
        <v>5</v>
      </c>
      <c r="Q10" s="116">
        <v>525152</v>
      </c>
      <c r="R10" s="116"/>
      <c r="S10" s="116">
        <v>5059.5</v>
      </c>
      <c r="T10" s="130">
        <f t="shared" si="1"/>
        <v>103.79523668346674</v>
      </c>
      <c r="U10" s="85">
        <f>Q8+Q9+Q10</f>
        <v>7395604</v>
      </c>
    </row>
    <row r="11" spans="1:21" ht="15" hidden="1" customHeight="1">
      <c r="A11" s="129" t="s">
        <v>6</v>
      </c>
      <c r="C11" s="79"/>
      <c r="F11" s="78">
        <f>Q11/21</f>
        <v>550354.90476190473</v>
      </c>
      <c r="G11" s="90">
        <f t="shared" si="2"/>
        <v>21.007824401316189</v>
      </c>
      <c r="H11" s="90"/>
      <c r="I11" s="130">
        <f t="shared" si="0"/>
        <v>56.228197649668807</v>
      </c>
      <c r="J11" s="130"/>
      <c r="K11" s="78"/>
      <c r="O11" s="89"/>
      <c r="P11" s="129" t="s">
        <v>6</v>
      </c>
      <c r="Q11" s="116">
        <v>11557453</v>
      </c>
      <c r="R11" s="116"/>
      <c r="S11" s="116">
        <v>205545.5</v>
      </c>
      <c r="T11" s="130">
        <f t="shared" si="1"/>
        <v>56.228197649668807</v>
      </c>
      <c r="U11" s="85"/>
    </row>
    <row r="12" spans="1:21" ht="15" hidden="1" customHeight="1">
      <c r="A12" s="129" t="s">
        <v>7</v>
      </c>
      <c r="C12" s="79"/>
      <c r="F12" s="78">
        <f>Q12/22</f>
        <v>863480.13636363635</v>
      </c>
      <c r="G12" s="90">
        <f t="shared" si="2"/>
        <v>0.56895146912008765</v>
      </c>
      <c r="H12" s="90"/>
      <c r="I12" s="130">
        <f t="shared" si="0"/>
        <v>373.03825904928726</v>
      </c>
      <c r="J12" s="130"/>
      <c r="K12" s="78"/>
      <c r="O12" s="89"/>
      <c r="P12" s="129" t="s">
        <v>7</v>
      </c>
      <c r="Q12" s="116">
        <v>18996563</v>
      </c>
      <c r="R12" s="116"/>
      <c r="S12" s="116">
        <v>50923.9</v>
      </c>
      <c r="T12" s="130">
        <f>Q12/S12</f>
        <v>373.03825904928726</v>
      </c>
      <c r="U12" s="85"/>
    </row>
    <row r="13" spans="1:21" ht="15" hidden="1" customHeight="1">
      <c r="A13" s="129" t="s">
        <v>35</v>
      </c>
      <c r="B13" s="131">
        <f>F11+F12+F13</f>
        <v>1783329.441125541</v>
      </c>
      <c r="C13" s="131">
        <f>AVERAGE(F11:F13)</f>
        <v>594443.147041847</v>
      </c>
      <c r="D13" s="90">
        <f>C13/C10-1</f>
        <v>4.0638079409925627</v>
      </c>
      <c r="E13" s="286"/>
      <c r="F13" s="78">
        <f>Q13/20</f>
        <v>369494.4</v>
      </c>
      <c r="G13" s="90">
        <f t="shared" si="2"/>
        <v>-0.5720869717327286</v>
      </c>
      <c r="H13" s="90"/>
      <c r="I13" s="130">
        <f t="shared" si="0"/>
        <v>83.331017921289231</v>
      </c>
      <c r="J13" s="130"/>
      <c r="K13" s="78">
        <f>R11+R12+R13</f>
        <v>0</v>
      </c>
      <c r="L13" s="87">
        <f>U13/U10-1</f>
        <v>4.1306024497796257</v>
      </c>
      <c r="N13" s="88">
        <f>AVERAGE(T11:T13)</f>
        <v>170.86582487341511</v>
      </c>
      <c r="O13" s="89">
        <f>N13/N10-1</f>
        <v>0.41283542035013721</v>
      </c>
      <c r="P13" s="129" t="s">
        <v>35</v>
      </c>
      <c r="Q13" s="116">
        <v>7389888</v>
      </c>
      <c r="R13" s="116"/>
      <c r="S13" s="116">
        <v>88681.12</v>
      </c>
      <c r="T13" s="130">
        <f>Q13/S13</f>
        <v>83.331017921289231</v>
      </c>
      <c r="U13" s="85">
        <f>Q11+Q12+Q13</f>
        <v>37943904</v>
      </c>
    </row>
    <row r="14" spans="1:21" ht="15" hidden="1" customHeight="1">
      <c r="A14" s="129" t="s">
        <v>36</v>
      </c>
      <c r="C14" s="79"/>
      <c r="F14" s="78">
        <f>Q14/20</f>
        <v>7275913.4000000004</v>
      </c>
      <c r="G14" s="90">
        <f t="shared" si="2"/>
        <v>18.691539032797248</v>
      </c>
      <c r="H14" s="90"/>
      <c r="I14" s="130">
        <f t="shared" si="0"/>
        <v>259.67096342286095</v>
      </c>
      <c r="J14" s="130"/>
      <c r="K14" s="78"/>
      <c r="O14" s="89"/>
      <c r="P14" s="129" t="s">
        <v>36</v>
      </c>
      <c r="Q14" s="116">
        <v>145518268</v>
      </c>
      <c r="R14" s="116"/>
      <c r="S14" s="116">
        <v>560394.84</v>
      </c>
      <c r="T14" s="130">
        <f>Q14/S14</f>
        <v>259.67096342286095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524843.59090909094</v>
      </c>
      <c r="G15" s="90">
        <f t="shared" si="2"/>
        <v>-0.92786560778622096</v>
      </c>
      <c r="H15" s="90"/>
      <c r="I15" s="130">
        <f t="shared" si="0"/>
        <v>337.3829107728809</v>
      </c>
      <c r="J15" s="130"/>
      <c r="K15" s="78"/>
      <c r="O15" s="89"/>
      <c r="P15" s="129" t="s">
        <v>37</v>
      </c>
      <c r="Q15" s="116">
        <v>11546559</v>
      </c>
      <c r="R15" s="116"/>
      <c r="S15" s="116">
        <v>34223.9</v>
      </c>
      <c r="T15" s="130">
        <f t="shared" ref="T15:T30" si="3">Q15/S15</f>
        <v>337.3829107728809</v>
      </c>
      <c r="U15" s="78"/>
    </row>
    <row r="16" spans="1:21" ht="15" hidden="1" customHeight="1">
      <c r="A16" s="123" t="s">
        <v>38</v>
      </c>
      <c r="B16" s="131">
        <f>F14+F15+F16</f>
        <v>9297035.0363636371</v>
      </c>
      <c r="C16" s="131">
        <f>AVERAGE(F14:F16)</f>
        <v>3099011.6787878792</v>
      </c>
      <c r="D16" s="90">
        <f>C16/C13-1</f>
        <v>4.2133020528701932</v>
      </c>
      <c r="E16" s="286"/>
      <c r="F16" s="78">
        <f>Q16/22</f>
        <v>1496278.0454545454</v>
      </c>
      <c r="G16" s="90">
        <f t="shared" si="2"/>
        <v>1.8509027667896554</v>
      </c>
      <c r="H16" s="90"/>
      <c r="I16" s="130">
        <f t="shared" si="0"/>
        <v>127.21633916053824</v>
      </c>
      <c r="J16" s="130"/>
      <c r="K16" s="78">
        <f>R14+R15+R16</f>
        <v>0</v>
      </c>
      <c r="L16" s="87">
        <f>U16/U13-1</f>
        <v>4.0069424590574547</v>
      </c>
      <c r="N16" s="88">
        <f>AVERAGE(T14:T16)</f>
        <v>241.42340445209337</v>
      </c>
      <c r="O16" s="89">
        <f>N16/N13-1</f>
        <v>0.41294143888018797</v>
      </c>
      <c r="P16" s="123" t="s">
        <v>38</v>
      </c>
      <c r="Q16" s="133">
        <v>32918117</v>
      </c>
      <c r="R16" s="133"/>
      <c r="S16" s="133">
        <v>258756.99</v>
      </c>
      <c r="T16" s="134">
        <f t="shared" si="3"/>
        <v>127.21633916053824</v>
      </c>
      <c r="U16" s="85">
        <f>Q14+Q15+Q16</f>
        <v>189982944</v>
      </c>
    </row>
    <row r="17" spans="1:21" ht="15" hidden="1" customHeight="1">
      <c r="A17" s="129" t="s">
        <v>85</v>
      </c>
      <c r="C17" s="79"/>
      <c r="F17" s="78">
        <f>Q17/20</f>
        <v>3626805.25</v>
      </c>
      <c r="G17" s="90">
        <f t="shared" si="2"/>
        <v>1.4238845587674409</v>
      </c>
      <c r="H17" s="90">
        <f t="shared" ref="H17:H30" si="4">F17/F5-1</f>
        <v>391.76430710251736</v>
      </c>
      <c r="I17" s="130">
        <f t="shared" si="0"/>
        <v>185.41356205608045</v>
      </c>
      <c r="J17" s="130">
        <f t="shared" ref="J17:J49" si="5">I17/I5-1</f>
        <v>3.1514020343288838</v>
      </c>
      <c r="K17" s="78"/>
      <c r="O17" s="89"/>
      <c r="P17" s="129" t="s">
        <v>85</v>
      </c>
      <c r="Q17" s="116">
        <v>72536105</v>
      </c>
      <c r="R17" s="116"/>
      <c r="S17" s="116">
        <v>391212.51</v>
      </c>
      <c r="T17" s="130">
        <f t="shared" si="3"/>
        <v>185.41356205608045</v>
      </c>
      <c r="U17" s="78"/>
    </row>
    <row r="18" spans="1:21" hidden="1">
      <c r="A18" s="129" t="s">
        <v>106</v>
      </c>
      <c r="C18" s="79"/>
      <c r="F18" s="78">
        <f>Q18/20</f>
        <v>121845.9</v>
      </c>
      <c r="G18" s="90">
        <f t="shared" si="2"/>
        <v>-0.96640406870481943</v>
      </c>
      <c r="H18" s="90">
        <f t="shared" si="4"/>
        <v>4.7587815643470242</v>
      </c>
      <c r="I18" s="130">
        <f t="shared" si="0"/>
        <v>21.598483357883932</v>
      </c>
      <c r="J18" s="130">
        <f t="shared" si="5"/>
        <v>-0.79430204887663924</v>
      </c>
      <c r="K18" s="78"/>
      <c r="O18" s="89"/>
      <c r="P18" s="129" t="s">
        <v>106</v>
      </c>
      <c r="Q18" s="116">
        <v>2436918</v>
      </c>
      <c r="R18" s="116"/>
      <c r="S18" s="116">
        <v>112828.2</v>
      </c>
      <c r="T18" s="130">
        <f t="shared" si="3"/>
        <v>21.598483357883932</v>
      </c>
      <c r="U18" s="78"/>
    </row>
    <row r="19" spans="1:21" hidden="1">
      <c r="A19" s="129" t="s">
        <v>114</v>
      </c>
      <c r="B19" s="131">
        <f>SUM(F17:F19)</f>
        <v>8462355.831818182</v>
      </c>
      <c r="C19" s="131">
        <f>AVERAGE(F17:F19)</f>
        <v>2820785.2772727273</v>
      </c>
      <c r="D19" s="90">
        <f>C19/C16-1</f>
        <v>-8.9779074864272501E-2</v>
      </c>
      <c r="E19" s="286">
        <f>C19/C7-1</f>
        <v>87.564467333009972</v>
      </c>
      <c r="F19" s="78">
        <f>Q19/22</f>
        <v>4713704.6818181816</v>
      </c>
      <c r="G19" s="90">
        <f t="shared" si="2"/>
        <v>37.685788211324159</v>
      </c>
      <c r="H19" s="90">
        <f t="shared" si="4"/>
        <v>71.342786126570829</v>
      </c>
      <c r="I19" s="130">
        <f t="shared" si="0"/>
        <v>222.85745753627668</v>
      </c>
      <c r="J19" s="130">
        <f t="shared" si="5"/>
        <v>1.040686862205157</v>
      </c>
      <c r="K19" s="78">
        <f>R17+R18+R19</f>
        <v>0</v>
      </c>
      <c r="L19" s="87">
        <f>U19/U16-1</f>
        <v>-5.9523332789284455E-2</v>
      </c>
      <c r="M19" s="87">
        <f>U19/U7-1</f>
        <v>88.381775124011753</v>
      </c>
      <c r="N19" s="88">
        <f>AVERAGE(T17:T19)</f>
        <v>143.28983431674703</v>
      </c>
      <c r="O19" s="89">
        <f>N19/N16-1</f>
        <v>-0.40647910817950283</v>
      </c>
      <c r="P19" s="129" t="s">
        <v>114</v>
      </c>
      <c r="Q19" s="116">
        <v>103701503</v>
      </c>
      <c r="R19" s="116"/>
      <c r="S19" s="116">
        <v>465326.6</v>
      </c>
      <c r="T19" s="130">
        <f t="shared" si="3"/>
        <v>222.85745753627668</v>
      </c>
      <c r="U19" s="85">
        <f>Q17+Q18+Q19</f>
        <v>178674526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5069928.75</v>
      </c>
      <c r="G20" s="90">
        <f t="shared" si="2"/>
        <v>7.5571995325853791E-2</v>
      </c>
      <c r="H20" s="90">
        <f t="shared" si="4"/>
        <v>87.566915878132477</v>
      </c>
      <c r="I20" s="130">
        <f t="shared" si="0"/>
        <v>185.26361610792944</v>
      </c>
      <c r="J20" s="130">
        <f t="shared" si="5"/>
        <v>3.4387135827756179</v>
      </c>
      <c r="K20" s="78"/>
      <c r="O20" s="89"/>
      <c r="P20" s="129" t="s">
        <v>131</v>
      </c>
      <c r="Q20" s="116">
        <v>101398575</v>
      </c>
      <c r="R20" s="116"/>
      <c r="S20" s="116">
        <v>547320.5</v>
      </c>
      <c r="T20" s="130">
        <f t="shared" si="3"/>
        <v>185.26361610792944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317886.09523809527</v>
      </c>
      <c r="G21" s="90">
        <f t="shared" si="2"/>
        <v>-0.93729969178795747</v>
      </c>
      <c r="H21" s="90">
        <f t="shared" si="4"/>
        <v>0.17770340349101255</v>
      </c>
      <c r="I21" s="130">
        <f t="shared" si="0"/>
        <v>42.431500819632014</v>
      </c>
      <c r="J21" s="130">
        <f t="shared" si="5"/>
        <v>-0.80471631618427275</v>
      </c>
      <c r="K21" s="78"/>
      <c r="O21" s="89"/>
      <c r="P21" s="129" t="s">
        <v>141</v>
      </c>
      <c r="Q21" s="116">
        <v>6675608</v>
      </c>
      <c r="R21" s="116"/>
      <c r="S21" s="116">
        <v>157326.70000000001</v>
      </c>
      <c r="T21" s="130">
        <f t="shared" si="3"/>
        <v>42.431500819632014</v>
      </c>
      <c r="U21" s="78"/>
    </row>
    <row r="22" spans="1:21" hidden="1">
      <c r="A22" s="129" t="s">
        <v>155</v>
      </c>
      <c r="B22" s="131">
        <f>SUM(F20:F22)</f>
        <v>6132831.5595238097</v>
      </c>
      <c r="C22" s="131">
        <f>AVERAGE(F20:F22)</f>
        <v>2044277.1865079366</v>
      </c>
      <c r="D22" s="90">
        <f>C22/C19-1</f>
        <v>-0.27528082233737283</v>
      </c>
      <c r="E22" s="286">
        <f>C22/C10-1</f>
        <v>16.414326503961</v>
      </c>
      <c r="F22" s="78">
        <f>Q22/21</f>
        <v>745016.71428571432</v>
      </c>
      <c r="G22" s="90">
        <f t="shared" si="2"/>
        <v>1.3436593341011034</v>
      </c>
      <c r="H22" s="90">
        <f t="shared" si="4"/>
        <v>28.792043065626714</v>
      </c>
      <c r="I22" s="130">
        <f t="shared" si="0"/>
        <v>45.70775935277512</v>
      </c>
      <c r="J22" s="130">
        <f t="shared" si="5"/>
        <v>-0.55963528950596064</v>
      </c>
      <c r="K22" s="78">
        <f>R20+R21+R22</f>
        <v>0</v>
      </c>
      <c r="L22" s="87">
        <f>U22/U19-1</f>
        <v>-0.30757038079395826</v>
      </c>
      <c r="M22" s="87">
        <f>U22/U10-1</f>
        <v>15.728793753694763</v>
      </c>
      <c r="N22" s="88">
        <f>AVERAGE(T20:T22)</f>
        <v>91.134292093445524</v>
      </c>
      <c r="O22" s="89">
        <f>N22/N19-1</f>
        <v>-0.36398633910072031</v>
      </c>
      <c r="P22" s="129" t="s">
        <v>155</v>
      </c>
      <c r="Q22" s="116">
        <v>15645351</v>
      </c>
      <c r="R22" s="116"/>
      <c r="S22" s="116">
        <v>342290.92</v>
      </c>
      <c r="T22" s="130">
        <f t="shared" si="3"/>
        <v>45.70775935277512</v>
      </c>
      <c r="U22" s="85">
        <f>Q20+Q21+Q22</f>
        <v>123719534</v>
      </c>
    </row>
    <row r="23" spans="1:21" hidden="1">
      <c r="A23" s="129" t="s">
        <v>189</v>
      </c>
      <c r="B23" s="131"/>
      <c r="C23" s="131"/>
      <c r="F23" s="78">
        <f>Q23/21</f>
        <v>59055.714285714283</v>
      </c>
      <c r="G23" s="90">
        <f t="shared" si="2"/>
        <v>-0.9207323632432407</v>
      </c>
      <c r="H23" s="90">
        <f t="shared" si="4"/>
        <v>-0.89269521580576616</v>
      </c>
      <c r="I23" s="130">
        <f t="shared" si="0"/>
        <v>21.644460283845639</v>
      </c>
      <c r="J23" s="130">
        <f t="shared" si="5"/>
        <v>-0.61506039338657104</v>
      </c>
      <c r="K23" s="98"/>
      <c r="O23" s="89"/>
      <c r="P23" s="129" t="s">
        <v>189</v>
      </c>
      <c r="Q23" s="116">
        <v>1240170</v>
      </c>
      <c r="R23" s="116"/>
      <c r="S23" s="116">
        <v>57297.34</v>
      </c>
      <c r="T23" s="130">
        <f t="shared" si="3"/>
        <v>21.644460283845639</v>
      </c>
      <c r="U23" s="78"/>
    </row>
    <row r="24" spans="1:21" hidden="1">
      <c r="A24" s="129" t="s">
        <v>204</v>
      </c>
      <c r="B24" s="131"/>
      <c r="C24" s="131"/>
      <c r="F24" s="78">
        <f>Q24/22</f>
        <v>631914.36363636365</v>
      </c>
      <c r="G24" s="90">
        <f t="shared" si="2"/>
        <v>9.7003085354134004</v>
      </c>
      <c r="H24" s="90">
        <f t="shared" si="4"/>
        <v>-0.26817730133603634</v>
      </c>
      <c r="I24" s="130">
        <f t="shared" si="0"/>
        <v>38.337992666810102</v>
      </c>
      <c r="J24" s="130">
        <f t="shared" si="5"/>
        <v>-0.89722771931083689</v>
      </c>
      <c r="K24" s="98"/>
      <c r="O24" s="89"/>
      <c r="P24" s="129" t="s">
        <v>204</v>
      </c>
      <c r="Q24" s="116">
        <v>13902116</v>
      </c>
      <c r="R24" s="116"/>
      <c r="S24" s="116">
        <v>362619.82</v>
      </c>
      <c r="T24" s="130">
        <f t="shared" si="3"/>
        <v>38.337992666810102</v>
      </c>
      <c r="U24" s="78"/>
    </row>
    <row r="25" spans="1:21" s="79" customFormat="1" ht="13.2" hidden="1">
      <c r="A25" s="129" t="s">
        <v>217</v>
      </c>
      <c r="B25" s="131">
        <f>SUM(F23:F25)</f>
        <v>1416600.130553657</v>
      </c>
      <c r="C25" s="131">
        <f>AVERAGE(F23:F25)</f>
        <v>472200.04351788567</v>
      </c>
      <c r="D25" s="90">
        <f>C25/C22-1</f>
        <v>-0.7690136902009338</v>
      </c>
      <c r="E25" s="286">
        <f>C25/C13-1</f>
        <v>-0.20564305288451035</v>
      </c>
      <c r="F25" s="78">
        <f>Q25/19</f>
        <v>725630.05263157899</v>
      </c>
      <c r="G25" s="90">
        <f t="shared" si="2"/>
        <v>0.14830441336374522</v>
      </c>
      <c r="H25" s="90">
        <f t="shared" si="4"/>
        <v>0.96384587325702076</v>
      </c>
      <c r="I25" s="130">
        <f t="shared" si="0"/>
        <v>129.41167360142737</v>
      </c>
      <c r="J25" s="130">
        <f t="shared" si="5"/>
        <v>0.55298323277010564</v>
      </c>
      <c r="K25" s="78">
        <f>R23+R24+R25</f>
        <v>0</v>
      </c>
      <c r="L25" s="90">
        <f>U25/U22-1</f>
        <v>-0.76617065984099164</v>
      </c>
      <c r="M25" s="90">
        <f>U25/U13-1</f>
        <v>-0.2375782681718781</v>
      </c>
      <c r="N25" s="88">
        <f>AVERAGE(T23:T25)</f>
        <v>63.131375517361029</v>
      </c>
      <c r="O25" s="91">
        <f>N25/N22-1</f>
        <v>-0.30727090684340208</v>
      </c>
      <c r="P25" s="129" t="s">
        <v>217</v>
      </c>
      <c r="Q25" s="116">
        <v>13786971</v>
      </c>
      <c r="R25" s="116"/>
      <c r="S25" s="116">
        <v>106535.76</v>
      </c>
      <c r="T25" s="130">
        <f t="shared" si="3"/>
        <v>129.41167360142737</v>
      </c>
      <c r="U25" s="85">
        <f>Q23+Q24+Q25</f>
        <v>28929257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661266.36842105258</v>
      </c>
      <c r="G26" s="90">
        <f t="shared" si="2"/>
        <v>-8.8700411424670556E-2</v>
      </c>
      <c r="H26" s="90">
        <f t="shared" si="4"/>
        <v>-0.90911569007665038</v>
      </c>
      <c r="I26" s="130">
        <f t="shared" si="0"/>
        <v>48.187716863329307</v>
      </c>
      <c r="J26" s="130">
        <f t="shared" si="5"/>
        <v>-0.81442778111136727</v>
      </c>
      <c r="K26" s="78"/>
      <c r="L26" s="90"/>
      <c r="M26" s="90"/>
      <c r="P26" s="129" t="s">
        <v>312</v>
      </c>
      <c r="Q26" s="116">
        <v>12564061</v>
      </c>
      <c r="R26" s="116"/>
      <c r="S26" s="116">
        <v>260731.61</v>
      </c>
      <c r="T26" s="130">
        <f t="shared" si="3"/>
        <v>48.187716863329307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922950.5</v>
      </c>
      <c r="G27" s="90">
        <f t="shared" si="2"/>
        <v>0.39573180200255331</v>
      </c>
      <c r="H27" s="90">
        <f t="shared" si="4"/>
        <v>0.7585248557600579</v>
      </c>
      <c r="I27" s="130">
        <f t="shared" si="0"/>
        <v>110.99660574663734</v>
      </c>
      <c r="J27" s="130">
        <f t="shared" si="5"/>
        <v>-0.67100703028388442</v>
      </c>
      <c r="K27" s="78"/>
      <c r="L27" s="90"/>
      <c r="M27" s="90"/>
      <c r="P27" s="129" t="s">
        <v>373</v>
      </c>
      <c r="Q27" s="116">
        <v>20304911</v>
      </c>
      <c r="R27" s="116"/>
      <c r="S27" s="116">
        <v>182932.72</v>
      </c>
      <c r="T27" s="130">
        <f t="shared" si="3"/>
        <v>110.99660574663734</v>
      </c>
      <c r="U27" s="78"/>
    </row>
    <row r="28" spans="1:21" s="79" customFormat="1" ht="13.2" hidden="1">
      <c r="A28" s="123" t="s">
        <v>413</v>
      </c>
      <c r="B28" s="131">
        <f>SUM(F26:F28)</f>
        <v>4211254.2894736845</v>
      </c>
      <c r="C28" s="131">
        <f>AVERAGE(F26:F28)</f>
        <v>1403751.4298245616</v>
      </c>
      <c r="D28" s="90">
        <f>C28/C25-1</f>
        <v>1.9727897087146102</v>
      </c>
      <c r="E28" s="286">
        <f>C28/C16-1</f>
        <v>-0.54703254607494323</v>
      </c>
      <c r="F28" s="78">
        <f>Q28/19</f>
        <v>2627037.4210526315</v>
      </c>
      <c r="G28" s="90">
        <f t="shared" si="2"/>
        <v>1.8463470370866384</v>
      </c>
      <c r="H28" s="90">
        <f t="shared" si="4"/>
        <v>0.75571474100896752</v>
      </c>
      <c r="I28" s="130">
        <f t="shared" si="0"/>
        <v>157.3057014838362</v>
      </c>
      <c r="J28" s="130">
        <f t="shared" si="5"/>
        <v>0.23652120884666594</v>
      </c>
      <c r="K28" s="78">
        <f>R26+R27+R28</f>
        <v>0</v>
      </c>
      <c r="L28" s="90">
        <f>U28/U25-1</f>
        <v>1.8615557945369976</v>
      </c>
      <c r="M28" s="90">
        <f>U28/U16-1</f>
        <v>-0.56426255295843819</v>
      </c>
      <c r="N28" s="88">
        <f>AVERAGE(T26:T28)</f>
        <v>105.49667469793428</v>
      </c>
      <c r="O28" s="91">
        <f>N28/N25-1</f>
        <v>0.67106567587653565</v>
      </c>
      <c r="P28" s="129" t="s">
        <v>413</v>
      </c>
      <c r="Q28" s="116">
        <v>49913711</v>
      </c>
      <c r="R28" s="116"/>
      <c r="S28" s="116">
        <v>317303.89</v>
      </c>
      <c r="T28" s="130">
        <f t="shared" si="3"/>
        <v>157.3057014838362</v>
      </c>
      <c r="U28" s="85">
        <f>Q26+Q27+Q28</f>
        <v>82782683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10721357.181818182</v>
      </c>
      <c r="G29" s="190">
        <f t="shared" si="2"/>
        <v>3.0811589115172273</v>
      </c>
      <c r="H29" s="190">
        <f t="shared" si="4"/>
        <v>1.956143614774513</v>
      </c>
      <c r="I29" s="130">
        <f t="shared" si="0"/>
        <v>199.38288057675084</v>
      </c>
      <c r="J29" s="130">
        <f t="shared" si="5"/>
        <v>7.5341406344618944E-2</v>
      </c>
      <c r="K29" s="136"/>
      <c r="L29" s="190"/>
      <c r="M29" s="190"/>
      <c r="N29" s="191"/>
      <c r="O29" s="192"/>
      <c r="P29" s="129" t="s">
        <v>426</v>
      </c>
      <c r="Q29" s="116">
        <v>235869858</v>
      </c>
      <c r="R29" s="116"/>
      <c r="S29" s="116">
        <v>1182999.55</v>
      </c>
      <c r="T29" s="130">
        <f t="shared" si="3"/>
        <v>199.38288057675084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884135.15789473685</v>
      </c>
      <c r="G30" s="190">
        <f t="shared" si="2"/>
        <v>-0.91753514570020134</v>
      </c>
      <c r="H30" s="190">
        <f t="shared" si="4"/>
        <v>6.256174872480214</v>
      </c>
      <c r="I30" s="130">
        <f t="shared" si="0"/>
        <v>122.77282978149763</v>
      </c>
      <c r="J30" s="130">
        <f t="shared" si="5"/>
        <v>4.6843264291834084</v>
      </c>
      <c r="K30" s="136"/>
      <c r="L30" s="190"/>
      <c r="M30" s="190"/>
      <c r="N30" s="191"/>
      <c r="O30" s="192"/>
      <c r="P30" s="129" t="s">
        <v>466</v>
      </c>
      <c r="Q30" s="116">
        <v>16798568</v>
      </c>
      <c r="R30" s="116">
        <v>22369958664</v>
      </c>
      <c r="S30" s="116">
        <v>136826.43</v>
      </c>
      <c r="T30" s="130">
        <f t="shared" si="3"/>
        <v>122.77282978149763</v>
      </c>
      <c r="U30" s="85"/>
    </row>
    <row r="31" spans="1:21" s="79" customFormat="1" ht="13.2" hidden="1">
      <c r="A31" s="129" t="s">
        <v>505</v>
      </c>
      <c r="B31" s="188">
        <f>SUM(F29:F31)</f>
        <v>12666049.889712919</v>
      </c>
      <c r="C31" s="188">
        <f>AVERAGE(F29:F31)</f>
        <v>4222016.6299043065</v>
      </c>
      <c r="D31" s="190">
        <f>C31/C28-1</f>
        <v>2.0076668420077528</v>
      </c>
      <c r="E31" s="287">
        <f>C31/C19-1</f>
        <v>0.49675222141912134</v>
      </c>
      <c r="F31" s="136">
        <f>Q31/20</f>
        <v>1060557.55</v>
      </c>
      <c r="G31" s="190">
        <f t="shared" ref="G31" si="6">F31/F30-1</f>
        <v>0.19954233301314739</v>
      </c>
      <c r="H31" s="190">
        <f t="shared" ref="H31" si="7">F31/F19-1</f>
        <v>-0.77500551655456718</v>
      </c>
      <c r="I31" s="130">
        <f t="shared" si="0"/>
        <v>70.950071253955898</v>
      </c>
      <c r="J31" s="130">
        <f t="shared" si="5"/>
        <v>-0.6816347451939917</v>
      </c>
      <c r="K31" s="136">
        <f>R29+R30+R31</f>
        <v>50640137248</v>
      </c>
      <c r="L31" s="190">
        <f>U31/U28-1</f>
        <v>2.3084162903973526</v>
      </c>
      <c r="M31" s="190">
        <f>U31/U19-1</f>
        <v>0.53284065239383938</v>
      </c>
      <c r="N31" s="191">
        <f>AVERAGE(T29:T31)</f>
        <v>131.03526053740146</v>
      </c>
      <c r="O31" s="192">
        <f>N31/N28-1</f>
        <v>0.24207953390560522</v>
      </c>
      <c r="P31" s="129" t="s">
        <v>505</v>
      </c>
      <c r="Q31" s="116">
        <v>21211151</v>
      </c>
      <c r="R31" s="116">
        <v>28270178584</v>
      </c>
      <c r="S31" s="116">
        <v>298958.83999999997</v>
      </c>
      <c r="T31" s="130">
        <f t="shared" ref="T31" si="8">Q31/S31</f>
        <v>70.950071253955898</v>
      </c>
      <c r="U31" s="85">
        <f>Q29+Q30+Q31</f>
        <v>273879577</v>
      </c>
    </row>
    <row r="32" spans="1:21" s="79" customFormat="1" ht="13.2" hidden="1">
      <c r="A32" s="129" t="s">
        <v>593</v>
      </c>
      <c r="B32" s="188"/>
      <c r="C32" s="188"/>
      <c r="D32" s="190"/>
      <c r="E32" s="287"/>
      <c r="F32" s="136">
        <f>Q32/21</f>
        <v>1915745.5238095238</v>
      </c>
      <c r="G32" s="190">
        <f t="shared" ref="G32" si="9">F32/F31-1</f>
        <v>0.80635697120776118</v>
      </c>
      <c r="H32" s="190">
        <f t="shared" ref="H32" si="10">F32/F20-1</f>
        <v>-0.62213561210115154</v>
      </c>
      <c r="I32" s="130">
        <f t="shared" si="0"/>
        <v>73.851416713435711</v>
      </c>
      <c r="J32" s="130">
        <f t="shared" si="5"/>
        <v>-0.6013711798089274</v>
      </c>
      <c r="K32" s="136"/>
      <c r="L32" s="190"/>
      <c r="M32" s="190"/>
      <c r="N32" s="191"/>
      <c r="O32" s="192"/>
      <c r="P32" s="129" t="s">
        <v>593</v>
      </c>
      <c r="Q32" s="116">
        <v>40230656</v>
      </c>
      <c r="R32" s="116">
        <v>55333814850</v>
      </c>
      <c r="S32" s="116">
        <v>544751.31000000006</v>
      </c>
      <c r="T32" s="130">
        <f t="shared" ref="T32" si="11">Q32/S32</f>
        <v>73.851416713435711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1069443.9523809524</v>
      </c>
      <c r="G33" s="190">
        <f t="shared" ref="G33" si="12">F33/F32-1</f>
        <v>-0.44176095463121456</v>
      </c>
      <c r="H33" s="190">
        <f t="shared" ref="H33" si="13">F33/F21-1</f>
        <v>2.3642363362258538</v>
      </c>
      <c r="I33" s="130">
        <f t="shared" si="0"/>
        <v>135.54697590584249</v>
      </c>
      <c r="J33" s="130">
        <f t="shared" si="5"/>
        <v>2.1944893130701666</v>
      </c>
      <c r="K33" s="136"/>
      <c r="L33" s="190"/>
      <c r="M33" s="190"/>
      <c r="N33" s="191"/>
      <c r="O33" s="192"/>
      <c r="P33" s="129" t="s">
        <v>607</v>
      </c>
      <c r="Q33" s="116">
        <v>22458323</v>
      </c>
      <c r="R33" s="116">
        <v>30638689424</v>
      </c>
      <c r="S33" s="116">
        <v>165686.64000000001</v>
      </c>
      <c r="T33" s="130">
        <f t="shared" ref="T33" si="14">Q33/S33</f>
        <v>135.54697590584249</v>
      </c>
      <c r="U33" s="85"/>
    </row>
    <row r="34" spans="1:21" s="79" customFormat="1" ht="13.2" hidden="1">
      <c r="A34" s="129" t="s">
        <v>652</v>
      </c>
      <c r="B34" s="188">
        <f>SUM(F32:F34)</f>
        <v>4443890.2130325809</v>
      </c>
      <c r="C34" s="188">
        <f>AVERAGE(F32:F34)</f>
        <v>1481296.7376775269</v>
      </c>
      <c r="D34" s="190">
        <f>C34/C31-1</f>
        <v>-0.64914947819352831</v>
      </c>
      <c r="E34" s="287">
        <f>C34/C22-1</f>
        <v>-0.27539340190559036</v>
      </c>
      <c r="F34" s="136">
        <f>Q34/19</f>
        <v>1458700.7368421052</v>
      </c>
      <c r="G34" s="190">
        <f t="shared" ref="G34" si="15">F34/F33-1</f>
        <v>0.36398053735731772</v>
      </c>
      <c r="H34" s="190">
        <f t="shared" ref="H34" si="16">F34/F22-1</f>
        <v>0.95794363921168713</v>
      </c>
      <c r="I34" s="130">
        <f t="shared" si="0"/>
        <v>65.301622574374974</v>
      </c>
      <c r="J34" s="130">
        <f t="shared" si="5"/>
        <v>0.42867695767743252</v>
      </c>
      <c r="K34" s="136">
        <f>R32+R33+R34</f>
        <v>124075432521</v>
      </c>
      <c r="L34" s="190">
        <f>U34/U31-1</f>
        <v>-0.66991225125194354</v>
      </c>
      <c r="M34" s="190">
        <f>U34/U22-1</f>
        <v>-0.26928036279218448</v>
      </c>
      <c r="N34" s="191">
        <f>AVERAGE(T32:T34)</f>
        <v>91.56667173121771</v>
      </c>
      <c r="O34" s="192">
        <f>N34/N31-1</f>
        <v>-0.30120586355394174</v>
      </c>
      <c r="P34" s="129" t="s">
        <v>652</v>
      </c>
      <c r="Q34" s="116">
        <v>27715314</v>
      </c>
      <c r="R34" s="116">
        <v>38102928247</v>
      </c>
      <c r="S34" s="116">
        <v>424419.99</v>
      </c>
      <c r="T34" s="130">
        <f t="shared" ref="T34" si="17">Q34/S34</f>
        <v>65.301622574374974</v>
      </c>
      <c r="U34" s="85">
        <f>Q32+Q33+Q34</f>
        <v>90404293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10496868.913043479</v>
      </c>
      <c r="G35" s="190">
        <f t="shared" ref="G35" si="18">F35/F34-1</f>
        <v>6.1960400429822338</v>
      </c>
      <c r="H35" s="190">
        <f t="shared" ref="H35" si="19">F35/F23-1</f>
        <v>176.74518588089782</v>
      </c>
      <c r="I35" s="130">
        <f t="shared" si="0"/>
        <v>198.25242840106716</v>
      </c>
      <c r="J35" s="130">
        <f t="shared" si="5"/>
        <v>8.159499742713983</v>
      </c>
      <c r="K35" s="136"/>
      <c r="L35" s="190"/>
      <c r="M35" s="190"/>
      <c r="N35" s="191"/>
      <c r="O35" s="192"/>
      <c r="P35" s="129" t="s">
        <v>660</v>
      </c>
      <c r="Q35" s="116">
        <v>241427985</v>
      </c>
      <c r="R35" s="116">
        <v>334054117252</v>
      </c>
      <c r="S35" s="116">
        <v>1217780.72</v>
      </c>
      <c r="T35" s="130">
        <f t="shared" ref="T35" si="20">Q35/S35</f>
        <v>198.25242840106716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2692425.8095238097</v>
      </c>
      <c r="G36" s="190">
        <f t="shared" ref="G36" si="21">F36/F35-1</f>
        <v>-0.74350200694816881</v>
      </c>
      <c r="H36" s="190">
        <f t="shared" ref="H36" si="22">F36/F24-1</f>
        <v>3.2607447534982308</v>
      </c>
      <c r="I36" s="130">
        <f t="shared" si="0"/>
        <v>114.61236712109356</v>
      </c>
      <c r="J36" s="130">
        <f t="shared" si="5"/>
        <v>1.9895244677302983</v>
      </c>
      <c r="K36" s="136"/>
      <c r="L36" s="190"/>
      <c r="M36" s="190"/>
      <c r="N36" s="191"/>
      <c r="O36" s="192"/>
      <c r="P36" s="129" t="s">
        <v>664</v>
      </c>
      <c r="Q36" s="116">
        <v>56540942</v>
      </c>
      <c r="R36" s="116">
        <v>76423912820</v>
      </c>
      <c r="S36" s="116">
        <v>493323.22</v>
      </c>
      <c r="T36" s="130">
        <f t="shared" ref="T36" si="23">Q36/S36</f>
        <v>114.61236712109356</v>
      </c>
      <c r="U36" s="85"/>
    </row>
    <row r="37" spans="1:21" s="79" customFormat="1" ht="13.2" hidden="1">
      <c r="A37" s="129" t="s">
        <v>702</v>
      </c>
      <c r="B37" s="188">
        <f>SUM(F35:F37)</f>
        <v>28573212.611456178</v>
      </c>
      <c r="C37" s="188">
        <f>AVERAGE(F35:F37)</f>
        <v>9524404.2038187254</v>
      </c>
      <c r="D37" s="190">
        <f>C37/C34-1</f>
        <v>5.429774643770366</v>
      </c>
      <c r="E37" s="287">
        <f>C37/C25-1</f>
        <v>19.170273879820105</v>
      </c>
      <c r="F37" s="136">
        <f>Q37/18</f>
        <v>15383917.888888888</v>
      </c>
      <c r="G37" s="190">
        <f t="shared" ref="G37" si="24">F37/F36-1</f>
        <v>4.7137759690432226</v>
      </c>
      <c r="H37" s="190">
        <f t="shared" ref="H37" si="25">F37/F25-1</f>
        <v>20.200772808537049</v>
      </c>
      <c r="I37" s="130">
        <f t="shared" si="0"/>
        <v>155.80953238570225</v>
      </c>
      <c r="J37" s="130">
        <f t="shared" si="5"/>
        <v>0.20398359784432718</v>
      </c>
      <c r="K37" s="136">
        <f>R35+R36+R37</f>
        <v>780211622694</v>
      </c>
      <c r="L37" s="190">
        <f>U37/U34-1</f>
        <v>5.3589839588701835</v>
      </c>
      <c r="M37" s="190">
        <f>U37/U25-1</f>
        <v>18.871905075197748</v>
      </c>
      <c r="N37" s="191">
        <f>AVERAGE(T35:T37)</f>
        <v>156.22477596928766</v>
      </c>
      <c r="O37" s="192">
        <f>N37/N34-1</f>
        <v>0.70613142331814327</v>
      </c>
      <c r="P37" s="129" t="s">
        <v>702</v>
      </c>
      <c r="Q37" s="116">
        <v>276910522</v>
      </c>
      <c r="R37" s="116">
        <v>369733592622</v>
      </c>
      <c r="S37" s="116">
        <v>1777237.36</v>
      </c>
      <c r="T37" s="130">
        <f t="shared" ref="T37" si="26">Q37/S37</f>
        <v>155.80953238570225</v>
      </c>
      <c r="U37" s="85">
        <f>Q35+Q36+Q37</f>
        <v>574879449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5319982.4000000004</v>
      </c>
      <c r="G38" s="190">
        <f t="shared" ref="G38" si="27">F38/F37-1</f>
        <v>-0.654185465729612</v>
      </c>
      <c r="H38" s="190">
        <f t="shared" ref="H38" si="28">F38/F26-1</f>
        <v>7.0451428562787157</v>
      </c>
      <c r="I38" s="130">
        <f t="shared" si="0"/>
        <v>217.00851024939274</v>
      </c>
      <c r="J38" s="130">
        <f t="shared" si="5"/>
        <v>3.5033988820195692</v>
      </c>
      <c r="K38" s="136"/>
      <c r="L38" s="190"/>
      <c r="M38" s="190"/>
      <c r="N38" s="191"/>
      <c r="O38" s="192"/>
      <c r="P38" s="129" t="s">
        <v>728</v>
      </c>
      <c r="Q38" s="116">
        <v>106399648</v>
      </c>
      <c r="R38" s="116">
        <v>143043306407</v>
      </c>
      <c r="S38" s="116">
        <v>490301.73000000004</v>
      </c>
      <c r="T38" s="130">
        <f t="shared" ref="T38" si="29">Q38/S38</f>
        <v>217.00851024939274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1487708.2380952381</v>
      </c>
      <c r="G39" s="190">
        <f t="shared" ref="G39" si="30">F39/F38-1</f>
        <v>-0.72035466920055269</v>
      </c>
      <c r="H39" s="190">
        <f t="shared" ref="H39" si="31">F39/F27-1</f>
        <v>0.61190468838278766</v>
      </c>
      <c r="I39" s="130">
        <f t="shared" si="0"/>
        <v>51.468145442565486</v>
      </c>
      <c r="J39" s="130">
        <f t="shared" si="5"/>
        <v>-0.53630883488412695</v>
      </c>
      <c r="K39" s="136"/>
      <c r="L39" s="190"/>
      <c r="M39" s="190"/>
      <c r="N39" s="191"/>
      <c r="O39" s="192"/>
      <c r="P39" s="129" t="s">
        <v>762</v>
      </c>
      <c r="Q39" s="116">
        <v>31241873</v>
      </c>
      <c r="R39" s="116">
        <v>43664372758</v>
      </c>
      <c r="S39" s="116">
        <v>607013.77000000014</v>
      </c>
      <c r="T39" s="130">
        <f t="shared" ref="T39" si="32">Q39/S39</f>
        <v>51.468145442565486</v>
      </c>
      <c r="U39" s="85"/>
    </row>
    <row r="40" spans="1:21" s="79" customFormat="1" ht="13.2" hidden="1">
      <c r="A40" s="129" t="s">
        <v>778</v>
      </c>
      <c r="B40" s="188">
        <f>SUM(F38:F40)</f>
        <v>20541124.447619047</v>
      </c>
      <c r="C40" s="188">
        <f>AVERAGE(F38:F40)</f>
        <v>6847041.4825396826</v>
      </c>
      <c r="D40" s="190">
        <f>C40/C37-1</f>
        <v>-0.28110553311099273</v>
      </c>
      <c r="E40" s="287">
        <f>C40/C28-1</f>
        <v>3.877673737005856</v>
      </c>
      <c r="F40" s="136">
        <f>Q40/21</f>
        <v>13733433.80952381</v>
      </c>
      <c r="G40" s="190">
        <f t="shared" ref="G40" si="33">F40/F39-1</f>
        <v>8.2312682405437094</v>
      </c>
      <c r="H40" s="190">
        <f t="shared" ref="H40" si="34">F40/F28-1</f>
        <v>4.2277267538963876</v>
      </c>
      <c r="I40" s="130">
        <f t="shared" si="0"/>
        <v>185.75986261393825</v>
      </c>
      <c r="J40" s="130">
        <f t="shared" si="5"/>
        <v>0.18088448709550331</v>
      </c>
      <c r="K40" s="136">
        <f>R38+R39+R40</f>
        <v>592721803563</v>
      </c>
      <c r="L40" s="190">
        <f>U40/U37-1</f>
        <v>-0.25889918009575608</v>
      </c>
      <c r="M40" s="190">
        <f>U40/U28-1</f>
        <v>4.1465308390644937</v>
      </c>
      <c r="N40" s="191">
        <f>AVERAGE(T38:T40)</f>
        <v>151.41217276863216</v>
      </c>
      <c r="O40" s="192">
        <f>N40/N37-1</f>
        <v>-3.0805633554575329E-2</v>
      </c>
      <c r="P40" s="129" t="s">
        <v>778</v>
      </c>
      <c r="Q40" s="116">
        <v>288402110</v>
      </c>
      <c r="R40" s="116">
        <v>406014124398</v>
      </c>
      <c r="S40" s="116">
        <v>1552553.4200000002</v>
      </c>
      <c r="T40" s="130">
        <f t="shared" ref="T40" si="35">Q40/S40</f>
        <v>185.75986261393825</v>
      </c>
      <c r="U40" s="85">
        <f>Q38+Q39+Q40</f>
        <v>426043631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9743969.3888888881</v>
      </c>
      <c r="G41" s="190">
        <f t="shared" ref="G41" si="36">F41/F40-1</f>
        <v>-0.29049285677325087</v>
      </c>
      <c r="H41" s="190">
        <f t="shared" ref="H41" si="37">F41/F29-1</f>
        <v>-9.116269296454349E-2</v>
      </c>
      <c r="I41" s="130">
        <f t="shared" si="0"/>
        <v>225.43824007903527</v>
      </c>
      <c r="J41" s="130">
        <f t="shared" si="5"/>
        <v>0.13068002341482177</v>
      </c>
      <c r="K41" s="193"/>
      <c r="L41" s="190"/>
      <c r="M41" s="190"/>
      <c r="N41" s="193"/>
      <c r="O41" s="193"/>
      <c r="P41" s="129" t="s">
        <v>799</v>
      </c>
      <c r="Q41" s="116">
        <v>175391449</v>
      </c>
      <c r="R41" s="116">
        <v>257901514607</v>
      </c>
      <c r="S41" s="116">
        <v>778002.21</v>
      </c>
      <c r="T41" s="130">
        <f t="shared" ref="T41" si="38">Q41/S41</f>
        <v>225.43824007903527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367755.15</v>
      </c>
      <c r="G42" s="190">
        <f t="shared" ref="G42" si="39">F42/F41-1</f>
        <v>-0.96225817884656395</v>
      </c>
      <c r="H42" s="190">
        <f t="shared" ref="H42" si="40">F42/F30-1</f>
        <v>-0.58405098279805756</v>
      </c>
      <c r="I42" s="130">
        <f t="shared" si="0"/>
        <v>51.431826617524031</v>
      </c>
      <c r="J42" s="130">
        <f t="shared" si="5"/>
        <v>-0.58108136214617889</v>
      </c>
      <c r="K42" s="193"/>
      <c r="L42" s="190"/>
      <c r="M42" s="190"/>
      <c r="N42" s="193"/>
      <c r="O42" s="193"/>
      <c r="P42" s="129" t="s">
        <v>826</v>
      </c>
      <c r="Q42" s="116">
        <v>7355103</v>
      </c>
      <c r="R42" s="116">
        <v>10648526586</v>
      </c>
      <c r="S42" s="116">
        <v>143006.84</v>
      </c>
      <c r="T42" s="130">
        <f t="shared" ref="T42" si="41">Q42/S42</f>
        <v>51.431826617524031</v>
      </c>
      <c r="U42" s="78"/>
    </row>
    <row r="43" spans="1:21" s="79" customFormat="1" ht="13.2">
      <c r="A43" s="129" t="s">
        <v>835</v>
      </c>
      <c r="B43" s="188">
        <f>SUM(F41:F43)</f>
        <v>20829394.288888887</v>
      </c>
      <c r="C43" s="188">
        <f>AVERAGE(F41:F43)</f>
        <v>6943131.4296296285</v>
      </c>
      <c r="D43" s="190">
        <f>C43/C40-1</f>
        <v>1.4033790701426296E-2</v>
      </c>
      <c r="E43" s="287">
        <f>C43/C31-1</f>
        <v>0.64450594070421685</v>
      </c>
      <c r="F43" s="136">
        <f>Q43/20</f>
        <v>10717669.75</v>
      </c>
      <c r="G43" s="190">
        <f t="shared" ref="G43" si="42">F43/F42-1</f>
        <v>28.143493299821905</v>
      </c>
      <c r="H43" s="190">
        <f t="shared" ref="H43" si="43">F43/F31-1</f>
        <v>9.1056936985644956</v>
      </c>
      <c r="I43" s="130">
        <f t="shared" si="0"/>
        <v>223.59428053741763</v>
      </c>
      <c r="J43" s="130">
        <f t="shared" si="5"/>
        <v>2.1514313740023328</v>
      </c>
      <c r="K43" s="136">
        <f>R41+R42+R43</f>
        <v>580199321651</v>
      </c>
      <c r="L43" s="190">
        <f>U43/U40-1</f>
        <v>-6.793596217378961E-2</v>
      </c>
      <c r="M43" s="190">
        <f>K43/K31-1</f>
        <v>10.457301523682474</v>
      </c>
      <c r="N43" s="191">
        <f>AVERAGE(T41:T43)</f>
        <v>166.8214490779923</v>
      </c>
      <c r="O43" s="192">
        <f>N43/N40-1</f>
        <v>0.10177039287922063</v>
      </c>
      <c r="P43" s="129" t="s">
        <v>835</v>
      </c>
      <c r="Q43" s="116">
        <v>214353395</v>
      </c>
      <c r="R43" s="116">
        <v>311649280458</v>
      </c>
      <c r="S43" s="116">
        <v>958671.19</v>
      </c>
      <c r="T43" s="130">
        <f t="shared" ref="T43" si="44">Q43/S43</f>
        <v>223.59428053741763</v>
      </c>
      <c r="U43" s="85">
        <f>Q41+Q42+Q43</f>
        <v>397099947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7809810.1818181816</v>
      </c>
      <c r="G44" s="190">
        <f t="shared" ref="G44" si="45">F44/F43-1</f>
        <v>-0.27131453347700119</v>
      </c>
      <c r="H44" s="190">
        <f t="shared" ref="H44" si="46">F44/F32-1</f>
        <v>3.0766427924561262</v>
      </c>
      <c r="I44" s="130">
        <f t="shared" si="0"/>
        <v>199.11857467872633</v>
      </c>
      <c r="J44" s="130">
        <f t="shared" si="5"/>
        <v>1.6962052123030009</v>
      </c>
      <c r="K44" s="136"/>
      <c r="L44" s="190"/>
      <c r="M44" s="190"/>
      <c r="N44" s="191"/>
      <c r="O44" s="192"/>
      <c r="P44" s="129" t="s">
        <v>838</v>
      </c>
      <c r="Q44" s="116">
        <v>171815824</v>
      </c>
      <c r="R44" s="116">
        <v>250296242535</v>
      </c>
      <c r="S44" s="116">
        <v>862881.95</v>
      </c>
      <c r="T44" s="130">
        <f t="shared" ref="T44" si="47">Q44/S44</f>
        <v>199.11857467872633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635978.55000000005</v>
      </c>
      <c r="G45" s="190">
        <f t="shared" ref="G45" si="48">F45/F44-1</f>
        <v>-0.91856670838420562</v>
      </c>
      <c r="H45" s="190">
        <f t="shared" ref="H45" si="49">F45/F33-1</f>
        <v>-0.40531848482186317</v>
      </c>
      <c r="I45" s="130">
        <f t="shared" si="0"/>
        <v>51.890021102245676</v>
      </c>
      <c r="J45" s="130">
        <f t="shared" si="5"/>
        <v>-0.61718053276016271</v>
      </c>
      <c r="K45" s="136"/>
      <c r="L45" s="190"/>
      <c r="M45" s="190"/>
      <c r="N45" s="191"/>
      <c r="O45" s="192"/>
      <c r="P45" s="129" t="s">
        <v>849</v>
      </c>
      <c r="Q45" s="116">
        <v>12719571</v>
      </c>
      <c r="R45" s="116">
        <v>17864912671</v>
      </c>
      <c r="S45" s="116">
        <v>245125.57</v>
      </c>
      <c r="T45" s="130">
        <f t="shared" ref="T45" si="50">Q45/S45</f>
        <v>51.890021102245676</v>
      </c>
      <c r="U45" s="85"/>
    </row>
    <row r="46" spans="1:21" s="79" customFormat="1" ht="13.2">
      <c r="A46" s="129" t="s">
        <v>893</v>
      </c>
      <c r="B46" s="188">
        <f>SUM(F44:F46)</f>
        <v>22792879.31076555</v>
      </c>
      <c r="C46" s="188">
        <f>AVERAGE(F44:F46)</f>
        <v>7597626.4369218498</v>
      </c>
      <c r="D46" s="190">
        <f>C46/C43-1</f>
        <v>9.4265104142949196E-2</v>
      </c>
      <c r="E46" s="287">
        <f>C46/C34-1</f>
        <v>4.1290374464969801</v>
      </c>
      <c r="F46" s="136">
        <f>Q46/19</f>
        <v>14347090.578947369</v>
      </c>
      <c r="G46" s="190">
        <f t="shared" ref="G46" si="51">F46/F45-1</f>
        <v>21.559079357232044</v>
      </c>
      <c r="H46" s="190">
        <f t="shared" ref="H46" si="52">F46/F34-1</f>
        <v>8.8355270663720429</v>
      </c>
      <c r="I46" s="130">
        <f t="shared" si="0"/>
        <v>262.51555694813266</v>
      </c>
      <c r="J46" s="130">
        <f t="shared" si="5"/>
        <v>3.0200464643760085</v>
      </c>
      <c r="K46" s="136">
        <f>R44+R45+R46</f>
        <v>639552841163</v>
      </c>
      <c r="L46" s="190">
        <f>U46/U43-1</f>
        <v>0.15117143543713452</v>
      </c>
      <c r="M46" s="190">
        <f>K46/K34-1</f>
        <v>4.1545485529921846</v>
      </c>
      <c r="N46" s="191">
        <f>AVERAGE(T44:T46)</f>
        <v>171.17471757636824</v>
      </c>
      <c r="O46" s="192">
        <f>N46/N43-1</f>
        <v>2.609537635859227E-2</v>
      </c>
      <c r="P46" s="129" t="s">
        <v>967</v>
      </c>
      <c r="Q46" s="116">
        <v>272594721</v>
      </c>
      <c r="R46" s="116">
        <v>371391685957</v>
      </c>
      <c r="S46" s="116">
        <v>1038394.54</v>
      </c>
      <c r="T46" s="130">
        <f t="shared" ref="T46" si="53">Q46/S46</f>
        <v>262.51555694813266</v>
      </c>
      <c r="U46" s="85">
        <f t="shared" ref="U46:U51" si="54">Q44+Q45+Q46</f>
        <v>457130116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8530555.6086956523</v>
      </c>
      <c r="G47" s="190">
        <f t="shared" ref="G47" si="55">F47/F46-1</f>
        <v>-0.40541564425520404</v>
      </c>
      <c r="H47" s="190">
        <f t="shared" ref="H47" si="56">F47/F35-1</f>
        <v>-0.18732379346992434</v>
      </c>
      <c r="I47" s="130">
        <f t="shared" si="0"/>
        <v>204.70963528521449</v>
      </c>
      <c r="J47" s="130">
        <f t="shared" si="5"/>
        <v>3.2570631977754783E-2</v>
      </c>
      <c r="K47" s="136"/>
      <c r="L47" s="190"/>
      <c r="M47" s="190"/>
      <c r="N47" s="191"/>
      <c r="O47" s="192"/>
      <c r="P47" s="129" t="s">
        <v>1055</v>
      </c>
      <c r="Q47" s="116">
        <v>196202779</v>
      </c>
      <c r="R47" s="116">
        <v>268359853763</v>
      </c>
      <c r="S47" s="116">
        <v>958444.28</v>
      </c>
      <c r="T47" s="130">
        <f t="shared" ref="T47" si="57">Q47/S47</f>
        <v>204.70963528521449</v>
      </c>
      <c r="U47" s="85">
        <f t="shared" si="54"/>
        <v>481517071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1898761.05</v>
      </c>
      <c r="G48" s="190">
        <f t="shared" ref="G48" si="58">F48/F47-1</f>
        <v>-0.77741648526802976</v>
      </c>
      <c r="H48" s="190">
        <f t="shared" ref="H48" si="59">F48/F36-1</f>
        <v>-0.29477683534172461</v>
      </c>
      <c r="I48" s="130">
        <f t="shared" si="0"/>
        <v>161.66123265302056</v>
      </c>
      <c r="J48" s="130">
        <f t="shared" si="5"/>
        <v>0.41050426506083393</v>
      </c>
      <c r="K48" s="136"/>
      <c r="L48" s="190"/>
      <c r="M48" s="190"/>
      <c r="N48" s="191"/>
      <c r="O48" s="192"/>
      <c r="P48" s="129" t="s">
        <v>1070</v>
      </c>
      <c r="Q48" s="116">
        <v>37975221</v>
      </c>
      <c r="R48" s="116">
        <v>52793231791</v>
      </c>
      <c r="S48" s="116">
        <v>234906.17</v>
      </c>
      <c r="T48" s="130">
        <f t="shared" ref="T48" si="60">Q48/S48</f>
        <v>161.66123265302056</v>
      </c>
      <c r="U48" s="85">
        <f t="shared" si="54"/>
        <v>506772721</v>
      </c>
    </row>
    <row r="49" spans="1:26" ht="13.2">
      <c r="A49" s="129" t="s">
        <v>1207</v>
      </c>
      <c r="B49" s="188">
        <f>SUM(F47:F49)</f>
        <v>25478003.7041502</v>
      </c>
      <c r="C49" s="188">
        <f>AVERAGE(F47:F49)</f>
        <v>8492667.9013834</v>
      </c>
      <c r="D49" s="190">
        <f>C49/C46-1</f>
        <v>0.11780540566089903</v>
      </c>
      <c r="E49" s="287">
        <f>C49/C37-1</f>
        <v>-0.10832554775674685</v>
      </c>
      <c r="F49" s="136">
        <f>Q49/22</f>
        <v>15048687.045454545</v>
      </c>
      <c r="G49" s="190">
        <f t="shared" ref="G49" si="61">F49/F48-1</f>
        <v>6.9255296739179188</v>
      </c>
      <c r="H49" s="190">
        <f t="shared" ref="H49" si="62">F49/F37-1</f>
        <v>-2.1790992766313799E-2</v>
      </c>
      <c r="I49" s="130">
        <f t="shared" si="0"/>
        <v>216.74310315450859</v>
      </c>
      <c r="J49" s="130">
        <f t="shared" si="5"/>
        <v>0.39107729697799831</v>
      </c>
      <c r="K49" s="136">
        <f>R47+R48+R49</f>
        <v>779753632565</v>
      </c>
      <c r="L49" s="190">
        <f>U49/U46-1</f>
        <v>0.23651690233421419</v>
      </c>
      <c r="M49" s="190">
        <f>K49/K37-1</f>
        <v>-5.8700757035456963E-4</v>
      </c>
      <c r="N49" s="191">
        <f>AVERAGE(T47:T49)</f>
        <v>194.37132369758123</v>
      </c>
      <c r="O49" s="192">
        <f>N49/N46-1</f>
        <v>0.13551420706077111</v>
      </c>
      <c r="P49" s="129" t="s">
        <v>1158</v>
      </c>
      <c r="Q49" s="116">
        <v>331071115</v>
      </c>
      <c r="R49" s="116">
        <v>458600547011</v>
      </c>
      <c r="S49" s="116">
        <v>1527481.66</v>
      </c>
      <c r="T49" s="130">
        <f t="shared" ref="T49" si="63">Q49/S49</f>
        <v>216.74310315450859</v>
      </c>
      <c r="U49" s="85">
        <f t="shared" si="54"/>
        <v>565249115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1358102.4444444445</v>
      </c>
      <c r="G50" s="190">
        <f t="shared" ref="G50" si="64">F50/F49-1</f>
        <v>-0.90975276179627518</v>
      </c>
      <c r="H50" s="190">
        <f t="shared" ref="H50" si="65">F50/F38-1</f>
        <v>-0.74471674108462382</v>
      </c>
      <c r="I50" s="130">
        <f t="shared" ref="I50" si="66">T50</f>
        <v>69.234295693163745</v>
      </c>
      <c r="J50" s="130">
        <f t="shared" ref="J50" si="67">I50/I38-1</f>
        <v>-0.68096045812398054</v>
      </c>
      <c r="K50" s="136"/>
      <c r="L50" s="190"/>
      <c r="M50" s="190"/>
      <c r="N50" s="191"/>
      <c r="O50" s="192"/>
      <c r="P50" s="129" t="s">
        <v>1291</v>
      </c>
      <c r="Q50" s="116">
        <v>24445844</v>
      </c>
      <c r="R50" s="116">
        <v>34815937244</v>
      </c>
      <c r="S50" s="116">
        <v>353088.65</v>
      </c>
      <c r="T50" s="130">
        <f t="shared" ref="T50" si="68">Q50/S50</f>
        <v>69.234295693163745</v>
      </c>
      <c r="U50" s="85">
        <f t="shared" si="54"/>
        <v>393492180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3047588.5</v>
      </c>
      <c r="G51" s="190">
        <f t="shared" ref="G51:G52" si="69">F51/F50-1</f>
        <v>1.2440048705211404</v>
      </c>
      <c r="H51" s="190">
        <f t="shared" ref="H51:H52" si="70">F51/F39-1</f>
        <v>1.048512216281015</v>
      </c>
      <c r="I51" s="130">
        <f t="shared" ref="I51:I52" si="71">T51</f>
        <v>117.16334086860437</v>
      </c>
      <c r="J51" s="130">
        <f t="shared" ref="J51:J52" si="72">I51/I39-1</f>
        <v>1.2764243759151901</v>
      </c>
      <c r="K51" s="136"/>
      <c r="L51" s="190"/>
      <c r="M51" s="190"/>
      <c r="N51" s="191"/>
      <c r="O51" s="192"/>
      <c r="P51" s="129" t="s">
        <v>1402</v>
      </c>
      <c r="Q51" s="116">
        <v>60951770</v>
      </c>
      <c r="R51" s="116">
        <v>89054905887</v>
      </c>
      <c r="S51" s="116">
        <v>520229.02</v>
      </c>
      <c r="T51" s="130">
        <f t="shared" ref="T51:T52" si="73">Q51/S51</f>
        <v>117.16334086860437</v>
      </c>
      <c r="U51" s="85">
        <f t="shared" si="54"/>
        <v>416468729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6926343.3080808073</v>
      </c>
      <c r="C52" s="188">
        <f>AVERAGE(F50:F52)</f>
        <v>2308781.1026936024</v>
      </c>
      <c r="D52" s="190">
        <f>C52/C49-1</f>
        <v>-0.72814419102417549</v>
      </c>
      <c r="E52" s="287">
        <f>C52/C40-1</f>
        <v>-0.66280602964344293</v>
      </c>
      <c r="F52" s="136">
        <f>Q52/22</f>
        <v>2520652.3636363638</v>
      </c>
      <c r="G52" s="190">
        <f t="shared" si="69"/>
        <v>-0.17290265282325235</v>
      </c>
      <c r="H52" s="190">
        <f t="shared" si="70"/>
        <v>-0.81645869499233681</v>
      </c>
      <c r="I52" s="130">
        <f t="shared" si="71"/>
        <v>171.48454658946787</v>
      </c>
      <c r="J52" s="130">
        <f t="shared" si="72"/>
        <v>-7.6848226649147255E-2</v>
      </c>
      <c r="K52" s="136">
        <f>R50+R51+R52</f>
        <v>205566774040</v>
      </c>
      <c r="L52" s="190">
        <f>U52/U49-1</f>
        <v>-0.75081435377391081</v>
      </c>
      <c r="M52" s="190">
        <f>K52/K40-1</f>
        <v>-0.65318169028997008</v>
      </c>
      <c r="N52" s="191">
        <f>AVERAGE(T50:T52)</f>
        <v>119.29406105041198</v>
      </c>
      <c r="O52" s="192">
        <f>N52/N49-1</f>
        <v>-0.38625688820219484</v>
      </c>
      <c r="P52" s="129" t="s">
        <v>1403</v>
      </c>
      <c r="Q52" s="116">
        <v>55454352</v>
      </c>
      <c r="R52" s="116">
        <v>81695930909</v>
      </c>
      <c r="S52" s="116">
        <v>323378.13</v>
      </c>
      <c r="T52" s="130">
        <f t="shared" si="73"/>
        <v>171.48454658946787</v>
      </c>
      <c r="U52" s="85">
        <f t="shared" ref="U52" si="74">Q50+Q51+Q52</f>
        <v>140851966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1564779.0476190476</v>
      </c>
      <c r="G53" s="190">
        <f t="shared" ref="G53" si="75">F53/F52-1</f>
        <v>-0.37921663844130671</v>
      </c>
      <c r="H53" s="190">
        <f t="shared" ref="H53" si="76">F53/F41-1</f>
        <v>-0.83941051278307843</v>
      </c>
      <c r="I53" s="130">
        <f t="shared" ref="I53" si="77">T53</f>
        <v>190.03706607497892</v>
      </c>
      <c r="J53" s="130">
        <f t="shared" ref="J53" si="78">I53/I41-1</f>
        <v>-0.15703269326288749</v>
      </c>
      <c r="K53" s="136"/>
      <c r="L53" s="190"/>
      <c r="M53" s="190"/>
      <c r="N53" s="191"/>
      <c r="O53" s="192"/>
      <c r="P53" s="129" t="s">
        <v>1414</v>
      </c>
      <c r="Q53" s="116">
        <v>32860360</v>
      </c>
      <c r="R53" s="116">
        <v>48262067995</v>
      </c>
      <c r="S53" s="116">
        <v>172915.53</v>
      </c>
      <c r="T53" s="130">
        <f t="shared" ref="T53" si="79">Q53/S53</f>
        <v>190.03706607497892</v>
      </c>
      <c r="U53" s="85">
        <f t="shared" ref="U53" si="80">Q51+Q52+Q53</f>
        <v>149266482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3486257.411764706</v>
      </c>
      <c r="G54" s="190">
        <f t="shared" ref="G54" si="81">F54/F53-1</f>
        <v>1.2279550694836829</v>
      </c>
      <c r="H54" s="190">
        <f t="shared" ref="H54" si="82">F54/F42-1</f>
        <v>8.4798330132554387</v>
      </c>
      <c r="I54" s="130">
        <f t="shared" ref="I54" si="83">T54</f>
        <v>128.48007235038847</v>
      </c>
      <c r="J54" s="130">
        <f t="shared" ref="J54" si="84">I54/I42-1</f>
        <v>1.4980655131274743</v>
      </c>
      <c r="K54" s="136"/>
      <c r="L54" s="190"/>
      <c r="M54" s="190"/>
      <c r="N54" s="191"/>
      <c r="O54" s="192"/>
      <c r="P54" s="129" t="s">
        <v>1417</v>
      </c>
      <c r="Q54" s="116">
        <v>59266376</v>
      </c>
      <c r="R54" s="116">
        <v>85535578925</v>
      </c>
      <c r="S54" s="116">
        <v>461288.47</v>
      </c>
      <c r="T54" s="130">
        <f t="shared" ref="T54" si="85">Q54/S54</f>
        <v>128.48007235038847</v>
      </c>
      <c r="U54" s="85">
        <f t="shared" ref="U54" si="86">Q52+Q53+Q54</f>
        <v>147581088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6480888.3641456589</v>
      </c>
      <c r="C55" s="188">
        <f>AVERAGE(F53:F55)</f>
        <v>2160296.1213818863</v>
      </c>
      <c r="D55" s="190">
        <f>C55/C52-1</f>
        <v>-6.4313148240204399E-2</v>
      </c>
      <c r="E55" s="287">
        <f>C55/C43-1</f>
        <v>-0.68885852971717054</v>
      </c>
      <c r="F55" s="136">
        <f>Q55/21</f>
        <v>1429851.9047619049</v>
      </c>
      <c r="G55" s="190">
        <f t="shared" ref="G55" si="87">F55/F54-1</f>
        <v>-0.5898604905258189</v>
      </c>
      <c r="H55" s="190">
        <f t="shared" ref="H55" si="88">F55/F43-1</f>
        <v>-0.86658929243813421</v>
      </c>
      <c r="I55" s="130">
        <f>T55</f>
        <v>172.31906489291066</v>
      </c>
      <c r="J55" s="130">
        <f t="shared" ref="J55" si="89">I55/I43-1</f>
        <v>-0.22932257265823164</v>
      </c>
      <c r="K55" s="136">
        <f>R53+R54+R55</f>
        <v>178679658021</v>
      </c>
      <c r="L55" s="190">
        <f>U55/U52-1</f>
        <v>-0.13275171466190261</v>
      </c>
      <c r="M55" s="190">
        <f>K55/K43-1</f>
        <v>-0.69203745789885818</v>
      </c>
      <c r="N55" s="191">
        <f>AVERAGE(T53:T55)</f>
        <v>163.61206777275936</v>
      </c>
      <c r="O55" s="192">
        <f>N55/N52-1</f>
        <v>0.37150220498922581</v>
      </c>
      <c r="P55" s="129" t="s">
        <v>1418</v>
      </c>
      <c r="Q55" s="116">
        <v>30026890</v>
      </c>
      <c r="R55" s="116">
        <v>44882011101</v>
      </c>
      <c r="S55" s="116">
        <v>174251.7</v>
      </c>
      <c r="T55" s="130">
        <f t="shared" ref="T55" si="90">Q55/S55</f>
        <v>172.31906489291066</v>
      </c>
      <c r="U55" s="85">
        <f t="shared" ref="U55" si="91">Q53+Q54+Q55</f>
        <v>122153626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499175</v>
      </c>
      <c r="G56" s="190">
        <f t="shared" ref="G56" si="92">F56/F55-1</f>
        <v>-0.65089041855483543</v>
      </c>
      <c r="H56" s="190">
        <f t="shared" ref="H56" si="93">F56/F44-1</f>
        <v>-0.93608359379052308</v>
      </c>
      <c r="I56" s="291">
        <f>T56</f>
        <v>28.671533026613535</v>
      </c>
      <c r="J56" s="130">
        <f t="shared" ref="J56" si="94">I56/I44-1</f>
        <v>-0.85600774275893421</v>
      </c>
      <c r="K56" s="136"/>
      <c r="L56" s="190"/>
      <c r="M56" s="190"/>
      <c r="N56" s="191"/>
      <c r="O56" s="192"/>
      <c r="P56" s="129" t="s">
        <v>1420</v>
      </c>
      <c r="Q56" s="116">
        <v>10981850</v>
      </c>
      <c r="R56" s="116">
        <v>16316404508</v>
      </c>
      <c r="S56" s="116">
        <v>383022.77</v>
      </c>
      <c r="T56" s="130">
        <f t="shared" ref="T56" si="95">Q56/S56</f>
        <v>28.671533026613535</v>
      </c>
      <c r="U56" s="85">
        <f t="shared" ref="U56" si="96">Q54+Q55+Q56</f>
        <v>100275116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368394.5</v>
      </c>
      <c r="G57" s="254">
        <f t="shared" ref="G57" si="97">F57/F56-1</f>
        <v>-0.26199328892672913</v>
      </c>
      <c r="H57" s="254">
        <f t="shared" ref="H57" si="98">F57/F45-1</f>
        <v>-0.42074382854578984</v>
      </c>
      <c r="I57" s="282">
        <f>T57</f>
        <v>26.126633323112937</v>
      </c>
      <c r="J57" s="277">
        <f t="shared" ref="J57" si="99">I57/I45-1</f>
        <v>-0.49649985164522825</v>
      </c>
      <c r="K57" s="204"/>
      <c r="L57" s="254"/>
      <c r="M57" s="254"/>
      <c r="N57" s="257"/>
      <c r="O57" s="258"/>
      <c r="P57" s="129" t="s">
        <v>1436</v>
      </c>
      <c r="Q57" s="116">
        <v>4420734</v>
      </c>
      <c r="R57" s="116">
        <v>6499865386</v>
      </c>
      <c r="S57" s="116">
        <v>169204.12</v>
      </c>
      <c r="T57" s="130">
        <f t="shared" ref="T57" si="100">Q57/S57</f>
        <v>26.126633323112937</v>
      </c>
      <c r="U57" s="85">
        <f t="shared" ref="U57" si="101">Q55+Q56+Q57</f>
        <v>45429474</v>
      </c>
      <c r="V57" s="79"/>
      <c r="W57" s="79"/>
      <c r="X57" s="79"/>
      <c r="Y57" s="79"/>
      <c r="Z57" s="79"/>
    </row>
    <row r="58" spans="1:26">
      <c r="B58" s="196">
        <f>SUM(F56:F58)</f>
        <v>867569.5</v>
      </c>
      <c r="C58" s="196">
        <f>AVERAGE(F56:F58)</f>
        <v>433784.75</v>
      </c>
      <c r="D58" s="197">
        <f>C58/C55-1</f>
        <v>-0.79920125500085659</v>
      </c>
      <c r="E58" s="233">
        <f>C58/C46-1</f>
        <v>-0.94290522788907394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137556210</v>
      </c>
      <c r="R66" s="212">
        <v>201495927915</v>
      </c>
      <c r="S66" s="213">
        <v>1360682.61</v>
      </c>
      <c r="T66" s="214">
        <v>18</v>
      </c>
      <c r="U66" s="214">
        <v>36</v>
      </c>
    </row>
    <row r="67" spans="16:21" ht="18" thickBot="1">
      <c r="P67" s="180" t="s">
        <v>976</v>
      </c>
      <c r="Q67" s="181">
        <v>32860360</v>
      </c>
      <c r="R67" s="181">
        <v>48262067995</v>
      </c>
      <c r="S67" s="182">
        <v>172915.53</v>
      </c>
      <c r="T67" s="210">
        <v>8</v>
      </c>
      <c r="U67" s="210">
        <v>11</v>
      </c>
    </row>
    <row r="68" spans="16:21" ht="18" thickBot="1">
      <c r="P68" s="180" t="s">
        <v>977</v>
      </c>
      <c r="Q68" s="181">
        <v>59266376</v>
      </c>
      <c r="R68" s="181">
        <v>85535578925</v>
      </c>
      <c r="S68" s="182">
        <v>461288.47</v>
      </c>
      <c r="T68" s="210">
        <v>11</v>
      </c>
      <c r="U68" s="210">
        <v>19</v>
      </c>
    </row>
    <row r="69" spans="16:21" ht="18" thickBot="1">
      <c r="P69" s="180" t="s">
        <v>978</v>
      </c>
      <c r="Q69" s="181">
        <v>30026890</v>
      </c>
      <c r="R69" s="181">
        <v>44882011101</v>
      </c>
      <c r="S69" s="182">
        <v>174251.7</v>
      </c>
      <c r="T69" s="210">
        <v>10</v>
      </c>
      <c r="U69" s="210">
        <v>17</v>
      </c>
    </row>
    <row r="70" spans="16:21" ht="18" thickBot="1">
      <c r="P70" s="180" t="s">
        <v>979</v>
      </c>
      <c r="Q70" s="181">
        <v>10981850</v>
      </c>
      <c r="R70" s="181">
        <v>16316404508</v>
      </c>
      <c r="S70" s="182">
        <v>383022.77</v>
      </c>
      <c r="T70" s="210">
        <v>10</v>
      </c>
      <c r="U70" s="210">
        <v>20</v>
      </c>
    </row>
    <row r="71" spans="16:21" ht="18" thickBot="1">
      <c r="P71" s="180" t="s">
        <v>980</v>
      </c>
      <c r="Q71" s="181">
        <v>4420734</v>
      </c>
      <c r="R71" s="181">
        <v>6499865386</v>
      </c>
      <c r="S71" s="182">
        <v>169204.12</v>
      </c>
      <c r="T71" s="210">
        <v>7</v>
      </c>
      <c r="U71" s="210">
        <v>14</v>
      </c>
    </row>
    <row r="72" spans="16:21" ht="18" thickBot="1">
      <c r="P72" s="180" t="s">
        <v>975</v>
      </c>
      <c r="Q72" s="181">
        <v>1560331144</v>
      </c>
      <c r="R72" s="181">
        <v>2205072569419</v>
      </c>
      <c r="S72" s="182">
        <v>7942172.2400000002</v>
      </c>
      <c r="T72" s="210">
        <v>24</v>
      </c>
      <c r="U72" s="210">
        <v>65</v>
      </c>
    </row>
    <row r="73" spans="16:21" ht="18" thickBot="1">
      <c r="P73" s="180" t="s">
        <v>982</v>
      </c>
      <c r="Q73" s="181">
        <v>1365071553</v>
      </c>
      <c r="R73" s="181">
        <v>1858771824116</v>
      </c>
      <c r="S73" s="182">
        <v>8891853.3399999999</v>
      </c>
      <c r="T73" s="210">
        <v>17</v>
      </c>
      <c r="U73" s="210">
        <v>51</v>
      </c>
    </row>
    <row r="74" spans="16:21" ht="18" thickBot="1">
      <c r="P74" s="215" t="s">
        <v>1386</v>
      </c>
      <c r="Q74" s="216">
        <v>414106000</v>
      </c>
      <c r="R74"/>
      <c r="S74"/>
      <c r="T74"/>
      <c r="U74"/>
    </row>
  </sheetData>
  <phoneticPr fontId="1" type="noConversion"/>
  <conditionalFormatting sqref="C29:C30">
    <cfRule type="cellIs" dxfId="1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72"/>
  <sheetViews>
    <sheetView zoomScaleNormal="100" workbookViewId="0">
      <selection activeCell="I62" sqref="I6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602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603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8536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1554572.15</v>
      </c>
      <c r="G5" s="90"/>
      <c r="H5" s="90"/>
      <c r="I5" s="130">
        <f t="shared" ref="I5:I49" si="0">T5</f>
        <v>53.632766460669941</v>
      </c>
      <c r="J5" s="130"/>
      <c r="K5" s="79"/>
      <c r="L5" s="80"/>
      <c r="M5" s="80"/>
      <c r="N5" s="79"/>
      <c r="O5" s="79"/>
      <c r="P5" s="129" t="s">
        <v>0</v>
      </c>
      <c r="Q5" s="116">
        <v>31091443</v>
      </c>
      <c r="R5" s="116">
        <v>36679724571</v>
      </c>
      <c r="S5" s="116">
        <v>579709.85</v>
      </c>
      <c r="T5" s="130">
        <f t="shared" ref="T5:T32" si="1">Q5/S5</f>
        <v>53.632766460669941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1384570.9444444445</v>
      </c>
      <c r="G6" s="90">
        <f t="shared" ref="G6:G32" si="2">F6/F5-1</f>
        <v>-0.10935562273874222</v>
      </c>
      <c r="H6" s="90"/>
      <c r="I6" s="130">
        <f t="shared" si="0"/>
        <v>50.684978867494742</v>
      </c>
      <c r="J6" s="130"/>
      <c r="K6" s="79"/>
      <c r="L6" s="87"/>
      <c r="M6" s="87"/>
      <c r="N6" s="79"/>
      <c r="O6" s="79"/>
      <c r="P6" s="129" t="s">
        <v>1</v>
      </c>
      <c r="Q6" s="116">
        <v>24922277</v>
      </c>
      <c r="R6" s="116">
        <v>29612299371</v>
      </c>
      <c r="S6" s="116">
        <v>491709.33</v>
      </c>
      <c r="T6" s="130">
        <f t="shared" si="1"/>
        <v>50.684978867494742</v>
      </c>
      <c r="U6" s="85"/>
    </row>
    <row r="7" spans="1:21" ht="15" hidden="1" customHeight="1">
      <c r="A7" s="129" t="s">
        <v>2</v>
      </c>
      <c r="B7" s="131">
        <f>F5+F6+F7</f>
        <v>4437516.6398989893</v>
      </c>
      <c r="C7" s="131">
        <f>AVERAGE(F5:F7)</f>
        <v>1479172.213299663</v>
      </c>
      <c r="D7" s="117"/>
      <c r="F7" s="78">
        <f>Q7/22</f>
        <v>1498373.5454545454</v>
      </c>
      <c r="G7" s="90">
        <f t="shared" si="2"/>
        <v>8.2193405449342283E-2</v>
      </c>
      <c r="H7" s="90"/>
      <c r="I7" s="130">
        <f t="shared" si="0"/>
        <v>54.232464265650584</v>
      </c>
      <c r="J7" s="130"/>
      <c r="K7" s="79">
        <f>R5+R6+R7</f>
        <v>106024454820</v>
      </c>
      <c r="L7" s="87"/>
      <c r="M7" s="87"/>
      <c r="N7" s="88">
        <f>AVERAGE(T5:T7)</f>
        <v>52.850069864605082</v>
      </c>
      <c r="O7" s="79"/>
      <c r="P7" s="129" t="s">
        <v>2</v>
      </c>
      <c r="Q7" s="116">
        <v>32964218</v>
      </c>
      <c r="R7" s="116">
        <v>39732430878</v>
      </c>
      <c r="S7" s="116">
        <v>607831.82999999996</v>
      </c>
      <c r="T7" s="130">
        <f t="shared" si="1"/>
        <v>54.232464265650584</v>
      </c>
      <c r="U7" s="85">
        <f>Q5+Q6+Q7</f>
        <v>88977938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1744953.7142857143</v>
      </c>
      <c r="G8" s="90">
        <f t="shared" si="2"/>
        <v>0.16456521778510624</v>
      </c>
      <c r="H8" s="90"/>
      <c r="I8" s="130">
        <f t="shared" si="0"/>
        <v>52.502518060048629</v>
      </c>
      <c r="J8" s="130"/>
      <c r="K8" s="78"/>
      <c r="L8" s="87"/>
      <c r="M8" s="87"/>
      <c r="N8" s="79"/>
      <c r="O8" s="79"/>
      <c r="P8" s="129" t="s">
        <v>3</v>
      </c>
      <c r="Q8" s="116">
        <v>36644028</v>
      </c>
      <c r="R8" s="116">
        <v>44405338789</v>
      </c>
      <c r="S8" s="116">
        <v>697948.01</v>
      </c>
      <c r="T8" s="130">
        <f t="shared" si="1"/>
        <v>52.502518060048629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1634223.6190476189</v>
      </c>
      <c r="G9" s="90">
        <f t="shared" si="2"/>
        <v>-6.3457325160869438E-2</v>
      </c>
      <c r="H9" s="90"/>
      <c r="I9" s="130">
        <f t="shared" si="0"/>
        <v>48.404443177681749</v>
      </c>
      <c r="J9" s="130"/>
      <c r="K9" s="78"/>
      <c r="L9" s="87"/>
      <c r="M9" s="87"/>
      <c r="N9" s="79"/>
      <c r="O9" s="79"/>
      <c r="P9" s="129" t="s">
        <v>4</v>
      </c>
      <c r="Q9" s="116">
        <v>34318696</v>
      </c>
      <c r="R9" s="116">
        <v>43143620221</v>
      </c>
      <c r="S9" s="116">
        <v>708998.88</v>
      </c>
      <c r="T9" s="130">
        <f t="shared" si="1"/>
        <v>48.404443177681749</v>
      </c>
      <c r="U9" s="85"/>
    </row>
    <row r="10" spans="1:21" ht="15" hidden="1" customHeight="1">
      <c r="A10" s="129" t="s">
        <v>5</v>
      </c>
      <c r="B10" s="131">
        <f>F8+F9+F10</f>
        <v>5154723.8571428563</v>
      </c>
      <c r="C10" s="131">
        <f>AVERAGE(F8:F10)</f>
        <v>1718241.2857142854</v>
      </c>
      <c r="D10" s="90">
        <f>C10/C7-1</f>
        <v>0.16162355557053032</v>
      </c>
      <c r="E10" s="286"/>
      <c r="F10" s="78">
        <f>Q10/21</f>
        <v>1775546.5238095238</v>
      </c>
      <c r="G10" s="90">
        <f t="shared" si="2"/>
        <v>8.6477091087610258E-2</v>
      </c>
      <c r="H10" s="90"/>
      <c r="I10" s="130">
        <f t="shared" si="0"/>
        <v>55.826937271079885</v>
      </c>
      <c r="J10" s="130"/>
      <c r="K10" s="79">
        <f>R8+R9+R10</f>
        <v>134402069881</v>
      </c>
      <c r="L10" s="87">
        <f>U10/U7-1</f>
        <v>0.21658473362239516</v>
      </c>
      <c r="M10" s="87"/>
      <c r="N10" s="88">
        <f>AVERAGE(T8:T10)</f>
        <v>52.244632836270085</v>
      </c>
      <c r="O10" s="89">
        <f>N10/N7-1</f>
        <v>-1.1455746981717252E-2</v>
      </c>
      <c r="P10" s="129" t="s">
        <v>5</v>
      </c>
      <c r="Q10" s="116">
        <v>37286477</v>
      </c>
      <c r="R10" s="116">
        <v>46853110871</v>
      </c>
      <c r="S10" s="116">
        <v>667894.01</v>
      </c>
      <c r="T10" s="130">
        <f t="shared" si="1"/>
        <v>55.826937271079885</v>
      </c>
      <c r="U10" s="85">
        <f>Q8+Q9+Q10</f>
        <v>108249201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1855841.0476190476</v>
      </c>
      <c r="G11" s="90">
        <f t="shared" si="2"/>
        <v>4.5222427423218248E-2</v>
      </c>
      <c r="H11" s="90"/>
      <c r="I11" s="130">
        <f t="shared" si="0"/>
        <v>48.809443402327624</v>
      </c>
      <c r="J11" s="130"/>
      <c r="K11" s="78"/>
      <c r="L11" s="87"/>
      <c r="M11" s="87"/>
      <c r="N11" s="79"/>
      <c r="O11" s="89"/>
      <c r="P11" s="129" t="s">
        <v>6</v>
      </c>
      <c r="Q11" s="116">
        <v>38972662</v>
      </c>
      <c r="R11" s="116">
        <v>50294463323</v>
      </c>
      <c r="S11" s="116">
        <v>798465.61</v>
      </c>
      <c r="T11" s="130">
        <f t="shared" si="1"/>
        <v>48.809443402327624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1317120.9090909092</v>
      </c>
      <c r="G12" s="90">
        <f t="shared" si="2"/>
        <v>-0.29028355592160748</v>
      </c>
      <c r="H12" s="90"/>
      <c r="I12" s="130">
        <f t="shared" si="0"/>
        <v>49.776089997848281</v>
      </c>
      <c r="J12" s="130"/>
      <c r="K12" s="78"/>
      <c r="L12" s="87"/>
      <c r="M12" s="87"/>
      <c r="N12" s="79"/>
      <c r="O12" s="89"/>
      <c r="P12" s="129" t="s">
        <v>7</v>
      </c>
      <c r="Q12" s="116">
        <v>28976660</v>
      </c>
      <c r="R12" s="116">
        <v>37594192887</v>
      </c>
      <c r="S12" s="116">
        <v>582140.14</v>
      </c>
      <c r="T12" s="130">
        <f t="shared" si="1"/>
        <v>49.776089997848281</v>
      </c>
      <c r="U12" s="85"/>
    </row>
    <row r="13" spans="1:21" ht="15" hidden="1" customHeight="1">
      <c r="A13" s="129" t="s">
        <v>96</v>
      </c>
      <c r="B13" s="131">
        <f>F11+F12+F13</f>
        <v>5040067.9567099568</v>
      </c>
      <c r="C13" s="131">
        <f>AVERAGE(F11:F13)</f>
        <v>1680022.6522366523</v>
      </c>
      <c r="D13" s="90">
        <f>C13/C10-1</f>
        <v>-2.224287927160673E-2</v>
      </c>
      <c r="E13" s="286"/>
      <c r="F13" s="78">
        <f>Q13/20</f>
        <v>1867106</v>
      </c>
      <c r="G13" s="90">
        <f t="shared" si="2"/>
        <v>0.41756613771221374</v>
      </c>
      <c r="H13" s="90"/>
      <c r="I13" s="130">
        <f t="shared" si="0"/>
        <v>45.284172244323514</v>
      </c>
      <c r="J13" s="130"/>
      <c r="K13" s="78">
        <f>R11+R12+R13</f>
        <v>138886832527</v>
      </c>
      <c r="L13" s="87">
        <f>U13/U10-1</f>
        <v>-2.7323610453254044E-2</v>
      </c>
      <c r="M13" s="87"/>
      <c r="N13" s="88">
        <f>AVERAGE(T11:T13)</f>
        <v>47.956568548166473</v>
      </c>
      <c r="O13" s="89">
        <f>N13/N10-1</f>
        <v>-8.2076647022135574E-2</v>
      </c>
      <c r="P13" s="129" t="s">
        <v>96</v>
      </c>
      <c r="Q13" s="116">
        <v>37342120</v>
      </c>
      <c r="R13" s="116">
        <v>50998176317</v>
      </c>
      <c r="S13" s="116">
        <v>824617.48</v>
      </c>
      <c r="T13" s="130">
        <f t="shared" si="1"/>
        <v>45.284172244323514</v>
      </c>
      <c r="U13" s="85">
        <f>Q11+Q12+Q13</f>
        <v>105291442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1493564.2</v>
      </c>
      <c r="G14" s="90">
        <f t="shared" si="2"/>
        <v>-0.2000645919406826</v>
      </c>
      <c r="H14" s="90"/>
      <c r="I14" s="130">
        <f t="shared" si="0"/>
        <v>52.162811735146754</v>
      </c>
      <c r="J14" s="130"/>
      <c r="K14" s="79"/>
      <c r="L14" s="87"/>
      <c r="M14" s="87"/>
      <c r="N14" s="79"/>
      <c r="O14" s="89"/>
      <c r="P14" s="129" t="s">
        <v>97</v>
      </c>
      <c r="Q14" s="116">
        <v>29871284</v>
      </c>
      <c r="R14" s="116">
        <v>42596909494</v>
      </c>
      <c r="S14" s="116">
        <v>572654.79</v>
      </c>
      <c r="T14" s="130">
        <f t="shared" si="1"/>
        <v>52.162811735146754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1138306.3181818181</v>
      </c>
      <c r="G15" s="90">
        <f t="shared" si="2"/>
        <v>-0.23785913040643436</v>
      </c>
      <c r="H15" s="90"/>
      <c r="I15" s="130">
        <f t="shared" si="0"/>
        <v>57.664048190082283</v>
      </c>
      <c r="J15" s="130"/>
      <c r="K15" s="79"/>
      <c r="L15" s="87"/>
      <c r="M15" s="87"/>
      <c r="N15" s="79"/>
      <c r="O15" s="89"/>
      <c r="P15" s="129" t="s">
        <v>98</v>
      </c>
      <c r="Q15" s="116">
        <v>25042739</v>
      </c>
      <c r="R15" s="116">
        <v>34844062813</v>
      </c>
      <c r="S15" s="116">
        <v>434286.87</v>
      </c>
      <c r="T15" s="130">
        <f t="shared" si="1"/>
        <v>57.664048190082283</v>
      </c>
      <c r="U15" s="78"/>
    </row>
    <row r="16" spans="1:21" ht="15" hidden="1" customHeight="1">
      <c r="A16" s="129" t="s">
        <v>99</v>
      </c>
      <c r="B16" s="131">
        <f>F14+F15+F16</f>
        <v>3892536.1090909089</v>
      </c>
      <c r="C16" s="131">
        <f>AVERAGE(F14:F16)</f>
        <v>1297512.0363636364</v>
      </c>
      <c r="D16" s="90">
        <f>C16/C13-1</f>
        <v>-0.22768182045865326</v>
      </c>
      <c r="E16" s="286"/>
      <c r="F16" s="78">
        <f>Q16/22</f>
        <v>1260665.5909090908</v>
      </c>
      <c r="G16" s="90">
        <f t="shared" si="2"/>
        <v>0.10749239530068966</v>
      </c>
      <c r="H16" s="90"/>
      <c r="I16" s="130">
        <f t="shared" si="0"/>
        <v>46.189176515071956</v>
      </c>
      <c r="J16" s="130"/>
      <c r="K16" s="78">
        <f>R14+R15+R16</f>
        <v>113800519576</v>
      </c>
      <c r="L16" s="87">
        <f>U16/U13-1</f>
        <v>-0.2150485886592759</v>
      </c>
      <c r="M16" s="87"/>
      <c r="N16" s="88">
        <f>AVERAGE(T14:T16)</f>
        <v>52.005345480100324</v>
      </c>
      <c r="O16" s="89">
        <f>N16/N13-1</f>
        <v>8.4425909828543144E-2</v>
      </c>
      <c r="P16" s="129" t="s">
        <v>99</v>
      </c>
      <c r="Q16" s="116">
        <v>27734643</v>
      </c>
      <c r="R16" s="116">
        <v>36359547269</v>
      </c>
      <c r="S16" s="116">
        <v>600457.62</v>
      </c>
      <c r="T16" s="130">
        <f t="shared" si="1"/>
        <v>46.189176515071956</v>
      </c>
      <c r="U16" s="85">
        <f>Q14+Q15+Q16</f>
        <v>82648666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1483753.3</v>
      </c>
      <c r="G17" s="90">
        <f t="shared" si="2"/>
        <v>0.1769602586916299</v>
      </c>
      <c r="H17" s="90">
        <f t="shared" ref="H17:H32" si="3">F17/F5-1</f>
        <v>-4.555520308272587E-2</v>
      </c>
      <c r="I17" s="130">
        <f t="shared" si="0"/>
        <v>63.349183509293169</v>
      </c>
      <c r="J17" s="130">
        <f t="shared" ref="J17:J49" si="4">I17/I5-1</f>
        <v>0.18116568825045576</v>
      </c>
      <c r="K17" s="79"/>
      <c r="L17" s="87"/>
      <c r="M17" s="87"/>
      <c r="N17" s="79"/>
      <c r="O17" s="89"/>
      <c r="P17" s="129" t="s">
        <v>100</v>
      </c>
      <c r="Q17" s="116">
        <v>29675066</v>
      </c>
      <c r="R17" s="116">
        <v>37331147094</v>
      </c>
      <c r="S17" s="116">
        <v>468436.44</v>
      </c>
      <c r="T17" s="130">
        <f t="shared" si="1"/>
        <v>63.349183509293169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1091500.95</v>
      </c>
      <c r="G18" s="90">
        <f t="shared" si="2"/>
        <v>-0.26436493856492183</v>
      </c>
      <c r="H18" s="90">
        <f t="shared" si="3"/>
        <v>-0.21166845629715136</v>
      </c>
      <c r="I18" s="130">
        <f t="shared" si="0"/>
        <v>55.596069312931995</v>
      </c>
      <c r="J18" s="130">
        <f t="shared" si="4"/>
        <v>9.6894396627376977E-2</v>
      </c>
      <c r="K18" s="79"/>
      <c r="L18" s="87"/>
      <c r="M18" s="87"/>
      <c r="N18" s="79"/>
      <c r="O18" s="89"/>
      <c r="P18" s="129" t="s">
        <v>106</v>
      </c>
      <c r="Q18" s="116">
        <v>21830019</v>
      </c>
      <c r="R18" s="116">
        <v>27374463837</v>
      </c>
      <c r="S18" s="116">
        <v>392654</v>
      </c>
      <c r="T18" s="130">
        <f t="shared" si="1"/>
        <v>55.596069312931995</v>
      </c>
      <c r="U18" s="78"/>
    </row>
    <row r="19" spans="1:21" hidden="1">
      <c r="A19" s="129" t="s">
        <v>114</v>
      </c>
      <c r="B19" s="131">
        <f>SUM(F17:F19)</f>
        <v>3717188.6590909092</v>
      </c>
      <c r="C19" s="131">
        <f>AVERAGE(F17:F19)</f>
        <v>1239062.8863636365</v>
      </c>
      <c r="D19" s="90">
        <f>C19/C16-1</f>
        <v>-4.5047096567834233E-2</v>
      </c>
      <c r="E19" s="286">
        <f>C19/C7-1</f>
        <v>-0.16232682359574802</v>
      </c>
      <c r="F19" s="78">
        <f>Q19/22</f>
        <v>1141934.4090909092</v>
      </c>
      <c r="G19" s="90">
        <f t="shared" si="2"/>
        <v>4.6205602561233849E-2</v>
      </c>
      <c r="H19" s="90">
        <f t="shared" si="3"/>
        <v>-0.23788402928290298</v>
      </c>
      <c r="I19" s="130">
        <f t="shared" si="0"/>
        <v>41.304801963961808</v>
      </c>
      <c r="J19" s="130">
        <f t="shared" si="4"/>
        <v>-0.23837497478197422</v>
      </c>
      <c r="K19" s="78">
        <f>R17+R18+R19</f>
        <v>97551482343</v>
      </c>
      <c r="L19" s="87">
        <f>U19/U16-1</f>
        <v>-7.2850831010388029E-2</v>
      </c>
      <c r="M19" s="87">
        <f>U19/U7-1</f>
        <v>-0.1388017780317633</v>
      </c>
      <c r="N19" s="88">
        <f>AVERAGE(T17:T19)</f>
        <v>53.416684928728991</v>
      </c>
      <c r="O19" s="89">
        <f>N19/N16-1</f>
        <v>2.7138353482695665E-2</v>
      </c>
      <c r="P19" s="129" t="s">
        <v>114</v>
      </c>
      <c r="Q19" s="116">
        <v>25122557</v>
      </c>
      <c r="R19" s="116">
        <v>32845871412</v>
      </c>
      <c r="S19" s="116">
        <v>608223.64</v>
      </c>
      <c r="T19" s="130">
        <f t="shared" si="1"/>
        <v>41.304801963961808</v>
      </c>
      <c r="U19" s="85">
        <f>Q17+Q18+Q19</f>
        <v>76627642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1191521.75</v>
      </c>
      <c r="G20" s="90">
        <f t="shared" si="2"/>
        <v>4.3423983474293548E-2</v>
      </c>
      <c r="H20" s="90">
        <f t="shared" si="3"/>
        <v>-0.31716140076085519</v>
      </c>
      <c r="I20" s="130">
        <f t="shared" si="0"/>
        <v>52.119934725949072</v>
      </c>
      <c r="J20" s="130">
        <f t="shared" si="4"/>
        <v>-7.2869520974591095E-3</v>
      </c>
      <c r="K20" s="79"/>
      <c r="L20" s="87"/>
      <c r="M20" s="87"/>
      <c r="N20" s="79"/>
      <c r="O20" s="89"/>
      <c r="P20" s="129" t="s">
        <v>131</v>
      </c>
      <c r="Q20" s="116">
        <v>23830435</v>
      </c>
      <c r="R20" s="116">
        <v>31239490569</v>
      </c>
      <c r="S20" s="116">
        <v>457223.04</v>
      </c>
      <c r="T20" s="130">
        <f t="shared" si="1"/>
        <v>52.119934725949072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1372307</v>
      </c>
      <c r="G21" s="90">
        <f t="shared" si="2"/>
        <v>0.15172635329569095</v>
      </c>
      <c r="H21" s="90">
        <f t="shared" si="3"/>
        <v>-0.16026975500467733</v>
      </c>
      <c r="I21" s="130">
        <f t="shared" si="0"/>
        <v>50.309879821690224</v>
      </c>
      <c r="J21" s="130">
        <f t="shared" si="4"/>
        <v>3.9364911956822901E-2</v>
      </c>
      <c r="K21" s="79"/>
      <c r="L21" s="87"/>
      <c r="M21" s="87"/>
      <c r="N21" s="79"/>
      <c r="O21" s="89"/>
      <c r="P21" s="129" t="s">
        <v>141</v>
      </c>
      <c r="Q21" s="116">
        <v>28818447</v>
      </c>
      <c r="R21" s="116">
        <v>38345896626</v>
      </c>
      <c r="S21" s="116">
        <v>572818.84</v>
      </c>
      <c r="T21" s="130">
        <f t="shared" si="1"/>
        <v>50.309879821690224</v>
      </c>
      <c r="U21" s="78"/>
    </row>
    <row r="22" spans="1:21" hidden="1">
      <c r="A22" s="129" t="s">
        <v>156</v>
      </c>
      <c r="B22" s="131">
        <f>SUM(F20:F22)</f>
        <v>4077368.9880952379</v>
      </c>
      <c r="C22" s="131">
        <f>AVERAGE(F20:F22)</f>
        <v>1359122.996031746</v>
      </c>
      <c r="D22" s="90">
        <f>C22/C19-1</f>
        <v>9.6895896882569277E-2</v>
      </c>
      <c r="E22" s="286">
        <f>C22/C10-1</f>
        <v>-0.20900341102748632</v>
      </c>
      <c r="F22" s="78">
        <f>Q22/21</f>
        <v>1513540.2380952381</v>
      </c>
      <c r="G22" s="90">
        <f t="shared" si="2"/>
        <v>0.10291664918654364</v>
      </c>
      <c r="H22" s="90">
        <f t="shared" si="3"/>
        <v>-0.14756374006586892</v>
      </c>
      <c r="I22" s="130">
        <f t="shared" si="0"/>
        <v>42.776006446908347</v>
      </c>
      <c r="J22" s="130">
        <f t="shared" si="4"/>
        <v>-0.23377479514593269</v>
      </c>
      <c r="K22" s="78">
        <f>R20+R21+R22</f>
        <v>110841552671</v>
      </c>
      <c r="L22" s="87">
        <f>U22/U19-1</f>
        <v>0.10186382872123345</v>
      </c>
      <c r="M22" s="87">
        <f>U22/U10-1</f>
        <v>-0.22001062160264817</v>
      </c>
      <c r="N22" s="88">
        <f>AVERAGE(T20:T22)</f>
        <v>48.401940331515881</v>
      </c>
      <c r="O22" s="89">
        <f>N22/N19-1</f>
        <v>-9.3879741955233853E-2</v>
      </c>
      <c r="P22" s="129" t="s">
        <v>156</v>
      </c>
      <c r="Q22" s="116">
        <v>31784345</v>
      </c>
      <c r="R22" s="116">
        <v>41256165476</v>
      </c>
      <c r="S22" s="116">
        <v>743041.43</v>
      </c>
      <c r="T22" s="130">
        <f t="shared" si="1"/>
        <v>42.776006446908347</v>
      </c>
      <c r="U22" s="85">
        <f>Q20+Q21+Q22</f>
        <v>84433227</v>
      </c>
    </row>
    <row r="23" spans="1:21" hidden="1">
      <c r="A23" s="129" t="s">
        <v>189</v>
      </c>
      <c r="B23" s="131"/>
      <c r="C23" s="131"/>
      <c r="D23" s="117"/>
      <c r="F23" s="78">
        <f>Q23/21</f>
        <v>1274801.6666666667</v>
      </c>
      <c r="G23" s="90">
        <f t="shared" si="2"/>
        <v>-0.15773519951410042</v>
      </c>
      <c r="H23" s="90">
        <f t="shared" si="3"/>
        <v>-0.31308682481068395</v>
      </c>
      <c r="I23" s="130">
        <f t="shared" si="0"/>
        <v>47.140677781505993</v>
      </c>
      <c r="J23" s="130">
        <f t="shared" si="4"/>
        <v>-3.4189400749078169E-2</v>
      </c>
      <c r="K23" s="79"/>
      <c r="L23" s="87"/>
      <c r="M23" s="87"/>
      <c r="N23" s="79"/>
      <c r="O23" s="89"/>
      <c r="P23" s="129" t="s">
        <v>189</v>
      </c>
      <c r="Q23" s="116">
        <v>26770835</v>
      </c>
      <c r="R23" s="116">
        <v>34505056331</v>
      </c>
      <c r="S23" s="116">
        <v>567892.44999999995</v>
      </c>
      <c r="T23" s="130">
        <f t="shared" si="1"/>
        <v>47.140677781505993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1442418.4090909092</v>
      </c>
      <c r="G24" s="90">
        <f t="shared" si="2"/>
        <v>0.13148456485982196</v>
      </c>
      <c r="H24" s="90">
        <f t="shared" si="3"/>
        <v>9.5129838980752002E-2</v>
      </c>
      <c r="I24" s="130">
        <f t="shared" si="0"/>
        <v>38.999930168540111</v>
      </c>
      <c r="J24" s="130">
        <f t="shared" si="4"/>
        <v>-0.21649269417855044</v>
      </c>
      <c r="K24" s="79"/>
      <c r="L24" s="87"/>
      <c r="M24" s="87"/>
      <c r="N24" s="79"/>
      <c r="O24" s="89"/>
      <c r="P24" s="129" t="s">
        <v>204</v>
      </c>
      <c r="Q24" s="116">
        <v>31733205</v>
      </c>
      <c r="R24" s="116">
        <v>41599228077</v>
      </c>
      <c r="S24" s="116">
        <v>813673.38</v>
      </c>
      <c r="T24" s="130">
        <f t="shared" si="1"/>
        <v>38.999930168540111</v>
      </c>
      <c r="U24" s="78"/>
    </row>
    <row r="25" spans="1:21" s="92" customFormat="1" ht="13.2" hidden="1">
      <c r="A25" s="129" t="s">
        <v>219</v>
      </c>
      <c r="B25" s="131">
        <f>SUM(F23:F25)</f>
        <v>3919458.7599681024</v>
      </c>
      <c r="C25" s="131">
        <f>AVERAGE(F23:F25)</f>
        <v>1306486.2533227007</v>
      </c>
      <c r="D25" s="90">
        <f>C25/C22-1</f>
        <v>-3.8728461561411076E-2</v>
      </c>
      <c r="E25" s="286">
        <f>C25/C13-1</f>
        <v>-0.22234009667468124</v>
      </c>
      <c r="F25" s="78">
        <f>Q25/19</f>
        <v>1202238.6842105263</v>
      </c>
      <c r="G25" s="90">
        <f t="shared" si="2"/>
        <v>-0.1665118271970456</v>
      </c>
      <c r="H25" s="90">
        <f t="shared" si="3"/>
        <v>-0.35609510964534086</v>
      </c>
      <c r="I25" s="130">
        <f t="shared" si="0"/>
        <v>60.979456848661243</v>
      </c>
      <c r="J25" s="130">
        <f t="shared" si="4"/>
        <v>0.34659537375788463</v>
      </c>
      <c r="K25" s="78">
        <f>R23+R24+R25</f>
        <v>106421767882</v>
      </c>
      <c r="L25" s="90">
        <f>U25/U22-1</f>
        <v>-3.6557314100999605E-2</v>
      </c>
      <c r="M25" s="90">
        <f>U25/U13-1</f>
        <v>-0.22741513028190841</v>
      </c>
      <c r="N25" s="88">
        <f>AVERAGE(T23:T25)</f>
        <v>49.040021599569116</v>
      </c>
      <c r="O25" s="91">
        <f>N25/N22-1</f>
        <v>1.3182968775277804E-2</v>
      </c>
      <c r="P25" s="129" t="s">
        <v>219</v>
      </c>
      <c r="Q25" s="116">
        <v>22842535</v>
      </c>
      <c r="R25" s="116">
        <v>30317483474</v>
      </c>
      <c r="S25" s="116">
        <v>374593.94</v>
      </c>
      <c r="T25" s="130">
        <f t="shared" si="1"/>
        <v>60.979456848661243</v>
      </c>
      <c r="U25" s="85">
        <f>Q23+Q24+Q25</f>
        <v>81346575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1020472.2631578947</v>
      </c>
      <c r="G26" s="90">
        <f t="shared" si="2"/>
        <v>-0.15118996205981516</v>
      </c>
      <c r="H26" s="90">
        <f t="shared" si="3"/>
        <v>-0.31675366672695104</v>
      </c>
      <c r="I26" s="130">
        <f t="shared" si="0"/>
        <v>56.637114295135248</v>
      </c>
      <c r="J26" s="130">
        <f t="shared" si="4"/>
        <v>8.577571666777617E-2</v>
      </c>
      <c r="K26" s="79"/>
      <c r="L26" s="90"/>
      <c r="M26" s="90"/>
      <c r="N26" s="79"/>
      <c r="O26" s="79"/>
      <c r="P26" s="129" t="s">
        <v>312</v>
      </c>
      <c r="Q26" s="116">
        <v>19388973</v>
      </c>
      <c r="R26" s="116">
        <v>26142581177</v>
      </c>
      <c r="S26" s="116">
        <v>342336.88</v>
      </c>
      <c r="T26" s="130">
        <f t="shared" si="1"/>
        <v>56.637114295135248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864234.54545454541</v>
      </c>
      <c r="G27" s="90">
        <f t="shared" si="2"/>
        <v>-0.15310334571942708</v>
      </c>
      <c r="H27" s="90">
        <f t="shared" si="3"/>
        <v>-0.24077154659480338</v>
      </c>
      <c r="I27" s="130">
        <f t="shared" si="0"/>
        <v>59.197921461492932</v>
      </c>
      <c r="J27" s="130">
        <f t="shared" si="4"/>
        <v>2.6600166300403183E-2</v>
      </c>
      <c r="K27" s="79"/>
      <c r="L27" s="90"/>
      <c r="M27" s="90"/>
      <c r="N27" s="79"/>
      <c r="O27" s="79"/>
      <c r="P27" s="129" t="s">
        <v>373</v>
      </c>
      <c r="Q27" s="116">
        <v>19013160</v>
      </c>
      <c r="R27" s="116">
        <v>25137463895</v>
      </c>
      <c r="S27" s="116">
        <v>321179.52000000002</v>
      </c>
      <c r="T27" s="130">
        <f t="shared" si="1"/>
        <v>59.197921461492932</v>
      </c>
      <c r="U27" s="78"/>
    </row>
    <row r="28" spans="1:21" s="92" customFormat="1" ht="13.2" hidden="1">
      <c r="A28" s="123" t="s">
        <v>413</v>
      </c>
      <c r="B28" s="131">
        <f>SUM(F26:F28)</f>
        <v>2786935.7559808614</v>
      </c>
      <c r="C28" s="131">
        <f>AVERAGE(F26:F28)</f>
        <v>928978.58532695379</v>
      </c>
      <c r="D28" s="90">
        <f>C28/C25-1</f>
        <v>-0.28894882516800802</v>
      </c>
      <c r="E28" s="286">
        <f>C28/C16-1</f>
        <v>-0.28403085343972767</v>
      </c>
      <c r="F28" s="78">
        <f>Q28/19</f>
        <v>902228.94736842101</v>
      </c>
      <c r="G28" s="90">
        <f t="shared" si="2"/>
        <v>4.3963067796476851E-2</v>
      </c>
      <c r="H28" s="90">
        <f t="shared" si="3"/>
        <v>-0.28432333374165797</v>
      </c>
      <c r="I28" s="130">
        <f t="shared" si="0"/>
        <v>44.196084810096195</v>
      </c>
      <c r="J28" s="130">
        <f t="shared" si="4"/>
        <v>-4.3150622187979382E-2</v>
      </c>
      <c r="K28" s="78">
        <f>R26+R27+R28</f>
        <v>73626391732</v>
      </c>
      <c r="L28" s="90">
        <f>U28/U25-1</f>
        <v>-0.31718719565021636</v>
      </c>
      <c r="M28" s="90">
        <f>U28/U16-1</f>
        <v>-0.32794459138638732</v>
      </c>
      <c r="N28" s="88">
        <f>AVERAGE(T26:T28)</f>
        <v>53.343706855574794</v>
      </c>
      <c r="O28" s="91">
        <f>N28/N25-1</f>
        <v>8.7758632962011029E-2</v>
      </c>
      <c r="P28" s="129" t="s">
        <v>413</v>
      </c>
      <c r="Q28" s="116">
        <v>17142350</v>
      </c>
      <c r="R28" s="116">
        <v>22346346660</v>
      </c>
      <c r="S28" s="116">
        <v>387870.33</v>
      </c>
      <c r="T28" s="130">
        <f t="shared" si="1"/>
        <v>44.196084810096195</v>
      </c>
      <c r="U28" s="85">
        <f>Q26+Q27+Q28</f>
        <v>55544483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1007906.5909090909</v>
      </c>
      <c r="G29" s="190">
        <f t="shared" si="2"/>
        <v>0.11712952000587595</v>
      </c>
      <c r="H29" s="190">
        <f t="shared" si="3"/>
        <v>-0.3207047351408816</v>
      </c>
      <c r="I29" s="130">
        <f t="shared" si="0"/>
        <v>55.921889027636134</v>
      </c>
      <c r="J29" s="130">
        <f t="shared" si="4"/>
        <v>-0.11724372865149035</v>
      </c>
      <c r="K29" s="136"/>
      <c r="L29" s="190"/>
      <c r="M29" s="190"/>
      <c r="N29" s="191"/>
      <c r="O29" s="192"/>
      <c r="P29" s="129" t="s">
        <v>430</v>
      </c>
      <c r="Q29" s="116">
        <v>22173945</v>
      </c>
      <c r="R29" s="116">
        <v>29166483943</v>
      </c>
      <c r="S29" s="116">
        <v>396516.38</v>
      </c>
      <c r="T29" s="130">
        <f t="shared" si="1"/>
        <v>55.921889027636134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1065005.105263158</v>
      </c>
      <c r="G30" s="190">
        <f t="shared" si="2"/>
        <v>5.6650601225423536E-2</v>
      </c>
      <c r="H30" s="190">
        <f t="shared" si="3"/>
        <v>-2.4274687747034895E-2</v>
      </c>
      <c r="I30" s="130">
        <f t="shared" si="0"/>
        <v>54.670024284343505</v>
      </c>
      <c r="J30" s="130">
        <f t="shared" si="4"/>
        <v>-1.665666368203278E-2</v>
      </c>
      <c r="K30" s="136"/>
      <c r="L30" s="190"/>
      <c r="M30" s="190"/>
      <c r="N30" s="191"/>
      <c r="O30" s="192"/>
      <c r="P30" s="129" t="s">
        <v>466</v>
      </c>
      <c r="Q30" s="116">
        <v>20235097</v>
      </c>
      <c r="R30" s="116">
        <v>26961202179</v>
      </c>
      <c r="S30" s="116">
        <v>370131.48</v>
      </c>
      <c r="T30" s="130">
        <f t="shared" si="1"/>
        <v>54.670024284343505</v>
      </c>
      <c r="U30" s="85"/>
    </row>
    <row r="31" spans="1:21" s="92" customFormat="1" ht="13.2" hidden="1">
      <c r="A31" s="129" t="s">
        <v>505</v>
      </c>
      <c r="B31" s="188">
        <f>SUM(F29:F31)</f>
        <v>3233755.696172249</v>
      </c>
      <c r="C31" s="188">
        <f>AVERAGE(F29:F31)</f>
        <v>1077918.5653907496</v>
      </c>
      <c r="D31" s="190">
        <f>C31/C28-1</f>
        <v>0.1603266021588392</v>
      </c>
      <c r="E31" s="287">
        <f>C31/C19-1</f>
        <v>-0.13005338368725439</v>
      </c>
      <c r="F31" s="136">
        <f>Q31/20</f>
        <v>1160844</v>
      </c>
      <c r="G31" s="190">
        <f t="shared" si="2"/>
        <v>8.9989141144220852E-2</v>
      </c>
      <c r="H31" s="190">
        <f t="shared" si="3"/>
        <v>1.6559261861760266E-2</v>
      </c>
      <c r="I31" s="130">
        <f t="shared" si="0"/>
        <v>51.787655906643884</v>
      </c>
      <c r="J31" s="130">
        <f t="shared" si="4"/>
        <v>0.25379262081508847</v>
      </c>
      <c r="K31" s="136">
        <f>R29+R30+R31</f>
        <v>86987271788</v>
      </c>
      <c r="L31" s="190">
        <f>U31/U28-1</f>
        <v>0.18150207645284944</v>
      </c>
      <c r="M31" s="190">
        <f>U31/U19-1</f>
        <v>-0.14357377720170483</v>
      </c>
      <c r="N31" s="191">
        <f>AVERAGE(T29:T31)</f>
        <v>54.126523072874505</v>
      </c>
      <c r="O31" s="192">
        <f>N31/N28-1</f>
        <v>1.4674949744665211E-2</v>
      </c>
      <c r="P31" s="129" t="s">
        <v>505</v>
      </c>
      <c r="Q31" s="116">
        <v>23216880</v>
      </c>
      <c r="R31" s="116">
        <v>30859585666</v>
      </c>
      <c r="S31" s="116">
        <v>448309.15</v>
      </c>
      <c r="T31" s="130">
        <f t="shared" si="1"/>
        <v>51.787655906643884</v>
      </c>
      <c r="U31" s="85">
        <f>Q29+Q30+Q31</f>
        <v>65625922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1424069.3333333333</v>
      </c>
      <c r="G32" s="190">
        <f t="shared" si="2"/>
        <v>0.22675340815245915</v>
      </c>
      <c r="H32" s="190">
        <f t="shared" si="3"/>
        <v>0.19516855930941523</v>
      </c>
      <c r="I32" s="130">
        <f t="shared" si="0"/>
        <v>50.79172312535075</v>
      </c>
      <c r="J32" s="130">
        <f t="shared" si="4"/>
        <v>-2.5483754106411904E-2</v>
      </c>
      <c r="K32" s="136"/>
      <c r="L32" s="190"/>
      <c r="M32" s="190"/>
      <c r="N32" s="191"/>
      <c r="O32" s="192"/>
      <c r="P32" s="129" t="s">
        <v>561</v>
      </c>
      <c r="Q32" s="116">
        <v>29905456</v>
      </c>
      <c r="R32" s="116">
        <v>40704802576</v>
      </c>
      <c r="S32" s="116">
        <v>588786.01</v>
      </c>
      <c r="T32" s="130">
        <f t="shared" si="1"/>
        <v>50.79172312535075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1308847.2857142857</v>
      </c>
      <c r="G33" s="190">
        <f t="shared" ref="G33" si="5">F33/F32-1</f>
        <v>-8.0910419824395952E-2</v>
      </c>
      <c r="H33" s="190">
        <f t="shared" ref="H33" si="6">F33/F21-1</f>
        <v>-4.6243088671641508E-2</v>
      </c>
      <c r="I33" s="130">
        <f t="shared" si="0"/>
        <v>57.936071660668865</v>
      </c>
      <c r="J33" s="130">
        <f t="shared" si="4"/>
        <v>0.15158437797918856</v>
      </c>
      <c r="K33" s="136"/>
      <c r="L33" s="190"/>
      <c r="M33" s="190"/>
      <c r="N33" s="191"/>
      <c r="O33" s="192"/>
      <c r="P33" s="129" t="s">
        <v>607</v>
      </c>
      <c r="Q33" s="116">
        <v>27485793</v>
      </c>
      <c r="R33" s="116">
        <v>37584919618</v>
      </c>
      <c r="S33" s="116">
        <v>474415.89</v>
      </c>
      <c r="T33" s="130">
        <f t="shared" ref="T33" si="7">Q33/S33</f>
        <v>57.936071660668865</v>
      </c>
      <c r="U33" s="85"/>
    </row>
    <row r="34" spans="1:21" s="92" customFormat="1" ht="13.2" hidden="1">
      <c r="A34" s="129" t="s">
        <v>652</v>
      </c>
      <c r="B34" s="188">
        <f>SUM(F32:F34)</f>
        <v>3889136.0401002504</v>
      </c>
      <c r="C34" s="188">
        <f>AVERAGE(F32:F34)</f>
        <v>1296378.6800334167</v>
      </c>
      <c r="D34" s="190">
        <f>C34/C31-1</f>
        <v>0.20266847761683593</v>
      </c>
      <c r="E34" s="287">
        <f>C34/C22-1</f>
        <v>-4.616529643124645E-2</v>
      </c>
      <c r="F34" s="136">
        <f>Q34/19</f>
        <v>1156219.4210526317</v>
      </c>
      <c r="G34" s="190">
        <f t="shared" ref="G34" si="8">F34/F33-1</f>
        <v>-0.11661243166223123</v>
      </c>
      <c r="H34" s="190">
        <f t="shared" ref="H34" si="9">F34/F22-1</f>
        <v>-0.23608279981527813</v>
      </c>
      <c r="I34" s="130">
        <f t="shared" si="0"/>
        <v>58.975143489060549</v>
      </c>
      <c r="J34" s="130">
        <f t="shared" si="4"/>
        <v>0.37869680663756777</v>
      </c>
      <c r="K34" s="136">
        <f>R32+R33+R34</f>
        <v>108488999571</v>
      </c>
      <c r="L34" s="190">
        <f>U34/U31-1</f>
        <v>0.20926937986486505</v>
      </c>
      <c r="M34" s="190">
        <f>U34/U22-1</f>
        <v>-6.0092562848509834E-2</v>
      </c>
      <c r="N34" s="191">
        <f>AVERAGE(T32:T34)</f>
        <v>55.900979425026719</v>
      </c>
      <c r="O34" s="192">
        <f>N34/N31-1</f>
        <v>3.2783490448169639E-2</v>
      </c>
      <c r="P34" s="129" t="s">
        <v>652</v>
      </c>
      <c r="Q34" s="116">
        <v>21968169</v>
      </c>
      <c r="R34" s="116">
        <v>30199277377</v>
      </c>
      <c r="S34" s="116">
        <v>372498.78</v>
      </c>
      <c r="T34" s="130">
        <f t="shared" ref="T34" si="10">Q34/S34</f>
        <v>58.975143489060549</v>
      </c>
      <c r="U34" s="85">
        <f>Q32+Q33+Q34</f>
        <v>79359418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1429742.4782608696</v>
      </c>
      <c r="G35" s="190">
        <f t="shared" ref="G35" si="11">F35/F34-1</f>
        <v>0.23656673830925645</v>
      </c>
      <c r="H35" s="190">
        <f t="shared" ref="H35" si="12">F35/F23-1</f>
        <v>0.12154111156705638</v>
      </c>
      <c r="I35" s="130">
        <f t="shared" si="0"/>
        <v>72.254101197252311</v>
      </c>
      <c r="J35" s="130">
        <f t="shared" si="4"/>
        <v>0.53273360922270618</v>
      </c>
      <c r="K35" s="136"/>
      <c r="L35" s="190"/>
      <c r="M35" s="190"/>
      <c r="N35" s="191"/>
      <c r="O35" s="192"/>
      <c r="P35" s="129" t="s">
        <v>660</v>
      </c>
      <c r="Q35" s="116">
        <v>32884077</v>
      </c>
      <c r="R35" s="116">
        <v>45524602528</v>
      </c>
      <c r="S35" s="116">
        <v>455117.1</v>
      </c>
      <c r="T35" s="130">
        <f t="shared" ref="T35" si="13">Q35/S35</f>
        <v>72.254101197252311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1231366.7619047619</v>
      </c>
      <c r="G36" s="190">
        <f t="shared" ref="G36" si="14">F36/F35-1</f>
        <v>-0.13874926385163489</v>
      </c>
      <c r="H36" s="190">
        <f t="shared" ref="H36" si="15">F36/F24-1</f>
        <v>-0.14631791015421358</v>
      </c>
      <c r="I36" s="130">
        <f t="shared" si="0"/>
        <v>67.227829704451523</v>
      </c>
      <c r="J36" s="130">
        <f t="shared" si="4"/>
        <v>0.72379359178139957</v>
      </c>
      <c r="K36" s="136"/>
      <c r="L36" s="190"/>
      <c r="M36" s="190"/>
      <c r="N36" s="191"/>
      <c r="O36" s="192"/>
      <c r="P36" s="129" t="s">
        <v>664</v>
      </c>
      <c r="Q36" s="116">
        <v>25858702</v>
      </c>
      <c r="R36" s="116">
        <v>35246296492</v>
      </c>
      <c r="S36" s="116">
        <v>384642.82</v>
      </c>
      <c r="T36" s="130">
        <f t="shared" ref="T36" si="16">Q36/S36</f>
        <v>67.227829704451523</v>
      </c>
      <c r="U36" s="85"/>
    </row>
    <row r="37" spans="1:21" s="92" customFormat="1" ht="13.2" hidden="1">
      <c r="A37" s="129" t="s">
        <v>702</v>
      </c>
      <c r="B37" s="188">
        <f>SUM(F35:F37)</f>
        <v>4316243.2957211863</v>
      </c>
      <c r="C37" s="188">
        <f>AVERAGE(F35:F37)</f>
        <v>1438747.7652403954</v>
      </c>
      <c r="D37" s="190">
        <f>C37/C34-1</f>
        <v>0.10982060056966447</v>
      </c>
      <c r="E37" s="287">
        <f>C37/C25-1</f>
        <v>0.10123452243092701</v>
      </c>
      <c r="F37" s="136">
        <f>Q37/18</f>
        <v>1655134.0555555555</v>
      </c>
      <c r="G37" s="190">
        <f t="shared" ref="G37" si="17">F37/F36-1</f>
        <v>0.34414384630236539</v>
      </c>
      <c r="H37" s="190">
        <f t="shared" ref="H37" si="18">F37/F25-1</f>
        <v>0.37671003045658269</v>
      </c>
      <c r="I37" s="130">
        <f t="shared" si="0"/>
        <v>65.779345942632858</v>
      </c>
      <c r="J37" s="130">
        <f t="shared" si="4"/>
        <v>7.8713214941943166E-2</v>
      </c>
      <c r="K37" s="136">
        <f>R35+R36+R37</f>
        <v>120537661249</v>
      </c>
      <c r="L37" s="190">
        <f>U37/U34-1</f>
        <v>0.11562300015859495</v>
      </c>
      <c r="M37" s="190">
        <f>U37/U25-1</f>
        <v>8.837024791762893E-2</v>
      </c>
      <c r="N37" s="191">
        <f>AVERAGE(T35:T37)</f>
        <v>68.420425614778893</v>
      </c>
      <c r="O37" s="192">
        <f>N37/N34-1</f>
        <v>0.22395754633499765</v>
      </c>
      <c r="P37" s="129" t="s">
        <v>702</v>
      </c>
      <c r="Q37" s="116">
        <v>29792413</v>
      </c>
      <c r="R37" s="116">
        <v>39766762229</v>
      </c>
      <c r="S37" s="116">
        <v>452914.4</v>
      </c>
      <c r="T37" s="130">
        <f t="shared" ref="T37" si="19">Q37/S37</f>
        <v>65.779345942632858</v>
      </c>
      <c r="U37" s="85">
        <f>Q35+Q36+Q37</f>
        <v>88535192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1231900.6499999999</v>
      </c>
      <c r="G38" s="190">
        <f t="shared" ref="G38" si="20">F38/F37-1</f>
        <v>-0.25570944186360467</v>
      </c>
      <c r="H38" s="190">
        <f t="shared" ref="H38" si="21">F38/F26-1</f>
        <v>0.20718680406641443</v>
      </c>
      <c r="I38" s="130">
        <f t="shared" si="0"/>
        <v>57.244891579213046</v>
      </c>
      <c r="J38" s="130">
        <f t="shared" si="4"/>
        <v>1.0731077874319039E-2</v>
      </c>
      <c r="K38" s="136"/>
      <c r="L38" s="190"/>
      <c r="M38" s="190"/>
      <c r="N38" s="191"/>
      <c r="O38" s="192"/>
      <c r="P38" s="129" t="s">
        <v>728</v>
      </c>
      <c r="Q38" s="116">
        <v>24638013</v>
      </c>
      <c r="R38" s="116">
        <v>33232200626</v>
      </c>
      <c r="S38" s="116">
        <v>430396.71</v>
      </c>
      <c r="T38" s="130">
        <f t="shared" ref="T38" si="22">Q38/S38</f>
        <v>57.244891579213046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1189851.7619047619</v>
      </c>
      <c r="G39" s="190">
        <f t="shared" ref="G39" si="23">F39/F38-1</f>
        <v>-3.4133343541330241E-2</v>
      </c>
      <c r="H39" s="190">
        <f t="shared" ref="H39" si="24">F39/F27-1</f>
        <v>0.37676949870009846</v>
      </c>
      <c r="I39" s="130">
        <f t="shared" si="0"/>
        <v>58.795346677986707</v>
      </c>
      <c r="J39" s="130">
        <f t="shared" si="4"/>
        <v>-6.8004884895846995E-3</v>
      </c>
      <c r="K39" s="136"/>
      <c r="L39" s="190"/>
      <c r="M39" s="190"/>
      <c r="N39" s="191"/>
      <c r="O39" s="192"/>
      <c r="P39" s="129" t="s">
        <v>762</v>
      </c>
      <c r="Q39" s="116">
        <v>24986887</v>
      </c>
      <c r="R39" s="116">
        <v>34728114937</v>
      </c>
      <c r="S39" s="116">
        <v>424980.69</v>
      </c>
      <c r="T39" s="130">
        <f t="shared" ref="T39" si="25">Q39/S39</f>
        <v>58.795346677986707</v>
      </c>
      <c r="U39" s="85"/>
    </row>
    <row r="40" spans="1:21" s="92" customFormat="1" ht="13.2" hidden="1">
      <c r="A40" s="129" t="s">
        <v>778</v>
      </c>
      <c r="B40" s="188">
        <f>SUM(F38:F40)</f>
        <v>3693892.2214285713</v>
      </c>
      <c r="C40" s="188">
        <f>AVERAGE(F38:F40)</f>
        <v>1231297.4071428571</v>
      </c>
      <c r="D40" s="190">
        <f>C40/C37-1</f>
        <v>-0.14418813575906841</v>
      </c>
      <c r="E40" s="287">
        <f>C40/C28-1</f>
        <v>0.32543142176899842</v>
      </c>
      <c r="F40" s="136">
        <f>Q40/21</f>
        <v>1272139.8095238095</v>
      </c>
      <c r="G40" s="190">
        <f t="shared" ref="G40" si="26">F40/F39-1</f>
        <v>6.9158234877357838E-2</v>
      </c>
      <c r="H40" s="190">
        <f t="shared" ref="H40" si="27">F40/F28-1</f>
        <v>0.40999666795698264</v>
      </c>
      <c r="I40" s="130">
        <f t="shared" si="0"/>
        <v>49.378086911814592</v>
      </c>
      <c r="J40" s="130">
        <f t="shared" si="4"/>
        <v>0.11725025245979737</v>
      </c>
      <c r="K40" s="136">
        <f>R38+R39+R40</f>
        <v>105958831613</v>
      </c>
      <c r="L40" s="190">
        <f>U40/U37-1</f>
        <v>-0.13774585816677287</v>
      </c>
      <c r="M40" s="190">
        <f>U40/U28-1</f>
        <v>0.37439097236713859</v>
      </c>
      <c r="N40" s="191">
        <f>AVERAGE(T38:T40)</f>
        <v>55.139441723004779</v>
      </c>
      <c r="O40" s="192">
        <f>N40/N37-1</f>
        <v>-0.19410846647679147</v>
      </c>
      <c r="P40" s="129" t="s">
        <v>778</v>
      </c>
      <c r="Q40" s="116">
        <v>26714936</v>
      </c>
      <c r="R40" s="116">
        <v>37998516050</v>
      </c>
      <c r="S40" s="116">
        <v>541028.17000000004</v>
      </c>
      <c r="T40" s="130">
        <f t="shared" ref="T40" si="28">Q40/S40</f>
        <v>49.378086911814592</v>
      </c>
      <c r="U40" s="85">
        <f>Q38+Q39+Q40</f>
        <v>76339836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1455683.5555555555</v>
      </c>
      <c r="G41" s="190">
        <f t="shared" ref="G41" si="29">F41/F40-1</f>
        <v>0.14427953960536044</v>
      </c>
      <c r="H41" s="190">
        <f t="shared" ref="H41" si="30">F41/F29-1</f>
        <v>0.44426434818983362</v>
      </c>
      <c r="I41" s="130">
        <f t="shared" si="0"/>
        <v>49.718118313441799</v>
      </c>
      <c r="J41" s="130">
        <f t="shared" si="4"/>
        <v>-0.11093635823225645</v>
      </c>
      <c r="K41" s="194"/>
      <c r="L41" s="202"/>
      <c r="M41" s="202"/>
      <c r="N41" s="194"/>
      <c r="O41" s="194"/>
      <c r="P41" s="129" t="s">
        <v>792</v>
      </c>
      <c r="Q41" s="116">
        <v>26202304</v>
      </c>
      <c r="R41" s="116">
        <v>38313526129</v>
      </c>
      <c r="S41" s="116">
        <v>527017.21</v>
      </c>
      <c r="T41" s="130">
        <f t="shared" ref="T41" si="31">Q41/S41</f>
        <v>49.718118313441799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1643962.25</v>
      </c>
      <c r="G42" s="190">
        <f t="shared" ref="G42" si="32">F42/F41-1</f>
        <v>0.12934040075254449</v>
      </c>
      <c r="H42" s="190">
        <f t="shared" ref="H42" si="33">F42/F30-1</f>
        <v>0.5436191262142207</v>
      </c>
      <c r="I42" s="130">
        <f t="shared" si="0"/>
        <v>66.017240613550371</v>
      </c>
      <c r="J42" s="130">
        <f t="shared" si="4"/>
        <v>0.20755828221675943</v>
      </c>
      <c r="K42" s="194"/>
      <c r="L42" s="202"/>
      <c r="M42" s="202"/>
      <c r="N42" s="194"/>
      <c r="O42" s="194"/>
      <c r="P42" s="129" t="s">
        <v>826</v>
      </c>
      <c r="Q42" s="116">
        <v>32879245</v>
      </c>
      <c r="R42" s="116">
        <v>47500273488</v>
      </c>
      <c r="S42" s="116">
        <v>498040.28</v>
      </c>
      <c r="T42" s="130">
        <f t="shared" ref="T42" si="34">Q42/S42</f>
        <v>66.017240613550371</v>
      </c>
      <c r="U42" s="175"/>
    </row>
    <row r="43" spans="1:21" s="92" customFormat="1" ht="13.2">
      <c r="A43" s="129" t="s">
        <v>835</v>
      </c>
      <c r="B43" s="188">
        <f>SUM(F41:F43)</f>
        <v>4593038.6555555556</v>
      </c>
      <c r="C43" s="188">
        <f>AVERAGE(F41:F43)</f>
        <v>1531012.8851851851</v>
      </c>
      <c r="D43" s="190">
        <f>C43/C40-1</f>
        <v>0.24341436626411617</v>
      </c>
      <c r="E43" s="287">
        <f>C43/C31-1</f>
        <v>0.42034188327592914</v>
      </c>
      <c r="F43" s="136">
        <f>Q43/20</f>
        <v>1493392.85</v>
      </c>
      <c r="G43" s="190">
        <f t="shared" ref="G43" si="35">F43/F42-1</f>
        <v>-9.1589329377849138E-2</v>
      </c>
      <c r="H43" s="190">
        <f t="shared" ref="H43" si="36">F43/F31-1</f>
        <v>0.28647161031111845</v>
      </c>
      <c r="I43" s="130">
        <f t="shared" si="0"/>
        <v>48.406916504362741</v>
      </c>
      <c r="J43" s="130">
        <f t="shared" si="4"/>
        <v>-6.528079603323822E-2</v>
      </c>
      <c r="K43" s="136">
        <f>R41+R42+R43</f>
        <v>129087379314</v>
      </c>
      <c r="L43" s="190">
        <f>U43/U40-1</f>
        <v>0.16517680231851695</v>
      </c>
      <c r="M43" s="190">
        <f>K43/K31-1</f>
        <v>0.48398008881809496</v>
      </c>
      <c r="N43" s="191">
        <f>AVERAGE(T41:T43)</f>
        <v>54.714091810451635</v>
      </c>
      <c r="O43" s="192">
        <f>N43/N40-1</f>
        <v>-7.714077242383155E-3</v>
      </c>
      <c r="P43" s="129" t="s">
        <v>835</v>
      </c>
      <c r="Q43" s="116">
        <v>29867857</v>
      </c>
      <c r="R43" s="116">
        <v>43273579697</v>
      </c>
      <c r="S43" s="116">
        <v>617016.31000000006</v>
      </c>
      <c r="T43" s="130">
        <f t="shared" ref="T43" si="37">Q43/S43</f>
        <v>48.406916504362741</v>
      </c>
      <c r="U43" s="85">
        <f>Q41+Q42+Q43</f>
        <v>88949406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1531243.5</v>
      </c>
      <c r="G44" s="190">
        <f t="shared" ref="G44" si="38">F44/F43-1</f>
        <v>2.5345407271770481E-2</v>
      </c>
      <c r="H44" s="190">
        <f t="shared" ref="H44" si="39">F44/F32-1</f>
        <v>7.5259093190219284E-2</v>
      </c>
      <c r="I44" s="130">
        <f t="shared" si="0"/>
        <v>48.451762047945842</v>
      </c>
      <c r="J44" s="130">
        <f t="shared" si="4"/>
        <v>-4.6069732102414274E-2</v>
      </c>
      <c r="K44" s="136"/>
      <c r="L44" s="190"/>
      <c r="M44" s="190"/>
      <c r="N44" s="191"/>
      <c r="O44" s="192"/>
      <c r="P44" s="129" t="s">
        <v>843</v>
      </c>
      <c r="Q44" s="116">
        <v>33687357</v>
      </c>
      <c r="R44" s="116">
        <v>48833914123</v>
      </c>
      <c r="S44" s="116">
        <v>695276.2</v>
      </c>
      <c r="T44" s="130">
        <f t="shared" ref="T44" si="40">Q44/S44</f>
        <v>48.451762047945842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1633660.4</v>
      </c>
      <c r="G45" s="190">
        <f t="shared" ref="G45" si="41">F45/F44-1</f>
        <v>6.6884790041557673E-2</v>
      </c>
      <c r="H45" s="190">
        <f t="shared" ref="H45" si="42">F45/F33-1</f>
        <v>0.24816731320067786</v>
      </c>
      <c r="I45" s="130">
        <f t="shared" si="0"/>
        <v>51.953021588884795</v>
      </c>
      <c r="J45" s="130">
        <f t="shared" si="4"/>
        <v>-0.10326986107768488</v>
      </c>
      <c r="K45" s="136"/>
      <c r="L45" s="190"/>
      <c r="M45" s="190"/>
      <c r="N45" s="191"/>
      <c r="O45" s="192"/>
      <c r="P45" s="129" t="s">
        <v>883</v>
      </c>
      <c r="Q45" s="116">
        <v>32673208</v>
      </c>
      <c r="R45" s="116">
        <v>45945797437</v>
      </c>
      <c r="S45" s="116">
        <v>628899.09</v>
      </c>
      <c r="T45" s="130">
        <f t="shared" ref="T45" si="43">Q45/S45</f>
        <v>51.953021588884795</v>
      </c>
      <c r="U45" s="85"/>
    </row>
    <row r="46" spans="1:21" s="92" customFormat="1" ht="13.2">
      <c r="A46" s="129" t="s">
        <v>893</v>
      </c>
      <c r="B46" s="188">
        <f>SUM(F44:F46)</f>
        <v>5082314.1105263159</v>
      </c>
      <c r="C46" s="188">
        <f>AVERAGE(F44:F46)</f>
        <v>1694104.703508772</v>
      </c>
      <c r="D46" s="190">
        <f>C46/C43-1</f>
        <v>0.10652543809509485</v>
      </c>
      <c r="E46" s="287">
        <f>C46/C34-1</f>
        <v>0.30679772014231443</v>
      </c>
      <c r="F46" s="136">
        <f>Q46/19</f>
        <v>1917410.2105263157</v>
      </c>
      <c r="G46" s="190">
        <f t="shared" ref="G46" si="44">F46/F45-1</f>
        <v>0.17368959333672773</v>
      </c>
      <c r="H46" s="190">
        <f t="shared" ref="H46" si="45">F46/F34-1</f>
        <v>0.65834458028796106</v>
      </c>
      <c r="I46" s="130">
        <f t="shared" si="0"/>
        <v>50.773664799487143</v>
      </c>
      <c r="J46" s="130">
        <f t="shared" si="4"/>
        <v>-0.13906670173841496</v>
      </c>
      <c r="K46" s="136">
        <f>R44+R45+R46</f>
        <v>144643230910</v>
      </c>
      <c r="L46" s="190">
        <f>U46/U43-1</f>
        <v>0.15561602513680639</v>
      </c>
      <c r="M46" s="190">
        <f>K46/K34-1</f>
        <v>0.33325250930477113</v>
      </c>
      <c r="N46" s="191">
        <f>AVERAGE(T44:T46)</f>
        <v>50.392816145439262</v>
      </c>
      <c r="O46" s="192">
        <f>N46/N43-1</f>
        <v>-7.8979208500485565E-2</v>
      </c>
      <c r="P46" s="129" t="s">
        <v>928</v>
      </c>
      <c r="Q46" s="116">
        <v>36430794</v>
      </c>
      <c r="R46" s="116">
        <v>49863519350</v>
      </c>
      <c r="S46" s="116">
        <v>717513.58</v>
      </c>
      <c r="T46" s="130">
        <f t="shared" ref="T46" si="46">Q46/S46</f>
        <v>50.773664799487143</v>
      </c>
      <c r="U46" s="85">
        <f t="shared" ref="U46:U51" si="47">Q44+Q45+Q46</f>
        <v>102791359</v>
      </c>
    </row>
    <row r="47" spans="1:21" s="92" customFormat="1" ht="13.2">
      <c r="A47" s="129" t="s">
        <v>1023</v>
      </c>
      <c r="B47" s="188"/>
      <c r="C47" s="188"/>
      <c r="D47" s="190"/>
      <c r="E47" s="287"/>
      <c r="F47" s="136">
        <f>Q47/23</f>
        <v>1468434.5217391304</v>
      </c>
      <c r="G47" s="190">
        <f t="shared" ref="G47" si="48">F47/F46-1</f>
        <v>-0.23415734740660665</v>
      </c>
      <c r="H47" s="190">
        <f t="shared" ref="H47" si="49">F47/F35-1</f>
        <v>2.7062246569973691E-2</v>
      </c>
      <c r="I47" s="130">
        <f t="shared" si="0"/>
        <v>46.400008396900027</v>
      </c>
      <c r="J47" s="130">
        <f t="shared" si="4"/>
        <v>-0.35782180349557058</v>
      </c>
      <c r="K47" s="136"/>
      <c r="L47" s="190"/>
      <c r="M47" s="190"/>
      <c r="N47" s="191"/>
      <c r="O47" s="192"/>
      <c r="P47" s="129" t="s">
        <v>991</v>
      </c>
      <c r="Q47" s="116">
        <v>33773994</v>
      </c>
      <c r="R47" s="116">
        <v>46352518797</v>
      </c>
      <c r="S47" s="116">
        <v>727887.67</v>
      </c>
      <c r="T47" s="130">
        <f t="shared" ref="T47" si="50">Q47/S47</f>
        <v>46.400008396900027</v>
      </c>
      <c r="U47" s="85">
        <f t="shared" si="47"/>
        <v>102877996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1488766.05</v>
      </c>
      <c r="G48" s="190">
        <f t="shared" ref="G48" si="51">F48/F47-1</f>
        <v>1.3845716618532178E-2</v>
      </c>
      <c r="H48" s="190">
        <f t="shared" ref="H48" si="52">F48/F36-1</f>
        <v>0.20903543611740449</v>
      </c>
      <c r="I48" s="130">
        <f t="shared" si="0"/>
        <v>48.93287868454852</v>
      </c>
      <c r="J48" s="130">
        <f t="shared" si="4"/>
        <v>-0.27213359557093653</v>
      </c>
      <c r="K48" s="136"/>
      <c r="L48" s="190"/>
      <c r="M48" s="190"/>
      <c r="N48" s="191"/>
      <c r="O48" s="192"/>
      <c r="P48" s="129" t="s">
        <v>1070</v>
      </c>
      <c r="Q48" s="116">
        <v>29775321</v>
      </c>
      <c r="R48" s="116">
        <v>41314146999</v>
      </c>
      <c r="S48" s="116">
        <v>608493.14</v>
      </c>
      <c r="T48" s="130">
        <f t="shared" ref="T48" si="53">Q48/S48</f>
        <v>48.93287868454852</v>
      </c>
      <c r="U48" s="85">
        <f t="shared" si="47"/>
        <v>99980109</v>
      </c>
    </row>
    <row r="49" spans="1:26" ht="13.2">
      <c r="A49" s="129" t="s">
        <v>1158</v>
      </c>
      <c r="B49" s="188">
        <f>SUM(F47:F49)</f>
        <v>4306013.0262845848</v>
      </c>
      <c r="C49" s="188">
        <f>AVERAGE(F47:F49)</f>
        <v>1435337.6754281949</v>
      </c>
      <c r="D49" s="190">
        <f>C49/C46-1</f>
        <v>-0.15274559331818605</v>
      </c>
      <c r="E49" s="287">
        <f>C49/C37-1</f>
        <v>-2.3701790505514797E-3</v>
      </c>
      <c r="F49" s="136">
        <f>Q49/22</f>
        <v>1348812.4545454546</v>
      </c>
      <c r="G49" s="190">
        <f t="shared" ref="G49" si="54">F49/F48-1</f>
        <v>-9.4006439396267405E-2</v>
      </c>
      <c r="H49" s="190">
        <f t="shared" ref="H49" si="55">F49/F37-1</f>
        <v>-0.18507358964786824</v>
      </c>
      <c r="I49" s="130">
        <f t="shared" si="0"/>
        <v>49.32706273781055</v>
      </c>
      <c r="J49" s="130">
        <f t="shared" si="4"/>
        <v>-0.25011320755865507</v>
      </c>
      <c r="K49" s="136">
        <f>R47+R48+R49</f>
        <v>128915696241</v>
      </c>
      <c r="L49" s="190">
        <f>U49/U46-1</f>
        <v>-9.3083407915640071E-2</v>
      </c>
      <c r="M49" s="190">
        <f>K49/K37-1</f>
        <v>6.9505537980309118E-2</v>
      </c>
      <c r="N49" s="191">
        <f>AVERAGE(T47:T49)</f>
        <v>48.21998327308637</v>
      </c>
      <c r="O49" s="192">
        <f>N49/N46-1</f>
        <v>-4.3117909229003049E-2</v>
      </c>
      <c r="P49" s="129" t="s">
        <v>1158</v>
      </c>
      <c r="Q49" s="116">
        <v>29673874</v>
      </c>
      <c r="R49" s="116">
        <v>41249030445</v>
      </c>
      <c r="S49" s="116">
        <v>601573.91</v>
      </c>
      <c r="T49" s="130">
        <f t="shared" ref="T49" si="56">Q49/S49</f>
        <v>49.32706273781055</v>
      </c>
      <c r="U49" s="85">
        <f t="shared" si="47"/>
        <v>93223189</v>
      </c>
      <c r="V49" s="92"/>
      <c r="W49" s="92"/>
      <c r="X49" s="92"/>
      <c r="Y49" s="92"/>
      <c r="Z49" s="92"/>
    </row>
    <row r="50" spans="1:26" s="79" customFormat="1" ht="13.2">
      <c r="A50" s="129" t="s">
        <v>1320</v>
      </c>
      <c r="B50" s="188"/>
      <c r="C50" s="188"/>
      <c r="D50" s="190"/>
      <c r="E50" s="287"/>
      <c r="F50" s="136">
        <f>Q50/18</f>
        <v>1178469.5</v>
      </c>
      <c r="G50" s="190">
        <f t="shared" ref="G50" si="57">F50/F49-1</f>
        <v>-0.12629105994047152</v>
      </c>
      <c r="H50" s="190">
        <f t="shared" ref="H50" si="58">F50/F38-1</f>
        <v>-4.3372937582263571E-2</v>
      </c>
      <c r="I50" s="130">
        <f t="shared" ref="I50" si="59">T50</f>
        <v>57.412825544667292</v>
      </c>
      <c r="J50" s="130">
        <f t="shared" ref="J50" si="60">I50/I38-1</f>
        <v>2.9336061405909053E-3</v>
      </c>
      <c r="K50" s="136"/>
      <c r="L50" s="190"/>
      <c r="M50" s="190"/>
      <c r="N50" s="191"/>
      <c r="O50" s="192"/>
      <c r="P50" s="129" t="s">
        <v>1293</v>
      </c>
      <c r="Q50" s="116">
        <v>21212451</v>
      </c>
      <c r="R50" s="116">
        <v>30013341837</v>
      </c>
      <c r="S50" s="116">
        <v>369472.34</v>
      </c>
      <c r="T50" s="130">
        <f t="shared" ref="T50" si="61">Q50/S50</f>
        <v>57.412825544667292</v>
      </c>
      <c r="U50" s="85">
        <f t="shared" si="47"/>
        <v>80661646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1362025.35</v>
      </c>
      <c r="G51" s="190">
        <f t="shared" ref="G51:G52" si="62">F51/F50-1</f>
        <v>0.15575782826793572</v>
      </c>
      <c r="H51" s="190">
        <f t="shared" ref="H51:H52" si="63">F51/F39-1</f>
        <v>0.14470171294247258</v>
      </c>
      <c r="I51" s="130">
        <f t="shared" ref="I51:I52" si="64">T51</f>
        <v>51.849947521939356</v>
      </c>
      <c r="J51" s="130">
        <f t="shared" ref="J51:J52" si="65">I51/I39-1</f>
        <v>-0.1181283817252794</v>
      </c>
      <c r="K51" s="136"/>
      <c r="L51" s="190"/>
      <c r="M51" s="190"/>
      <c r="N51" s="191"/>
      <c r="O51" s="192"/>
      <c r="P51" s="129" t="s">
        <v>1402</v>
      </c>
      <c r="Q51" s="116">
        <v>27240507</v>
      </c>
      <c r="R51" s="116">
        <v>39474617663</v>
      </c>
      <c r="S51" s="116">
        <v>525371.93000000005</v>
      </c>
      <c r="T51" s="130">
        <f t="shared" ref="T51:T52" si="66">Q51/S51</f>
        <v>51.849947521939356</v>
      </c>
      <c r="U51" s="85">
        <f t="shared" si="47"/>
        <v>78126832</v>
      </c>
    </row>
    <row r="52" spans="1:26" s="79" customFormat="1" ht="13.2">
      <c r="A52" s="129" t="s">
        <v>1403</v>
      </c>
      <c r="B52" s="188">
        <f>SUM(F50:F52)</f>
        <v>3812182.122727273</v>
      </c>
      <c r="C52" s="188">
        <f>AVERAGE(F50:F52)</f>
        <v>1270727.3742424243</v>
      </c>
      <c r="D52" s="190">
        <f>C52/C49-1</f>
        <v>-0.1146840245356644</v>
      </c>
      <c r="E52" s="287">
        <f>C52/C40-1</f>
        <v>3.2023105766998849E-2</v>
      </c>
      <c r="F52" s="136">
        <f>Q52/22</f>
        <v>1271687.2727272727</v>
      </c>
      <c r="G52" s="190">
        <f t="shared" si="62"/>
        <v>-6.6326281865992764E-2</v>
      </c>
      <c r="H52" s="190">
        <f t="shared" si="63"/>
        <v>-3.5572882253098737E-4</v>
      </c>
      <c r="I52" s="130">
        <f t="shared" si="64"/>
        <v>48.546781738894992</v>
      </c>
      <c r="J52" s="130">
        <f t="shared" si="65"/>
        <v>-1.6835507912735581E-2</v>
      </c>
      <c r="K52" s="136">
        <f>R50+R51+R52</f>
        <v>110643769620</v>
      </c>
      <c r="L52" s="190">
        <f>U52/U49-1</f>
        <v>-0.18013877426999414</v>
      </c>
      <c r="M52" s="190">
        <f>K52/K40-1</f>
        <v>4.4214700517943406E-2</v>
      </c>
      <c r="N52" s="191">
        <f>AVERAGE(T50:T52)</f>
        <v>52.603184935167214</v>
      </c>
      <c r="O52" s="192">
        <f>N52/N49-1</f>
        <v>9.0900107477376313E-2</v>
      </c>
      <c r="P52" s="129" t="s">
        <v>1403</v>
      </c>
      <c r="Q52" s="116">
        <v>27977120</v>
      </c>
      <c r="R52" s="116">
        <v>41155810120</v>
      </c>
      <c r="S52" s="116">
        <v>576291.96</v>
      </c>
      <c r="T52" s="130">
        <f t="shared" si="66"/>
        <v>48.546781738894992</v>
      </c>
      <c r="U52" s="85">
        <f t="shared" ref="U52" si="67">Q50+Q51+Q52</f>
        <v>76430078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1831873.1904761905</v>
      </c>
      <c r="G53" s="190">
        <f t="shared" ref="G53" si="68">F53/F52-1</f>
        <v>0.44050603459098703</v>
      </c>
      <c r="H53" s="190">
        <f t="shared" ref="H53" si="69">F53/F41-1</f>
        <v>0.25842816832334403</v>
      </c>
      <c r="I53" s="130">
        <f t="shared" ref="I53" si="70">T53</f>
        <v>49.583266535904819</v>
      </c>
      <c r="J53" s="130">
        <f t="shared" ref="J53" si="71">I53/I41-1</f>
        <v>-2.7123266549796687E-3</v>
      </c>
      <c r="K53" s="136"/>
      <c r="L53" s="190"/>
      <c r="M53" s="190"/>
      <c r="N53" s="191"/>
      <c r="O53" s="192"/>
      <c r="P53" s="129" t="s">
        <v>1414</v>
      </c>
      <c r="Q53" s="116">
        <v>38469337</v>
      </c>
      <c r="R53" s="116">
        <v>56119258459</v>
      </c>
      <c r="S53" s="116">
        <v>775853.22</v>
      </c>
      <c r="T53" s="130">
        <f t="shared" ref="T53" si="72">Q53/S53</f>
        <v>49.583266535904819</v>
      </c>
      <c r="U53" s="85">
        <f t="shared" ref="U53" si="73">Q51+Q52+Q53</f>
        <v>93686964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1852517.1176470588</v>
      </c>
      <c r="G54" s="190">
        <f t="shared" ref="G54" si="74">F54/F53-1</f>
        <v>1.1269299249639708E-2</v>
      </c>
      <c r="H54" s="190">
        <f t="shared" ref="H54" si="75">F54/F42-1</f>
        <v>0.12686110502054349</v>
      </c>
      <c r="I54" s="130">
        <f t="shared" ref="I54" si="76">T54</f>
        <v>51.205076791133948</v>
      </c>
      <c r="J54" s="130">
        <f t="shared" ref="J54" si="77">I54/I42-1</f>
        <v>-0.22436811482508634</v>
      </c>
      <c r="K54" s="136"/>
      <c r="L54" s="190"/>
      <c r="M54" s="190"/>
      <c r="N54" s="191"/>
      <c r="O54" s="192"/>
      <c r="P54" s="129" t="s">
        <v>1417</v>
      </c>
      <c r="Q54" s="116">
        <v>31492791</v>
      </c>
      <c r="R54" s="116">
        <v>45619230831</v>
      </c>
      <c r="S54" s="116">
        <v>615032.59</v>
      </c>
      <c r="T54" s="130">
        <f t="shared" ref="T54" si="78">Q54/S54</f>
        <v>51.205076791133948</v>
      </c>
      <c r="U54" s="85">
        <f t="shared" ref="U54" si="79">Q52+Q53+Q54</f>
        <v>97939248</v>
      </c>
    </row>
    <row r="55" spans="1:26" s="79" customFormat="1" ht="13.2">
      <c r="A55" s="129" t="s">
        <v>1418</v>
      </c>
      <c r="B55" s="188">
        <f>SUM(F53:F55)</f>
        <v>5738143.7843137253</v>
      </c>
      <c r="C55" s="188">
        <f>AVERAGE(F53:F55)</f>
        <v>1912714.5947712418</v>
      </c>
      <c r="D55" s="190">
        <f>C55/C52-1</f>
        <v>0.5052123953114287</v>
      </c>
      <c r="E55" s="287">
        <f>C55/C43-1</f>
        <v>0.24931319212240832</v>
      </c>
      <c r="F55" s="136">
        <f>Q55/21</f>
        <v>2053753.4761904762</v>
      </c>
      <c r="G55" s="190">
        <f t="shared" ref="G55" si="80">F55/F54-1</f>
        <v>0.10862860948837771</v>
      </c>
      <c r="H55" s="190">
        <f t="shared" ref="H55" si="81">F55/F43-1</f>
        <v>0.37522653613245582</v>
      </c>
      <c r="I55" s="130">
        <f>T55</f>
        <v>43.578475295362111</v>
      </c>
      <c r="J55" s="130">
        <f t="shared" ref="J55" si="82">I55/I43-1</f>
        <v>-9.9746927870637214E-2</v>
      </c>
      <c r="K55" s="136">
        <f>R53+R54+R55</f>
        <v>165094090733</v>
      </c>
      <c r="L55" s="190">
        <f>U55/U52-1</f>
        <v>0.47966551859334761</v>
      </c>
      <c r="M55" s="190">
        <f>K55/K43-1</f>
        <v>0.27893285625866704</v>
      </c>
      <c r="N55" s="191">
        <f>AVERAGE(T53:T55)</f>
        <v>48.122272874133635</v>
      </c>
      <c r="O55" s="192">
        <f>N55/N52-1</f>
        <v>-8.5183284368736345E-2</v>
      </c>
      <c r="P55" s="129" t="s">
        <v>1418</v>
      </c>
      <c r="Q55" s="116">
        <v>43128823</v>
      </c>
      <c r="R55" s="116">
        <v>63355601443</v>
      </c>
      <c r="S55" s="116">
        <v>989681.78</v>
      </c>
      <c r="T55" s="130">
        <f t="shared" ref="T55" si="83">Q55/S55</f>
        <v>43.578475295362111</v>
      </c>
      <c r="U55" s="85">
        <f t="shared" ref="U55" si="84">Q53+Q54+Q55</f>
        <v>113090951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1792603.4545454546</v>
      </c>
      <c r="G56" s="190">
        <f t="shared" ref="G56" si="85">F56/F55-1</f>
        <v>-0.12715743377799704</v>
      </c>
      <c r="H56" s="190">
        <f t="shared" ref="H56" si="86">F56/F44-1</f>
        <v>0.17068477648751146</v>
      </c>
      <c r="I56" s="291">
        <f>T56</f>
        <v>44.567014207914873</v>
      </c>
      <c r="J56" s="130">
        <f t="shared" ref="J56" si="87">I56/I44-1</f>
        <v>-8.0177638043107402E-2</v>
      </c>
      <c r="K56" s="136"/>
      <c r="L56" s="190"/>
      <c r="M56" s="190"/>
      <c r="N56" s="191"/>
      <c r="O56" s="192"/>
      <c r="P56" s="129" t="s">
        <v>1420</v>
      </c>
      <c r="Q56" s="116">
        <v>39437276</v>
      </c>
      <c r="R56" s="116">
        <v>58865594564</v>
      </c>
      <c r="S56" s="116">
        <v>884898.32</v>
      </c>
      <c r="T56" s="130">
        <f t="shared" ref="T56" si="88">Q56/S56</f>
        <v>44.567014207914873</v>
      </c>
      <c r="U56" s="85">
        <f t="shared" ref="U56" si="89">Q54+Q55+Q56</f>
        <v>114058890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1821842.5</v>
      </c>
      <c r="G57" s="254">
        <f t="shared" ref="G57" si="90">F57/F56-1</f>
        <v>1.6310938919817941E-2</v>
      </c>
      <c r="H57" s="254">
        <f t="shared" ref="H57" si="91">F57/F45-1</f>
        <v>0.11519046430947344</v>
      </c>
      <c r="I57" s="282">
        <f>T57</f>
        <v>45.027992927374093</v>
      </c>
      <c r="J57" s="277">
        <f t="shared" ref="J57" si="92">I57/I45-1</f>
        <v>-0.13329405008066542</v>
      </c>
      <c r="K57" s="204"/>
      <c r="L57" s="254"/>
      <c r="M57" s="254"/>
      <c r="N57" s="257"/>
      <c r="O57" s="258"/>
      <c r="P57" s="129" t="s">
        <v>1436</v>
      </c>
      <c r="Q57" s="116">
        <v>21862110</v>
      </c>
      <c r="R57" s="116">
        <v>32179479665</v>
      </c>
      <c r="S57" s="116">
        <v>485522.64</v>
      </c>
      <c r="T57" s="130">
        <f t="shared" ref="T57" si="93">Q57/S57</f>
        <v>45.027992927374093</v>
      </c>
      <c r="U57" s="85">
        <f t="shared" ref="U57" si="94">Q55+Q56+Q57</f>
        <v>104428209</v>
      </c>
    </row>
    <row r="58" spans="1:26">
      <c r="B58" s="196">
        <f>SUM(F56:F58)</f>
        <v>3614445.9545454546</v>
      </c>
      <c r="C58" s="196">
        <f>AVERAGE(F56:F58)</f>
        <v>1807222.9772727273</v>
      </c>
      <c r="D58" s="197">
        <f>C58/C55-1</f>
        <v>-5.5152827184408615E-2</v>
      </c>
      <c r="E58" s="233">
        <f>C58/C46-1</f>
        <v>6.6771713418697587E-2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174390337</v>
      </c>
      <c r="R65" s="212">
        <v>256139164962</v>
      </c>
      <c r="S65" s="213">
        <v>3750988.56</v>
      </c>
    </row>
    <row r="66" spans="16:19" ht="18" thickBot="1">
      <c r="P66" s="180" t="s">
        <v>976</v>
      </c>
      <c r="Q66" s="181">
        <v>38469337</v>
      </c>
      <c r="R66" s="181">
        <v>56119258459</v>
      </c>
      <c r="S66" s="182">
        <v>775853.22</v>
      </c>
    </row>
    <row r="67" spans="16:19" ht="18" thickBot="1">
      <c r="P67" s="180" t="s">
        <v>977</v>
      </c>
      <c r="Q67" s="181">
        <v>31492791</v>
      </c>
      <c r="R67" s="181">
        <v>45619230831</v>
      </c>
      <c r="S67" s="182">
        <v>615032.59</v>
      </c>
    </row>
    <row r="68" spans="16:19" ht="18" thickBot="1">
      <c r="P68" s="180" t="s">
        <v>978</v>
      </c>
      <c r="Q68" s="181">
        <v>43128823</v>
      </c>
      <c r="R68" s="181">
        <v>63355601443</v>
      </c>
      <c r="S68" s="182">
        <v>989681.78</v>
      </c>
    </row>
    <row r="69" spans="16:19" ht="18" thickBot="1">
      <c r="P69" s="180" t="s">
        <v>979</v>
      </c>
      <c r="Q69" s="181">
        <v>39437276</v>
      </c>
      <c r="R69" s="181">
        <v>58865594564</v>
      </c>
      <c r="S69" s="182">
        <v>884898.32</v>
      </c>
    </row>
    <row r="70" spans="16:19" ht="18" thickBot="1">
      <c r="P70" s="180" t="s">
        <v>980</v>
      </c>
      <c r="Q70" s="181">
        <v>21862110</v>
      </c>
      <c r="R70" s="181">
        <v>32179479665</v>
      </c>
      <c r="S70" s="182">
        <v>485522.64</v>
      </c>
    </row>
    <row r="71" spans="16:19" ht="18" thickBot="1">
      <c r="P71" s="180" t="s">
        <v>975</v>
      </c>
      <c r="Q71" s="181">
        <v>361111183</v>
      </c>
      <c r="R71" s="181">
        <v>512876547294</v>
      </c>
      <c r="S71" s="182">
        <v>7085486.96</v>
      </c>
    </row>
    <row r="72" spans="16:19" ht="18" thickBot="1">
      <c r="P72" s="215" t="s">
        <v>982</v>
      </c>
      <c r="Q72" s="217"/>
      <c r="R72"/>
      <c r="S72"/>
    </row>
  </sheetData>
  <phoneticPr fontId="1" type="noConversion"/>
  <conditionalFormatting sqref="C29:C30">
    <cfRule type="cellIs" dxfId="17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9"/>
  <dimension ref="A1:Z72"/>
  <sheetViews>
    <sheetView zoomScale="115" zoomScaleNormal="115" workbookViewId="0">
      <selection activeCell="J63" sqref="J6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598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311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1474873</v>
      </c>
      <c r="G5" s="90"/>
      <c r="H5" s="90"/>
      <c r="I5" s="130">
        <f t="shared" ref="I5:I49" si="0">T5</f>
        <v>70.180682043666138</v>
      </c>
      <c r="J5" s="130"/>
      <c r="K5" s="79"/>
      <c r="L5" s="80"/>
      <c r="M5" s="80"/>
      <c r="N5" s="79"/>
      <c r="O5" s="79"/>
      <c r="P5" s="129" t="s">
        <v>0</v>
      </c>
      <c r="Q5" s="116">
        <v>29497460</v>
      </c>
      <c r="R5" s="116">
        <v>34793988290</v>
      </c>
      <c r="S5" s="116">
        <v>420307.4</v>
      </c>
      <c r="T5" s="130">
        <f t="shared" ref="T5:T25" si="1">Q5/S5</f>
        <v>70.180682043666138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1373122.4444444445</v>
      </c>
      <c r="G6" s="90">
        <f t="shared" ref="G6:G25" si="2">F6/F5-1</f>
        <v>-6.8989367596773099E-2</v>
      </c>
      <c r="H6" s="90"/>
      <c r="I6" s="130">
        <f t="shared" si="0"/>
        <v>67.275489030056647</v>
      </c>
      <c r="J6" s="130"/>
      <c r="K6" s="79"/>
      <c r="L6" s="87"/>
      <c r="M6" s="87"/>
      <c r="N6" s="79"/>
      <c r="O6" s="79"/>
      <c r="P6" s="129" t="s">
        <v>1</v>
      </c>
      <c r="Q6" s="116">
        <v>24716204</v>
      </c>
      <c r="R6" s="116">
        <v>29363815209</v>
      </c>
      <c r="S6" s="116">
        <v>367387.95</v>
      </c>
      <c r="T6" s="130">
        <f t="shared" si="1"/>
        <v>67.275489030056647</v>
      </c>
      <c r="U6" s="85"/>
    </row>
    <row r="7" spans="1:21" ht="15" hidden="1" customHeight="1">
      <c r="A7" s="129" t="s">
        <v>2</v>
      </c>
      <c r="B7" s="131">
        <f>F5+F6+F7</f>
        <v>4543614.6262626266</v>
      </c>
      <c r="C7" s="131">
        <f>AVERAGE(F5:F7)</f>
        <v>1514538.2087542089</v>
      </c>
      <c r="D7" s="117"/>
      <c r="F7" s="78">
        <f>Q7/22</f>
        <v>1695619.1818181819</v>
      </c>
      <c r="G7" s="90">
        <f t="shared" si="2"/>
        <v>0.23486378704137878</v>
      </c>
      <c r="H7" s="90"/>
      <c r="I7" s="130">
        <f t="shared" si="0"/>
        <v>67.161303952161603</v>
      </c>
      <c r="J7" s="130"/>
      <c r="K7" s="79">
        <f>R5+R6+R7</f>
        <v>109154967022</v>
      </c>
      <c r="L7" s="87"/>
      <c r="M7" s="87"/>
      <c r="N7" s="88">
        <f>AVERAGE(T5:T7)</f>
        <v>68.205825008628125</v>
      </c>
      <c r="O7" s="79"/>
      <c r="P7" s="129" t="s">
        <v>2</v>
      </c>
      <c r="Q7" s="116">
        <v>37303622</v>
      </c>
      <c r="R7" s="116">
        <v>44997163523</v>
      </c>
      <c r="S7" s="116">
        <v>555433.26</v>
      </c>
      <c r="T7" s="130">
        <f t="shared" si="1"/>
        <v>67.161303952161603</v>
      </c>
      <c r="U7" s="85">
        <f>Q5+Q6+Q7</f>
        <v>91517286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1677514.9523809524</v>
      </c>
      <c r="G8" s="90">
        <f t="shared" si="2"/>
        <v>-1.0677061000110122E-2</v>
      </c>
      <c r="H8" s="90"/>
      <c r="I8" s="130">
        <f t="shared" si="0"/>
        <v>65.226520879031071</v>
      </c>
      <c r="J8" s="130"/>
      <c r="K8" s="78"/>
      <c r="L8" s="87"/>
      <c r="M8" s="87"/>
      <c r="N8" s="79"/>
      <c r="O8" s="79"/>
      <c r="P8" s="129" t="s">
        <v>3</v>
      </c>
      <c r="Q8" s="116">
        <v>35227814</v>
      </c>
      <c r="R8" s="116">
        <v>42695189118</v>
      </c>
      <c r="S8" s="116">
        <v>540084.21</v>
      </c>
      <c r="T8" s="130">
        <f t="shared" si="1"/>
        <v>65.226520879031071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1708642.7142857143</v>
      </c>
      <c r="G9" s="90">
        <f t="shared" si="2"/>
        <v>1.8555877466595039E-2</v>
      </c>
      <c r="H9" s="90"/>
      <c r="I9" s="130">
        <f t="shared" si="0"/>
        <v>50.740694137674971</v>
      </c>
      <c r="J9" s="130"/>
      <c r="K9" s="78"/>
      <c r="L9" s="87"/>
      <c r="M9" s="87"/>
      <c r="N9" s="79"/>
      <c r="O9" s="79"/>
      <c r="P9" s="129" t="s">
        <v>4</v>
      </c>
      <c r="Q9" s="116">
        <v>35881497</v>
      </c>
      <c r="R9" s="116">
        <v>45068872588</v>
      </c>
      <c r="S9" s="116">
        <v>707154.24</v>
      </c>
      <c r="T9" s="130">
        <f t="shared" si="1"/>
        <v>50.740694137674971</v>
      </c>
      <c r="U9" s="85"/>
    </row>
    <row r="10" spans="1:21" ht="15" hidden="1" customHeight="1">
      <c r="A10" s="129" t="s">
        <v>5</v>
      </c>
      <c r="B10" s="131">
        <f>F8+F9+F10</f>
        <v>5328713.4285714291</v>
      </c>
      <c r="C10" s="131">
        <f>AVERAGE(F8:F10)</f>
        <v>1776237.8095238097</v>
      </c>
      <c r="D10" s="90">
        <f>C10/C7-1</f>
        <v>0.17279167950794938</v>
      </c>
      <c r="E10" s="286"/>
      <c r="F10" s="78">
        <f>Q10/21</f>
        <v>1942555.7619047619</v>
      </c>
      <c r="G10" s="90">
        <f t="shared" si="2"/>
        <v>0.13689991808312785</v>
      </c>
      <c r="H10" s="90"/>
      <c r="I10" s="130">
        <f t="shared" si="0"/>
        <v>60.200406073416104</v>
      </c>
      <c r="J10" s="130"/>
      <c r="K10" s="79">
        <f>R8+R9+R10</f>
        <v>139162172703</v>
      </c>
      <c r="L10" s="87">
        <f>U10/U7-1</f>
        <v>0.22275240985621014</v>
      </c>
      <c r="M10" s="87"/>
      <c r="N10" s="88">
        <f>AVERAGE(T8:T10)</f>
        <v>58.722540363374044</v>
      </c>
      <c r="O10" s="89">
        <f>N10/N7-1</f>
        <v>-0.13903921907043026</v>
      </c>
      <c r="P10" s="129" t="s">
        <v>5</v>
      </c>
      <c r="Q10" s="116">
        <v>40793671</v>
      </c>
      <c r="R10" s="116">
        <v>51398110997</v>
      </c>
      <c r="S10" s="116">
        <v>677631.16</v>
      </c>
      <c r="T10" s="130">
        <f t="shared" si="1"/>
        <v>60.200406073416104</v>
      </c>
      <c r="U10" s="85">
        <f>Q8+Q9+Q10</f>
        <v>111902982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1922922.6666666667</v>
      </c>
      <c r="G11" s="90">
        <f t="shared" si="2"/>
        <v>-1.010683740622409E-2</v>
      </c>
      <c r="H11" s="90"/>
      <c r="I11" s="130">
        <f t="shared" si="0"/>
        <v>56.034912640690301</v>
      </c>
      <c r="J11" s="130"/>
      <c r="K11" s="78"/>
      <c r="L11" s="87"/>
      <c r="M11" s="87"/>
      <c r="N11" s="79"/>
      <c r="O11" s="89"/>
      <c r="P11" s="129" t="s">
        <v>6</v>
      </c>
      <c r="Q11" s="116">
        <v>40381376</v>
      </c>
      <c r="R11" s="116">
        <v>52175458732</v>
      </c>
      <c r="S11" s="116">
        <v>720646.72</v>
      </c>
      <c r="T11" s="130">
        <f t="shared" si="1"/>
        <v>56.034912640690301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1537305.9545454546</v>
      </c>
      <c r="G12" s="90">
        <f t="shared" si="2"/>
        <v>-0.20053677602629127</v>
      </c>
      <c r="H12" s="90"/>
      <c r="I12" s="130">
        <f t="shared" si="0"/>
        <v>67.98841914079091</v>
      </c>
      <c r="J12" s="130"/>
      <c r="K12" s="78"/>
      <c r="L12" s="87"/>
      <c r="M12" s="87"/>
      <c r="N12" s="79"/>
      <c r="O12" s="89"/>
      <c r="P12" s="129" t="s">
        <v>7</v>
      </c>
      <c r="Q12" s="116">
        <v>33820731</v>
      </c>
      <c r="R12" s="116">
        <v>43882691835</v>
      </c>
      <c r="S12" s="116">
        <v>497448.41</v>
      </c>
      <c r="T12" s="130">
        <f t="shared" si="1"/>
        <v>67.98841914079091</v>
      </c>
      <c r="U12" s="85"/>
    </row>
    <row r="13" spans="1:21" ht="15" hidden="1" customHeight="1">
      <c r="A13" s="129" t="s">
        <v>96</v>
      </c>
      <c r="B13" s="131">
        <f>F11+F12+F13</f>
        <v>5607886.4212121209</v>
      </c>
      <c r="C13" s="131">
        <f>AVERAGE(F11:F13)</f>
        <v>1869295.4737373737</v>
      </c>
      <c r="D13" s="90">
        <f>C13/C10-1</f>
        <v>5.239031829781382E-2</v>
      </c>
      <c r="E13" s="286"/>
      <c r="F13" s="78">
        <f>Q13/20</f>
        <v>2147657.7999999998</v>
      </c>
      <c r="G13" s="90">
        <f t="shared" si="2"/>
        <v>0.39702691819405067</v>
      </c>
      <c r="H13" s="90"/>
      <c r="I13" s="130">
        <f t="shared" si="0"/>
        <v>65.12762370553196</v>
      </c>
      <c r="J13" s="130"/>
      <c r="K13" s="78">
        <f>R11+R12+R13</f>
        <v>154673549102</v>
      </c>
      <c r="L13" s="87">
        <f>U13/U10-1</f>
        <v>4.6936023563697304E-2</v>
      </c>
      <c r="M13" s="87"/>
      <c r="N13" s="88">
        <f>AVERAGE(T11:T13)</f>
        <v>63.050318495671057</v>
      </c>
      <c r="O13" s="89">
        <f>N13/N10-1</f>
        <v>7.3698755290843909E-2</v>
      </c>
      <c r="P13" s="129" t="s">
        <v>96</v>
      </c>
      <c r="Q13" s="116">
        <v>42953156</v>
      </c>
      <c r="R13" s="116">
        <v>58615398535</v>
      </c>
      <c r="S13" s="116">
        <v>659522.85</v>
      </c>
      <c r="T13" s="130">
        <f t="shared" si="1"/>
        <v>65.12762370553196</v>
      </c>
      <c r="U13" s="85">
        <f>Q11+Q12+Q13</f>
        <v>117155263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2062500</v>
      </c>
      <c r="G14" s="90">
        <f t="shared" si="2"/>
        <v>-3.96514752024274E-2</v>
      </c>
      <c r="H14" s="90"/>
      <c r="I14" s="130">
        <f t="shared" si="0"/>
        <v>77.365744597653219</v>
      </c>
      <c r="J14" s="130"/>
      <c r="K14" s="79"/>
      <c r="L14" s="87"/>
      <c r="M14" s="87"/>
      <c r="N14" s="79"/>
      <c r="O14" s="89"/>
      <c r="P14" s="129" t="s">
        <v>97</v>
      </c>
      <c r="Q14" s="116">
        <v>41250000</v>
      </c>
      <c r="R14" s="116">
        <v>58811090868</v>
      </c>
      <c r="S14" s="116">
        <v>533181.71</v>
      </c>
      <c r="T14" s="130">
        <f t="shared" si="1"/>
        <v>77.365744597653219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1222176.7727272727</v>
      </c>
      <c r="G15" s="90">
        <f t="shared" si="2"/>
        <v>-0.40742944352617083</v>
      </c>
      <c r="H15" s="90"/>
      <c r="I15" s="130">
        <f t="shared" si="0"/>
        <v>68.921460559641602</v>
      </c>
      <c r="J15" s="130"/>
      <c r="K15" s="79"/>
      <c r="L15" s="87"/>
      <c r="M15" s="87"/>
      <c r="N15" s="79"/>
      <c r="O15" s="89"/>
      <c r="P15" s="129" t="s">
        <v>98</v>
      </c>
      <c r="Q15" s="116">
        <v>26887889</v>
      </c>
      <c r="R15" s="116">
        <v>37408796440</v>
      </c>
      <c r="S15" s="116">
        <v>390123.61</v>
      </c>
      <c r="T15" s="130">
        <f t="shared" si="1"/>
        <v>68.921460559641602</v>
      </c>
      <c r="U15" s="78"/>
    </row>
    <row r="16" spans="1:21" ht="15" hidden="1" customHeight="1">
      <c r="A16" s="129" t="s">
        <v>99</v>
      </c>
      <c r="B16" s="131">
        <f>F14+F15+F16</f>
        <v>4887842.9090909092</v>
      </c>
      <c r="C16" s="131">
        <f>AVERAGE(F14:F16)</f>
        <v>1629280.9696969697</v>
      </c>
      <c r="D16" s="90">
        <f>C16/C13-1</f>
        <v>-0.12839837650734331</v>
      </c>
      <c r="E16" s="286"/>
      <c r="F16" s="78">
        <f>Q16/22</f>
        <v>1603166.1363636365</v>
      </c>
      <c r="G16" s="90">
        <f t="shared" si="2"/>
        <v>0.31173016223028904</v>
      </c>
      <c r="H16" s="90"/>
      <c r="I16" s="130">
        <f t="shared" si="0"/>
        <v>60.041705816017917</v>
      </c>
      <c r="J16" s="130"/>
      <c r="K16" s="78">
        <f>R14+R15+R16</f>
        <v>142438878037</v>
      </c>
      <c r="L16" s="87">
        <f>U16/U13-1</f>
        <v>-0.11734614944272714</v>
      </c>
      <c r="M16" s="87"/>
      <c r="N16" s="88">
        <f>AVERAGE(T14:T16)</f>
        <v>68.77630365777091</v>
      </c>
      <c r="O16" s="89">
        <f>N16/N13-1</f>
        <v>9.0816117962877474E-2</v>
      </c>
      <c r="P16" s="129" t="s">
        <v>99</v>
      </c>
      <c r="Q16" s="116">
        <v>35269655</v>
      </c>
      <c r="R16" s="116">
        <v>46218990729</v>
      </c>
      <c r="S16" s="116">
        <v>587419.27</v>
      </c>
      <c r="T16" s="130">
        <f t="shared" si="1"/>
        <v>60.041705816017917</v>
      </c>
      <c r="U16" s="85">
        <f>Q14+Q15+Q16</f>
        <v>103407544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1472038.4</v>
      </c>
      <c r="G17" s="90">
        <f t="shared" si="2"/>
        <v>-8.1792980396320991E-2</v>
      </c>
      <c r="H17" s="90">
        <f t="shared" ref="H17:H25" si="3">F17/F5-1</f>
        <v>-1.9219281931394105E-3</v>
      </c>
      <c r="I17" s="130">
        <f t="shared" si="0"/>
        <v>60.283675207320577</v>
      </c>
      <c r="J17" s="130">
        <f t="shared" ref="J17:J49" si="4">I17/I5-1</f>
        <v>-0.14102181039203465</v>
      </c>
      <c r="K17" s="79"/>
      <c r="L17" s="87"/>
      <c r="M17" s="87"/>
      <c r="N17" s="79"/>
      <c r="O17" s="89"/>
      <c r="P17" s="129" t="s">
        <v>100</v>
      </c>
      <c r="Q17" s="116">
        <v>29440768</v>
      </c>
      <c r="R17" s="116">
        <v>36964628070</v>
      </c>
      <c r="S17" s="116">
        <v>488370.49</v>
      </c>
      <c r="T17" s="130">
        <f t="shared" si="1"/>
        <v>60.283675207320577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2321101.65</v>
      </c>
      <c r="G18" s="90">
        <f t="shared" si="2"/>
        <v>0.57679422629192278</v>
      </c>
      <c r="H18" s="90">
        <f t="shared" si="3"/>
        <v>0.69038213554152561</v>
      </c>
      <c r="I18" s="130">
        <f t="shared" si="0"/>
        <v>43.459358956281108</v>
      </c>
      <c r="J18" s="130">
        <f t="shared" si="4"/>
        <v>-0.35400902196541773</v>
      </c>
      <c r="K18" s="79"/>
      <c r="L18" s="87"/>
      <c r="M18" s="87"/>
      <c r="N18" s="79"/>
      <c r="O18" s="89"/>
      <c r="P18" s="129" t="s">
        <v>106</v>
      </c>
      <c r="Q18" s="116">
        <v>46422033</v>
      </c>
      <c r="R18" s="116">
        <v>58022529186</v>
      </c>
      <c r="S18" s="116">
        <v>1068171.1399999999</v>
      </c>
      <c r="T18" s="130">
        <f t="shared" si="1"/>
        <v>43.459358956281108</v>
      </c>
      <c r="U18" s="78"/>
    </row>
    <row r="19" spans="1:21" hidden="1">
      <c r="A19" s="129" t="s">
        <v>114</v>
      </c>
      <c r="B19" s="131">
        <f>SUM(F17:F19)</f>
        <v>6852878.1863636356</v>
      </c>
      <c r="C19" s="131">
        <f>AVERAGE(F17:F19)</f>
        <v>2284292.7287878785</v>
      </c>
      <c r="D19" s="90">
        <f>C19/C16-1</f>
        <v>0.40202504741262302</v>
      </c>
      <c r="E19" s="286">
        <f>C19/C7-1</f>
        <v>0.50824371124108847</v>
      </c>
      <c r="F19" s="78">
        <f>Q19/22</f>
        <v>3059738.1363636362</v>
      </c>
      <c r="G19" s="90">
        <f t="shared" si="2"/>
        <v>0.31822668617879635</v>
      </c>
      <c r="H19" s="90">
        <f t="shared" si="3"/>
        <v>0.80449606207139879</v>
      </c>
      <c r="I19" s="130">
        <f t="shared" si="0"/>
        <v>50.908939610273237</v>
      </c>
      <c r="J19" s="130">
        <f t="shared" si="4"/>
        <v>-0.24199000593354736</v>
      </c>
      <c r="K19" s="78">
        <f>R17+R18+R19</f>
        <v>182954221233</v>
      </c>
      <c r="L19" s="87">
        <f>U19/U16-1</f>
        <v>0.38458989026951462</v>
      </c>
      <c r="M19" s="87">
        <f>U19/U7-1</f>
        <v>0.56448083480097955</v>
      </c>
      <c r="N19" s="88">
        <f>AVERAGE(T17:T19)</f>
        <v>51.550657924624979</v>
      </c>
      <c r="O19" s="89">
        <f>N19/N16-1</f>
        <v>-0.25045902174185308</v>
      </c>
      <c r="P19" s="129" t="s">
        <v>115</v>
      </c>
      <c r="Q19" s="116">
        <v>67314239</v>
      </c>
      <c r="R19" s="116">
        <v>87967063977</v>
      </c>
      <c r="S19" s="116">
        <v>1322247.9099999999</v>
      </c>
      <c r="T19" s="130">
        <f t="shared" si="1"/>
        <v>50.908939610273237</v>
      </c>
      <c r="U19" s="85">
        <f>Q17+Q18+Q19</f>
        <v>143177040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3133978.15</v>
      </c>
      <c r="G20" s="90">
        <f t="shared" si="2"/>
        <v>2.4263518748239843E-2</v>
      </c>
      <c r="H20" s="90">
        <f t="shared" si="3"/>
        <v>0.8682266560735219</v>
      </c>
      <c r="I20" s="130">
        <f t="shared" si="0"/>
        <v>44.598003543787193</v>
      </c>
      <c r="J20" s="130">
        <f t="shared" si="4"/>
        <v>-0.3162596602921911</v>
      </c>
      <c r="K20" s="79"/>
      <c r="L20" s="87"/>
      <c r="M20" s="87"/>
      <c r="N20" s="79"/>
      <c r="O20" s="89"/>
      <c r="P20" s="129" t="s">
        <v>132</v>
      </c>
      <c r="Q20" s="116">
        <v>62679563</v>
      </c>
      <c r="R20" s="116">
        <v>82281222145</v>
      </c>
      <c r="S20" s="116">
        <v>1405434.28</v>
      </c>
      <c r="T20" s="130">
        <f t="shared" si="1"/>
        <v>44.598003543787193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3941345.8571428573</v>
      </c>
      <c r="G21" s="90">
        <f t="shared" si="2"/>
        <v>0.25761752906377389</v>
      </c>
      <c r="H21" s="90">
        <f t="shared" si="3"/>
        <v>1.3067115343598958</v>
      </c>
      <c r="I21" s="130">
        <f t="shared" si="0"/>
        <v>46.068963139592086</v>
      </c>
      <c r="J21" s="130">
        <f t="shared" si="4"/>
        <v>-9.2070695473874586E-2</v>
      </c>
      <c r="K21" s="79"/>
      <c r="L21" s="87"/>
      <c r="M21" s="87"/>
      <c r="N21" s="79"/>
      <c r="O21" s="89"/>
      <c r="P21" s="129" t="s">
        <v>141</v>
      </c>
      <c r="Q21" s="116">
        <v>82768263</v>
      </c>
      <c r="R21" s="116">
        <v>110230440638</v>
      </c>
      <c r="S21" s="116">
        <v>1796616.58</v>
      </c>
      <c r="T21" s="130">
        <f t="shared" si="1"/>
        <v>46.068963139592086</v>
      </c>
      <c r="U21" s="78"/>
    </row>
    <row r="22" spans="1:21" hidden="1">
      <c r="A22" s="129" t="s">
        <v>156</v>
      </c>
      <c r="B22" s="131">
        <f>SUM(F20:F22)</f>
        <v>10869757.816666666</v>
      </c>
      <c r="C22" s="131">
        <f>AVERAGE(F20:F22)</f>
        <v>3623252.6055555553</v>
      </c>
      <c r="D22" s="90">
        <f>C22/C19-1</f>
        <v>0.58615949693898184</v>
      </c>
      <c r="E22" s="286">
        <f>C22/C10-1</f>
        <v>1.0398465712915494</v>
      </c>
      <c r="F22" s="78">
        <f>Q22/21</f>
        <v>3794433.8095238097</v>
      </c>
      <c r="G22" s="90">
        <f t="shared" si="2"/>
        <v>-3.7274589174355333E-2</v>
      </c>
      <c r="H22" s="90">
        <f t="shared" si="3"/>
        <v>0.95332040600121526</v>
      </c>
      <c r="I22" s="130">
        <f t="shared" si="0"/>
        <v>42.408932620376589</v>
      </c>
      <c r="J22" s="130">
        <f t="shared" si="4"/>
        <v>-0.29553743261037657</v>
      </c>
      <c r="K22" s="78">
        <f>R20+R21+R22</f>
        <v>296118660464</v>
      </c>
      <c r="L22" s="87">
        <f>U22/U19-1</f>
        <v>0.57239551816408563</v>
      </c>
      <c r="M22" s="87">
        <f>U22/U10-1</f>
        <v>1.0118403636464306</v>
      </c>
      <c r="N22" s="88">
        <f>AVERAGE(T20:T22)</f>
        <v>44.358633101251961</v>
      </c>
      <c r="O22" s="89">
        <f>N22/N19-1</f>
        <v>-0.13951373489527275</v>
      </c>
      <c r="P22" s="129" t="s">
        <v>156</v>
      </c>
      <c r="Q22" s="116">
        <v>79683110</v>
      </c>
      <c r="R22" s="116">
        <v>103606997681</v>
      </c>
      <c r="S22" s="116">
        <v>1878922.79</v>
      </c>
      <c r="T22" s="130">
        <f t="shared" si="1"/>
        <v>42.408932620376589</v>
      </c>
      <c r="U22" s="85">
        <f>Q20+Q21+Q22</f>
        <v>225130936</v>
      </c>
    </row>
    <row r="23" spans="1:21" hidden="1">
      <c r="A23" s="129" t="s">
        <v>189</v>
      </c>
      <c r="B23" s="131"/>
      <c r="C23" s="131"/>
      <c r="D23" s="117"/>
      <c r="F23" s="78">
        <f>Q23/21</f>
        <v>3006470.6190476189</v>
      </c>
      <c r="G23" s="90">
        <f t="shared" si="2"/>
        <v>-0.20766291626920697</v>
      </c>
      <c r="H23" s="90">
        <f t="shared" si="3"/>
        <v>0.56349013466009668</v>
      </c>
      <c r="I23" s="130">
        <f t="shared" si="0"/>
        <v>51.676213447908239</v>
      </c>
      <c r="J23" s="130">
        <f t="shared" si="4"/>
        <v>-7.7785419613859652E-2</v>
      </c>
      <c r="K23" s="79"/>
      <c r="L23" s="87"/>
      <c r="M23" s="87"/>
      <c r="N23" s="79"/>
      <c r="O23" s="89"/>
      <c r="P23" s="129" t="s">
        <v>189</v>
      </c>
      <c r="Q23" s="116">
        <v>63135883</v>
      </c>
      <c r="R23" s="116">
        <v>81941030581</v>
      </c>
      <c r="S23" s="116">
        <v>1221759.08</v>
      </c>
      <c r="T23" s="130">
        <f t="shared" si="1"/>
        <v>51.676213447908239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2972936.8181818184</v>
      </c>
      <c r="G24" s="90">
        <f t="shared" si="2"/>
        <v>-1.1153876127491746E-2</v>
      </c>
      <c r="H24" s="90">
        <f t="shared" si="3"/>
        <v>0.93386151233691561</v>
      </c>
      <c r="I24" s="130">
        <f t="shared" si="0"/>
        <v>51.868179572269149</v>
      </c>
      <c r="J24" s="130">
        <f t="shared" si="4"/>
        <v>-0.23710272679145328</v>
      </c>
      <c r="K24" s="79"/>
      <c r="L24" s="87"/>
      <c r="M24" s="87"/>
      <c r="N24" s="79"/>
      <c r="O24" s="89"/>
      <c r="P24" s="129" t="s">
        <v>204</v>
      </c>
      <c r="Q24" s="116">
        <v>65404610</v>
      </c>
      <c r="R24" s="116">
        <v>86080242982</v>
      </c>
      <c r="S24" s="116">
        <v>1260977.55</v>
      </c>
      <c r="T24" s="130">
        <f t="shared" si="1"/>
        <v>51.868179572269149</v>
      </c>
      <c r="U24" s="78"/>
    </row>
    <row r="25" spans="1:21" s="92" customFormat="1" ht="13.2" hidden="1">
      <c r="A25" s="129" t="s">
        <v>219</v>
      </c>
      <c r="B25" s="131">
        <f>SUM(F23:F25)</f>
        <v>9665238.4372294378</v>
      </c>
      <c r="C25" s="131">
        <f>AVERAGE(F23:F25)</f>
        <v>3221746.1457431461</v>
      </c>
      <c r="D25" s="90">
        <f>C25/C22-1</f>
        <v>-0.11081381938338408</v>
      </c>
      <c r="E25" s="286">
        <f>C25/C13-1</f>
        <v>0.72350823666295616</v>
      </c>
      <c r="F25" s="78">
        <f>Q25/19</f>
        <v>3685831</v>
      </c>
      <c r="G25" s="90">
        <f t="shared" si="2"/>
        <v>0.23979459551857274</v>
      </c>
      <c r="H25" s="90">
        <f t="shared" si="3"/>
        <v>0.71620963078941169</v>
      </c>
      <c r="I25" s="130">
        <f t="shared" si="0"/>
        <v>44.561087239591245</v>
      </c>
      <c r="J25" s="130">
        <f t="shared" si="4"/>
        <v>-0.3157882215836747</v>
      </c>
      <c r="K25" s="78">
        <f>R23+R24+R25</f>
        <v>260934489655</v>
      </c>
      <c r="L25" s="90">
        <f>U25/U22-1</f>
        <v>-0.11797425299204545</v>
      </c>
      <c r="M25" s="90">
        <f>U25/U13-1</f>
        <v>0.69494119952596578</v>
      </c>
      <c r="N25" s="88">
        <f>AVERAGE(T23:T25)</f>
        <v>49.368493419922878</v>
      </c>
      <c r="O25" s="91">
        <f>N25/N22-1</f>
        <v>0.11293991650363822</v>
      </c>
      <c r="P25" s="129" t="s">
        <v>219</v>
      </c>
      <c r="Q25" s="116">
        <v>70030789</v>
      </c>
      <c r="R25" s="116">
        <v>92913216092</v>
      </c>
      <c r="S25" s="116">
        <v>1571568.23</v>
      </c>
      <c r="T25" s="130">
        <f t="shared" si="1"/>
        <v>44.561087239591245</v>
      </c>
      <c r="U25" s="85">
        <f>Q23+Q24+Q25</f>
        <v>198571282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3006070.4736842103</v>
      </c>
      <c r="G26" s="90">
        <f t="shared" ref="G26" si="5">F26/F25-1</f>
        <v>-0.18442531041596577</v>
      </c>
      <c r="H26" s="90">
        <f t="shared" ref="H26" si="6">F26/F14-1</f>
        <v>0.45748871451355644</v>
      </c>
      <c r="I26" s="130">
        <f t="shared" si="0"/>
        <v>52.730278007535006</v>
      </c>
      <c r="J26" s="130">
        <f t="shared" si="4"/>
        <v>-0.31842861098586905</v>
      </c>
      <c r="K26" s="79"/>
      <c r="L26" s="90"/>
      <c r="M26" s="90"/>
      <c r="N26" s="79"/>
      <c r="O26" s="79"/>
      <c r="P26" s="129" t="s">
        <v>312</v>
      </c>
      <c r="Q26" s="116">
        <v>57115339</v>
      </c>
      <c r="R26" s="116">
        <v>76991678683</v>
      </c>
      <c r="S26" s="116">
        <v>1083160.21</v>
      </c>
      <c r="T26" s="130">
        <f t="shared" ref="T26" si="7">Q26/S26</f>
        <v>52.730278007535006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3826636.3636363638</v>
      </c>
      <c r="G27" s="90">
        <f t="shared" ref="G27" si="8">F27/F26-1</f>
        <v>0.27296961170257461</v>
      </c>
      <c r="H27" s="90">
        <f t="shared" ref="H27" si="9">F27/F15-1</f>
        <v>2.1310007267584301</v>
      </c>
      <c r="I27" s="130">
        <f t="shared" si="0"/>
        <v>55.085945748725486</v>
      </c>
      <c r="J27" s="130">
        <f t="shared" si="4"/>
        <v>-0.20074320391024603</v>
      </c>
      <c r="K27" s="79"/>
      <c r="L27" s="90"/>
      <c r="M27" s="90"/>
      <c r="N27" s="79"/>
      <c r="O27" s="79"/>
      <c r="P27" s="129" t="s">
        <v>375</v>
      </c>
      <c r="Q27" s="116">
        <v>84186000</v>
      </c>
      <c r="R27" s="116">
        <v>111113336032</v>
      </c>
      <c r="S27" s="116">
        <v>1528266.4</v>
      </c>
      <c r="T27" s="130">
        <f t="shared" ref="T27" si="10">Q27/S27</f>
        <v>55.085945748725486</v>
      </c>
      <c r="U27" s="78"/>
    </row>
    <row r="28" spans="1:21" s="92" customFormat="1" ht="13.2" hidden="1">
      <c r="A28" s="123" t="s">
        <v>413</v>
      </c>
      <c r="B28" s="131">
        <f>SUM(F26:F28)</f>
        <v>11089953.626794258</v>
      </c>
      <c r="C28" s="131">
        <f>AVERAGE(F26:F28)</f>
        <v>3696651.2089314195</v>
      </c>
      <c r="D28" s="90">
        <f>C28/C25-1</f>
        <v>0.14740610889401062</v>
      </c>
      <c r="E28" s="286">
        <f>C28/C16-1</f>
        <v>1.2688850343713032</v>
      </c>
      <c r="F28" s="78">
        <f>Q28/19</f>
        <v>4257246.7894736845</v>
      </c>
      <c r="G28" s="90">
        <f t="shared" ref="G28" si="11">F28/F27-1</f>
        <v>0.11252974803911653</v>
      </c>
      <c r="H28" s="90">
        <f t="shared" ref="H28" si="12">F28/F16-1</f>
        <v>1.6555243981950221</v>
      </c>
      <c r="I28" s="130">
        <f t="shared" si="0"/>
        <v>54.798989038500252</v>
      </c>
      <c r="J28" s="130">
        <f t="shared" si="4"/>
        <v>-8.7317918541198636E-2</v>
      </c>
      <c r="K28" s="78">
        <f>R26+R27+R28</f>
        <v>293599545280</v>
      </c>
      <c r="L28" s="90">
        <f>U28/U25-1</f>
        <v>0.11893837700055743</v>
      </c>
      <c r="M28" s="90">
        <f>U28/U16-1</f>
        <v>1.1486732921536169</v>
      </c>
      <c r="N28" s="88">
        <f>AVERAGE(T26:T28)</f>
        <v>54.20507093158691</v>
      </c>
      <c r="O28" s="91">
        <f>N28/N25-1</f>
        <v>9.7968910465317416E-2</v>
      </c>
      <c r="P28" s="129" t="s">
        <v>413</v>
      </c>
      <c r="Q28" s="116">
        <v>80887689</v>
      </c>
      <c r="R28" s="116">
        <v>105494530565</v>
      </c>
      <c r="S28" s="116">
        <v>1476079.95</v>
      </c>
      <c r="T28" s="130">
        <f t="shared" ref="T28" si="13">Q28/S28</f>
        <v>54.798989038500252</v>
      </c>
      <c r="U28" s="85">
        <f>Q26+Q27+Q28</f>
        <v>222189028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2729930.8636363638</v>
      </c>
      <c r="G29" s="190">
        <f t="shared" ref="G29" si="14">F29/F28-1</f>
        <v>-0.35875672737923181</v>
      </c>
      <c r="H29" s="190">
        <f t="shared" ref="H29" si="15">F29/F17-1</f>
        <v>0.85452421868639017</v>
      </c>
      <c r="I29" s="130">
        <f t="shared" si="0"/>
        <v>50.652146882700144</v>
      </c>
      <c r="J29" s="130">
        <f t="shared" si="4"/>
        <v>-0.15977009184487845</v>
      </c>
      <c r="K29" s="136"/>
      <c r="L29" s="190"/>
      <c r="M29" s="190"/>
      <c r="N29" s="191"/>
      <c r="O29" s="192"/>
      <c r="P29" s="129" t="s">
        <v>427</v>
      </c>
      <c r="Q29" s="116">
        <v>60058479</v>
      </c>
      <c r="R29" s="116">
        <v>78898664333</v>
      </c>
      <c r="S29" s="116">
        <v>1185704.51</v>
      </c>
      <c r="T29" s="130">
        <f t="shared" ref="T29" si="16">Q29/S29</f>
        <v>50.652146882700144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3484994.6842105263</v>
      </c>
      <c r="G30" s="190">
        <f t="shared" ref="G30" si="17">F30/F29-1</f>
        <v>0.27658715853645877</v>
      </c>
      <c r="H30" s="190">
        <f t="shared" ref="H30" si="18">F30/F18-1</f>
        <v>0.50143992367181611</v>
      </c>
      <c r="I30" s="130">
        <f t="shared" si="0"/>
        <v>50.365022416367388</v>
      </c>
      <c r="J30" s="130">
        <f t="shared" si="4"/>
        <v>0.158899340117584</v>
      </c>
      <c r="K30" s="136"/>
      <c r="L30" s="190"/>
      <c r="M30" s="190"/>
      <c r="N30" s="191"/>
      <c r="O30" s="192"/>
      <c r="P30" s="129" t="s">
        <v>466</v>
      </c>
      <c r="Q30" s="116">
        <v>66214899</v>
      </c>
      <c r="R30" s="116">
        <v>88275719958</v>
      </c>
      <c r="S30" s="116">
        <v>1314700.08</v>
      </c>
      <c r="T30" s="130">
        <f t="shared" ref="T30" si="19">Q30/S30</f>
        <v>50.365022416367388</v>
      </c>
      <c r="U30" s="85"/>
    </row>
    <row r="31" spans="1:21" s="92" customFormat="1" ht="13.2" hidden="1">
      <c r="A31" s="129" t="s">
        <v>505</v>
      </c>
      <c r="B31" s="188">
        <f>SUM(F29:F31)</f>
        <v>10216953.897846891</v>
      </c>
      <c r="C31" s="188">
        <f>AVERAGE(F29:F31)</f>
        <v>3405651.299282297</v>
      </c>
      <c r="D31" s="190">
        <f>C31/C28-1</f>
        <v>-7.8719871906238303E-2</v>
      </c>
      <c r="E31" s="287">
        <f>C31/C19-1</f>
        <v>0.4908996803966752</v>
      </c>
      <c r="F31" s="136">
        <f>Q31/20</f>
        <v>4002028.35</v>
      </c>
      <c r="G31" s="190">
        <f t="shared" ref="G31" si="20">F31/F30-1</f>
        <v>0.14835995823236092</v>
      </c>
      <c r="H31" s="190">
        <f t="shared" ref="H31" si="21">F31/F19-1</f>
        <v>0.30796433277660618</v>
      </c>
      <c r="I31" s="130">
        <f t="shared" si="0"/>
        <v>49.365531289898932</v>
      </c>
      <c r="J31" s="130">
        <f t="shared" si="4"/>
        <v>-3.0317039250663314E-2</v>
      </c>
      <c r="K31" s="136">
        <f>R29+R30+R31</f>
        <v>273450626117</v>
      </c>
      <c r="L31" s="190">
        <f>U31/U28-1</f>
        <v>-7.1448546055118412E-2</v>
      </c>
      <c r="M31" s="190">
        <f>U31/U19-1</f>
        <v>0.44097087773291022</v>
      </c>
      <c r="N31" s="191">
        <f>AVERAGE(T29:T31)</f>
        <v>50.127566862988822</v>
      </c>
      <c r="O31" s="192">
        <f>N31/N28-1</f>
        <v>-7.5223664474941332E-2</v>
      </c>
      <c r="P31" s="129" t="s">
        <v>505</v>
      </c>
      <c r="Q31" s="116">
        <v>80040567</v>
      </c>
      <c r="R31" s="116">
        <v>106276241826</v>
      </c>
      <c r="S31" s="116">
        <v>1621385.71</v>
      </c>
      <c r="T31" s="130">
        <f t="shared" ref="T31" si="22">Q31/S31</f>
        <v>49.365531289898932</v>
      </c>
      <c r="U31" s="85">
        <f>Q29+Q30+Q31</f>
        <v>206313945</v>
      </c>
    </row>
    <row r="32" spans="1:21" s="92" customFormat="1" ht="13.2" hidden="1">
      <c r="A32" s="129" t="s">
        <v>595</v>
      </c>
      <c r="B32" s="188"/>
      <c r="C32" s="188"/>
      <c r="D32" s="190"/>
      <c r="E32" s="287"/>
      <c r="F32" s="136">
        <f>Q32/21</f>
        <v>3283872.3333333335</v>
      </c>
      <c r="G32" s="190">
        <f t="shared" ref="G32" si="23">F32/F31-1</f>
        <v>-0.17944800832474528</v>
      </c>
      <c r="H32" s="190">
        <f t="shared" ref="H32" si="24">F32/F20-1</f>
        <v>4.7828726353224216E-2</v>
      </c>
      <c r="I32" s="130">
        <f t="shared" si="0"/>
        <v>50.495090277468364</v>
      </c>
      <c r="J32" s="130">
        <f t="shared" si="4"/>
        <v>0.13222759462520095</v>
      </c>
      <c r="K32" s="136"/>
      <c r="L32" s="190"/>
      <c r="M32" s="190"/>
      <c r="N32" s="191"/>
      <c r="O32" s="192"/>
      <c r="P32" s="129" t="s">
        <v>595</v>
      </c>
      <c r="Q32" s="116">
        <v>68961319</v>
      </c>
      <c r="R32" s="116">
        <v>93815539518</v>
      </c>
      <c r="S32" s="116">
        <v>1365703.45</v>
      </c>
      <c r="T32" s="130">
        <f t="shared" ref="T32" si="25">Q32/S32</f>
        <v>50.495090277468364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3082982.4285714286</v>
      </c>
      <c r="G33" s="190">
        <f t="shared" ref="G33" si="26">F33/F32-1</f>
        <v>-6.1174699979273939E-2</v>
      </c>
      <c r="H33" s="190">
        <f t="shared" ref="H33" si="27">F33/F21-1</f>
        <v>-0.21778434567365512</v>
      </c>
      <c r="I33" s="130">
        <f t="shared" si="0"/>
        <v>55.956396751549434</v>
      </c>
      <c r="J33" s="130">
        <f t="shared" si="4"/>
        <v>0.21462244726450108</v>
      </c>
      <c r="K33" s="136"/>
      <c r="L33" s="190"/>
      <c r="M33" s="190"/>
      <c r="N33" s="191"/>
      <c r="O33" s="192"/>
      <c r="P33" s="129" t="s">
        <v>607</v>
      </c>
      <c r="Q33" s="116">
        <v>64742631</v>
      </c>
      <c r="R33" s="116">
        <v>88484883872</v>
      </c>
      <c r="S33" s="116">
        <v>1157019.3</v>
      </c>
      <c r="T33" s="130">
        <f t="shared" ref="T33" si="28">Q33/S33</f>
        <v>55.956396751549434</v>
      </c>
      <c r="U33" s="85"/>
    </row>
    <row r="34" spans="1:21" s="92" customFormat="1" ht="13.2" hidden="1">
      <c r="A34" s="129" t="s">
        <v>652</v>
      </c>
      <c r="B34" s="188">
        <f>SUM(F32:F34)</f>
        <v>10234583.919799499</v>
      </c>
      <c r="C34" s="188">
        <f>AVERAGE(F32:F34)</f>
        <v>3411527.9732664996</v>
      </c>
      <c r="D34" s="190">
        <f>C34/C31-1</f>
        <v>1.7255653817056515E-3</v>
      </c>
      <c r="E34" s="287">
        <f>C34/C22-1</f>
        <v>-5.8434963094876946E-2</v>
      </c>
      <c r="F34" s="136">
        <f>Q34/19</f>
        <v>3867729.1578947366</v>
      </c>
      <c r="G34" s="190">
        <f t="shared" ref="G34" si="29">F34/F33-1</f>
        <v>0.25454142133626712</v>
      </c>
      <c r="H34" s="190">
        <f t="shared" ref="H34" si="30">F34/F22-1</f>
        <v>1.9316544193486829E-2</v>
      </c>
      <c r="I34" s="130">
        <f t="shared" si="0"/>
        <v>49.222715664957597</v>
      </c>
      <c r="J34" s="130">
        <f t="shared" si="4"/>
        <v>0.16066858144189955</v>
      </c>
      <c r="K34" s="136">
        <f>R32+R33+R34</f>
        <v>283341896861</v>
      </c>
      <c r="L34" s="190">
        <f>U34/U31-1</f>
        <v>4.2501198840436683E-3</v>
      </c>
      <c r="M34" s="190">
        <f>U34/U22-1</f>
        <v>-7.9687546806095133E-2</v>
      </c>
      <c r="N34" s="191">
        <f>AVERAGE(T32:T34)</f>
        <v>51.891400897991794</v>
      </c>
      <c r="O34" s="192">
        <f>N34/N31-1</f>
        <v>3.5186907033089687E-2</v>
      </c>
      <c r="P34" s="129" t="s">
        <v>652</v>
      </c>
      <c r="Q34" s="116">
        <v>73486854</v>
      </c>
      <c r="R34" s="116">
        <v>101041473471</v>
      </c>
      <c r="S34" s="116">
        <v>1492945.95</v>
      </c>
      <c r="T34" s="130">
        <f t="shared" ref="T34" si="31">Q34/S34</f>
        <v>49.222715664957597</v>
      </c>
      <c r="U34" s="85">
        <f>Q32+Q33+Q34</f>
        <v>207190804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2745581</v>
      </c>
      <c r="G35" s="190">
        <f t="shared" ref="G35" si="32">F35/F34-1</f>
        <v>-0.29013100764934086</v>
      </c>
      <c r="H35" s="190">
        <f t="shared" ref="H35" si="33">F35/F23-1</f>
        <v>-8.6776041446985031E-2</v>
      </c>
      <c r="I35" s="130">
        <f t="shared" si="0"/>
        <v>59.459569217765505</v>
      </c>
      <c r="J35" s="130">
        <f t="shared" si="4"/>
        <v>0.15061776493556778</v>
      </c>
      <c r="K35" s="136"/>
      <c r="L35" s="190"/>
      <c r="M35" s="190"/>
      <c r="N35" s="191"/>
      <c r="O35" s="192"/>
      <c r="P35" s="129" t="s">
        <v>660</v>
      </c>
      <c r="Q35" s="116">
        <v>63148363</v>
      </c>
      <c r="R35" s="116">
        <v>87389952923</v>
      </c>
      <c r="S35" s="116">
        <v>1062038.69</v>
      </c>
      <c r="T35" s="130">
        <f t="shared" ref="T35" si="34">Q35/S35</f>
        <v>59.459569217765505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2447081.3333333335</v>
      </c>
      <c r="G36" s="190">
        <f t="shared" ref="G36" si="35">F36/F35-1</f>
        <v>-0.10872003654842688</v>
      </c>
      <c r="H36" s="190">
        <f t="shared" ref="H36" si="36">F36/F24-1</f>
        <v>-0.17688081416075507</v>
      </c>
      <c r="I36" s="130">
        <f t="shared" si="0"/>
        <v>66.659084367305837</v>
      </c>
      <c r="J36" s="130">
        <f t="shared" si="4"/>
        <v>0.28516336831193723</v>
      </c>
      <c r="K36" s="136"/>
      <c r="L36" s="190"/>
      <c r="M36" s="190"/>
      <c r="N36" s="191"/>
      <c r="O36" s="192"/>
      <c r="P36" s="129" t="s">
        <v>664</v>
      </c>
      <c r="Q36" s="116">
        <v>51388708</v>
      </c>
      <c r="R36" s="116">
        <v>70067079217</v>
      </c>
      <c r="S36" s="116">
        <v>770918.3</v>
      </c>
      <c r="T36" s="130">
        <f t="shared" ref="T36" si="37">Q36/S36</f>
        <v>66.659084367305837</v>
      </c>
      <c r="U36" s="85"/>
    </row>
    <row r="37" spans="1:21" s="92" customFormat="1" ht="13.2" hidden="1">
      <c r="A37" s="129" t="s">
        <v>702</v>
      </c>
      <c r="B37" s="188">
        <f>SUM(F35:F37)</f>
        <v>7864430.333333334</v>
      </c>
      <c r="C37" s="188">
        <f>AVERAGE(F35:F37)</f>
        <v>2621476.777777778</v>
      </c>
      <c r="D37" s="190">
        <f>C37/C34-1</f>
        <v>-0.23158279858167374</v>
      </c>
      <c r="E37" s="287">
        <f>C37/C25-1</f>
        <v>-0.18631802159785205</v>
      </c>
      <c r="F37" s="136">
        <f>Q37/18</f>
        <v>2671768</v>
      </c>
      <c r="G37" s="190">
        <f t="shared" ref="G37" si="38">F37/F36-1</f>
        <v>9.1818225902857709E-2</v>
      </c>
      <c r="H37" s="190">
        <f t="shared" ref="H37" si="39">F37/F25-1</f>
        <v>-0.27512465981212919</v>
      </c>
      <c r="I37" s="130">
        <f t="shared" si="0"/>
        <v>60.632897965965093</v>
      </c>
      <c r="J37" s="130">
        <f t="shared" si="4"/>
        <v>0.3606691784686642</v>
      </c>
      <c r="K37" s="136">
        <f>R35+R36+R37</f>
        <v>221644828255</v>
      </c>
      <c r="L37" s="190">
        <f>U37/U34-1</f>
        <v>-0.21507667396280772</v>
      </c>
      <c r="M37" s="190">
        <f>U37/U25-1</f>
        <v>-0.18100496022380519</v>
      </c>
      <c r="N37" s="191">
        <f>AVERAGE(T35:T37)</f>
        <v>62.250517183678816</v>
      </c>
      <c r="O37" s="192">
        <f>N37/N34-1</f>
        <v>0.19963069230007857</v>
      </c>
      <c r="P37" s="129" t="s">
        <v>702</v>
      </c>
      <c r="Q37" s="116">
        <v>48091824</v>
      </c>
      <c r="R37" s="116">
        <v>64187796115</v>
      </c>
      <c r="S37" s="116">
        <v>793163.87</v>
      </c>
      <c r="T37" s="130">
        <f t="shared" ref="T37" si="40">Q37/S37</f>
        <v>60.632897965965093</v>
      </c>
      <c r="U37" s="85">
        <f>Q35+Q36+Q37</f>
        <v>162628895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3600626.55</v>
      </c>
      <c r="G38" s="190">
        <f t="shared" ref="G38" si="41">F38/F37-1</f>
        <v>0.3476568886220659</v>
      </c>
      <c r="H38" s="190">
        <f t="shared" ref="H38" si="42">F38/F26-1</f>
        <v>0.1977851422715009</v>
      </c>
      <c r="I38" s="130">
        <f t="shared" si="0"/>
        <v>59.551005007591307</v>
      </c>
      <c r="J38" s="130">
        <f t="shared" si="4"/>
        <v>0.12935124292501632</v>
      </c>
      <c r="K38" s="136"/>
      <c r="L38" s="190"/>
      <c r="M38" s="190"/>
      <c r="N38" s="191"/>
      <c r="O38" s="192"/>
      <c r="P38" s="129" t="s">
        <v>728</v>
      </c>
      <c r="Q38" s="116">
        <v>72012531</v>
      </c>
      <c r="R38" s="116">
        <v>97134698229</v>
      </c>
      <c r="S38" s="116">
        <v>1209258.03</v>
      </c>
      <c r="T38" s="130">
        <f t="shared" ref="T38" si="43">Q38/S38</f>
        <v>59.551005007591307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2963970.6666666665</v>
      </c>
      <c r="G39" s="190">
        <f t="shared" ref="G39" si="44">F39/F38-1</f>
        <v>-0.17681808276765976</v>
      </c>
      <c r="H39" s="190">
        <f t="shared" ref="H39" si="45">F39/F27-1</f>
        <v>-0.22543707188051865</v>
      </c>
      <c r="I39" s="130">
        <f t="shared" si="0"/>
        <v>50.866786581211514</v>
      </c>
      <c r="J39" s="130">
        <f t="shared" si="4"/>
        <v>-7.6592297911334151E-2</v>
      </c>
      <c r="K39" s="136"/>
      <c r="L39" s="190"/>
      <c r="M39" s="190"/>
      <c r="N39" s="191"/>
      <c r="O39" s="192"/>
      <c r="P39" s="129" t="s">
        <v>762</v>
      </c>
      <c r="Q39" s="116">
        <v>62243384</v>
      </c>
      <c r="R39" s="116">
        <v>86531856838</v>
      </c>
      <c r="S39" s="116">
        <v>1223654.73</v>
      </c>
      <c r="T39" s="130">
        <f t="shared" ref="T39" si="46">Q39/S39</f>
        <v>50.866786581211514</v>
      </c>
      <c r="U39" s="85"/>
    </row>
    <row r="40" spans="1:21" s="92" customFormat="1" ht="13.2" hidden="1">
      <c r="A40" s="129" t="s">
        <v>778</v>
      </c>
      <c r="B40" s="188">
        <f>SUM(F38:F40)</f>
        <v>10140329.311904762</v>
      </c>
      <c r="C40" s="188">
        <f>AVERAGE(F38:F40)</f>
        <v>3380109.7706349208</v>
      </c>
      <c r="D40" s="190">
        <f>C40/C37-1</f>
        <v>0.28939146029751783</v>
      </c>
      <c r="E40" s="287">
        <f>C40/C28-1</f>
        <v>-8.5629241279704171E-2</v>
      </c>
      <c r="F40" s="136">
        <f>Q40/21</f>
        <v>3575732.0952380951</v>
      </c>
      <c r="G40" s="190">
        <f t="shared" ref="G40" si="47">F40/F39-1</f>
        <v>0.20639928574577504</v>
      </c>
      <c r="H40" s="190">
        <f t="shared" ref="H40" si="48">F40/F28-1</f>
        <v>-0.16008343606498876</v>
      </c>
      <c r="I40" s="130">
        <f t="shared" si="0"/>
        <v>46.20472074523358</v>
      </c>
      <c r="J40" s="130">
        <f t="shared" si="4"/>
        <v>-0.15683260666047283</v>
      </c>
      <c r="K40" s="136">
        <f>R38+R39+R40</f>
        <v>290716493109</v>
      </c>
      <c r="L40" s="190">
        <f>U40/U37-1</f>
        <v>0.28726379774024791</v>
      </c>
      <c r="M40" s="190">
        <f>U40/U28-1</f>
        <v>-5.7800959460518442E-2</v>
      </c>
      <c r="N40" s="191">
        <f>AVERAGE(T38:T40)</f>
        <v>52.207504111345465</v>
      </c>
      <c r="O40" s="192">
        <f>N40/N37-1</f>
        <v>-0.16133220295503803</v>
      </c>
      <c r="P40" s="129" t="s">
        <v>778</v>
      </c>
      <c r="Q40" s="116">
        <v>75090374</v>
      </c>
      <c r="R40" s="116">
        <v>107049938042</v>
      </c>
      <c r="S40" s="116">
        <v>1625166.71</v>
      </c>
      <c r="T40" s="130">
        <f t="shared" ref="T40" si="49">Q40/S40</f>
        <v>46.20472074523358</v>
      </c>
      <c r="U40" s="85">
        <f>Q38+Q39+Q40</f>
        <v>209346289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3419843.611111111</v>
      </c>
      <c r="G41" s="190">
        <f t="shared" ref="G41" si="50">F41/F40-1</f>
        <v>-4.3596242664428186E-2</v>
      </c>
      <c r="H41" s="190">
        <f t="shared" ref="H41" si="51">F41/F29-1</f>
        <v>0.25272169221009477</v>
      </c>
      <c r="I41" s="130">
        <f t="shared" si="0"/>
        <v>54.88646221457779</v>
      </c>
      <c r="J41" s="130">
        <f t="shared" si="4"/>
        <v>8.3595969617703325E-2</v>
      </c>
      <c r="K41" s="194"/>
      <c r="L41" s="202"/>
      <c r="M41" s="202"/>
      <c r="N41" s="194"/>
      <c r="O41" s="194"/>
      <c r="P41" s="129" t="s">
        <v>792</v>
      </c>
      <c r="Q41" s="116">
        <v>61557185</v>
      </c>
      <c r="R41" s="116">
        <v>90017272838</v>
      </c>
      <c r="S41" s="116">
        <v>1121536.76</v>
      </c>
      <c r="T41" s="130">
        <f t="shared" ref="T41" si="52">Q41/S41</f>
        <v>54.88646221457779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3937242.95</v>
      </c>
      <c r="G42" s="190">
        <f t="shared" ref="G42" si="53">F42/F41-1</f>
        <v>0.15129327470058951</v>
      </c>
      <c r="H42" s="190">
        <f t="shared" ref="H42" si="54">F42/F30-1</f>
        <v>0.12977014508471885</v>
      </c>
      <c r="I42" s="130">
        <f t="shared" si="0"/>
        <v>56.68539796866726</v>
      </c>
      <c r="J42" s="130">
        <f t="shared" si="4"/>
        <v>0.12549136779984638</v>
      </c>
      <c r="K42" s="194"/>
      <c r="L42" s="202"/>
      <c r="M42" s="202"/>
      <c r="N42" s="194"/>
      <c r="O42" s="194"/>
      <c r="P42" s="129" t="s">
        <v>826</v>
      </c>
      <c r="Q42" s="116">
        <v>78744859</v>
      </c>
      <c r="R42" s="116">
        <v>113975957158</v>
      </c>
      <c r="S42" s="116">
        <v>1389155.97</v>
      </c>
      <c r="T42" s="130">
        <f t="shared" ref="T42" si="55">Q42/S42</f>
        <v>56.68539796866726</v>
      </c>
      <c r="U42" s="175"/>
    </row>
    <row r="43" spans="1:21" s="92" customFormat="1" ht="13.2">
      <c r="A43" s="129" t="s">
        <v>835</v>
      </c>
      <c r="B43" s="188">
        <f>SUM(F41:F43)</f>
        <v>10908807.861111112</v>
      </c>
      <c r="C43" s="188">
        <f>AVERAGE(F41:F43)</f>
        <v>3636269.2870370373</v>
      </c>
      <c r="D43" s="190">
        <f>C43/C40-1</f>
        <v>7.5784377959417393E-2</v>
      </c>
      <c r="E43" s="287">
        <f>C43/C31-1</f>
        <v>6.7716265550539667E-2</v>
      </c>
      <c r="F43" s="136">
        <f>Q43/20</f>
        <v>3551721.3</v>
      </c>
      <c r="G43" s="190">
        <f t="shared" ref="G43" si="56">F43/F42-1</f>
        <v>-9.7916652565217088E-2</v>
      </c>
      <c r="H43" s="190">
        <f t="shared" ref="H43" si="57">F43/F31-1</f>
        <v>-0.11251970516400767</v>
      </c>
      <c r="I43" s="130">
        <f t="shared" si="0"/>
        <v>53.684537871133124</v>
      </c>
      <c r="J43" s="130">
        <f t="shared" si="4"/>
        <v>8.7490329150330393E-2</v>
      </c>
      <c r="K43" s="136">
        <f>R41+R42+R43</f>
        <v>306995489669</v>
      </c>
      <c r="L43" s="190">
        <f>U43/U40-1</f>
        <v>9.5066457089192369E-3</v>
      </c>
      <c r="M43" s="190">
        <f>K43/K31-1</f>
        <v>0.12267246935337917</v>
      </c>
      <c r="N43" s="191">
        <f>AVERAGE(T41:T43)</f>
        <v>55.085466018126056</v>
      </c>
      <c r="O43" s="192">
        <f>N43/N40-1</f>
        <v>5.512544519735374E-2</v>
      </c>
      <c r="P43" s="129" t="s">
        <v>835</v>
      </c>
      <c r="Q43" s="116">
        <v>71034426</v>
      </c>
      <c r="R43" s="116">
        <v>103002259673</v>
      </c>
      <c r="S43" s="116">
        <v>1323182.22</v>
      </c>
      <c r="T43" s="130">
        <f t="shared" ref="T43" si="58">Q43/S43</f>
        <v>53.684537871133124</v>
      </c>
      <c r="U43" s="85">
        <f>Q41+Q42+Q43</f>
        <v>211336470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3875806.2727272729</v>
      </c>
      <c r="G44" s="190">
        <f t="shared" ref="G44" si="59">F44/F43-1</f>
        <v>9.1247298240228814E-2</v>
      </c>
      <c r="H44" s="190">
        <f t="shared" ref="H44" si="60">F44/F32-1</f>
        <v>0.18025485746977554</v>
      </c>
      <c r="I44" s="130">
        <f t="shared" si="0"/>
        <v>41.232524346863016</v>
      </c>
      <c r="J44" s="130">
        <f t="shared" si="4"/>
        <v>-0.18343498109831957</v>
      </c>
      <c r="K44" s="136"/>
      <c r="L44" s="190"/>
      <c r="M44" s="190"/>
      <c r="N44" s="191"/>
      <c r="O44" s="192"/>
      <c r="P44" s="129" t="s">
        <v>843</v>
      </c>
      <c r="Q44" s="116">
        <v>85267738</v>
      </c>
      <c r="R44" s="116">
        <v>123532556421</v>
      </c>
      <c r="S44" s="116">
        <v>2067972.78</v>
      </c>
      <c r="T44" s="130">
        <f t="shared" ref="T44" si="61">Q44/S44</f>
        <v>41.232524346863016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4164325.7</v>
      </c>
      <c r="G45" s="190">
        <f t="shared" ref="G45" si="62">F45/F44-1</f>
        <v>7.4441137397124324E-2</v>
      </c>
      <c r="H45" s="190">
        <f t="shared" ref="H45" si="63">F45/F33-1</f>
        <v>0.35074584318329616</v>
      </c>
      <c r="I45" s="130">
        <f t="shared" si="0"/>
        <v>34.471838739443918</v>
      </c>
      <c r="J45" s="130">
        <f t="shared" si="4"/>
        <v>-0.38395177780117884</v>
      </c>
      <c r="K45" s="136"/>
      <c r="L45" s="190"/>
      <c r="M45" s="190"/>
      <c r="N45" s="191"/>
      <c r="O45" s="192"/>
      <c r="P45" s="129" t="s">
        <v>849</v>
      </c>
      <c r="Q45" s="116">
        <v>83286514</v>
      </c>
      <c r="R45" s="116">
        <v>116985708667</v>
      </c>
      <c r="S45" s="116">
        <v>2416074.02</v>
      </c>
      <c r="T45" s="130">
        <f t="shared" ref="T45" si="64">Q45/S45</f>
        <v>34.471838739443918</v>
      </c>
      <c r="U45" s="85"/>
    </row>
    <row r="46" spans="1:21" s="92" customFormat="1" ht="13.2">
      <c r="A46" s="129" t="s">
        <v>888</v>
      </c>
      <c r="B46" s="188">
        <f>SUM(F44:F46)</f>
        <v>12292005.604306221</v>
      </c>
      <c r="C46" s="188">
        <f>AVERAGE(F44:F46)</f>
        <v>4097335.2014354072</v>
      </c>
      <c r="D46" s="190">
        <f>C46/C43-1</f>
        <v>0.12679641632758809</v>
      </c>
      <c r="E46" s="287">
        <f>C46/C34-1</f>
        <v>0.20102641207782757</v>
      </c>
      <c r="F46" s="136">
        <f>Q46/19</f>
        <v>4251873.6315789474</v>
      </c>
      <c r="G46" s="190">
        <f t="shared" ref="G46" si="65">F46/F45-1</f>
        <v>2.1023315150144661E-2</v>
      </c>
      <c r="H46" s="190">
        <f t="shared" ref="H46" si="66">F46/F34-1</f>
        <v>9.9320417227277247E-2</v>
      </c>
      <c r="I46" s="130">
        <f t="shared" si="0"/>
        <v>42.222599889171008</v>
      </c>
      <c r="J46" s="130">
        <f t="shared" si="4"/>
        <v>-0.1422131160627953</v>
      </c>
      <c r="K46" s="136">
        <f>R44+R45+R46</f>
        <v>351181485231</v>
      </c>
      <c r="L46" s="190">
        <f>U46/U43-1</f>
        <v>0.17982405497735443</v>
      </c>
      <c r="M46" s="190">
        <f>K46/K34-1</f>
        <v>0.23942660482463096</v>
      </c>
      <c r="N46" s="191">
        <f>AVERAGE(T44:T46)</f>
        <v>39.308987658492647</v>
      </c>
      <c r="O46" s="192">
        <f>N46/N43-1</f>
        <v>-0.28640001619378341</v>
      </c>
      <c r="P46" s="129" t="s">
        <v>961</v>
      </c>
      <c r="Q46" s="116">
        <v>80785599</v>
      </c>
      <c r="R46" s="116">
        <v>110663220143</v>
      </c>
      <c r="S46" s="116">
        <v>1913326.02</v>
      </c>
      <c r="T46" s="130">
        <f t="shared" ref="T46" si="67">Q46/S46</f>
        <v>42.222599889171008</v>
      </c>
      <c r="U46" s="85">
        <f t="shared" ref="U46:U51" si="68">Q44+Q45+Q46</f>
        <v>249339851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3870616.8260869565</v>
      </c>
      <c r="G47" s="190">
        <f t="shared" ref="G47" si="69">F47/F46-1</f>
        <v>-8.9667953125504796E-2</v>
      </c>
      <c r="H47" s="190">
        <f t="shared" ref="H47" si="70">F47/F35-1</f>
        <v>0.40976238766474449</v>
      </c>
      <c r="I47" s="130">
        <f t="shared" si="0"/>
        <v>37.620813833808164</v>
      </c>
      <c r="J47" s="130">
        <f t="shared" si="4"/>
        <v>-0.36728748074132189</v>
      </c>
      <c r="K47" s="136"/>
      <c r="L47" s="190"/>
      <c r="M47" s="190"/>
      <c r="N47" s="191"/>
      <c r="O47" s="192"/>
      <c r="P47" s="129" t="s">
        <v>991</v>
      </c>
      <c r="Q47" s="116">
        <v>89024187</v>
      </c>
      <c r="R47" s="116">
        <v>122162745218</v>
      </c>
      <c r="S47" s="116">
        <v>2366354.63</v>
      </c>
      <c r="T47" s="130">
        <f t="shared" ref="T47" si="71">Q47/S47</f>
        <v>37.620813833808164</v>
      </c>
      <c r="U47" s="85">
        <f t="shared" si="68"/>
        <v>253096300</v>
      </c>
    </row>
    <row r="48" spans="1:21" s="92" customFormat="1" ht="13.2">
      <c r="A48" s="129" t="s">
        <v>1107</v>
      </c>
      <c r="B48" s="188"/>
      <c r="C48" s="188"/>
      <c r="D48" s="190"/>
      <c r="E48" s="287"/>
      <c r="F48" s="136">
        <f>Q48/20</f>
        <v>2555895.7000000002</v>
      </c>
      <c r="G48" s="190">
        <f t="shared" ref="G48" si="72">F48/F47-1</f>
        <v>-0.33966708283446601</v>
      </c>
      <c r="H48" s="190">
        <f t="shared" ref="H48" si="73">F48/F36-1</f>
        <v>4.446700041573326E-2</v>
      </c>
      <c r="I48" s="130">
        <f t="shared" si="0"/>
        <v>49.965028917169853</v>
      </c>
      <c r="J48" s="130">
        <f t="shared" si="4"/>
        <v>-0.25043931533994923</v>
      </c>
      <c r="K48" s="136"/>
      <c r="L48" s="190"/>
      <c r="M48" s="190"/>
      <c r="N48" s="191"/>
      <c r="O48" s="192"/>
      <c r="P48" s="129" t="s">
        <v>1070</v>
      </c>
      <c r="Q48" s="116">
        <v>51117914</v>
      </c>
      <c r="R48" s="116">
        <v>70900139640</v>
      </c>
      <c r="S48" s="116">
        <v>1023073.84</v>
      </c>
      <c r="T48" s="130">
        <f t="shared" ref="T48" si="74">Q48/S48</f>
        <v>49.965028917169853</v>
      </c>
      <c r="U48" s="85">
        <f t="shared" si="68"/>
        <v>220927700</v>
      </c>
    </row>
    <row r="49" spans="1:26" ht="13.2">
      <c r="A49" s="129" t="s">
        <v>1158</v>
      </c>
      <c r="B49" s="188">
        <f>SUM(F47:F49)</f>
        <v>9028576.3897233196</v>
      </c>
      <c r="C49" s="188">
        <f>AVERAGE(F47:F49)</f>
        <v>3009525.4632411064</v>
      </c>
      <c r="D49" s="190">
        <f>C49/C46-1</f>
        <v>-0.26549200509961002</v>
      </c>
      <c r="E49" s="287">
        <f>C49/C37-1</f>
        <v>0.14802674917924574</v>
      </c>
      <c r="F49" s="136">
        <f>Q49/22</f>
        <v>2602063.8636363638</v>
      </c>
      <c r="G49" s="190">
        <f t="shared" ref="G49" si="75">F49/F48-1</f>
        <v>1.8063398923658491E-2</v>
      </c>
      <c r="H49" s="190">
        <f t="shared" ref="H49" si="76">F49/F37-1</f>
        <v>-2.6089142606557258E-2</v>
      </c>
      <c r="I49" s="130">
        <f t="shared" si="0"/>
        <v>51.530003139936852</v>
      </c>
      <c r="J49" s="130">
        <f t="shared" si="4"/>
        <v>-0.15013128402897624</v>
      </c>
      <c r="K49" s="136">
        <f>R47+R48+R49</f>
        <v>272662971367</v>
      </c>
      <c r="L49" s="190">
        <f>U49/U46-1</f>
        <v>-0.20835957345623024</v>
      </c>
      <c r="M49" s="190">
        <f>K49/K37-1</f>
        <v>0.23017971370531676</v>
      </c>
      <c r="N49" s="191">
        <f>AVERAGE(T47:T49)</f>
        <v>46.371948630304956</v>
      </c>
      <c r="O49" s="192">
        <f>N49/N46-1</f>
        <v>0.17967801748479695</v>
      </c>
      <c r="P49" s="129" t="s">
        <v>1158</v>
      </c>
      <c r="Q49" s="116">
        <v>57245405</v>
      </c>
      <c r="R49" s="116">
        <v>79600086509</v>
      </c>
      <c r="S49" s="116">
        <v>1110914.06</v>
      </c>
      <c r="T49" s="130">
        <f t="shared" ref="T49" si="77">Q49/S49</f>
        <v>51.530003139936852</v>
      </c>
      <c r="U49" s="85">
        <f t="shared" si="68"/>
        <v>197387506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1700079.8333333333</v>
      </c>
      <c r="G50" s="190">
        <f t="shared" ref="G50" si="78">F50/F49-1</f>
        <v>-0.34664177267444729</v>
      </c>
      <c r="H50" s="190">
        <f t="shared" ref="H50" si="79">F50/F38-1</f>
        <v>-0.52783777775194896</v>
      </c>
      <c r="I50" s="130">
        <f t="shared" ref="I50" si="80">T50</f>
        <v>56.340039029662414</v>
      </c>
      <c r="J50" s="130">
        <f t="shared" ref="J50" si="81">I50/I38-1</f>
        <v>-5.3919593422807388E-2</v>
      </c>
      <c r="K50" s="136"/>
      <c r="L50" s="190"/>
      <c r="M50" s="190"/>
      <c r="N50" s="191"/>
      <c r="O50" s="192"/>
      <c r="P50" s="129" t="s">
        <v>1291</v>
      </c>
      <c r="Q50" s="116">
        <v>30601437</v>
      </c>
      <c r="R50" s="116">
        <v>43280355902</v>
      </c>
      <c r="S50" s="116">
        <v>543156.12</v>
      </c>
      <c r="T50" s="130">
        <f t="shared" ref="T50" si="82">Q50/S50</f>
        <v>56.340039029662414</v>
      </c>
      <c r="U50" s="85">
        <f t="shared" si="68"/>
        <v>138964756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2615104.4500000002</v>
      </c>
      <c r="G51" s="190">
        <f t="shared" ref="G51:G52" si="83">F51/F50-1</f>
        <v>0.53822449906519121</v>
      </c>
      <c r="H51" s="190">
        <f t="shared" ref="H51:H52" si="84">F51/F39-1</f>
        <v>-0.11770231756679539</v>
      </c>
      <c r="I51" s="130">
        <f t="shared" ref="I51:I52" si="85">T51</f>
        <v>47.154202897656987</v>
      </c>
      <c r="J51" s="130">
        <f t="shared" ref="J51:J52" si="86">I51/I39-1</f>
        <v>-7.2986401010946333E-2</v>
      </c>
      <c r="K51" s="136"/>
      <c r="L51" s="190"/>
      <c r="M51" s="190"/>
      <c r="N51" s="191"/>
      <c r="O51" s="192"/>
      <c r="P51" s="129" t="s">
        <v>1402</v>
      </c>
      <c r="Q51" s="116">
        <v>52302089</v>
      </c>
      <c r="R51" s="116">
        <v>75858882837</v>
      </c>
      <c r="S51" s="116">
        <v>1109171.31</v>
      </c>
      <c r="T51" s="130">
        <f t="shared" ref="T51:T52" si="87">Q51/S51</f>
        <v>47.154202897656987</v>
      </c>
      <c r="U51" s="85">
        <f t="shared" si="68"/>
        <v>140148931</v>
      </c>
    </row>
    <row r="52" spans="1:26" s="79" customFormat="1" ht="13.2">
      <c r="A52" s="129" t="s">
        <v>1403</v>
      </c>
      <c r="B52" s="188">
        <f>SUM(F50:F52)</f>
        <v>8049974.1015151516</v>
      </c>
      <c r="C52" s="188">
        <f>AVERAGE(F50:F52)</f>
        <v>2683324.7005050504</v>
      </c>
      <c r="D52" s="190">
        <f>C52/C49-1</f>
        <v>-0.10838943438769055</v>
      </c>
      <c r="E52" s="287">
        <f>C52/C40-1</f>
        <v>-0.20614273423403828</v>
      </c>
      <c r="F52" s="136">
        <f>Q52/22</f>
        <v>3734789.8181818184</v>
      </c>
      <c r="G52" s="190">
        <f t="shared" si="83"/>
        <v>0.42816085918932156</v>
      </c>
      <c r="H52" s="190">
        <f t="shared" si="84"/>
        <v>4.4482561530698739E-2</v>
      </c>
      <c r="I52" s="130">
        <f t="shared" si="85"/>
        <v>43.368497063100826</v>
      </c>
      <c r="J52" s="130">
        <f t="shared" si="86"/>
        <v>-6.1383850749175517E-2</v>
      </c>
      <c r="K52" s="136">
        <f>R50+R51+R52</f>
        <v>240067613179</v>
      </c>
      <c r="L52" s="190">
        <f>U52/U49-1</f>
        <v>-0.16373176121896993</v>
      </c>
      <c r="M52" s="190">
        <f>K52/K40-1</f>
        <v>-0.17422086854566565</v>
      </c>
      <c r="N52" s="191">
        <f>AVERAGE(T50:T52)</f>
        <v>48.954246330140073</v>
      </c>
      <c r="O52" s="192">
        <f>N52/N49-1</f>
        <v>5.5686633322705292E-2</v>
      </c>
      <c r="P52" s="129" t="s">
        <v>1403</v>
      </c>
      <c r="Q52" s="116">
        <v>82165376</v>
      </c>
      <c r="R52" s="116">
        <v>120928374440</v>
      </c>
      <c r="S52" s="116">
        <v>1894586.66</v>
      </c>
      <c r="T52" s="130">
        <f t="shared" si="87"/>
        <v>43.368497063100826</v>
      </c>
      <c r="U52" s="85">
        <f t="shared" ref="U52" si="88">Q50+Q51+Q52</f>
        <v>165068902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3965976.6190476189</v>
      </c>
      <c r="G53" s="190">
        <f t="shared" ref="G53" si="89">F53/F52-1</f>
        <v>6.1900886561361501E-2</v>
      </c>
      <c r="H53" s="190">
        <f t="shared" ref="H53" si="90">F53/F41-1</f>
        <v>0.15969531652328062</v>
      </c>
      <c r="I53" s="130">
        <f t="shared" ref="I53" si="91">T53</f>
        <v>39.567746309152589</v>
      </c>
      <c r="J53" s="130">
        <f t="shared" ref="J53" si="92">I53/I41-1</f>
        <v>-0.27909825642499808</v>
      </c>
      <c r="K53" s="136"/>
      <c r="L53" s="190"/>
      <c r="M53" s="190"/>
      <c r="N53" s="191"/>
      <c r="O53" s="192"/>
      <c r="P53" s="129" t="s">
        <v>1414</v>
      </c>
      <c r="Q53" s="116">
        <v>83285509</v>
      </c>
      <c r="R53" s="116">
        <v>121805675985</v>
      </c>
      <c r="S53" s="116">
        <v>2104883.8199999998</v>
      </c>
      <c r="T53" s="130">
        <f t="shared" ref="T53" si="93">Q53/S53</f>
        <v>39.567746309152589</v>
      </c>
      <c r="U53" s="85">
        <f t="shared" ref="U53" si="94">Q51+Q52+Q53</f>
        <v>217752974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4279645.2352941176</v>
      </c>
      <c r="G54" s="190">
        <f t="shared" ref="G54" si="95">F54/F53-1</f>
        <v>7.9089880343727881E-2</v>
      </c>
      <c r="H54" s="190">
        <f t="shared" ref="H54" si="96">F54/F42-1</f>
        <v>8.6964987846156916E-2</v>
      </c>
      <c r="I54" s="130">
        <f t="shared" ref="I54" si="97">T54</f>
        <v>36.934906390553294</v>
      </c>
      <c r="J54" s="130">
        <f t="shared" ref="J54" si="98">I54/I42-1</f>
        <v>-0.34842291464604358</v>
      </c>
      <c r="K54" s="136"/>
      <c r="L54" s="190"/>
      <c r="M54" s="190"/>
      <c r="N54" s="191"/>
      <c r="O54" s="192"/>
      <c r="P54" s="129" t="s">
        <v>1417</v>
      </c>
      <c r="Q54" s="116">
        <v>72753969</v>
      </c>
      <c r="R54" s="116">
        <v>105317827547</v>
      </c>
      <c r="S54" s="116">
        <v>1969788.91</v>
      </c>
      <c r="T54" s="130">
        <f t="shared" ref="T54" si="99">Q54/S54</f>
        <v>36.934906390553294</v>
      </c>
      <c r="U54" s="85">
        <f t="shared" ref="U54" si="100">Q52+Q53+Q54</f>
        <v>238204854</v>
      </c>
    </row>
    <row r="55" spans="1:26" s="79" customFormat="1" ht="13.2">
      <c r="A55" s="129" t="s">
        <v>1418</v>
      </c>
      <c r="B55" s="188">
        <f>SUM(F53:F55)</f>
        <v>12571806.473389355</v>
      </c>
      <c r="C55" s="188">
        <f>AVERAGE(F53:F55)</f>
        <v>4190602.1577964518</v>
      </c>
      <c r="D55" s="190">
        <f>C55/C52-1</f>
        <v>0.5617201142328041</v>
      </c>
      <c r="E55" s="287">
        <f>C55/C43-1</f>
        <v>0.15244549481952818</v>
      </c>
      <c r="F55" s="136">
        <f>Q55/21</f>
        <v>4326184.6190476194</v>
      </c>
      <c r="G55" s="190">
        <f t="shared" ref="G55" si="101">F55/F54-1</f>
        <v>1.0874589176152361E-2</v>
      </c>
      <c r="H55" s="190">
        <f t="shared" ref="H55" si="102">F55/F43-1</f>
        <v>0.21805295337999064</v>
      </c>
      <c r="I55" s="130">
        <f>T55</f>
        <v>36.859385647295262</v>
      </c>
      <c r="J55" s="130">
        <f t="shared" ref="J55" si="103">I55/I43-1</f>
        <v>-0.31340778725199692</v>
      </c>
      <c r="K55" s="136">
        <f>R53+R54+R55</f>
        <v>360174886931</v>
      </c>
      <c r="L55" s="190">
        <f>U55/U52-1</f>
        <v>0.49567454565124569</v>
      </c>
      <c r="M55" s="190">
        <f>K55/K43-1</f>
        <v>0.17322533734726075</v>
      </c>
      <c r="N55" s="191">
        <f>AVERAGE(T53:T55)</f>
        <v>37.787346115667049</v>
      </c>
      <c r="O55" s="192">
        <f>N55/N52-1</f>
        <v>-0.2281089190744584</v>
      </c>
      <c r="P55" s="129" t="s">
        <v>1418</v>
      </c>
      <c r="Q55" s="116">
        <v>90849877</v>
      </c>
      <c r="R55" s="116">
        <v>133051383399</v>
      </c>
      <c r="S55" s="116">
        <v>2464769.16</v>
      </c>
      <c r="T55" s="130">
        <f t="shared" ref="T55" si="104">Q55/S55</f>
        <v>36.859385647295262</v>
      </c>
      <c r="U55" s="85">
        <f t="shared" ref="U55" si="105">Q53+Q54+Q55</f>
        <v>246889355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3998583.6818181816</v>
      </c>
      <c r="G56" s="190">
        <f t="shared" ref="G56" si="106">F56/F55-1</f>
        <v>-7.5725140297308147E-2</v>
      </c>
      <c r="H56" s="190">
        <f t="shared" ref="H56" si="107">F56/F44-1</f>
        <v>3.1677901435593236E-2</v>
      </c>
      <c r="I56" s="291">
        <f>T56</f>
        <v>35.351251865323512</v>
      </c>
      <c r="J56" s="130">
        <f t="shared" ref="J56" si="108">I56/I44-1</f>
        <v>-0.14263673094725171</v>
      </c>
      <c r="K56" s="136"/>
      <c r="L56" s="190"/>
      <c r="M56" s="190"/>
      <c r="N56" s="191"/>
      <c r="O56" s="192"/>
      <c r="P56" s="129" t="s">
        <v>1420</v>
      </c>
      <c r="Q56" s="116">
        <v>87968841</v>
      </c>
      <c r="R56" s="116">
        <v>131466306803</v>
      </c>
      <c r="S56" s="116">
        <v>2488422.23</v>
      </c>
      <c r="T56" s="130">
        <f t="shared" ref="T56" si="109">Q56/S56</f>
        <v>35.351251865323512</v>
      </c>
      <c r="U56" s="85">
        <f t="shared" ref="U56" si="110">Q54+Q55+Q56</f>
        <v>251572687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2836389.0833333335</v>
      </c>
      <c r="G57" s="254">
        <f t="shared" ref="G57" si="111">F57/F56-1</f>
        <v>-0.29065156339466447</v>
      </c>
      <c r="H57" s="254">
        <f t="shared" ref="H57" si="112">F57/F45-1</f>
        <v>-0.31888394720582658</v>
      </c>
      <c r="I57" s="282">
        <f>T57</f>
        <v>38.919716432741694</v>
      </c>
      <c r="J57" s="277">
        <f t="shared" ref="J57" si="113">I57/I45-1</f>
        <v>0.12902931366432613</v>
      </c>
      <c r="K57" s="204"/>
      <c r="L57" s="254"/>
      <c r="M57" s="254"/>
      <c r="N57" s="257"/>
      <c r="O57" s="258"/>
      <c r="P57" s="129" t="s">
        <v>1436</v>
      </c>
      <c r="Q57" s="116">
        <v>34036669</v>
      </c>
      <c r="R57" s="116">
        <v>50155387593</v>
      </c>
      <c r="S57" s="116">
        <v>874535.38</v>
      </c>
      <c r="T57" s="130">
        <f t="shared" ref="T57" si="114">Q57/S57</f>
        <v>38.919716432741694</v>
      </c>
      <c r="U57" s="85">
        <f t="shared" ref="U57" si="115">Q55+Q56+Q57</f>
        <v>212855387</v>
      </c>
    </row>
    <row r="58" spans="1:26">
      <c r="B58" s="196">
        <f>SUM(F56:F58)</f>
        <v>6834972.7651515156</v>
      </c>
      <c r="C58" s="196">
        <f>AVERAGE(F56:F58)</f>
        <v>3417486.3825757578</v>
      </c>
      <c r="D58" s="197">
        <f>C58/C55-1</f>
        <v>-0.18448799148884665</v>
      </c>
      <c r="E58" s="233">
        <f>C58/C46-1</f>
        <v>-0.1659246279439085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368894865</v>
      </c>
      <c r="R64" s="212">
        <v>541796581327</v>
      </c>
      <c r="S64" s="213">
        <v>9902399.5199999996</v>
      </c>
    </row>
    <row r="65" spans="16:19" ht="18" thickBot="1">
      <c r="P65" s="180" t="s">
        <v>976</v>
      </c>
      <c r="Q65" s="181">
        <v>83285509</v>
      </c>
      <c r="R65" s="181">
        <v>121805675985</v>
      </c>
      <c r="S65" s="182">
        <v>2104883.8199999998</v>
      </c>
    </row>
    <row r="66" spans="16:19" ht="18" thickBot="1">
      <c r="P66" s="180" t="s">
        <v>977</v>
      </c>
      <c r="Q66" s="181">
        <v>72753969</v>
      </c>
      <c r="R66" s="181">
        <v>105317827547</v>
      </c>
      <c r="S66" s="182">
        <v>1969788.91</v>
      </c>
    </row>
    <row r="67" spans="16:19" ht="18" thickBot="1">
      <c r="P67" s="180" t="s">
        <v>978</v>
      </c>
      <c r="Q67" s="181">
        <v>90849877</v>
      </c>
      <c r="R67" s="181">
        <v>133051383399</v>
      </c>
      <c r="S67" s="182">
        <v>2464769.16</v>
      </c>
    </row>
    <row r="68" spans="16:19" ht="18" thickBot="1">
      <c r="P68" s="180" t="s">
        <v>979</v>
      </c>
      <c r="Q68" s="181">
        <v>87968841</v>
      </c>
      <c r="R68" s="181">
        <v>131466306803</v>
      </c>
      <c r="S68" s="182">
        <v>2488422.23</v>
      </c>
    </row>
    <row r="69" spans="16:19" ht="18" thickBot="1">
      <c r="P69" s="180" t="s">
        <v>980</v>
      </c>
      <c r="Q69" s="181">
        <v>34036669</v>
      </c>
      <c r="R69" s="181">
        <v>50155387593</v>
      </c>
      <c r="S69" s="182">
        <v>874535.38</v>
      </c>
    </row>
    <row r="70" spans="16:19" ht="18" thickBot="1">
      <c r="P70" s="180" t="s">
        <v>975</v>
      </c>
      <c r="Q70" s="181">
        <v>823122198</v>
      </c>
      <c r="R70" s="181">
        <v>1170892457005</v>
      </c>
      <c r="S70" s="182">
        <v>18278269.620000001</v>
      </c>
    </row>
    <row r="71" spans="16:19" ht="18" thickBot="1">
      <c r="P71" s="180" t="s">
        <v>982</v>
      </c>
      <c r="Q71" s="181">
        <v>783246235</v>
      </c>
      <c r="R71" s="181">
        <v>1066035496094</v>
      </c>
      <c r="S71" s="182">
        <v>14712359.449999999</v>
      </c>
    </row>
    <row r="72" spans="16:19" ht="18" thickBot="1">
      <c r="P72" s="215" t="s">
        <v>1386</v>
      </c>
      <c r="Q72" s="217" t="s">
        <v>1500</v>
      </c>
      <c r="R72"/>
      <c r="S72"/>
    </row>
  </sheetData>
  <phoneticPr fontId="1" type="noConversion"/>
  <conditionalFormatting sqref="C29:C30">
    <cfRule type="cellIs" dxfId="1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5"/>
  <dimension ref="A1:Z70"/>
  <sheetViews>
    <sheetView topLeftCell="A42" zoomScale="115" zoomScaleNormal="115" workbookViewId="0">
      <selection activeCell="D69" sqref="D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3002150000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276</v>
      </c>
      <c r="F4" s="84" t="s">
        <v>73</v>
      </c>
      <c r="G4" s="172" t="s">
        <v>282</v>
      </c>
      <c r="H4" s="172" t="s">
        <v>276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6911523.7000000002</v>
      </c>
      <c r="G5" s="90"/>
      <c r="H5" s="90"/>
      <c r="I5" s="130">
        <f t="shared" ref="I5:I49" si="0">T5</f>
        <v>199.40071800457099</v>
      </c>
      <c r="J5" s="130"/>
      <c r="L5" s="80"/>
      <c r="M5" s="80"/>
      <c r="P5" s="129" t="s">
        <v>0</v>
      </c>
      <c r="Q5" s="116">
        <v>138230474</v>
      </c>
      <c r="R5" s="116">
        <v>163005396374</v>
      </c>
      <c r="S5" s="116">
        <v>693229.57</v>
      </c>
      <c r="T5" s="130">
        <f t="shared" ref="T5:T17" si="1">Q5/S5</f>
        <v>199.40071800457099</v>
      </c>
      <c r="U5" s="85"/>
    </row>
    <row r="6" spans="1:21" ht="15" hidden="1" customHeight="1">
      <c r="A6" s="129" t="s">
        <v>1</v>
      </c>
      <c r="C6" s="79"/>
      <c r="F6" s="78">
        <f>Q6/18</f>
        <v>5954706.555555556</v>
      </c>
      <c r="G6" s="90">
        <f t="shared" ref="G6:G16" si="2">F6/F5-1</f>
        <v>-0.13843794595458658</v>
      </c>
      <c r="H6" s="90"/>
      <c r="I6" s="130">
        <f t="shared" si="0"/>
        <v>224.44686689902463</v>
      </c>
      <c r="J6" s="130"/>
      <c r="P6" s="129" t="s">
        <v>1</v>
      </c>
      <c r="Q6" s="116">
        <v>107184718</v>
      </c>
      <c r="R6" s="116">
        <v>127383764434</v>
      </c>
      <c r="S6" s="116">
        <v>477550.52</v>
      </c>
      <c r="T6" s="130">
        <f t="shared" si="1"/>
        <v>224.44686689902463</v>
      </c>
      <c r="U6" s="85"/>
    </row>
    <row r="7" spans="1:21" ht="15" hidden="1" customHeight="1">
      <c r="A7" s="129" t="s">
        <v>2</v>
      </c>
      <c r="B7" s="131">
        <f>F5+F6+F7</f>
        <v>21163874.937373735</v>
      </c>
      <c r="C7" s="131">
        <f>AVERAGE(F5:F7)</f>
        <v>7054624.9791245786</v>
      </c>
      <c r="F7" s="78">
        <f>Q7/22</f>
        <v>8297644.6818181816</v>
      </c>
      <c r="G7" s="90">
        <f t="shared" si="2"/>
        <v>0.39345987991242604</v>
      </c>
      <c r="H7" s="90"/>
      <c r="I7" s="130">
        <f t="shared" si="0"/>
        <v>374.60582476711107</v>
      </c>
      <c r="J7" s="130"/>
      <c r="K7" s="79">
        <f>R5+R6+R7</f>
        <v>509514663367</v>
      </c>
      <c r="N7" s="88">
        <f>AVERAGE(T5:T7)</f>
        <v>266.1511365569022</v>
      </c>
      <c r="P7" s="129" t="s">
        <v>2</v>
      </c>
      <c r="Q7" s="116">
        <v>182548183</v>
      </c>
      <c r="R7" s="116">
        <v>219125502559</v>
      </c>
      <c r="S7" s="116">
        <v>487307.38</v>
      </c>
      <c r="T7" s="130">
        <f t="shared" si="1"/>
        <v>374.60582476711107</v>
      </c>
      <c r="U7" s="85">
        <f>Q5+Q6+Q7</f>
        <v>427963375</v>
      </c>
    </row>
    <row r="8" spans="1:21" ht="15" hidden="1" customHeight="1">
      <c r="A8" s="129" t="s">
        <v>3</v>
      </c>
      <c r="C8" s="79"/>
      <c r="F8" s="78">
        <f>Q8/21</f>
        <v>2703319.1428571427</v>
      </c>
      <c r="G8" s="90">
        <f t="shared" si="2"/>
        <v>-0.6742064469474498</v>
      </c>
      <c r="H8" s="90"/>
      <c r="I8" s="130">
        <f t="shared" si="0"/>
        <v>280.18549097447072</v>
      </c>
      <c r="J8" s="130"/>
      <c r="K8" s="78"/>
      <c r="P8" s="129" t="s">
        <v>3</v>
      </c>
      <c r="Q8" s="116">
        <v>56769702</v>
      </c>
      <c r="R8" s="116">
        <v>68782876156</v>
      </c>
      <c r="S8" s="116">
        <v>202614.71</v>
      </c>
      <c r="T8" s="130">
        <f t="shared" si="1"/>
        <v>280.18549097447072</v>
      </c>
      <c r="U8" s="85"/>
    </row>
    <row r="9" spans="1:21" ht="15" hidden="1" customHeight="1">
      <c r="A9" s="129" t="s">
        <v>4</v>
      </c>
      <c r="C9" s="79"/>
      <c r="F9" s="78">
        <f>Q9/21</f>
        <v>3830568.4285714286</v>
      </c>
      <c r="G9" s="90">
        <f t="shared" si="2"/>
        <v>0.41698712809871719</v>
      </c>
      <c r="H9" s="90"/>
      <c r="I9" s="130">
        <f t="shared" si="0"/>
        <v>230.90941788632264</v>
      </c>
      <c r="J9" s="130"/>
      <c r="K9" s="78"/>
      <c r="P9" s="129" t="s">
        <v>4</v>
      </c>
      <c r="Q9" s="116">
        <v>80441937</v>
      </c>
      <c r="R9" s="116">
        <v>101240289084</v>
      </c>
      <c r="S9" s="116">
        <v>348370.1</v>
      </c>
      <c r="T9" s="130">
        <f t="shared" si="1"/>
        <v>230.90941788632264</v>
      </c>
      <c r="U9" s="85"/>
    </row>
    <row r="10" spans="1:21" ht="15" hidden="1" customHeight="1">
      <c r="A10" s="129" t="s">
        <v>5</v>
      </c>
      <c r="B10" s="131">
        <f>F8+F9+F10</f>
        <v>13149036.047619047</v>
      </c>
      <c r="C10" s="131">
        <f>AVERAGE(F8:F10)</f>
        <v>4383012.0158730159</v>
      </c>
      <c r="D10" s="90">
        <f>C10/C7-1</f>
        <v>-0.37870375408432955</v>
      </c>
      <c r="E10" s="286"/>
      <c r="F10" s="78">
        <f>Q10/21</f>
        <v>6615148.4761904757</v>
      </c>
      <c r="G10" s="90">
        <f t="shared" si="2"/>
        <v>0.72693651074066001</v>
      </c>
      <c r="H10" s="90"/>
      <c r="I10" s="130">
        <f t="shared" si="0"/>
        <v>1129.7299890855804</v>
      </c>
      <c r="J10" s="130"/>
      <c r="K10" s="79">
        <f>R8+R9+R10</f>
        <v>344770693586</v>
      </c>
      <c r="L10" s="87">
        <f>U10/U7-1</f>
        <v>-0.35478180346624288</v>
      </c>
      <c r="N10" s="88">
        <f>AVERAGE(T8:T10)</f>
        <v>546.94163264879126</v>
      </c>
      <c r="O10" s="89">
        <f>N10/N7-1</f>
        <v>1.0550039339465944</v>
      </c>
      <c r="P10" s="129" t="s">
        <v>5</v>
      </c>
      <c r="Q10" s="116">
        <v>138918118</v>
      </c>
      <c r="R10" s="116">
        <v>174747528346</v>
      </c>
      <c r="S10" s="116">
        <v>122965.77</v>
      </c>
      <c r="T10" s="130">
        <f t="shared" si="1"/>
        <v>1129.7299890855804</v>
      </c>
      <c r="U10" s="85">
        <f>Q8+Q9+Q10</f>
        <v>276129757</v>
      </c>
    </row>
    <row r="11" spans="1:21" ht="15" hidden="1" customHeight="1">
      <c r="A11" s="129" t="s">
        <v>6</v>
      </c>
      <c r="C11" s="79"/>
      <c r="F11" s="78">
        <f>Q11/21</f>
        <v>3285645.5714285714</v>
      </c>
      <c r="G11" s="90">
        <f t="shared" si="2"/>
        <v>-0.50331491677709028</v>
      </c>
      <c r="H11" s="90"/>
      <c r="I11" s="130">
        <f t="shared" si="0"/>
        <v>1722.0708459787559</v>
      </c>
      <c r="J11" s="130"/>
      <c r="K11" s="78"/>
      <c r="O11" s="89"/>
      <c r="P11" s="129" t="s">
        <v>6</v>
      </c>
      <c r="Q11" s="116">
        <v>68998557</v>
      </c>
      <c r="R11" s="116">
        <v>88972977655</v>
      </c>
      <c r="S11" s="116">
        <v>40067.199999999997</v>
      </c>
      <c r="T11" s="130">
        <f t="shared" si="1"/>
        <v>1722.0708459787559</v>
      </c>
      <c r="U11" s="85"/>
    </row>
    <row r="12" spans="1:21" ht="15" hidden="1" customHeight="1">
      <c r="A12" s="129" t="s">
        <v>7</v>
      </c>
      <c r="C12" s="79"/>
      <c r="F12" s="78">
        <f>Q12/22</f>
        <v>4956108</v>
      </c>
      <c r="G12" s="90">
        <f t="shared" si="2"/>
        <v>0.50841224114295613</v>
      </c>
      <c r="H12" s="90"/>
      <c r="I12" s="130">
        <f t="shared" si="0"/>
        <v>2581.7842223631365</v>
      </c>
      <c r="J12" s="130"/>
      <c r="K12" s="78"/>
      <c r="O12" s="89"/>
      <c r="P12" s="129" t="s">
        <v>7</v>
      </c>
      <c r="Q12" s="116">
        <v>109034376</v>
      </c>
      <c r="R12" s="116">
        <v>141682819801</v>
      </c>
      <c r="S12" s="116">
        <v>42232.18</v>
      </c>
      <c r="T12" s="130">
        <f t="shared" si="1"/>
        <v>2581.7842223631365</v>
      </c>
      <c r="U12" s="85"/>
    </row>
    <row r="13" spans="1:21" ht="15" hidden="1" customHeight="1">
      <c r="A13" s="129" t="s">
        <v>96</v>
      </c>
      <c r="B13" s="131">
        <f>F11+F12+F13</f>
        <v>13598184.621428572</v>
      </c>
      <c r="C13" s="131">
        <f>AVERAGE(F11:F13)</f>
        <v>4532728.2071428569</v>
      </c>
      <c r="D13" s="90">
        <f>C13/C10-1</f>
        <v>3.4158289032210298E-2</v>
      </c>
      <c r="E13" s="286"/>
      <c r="F13" s="78">
        <f>Q13/20</f>
        <v>5356431.05</v>
      </c>
      <c r="G13" s="90">
        <f t="shared" si="2"/>
        <v>8.0773673616474806E-2</v>
      </c>
      <c r="H13" s="90"/>
      <c r="I13" s="130">
        <f t="shared" si="0"/>
        <v>2032.1872595602999</v>
      </c>
      <c r="J13" s="130"/>
      <c r="K13" s="78">
        <f>R11+R12+R13</f>
        <v>376542731902</v>
      </c>
      <c r="L13" s="87">
        <f>U13/U10-1</f>
        <v>3.2708524782426807E-2</v>
      </c>
      <c r="N13" s="88">
        <f>AVERAGE(T11:T13)</f>
        <v>2112.014109300731</v>
      </c>
      <c r="O13" s="89">
        <f>N13/N10-1</f>
        <v>2.8614981621940689</v>
      </c>
      <c r="P13" s="129" t="s">
        <v>96</v>
      </c>
      <c r="Q13" s="116">
        <v>107128621</v>
      </c>
      <c r="R13" s="116">
        <v>145886934446</v>
      </c>
      <c r="S13" s="116">
        <v>52715.92</v>
      </c>
      <c r="T13" s="130">
        <f t="shared" si="1"/>
        <v>2032.1872595602999</v>
      </c>
      <c r="U13" s="85">
        <f>Q11+Q12+Q13</f>
        <v>285161554</v>
      </c>
    </row>
    <row r="14" spans="1:21" ht="15" hidden="1" customHeight="1">
      <c r="A14" s="129" t="s">
        <v>97</v>
      </c>
      <c r="C14" s="79"/>
      <c r="F14" s="78">
        <f>Q14/20</f>
        <v>2672612.9</v>
      </c>
      <c r="G14" s="90">
        <f t="shared" si="2"/>
        <v>-0.50104596231104293</v>
      </c>
      <c r="H14" s="90"/>
      <c r="I14" s="130">
        <f t="shared" si="0"/>
        <v>1694.4726386722236</v>
      </c>
      <c r="J14" s="130"/>
      <c r="O14" s="89"/>
      <c r="P14" s="129" t="s">
        <v>97</v>
      </c>
      <c r="Q14" s="116">
        <v>53452258</v>
      </c>
      <c r="R14" s="116">
        <v>76274804609</v>
      </c>
      <c r="S14" s="116">
        <v>31545.07</v>
      </c>
      <c r="T14" s="130">
        <f t="shared" si="1"/>
        <v>1694.4726386722236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3880656.6363636362</v>
      </c>
      <c r="G15" s="90">
        <f t="shared" si="2"/>
        <v>0.45200849564246148</v>
      </c>
      <c r="H15" s="90"/>
      <c r="I15" s="130">
        <f t="shared" si="0"/>
        <v>2103.8905038329867</v>
      </c>
      <c r="J15" s="130"/>
      <c r="O15" s="89"/>
      <c r="P15" s="129" t="s">
        <v>98</v>
      </c>
      <c r="Q15" s="116">
        <v>85374446</v>
      </c>
      <c r="R15" s="116">
        <v>117297547963</v>
      </c>
      <c r="S15" s="116">
        <v>40579.32</v>
      </c>
      <c r="T15" s="130">
        <f t="shared" si="1"/>
        <v>2103.8905038329867</v>
      </c>
      <c r="U15" s="85"/>
    </row>
    <row r="16" spans="1:21" ht="15" hidden="1" customHeight="1">
      <c r="A16" s="129" t="s">
        <v>99</v>
      </c>
      <c r="B16" s="131">
        <f>F14+F15+F16</f>
        <v>11764171.127272727</v>
      </c>
      <c r="C16" s="131">
        <f>AVERAGE(F14:F16)</f>
        <v>3921390.3757575755</v>
      </c>
      <c r="D16" s="90">
        <f>C16/C13-1</f>
        <v>-0.13487193660142927</v>
      </c>
      <c r="E16" s="286"/>
      <c r="F16" s="78">
        <f>Q16/22</f>
        <v>5210901.5909090908</v>
      </c>
      <c r="G16" s="90">
        <f t="shared" si="2"/>
        <v>0.34278862553321865</v>
      </c>
      <c r="H16" s="90"/>
      <c r="I16" s="130">
        <f t="shared" si="0"/>
        <v>1985.0349035229051</v>
      </c>
      <c r="J16" s="130"/>
      <c r="K16" s="78">
        <f>R14+R15+R16</f>
        <v>344397707619</v>
      </c>
      <c r="L16" s="87">
        <f>U16/U13-1</f>
        <v>-0.11114757426241262</v>
      </c>
      <c r="N16" s="88">
        <f>AVERAGE(T14:T16)</f>
        <v>1927.7993486760386</v>
      </c>
      <c r="O16" s="89">
        <f>N16/N13-1</f>
        <v>-8.7222315330878319E-2</v>
      </c>
      <c r="P16" s="129" t="s">
        <v>99</v>
      </c>
      <c r="Q16" s="116">
        <v>114639835</v>
      </c>
      <c r="R16" s="116">
        <v>150825355047</v>
      </c>
      <c r="S16" s="116">
        <v>57752.05</v>
      </c>
      <c r="T16" s="130">
        <f t="shared" si="1"/>
        <v>1985.0349035229051</v>
      </c>
      <c r="U16" s="85">
        <f>Q14+Q15+Q16</f>
        <v>253466539</v>
      </c>
    </row>
    <row r="17" spans="1:21" ht="15" hidden="1" customHeight="1">
      <c r="A17" s="129" t="s">
        <v>100</v>
      </c>
      <c r="C17" s="79"/>
      <c r="F17" s="78">
        <f>Q17/20</f>
        <v>6628682.1500000004</v>
      </c>
      <c r="G17" s="90">
        <f t="shared" ref="G17:G22" si="3">F17/F16-1</f>
        <v>0.27207970335965692</v>
      </c>
      <c r="H17" s="90">
        <f t="shared" ref="H17:H22" si="4">F17/F5-1</f>
        <v>-4.0923183118072748E-2</v>
      </c>
      <c r="I17" s="130">
        <f t="shared" si="0"/>
        <v>2636.3664800692036</v>
      </c>
      <c r="J17" s="130">
        <f t="shared" ref="J17:J49" si="5">I17/I5-1</f>
        <v>12.221449282889585</v>
      </c>
      <c r="O17" s="89"/>
      <c r="P17" s="129" t="s">
        <v>100</v>
      </c>
      <c r="Q17" s="116">
        <v>132573643</v>
      </c>
      <c r="R17" s="116">
        <v>166095206315</v>
      </c>
      <c r="S17" s="116">
        <v>50286.5</v>
      </c>
      <c r="T17" s="130">
        <f t="shared" si="1"/>
        <v>2636.3664800692036</v>
      </c>
      <c r="U17" s="78"/>
    </row>
    <row r="18" spans="1:21" hidden="1">
      <c r="A18" s="129" t="s">
        <v>106</v>
      </c>
      <c r="C18" s="79"/>
      <c r="F18" s="78">
        <f>Q18/20</f>
        <v>4596094.4000000004</v>
      </c>
      <c r="G18" s="90">
        <f t="shared" si="3"/>
        <v>-0.30663527138648516</v>
      </c>
      <c r="H18" s="90">
        <f t="shared" si="4"/>
        <v>-0.22815770061549256</v>
      </c>
      <c r="I18" s="130">
        <f t="shared" si="0"/>
        <v>1108.2012076878555</v>
      </c>
      <c r="J18" s="130">
        <f t="shared" si="5"/>
        <v>3.9374768425099873</v>
      </c>
      <c r="O18" s="89"/>
      <c r="P18" s="129" t="s">
        <v>106</v>
      </c>
      <c r="Q18" s="116">
        <v>91921888</v>
      </c>
      <c r="R18" s="116">
        <v>114811140431</v>
      </c>
      <c r="S18" s="116">
        <v>82946.929999999993</v>
      </c>
      <c r="T18" s="130">
        <f t="shared" ref="T18" si="6">Q18/S18</f>
        <v>1108.2012076878555</v>
      </c>
      <c r="U18" s="78"/>
    </row>
    <row r="19" spans="1:21" hidden="1">
      <c r="A19" s="129" t="s">
        <v>114</v>
      </c>
      <c r="B19" s="131">
        <f>SUM(F17:F19)</f>
        <v>17769217.777272727</v>
      </c>
      <c r="C19" s="131">
        <f>AVERAGE(F17:F19)</f>
        <v>5923072.5924242428</v>
      </c>
      <c r="D19" s="90">
        <f>C19/C16-1</f>
        <v>0.51045216743562838</v>
      </c>
      <c r="E19" s="286">
        <f>C19/C7-1</f>
        <v>-0.16039865904264583</v>
      </c>
      <c r="F19" s="78">
        <f>Q19/22</f>
        <v>6544441.2272727275</v>
      </c>
      <c r="G19" s="90">
        <f t="shared" si="3"/>
        <v>0.42391357916250083</v>
      </c>
      <c r="H19" s="90">
        <f t="shared" si="4"/>
        <v>-0.21128929012676068</v>
      </c>
      <c r="I19" s="130">
        <f t="shared" si="0"/>
        <v>1351.8948472342945</v>
      </c>
      <c r="J19" s="130">
        <f t="shared" si="5"/>
        <v>2.6088463068473504</v>
      </c>
      <c r="K19" s="78">
        <f>R17+R18+R19</f>
        <v>469227343426</v>
      </c>
      <c r="L19" s="87">
        <f>U19/U16-1</f>
        <v>0.45373523248368497</v>
      </c>
      <c r="M19" s="87">
        <f>U19/U7-1</f>
        <v>-0.13900754240944102</v>
      </c>
      <c r="N19" s="88">
        <f>AVERAGE(T17:T19)</f>
        <v>1698.8208449971178</v>
      </c>
      <c r="O19" s="89">
        <f>N19/N16-1</f>
        <v>-0.11877714547220752</v>
      </c>
      <c r="P19" s="129" t="s">
        <v>115</v>
      </c>
      <c r="Q19" s="116">
        <v>143977707</v>
      </c>
      <c r="R19" s="116">
        <v>188320996680</v>
      </c>
      <c r="S19" s="116">
        <v>106500.67</v>
      </c>
      <c r="T19" s="130">
        <f t="shared" ref="T19" si="7">Q19/S19</f>
        <v>1351.8948472342945</v>
      </c>
      <c r="U19" s="85">
        <f>Q17+Q18+Q19</f>
        <v>368473238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4938178.6500000004</v>
      </c>
      <c r="G20" s="90">
        <f t="shared" si="3"/>
        <v>-0.24543922414322095</v>
      </c>
      <c r="H20" s="90">
        <f t="shared" si="4"/>
        <v>0.8267094593873332</v>
      </c>
      <c r="I20" s="130">
        <f t="shared" si="0"/>
        <v>1842.7363346061238</v>
      </c>
      <c r="J20" s="130">
        <f t="shared" si="5"/>
        <v>5.5768442477059805</v>
      </c>
      <c r="O20" s="89"/>
      <c r="P20" s="129" t="s">
        <v>132</v>
      </c>
      <c r="Q20" s="116">
        <v>98763573</v>
      </c>
      <c r="R20" s="116">
        <v>129419526946</v>
      </c>
      <c r="S20" s="116">
        <v>53596.15</v>
      </c>
      <c r="T20" s="130">
        <f t="shared" ref="T20" si="8">Q20/S20</f>
        <v>1842.7363346061238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5553993.2857142854</v>
      </c>
      <c r="G21" s="90">
        <f t="shared" si="3"/>
        <v>0.12470481109756637</v>
      </c>
      <c r="H21" s="90">
        <f t="shared" si="4"/>
        <v>0.44991360663033264</v>
      </c>
      <c r="I21" s="130">
        <f t="shared" si="0"/>
        <v>2323.907218937175</v>
      </c>
      <c r="J21" s="130">
        <f t="shared" si="5"/>
        <v>9.0641508701097724</v>
      </c>
      <c r="O21" s="89"/>
      <c r="P21" s="129" t="s">
        <v>141</v>
      </c>
      <c r="Q21" s="116">
        <v>116633859</v>
      </c>
      <c r="R21" s="116">
        <v>155222438258</v>
      </c>
      <c r="S21" s="116">
        <v>50188.69</v>
      </c>
      <c r="T21" s="130">
        <f t="shared" ref="T21" si="9">Q21/S21</f>
        <v>2323.907218937175</v>
      </c>
      <c r="U21" s="78"/>
    </row>
    <row r="22" spans="1:21" hidden="1">
      <c r="A22" s="129" t="s">
        <v>156</v>
      </c>
      <c r="B22" s="131">
        <f>SUM(F20:F22)</f>
        <v>19021267.364285715</v>
      </c>
      <c r="C22" s="131">
        <f>AVERAGE(F20:F22)</f>
        <v>6340422.4547619047</v>
      </c>
      <c r="D22" s="90">
        <f>C22/C19-1</f>
        <v>7.0461716588019252E-2</v>
      </c>
      <c r="E22" s="286">
        <f>C22/C10-1</f>
        <v>0.44659025158958143</v>
      </c>
      <c r="F22" s="78">
        <f>Q22/21</f>
        <v>8529095.4285714291</v>
      </c>
      <c r="G22" s="90">
        <f t="shared" si="3"/>
        <v>0.53566902043428066</v>
      </c>
      <c r="H22" s="90">
        <f t="shared" si="4"/>
        <v>0.28932789026122574</v>
      </c>
      <c r="I22" s="130">
        <f t="shared" si="0"/>
        <v>2522.8358820720637</v>
      </c>
      <c r="J22" s="130">
        <f t="shared" si="5"/>
        <v>1.2331317274440798</v>
      </c>
      <c r="K22" s="78">
        <f>R20+R21+R22</f>
        <v>517574372381</v>
      </c>
      <c r="L22" s="87">
        <f>U22/U19-1</f>
        <v>7.065695772456615E-2</v>
      </c>
      <c r="M22" s="87">
        <f>U22/U10-1</f>
        <v>0.42870670762224306</v>
      </c>
      <c r="N22" s="88">
        <f>AVERAGE(T20:T22)</f>
        <v>2229.8264785384545</v>
      </c>
      <c r="O22" s="89">
        <f>N22/N19-1</f>
        <v>0.31257306213607094</v>
      </c>
      <c r="P22" s="129" t="s">
        <v>156</v>
      </c>
      <c r="Q22" s="116">
        <v>179111004</v>
      </c>
      <c r="R22" s="116">
        <v>232932407177</v>
      </c>
      <c r="S22" s="116">
        <v>70995.899999999994</v>
      </c>
      <c r="T22" s="130">
        <f t="shared" ref="T22:T23" si="10">Q22/S22</f>
        <v>2522.8358820720637</v>
      </c>
      <c r="U22" s="85">
        <f>Q20+Q21+Q22</f>
        <v>394508436</v>
      </c>
    </row>
    <row r="23" spans="1:21" hidden="1">
      <c r="A23" s="129" t="s">
        <v>189</v>
      </c>
      <c r="B23" s="131"/>
      <c r="C23" s="131"/>
      <c r="F23" s="78">
        <f>Q23/21</f>
        <v>7053155.5714285718</v>
      </c>
      <c r="G23" s="90">
        <f t="shared" ref="G23" si="11">F23/F22-1</f>
        <v>-0.17304764256695249</v>
      </c>
      <c r="H23" s="90">
        <f t="shared" ref="H23" si="12">F23/F11-1</f>
        <v>1.1466574583581512</v>
      </c>
      <c r="I23" s="130">
        <f t="shared" si="0"/>
        <v>2550.183107486419</v>
      </c>
      <c r="J23" s="130">
        <f t="shared" si="5"/>
        <v>0.48088164516657694</v>
      </c>
      <c r="O23" s="89"/>
      <c r="P23" s="129" t="s">
        <v>189</v>
      </c>
      <c r="Q23" s="116">
        <v>148116267</v>
      </c>
      <c r="R23" s="116">
        <v>191540051170</v>
      </c>
      <c r="S23" s="116">
        <v>58080.639999999999</v>
      </c>
      <c r="T23" s="130">
        <f t="shared" si="10"/>
        <v>2550.183107486419</v>
      </c>
      <c r="U23" s="78"/>
    </row>
    <row r="24" spans="1:21" hidden="1">
      <c r="A24" s="129" t="s">
        <v>204</v>
      </c>
      <c r="B24" s="131"/>
      <c r="C24" s="131"/>
      <c r="F24" s="78">
        <f>Q24/22</f>
        <v>2454038</v>
      </c>
      <c r="G24" s="90">
        <f t="shared" ref="G24" si="13">F24/F23-1</f>
        <v>-0.65206523872222633</v>
      </c>
      <c r="H24" s="90">
        <f t="shared" ref="H24" si="14">F24/F12-1</f>
        <v>-0.50484573782492226</v>
      </c>
      <c r="I24" s="130">
        <f t="shared" si="0"/>
        <v>1626.6425632751689</v>
      </c>
      <c r="J24" s="130">
        <f t="shared" si="5"/>
        <v>-0.36995410027477649</v>
      </c>
      <c r="O24" s="89"/>
      <c r="P24" s="129" t="s">
        <v>204</v>
      </c>
      <c r="Q24" s="116">
        <v>53988836</v>
      </c>
      <c r="R24" s="116">
        <v>70589185962</v>
      </c>
      <c r="S24" s="116">
        <v>33190.35</v>
      </c>
      <c r="T24" s="130">
        <f t="shared" ref="T24" si="15">Q24/S24</f>
        <v>1626.6425632751689</v>
      </c>
      <c r="U24" s="78"/>
    </row>
    <row r="25" spans="1:21" s="79" customFormat="1" ht="13.2" hidden="1">
      <c r="A25" s="129" t="s">
        <v>219</v>
      </c>
      <c r="B25" s="131">
        <f>SUM(F23:F25)</f>
        <v>17226545.045112781</v>
      </c>
      <c r="C25" s="131">
        <f>AVERAGE(F23:F25)</f>
        <v>5742181.6817042604</v>
      </c>
      <c r="D25" s="90">
        <f>C25/C22-1</f>
        <v>-9.4353456307685324E-2</v>
      </c>
      <c r="E25" s="286">
        <f>C25/C13-1</f>
        <v>0.26682682466058694</v>
      </c>
      <c r="F25" s="78">
        <f>Q25/19</f>
        <v>7719351.4736842103</v>
      </c>
      <c r="G25" s="90">
        <f t="shared" ref="G25" si="16">F25/F24-1</f>
        <v>2.1455712884984708</v>
      </c>
      <c r="H25" s="90">
        <f t="shared" ref="H25" si="17">F25/F13-1</f>
        <v>0.44113709326739325</v>
      </c>
      <c r="I25" s="130">
        <f t="shared" si="0"/>
        <v>1777.0006173015261</v>
      </c>
      <c r="J25" s="130">
        <f t="shared" si="5"/>
        <v>-0.12557240532744407</v>
      </c>
      <c r="K25" s="78">
        <f>R23+R24+R25</f>
        <v>456936718168</v>
      </c>
      <c r="L25" s="90">
        <f>U25/U22-1</f>
        <v>-0.11593074019841743</v>
      </c>
      <c r="M25" s="90">
        <f>U25/U13-1</f>
        <v>0.22307083864467936</v>
      </c>
      <c r="N25" s="88">
        <f>AVERAGE(T23:T25)</f>
        <v>1984.6087626877045</v>
      </c>
      <c r="O25" s="91">
        <f>N25/N22-1</f>
        <v>-0.10997165842764522</v>
      </c>
      <c r="P25" s="129" t="s">
        <v>219</v>
      </c>
      <c r="Q25" s="116">
        <v>146667678</v>
      </c>
      <c r="R25" s="116">
        <v>194807481036</v>
      </c>
      <c r="S25" s="116">
        <v>82536.649999999994</v>
      </c>
      <c r="T25" s="130">
        <f t="shared" ref="T25" si="18">Q25/S25</f>
        <v>1777.0006173015261</v>
      </c>
      <c r="U25" s="85">
        <f>Q23+Q24+Q25</f>
        <v>348772781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5398451.7894736845</v>
      </c>
      <c r="G26" s="90">
        <f t="shared" ref="G26" si="19">F26/F25-1</f>
        <v>-0.30065993135856417</v>
      </c>
      <c r="H26" s="90">
        <f t="shared" ref="H26" si="20">F26/F14-1</f>
        <v>1.0199153380849446</v>
      </c>
      <c r="I26" s="130">
        <f t="shared" si="0"/>
        <v>1725.1290517680411</v>
      </c>
      <c r="J26" s="130">
        <f t="shared" si="5"/>
        <v>1.8092008331181741E-2</v>
      </c>
      <c r="L26" s="90"/>
      <c r="M26" s="90"/>
      <c r="P26" s="129" t="s">
        <v>312</v>
      </c>
      <c r="Q26" s="116">
        <v>102570584</v>
      </c>
      <c r="R26" s="116">
        <v>138278078184</v>
      </c>
      <c r="S26" s="116">
        <v>59456.76</v>
      </c>
      <c r="T26" s="130">
        <f t="shared" ref="T26" si="21">Q26/S26</f>
        <v>1725.1290517680411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5668294.5909090908</v>
      </c>
      <c r="G27" s="90">
        <f t="shared" ref="G27" si="22">F27/F26-1</f>
        <v>4.9985220199903813E-2</v>
      </c>
      <c r="H27" s="90">
        <f t="shared" ref="H27" si="23">F27/F15-1</f>
        <v>0.46065347235166842</v>
      </c>
      <c r="I27" s="130">
        <f t="shared" si="0"/>
        <v>1529.4175340858933</v>
      </c>
      <c r="J27" s="130">
        <f t="shared" si="5"/>
        <v>-0.2730526939023139</v>
      </c>
      <c r="L27" s="90"/>
      <c r="M27" s="90"/>
      <c r="P27" s="129" t="s">
        <v>375</v>
      </c>
      <c r="Q27" s="116">
        <v>124702481</v>
      </c>
      <c r="R27" s="116">
        <v>164708819174</v>
      </c>
      <c r="S27" s="116">
        <v>81535.929999999993</v>
      </c>
      <c r="T27" s="130">
        <f t="shared" ref="T27" si="24">Q27/S27</f>
        <v>1529.4175340858933</v>
      </c>
      <c r="U27" s="78"/>
    </row>
    <row r="28" spans="1:21" s="79" customFormat="1" ht="13.2" hidden="1">
      <c r="A28" s="123" t="s">
        <v>413</v>
      </c>
      <c r="B28" s="131">
        <f>SUM(F26:F28)</f>
        <v>19975251.854066987</v>
      </c>
      <c r="C28" s="131">
        <f>AVERAGE(F26:F28)</f>
        <v>6658417.2846889952</v>
      </c>
      <c r="D28" s="90">
        <f>C28/C25-1</f>
        <v>0.15956228029218322</v>
      </c>
      <c r="E28" s="286">
        <f>C28/C16-1</f>
        <v>0.69797358759586703</v>
      </c>
      <c r="F28" s="78">
        <f>Q28/19</f>
        <v>8908505.4736842103</v>
      </c>
      <c r="G28" s="90">
        <f t="shared" ref="G28" si="25">F28/F27-1</f>
        <v>0.57163769998331171</v>
      </c>
      <c r="H28" s="90">
        <f t="shared" ref="H28" si="26">F28/F16-1</f>
        <v>0.7095900427722408</v>
      </c>
      <c r="I28" s="130">
        <f t="shared" si="0"/>
        <v>1868.2036430839926</v>
      </c>
      <c r="J28" s="130">
        <f t="shared" si="5"/>
        <v>-5.8856023252572665E-2</v>
      </c>
      <c r="K28" s="78">
        <f>R26+R27+R28</f>
        <v>523780861987</v>
      </c>
      <c r="L28" s="90">
        <f>U28/U25-1</f>
        <v>0.1369427048264984</v>
      </c>
      <c r="M28" s="90">
        <f>U28/U16-1</f>
        <v>0.56444582612145111</v>
      </c>
      <c r="N28" s="88">
        <f>AVERAGE(T26:T28)</f>
        <v>1707.5834096459757</v>
      </c>
      <c r="O28" s="91">
        <f>N28/N25-1</f>
        <v>-0.13958688394913688</v>
      </c>
      <c r="P28" s="129" t="s">
        <v>413</v>
      </c>
      <c r="Q28" s="116">
        <v>169261604</v>
      </c>
      <c r="R28" s="116">
        <v>220793964629</v>
      </c>
      <c r="S28" s="116">
        <v>90601.26</v>
      </c>
      <c r="T28" s="130">
        <f t="shared" ref="T28" si="27">Q28/S28</f>
        <v>1868.2036430839926</v>
      </c>
      <c r="U28" s="85">
        <f>Q26+Q27+Q28</f>
        <v>396534669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6314020.7272727275</v>
      </c>
      <c r="G29" s="190">
        <f t="shared" ref="G29" si="28">F29/F28-1</f>
        <v>-0.29123681341113949</v>
      </c>
      <c r="H29" s="190">
        <f t="shared" ref="H29" si="29">F29/F17-1</f>
        <v>-4.7469680338688813E-2</v>
      </c>
      <c r="I29" s="130">
        <f t="shared" si="0"/>
        <v>1650.5949147185127</v>
      </c>
      <c r="J29" s="130">
        <f t="shared" si="5"/>
        <v>-0.37391294905434191</v>
      </c>
      <c r="K29" s="136"/>
      <c r="L29" s="190"/>
      <c r="M29" s="190"/>
      <c r="N29" s="191"/>
      <c r="O29" s="192"/>
      <c r="P29" s="129" t="s">
        <v>427</v>
      </c>
      <c r="Q29" s="116">
        <v>138908456</v>
      </c>
      <c r="R29" s="116">
        <v>183123579042</v>
      </c>
      <c r="S29" s="116">
        <v>84156.6</v>
      </c>
      <c r="T29" s="130">
        <f t="shared" ref="T29" si="30">Q29/S29</f>
        <v>1650.5949147185127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7443252.1052631577</v>
      </c>
      <c r="G30" s="190">
        <f t="shared" ref="G30" si="31">F30/F29-1</f>
        <v>0.17884505401017092</v>
      </c>
      <c r="H30" s="190">
        <f t="shared" ref="H30" si="32">F30/F18-1</f>
        <v>0.61947328698539295</v>
      </c>
      <c r="I30" s="130">
        <f t="shared" si="0"/>
        <v>2005.8940653973896</v>
      </c>
      <c r="J30" s="130">
        <f t="shared" si="5"/>
        <v>0.81004500940986635</v>
      </c>
      <c r="K30" s="136"/>
      <c r="L30" s="190"/>
      <c r="M30" s="190"/>
      <c r="N30" s="191"/>
      <c r="O30" s="192"/>
      <c r="P30" s="129" t="s">
        <v>491</v>
      </c>
      <c r="Q30" s="116">
        <v>141421790</v>
      </c>
      <c r="R30" s="116">
        <v>188410093462</v>
      </c>
      <c r="S30" s="116">
        <v>70503.12</v>
      </c>
      <c r="T30" s="130">
        <f t="shared" ref="T30" si="33">Q30/S30</f>
        <v>2005.8940653973896</v>
      </c>
      <c r="U30" s="85"/>
    </row>
    <row r="31" spans="1:21" s="79" customFormat="1" ht="13.2" hidden="1">
      <c r="A31" s="129" t="s">
        <v>505</v>
      </c>
      <c r="B31" s="188">
        <f>SUM(F29:F31)</f>
        <v>24058552.882535886</v>
      </c>
      <c r="C31" s="188">
        <f>AVERAGE(F29:F31)</f>
        <v>8019517.6275119623</v>
      </c>
      <c r="D31" s="190">
        <f>C31/C28-1</f>
        <v>0.20441799974789987</v>
      </c>
      <c r="E31" s="287">
        <f>C31/C19-1</f>
        <v>0.35394552445113114</v>
      </c>
      <c r="F31" s="136">
        <f>Q31/20</f>
        <v>10301280.050000001</v>
      </c>
      <c r="G31" s="190">
        <f t="shared" ref="G31" si="34">F31/F30-1</f>
        <v>0.38397570098638978</v>
      </c>
      <c r="H31" s="190">
        <f t="shared" ref="H31" si="35">F31/F19-1</f>
        <v>0.57405035697644502</v>
      </c>
      <c r="I31" s="130">
        <f t="shared" si="0"/>
        <v>2146.2500243506606</v>
      </c>
      <c r="J31" s="130">
        <f t="shared" si="5"/>
        <v>0.58758651143723006</v>
      </c>
      <c r="K31" s="136">
        <f>R29+R30+R31</f>
        <v>645094571151</v>
      </c>
      <c r="L31" s="190">
        <f>U31/U28-1</f>
        <v>0.2265153214131701</v>
      </c>
      <c r="M31" s="190">
        <f>U31/U19-1</f>
        <v>0.31992176593297117</v>
      </c>
      <c r="N31" s="191">
        <f>AVERAGE(T29:T31)</f>
        <v>1934.2463348221875</v>
      </c>
      <c r="O31" s="192">
        <f>N31/N28-1</f>
        <v>0.13273900642030978</v>
      </c>
      <c r="P31" s="129" t="s">
        <v>505</v>
      </c>
      <c r="Q31" s="116">
        <v>206025601</v>
      </c>
      <c r="R31" s="116">
        <v>273560898647</v>
      </c>
      <c r="S31" s="116">
        <v>95993.29</v>
      </c>
      <c r="T31" s="130">
        <f t="shared" ref="T31" si="36">Q31/S31</f>
        <v>2146.2500243506606</v>
      </c>
      <c r="U31" s="85">
        <f>Q29+Q30+Q31</f>
        <v>486355847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7255443.9047619049</v>
      </c>
      <c r="G32" s="190">
        <f t="shared" ref="G32" si="37">F32/F31-1</f>
        <v>-0.29567550153518019</v>
      </c>
      <c r="H32" s="190">
        <f t="shared" ref="H32" si="38">F32/F20-1</f>
        <v>0.46925504705300702</v>
      </c>
      <c r="I32" s="130">
        <f t="shared" si="0"/>
        <v>1820.5628146852018</v>
      </c>
      <c r="J32" s="130">
        <f t="shared" si="5"/>
        <v>-1.2032931409941217E-2</v>
      </c>
      <c r="K32" s="136"/>
      <c r="L32" s="190"/>
      <c r="M32" s="190"/>
      <c r="N32" s="191"/>
      <c r="O32" s="192"/>
      <c r="P32" s="129" t="s">
        <v>562</v>
      </c>
      <c r="Q32" s="116">
        <v>152364322</v>
      </c>
      <c r="R32" s="116">
        <v>207216885042</v>
      </c>
      <c r="S32" s="116">
        <v>83690.78</v>
      </c>
      <c r="T32" s="130">
        <f t="shared" ref="T32" si="39">Q32/S32</f>
        <v>1820.5628146852018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7952024.9523809524</v>
      </c>
      <c r="G33" s="190">
        <f t="shared" ref="G33" si="40">F33/F32-1</f>
        <v>9.6008053643949598E-2</v>
      </c>
      <c r="H33" s="190">
        <f t="shared" ref="H33" si="41">F33/F21-1</f>
        <v>0.43176711661405287</v>
      </c>
      <c r="I33" s="130">
        <f t="shared" si="0"/>
        <v>2105.2188063202761</v>
      </c>
      <c r="J33" s="130">
        <f t="shared" si="5"/>
        <v>-9.4103762333900165E-2</v>
      </c>
      <c r="K33" s="136"/>
      <c r="L33" s="190"/>
      <c r="M33" s="190"/>
      <c r="N33" s="191"/>
      <c r="O33" s="192"/>
      <c r="P33" s="129" t="s">
        <v>607</v>
      </c>
      <c r="Q33" s="116">
        <v>166992524</v>
      </c>
      <c r="R33" s="116">
        <v>228347935643</v>
      </c>
      <c r="S33" s="116">
        <v>79323.12</v>
      </c>
      <c r="T33" s="130">
        <f t="shared" ref="T33" si="42">Q33/S33</f>
        <v>2105.2188063202761</v>
      </c>
      <c r="U33" s="85"/>
    </row>
    <row r="34" spans="1:21" s="79" customFormat="1" ht="13.2" hidden="1">
      <c r="A34" s="129" t="s">
        <v>652</v>
      </c>
      <c r="B34" s="188">
        <f>SUM(F32:F34)</f>
        <v>29290778.7518797</v>
      </c>
      <c r="C34" s="188">
        <f>AVERAGE(F32:F34)</f>
        <v>9763592.9172932338</v>
      </c>
      <c r="D34" s="190">
        <f>C34/C31-1</f>
        <v>0.21747882737959223</v>
      </c>
      <c r="E34" s="287">
        <f>C34/C22-1</f>
        <v>0.53989627457085199</v>
      </c>
      <c r="F34" s="136">
        <f>Q34/19</f>
        <v>14083309.894736841</v>
      </c>
      <c r="G34" s="190">
        <f t="shared" ref="G34" si="43">F34/F33-1</f>
        <v>0.7710344194179235</v>
      </c>
      <c r="H34" s="190">
        <f t="shared" ref="H34" si="44">F34/F22-1</f>
        <v>0.65120791679261458</v>
      </c>
      <c r="I34" s="130">
        <f t="shared" si="0"/>
        <v>2114.9253089600793</v>
      </c>
      <c r="J34" s="130">
        <f t="shared" si="5"/>
        <v>-0.16168732021401166</v>
      </c>
      <c r="K34" s="136">
        <f>R32+R33+R34</f>
        <v>803491258026</v>
      </c>
      <c r="L34" s="190">
        <f>U34/U31-1</f>
        <v>0.2068113041519577</v>
      </c>
      <c r="M34" s="190">
        <f>U34/U22-1</f>
        <v>0.48777486218317523</v>
      </c>
      <c r="N34" s="191">
        <f>AVERAGE(T32:T34)</f>
        <v>2013.5689766551859</v>
      </c>
      <c r="O34" s="192">
        <f>N34/N31-1</f>
        <v>4.1009586217099159E-2</v>
      </c>
      <c r="P34" s="129" t="s">
        <v>652</v>
      </c>
      <c r="Q34" s="116">
        <v>267582888</v>
      </c>
      <c r="R34" s="116">
        <v>367926437341</v>
      </c>
      <c r="S34" s="116">
        <v>126521.2</v>
      </c>
      <c r="T34" s="130">
        <f t="shared" ref="T34" si="45">Q34/S34</f>
        <v>2114.9253089600793</v>
      </c>
      <c r="U34" s="85">
        <f>Q32+Q33+Q34</f>
        <v>586939734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9227351.3478260878</v>
      </c>
      <c r="G35" s="190">
        <f t="shared" ref="G35" si="46">F35/F34-1</f>
        <v>-0.34480236416053756</v>
      </c>
      <c r="H35" s="190">
        <f t="shared" ref="H35" si="47">F35/F23-1</f>
        <v>0.30825858785887328</v>
      </c>
      <c r="I35" s="130">
        <f t="shared" si="0"/>
        <v>2858.3283736952922</v>
      </c>
      <c r="J35" s="130">
        <f t="shared" si="5"/>
        <v>0.12083260425663922</v>
      </c>
      <c r="K35" s="136"/>
      <c r="L35" s="190"/>
      <c r="M35" s="190"/>
      <c r="N35" s="191"/>
      <c r="O35" s="192"/>
      <c r="P35" s="129" t="s">
        <v>660</v>
      </c>
      <c r="Q35" s="116">
        <v>212229081</v>
      </c>
      <c r="R35" s="116">
        <v>293842642579</v>
      </c>
      <c r="S35" s="116">
        <v>74249.37</v>
      </c>
      <c r="T35" s="130">
        <f t="shared" ref="T35" si="48">Q35/S35</f>
        <v>2858.3283736952922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13784701.428571429</v>
      </c>
      <c r="G36" s="190">
        <f t="shared" ref="G36" si="49">F36/F35-1</f>
        <v>0.49389580053424842</v>
      </c>
      <c r="H36" s="190">
        <f t="shared" ref="H36" si="50">F36/F24-1</f>
        <v>4.6171507648094403</v>
      </c>
      <c r="I36" s="130">
        <f t="shared" si="0"/>
        <v>2892.5056915105365</v>
      </c>
      <c r="J36" s="130">
        <f t="shared" si="5"/>
        <v>0.77820607723838942</v>
      </c>
      <c r="K36" s="136"/>
      <c r="L36" s="190"/>
      <c r="M36" s="190"/>
      <c r="N36" s="191"/>
      <c r="O36" s="192"/>
      <c r="P36" s="129" t="s">
        <v>664</v>
      </c>
      <c r="Q36" s="116">
        <v>289478730</v>
      </c>
      <c r="R36" s="116">
        <v>395209535531</v>
      </c>
      <c r="S36" s="116">
        <v>100078.88</v>
      </c>
      <c r="T36" s="130">
        <f t="shared" ref="T36" si="51">Q36/S36</f>
        <v>2892.5056915105365</v>
      </c>
      <c r="U36" s="85"/>
    </row>
    <row r="37" spans="1:21" s="79" customFormat="1" ht="13.2" hidden="1">
      <c r="A37" s="129" t="s">
        <v>702</v>
      </c>
      <c r="B37" s="188">
        <f>SUM(F35:F37)</f>
        <v>34885947.054175295</v>
      </c>
      <c r="C37" s="188">
        <f>AVERAGE(F35:F37)</f>
        <v>11628649.018058432</v>
      </c>
      <c r="D37" s="190">
        <f>C37/C34-1</f>
        <v>0.19102149347724429</v>
      </c>
      <c r="E37" s="287">
        <f>C37/C25-1</f>
        <v>1.0251273231408953</v>
      </c>
      <c r="F37" s="136">
        <f>Q37/18</f>
        <v>11873894.277777778</v>
      </c>
      <c r="G37" s="190">
        <f t="shared" ref="G37" si="52">F37/F36-1</f>
        <v>-0.13861795706602231</v>
      </c>
      <c r="H37" s="190">
        <f t="shared" ref="H37" si="53">F37/F25-1</f>
        <v>0.53819842486207348</v>
      </c>
      <c r="I37" s="130">
        <f t="shared" si="0"/>
        <v>2064.7763211524175</v>
      </c>
      <c r="J37" s="130">
        <f t="shared" si="5"/>
        <v>0.16194462795848374</v>
      </c>
      <c r="K37" s="136">
        <f>R35+R36+R37</f>
        <v>974211167363</v>
      </c>
      <c r="L37" s="190">
        <f>U37/U34-1</f>
        <v>0.21892907662646</v>
      </c>
      <c r="M37" s="190">
        <f>U37/U25-1</f>
        <v>1.0513008668529098</v>
      </c>
      <c r="N37" s="191">
        <f>AVERAGE(T35:T37)</f>
        <v>2605.2034621194157</v>
      </c>
      <c r="O37" s="192">
        <f>N37/N34-1</f>
        <v>0.29382379860014329</v>
      </c>
      <c r="P37" s="129" t="s">
        <v>702</v>
      </c>
      <c r="Q37" s="116">
        <v>213730097</v>
      </c>
      <c r="R37" s="116">
        <v>285158989253</v>
      </c>
      <c r="S37" s="116">
        <v>103512.47</v>
      </c>
      <c r="T37" s="130">
        <f t="shared" ref="T37" si="54">Q37/S37</f>
        <v>2064.7763211524175</v>
      </c>
      <c r="U37" s="85">
        <f>Q35+Q36+Q37</f>
        <v>715437908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7974589.1500000004</v>
      </c>
      <c r="G38" s="190">
        <f t="shared" ref="G38" si="55">F38/F37-1</f>
        <v>-0.32839311489200318</v>
      </c>
      <c r="H38" s="190">
        <f t="shared" ref="H38" si="56">F38/F26-1</f>
        <v>0.4771992899055737</v>
      </c>
      <c r="I38" s="130">
        <f t="shared" si="0"/>
        <v>2754.8783809669726</v>
      </c>
      <c r="J38" s="130">
        <f t="shared" si="5"/>
        <v>0.59691147635799613</v>
      </c>
      <c r="K38" s="136"/>
      <c r="L38" s="190"/>
      <c r="M38" s="190"/>
      <c r="N38" s="191"/>
      <c r="O38" s="192"/>
      <c r="P38" s="129" t="s">
        <v>758</v>
      </c>
      <c r="Q38" s="116">
        <v>159491783</v>
      </c>
      <c r="R38" s="116">
        <v>215924126966</v>
      </c>
      <c r="S38" s="116">
        <v>57894.31</v>
      </c>
      <c r="T38" s="130">
        <f t="shared" ref="T38" si="57">Q38/S38</f>
        <v>2754.8783809669726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14425912.095238095</v>
      </c>
      <c r="G39" s="190">
        <f t="shared" ref="G39" si="58">F39/F38-1</f>
        <v>0.80898499269245661</v>
      </c>
      <c r="H39" s="190">
        <f t="shared" ref="H39" si="59">F39/F27-1</f>
        <v>1.5450180585840796</v>
      </c>
      <c r="I39" s="130">
        <f t="shared" si="0"/>
        <v>3394.981203129696</v>
      </c>
      <c r="J39" s="130">
        <f t="shared" si="5"/>
        <v>1.2197870283727448</v>
      </c>
      <c r="K39" s="136"/>
      <c r="L39" s="190"/>
      <c r="M39" s="190"/>
      <c r="N39" s="191"/>
      <c r="O39" s="192"/>
      <c r="P39" s="129" t="s">
        <v>762</v>
      </c>
      <c r="Q39" s="116">
        <v>302944154</v>
      </c>
      <c r="R39" s="116">
        <v>420418146374</v>
      </c>
      <c r="S39" s="116">
        <v>89232.94</v>
      </c>
      <c r="T39" s="130">
        <f t="shared" ref="T39" si="60">Q39/S39</f>
        <v>3394.981203129696</v>
      </c>
      <c r="U39" s="85"/>
    </row>
    <row r="40" spans="1:21" s="79" customFormat="1" ht="13.2" hidden="1">
      <c r="A40" s="129" t="s">
        <v>778</v>
      </c>
      <c r="B40" s="188">
        <f>SUM(F38:F40)</f>
        <v>31036784.530952379</v>
      </c>
      <c r="C40" s="188">
        <f>AVERAGE(F38:F40)</f>
        <v>10345594.843650794</v>
      </c>
      <c r="D40" s="190">
        <f>C40/C37-1</f>
        <v>-0.1103356178705841</v>
      </c>
      <c r="E40" s="287">
        <f>C40/C28-1</f>
        <v>0.5537618628139227</v>
      </c>
      <c r="F40" s="136">
        <f>Q40/21</f>
        <v>8636283.2857142854</v>
      </c>
      <c r="G40" s="190">
        <f t="shared" ref="G40" si="61">F40/F39-1</f>
        <v>-0.40133537285555276</v>
      </c>
      <c r="H40" s="190">
        <f t="shared" ref="H40" si="62">F40/F28-1</f>
        <v>-3.0557559713475069E-2</v>
      </c>
      <c r="I40" s="130">
        <f t="shared" si="0"/>
        <v>2829.5242297250684</v>
      </c>
      <c r="J40" s="130">
        <f t="shared" si="5"/>
        <v>0.51456948507719824</v>
      </c>
      <c r="K40" s="136">
        <f>R38+R39+R40</f>
        <v>893100787484</v>
      </c>
      <c r="L40" s="190">
        <f>U40/U37-1</f>
        <v>-0.10013450671109814</v>
      </c>
      <c r="M40" s="190">
        <f>U40/U28-1</f>
        <v>0.62356014828050266</v>
      </c>
      <c r="N40" s="191">
        <f>AVERAGE(T38:T40)</f>
        <v>2993.1279379405787</v>
      </c>
      <c r="O40" s="192">
        <f>N40/N37-1</f>
        <v>0.14890371576029393</v>
      </c>
      <c r="P40" s="129" t="s">
        <v>778</v>
      </c>
      <c r="Q40" s="116">
        <v>181361949</v>
      </c>
      <c r="R40" s="116">
        <v>256758514144</v>
      </c>
      <c r="S40" s="116">
        <v>64096.27</v>
      </c>
      <c r="T40" s="130">
        <f t="shared" ref="T40" si="63">Q40/S40</f>
        <v>2829.5242297250684</v>
      </c>
      <c r="U40" s="85">
        <f>Q38+Q39+Q40</f>
        <v>643797886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7926645.944444444</v>
      </c>
      <c r="G41" s="190">
        <f t="shared" ref="G41" si="64">F41/F40-1</f>
        <v>-8.2169298735682794E-2</v>
      </c>
      <c r="H41" s="190">
        <f t="shared" ref="H41" si="65">F41/F29-1</f>
        <v>0.25540385228799711</v>
      </c>
      <c r="I41" s="130">
        <f t="shared" si="0"/>
        <v>2281.0944133824555</v>
      </c>
      <c r="J41" s="130">
        <f t="shared" si="5"/>
        <v>0.38198318257357911</v>
      </c>
      <c r="K41" s="193"/>
      <c r="L41" s="190"/>
      <c r="M41" s="190"/>
      <c r="N41" s="193"/>
      <c r="O41" s="193"/>
      <c r="P41" s="129" t="s">
        <v>792</v>
      </c>
      <c r="Q41" s="116">
        <v>142679627</v>
      </c>
      <c r="R41" s="116">
        <v>208596893401</v>
      </c>
      <c r="S41" s="116">
        <v>62548.76</v>
      </c>
      <c r="T41" s="130">
        <f t="shared" ref="T41" si="66">Q41/S41</f>
        <v>2281.0944133824555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5913338.0999999996</v>
      </c>
      <c r="G42" s="190">
        <f t="shared" ref="G42" si="67">F42/F41-1</f>
        <v>-0.25399240215283159</v>
      </c>
      <c r="H42" s="190">
        <f t="shared" ref="H42" si="68">F42/F30-1</f>
        <v>-0.20554375743653086</v>
      </c>
      <c r="I42" s="130">
        <f t="shared" si="0"/>
        <v>1999.6054107655668</v>
      </c>
      <c r="J42" s="130">
        <f t="shared" si="5"/>
        <v>-3.1350881087416349E-3</v>
      </c>
      <c r="K42" s="193"/>
      <c r="L42" s="190"/>
      <c r="M42" s="190"/>
      <c r="N42" s="193"/>
      <c r="O42" s="193"/>
      <c r="P42" s="129" t="s">
        <v>826</v>
      </c>
      <c r="Q42" s="116">
        <v>118266762</v>
      </c>
      <c r="R42" s="116">
        <v>170980524629</v>
      </c>
      <c r="S42" s="116">
        <v>59145.05</v>
      </c>
      <c r="T42" s="130">
        <f t="shared" ref="T42" si="69">Q42/S42</f>
        <v>1999.6054107655668</v>
      </c>
      <c r="U42" s="78"/>
    </row>
    <row r="43" spans="1:21" s="79" customFormat="1" ht="13.2">
      <c r="A43" s="129" t="s">
        <v>835</v>
      </c>
      <c r="B43" s="188">
        <f>SUM(F41:F43)</f>
        <v>21512912.844444443</v>
      </c>
      <c r="C43" s="188">
        <f>AVERAGE(F41:F43)</f>
        <v>7170970.9481481472</v>
      </c>
      <c r="D43" s="190">
        <f>C43/C40-1</f>
        <v>-0.30685755082038113</v>
      </c>
      <c r="E43" s="287">
        <f>C43/C31-1</f>
        <v>-0.10581018943742571</v>
      </c>
      <c r="F43" s="136">
        <f>Q43/20</f>
        <v>7672928.7999999998</v>
      </c>
      <c r="G43" s="190">
        <f t="shared" ref="G43" si="70">F43/F42-1</f>
        <v>0.29756301267468555</v>
      </c>
      <c r="H43" s="190">
        <f t="shared" ref="H43" si="71">F43/F31-1</f>
        <v>-0.2551480240555154</v>
      </c>
      <c r="I43" s="130">
        <f t="shared" si="0"/>
        <v>1744.3422134278087</v>
      </c>
      <c r="J43" s="130">
        <f t="shared" si="5"/>
        <v>-0.1872604805418453</v>
      </c>
      <c r="K43" s="136">
        <f>R41+R42+R43</f>
        <v>601863790364</v>
      </c>
      <c r="L43" s="190">
        <f>U43/U40-1</f>
        <v>-0.35631201342590302</v>
      </c>
      <c r="M43" s="190">
        <f>K43/K31-1</f>
        <v>-6.7014640519863833E-2</v>
      </c>
      <c r="N43" s="191">
        <f>AVERAGE(T41:T43)</f>
        <v>2008.3473458586104</v>
      </c>
      <c r="O43" s="192">
        <f>N43/N40-1</f>
        <v>-0.32901386526081688</v>
      </c>
      <c r="P43" s="129" t="s">
        <v>835</v>
      </c>
      <c r="Q43" s="116">
        <v>153458576</v>
      </c>
      <c r="R43" s="116">
        <v>222286372334</v>
      </c>
      <c r="S43" s="116">
        <v>87975.039999999994</v>
      </c>
      <c r="T43" s="130">
        <f t="shared" ref="T43" si="72">Q43/S43</f>
        <v>1744.3422134278087</v>
      </c>
      <c r="U43" s="85">
        <f>Q41+Q42+Q43</f>
        <v>414404965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5311649.5454545459</v>
      </c>
      <c r="G44" s="190">
        <f t="shared" ref="G44" si="73">F44/F43-1</f>
        <v>-0.3077415829201301</v>
      </c>
      <c r="H44" s="190">
        <f t="shared" ref="H44" si="74">F44/F32-1</f>
        <v>-0.26790839882747974</v>
      </c>
      <c r="I44" s="130">
        <f t="shared" si="0"/>
        <v>1337.018240249188</v>
      </c>
      <c r="J44" s="130">
        <f t="shared" si="5"/>
        <v>-0.26560169774731157</v>
      </c>
      <c r="K44" s="136"/>
      <c r="L44" s="190"/>
      <c r="M44" s="190"/>
      <c r="N44" s="191"/>
      <c r="O44" s="192"/>
      <c r="P44" s="129" t="s">
        <v>843</v>
      </c>
      <c r="Q44" s="116">
        <v>116856290</v>
      </c>
      <c r="R44" s="116">
        <v>168520040558</v>
      </c>
      <c r="S44" s="116">
        <v>87400.67</v>
      </c>
      <c r="T44" s="130">
        <f t="shared" ref="T44" si="75">Q44/S44</f>
        <v>1337.018240249188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9924110.9000000004</v>
      </c>
      <c r="G45" s="190">
        <f t="shared" ref="G45" si="76">F45/F44-1</f>
        <v>0.86836703270316029</v>
      </c>
      <c r="H45" s="190">
        <f t="shared" ref="H45" si="77">F45/F33-1</f>
        <v>0.24799795768102761</v>
      </c>
      <c r="I45" s="130">
        <f t="shared" si="0"/>
        <v>2299.5351858086619</v>
      </c>
      <c r="J45" s="130">
        <f t="shared" si="5"/>
        <v>9.2302224787756071E-2</v>
      </c>
      <c r="K45" s="136"/>
      <c r="L45" s="190"/>
      <c r="M45" s="190"/>
      <c r="N45" s="191"/>
      <c r="O45" s="192"/>
      <c r="P45" s="129" t="s">
        <v>877</v>
      </c>
      <c r="Q45" s="116">
        <v>198482218</v>
      </c>
      <c r="R45" s="116">
        <v>278723828621</v>
      </c>
      <c r="S45" s="116">
        <v>86314.06</v>
      </c>
      <c r="T45" s="130">
        <f t="shared" ref="T45" si="78">Q45/S45</f>
        <v>2299.5351858086619</v>
      </c>
      <c r="U45" s="85"/>
    </row>
    <row r="46" spans="1:21" s="79" customFormat="1" ht="13.2">
      <c r="A46" s="129" t="s">
        <v>888</v>
      </c>
      <c r="B46" s="188">
        <f>SUM(F44:F46)</f>
        <v>38755246.866507173</v>
      </c>
      <c r="C46" s="188">
        <f>AVERAGE(F44:F46)</f>
        <v>12918415.622169057</v>
      </c>
      <c r="D46" s="190">
        <f>C46/C43-1</f>
        <v>0.80148765286870205</v>
      </c>
      <c r="E46" s="287">
        <f>C46/C34-1</f>
        <v>0.32312108171654863</v>
      </c>
      <c r="F46" s="136">
        <f>Q46/19</f>
        <v>23519486.421052631</v>
      </c>
      <c r="G46" s="190">
        <f t="shared" ref="G46" si="79">F46/F45-1</f>
        <v>1.369933856850857</v>
      </c>
      <c r="H46" s="190">
        <f t="shared" ref="H46" si="80">F46/F34-1</f>
        <v>0.67002548384185179</v>
      </c>
      <c r="I46" s="130">
        <f t="shared" si="0"/>
        <v>2820.9337830546729</v>
      </c>
      <c r="J46" s="130">
        <f t="shared" si="5"/>
        <v>0.3338219421288886</v>
      </c>
      <c r="K46" s="136">
        <f>R44+R45+R46</f>
        <v>1059164549560</v>
      </c>
      <c r="L46" s="190">
        <f>U46/U43-1</f>
        <v>0.83928479235281372</v>
      </c>
      <c r="M46" s="190">
        <f>K46/K34-1</f>
        <v>0.31820295364772555</v>
      </c>
      <c r="N46" s="191">
        <f>AVERAGE(T44:T46)</f>
        <v>2152.4957363708409</v>
      </c>
      <c r="O46" s="192">
        <f>N46/N43-1</f>
        <v>7.1774631419946999E-2</v>
      </c>
      <c r="P46" s="129" t="s">
        <v>888</v>
      </c>
      <c r="Q46" s="116">
        <v>446870242</v>
      </c>
      <c r="R46" s="116">
        <v>611920680381</v>
      </c>
      <c r="S46" s="116">
        <v>158412.17000000001</v>
      </c>
      <c r="T46" s="130">
        <f t="shared" ref="T46" si="81">Q46/S46</f>
        <v>2820.9337830546729</v>
      </c>
      <c r="U46" s="85">
        <f t="shared" ref="U46:U51" si="82">Q44+Q45+Q46</f>
        <v>762208750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6588374.4782608692</v>
      </c>
      <c r="G47" s="190">
        <f t="shared" ref="G47" si="83">F47/F46-1</f>
        <v>-0.71987592074444617</v>
      </c>
      <c r="H47" s="190">
        <f t="shared" ref="H47" si="84">F47/F35-1</f>
        <v>-0.28599505644563394</v>
      </c>
      <c r="I47" s="130">
        <f t="shared" si="0"/>
        <v>1657.3984947060521</v>
      </c>
      <c r="J47" s="130">
        <f t="shared" si="5"/>
        <v>-0.42015112400702193</v>
      </c>
      <c r="K47" s="136"/>
      <c r="L47" s="190"/>
      <c r="M47" s="190"/>
      <c r="N47" s="191"/>
      <c r="O47" s="192"/>
      <c r="P47" s="129" t="s">
        <v>991</v>
      </c>
      <c r="Q47" s="116">
        <v>151532613</v>
      </c>
      <c r="R47" s="116">
        <v>207823363939</v>
      </c>
      <c r="S47" s="116">
        <v>91427.99</v>
      </c>
      <c r="T47" s="130">
        <f t="shared" ref="T47" si="85">Q47/S47</f>
        <v>1657.3984947060521</v>
      </c>
      <c r="U47" s="85">
        <f t="shared" si="82"/>
        <v>796885073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5711447.4500000002</v>
      </c>
      <c r="G48" s="190">
        <f t="shared" ref="G48" si="86">F48/F47-1</f>
        <v>-0.13310218342238966</v>
      </c>
      <c r="H48" s="190">
        <f t="shared" ref="H48" si="87">F48/F36-1</f>
        <v>-0.58566767081643611</v>
      </c>
      <c r="I48" s="130">
        <f t="shared" si="0"/>
        <v>1450.5193371765317</v>
      </c>
      <c r="J48" s="130">
        <f t="shared" si="5"/>
        <v>-0.49852498426060643</v>
      </c>
      <c r="K48" s="136"/>
      <c r="L48" s="190"/>
      <c r="M48" s="190"/>
      <c r="N48" s="191"/>
      <c r="O48" s="192"/>
      <c r="P48" s="129" t="s">
        <v>1148</v>
      </c>
      <c r="Q48" s="116">
        <v>114228949</v>
      </c>
      <c r="R48" s="116">
        <v>158473748961</v>
      </c>
      <c r="S48" s="116">
        <v>78750.38</v>
      </c>
      <c r="T48" s="130">
        <f t="shared" ref="T48" si="88">Q48/S48</f>
        <v>1450.5193371765317</v>
      </c>
      <c r="U48" s="85">
        <f t="shared" si="82"/>
        <v>712631804</v>
      </c>
    </row>
    <row r="49" spans="1:26" ht="13.2">
      <c r="A49" s="129" t="s">
        <v>1207</v>
      </c>
      <c r="B49" s="188">
        <f>SUM(F47:F49)</f>
        <v>19556262.791897234</v>
      </c>
      <c r="C49" s="188">
        <f>AVERAGE(F47:F49)</f>
        <v>6518754.2639657445</v>
      </c>
      <c r="D49" s="190">
        <f>C49/C46-1</f>
        <v>-0.49539057616484872</v>
      </c>
      <c r="E49" s="287">
        <f>C49/C37-1</f>
        <v>-0.43942290683615948</v>
      </c>
      <c r="F49" s="136">
        <f>Q49/22</f>
        <v>7256440.8636363633</v>
      </c>
      <c r="G49" s="190">
        <f t="shared" ref="G49" si="89">F49/F48-1</f>
        <v>0.27050820779877149</v>
      </c>
      <c r="H49" s="190">
        <f t="shared" ref="H49" si="90">F49/F37-1</f>
        <v>-0.38887439167982718</v>
      </c>
      <c r="I49" s="130">
        <f t="shared" si="0"/>
        <v>1489.7962918427988</v>
      </c>
      <c r="J49" s="130">
        <f t="shared" si="5"/>
        <v>-0.27847085585943954</v>
      </c>
      <c r="K49" s="136">
        <f>R47+R48+R49</f>
        <v>588270585428</v>
      </c>
      <c r="L49" s="190">
        <f>U49/U46-1</f>
        <v>-0.44188090073749486</v>
      </c>
      <c r="M49" s="190">
        <f>K49/K37-1</f>
        <v>-0.39615700873114201</v>
      </c>
      <c r="N49" s="191">
        <f>AVERAGE(T47:T49)</f>
        <v>1532.5713745751275</v>
      </c>
      <c r="O49" s="192">
        <f>N49/N46-1</f>
        <v>-0.28800259685574137</v>
      </c>
      <c r="P49" s="129" t="s">
        <v>1158</v>
      </c>
      <c r="Q49" s="116">
        <v>159641699</v>
      </c>
      <c r="R49" s="116">
        <v>221973472528</v>
      </c>
      <c r="S49" s="116">
        <v>107156.73</v>
      </c>
      <c r="T49" s="130">
        <f t="shared" ref="T49" si="91">Q49/S49</f>
        <v>1489.7962918427988</v>
      </c>
      <c r="U49" s="85">
        <f t="shared" si="82"/>
        <v>425403261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7874957.944444444</v>
      </c>
      <c r="G50" s="190">
        <f t="shared" ref="G50" si="92">F50/F49-1</f>
        <v>8.5236976698536582E-2</v>
      </c>
      <c r="H50" s="190">
        <f t="shared" ref="H50" si="93">F50/F38-1</f>
        <v>-1.249358477051532E-2</v>
      </c>
      <c r="I50" s="130">
        <f t="shared" ref="I50" si="94">T50</f>
        <v>1612.2160451554837</v>
      </c>
      <c r="J50" s="130">
        <f t="shared" ref="J50" si="95">I50/I38-1</f>
        <v>-0.41477777883262135</v>
      </c>
      <c r="K50" s="136"/>
      <c r="L50" s="190"/>
      <c r="M50" s="190"/>
      <c r="N50" s="191"/>
      <c r="O50" s="192"/>
      <c r="P50" s="129" t="s">
        <v>1291</v>
      </c>
      <c r="Q50" s="116">
        <v>141749243</v>
      </c>
      <c r="R50" s="116">
        <v>200397304900</v>
      </c>
      <c r="S50" s="116">
        <v>87921.99</v>
      </c>
      <c r="T50" s="130">
        <f t="shared" ref="T50" si="96">Q50/S50</f>
        <v>1612.2160451554837</v>
      </c>
      <c r="U50" s="85">
        <f t="shared" si="82"/>
        <v>415619891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7676141.0499999998</v>
      </c>
      <c r="G51" s="190">
        <f t="shared" ref="G51:G52" si="97">F51/F50-1</f>
        <v>-2.5246724598028347E-2</v>
      </c>
      <c r="H51" s="190">
        <f t="shared" ref="H51:H52" si="98">F51/F39-1</f>
        <v>-0.46789215133690942</v>
      </c>
      <c r="I51" s="130">
        <f t="shared" ref="I51:I52" si="99">T51</f>
        <v>1427.5110790007607</v>
      </c>
      <c r="J51" s="130">
        <f t="shared" ref="J51:J52" si="100">I51/I39-1</f>
        <v>-0.57952312734904221</v>
      </c>
      <c r="K51" s="136"/>
      <c r="L51" s="190"/>
      <c r="M51" s="190"/>
      <c r="N51" s="191"/>
      <c r="O51" s="192"/>
      <c r="P51" s="129" t="s">
        <v>1402</v>
      </c>
      <c r="Q51" s="116">
        <v>153522821</v>
      </c>
      <c r="R51" s="116">
        <v>222805839015</v>
      </c>
      <c r="S51" s="116">
        <v>107545.8</v>
      </c>
      <c r="T51" s="130">
        <f t="shared" ref="T51:T52" si="101">Q51/S51</f>
        <v>1427.5110790007607</v>
      </c>
      <c r="U51" s="85">
        <f t="shared" si="82"/>
        <v>454913763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23980547.448989898</v>
      </c>
      <c r="C52" s="188">
        <f>AVERAGE(F50:F52)</f>
        <v>7993515.8163299663</v>
      </c>
      <c r="D52" s="190">
        <f>C52/C49-1</f>
        <v>0.22623364720409578</v>
      </c>
      <c r="E52" s="287">
        <f>C52/C40-1</f>
        <v>-0.2273507771053227</v>
      </c>
      <c r="F52" s="136">
        <f>Q52/22</f>
        <v>8429448.4545454551</v>
      </c>
      <c r="G52" s="190">
        <f t="shared" si="97"/>
        <v>9.8136211885457181E-2</v>
      </c>
      <c r="H52" s="190">
        <f t="shared" si="98"/>
        <v>-2.3949519061164493E-2</v>
      </c>
      <c r="I52" s="130">
        <f t="shared" si="99"/>
        <v>1412.8615228163574</v>
      </c>
      <c r="J52" s="130">
        <f t="shared" si="100"/>
        <v>-0.50067170021949647</v>
      </c>
      <c r="K52" s="136">
        <f>R50+R51+R52</f>
        <v>695963593696</v>
      </c>
      <c r="L52" s="190">
        <f>U52/U49-1</f>
        <v>0.1300334860385568</v>
      </c>
      <c r="M52" s="190">
        <f>K52/K40-1</f>
        <v>-0.2207334228686163</v>
      </c>
      <c r="N52" s="191">
        <f>AVERAGE(T50:T52)</f>
        <v>1484.1962156575339</v>
      </c>
      <c r="O52" s="192">
        <f>N52/N49-1</f>
        <v>-3.1564702120972732E-2</v>
      </c>
      <c r="P52" s="129" t="s">
        <v>1403</v>
      </c>
      <c r="Q52" s="116">
        <v>185447866</v>
      </c>
      <c r="R52" s="116">
        <v>272760449781</v>
      </c>
      <c r="S52" s="116">
        <v>131256.93</v>
      </c>
      <c r="T52" s="130">
        <f t="shared" si="101"/>
        <v>1412.8615228163574</v>
      </c>
      <c r="U52" s="85">
        <f t="shared" ref="U52" si="102">Q50+Q51+Q52</f>
        <v>480719930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4874403.0476190476</v>
      </c>
      <c r="G53" s="190">
        <f t="shared" ref="G53" si="103">F53/F52-1</f>
        <v>-0.42174116445417043</v>
      </c>
      <c r="H53" s="190">
        <f t="shared" ref="H53" si="104">F53/F41-1</f>
        <v>-0.38506108614131107</v>
      </c>
      <c r="I53" s="130">
        <f t="shared" ref="I53" si="105">T53</f>
        <v>985.52351258466672</v>
      </c>
      <c r="J53" s="130">
        <f t="shared" ref="J53" si="106">I53/I41-1</f>
        <v>-0.56796022698450632</v>
      </c>
      <c r="K53" s="136"/>
      <c r="L53" s="190"/>
      <c r="M53" s="190"/>
      <c r="N53" s="191"/>
      <c r="O53" s="192"/>
      <c r="P53" s="129" t="s">
        <v>1414</v>
      </c>
      <c r="Q53" s="116">
        <v>102362464</v>
      </c>
      <c r="R53" s="116">
        <v>149357279316</v>
      </c>
      <c r="S53" s="116">
        <v>103866.08</v>
      </c>
      <c r="T53" s="130">
        <f t="shared" ref="T53" si="107">Q53/S53</f>
        <v>985.52351258466672</v>
      </c>
      <c r="U53" s="85">
        <f t="shared" ref="U53" si="108">Q51+Q52+Q53</f>
        <v>441333151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9096721</v>
      </c>
      <c r="G54" s="190">
        <f t="shared" ref="G54" si="109">F54/F53-1</f>
        <v>0.86622257354023846</v>
      </c>
      <c r="H54" s="190">
        <f t="shared" ref="H54" si="110">F54/F42-1</f>
        <v>0.53833940257872293</v>
      </c>
      <c r="I54" s="130">
        <f t="shared" ref="I54" si="111">T54</f>
        <v>1639.6419499708798</v>
      </c>
      <c r="J54" s="130">
        <f t="shared" ref="J54" si="112">I54/I42-1</f>
        <v>-0.1800172468311495</v>
      </c>
      <c r="K54" s="136"/>
      <c r="L54" s="190"/>
      <c r="M54" s="190"/>
      <c r="N54" s="191"/>
      <c r="O54" s="192"/>
      <c r="P54" s="129" t="s">
        <v>1417</v>
      </c>
      <c r="Q54" s="116">
        <v>154644257</v>
      </c>
      <c r="R54" s="116">
        <v>224135735821</v>
      </c>
      <c r="S54" s="116">
        <v>94315.87</v>
      </c>
      <c r="T54" s="130">
        <f t="shared" ref="T54" si="113">Q54/S54</f>
        <v>1639.6419499708798</v>
      </c>
      <c r="U54" s="85">
        <f t="shared" ref="U54" si="114">Q52+Q53+Q54</f>
        <v>442454587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22776194.238095239</v>
      </c>
      <c r="C55" s="188">
        <f>AVERAGE(F53:F55)</f>
        <v>7592064.7460317463</v>
      </c>
      <c r="D55" s="190">
        <f>C55/C52-1</f>
        <v>-5.0222089944213955E-2</v>
      </c>
      <c r="E55" s="287">
        <f>C55/C43-1</f>
        <v>5.8722005838322877E-2</v>
      </c>
      <c r="F55" s="136">
        <f>Q55/21</f>
        <v>8805070.1904761903</v>
      </c>
      <c r="G55" s="190">
        <f t="shared" ref="G55" si="115">F55/F54-1</f>
        <v>-3.2061092070847286E-2</v>
      </c>
      <c r="H55" s="190">
        <f t="shared" ref="H55" si="116">F55/F43-1</f>
        <v>0.14755009722965107</v>
      </c>
      <c r="I55" s="130">
        <f>T55</f>
        <v>1401.9797171193625</v>
      </c>
      <c r="J55" s="130">
        <f t="shared" ref="J55" si="117">I55/I43-1</f>
        <v>-0.19627025802217402</v>
      </c>
      <c r="K55" s="136">
        <f>R53+R54+R55</f>
        <v>646057897601</v>
      </c>
      <c r="L55" s="190">
        <f>U55/U52-1</f>
        <v>-8.0726286925528523E-2</v>
      </c>
      <c r="M55" s="190">
        <f>K55/K43-1</f>
        <v>7.3428752393082108E-2</v>
      </c>
      <c r="N55" s="191">
        <f>AVERAGE(T53:T55)</f>
        <v>1342.3817265583029</v>
      </c>
      <c r="O55" s="192">
        <f>N55/N52-1</f>
        <v>-9.5549690534956544E-2</v>
      </c>
      <c r="P55" s="129" t="s">
        <v>1418</v>
      </c>
      <c r="Q55" s="116">
        <v>184906474</v>
      </c>
      <c r="R55" s="116">
        <v>272564882464</v>
      </c>
      <c r="S55" s="116">
        <v>131889.54999999999</v>
      </c>
      <c r="T55" s="130">
        <f t="shared" ref="T55" si="118">Q55/S55</f>
        <v>1401.9797171193625</v>
      </c>
      <c r="U55" s="85">
        <f t="shared" ref="U55" si="119">Q53+Q54+Q55</f>
        <v>441913195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10572963.863636363</v>
      </c>
      <c r="G56" s="190">
        <f t="shared" ref="G56" si="120">F56/F55-1</f>
        <v>0.20078132654437852</v>
      </c>
      <c r="H56" s="190">
        <f t="shared" ref="H56" si="121">F56/F44-1</f>
        <v>0.99052361665769095</v>
      </c>
      <c r="I56" s="291">
        <f>T56</f>
        <v>1870.9641547859212</v>
      </c>
      <c r="J56" s="130">
        <f t="shared" ref="J56" si="122">I56/I44-1</f>
        <v>0.39935574434438426</v>
      </c>
      <c r="K56" s="136"/>
      <c r="L56" s="190"/>
      <c r="M56" s="190"/>
      <c r="N56" s="191"/>
      <c r="O56" s="192"/>
      <c r="P56" s="129" t="s">
        <v>1420</v>
      </c>
      <c r="Q56" s="116">
        <v>232605205</v>
      </c>
      <c r="R56" s="116">
        <v>347594636624</v>
      </c>
      <c r="S56" s="116">
        <v>124323.71</v>
      </c>
      <c r="T56" s="130">
        <f t="shared" ref="T56" si="123">Q56/S56</f>
        <v>1870.9641547859212</v>
      </c>
      <c r="U56" s="85">
        <f t="shared" ref="U56" si="124">Q54+Q55+Q56</f>
        <v>572155936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7213864.083333333</v>
      </c>
      <c r="G57" s="254">
        <f t="shared" ref="G57" si="125">F57/F56-1</f>
        <v>-0.31770654129028053</v>
      </c>
      <c r="H57" s="254">
        <f t="shared" ref="H57" si="126">F57/F45-1</f>
        <v>-0.27309719167554514</v>
      </c>
      <c r="I57" s="282">
        <f>T57</f>
        <v>1460.2463680815249</v>
      </c>
      <c r="J57" s="277">
        <f t="shared" ref="J57" si="127">I57/I45-1</f>
        <v>-0.36498194196232314</v>
      </c>
      <c r="K57" s="204"/>
      <c r="L57" s="254"/>
      <c r="M57" s="254"/>
      <c r="N57" s="257"/>
      <c r="O57" s="258"/>
      <c r="P57" s="129" t="s">
        <v>1436</v>
      </c>
      <c r="Q57" s="116">
        <v>86566369</v>
      </c>
      <c r="R57" s="116">
        <v>127500459166</v>
      </c>
      <c r="S57" s="116">
        <v>59282.03</v>
      </c>
      <c r="T57" s="130">
        <f t="shared" ref="T57" si="128">Q57/S57</f>
        <v>1460.2463680815249</v>
      </c>
      <c r="U57" s="85">
        <f t="shared" ref="U57" si="129">Q55+Q56+Q57</f>
        <v>504078048</v>
      </c>
      <c r="V57" s="79"/>
      <c r="W57" s="79"/>
      <c r="X57" s="79"/>
      <c r="Y57" s="79"/>
      <c r="Z57" s="79"/>
    </row>
    <row r="58" spans="1:26">
      <c r="B58" s="196">
        <f>SUM(F56:F58)</f>
        <v>17786827.946969695</v>
      </c>
      <c r="C58" s="196">
        <f>AVERAGE(F56:F58)</f>
        <v>8893413.9734848477</v>
      </c>
      <c r="D58" s="197">
        <f>C58/C55-1</f>
        <v>0.1714091319009492</v>
      </c>
      <c r="E58" s="233">
        <f>C58/C46-1</f>
        <v>-0.31157084323691964</v>
      </c>
    </row>
    <row r="60" spans="1:26">
      <c r="P60" s="266"/>
      <c r="Q60" s="266"/>
      <c r="R60" s="266"/>
      <c r="S60" s="266"/>
      <c r="T60" s="266"/>
      <c r="U60" s="266"/>
    </row>
    <row r="61" spans="1:26">
      <c r="P61" s="266" t="s">
        <v>971</v>
      </c>
      <c r="Q61" s="266" t="s">
        <v>9</v>
      </c>
      <c r="R61" s="266" t="s">
        <v>10</v>
      </c>
      <c r="S61" s="266" t="s">
        <v>972</v>
      </c>
      <c r="T61" s="266" t="s">
        <v>973</v>
      </c>
      <c r="U61" s="266" t="s">
        <v>974</v>
      </c>
    </row>
    <row r="62" spans="1:26" ht="18" thickBot="1">
      <c r="P62" s="179"/>
      <c r="Q62" s="179"/>
      <c r="R62" s="179"/>
      <c r="S62" s="179"/>
      <c r="T62" s="179"/>
      <c r="U62" s="179"/>
    </row>
    <row r="63" spans="1:26" ht="18" thickBot="1">
      <c r="P63" s="211" t="s">
        <v>1415</v>
      </c>
      <c r="Q63" s="212">
        <v>761084769</v>
      </c>
      <c r="R63" s="212">
        <v>1121152993391</v>
      </c>
      <c r="S63" s="213">
        <v>513677.25</v>
      </c>
      <c r="T63" s="214">
        <v>50</v>
      </c>
      <c r="U63" s="214">
        <v>152</v>
      </c>
    </row>
    <row r="64" spans="1:26" ht="18" thickBot="1">
      <c r="P64" s="180" t="s">
        <v>976</v>
      </c>
      <c r="Q64" s="181">
        <v>102362464</v>
      </c>
      <c r="R64" s="181">
        <v>149357279316</v>
      </c>
      <c r="S64" s="182">
        <v>103866.08</v>
      </c>
      <c r="T64" s="210">
        <v>25</v>
      </c>
      <c r="U64" s="210">
        <v>67</v>
      </c>
    </row>
    <row r="65" spans="16:21" ht="18" thickBot="1">
      <c r="P65" s="180" t="s">
        <v>977</v>
      </c>
      <c r="Q65" s="181">
        <v>154644257</v>
      </c>
      <c r="R65" s="181">
        <v>224135735821</v>
      </c>
      <c r="S65" s="182">
        <v>94315.87</v>
      </c>
      <c r="T65" s="210">
        <v>23</v>
      </c>
      <c r="U65" s="210">
        <v>65</v>
      </c>
    </row>
    <row r="66" spans="16:21" ht="18" thickBot="1">
      <c r="P66" s="180" t="s">
        <v>978</v>
      </c>
      <c r="Q66" s="181">
        <v>184906474</v>
      </c>
      <c r="R66" s="181">
        <v>272564882464</v>
      </c>
      <c r="S66" s="182">
        <v>131889.54999999999</v>
      </c>
      <c r="T66" s="210">
        <v>22</v>
      </c>
      <c r="U66" s="210">
        <v>65</v>
      </c>
    </row>
    <row r="67" spans="16:21" ht="18" thickBot="1">
      <c r="P67" s="180" t="s">
        <v>979</v>
      </c>
      <c r="Q67" s="181">
        <v>232605205</v>
      </c>
      <c r="R67" s="181">
        <v>347594636624</v>
      </c>
      <c r="S67" s="182">
        <v>124323.71</v>
      </c>
      <c r="T67" s="210">
        <v>23</v>
      </c>
      <c r="U67" s="210">
        <v>71</v>
      </c>
    </row>
    <row r="68" spans="16:21" ht="18" thickBot="1">
      <c r="P68" s="180" t="s">
        <v>980</v>
      </c>
      <c r="Q68" s="181">
        <v>86566369</v>
      </c>
      <c r="R68" s="181">
        <v>127500459166</v>
      </c>
      <c r="S68" s="182">
        <v>59282.03</v>
      </c>
      <c r="T68" s="210">
        <v>11</v>
      </c>
      <c r="U68" s="210">
        <v>40</v>
      </c>
    </row>
    <row r="69" spans="16:21" ht="18" thickBot="1">
      <c r="P69" s="180" t="s">
        <v>975</v>
      </c>
      <c r="Q69" s="181">
        <v>2084741082</v>
      </c>
      <c r="R69" s="181">
        <v>2948192804782</v>
      </c>
      <c r="S69" s="182">
        <v>1144867.8400000001</v>
      </c>
      <c r="T69" s="210">
        <v>67</v>
      </c>
      <c r="U69" s="210">
        <v>267</v>
      </c>
    </row>
    <row r="70" spans="16:21" ht="18" thickBot="1">
      <c r="P70" s="215" t="s">
        <v>982</v>
      </c>
      <c r="Q70" s="216">
        <v>2433217648</v>
      </c>
      <c r="R70" s="217"/>
      <c r="S70"/>
      <c r="T70"/>
      <c r="U70"/>
    </row>
  </sheetData>
  <phoneticPr fontId="1" type="noConversion"/>
  <conditionalFormatting sqref="C29:C30">
    <cfRule type="cellIs" dxfId="17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0000"/>
  </sheetPr>
  <dimension ref="A1:Z58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199218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424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1105790.25</v>
      </c>
      <c r="G5" s="90"/>
      <c r="H5" s="90"/>
      <c r="I5" s="130">
        <f t="shared" ref="I5:I49" si="0">T5</f>
        <v>316.28210793672594</v>
      </c>
      <c r="J5" s="130"/>
      <c r="L5" s="80"/>
      <c r="M5" s="80"/>
      <c r="P5" s="129" t="s">
        <v>0</v>
      </c>
      <c r="Q5" s="116">
        <f>보톡스!Q5+'보톡스 (2)'!Q5</f>
        <v>22115805</v>
      </c>
      <c r="R5" s="116">
        <f>보톡스!R5+'보톡스 (2)'!R5</f>
        <v>26069941774</v>
      </c>
      <c r="S5" s="116">
        <f>보톡스!S5+'보톡스 (2)'!S5</f>
        <v>69924.299999999988</v>
      </c>
      <c r="T5" s="130">
        <f t="shared" ref="T5:T17" si="1">Q5/S5</f>
        <v>316.28210793672594</v>
      </c>
      <c r="U5" s="85"/>
    </row>
    <row r="6" spans="1:21" ht="15" hidden="1" customHeight="1">
      <c r="A6" s="129" t="s">
        <v>1</v>
      </c>
      <c r="C6" s="79"/>
      <c r="F6" s="78">
        <f>Q6/18</f>
        <v>761590.88888888888</v>
      </c>
      <c r="G6" s="90">
        <f t="shared" ref="G6:G16" si="2">F6/F5-1</f>
        <v>-0.31127002712414142</v>
      </c>
      <c r="H6" s="90"/>
      <c r="I6" s="130">
        <f t="shared" si="0"/>
        <v>125.04439700210207</v>
      </c>
      <c r="J6" s="130"/>
      <c r="P6" s="129" t="s">
        <v>1</v>
      </c>
      <c r="Q6" s="116">
        <f>보톡스!Q6+'보톡스 (2)'!Q6</f>
        <v>13708636</v>
      </c>
      <c r="R6" s="116">
        <f>보톡스!R6+'보톡스 (2)'!R6</f>
        <v>16295467592</v>
      </c>
      <c r="S6" s="116">
        <f>보톡스!S6+'보톡스 (2)'!S6</f>
        <v>109630.15</v>
      </c>
      <c r="T6" s="130">
        <f t="shared" si="1"/>
        <v>125.04439700210207</v>
      </c>
      <c r="U6" s="85"/>
    </row>
    <row r="7" spans="1:21" ht="15" hidden="1" customHeight="1">
      <c r="A7" s="129" t="s">
        <v>2</v>
      </c>
      <c r="B7" s="131">
        <f>F5+F6+F7</f>
        <v>2769266.8661616165</v>
      </c>
      <c r="C7" s="131">
        <f>AVERAGE(F5:F7)</f>
        <v>923088.95538720547</v>
      </c>
      <c r="F7" s="78">
        <f>Q7/22</f>
        <v>901885.72727272729</v>
      </c>
      <c r="G7" s="90">
        <f t="shared" si="2"/>
        <v>0.18421286340297405</v>
      </c>
      <c r="H7" s="90"/>
      <c r="I7" s="130">
        <f t="shared" si="0"/>
        <v>581.61700281553055</v>
      </c>
      <c r="J7" s="130"/>
      <c r="K7" s="79">
        <f>R5+R6+R7</f>
        <v>66387507862</v>
      </c>
      <c r="N7" s="88">
        <f>AVERAGE(T5:T7)</f>
        <v>340.98116925145285</v>
      </c>
      <c r="P7" s="129" t="s">
        <v>2</v>
      </c>
      <c r="Q7" s="116">
        <f>보톡스!Q7+'보톡스 (2)'!Q7</f>
        <v>19841486</v>
      </c>
      <c r="R7" s="116">
        <f>보톡스!R7+'보톡스 (2)'!R7</f>
        <v>24022098496</v>
      </c>
      <c r="S7" s="116">
        <f>보톡스!S7+'보톡스 (2)'!S7</f>
        <v>34114.350000000006</v>
      </c>
      <c r="T7" s="130">
        <f t="shared" si="1"/>
        <v>581.61700281553055</v>
      </c>
      <c r="U7" s="85">
        <f>Q5+Q6+Q7</f>
        <v>55665927</v>
      </c>
    </row>
    <row r="8" spans="1:21" ht="15" hidden="1" customHeight="1">
      <c r="A8" s="129" t="s">
        <v>3</v>
      </c>
      <c r="C8" s="79"/>
      <c r="F8" s="78">
        <f>Q8/21</f>
        <v>1259706.7142857143</v>
      </c>
      <c r="G8" s="90">
        <f t="shared" si="2"/>
        <v>0.39674758807307642</v>
      </c>
      <c r="H8" s="90"/>
      <c r="I8" s="130">
        <f t="shared" si="0"/>
        <v>370.98363000702591</v>
      </c>
      <c r="J8" s="130"/>
      <c r="K8" s="78"/>
      <c r="P8" s="129" t="s">
        <v>3</v>
      </c>
      <c r="Q8" s="116">
        <f>보톡스!Q8+'보톡스 (2)'!Q8</f>
        <v>26453841</v>
      </c>
      <c r="R8" s="116">
        <f>보톡스!R8+'보톡스 (2)'!R8</f>
        <v>31990131882</v>
      </c>
      <c r="S8" s="116">
        <f>보톡스!S8+'보톡스 (2)'!S8</f>
        <v>71307.3</v>
      </c>
      <c r="T8" s="130">
        <f t="shared" si="1"/>
        <v>370.98363000702591</v>
      </c>
      <c r="U8" s="85"/>
    </row>
    <row r="9" spans="1:21" ht="15" hidden="1" customHeight="1">
      <c r="A9" s="129" t="s">
        <v>4</v>
      </c>
      <c r="C9" s="79"/>
      <c r="F9" s="78">
        <f>Q9/21</f>
        <v>1037627.8095238095</v>
      </c>
      <c r="G9" s="90">
        <f t="shared" si="2"/>
        <v>-0.1762941343754203</v>
      </c>
      <c r="H9" s="90"/>
      <c r="I9" s="130">
        <f t="shared" si="0"/>
        <v>905.08989348357397</v>
      </c>
      <c r="J9" s="130"/>
      <c r="K9" s="78"/>
      <c r="P9" s="129" t="s">
        <v>4</v>
      </c>
      <c r="Q9" s="116">
        <f>보톡스!Q9+'보톡스 (2)'!Q9</f>
        <v>21790184</v>
      </c>
      <c r="R9" s="116">
        <f>보톡스!R9+'보톡스 (2)'!R9</f>
        <v>27410595374</v>
      </c>
      <c r="S9" s="116">
        <f>보톡스!S9+'보톡스 (2)'!S9</f>
        <v>24075.16</v>
      </c>
      <c r="T9" s="130">
        <f t="shared" si="1"/>
        <v>905.08989348357397</v>
      </c>
      <c r="U9" s="85"/>
    </row>
    <row r="10" spans="1:21" ht="15" hidden="1" customHeight="1">
      <c r="A10" s="129" t="s">
        <v>5</v>
      </c>
      <c r="B10" s="131">
        <f>F8+F9+F10</f>
        <v>3606595.8095238097</v>
      </c>
      <c r="C10" s="131">
        <f>AVERAGE(F8:F10)</f>
        <v>1202198.6031746033</v>
      </c>
      <c r="D10" s="90">
        <f>C10/C7-1</f>
        <v>0.30236484377642725</v>
      </c>
      <c r="E10" s="286"/>
      <c r="F10" s="78">
        <f>Q10/21</f>
        <v>1309261.2857142857</v>
      </c>
      <c r="G10" s="90">
        <f t="shared" si="2"/>
        <v>0.26178314969712968</v>
      </c>
      <c r="H10" s="90"/>
      <c r="I10" s="130">
        <f t="shared" si="0"/>
        <v>430.16837506438173</v>
      </c>
      <c r="J10" s="130"/>
      <c r="K10" s="79">
        <f>R8+R9+R10</f>
        <v>93990901350</v>
      </c>
      <c r="L10" s="87">
        <f>U10/U7-1</f>
        <v>0.36059015059607291</v>
      </c>
      <c r="N10" s="88">
        <f>AVERAGE(T8:T10)</f>
        <v>568.74729951832717</v>
      </c>
      <c r="O10" s="89">
        <f>N10/N7-1</f>
        <v>0.66797275276779478</v>
      </c>
      <c r="P10" s="129" t="s">
        <v>5</v>
      </c>
      <c r="Q10" s="116">
        <f>보톡스!Q10+'보톡스 (2)'!Q10</f>
        <v>27494487</v>
      </c>
      <c r="R10" s="116">
        <f>보톡스!R10+'보톡스 (2)'!R10</f>
        <v>34590174094</v>
      </c>
      <c r="S10" s="116">
        <f>보톡스!S10+'보톡스 (2)'!S10</f>
        <v>63915.64</v>
      </c>
      <c r="T10" s="130">
        <f t="shared" si="1"/>
        <v>430.16837506438173</v>
      </c>
      <c r="U10" s="85">
        <f>Q8+Q9+Q10</f>
        <v>75738512</v>
      </c>
    </row>
    <row r="11" spans="1:21" ht="15" hidden="1" customHeight="1">
      <c r="A11" s="129" t="s">
        <v>6</v>
      </c>
      <c r="C11" s="79"/>
      <c r="F11" s="78">
        <f>Q11/21</f>
        <v>1248899.3333333333</v>
      </c>
      <c r="G11" s="90">
        <f t="shared" si="2"/>
        <v>-4.6103824377592528E-2</v>
      </c>
      <c r="H11" s="90"/>
      <c r="I11" s="130">
        <f t="shared" si="0"/>
        <v>269.8436686058003</v>
      </c>
      <c r="J11" s="130"/>
      <c r="K11" s="78"/>
      <c r="O11" s="89"/>
      <c r="P11" s="129" t="s">
        <v>6</v>
      </c>
      <c r="Q11" s="116">
        <f>보톡스!Q11+'보톡스 (2)'!Q11</f>
        <v>26226886</v>
      </c>
      <c r="R11" s="116">
        <f>보톡스!R11+'보톡스 (2)'!R11</f>
        <v>33904765866</v>
      </c>
      <c r="S11" s="116">
        <f>보톡스!S11+'보톡스 (2)'!S11</f>
        <v>97192.89</v>
      </c>
      <c r="T11" s="130">
        <f t="shared" si="1"/>
        <v>269.8436686058003</v>
      </c>
      <c r="U11" s="85"/>
    </row>
    <row r="12" spans="1:21" ht="15" hidden="1" customHeight="1">
      <c r="A12" s="129" t="s">
        <v>7</v>
      </c>
      <c r="C12" s="79"/>
      <c r="F12" s="78">
        <f>Q12/22</f>
        <v>929322.90909090906</v>
      </c>
      <c r="G12" s="90">
        <f t="shared" si="2"/>
        <v>-0.25588645594795012</v>
      </c>
      <c r="H12" s="90"/>
      <c r="I12" s="130">
        <f t="shared" si="0"/>
        <v>237.03698894412707</v>
      </c>
      <c r="J12" s="130"/>
      <c r="K12" s="78"/>
      <c r="O12" s="89"/>
      <c r="P12" s="129" t="s">
        <v>7</v>
      </c>
      <c r="Q12" s="116">
        <f>보톡스!Q12+'보톡스 (2)'!Q12</f>
        <v>20445104</v>
      </c>
      <c r="R12" s="116">
        <f>보톡스!R12+'보톡스 (2)'!R12</f>
        <v>26529617471</v>
      </c>
      <c r="S12" s="116">
        <f>보톡스!S12+'보톡스 (2)'!S12</f>
        <v>86252.799999999988</v>
      </c>
      <c r="T12" s="130">
        <f t="shared" si="1"/>
        <v>237.03698894412707</v>
      </c>
      <c r="U12" s="85"/>
    </row>
    <row r="13" spans="1:21" ht="15" hidden="1" customHeight="1">
      <c r="A13" s="129" t="s">
        <v>35</v>
      </c>
      <c r="B13" s="131">
        <f>F11+F12+F13</f>
        <v>4085313.792424242</v>
      </c>
      <c r="C13" s="131">
        <f>AVERAGE(F11:F13)</f>
        <v>1361771.2641414141</v>
      </c>
      <c r="D13" s="90">
        <f>C13/C10-1</f>
        <v>0.132734026262743</v>
      </c>
      <c r="E13" s="286"/>
      <c r="F13" s="78">
        <f>Q13/20</f>
        <v>1907091.55</v>
      </c>
      <c r="G13" s="90">
        <f t="shared" si="2"/>
        <v>1.0521301383451021</v>
      </c>
      <c r="H13" s="90"/>
      <c r="I13" s="130">
        <f t="shared" si="0"/>
        <v>522.33327700329301</v>
      </c>
      <c r="J13" s="130"/>
      <c r="K13" s="78">
        <f>R11+R12+R13</f>
        <v>112388405912</v>
      </c>
      <c r="L13" s="87">
        <f>U13/U10-1</f>
        <v>0.11982423156134892</v>
      </c>
      <c r="N13" s="88">
        <f>AVERAGE(T11:T13)</f>
        <v>343.07131151774018</v>
      </c>
      <c r="O13" s="89">
        <f>N13/N10-1</f>
        <v>-0.39679482995648907</v>
      </c>
      <c r="P13" s="129" t="s">
        <v>35</v>
      </c>
      <c r="Q13" s="116">
        <f>보톡스!Q13+'보톡스 (2)'!Q13</f>
        <v>38141831</v>
      </c>
      <c r="R13" s="116">
        <f>보톡스!R13+'보톡스 (2)'!R13</f>
        <v>51954022575</v>
      </c>
      <c r="S13" s="116">
        <f>보톡스!S13+'보톡스 (2)'!S13</f>
        <v>73022.02</v>
      </c>
      <c r="T13" s="130">
        <f t="shared" si="1"/>
        <v>522.33327700329301</v>
      </c>
      <c r="U13" s="85">
        <f>Q11+Q12+Q13</f>
        <v>84813821</v>
      </c>
    </row>
    <row r="14" spans="1:21" ht="15" hidden="1" customHeight="1">
      <c r="A14" s="129" t="s">
        <v>36</v>
      </c>
      <c r="C14" s="79"/>
      <c r="F14" s="78">
        <f>Q14/20</f>
        <v>1134795.8</v>
      </c>
      <c r="G14" s="90">
        <f t="shared" si="2"/>
        <v>-0.40495997688207463</v>
      </c>
      <c r="H14" s="90"/>
      <c r="I14" s="130">
        <f t="shared" si="0"/>
        <v>173.35921306114045</v>
      </c>
      <c r="J14" s="130"/>
      <c r="O14" s="89"/>
      <c r="P14" s="129" t="s">
        <v>36</v>
      </c>
      <c r="Q14" s="116">
        <f>보톡스!Q14+'보톡스 (2)'!Q14</f>
        <v>22695916</v>
      </c>
      <c r="R14" s="116">
        <f>보톡스!R14+'보톡스 (2)'!R14</f>
        <v>32351650394</v>
      </c>
      <c r="S14" s="116">
        <f>보톡스!S14+'보톡스 (2)'!S14</f>
        <v>130918.43</v>
      </c>
      <c r="T14" s="130">
        <f t="shared" si="1"/>
        <v>173.35921306114045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1129672.0909090908</v>
      </c>
      <c r="G15" s="90">
        <f t="shared" si="2"/>
        <v>-4.5150934563814582E-3</v>
      </c>
      <c r="H15" s="90"/>
      <c r="I15" s="130">
        <f t="shared" si="0"/>
        <v>447.2647740999198</v>
      </c>
      <c r="J15" s="130"/>
      <c r="O15" s="89"/>
      <c r="P15" s="129" t="s">
        <v>37</v>
      </c>
      <c r="Q15" s="116">
        <f>보톡스!Q15+'보톡스 (2)'!Q15</f>
        <v>24852786</v>
      </c>
      <c r="R15" s="116">
        <f>보톡스!R15+'보톡스 (2)'!R15</f>
        <v>34770336443</v>
      </c>
      <c r="S15" s="116">
        <f>보톡스!S15+'보톡스 (2)'!S15</f>
        <v>55566.16</v>
      </c>
      <c r="T15" s="130">
        <f t="shared" si="1"/>
        <v>447.2647740999198</v>
      </c>
      <c r="U15" s="85"/>
    </row>
    <row r="16" spans="1:21" ht="15" hidden="1" customHeight="1">
      <c r="A16" s="129" t="s">
        <v>38</v>
      </c>
      <c r="B16" s="131">
        <f>F14+F15+F16</f>
        <v>3743448.709090909</v>
      </c>
      <c r="C16" s="131">
        <f>AVERAGE(F14:F16)</f>
        <v>1247816.2363636363</v>
      </c>
      <c r="D16" s="90">
        <f>C16/C13-1</f>
        <v>-8.3681474839774617E-2</v>
      </c>
      <c r="E16" s="286"/>
      <c r="F16" s="78">
        <f>Q16/22</f>
        <v>1478980.8181818181</v>
      </c>
      <c r="G16" s="90">
        <f t="shared" si="2"/>
        <v>0.30921249633743275</v>
      </c>
      <c r="H16" s="90"/>
      <c r="I16" s="130">
        <f t="shared" si="0"/>
        <v>341.46284588804684</v>
      </c>
      <c r="J16" s="130"/>
      <c r="K16" s="78">
        <f>R14+R15+R16</f>
        <v>109843815281</v>
      </c>
      <c r="L16" s="87">
        <f>U16/U13-1</f>
        <v>-5.5740219509742395E-2</v>
      </c>
      <c r="N16" s="88">
        <f>AVERAGE(T14:T16)</f>
        <v>320.69561101636901</v>
      </c>
      <c r="O16" s="89">
        <f>N16/N13-1</f>
        <v>-6.5221718488735037E-2</v>
      </c>
      <c r="P16" s="129" t="s">
        <v>38</v>
      </c>
      <c r="Q16" s="116">
        <f>보톡스!Q16+'보톡스 (2)'!Q16</f>
        <v>32537578</v>
      </c>
      <c r="R16" s="116">
        <f>보톡스!R16+'보톡스 (2)'!R16</f>
        <v>42721828444</v>
      </c>
      <c r="S16" s="116">
        <f>보톡스!S16+'보톡스 (2)'!S16</f>
        <v>95288.78</v>
      </c>
      <c r="T16" s="130">
        <f t="shared" si="1"/>
        <v>341.46284588804684</v>
      </c>
      <c r="U16" s="85">
        <f>Q14+Q15+Q16</f>
        <v>80086280</v>
      </c>
    </row>
    <row r="17" spans="1:21" ht="15" hidden="1" customHeight="1">
      <c r="A17" s="129" t="s">
        <v>85</v>
      </c>
      <c r="C17" s="79"/>
      <c r="F17" s="78">
        <f>Q17/20</f>
        <v>1256329.55</v>
      </c>
      <c r="G17" s="90">
        <f t="shared" ref="G17:G22" si="3">F17/F16-1</f>
        <v>-0.15054371594591331</v>
      </c>
      <c r="H17" s="90">
        <f t="shared" ref="H17:H22" si="4">F17/F5-1</f>
        <v>0.13613730090313236</v>
      </c>
      <c r="I17" s="130">
        <f t="shared" si="0"/>
        <v>266.29761126296029</v>
      </c>
      <c r="J17" s="130">
        <f t="shared" ref="J17:J49" si="5">I17/I5-1</f>
        <v>-0.15803769931799405</v>
      </c>
      <c r="O17" s="89"/>
      <c r="P17" s="129" t="s">
        <v>85</v>
      </c>
      <c r="Q17" s="116">
        <f>보톡스!Q17+'보톡스 (2)'!Q17</f>
        <v>25126591</v>
      </c>
      <c r="R17" s="116">
        <f>보톡스!R17+'보톡스 (2)'!R17</f>
        <v>31606799365</v>
      </c>
      <c r="S17" s="116">
        <f>보톡스!S17+'보톡스 (2)'!S17</f>
        <v>94355.3</v>
      </c>
      <c r="T17" s="130">
        <f t="shared" si="1"/>
        <v>266.29761126296029</v>
      </c>
      <c r="U17" s="78"/>
    </row>
    <row r="18" spans="1:21" ht="15" hidden="1" customHeight="1">
      <c r="A18" s="129" t="s">
        <v>107</v>
      </c>
      <c r="C18" s="79"/>
      <c r="F18" s="78">
        <f>Q18/20</f>
        <v>1374462.2</v>
      </c>
      <c r="G18" s="90">
        <f t="shared" si="3"/>
        <v>9.4029986001682442E-2</v>
      </c>
      <c r="H18" s="90">
        <f t="shared" si="4"/>
        <v>0.80472510904804828</v>
      </c>
      <c r="I18" s="130">
        <f t="shared" si="0"/>
        <v>194.91933634557816</v>
      </c>
      <c r="J18" s="130">
        <f t="shared" si="5"/>
        <v>0.55880104201951131</v>
      </c>
      <c r="O18" s="89"/>
      <c r="P18" s="129" t="s">
        <v>112</v>
      </c>
      <c r="Q18" s="116">
        <f>보톡스!Q18+'보톡스 (2)'!Q18</f>
        <v>27489244</v>
      </c>
      <c r="R18" s="116">
        <f>보톡스!R18+'보톡스 (2)'!R18</f>
        <v>34398135267</v>
      </c>
      <c r="S18" s="116">
        <f>보톡스!S18+'보톡스 (2)'!S18</f>
        <v>141028.82</v>
      </c>
      <c r="T18" s="130">
        <f t="shared" ref="T18" si="6">Q18/S18</f>
        <v>194.91933634557816</v>
      </c>
      <c r="U18" s="78"/>
    </row>
    <row r="19" spans="1:21" hidden="1">
      <c r="A19" s="129" t="s">
        <v>114</v>
      </c>
      <c r="B19" s="131">
        <f>SUM(F17:F19)</f>
        <v>3677485.2954545454</v>
      </c>
      <c r="C19" s="131">
        <f>AVERAGE(F17:F19)</f>
        <v>1225828.4318181819</v>
      </c>
      <c r="D19" s="90">
        <f>C19/C16-1</f>
        <v>-1.7621027764096797E-2</v>
      </c>
      <c r="E19" s="286">
        <f>C19/C7-1</f>
        <v>0.32796349112853074</v>
      </c>
      <c r="F19" s="78">
        <f>Q19/22</f>
        <v>1046693.5454545454</v>
      </c>
      <c r="G19" s="90">
        <f t="shared" si="3"/>
        <v>-0.23847047561253742</v>
      </c>
      <c r="H19" s="90">
        <f t="shared" si="4"/>
        <v>0.16056115958250294</v>
      </c>
      <c r="I19" s="130">
        <f t="shared" si="0"/>
        <v>529.5110028610336</v>
      </c>
      <c r="J19" s="130">
        <f t="shared" si="5"/>
        <v>-8.9588164895900158E-2</v>
      </c>
      <c r="K19" s="78">
        <f>R17+R18+R19</f>
        <v>96077161448</v>
      </c>
      <c r="L19" s="87">
        <f>U19/U16-1</f>
        <v>-5.548000231750061E-2</v>
      </c>
      <c r="M19" s="87">
        <f>U19/U7-1</f>
        <v>0.35887601404715674</v>
      </c>
      <c r="N19" s="88">
        <f>AVERAGE(T17:T19)</f>
        <v>330.24265015652401</v>
      </c>
      <c r="O19" s="89">
        <f>N19/N16-1</f>
        <v>2.9769784219677575E-2</v>
      </c>
      <c r="P19" s="129" t="s">
        <v>115</v>
      </c>
      <c r="Q19" s="116">
        <f>보톡스!Q19+'보톡스 (2)'!Q19</f>
        <v>23027258</v>
      </c>
      <c r="R19" s="116">
        <f>보톡스!R19+'보톡스 (2)'!R19</f>
        <v>30072226816</v>
      </c>
      <c r="S19" s="116">
        <f>보톡스!S19+'보톡스 (2)'!S19</f>
        <v>43487.78</v>
      </c>
      <c r="T19" s="130">
        <f t="shared" ref="T19" si="7">Q19/S19</f>
        <v>529.5110028610336</v>
      </c>
      <c r="U19" s="85">
        <f>Q17+Q18+Q19</f>
        <v>75643093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1270036.5</v>
      </c>
      <c r="G20" s="90">
        <f t="shared" si="3"/>
        <v>0.21337950875436418</v>
      </c>
      <c r="H20" s="90">
        <f t="shared" si="4"/>
        <v>8.2001513504219581E-3</v>
      </c>
      <c r="I20" s="130">
        <f t="shared" si="0"/>
        <v>331.54352832579508</v>
      </c>
      <c r="J20" s="130">
        <f t="shared" si="5"/>
        <v>-0.10631224261966465</v>
      </c>
      <c r="O20" s="89"/>
      <c r="P20" s="129" t="s">
        <v>132</v>
      </c>
      <c r="Q20" s="116">
        <f>보톡스!Q20+'보톡스 (2)'!Q20</f>
        <v>25400730</v>
      </c>
      <c r="R20" s="116">
        <f>보톡스!R20+'보톡스 (2)'!R20</f>
        <v>33320714168</v>
      </c>
      <c r="S20" s="116">
        <f>보톡스!S20+'보톡스 (2)'!S20</f>
        <v>76613.56</v>
      </c>
      <c r="T20" s="130">
        <f t="shared" ref="T20" si="8">Q20/S20</f>
        <v>331.54352832579508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1127563.6666666667</v>
      </c>
      <c r="G21" s="90">
        <f t="shared" si="3"/>
        <v>-0.11218010925932698</v>
      </c>
      <c r="H21" s="90">
        <f t="shared" si="4"/>
        <v>8.6674486089699965E-2</v>
      </c>
      <c r="I21" s="130">
        <f t="shared" si="0"/>
        <v>572.29388734489248</v>
      </c>
      <c r="J21" s="130">
        <f t="shared" si="5"/>
        <v>-0.36769387055885983</v>
      </c>
      <c r="O21" s="89"/>
      <c r="P21" s="129" t="s">
        <v>141</v>
      </c>
      <c r="Q21" s="116">
        <f>보톡스!Q21+'보톡스 (2)'!Q21</f>
        <v>23678837</v>
      </c>
      <c r="R21" s="116">
        <f>보톡스!R21+'보톡스 (2)'!R21</f>
        <v>31549671582</v>
      </c>
      <c r="S21" s="116">
        <f>보톡스!S21+'보톡스 (2)'!S21</f>
        <v>41375.31</v>
      </c>
      <c r="T21" s="130">
        <f t="shared" ref="T21" si="9">Q21/S21</f>
        <v>572.29388734489248</v>
      </c>
      <c r="U21" s="78"/>
    </row>
    <row r="22" spans="1:21" hidden="1">
      <c r="A22" s="129" t="s">
        <v>156</v>
      </c>
      <c r="B22" s="131">
        <f>SUM(F20:F22)</f>
        <v>4381931.7380952388</v>
      </c>
      <c r="C22" s="131">
        <f>AVERAGE(F20:F22)</f>
        <v>1460643.912698413</v>
      </c>
      <c r="D22" s="90">
        <f>C22/C19-1</f>
        <v>0.1915565627173017</v>
      </c>
      <c r="E22" s="286">
        <f>C22/C10-1</f>
        <v>0.21497721661075153</v>
      </c>
      <c r="F22" s="78">
        <f>Q22/21</f>
        <v>1984331.5714285714</v>
      </c>
      <c r="G22" s="90">
        <f t="shared" si="3"/>
        <v>0.75983993639552461</v>
      </c>
      <c r="H22" s="90">
        <f t="shared" si="4"/>
        <v>0.51561158424232456</v>
      </c>
      <c r="I22" s="130">
        <f t="shared" si="0"/>
        <v>593.11595739684037</v>
      </c>
      <c r="J22" s="130">
        <f t="shared" si="5"/>
        <v>0.37879953938517885</v>
      </c>
      <c r="K22" s="78">
        <f>R20+R21+R22</f>
        <v>119053577214</v>
      </c>
      <c r="L22" s="87">
        <f>U22/U19-1</f>
        <v>0.19971997972108313</v>
      </c>
      <c r="M22" s="87">
        <f>U22/U10-1</f>
        <v>0.1982085151078754</v>
      </c>
      <c r="N22" s="88">
        <f>AVERAGE(T20:T22)</f>
        <v>498.984457689176</v>
      </c>
      <c r="O22" s="89">
        <f>N22/N19-1</f>
        <v>0.51096309774850091</v>
      </c>
      <c r="P22" s="129" t="s">
        <v>156</v>
      </c>
      <c r="Q22" s="116">
        <f>보톡스!Q22+'보톡스 (2)'!Q22</f>
        <v>41670963</v>
      </c>
      <c r="R22" s="116">
        <f>보톡스!R22+'보톡스 (2)'!R22</f>
        <v>54183191464</v>
      </c>
      <c r="S22" s="116">
        <f>보톡스!S22+'보톡스 (2)'!S22</f>
        <v>70257.700000000012</v>
      </c>
      <c r="T22" s="130">
        <f t="shared" ref="T22:T23" si="10">Q22/S22</f>
        <v>593.11595739684037</v>
      </c>
      <c r="U22" s="85">
        <f>Q20+Q21+Q22</f>
        <v>90750530</v>
      </c>
    </row>
    <row r="23" spans="1:21" hidden="1">
      <c r="A23" s="129" t="s">
        <v>189</v>
      </c>
      <c r="B23" s="131"/>
      <c r="C23" s="131"/>
      <c r="F23" s="78">
        <f>Q23/21</f>
        <v>1261223.1904761905</v>
      </c>
      <c r="G23" s="90">
        <f t="shared" ref="G23" si="11">F23/F22-1</f>
        <v>-0.36440904905413385</v>
      </c>
      <c r="H23" s="90">
        <f t="shared" ref="H23" si="12">F23/F11-1</f>
        <v>9.8677746187634252E-3</v>
      </c>
      <c r="I23" s="130">
        <f t="shared" si="0"/>
        <v>594.73451860986847</v>
      </c>
      <c r="J23" s="130">
        <f t="shared" si="5"/>
        <v>1.2039965646875461</v>
      </c>
      <c r="O23" s="89"/>
      <c r="P23" s="129" t="s">
        <v>189</v>
      </c>
      <c r="Q23" s="116">
        <f>보톡스!Q23+'보톡스 (2)'!Q23</f>
        <v>26485687</v>
      </c>
      <c r="R23" s="116">
        <f>보톡스!R23+'보톡스 (2)'!R23</f>
        <v>34097988829</v>
      </c>
      <c r="S23" s="116">
        <f>보톡스!S23+'보톡스 (2)'!S23</f>
        <v>44533.630000000005</v>
      </c>
      <c r="T23" s="130">
        <f t="shared" si="10"/>
        <v>594.73451860986847</v>
      </c>
      <c r="U23" s="78"/>
    </row>
    <row r="24" spans="1:21" hidden="1">
      <c r="A24" s="129" t="s">
        <v>204</v>
      </c>
      <c r="B24" s="131"/>
      <c r="C24" s="131"/>
      <c r="F24" s="78">
        <f>Q24/22</f>
        <v>1050864</v>
      </c>
      <c r="G24" s="90">
        <f t="shared" ref="G24" si="13">F24/F23-1</f>
        <v>-0.16678982123438979</v>
      </c>
      <c r="H24" s="90">
        <f t="shared" ref="H24" si="14">F24/F12-1</f>
        <v>0.13078456338495514</v>
      </c>
      <c r="I24" s="130">
        <f t="shared" si="0"/>
        <v>478.24676150784103</v>
      </c>
      <c r="J24" s="130">
        <f t="shared" si="5"/>
        <v>1.0176039344668291</v>
      </c>
      <c r="O24" s="89"/>
      <c r="P24" s="129" t="s">
        <v>204</v>
      </c>
      <c r="Q24" s="116">
        <f>보톡스!Q24+'보톡스 (2)'!Q24</f>
        <v>23119008</v>
      </c>
      <c r="R24" s="116">
        <f>보톡스!R24+'보톡스 (2)'!R24</f>
        <v>30398151168</v>
      </c>
      <c r="S24" s="116">
        <f>보톡스!S24+'보톡스 (2)'!S24</f>
        <v>48341.17</v>
      </c>
      <c r="T24" s="130">
        <f t="shared" ref="T24" si="15">Q24/S24</f>
        <v>478.24676150784103</v>
      </c>
      <c r="U24" s="78"/>
    </row>
    <row r="25" spans="1:21" s="79" customFormat="1" ht="13.2" hidden="1">
      <c r="A25" s="129" t="s">
        <v>219</v>
      </c>
      <c r="B25" s="131">
        <f>SUM(F23:F25)</f>
        <v>4226877.9273182955</v>
      </c>
      <c r="C25" s="131">
        <f>AVERAGE(F23:F25)</f>
        <v>1408959.3091060985</v>
      </c>
      <c r="D25" s="90">
        <f>C25/C22-1</f>
        <v>-3.5384807442103927E-2</v>
      </c>
      <c r="E25" s="286">
        <f>C25/C13-1</f>
        <v>3.4651961167968981E-2</v>
      </c>
      <c r="F25" s="78">
        <f>Q25/19</f>
        <v>1914790.7368421052</v>
      </c>
      <c r="G25" s="90">
        <f t="shared" ref="G25" si="16">F25/F24-1</f>
        <v>0.82211088860414394</v>
      </c>
      <c r="H25" s="90">
        <f t="shared" ref="H25" si="17">F25/F13-1</f>
        <v>4.0371354181214514E-3</v>
      </c>
      <c r="I25" s="130">
        <f t="shared" si="0"/>
        <v>967.11924340334519</v>
      </c>
      <c r="J25" s="130">
        <f t="shared" si="5"/>
        <v>0.85153672182606899</v>
      </c>
      <c r="K25" s="78">
        <f>R23+R24+R25</f>
        <v>112747503054</v>
      </c>
      <c r="L25" s="90">
        <f>U25/U22-1</f>
        <v>-5.2504497769875313E-2</v>
      </c>
      <c r="M25" s="90">
        <f>U25/U13-1</f>
        <v>1.3817299895025448E-2</v>
      </c>
      <c r="N25" s="88">
        <f>AVERAGE(T23:T25)</f>
        <v>680.03350784035149</v>
      </c>
      <c r="O25" s="91">
        <f>N25/N22-1</f>
        <v>0.36283504899055052</v>
      </c>
      <c r="P25" s="129" t="s">
        <v>219</v>
      </c>
      <c r="Q25" s="116">
        <f>보톡스!Q25+'보톡스 (2)'!Q25</f>
        <v>36381024</v>
      </c>
      <c r="R25" s="116">
        <f>보톡스!R25+'보톡스 (2)'!R25</f>
        <v>48251363057</v>
      </c>
      <c r="S25" s="116">
        <f>보톡스!S25+'보톡스 (2)'!S25</f>
        <v>37617.93</v>
      </c>
      <c r="T25" s="130">
        <f t="shared" ref="T25" si="18">Q25/S25</f>
        <v>967.11924340334519</v>
      </c>
      <c r="U25" s="85">
        <f>Q23+Q24+Q25</f>
        <v>85985719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1542535.105263158</v>
      </c>
      <c r="G26" s="90">
        <f t="shared" ref="G26" si="19">F26/F25-1</f>
        <v>-0.19441060812361954</v>
      </c>
      <c r="H26" s="90">
        <f t="shared" ref="H26" si="20">F26/F14-1</f>
        <v>0.35930632212699232</v>
      </c>
      <c r="I26" s="130">
        <f t="shared" si="0"/>
        <v>575.44984496635448</v>
      </c>
      <c r="J26" s="130">
        <f t="shared" si="5"/>
        <v>2.3194073438912324</v>
      </c>
      <c r="L26" s="90"/>
      <c r="M26" s="90"/>
      <c r="P26" s="129" t="s">
        <v>312</v>
      </c>
      <c r="Q26" s="116">
        <f>보톡스!Q26+'보톡스 (2)'!Q26</f>
        <v>29308167</v>
      </c>
      <c r="R26" s="116">
        <f>보톡스!R26+'보톡스 (2)'!R26</f>
        <v>39533845767</v>
      </c>
      <c r="S26" s="116">
        <f>보톡스!S26+'보톡스 (2)'!S26</f>
        <v>50930.879999999997</v>
      </c>
      <c r="T26" s="130">
        <f t="shared" ref="T26" si="21">Q26/S26</f>
        <v>575.44984496635448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1382407.4545454546</v>
      </c>
      <c r="G27" s="90">
        <f t="shared" ref="G27" si="22">F27/F26-1</f>
        <v>-0.10380810794603312</v>
      </c>
      <c r="H27" s="90">
        <f t="shared" ref="H27" si="23">F27/F15-1</f>
        <v>0.22372453534988002</v>
      </c>
      <c r="I27" s="130">
        <f t="shared" si="0"/>
        <v>513.87919862257979</v>
      </c>
      <c r="J27" s="130">
        <f t="shared" si="5"/>
        <v>0.1489373373002949</v>
      </c>
      <c r="L27" s="90"/>
      <c r="M27" s="90"/>
      <c r="P27" s="129" t="s">
        <v>375</v>
      </c>
      <c r="Q27" s="116">
        <f>보톡스!Q27+'보톡스 (2)'!Q27</f>
        <v>30412964</v>
      </c>
      <c r="R27" s="116">
        <f>보톡스!R27+'보톡스 (2)'!R27</f>
        <v>40307794242</v>
      </c>
      <c r="S27" s="116">
        <f>보톡스!S27+'보톡스 (2)'!S27</f>
        <v>59183.1</v>
      </c>
      <c r="T27" s="130">
        <f t="shared" ref="T27" si="24">Q27/S27</f>
        <v>513.87919862257979</v>
      </c>
      <c r="U27" s="78"/>
    </row>
    <row r="28" spans="1:21" s="79" customFormat="1" ht="13.2" hidden="1">
      <c r="A28" s="123" t="s">
        <v>413</v>
      </c>
      <c r="B28" s="131">
        <f>SUM(F26:F28)</f>
        <v>5077021.7703349292</v>
      </c>
      <c r="C28" s="131">
        <f>AVERAGE(F26:F28)</f>
        <v>1692340.5901116431</v>
      </c>
      <c r="D28" s="90">
        <f>C28/C25-1</f>
        <v>0.20112808026041096</v>
      </c>
      <c r="E28" s="286">
        <f>C28/C16-1</f>
        <v>0.35624184138157355</v>
      </c>
      <c r="F28" s="78">
        <f>Q28/19</f>
        <v>2152079.210526316</v>
      </c>
      <c r="G28" s="90">
        <f t="shared" ref="G28" si="25">F28/F27-1</f>
        <v>0.556761867458198</v>
      </c>
      <c r="H28" s="90">
        <f t="shared" ref="H28" si="26">F28/F16-1</f>
        <v>0.45510961607464928</v>
      </c>
      <c r="I28" s="130">
        <f t="shared" si="0"/>
        <v>687.97441828105934</v>
      </c>
      <c r="J28" s="130">
        <f t="shared" si="5"/>
        <v>1.014785580820178</v>
      </c>
      <c r="K28" s="78">
        <f>R26+R27+R28</f>
        <v>133113628965</v>
      </c>
      <c r="L28" s="90">
        <f>U28/U25-1</f>
        <v>0.17008541848676062</v>
      </c>
      <c r="M28" s="90">
        <f>U28/U16-1</f>
        <v>0.25627805411863314</v>
      </c>
      <c r="N28" s="88">
        <f>AVERAGE(T26:T28)</f>
        <v>592.43448728999795</v>
      </c>
      <c r="O28" s="91">
        <f>N28/N25-1</f>
        <v>-0.1288157414897837</v>
      </c>
      <c r="P28" s="129" t="s">
        <v>413</v>
      </c>
      <c r="Q28" s="116">
        <f>보톡스!Q28+'보톡스 (2)'!Q28</f>
        <v>40889505</v>
      </c>
      <c r="R28" s="116">
        <f>보톡스!R28+'보톡스 (2)'!R28</f>
        <v>53271988956</v>
      </c>
      <c r="S28" s="116">
        <f>보톡스!S28+'보톡스 (2)'!S28</f>
        <v>59434.630000000005</v>
      </c>
      <c r="T28" s="130">
        <f t="shared" ref="T28" si="27">Q28/S28</f>
        <v>687.97441828105934</v>
      </c>
      <c r="U28" s="85">
        <f>Q26+Q27+Q28</f>
        <v>100610636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983198.77272727271</v>
      </c>
      <c r="G29" s="190">
        <f t="shared" ref="G29" si="28">F29/F28-1</f>
        <v>-0.54314006291300965</v>
      </c>
      <c r="H29" s="190">
        <f t="shared" ref="H29" si="29">F29/F17-1</f>
        <v>-0.21740376740539724</v>
      </c>
      <c r="I29" s="130">
        <f t="shared" si="0"/>
        <v>639.34184099490869</v>
      </c>
      <c r="J29" s="130">
        <f t="shared" si="5"/>
        <v>1.4008545850739131</v>
      </c>
      <c r="K29" s="136"/>
      <c r="L29" s="190"/>
      <c r="M29" s="190"/>
      <c r="N29" s="191"/>
      <c r="O29" s="192"/>
      <c r="P29" s="129" t="s">
        <v>427</v>
      </c>
      <c r="Q29" s="116">
        <f>보톡스!Q29+'보톡스 (2)'!Q29</f>
        <v>21630373</v>
      </c>
      <c r="R29" s="116">
        <f>보톡스!R29+'보톡스 (2)'!R29</f>
        <v>28370751125</v>
      </c>
      <c r="S29" s="116">
        <f>보톡스!S29+'보톡스 (2)'!S29</f>
        <v>33832.25</v>
      </c>
      <c r="T29" s="130">
        <f t="shared" ref="T29" si="30">Q29/S29</f>
        <v>639.34184099490869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1375646.7368421052</v>
      </c>
      <c r="G30" s="190">
        <f t="shared" ref="G30" si="31">F30/F29-1</f>
        <v>0.39915424530711108</v>
      </c>
      <c r="H30" s="190">
        <f t="shared" ref="H30" si="32">F30/F18-1</f>
        <v>8.6181842040122802E-4</v>
      </c>
      <c r="I30" s="130">
        <f t="shared" si="0"/>
        <v>631.18391381392962</v>
      </c>
      <c r="J30" s="130">
        <f t="shared" si="5"/>
        <v>2.2381800884797047</v>
      </c>
      <c r="K30" s="136"/>
      <c r="L30" s="190"/>
      <c r="M30" s="190"/>
      <c r="N30" s="191"/>
      <c r="O30" s="192"/>
      <c r="P30" s="129" t="s">
        <v>466</v>
      </c>
      <c r="Q30" s="116">
        <f>보톡스!Q30+'보톡스 (2)'!Q30</f>
        <v>26137288</v>
      </c>
      <c r="R30" s="116">
        <f>보톡스!R30+'보톡스 (2)'!R30</f>
        <v>34820384805</v>
      </c>
      <c r="S30" s="116">
        <f>보톡스!S30+'보톡스 (2)'!S30</f>
        <v>41409.94</v>
      </c>
      <c r="T30" s="130">
        <f t="shared" ref="T30" si="33">Q30/S30</f>
        <v>631.18391381392962</v>
      </c>
      <c r="U30" s="85"/>
    </row>
    <row r="31" spans="1:21" s="79" customFormat="1" ht="13.2" hidden="1">
      <c r="A31" s="129" t="s">
        <v>505</v>
      </c>
      <c r="B31" s="188">
        <f>SUM(F29:F31)</f>
        <v>4366621.1595693771</v>
      </c>
      <c r="C31" s="188">
        <f>AVERAGE(F29:F31)</f>
        <v>1455540.3865231257</v>
      </c>
      <c r="D31" s="190">
        <f>C31/C28-1</f>
        <v>-0.13992467294830746</v>
      </c>
      <c r="E31" s="287">
        <f>C31/C19-1</f>
        <v>0.18739323443838618</v>
      </c>
      <c r="F31" s="136">
        <f>Q31/20</f>
        <v>2007775.65</v>
      </c>
      <c r="G31" s="190">
        <f t="shared" ref="G31" si="34">F31/F30-1</f>
        <v>0.45951398438889313</v>
      </c>
      <c r="H31" s="190">
        <f t="shared" ref="H31" si="35">F31/F19-1</f>
        <v>0.91820773016049073</v>
      </c>
      <c r="I31" s="130">
        <f t="shared" si="0"/>
        <v>576.03926743029092</v>
      </c>
      <c r="J31" s="130">
        <f t="shared" si="5"/>
        <v>8.7870250698961039E-2</v>
      </c>
      <c r="K31" s="136">
        <f>R29+R30+R31</f>
        <v>116551325089</v>
      </c>
      <c r="L31" s="190">
        <f>U31/U28-1</f>
        <v>-0.12610458003664737</v>
      </c>
      <c r="M31" s="190">
        <f>U31/U19-1</f>
        <v>0.16234239654901472</v>
      </c>
      <c r="N31" s="191">
        <f>AVERAGE(T29:T31)</f>
        <v>615.52167407970978</v>
      </c>
      <c r="O31" s="192">
        <f>N31/N28-1</f>
        <v>3.8970025015458987E-2</v>
      </c>
      <c r="P31" s="129" t="s">
        <v>525</v>
      </c>
      <c r="Q31" s="116">
        <f>보톡스!Q31+'보톡스 (2)'!Q31</f>
        <v>40155513</v>
      </c>
      <c r="R31" s="116">
        <f>보톡스!R31+'보톡스 (2)'!R31</f>
        <v>53360189159</v>
      </c>
      <c r="S31" s="116">
        <f>보톡스!S31+'보톡스 (2)'!S31</f>
        <v>69709.679999999993</v>
      </c>
      <c r="T31" s="130">
        <f t="shared" ref="T31" si="36">Q31/S31</f>
        <v>576.03926743029092</v>
      </c>
      <c r="U31" s="85">
        <f>Q29+Q30+Q31</f>
        <v>87923174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1327802.6666666667</v>
      </c>
      <c r="G32" s="190">
        <f t="shared" ref="G32" si="37">F32/F31-1</f>
        <v>-0.3386698027408257</v>
      </c>
      <c r="H32" s="190">
        <f t="shared" ref="H32" si="38">F32/F20-1</f>
        <v>4.5483863390277879E-2</v>
      </c>
      <c r="I32" s="130">
        <f t="shared" si="0"/>
        <v>429.95064886123555</v>
      </c>
      <c r="J32" s="130">
        <f t="shared" si="5"/>
        <v>0.29681508498256548</v>
      </c>
      <c r="K32" s="136"/>
      <c r="L32" s="190"/>
      <c r="M32" s="190"/>
      <c r="N32" s="191"/>
      <c r="O32" s="192"/>
      <c r="P32" s="129" t="s">
        <v>566</v>
      </c>
      <c r="Q32" s="116">
        <f>보톡스!Q32+'보톡스 (2)'!Q32</f>
        <v>27883856</v>
      </c>
      <c r="R32" s="116">
        <f>보톡스!R32+'보톡스 (2)'!R32</f>
        <v>37926741426</v>
      </c>
      <c r="S32" s="116">
        <f>보톡스!S32+'보톡스 (2)'!S32</f>
        <v>64853.619999999995</v>
      </c>
      <c r="T32" s="130">
        <f t="shared" ref="T32" si="39">Q32/S32</f>
        <v>429.95064886123555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1947316.9047619049</v>
      </c>
      <c r="G33" s="190">
        <f t="shared" ref="G33" si="40">F33/F32-1</f>
        <v>0.46657101514223864</v>
      </c>
      <c r="H33" s="190">
        <f t="shared" ref="H33" si="41">F33/F21-1</f>
        <v>0.72701281739470569</v>
      </c>
      <c r="I33" s="130">
        <f t="shared" si="0"/>
        <v>629.33938352106156</v>
      </c>
      <c r="J33" s="130">
        <f t="shared" si="5"/>
        <v>9.9678674606899387E-2</v>
      </c>
      <c r="K33" s="136"/>
      <c r="L33" s="190"/>
      <c r="M33" s="190"/>
      <c r="N33" s="191"/>
      <c r="O33" s="192"/>
      <c r="P33" s="129" t="s">
        <v>607</v>
      </c>
      <c r="Q33" s="116">
        <f>보톡스!Q33+'보톡스 (2)'!Q33</f>
        <v>40893655</v>
      </c>
      <c r="R33" s="116">
        <f>보톡스!R33+'보톡스 (2)'!R33</f>
        <v>55913885005</v>
      </c>
      <c r="S33" s="116">
        <f>보톡스!S33+'보톡스 (2)'!S33</f>
        <v>64978.7</v>
      </c>
      <c r="T33" s="130">
        <f t="shared" ref="T33" si="42">Q33/S33</f>
        <v>629.33938352106156</v>
      </c>
      <c r="U33" s="85"/>
    </row>
    <row r="34" spans="1:21" s="79" customFormat="1" ht="13.2" hidden="1">
      <c r="A34" s="129" t="s">
        <v>652</v>
      </c>
      <c r="B34" s="188">
        <f>SUM(F32:F34)</f>
        <v>5236600.308270677</v>
      </c>
      <c r="C34" s="188">
        <f>AVERAGE(F32:F34)</f>
        <v>1745533.4360902256</v>
      </c>
      <c r="D34" s="190">
        <f>C34/C31-1</f>
        <v>0.19923394242588577</v>
      </c>
      <c r="E34" s="287">
        <f>C34/C22-1</f>
        <v>0.19504378919123688</v>
      </c>
      <c r="F34" s="136">
        <f>Q34/19</f>
        <v>1961480.7368421052</v>
      </c>
      <c r="G34" s="190">
        <f t="shared" ref="G34" si="43">F34/F33-1</f>
        <v>7.2735115920601334E-3</v>
      </c>
      <c r="H34" s="190">
        <f t="shared" ref="H34" si="44">F34/F22-1</f>
        <v>-1.1515633231605205E-2</v>
      </c>
      <c r="I34" s="130">
        <f t="shared" si="0"/>
        <v>691.94700092703636</v>
      </c>
      <c r="J34" s="130">
        <f t="shared" si="5"/>
        <v>0.16663022179332532</v>
      </c>
      <c r="K34" s="136">
        <f>R32+R33+R34</f>
        <v>145069949636</v>
      </c>
      <c r="L34" s="190">
        <f>U34/U31-1</f>
        <v>0.20611711538075284</v>
      </c>
      <c r="M34" s="190">
        <f>U34/U22-1</f>
        <v>0.16854022780913791</v>
      </c>
      <c r="N34" s="191">
        <f>AVERAGE(T32:T34)</f>
        <v>583.7456777697779</v>
      </c>
      <c r="O34" s="192">
        <f>N34/N31-1</f>
        <v>-5.1624496176257972E-2</v>
      </c>
      <c r="P34" s="129" t="s">
        <v>652</v>
      </c>
      <c r="Q34" s="116">
        <f>보톡스!Q34+'보톡스 (2)'!Q34</f>
        <v>37268134</v>
      </c>
      <c r="R34" s="116">
        <f>보톡스!R34+'보톡스 (2)'!R34</f>
        <v>51229323205</v>
      </c>
      <c r="S34" s="116">
        <f>보톡스!S34+'보톡스 (2)'!S34</f>
        <v>53859.81</v>
      </c>
      <c r="T34" s="130">
        <f t="shared" ref="T34" si="45">Q34/S34</f>
        <v>691.94700092703636</v>
      </c>
      <c r="U34" s="85">
        <f>Q32+Q33+Q34</f>
        <v>106045645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1326631.1739130435</v>
      </c>
      <c r="G35" s="190">
        <f t="shared" ref="G35" si="46">F35/F34-1</f>
        <v>-0.32365832149396512</v>
      </c>
      <c r="H35" s="190">
        <f t="shared" ref="H35" si="47">F35/F23-1</f>
        <v>5.1860752268721999E-2</v>
      </c>
      <c r="I35" s="130">
        <f t="shared" si="0"/>
        <v>430.49147743746221</v>
      </c>
      <c r="J35" s="130">
        <f t="shared" si="5"/>
        <v>-0.27616194458715415</v>
      </c>
      <c r="K35" s="136"/>
      <c r="L35" s="190"/>
      <c r="M35" s="190"/>
      <c r="N35" s="191"/>
      <c r="O35" s="192"/>
      <c r="P35" s="129" t="s">
        <v>660</v>
      </c>
      <c r="Q35" s="116">
        <f>보톡스!Q35+'보톡스 (2)'!Q35</f>
        <v>30512517</v>
      </c>
      <c r="R35" s="116">
        <f>보톡스!R35+'보톡스 (2)'!R35</f>
        <v>42236122139</v>
      </c>
      <c r="S35" s="116">
        <f>보톡스!S35+'보톡스 (2)'!S35</f>
        <v>70878.33</v>
      </c>
      <c r="T35" s="130">
        <f t="shared" ref="T35" si="48">Q35/S35</f>
        <v>430.49147743746221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1595949.1904761905</v>
      </c>
      <c r="G36" s="190">
        <f t="shared" ref="G36" si="49">F36/F35-1</f>
        <v>0.20300896123883794</v>
      </c>
      <c r="H36" s="190">
        <f t="shared" ref="H36" si="50">F36/F24-1</f>
        <v>0.51870193524203945</v>
      </c>
      <c r="I36" s="130">
        <f t="shared" si="0"/>
        <v>461.47775897194964</v>
      </c>
      <c r="J36" s="130">
        <f t="shared" si="5"/>
        <v>-3.5063494174056076E-2</v>
      </c>
      <c r="K36" s="136"/>
      <c r="L36" s="190"/>
      <c r="M36" s="190"/>
      <c r="N36" s="191"/>
      <c r="O36" s="192"/>
      <c r="P36" s="129" t="s">
        <v>664</v>
      </c>
      <c r="Q36" s="116">
        <f>보톡스!Q36+'보톡스 (2)'!Q36</f>
        <v>33514933</v>
      </c>
      <c r="R36" s="116">
        <f>보톡스!R36+'보톡스 (2)'!R36</f>
        <v>45685696251</v>
      </c>
      <c r="S36" s="116">
        <f>보톡스!S36+'보톡스 (2)'!S36</f>
        <v>72625.240000000005</v>
      </c>
      <c r="T36" s="130">
        <f t="shared" ref="T36" si="51">Q36/S36</f>
        <v>461.47775897194964</v>
      </c>
      <c r="U36" s="85"/>
    </row>
    <row r="37" spans="1:21" s="79" customFormat="1" ht="13.2" hidden="1">
      <c r="A37" s="129" t="s">
        <v>702</v>
      </c>
      <c r="B37" s="188">
        <f>SUM(F35:F37)</f>
        <v>5424374.7532781232</v>
      </c>
      <c r="C37" s="188">
        <f>AVERAGE(F35:F37)</f>
        <v>1808124.9177593745</v>
      </c>
      <c r="D37" s="190">
        <f>C37/C34-1</f>
        <v>3.5858082334616181E-2</v>
      </c>
      <c r="E37" s="287">
        <f>C37/C25-1</f>
        <v>0.28330527792638871</v>
      </c>
      <c r="F37" s="136">
        <f>Q37/18</f>
        <v>2501794.388888889</v>
      </c>
      <c r="G37" s="190">
        <f t="shared" ref="G37" si="52">F37/F36-1</f>
        <v>0.56759024899935406</v>
      </c>
      <c r="H37" s="190">
        <f t="shared" ref="H37" si="53">F37/F25-1</f>
        <v>0.30656282211542196</v>
      </c>
      <c r="I37" s="130">
        <f t="shared" si="0"/>
        <v>588.11466958406106</v>
      </c>
      <c r="J37" s="130">
        <f t="shared" si="5"/>
        <v>-0.39189022078140689</v>
      </c>
      <c r="K37" s="136">
        <f>R35+R36+R37</f>
        <v>148000119788</v>
      </c>
      <c r="L37" s="190">
        <f>U37/U34-1</f>
        <v>2.842270420440185E-2</v>
      </c>
      <c r="M37" s="190">
        <f>U37/U25-1</f>
        <v>0.26834723566130791</v>
      </c>
      <c r="N37" s="191">
        <f>AVERAGE(T35:T37)</f>
        <v>493.36130199782428</v>
      </c>
      <c r="O37" s="192">
        <f>N37/N34-1</f>
        <v>-0.15483519486991404</v>
      </c>
      <c r="P37" s="129" t="s">
        <v>702</v>
      </c>
      <c r="Q37" s="116">
        <f>보톡스!Q37+'보톡스 (2)'!Q37</f>
        <v>45032299</v>
      </c>
      <c r="R37" s="116">
        <f>보톡스!R37+'보톡스 (2)'!R37</f>
        <v>60078301398</v>
      </c>
      <c r="S37" s="116">
        <f>보톡스!S37+'보톡스 (2)'!S37</f>
        <v>76570.61</v>
      </c>
      <c r="T37" s="130">
        <f t="shared" ref="T37:T42" si="54">Q37/S37</f>
        <v>588.11466958406106</v>
      </c>
      <c r="U37" s="85">
        <f>Q35+Q36+Q37</f>
        <v>109059749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2137062.9500000002</v>
      </c>
      <c r="G38" s="190">
        <f t="shared" ref="G38" si="55">F38/F37-1</f>
        <v>-0.14578793545494972</v>
      </c>
      <c r="H38" s="190">
        <f t="shared" ref="H38" si="56">F38/F26-1</f>
        <v>0.38542257009795255</v>
      </c>
      <c r="I38" s="130">
        <f t="shared" si="0"/>
        <v>521.17264292470441</v>
      </c>
      <c r="J38" s="130">
        <f t="shared" si="5"/>
        <v>-9.4321342713757361E-2</v>
      </c>
      <c r="K38" s="136"/>
      <c r="L38" s="190"/>
      <c r="M38" s="190"/>
      <c r="N38" s="191"/>
      <c r="O38" s="192"/>
      <c r="P38" s="129" t="s">
        <v>727</v>
      </c>
      <c r="Q38" s="116">
        <f>보톡스!Q38+'보톡스 (2)'!Q38</f>
        <v>42741259</v>
      </c>
      <c r="R38" s="116">
        <f>보톡스!R38+'보톡스 (2)'!R38</f>
        <v>57509852007</v>
      </c>
      <c r="S38" s="116">
        <f>보톡스!S38+'보톡스 (2)'!S38</f>
        <v>82009.790000000008</v>
      </c>
      <c r="T38" s="130">
        <f t="shared" si="54"/>
        <v>521.17264292470441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1849276.5238095238</v>
      </c>
      <c r="G39" s="190">
        <f t="shared" ref="G39" si="57">F39/F38-1</f>
        <v>-0.13466445908412594</v>
      </c>
      <c r="H39" s="190">
        <f t="shared" ref="H39" si="58">F39/F27-1</f>
        <v>0.33772175325658904</v>
      </c>
      <c r="I39" s="130">
        <f t="shared" si="0"/>
        <v>641.79600982191573</v>
      </c>
      <c r="J39" s="130">
        <f t="shared" si="5"/>
        <v>0.24892389406344662</v>
      </c>
      <c r="K39" s="136"/>
      <c r="L39" s="190"/>
      <c r="M39" s="190"/>
      <c r="N39" s="191"/>
      <c r="O39" s="192"/>
      <c r="P39" s="129" t="s">
        <v>762</v>
      </c>
      <c r="Q39" s="116">
        <f>보톡스!Q39+'보톡스 (2)'!Q39</f>
        <v>38834807</v>
      </c>
      <c r="R39" s="116">
        <f>보톡스!R39+'보톡스 (2)'!R39</f>
        <v>53977522532</v>
      </c>
      <c r="S39" s="116">
        <f>보톡스!S39+'보톡스 (2)'!S39</f>
        <v>60509.58</v>
      </c>
      <c r="T39" s="130">
        <f t="shared" si="54"/>
        <v>641.79600982191573</v>
      </c>
      <c r="U39" s="85"/>
    </row>
    <row r="40" spans="1:21" s="79" customFormat="1" ht="13.2" hidden="1">
      <c r="A40" s="129" t="s">
        <v>778</v>
      </c>
      <c r="B40" s="188">
        <f>SUM(F38:F40)</f>
        <v>6043819.7119047623</v>
      </c>
      <c r="C40" s="188">
        <f>AVERAGE(F38:F40)</f>
        <v>2014606.5706349208</v>
      </c>
      <c r="D40" s="190">
        <f>C40/C37-1</f>
        <v>0.11419656399150679</v>
      </c>
      <c r="E40" s="287">
        <f>C40/C28-1</f>
        <v>0.19042619577068587</v>
      </c>
      <c r="F40" s="136">
        <f>Q40/21</f>
        <v>2057480.2380952381</v>
      </c>
      <c r="G40" s="190">
        <f t="shared" ref="G40" si="59">F40/F39-1</f>
        <v>0.11258657729392096</v>
      </c>
      <c r="H40" s="190">
        <f t="shared" ref="H40" si="60">F40/F28-1</f>
        <v>-4.3957012348045721E-2</v>
      </c>
      <c r="I40" s="130">
        <f t="shared" si="0"/>
        <v>415.19132953598063</v>
      </c>
      <c r="J40" s="130">
        <f t="shared" si="5"/>
        <v>-0.39650179061401991</v>
      </c>
      <c r="K40" s="136">
        <f>R38+R39+R40</f>
        <v>172609775876</v>
      </c>
      <c r="L40" s="190">
        <f>U40/U37-1</f>
        <v>0.14417236555349122</v>
      </c>
      <c r="M40" s="190">
        <f>U40/U28-1</f>
        <v>0.24025804786682792</v>
      </c>
      <c r="N40" s="191">
        <f>AVERAGE(T38:T40)</f>
        <v>526.05332742753365</v>
      </c>
      <c r="O40" s="192">
        <f>N40/N37-1</f>
        <v>6.6263862401298557E-2</v>
      </c>
      <c r="P40" s="129" t="s">
        <v>778</v>
      </c>
      <c r="Q40" s="116">
        <f>보톡스!Q40+'보톡스 (2)'!Q40</f>
        <v>43207085</v>
      </c>
      <c r="R40" s="116">
        <f>보톡스!R40+'보톡스 (2)'!R40</f>
        <v>61122401337</v>
      </c>
      <c r="S40" s="116">
        <f>보톡스!S40+'보톡스 (2)'!S40</f>
        <v>104065.48</v>
      </c>
      <c r="T40" s="130">
        <f t="shared" si="54"/>
        <v>415.19132953598063</v>
      </c>
      <c r="U40" s="85">
        <f>Q38+Q39+Q40</f>
        <v>124783151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1543745.2777777778</v>
      </c>
      <c r="G41" s="190">
        <f t="shared" ref="G41" si="61">F41/F40-1</f>
        <v>-0.24969132184378251</v>
      </c>
      <c r="H41" s="190">
        <f t="shared" ref="H41" si="62">F41/F29-1</f>
        <v>0.57012530995702715</v>
      </c>
      <c r="I41" s="130">
        <f t="shared" si="0"/>
        <v>530.57222353546342</v>
      </c>
      <c r="J41" s="130">
        <f t="shared" si="5"/>
        <v>-0.17012748186507543</v>
      </c>
      <c r="K41" s="193"/>
      <c r="L41" s="190"/>
      <c r="M41" s="190"/>
      <c r="N41" s="193"/>
      <c r="O41" s="193"/>
      <c r="P41" s="129" t="s">
        <v>792</v>
      </c>
      <c r="Q41" s="116">
        <f>보톡스!Q41+'보톡스 (2)'!Q41</f>
        <v>27787415</v>
      </c>
      <c r="R41" s="116">
        <f>보톡스!R41+'보톡스 (2)'!R41</f>
        <v>40619724374</v>
      </c>
      <c r="S41" s="116">
        <f>보톡스!S41+'보톡스 (2)'!S41</f>
        <v>52372.54</v>
      </c>
      <c r="T41" s="130">
        <f t="shared" si="54"/>
        <v>530.57222353546342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1359871</v>
      </c>
      <c r="G42" s="190">
        <f t="shared" ref="G42" si="63">F42/F41-1</f>
        <v>-0.11910920825128923</v>
      </c>
      <c r="H42" s="190">
        <f t="shared" ref="H42" si="64">F42/F30-1</f>
        <v>-1.1467869198977243E-2</v>
      </c>
      <c r="I42" s="130">
        <f t="shared" si="0"/>
        <v>556.70131369410456</v>
      </c>
      <c r="J42" s="130">
        <f t="shared" si="5"/>
        <v>-0.11800459183087197</v>
      </c>
      <c r="K42" s="193"/>
      <c r="L42" s="190"/>
      <c r="M42" s="190"/>
      <c r="N42" s="193"/>
      <c r="O42" s="193"/>
      <c r="P42" s="129" t="s">
        <v>826</v>
      </c>
      <c r="Q42" s="116">
        <f>보톡스!Q42+'보톡스 (2)'!Q42</f>
        <v>27197420</v>
      </c>
      <c r="R42" s="116">
        <f>보톡스!R42+'보톡스 (2)'!R42</f>
        <v>39309348476</v>
      </c>
      <c r="S42" s="116">
        <f>보톡스!S42+'보톡스 (2)'!S42</f>
        <v>48854.6</v>
      </c>
      <c r="T42" s="130">
        <f t="shared" si="54"/>
        <v>556.70131369410456</v>
      </c>
      <c r="U42" s="78"/>
    </row>
    <row r="43" spans="1:21" s="79" customFormat="1" ht="13.2">
      <c r="A43" s="129" t="s">
        <v>835</v>
      </c>
      <c r="B43" s="188">
        <f>SUM(F41:F43)</f>
        <v>4925085.3777777776</v>
      </c>
      <c r="C43" s="188">
        <f>AVERAGE(F41:F43)</f>
        <v>1641695.1259259258</v>
      </c>
      <c r="D43" s="190">
        <f>C43/C40-1</f>
        <v>-0.18510385608018187</v>
      </c>
      <c r="E43" s="287">
        <f>C43/C31-1</f>
        <v>0.12789390189816108</v>
      </c>
      <c r="F43" s="136">
        <f>Q43/20</f>
        <v>2021469.1</v>
      </c>
      <c r="G43" s="190">
        <f t="shared" ref="G43" si="65">F43/F42-1</f>
        <v>0.48651533858726315</v>
      </c>
      <c r="H43" s="190">
        <f t="shared" ref="H43" si="66">F43/F31-1</f>
        <v>6.8202092200890796E-3</v>
      </c>
      <c r="I43" s="130">
        <f t="shared" si="0"/>
        <v>565.82757851904864</v>
      </c>
      <c r="J43" s="130">
        <f t="shared" si="5"/>
        <v>-1.7727418057447042E-2</v>
      </c>
      <c r="K43" s="136">
        <f>R41+R42+R43</f>
        <v>138516524581</v>
      </c>
      <c r="L43" s="190">
        <f>U43/U40-1</f>
        <v>-0.23535977225002114</v>
      </c>
      <c r="M43" s="190">
        <f>K43/K31-1</f>
        <v>0.18845945745556403</v>
      </c>
      <c r="N43" s="191">
        <f>AVERAGE(T41:T43)</f>
        <v>551.0337052495388</v>
      </c>
      <c r="O43" s="192">
        <f>N43/N40-1</f>
        <v>4.7486398278597131E-2</v>
      </c>
      <c r="P43" s="129" t="s">
        <v>835</v>
      </c>
      <c r="Q43" s="116">
        <f>보톡스!Q43+'보톡스 (2)'!Q43</f>
        <v>40429382</v>
      </c>
      <c r="R43" s="116">
        <f>보톡스!R43+'보톡스 (2)'!R43</f>
        <v>58587451731</v>
      </c>
      <c r="S43" s="116">
        <f>보톡스!S43+'보톡스 (2)'!S43</f>
        <v>71451.76999999999</v>
      </c>
      <c r="T43" s="130">
        <f t="shared" ref="T43" si="67">Q43/S43</f>
        <v>565.82757851904864</v>
      </c>
      <c r="U43" s="85">
        <f>Q41+Q42+Q43</f>
        <v>95414217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2219193.9090909092</v>
      </c>
      <c r="G44" s="190">
        <f t="shared" ref="G44" si="68">F44/F43-1</f>
        <v>9.7812432102429403E-2</v>
      </c>
      <c r="H44" s="190">
        <f t="shared" ref="H44" si="69">F44/F32-1</f>
        <v>0.6713281007802181</v>
      </c>
      <c r="I44" s="130">
        <f t="shared" si="0"/>
        <v>1017.9376814198924</v>
      </c>
      <c r="J44" s="130">
        <f t="shared" si="5"/>
        <v>1.3675686596031325</v>
      </c>
      <c r="K44" s="136"/>
      <c r="L44" s="190"/>
      <c r="M44" s="190"/>
      <c r="N44" s="191"/>
      <c r="O44" s="192"/>
      <c r="P44" s="129" t="s">
        <v>843</v>
      </c>
      <c r="Q44" s="116">
        <f>보톡스!Q44+'보톡스 (2)'!Q44</f>
        <v>48822266</v>
      </c>
      <c r="R44" s="116">
        <f>보톡스!R44+'보톡스 (2)'!R44</f>
        <v>70798891098</v>
      </c>
      <c r="S44" s="116">
        <f>보톡스!S44+'보톡스 (2)'!S44</f>
        <v>47961.94</v>
      </c>
      <c r="T44" s="130">
        <f t="shared" ref="T44" si="70">Q44/S44</f>
        <v>1017.9376814198924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2201205.9</v>
      </c>
      <c r="G45" s="190">
        <f t="shared" ref="G45" si="71">F45/F44-1</f>
        <v>-8.1056499917476765E-3</v>
      </c>
      <c r="H45" s="190">
        <f t="shared" ref="H45" si="72">F45/F33-1</f>
        <v>0.13037887907060397</v>
      </c>
      <c r="I45" s="130">
        <f t="shared" si="0"/>
        <v>541.28528599124388</v>
      </c>
      <c r="J45" s="130">
        <f t="shared" si="5"/>
        <v>-0.13991512343811685</v>
      </c>
      <c r="K45" s="136"/>
      <c r="L45" s="190"/>
      <c r="M45" s="190"/>
      <c r="N45" s="191"/>
      <c r="O45" s="192"/>
      <c r="P45" s="129" t="s">
        <v>879</v>
      </c>
      <c r="Q45" s="116">
        <f>보톡스!Q45+'보톡스 (2)'!Q45</f>
        <v>44024118</v>
      </c>
      <c r="R45" s="116">
        <f>보톡스!R45+'보톡스 (2)'!R45</f>
        <v>62014147301</v>
      </c>
      <c r="S45" s="116">
        <f>보톡스!S45+'보톡스 (2)'!S45</f>
        <v>81332.56</v>
      </c>
      <c r="T45" s="130">
        <f t="shared" ref="T45" si="73">Q45/S45</f>
        <v>541.28528599124388</v>
      </c>
      <c r="U45" s="85"/>
    </row>
    <row r="46" spans="1:21" s="79" customFormat="1" ht="13.2">
      <c r="A46" s="129" t="s">
        <v>893</v>
      </c>
      <c r="B46" s="188">
        <f>SUM(F44:F46)</f>
        <v>6599371.1248803828</v>
      </c>
      <c r="C46" s="188">
        <f>AVERAGE(F44:F46)</f>
        <v>2199790.3749601278</v>
      </c>
      <c r="D46" s="189">
        <f>C46/C43-1</f>
        <v>0.33995060362954588</v>
      </c>
      <c r="E46" s="287">
        <f>C46/C34-1</f>
        <v>0.26023960898015241</v>
      </c>
      <c r="F46" s="136">
        <f>Q46/19</f>
        <v>2178971.3157894737</v>
      </c>
      <c r="G46" s="190">
        <f t="shared" ref="G46" si="74">F46/F45-1</f>
        <v>-1.0101092410540136E-2</v>
      </c>
      <c r="H46" s="190">
        <f t="shared" ref="H46" si="75">F46/F34-1</f>
        <v>0.11088081308283382</v>
      </c>
      <c r="I46" s="130">
        <f t="shared" si="0"/>
        <v>910.95541670361422</v>
      </c>
      <c r="J46" s="130">
        <f t="shared" si="5"/>
        <v>0.31651039094491518</v>
      </c>
      <c r="K46" s="136">
        <f>R44+R45+R46</f>
        <v>189528674787</v>
      </c>
      <c r="L46" s="190">
        <f>U46/U43-1</f>
        <v>0.40698989334052804</v>
      </c>
      <c r="M46" s="190">
        <f>K46/K34-1</f>
        <v>0.30646405587478953</v>
      </c>
      <c r="N46" s="191">
        <f>AVERAGE(T44:T46)</f>
        <v>823.39279470491692</v>
      </c>
      <c r="O46" s="192">
        <f>N46/N43-1</f>
        <v>0.49426938290832645</v>
      </c>
      <c r="P46" s="129" t="s">
        <v>965</v>
      </c>
      <c r="Q46" s="116">
        <f>보톡스!Q46+'보톡스 (2)'!Q46</f>
        <v>41400455</v>
      </c>
      <c r="R46" s="116">
        <f>보톡스!R46+'보톡스 (2)'!R46</f>
        <v>56715636388</v>
      </c>
      <c r="S46" s="116">
        <f>보톡스!S46+'보톡스 (2)'!S46</f>
        <v>45447.29</v>
      </c>
      <c r="T46" s="130">
        <f t="shared" ref="T46" si="76">Q46/S46</f>
        <v>910.95541670361422</v>
      </c>
      <c r="U46" s="85">
        <f t="shared" ref="U46:U51" si="77">Q44+Q45+Q46</f>
        <v>134246839</v>
      </c>
    </row>
    <row r="47" spans="1:21" s="79" customFormat="1" ht="13.2">
      <c r="A47" s="129" t="s">
        <v>992</v>
      </c>
      <c r="B47" s="188"/>
      <c r="C47" s="188"/>
      <c r="D47" s="189"/>
      <c r="E47" s="287"/>
      <c r="F47" s="136">
        <f>Q47/23</f>
        <v>1746773.3043478262</v>
      </c>
      <c r="G47" s="190">
        <f t="shared" ref="G47" si="78">F47/F46-1</f>
        <v>-0.1983495644526444</v>
      </c>
      <c r="H47" s="190">
        <f t="shared" ref="H47" si="79">F47/F35-1</f>
        <v>0.31669852080705119</v>
      </c>
      <c r="I47" s="130">
        <f t="shared" si="0"/>
        <v>653.61287514896139</v>
      </c>
      <c r="J47" s="130">
        <f t="shared" si="5"/>
        <v>0.51829457586396055</v>
      </c>
      <c r="K47" s="136"/>
      <c r="L47" s="190"/>
      <c r="M47" s="190"/>
      <c r="N47" s="191"/>
      <c r="O47" s="192"/>
      <c r="P47" s="129" t="s">
        <v>991</v>
      </c>
      <c r="Q47" s="116">
        <f>보톡스!Q47+'보톡스 (2)'!Q47</f>
        <v>40175786</v>
      </c>
      <c r="R47" s="116">
        <f>보톡스!R47+'보톡스 (2)'!R47</f>
        <v>55182090742</v>
      </c>
      <c r="S47" s="116">
        <f>보톡스!S47+'보톡스 (2)'!S47</f>
        <v>61467.25</v>
      </c>
      <c r="T47" s="130">
        <f t="shared" ref="T47" si="80">Q47/S47</f>
        <v>653.61287514896139</v>
      </c>
      <c r="U47" s="85">
        <f t="shared" si="77"/>
        <v>125600359</v>
      </c>
    </row>
    <row r="48" spans="1:21" s="79" customFormat="1" ht="13.2">
      <c r="A48" s="129" t="s">
        <v>1071</v>
      </c>
      <c r="B48" s="188"/>
      <c r="C48" s="188"/>
      <c r="D48" s="189"/>
      <c r="E48" s="287"/>
      <c r="F48" s="136">
        <f>Q48/20</f>
        <v>2193065.35</v>
      </c>
      <c r="G48" s="190">
        <f t="shared" ref="G48" si="81">F48/F47-1</f>
        <v>0.25549511464442776</v>
      </c>
      <c r="H48" s="190">
        <f t="shared" ref="H48" si="82">F48/F36-1</f>
        <v>0.37414484313604324</v>
      </c>
      <c r="I48" s="130">
        <f t="shared" si="0"/>
        <v>486.57873676564128</v>
      </c>
      <c r="J48" s="130">
        <f t="shared" si="5"/>
        <v>5.4392605722992871E-2</v>
      </c>
      <c r="K48" s="136"/>
      <c r="L48" s="190"/>
      <c r="M48" s="190"/>
      <c r="N48" s="191"/>
      <c r="O48" s="192"/>
      <c r="P48" s="129" t="s">
        <v>1070</v>
      </c>
      <c r="Q48" s="116">
        <f>보톡스!Q48+'보톡스 (2)'!Q48</f>
        <v>43861307</v>
      </c>
      <c r="R48" s="116">
        <f>보톡스!R48+'보톡스 (2)'!R48</f>
        <v>60876936011</v>
      </c>
      <c r="S48" s="116">
        <f>보톡스!S48+'보톡스 (2)'!S48</f>
        <v>90142.260000000009</v>
      </c>
      <c r="T48" s="130">
        <f t="shared" ref="T48" si="83">Q48/S48</f>
        <v>486.57873676564128</v>
      </c>
      <c r="U48" s="85">
        <f t="shared" si="77"/>
        <v>125437548</v>
      </c>
    </row>
    <row r="49" spans="1:26" ht="13.2">
      <c r="A49" s="129" t="s">
        <v>1158</v>
      </c>
      <c r="B49" s="188">
        <f>SUM(F47:F49)</f>
        <v>6233607.3816205533</v>
      </c>
      <c r="C49" s="188">
        <f>AVERAGE(F47:F49)</f>
        <v>2077869.127206851</v>
      </c>
      <c r="D49" s="189">
        <f>C49/C46-1</f>
        <v>-5.5424030008080494E-2</v>
      </c>
      <c r="E49" s="287">
        <f>C49/C37-1</f>
        <v>0.14918449870252504</v>
      </c>
      <c r="F49" s="136">
        <f>Q49/22</f>
        <v>2293768.7272727271</v>
      </c>
      <c r="G49" s="190">
        <f t="shared" ref="G49" si="84">F49/F48-1</f>
        <v>4.5919004316367973E-2</v>
      </c>
      <c r="H49" s="190">
        <f t="shared" ref="H49" si="85">F49/F37-1</f>
        <v>-8.3150582853673827E-2</v>
      </c>
      <c r="I49" s="130">
        <f t="shared" si="0"/>
        <v>522.26134184027205</v>
      </c>
      <c r="J49" s="130">
        <f t="shared" si="5"/>
        <v>-0.11197361866583466</v>
      </c>
      <c r="K49" s="136">
        <f>R47+R48+R49</f>
        <v>186187218963</v>
      </c>
      <c r="L49" s="190">
        <f>U49/U46-1</f>
        <v>1.8858246636257459E-3</v>
      </c>
      <c r="M49" s="190">
        <f>K49/K37-1</f>
        <v>0.25802073153522032</v>
      </c>
      <c r="N49" s="191">
        <f>AVERAGE(T47:T49)</f>
        <v>554.15098458495822</v>
      </c>
      <c r="O49" s="192">
        <f>N49/N46-1</f>
        <v>-0.32699072891018932</v>
      </c>
      <c r="P49" s="129" t="s">
        <v>1158</v>
      </c>
      <c r="Q49" s="116">
        <f>보톡스!Q49+'보톡스 (2)'!Q49</f>
        <v>50462912</v>
      </c>
      <c r="R49" s="116">
        <f>보톡스!R49+'보톡스 (2)'!R49</f>
        <v>70128192210</v>
      </c>
      <c r="S49" s="116">
        <f>보톡스!S49+'보톡스 (2)'!S49</f>
        <v>96623.87</v>
      </c>
      <c r="T49" s="130">
        <f t="shared" ref="T49" si="86">Q49/S49</f>
        <v>522.26134184027205</v>
      </c>
      <c r="U49" s="85">
        <f t="shared" si="77"/>
        <v>134500005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2570729.388888889</v>
      </c>
      <c r="G50" s="190">
        <f t="shared" ref="G50" si="87">F50/F49-1</f>
        <v>0.12074480671181953</v>
      </c>
      <c r="H50" s="190">
        <f t="shared" ref="H50" si="88">F50/F38-1</f>
        <v>0.20292637560764826</v>
      </c>
      <c r="I50" s="130">
        <f t="shared" ref="I50" si="89">T50</f>
        <v>477.57696085908918</v>
      </c>
      <c r="J50" s="130">
        <f t="shared" ref="J50" si="90">I50/I38-1</f>
        <v>-8.3649214243030845E-2</v>
      </c>
      <c r="K50" s="136"/>
      <c r="L50" s="190"/>
      <c r="M50" s="190"/>
      <c r="N50" s="191"/>
      <c r="O50" s="192"/>
      <c r="P50" s="129" t="s">
        <v>1293</v>
      </c>
      <c r="Q50" s="116">
        <f>보톡스!Q50+'보톡스 (2)'!Q50</f>
        <v>46273129</v>
      </c>
      <c r="R50" s="116">
        <f>보톡스!R50+'보톡스 (2)'!R50</f>
        <v>65006116788</v>
      </c>
      <c r="S50" s="116">
        <f>보톡스!S50+'보톡스 (2)'!S50</f>
        <v>96891.459999999992</v>
      </c>
      <c r="T50" s="130">
        <f t="shared" ref="T50" si="91">Q50/S50</f>
        <v>477.57696085908918</v>
      </c>
      <c r="U50" s="85">
        <f t="shared" si="77"/>
        <v>140597348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2002536.45</v>
      </c>
      <c r="G51" s="190">
        <f t="shared" ref="G51:G52" si="92">F51/F50-1</f>
        <v>-0.22102401806456617</v>
      </c>
      <c r="H51" s="190">
        <f t="shared" ref="H51:H52" si="93">F51/F39-1</f>
        <v>8.2875613364062906E-2</v>
      </c>
      <c r="I51" s="130">
        <f t="shared" ref="I51:I52" si="94">T51</f>
        <v>271.02831142014014</v>
      </c>
      <c r="J51" s="130">
        <f t="shared" ref="J51:J52" si="95">I51/I39-1</f>
        <v>-0.57770333988934497</v>
      </c>
      <c r="K51" s="136"/>
      <c r="L51" s="190"/>
      <c r="M51" s="190"/>
      <c r="N51" s="191"/>
      <c r="O51" s="192"/>
      <c r="P51" s="129" t="s">
        <v>1402</v>
      </c>
      <c r="Q51" s="116">
        <f>보톡스!Q51+'보톡스 (2)'!Q51</f>
        <v>40050729</v>
      </c>
      <c r="R51" s="116">
        <f>보톡스!R51+'보톡스 (2)'!R51</f>
        <v>58050370565</v>
      </c>
      <c r="S51" s="116">
        <f>보톡스!S51+'보톡스 (2)'!S51</f>
        <v>147773.23000000001</v>
      </c>
      <c r="T51" s="130">
        <f t="shared" ref="T51:T52" si="96">Q51/S51</f>
        <v>271.02831142014014</v>
      </c>
      <c r="U51" s="85">
        <f t="shared" si="77"/>
        <v>136786770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6867628.8388888892</v>
      </c>
      <c r="C52" s="188">
        <f>AVERAGE(F50:F52)</f>
        <v>2289209.6129629631</v>
      </c>
      <c r="D52" s="190">
        <f>C52/C49-1</f>
        <v>0.10171020060354041</v>
      </c>
      <c r="E52" s="287">
        <f>C52/C40-1</f>
        <v>0.13630603926874851</v>
      </c>
      <c r="F52" s="136">
        <f>Q52/22</f>
        <v>2294363</v>
      </c>
      <c r="G52" s="190">
        <f t="shared" si="92"/>
        <v>0.14572845852568639</v>
      </c>
      <c r="H52" s="190">
        <f t="shared" si="93"/>
        <v>0.11513246033607683</v>
      </c>
      <c r="I52" s="130">
        <f t="shared" si="94"/>
        <v>668.90712715732411</v>
      </c>
      <c r="J52" s="130">
        <f t="shared" si="95"/>
        <v>0.61108163772325685</v>
      </c>
      <c r="K52" s="136">
        <f>R50+R51+R52</f>
        <v>197270537775</v>
      </c>
      <c r="L52" s="190">
        <f>U52/U49-1</f>
        <v>1.7099174085532631E-2</v>
      </c>
      <c r="M52" s="190">
        <f>K52/K40-1</f>
        <v>0.14287001865245386</v>
      </c>
      <c r="N52" s="191">
        <f>AVERAGE(T50:T52)</f>
        <v>472.50413314551787</v>
      </c>
      <c r="O52" s="192">
        <f>N52/N49-1</f>
        <v>-0.14733683366202321</v>
      </c>
      <c r="P52" s="129" t="s">
        <v>1403</v>
      </c>
      <c r="Q52" s="116">
        <f>보톡스!Q52+'보톡스 (2)'!Q52</f>
        <v>50475986</v>
      </c>
      <c r="R52" s="116">
        <f>보톡스!R52+'보톡스 (2)'!R52</f>
        <v>74214050422</v>
      </c>
      <c r="S52" s="116">
        <f>보톡스!S52+'보톡스 (2)'!S52</f>
        <v>75460.38</v>
      </c>
      <c r="T52" s="130">
        <f t="shared" si="96"/>
        <v>668.90712715732411</v>
      </c>
      <c r="U52" s="85">
        <f t="shared" ref="U52" si="97">Q50+Q51+Q52</f>
        <v>136799844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2001744.5714285714</v>
      </c>
      <c r="G53" s="190">
        <f t="shared" ref="G53" si="98">F53/F52-1</f>
        <v>-0.12753798268688465</v>
      </c>
      <c r="H53" s="190">
        <f t="shared" ref="H53" si="99">F53/F41-1</f>
        <v>0.29668061191421669</v>
      </c>
      <c r="I53" s="130">
        <f t="shared" ref="I53" si="100">T53</f>
        <v>284.07570155554026</v>
      </c>
      <c r="J53" s="130">
        <f t="shared" ref="J53" si="101">I53/I41-1</f>
        <v>-0.46458617893223986</v>
      </c>
      <c r="K53" s="136"/>
      <c r="L53" s="190"/>
      <c r="M53" s="190"/>
      <c r="N53" s="191"/>
      <c r="O53" s="192"/>
      <c r="P53" s="129" t="s">
        <v>1414</v>
      </c>
      <c r="Q53" s="116">
        <f>보톡스!Q53+'보톡스 (2)'!Q53</f>
        <v>42036636</v>
      </c>
      <c r="R53" s="116">
        <f>보톡스!R53+'보톡스 (2)'!R53</f>
        <v>61284595118</v>
      </c>
      <c r="S53" s="116">
        <f>보톡스!S53+'보톡스 (2)'!S53</f>
        <v>147976.88</v>
      </c>
      <c r="T53" s="130">
        <f t="shared" ref="T53" si="102">Q53/S53</f>
        <v>284.07570155554026</v>
      </c>
      <c r="U53" s="85">
        <f t="shared" ref="U53" si="103">Q51+Q52+Q53</f>
        <v>132563351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2587969.2941176472</v>
      </c>
      <c r="G54" s="190">
        <f t="shared" ref="G54" si="104">F54/F53-1</f>
        <v>0.29285690644871276</v>
      </c>
      <c r="H54" s="190">
        <f t="shared" ref="H54" si="105">F54/F42-1</f>
        <v>0.90309911316415103</v>
      </c>
      <c r="I54" s="130">
        <f t="shared" ref="I54" si="106">T54</f>
        <v>586.97530687955066</v>
      </c>
      <c r="J54" s="130">
        <f t="shared" ref="J54" si="107">I54/I42-1</f>
        <v>5.4381034211248513E-2</v>
      </c>
      <c r="K54" s="136"/>
      <c r="L54" s="190"/>
      <c r="M54" s="190"/>
      <c r="N54" s="191"/>
      <c r="O54" s="192"/>
      <c r="P54" s="129" t="s">
        <v>1417</v>
      </c>
      <c r="Q54" s="116">
        <f>보톡스!Q54+'보톡스 (2)'!Q54</f>
        <v>43995478</v>
      </c>
      <c r="R54" s="116">
        <f>보톡스!R54+'보톡스 (2)'!R54</f>
        <v>63749655681</v>
      </c>
      <c r="S54" s="116">
        <f>보톡스!S54+'보톡스 (2)'!S54</f>
        <v>74952.86</v>
      </c>
      <c r="T54" s="130">
        <f t="shared" ref="T54" si="108">Q54/S54</f>
        <v>586.97530687955066</v>
      </c>
      <c r="U54" s="85">
        <f t="shared" ref="U54" si="109">Q52+Q53+Q54</f>
        <v>136508100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6735379.7226890763</v>
      </c>
      <c r="C55" s="188">
        <f>AVERAGE(F53:F55)</f>
        <v>2245126.5742296921</v>
      </c>
      <c r="D55" s="190">
        <f>C55/C52-1</f>
        <v>-1.9256881713078933E-2</v>
      </c>
      <c r="E55" s="287">
        <f>C55/C43-1</f>
        <v>0.36756608384484757</v>
      </c>
      <c r="F55" s="136">
        <f>Q55/21</f>
        <v>2145665.8571428573</v>
      </c>
      <c r="G55" s="190">
        <f t="shared" ref="G55" si="110">F55/F54-1</f>
        <v>-0.17090752891857264</v>
      </c>
      <c r="H55" s="190">
        <f t="shared" ref="H55" si="111">F55/F43-1</f>
        <v>6.143886005621213E-2</v>
      </c>
      <c r="I55" s="130">
        <f>T55</f>
        <v>725.43924598982915</v>
      </c>
      <c r="J55" s="130">
        <f t="shared" ref="J55" si="112">I55/I43-1</f>
        <v>0.28208534460009038</v>
      </c>
      <c r="K55" s="136">
        <f>R53+R54+R55</f>
        <v>191341453192</v>
      </c>
      <c r="L55" s="190">
        <f>U55/U52-1</f>
        <v>-4.1730654312734483E-2</v>
      </c>
      <c r="M55" s="190">
        <f>K55/K43-1</f>
        <v>0.38136192610080744</v>
      </c>
      <c r="N55" s="191">
        <f>AVERAGE(T53:T55)</f>
        <v>532.16341814164002</v>
      </c>
      <c r="O55" s="192">
        <f>N55/N52-1</f>
        <v>0.12626193256546347</v>
      </c>
      <c r="P55" s="129" t="s">
        <v>1418</v>
      </c>
      <c r="Q55" s="116">
        <f>보톡스!Q55+'보톡스 (2)'!Q55</f>
        <v>45058983</v>
      </c>
      <c r="R55" s="116">
        <f>보톡스!R55+'보톡스 (2)'!R55</f>
        <v>66307202393</v>
      </c>
      <c r="S55" s="116">
        <f>보톡스!S55+'보톡스 (2)'!S55</f>
        <v>62112.689999999995</v>
      </c>
      <c r="T55" s="130">
        <f t="shared" ref="T55" si="113">Q55/S55</f>
        <v>725.43924598982915</v>
      </c>
      <c r="U55" s="85">
        <f t="shared" ref="U55" si="114">Q53+Q54+Q55</f>
        <v>131091097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2392205.6818181816</v>
      </c>
      <c r="G56" s="190">
        <f t="shared" ref="G56" si="115">F56/F55-1</f>
        <v>0.11490131320056229</v>
      </c>
      <c r="H56" s="190">
        <f t="shared" ref="H56" si="116">F56/F44-1</f>
        <v>7.7961539105948052E-2</v>
      </c>
      <c r="I56" s="291">
        <f>T56</f>
        <v>387.531553632726</v>
      </c>
      <c r="J56" s="130">
        <f t="shared" ref="J56" si="117">I56/I44-1</f>
        <v>-0.61929736888001907</v>
      </c>
      <c r="K56" s="136"/>
      <c r="L56" s="190"/>
      <c r="M56" s="190"/>
      <c r="N56" s="191"/>
      <c r="O56" s="192"/>
      <c r="P56" s="129" t="s">
        <v>1420</v>
      </c>
      <c r="Q56" s="116">
        <f>보톡스!Q56+'보톡스 (2)'!Q56</f>
        <v>52628525</v>
      </c>
      <c r="R56" s="116">
        <f>보톡스!R56+'보톡스 (2)'!R56</f>
        <v>78376084048</v>
      </c>
      <c r="S56" s="116">
        <f>보톡스!S56+'보톡스 (2)'!S56</f>
        <v>135804.49</v>
      </c>
      <c r="T56" s="130">
        <f t="shared" ref="T56" si="118">Q56/S56</f>
        <v>387.531553632726</v>
      </c>
      <c r="U56" s="85">
        <f t="shared" ref="U56" si="119">Q54+Q55+Q56</f>
        <v>141682986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2691587.5</v>
      </c>
      <c r="G57" s="254">
        <f t="shared" ref="G57" si="120">F57/F56-1</f>
        <v>0.1251488617627039</v>
      </c>
      <c r="H57" s="254">
        <f t="shared" ref="H57" si="121">F57/F45-1</f>
        <v>0.22277861421323664</v>
      </c>
      <c r="I57" s="282">
        <f>T57</f>
        <v>393.80834600750723</v>
      </c>
      <c r="J57" s="277">
        <f t="shared" ref="J57" si="122">I57/I45-1</f>
        <v>-0.27245695347817445</v>
      </c>
      <c r="K57" s="204"/>
      <c r="L57" s="254"/>
      <c r="M57" s="254"/>
      <c r="N57" s="257"/>
      <c r="O57" s="258"/>
      <c r="P57" s="129" t="s">
        <v>1436</v>
      </c>
      <c r="Q57" s="116">
        <f>보톡스!Q57+'보톡스 (2)'!Q57</f>
        <v>32299050</v>
      </c>
      <c r="R57" s="116">
        <f>보톡스!R57+'보톡스 (2)'!R57</f>
        <v>47549687367</v>
      </c>
      <c r="S57" s="116">
        <f>보톡스!S57+'보톡스 (2)'!S57</f>
        <v>82017.179999999993</v>
      </c>
      <c r="T57" s="130">
        <f t="shared" ref="T57" si="123">Q57/S57</f>
        <v>393.80834600750723</v>
      </c>
      <c r="U57" s="85">
        <f t="shared" ref="U57" si="124">Q55+Q56+Q57</f>
        <v>129986558</v>
      </c>
      <c r="V57" s="79"/>
      <c r="W57" s="79"/>
      <c r="X57" s="79"/>
      <c r="Y57" s="79"/>
      <c r="Z57" s="79"/>
    </row>
    <row r="58" spans="1:26">
      <c r="B58" s="196">
        <f>SUM(F56:F58)</f>
        <v>5083793.1818181816</v>
      </c>
      <c r="C58" s="196">
        <f>AVERAGE(F56:F58)</f>
        <v>2541896.5909090908</v>
      </c>
      <c r="D58" s="197">
        <f>C58/C55-1</f>
        <v>0.13218409157230759</v>
      </c>
      <c r="E58" s="233">
        <f>C58/C46-1</f>
        <v>0.15551764379147448</v>
      </c>
    </row>
  </sheetData>
  <phoneticPr fontId="1" type="noConversion"/>
  <conditionalFormatting sqref="C29:C30">
    <cfRule type="cellIs" dxfId="1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2"/>
  <dimension ref="A1:Z73"/>
  <sheetViews>
    <sheetView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300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591253.69999999995</v>
      </c>
      <c r="G5" s="90"/>
      <c r="H5" s="90"/>
      <c r="I5" s="130">
        <f t="shared" ref="I5:I49" si="0">T5</f>
        <v>779.40318851354743</v>
      </c>
      <c r="J5" s="130"/>
      <c r="L5" s="80"/>
      <c r="M5" s="80"/>
      <c r="P5" s="129" t="s">
        <v>0</v>
      </c>
      <c r="Q5" s="116">
        <v>11825074</v>
      </c>
      <c r="R5" s="116">
        <v>13946071583</v>
      </c>
      <c r="S5" s="116">
        <v>15171.96</v>
      </c>
      <c r="T5" s="130">
        <f t="shared" ref="T5:T17" si="1">Q5/S5</f>
        <v>779.40318851354743</v>
      </c>
      <c r="U5" s="85"/>
    </row>
    <row r="6" spans="1:21" ht="15" hidden="1" customHeight="1">
      <c r="A6" s="129" t="s">
        <v>1</v>
      </c>
      <c r="C6" s="79"/>
      <c r="F6" s="78">
        <f>Q6/18</f>
        <v>425063.44444444444</v>
      </c>
      <c r="G6" s="90">
        <f t="shared" ref="G6:G16" si="2">F6/F5-1</f>
        <v>-0.28108112567507915</v>
      </c>
      <c r="H6" s="90"/>
      <c r="I6" s="130">
        <f t="shared" si="0"/>
        <v>730.84907210349957</v>
      </c>
      <c r="J6" s="130"/>
      <c r="P6" s="129" t="s">
        <v>1</v>
      </c>
      <c r="Q6" s="116">
        <v>7651142</v>
      </c>
      <c r="R6" s="116">
        <v>9083769322</v>
      </c>
      <c r="S6" s="116">
        <v>10468.84</v>
      </c>
      <c r="T6" s="130">
        <f t="shared" si="1"/>
        <v>730.84907210349957</v>
      </c>
      <c r="U6" s="85"/>
    </row>
    <row r="7" spans="1:21" ht="15" hidden="1" customHeight="1">
      <c r="A7" s="129" t="s">
        <v>2</v>
      </c>
      <c r="B7" s="131">
        <f>F5+F6+F7</f>
        <v>1527264.2353535353</v>
      </c>
      <c r="C7" s="131">
        <f>AVERAGE(F5:F7)</f>
        <v>509088.07845117844</v>
      </c>
      <c r="F7" s="78">
        <f>Q7/22</f>
        <v>510947.09090909088</v>
      </c>
      <c r="G7" s="90">
        <f t="shared" si="2"/>
        <v>0.20204900606519072</v>
      </c>
      <c r="H7" s="90"/>
      <c r="I7" s="130">
        <f t="shared" si="0"/>
        <v>779.11489703833593</v>
      </c>
      <c r="J7" s="130"/>
      <c r="K7" s="79">
        <f>R5+R6+R7</f>
        <v>36619405486</v>
      </c>
      <c r="N7" s="88">
        <f>AVERAGE(T5:T7)</f>
        <v>763.12238588512764</v>
      </c>
      <c r="P7" s="129" t="s">
        <v>2</v>
      </c>
      <c r="Q7" s="116">
        <v>11240836</v>
      </c>
      <c r="R7" s="116">
        <v>13589564581</v>
      </c>
      <c r="S7" s="116">
        <v>14427.7</v>
      </c>
      <c r="T7" s="130">
        <f t="shared" si="1"/>
        <v>779.11489703833593</v>
      </c>
      <c r="U7" s="85">
        <f>Q5+Q6+Q7</f>
        <v>30717052</v>
      </c>
    </row>
    <row r="8" spans="1:21" ht="15" hidden="1" customHeight="1">
      <c r="A8" s="129" t="s">
        <v>3</v>
      </c>
      <c r="C8" s="79"/>
      <c r="F8" s="78">
        <f>Q8/21</f>
        <v>631184.23809523811</v>
      </c>
      <c r="G8" s="90">
        <f t="shared" si="2"/>
        <v>0.23532210932489717</v>
      </c>
      <c r="H8" s="90"/>
      <c r="I8" s="130">
        <f t="shared" si="0"/>
        <v>461.89378672666874</v>
      </c>
      <c r="J8" s="130"/>
      <c r="K8" s="78"/>
      <c r="P8" s="129" t="s">
        <v>3</v>
      </c>
      <c r="Q8" s="116">
        <v>13254869</v>
      </c>
      <c r="R8" s="116">
        <v>16059120448</v>
      </c>
      <c r="S8" s="116">
        <v>28696.79</v>
      </c>
      <c r="T8" s="130">
        <f t="shared" si="1"/>
        <v>461.89378672666874</v>
      </c>
      <c r="U8" s="85"/>
    </row>
    <row r="9" spans="1:21" ht="15" hidden="1" customHeight="1">
      <c r="A9" s="129" t="s">
        <v>4</v>
      </c>
      <c r="C9" s="79"/>
      <c r="F9" s="78">
        <f>Q9/21</f>
        <v>530732.76190476189</v>
      </c>
      <c r="G9" s="90">
        <f t="shared" si="2"/>
        <v>-0.15914763095734863</v>
      </c>
      <c r="H9" s="90"/>
      <c r="I9" s="130">
        <f t="shared" si="0"/>
        <v>678.97457391183571</v>
      </c>
      <c r="J9" s="130"/>
      <c r="K9" s="78"/>
      <c r="P9" s="129" t="s">
        <v>4</v>
      </c>
      <c r="Q9" s="116">
        <v>11145388</v>
      </c>
      <c r="R9" s="116">
        <v>14011482248</v>
      </c>
      <c r="S9" s="116">
        <v>16415.03</v>
      </c>
      <c r="T9" s="130">
        <f t="shared" si="1"/>
        <v>678.97457391183571</v>
      </c>
      <c r="U9" s="85"/>
    </row>
    <row r="10" spans="1:21" ht="15" hidden="1" customHeight="1">
      <c r="A10" s="129" t="s">
        <v>5</v>
      </c>
      <c r="B10" s="131">
        <f>F8+F9+F10</f>
        <v>2250509</v>
      </c>
      <c r="C10" s="131">
        <f>AVERAGE(F8:F10)</f>
        <v>750169.66666666663</v>
      </c>
      <c r="D10" s="90">
        <f>C10/C7-1</f>
        <v>0.47355575276667561</v>
      </c>
      <c r="E10" s="286"/>
      <c r="F10" s="78">
        <f>Q10/21</f>
        <v>1088592</v>
      </c>
      <c r="G10" s="90">
        <f t="shared" si="2"/>
        <v>1.0511113655262609</v>
      </c>
      <c r="H10" s="90"/>
      <c r="I10" s="130">
        <f t="shared" si="0"/>
        <v>939.97520584697941</v>
      </c>
      <c r="J10" s="130"/>
      <c r="K10" s="79">
        <f>R8+R9+R10</f>
        <v>58903424502</v>
      </c>
      <c r="L10" s="87">
        <f>U10/U7-1</f>
        <v>0.5385815344519389</v>
      </c>
      <c r="N10" s="88">
        <f>AVERAGE(T8:T10)</f>
        <v>693.61452216182795</v>
      </c>
      <c r="O10" s="89">
        <f>N10/N7-1</f>
        <v>-9.1083507716366086E-2</v>
      </c>
      <c r="P10" s="129" t="s">
        <v>5</v>
      </c>
      <c r="Q10" s="116">
        <v>22860432</v>
      </c>
      <c r="R10" s="116">
        <v>28832821806</v>
      </c>
      <c r="S10" s="116">
        <v>24320.25</v>
      </c>
      <c r="T10" s="130">
        <f t="shared" si="1"/>
        <v>939.97520584697941</v>
      </c>
      <c r="U10" s="85">
        <f>Q8+Q9+Q10</f>
        <v>47260689</v>
      </c>
    </row>
    <row r="11" spans="1:21" ht="15" hidden="1" customHeight="1">
      <c r="A11" s="129" t="s">
        <v>6</v>
      </c>
      <c r="C11" s="79"/>
      <c r="F11" s="78">
        <f>Q11/21</f>
        <v>1132177.142857143</v>
      </c>
      <c r="G11" s="90">
        <f t="shared" si="2"/>
        <v>4.0038088519062098E-2</v>
      </c>
      <c r="H11" s="90"/>
      <c r="I11" s="130">
        <f t="shared" si="0"/>
        <v>1201.0772237694446</v>
      </c>
      <c r="J11" s="130"/>
      <c r="K11" s="78"/>
      <c r="O11" s="89"/>
      <c r="P11" s="129" t="s">
        <v>6</v>
      </c>
      <c r="Q11" s="116">
        <v>23775720</v>
      </c>
      <c r="R11" s="116">
        <v>30734986129</v>
      </c>
      <c r="S11" s="116">
        <v>19795.330000000002</v>
      </c>
      <c r="T11" s="130">
        <f t="shared" si="1"/>
        <v>1201.0772237694446</v>
      </c>
      <c r="U11" s="85"/>
    </row>
    <row r="12" spans="1:21" ht="15" hidden="1" customHeight="1">
      <c r="A12" s="129" t="s">
        <v>7</v>
      </c>
      <c r="C12" s="79"/>
      <c r="F12" s="78">
        <f>Q12/22</f>
        <v>727711.59090909094</v>
      </c>
      <c r="G12" s="90">
        <f t="shared" si="2"/>
        <v>-0.35724582014378914</v>
      </c>
      <c r="H12" s="90"/>
      <c r="I12" s="130">
        <f t="shared" si="0"/>
        <v>851.64081367761435</v>
      </c>
      <c r="J12" s="130"/>
      <c r="K12" s="78"/>
      <c r="O12" s="89"/>
      <c r="P12" s="129" t="s">
        <v>7</v>
      </c>
      <c r="Q12" s="116">
        <v>16009655</v>
      </c>
      <c r="R12" s="116">
        <v>20779270932</v>
      </c>
      <c r="S12" s="116">
        <v>18798.599999999999</v>
      </c>
      <c r="T12" s="130">
        <f t="shared" si="1"/>
        <v>851.64081367761435</v>
      </c>
      <c r="U12" s="85"/>
    </row>
    <row r="13" spans="1:21" ht="15" hidden="1" customHeight="1">
      <c r="A13" s="129" t="s">
        <v>96</v>
      </c>
      <c r="B13" s="131">
        <f>F11+F12+F13</f>
        <v>3466897.1337662339</v>
      </c>
      <c r="C13" s="131">
        <f>AVERAGE(F11:F13)</f>
        <v>1155632.3779220779</v>
      </c>
      <c r="D13" s="90">
        <f>C13/C10-1</f>
        <v>0.54049467643374616</v>
      </c>
      <c r="E13" s="286"/>
      <c r="F13" s="78">
        <f>Q13/20</f>
        <v>1607008.4</v>
      </c>
      <c r="G13" s="90">
        <f t="shared" si="2"/>
        <v>1.2083039765691388</v>
      </c>
      <c r="H13" s="90"/>
      <c r="I13" s="130">
        <f t="shared" si="0"/>
        <v>737.7073442582614</v>
      </c>
      <c r="J13" s="130"/>
      <c r="K13" s="78">
        <f>R11+R12+R13</f>
        <v>95306720827</v>
      </c>
      <c r="L13" s="87">
        <f>U13/U10-1</f>
        <v>0.5218894290770919</v>
      </c>
      <c r="N13" s="88">
        <f>AVERAGE(T11:T13)</f>
        <v>930.14179390177344</v>
      </c>
      <c r="O13" s="89">
        <f>N13/N10-1</f>
        <v>0.34100680447512466</v>
      </c>
      <c r="P13" s="129" t="s">
        <v>96</v>
      </c>
      <c r="Q13" s="116">
        <v>32140168</v>
      </c>
      <c r="R13" s="116">
        <v>43792463766</v>
      </c>
      <c r="S13" s="116">
        <v>43567.64</v>
      </c>
      <c r="T13" s="130">
        <f t="shared" si="1"/>
        <v>737.7073442582614</v>
      </c>
      <c r="U13" s="85">
        <f>Q11+Q12+Q13</f>
        <v>71925543</v>
      </c>
    </row>
    <row r="14" spans="1:21" ht="15" hidden="1" customHeight="1">
      <c r="A14" s="129" t="s">
        <v>97</v>
      </c>
      <c r="C14" s="79"/>
      <c r="F14" s="78">
        <f>Q14/20</f>
        <v>993305.5</v>
      </c>
      <c r="G14" s="90">
        <f t="shared" si="2"/>
        <v>-0.38189153211644689</v>
      </c>
      <c r="H14" s="90"/>
      <c r="I14" s="130">
        <f t="shared" si="0"/>
        <v>453.99877096956061</v>
      </c>
      <c r="J14" s="130"/>
      <c r="O14" s="89"/>
      <c r="P14" s="129" t="s">
        <v>97</v>
      </c>
      <c r="Q14" s="116">
        <v>19866110</v>
      </c>
      <c r="R14" s="116">
        <v>28317290895</v>
      </c>
      <c r="S14" s="116">
        <v>43758.07</v>
      </c>
      <c r="T14" s="130">
        <f t="shared" si="1"/>
        <v>453.99877096956061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1055312.0454545454</v>
      </c>
      <c r="G15" s="90">
        <f t="shared" si="2"/>
        <v>6.2424445907674375E-2</v>
      </c>
      <c r="H15" s="90"/>
      <c r="I15" s="130">
        <f t="shared" si="0"/>
        <v>608.11280156003829</v>
      </c>
      <c r="J15" s="130"/>
      <c r="O15" s="89"/>
      <c r="P15" s="129" t="s">
        <v>98</v>
      </c>
      <c r="Q15" s="116">
        <v>23216865</v>
      </c>
      <c r="R15" s="116">
        <v>32479787237</v>
      </c>
      <c r="S15" s="116">
        <v>38178.550000000003</v>
      </c>
      <c r="T15" s="130">
        <f t="shared" si="1"/>
        <v>608.11280156003829</v>
      </c>
      <c r="U15" s="85"/>
    </row>
    <row r="16" spans="1:21" ht="15" hidden="1" customHeight="1">
      <c r="A16" s="129" t="s">
        <v>99</v>
      </c>
      <c r="B16" s="131">
        <f>F14+F15+F16</f>
        <v>3423655.8636363633</v>
      </c>
      <c r="C16" s="131">
        <f>AVERAGE(F14:F16)</f>
        <v>1141218.6212121211</v>
      </c>
      <c r="D16" s="90">
        <f>C16/C13-1</f>
        <v>-1.2472614116155079E-2</v>
      </c>
      <c r="E16" s="286"/>
      <c r="F16" s="78">
        <f>Q16/22</f>
        <v>1375038.3181818181</v>
      </c>
      <c r="G16" s="90">
        <f t="shared" si="2"/>
        <v>0.3029684671035473</v>
      </c>
      <c r="H16" s="90"/>
      <c r="I16" s="130">
        <f t="shared" si="0"/>
        <v>715.82465553229486</v>
      </c>
      <c r="J16" s="130"/>
      <c r="K16" s="78">
        <f>R14+R15+R16</f>
        <v>100522510370</v>
      </c>
      <c r="L16" s="87">
        <f>U16/U13-1</f>
        <v>1.957962277740477E-2</v>
      </c>
      <c r="N16" s="88">
        <f>AVERAGE(T14:T16)</f>
        <v>592.64540935396462</v>
      </c>
      <c r="O16" s="89">
        <f>N16/N13-1</f>
        <v>-0.3628440166440362</v>
      </c>
      <c r="P16" s="129" t="s">
        <v>99</v>
      </c>
      <c r="Q16" s="116">
        <v>30250843</v>
      </c>
      <c r="R16" s="116">
        <v>39725432238</v>
      </c>
      <c r="S16" s="116">
        <v>42260.13</v>
      </c>
      <c r="T16" s="130">
        <f t="shared" si="1"/>
        <v>715.82465553229486</v>
      </c>
      <c r="U16" s="85">
        <f>Q14+Q15+Q16</f>
        <v>73333818</v>
      </c>
    </row>
    <row r="17" spans="1:21" ht="15" hidden="1" customHeight="1">
      <c r="A17" s="129" t="s">
        <v>100</v>
      </c>
      <c r="C17" s="79"/>
      <c r="F17" s="78">
        <f>Q17/20</f>
        <v>1229649.75</v>
      </c>
      <c r="G17" s="90">
        <f t="shared" ref="G17:G22" si="3">F17/F16-1</f>
        <v>-0.10573419391981898</v>
      </c>
      <c r="H17" s="90">
        <f t="shared" ref="H17:H22" si="4">F17/F5-1</f>
        <v>1.0797328625596765</v>
      </c>
      <c r="I17" s="130">
        <f t="shared" si="0"/>
        <v>1076.1979175327567</v>
      </c>
      <c r="J17" s="130">
        <f t="shared" ref="J17:J49" si="5">I17/I5-1</f>
        <v>0.38079742730491861</v>
      </c>
      <c r="O17" s="89"/>
      <c r="P17" s="129" t="s">
        <v>100</v>
      </c>
      <c r="Q17" s="116">
        <v>24592995</v>
      </c>
      <c r="R17" s="116">
        <v>30936687003</v>
      </c>
      <c r="S17" s="116">
        <v>22851.74</v>
      </c>
      <c r="T17" s="130">
        <f t="shared" si="1"/>
        <v>1076.1979175327567</v>
      </c>
      <c r="U17" s="78"/>
    </row>
    <row r="18" spans="1:21" ht="15" hidden="1" customHeight="1">
      <c r="A18" s="129" t="s">
        <v>106</v>
      </c>
      <c r="C18" s="79"/>
      <c r="F18" s="78">
        <f>Q18/20</f>
        <v>1238303.8999999999</v>
      </c>
      <c r="G18" s="90">
        <f t="shared" si="3"/>
        <v>7.0378983934245021E-3</v>
      </c>
      <c r="H18" s="90">
        <f t="shared" si="4"/>
        <v>1.9132213465649963</v>
      </c>
      <c r="I18" s="130">
        <f t="shared" si="0"/>
        <v>969.91145659751942</v>
      </c>
      <c r="J18" s="130">
        <f t="shared" si="5"/>
        <v>0.32710226176515533</v>
      </c>
      <c r="O18" s="89"/>
      <c r="P18" s="129" t="s">
        <v>106</v>
      </c>
      <c r="Q18" s="116">
        <v>24766078</v>
      </c>
      <c r="R18" s="116">
        <v>30960233505</v>
      </c>
      <c r="S18" s="116">
        <v>25534.37</v>
      </c>
      <c r="T18" s="130">
        <f t="shared" ref="T18" si="6">Q18/S18</f>
        <v>969.91145659751942</v>
      </c>
      <c r="U18" s="78"/>
    </row>
    <row r="19" spans="1:21" hidden="1">
      <c r="A19" s="129" t="s">
        <v>114</v>
      </c>
      <c r="B19" s="131">
        <f>SUM(F17:F19)</f>
        <v>3432199.4227272728</v>
      </c>
      <c r="C19" s="131">
        <f>AVERAGE(F17:F19)</f>
        <v>1144066.4742424244</v>
      </c>
      <c r="D19" s="90">
        <f>C19/C16-1</f>
        <v>2.4954491430209114E-3</v>
      </c>
      <c r="E19" s="286">
        <f>C19/C7-1</f>
        <v>1.2472859268735368</v>
      </c>
      <c r="F19" s="78">
        <f>Q19/22</f>
        <v>964245.77272727271</v>
      </c>
      <c r="G19" s="90">
        <f t="shared" si="3"/>
        <v>-0.22131734162569239</v>
      </c>
      <c r="H19" s="90">
        <f t="shared" si="4"/>
        <v>0.8871734273144809</v>
      </c>
      <c r="I19" s="130">
        <f t="shared" si="0"/>
        <v>882.86672934388275</v>
      </c>
      <c r="J19" s="130">
        <f t="shared" si="5"/>
        <v>0.13316627971040029</v>
      </c>
      <c r="K19" s="78">
        <f>R17+R18+R19</f>
        <v>89596518925</v>
      </c>
      <c r="L19" s="87">
        <f>U19/U16-1</f>
        <v>-3.7654360229819162E-2</v>
      </c>
      <c r="M19" s="87">
        <f>U19/U7-1</f>
        <v>1.2975017264026509</v>
      </c>
      <c r="N19" s="88">
        <f>AVERAGE(T17:T19)</f>
        <v>976.32536782471959</v>
      </c>
      <c r="O19" s="89">
        <f>N19/N16-1</f>
        <v>0.64740222806922554</v>
      </c>
      <c r="P19" s="129" t="s">
        <v>115</v>
      </c>
      <c r="Q19" s="116">
        <v>21213407</v>
      </c>
      <c r="R19" s="116">
        <v>27699598417</v>
      </c>
      <c r="S19" s="116">
        <v>24027.87</v>
      </c>
      <c r="T19" s="130">
        <f t="shared" ref="T19" si="7">Q19/S19</f>
        <v>882.86672934388275</v>
      </c>
      <c r="U19" s="85">
        <f>Q17+Q18+Q19</f>
        <v>70572480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1027147.35</v>
      </c>
      <c r="G20" s="90">
        <f t="shared" si="3"/>
        <v>6.5233967367900769E-2</v>
      </c>
      <c r="H20" s="90">
        <f t="shared" si="4"/>
        <v>0.62733364999684271</v>
      </c>
      <c r="I20" s="130">
        <f t="shared" si="0"/>
        <v>809.05232762155015</v>
      </c>
      <c r="J20" s="130">
        <f t="shared" si="5"/>
        <v>0.75159820476285533</v>
      </c>
      <c r="O20" s="89"/>
      <c r="P20" s="129" t="s">
        <v>132</v>
      </c>
      <c r="Q20" s="116">
        <v>20542947</v>
      </c>
      <c r="R20" s="116">
        <v>26962907128</v>
      </c>
      <c r="S20" s="116">
        <v>25391.37</v>
      </c>
      <c r="T20" s="130">
        <f t="shared" ref="T20" si="8">Q20/S20</f>
        <v>809.05232762155015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1066884.9047619049</v>
      </c>
      <c r="G21" s="90">
        <f t="shared" si="3"/>
        <v>3.8687297165207024E-2</v>
      </c>
      <c r="H21" s="90">
        <f t="shared" si="4"/>
        <v>1.0102111294824372</v>
      </c>
      <c r="I21" s="130">
        <f t="shared" si="0"/>
        <v>873.02306569479583</v>
      </c>
      <c r="J21" s="130">
        <f t="shared" si="5"/>
        <v>0.28579640422316777</v>
      </c>
      <c r="O21" s="89"/>
      <c r="P21" s="129" t="s">
        <v>141</v>
      </c>
      <c r="Q21" s="116">
        <v>22404583</v>
      </c>
      <c r="R21" s="116">
        <v>29853629243</v>
      </c>
      <c r="S21" s="116">
        <v>25663.22</v>
      </c>
      <c r="T21" s="130">
        <f t="shared" ref="T21" si="9">Q21/S21</f>
        <v>873.02306569479583</v>
      </c>
      <c r="U21" s="78"/>
    </row>
    <row r="22" spans="1:21" hidden="1">
      <c r="A22" s="129" t="s">
        <v>156</v>
      </c>
      <c r="B22" s="131">
        <f>SUM(F20:F22)</f>
        <v>3652849.2071428574</v>
      </c>
      <c r="C22" s="131">
        <f>AVERAGE(F20:F22)</f>
        <v>1217616.4023809524</v>
      </c>
      <c r="D22" s="90">
        <f>C22/C19-1</f>
        <v>6.4288159643198339E-2</v>
      </c>
      <c r="E22" s="286">
        <f>C22/C10-1</f>
        <v>0.62312135038911531</v>
      </c>
      <c r="F22" s="78">
        <f>Q22/21</f>
        <v>1558816.9523809524</v>
      </c>
      <c r="G22" s="90">
        <f t="shared" si="3"/>
        <v>0.46109195605202724</v>
      </c>
      <c r="H22" s="90">
        <f t="shared" si="4"/>
        <v>0.43195701638534212</v>
      </c>
      <c r="I22" s="130">
        <f t="shared" si="0"/>
        <v>840.78087585140372</v>
      </c>
      <c r="J22" s="130">
        <f t="shared" si="5"/>
        <v>-0.10552866647817061</v>
      </c>
      <c r="K22" s="78">
        <f>R20+R21+R22</f>
        <v>99319320568</v>
      </c>
      <c r="L22" s="87">
        <f>U22/U19-1</f>
        <v>7.2410747078748061E-2</v>
      </c>
      <c r="M22" s="87">
        <f>U22/U10-1</f>
        <v>0.60138769877011322</v>
      </c>
      <c r="N22" s="88">
        <f>AVERAGE(T20:T22)</f>
        <v>840.95208972258331</v>
      </c>
      <c r="O22" s="89">
        <f>N22/N19-1</f>
        <v>-0.13865590566775066</v>
      </c>
      <c r="P22" s="129" t="s">
        <v>156</v>
      </c>
      <c r="Q22" s="116">
        <v>32735156</v>
      </c>
      <c r="R22" s="116">
        <v>42502784197</v>
      </c>
      <c r="S22" s="116">
        <v>38934.230000000003</v>
      </c>
      <c r="T22" s="130">
        <f t="shared" ref="T22:T23" si="10">Q22/S22</f>
        <v>840.78087585140372</v>
      </c>
      <c r="U22" s="85">
        <f>Q20+Q21+Q22</f>
        <v>75682686</v>
      </c>
    </row>
    <row r="23" spans="1:21" hidden="1">
      <c r="A23" s="129" t="s">
        <v>189</v>
      </c>
      <c r="B23" s="131"/>
      <c r="C23" s="131"/>
      <c r="F23" s="78">
        <f>Q23/21</f>
        <v>1161463.4761904762</v>
      </c>
      <c r="G23" s="90">
        <f t="shared" ref="G23" si="11">F23/F22-1</f>
        <v>-0.25490707910480093</v>
      </c>
      <c r="H23" s="90">
        <f t="shared" ref="H23" si="12">F23/F11-1</f>
        <v>2.5867271317125073E-2</v>
      </c>
      <c r="I23" s="130">
        <f t="shared" si="0"/>
        <v>912.88286406800421</v>
      </c>
      <c r="J23" s="130">
        <f t="shared" si="5"/>
        <v>-0.23994656962770056</v>
      </c>
      <c r="O23" s="89"/>
      <c r="P23" s="129" t="s">
        <v>189</v>
      </c>
      <c r="Q23" s="116">
        <v>24390733</v>
      </c>
      <c r="R23" s="116">
        <v>31415345585</v>
      </c>
      <c r="S23" s="116">
        <v>26718.36</v>
      </c>
      <c r="T23" s="130">
        <f t="shared" si="10"/>
        <v>912.88286406800421</v>
      </c>
      <c r="U23" s="78"/>
    </row>
    <row r="24" spans="1:21" hidden="1">
      <c r="A24" s="129" t="s">
        <v>204</v>
      </c>
      <c r="B24" s="131"/>
      <c r="C24" s="131"/>
      <c r="F24" s="78">
        <f>Q24/22</f>
        <v>841451.68181818177</v>
      </c>
      <c r="G24" s="90">
        <f t="shared" ref="G24" si="13">F24/F23-1</f>
        <v>-0.27552462985914294</v>
      </c>
      <c r="H24" s="90">
        <f t="shared" ref="H24" si="14">F24/F12-1</f>
        <v>0.15629830873931994</v>
      </c>
      <c r="I24" s="130">
        <f t="shared" si="0"/>
        <v>773.43703519250766</v>
      </c>
      <c r="J24" s="130">
        <f t="shared" si="5"/>
        <v>-9.1827184922481209E-2</v>
      </c>
      <c r="O24" s="89"/>
      <c r="P24" s="129" t="s">
        <v>204</v>
      </c>
      <c r="Q24" s="116">
        <v>18511937</v>
      </c>
      <c r="R24" s="116">
        <v>24289185676</v>
      </c>
      <c r="S24" s="116">
        <v>23934.639999999999</v>
      </c>
      <c r="T24" s="130">
        <f t="shared" ref="T24" si="15">Q24/S24</f>
        <v>773.43703519250766</v>
      </c>
      <c r="U24" s="78"/>
    </row>
    <row r="25" spans="1:21" s="79" customFormat="1" ht="13.2" hidden="1">
      <c r="A25" s="129" t="s">
        <v>219</v>
      </c>
      <c r="B25" s="131">
        <f>SUM(F23:F25)</f>
        <v>3601556.8422191842</v>
      </c>
      <c r="C25" s="131">
        <f>AVERAGE(F23:F25)</f>
        <v>1200518.9474063946</v>
      </c>
      <c r="D25" s="90">
        <f>C25/C22-1</f>
        <v>-1.4041741669318042E-2</v>
      </c>
      <c r="E25" s="286">
        <f>C25/C13-1</f>
        <v>3.8841564447187338E-2</v>
      </c>
      <c r="F25" s="78">
        <f>Q25/19</f>
        <v>1598641.6842105263</v>
      </c>
      <c r="G25" s="90">
        <f t="shared" ref="G25" si="16">F25/F24-1</f>
        <v>0.8998615354315207</v>
      </c>
      <c r="H25" s="90">
        <f t="shared" ref="H25" si="17">F25/F13-1</f>
        <v>-5.2063920695583077E-3</v>
      </c>
      <c r="I25" s="130">
        <f t="shared" si="0"/>
        <v>872.54580448708737</v>
      </c>
      <c r="J25" s="130">
        <f t="shared" si="5"/>
        <v>0.18278042272223982</v>
      </c>
      <c r="K25" s="78">
        <f>R23+R24+R25</f>
        <v>95995022552</v>
      </c>
      <c r="L25" s="90">
        <f>U25/U22-1</f>
        <v>-3.1788300959614491E-2</v>
      </c>
      <c r="M25" s="90">
        <f>U25/U13-1</f>
        <v>1.8787748324680775E-2</v>
      </c>
      <c r="N25" s="88">
        <f>AVERAGE(T23:T25)</f>
        <v>852.95523458253308</v>
      </c>
      <c r="O25" s="91">
        <f>N25/N22-1</f>
        <v>1.4273280257748544E-2</v>
      </c>
      <c r="P25" s="129" t="s">
        <v>219</v>
      </c>
      <c r="Q25" s="116">
        <v>30374192</v>
      </c>
      <c r="R25" s="116">
        <v>40290491291</v>
      </c>
      <c r="S25" s="116">
        <v>34811</v>
      </c>
      <c r="T25" s="130">
        <f t="shared" ref="T25" si="18">Q25/S25</f>
        <v>872.54580448708737</v>
      </c>
      <c r="U25" s="85">
        <f>Q23+Q24+Q25</f>
        <v>73276862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1391745.0526315789</v>
      </c>
      <c r="G26" s="90">
        <f t="shared" ref="G26" si="19">F26/F25-1</f>
        <v>-0.12942026573085474</v>
      </c>
      <c r="H26" s="90">
        <f t="shared" ref="H26" si="20">F26/F14-1</f>
        <v>0.40112488316190631</v>
      </c>
      <c r="I26" s="130">
        <f t="shared" si="0"/>
        <v>823.49777862761357</v>
      </c>
      <c r="J26" s="130">
        <f t="shared" si="5"/>
        <v>0.81387666946531634</v>
      </c>
      <c r="L26" s="90"/>
      <c r="M26" s="90"/>
      <c r="P26" s="129" t="s">
        <v>312</v>
      </c>
      <c r="Q26" s="116">
        <v>26443156</v>
      </c>
      <c r="R26" s="116">
        <v>35675279162</v>
      </c>
      <c r="S26" s="116">
        <v>32110.78</v>
      </c>
      <c r="T26" s="130">
        <f t="shared" ref="T26" si="21">Q26/S26</f>
        <v>823.49777862761357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1150268.5454545454</v>
      </c>
      <c r="G27" s="90">
        <f t="shared" ref="G27" si="22">F27/F26-1</f>
        <v>-0.17350628027772619</v>
      </c>
      <c r="H27" s="90">
        <f t="shared" ref="H27" si="23">F27/F15-1</f>
        <v>8.997954719554091E-2</v>
      </c>
      <c r="I27" s="130">
        <f t="shared" si="0"/>
        <v>864.54564213570131</v>
      </c>
      <c r="J27" s="130">
        <f t="shared" si="5"/>
        <v>0.42168630543184782</v>
      </c>
      <c r="L27" s="90"/>
      <c r="M27" s="90"/>
      <c r="P27" s="129" t="s">
        <v>375</v>
      </c>
      <c r="Q27" s="116">
        <v>25305908</v>
      </c>
      <c r="R27" s="116">
        <v>33587724734</v>
      </c>
      <c r="S27" s="116">
        <v>29270.76</v>
      </c>
      <c r="T27" s="130">
        <f t="shared" ref="T27" si="24">Q27/S27</f>
        <v>864.54564213570131</v>
      </c>
      <c r="U27" s="78"/>
    </row>
    <row r="28" spans="1:21" s="79" customFormat="1" ht="13.2" hidden="1">
      <c r="A28" s="123" t="s">
        <v>413</v>
      </c>
      <c r="B28" s="131">
        <f>SUM(F26:F28)</f>
        <v>4428328.9138755985</v>
      </c>
      <c r="C28" s="131">
        <f>AVERAGE(F26:F28)</f>
        <v>1476109.6379585329</v>
      </c>
      <c r="D28" s="90">
        <f>C28/C25-1</f>
        <v>0.22955963431274906</v>
      </c>
      <c r="E28" s="286">
        <f>C28/C16-1</f>
        <v>0.2934503613257855</v>
      </c>
      <c r="F28" s="78">
        <f>Q28/19</f>
        <v>1886315.3157894737</v>
      </c>
      <c r="G28" s="90">
        <f t="shared" ref="G28" si="25">F28/F27-1</f>
        <v>0.63989124386955099</v>
      </c>
      <c r="H28" s="90">
        <f t="shared" ref="H28" si="26">F28/F16-1</f>
        <v>0.37182745444047383</v>
      </c>
      <c r="I28" s="130">
        <f t="shared" si="0"/>
        <v>912.10225625753458</v>
      </c>
      <c r="J28" s="130">
        <f t="shared" si="5"/>
        <v>0.27419787682401853</v>
      </c>
      <c r="K28" s="78">
        <f>R26+R27+R28</f>
        <v>115956500120</v>
      </c>
      <c r="L28" s="90">
        <f>U28/U25-1</f>
        <v>0.19531667445038781</v>
      </c>
      <c r="M28" s="90">
        <f>U28/U16-1</f>
        <v>0.19438831072452811</v>
      </c>
      <c r="N28" s="88">
        <f>AVERAGE(T26:T28)</f>
        <v>866.71522567361637</v>
      </c>
      <c r="O28" s="91">
        <f>N28/N25-1</f>
        <v>1.6132137459497375E-2</v>
      </c>
      <c r="P28" s="129" t="s">
        <v>413</v>
      </c>
      <c r="Q28" s="116">
        <v>35839991</v>
      </c>
      <c r="R28" s="116">
        <v>46693496224</v>
      </c>
      <c r="S28" s="116">
        <v>39293.83</v>
      </c>
      <c r="T28" s="130">
        <f t="shared" ref="T28" si="27">Q28/S28</f>
        <v>912.10225625753458</v>
      </c>
      <c r="U28" s="85">
        <f>Q26+Q27+Q28</f>
        <v>87589055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877496.72727272729</v>
      </c>
      <c r="G29" s="190">
        <f t="shared" ref="G29" si="28">F29/F28-1</f>
        <v>-0.53480909584542535</v>
      </c>
      <c r="H29" s="190">
        <f t="shared" ref="H29" si="29">F29/F17-1</f>
        <v>-0.28638482033381674</v>
      </c>
      <c r="I29" s="130">
        <f t="shared" si="0"/>
        <v>803.28154530225208</v>
      </c>
      <c r="J29" s="130">
        <f t="shared" si="5"/>
        <v>-0.25359310567723503</v>
      </c>
      <c r="K29" s="136"/>
      <c r="L29" s="190"/>
      <c r="M29" s="190"/>
      <c r="N29" s="191"/>
      <c r="O29" s="192"/>
      <c r="P29" s="129" t="s">
        <v>427</v>
      </c>
      <c r="Q29" s="116">
        <v>19304928</v>
      </c>
      <c r="R29" s="116">
        <v>25313870398</v>
      </c>
      <c r="S29" s="116">
        <v>24032.58</v>
      </c>
      <c r="T29" s="130">
        <f t="shared" ref="T29" si="30">Q29/S29</f>
        <v>803.28154530225208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1213117.2631578948</v>
      </c>
      <c r="G30" s="190">
        <f t="shared" ref="G30" si="31">F30/F29-1</f>
        <v>0.38247497164836286</v>
      </c>
      <c r="H30" s="190">
        <f t="shared" ref="H30" si="32">F30/F18-1</f>
        <v>-2.0339624903147779E-2</v>
      </c>
      <c r="I30" s="130">
        <f t="shared" si="0"/>
        <v>773.24762130329964</v>
      </c>
      <c r="J30" s="130">
        <f t="shared" si="5"/>
        <v>-0.20276473069420464</v>
      </c>
      <c r="K30" s="136"/>
      <c r="L30" s="190"/>
      <c r="M30" s="190"/>
      <c r="N30" s="191"/>
      <c r="O30" s="192"/>
      <c r="P30" s="129" t="s">
        <v>466</v>
      </c>
      <c r="Q30" s="116">
        <v>23049228</v>
      </c>
      <c r="R30" s="116">
        <v>30707216336</v>
      </c>
      <c r="S30" s="116">
        <v>29808.34</v>
      </c>
      <c r="T30" s="130">
        <f t="shared" ref="T30" si="33">Q30/S30</f>
        <v>773.24762130329964</v>
      </c>
      <c r="U30" s="85"/>
    </row>
    <row r="31" spans="1:21" s="79" customFormat="1" ht="13.2" hidden="1">
      <c r="A31" s="129" t="s">
        <v>505</v>
      </c>
      <c r="B31" s="188">
        <f>SUM(F29:F31)</f>
        <v>3718181.340430622</v>
      </c>
      <c r="C31" s="188">
        <f>AVERAGE(F29:F31)</f>
        <v>1239393.7801435406</v>
      </c>
      <c r="D31" s="190">
        <f>C31/C28-1</f>
        <v>-0.16036468547307337</v>
      </c>
      <c r="E31" s="287">
        <f>C31/C19-1</f>
        <v>8.332322294842176E-2</v>
      </c>
      <c r="F31" s="136">
        <f>Q31/20</f>
        <v>1627567.35</v>
      </c>
      <c r="G31" s="190">
        <f t="shared" ref="G31" si="34">F31/F30-1</f>
        <v>0.34164058119430285</v>
      </c>
      <c r="H31" s="190">
        <f t="shared" ref="H31" si="35">F31/F19-1</f>
        <v>0.6879175372442532</v>
      </c>
      <c r="I31" s="130">
        <f t="shared" si="0"/>
        <v>814.25431399348827</v>
      </c>
      <c r="J31" s="130">
        <f t="shared" si="5"/>
        <v>-7.7715484194749274E-2</v>
      </c>
      <c r="K31" s="136">
        <f>R29+R30+R31</f>
        <v>99261254692</v>
      </c>
      <c r="L31" s="190">
        <f>U31/U28-1</f>
        <v>-0.14480749906480894</v>
      </c>
      <c r="M31" s="190">
        <f>U31/U19-1</f>
        <v>6.1398196577476138E-2</v>
      </c>
      <c r="N31" s="191">
        <f>AVERAGE(T29:T31)</f>
        <v>796.92782686634666</v>
      </c>
      <c r="O31" s="192">
        <f>N31/N28-1</f>
        <v>-8.0519410228464094E-2</v>
      </c>
      <c r="P31" s="129" t="s">
        <v>505</v>
      </c>
      <c r="Q31" s="116">
        <v>32551347</v>
      </c>
      <c r="R31" s="116">
        <v>43240167958</v>
      </c>
      <c r="S31" s="116">
        <v>39976.879999999997</v>
      </c>
      <c r="T31" s="130">
        <f t="shared" ref="T31" si="36">Q31/S31</f>
        <v>814.25431399348827</v>
      </c>
      <c r="U31" s="85">
        <f>Q29+Q30+Q31</f>
        <v>74905503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1241039.2857142857</v>
      </c>
      <c r="G32" s="190">
        <f t="shared" ref="G32" si="37">F32/F31-1</f>
        <v>-0.23748821471855797</v>
      </c>
      <c r="H32" s="190">
        <f t="shared" ref="H32" si="38">F32/F20-1</f>
        <v>0.20823880401802697</v>
      </c>
      <c r="I32" s="130">
        <f t="shared" si="0"/>
        <v>891.59665705456393</v>
      </c>
      <c r="J32" s="130">
        <f t="shared" si="5"/>
        <v>0.10202594642509388</v>
      </c>
      <c r="K32" s="136"/>
      <c r="L32" s="190"/>
      <c r="M32" s="190"/>
      <c r="N32" s="191"/>
      <c r="O32" s="192"/>
      <c r="P32" s="129" t="s">
        <v>566</v>
      </c>
      <c r="Q32" s="116">
        <v>26061825</v>
      </c>
      <c r="R32" s="116">
        <v>35456276763</v>
      </c>
      <c r="S32" s="116">
        <v>29230.51</v>
      </c>
      <c r="T32" s="130">
        <f t="shared" ref="T32" si="39">Q32/S32</f>
        <v>891.59665705456393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1781846</v>
      </c>
      <c r="G33" s="190">
        <f t="shared" ref="G33" si="40">F33/F32-1</f>
        <v>0.43576921416669778</v>
      </c>
      <c r="H33" s="190">
        <f t="shared" ref="H33" si="41">F33/F21-1</f>
        <v>0.67013891755985799</v>
      </c>
      <c r="I33" s="130">
        <f t="shared" si="0"/>
        <v>827.06931078231582</v>
      </c>
      <c r="J33" s="130">
        <f t="shared" si="5"/>
        <v>-5.2637503770771144E-2</v>
      </c>
      <c r="K33" s="136"/>
      <c r="L33" s="190"/>
      <c r="M33" s="190"/>
      <c r="N33" s="191"/>
      <c r="O33" s="192"/>
      <c r="P33" s="129" t="s">
        <v>607</v>
      </c>
      <c r="Q33" s="116">
        <v>37418766</v>
      </c>
      <c r="R33" s="116">
        <v>51168134784</v>
      </c>
      <c r="S33" s="116">
        <v>45242.6</v>
      </c>
      <c r="T33" s="130">
        <f t="shared" ref="T33" si="42">Q33/S33</f>
        <v>827.06931078231582</v>
      </c>
      <c r="U33" s="85"/>
    </row>
    <row r="34" spans="1:21" s="79" customFormat="1" ht="13.2" hidden="1">
      <c r="A34" s="129" t="s">
        <v>652</v>
      </c>
      <c r="B34" s="188">
        <f>SUM(F32:F34)</f>
        <v>4758488.1278195484</v>
      </c>
      <c r="C34" s="188">
        <f>AVERAGE(F32:F34)</f>
        <v>1586162.7092731828</v>
      </c>
      <c r="D34" s="190">
        <f>C34/C31-1</f>
        <v>0.27978914747295325</v>
      </c>
      <c r="E34" s="287">
        <f>C34/C22-1</f>
        <v>0.30267850052903955</v>
      </c>
      <c r="F34" s="136">
        <f>Q34/19</f>
        <v>1735602.8421052631</v>
      </c>
      <c r="G34" s="190">
        <f t="shared" ref="G34" si="43">F34/F33-1</f>
        <v>-2.5952387520996156E-2</v>
      </c>
      <c r="H34" s="190">
        <f t="shared" ref="H34" si="44">F34/F22-1</f>
        <v>0.11341029455337015</v>
      </c>
      <c r="I34" s="130">
        <f t="shared" si="0"/>
        <v>883.93557137649304</v>
      </c>
      <c r="J34" s="130">
        <f t="shared" si="5"/>
        <v>5.1326923297808635E-2</v>
      </c>
      <c r="K34" s="136">
        <f>R32+R33+R34</f>
        <v>131938616452</v>
      </c>
      <c r="L34" s="190">
        <f>U34/U31-1</f>
        <v>0.28771640449434011</v>
      </c>
      <c r="M34" s="190">
        <f>U34/U22-1</f>
        <v>0.27449288731639365</v>
      </c>
      <c r="N34" s="191">
        <f>AVERAGE(T32:T34)</f>
        <v>867.53384640445756</v>
      </c>
      <c r="O34" s="192">
        <f>N34/N31-1</f>
        <v>8.8597758991232123E-2</v>
      </c>
      <c r="P34" s="129" t="s">
        <v>652</v>
      </c>
      <c r="Q34" s="116">
        <v>32976454</v>
      </c>
      <c r="R34" s="116">
        <v>45314204905</v>
      </c>
      <c r="S34" s="116">
        <v>37306.400000000001</v>
      </c>
      <c r="T34" s="130">
        <f t="shared" ref="T34" si="45">Q34/S34</f>
        <v>883.93557137649304</v>
      </c>
      <c r="U34" s="85">
        <f>Q32+Q33+Q34</f>
        <v>96457045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1221922.956521739</v>
      </c>
      <c r="G35" s="190">
        <f t="shared" ref="G35" si="46">F35/F34-1</f>
        <v>-0.2959662620513096</v>
      </c>
      <c r="H35" s="190">
        <f t="shared" ref="H35" si="47">F35/F23-1</f>
        <v>5.2054568714950733E-2</v>
      </c>
      <c r="I35" s="130">
        <f t="shared" si="0"/>
        <v>930.40609592467297</v>
      </c>
      <c r="J35" s="130">
        <f t="shared" si="5"/>
        <v>1.9195487774391395E-2</v>
      </c>
      <c r="K35" s="136"/>
      <c r="L35" s="190"/>
      <c r="M35" s="190"/>
      <c r="N35" s="191"/>
      <c r="O35" s="192"/>
      <c r="P35" s="129" t="s">
        <v>660</v>
      </c>
      <c r="Q35" s="116">
        <v>28104228</v>
      </c>
      <c r="R35" s="116">
        <v>38900236652</v>
      </c>
      <c r="S35" s="116">
        <v>30206.41</v>
      </c>
      <c r="T35" s="130">
        <f t="shared" ref="T35" si="48">Q35/S35</f>
        <v>930.40609592467297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1411474.4285714286</v>
      </c>
      <c r="G36" s="190">
        <f t="shared" ref="G36" si="49">F36/F35-1</f>
        <v>0.15512555111433279</v>
      </c>
      <c r="H36" s="190">
        <f t="shared" ref="H36" si="50">F36/F24-1</f>
        <v>0.67742778233155354</v>
      </c>
      <c r="I36" s="130">
        <f t="shared" si="0"/>
        <v>788.64754267378476</v>
      </c>
      <c r="J36" s="130">
        <f t="shared" si="5"/>
        <v>1.9666122501479588E-2</v>
      </c>
      <c r="K36" s="136"/>
      <c r="L36" s="190"/>
      <c r="M36" s="190"/>
      <c r="N36" s="191"/>
      <c r="O36" s="192"/>
      <c r="P36" s="129" t="s">
        <v>695</v>
      </c>
      <c r="Q36" s="116">
        <v>29640963</v>
      </c>
      <c r="R36" s="116">
        <v>40400869549</v>
      </c>
      <c r="S36" s="116">
        <v>37584.550000000003</v>
      </c>
      <c r="T36" s="130">
        <f t="shared" ref="T36" si="51">Q36/S36</f>
        <v>788.64754267378476</v>
      </c>
      <c r="U36" s="85"/>
    </row>
    <row r="37" spans="1:21" s="79" customFormat="1" ht="13.2" hidden="1">
      <c r="A37" s="129" t="s">
        <v>702</v>
      </c>
      <c r="B37" s="188">
        <f>SUM(F35:F37)</f>
        <v>4549299.7184265004</v>
      </c>
      <c r="C37" s="188">
        <f>AVERAGE(F35:F37)</f>
        <v>1516433.2394755001</v>
      </c>
      <c r="D37" s="190">
        <f>C37/C34-1</f>
        <v>-4.3961107766576135E-2</v>
      </c>
      <c r="E37" s="287">
        <f>C37/C25-1</f>
        <v>0.26314811003325511</v>
      </c>
      <c r="F37" s="136">
        <f>Q37/18</f>
        <v>1915902.3333333333</v>
      </c>
      <c r="G37" s="190">
        <f t="shared" ref="G37" si="52">F37/F36-1</f>
        <v>0.35737658051123367</v>
      </c>
      <c r="H37" s="190">
        <f t="shared" ref="H37" si="53">F37/F25-1</f>
        <v>0.19845638472731486</v>
      </c>
      <c r="I37" s="130">
        <f t="shared" si="0"/>
        <v>925.85933888211446</v>
      </c>
      <c r="J37" s="130">
        <f t="shared" si="5"/>
        <v>6.1101129729649761E-2</v>
      </c>
      <c r="K37" s="136">
        <f>R35+R36+R37</f>
        <v>125324720864</v>
      </c>
      <c r="L37" s="190">
        <f>U37/U34-1</f>
        <v>-4.3808225723688698E-2</v>
      </c>
      <c r="M37" s="190">
        <f>U37/U25-1</f>
        <v>0.25867061556211302</v>
      </c>
      <c r="N37" s="191">
        <f>AVERAGE(T35:T37)</f>
        <v>881.63765916019076</v>
      </c>
      <c r="O37" s="192">
        <f>N37/N34-1</f>
        <v>1.6257363115211199E-2</v>
      </c>
      <c r="P37" s="129" t="s">
        <v>702</v>
      </c>
      <c r="Q37" s="116">
        <v>34486242</v>
      </c>
      <c r="R37" s="116">
        <v>46023614663</v>
      </c>
      <c r="S37" s="116">
        <v>37247.82</v>
      </c>
      <c r="T37" s="130">
        <f t="shared" ref="T37:T48" si="54">Q37/S37</f>
        <v>925.85933888211446</v>
      </c>
      <c r="U37" s="85">
        <f>Q35+Q36+Q37</f>
        <v>92231433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1643370.95</v>
      </c>
      <c r="G38" s="190">
        <f t="shared" ref="G38" si="55">F38/F37-1</f>
        <v>-0.14224701259128203</v>
      </c>
      <c r="H38" s="190">
        <f t="shared" ref="H38" si="56">F38/F26-1</f>
        <v>0.1807988445100881</v>
      </c>
      <c r="I38" s="130">
        <f t="shared" si="0"/>
        <v>881.10522916834782</v>
      </c>
      <c r="J38" s="130">
        <f t="shared" si="5"/>
        <v>6.9954591300463553E-2</v>
      </c>
      <c r="K38" s="136"/>
      <c r="L38" s="190"/>
      <c r="M38" s="190"/>
      <c r="N38" s="191"/>
      <c r="O38" s="192"/>
      <c r="P38" s="129" t="s">
        <v>728</v>
      </c>
      <c r="Q38" s="116">
        <v>32867419</v>
      </c>
      <c r="R38" s="116">
        <v>44020838593</v>
      </c>
      <c r="S38" s="116">
        <v>37302.49</v>
      </c>
      <c r="T38" s="130">
        <f t="shared" si="54"/>
        <v>881.10522916834782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1675678.142857143</v>
      </c>
      <c r="G39" s="190">
        <f t="shared" ref="G39" si="57">F39/F38-1</f>
        <v>1.9659099400012536E-2</v>
      </c>
      <c r="H39" s="190">
        <f t="shared" ref="H39" si="58">F39/F27-1</f>
        <v>0.45677124657440249</v>
      </c>
      <c r="I39" s="130">
        <f t="shared" si="0"/>
        <v>867.76455183026076</v>
      </c>
      <c r="J39" s="130">
        <f t="shared" si="5"/>
        <v>3.7232385864645057E-3</v>
      </c>
      <c r="K39" s="136"/>
      <c r="L39" s="190"/>
      <c r="M39" s="190"/>
      <c r="N39" s="191"/>
      <c r="O39" s="192"/>
      <c r="P39" s="129" t="s">
        <v>762</v>
      </c>
      <c r="Q39" s="116">
        <v>35189241</v>
      </c>
      <c r="R39" s="116">
        <v>48909456164</v>
      </c>
      <c r="S39" s="116">
        <v>40551.599999999999</v>
      </c>
      <c r="T39" s="130">
        <f t="shared" si="54"/>
        <v>867.76455183026076</v>
      </c>
      <c r="U39" s="85"/>
    </row>
    <row r="40" spans="1:21" s="79" customFormat="1" ht="13.2" hidden="1">
      <c r="A40" s="129" t="s">
        <v>778</v>
      </c>
      <c r="B40" s="188">
        <f>SUM(F38:F40)</f>
        <v>4636707.2357142856</v>
      </c>
      <c r="C40" s="188">
        <f>AVERAGE(F38:F40)</f>
        <v>1545569.0785714285</v>
      </c>
      <c r="D40" s="190">
        <f>C40/C37-1</f>
        <v>1.921340045672304E-2</v>
      </c>
      <c r="E40" s="287">
        <f>C40/C28-1</f>
        <v>4.7055746285186828E-2</v>
      </c>
      <c r="F40" s="136">
        <f>Q40/21</f>
        <v>1317658.142857143</v>
      </c>
      <c r="G40" s="190">
        <f t="shared" ref="G40" si="59">F40/F39-1</f>
        <v>-0.21365678219658102</v>
      </c>
      <c r="H40" s="190">
        <f t="shared" ref="H40" si="60">F40/F28-1</f>
        <v>-0.30146453679952889</v>
      </c>
      <c r="I40" s="130">
        <f t="shared" si="0"/>
        <v>687.0747128748568</v>
      </c>
      <c r="J40" s="130">
        <f t="shared" si="5"/>
        <v>-0.24671306516222524</v>
      </c>
      <c r="K40" s="136">
        <f>R38+R39+R40</f>
        <v>132168143426</v>
      </c>
      <c r="L40" s="190">
        <f>U40/U37-1</f>
        <v>3.7905168403921552E-2</v>
      </c>
      <c r="M40" s="190">
        <f>U40/U28-1</f>
        <v>9.2916015591217427E-2</v>
      </c>
      <c r="N40" s="191">
        <f>AVERAGE(T38:T40)</f>
        <v>811.98149795782183</v>
      </c>
      <c r="O40" s="192">
        <f>N40/N37-1</f>
        <v>-7.900769718562195E-2</v>
      </c>
      <c r="P40" s="129" t="s">
        <v>778</v>
      </c>
      <c r="Q40" s="116">
        <v>27670821</v>
      </c>
      <c r="R40" s="116">
        <v>39237848669</v>
      </c>
      <c r="S40" s="116">
        <v>40273.379999999997</v>
      </c>
      <c r="T40" s="130">
        <f t="shared" si="54"/>
        <v>687.0747128748568</v>
      </c>
      <c r="U40" s="85">
        <f>Q38+Q39+Q40</f>
        <v>95727481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1453704.4444444445</v>
      </c>
      <c r="G41" s="190">
        <f t="shared" ref="G41" si="61">F41/F40-1</f>
        <v>0.1032485567859851</v>
      </c>
      <c r="H41" s="190">
        <f t="shared" ref="H41" si="62">F41/F29-1</f>
        <v>0.65664942017798666</v>
      </c>
      <c r="I41" s="130">
        <f t="shared" si="0"/>
        <v>877.33607374983865</v>
      </c>
      <c r="J41" s="130">
        <f t="shared" si="5"/>
        <v>9.2190003468487491E-2</v>
      </c>
      <c r="K41" s="193"/>
      <c r="L41" s="190"/>
      <c r="M41" s="190"/>
      <c r="N41" s="193"/>
      <c r="O41" s="193"/>
      <c r="P41" s="129" t="s">
        <v>792</v>
      </c>
      <c r="Q41" s="116">
        <v>26166680</v>
      </c>
      <c r="R41" s="116">
        <v>38248204901</v>
      </c>
      <c r="S41" s="116">
        <v>29825.15</v>
      </c>
      <c r="T41" s="130">
        <f t="shared" si="54"/>
        <v>877.33607374983865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1218170.2</v>
      </c>
      <c r="G42" s="190">
        <f t="shared" ref="G42" si="63">F42/F41-1</f>
        <v>-0.16202347412816609</v>
      </c>
      <c r="H42" s="190">
        <f t="shared" ref="H42" si="64">F42/F30-1</f>
        <v>4.1652501333231395E-3</v>
      </c>
      <c r="I42" s="130">
        <f t="shared" si="0"/>
        <v>633.76996480154662</v>
      </c>
      <c r="J42" s="130">
        <f t="shared" si="5"/>
        <v>-0.18037903080343798</v>
      </c>
      <c r="K42" s="193"/>
      <c r="L42" s="190"/>
      <c r="M42" s="190"/>
      <c r="N42" s="193"/>
      <c r="O42" s="193"/>
      <c r="P42" s="129" t="s">
        <v>826</v>
      </c>
      <c r="Q42" s="116">
        <v>24363404</v>
      </c>
      <c r="R42" s="116">
        <v>35216598781</v>
      </c>
      <c r="S42" s="116">
        <v>38442.03</v>
      </c>
      <c r="T42" s="130">
        <f t="shared" si="54"/>
        <v>633.76996480154662</v>
      </c>
      <c r="U42" s="78"/>
    </row>
    <row r="43" spans="1:21" s="79" customFormat="1" ht="13.2">
      <c r="A43" s="129" t="s">
        <v>835</v>
      </c>
      <c r="B43" s="188">
        <f>SUM(F41:F43)</f>
        <v>4084748.0444444441</v>
      </c>
      <c r="C43" s="188">
        <f>AVERAGE(F41:F43)</f>
        <v>1361582.6814814813</v>
      </c>
      <c r="D43" s="190">
        <f>C43/C40-1</f>
        <v>-0.11904119954315218</v>
      </c>
      <c r="E43" s="287">
        <f>C43/C31-1</f>
        <v>9.8587634773985577E-2</v>
      </c>
      <c r="F43" s="136">
        <f>Q43/20</f>
        <v>1412873.4</v>
      </c>
      <c r="G43" s="190">
        <f t="shared" ref="G43" si="65">F43/F42-1</f>
        <v>0.15983250944736627</v>
      </c>
      <c r="H43" s="190">
        <f t="shared" ref="H43" si="66">F43/F31-1</f>
        <v>-0.13191094672672077</v>
      </c>
      <c r="I43" s="130">
        <f t="shared" si="0"/>
        <v>879.70108652507793</v>
      </c>
      <c r="J43" s="130">
        <f t="shared" si="5"/>
        <v>8.0376328877654668E-2</v>
      </c>
      <c r="K43" s="136">
        <f>R41+R42+R43</f>
        <v>114381597615</v>
      </c>
      <c r="L43" s="190">
        <f>U43/U40-1</f>
        <v>-0.17695993692762058</v>
      </c>
      <c r="M43" s="190">
        <f>K43/K31-1</f>
        <v>0.15232875072874363</v>
      </c>
      <c r="N43" s="191">
        <f>AVERAGE(T41:T43)</f>
        <v>796.9357083588211</v>
      </c>
      <c r="O43" s="192">
        <f>N43/N40-1</f>
        <v>-1.8529719749577733E-2</v>
      </c>
      <c r="P43" s="129" t="s">
        <v>835</v>
      </c>
      <c r="Q43" s="116">
        <v>28257468</v>
      </c>
      <c r="R43" s="116">
        <v>40916793933</v>
      </c>
      <c r="S43" s="116">
        <v>32121.67</v>
      </c>
      <c r="T43" s="130">
        <f t="shared" si="54"/>
        <v>879.70108652507793</v>
      </c>
      <c r="U43" s="85">
        <f>Q41+Q42+Q43</f>
        <v>78787552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1823737.6818181819</v>
      </c>
      <c r="G44" s="190">
        <f t="shared" ref="G44" si="67">F44/F43-1</f>
        <v>0.29080049339040714</v>
      </c>
      <c r="H44" s="190">
        <f t="shared" ref="H44" si="68">F44/F32-1</f>
        <v>0.4695245370645309</v>
      </c>
      <c r="I44" s="130">
        <f t="shared" si="0"/>
        <v>962.9163175728944</v>
      </c>
      <c r="J44" s="130">
        <f t="shared" si="5"/>
        <v>7.9990946527254581E-2</v>
      </c>
      <c r="K44" s="136"/>
      <c r="L44" s="190"/>
      <c r="M44" s="190"/>
      <c r="N44" s="191"/>
      <c r="O44" s="192"/>
      <c r="P44" s="129" t="s">
        <v>843</v>
      </c>
      <c r="Q44" s="116">
        <v>40122229</v>
      </c>
      <c r="R44" s="116">
        <v>58303653422</v>
      </c>
      <c r="S44" s="116">
        <v>41667.410000000003</v>
      </c>
      <c r="T44" s="130">
        <f t="shared" si="54"/>
        <v>962.9163175728944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1679314.9</v>
      </c>
      <c r="G45" s="190">
        <f t="shared" ref="G45" si="69">F45/F44-1</f>
        <v>-7.9190545470442464E-2</v>
      </c>
      <c r="H45" s="190">
        <f t="shared" ref="H45" si="70">F45/F33-1</f>
        <v>-5.7542065924889196E-2</v>
      </c>
      <c r="I45" s="130">
        <f t="shared" si="0"/>
        <v>852.81359208164554</v>
      </c>
      <c r="J45" s="130">
        <f t="shared" si="5"/>
        <v>3.1127114697290015E-2</v>
      </c>
      <c r="K45" s="136"/>
      <c r="L45" s="190"/>
      <c r="M45" s="190"/>
      <c r="N45" s="191"/>
      <c r="O45" s="192"/>
      <c r="P45" s="129" t="s">
        <v>849</v>
      </c>
      <c r="Q45" s="116">
        <v>33586298</v>
      </c>
      <c r="R45" s="116">
        <v>47361280035</v>
      </c>
      <c r="S45" s="116">
        <v>39382.93</v>
      </c>
      <c r="T45" s="130">
        <f t="shared" si="54"/>
        <v>852.81359208164554</v>
      </c>
      <c r="U45" s="85"/>
    </row>
    <row r="46" spans="1:21" s="79" customFormat="1" ht="13.2">
      <c r="A46" s="129" t="s">
        <v>888</v>
      </c>
      <c r="B46" s="188">
        <f>SUM(F44:F46)</f>
        <v>5342002.6344497614</v>
      </c>
      <c r="C46" s="188">
        <f>AVERAGE(F44:F46)</f>
        <v>1780667.5448165871</v>
      </c>
      <c r="D46" s="190">
        <f>C46/C43-1</f>
        <v>0.30779244553780383</v>
      </c>
      <c r="E46" s="287">
        <f>C46/C34-1</f>
        <v>0.12262602972965553</v>
      </c>
      <c r="F46" s="136">
        <f>Q46/19</f>
        <v>1838950.0526315789</v>
      </c>
      <c r="G46" s="190">
        <f t="shared" ref="G46" si="71">F46/F45-1</f>
        <v>9.5059689300427852E-2</v>
      </c>
      <c r="H46" s="190">
        <f t="shared" ref="H46" si="72">F46/F34-1</f>
        <v>5.9545425957563403E-2</v>
      </c>
      <c r="I46" s="130">
        <f t="shared" si="0"/>
        <v>873.31962451810023</v>
      </c>
      <c r="J46" s="130">
        <f t="shared" si="5"/>
        <v>-1.200986497450407E-2</v>
      </c>
      <c r="K46" s="136">
        <f>R44+R45+R46</f>
        <v>153524183673</v>
      </c>
      <c r="L46" s="190">
        <f>U46/U43-1</f>
        <v>0.3790069020040121</v>
      </c>
      <c r="M46" s="190">
        <f>K46/K34-1</f>
        <v>0.16360310424244107</v>
      </c>
      <c r="N46" s="191">
        <f>AVERAGE(T44:T46)</f>
        <v>896.34984472421331</v>
      </c>
      <c r="O46" s="192">
        <f>N46/N43-1</f>
        <v>0.12474549116405131</v>
      </c>
      <c r="P46" s="129" t="s">
        <v>888</v>
      </c>
      <c r="Q46" s="116">
        <v>34940051</v>
      </c>
      <c r="R46" s="116">
        <v>47859250216</v>
      </c>
      <c r="S46" s="116">
        <v>40008.32</v>
      </c>
      <c r="T46" s="130">
        <f t="shared" si="54"/>
        <v>873.31962451810023</v>
      </c>
      <c r="U46" s="85">
        <f>Q44+Q45+Q46</f>
        <v>108648578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1598196.5217391304</v>
      </c>
      <c r="G47" s="190">
        <f t="shared" ref="G47" si="73">F47/F46-1</f>
        <v>-0.13091901574375264</v>
      </c>
      <c r="H47" s="190">
        <f t="shared" ref="H47" si="74">F47/F35-1</f>
        <v>0.30793558890854444</v>
      </c>
      <c r="I47" s="130">
        <f t="shared" si="0"/>
        <v>794.76592271476682</v>
      </c>
      <c r="J47" s="130">
        <f t="shared" si="5"/>
        <v>-0.14578598936962228</v>
      </c>
      <c r="K47" s="136"/>
      <c r="L47" s="190"/>
      <c r="M47" s="190"/>
      <c r="N47" s="191"/>
      <c r="O47" s="192"/>
      <c r="P47" s="129" t="s">
        <v>991</v>
      </c>
      <c r="Q47" s="116">
        <v>36758520</v>
      </c>
      <c r="R47" s="116">
        <v>50495459663</v>
      </c>
      <c r="S47" s="116">
        <v>46250.75</v>
      </c>
      <c r="T47" s="130">
        <f t="shared" si="54"/>
        <v>794.76592271476682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1850507.45</v>
      </c>
      <c r="G48" s="190">
        <f t="shared" ref="G48" si="75">F48/F47-1</f>
        <v>0.15787227967828965</v>
      </c>
      <c r="H48" s="190">
        <f t="shared" ref="H48" si="76">F48/F36-1</f>
        <v>0.31104567857663734</v>
      </c>
      <c r="I48" s="130">
        <f t="shared" si="0"/>
        <v>844.33806420821782</v>
      </c>
      <c r="J48" s="130">
        <f t="shared" si="5"/>
        <v>7.0615222290077995E-2</v>
      </c>
      <c r="K48" s="136"/>
      <c r="L48" s="190"/>
      <c r="M48" s="190"/>
      <c r="N48" s="191"/>
      <c r="O48" s="192"/>
      <c r="P48" s="129" t="s">
        <v>1148</v>
      </c>
      <c r="Q48" s="116">
        <v>37010149</v>
      </c>
      <c r="R48" s="116">
        <v>51373092276</v>
      </c>
      <c r="S48" s="116">
        <v>43833.33</v>
      </c>
      <c r="T48" s="130">
        <f t="shared" si="54"/>
        <v>844.33806420821782</v>
      </c>
      <c r="U48" s="85"/>
    </row>
    <row r="49" spans="1:26" ht="13.2">
      <c r="A49" s="129" t="s">
        <v>1158</v>
      </c>
      <c r="B49" s="188">
        <f>SUM(F47:F49)</f>
        <v>5329581.6081027668</v>
      </c>
      <c r="C49" s="188">
        <f>AVERAGE(F47:F49)</f>
        <v>1776527.2027009223</v>
      </c>
      <c r="D49" s="190">
        <f>C49/C46-1</f>
        <v>-2.3251629018101738E-3</v>
      </c>
      <c r="E49" s="287">
        <f>C49/C37-1</f>
        <v>0.17151692303670596</v>
      </c>
      <c r="F49" s="136">
        <f>Q49/22</f>
        <v>1880877.6363636365</v>
      </c>
      <c r="G49" s="190">
        <f t="shared" ref="G49" si="77">F49/F48-1</f>
        <v>1.6411815236753835E-2</v>
      </c>
      <c r="H49" s="190">
        <f t="shared" ref="H49" si="78">F49/F37-1</f>
        <v>-1.8281045103567428E-2</v>
      </c>
      <c r="I49" s="130">
        <f t="shared" si="0"/>
        <v>645.22685529602415</v>
      </c>
      <c r="J49" s="130">
        <f t="shared" si="5"/>
        <v>-0.30310487975951816</v>
      </c>
      <c r="K49" s="136">
        <f>R47+R48+R49</f>
        <v>159354549378</v>
      </c>
      <c r="L49" s="190">
        <f>U49/U46-1</f>
        <v>-1</v>
      </c>
      <c r="M49" s="190">
        <f>K49/K37-1</f>
        <v>0.27153324802477341</v>
      </c>
      <c r="N49" s="191">
        <f>AVERAGE(T47:T49)</f>
        <v>761.443614073003</v>
      </c>
      <c r="O49" s="192">
        <f>N49/N46-1</f>
        <v>-0.15050622415483084</v>
      </c>
      <c r="P49" s="129" t="s">
        <v>1165</v>
      </c>
      <c r="Q49" s="116">
        <v>41379308</v>
      </c>
      <c r="R49" s="116">
        <v>57485997439</v>
      </c>
      <c r="S49" s="116">
        <v>64131.41</v>
      </c>
      <c r="T49" s="130">
        <f t="shared" ref="T49" si="79">Q49/S49</f>
        <v>645.22685529602415</v>
      </c>
      <c r="U49" s="85"/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2314394.777777778</v>
      </c>
      <c r="G50" s="190">
        <f t="shared" ref="G50" si="80">F50/F49-1</f>
        <v>0.23048662657942742</v>
      </c>
      <c r="H50" s="190">
        <f t="shared" ref="H50" si="81">F50/F38-1</f>
        <v>0.40832158301068788</v>
      </c>
      <c r="I50" s="130">
        <f t="shared" ref="I50" si="82">T50</f>
        <v>977.47984520479065</v>
      </c>
      <c r="J50" s="130">
        <f t="shared" ref="J50" si="83">I50/I38-1</f>
        <v>0.10937923513109582</v>
      </c>
      <c r="K50" s="136"/>
      <c r="L50" s="190"/>
      <c r="M50" s="190"/>
      <c r="N50" s="191"/>
      <c r="O50" s="192"/>
      <c r="P50" s="129" t="s">
        <v>1291</v>
      </c>
      <c r="Q50" s="116">
        <v>41659106</v>
      </c>
      <c r="R50" s="116">
        <v>58502009602</v>
      </c>
      <c r="S50" s="116">
        <v>42618.89</v>
      </c>
      <c r="T50" s="130">
        <f t="shared" ref="T50" si="84">Q50/S50</f>
        <v>977.47984520479065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1556584.65</v>
      </c>
      <c r="G51" s="190">
        <f t="shared" ref="G51:G52" si="85">F51/F50-1</f>
        <v>-0.32743338995320748</v>
      </c>
      <c r="H51" s="190">
        <f t="shared" ref="H51:H52" si="86">F51/F39-1</f>
        <v>-7.1071818514073737E-2</v>
      </c>
      <c r="I51" s="130">
        <f t="shared" ref="I51:I52" si="87">T51</f>
        <v>603.12458892213567</v>
      </c>
      <c r="J51" s="130">
        <f t="shared" ref="J51:J52" si="88">I51/I39-1</f>
        <v>-0.30496747343499464</v>
      </c>
      <c r="K51" s="136"/>
      <c r="L51" s="190"/>
      <c r="M51" s="190"/>
      <c r="N51" s="191"/>
      <c r="O51" s="192"/>
      <c r="P51" s="129" t="s">
        <v>1402</v>
      </c>
      <c r="Q51" s="116">
        <v>31131693</v>
      </c>
      <c r="R51" s="116">
        <v>45094977527</v>
      </c>
      <c r="S51" s="116">
        <v>51617.35</v>
      </c>
      <c r="T51" s="130">
        <f t="shared" ref="T51:T52" si="89">Q51/S51</f>
        <v>603.12458892213567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5909608.7459595958</v>
      </c>
      <c r="C52" s="188">
        <f>AVERAGE(F50:F52)</f>
        <v>1969869.5819865318</v>
      </c>
      <c r="D52" s="190">
        <f>C52/C49-1</f>
        <v>0.10883164580405169</v>
      </c>
      <c r="E52" s="287">
        <f>C52/C40-1</f>
        <v>0.27452703945609791</v>
      </c>
      <c r="F52" s="136">
        <f>Q52/22</f>
        <v>2038629.3181818181</v>
      </c>
      <c r="G52" s="190">
        <f t="shared" si="85"/>
        <v>0.30968098534301891</v>
      </c>
      <c r="H52" s="190">
        <f t="shared" si="86"/>
        <v>0.54716102141740497</v>
      </c>
      <c r="I52" s="130">
        <f t="shared" si="87"/>
        <v>819.39255853789894</v>
      </c>
      <c r="J52" s="130">
        <f t="shared" si="88"/>
        <v>0.19258145174547026</v>
      </c>
      <c r="K52" s="136">
        <f>R50+R51+R52</f>
        <v>169540004183</v>
      </c>
      <c r="L52" s="190" t="e">
        <f>U52/U49-1</f>
        <v>#DIV/0!</v>
      </c>
      <c r="M52" s="190">
        <f>K52/K40-1</f>
        <v>0.28275997368400829</v>
      </c>
      <c r="N52" s="191">
        <f>AVERAGE(T50:T52)</f>
        <v>799.99899755494164</v>
      </c>
      <c r="O52" s="192">
        <f>N52/N49-1</f>
        <v>5.0634587734873504E-2</v>
      </c>
      <c r="P52" s="129" t="s">
        <v>1403</v>
      </c>
      <c r="Q52" s="116">
        <v>44849845</v>
      </c>
      <c r="R52" s="116">
        <v>65943017054</v>
      </c>
      <c r="S52" s="116">
        <v>54735.48</v>
      </c>
      <c r="T52" s="130">
        <f t="shared" si="89"/>
        <v>819.39255853789894</v>
      </c>
      <c r="U52" s="85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1634972.5714285714</v>
      </c>
      <c r="G53" s="190">
        <f t="shared" ref="G53" si="90">F53/F52-1</f>
        <v>-0.19800399373891764</v>
      </c>
      <c r="H53" s="190">
        <f t="shared" ref="H53" si="91">F53/F41-1</f>
        <v>0.12469393464185297</v>
      </c>
      <c r="I53" s="130">
        <f t="shared" ref="I53" si="92">T53</f>
        <v>614.58136882374299</v>
      </c>
      <c r="J53" s="130">
        <f t="shared" ref="J53" si="93">I53/I41-1</f>
        <v>-0.29949150934037261</v>
      </c>
      <c r="K53" s="136"/>
      <c r="L53" s="190"/>
      <c r="M53" s="190"/>
      <c r="N53" s="191"/>
      <c r="O53" s="192"/>
      <c r="P53" s="129" t="s">
        <v>1414</v>
      </c>
      <c r="Q53" s="116">
        <v>34334424</v>
      </c>
      <c r="R53" s="116">
        <v>50032999607</v>
      </c>
      <c r="S53" s="116">
        <v>55866.36</v>
      </c>
      <c r="T53" s="130">
        <f t="shared" ref="T53" si="94">Q53/S53</f>
        <v>614.58136882374299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2354671.7647058824</v>
      </c>
      <c r="G54" s="190">
        <f t="shared" ref="G54" si="95">F54/F53-1</f>
        <v>0.44019037741316214</v>
      </c>
      <c r="H54" s="190">
        <f t="shared" ref="H54" si="96">F54/F42-1</f>
        <v>0.93295794356641015</v>
      </c>
      <c r="I54" s="130">
        <f t="shared" ref="I54" si="97">T54</f>
        <v>918.85390194908655</v>
      </c>
      <c r="J54" s="130">
        <f t="shared" ref="J54" si="98">I54/I42-1</f>
        <v>0.44982241661895217</v>
      </c>
      <c r="K54" s="136"/>
      <c r="L54" s="190"/>
      <c r="M54" s="190"/>
      <c r="N54" s="191"/>
      <c r="O54" s="192"/>
      <c r="P54" s="129" t="s">
        <v>1417</v>
      </c>
      <c r="Q54" s="116">
        <v>40029420</v>
      </c>
      <c r="R54" s="116">
        <v>58007515727</v>
      </c>
      <c r="S54" s="116">
        <v>43564.51</v>
      </c>
      <c r="T54" s="130">
        <f t="shared" ref="T54" si="99">Q54/S54</f>
        <v>918.85390194908655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6056972.145658263</v>
      </c>
      <c r="C55" s="188">
        <f>AVERAGE(F53:F55)</f>
        <v>2018990.7152194211</v>
      </c>
      <c r="D55" s="190">
        <f>C55/C52-1</f>
        <v>2.4936236227046438E-2</v>
      </c>
      <c r="E55" s="287">
        <f>C55/C43-1</f>
        <v>0.48282637747906842</v>
      </c>
      <c r="F55" s="136">
        <f>Q55/21</f>
        <v>2067327.8095238095</v>
      </c>
      <c r="G55" s="190">
        <f t="shared" ref="G55" si="100">F55/F54-1</f>
        <v>-0.12203142683794166</v>
      </c>
      <c r="H55" s="190">
        <f t="shared" ref="H55" si="101">F55/F43-1</f>
        <v>0.46320810450802563</v>
      </c>
      <c r="I55" s="130">
        <f>T55</f>
        <v>879.27067367049813</v>
      </c>
      <c r="J55" s="130">
        <f t="shared" ref="J55" si="102">I55/I43-1</f>
        <v>-4.8927170964396804E-4</v>
      </c>
      <c r="K55" s="136">
        <f>R53+R54+R55</f>
        <v>171922532494</v>
      </c>
      <c r="L55" s="190" t="e">
        <f>U55/U52-1</f>
        <v>#DIV/0!</v>
      </c>
      <c r="M55" s="190">
        <f>K55/K43-1</f>
        <v>0.50306112240780654</v>
      </c>
      <c r="N55" s="191">
        <f>AVERAGE(T53:T55)</f>
        <v>804.23531481444252</v>
      </c>
      <c r="O55" s="192">
        <f>N55/N52-1</f>
        <v>5.2954032098144754E-3</v>
      </c>
      <c r="P55" s="129" t="s">
        <v>1418</v>
      </c>
      <c r="Q55" s="116">
        <v>43413884</v>
      </c>
      <c r="R55" s="116">
        <v>63882017160</v>
      </c>
      <c r="S55" s="116">
        <v>49374.879999999997</v>
      </c>
      <c r="T55" s="130">
        <f t="shared" ref="T55" si="103">Q55/S55</f>
        <v>879.27067367049813</v>
      </c>
      <c r="U55" s="85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2253213.3181818184</v>
      </c>
      <c r="G56" s="190">
        <f t="shared" ref="G56" si="104">F56/F55-1</f>
        <v>8.9915836183148024E-2</v>
      </c>
      <c r="H56" s="190">
        <f t="shared" ref="H56" si="105">F56/F44-1</f>
        <v>0.23549200120461911</v>
      </c>
      <c r="I56" s="291">
        <f>T56</f>
        <v>750.07975065682137</v>
      </c>
      <c r="J56" s="130">
        <f t="shared" ref="J56" si="106">I56/I44-1</f>
        <v>-0.2210332954503712</v>
      </c>
      <c r="K56" s="136"/>
      <c r="L56" s="190"/>
      <c r="M56" s="190"/>
      <c r="N56" s="191"/>
      <c r="O56" s="192"/>
      <c r="P56" s="129" t="s">
        <v>1420</v>
      </c>
      <c r="Q56" s="116">
        <v>49570693</v>
      </c>
      <c r="R56" s="116">
        <v>73811388883</v>
      </c>
      <c r="S56" s="116">
        <v>66087.23</v>
      </c>
      <c r="T56" s="130">
        <f t="shared" ref="T56" si="107">Q56/S56</f>
        <v>750.07975065682137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2620097.9166666665</v>
      </c>
      <c r="G57" s="254">
        <f t="shared" ref="G57" si="108">F57/F56-1</f>
        <v>0.16282728116523737</v>
      </c>
      <c r="H57" s="254">
        <f t="shared" ref="H57" si="109">F57/F45-1</f>
        <v>0.56021834658089831</v>
      </c>
      <c r="I57" s="282">
        <f>T57</f>
        <v>985.7907524117893</v>
      </c>
      <c r="J57" s="277">
        <f t="shared" ref="J57" si="110">I57/I45-1</f>
        <v>0.15592758085100145</v>
      </c>
      <c r="K57" s="204"/>
      <c r="L57" s="254"/>
      <c r="M57" s="254"/>
      <c r="N57" s="257"/>
      <c r="O57" s="258"/>
      <c r="P57" s="129" t="s">
        <v>1436</v>
      </c>
      <c r="Q57" s="116">
        <v>31441175</v>
      </c>
      <c r="R57" s="116">
        <v>46286333103</v>
      </c>
      <c r="S57" s="116">
        <v>31894.37</v>
      </c>
      <c r="T57" s="130">
        <f t="shared" ref="T57" si="111">Q57/S57</f>
        <v>985.7907524117893</v>
      </c>
      <c r="U57" s="85"/>
      <c r="V57" s="79"/>
      <c r="W57" s="79"/>
      <c r="X57" s="79"/>
      <c r="Y57" s="79"/>
      <c r="Z57" s="79"/>
    </row>
    <row r="58" spans="1:26">
      <c r="B58" s="196">
        <f>SUM(F56:F58)</f>
        <v>4873311.2348484844</v>
      </c>
      <c r="C58" s="196">
        <f>AVERAGE(F56:F58)</f>
        <v>2436655.6174242422</v>
      </c>
      <c r="D58" s="197">
        <f>C58/C55-1</f>
        <v>0.20686816390803942</v>
      </c>
      <c r="E58" s="233">
        <f>C58/C46-1</f>
        <v>0.36839446785964935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198789596</v>
      </c>
      <c r="R66" s="212">
        <v>292020254480</v>
      </c>
      <c r="S66" s="213">
        <v>246787.35</v>
      </c>
      <c r="T66" s="214">
        <v>132</v>
      </c>
      <c r="U66" s="214">
        <v>1789</v>
      </c>
    </row>
    <row r="67" spans="16:21" ht="18" thickBot="1">
      <c r="P67" s="180" t="s">
        <v>976</v>
      </c>
      <c r="Q67" s="181">
        <v>34334424</v>
      </c>
      <c r="R67" s="181">
        <v>50032999607</v>
      </c>
      <c r="S67" s="182">
        <v>55866.36</v>
      </c>
      <c r="T67" s="210">
        <v>99</v>
      </c>
      <c r="U67" s="210">
        <v>669</v>
      </c>
    </row>
    <row r="68" spans="16:21" ht="18" thickBot="1">
      <c r="P68" s="180" t="s">
        <v>977</v>
      </c>
      <c r="Q68" s="181">
        <v>40029420</v>
      </c>
      <c r="R68" s="181">
        <v>58007515727</v>
      </c>
      <c r="S68" s="182">
        <v>43564.51</v>
      </c>
      <c r="T68" s="210">
        <v>90</v>
      </c>
      <c r="U68" s="210">
        <v>546</v>
      </c>
    </row>
    <row r="69" spans="16:21" ht="18" thickBot="1">
      <c r="P69" s="180" t="s">
        <v>978</v>
      </c>
      <c r="Q69" s="181">
        <v>43413884</v>
      </c>
      <c r="R69" s="181">
        <v>63882017160</v>
      </c>
      <c r="S69" s="182">
        <v>49374.879999999997</v>
      </c>
      <c r="T69" s="210">
        <v>92</v>
      </c>
      <c r="U69" s="210">
        <v>661</v>
      </c>
    </row>
    <row r="70" spans="16:21" ht="18" thickBot="1">
      <c r="P70" s="180" t="s">
        <v>979</v>
      </c>
      <c r="Q70" s="181">
        <v>49570693</v>
      </c>
      <c r="R70" s="181">
        <v>73811388883</v>
      </c>
      <c r="S70" s="182">
        <v>66087.23</v>
      </c>
      <c r="T70" s="210">
        <v>93</v>
      </c>
      <c r="U70" s="210">
        <v>746</v>
      </c>
    </row>
    <row r="71" spans="16:21" ht="18" thickBot="1">
      <c r="P71" s="180" t="s">
        <v>980</v>
      </c>
      <c r="Q71" s="181">
        <v>31441175</v>
      </c>
      <c r="R71" s="181">
        <v>46286333103</v>
      </c>
      <c r="S71" s="182">
        <v>31894.37</v>
      </c>
      <c r="T71" s="210">
        <v>89</v>
      </c>
      <c r="U71" s="210">
        <v>522</v>
      </c>
    </row>
    <row r="72" spans="16:21" ht="18" thickBot="1">
      <c r="P72" s="180" t="s">
        <v>975</v>
      </c>
      <c r="Q72" s="181">
        <v>420203498</v>
      </c>
      <c r="R72" s="181">
        <v>596769470597</v>
      </c>
      <c r="S72" s="182">
        <v>523835.65</v>
      </c>
      <c r="T72" s="210">
        <v>184</v>
      </c>
      <c r="U72" s="210">
        <v>3277</v>
      </c>
    </row>
    <row r="73" spans="16:21" ht="18" thickBot="1">
      <c r="P73" s="215" t="s">
        <v>982</v>
      </c>
      <c r="Q73" s="217" t="s">
        <v>1501</v>
      </c>
      <c r="R73"/>
      <c r="S73"/>
      <c r="T73"/>
      <c r="U73"/>
    </row>
  </sheetData>
  <phoneticPr fontId="1" type="noConversion"/>
  <conditionalFormatting sqref="C29:C30">
    <cfRule type="cellIs" dxfId="1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3"/>
  <dimension ref="A1:Z72"/>
  <sheetViews>
    <sheetView zoomScale="90" zoomScaleNormal="9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514536.55</v>
      </c>
      <c r="G5" s="90"/>
      <c r="H5" s="90"/>
      <c r="I5" s="130">
        <f t="shared" ref="I5:I49" si="0">T5</f>
        <v>187.95052412371783</v>
      </c>
      <c r="J5" s="130"/>
      <c r="L5" s="80"/>
      <c r="M5" s="80"/>
      <c r="P5" s="129" t="s">
        <v>0</v>
      </c>
      <c r="Q5" s="116">
        <v>10290731</v>
      </c>
      <c r="R5" s="116">
        <v>12123870191</v>
      </c>
      <c r="S5" s="116">
        <v>54752.34</v>
      </c>
      <c r="T5" s="130">
        <f t="shared" ref="T5:T17" si="1">Q5/S5</f>
        <v>187.95052412371783</v>
      </c>
      <c r="U5" s="85"/>
    </row>
    <row r="6" spans="1:21" ht="15" hidden="1" customHeight="1">
      <c r="A6" s="129" t="s">
        <v>1</v>
      </c>
      <c r="C6" s="79"/>
      <c r="F6" s="78">
        <f>Q6/18</f>
        <v>336527.44444444444</v>
      </c>
      <c r="G6" s="90">
        <f t="shared" ref="G6:G16" si="2">F6/F5-1</f>
        <v>-0.34596007913442794</v>
      </c>
      <c r="H6" s="90"/>
      <c r="I6" s="130">
        <f t="shared" si="0"/>
        <v>61.087272848654379</v>
      </c>
      <c r="J6" s="130"/>
      <c r="P6" s="129" t="s">
        <v>1</v>
      </c>
      <c r="Q6" s="116">
        <v>6057494</v>
      </c>
      <c r="R6" s="116">
        <v>7211698270</v>
      </c>
      <c r="S6" s="116">
        <v>99161.31</v>
      </c>
      <c r="T6" s="130">
        <f t="shared" si="1"/>
        <v>61.087272848654379</v>
      </c>
      <c r="U6" s="85"/>
    </row>
    <row r="7" spans="1:21" ht="15" hidden="1" customHeight="1">
      <c r="A7" s="129" t="s">
        <v>2</v>
      </c>
      <c r="B7" s="131">
        <f>F5+F6+F7</f>
        <v>1242002.6308080808</v>
      </c>
      <c r="C7" s="131">
        <f>AVERAGE(F5:F7)</f>
        <v>414000.87693602691</v>
      </c>
      <c r="F7" s="78">
        <f>Q7/22</f>
        <v>390938.63636363635</v>
      </c>
      <c r="G7" s="90">
        <f t="shared" si="2"/>
        <v>0.16168426325233742</v>
      </c>
      <c r="H7" s="90"/>
      <c r="I7" s="130">
        <f t="shared" si="0"/>
        <v>436.8772747013839</v>
      </c>
      <c r="J7" s="130"/>
      <c r="K7" s="79">
        <f>R5+R6+R7</f>
        <v>29768102376</v>
      </c>
      <c r="L7" s="87">
        <f>보톡스!U7+'보톡스 (2)'!U7</f>
        <v>55665927</v>
      </c>
      <c r="M7" s="87">
        <f>보톡스!K7+'보톡스 (2)'!K7</f>
        <v>66387507862</v>
      </c>
      <c r="N7" s="88">
        <f>AVERAGE(T5:T7)</f>
        <v>228.63835722458535</v>
      </c>
      <c r="P7" s="129" t="s">
        <v>2</v>
      </c>
      <c r="Q7" s="116">
        <v>8600650</v>
      </c>
      <c r="R7" s="116">
        <v>10432533915</v>
      </c>
      <c r="S7" s="116">
        <v>19686.650000000001</v>
      </c>
      <c r="T7" s="130">
        <f t="shared" si="1"/>
        <v>436.8772747013839</v>
      </c>
      <c r="U7" s="85">
        <f>Q5+Q6+Q7</f>
        <v>24948875</v>
      </c>
    </row>
    <row r="8" spans="1:21" ht="15" hidden="1" customHeight="1">
      <c r="A8" s="129" t="s">
        <v>3</v>
      </c>
      <c r="C8" s="79"/>
      <c r="F8" s="78">
        <f>Q8/21</f>
        <v>628522.47619047621</v>
      </c>
      <c r="G8" s="90">
        <f t="shared" si="2"/>
        <v>0.60772668068000413</v>
      </c>
      <c r="H8" s="90"/>
      <c r="I8" s="130">
        <f t="shared" si="0"/>
        <v>309.75860180974126</v>
      </c>
      <c r="J8" s="130"/>
      <c r="K8" s="78"/>
      <c r="P8" s="129" t="s">
        <v>3</v>
      </c>
      <c r="Q8" s="116">
        <v>13198972</v>
      </c>
      <c r="R8" s="116">
        <v>15931011434</v>
      </c>
      <c r="S8" s="116">
        <v>42610.51</v>
      </c>
      <c r="T8" s="130">
        <f t="shared" si="1"/>
        <v>309.75860180974126</v>
      </c>
      <c r="U8" s="85"/>
    </row>
    <row r="9" spans="1:21" ht="15" hidden="1" customHeight="1">
      <c r="A9" s="129" t="s">
        <v>4</v>
      </c>
      <c r="C9" s="79"/>
      <c r="F9" s="78">
        <f>Q9/21</f>
        <v>506895.04761904763</v>
      </c>
      <c r="G9" s="90">
        <f t="shared" si="2"/>
        <v>-0.19351325239571693</v>
      </c>
      <c r="H9" s="90"/>
      <c r="I9" s="130">
        <f t="shared" si="0"/>
        <v>1389.6364683105901</v>
      </c>
      <c r="J9" s="130"/>
      <c r="K9" s="78"/>
      <c r="P9" s="129" t="s">
        <v>4</v>
      </c>
      <c r="Q9" s="116">
        <v>10644796</v>
      </c>
      <c r="R9" s="116">
        <v>13399113126</v>
      </c>
      <c r="S9" s="116">
        <v>7660.13</v>
      </c>
      <c r="T9" s="130">
        <f t="shared" si="1"/>
        <v>1389.6364683105901</v>
      </c>
      <c r="U9" s="85"/>
    </row>
    <row r="10" spans="1:21" ht="15" hidden="1" customHeight="1">
      <c r="A10" s="129" t="s">
        <v>5</v>
      </c>
      <c r="B10" s="131">
        <f>F8+F9+F10</f>
        <v>1356086.8095238095</v>
      </c>
      <c r="C10" s="131">
        <f>AVERAGE(F8:F10)</f>
        <v>452028.93650793651</v>
      </c>
      <c r="D10" s="90">
        <f>C10/C7-1</f>
        <v>9.1855021789690294E-2</v>
      </c>
      <c r="E10" s="286"/>
      <c r="F10" s="78">
        <f>Q10/21</f>
        <v>220669.28571428571</v>
      </c>
      <c r="G10" s="90">
        <f t="shared" si="2"/>
        <v>-0.56466474322288562</v>
      </c>
      <c r="H10" s="90"/>
      <c r="I10" s="130">
        <f t="shared" si="0"/>
        <v>117.03521546321429</v>
      </c>
      <c r="J10" s="130"/>
      <c r="K10" s="79">
        <f>R8+R9+R10</f>
        <v>35087476848</v>
      </c>
      <c r="L10" s="87">
        <f>U10/U7-1</f>
        <v>0.14144717948204066</v>
      </c>
      <c r="M10" s="87">
        <f>보톡스!K10+'보톡스 (2)'!K10</f>
        <v>93990901350</v>
      </c>
      <c r="N10" s="88">
        <f>AVERAGE(T8:T10)</f>
        <v>605.4767618611819</v>
      </c>
      <c r="O10" s="89">
        <f>N10/N7-1</f>
        <v>1.6481854104052989</v>
      </c>
      <c r="P10" s="129" t="s">
        <v>5</v>
      </c>
      <c r="Q10" s="116">
        <v>4634055</v>
      </c>
      <c r="R10" s="116">
        <v>5757352288</v>
      </c>
      <c r="S10" s="116">
        <v>39595.39</v>
      </c>
      <c r="T10" s="130">
        <f t="shared" si="1"/>
        <v>117.03521546321429</v>
      </c>
      <c r="U10" s="85">
        <f>Q8+Q9+Q10</f>
        <v>28477823</v>
      </c>
    </row>
    <row r="11" spans="1:21" ht="15" hidden="1" customHeight="1">
      <c r="A11" s="129" t="s">
        <v>6</v>
      </c>
      <c r="C11" s="79"/>
      <c r="F11" s="78">
        <f>Q11/21</f>
        <v>116722.19047619047</v>
      </c>
      <c r="G11" s="90">
        <f t="shared" si="2"/>
        <v>-0.47105375313844999</v>
      </c>
      <c r="H11" s="90"/>
      <c r="I11" s="130">
        <f t="shared" si="0"/>
        <v>31.669809745940313</v>
      </c>
      <c r="J11" s="130"/>
      <c r="K11" s="78"/>
      <c r="O11" s="89"/>
      <c r="P11" s="129" t="s">
        <v>6</v>
      </c>
      <c r="Q11" s="116">
        <v>2451166</v>
      </c>
      <c r="R11" s="116">
        <v>3169779737</v>
      </c>
      <c r="S11" s="116">
        <v>77397.56</v>
      </c>
      <c r="T11" s="130">
        <f t="shared" si="1"/>
        <v>31.669809745940313</v>
      </c>
      <c r="U11" s="85"/>
    </row>
    <row r="12" spans="1:21" ht="15" hidden="1" customHeight="1">
      <c r="A12" s="129" t="s">
        <v>7</v>
      </c>
      <c r="C12" s="79"/>
      <c r="F12" s="78">
        <f>Q12/22</f>
        <v>201611.31818181818</v>
      </c>
      <c r="G12" s="90">
        <f t="shared" si="2"/>
        <v>0.72727497110280659</v>
      </c>
      <c r="H12" s="90"/>
      <c r="I12" s="130">
        <f t="shared" si="0"/>
        <v>65.754971521417502</v>
      </c>
      <c r="J12" s="130"/>
      <c r="K12" s="78"/>
      <c r="O12" s="89"/>
      <c r="P12" s="129" t="s">
        <v>7</v>
      </c>
      <c r="Q12" s="116">
        <v>4435449</v>
      </c>
      <c r="R12" s="116">
        <v>5750346539</v>
      </c>
      <c r="S12" s="116">
        <v>67454.2</v>
      </c>
      <c r="T12" s="130">
        <f t="shared" si="1"/>
        <v>65.754971521417502</v>
      </c>
      <c r="U12" s="85"/>
    </row>
    <row r="13" spans="1:21" ht="15" hidden="1" customHeight="1">
      <c r="A13" s="129" t="s">
        <v>96</v>
      </c>
      <c r="B13" s="131">
        <f>F11+F12+F13</f>
        <v>618416.65865800867</v>
      </c>
      <c r="C13" s="131">
        <f>AVERAGE(F11:F13)</f>
        <v>206138.88621933621</v>
      </c>
      <c r="D13" s="90">
        <f>C13/C10-1</f>
        <v>-0.54396971173610487</v>
      </c>
      <c r="E13" s="286"/>
      <c r="F13" s="78">
        <f>Q13/20</f>
        <v>300083.15000000002</v>
      </c>
      <c r="G13" s="90">
        <f t="shared" si="2"/>
        <v>0.48842412571985405</v>
      </c>
      <c r="H13" s="90"/>
      <c r="I13" s="130">
        <f t="shared" si="0"/>
        <v>203.76130816537301</v>
      </c>
      <c r="J13" s="130"/>
      <c r="K13" s="78">
        <f>R11+R12+R13</f>
        <v>17081685085</v>
      </c>
      <c r="L13" s="87">
        <f>U13/U10-1</f>
        <v>-0.54742755441664204</v>
      </c>
      <c r="M13" s="109">
        <f>보톡스!K13+'보톡스 (2)'!K13</f>
        <v>112388405912</v>
      </c>
      <c r="N13" s="88">
        <f>AVERAGE(T11:T13)</f>
        <v>100.3953631442436</v>
      </c>
      <c r="O13" s="89">
        <f>N13/N10-1</f>
        <v>-0.83418791691420635</v>
      </c>
      <c r="P13" s="129" t="s">
        <v>96</v>
      </c>
      <c r="Q13" s="116">
        <v>6001663</v>
      </c>
      <c r="R13" s="116">
        <v>8161558809</v>
      </c>
      <c r="S13" s="116">
        <v>29454.38</v>
      </c>
      <c r="T13" s="130">
        <f t="shared" si="1"/>
        <v>203.76130816537301</v>
      </c>
      <c r="U13" s="85">
        <f>Q11+Q12+Q13</f>
        <v>12888278</v>
      </c>
    </row>
    <row r="14" spans="1:21" ht="15" hidden="1" customHeight="1">
      <c r="A14" s="129" t="s">
        <v>97</v>
      </c>
      <c r="C14" s="79"/>
      <c r="F14" s="78">
        <f>Q14/20</f>
        <v>141490.29999999999</v>
      </c>
      <c r="G14" s="90">
        <f t="shared" si="2"/>
        <v>-0.52849635176117027</v>
      </c>
      <c r="H14" s="90"/>
      <c r="I14" s="130">
        <f t="shared" si="0"/>
        <v>32.466662597538608</v>
      </c>
      <c r="J14" s="130"/>
      <c r="O14" s="89"/>
      <c r="P14" s="129" t="s">
        <v>97</v>
      </c>
      <c r="Q14" s="116">
        <v>2829806</v>
      </c>
      <c r="R14" s="116">
        <v>4034359499</v>
      </c>
      <c r="S14" s="116">
        <v>87160.36</v>
      </c>
      <c r="T14" s="130">
        <f t="shared" si="1"/>
        <v>32.466662597538608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74360.045454545456</v>
      </c>
      <c r="G15" s="90">
        <f t="shared" si="2"/>
        <v>-0.47445128426086125</v>
      </c>
      <c r="H15" s="90"/>
      <c r="I15" s="130">
        <f t="shared" si="0"/>
        <v>94.085443600356797</v>
      </c>
      <c r="J15" s="130"/>
      <c r="O15" s="89"/>
      <c r="P15" s="129" t="s">
        <v>98</v>
      </c>
      <c r="Q15" s="116">
        <v>1635921</v>
      </c>
      <c r="R15" s="116">
        <v>2290549206</v>
      </c>
      <c r="S15" s="116">
        <v>17387.61</v>
      </c>
      <c r="T15" s="130">
        <f t="shared" si="1"/>
        <v>94.085443600356797</v>
      </c>
      <c r="U15" s="85"/>
    </row>
    <row r="16" spans="1:21" ht="15" hidden="1" customHeight="1">
      <c r="A16" s="129" t="s">
        <v>99</v>
      </c>
      <c r="B16" s="131">
        <f>F14+F15+F16</f>
        <v>319792.84545454546</v>
      </c>
      <c r="C16" s="131">
        <f>AVERAGE(F14:F16)</f>
        <v>106597.61515151516</v>
      </c>
      <c r="D16" s="90">
        <f>C16/C13-1</f>
        <v>-0.48288449061428906</v>
      </c>
      <c r="E16" s="286"/>
      <c r="F16" s="78">
        <f>Q16/22</f>
        <v>103942.5</v>
      </c>
      <c r="G16" s="90">
        <f t="shared" si="2"/>
        <v>0.39782727894562142</v>
      </c>
      <c r="H16" s="90"/>
      <c r="I16" s="130">
        <f t="shared" si="0"/>
        <v>43.122632765495631</v>
      </c>
      <c r="J16" s="130"/>
      <c r="K16" s="78">
        <f>R14+R15+R16</f>
        <v>9321304911</v>
      </c>
      <c r="L16" s="87">
        <f>U16/U13-1</f>
        <v>-0.47607725407536994</v>
      </c>
      <c r="N16" s="88">
        <f>AVERAGE(T14:T16)</f>
        <v>56.558246321130348</v>
      </c>
      <c r="O16" s="89">
        <f>N16/N13-1</f>
        <v>-0.4366448354803999</v>
      </c>
      <c r="P16" s="129" t="s">
        <v>99</v>
      </c>
      <c r="Q16" s="116">
        <v>2286735</v>
      </c>
      <c r="R16" s="116">
        <v>2996396206</v>
      </c>
      <c r="S16" s="116">
        <v>53028.65</v>
      </c>
      <c r="T16" s="130">
        <f t="shared" si="1"/>
        <v>43.122632765495631</v>
      </c>
      <c r="U16" s="85">
        <f>Q14+Q15+Q16</f>
        <v>6752462</v>
      </c>
    </row>
    <row r="17" spans="1:21" ht="15" hidden="1" customHeight="1">
      <c r="A17" s="129" t="s">
        <v>100</v>
      </c>
      <c r="C17" s="79"/>
      <c r="F17" s="78">
        <f>Q17/20</f>
        <v>26679.8</v>
      </c>
      <c r="G17" s="90">
        <f t="shared" ref="G17:G22" si="3">F17/F16-1</f>
        <v>-0.74332154797123406</v>
      </c>
      <c r="H17" s="90">
        <f t="shared" ref="H17:H22" si="4">F17/F5-1</f>
        <v>-0.94814790125210735</v>
      </c>
      <c r="I17" s="130">
        <f t="shared" si="0"/>
        <v>7.4625095589646167</v>
      </c>
      <c r="J17" s="130">
        <f t="shared" ref="J17:J49" si="5">I17/I5-1</f>
        <v>-0.96029535116351983</v>
      </c>
      <c r="O17" s="89"/>
      <c r="P17" s="129" t="s">
        <v>100</v>
      </c>
      <c r="Q17" s="116">
        <v>533596</v>
      </c>
      <c r="R17" s="116">
        <v>670112362</v>
      </c>
      <c r="S17" s="116">
        <v>71503.56</v>
      </c>
      <c r="T17" s="130">
        <f t="shared" si="1"/>
        <v>7.4625095589646167</v>
      </c>
      <c r="U17" s="78"/>
    </row>
    <row r="18" spans="1:21" ht="15" hidden="1" customHeight="1">
      <c r="A18" s="129" t="s">
        <v>106</v>
      </c>
      <c r="C18" s="79"/>
      <c r="F18" s="78">
        <f>Q18/20</f>
        <v>136158.29999999999</v>
      </c>
      <c r="G18" s="90">
        <f t="shared" si="3"/>
        <v>4.1034228142639746</v>
      </c>
      <c r="H18" s="90">
        <f t="shared" si="4"/>
        <v>-0.59540209202023142</v>
      </c>
      <c r="I18" s="130">
        <f t="shared" si="0"/>
        <v>23.57832778977691</v>
      </c>
      <c r="J18" s="130">
        <f t="shared" si="5"/>
        <v>-0.61402225553278589</v>
      </c>
      <c r="O18" s="89"/>
      <c r="P18" s="129" t="s">
        <v>106</v>
      </c>
      <c r="Q18" s="116">
        <v>2723166</v>
      </c>
      <c r="R18" s="116">
        <v>3437901762</v>
      </c>
      <c r="S18" s="116">
        <v>115494.45</v>
      </c>
      <c r="T18" s="130">
        <f t="shared" ref="T18" si="6">Q18/S18</f>
        <v>23.57832778977691</v>
      </c>
      <c r="U18" s="78"/>
    </row>
    <row r="19" spans="1:21" hidden="1">
      <c r="A19" s="129" t="s">
        <v>114</v>
      </c>
      <c r="B19" s="131">
        <f>SUM(F17:F19)</f>
        <v>245285.87272727268</v>
      </c>
      <c r="C19" s="131">
        <f>AVERAGE(F17:F19)</f>
        <v>81761.957575757566</v>
      </c>
      <c r="D19" s="90">
        <f>C19/C16-1</f>
        <v>-0.23298511453991555</v>
      </c>
      <c r="E19" s="286">
        <f>C19/C7-1</f>
        <v>-0.80250776717946004</v>
      </c>
      <c r="F19" s="78">
        <f>Q19/22</f>
        <v>82447.772727272721</v>
      </c>
      <c r="G19" s="90">
        <f t="shared" si="3"/>
        <v>-0.3944711947250169</v>
      </c>
      <c r="H19" s="90">
        <f t="shared" si="4"/>
        <v>-0.78910303291030326</v>
      </c>
      <c r="I19" s="130">
        <f t="shared" si="0"/>
        <v>93.209629438162864</v>
      </c>
      <c r="J19" s="130">
        <f t="shared" si="5"/>
        <v>-0.78664573591777254</v>
      </c>
      <c r="K19" s="78">
        <f>R17+R18+R19</f>
        <v>6480642523</v>
      </c>
      <c r="L19" s="87">
        <f>U19/U16-1</f>
        <v>-0.24907196812066468</v>
      </c>
      <c r="M19" s="87">
        <f>U19/U7-1</f>
        <v>-0.79675985390122794</v>
      </c>
      <c r="N19" s="88">
        <f>AVERAGE(T17:T19)</f>
        <v>41.416822262301459</v>
      </c>
      <c r="O19" s="89">
        <f>N19/N16-1</f>
        <v>-0.26771381794367988</v>
      </c>
      <c r="P19" s="129" t="s">
        <v>115</v>
      </c>
      <c r="Q19" s="116">
        <v>1813851</v>
      </c>
      <c r="R19" s="116">
        <v>2372628399</v>
      </c>
      <c r="S19" s="116">
        <v>19459.91</v>
      </c>
      <c r="T19" s="130">
        <f t="shared" ref="T19" si="7">Q19/S19</f>
        <v>93.209629438162864</v>
      </c>
      <c r="U19" s="85">
        <f>Q17+Q18+Q19</f>
        <v>5070613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242889.15</v>
      </c>
      <c r="G20" s="90">
        <f t="shared" si="3"/>
        <v>1.945975882252732</v>
      </c>
      <c r="H20" s="90">
        <f t="shared" si="4"/>
        <v>-0.61355534734068684</v>
      </c>
      <c r="I20" s="130">
        <f t="shared" si="0"/>
        <v>94.837471806652545</v>
      </c>
      <c r="J20" s="130">
        <f t="shared" si="5"/>
        <v>-0.69383425915350938</v>
      </c>
      <c r="O20" s="89"/>
      <c r="P20" s="129" t="s">
        <v>132</v>
      </c>
      <c r="Q20" s="116">
        <v>4857783</v>
      </c>
      <c r="R20" s="116">
        <v>6357807040</v>
      </c>
      <c r="S20" s="116">
        <v>51222.19</v>
      </c>
      <c r="T20" s="130">
        <f t="shared" ref="T20" si="8">Q20/S20</f>
        <v>94.837471806652545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60678.761904761908</v>
      </c>
      <c r="G21" s="90">
        <f t="shared" si="3"/>
        <v>-0.75017919942178601</v>
      </c>
      <c r="H21" s="90">
        <f t="shared" si="4"/>
        <v>-0.88029324375967377</v>
      </c>
      <c r="I21" s="130">
        <f t="shared" si="0"/>
        <v>81.100222822043406</v>
      </c>
      <c r="J21" s="130">
        <f t="shared" si="5"/>
        <v>-0.94163925265962645</v>
      </c>
      <c r="O21" s="89"/>
      <c r="P21" s="129" t="s">
        <v>141</v>
      </c>
      <c r="Q21" s="116">
        <v>1274254</v>
      </c>
      <c r="R21" s="116">
        <v>1696042339</v>
      </c>
      <c r="S21" s="116">
        <v>15712.09</v>
      </c>
      <c r="T21" s="130">
        <f t="shared" ref="T21" si="9">Q21/S21</f>
        <v>81.100222822043406</v>
      </c>
      <c r="U21" s="78"/>
    </row>
    <row r="22" spans="1:21" hidden="1">
      <c r="A22" s="129" t="s">
        <v>156</v>
      </c>
      <c r="B22" s="131">
        <f>SUM(F20:F22)</f>
        <v>729082.53095238097</v>
      </c>
      <c r="C22" s="131">
        <f>AVERAGE(F20:F22)</f>
        <v>243027.51031746031</v>
      </c>
      <c r="D22" s="90">
        <f>C22/C19-1</f>
        <v>1.9723788118976988</v>
      </c>
      <c r="E22" s="286">
        <f>C22/C10-1</f>
        <v>-0.462362935888744</v>
      </c>
      <c r="F22" s="78">
        <f>Q22/21</f>
        <v>425514.61904761905</v>
      </c>
      <c r="G22" s="90">
        <f t="shared" si="3"/>
        <v>6.012579124727095</v>
      </c>
      <c r="H22" s="90">
        <f t="shared" si="4"/>
        <v>0.92829109710609825</v>
      </c>
      <c r="I22" s="130">
        <f t="shared" si="0"/>
        <v>285.27513075658601</v>
      </c>
      <c r="J22" s="130">
        <f t="shared" si="5"/>
        <v>1.4375153207305518</v>
      </c>
      <c r="K22" s="78">
        <f>R20+R21+R22</f>
        <v>19734256646</v>
      </c>
      <c r="L22" s="87">
        <f>U22/U19-1</f>
        <v>1.9716020528484424</v>
      </c>
      <c r="M22" s="87">
        <f>U22/U10-1</f>
        <v>-0.4708919990127054</v>
      </c>
      <c r="N22" s="88">
        <f>AVERAGE(T20:T22)</f>
        <v>153.73760846176066</v>
      </c>
      <c r="O22" s="89">
        <f>N22/N19-1</f>
        <v>2.7119605045531499</v>
      </c>
      <c r="P22" s="129" t="s">
        <v>156</v>
      </c>
      <c r="Q22" s="116">
        <v>8935807</v>
      </c>
      <c r="R22" s="116">
        <v>11680407267</v>
      </c>
      <c r="S22" s="116">
        <v>31323.47</v>
      </c>
      <c r="T22" s="130">
        <f t="shared" ref="T22:T23" si="10">Q22/S22</f>
        <v>285.27513075658601</v>
      </c>
      <c r="U22" s="85">
        <f>Q20+Q21+Q22</f>
        <v>15067844</v>
      </c>
    </row>
    <row r="23" spans="1:21" hidden="1">
      <c r="A23" s="129" t="s">
        <v>189</v>
      </c>
      <c r="B23" s="131"/>
      <c r="C23" s="131"/>
      <c r="F23" s="78">
        <f>Q23/21</f>
        <v>99759.71428571429</v>
      </c>
      <c r="G23" s="90">
        <f t="shared" ref="G23" si="11">F23/F22-1</f>
        <v>-0.76555514236151256</v>
      </c>
      <c r="H23" s="90">
        <f t="shared" ref="H23" si="12">F23/F11-1</f>
        <v>-0.14532349094267782</v>
      </c>
      <c r="I23" s="130">
        <f t="shared" si="0"/>
        <v>117.59316586276829</v>
      </c>
      <c r="J23" s="130">
        <f t="shared" si="5"/>
        <v>2.7130998514395026</v>
      </c>
      <c r="O23" s="89"/>
      <c r="P23" s="129" t="s">
        <v>189</v>
      </c>
      <c r="Q23" s="116">
        <v>2094954</v>
      </c>
      <c r="R23" s="116">
        <v>2682643244</v>
      </c>
      <c r="S23" s="116">
        <v>17815.27</v>
      </c>
      <c r="T23" s="130">
        <f t="shared" si="10"/>
        <v>117.59316586276829</v>
      </c>
      <c r="U23" s="78"/>
    </row>
    <row r="24" spans="1:21" hidden="1">
      <c r="A24" s="129" t="s">
        <v>204</v>
      </c>
      <c r="B24" s="131"/>
      <c r="C24" s="131"/>
      <c r="F24" s="78">
        <f>Q24/22</f>
        <v>209412.31818181818</v>
      </c>
      <c r="G24" s="90">
        <f t="shared" ref="G24" si="13">F24/F23-1</f>
        <v>1.0991671806723113</v>
      </c>
      <c r="H24" s="90">
        <f t="shared" ref="H24" si="14">F24/F12-1</f>
        <v>3.8693264199407995E-2</v>
      </c>
      <c r="I24" s="130">
        <f t="shared" si="0"/>
        <v>188.76386770261894</v>
      </c>
      <c r="J24" s="130">
        <f t="shared" si="5"/>
        <v>1.87071628707398</v>
      </c>
      <c r="O24" s="89"/>
      <c r="P24" s="129" t="s">
        <v>204</v>
      </c>
      <c r="Q24" s="116">
        <v>4607071</v>
      </c>
      <c r="R24" s="116">
        <v>6108965492</v>
      </c>
      <c r="S24" s="116">
        <v>24406.53</v>
      </c>
      <c r="T24" s="130">
        <f t="shared" ref="T24" si="15">Q24/S24</f>
        <v>188.76386770261894</v>
      </c>
      <c r="U24" s="78"/>
    </row>
    <row r="25" spans="1:21" s="79" customFormat="1" ht="13.2" hidden="1">
      <c r="A25" s="129" t="s">
        <v>219</v>
      </c>
      <c r="B25" s="131">
        <f>SUM(F23:F25)</f>
        <v>625321.08509911131</v>
      </c>
      <c r="C25" s="131">
        <f>AVERAGE(F23:F25)</f>
        <v>208440.36169970376</v>
      </c>
      <c r="D25" s="90">
        <f>C25/C22-1</f>
        <v>-0.14231783295881317</v>
      </c>
      <c r="E25" s="286">
        <f>C25/C13-1</f>
        <v>1.1164683784692153E-2</v>
      </c>
      <c r="F25" s="78">
        <f>Q25/19</f>
        <v>316149.05263157893</v>
      </c>
      <c r="G25" s="90">
        <f t="shared" ref="G25" si="16">F25/F24-1</f>
        <v>0.50969654209686288</v>
      </c>
      <c r="H25" s="90">
        <f t="shared" ref="H25" si="17">F25/F13-1</f>
        <v>5.3538169775873445E-2</v>
      </c>
      <c r="I25" s="130">
        <f t="shared" si="0"/>
        <v>2140.00064127</v>
      </c>
      <c r="J25" s="130">
        <f t="shared" si="5"/>
        <v>9.5024877418492615</v>
      </c>
      <c r="K25" s="78">
        <f>R23+R24+R25</f>
        <v>16752480502</v>
      </c>
      <c r="L25" s="90">
        <f>U25/U22-1</f>
        <v>-0.1565576999602597</v>
      </c>
      <c r="M25" s="90">
        <f>U25/U13-1</f>
        <v>-1.3921254647052184E-2</v>
      </c>
      <c r="N25" s="88">
        <f>AVERAGE(T23:T25)</f>
        <v>815.45255827846233</v>
      </c>
      <c r="O25" s="91">
        <f>N25/N22-1</f>
        <v>4.3041839692809507</v>
      </c>
      <c r="P25" s="129" t="s">
        <v>219</v>
      </c>
      <c r="Q25" s="116">
        <v>6006832</v>
      </c>
      <c r="R25" s="116">
        <v>7960871766</v>
      </c>
      <c r="S25" s="116">
        <v>2806.93</v>
      </c>
      <c r="T25" s="130">
        <f t="shared" ref="T25" si="18">Q25/S25</f>
        <v>2140.00064127</v>
      </c>
      <c r="U25" s="85">
        <f>Q23+Q24+Q25</f>
        <v>12708857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150790.05263157896</v>
      </c>
      <c r="G26" s="90">
        <f t="shared" ref="G26" si="19">F26/F25-1</f>
        <v>-0.52304126368108839</v>
      </c>
      <c r="H26" s="90">
        <f t="shared" ref="H26" si="20">F26/F14-1</f>
        <v>6.5727139115395072E-2</v>
      </c>
      <c r="I26" s="130">
        <f t="shared" si="0"/>
        <v>152.23144404121126</v>
      </c>
      <c r="J26" s="130">
        <f t="shared" si="5"/>
        <v>3.6888541002287178</v>
      </c>
      <c r="L26" s="90"/>
      <c r="M26" s="90"/>
      <c r="P26" s="129" t="s">
        <v>312</v>
      </c>
      <c r="Q26" s="116">
        <v>2865011</v>
      </c>
      <c r="R26" s="116">
        <v>3858566605</v>
      </c>
      <c r="S26" s="116">
        <v>18820.099999999999</v>
      </c>
      <c r="T26" s="130">
        <f t="shared" ref="T26" si="21">Q26/S26</f>
        <v>152.23144404121126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232138.90909090909</v>
      </c>
      <c r="G27" s="90">
        <f t="shared" ref="G27" si="22">F27/F26-1</f>
        <v>0.53948423678906376</v>
      </c>
      <c r="H27" s="90">
        <f t="shared" ref="H27" si="23">F27/F15-1</f>
        <v>2.1218231198205779</v>
      </c>
      <c r="I27" s="130">
        <f t="shared" si="0"/>
        <v>170.73408499635937</v>
      </c>
      <c r="J27" s="130">
        <f t="shared" si="5"/>
        <v>0.81467056393526849</v>
      </c>
      <c r="L27" s="90"/>
      <c r="M27" s="90"/>
      <c r="P27" s="129" t="s">
        <v>375</v>
      </c>
      <c r="Q27" s="116">
        <v>5107056</v>
      </c>
      <c r="R27" s="116">
        <v>6720069508</v>
      </c>
      <c r="S27" s="116">
        <v>29912.34</v>
      </c>
      <c r="T27" s="130">
        <f t="shared" ref="T27" si="24">Q27/S27</f>
        <v>170.73408499635937</v>
      </c>
      <c r="U27" s="78"/>
    </row>
    <row r="28" spans="1:21" s="79" customFormat="1" ht="13.2" hidden="1">
      <c r="A28" s="123" t="s">
        <v>413</v>
      </c>
      <c r="B28" s="131">
        <f>SUM(F26:F28)</f>
        <v>648692.85645933007</v>
      </c>
      <c r="C28" s="131">
        <f>AVERAGE(F26:F28)</f>
        <v>216230.95215311003</v>
      </c>
      <c r="D28" s="90">
        <f>C28/C25-1</f>
        <v>3.7375632962247662E-2</v>
      </c>
      <c r="E28" s="286">
        <f>C28/C16-1</f>
        <v>1.0284783280166709</v>
      </c>
      <c r="F28" s="78">
        <f>Q28/19</f>
        <v>265763.89473684208</v>
      </c>
      <c r="G28" s="90">
        <f t="shared" ref="G28" si="25">F28/F27-1</f>
        <v>0.14484855545161945</v>
      </c>
      <c r="H28" s="90">
        <f t="shared" ref="H28" si="26">F28/F16-1</f>
        <v>1.5568356998998683</v>
      </c>
      <c r="I28" s="130">
        <f t="shared" si="0"/>
        <v>250.71069669526534</v>
      </c>
      <c r="J28" s="130">
        <f t="shared" si="5"/>
        <v>4.8139005115631601</v>
      </c>
      <c r="K28" s="78">
        <f>R26+R27+R28</f>
        <v>17157128845</v>
      </c>
      <c r="L28" s="90">
        <f>U28/U25-1</f>
        <v>2.4606776203399017E-2</v>
      </c>
      <c r="M28" s="90">
        <f>U28/U16-1</f>
        <v>0.92841973786746235</v>
      </c>
      <c r="N28" s="88">
        <f>AVERAGE(T26:T28)</f>
        <v>191.225408577612</v>
      </c>
      <c r="O28" s="91">
        <f>N28/N25-1</f>
        <v>-0.76549781267310468</v>
      </c>
      <c r="P28" s="129" t="s">
        <v>413</v>
      </c>
      <c r="Q28" s="116">
        <v>5049514</v>
      </c>
      <c r="R28" s="116">
        <v>6578492732</v>
      </c>
      <c r="S28" s="116">
        <v>20140.8</v>
      </c>
      <c r="T28" s="130">
        <f t="shared" ref="T28" si="27">Q28/S28</f>
        <v>250.71069669526534</v>
      </c>
      <c r="U28" s="85">
        <f>Q26+Q27+Q28</f>
        <v>13021581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105702.04545454546</v>
      </c>
      <c r="G29" s="190">
        <f t="shared" ref="G29" si="28">F29/F28-1</f>
        <v>-0.60227085940619951</v>
      </c>
      <c r="H29" s="190">
        <f t="shared" ref="H29" si="29">F29/F17-1</f>
        <v>2.9618754808711256</v>
      </c>
      <c r="I29" s="130">
        <f t="shared" si="0"/>
        <v>237.29829677938133</v>
      </c>
      <c r="J29" s="130">
        <f t="shared" si="5"/>
        <v>30.798726005559075</v>
      </c>
      <c r="K29" s="136"/>
      <c r="L29" s="190"/>
      <c r="M29" s="190"/>
      <c r="N29" s="191"/>
      <c r="O29" s="192"/>
      <c r="P29" s="129" t="s">
        <v>430</v>
      </c>
      <c r="Q29" s="116">
        <v>2325445</v>
      </c>
      <c r="R29" s="116">
        <v>3056880727</v>
      </c>
      <c r="S29" s="116">
        <v>9799.67</v>
      </c>
      <c r="T29" s="130">
        <f t="shared" ref="T29" si="30">Q29/S29</f>
        <v>237.29829677938133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162529.47368421053</v>
      </c>
      <c r="G30" s="190">
        <f t="shared" ref="G30" si="31">F30/F29-1</f>
        <v>0.53761900240712279</v>
      </c>
      <c r="H30" s="190">
        <f t="shared" ref="H30" si="32">F30/F18-1</f>
        <v>0.19368025073910689</v>
      </c>
      <c r="I30" s="130">
        <f t="shared" si="0"/>
        <v>266.17535512343125</v>
      </c>
      <c r="J30" s="130">
        <f t="shared" si="5"/>
        <v>10.288983574095511</v>
      </c>
      <c r="K30" s="136"/>
      <c r="L30" s="190"/>
      <c r="M30" s="190"/>
      <c r="N30" s="191"/>
      <c r="O30" s="192"/>
      <c r="P30" s="129" t="s">
        <v>469</v>
      </c>
      <c r="Q30" s="116">
        <v>3088060</v>
      </c>
      <c r="R30" s="116">
        <v>4113168469</v>
      </c>
      <c r="S30" s="116">
        <v>11601.6</v>
      </c>
      <c r="T30" s="130">
        <f t="shared" ref="T30" si="33">Q30/S30</f>
        <v>266.17535512343125</v>
      </c>
      <c r="U30" s="85"/>
    </row>
    <row r="31" spans="1:21" s="79" customFormat="1" ht="13.2" hidden="1">
      <c r="A31" s="129" t="s">
        <v>505</v>
      </c>
      <c r="B31" s="188">
        <f>SUM(F29:F31)</f>
        <v>648439.81913875602</v>
      </c>
      <c r="C31" s="188">
        <f>AVERAGE(F29:F31)</f>
        <v>216146.60637958534</v>
      </c>
      <c r="D31" s="190">
        <f>C31/C28-1</f>
        <v>-3.9007261765633405E-4</v>
      </c>
      <c r="E31" s="287">
        <f>C31/C19-1</f>
        <v>1.643608504350107</v>
      </c>
      <c r="F31" s="136">
        <f>Q31/20</f>
        <v>380208.3</v>
      </c>
      <c r="G31" s="190">
        <f t="shared" ref="G31" si="34">F31/F30-1</f>
        <v>1.3393190870643705</v>
      </c>
      <c r="H31" s="190">
        <f t="shared" ref="H31" si="35">F31/F19-1</f>
        <v>3.6115048038675726</v>
      </c>
      <c r="I31" s="130">
        <f t="shared" si="0"/>
        <v>255.75008071893666</v>
      </c>
      <c r="J31" s="130">
        <f t="shared" si="5"/>
        <v>1.7438160870342951</v>
      </c>
      <c r="K31" s="136">
        <f>R29+R30+R31</f>
        <v>17290070397</v>
      </c>
      <c r="L31" s="190">
        <f>U31/U28-1</f>
        <v>-3.0027075821281723E-4</v>
      </c>
      <c r="M31" s="190">
        <f>U31/U19-1</f>
        <v>1.5672775658485474</v>
      </c>
      <c r="N31" s="191">
        <f>AVERAGE(T29:T31)</f>
        <v>253.07457754058305</v>
      </c>
      <c r="O31" s="192">
        <f>N31/N28-1</f>
        <v>0.32343593575258867</v>
      </c>
      <c r="P31" s="129" t="s">
        <v>524</v>
      </c>
      <c r="Q31" s="116">
        <v>7604166</v>
      </c>
      <c r="R31" s="116">
        <v>10120021201</v>
      </c>
      <c r="S31" s="116">
        <v>29732.799999999999</v>
      </c>
      <c r="T31" s="130">
        <f t="shared" ref="T31" si="36">Q31/S31</f>
        <v>255.75008071893666</v>
      </c>
      <c r="U31" s="85">
        <f>Q29+Q30+Q31</f>
        <v>13017671</v>
      </c>
    </row>
    <row r="32" spans="1:21" s="79" customFormat="1" ht="13.2" hidden="1">
      <c r="A32" s="129" t="s">
        <v>584</v>
      </c>
      <c r="B32" s="188"/>
      <c r="C32" s="188"/>
      <c r="D32" s="190"/>
      <c r="E32" s="287"/>
      <c r="F32" s="136">
        <f>Q32/21</f>
        <v>86763.380952380947</v>
      </c>
      <c r="G32" s="190">
        <f t="shared" ref="G32" si="37">F32/F31-1</f>
        <v>-0.77180040269404704</v>
      </c>
      <c r="H32" s="190">
        <f t="shared" ref="H32" si="38">F32/F20-1</f>
        <v>-0.64278609829882916</v>
      </c>
      <c r="I32" s="130">
        <f t="shared" si="0"/>
        <v>51.147443331028647</v>
      </c>
      <c r="J32" s="130">
        <f t="shared" si="5"/>
        <v>-0.46068318401291652</v>
      </c>
      <c r="K32" s="136"/>
      <c r="L32" s="190"/>
      <c r="M32" s="190"/>
      <c r="N32" s="191"/>
      <c r="O32" s="192"/>
      <c r="P32" s="129" t="s">
        <v>584</v>
      </c>
      <c r="Q32" s="116">
        <v>1822031</v>
      </c>
      <c r="R32" s="116">
        <v>2470464663</v>
      </c>
      <c r="S32" s="116">
        <v>35623.11</v>
      </c>
      <c r="T32" s="130">
        <f t="shared" ref="T32" si="39">Q32/S32</f>
        <v>51.147443331028647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165470.90476190476</v>
      </c>
      <c r="G33" s="190">
        <f t="shared" ref="G33" si="40">F33/F32-1</f>
        <v>0.90715141509666974</v>
      </c>
      <c r="H33" s="190">
        <f t="shared" ref="H33" si="41">F33/F21-1</f>
        <v>1.7269986988465407</v>
      </c>
      <c r="I33" s="130">
        <f t="shared" si="0"/>
        <v>176.06766281078836</v>
      </c>
      <c r="J33" s="130">
        <f t="shared" si="5"/>
        <v>1.1709886444717927</v>
      </c>
      <c r="K33" s="136"/>
      <c r="L33" s="190"/>
      <c r="M33" s="190"/>
      <c r="N33" s="191"/>
      <c r="O33" s="192"/>
      <c r="P33" s="129" t="s">
        <v>607</v>
      </c>
      <c r="Q33" s="116">
        <v>3474889</v>
      </c>
      <c r="R33" s="116">
        <v>4745750221</v>
      </c>
      <c r="S33" s="116">
        <v>19736.099999999999</v>
      </c>
      <c r="T33" s="130">
        <f t="shared" ref="T33" si="42">Q33/S33</f>
        <v>176.06766281078836</v>
      </c>
      <c r="U33" s="85"/>
    </row>
    <row r="34" spans="1:21" s="79" customFormat="1" ht="13.2" hidden="1">
      <c r="A34" s="129" t="s">
        <v>652</v>
      </c>
      <c r="B34" s="188">
        <f>SUM(F32:F34)</f>
        <v>478112.18045112782</v>
      </c>
      <c r="C34" s="188">
        <f>AVERAGE(F32:F34)</f>
        <v>159370.7268170426</v>
      </c>
      <c r="D34" s="190">
        <f>C34/C31-1</f>
        <v>-0.26267300936863158</v>
      </c>
      <c r="E34" s="287">
        <f>C34/C22-1</f>
        <v>-0.34422762835013665</v>
      </c>
      <c r="F34" s="136">
        <f>Q34/19</f>
        <v>225877.89473684211</v>
      </c>
      <c r="G34" s="190">
        <f t="shared" ref="G34" si="43">F34/F33-1</f>
        <v>0.36506109676415099</v>
      </c>
      <c r="H34" s="190">
        <f t="shared" ref="H34" si="44">F34/F22-1</f>
        <v>-0.46916537146855519</v>
      </c>
      <c r="I34" s="130">
        <f t="shared" si="0"/>
        <v>259.26259302463961</v>
      </c>
      <c r="J34" s="130">
        <f t="shared" si="5"/>
        <v>-9.1184035786638029E-2</v>
      </c>
      <c r="K34" s="136">
        <f>R32+R33+R34</f>
        <v>13131333184</v>
      </c>
      <c r="L34" s="190">
        <f>U34/U31-1</f>
        <v>-0.2634166280588901</v>
      </c>
      <c r="M34" s="190">
        <f>U34/U22-1</f>
        <v>-0.36363822189823569</v>
      </c>
      <c r="N34" s="191">
        <f>AVERAGE(T32:T34)</f>
        <v>162.15923305548554</v>
      </c>
      <c r="O34" s="192">
        <f>N34/N31-1</f>
        <v>-0.35924329250542097</v>
      </c>
      <c r="P34" s="129" t="s">
        <v>652</v>
      </c>
      <c r="Q34" s="116">
        <v>4291680</v>
      </c>
      <c r="R34" s="116">
        <v>5915118300</v>
      </c>
      <c r="S34" s="116">
        <v>16553.41</v>
      </c>
      <c r="T34" s="130">
        <f t="shared" ref="T34" si="45">Q34/S34</f>
        <v>259.26259302463961</v>
      </c>
      <c r="U34" s="85">
        <f>Q32+Q33+Q34</f>
        <v>9588600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104708.21739130435</v>
      </c>
      <c r="G35" s="190">
        <f t="shared" ref="G35" si="46">F35/F34-1</f>
        <v>-0.53643884669062403</v>
      </c>
      <c r="H35" s="190">
        <f t="shared" ref="H35" si="47">F35/F23-1</f>
        <v>4.9604222917253304E-2</v>
      </c>
      <c r="I35" s="130">
        <f t="shared" si="0"/>
        <v>59.212572211983108</v>
      </c>
      <c r="J35" s="130">
        <f t="shared" si="5"/>
        <v>-0.4964624706074805</v>
      </c>
      <c r="K35" s="136"/>
      <c r="L35" s="190"/>
      <c r="M35" s="190"/>
      <c r="N35" s="191"/>
      <c r="O35" s="192"/>
      <c r="P35" s="129" t="s">
        <v>660</v>
      </c>
      <c r="Q35" s="116">
        <v>2408289</v>
      </c>
      <c r="R35" s="116">
        <v>3335885487</v>
      </c>
      <c r="S35" s="116">
        <v>40671.919999999998</v>
      </c>
      <c r="T35" s="130">
        <f t="shared" ref="T35" si="48">Q35/S35</f>
        <v>59.212572211983108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184474.76190476189</v>
      </c>
      <c r="G36" s="190">
        <f t="shared" ref="G36" si="49">F36/F35-1</f>
        <v>0.7617983239592605</v>
      </c>
      <c r="H36" s="190">
        <f t="shared" ref="H36" si="50">F36/F24-1</f>
        <v>-0.11908352141637024</v>
      </c>
      <c r="I36" s="130">
        <f t="shared" si="0"/>
        <v>110.55632751524013</v>
      </c>
      <c r="J36" s="130">
        <f t="shared" si="5"/>
        <v>-0.41431414358699192</v>
      </c>
      <c r="K36" s="136"/>
      <c r="L36" s="190"/>
      <c r="M36" s="190"/>
      <c r="N36" s="191"/>
      <c r="O36" s="192"/>
      <c r="P36" s="129" t="s">
        <v>664</v>
      </c>
      <c r="Q36" s="116">
        <v>3873970</v>
      </c>
      <c r="R36" s="116">
        <v>5284826702</v>
      </c>
      <c r="S36" s="116">
        <v>35040.69</v>
      </c>
      <c r="T36" s="130">
        <f t="shared" ref="T36" si="51">Q36/S36</f>
        <v>110.55632751524013</v>
      </c>
      <c r="U36" s="85"/>
    </row>
    <row r="37" spans="1:21" s="79" customFormat="1" ht="13.2" hidden="1">
      <c r="A37" s="129" t="s">
        <v>702</v>
      </c>
      <c r="B37" s="188">
        <f>SUM(F35:F37)</f>
        <v>875075.03485162172</v>
      </c>
      <c r="C37" s="188">
        <f>AVERAGE(F35:F37)</f>
        <v>291691.67828387389</v>
      </c>
      <c r="D37" s="190">
        <f>C37/C34-1</f>
        <v>0.83027136858537132</v>
      </c>
      <c r="E37" s="287">
        <f>C37/C25-1</f>
        <v>0.39940113280031997</v>
      </c>
      <c r="F37" s="136">
        <f>Q37/18</f>
        <v>585892.0555555555</v>
      </c>
      <c r="G37" s="190">
        <f t="shared" ref="G37" si="52">F37/F36-1</f>
        <v>2.176001147831983</v>
      </c>
      <c r="H37" s="190">
        <f t="shared" ref="H37" si="53">F37/F25-1</f>
        <v>0.85321464884577347</v>
      </c>
      <c r="I37" s="130">
        <f t="shared" si="0"/>
        <v>268.19198230847809</v>
      </c>
      <c r="J37" s="130">
        <f t="shared" si="5"/>
        <v>-0.87467668133533016</v>
      </c>
      <c r="K37" s="136">
        <f>R35+R36+R37</f>
        <v>22675398924</v>
      </c>
      <c r="L37" s="190">
        <f>U37/U34-1</f>
        <v>0.75503368583526265</v>
      </c>
      <c r="M37" s="190">
        <f>U37/U25-1</f>
        <v>0.32414079409344199</v>
      </c>
      <c r="N37" s="191">
        <f>AVERAGE(T35:T37)</f>
        <v>145.9869606785671</v>
      </c>
      <c r="O37" s="192">
        <f>N37/N34-1</f>
        <v>-9.9730814411195579E-2</v>
      </c>
      <c r="P37" s="129" t="s">
        <v>702</v>
      </c>
      <c r="Q37" s="116">
        <v>10546057</v>
      </c>
      <c r="R37" s="116">
        <v>14054686735</v>
      </c>
      <c r="S37" s="116">
        <v>39322.79</v>
      </c>
      <c r="T37" s="130">
        <f t="shared" ref="T37" si="54">Q37/S37</f>
        <v>268.19198230847809</v>
      </c>
      <c r="U37" s="85">
        <f>Q35+Q36+Q37</f>
        <v>16828316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493692</v>
      </c>
      <c r="G38" s="190">
        <f t="shared" ref="G38" si="55">F38/F37-1</f>
        <v>-0.15736696663027705</v>
      </c>
      <c r="H38" s="190">
        <f t="shared" ref="H38" si="56">F38/F26-1</f>
        <v>2.2740355970710056</v>
      </c>
      <c r="I38" s="130">
        <f t="shared" si="0"/>
        <v>220.85520709145933</v>
      </c>
      <c r="J38" s="130">
        <f t="shared" si="5"/>
        <v>0.45078573275354739</v>
      </c>
      <c r="K38" s="136"/>
      <c r="L38" s="190"/>
      <c r="M38" s="190"/>
      <c r="N38" s="191"/>
      <c r="O38" s="192"/>
      <c r="P38" s="129" t="s">
        <v>728</v>
      </c>
      <c r="Q38" s="116">
        <v>9873840</v>
      </c>
      <c r="R38" s="116">
        <v>13489013414</v>
      </c>
      <c r="S38" s="116">
        <v>44707.3</v>
      </c>
      <c r="T38" s="130">
        <f t="shared" ref="T38" si="57">Q38/S38</f>
        <v>220.85520709145933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173598.38095238095</v>
      </c>
      <c r="G39" s="190">
        <f t="shared" ref="G39:G44" si="58">F39/F38-1</f>
        <v>-0.64836703662935402</v>
      </c>
      <c r="H39" s="190">
        <f t="shared" ref="H39:H44" si="59">F39/F27-1</f>
        <v>-0.25217887155488783</v>
      </c>
      <c r="I39" s="130">
        <f t="shared" si="0"/>
        <v>182.66207301540538</v>
      </c>
      <c r="J39" s="130">
        <f t="shared" si="5"/>
        <v>6.9862956885851757E-2</v>
      </c>
      <c r="K39" s="136"/>
      <c r="L39" s="190"/>
      <c r="M39" s="190"/>
      <c r="N39" s="191"/>
      <c r="O39" s="192"/>
      <c r="P39" s="129" t="s">
        <v>762</v>
      </c>
      <c r="Q39" s="116">
        <v>3645566</v>
      </c>
      <c r="R39" s="116">
        <v>5068066368</v>
      </c>
      <c r="S39" s="116">
        <v>19957.98</v>
      </c>
      <c r="T39" s="130">
        <f t="shared" ref="T39" si="60">Q39/S39</f>
        <v>182.66207301540538</v>
      </c>
      <c r="U39" s="85"/>
    </row>
    <row r="40" spans="1:21" s="79" customFormat="1" ht="13.2" hidden="1">
      <c r="A40" s="129" t="s">
        <v>778</v>
      </c>
      <c r="B40" s="188">
        <f>SUM(F38:F40)</f>
        <v>1407112.4761904762</v>
      </c>
      <c r="C40" s="188">
        <f>AVERAGE(F38:F40)</f>
        <v>469037.49206349207</v>
      </c>
      <c r="D40" s="190">
        <f>C40/C37-1</f>
        <v>0.60799065240053074</v>
      </c>
      <c r="E40" s="287">
        <f>C40/C28-1</f>
        <v>1.1691505651391361</v>
      </c>
      <c r="F40" s="136">
        <f>Q40/21</f>
        <v>739822.09523809527</v>
      </c>
      <c r="G40" s="190">
        <f t="shared" si="58"/>
        <v>3.2616877598704841</v>
      </c>
      <c r="H40" s="190">
        <f t="shared" si="59"/>
        <v>1.7837569733490812</v>
      </c>
      <c r="I40" s="130">
        <f t="shared" si="0"/>
        <v>243.5452665768959</v>
      </c>
      <c r="J40" s="130">
        <f t="shared" si="5"/>
        <v>-2.8580472284670422E-2</v>
      </c>
      <c r="K40" s="136">
        <f>R38+R39+R40</f>
        <v>40441632450</v>
      </c>
      <c r="L40" s="190">
        <f>U40/U37-1</f>
        <v>0.72659403353252938</v>
      </c>
      <c r="M40" s="190">
        <f>U40/U28-1</f>
        <v>1.2313473302512192</v>
      </c>
      <c r="N40" s="191">
        <f>AVERAGE(T38:T40)</f>
        <v>215.68751556125355</v>
      </c>
      <c r="O40" s="192">
        <f>N40/N37-1</f>
        <v>0.47744370153819804</v>
      </c>
      <c r="P40" s="129" t="s">
        <v>778</v>
      </c>
      <c r="Q40" s="116">
        <v>15536264</v>
      </c>
      <c r="R40" s="116">
        <v>21884552668</v>
      </c>
      <c r="S40" s="116">
        <v>63792.1</v>
      </c>
      <c r="T40" s="130">
        <f t="shared" ref="T40" si="61">Q40/S40</f>
        <v>243.5452665768959</v>
      </c>
      <c r="U40" s="85">
        <f>Q38+Q39+Q40</f>
        <v>29055670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90040.833333333328</v>
      </c>
      <c r="G41" s="190">
        <f t="shared" si="58"/>
        <v>-0.87829393861999261</v>
      </c>
      <c r="H41" s="190">
        <f t="shared" si="59"/>
        <v>-0.14816375647098379</v>
      </c>
      <c r="I41" s="130">
        <f t="shared" si="0"/>
        <v>71.881268741082678</v>
      </c>
      <c r="J41" s="130">
        <f t="shared" si="5"/>
        <v>-0.69708476749872572</v>
      </c>
      <c r="K41" s="193"/>
      <c r="L41" s="190"/>
      <c r="M41" s="190"/>
      <c r="N41" s="193"/>
      <c r="O41" s="193"/>
      <c r="P41" s="129" t="s">
        <v>792</v>
      </c>
      <c r="Q41" s="116">
        <v>1620735</v>
      </c>
      <c r="R41" s="116">
        <v>2371519473</v>
      </c>
      <c r="S41" s="116">
        <v>22547.39</v>
      </c>
      <c r="T41" s="130">
        <f t="shared" ref="T41" si="62">Q41/S41</f>
        <v>71.881268741082678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141700.79999999999</v>
      </c>
      <c r="G42" s="190">
        <f t="shared" si="58"/>
        <v>0.57373932197428945</v>
      </c>
      <c r="H42" s="190">
        <f t="shared" si="59"/>
        <v>-0.12815320945836561</v>
      </c>
      <c r="I42" s="130">
        <f t="shared" si="0"/>
        <v>272.17257603070135</v>
      </c>
      <c r="J42" s="130">
        <f t="shared" si="5"/>
        <v>2.253109009468246E-2</v>
      </c>
      <c r="K42" s="193"/>
      <c r="L42" s="190"/>
      <c r="M42" s="190"/>
      <c r="N42" s="193"/>
      <c r="O42" s="193"/>
      <c r="P42" s="129" t="s">
        <v>826</v>
      </c>
      <c r="Q42" s="116">
        <v>2834016</v>
      </c>
      <c r="R42" s="116">
        <v>4092749695</v>
      </c>
      <c r="S42" s="116">
        <v>10412.57</v>
      </c>
      <c r="T42" s="130">
        <f t="shared" ref="T42" si="63">Q42/S42</f>
        <v>272.17257603070135</v>
      </c>
      <c r="U42" s="78"/>
    </row>
    <row r="43" spans="1:21" s="79" customFormat="1" ht="13.2">
      <c r="A43" s="129" t="s">
        <v>835</v>
      </c>
      <c r="B43" s="188">
        <f>SUM(F41:F43)</f>
        <v>840337.33333333326</v>
      </c>
      <c r="C43" s="188">
        <f>AVERAGE(F41:F43)</f>
        <v>280112.44444444444</v>
      </c>
      <c r="D43" s="190">
        <f>C43/C40-1</f>
        <v>-0.40279306199572096</v>
      </c>
      <c r="E43" s="287">
        <f>C43/C31-1</f>
        <v>0.29593727672284453</v>
      </c>
      <c r="F43" s="136">
        <f>Q43/20</f>
        <v>608595.69999999995</v>
      </c>
      <c r="G43" s="190">
        <f t="shared" si="58"/>
        <v>3.2949348204103295</v>
      </c>
      <c r="H43" s="190">
        <f t="shared" si="59"/>
        <v>0.60069020060845579</v>
      </c>
      <c r="I43" s="130">
        <f t="shared" si="0"/>
        <v>309.48088105547663</v>
      </c>
      <c r="J43" s="130">
        <f t="shared" si="5"/>
        <v>0.21009103960201236</v>
      </c>
      <c r="K43" s="136">
        <f>R41+R42+R43</f>
        <v>24134926966</v>
      </c>
      <c r="L43" s="190">
        <f>U43/U40-1</f>
        <v>-0.4277652175978045</v>
      </c>
      <c r="M43" s="190">
        <f>K43/K31-1</f>
        <v>0.39588367264182178</v>
      </c>
      <c r="N43" s="191">
        <f>AVERAGE(T41:T43)</f>
        <v>217.8449086090869</v>
      </c>
      <c r="O43" s="192">
        <f>N43/N40-1</f>
        <v>1.0002401122844118E-2</v>
      </c>
      <c r="P43" s="129" t="s">
        <v>835</v>
      </c>
      <c r="Q43" s="116">
        <v>12171914</v>
      </c>
      <c r="R43" s="116">
        <v>17670657798</v>
      </c>
      <c r="S43" s="116">
        <v>39330.1</v>
      </c>
      <c r="T43" s="130">
        <f t="shared" ref="T43" si="64">Q43/S43</f>
        <v>309.48088105547663</v>
      </c>
      <c r="U43" s="85">
        <f>Q41+Q42+Q43</f>
        <v>16626665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395456.22727272729</v>
      </c>
      <c r="G44" s="190">
        <f t="shared" si="58"/>
        <v>-0.35021521303432257</v>
      </c>
      <c r="H44" s="190">
        <f t="shared" si="59"/>
        <v>3.5578701859228925</v>
      </c>
      <c r="I44" s="130">
        <f t="shared" si="0"/>
        <v>1382.1583184129713</v>
      </c>
      <c r="J44" s="130">
        <f t="shared" si="5"/>
        <v>26.023018716059333</v>
      </c>
      <c r="K44" s="136"/>
      <c r="L44" s="190"/>
      <c r="M44" s="190"/>
      <c r="N44" s="191"/>
      <c r="O44" s="192"/>
      <c r="P44" s="129" t="s">
        <v>843</v>
      </c>
      <c r="Q44" s="116">
        <v>8700037</v>
      </c>
      <c r="R44" s="116">
        <v>12495237676</v>
      </c>
      <c r="S44" s="116">
        <v>6294.53</v>
      </c>
      <c r="T44" s="130">
        <f t="shared" ref="T44" si="65">Q44/S44</f>
        <v>1382.1583184129713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521891</v>
      </c>
      <c r="G45" s="190">
        <f t="shared" ref="G45" si="66">F45/F44-1</f>
        <v>0.31971875521908699</v>
      </c>
      <c r="H45" s="190">
        <f t="shared" ref="H45" si="67">F45/F33-1</f>
        <v>2.1539744147223119</v>
      </c>
      <c r="I45" s="130">
        <f t="shared" si="0"/>
        <v>248.81792759554733</v>
      </c>
      <c r="J45" s="130">
        <f t="shared" si="5"/>
        <v>0.41319492531084623</v>
      </c>
      <c r="K45" s="136"/>
      <c r="L45" s="190"/>
      <c r="M45" s="190"/>
      <c r="N45" s="191"/>
      <c r="O45" s="192"/>
      <c r="P45" s="129" t="s">
        <v>877</v>
      </c>
      <c r="Q45" s="116">
        <v>10437820</v>
      </c>
      <c r="R45" s="116">
        <v>14652867266</v>
      </c>
      <c r="S45" s="116">
        <v>41949.63</v>
      </c>
      <c r="T45" s="130">
        <f t="shared" ref="T45" si="68">Q45/S45</f>
        <v>248.81792759554733</v>
      </c>
      <c r="U45" s="85"/>
    </row>
    <row r="46" spans="1:21" s="79" customFormat="1" ht="13.2">
      <c r="A46" s="129" t="s">
        <v>926</v>
      </c>
      <c r="B46" s="188">
        <f>SUM(F44:F46)</f>
        <v>1257368.4904306219</v>
      </c>
      <c r="C46" s="188">
        <f>AVERAGE(F44:F46)</f>
        <v>419122.83014354063</v>
      </c>
      <c r="D46" s="190">
        <f>C46/C43-1</f>
        <v>0.49626636893908715</v>
      </c>
      <c r="E46" s="287">
        <f>C46/C34-1</f>
        <v>1.6298608189488473</v>
      </c>
      <c r="F46" s="136">
        <f>Q46/19</f>
        <v>340021.26315789472</v>
      </c>
      <c r="G46" s="190">
        <f t="shared" ref="G46" si="69">F46/F45-1</f>
        <v>-0.34848222491306668</v>
      </c>
      <c r="H46" s="190">
        <f t="shared" ref="H46" si="70">F46/F34-1</f>
        <v>0.50533217760876847</v>
      </c>
      <c r="I46" s="130">
        <f t="shared" si="0"/>
        <v>1187.7991605028158</v>
      </c>
      <c r="J46" s="130">
        <f t="shared" si="5"/>
        <v>3.5814521356342777</v>
      </c>
      <c r="K46" s="136">
        <f>R44+R45+R46</f>
        <v>36004491114</v>
      </c>
      <c r="L46" s="190">
        <f>U46/U43-1</f>
        <v>0.53959083195577695</v>
      </c>
      <c r="M46" s="190">
        <f>K46/K34-1</f>
        <v>1.7418762900533222</v>
      </c>
      <c r="N46" s="191">
        <f>AVERAGE(T44:T46)</f>
        <v>939.59180217044479</v>
      </c>
      <c r="O46" s="192">
        <f>N46/N43-1</f>
        <v>3.3131226163127865</v>
      </c>
      <c r="P46" s="129" t="s">
        <v>888</v>
      </c>
      <c r="Q46" s="116">
        <v>6460404</v>
      </c>
      <c r="R46" s="116">
        <v>8856386172</v>
      </c>
      <c r="S46" s="116">
        <v>5438.97</v>
      </c>
      <c r="T46" s="130">
        <f t="shared" ref="T46" si="71">Q46/S46</f>
        <v>1187.7991605028158</v>
      </c>
      <c r="U46" s="85">
        <f t="shared" ref="U46:U51" si="72">Q44+Q45+Q46</f>
        <v>25598261</v>
      </c>
    </row>
    <row r="47" spans="1:21" s="79" customFormat="1" ht="13.2">
      <c r="A47" s="129" t="s">
        <v>1022</v>
      </c>
      <c r="B47" s="188"/>
      <c r="C47" s="188"/>
      <c r="D47" s="190"/>
      <c r="E47" s="287"/>
      <c r="F47" s="136">
        <f>Q47/23</f>
        <v>148576.78260869565</v>
      </c>
      <c r="G47" s="190">
        <f t="shared" ref="G47" si="73">F47/F46-1</f>
        <v>-0.56303679002656537</v>
      </c>
      <c r="H47" s="190">
        <f t="shared" ref="H47" si="74">F47/F35-1</f>
        <v>0.41896009988834382</v>
      </c>
      <c r="I47" s="130">
        <f t="shared" si="0"/>
        <v>224.57634804324255</v>
      </c>
      <c r="J47" s="130">
        <f t="shared" si="5"/>
        <v>2.7927139398580971</v>
      </c>
      <c r="K47" s="136"/>
      <c r="L47" s="190"/>
      <c r="M47" s="190"/>
      <c r="N47" s="191"/>
      <c r="O47" s="192"/>
      <c r="P47" s="129" t="s">
        <v>1029</v>
      </c>
      <c r="Q47" s="116">
        <v>3417266</v>
      </c>
      <c r="R47" s="116">
        <v>4686631079</v>
      </c>
      <c r="S47" s="116">
        <v>15216.5</v>
      </c>
      <c r="T47" s="130">
        <f t="shared" ref="T47" si="75">Q47/S47</f>
        <v>224.57634804324255</v>
      </c>
      <c r="U47" s="85">
        <f t="shared" si="72"/>
        <v>20315490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342557.9</v>
      </c>
      <c r="G48" s="190">
        <f t="shared" ref="G48" si="76">F48/F47-1</f>
        <v>1.3055950868325734</v>
      </c>
      <c r="H48" s="190">
        <f t="shared" ref="H48" si="77">F48/F36-1</f>
        <v>0.85693639857820303</v>
      </c>
      <c r="I48" s="130">
        <f t="shared" si="0"/>
        <v>147.94464048294788</v>
      </c>
      <c r="J48" s="130">
        <f t="shared" si="5"/>
        <v>0.33818338405419435</v>
      </c>
      <c r="K48" s="136"/>
      <c r="L48" s="190"/>
      <c r="M48" s="190"/>
      <c r="N48" s="191"/>
      <c r="O48" s="192"/>
      <c r="P48" s="129" t="s">
        <v>1149</v>
      </c>
      <c r="Q48" s="116">
        <v>6851158</v>
      </c>
      <c r="R48" s="116">
        <v>9503843735</v>
      </c>
      <c r="S48" s="116">
        <v>46308.93</v>
      </c>
      <c r="T48" s="130">
        <f t="shared" ref="T48" si="78">Q48/S48</f>
        <v>147.94464048294788</v>
      </c>
      <c r="U48" s="85">
        <f t="shared" si="72"/>
        <v>16728828</v>
      </c>
    </row>
    <row r="49" spans="1:26" ht="13.2">
      <c r="A49" s="129" t="s">
        <v>1242</v>
      </c>
      <c r="B49" s="188">
        <f>SUM(F47:F49)</f>
        <v>904025.77351778653</v>
      </c>
      <c r="C49" s="188">
        <f>AVERAGE(F47:F49)</f>
        <v>301341.92450592882</v>
      </c>
      <c r="D49" s="190">
        <f>C49/C46-1</f>
        <v>-0.28101763293895099</v>
      </c>
      <c r="E49" s="287">
        <f>C49/C37-1</f>
        <v>3.3083721410328781E-2</v>
      </c>
      <c r="F49" s="136">
        <f>Q49/22</f>
        <v>412891.09090909088</v>
      </c>
      <c r="G49" s="190">
        <f t="shared" ref="G49" si="79">F49/F48-1</f>
        <v>0.20531767303889614</v>
      </c>
      <c r="H49" s="190">
        <f t="shared" ref="H49" si="80">F49/F37-1</f>
        <v>-0.29527788097829966</v>
      </c>
      <c r="I49" s="130">
        <f t="shared" si="0"/>
        <v>279.56036569714945</v>
      </c>
      <c r="J49" s="130">
        <f t="shared" si="5"/>
        <v>4.2388975579423782E-2</v>
      </c>
      <c r="K49" s="136">
        <f>R47+R48+R49</f>
        <v>26832669585</v>
      </c>
      <c r="L49" s="190">
        <f>U49/U46-1</f>
        <v>-0.24401005208908522</v>
      </c>
      <c r="M49" s="190">
        <f>K49/K37-1</f>
        <v>0.1833383692579662</v>
      </c>
      <c r="N49" s="191">
        <f>AVERAGE(T47:T49)</f>
        <v>217.36045140777995</v>
      </c>
      <c r="O49" s="192">
        <f>N49/N46-1</f>
        <v>-0.76866501931404663</v>
      </c>
      <c r="P49" s="129" t="s">
        <v>1158</v>
      </c>
      <c r="Q49" s="116">
        <v>9083604</v>
      </c>
      <c r="R49" s="116">
        <v>12642194771</v>
      </c>
      <c r="S49" s="116">
        <v>32492.46</v>
      </c>
      <c r="T49" s="130">
        <f t="shared" ref="T49" si="81">Q49/S49</f>
        <v>279.56036569714945</v>
      </c>
      <c r="U49" s="85">
        <f t="shared" si="72"/>
        <v>19352028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256334.61111111112</v>
      </c>
      <c r="G50" s="190">
        <f t="shared" ref="G50" si="82">F50/F49-1</f>
        <v>-0.37917136805562579</v>
      </c>
      <c r="H50" s="190">
        <f t="shared" ref="H50" si="83">F50/F38-1</f>
        <v>-0.48078030206867617</v>
      </c>
      <c r="I50" s="130">
        <f t="shared" ref="I50" si="84">T50</f>
        <v>85.015745523014658</v>
      </c>
      <c r="J50" s="130">
        <f t="shared" ref="J50" si="85">I50/I38-1</f>
        <v>-0.61506116770971841</v>
      </c>
      <c r="K50" s="136"/>
      <c r="L50" s="190"/>
      <c r="M50" s="190"/>
      <c r="N50" s="191"/>
      <c r="O50" s="192"/>
      <c r="P50" s="129" t="s">
        <v>1293</v>
      </c>
      <c r="Q50" s="116">
        <v>4614023</v>
      </c>
      <c r="R50" s="116">
        <v>6504107186</v>
      </c>
      <c r="S50" s="116">
        <v>54272.57</v>
      </c>
      <c r="T50" s="130">
        <f t="shared" ref="T50" si="86">Q50/S50</f>
        <v>85.015745523014658</v>
      </c>
      <c r="U50" s="85">
        <f t="shared" si="72"/>
        <v>20548785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445951.8</v>
      </c>
      <c r="G51" s="190">
        <f t="shared" ref="G51:G52" si="87">F51/F50-1</f>
        <v>0.73972526794946614</v>
      </c>
      <c r="H51" s="190">
        <f t="shared" ref="H51:H52" si="88">F51/F39-1</f>
        <v>1.5688707322813524</v>
      </c>
      <c r="I51" s="130">
        <f t="shared" ref="I51:I52" si="89">T51</f>
        <v>92.756012424825187</v>
      </c>
      <c r="J51" s="130">
        <f t="shared" ref="J51:J52" si="90">I51/I39-1</f>
        <v>-0.4921988407686454</v>
      </c>
      <c r="K51" s="136"/>
      <c r="L51" s="190"/>
      <c r="M51" s="190"/>
      <c r="N51" s="191"/>
      <c r="O51" s="192"/>
      <c r="P51" s="129" t="s">
        <v>1402</v>
      </c>
      <c r="Q51" s="116">
        <v>8919036</v>
      </c>
      <c r="R51" s="116">
        <v>12955393038</v>
      </c>
      <c r="S51" s="116">
        <v>96155.88</v>
      </c>
      <c r="T51" s="130">
        <f t="shared" ref="T51:T52" si="91">Q51/S51</f>
        <v>92.756012424825187</v>
      </c>
      <c r="U51" s="85">
        <f t="shared" si="72"/>
        <v>22616663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958020.09292929294</v>
      </c>
      <c r="C52" s="188">
        <f>AVERAGE(F50:F52)</f>
        <v>319340.03097643098</v>
      </c>
      <c r="D52" s="190">
        <f>C52/C49-1</f>
        <v>5.9726526602666752E-2</v>
      </c>
      <c r="E52" s="287">
        <f>C52/C40-1</f>
        <v>-0.31915883830198599</v>
      </c>
      <c r="F52" s="136">
        <f>Q52/22</f>
        <v>255733.68181818182</v>
      </c>
      <c r="G52" s="190">
        <f t="shared" si="87"/>
        <v>-0.42654412019823251</v>
      </c>
      <c r="H52" s="190">
        <f t="shared" si="88"/>
        <v>-0.65433084053014179</v>
      </c>
      <c r="I52" s="130">
        <f t="shared" si="89"/>
        <v>271.4677031011006</v>
      </c>
      <c r="J52" s="130">
        <f t="shared" si="90"/>
        <v>0.11464988384567354</v>
      </c>
      <c r="K52" s="136">
        <f>R50+R51+R52</f>
        <v>27730533592</v>
      </c>
      <c r="L52" s="190">
        <f>U52/U49-1</f>
        <v>-9.9642270050456228E-3</v>
      </c>
      <c r="M52" s="190">
        <f>K52/K40-1</f>
        <v>-0.31430726427068356</v>
      </c>
      <c r="N52" s="191">
        <f>AVERAGE(T50:T52)</f>
        <v>149.74648701631347</v>
      </c>
      <c r="O52" s="192">
        <f>N52/N49-1</f>
        <v>-0.31106838412209148</v>
      </c>
      <c r="P52" s="129" t="s">
        <v>1403</v>
      </c>
      <c r="Q52" s="116">
        <v>5626141</v>
      </c>
      <c r="R52" s="116">
        <v>8271033368</v>
      </c>
      <c r="S52" s="116">
        <v>20724.900000000001</v>
      </c>
      <c r="T52" s="130">
        <f t="shared" si="91"/>
        <v>271.4677031011006</v>
      </c>
      <c r="U52" s="85">
        <f t="shared" ref="U52" si="92">Q50+Q51+Q52</f>
        <v>19159200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366772</v>
      </c>
      <c r="G53" s="190">
        <f t="shared" ref="G53" si="93">F53/F52-1</f>
        <v>0.43419512593090004</v>
      </c>
      <c r="H53" s="190">
        <f t="shared" ref="H53" si="94">F53/F41-1</f>
        <v>3.0733963294431232</v>
      </c>
      <c r="I53" s="130">
        <f t="shared" ref="I53" si="95">T53</f>
        <v>83.619243491405754</v>
      </c>
      <c r="J53" s="130">
        <f t="shared" ref="J53" si="96">I53/I41-1</f>
        <v>0.16329671075511243</v>
      </c>
      <c r="K53" s="136"/>
      <c r="L53" s="190"/>
      <c r="M53" s="190"/>
      <c r="N53" s="191"/>
      <c r="O53" s="192"/>
      <c r="P53" s="129" t="s">
        <v>1414</v>
      </c>
      <c r="Q53" s="116">
        <v>7702212</v>
      </c>
      <c r="R53" s="116">
        <v>11251595511</v>
      </c>
      <c r="S53" s="116">
        <v>92110.52</v>
      </c>
      <c r="T53" s="130">
        <f t="shared" ref="T53" si="97">Q53/S53</f>
        <v>83.619243491405754</v>
      </c>
      <c r="U53" s="85">
        <f t="shared" ref="U53" si="98">Q51+Q52+Q53</f>
        <v>22247389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233297.5294117647</v>
      </c>
      <c r="G54" s="190">
        <f t="shared" ref="G54" si="99">F54/F53-1</f>
        <v>-0.36391674006804031</v>
      </c>
      <c r="H54" s="190">
        <f t="shared" ref="H54" si="100">F54/F42-1</f>
        <v>0.64640940214709253</v>
      </c>
      <c r="I54" s="130">
        <f t="shared" ref="I54" si="101">T54</f>
        <v>126.35445953673896</v>
      </c>
      <c r="J54" s="130">
        <f t="shared" ref="J54" si="102">I54/I42-1</f>
        <v>-0.53575609497671783</v>
      </c>
      <c r="K54" s="136"/>
      <c r="L54" s="190"/>
      <c r="M54" s="190"/>
      <c r="N54" s="191"/>
      <c r="O54" s="192"/>
      <c r="P54" s="129" t="s">
        <v>1417</v>
      </c>
      <c r="Q54" s="116">
        <v>3966058</v>
      </c>
      <c r="R54" s="116">
        <v>5742139954</v>
      </c>
      <c r="S54" s="116">
        <v>31388.35</v>
      </c>
      <c r="T54" s="130">
        <f t="shared" ref="T54" si="103">Q54/S54</f>
        <v>126.35445953673896</v>
      </c>
      <c r="U54" s="85">
        <f t="shared" ref="U54" si="104">Q52+Q53+Q54</f>
        <v>17294411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678407.57703081227</v>
      </c>
      <c r="C55" s="188">
        <f>AVERAGE(F53:F55)</f>
        <v>226135.85901027077</v>
      </c>
      <c r="D55" s="190">
        <f>C55/C52-1</f>
        <v>-0.29186498066394684</v>
      </c>
      <c r="E55" s="287">
        <f>C55/C43-1</f>
        <v>-0.19269613508684724</v>
      </c>
      <c r="F55" s="136">
        <f>Q55/21</f>
        <v>78338.047619047618</v>
      </c>
      <c r="G55" s="190">
        <f t="shared" ref="G55" si="105">F55/F54-1</f>
        <v>-0.6642139853920922</v>
      </c>
      <c r="H55" s="190">
        <f t="shared" ref="H55" si="106">F55/F43-1</f>
        <v>-0.87128064227360191</v>
      </c>
      <c r="I55" s="130">
        <f>T55</f>
        <v>129.15085089195082</v>
      </c>
      <c r="J55" s="130">
        <f t="shared" ref="J55" si="107">I55/I43-1</f>
        <v>-0.58268552664227546</v>
      </c>
      <c r="K55" s="136">
        <f>R53+R54+R55</f>
        <v>19418920698</v>
      </c>
      <c r="L55" s="190">
        <f>U55/U52-1</f>
        <v>-0.30511874190989186</v>
      </c>
      <c r="M55" s="190">
        <f>K55/K43-1</f>
        <v>-0.19540172110914855</v>
      </c>
      <c r="N55" s="191">
        <f>AVERAGE(T53:T55)</f>
        <v>113.04151797336517</v>
      </c>
      <c r="O55" s="192">
        <f>N55/N52-1</f>
        <v>-0.24511405759354898</v>
      </c>
      <c r="P55" s="129" t="s">
        <v>1418</v>
      </c>
      <c r="Q55" s="116">
        <v>1645099</v>
      </c>
      <c r="R55" s="116">
        <v>2425185233</v>
      </c>
      <c r="S55" s="116">
        <v>12737.81</v>
      </c>
      <c r="T55" s="130">
        <f t="shared" ref="T55" si="108">Q55/S55</f>
        <v>129.15085089195082</v>
      </c>
      <c r="U55" s="85">
        <f t="shared" ref="U55" si="109">Q53+Q54+Q55</f>
        <v>13313369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138992.36363636365</v>
      </c>
      <c r="G56" s="190">
        <f t="shared" ref="G56" si="110">F56/F55-1</f>
        <v>0.7742638202099914</v>
      </c>
      <c r="H56" s="190">
        <f t="shared" ref="H56" si="111">F56/F44-1</f>
        <v>-0.6485265522433985</v>
      </c>
      <c r="I56" s="291">
        <f>T56</f>
        <v>43.860473001951028</v>
      </c>
      <c r="J56" s="130">
        <f t="shared" ref="J56" si="112">I56/I44-1</f>
        <v>-0.96826667942619427</v>
      </c>
      <c r="K56" s="136"/>
      <c r="L56" s="190"/>
      <c r="M56" s="190"/>
      <c r="N56" s="191"/>
      <c r="O56" s="192"/>
      <c r="P56" s="129" t="s">
        <v>1420</v>
      </c>
      <c r="Q56" s="116">
        <v>3057832</v>
      </c>
      <c r="R56" s="116">
        <v>4564695165</v>
      </c>
      <c r="S56" s="116">
        <v>69717.259999999995</v>
      </c>
      <c r="T56" s="130">
        <f t="shared" ref="T56" si="113">Q56/S56</f>
        <v>43.860473001951028</v>
      </c>
      <c r="U56" s="85">
        <f t="shared" ref="U56" si="114">Q54+Q55+Q56</f>
        <v>8668989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71489.583333333328</v>
      </c>
      <c r="G57" s="254">
        <f t="shared" ref="G57" si="115">F57/F56-1</f>
        <v>-0.48565819399714139</v>
      </c>
      <c r="H57" s="254">
        <f t="shared" ref="H57" si="116">F57/F45-1</f>
        <v>-0.86301817173828765</v>
      </c>
      <c r="I57" s="282">
        <f>T57</f>
        <v>17.115461004680306</v>
      </c>
      <c r="J57" s="277">
        <f t="shared" ref="J57" si="117">I57/I45-1</f>
        <v>-0.93121291070110745</v>
      </c>
      <c r="K57" s="204"/>
      <c r="L57" s="254"/>
      <c r="M57" s="254"/>
      <c r="N57" s="257"/>
      <c r="O57" s="258"/>
      <c r="P57" s="129" t="s">
        <v>1436</v>
      </c>
      <c r="Q57" s="116">
        <v>857875</v>
      </c>
      <c r="R57" s="116">
        <v>1263354264</v>
      </c>
      <c r="S57" s="116">
        <v>50122.81</v>
      </c>
      <c r="T57" s="130">
        <f t="shared" ref="T57" si="118">Q57/S57</f>
        <v>17.115461004680306</v>
      </c>
      <c r="U57" s="85">
        <f t="shared" ref="U57" si="119">Q55+Q56+Q57</f>
        <v>5560806</v>
      </c>
      <c r="V57" s="79"/>
      <c r="W57" s="79"/>
      <c r="X57" s="79"/>
      <c r="Y57" s="79"/>
      <c r="Z57" s="79"/>
    </row>
    <row r="58" spans="1:26">
      <c r="B58" s="196">
        <f>SUM(F56:F58)</f>
        <v>210481.94696969696</v>
      </c>
      <c r="C58" s="196">
        <f>AVERAGE(F56:F58)</f>
        <v>105240.97348484848</v>
      </c>
      <c r="D58" s="197">
        <f>C58/C55-1</f>
        <v>-0.53461174204985951</v>
      </c>
      <c r="E58" s="233">
        <f>C58/C46-1</f>
        <v>-0.748901835176085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17229076</v>
      </c>
      <c r="R65" s="212">
        <v>25246970127</v>
      </c>
      <c r="S65" s="213">
        <v>256076.77</v>
      </c>
      <c r="T65" s="214">
        <v>82</v>
      </c>
      <c r="U65" s="214">
        <v>217</v>
      </c>
    </row>
    <row r="66" spans="16:21" ht="18" thickBot="1">
      <c r="P66" s="180" t="s">
        <v>976</v>
      </c>
      <c r="Q66" s="181">
        <v>7702212</v>
      </c>
      <c r="R66" s="181">
        <v>11251595511</v>
      </c>
      <c r="S66" s="182">
        <v>92110.52</v>
      </c>
      <c r="T66" s="210">
        <v>37</v>
      </c>
      <c r="U66" s="210">
        <v>75</v>
      </c>
    </row>
    <row r="67" spans="16:21" ht="18" thickBot="1">
      <c r="P67" s="180" t="s">
        <v>977</v>
      </c>
      <c r="Q67" s="181">
        <v>3966058</v>
      </c>
      <c r="R67" s="181">
        <v>5742139954</v>
      </c>
      <c r="S67" s="182">
        <v>31388.35</v>
      </c>
      <c r="T67" s="210">
        <v>45</v>
      </c>
      <c r="U67" s="210">
        <v>74</v>
      </c>
    </row>
    <row r="68" spans="16:21" ht="18" thickBot="1">
      <c r="P68" s="180" t="s">
        <v>978</v>
      </c>
      <c r="Q68" s="181">
        <v>1645099</v>
      </c>
      <c r="R68" s="181">
        <v>2425185233</v>
      </c>
      <c r="S68" s="182">
        <v>12737.81</v>
      </c>
      <c r="T68" s="210">
        <v>39</v>
      </c>
      <c r="U68" s="210">
        <v>79</v>
      </c>
    </row>
    <row r="69" spans="16:21" ht="18" thickBot="1">
      <c r="P69" s="180" t="s">
        <v>979</v>
      </c>
      <c r="Q69" s="181">
        <v>3057832</v>
      </c>
      <c r="R69" s="181">
        <v>4564695165</v>
      </c>
      <c r="S69" s="182">
        <v>69717.259999999995</v>
      </c>
      <c r="T69" s="210">
        <v>45</v>
      </c>
      <c r="U69" s="210">
        <v>95</v>
      </c>
    </row>
    <row r="70" spans="16:21" ht="18" thickBot="1">
      <c r="P70" s="180" t="s">
        <v>980</v>
      </c>
      <c r="Q70" s="181">
        <v>857875</v>
      </c>
      <c r="R70" s="181">
        <v>1263354264</v>
      </c>
      <c r="S70" s="182">
        <v>50122.81</v>
      </c>
      <c r="T70" s="210">
        <v>32</v>
      </c>
      <c r="U70" s="210">
        <v>66</v>
      </c>
    </row>
    <row r="71" spans="16:21" ht="18" thickBot="1">
      <c r="P71" s="180" t="s">
        <v>975</v>
      </c>
      <c r="Q71" s="181">
        <v>80442410</v>
      </c>
      <c r="R71" s="181">
        <v>114301135413</v>
      </c>
      <c r="S71" s="182">
        <v>391126.79</v>
      </c>
      <c r="T71" s="210">
        <v>126</v>
      </c>
      <c r="U71" s="210">
        <v>587</v>
      </c>
    </row>
    <row r="72" spans="16:21" ht="18" thickBot="1">
      <c r="P72" s="215" t="s">
        <v>982</v>
      </c>
      <c r="Q72" s="217" t="s">
        <v>1502</v>
      </c>
      <c r="R72"/>
      <c r="S72"/>
      <c r="T72"/>
      <c r="U72"/>
    </row>
  </sheetData>
  <phoneticPr fontId="1" type="noConversion"/>
  <conditionalFormatting sqref="C29:C30">
    <cfRule type="cellIs" dxfId="1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73"/>
  <sheetViews>
    <sheetView topLeftCell="B1" zoomScale="90" zoomScaleNormal="90" workbookViewId="0">
      <selection activeCell="J66" sqref="J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171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1280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73417.3</v>
      </c>
      <c r="G5" s="90"/>
      <c r="H5" s="90"/>
      <c r="I5" s="130">
        <f t="shared" ref="I5:I49" si="0">T5</f>
        <v>1835.7078561784267</v>
      </c>
      <c r="J5" s="130"/>
      <c r="L5" s="80"/>
      <c r="M5" s="80"/>
      <c r="P5" s="129" t="s">
        <v>0</v>
      </c>
      <c r="Q5" s="116">
        <v>1468346</v>
      </c>
      <c r="R5" s="116">
        <v>1730704004</v>
      </c>
      <c r="S5" s="116">
        <v>799.88</v>
      </c>
      <c r="T5" s="130">
        <f t="shared" ref="T5:T38" si="1">Q5/S5</f>
        <v>1835.7078561784267</v>
      </c>
      <c r="U5" s="85"/>
    </row>
    <row r="6" spans="1:21" ht="15" hidden="1" customHeight="1">
      <c r="A6" s="129" t="s">
        <v>1</v>
      </c>
      <c r="C6" s="79"/>
      <c r="F6" s="78">
        <f>Q6/18</f>
        <v>4169.7777777777774</v>
      </c>
      <c r="G6" s="90">
        <f t="shared" ref="G6:G38" si="2">F6/F5-1</f>
        <v>-0.94320442487291445</v>
      </c>
      <c r="H6" s="90"/>
      <c r="I6" s="130">
        <f t="shared" si="0"/>
        <v>958.20247670113622</v>
      </c>
      <c r="J6" s="130"/>
      <c r="P6" s="129" t="s">
        <v>1</v>
      </c>
      <c r="Q6" s="116">
        <v>75056</v>
      </c>
      <c r="R6" s="116">
        <v>89034653</v>
      </c>
      <c r="S6" s="116">
        <v>78.33</v>
      </c>
      <c r="T6" s="130">
        <f t="shared" si="1"/>
        <v>958.20247670113622</v>
      </c>
      <c r="U6" s="85"/>
    </row>
    <row r="7" spans="1:21" ht="15" hidden="1" customHeight="1">
      <c r="A7" s="129" t="s">
        <v>2</v>
      </c>
      <c r="B7" s="131">
        <f>F5+F6+F7</f>
        <v>81583.168686868696</v>
      </c>
      <c r="C7" s="131">
        <f>AVERAGE(F5:F7)</f>
        <v>27194.389562289565</v>
      </c>
      <c r="F7" s="78">
        <f>Q7/22</f>
        <v>3996.090909090909</v>
      </c>
      <c r="G7" s="90">
        <f t="shared" si="2"/>
        <v>-4.1653747020406473E-2</v>
      </c>
      <c r="H7" s="90"/>
      <c r="I7" s="130">
        <f t="shared" si="0"/>
        <v>949.29273296620238</v>
      </c>
      <c r="J7" s="130"/>
      <c r="K7" s="79">
        <f>R5+R6+R7</f>
        <v>1925327062</v>
      </c>
      <c r="N7" s="88">
        <f>AVERAGE(T5:T7)</f>
        <v>1247.7343552819218</v>
      </c>
      <c r="P7" s="129" t="s">
        <v>2</v>
      </c>
      <c r="Q7" s="116">
        <v>87914</v>
      </c>
      <c r="R7" s="116">
        <v>105588405</v>
      </c>
      <c r="S7" s="116">
        <v>92.61</v>
      </c>
      <c r="T7" s="130">
        <f t="shared" si="1"/>
        <v>949.29273296620238</v>
      </c>
      <c r="U7" s="85">
        <f>Q5+Q6+Q7</f>
        <v>1631316</v>
      </c>
    </row>
    <row r="8" spans="1:21" ht="15" hidden="1" customHeight="1">
      <c r="A8" s="129" t="s">
        <v>3</v>
      </c>
      <c r="C8" s="79"/>
      <c r="F8" s="78">
        <f>Q8/21</f>
        <v>2874.0476190476193</v>
      </c>
      <c r="G8" s="90">
        <f t="shared" si="2"/>
        <v>-0.28078522625466218</v>
      </c>
      <c r="H8" s="90"/>
      <c r="I8" s="130">
        <f t="shared" si="0"/>
        <v>1162.4614791987674</v>
      </c>
      <c r="J8" s="130"/>
      <c r="K8" s="78"/>
      <c r="P8" s="129" t="s">
        <v>3</v>
      </c>
      <c r="Q8" s="116">
        <v>60355</v>
      </c>
      <c r="R8" s="116">
        <v>73116503</v>
      </c>
      <c r="S8" s="116">
        <v>51.92</v>
      </c>
      <c r="T8" s="130">
        <f t="shared" si="1"/>
        <v>1162.4614791987674</v>
      </c>
      <c r="U8" s="85"/>
    </row>
    <row r="9" spans="1:21" ht="15" hidden="1" customHeight="1">
      <c r="A9" s="129" t="s">
        <v>4</v>
      </c>
      <c r="C9" s="79"/>
      <c r="F9" s="78">
        <f>Q9/21</f>
        <v>3051.1428571428573</v>
      </c>
      <c r="G9" s="90">
        <f t="shared" si="2"/>
        <v>6.1618755695468375E-2</v>
      </c>
      <c r="H9" s="90"/>
      <c r="I9" s="130">
        <f t="shared" si="0"/>
        <v>970.37710131758286</v>
      </c>
      <c r="J9" s="130"/>
      <c r="K9" s="78"/>
      <c r="P9" s="129" t="s">
        <v>4</v>
  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/c>
      <c r="U9" s="85"/>
    </row>
    <row r="10" spans="1:21" ht="15" hidden="1" customHeight="1">
      <c r="A10" s="129" t="s">
        <v>5</v>
      </c>
      <c r="B10" s="131">
        <f>F8+F9+F10</f>
        <v>137885.33333333334</v>
      </c>
      <c r="C10" s="131">
        <f>AVERAGE(F8:F10)</f>
        <v>45961.777777777781</v>
      </c>
      <c r="D10" s="90">
        <f>C10/C7-1</f>
        <v>0.69011985624832461</v>
      </c>
      <c r="E10" s="286"/>
      <c r="F10" s="78">
        <f>Q10/21</f>
        <v>131960.14285714287</v>
      </c>
      <c r="G10" s="90">
        <f t="shared" si="2"/>
        <v>42.249414739207793</v>
      </c>
      <c r="H10" s="90"/>
      <c r="I10" s="130">
        <f t="shared" si="0"/>
        <v>2326.0500604351332</v>
      </c>
      <c r="J10" s="130"/>
      <c r="K10" s="79">
        <f>R8+R9+R10</f>
        <v>3675037094</v>
      </c>
      <c r="L10" s="87">
        <f>U10/U7-1</f>
        <v>0.77500373931230992</v>
      </c>
      <c r="N10" s="88">
        <f>AVERAGE(T8:T10)</f>
        <v>1486.2962136504946</v>
      </c>
      <c r="O10" s="89">
        <f>N10/N7-1</f>
        <v>0.19119603251981498</v>
      </c>
      <c r="P10" s="129" t="s">
        <v>5</v>
      </c>
      <c r="Q10" s="116">
        <v>2771163</v>
      </c>
      <c r="R10" s="116">
        <v>3521326613</v>
      </c>
      <c r="S10" s="116">
        <v>1191.3599999999999</v>
      </c>
      <c r="T10" s="130">
        <f t="shared" si="1"/>
        <v>2326.0500604351332</v>
      </c>
      <c r="U10" s="85">
        <f>Q8+Q9+Q10</f>
        <v>2895592</v>
      </c>
    </row>
    <row r="11" spans="1:21" ht="15" hidden="1" customHeight="1">
      <c r="A11" s="129" t="s">
        <v>6</v>
      </c>
      <c r="C11" s="79"/>
      <c r="F11" s="78">
        <f>Q11/21</f>
        <v>393410.28571428574</v>
      </c>
      <c r="G11" s="90">
        <f t="shared" si="2"/>
        <v>1.981281144414818</v>
      </c>
      <c r="H11" s="90"/>
      <c r="I11" s="130">
        <f t="shared" si="0"/>
        <v>2304.6046813935391</v>
      </c>
      <c r="J11" s="130"/>
      <c r="K11" s="78"/>
      <c r="O11" s="89"/>
      <c r="P11" s="129" t="s">
        <v>6</v>
      </c>
      <c r="Q11" s="116">
        <v>8261616</v>
      </c>
      <c r="R11" s="116">
        <v>10657679668</v>
      </c>
      <c r="S11" s="116">
        <v>3584.83</v>
      </c>
      <c r="T11" s="130">
        <f t="shared" si="1"/>
        <v>2304.6046813935391</v>
      </c>
      <c r="U11" s="85"/>
    </row>
    <row r="12" spans="1:21" ht="15" hidden="1" customHeight="1">
      <c r="A12" s="129" t="s">
        <v>7</v>
      </c>
      <c r="C12" s="79"/>
      <c r="F12" s="78">
        <f>Q12/22</f>
        <v>3766.9545454545455</v>
      </c>
      <c r="G12" s="90">
        <f t="shared" si="2"/>
        <v>-0.99042487021249292</v>
      </c>
      <c r="H12" s="90"/>
      <c r="I12" s="130">
        <f t="shared" si="0"/>
        <v>683.31959102902374</v>
      </c>
      <c r="J12" s="130"/>
      <c r="K12" s="78"/>
      <c r="O12" s="89"/>
      <c r="P12" s="129" t="s">
        <v>7</v>
      </c>
      <c r="Q12" s="116">
        <v>82873</v>
      </c>
      <c r="R12" s="116">
        <v>107662397</v>
      </c>
      <c r="S12" s="116">
        <v>121.28</v>
      </c>
      <c r="T12" s="130">
        <f t="shared" si="1"/>
        <v>683.31959102902374</v>
      </c>
      <c r="U12" s="85"/>
    </row>
    <row r="13" spans="1:21" ht="15" hidden="1" customHeight="1">
      <c r="A13" s="129" t="s">
        <v>96</v>
      </c>
      <c r="B13" s="131">
        <f>F11+F12+F13</f>
        <v>677778.94025974022</v>
      </c>
      <c r="C13" s="131">
        <f>AVERAGE(F11:F13)</f>
        <v>225926.31341991341</v>
      </c>
      <c r="D13" s="90">
        <f>C13/C10-1</f>
        <v>3.9155259944959591</v>
      </c>
      <c r="E13" s="286"/>
      <c r="F13" s="78">
        <f>Q13/20</f>
        <v>280601.7</v>
      </c>
      <c r="G13" s="90">
        <f t="shared" si="2"/>
        <v>73.490333401711055</v>
      </c>
      <c r="H13" s="90"/>
      <c r="I13" s="130">
        <f t="shared" si="0"/>
        <v>2204.2553024351923</v>
      </c>
      <c r="J13" s="130"/>
      <c r="K13" s="78">
        <f>R11+R12+R13</f>
        <v>18461297005</v>
      </c>
      <c r="L13" s="87">
        <f>U13/U10-1</f>
        <v>3.8199204169648207</v>
      </c>
      <c r="N13" s="88">
        <f>AVERAGE(T11:T13)</f>
        <v>1730.7265249525851</v>
      </c>
      <c r="O13" s="89">
        <f>N13/N10-1</f>
        <v>0.16445598734436984</v>
      </c>
      <c r="P13" s="129" t="s">
        <v>96</v>
      </c>
      <c r="Q13" s="116">
        <v>5612034</v>
      </c>
      <c r="R13" s="116">
        <v>7695954940</v>
      </c>
      <c r="S13" s="116">
        <v>2546</v>
      </c>
      <c r="T13" s="130">
        <f t="shared" si="1"/>
        <v>2204.2553024351923</v>
      </c>
      <c r="U13" s="85">
        <f>Q11+Q12+Q13</f>
        <v>13956523</v>
      </c>
    </row>
    <row r="14" spans="1:21" ht="15" hidden="1" customHeight="1">
      <c r="A14" s="129" t="s">
        <v>97</v>
      </c>
      <c r="C14" s="79"/>
      <c r="F14" s="78">
        <f>Q14/20</f>
        <v>132966.65</v>
      </c>
      <c r="G14" s="90">
        <f t="shared" si="2"/>
        <v>-0.52613740401430209</v>
      </c>
      <c r="H14" s="90"/>
      <c r="I14" s="130">
        <f t="shared" si="0"/>
        <v>2110.6822547105417</v>
      </c>
      <c r="J14" s="130"/>
      <c r="O14" s="89"/>
      <c r="P14" s="129" t="s">
        <v>97</v>
      </c>
      <c r="Q14" s="116">
        <v>2659333</v>
      </c>
      <c r="R14" s="116">
        <v>3781148474</v>
      </c>
      <c r="S14" s="116">
        <v>1259.94</v>
      </c>
      <c r="T14" s="130">
        <f t="shared" si="1"/>
        <v>2110.6822547105417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103035.63636363637</v>
      </c>
      <c r="G15" s="90">
        <f t="shared" si="2"/>
        <v>-0.22510165997536702</v>
      </c>
      <c r="H15" s="90"/>
      <c r="I15" s="130">
        <f t="shared" si="0"/>
        <v>2217.6193783812869</v>
      </c>
      <c r="J15" s="130"/>
      <c r="O15" s="89"/>
      <c r="P15" s="129" t="s">
        <v>98</v>
      </c>
      <c r="Q15" s="116">
        <v>2266784</v>
      </c>
      <c r="R15" s="116">
        <v>3239339350</v>
      </c>
      <c r="S15" s="116">
        <v>1022.17</v>
      </c>
      <c r="T15" s="130">
        <f t="shared" si="1"/>
        <v>2217.6193783812869</v>
      </c>
      <c r="U15" s="85"/>
    </row>
    <row r="16" spans="1:21" ht="15" hidden="1" customHeight="1">
      <c r="A16" s="129" t="s">
        <v>99</v>
      </c>
      <c r="B16" s="131">
        <f>F14+F15+F16</f>
        <v>365269.83181818185</v>
      </c>
      <c r="C16" s="131">
        <f>AVERAGE(F14:F16)</f>
        <v>121756.61060606061</v>
      </c>
      <c r="D16" s="90">
        <f>C16/C13-1</f>
        <v>-0.46107822164229217</v>
      </c>
      <c r="E16" s="286"/>
      <c r="F16" s="78">
        <f>Q16/22</f>
        <v>129267.54545454546</v>
      </c>
      <c r="G16" s="90">
        <f t="shared" si="2"/>
        <v>0.25459064471956738</v>
      </c>
      <c r="H16" s="90"/>
      <c r="I16" s="130">
        <f t="shared" si="0"/>
        <v>2127.8926732910331</v>
      </c>
      <c r="J16" s="130"/>
      <c r="K16" s="78">
        <f>R14+R15+R16</f>
        <v>10846250692</v>
      </c>
      <c r="L16" s="87">
        <f>U16/U13-1</f>
        <v>-0.44327086338051391</v>
      </c>
      <c r="N16" s="88">
        <f>AVERAGE(T14:T16)</f>
        <v>2152.0647687942874</v>
      </c>
      <c r="O16" s="89">
        <f>N16/N13-1</f>
        <v>0.24344588111818832</v>
      </c>
      <c r="P16" s="129" t="s">
        <v>99</v>
      </c>
      <c r="Q16" s="116">
        <v>2843886</v>
      </c>
      <c r="R16" s="116">
        <v>3825762868</v>
      </c>
      <c r="S16" s="116">
        <v>1336.48</v>
      </c>
      <c r="T16" s="130">
        <f t="shared" si="1"/>
        <v>2127.8926732910331</v>
      </c>
      <c r="U16" s="85">
        <f>Q14+Q15+Q16</f>
        <v>7770003</v>
      </c>
    </row>
    <row r="17" spans="1:21" ht="15" hidden="1" customHeight="1">
      <c r="A17" s="129" t="s">
        <v>100</v>
      </c>
      <c r="C17" s="79"/>
      <c r="F17" s="78">
        <f>Q17/20</f>
        <v>278079.05</v>
      </c>
      <c r="G17" s="90">
        <f t="shared" si="2"/>
        <v>1.1511899914412882</v>
      </c>
      <c r="H17" s="90">
        <f t="shared" ref="H17:H38" si="3">F17/F5-1</f>
        <v>2.787650185991585</v>
      </c>
      <c r="I17" s="130">
        <f t="shared" si="0"/>
        <v>2210.9774035556402</v>
      </c>
      <c r="J17" s="130">
        <f t="shared" ref="J17:J49" si="4">I17/I5-1</f>
        <v>0.20442770679123679</v>
      </c>
      <c r="O17" s="89"/>
      <c r="P17" s="129" t="s">
        <v>100</v>
      </c>
      <c r="Q17" s="116">
        <v>5561581</v>
      </c>
      <c r="R17" s="116">
        <v>7069846963</v>
      </c>
      <c r="S17" s="116">
        <v>2515.44</v>
      </c>
      <c r="T17" s="130">
        <f t="shared" si="1"/>
        <v>2210.9774035556402</v>
      </c>
      <c r="U17" s="78"/>
    </row>
    <row r="18" spans="1:21" ht="15" hidden="1" customHeight="1">
      <c r="A18" s="129" t="s">
        <v>106</v>
      </c>
      <c r="C18" s="79"/>
      <c r="F18" s="78">
        <f>Q18/20</f>
        <v>293386.45</v>
      </c>
      <c r="G18" s="90">
        <f t="shared" si="2"/>
        <v>5.5046937192859469E-2</v>
      </c>
      <c r="H18" s="90">
        <f t="shared" si="3"/>
        <v>69.360212374760195</v>
      </c>
      <c r="I18" s="130">
        <f t="shared" si="0"/>
        <v>2363.9322533730292</v>
      </c>
      <c r="J18" s="130">
        <f t="shared" si="4"/>
        <v>1.4670487823319838</v>
      </c>
      <c r="O18" s="89"/>
      <c r="P18" s="129" t="s">
        <v>106</v>
      </c>
      <c r="Q18" s="116">
        <v>5867729</v>
      </c>
      <c r="R18" s="116">
        <v>7284035643</v>
      </c>
      <c r="S18" s="116">
        <v>2482.19</v>
      </c>
      <c r="T18" s="130">
        <f t="shared" si="1"/>
        <v>2363.9322533730292</v>
      </c>
      <c r="U18" s="78"/>
    </row>
    <row r="19" spans="1:21" hidden="1">
      <c r="A19" s="129" t="s">
        <v>114</v>
      </c>
      <c r="B19" s="131">
        <f>SUM(F17:F19)</f>
        <v>706380.95454545459</v>
      </c>
      <c r="C19" s="131">
        <f>AVERAGE(F17:F19)</f>
        <v>235460.31818181821</v>
      </c>
      <c r="D19" s="90">
        <f>C19/C16-1</f>
        <v>0.93386065043845612</v>
      </c>
      <c r="E19" s="286">
        <f>C19/C7-1</f>
        <v>7.65841528240556</v>
      </c>
      <c r="F19" s="78">
        <f>Q19/22</f>
        <v>134915.45454545456</v>
      </c>
      <c r="G19" s="90">
        <f t="shared" si="2"/>
        <v>-0.54014422088867931</v>
      </c>
      <c r="H19" s="90">
        <f t="shared" si="3"/>
        <v>32.7618581795846</v>
      </c>
      <c r="I19" s="130">
        <f t="shared" si="0"/>
        <v>1989.6633551864215</v>
      </c>
      <c r="J19" s="130">
        <f t="shared" si="4"/>
        <v>1.0959428910505093</v>
      </c>
      <c r="K19" s="78">
        <f>R17+R18+R19</f>
        <v>18210116058</v>
      </c>
      <c r="L19" s="87">
        <f>U19/U16-1</f>
        <v>0.85295295252781766</v>
      </c>
      <c r="M19" s="87">
        <f>U19/U7-1</f>
        <v>7.8256659040921566</v>
      </c>
      <c r="N19" s="88">
        <f>AVERAGE(T17:T19)</f>
        <v>2188.1910040383636</v>
      </c>
      <c r="O19" s="89">
        <f>N19/N16-1</f>
        <v>1.6786778803277613E-2</v>
      </c>
      <c r="P19" s="129" t="s">
        <v>114</v>
      </c>
      <c r="Q19" s="116">
        <v>2968140</v>
      </c>
      <c r="R19" s="116">
        <v>3856233452</v>
      </c>
      <c r="S19" s="116">
        <v>1491.78</v>
      </c>
      <c r="T19" s="130">
        <f t="shared" si="1"/>
        <v>1989.6633551864215</v>
      </c>
      <c r="U19" s="85">
        <f>Q17+Q18+Q19</f>
        <v>14397450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143402.15</v>
      </c>
      <c r="G20" s="90">
        <f t="shared" si="2"/>
        <v>6.2903805076579777E-2</v>
      </c>
      <c r="H20" s="90">
        <f t="shared" si="3"/>
        <v>48.895537238008444</v>
      </c>
      <c r="I20" s="130">
        <f t="shared" si="0"/>
        <v>2414.5231219955717</v>
      </c>
      <c r="J20" s="130">
        <f t="shared" si="4"/>
        <v>1.0770779636154431</v>
      </c>
      <c r="O20" s="89"/>
      <c r="P20" s="129" t="s">
        <v>132</v>
      </c>
      <c r="Q20" s="116">
        <v>2868043</v>
      </c>
      <c r="R20" s="116">
        <v>3785173634</v>
      </c>
      <c r="S20" s="116">
        <v>1187.83</v>
      </c>
      <c r="T20" s="130">
        <f t="shared" si="1"/>
        <v>2414.5231219955717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133426.23809523811</v>
      </c>
      <c r="G21" s="90">
        <f t="shared" si="2"/>
        <v>-6.9565985619894022E-2</v>
      </c>
      <c r="H21" s="90">
        <f t="shared" si="3"/>
        <v>42.729921653088617</v>
      </c>
      <c r="I21" s="130">
        <f t="shared" si="0"/>
        <v>2315.5280273042058</v>
      </c>
      <c r="J21" s="130">
        <f t="shared" si="4"/>
        <v>1.3862146212644242</v>
      </c>
      <c r="O21" s="89"/>
      <c r="P21" s="129" t="s">
        <v>141</v>
      </c>
      <c r="Q21" s="116">
        <v>2801951</v>
      </c>
      <c r="R21" s="116">
        <v>3738212661</v>
      </c>
      <c r="S21" s="116">
        <v>1210.07</v>
      </c>
      <c r="T21" s="130">
        <f t="shared" si="1"/>
        <v>2315.5280273042058</v>
      </c>
      <c r="U21" s="78"/>
    </row>
    <row r="22" spans="1:21" hidden="1">
      <c r="A22" s="129" t="s">
        <v>156</v>
      </c>
      <c r="B22" s="131">
        <f>SUM(F20:F22)</f>
        <v>410722.38809523813</v>
      </c>
      <c r="C22" s="131">
        <f>AVERAGE(F20:F22)</f>
        <v>136907.46269841271</v>
      </c>
      <c r="D22" s="90">
        <f>C22/C19-1</f>
        <v>-0.41855398924291254</v>
      </c>
      <c r="E22" s="286">
        <f>C22/C10-1</f>
        <v>1.9787242643300575</v>
      </c>
      <c r="F22" s="78">
        <f>Q22/21</f>
        <v>133894</v>
      </c>
      <c r="G22" s="90">
        <f t="shared" si="2"/>
        <v>3.5057715142055024E-3</v>
      </c>
      <c r="H22" s="90">
        <f t="shared" si="3"/>
        <v>1.4654857906229113E-2</v>
      </c>
      <c r="I22" s="130">
        <f t="shared" si="0"/>
        <v>2337.3600339160575</v>
      </c>
      <c r="J22" s="130">
        <f t="shared" si="4"/>
        <v>4.862308715233965E-3</v>
      </c>
      <c r="K22" s="78">
        <f>R20+R21+R22</f>
        <v>11239602643</v>
      </c>
      <c r="L22" s="87">
        <f>U22/U19-1</f>
        <v>-0.41088401071022995</v>
      </c>
      <c r="M22" s="87">
        <f>U22/U10-1</f>
        <v>1.9291999701615419</v>
      </c>
      <c r="N22" s="88">
        <f>AVERAGE(T20:T22)</f>
        <v>2355.8037277386115</v>
      </c>
      <c r="O22" s="89">
        <f>N22/N19-1</f>
        <v>7.6598762809514387E-2</v>
      </c>
      <c r="P22" s="129" t="s">
        <v>156</v>
      </c>
      <c r="Q22" s="116">
        <v>2811774</v>
      </c>
      <c r="R22" s="116">
        <v>3716216348</v>
      </c>
      <c r="S22" s="116">
        <v>1202.97</v>
      </c>
      <c r="T22" s="130">
        <f t="shared" si="1"/>
        <v>2337.3600339160575</v>
      </c>
      <c r="U22" s="85">
        <f>Q20+Q21+Q22</f>
        <v>8481768</v>
      </c>
    </row>
    <row r="23" spans="1:21" hidden="1">
      <c r="A23" s="129" t="s">
        <v>189</v>
      </c>
      <c r="B23" s="131"/>
      <c r="C23" s="131"/>
      <c r="F23" s="78">
        <f>Q23/21</f>
        <v>393377.71428571426</v>
      </c>
      <c r="G23" s="90">
        <f t="shared" si="2"/>
        <v>1.9379786568906319</v>
      </c>
      <c r="H23" s="90">
        <f t="shared" si="3"/>
        <v>-8.2792519042418355E-5</v>
      </c>
      <c r="I23" s="130">
        <f t="shared" si="0"/>
        <v>2334.0581470912325</v>
      </c>
      <c r="J23" s="130">
        <f t="shared" si="4"/>
        <v>1.2780268102156045E-2</v>
      </c>
      <c r="O23" s="89"/>
      <c r="P23" s="129" t="s">
        <v>189</v>
      </c>
      <c r="Q23" s="116">
        <v>8260932</v>
      </c>
      <c r="R23" s="116">
        <v>10561634678</v>
      </c>
      <c r="S23" s="116">
        <v>3539.3</v>
      </c>
      <c r="T23" s="130">
        <f t="shared" si="1"/>
        <v>2334.0581470912325</v>
      </c>
      <c r="U23" s="78"/>
    </row>
    <row r="24" spans="1:21" hidden="1">
      <c r="A24" s="129" t="s">
        <v>204</v>
      </c>
      <c r="B24" s="131"/>
      <c r="C24" s="131"/>
      <c r="F24" s="78">
        <f>Q24/22</f>
        <v>6367.545454545455</v>
      </c>
      <c r="G24" s="90">
        <f t="shared" si="2"/>
        <v>-0.98381315152509974</v>
      </c>
      <c r="H24" s="90">
        <f t="shared" si="3"/>
        <v>0.69036960167967854</v>
      </c>
      <c r="I24" s="130">
        <f t="shared" si="0"/>
        <v>1381.7912803314264</v>
      </c>
      <c r="J24" s="130">
        <f t="shared" si="4"/>
        <v>1.0221742482907024</v>
      </c>
      <c r="O24" s="89"/>
      <c r="P24" s="129" t="s">
        <v>204</v>
      </c>
      <c r="Q24" s="116">
        <v>140086</v>
      </c>
      <c r="R24" s="116">
        <v>183427082</v>
      </c>
      <c r="S24" s="116">
        <v>101.38</v>
      </c>
      <c r="T24" s="130">
        <f t="shared" si="1"/>
        <v>1381.7912803314264</v>
      </c>
      <c r="U24" s="78"/>
    </row>
    <row r="25" spans="1:21" s="79" customFormat="1" ht="13.2" hidden="1">
      <c r="A25" s="129" t="s">
        <v>217</v>
      </c>
      <c r="B25" s="131">
        <f>SUM(F23:F25)</f>
        <v>565957.57552973344</v>
      </c>
      <c r="C25" s="131">
        <f>AVERAGE(F23:F25)</f>
        <v>188652.52517657782</v>
      </c>
      <c r="D25" s="90">
        <f>C25/C22-1</f>
        <v>0.37795647847299585</v>
      </c>
      <c r="E25" s="286">
        <f>C25/C13-1</f>
        <v>-0.16498205843804215</v>
      </c>
      <c r="F25" s="78">
        <f>Q25/19</f>
        <v>166212.31578947368</v>
      </c>
      <c r="G25" s="90">
        <f t="shared" si="2"/>
        <v>25.103043468786463</v>
      </c>
      <c r="H25" s="90">
        <f t="shared" si="3"/>
        <v>-0.40765748821381453</v>
      </c>
      <c r="I25" s="130">
        <f t="shared" si="0"/>
        <v>2090.4718404956707</v>
      </c>
      <c r="J25" s="130">
        <f t="shared" si="4"/>
        <v>-5.1619910730765772E-2</v>
      </c>
      <c r="K25" s="78">
        <f>R23+R24+R25</f>
        <v>14924923737</v>
      </c>
      <c r="L25" s="90">
        <f>U25/U22-1</f>
        <v>0.36281162135064293</v>
      </c>
      <c r="M25" s="90">
        <f>U25/U13-1</f>
        <v>-0.17178139569576178</v>
      </c>
      <c r="N25" s="88">
        <f>AVERAGE(T23:T25)</f>
        <v>1935.4404226394429</v>
      </c>
      <c r="O25" s="91">
        <f>N25/N22-1</f>
        <v>-0.17843732062631756</v>
      </c>
      <c r="P25" s="129" t="s">
        <v>217</v>
      </c>
      <c r="Q25" s="116">
        <v>3158034</v>
      </c>
      <c r="R25" s="116">
        <v>4179861977</v>
      </c>
      <c r="S25" s="116">
        <v>1510.68</v>
      </c>
      <c r="T25" s="130">
        <f t="shared" si="1"/>
        <v>2090.4718404956707</v>
      </c>
      <c r="U25" s="85">
        <f>Q23+Q24+Q25</f>
        <v>11559052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148441.57894736843</v>
      </c>
      <c r="G26" s="90">
        <f t="shared" si="2"/>
        <v>-0.10691588500947102</v>
      </c>
      <c r="H26" s="90">
        <f t="shared" si="3"/>
        <v>0.11638203224168198</v>
      </c>
      <c r="I26" s="130">
        <f t="shared" si="0"/>
        <v>2315.2109670004925</v>
      </c>
      <c r="J26" s="130">
        <f t="shared" si="4"/>
        <v>9.6901706466471449E-2</v>
      </c>
      <c r="L26" s="90"/>
      <c r="M26" s="90"/>
      <c r="P26" s="129" t="s">
        <v>312</v>
      </c>
      <c r="Q26" s="116">
        <v>2820390</v>
      </c>
      <c r="R26" s="116">
        <v>3817585675</v>
      </c>
      <c r="S26" s="116">
        <v>1218.2</v>
      </c>
      <c r="T26" s="130">
        <f t="shared" si="1"/>
        <v>2315.2109670004925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128768.31818181818</v>
      </c>
      <c r="G27" s="90">
        <f t="shared" si="2"/>
        <v>-0.13253200959635181</v>
      </c>
      <c r="H27" s="90">
        <f t="shared" si="3"/>
        <v>0.24974545435295115</v>
      </c>
      <c r="I27" s="130">
        <f t="shared" si="0"/>
        <v>2197.9912480796984</v>
      </c>
      <c r="J27" s="130">
        <f t="shared" si="4"/>
        <v>-8.8509915150163376E-3</v>
      </c>
      <c r="L27" s="90"/>
      <c r="M27" s="90"/>
      <c r="P27" s="129" t="s">
        <v>373</v>
      </c>
      <c r="Q27" s="116">
        <v>2832903</v>
      </c>
      <c r="R27" s="116">
        <v>3824691511</v>
      </c>
      <c r="S27" s="116">
        <v>1288.8599999999999</v>
      </c>
      <c r="T27" s="130">
        <f t="shared" si="1"/>
        <v>2197.9912480796984</v>
      </c>
      <c r="U27" s="78"/>
    </row>
    <row r="28" spans="1:21" s="79" customFormat="1" ht="13.2" hidden="1">
      <c r="A28" s="123" t="s">
        <v>413</v>
      </c>
      <c r="B28" s="131">
        <f>SUM(F26:F28)</f>
        <v>494324.58133971295</v>
      </c>
      <c r="C28" s="131">
        <f>AVERAGE(F26:F28)</f>
        <v>164774.86044657099</v>
      </c>
      <c r="D28" s="90">
        <f>C28/C25-1</f>
        <v>-0.12656954741346538</v>
      </c>
      <c r="E28" s="286">
        <f>C28/C16-1</f>
        <v>0.3533134638553177</v>
      </c>
      <c r="F28" s="78">
        <f>Q28/19</f>
        <v>217114.68421052632</v>
      </c>
      <c r="G28" s="90">
        <f t="shared" si="2"/>
        <v>0.68608775260980681</v>
      </c>
      <c r="H28" s="90">
        <f t="shared" si="3"/>
        <v>0.67957613372391834</v>
      </c>
      <c r="I28" s="130">
        <f t="shared" si="0"/>
        <v>2289.9977239798154</v>
      </c>
      <c r="J28" s="130">
        <f t="shared" si="4"/>
        <v>7.6181027701020199E-2</v>
      </c>
      <c r="K28" s="78">
        <f>R26+R27+R28</f>
        <v>12980823359</v>
      </c>
      <c r="L28" s="90">
        <f>U28/U25-1</f>
        <v>-0.15404204427837165</v>
      </c>
      <c r="M28" s="90">
        <f>U28/U16-1</f>
        <v>0.25849011898708407</v>
      </c>
      <c r="N28" s="88">
        <f>AVERAGE(T26:T28)</f>
        <v>2267.7333130200022</v>
      </c>
      <c r="O28" s="91">
        <f>N28/N25-1</f>
        <v>0.17168851414573494</v>
      </c>
      <c r="P28" s="129" t="s">
        <v>413</v>
      </c>
      <c r="Q28" s="116">
        <v>4125179</v>
      </c>
      <c r="R28" s="116">
        <v>5338546173</v>
      </c>
      <c r="S28" s="116">
        <v>1801.39</v>
      </c>
      <c r="T28" s="130">
        <f t="shared" si="1"/>
        <v>2289.9977239798154</v>
      </c>
      <c r="U28" s="85">
        <f>Q26+Q27+Q28</f>
        <v>9778472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137729.40909090909</v>
      </c>
      <c r="G29" s="190">
        <f t="shared" si="2"/>
        <v>-0.36563752197728328</v>
      </c>
      <c r="H29" s="190">
        <f t="shared" si="3"/>
        <v>-0.50471130748285753</v>
      </c>
      <c r="I29" s="130">
        <f t="shared" si="0"/>
        <v>2070.1142985973997</v>
      </c>
      <c r="J29" s="130">
        <f t="shared" si="4"/>
        <v>-6.3710784529822817E-2</v>
      </c>
      <c r="K29" s="136"/>
      <c r="L29" s="190"/>
      <c r="M29" s="190"/>
      <c r="N29" s="191"/>
      <c r="O29" s="192"/>
      <c r="P29" s="129" t="s">
        <v>426</v>
      </c>
      <c r="Q29" s="116">
        <v>3030047</v>
      </c>
      <c r="R29" s="116">
        <v>3949099658</v>
      </c>
      <c r="S29" s="116">
        <v>1463.71</v>
      </c>
      <c r="T29" s="130">
        <f t="shared" si="1"/>
        <v>2070.1142985973997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293857.42105263157</v>
      </c>
      <c r="G30" s="190">
        <f t="shared" si="2"/>
        <v>1.1335851434508752</v>
      </c>
      <c r="H30" s="190">
        <f t="shared" si="3"/>
        <v>1.6052924483442865E-3</v>
      </c>
      <c r="I30" s="130">
        <f t="shared" si="0"/>
        <v>2352.691991656659</v>
      </c>
      <c r="J30" s="130">
        <f t="shared" si="4"/>
        <v>-4.7549001035591676E-3</v>
      </c>
      <c r="K30" s="136"/>
      <c r="L30" s="190"/>
      <c r="M30" s="190"/>
      <c r="N30" s="191"/>
      <c r="O30" s="192"/>
      <c r="P30" s="129" t="s">
        <v>466</v>
      </c>
      <c r="Q30" s="116">
        <v>5583291</v>
      </c>
      <c r="R30" s="116">
        <v>7448401677</v>
      </c>
      <c r="S30" s="116">
        <v>2373.15</v>
      </c>
      <c r="T30" s="130">
        <f t="shared" si="1"/>
        <v>2352.691991656659</v>
      </c>
      <c r="U30" s="85"/>
    </row>
    <row r="31" spans="1:21" s="79" customFormat="1" ht="13.2" hidden="1">
      <c r="A31" s="129" t="s">
        <v>505</v>
      </c>
      <c r="B31" s="188">
        <f>SUM(F29:F31)</f>
        <v>844216.48014354066</v>
      </c>
      <c r="C31" s="188">
        <f>AVERAGE(F29:F31)</f>
        <v>281405.49338118022</v>
      </c>
      <c r="D31" s="190">
        <f>C31/C28-1</f>
        <v>0.70781812600853167</v>
      </c>
      <c r="E31" s="287">
        <f>C31/C19-1</f>
        <v>0.19512916466834973</v>
      </c>
      <c r="F31" s="136">
        <f>Q31/20</f>
        <v>412629.65</v>
      </c>
      <c r="G31" s="190">
        <f t="shared" si="2"/>
        <v>0.40418318694117872</v>
      </c>
      <c r="H31" s="190">
        <f t="shared" si="3"/>
        <v>2.0584313071485845</v>
      </c>
      <c r="I31" s="130">
        <f t="shared" si="0"/>
        <v>2336.4220092578175</v>
      </c>
      <c r="J31" s="130">
        <f t="shared" si="4"/>
        <v>0.17428006258822948</v>
      </c>
      <c r="K31" s="136">
        <f>R29+R30+R31</f>
        <v>22388403515</v>
      </c>
      <c r="L31" s="190">
        <f>U31/U28-1</f>
        <v>0.72480230040030791</v>
      </c>
      <c r="M31" s="190">
        <f>U31/U19-1</f>
        <v>0.17145265307398194</v>
      </c>
      <c r="N31" s="191">
        <f>AVERAGE(T29:T31)</f>
        <v>2253.0760998372921</v>
      </c>
      <c r="O31" s="192">
        <f>N31/N28-1</f>
        <v>-6.4633760498014059E-3</v>
      </c>
      <c r="P31" s="129" t="s">
        <v>505</v>
      </c>
      <c r="Q31" s="116">
        <v>8252593</v>
      </c>
      <c r="R31" s="116">
        <v>10990902180</v>
      </c>
      <c r="S31" s="116">
        <v>3532.15</v>
      </c>
      <c r="T31" s="130">
        <f t="shared" si="1"/>
        <v>2336.4220092578175</v>
      </c>
      <c r="U31" s="85">
        <f>Q29+Q30+Q31</f>
        <v>16865931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272626.14285714284</v>
      </c>
      <c r="G32" s="190">
        <f t="shared" si="2"/>
        <v>-0.33929579986037639</v>
      </c>
      <c r="H32" s="190">
        <f t="shared" si="3"/>
        <v>0.90113009363627294</v>
      </c>
      <c r="I32" s="130">
        <f t="shared" si="0"/>
        <v>2308.9933454325469</v>
      </c>
      <c r="J32" s="130">
        <f t="shared" si="4"/>
        <v>-4.3706260504064232E-2</v>
      </c>
      <c r="K32" s="136"/>
      <c r="L32" s="190"/>
      <c r="M32" s="190"/>
      <c r="N32" s="191"/>
      <c r="O32" s="192"/>
      <c r="P32" s="129" t="s">
        <v>561</v>
      </c>
      <c r="Q32" s="116">
        <v>5725149</v>
      </c>
      <c r="R32" s="116">
        <v>7707283728</v>
      </c>
      <c r="S32" s="116">
        <v>2479.5</v>
      </c>
      <c r="T32" s="130">
        <f t="shared" si="1"/>
        <v>2308.9933454325469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268270.52380952379</v>
      </c>
      <c r="G33" s="190">
        <f t="shared" si="2"/>
        <v>-1.597652742312905E-2</v>
      </c>
      <c r="H33" s="190">
        <f t="shared" si="3"/>
        <v>1.0106279517379138</v>
      </c>
      <c r="I33" s="130">
        <f t="shared" si="0"/>
        <v>2247.5657970852599</v>
      </c>
      <c r="J33" s="130">
        <f t="shared" si="4"/>
        <v>-2.9350640293509755E-2</v>
      </c>
      <c r="K33" s="136"/>
      <c r="L33" s="190"/>
      <c r="M33" s="190"/>
      <c r="N33" s="191"/>
      <c r="O33" s="192"/>
      <c r="P33" s="129" t="s">
        <v>607</v>
      </c>
      <c r="Q33" s="116">
        <v>5633681</v>
      </c>
      <c r="R33" s="116">
        <v>7759130623</v>
      </c>
      <c r="S33" s="116">
        <v>2506.5700000000002</v>
      </c>
      <c r="T33" s="130">
        <f t="shared" si="1"/>
        <v>2247.5657970852599</v>
      </c>
      <c r="U33" s="85"/>
    </row>
    <row r="34" spans="1:21" s="79" customFormat="1" ht="13.2" hidden="1">
      <c r="A34" s="129" t="s">
        <v>652</v>
      </c>
      <c r="B34" s="188">
        <f>SUM(F32:F34)</f>
        <v>928516.98245614034</v>
      </c>
      <c r="C34" s="188">
        <f>AVERAGE(F32:F34)</f>
        <v>309505.66081871343</v>
      </c>
      <c r="D34" s="190">
        <f>C34/C31-1</f>
        <v>9.9856499245627228E-2</v>
      </c>
      <c r="E34" s="287">
        <f>C34/C22-1</f>
        <v>1.2606924028714892</v>
      </c>
      <c r="F34" s="136">
        <f>Q34/19</f>
        <v>387620.31578947371</v>
      </c>
      <c r="G34" s="190">
        <f t="shared" si="2"/>
        <v>0.44488596915213141</v>
      </c>
      <c r="H34" s="190">
        <f t="shared" si="3"/>
        <v>1.8949789818025731</v>
      </c>
      <c r="I34" s="130">
        <f t="shared" si="0"/>
        <v>2243.7608535374152</v>
      </c>
      <c r="J34" s="130">
        <f t="shared" si="4"/>
        <v>-4.0044827934284655E-2</v>
      </c>
      <c r="K34" s="136">
        <f>R32+R33+R34</f>
        <v>25576096452</v>
      </c>
      <c r="L34" s="190">
        <f>U34/U31-1</f>
        <v>0.11014423099442294</v>
      </c>
      <c r="M34" s="190">
        <f>U34/U22-1</f>
        <v>1.2075133392000348</v>
      </c>
      <c r="N34" s="191">
        <f>AVERAGE(T32:T34)</f>
        <v>2266.773332018407</v>
      </c>
      <c r="O34" s="192">
        <f>N34/N31-1</f>
        <v>6.0793473341198556E-3</v>
      </c>
      <c r="P34" s="129" t="s">
        <v>652</v>
      </c>
      <c r="Q34" s="116">
        <v>7364786</v>
      </c>
      <c r="R34" s="116">
        <v>10109682101</v>
      </c>
      <c r="S34" s="116">
        <v>3282.34</v>
      </c>
      <c r="T34" s="130">
        <f t="shared" si="1"/>
        <v>2243.7608535374152</v>
      </c>
      <c r="U34" s="85">
        <f>Q32+Q33+Q34</f>
        <v>18723616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278552.47826086957</v>
      </c>
      <c r="G35" s="190">
        <f t="shared" si="2"/>
        <v>-0.28137802144467994</v>
      </c>
      <c r="H35" s="190">
        <f t="shared" si="3"/>
        <v>-0.29189563072565405</v>
      </c>
      <c r="I35" s="130">
        <f t="shared" si="0"/>
        <v>2135.7754582943016</v>
      </c>
      <c r="J35" s="130">
        <f t="shared" si="4"/>
        <v>-8.4951906208521888E-2</v>
      </c>
      <c r="K35" s="136"/>
      <c r="L35" s="190"/>
      <c r="M35" s="190"/>
      <c r="N35" s="191"/>
      <c r="O35" s="192"/>
      <c r="P35" s="129" t="s">
        <v>660</v>
      </c>
      <c r="Q35" s="116">
        <v>6406707</v>
      </c>
      <c r="R35" s="116">
        <v>8863022336</v>
      </c>
      <c r="S35" s="116">
        <v>2999.71</v>
      </c>
      <c r="T35" s="130">
        <f t="shared" si="1"/>
        <v>2135.7754582943016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398711.95238095237</v>
      </c>
      <c r="G36" s="190">
        <f t="shared" si="2"/>
        <v>0.43137104674240678</v>
      </c>
      <c r="H36" s="190">
        <f t="shared" si="3"/>
        <v>61.616271093335179</v>
      </c>
      <c r="I36" s="130">
        <f t="shared" si="0"/>
        <v>2217.0077501727701</v>
      </c>
      <c r="J36" s="130">
        <f t="shared" si="4"/>
        <v>0.60444473903541707</v>
      </c>
      <c r="K36" s="136"/>
      <c r="L36" s="190"/>
      <c r="M36" s="190"/>
      <c r="N36" s="191"/>
      <c r="O36" s="192"/>
      <c r="P36" s="129" t="s">
        <v>676</v>
      </c>
      <c r="Q36" s="116">
        <v>8372951</v>
      </c>
      <c r="R36" s="116">
        <v>11313100264</v>
      </c>
      <c r="S36" s="116">
        <v>3776.69</v>
      </c>
      <c r="T36" s="130">
        <f t="shared" si="1"/>
        <v>2217.0077501727701</v>
      </c>
      <c r="U36" s="85"/>
    </row>
    <row r="37" spans="1:21" s="79" customFormat="1" ht="13.2" hidden="1">
      <c r="A37" s="129" t="s">
        <v>702</v>
      </c>
      <c r="B37" s="188">
        <f>SUM(F35:F37)</f>
        <v>1126493.0973084886</v>
      </c>
      <c r="C37" s="188">
        <f>AVERAGE(F35:F37)</f>
        <v>375497.6991028295</v>
      </c>
      <c r="D37" s="190">
        <f>C37/C34-1</f>
        <v>0.21321754862108833</v>
      </c>
      <c r="E37" s="287">
        <f>C37/C25-1</f>
        <v>0.99041968164150207</v>
      </c>
      <c r="F37" s="136">
        <f>Q37/18</f>
        <v>449228.66666666669</v>
      </c>
      <c r="G37" s="190">
        <f t="shared" si="2"/>
        <v>0.12669977407009791</v>
      </c>
      <c r="H37" s="190">
        <f t="shared" si="3"/>
        <v>1.7027399536124905</v>
      </c>
      <c r="I37" s="130">
        <f t="shared" si="0"/>
        <v>1798.7013767008564</v>
      </c>
      <c r="J37" s="130">
        <f t="shared" si="4"/>
        <v>-0.13957158290428484</v>
      </c>
      <c r="K37" s="136">
        <f>R35+R36+R37</f>
        <v>30961611083</v>
      </c>
      <c r="L37" s="190">
        <f>U37/U34-1</f>
        <v>0.22122639131244726</v>
      </c>
      <c r="M37" s="190">
        <f>U37/U25-1</f>
        <v>0.97817035514677153</v>
      </c>
      <c r="N37" s="191">
        <f>AVERAGE(T35:T37)</f>
        <v>2050.4948617226428</v>
      </c>
      <c r="O37" s="192">
        <f>N37/N34-1</f>
        <v>-9.541248224549348E-2</v>
      </c>
      <c r="P37" s="129" t="s">
        <v>702</v>
      </c>
      <c r="Q37" s="116">
        <v>8086116</v>
      </c>
      <c r="R37" s="116">
        <v>10785488483</v>
      </c>
      <c r="S37" s="116">
        <v>4495.53</v>
      </c>
      <c r="T37" s="130">
        <f t="shared" si="1"/>
        <v>1798.7013767008564</v>
      </c>
      <c r="U37" s="85">
        <f>Q35+Q36+Q37</f>
        <v>22865774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286589.55</v>
      </c>
      <c r="G38" s="190">
        <f t="shared" si="2"/>
        <v>-0.36204082404951898</v>
      </c>
      <c r="H38" s="190">
        <f t="shared" si="3"/>
        <v>0.93065549445289464</v>
      </c>
      <c r="I38" s="130">
        <f t="shared" si="0"/>
        <v>2093.5678516770704</v>
      </c>
      <c r="J38" s="130">
        <f t="shared" si="4"/>
        <v>-9.5733442214372078E-2</v>
      </c>
      <c r="K38" s="136"/>
      <c r="L38" s="190"/>
      <c r="M38" s="190"/>
      <c r="N38" s="191"/>
      <c r="O38" s="192"/>
      <c r="P38" s="129" t="s">
        <v>725</v>
      </c>
      <c r="Q38" s="116">
        <v>5731791</v>
      </c>
      <c r="R38" s="116">
        <v>7671166178</v>
      </c>
      <c r="S38" s="116">
        <v>2737.81</v>
      </c>
      <c r="T38" s="130">
        <f t="shared" si="1"/>
        <v>2093.5678516770704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535430.90476190473</v>
      </c>
      <c r="G39" s="190">
        <f t="shared" ref="G39" si="5">F39/F38-1</f>
        <v>0.86828481625343557</v>
      </c>
      <c r="H39" s="190">
        <f t="shared" ref="H39" si="6">F39/F27-1</f>
        <v>3.1580950370563006</v>
      </c>
      <c r="I39" s="130">
        <f t="shared" si="0"/>
        <v>2174.3134718282213</v>
      </c>
      <c r="J39" s="130">
        <f t="shared" si="4"/>
        <v>-1.0772461570155656E-2</v>
      </c>
      <c r="K39" s="136"/>
      <c r="L39" s="190"/>
      <c r="M39" s="190"/>
      <c r="N39" s="191"/>
      <c r="O39" s="192"/>
      <c r="P39" s="129" t="s">
        <v>762</v>
      </c>
      <c r="Q39" s="116">
        <v>11244049</v>
      </c>
      <c r="R39" s="116">
        <v>15622345366</v>
      </c>
      <c r="S39" s="116">
        <v>5171.3100000000004</v>
      </c>
      <c r="T39" s="130">
        <f t="shared" ref="T39" si="7">Q39/S39</f>
        <v>2174.3134718282213</v>
      </c>
      <c r="U39" s="85"/>
    </row>
    <row r="40" spans="1:21" s="79" customFormat="1" ht="13.2" hidden="1">
      <c r="A40" s="129" t="s">
        <v>778</v>
      </c>
      <c r="B40" s="188">
        <f>SUM(F38:F40)</f>
        <v>841869.50238095224</v>
      </c>
      <c r="C40" s="188">
        <f>AVERAGE(F38:F40)</f>
        <v>280623.16746031743</v>
      </c>
      <c r="D40" s="190">
        <f>C40/C37-1</f>
        <v>-0.25266341676445481</v>
      </c>
      <c r="E40" s="287">
        <f>C40/C28-1</f>
        <v>0.70307027843795855</v>
      </c>
      <c r="F40" s="136">
        <f>Q40/21</f>
        <v>19849.047619047618</v>
      </c>
      <c r="G40" s="190">
        <f t="shared" ref="G40" si="8">F40/F39-1</f>
        <v>-0.96292883462176304</v>
      </c>
      <c r="H40" s="190">
        <f t="shared" ref="H40" si="9">F40/F28-1</f>
        <v>-0.90857805085260424</v>
      </c>
      <c r="I40" s="130">
        <f t="shared" si="0"/>
        <v>1242.6735831619114</v>
      </c>
      <c r="J40" s="130">
        <f t="shared" si="4"/>
        <v>-0.457347240938627</v>
      </c>
      <c r="K40" s="136">
        <f>R38+R39+R40</f>
        <v>23879847603</v>
      </c>
      <c r="L40" s="190">
        <f>U40/U37-1</f>
        <v>-0.23935791545914864</v>
      </c>
      <c r="M40" s="190">
        <f>U40/U28-1</f>
        <v>0.77866950991934125</v>
      </c>
      <c r="N40" s="191">
        <f>AVERAGE(T38:T40)</f>
        <v>1836.8516355557342</v>
      </c>
      <c r="O40" s="192">
        <f>N40/N37-1</f>
        <v>-0.10419105658593286</v>
      </c>
      <c r="P40" s="129" t="s">
        <v>778</v>
      </c>
      <c r="Q40" s="116">
        <v>416830</v>
      </c>
      <c r="R40" s="116">
        <v>586336059</v>
      </c>
      <c r="S40" s="116">
        <v>335.43</v>
      </c>
      <c r="T40" s="130">
        <f t="shared" ref="T40" si="10">Q40/S40</f>
        <v>1242.6735831619114</v>
      </c>
      <c r="U40" s="85">
        <f>Q38+Q39+Q40</f>
        <v>17392670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475061</v>
      </c>
      <c r="G41" s="190">
        <f t="shared" ref="G41" si="11">F41/F40-1</f>
        <v>22.93369239258211</v>
      </c>
      <c r="H41" s="190">
        <f t="shared" ref="H41" si="12">F41/F29-1</f>
        <v>2.4492342858048075</v>
      </c>
      <c r="I41" s="130">
        <f t="shared" si="0"/>
        <v>2207.2419213703274</v>
      </c>
      <c r="J41" s="130">
        <f t="shared" si="4"/>
        <v>6.6241570750870116E-2</v>
      </c>
      <c r="K41" s="193"/>
      <c r="L41" s="190"/>
      <c r="M41" s="190"/>
      <c r="N41" s="193"/>
      <c r="O41" s="193"/>
      <c r="P41" s="129" t="s">
        <v>792</v>
      </c>
      <c r="Q41" s="116">
        <v>8551098</v>
      </c>
      <c r="R41" s="116">
        <v>12454126421</v>
      </c>
      <c r="S41" s="116">
        <v>3874.11</v>
      </c>
      <c r="T41" s="130">
        <f t="shared" ref="T41" si="13">Q41/S41</f>
        <v>2207.2419213703274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166032.75</v>
      </c>
      <c r="G42" s="190">
        <f t="shared" ref="G42" si="14">F42/F41-1</f>
        <v>-0.65050225128983441</v>
      </c>
      <c r="H42" s="190">
        <f t="shared" ref="H42" si="15">F42/F30-1</f>
        <v>-0.43498874588481951</v>
      </c>
      <c r="I42" s="130">
        <f t="shared" si="0"/>
        <v>1959.7590916065674</v>
      </c>
      <c r="J42" s="130">
        <f t="shared" si="4"/>
        <v>-0.16701416991410167</v>
      </c>
      <c r="K42" s="193"/>
      <c r="L42" s="190"/>
      <c r="M42" s="190"/>
      <c r="N42" s="193"/>
      <c r="O42" s="193"/>
      <c r="P42" s="129" t="s">
        <v>826</v>
      </c>
      <c r="Q42" s="116">
        <v>3320655</v>
      </c>
      <c r="R42" s="116">
        <v>4790415287</v>
      </c>
      <c r="S42" s="116">
        <v>1694.42</v>
      </c>
      <c r="T42" s="130">
        <f t="shared" ref="T42" si="16">Q42/S42</f>
        <v>1959.7590916065674</v>
      </c>
      <c r="U42" s="78"/>
    </row>
    <row r="43" spans="1:21" s="79" customFormat="1" ht="13.2">
      <c r="A43" s="129" t="s">
        <v>835</v>
      </c>
      <c r="B43" s="188">
        <f>SUM(F41:F43)</f>
        <v>1072807.95</v>
      </c>
      <c r="C43" s="188">
        <f>AVERAGE(F41:F43)</f>
        <v>357602.64999999997</v>
      </c>
      <c r="D43" s="190">
        <f>C43/C40-1</f>
        <v>0.27431620573724769</v>
      </c>
      <c r="E43" s="287">
        <f>C43/C31-1</f>
        <v>0.27077352223400353</v>
      </c>
      <c r="F43" s="136">
        <f>Q43/20</f>
        <v>431714.2</v>
      </c>
      <c r="G43" s="190">
        <f t="shared" ref="G43" si="17">F43/F42-1</f>
        <v>1.6001749654812079</v>
      </c>
      <c r="H43" s="190">
        <f t="shared" ref="H43" si="18">F43/F31-1</f>
        <v>4.6251038915889886E-2</v>
      </c>
      <c r="I43" s="130">
        <f t="shared" si="0"/>
        <v>2214.6344716498152</v>
      </c>
      <c r="J43" s="130">
        <f t="shared" si="4"/>
        <v>-5.2125659288190462E-2</v>
      </c>
      <c r="K43" s="136">
        <f>R41+R42+R43</f>
        <v>29775548317</v>
      </c>
      <c r="L43" s="190">
        <f>U43/U40-1</f>
        <v>0.17900454616801209</v>
      </c>
      <c r="M43" s="190">
        <f>K43/K31-1</f>
        <v>0.32995406738362076</v>
      </c>
      <c r="N43" s="191">
        <f>AVERAGE(T41:T43)</f>
        <v>2127.2118282089032</v>
      </c>
      <c r="O43" s="192">
        <f>N43/N40-1</f>
        <v>0.15807492942418366</v>
      </c>
      <c r="P43" s="129" t="s">
        <v>835</v>
      </c>
      <c r="Q43" s="116">
        <v>8634284</v>
      </c>
      <c r="R43" s="116">
        <v>12531006609</v>
      </c>
      <c r="S43" s="116">
        <v>3898.74</v>
      </c>
      <c r="T43" s="130">
        <f t="shared" ref="T43" si="19">Q43/S43</f>
        <v>2214.6344716498152</v>
      </c>
      <c r="U43" s="85">
        <f>Q41+Q42+Q43</f>
        <v>20506037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652722.68181818177</v>
      </c>
      <c r="G44" s="190">
        <f t="shared" ref="G44" si="20">F44/F43-1</f>
        <v>0.51193238910877081</v>
      </c>
      <c r="H44" s="190">
        <f t="shared" ref="H44" si="21">F44/F32-1</f>
        <v>1.3942042937540697</v>
      </c>
      <c r="I44" s="130">
        <f t="shared" si="0"/>
        <v>2199.9315197558608</v>
      </c>
      <c r="J44" s="130">
        <f t="shared" si="4"/>
        <v>-4.7233495017394822E-2</v>
      </c>
      <c r="K44" s="136"/>
      <c r="L44" s="190"/>
      <c r="M44" s="190"/>
      <c r="N44" s="191"/>
      <c r="O44" s="192"/>
      <c r="P44" s="129" t="s">
        <v>843</v>
      </c>
      <c r="Q44" s="116">
        <v>14359899</v>
      </c>
      <c r="R44" s="116">
        <v>20820823375</v>
      </c>
      <c r="S44" s="116">
        <v>6527.43</v>
      </c>
      <c r="T44" s="130">
        <f t="shared" ref="T44" si="22">Q44/S44</f>
        <v>2199.9315197558608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302550.7</v>
      </c>
      <c r="G45" s="190">
        <f t="shared" ref="G45" si="23">F45/F44-1</f>
        <v>-0.53647895434362036</v>
      </c>
      <c r="H45" s="190">
        <f t="shared" ref="H45" si="24">F45/F33-1</f>
        <v>0.12778211971888376</v>
      </c>
      <c r="I45" s="130">
        <f t="shared" si="0"/>
        <v>2028.1391506034797</v>
      </c>
      <c r="J45" s="130">
        <f t="shared" si="4"/>
        <v>-9.7628575219618541E-2</v>
      </c>
      <c r="K45" s="136"/>
      <c r="L45" s="190"/>
      <c r="M45" s="190"/>
      <c r="N45" s="191"/>
      <c r="O45" s="192"/>
      <c r="P45" s="129" t="s">
        <v>849</v>
      </c>
      <c r="Q45" s="116">
        <v>6051014</v>
      </c>
      <c r="R45" s="116">
        <v>8507960187</v>
      </c>
      <c r="S45" s="116">
        <v>2983.53</v>
      </c>
      <c r="T45" s="130">
        <f t="shared" ref="T45" si="25">Q45/S45</f>
        <v>2028.1391506034797</v>
      </c>
      <c r="U45" s="85"/>
    </row>
    <row r="46" spans="1:21" s="79" customFormat="1" ht="13.2">
      <c r="A46" s="129" t="s">
        <v>893</v>
      </c>
      <c r="B46" s="188">
        <f>SUM(F44:F46)</f>
        <v>1346263.8555023924</v>
      </c>
      <c r="C46" s="188">
        <f>AVERAGE(F44:F46)</f>
        <v>448754.61850079749</v>
      </c>
      <c r="D46" s="190">
        <f>C46/C43-1</f>
        <v>0.25489735185350981</v>
      </c>
      <c r="E46" s="287">
        <f>C46/C34-1</f>
        <v>0.44990762790489414</v>
      </c>
      <c r="F46" s="136">
        <f>Q46/19</f>
        <v>390990.4736842105</v>
      </c>
      <c r="G46" s="190">
        <f t="shared" ref="G46" si="26">F46/F45-1</f>
        <v>0.29231389543706388</v>
      </c>
      <c r="H46" s="190">
        <f t="shared" ref="H46" si="27">F46/F34-1</f>
        <v>8.6944820935732636E-3</v>
      </c>
      <c r="I46" s="130">
        <f t="shared" si="0"/>
        <v>1514.5925546858912</v>
      </c>
      <c r="J46" s="130">
        <f t="shared" si="4"/>
        <v>-0.32497594282472175</v>
      </c>
      <c r="K46" s="136">
        <f>R44+R45+R46</f>
        <v>39520934022</v>
      </c>
      <c r="L46" s="190">
        <f>U46/U43-1</f>
        <v>0.35763590010102875</v>
      </c>
      <c r="M46" s="190">
        <f>K46/K34-1</f>
        <v>0.54522931582507161</v>
      </c>
      <c r="N46" s="191">
        <f>AVERAGE(T44:T46)</f>
        <v>1914.2210750150771</v>
      </c>
      <c r="O46" s="192">
        <f>N46/N43-1</f>
        <v>-0.10012672474332884</v>
      </c>
      <c r="P46" s="129" t="s">
        <v>888</v>
      </c>
      <c r="Q46" s="116">
        <v>7428819</v>
      </c>
      <c r="R46" s="116">
        <v>10192150460</v>
      </c>
      <c r="S46" s="116">
        <v>4904.83</v>
      </c>
      <c r="T46" s="130">
        <f t="shared" ref="T46" si="28">Q46/S46</f>
        <v>1514.5925546858912</v>
      </c>
      <c r="U46" s="85">
        <f t="shared" ref="U46:U51" si="29">Q44+Q45+Q46</f>
        <v>27839732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391641</v>
      </c>
      <c r="G47" s="190">
        <f t="shared" ref="G47" si="30">F47/F46-1</f>
        <v>1.6637907048213663E-3</v>
      </c>
      <c r="H47" s="190">
        <f t="shared" ref="H47" si="31">F47/F35-1</f>
        <v>0.40598641392528179</v>
      </c>
      <c r="I47" s="130">
        <f t="shared" si="0"/>
        <v>1891.2744420812171</v>
      </c>
      <c r="J47" s="130">
        <f t="shared" si="4"/>
        <v>-0.11447880219035333</v>
      </c>
      <c r="K47" s="136"/>
      <c r="L47" s="190"/>
      <c r="M47" s="190"/>
      <c r="N47" s="191"/>
      <c r="O47" s="192"/>
      <c r="P47" s="129" t="s">
        <v>991</v>
      </c>
      <c r="Q47" s="116">
        <v>9007743</v>
      </c>
      <c r="R47" s="116">
        <v>12447322944</v>
      </c>
      <c r="S47" s="116">
        <v>4762.79</v>
      </c>
      <c r="T47" s="130">
        <f t="shared" ref="T47" si="32">Q47/S47</f>
        <v>1891.2744420812171</v>
      </c>
      <c r="U47" s="85">
        <f t="shared" si="29"/>
        <v>22487576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115306.05</v>
      </c>
      <c r="G48" s="190">
        <f t="shared" ref="G48" si="33">F48/F47-1</f>
        <v>-0.70558228071116147</v>
      </c>
      <c r="H48" s="190">
        <f t="shared" ref="H48" si="34">F48/F36-1</f>
        <v>-0.71080362825484111</v>
      </c>
      <c r="I48" s="130">
        <f t="shared" si="0"/>
        <v>1051.2232478632479</v>
      </c>
      <c r="J48" s="130">
        <f t="shared" si="4"/>
        <v>-0.52583690887804668</v>
      </c>
      <c r="K48" s="136"/>
      <c r="L48" s="190"/>
      <c r="M48" s="190"/>
      <c r="N48" s="191"/>
      <c r="O48" s="192"/>
      <c r="P48" s="129" t="s">
        <v>1120</v>
      </c>
      <c r="Q48" s="116">
        <v>2306121</v>
      </c>
      <c r="R48" s="116">
        <v>3199796582</v>
      </c>
      <c r="S48" s="116">
        <v>2193.75</v>
      </c>
      <c r="T48" s="130">
        <f t="shared" ref="T48" si="35">Q48/S48</f>
        <v>1051.2232478632479</v>
      </c>
      <c r="U48" s="85">
        <f t="shared" si="29"/>
        <v>18742683</v>
      </c>
    </row>
    <row r="49" spans="1:26" ht="13.2">
      <c r="A49" s="129" t="s">
        <v>1158</v>
      </c>
      <c r="B49" s="188">
        <f>SUM(F47:F49)</f>
        <v>846388.55</v>
      </c>
      <c r="C49" s="188">
        <f>AVERAGE(F47:F49)</f>
        <v>282129.51666666666</v>
      </c>
      <c r="D49" s="190">
        <f>C49/C46-1</f>
        <v>-0.37130559768007088</v>
      </c>
      <c r="E49" s="287">
        <f>C49/C37-1</f>
        <v>-0.24865180974276513</v>
      </c>
      <c r="F49" s="136">
        <f>Q49/22</f>
        <v>339441.5</v>
      </c>
      <c r="G49" s="190">
        <f t="shared" ref="G49" si="36">F49/F48-1</f>
        <v>1.9438307877166894</v>
      </c>
      <c r="H49" s="190">
        <f t="shared" ref="H49" si="37">F49/F37-1</f>
        <v>-0.24439038470385543</v>
      </c>
      <c r="I49" s="130">
        <f t="shared" si="0"/>
        <v>1817.129807622116</v>
      </c>
      <c r="J49" s="130">
        <f t="shared" si="4"/>
        <v>1.024540880435687E-2</v>
      </c>
      <c r="K49" s="136">
        <f>R47+R48+R49</f>
        <v>26028377177</v>
      </c>
      <c r="L49" s="190">
        <f>U49/U46-1</f>
        <v>-0.32536789506450714</v>
      </c>
      <c r="M49" s="190">
        <f>K49/K37-1</f>
        <v>-0.15933388907881074</v>
      </c>
      <c r="N49" s="191">
        <f>AVERAGE(T47:T49)</f>
        <v>1586.5424991888603</v>
      </c>
      <c r="O49" s="192">
        <f>N49/N46-1</f>
        <v>-0.17118115566857173</v>
      </c>
      <c r="P49" s="129" t="s">
        <v>1158</v>
      </c>
      <c r="Q49" s="116">
        <v>7467713</v>
      </c>
      <c r="R49" s="116">
        <v>10381257651</v>
      </c>
      <c r="S49" s="116">
        <v>4109.62</v>
      </c>
      <c r="T49" s="130">
        <f t="shared" ref="T49" si="38">Q49/S49</f>
        <v>1817.129807622116</v>
      </c>
      <c r="U49" s="85">
        <f t="shared" si="29"/>
        <v>18781577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984781.72222222225</v>
      </c>
      <c r="G50" s="190">
        <f t="shared" ref="G50" si="39">F50/F49-1</f>
        <v>1.9011824488821261</v>
      </c>
      <c r="H50" s="190">
        <f t="shared" ref="H50" si="40">F50/F38-1</f>
        <v>2.4362094578194573</v>
      </c>
      <c r="I50" s="130">
        <f t="shared" ref="I50" si="41">T50</f>
        <v>1959.6107989312063</v>
      </c>
      <c r="J50" s="130">
        <f t="shared" ref="J50" si="42">I50/I38-1</f>
        <v>-6.3985054336097358E-2</v>
      </c>
      <c r="K50" s="136"/>
      <c r="L50" s="190"/>
      <c r="M50" s="190"/>
      <c r="N50" s="191"/>
      <c r="O50" s="192"/>
      <c r="P50" s="129" t="s">
        <v>1293</v>
      </c>
      <c r="Q50" s="116">
        <v>17726071</v>
      </c>
      <c r="R50" s="116">
        <v>24764270968</v>
      </c>
      <c r="S50" s="116">
        <v>9045.7099999999991</v>
      </c>
      <c r="T50" s="130">
        <f t="shared" ref="T50" si="43">Q50/S50</f>
        <v>1959.6107989312063</v>
      </c>
      <c r="U50" s="85">
        <f t="shared" si="29"/>
        <v>27499905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26275.1</v>
      </c>
      <c r="G51" s="190">
        <f t="shared" ref="G51:G52" si="44">F51/F50-1</f>
        <v>-0.97331885898459958</v>
      </c>
      <c r="H51" s="190">
        <f t="shared" ref="H51:H52" si="45">F51/F39-1</f>
        <v>-0.95092718823975242</v>
      </c>
      <c r="I51" s="130">
        <f t="shared" ref="I51:I52" si="46">T51</f>
        <v>913.99599965214361</v>
      </c>
      <c r="J51" s="130">
        <f t="shared" ref="J51:J52" si="47">I51/I39-1</f>
        <v>-0.57963926936274235</v>
      </c>
      <c r="K51" s="136"/>
      <c r="L51" s="190"/>
      <c r="M51" s="190"/>
      <c r="N51" s="191"/>
      <c r="O51" s="192"/>
      <c r="P51" s="129" t="s">
        <v>1402</v>
      </c>
      <c r="Q51" s="116">
        <v>525502</v>
      </c>
      <c r="R51" s="116">
        <v>762767603</v>
      </c>
      <c r="S51" s="116">
        <v>574.95000000000005</v>
      </c>
      <c r="T51" s="130">
        <f t="shared" ref="T51:T52" si="48">Q51/S51</f>
        <v>913.99599965214361</v>
      </c>
      <c r="U51" s="85">
        <f t="shared" si="29"/>
        <v>25719286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1183227.2767676767</v>
      </c>
      <c r="C52" s="188">
        <f>AVERAGE(F50:F52)</f>
        <v>394409.09225589223</v>
      </c>
      <c r="D52" s="190">
        <f>C52/C49-1</f>
        <v>0.39797174331774299</v>
      </c>
      <c r="E52" s="287">
        <f>C52/C40-1</f>
        <v>0.40547587651210271</v>
      </c>
      <c r="F52" s="136">
        <f>Q52/22</f>
        <v>172170.45454545456</v>
      </c>
      <c r="G52" s="190">
        <f t="shared" si="44"/>
        <v>5.5526089166341732</v>
      </c>
      <c r="H52" s="190">
        <f t="shared" si="45"/>
        <v>7.6739907047346545</v>
      </c>
      <c r="I52" s="130">
        <f t="shared" si="46"/>
        <v>1259.2379578253774</v>
      </c>
      <c r="J52" s="130">
        <f t="shared" si="47"/>
        <v>1.3329626450510723E-2</v>
      </c>
      <c r="K52" s="136">
        <f>R50+R51+R52</f>
        <v>31093661501</v>
      </c>
      <c r="L52" s="190">
        <f>U52/U49-1</f>
        <v>0.17345433772680541</v>
      </c>
      <c r="M52" s="190">
        <f>K52/K40-1</f>
        <v>0.30208793698891689</v>
      </c>
      <c r="N52" s="191">
        <f>AVERAGE(T50:T52)</f>
        <v>1377.6149188029092</v>
      </c>
      <c r="O52" s="192">
        <f>N52/N49-1</f>
        <v>-0.13168735189430347</v>
      </c>
      <c r="P52" s="129" t="s">
        <v>1403</v>
      </c>
      <c r="Q52" s="116">
        <v>3787750</v>
      </c>
      <c r="R52" s="116">
        <v>5566622930</v>
      </c>
      <c r="S52" s="116">
        <v>3007.97</v>
      </c>
      <c r="T52" s="130">
        <f t="shared" si="48"/>
        <v>1259.2379578253774</v>
      </c>
      <c r="U52" s="85">
        <f t="shared" ref="U52" si="49">Q50+Q51+Q52</f>
        <v>22039323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157693.47619047618</v>
      </c>
      <c r="G53" s="190">
        <f t="shared" ref="G53" si="50">F53/F52-1</f>
        <v>-8.4085149180786578E-2</v>
      </c>
      <c r="H53" s="190">
        <f t="shared" ref="H53" si="51">F53/F41-1</f>
        <v>-0.66805636288713199</v>
      </c>
      <c r="I53" s="130">
        <f t="shared" ref="I53" si="52">T53</f>
        <v>1942.3340410806245</v>
      </c>
      <c r="J53" s="130">
        <f t="shared" ref="J53" si="53">I53/I41-1</f>
        <v>-0.12001760102727643</v>
      </c>
      <c r="K53" s="136"/>
      <c r="L53" s="190"/>
      <c r="M53" s="190"/>
      <c r="N53" s="191"/>
      <c r="O53" s="192"/>
      <c r="P53" s="129" t="s">
        <v>1414</v>
      </c>
      <c r="Q53" s="116">
        <v>3311563</v>
      </c>
      <c r="R53" s="116">
        <v>4856320133</v>
      </c>
      <c r="S53" s="116">
        <v>1704.94</v>
      </c>
      <c r="T53" s="130">
        <f t="shared" ref="T53" si="54">Q53/S53</f>
        <v>1942.3340410806245</v>
      </c>
      <c r="U53" s="85">
        <f t="shared" ref="U53" si="55">Q51+Q52+Q53</f>
        <v>7624815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241786.64705882352</v>
      </c>
      <c r="G54" s="190">
        <f t="shared" ref="G54" si="56">F54/F53-1</f>
        <v>0.53326981495906733</v>
      </c>
      <c r="H54" s="190">
        <f t="shared" ref="H54" si="57">F54/F42-1</f>
        <v>0.45625876255632414</v>
      </c>
      <c r="I54" s="130">
        <f t="shared" ref="I54" si="58">T54</f>
        <v>1710.9017423807263</v>
      </c>
      <c r="J54" s="130">
        <f t="shared" ref="J54" si="59">I54/I42-1</f>
        <v>-0.12698364318944599</v>
      </c>
      <c r="K54" s="136"/>
      <c r="L54" s="190"/>
      <c r="M54" s="190"/>
      <c r="N54" s="191"/>
      <c r="O54" s="192"/>
      <c r="P54" s="129" t="s">
        <v>1417</v>
      </c>
      <c r="Q54" s="116">
        <v>4110373</v>
      </c>
      <c r="R54" s="116">
        <v>5978210725</v>
      </c>
      <c r="S54" s="116">
        <v>2402.46</v>
      </c>
      <c r="T54" s="130">
        <f t="shared" ref="T54" si="60">Q54/S54</f>
        <v>1710.9017423807263</v>
      </c>
      <c r="U54" s="85">
        <f t="shared" ref="U54" si="61">Q52+Q53+Q54</f>
        <v>11209686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1009881.3613445378</v>
      </c>
      <c r="C55" s="188">
        <f>AVERAGE(F53:F55)</f>
        <v>336627.12044817925</v>
      </c>
      <c r="D55" s="190">
        <f>C55/C52-1</f>
        <v>-0.14650263632924587</v>
      </c>
      <c r="E55" s="287">
        <f>C55/C43-1</f>
        <v>-5.8655967878931348E-2</v>
      </c>
      <c r="F55" s="136">
        <f>Q55/21</f>
        <v>610401.23809523811</v>
      </c>
      <c r="G55" s="190">
        <f t="shared" ref="G55" si="62">F55/F54-1</f>
        <v>1.5245448643271664</v>
      </c>
      <c r="H55" s="190">
        <f t="shared" ref="H55" si="63">F55/F43-1</f>
        <v>0.41390122932078244</v>
      </c>
      <c r="I55" s="130">
        <f>T55</f>
        <v>1997.5823480552347</v>
      </c>
      <c r="J55" s="130">
        <f t="shared" ref="J55" si="64">I55/I43-1</f>
        <v>-9.80081030856913E-2</v>
      </c>
      <c r="K55" s="136">
        <f>R53+R54+R55</f>
        <v>29685871755</v>
      </c>
      <c r="L55" s="190">
        <f>U55/U52-1</f>
        <v>-8.1625057176211824E-2</v>
      </c>
      <c r="M55" s="190">
        <f>K55/K43-1</f>
        <v>-3.011751825533926E-3</v>
      </c>
      <c r="N55" s="191">
        <f>AVERAGE(T53:T55)</f>
        <v>1883.606043838862</v>
      </c>
      <c r="O55" s="192">
        <f>N55/N52-1</f>
        <v>0.36729503878749981</v>
      </c>
      <c r="P55" s="129" t="s">
        <v>1418</v>
      </c>
      <c r="Q55" s="116">
        <v>12818426</v>
      </c>
      <c r="R55" s="116">
        <v>18851340897</v>
      </c>
      <c r="S55" s="116">
        <v>6416.97</v>
      </c>
      <c r="T55" s="130">
        <f t="shared" ref="T55" si="65">Q55/S55</f>
        <v>1997.5823480552347</v>
      </c>
      <c r="U55" s="85">
        <f t="shared" ref="U55" si="66">Q53+Q54+Q55</f>
        <v>20240362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573272.18181818177</v>
      </c>
      <c r="G56" s="190">
        <f t="shared" ref="G56" si="67">F56/F55-1</f>
        <v>-6.082729516230645E-2</v>
      </c>
      <c r="H56" s="190">
        <f t="shared" ref="H56" si="68">F56/F44-1</f>
        <v>-0.12172167784745558</v>
      </c>
      <c r="I56" s="291">
        <f>T56</f>
        <v>2107.283770123393</v>
      </c>
      <c r="J56" s="130">
        <f t="shared" ref="J56" si="69">I56/I44-1</f>
        <v>-4.2113924365586364E-2</v>
      </c>
      <c r="K56" s="136"/>
      <c r="L56" s="190"/>
      <c r="M56" s="190"/>
      <c r="N56" s="191"/>
      <c r="O56" s="192"/>
      <c r="P56" s="129" t="s">
        <v>1420</v>
      </c>
      <c r="Q56" s="116">
        <v>12611988</v>
      </c>
      <c r="R56" s="116">
        <v>18710776202</v>
      </c>
      <c r="S56" s="116">
        <v>5984.95</v>
      </c>
      <c r="T56" s="130">
        <f t="shared" ref="T56" si="70">Q56/S56</f>
        <v>2107.283770123393</v>
      </c>
      <c r="U56" s="85">
        <f t="shared" ref="U56" si="71">Q54+Q55+Q56</f>
        <v>29540787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938184.41666666663</v>
      </c>
      <c r="G57" s="254">
        <f t="shared" ref="G57" si="72">F57/F56-1</f>
        <v>0.63654272162855441</v>
      </c>
      <c r="H57" s="254">
        <f t="shared" ref="H57" si="73">F57/F45-1</f>
        <v>2.1009163643206463</v>
      </c>
      <c r="I57" s="282">
        <f>T57</f>
        <v>2325.1787016173503</v>
      </c>
      <c r="J57" s="277">
        <f t="shared" ref="J57" si="74">I57/I45-1</f>
        <v>0.14645915736377635</v>
      </c>
      <c r="K57" s="204"/>
      <c r="L57" s="254"/>
      <c r="M57" s="254"/>
      <c r="N57" s="257"/>
      <c r="O57" s="258"/>
      <c r="P57" s="129" t="s">
        <v>1436</v>
      </c>
      <c r="Q57" s="116">
        <v>11258213</v>
      </c>
      <c r="R57" s="116">
        <v>16606500682</v>
      </c>
      <c r="S57" s="116">
        <v>4841.87</v>
      </c>
      <c r="T57" s="130">
        <f t="shared" ref="T57" si="75">Q57/S57</f>
        <v>2325.1787016173503</v>
      </c>
      <c r="U57" s="85">
        <f t="shared" ref="U57" si="76">Q55+Q56+Q57</f>
        <v>36688627</v>
      </c>
      <c r="V57" s="79"/>
      <c r="W57" s="79"/>
      <c r="X57" s="79"/>
      <c r="Y57" s="79"/>
      <c r="Z57" s="79"/>
    </row>
    <row r="58" spans="1:26">
      <c r="B58" s="196">
        <f>SUM(F56:F58)</f>
        <v>1511456.5984848484</v>
      </c>
      <c r="C58" s="196">
        <f>AVERAGE(F56:F58)</f>
        <v>755728.2992424242</v>
      </c>
      <c r="D58" s="197">
        <f>C58/C55-1</f>
        <v>1.2450012293610246</v>
      </c>
      <c r="E58" s="233">
        <f>C58/C46-1</f>
        <v>0.68405687225496759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44110563</v>
      </c>
      <c r="R65" s="212">
        <v>65003148639</v>
      </c>
      <c r="S65" s="213">
        <v>21351.19</v>
      </c>
    </row>
    <row r="66" spans="16:19" ht="18" thickBot="1">
      <c r="P66" s="180" t="s">
        <v>976</v>
      </c>
      <c r="Q66" s="181">
        <v>3311563</v>
      </c>
      <c r="R66" s="181">
        <v>4856320133</v>
      </c>
      <c r="S66" s="182">
        <v>1704.94</v>
      </c>
    </row>
    <row r="67" spans="16:19" ht="18" thickBot="1">
      <c r="P67" s="180" t="s">
        <v>977</v>
      </c>
      <c r="Q67" s="181">
        <v>4110373</v>
      </c>
      <c r="R67" s="181">
        <v>5978210725</v>
      </c>
      <c r="S67" s="182">
        <v>2402.46</v>
      </c>
    </row>
    <row r="68" spans="16:19" ht="18" thickBot="1">
      <c r="P68" s="180" t="s">
        <v>978</v>
      </c>
      <c r="Q68" s="181">
        <v>12818426</v>
      </c>
      <c r="R68" s="181">
        <v>18851340897</v>
      </c>
      <c r="S68" s="182">
        <v>6416.97</v>
      </c>
    </row>
    <row r="69" spans="16:19" ht="18" thickBot="1">
      <c r="P69" s="180" t="s">
        <v>979</v>
      </c>
      <c r="Q69" s="181">
        <v>12611988</v>
      </c>
      <c r="R69" s="181">
        <v>18710776202</v>
      </c>
      <c r="S69" s="182">
        <v>5984.95</v>
      </c>
    </row>
    <row r="70" spans="16:19" ht="18" thickBot="1">
      <c r="P70" s="180" t="s">
        <v>980</v>
      </c>
      <c r="Q70" s="181">
        <v>11258213</v>
      </c>
      <c r="R70" s="181">
        <v>16606500682</v>
      </c>
      <c r="S70" s="182">
        <v>4841.87</v>
      </c>
    </row>
    <row r="71" spans="16:19" ht="18" thickBot="1">
      <c r="P71" s="180" t="s">
        <v>975</v>
      </c>
      <c r="Q71" s="181">
        <v>89074543</v>
      </c>
      <c r="R71" s="181">
        <v>126290474178</v>
      </c>
      <c r="S71" s="182">
        <v>47562.18</v>
      </c>
    </row>
    <row r="72" spans="16:19" ht="18" thickBot="1">
      <c r="P72" s="215" t="s">
        <v>982</v>
      </c>
      <c r="Q72" s="217"/>
      <c r="R72"/>
      <c r="S72"/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7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760</v>
      </c>
      <c r="L1" s="80" t="s">
        <v>761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600692.19999999995</v>
      </c>
      <c r="G5" s="90"/>
      <c r="H5" s="90"/>
      <c r="I5" s="130">
        <f t="shared" ref="I5:I49" si="0">T5</f>
        <v>160.31632393392064</v>
      </c>
      <c r="J5" s="130"/>
      <c r="L5" s="80"/>
      <c r="M5" s="80"/>
      <c r="P5" s="129" t="s">
        <v>0</v>
      </c>
      <c r="Q5" s="116">
        <v>12013844</v>
      </c>
      <c r="R5" s="116">
        <v>14179896835</v>
      </c>
      <c r="S5" s="116">
        <v>74938.37</v>
      </c>
      <c r="T5" s="130">
        <f t="shared" ref="T5:T38" si="1">Q5/S5</f>
        <v>160.31632393392064</v>
      </c>
      <c r="U5" s="85"/>
    </row>
    <row r="6" spans="1:21" ht="15" hidden="1" customHeight="1">
      <c r="A6" s="129" t="s">
        <v>1</v>
      </c>
      <c r="C6" s="79"/>
      <c r="F6" s="78">
        <f>Q6/18</f>
        <v>587372.61111111112</v>
      </c>
      <c r="G6" s="90">
        <f t="shared" ref="G6:G38" si="2">F6/F5-1</f>
        <v>-2.2173733717349431E-2</v>
      </c>
      <c r="H6" s="90"/>
      <c r="I6" s="130">
        <f t="shared" si="0"/>
        <v>200.8944067607886</v>
      </c>
      <c r="J6" s="130"/>
      <c r="P6" s="129" t="s">
        <v>1</v>
      </c>
      <c r="Q6" s="116">
        <v>10572707</v>
      </c>
      <c r="R6" s="116">
        <v>12551392732</v>
      </c>
      <c r="S6" s="116">
        <v>52628.18</v>
      </c>
      <c r="T6" s="130">
        <f t="shared" si="1"/>
        <v>200.8944067607886</v>
      </c>
      <c r="U6" s="85"/>
    </row>
    <row r="7" spans="1:21" ht="15" hidden="1" customHeight="1">
      <c r="A7" s="129" t="s">
        <v>2</v>
      </c>
      <c r="B7" s="131">
        <f>F5+F6+F7</f>
        <v>1813283.9474747474</v>
      </c>
      <c r="C7" s="131">
        <f>AVERAGE(F5:F7)</f>
        <v>604427.98249158252</v>
      </c>
      <c r="F7" s="78">
        <f>Q7/22</f>
        <v>625219.13636363635</v>
      </c>
      <c r="G7" s="90">
        <f t="shared" si="2"/>
        <v>6.4433588724766011E-2</v>
      </c>
      <c r="H7" s="90"/>
      <c r="I7" s="130">
        <f t="shared" si="0"/>
        <v>264.12539081657383</v>
      </c>
      <c r="J7" s="130"/>
      <c r="K7" s="79">
        <f>R5+R6+R7</f>
        <v>43307781487</v>
      </c>
      <c r="N7" s="88">
        <f>AVERAGE(T5:T7)</f>
        <v>208.44537383709437</v>
      </c>
      <c r="P7" s="129" t="s">
        <v>2</v>
      </c>
      <c r="Q7" s="116">
        <v>13754821</v>
      </c>
      <c r="R7" s="116">
        <v>16576491920</v>
      </c>
      <c r="S7" s="116">
        <v>52076.86</v>
      </c>
      <c r="T7" s="130">
        <f t="shared" si="1"/>
        <v>264.12539081657383</v>
      </c>
      <c r="U7" s="85">
        <f>Q5+Q6+Q7</f>
        <v>36341372</v>
      </c>
    </row>
    <row r="8" spans="1:21" ht="15" hidden="1" customHeight="1">
      <c r="A8" s="129" t="s">
        <v>3</v>
      </c>
      <c r="C8" s="79"/>
      <c r="F8" s="78">
        <f>Q8/21</f>
        <v>575272.90476190473</v>
      </c>
      <c r="G8" s="90">
        <f t="shared" si="2"/>
        <v>-7.9885961092339586E-2</v>
      </c>
      <c r="H8" s="90"/>
      <c r="I8" s="130">
        <f t="shared" si="0"/>
        <v>186.79687332088201</v>
      </c>
      <c r="J8" s="130"/>
      <c r="K8" s="78"/>
      <c r="P8" s="129" t="s">
        <v>3</v>
      </c>
      <c r="Q8" s="116">
        <v>12080731</v>
      </c>
      <c r="R8" s="116">
        <v>14681190156</v>
      </c>
      <c r="S8" s="116">
        <v>64673.09</v>
      </c>
      <c r="T8" s="130">
        <f t="shared" si="1"/>
        <v>186.79687332088201</v>
      </c>
      <c r="U8" s="85"/>
    </row>
    <row r="9" spans="1:21" ht="15" hidden="1" customHeight="1">
      <c r="A9" s="129" t="s">
        <v>4</v>
      </c>
      <c r="C9" s="79"/>
      <c r="F9" s="78">
        <f>Q9/21</f>
        <v>608966.76190476189</v>
      </c>
      <c r="G9" s="90">
        <f t="shared" si="2"/>
        <v>5.8570214004433963E-2</v>
      </c>
      <c r="H9" s="90"/>
      <c r="I9" s="130">
        <f t="shared" si="0"/>
        <v>190.60361852156015</v>
      </c>
      <c r="J9" s="130"/>
      <c r="K9" s="78"/>
      <c r="P9" s="129" t="s">
        <v>4</v>
      </c>
      <c r="Q9" s="116">
        <v>12788302</v>
      </c>
      <c r="R9" s="116">
        <v>16038355461</v>
      </c>
      <c r="S9" s="116">
        <v>67093.7</v>
      </c>
      <c r="T9" s="130">
        <f t="shared" si="1"/>
        <v>190.60361852156015</v>
      </c>
      <c r="U9" s="85"/>
    </row>
    <row r="10" spans="1:21" ht="15" hidden="1" customHeight="1">
      <c r="A10" s="129" t="s">
        <v>5</v>
      </c>
      <c r="B10" s="131">
        <f>F8+F9+F10</f>
        <v>1852412.7142857141</v>
      </c>
      <c r="C10" s="131">
        <f>AVERAGE(F8:F10)</f>
        <v>617470.90476190473</v>
      </c>
      <c r="D10" s="90">
        <f>C10/C7-1</f>
        <v>2.1578951749646746E-2</v>
      </c>
      <c r="E10" s="286"/>
      <c r="F10" s="78">
        <f>Q10/21</f>
        <v>668173.04761904757</v>
      </c>
      <c r="G10" s="90">
        <f t="shared" si="2"/>
        <v>9.7224166273208068E-2</v>
      </c>
      <c r="H10" s="90"/>
      <c r="I10" s="130">
        <f t="shared" si="0"/>
        <v>165.68946066154234</v>
      </c>
      <c r="J10" s="130"/>
      <c r="K10" s="79">
        <f>R8+R9+R10</f>
        <v>48314031258</v>
      </c>
      <c r="L10" s="87">
        <f>U10/U7-1</f>
        <v>7.0423730837680054E-2</v>
      </c>
      <c r="N10" s="88">
        <f>AVERAGE(T8:T10)</f>
        <v>181.02998416799483</v>
      </c>
      <c r="O10" s="89">
        <f>N10/N7-1</f>
        <v>-0.13152313800221538</v>
      </c>
      <c r="P10" s="129" t="s">
        <v>5</v>
      </c>
      <c r="Q10" s="116">
        <v>14031634</v>
      </c>
      <c r="R10" s="116">
        <v>17594485641</v>
      </c>
      <c r="S10" s="116">
        <v>84686.34</v>
      </c>
      <c r="T10" s="130">
        <f t="shared" si="1"/>
        <v>165.68946066154234</v>
      </c>
      <c r="U10" s="85">
        <f>Q8+Q9+Q10</f>
        <v>38900667</v>
      </c>
    </row>
    <row r="11" spans="1:21" ht="15" hidden="1" customHeight="1">
      <c r="A11" s="129" t="s">
        <v>6</v>
      </c>
      <c r="C11" s="79"/>
      <c r="F11" s="78">
        <f>Q11/21</f>
        <v>525004.76190476189</v>
      </c>
      <c r="G11" s="90">
        <f t="shared" si="2"/>
        <v>-0.21426827410122007</v>
      </c>
      <c r="H11" s="90"/>
      <c r="I11" s="130">
        <f t="shared" si="0"/>
        <v>195.20654967364061</v>
      </c>
      <c r="J11" s="130"/>
      <c r="K11" s="78"/>
      <c r="O11" s="89"/>
      <c r="P11" s="129" t="s">
        <v>6</v>
      </c>
      <c r="Q11" s="116">
        <v>11025100</v>
      </c>
      <c r="R11" s="116">
        <v>14250705368</v>
      </c>
      <c r="S11" s="116">
        <v>56479.15</v>
      </c>
      <c r="T11" s="130">
        <f t="shared" si="1"/>
        <v>195.20654967364061</v>
      </c>
      <c r="U11" s="85"/>
    </row>
    <row r="12" spans="1:21" ht="15" hidden="1" customHeight="1">
      <c r="A12" s="129" t="s">
        <v>7</v>
      </c>
      <c r="C12" s="79"/>
      <c r="F12" s="78">
        <f>Q12/22</f>
        <v>379256.72727272729</v>
      </c>
      <c r="G12" s="90">
        <f t="shared" si="2"/>
        <v>-0.27761278603121298</v>
      </c>
      <c r="H12" s="90"/>
      <c r="I12" s="130">
        <f t="shared" si="0"/>
        <v>257.58789508098738</v>
      </c>
      <c r="J12" s="130"/>
      <c r="K12" s="78"/>
      <c r="O12" s="89"/>
      <c r="P12" s="129" t="s">
        <v>7</v>
      </c>
      <c r="Q12" s="116">
        <v>8343648</v>
      </c>
      <c r="R12" s="116">
        <v>10858567423</v>
      </c>
      <c r="S12" s="116">
        <v>32391.46</v>
      </c>
      <c r="T12" s="130">
        <f t="shared" si="1"/>
        <v>257.58789508098738</v>
      </c>
      <c r="U12" s="85"/>
    </row>
    <row r="13" spans="1:21" ht="15" hidden="1" customHeight="1">
      <c r="A13" s="129" t="s">
        <v>35</v>
      </c>
      <c r="B13" s="131">
        <f>F11+F12+F13</f>
        <v>1532812.6391774891</v>
      </c>
      <c r="C13" s="131">
        <f>AVERAGE(F11:F13)</f>
        <v>510937.54639249638</v>
      </c>
      <c r="D13" s="90">
        <f>C13/C10-1</f>
        <v>-0.17253178659565727</v>
      </c>
      <c r="E13" s="286"/>
      <c r="F13" s="78">
        <f>Q13/20</f>
        <v>628551.15</v>
      </c>
      <c r="G13" s="90">
        <f t="shared" si="2"/>
        <v>0.65732366705786238</v>
      </c>
      <c r="H13" s="90"/>
      <c r="I13" s="130">
        <f t="shared" si="0"/>
        <v>144.10093948000875</v>
      </c>
      <c r="J13" s="130"/>
      <c r="K13" s="78">
        <f>R11+R12+R13</f>
        <v>42164940794</v>
      </c>
      <c r="L13" s="87">
        <f>U13/U10-1</f>
        <v>-0.17894027369762067</v>
      </c>
      <c r="N13" s="88">
        <f>AVERAGE(T11:T13)</f>
        <v>198.96512807821225</v>
      </c>
      <c r="O13" s="89">
        <f>N13/N10-1</f>
        <v>9.9072780637122104E-2</v>
      </c>
      <c r="P13" s="129" t="s">
        <v>35</v>
      </c>
      <c r="Q13" s="116">
        <v>12571023</v>
      </c>
      <c r="R13" s="116">
        <v>17055668003</v>
      </c>
      <c r="S13" s="116">
        <v>87237.62</v>
      </c>
      <c r="T13" s="130">
        <f t="shared" si="1"/>
        <v>144.10093948000875</v>
      </c>
      <c r="U13" s="85">
        <f>Q11+Q12+Q13</f>
        <v>31939771</v>
      </c>
    </row>
    <row r="14" spans="1:21" ht="15" hidden="1" customHeight="1">
      <c r="A14" s="129" t="s">
        <v>36</v>
      </c>
      <c r="C14" s="79"/>
      <c r="F14" s="78">
        <f>Q14/20</f>
        <v>587429.85</v>
      </c>
      <c r="G14" s="90">
        <f t="shared" si="2"/>
        <v>-6.5422360614565855E-2</v>
      </c>
      <c r="H14" s="90"/>
      <c r="I14" s="130">
        <f t="shared" si="0"/>
        <v>179.85393810050644</v>
      </c>
      <c r="J14" s="130"/>
      <c r="O14" s="89"/>
      <c r="P14" s="129" t="s">
        <v>36</v>
      </c>
      <c r="Q14" s="116">
        <v>11748597</v>
      </c>
      <c r="R14" s="116">
        <v>16737157694</v>
      </c>
      <c r="S14" s="116">
        <v>65322.99</v>
      </c>
      <c r="T14" s="130">
        <f t="shared" si="1"/>
        <v>179.85393810050644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598389.45454545459</v>
      </c>
      <c r="G15" s="90">
        <f t="shared" si="2"/>
        <v>1.8656873744932412E-2</v>
      </c>
      <c r="H15" s="90"/>
      <c r="I15" s="130">
        <f t="shared" si="0"/>
        <v>224.13902421666245</v>
      </c>
      <c r="J15" s="130"/>
      <c r="O15" s="89"/>
      <c r="P15" s="129" t="s">
        <v>37</v>
      </c>
      <c r="Q15" s="116">
        <v>13164568</v>
      </c>
      <c r="R15" s="116">
        <v>18232896835</v>
      </c>
      <c r="S15" s="116">
        <v>58733.94</v>
      </c>
      <c r="T15" s="130">
        <f t="shared" si="1"/>
        <v>224.13902421666245</v>
      </c>
      <c r="U15" s="78"/>
    </row>
    <row r="16" spans="1:21" ht="15" hidden="1" customHeight="1">
      <c r="A16" s="129" t="s">
        <v>38</v>
      </c>
      <c r="B16" s="131">
        <f>F14+F15+F16</f>
        <v>1624679.9409090909</v>
      </c>
      <c r="C16" s="131">
        <f>AVERAGE(F14:F16)</f>
        <v>541559.98030303034</v>
      </c>
      <c r="D16" s="90">
        <f>C16/C13-1</f>
        <v>5.993381016279864E-2</v>
      </c>
      <c r="E16" s="286"/>
      <c r="F16" s="78">
        <f>Q16/22</f>
        <v>438860.63636363635</v>
      </c>
      <c r="G16" s="90">
        <f t="shared" si="2"/>
        <v>-0.26659697454561371</v>
      </c>
      <c r="H16" s="90"/>
      <c r="I16" s="130">
        <f t="shared" si="0"/>
        <v>118.36864698991562</v>
      </c>
      <c r="J16" s="130"/>
      <c r="K16" s="78">
        <f>R14+R15+R16</f>
        <v>47629229488</v>
      </c>
      <c r="L16" s="87">
        <f>U16/U13-1</f>
        <v>8.2290132887928413E-2</v>
      </c>
      <c r="N16" s="88">
        <f>AVERAGE(T14:T16)</f>
        <v>174.12053643569485</v>
      </c>
      <c r="O16" s="89">
        <f>N16/N13-1</f>
        <v>-0.124869075714369</v>
      </c>
      <c r="P16" s="129" t="s">
        <v>38</v>
      </c>
      <c r="Q16" s="116">
        <v>9654934</v>
      </c>
      <c r="R16" s="116">
        <v>12659174959</v>
      </c>
      <c r="S16" s="116">
        <v>81566.649999999994</v>
      </c>
      <c r="T16" s="130">
        <f t="shared" si="1"/>
        <v>118.36864698991562</v>
      </c>
      <c r="U16" s="85">
        <f>Q14+Q15+Q16</f>
        <v>34568099</v>
      </c>
    </row>
    <row r="17" spans="1:21" ht="15" hidden="1" customHeight="1">
      <c r="A17" s="129" t="s">
        <v>87</v>
      </c>
      <c r="C17" s="79"/>
      <c r="F17" s="78">
        <f>Q17/20</f>
        <v>427441.7</v>
      </c>
      <c r="G17" s="90">
        <f t="shared" si="2"/>
        <v>-2.6019504638768121E-2</v>
      </c>
      <c r="H17" s="90">
        <f t="shared" ref="H17:H38" si="3">F17/F5-1</f>
        <v>-0.28841809499107851</v>
      </c>
      <c r="I17" s="130">
        <f t="shared" si="0"/>
        <v>166.25700927218313</v>
      </c>
      <c r="J17" s="130">
        <f t="shared" ref="J17:J49" si="4">I17/I5-1</f>
        <v>3.7056022696173585E-2</v>
      </c>
      <c r="O17" s="89"/>
      <c r="P17" s="129" t="s">
        <v>87</v>
      </c>
      <c r="Q17" s="116">
        <v>8548834</v>
      </c>
      <c r="R17" s="116">
        <v>10739750850</v>
      </c>
      <c r="S17" s="116">
        <v>51419.39</v>
      </c>
      <c r="T17" s="130">
        <f t="shared" si="1"/>
        <v>166.25700927218313</v>
      </c>
      <c r="U17" s="78"/>
    </row>
    <row r="18" spans="1:21" ht="15" hidden="1" customHeight="1">
      <c r="A18" s="129" t="s">
        <v>106</v>
      </c>
      <c r="C18" s="79"/>
      <c r="F18" s="78">
        <f>Q18/20</f>
        <v>497570.05</v>
      </c>
      <c r="G18" s="90">
        <f t="shared" si="2"/>
        <v>0.16406529826172789</v>
      </c>
      <c r="H18" s="90">
        <f t="shared" si="3"/>
        <v>-0.15288857432632919</v>
      </c>
      <c r="I18" s="130">
        <f t="shared" si="0"/>
        <v>108.51256649411781</v>
      </c>
      <c r="J18" s="130">
        <f t="shared" si="4"/>
        <v>-0.4598527244049796</v>
      </c>
      <c r="O18" s="89"/>
      <c r="P18" s="129" t="s">
        <v>106</v>
      </c>
      <c r="Q18" s="116">
        <v>9951401</v>
      </c>
      <c r="R18" s="116">
        <v>12498895141</v>
      </c>
      <c r="S18" s="116">
        <v>91707.36</v>
      </c>
      <c r="T18" s="130">
        <f t="shared" si="1"/>
        <v>108.51256649411781</v>
      </c>
      <c r="U18" s="78"/>
    </row>
    <row r="19" spans="1:21" hidden="1">
      <c r="A19" s="129" t="s">
        <v>114</v>
      </c>
      <c r="B19" s="131">
        <f>SUM(F17:F19)</f>
        <v>1375213.2045454546</v>
      </c>
      <c r="C19" s="131">
        <f>AVERAGE(F17:F19)</f>
        <v>458404.40151515155</v>
      </c>
      <c r="D19" s="90">
        <f>C19/C16-1</f>
        <v>-0.15354823438273457</v>
      </c>
      <c r="E19" s="286">
        <f>C19/C7-1</f>
        <v>-0.24158970995103546</v>
      </c>
      <c r="F19" s="78">
        <f>Q19/22</f>
        <v>450201.45454545453</v>
      </c>
      <c r="G19" s="90">
        <f t="shared" si="2"/>
        <v>-9.5199852673096941E-2</v>
      </c>
      <c r="H19" s="90">
        <f t="shared" si="3"/>
        <v>-0.27993014231155755</v>
      </c>
      <c r="I19" s="130">
        <f t="shared" si="0"/>
        <v>201.92023805325087</v>
      </c>
      <c r="J19" s="130">
        <f t="shared" si="4"/>
        <v>-0.23551371782549424</v>
      </c>
      <c r="K19" s="78">
        <f>R17+R18+R19</f>
        <v>36192058508</v>
      </c>
      <c r="L19" s="87">
        <f>U19/U16-1</f>
        <v>-0.17829826280004579</v>
      </c>
      <c r="M19" s="87">
        <f>U19/U7-1</f>
        <v>-0.21839310304520143</v>
      </c>
      <c r="N19" s="88">
        <f>AVERAGE(T17:T19)</f>
        <v>158.89660460651726</v>
      </c>
      <c r="O19" s="89">
        <f>N19/N16-1</f>
        <v>-8.7433292710995092E-2</v>
      </c>
      <c r="P19" s="129" t="s">
        <v>114</v>
      </c>
      <c r="Q19" s="116">
        <v>9904432</v>
      </c>
      <c r="R19" s="116">
        <v>12953412517</v>
      </c>
      <c r="S19" s="116">
        <v>49051.21</v>
      </c>
      <c r="T19" s="130">
        <f t="shared" si="1"/>
        <v>201.92023805325087</v>
      </c>
      <c r="U19" s="85">
        <f>Q17+Q18+Q19</f>
        <v>28404667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477703.9</v>
      </c>
      <c r="G20" s="90">
        <f t="shared" si="2"/>
        <v>6.1089197240185023E-2</v>
      </c>
      <c r="H20" s="90">
        <f t="shared" si="3"/>
        <v>-0.16960472838936647</v>
      </c>
      <c r="I20" s="130">
        <f t="shared" si="0"/>
        <v>151.56258576287834</v>
      </c>
      <c r="J20" s="130">
        <f t="shared" si="4"/>
        <v>-0.18862354027456218</v>
      </c>
      <c r="O20" s="89"/>
      <c r="P20" s="129" t="s">
        <v>131</v>
      </c>
      <c r="Q20" s="116">
        <v>9554078</v>
      </c>
      <c r="R20" s="116">
        <v>12543599940</v>
      </c>
      <c r="S20" s="116">
        <v>63037.18</v>
      </c>
      <c r="T20" s="130">
        <f t="shared" si="1"/>
        <v>151.56258576287834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459299.42857142858</v>
      </c>
      <c r="G21" s="90">
        <f t="shared" si="2"/>
        <v>-3.8526944051684442E-2</v>
      </c>
      <c r="H21" s="90">
        <f t="shared" si="3"/>
        <v>-0.24577258184863005</v>
      </c>
      <c r="I21" s="130">
        <f t="shared" si="0"/>
        <v>208.81070429779999</v>
      </c>
      <c r="J21" s="130">
        <f t="shared" si="4"/>
        <v>9.5523295504383876E-2</v>
      </c>
      <c r="O21" s="89"/>
      <c r="P21" s="129" t="s">
        <v>141</v>
      </c>
      <c r="Q21" s="116">
        <v>9645288</v>
      </c>
      <c r="R21" s="116">
        <v>12828695705</v>
      </c>
      <c r="S21" s="116">
        <v>46191.54</v>
      </c>
      <c r="T21" s="130">
        <f t="shared" si="1"/>
        <v>208.81070429779999</v>
      </c>
      <c r="U21" s="78"/>
    </row>
    <row r="22" spans="1:21" hidden="1">
      <c r="A22" s="129" t="s">
        <v>156</v>
      </c>
      <c r="B22" s="131">
        <f>SUM(F20:F22)</f>
        <v>1462325.1857142858</v>
      </c>
      <c r="C22" s="131">
        <f>AVERAGE(F20:F22)</f>
        <v>487441.72857142863</v>
      </c>
      <c r="D22" s="90">
        <f>C22/C19-1</f>
        <v>6.3344346084594383E-2</v>
      </c>
      <c r="E22" s="286">
        <f>C22/C10-1</f>
        <v>-0.21058348691039142</v>
      </c>
      <c r="F22" s="78">
        <f>Q22/21</f>
        <v>525321.85714285716</v>
      </c>
      <c r="G22" s="90">
        <f t="shared" si="2"/>
        <v>0.14374594102322291</v>
      </c>
      <c r="H22" s="90">
        <f t="shared" si="3"/>
        <v>-0.2137937035700902</v>
      </c>
      <c r="I22" s="130">
        <f t="shared" si="0"/>
        <v>133.12710972220813</v>
      </c>
      <c r="J22" s="130">
        <f t="shared" si="4"/>
        <v>-0.1965263862247103</v>
      </c>
      <c r="K22" s="78">
        <f>R20+R21+R22</f>
        <v>39717291298</v>
      </c>
      <c r="L22" s="87">
        <f>U22/U19-1</f>
        <v>6.4301334706722724E-2</v>
      </c>
      <c r="M22" s="87">
        <f>U22/U10-1</f>
        <v>-0.22286358226197001</v>
      </c>
      <c r="N22" s="88">
        <f>AVERAGE(T20:T22)</f>
        <v>164.50013326096214</v>
      </c>
      <c r="O22" s="89">
        <f>N22/N19-1</f>
        <v>3.5265251062608582E-2</v>
      </c>
      <c r="P22" s="129" t="s">
        <v>156</v>
      </c>
      <c r="Q22" s="116">
        <v>11031759</v>
      </c>
      <c r="R22" s="116">
        <v>14344995653</v>
      </c>
      <c r="S22" s="116">
        <v>82866.36</v>
      </c>
      <c r="T22" s="130">
        <f t="shared" si="1"/>
        <v>133.12710972220813</v>
      </c>
      <c r="U22" s="85">
        <f>Q20+Q21+Q22</f>
        <v>30231125</v>
      </c>
    </row>
    <row r="23" spans="1:21" hidden="1">
      <c r="A23" s="129" t="s">
        <v>189</v>
      </c>
      <c r="B23" s="131"/>
      <c r="C23" s="131"/>
      <c r="F23" s="78">
        <f>Q23/21</f>
        <v>370843.85714285716</v>
      </c>
      <c r="G23" s="90">
        <f t="shared" si="2"/>
        <v>-0.29406353057567702</v>
      </c>
      <c r="H23" s="90">
        <f t="shared" si="3"/>
        <v>-0.29363715521854672</v>
      </c>
      <c r="I23" s="130">
        <f t="shared" si="0"/>
        <v>161.12537318991252</v>
      </c>
      <c r="J23" s="130">
        <f t="shared" si="4"/>
        <v>-0.17459033285874515</v>
      </c>
      <c r="O23" s="89"/>
      <c r="P23" s="129" t="s">
        <v>189</v>
      </c>
      <c r="Q23" s="116">
        <v>7787721</v>
      </c>
      <c r="R23" s="116">
        <v>10052140298</v>
      </c>
      <c r="S23" s="116">
        <v>48333.3</v>
      </c>
      <c r="T23" s="130">
        <f t="shared" si="1"/>
        <v>161.12537318991252</v>
      </c>
      <c r="U23" s="78"/>
    </row>
    <row r="24" spans="1:21" hidden="1">
      <c r="A24" s="129" t="s">
        <v>204</v>
      </c>
      <c r="B24" s="131"/>
      <c r="C24" s="131"/>
      <c r="F24" s="78">
        <f>Q24/22</f>
        <v>495117.40909090912</v>
      </c>
      <c r="G24" s="90">
        <f t="shared" si="2"/>
        <v>0.33511018061755049</v>
      </c>
      <c r="H24" s="90">
        <f t="shared" si="3"/>
        <v>0.30549407165786469</v>
      </c>
      <c r="I24" s="130">
        <f t="shared" si="0"/>
        <v>286.77921683344977</v>
      </c>
      <c r="J24" s="130">
        <f t="shared" si="4"/>
        <v>0.11332567372113678</v>
      </c>
      <c r="O24" s="89"/>
      <c r="P24" s="129" t="s">
        <v>204</v>
      </c>
      <c r="Q24" s="116">
        <v>10892583</v>
      </c>
      <c r="R24" s="116">
        <v>14328789306</v>
      </c>
      <c r="S24" s="116">
        <v>37982.47</v>
      </c>
      <c r="T24" s="130">
        <f t="shared" si="1"/>
        <v>286.77921683344977</v>
      </c>
      <c r="U24" s="78"/>
    </row>
    <row r="25" spans="1:21" s="79" customFormat="1" ht="13.2" hidden="1">
      <c r="A25" s="129" t="s">
        <v>219</v>
      </c>
      <c r="B25" s="131">
        <f>SUM(F23:F25)</f>
        <v>1557049.7925495557</v>
      </c>
      <c r="C25" s="131">
        <f>AVERAGE(F23:F25)</f>
        <v>519016.59751651855</v>
      </c>
      <c r="D25" s="90">
        <f>C25/C22-1</f>
        <v>6.477670477172337E-2</v>
      </c>
      <c r="E25" s="286">
        <f>C25/C13-1</f>
        <v>1.5812208715262344E-2</v>
      </c>
      <c r="F25" s="78">
        <f>Q25/19</f>
        <v>691088.52631578944</v>
      </c>
      <c r="G25" s="90">
        <f t="shared" si="2"/>
        <v>0.39580736533725447</v>
      </c>
      <c r="H25" s="90">
        <f t="shared" si="3"/>
        <v>9.9494490330324536E-2</v>
      </c>
      <c r="I25" s="130">
        <f t="shared" si="0"/>
        <v>240.35190963676897</v>
      </c>
      <c r="J25" s="130">
        <f t="shared" si="4"/>
        <v>0.66794130908572735</v>
      </c>
      <c r="K25" s="78">
        <f>R23+R24+R25</f>
        <v>41804730223</v>
      </c>
      <c r="L25" s="90">
        <f>U25/U22-1</f>
        <v>5.2259418066644914E-2</v>
      </c>
      <c r="M25" s="90">
        <f>U25/U13-1</f>
        <v>-4.0321203304807263E-3</v>
      </c>
      <c r="N25" s="88">
        <f>AVERAGE(T23:T25)</f>
        <v>229.41883322004375</v>
      </c>
      <c r="O25" s="91">
        <f>N25/N22-1</f>
        <v>0.39464223324424252</v>
      </c>
      <c r="P25" s="129" t="s">
        <v>219</v>
      </c>
      <c r="Q25" s="116">
        <v>13130682</v>
      </c>
      <c r="R25" s="116">
        <v>17423800619</v>
      </c>
      <c r="S25" s="116">
        <v>54631.07</v>
      </c>
      <c r="T25" s="130">
        <f t="shared" si="1"/>
        <v>240.35190963676897</v>
      </c>
      <c r="U25" s="85">
        <f>Q23+Q24+Q25</f>
        <v>31810986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420851.78947368421</v>
      </c>
      <c r="G26" s="90">
        <f t="shared" si="2"/>
        <v>-0.39103056490135091</v>
      </c>
      <c r="H26" s="90">
        <f t="shared" si="3"/>
        <v>-0.28357098388227253</v>
      </c>
      <c r="I26" s="130">
        <f t="shared" si="0"/>
        <v>131.31622933368894</v>
      </c>
      <c r="J26" s="130">
        <f t="shared" si="4"/>
        <v>-0.26987292732891699</v>
      </c>
      <c r="L26" s="90"/>
      <c r="M26" s="90"/>
      <c r="P26" s="129" t="s">
        <v>312</v>
      </c>
      <c r="Q26" s="116">
        <v>7996184</v>
      </c>
      <c r="R26" s="116">
        <v>10772665233</v>
      </c>
      <c r="S26" s="116">
        <v>60892.58</v>
      </c>
      <c r="T26" s="130">
        <f t="shared" si="1"/>
        <v>131.31622933368894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904691.04545454541</v>
      </c>
      <c r="G27" s="90">
        <f t="shared" si="2"/>
        <v>1.149666623934162</v>
      </c>
      <c r="H27" s="90">
        <f t="shared" si="3"/>
        <v>0.51187665254188341</v>
      </c>
      <c r="I27" s="130">
        <f t="shared" si="0"/>
        <v>175.72182678911653</v>
      </c>
      <c r="J27" s="130">
        <f t="shared" si="4"/>
        <v>-0.21601413496269961</v>
      </c>
      <c r="L27" s="90"/>
      <c r="M27" s="90"/>
      <c r="P27" s="129" t="s">
        <v>373</v>
      </c>
      <c r="Q27" s="116">
        <v>19903203</v>
      </c>
      <c r="R27" s="116">
        <v>26369068076</v>
      </c>
      <c r="S27" s="116">
        <v>113265.4</v>
      </c>
      <c r="T27" s="130">
        <f t="shared" si="1"/>
        <v>175.72182678911653</v>
      </c>
      <c r="U27" s="78"/>
    </row>
    <row r="28" spans="1:21" s="79" customFormat="1" ht="13.2" hidden="1">
      <c r="A28" s="123" t="s">
        <v>413</v>
      </c>
      <c r="B28" s="131">
        <f>SUM(F26:F28)</f>
        <v>2156641.624401914</v>
      </c>
      <c r="C28" s="131">
        <f>AVERAGE(F26:F28)</f>
        <v>718880.54146730469</v>
      </c>
      <c r="D28" s="90">
        <f>C28/C25-1</f>
        <v>0.38508198949153094</v>
      </c>
      <c r="E28" s="286">
        <f>C28/C16-1</f>
        <v>0.32742552554391935</v>
      </c>
      <c r="F28" s="78">
        <f>Q28/19</f>
        <v>831098.78947368416</v>
      </c>
      <c r="G28" s="90">
        <f t="shared" si="2"/>
        <v>-8.1345180048605581E-2</v>
      </c>
      <c r="H28" s="90">
        <f t="shared" si="3"/>
        <v>0.89376471847669303</v>
      </c>
      <c r="I28" s="130">
        <f t="shared" si="0"/>
        <v>170.41617549279539</v>
      </c>
      <c r="J28" s="130">
        <f t="shared" si="4"/>
        <v>0.43970704934486537</v>
      </c>
      <c r="K28" s="78">
        <f>R26+R27+R28</f>
        <v>57764424749</v>
      </c>
      <c r="L28" s="90">
        <f>U28/U25-1</f>
        <v>0.37343319065935265</v>
      </c>
      <c r="M28" s="90">
        <f>U28/U16-1</f>
        <v>0.26388969205393686</v>
      </c>
      <c r="N28" s="88">
        <f>AVERAGE(T26:T28)</f>
        <v>159.15141053853361</v>
      </c>
      <c r="O28" s="91">
        <f>N28/N25-1</f>
        <v>-0.30628445666495985</v>
      </c>
      <c r="P28" s="129" t="s">
        <v>413</v>
      </c>
      <c r="Q28" s="116">
        <v>15790877</v>
      </c>
      <c r="R28" s="116">
        <v>20622691440</v>
      </c>
      <c r="S28" s="116">
        <v>92660.67</v>
      </c>
      <c r="T28" s="130">
        <f t="shared" si="1"/>
        <v>170.41617549279539</v>
      </c>
      <c r="U28" s="85">
        <f>Q26+Q27+Q28</f>
        <v>43690264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353262.77272727271</v>
      </c>
      <c r="G29" s="190">
        <f t="shared" si="2"/>
        <v>-0.57494490763127459</v>
      </c>
      <c r="H29" s="190">
        <f t="shared" si="3"/>
        <v>-0.17354162514496663</v>
      </c>
      <c r="I29" s="130">
        <f t="shared" si="0"/>
        <v>118.98428466031648</v>
      </c>
      <c r="J29" s="130">
        <f t="shared" si="4"/>
        <v>-0.28433522784278764</v>
      </c>
      <c r="K29" s="136"/>
      <c r="L29" s="190"/>
      <c r="M29" s="190"/>
      <c r="N29" s="191"/>
      <c r="O29" s="192"/>
      <c r="P29" s="129" t="s">
        <v>426</v>
      </c>
      <c r="Q29" s="116">
        <v>7771781</v>
      </c>
      <c r="R29" s="116">
        <v>10245038020</v>
      </c>
      <c r="S29" s="116">
        <v>65317.71</v>
      </c>
      <c r="T29" s="130">
        <f t="shared" si="1"/>
        <v>118.98428466031648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478459.73684210528</v>
      </c>
      <c r="G30" s="190">
        <f t="shared" si="2"/>
        <v>0.3544018044932451</v>
      </c>
      <c r="H30" s="190">
        <f t="shared" si="3"/>
        <v>-3.8407281864924814E-2</v>
      </c>
      <c r="I30" s="130">
        <f t="shared" si="0"/>
        <v>179.34073049102244</v>
      </c>
      <c r="J30" s="130">
        <f t="shared" si="4"/>
        <v>0.65271854021390285</v>
      </c>
      <c r="K30" s="136"/>
      <c r="L30" s="190"/>
      <c r="M30" s="190"/>
      <c r="N30" s="191"/>
      <c r="O30" s="192"/>
      <c r="P30" s="129" t="s">
        <v>466</v>
      </c>
      <c r="Q30" s="116">
        <v>9090735</v>
      </c>
      <c r="R30" s="116">
        <v>12104798291</v>
      </c>
      <c r="S30" s="116">
        <v>50689.74</v>
      </c>
      <c r="T30" s="130">
        <f t="shared" si="1"/>
        <v>179.34073049102244</v>
      </c>
      <c r="U30" s="85"/>
    </row>
    <row r="31" spans="1:21" s="79" customFormat="1" ht="13.2" hidden="1">
      <c r="A31" s="129" t="s">
        <v>505</v>
      </c>
      <c r="B31" s="188">
        <f>SUM(F29:F31)</f>
        <v>1440713.0595693779</v>
      </c>
      <c r="C31" s="188">
        <f>AVERAGE(F29:F31)</f>
        <v>480237.68652312597</v>
      </c>
      <c r="D31" s="190">
        <f>C31/C28-1</f>
        <v>-0.3319645492936637</v>
      </c>
      <c r="E31" s="287">
        <f>C31/C19-1</f>
        <v>4.7628872968517477E-2</v>
      </c>
      <c r="F31" s="136">
        <f>Q31/20</f>
        <v>608990.55000000005</v>
      </c>
      <c r="G31" s="190">
        <f t="shared" si="2"/>
        <v>0.27281462390004774</v>
      </c>
      <c r="H31" s="190">
        <f t="shared" si="3"/>
        <v>0.35270675794432238</v>
      </c>
      <c r="I31" s="130">
        <f t="shared" si="0"/>
        <v>193.97837505711541</v>
      </c>
      <c r="J31" s="130">
        <f t="shared" si="4"/>
        <v>-3.9331683999109579E-2</v>
      </c>
      <c r="K31" s="136">
        <f>R29+R30+R31</f>
        <v>38551170096</v>
      </c>
      <c r="L31" s="190">
        <f>U31/U28-1</f>
        <v>-0.33526776125683289</v>
      </c>
      <c r="M31" s="190">
        <f>U31/U19-1</f>
        <v>2.244912781410191E-2</v>
      </c>
      <c r="N31" s="191">
        <f>AVERAGE(T29:T31)</f>
        <v>164.10113006948475</v>
      </c>
      <c r="O31" s="192">
        <f>N31/N28-1</f>
        <v>3.1100695332842987E-2</v>
      </c>
      <c r="P31" s="129" t="s">
        <v>505</v>
      </c>
      <c r="Q31" s="116">
        <v>12179811</v>
      </c>
      <c r="R31" s="116">
        <v>16201333785</v>
      </c>
      <c r="S31" s="116">
        <v>62789.53</v>
      </c>
      <c r="T31" s="130">
        <f t="shared" si="1"/>
        <v>193.97837505711541</v>
      </c>
      <c r="U31" s="85">
        <f>Q29+Q30+Q31</f>
        <v>29042327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533014.66666666663</v>
      </c>
      <c r="G32" s="190">
        <f t="shared" si="2"/>
        <v>-0.12475708093226312</v>
      </c>
      <c r="H32" s="190">
        <f t="shared" si="3"/>
        <v>0.11578462446437343</v>
      </c>
      <c r="I32" s="130">
        <f t="shared" si="0"/>
        <v>172.67380019847761</v>
      </c>
      <c r="J32" s="130">
        <f t="shared" si="4"/>
        <v>0.13929040817915328</v>
      </c>
      <c r="K32" s="136"/>
      <c r="L32" s="190"/>
      <c r="M32" s="190"/>
      <c r="N32" s="191"/>
      <c r="O32" s="192"/>
      <c r="P32" s="129" t="s">
        <v>561</v>
      </c>
      <c r="Q32" s="116">
        <v>11193308</v>
      </c>
      <c r="R32" s="116">
        <v>15243031222</v>
      </c>
      <c r="S32" s="116">
        <v>64823.43</v>
      </c>
      <c r="T32" s="130">
        <f t="shared" si="1"/>
        <v>172.67380019847761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425955.52380952379</v>
      </c>
      <c r="G33" s="190">
        <f t="shared" si="2"/>
        <v>-0.20085590425993816</v>
      </c>
      <c r="H33" s="190">
        <f t="shared" si="3"/>
        <v>-7.2597313838632993E-2</v>
      </c>
      <c r="I33" s="130">
        <f t="shared" si="0"/>
        <v>189.08102648784742</v>
      </c>
      <c r="J33" s="130">
        <f t="shared" si="4"/>
        <v>-9.4485950211703029E-2</v>
      </c>
      <c r="K33" s="136"/>
      <c r="L33" s="190"/>
      <c r="M33" s="190"/>
      <c r="N33" s="191"/>
      <c r="O33" s="192"/>
      <c r="P33" s="129" t="s">
        <v>606</v>
      </c>
      <c r="Q33" s="116">
        <v>8945066</v>
      </c>
      <c r="R33" s="116">
        <v>12244369266</v>
      </c>
      <c r="S33" s="116">
        <v>47308.11</v>
      </c>
      <c r="T33" s="130">
        <f t="shared" si="1"/>
        <v>189.08102648784742</v>
      </c>
      <c r="U33" s="85"/>
    </row>
    <row r="34" spans="1:21" s="79" customFormat="1" ht="13.2" hidden="1">
      <c r="A34" s="129" t="s">
        <v>652</v>
      </c>
      <c r="B34" s="196">
        <f>SUM(F32:F34)</f>
        <v>1712474.506265664</v>
      </c>
      <c r="C34" s="196">
        <f>AVERAGE(F32:F34)</f>
        <v>570824.83542188804</v>
      </c>
      <c r="D34" s="197">
        <f>C34/C31-1</f>
        <v>0.18862982110921811</v>
      </c>
      <c r="E34" s="233">
        <f>C34/C22-1</f>
        <v>0.17106271778338455</v>
      </c>
      <c r="F34" s="136">
        <f>Q34/19</f>
        <v>753504.31578947371</v>
      </c>
      <c r="G34" s="190">
        <f t="shared" si="2"/>
        <v>0.76897416202171653</v>
      </c>
      <c r="H34" s="190">
        <f t="shared" si="3"/>
        <v>0.43436696102398065</v>
      </c>
      <c r="I34" s="130">
        <f t="shared" si="0"/>
        <v>260.08637583206183</v>
      </c>
      <c r="J34" s="130">
        <f t="shared" si="4"/>
        <v>0.95366951460732019</v>
      </c>
      <c r="K34" s="136">
        <f>R32+R33+R34</f>
        <v>47190113938</v>
      </c>
      <c r="L34" s="190">
        <f>U34/U31-1</f>
        <v>0.18637036212697411</v>
      </c>
      <c r="M34" s="190">
        <f>U34/U22-1</f>
        <v>0.13971795624542582</v>
      </c>
      <c r="N34" s="191">
        <f>AVERAGE(T32:T34)</f>
        <v>207.28040083946226</v>
      </c>
      <c r="O34" s="192">
        <f>N34/N31-1</f>
        <v>0.26312598061752701</v>
      </c>
      <c r="P34" s="129" t="s">
        <v>652</v>
      </c>
      <c r="Q34" s="116">
        <v>14316582</v>
      </c>
      <c r="R34" s="116">
        <v>19702713450</v>
      </c>
      <c r="S34" s="116">
        <v>55045.49</v>
      </c>
      <c r="T34" s="130">
        <f t="shared" si="1"/>
        <v>260.08637583206183</v>
      </c>
      <c r="U34" s="85">
        <f>Q32+Q33+Q34</f>
        <v>34454956</v>
      </c>
    </row>
    <row r="35" spans="1:21" s="79" customFormat="1" ht="13.2" hidden="1">
      <c r="A35" s="129" t="s">
        <v>659</v>
      </c>
      <c r="B35" s="196"/>
      <c r="C35" s="196"/>
      <c r="D35" s="197"/>
      <c r="E35" s="233"/>
      <c r="F35" s="136">
        <f>Q35/23</f>
        <v>615059</v>
      </c>
      <c r="G35" s="190">
        <f t="shared" si="2"/>
        <v>-0.18373526586164213</v>
      </c>
      <c r="H35" s="190">
        <f t="shared" si="3"/>
        <v>0.65853900004892307</v>
      </c>
      <c r="I35" s="130">
        <f t="shared" si="0"/>
        <v>231.7629628998572</v>
      </c>
      <c r="J35" s="130">
        <f t="shared" si="4"/>
        <v>0.43840140327673138</v>
      </c>
      <c r="K35" s="136"/>
      <c r="L35" s="190"/>
      <c r="M35" s="190"/>
      <c r="N35" s="191"/>
      <c r="O35" s="192"/>
      <c r="P35" s="129" t="s">
        <v>659</v>
      </c>
      <c r="Q35" s="116">
        <v>14146357</v>
      </c>
      <c r="R35" s="116">
        <v>19584257302</v>
      </c>
      <c r="S35" s="116">
        <v>61038.04</v>
      </c>
      <c r="T35" s="130">
        <f t="shared" si="1"/>
        <v>231.7629628998572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886942.23809523811</v>
      </c>
      <c r="G36" s="190">
        <f t="shared" si="2"/>
        <v>0.4420441585201389</v>
      </c>
      <c r="H36" s="190">
        <f t="shared" si="3"/>
        <v>0.79137760420051317</v>
      </c>
      <c r="I36" s="130">
        <f t="shared" si="0"/>
        <v>278.02607587813344</v>
      </c>
      <c r="J36" s="130">
        <f t="shared" si="4"/>
        <v>-3.0522229093051134E-2</v>
      </c>
      <c r="K36" s="136"/>
      <c r="L36" s="190"/>
      <c r="M36" s="190"/>
      <c r="N36" s="191"/>
      <c r="O36" s="192"/>
      <c r="P36" s="129" t="s">
        <v>664</v>
      </c>
      <c r="Q36" s="116">
        <v>18625787</v>
      </c>
      <c r="R36" s="116">
        <v>25455775371</v>
      </c>
      <c r="S36" s="116">
        <v>66992.95</v>
      </c>
      <c r="T36" s="130">
        <f t="shared" si="1"/>
        <v>278.02607587813344</v>
      </c>
      <c r="U36" s="85"/>
    </row>
    <row r="37" spans="1:21" s="79" customFormat="1" ht="13.2" hidden="1">
      <c r="A37" s="129" t="s">
        <v>702</v>
      </c>
      <c r="B37" s="188">
        <f>SUM(F35:F37)</f>
        <v>2298576.1825396828</v>
      </c>
      <c r="C37" s="188">
        <f>AVERAGE(F35:F37)</f>
        <v>766192.06084656098</v>
      </c>
      <c r="D37" s="190">
        <f>C37/C34-1</f>
        <v>0.34225424911703417</v>
      </c>
      <c r="E37" s="287">
        <f>C37/C25-1</f>
        <v>0.47623807121539241</v>
      </c>
      <c r="F37" s="136">
        <f>Q37/18</f>
        <v>796574.9444444445</v>
      </c>
      <c r="G37" s="190">
        <f t="shared" si="2"/>
        <v>-0.10188633461054108</v>
      </c>
      <c r="H37" s="190">
        <f t="shared" si="3"/>
        <v>0.15263806894755705</v>
      </c>
      <c r="I37" s="130">
        <f t="shared" si="0"/>
        <v>165.5138121827575</v>
      </c>
      <c r="J37" s="130">
        <f t="shared" si="4"/>
        <v>-0.31136884898110562</v>
      </c>
      <c r="K37" s="136">
        <f>R35+R36+R37</f>
        <v>64185387680</v>
      </c>
      <c r="L37" s="190">
        <f>U37/U34-1</f>
        <v>0.36730672359587402</v>
      </c>
      <c r="M37" s="190">
        <f>U37/U25-1</f>
        <v>0.48095041756957801</v>
      </c>
      <c r="N37" s="191">
        <f>AVERAGE(T35:T37)</f>
        <v>225.10095032024938</v>
      </c>
      <c r="O37" s="192">
        <f>N37/N34-1</f>
        <v>8.5973152351191517E-2</v>
      </c>
      <c r="P37" s="129" t="s">
        <v>702</v>
      </c>
      <c r="Q37" s="116">
        <v>14338349</v>
      </c>
      <c r="R37" s="116">
        <v>19145355007</v>
      </c>
      <c r="S37" s="116">
        <v>86629.32</v>
      </c>
      <c r="T37" s="130">
        <f t="shared" si="1"/>
        <v>165.5138121827575</v>
      </c>
      <c r="U37" s="85">
        <f>Q35+Q36+Q37</f>
        <v>47110493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972139.5</v>
      </c>
      <c r="G38" s="190">
        <f t="shared" si="2"/>
        <v>0.22039929422836613</v>
      </c>
      <c r="H38" s="190">
        <f t="shared" si="3"/>
        <v>1.3099331506128422</v>
      </c>
      <c r="I38" s="130">
        <f t="shared" si="0"/>
        <v>319.21858491859371</v>
      </c>
      <c r="J38" s="130">
        <f t="shared" si="4"/>
        <v>1.430914948885901</v>
      </c>
      <c r="K38" s="136"/>
      <c r="L38" s="190"/>
      <c r="M38" s="190"/>
      <c r="N38" s="191"/>
      <c r="O38" s="192"/>
      <c r="P38" s="129" t="s">
        <v>725</v>
      </c>
      <c r="Q38" s="116">
        <v>19442790</v>
      </c>
      <c r="R38" s="116">
        <v>26265458678</v>
      </c>
      <c r="S38" s="116">
        <v>60907.45</v>
      </c>
      <c r="T38" s="130">
        <f t="shared" si="1"/>
        <v>319.21858491859371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834633.09523809527</v>
      </c>
      <c r="G39" s="190">
        <f t="shared" ref="G39" si="5">F39/F38-1</f>
        <v>-0.1414471943192358</v>
      </c>
      <c r="H39" s="190">
        <f t="shared" ref="H39" si="6">F39/F27-1</f>
        <v>-7.743853613721885E-2</v>
      </c>
      <c r="I39" s="130">
        <f t="shared" si="0"/>
        <v>118.81859010865952</v>
      </c>
      <c r="J39" s="130">
        <f t="shared" si="4"/>
        <v>-0.32382566081985076</v>
      </c>
      <c r="K39" s="136"/>
      <c r="L39" s="190"/>
      <c r="M39" s="190"/>
      <c r="N39" s="191"/>
      <c r="O39" s="192"/>
      <c r="P39" s="129" t="s">
        <v>762</v>
      </c>
      <c r="Q39" s="116">
        <v>17527295</v>
      </c>
      <c r="R39" s="116">
        <v>24356385581</v>
      </c>
      <c r="S39" s="116">
        <v>147513.07</v>
      </c>
      <c r="T39" s="130">
        <f t="shared" ref="T39" si="7">Q39/S39</f>
        <v>118.81859010865952</v>
      </c>
      <c r="U39" s="85"/>
    </row>
    <row r="40" spans="1:21" s="79" customFormat="1" ht="13.2" hidden="1">
      <c r="A40" s="129" t="s">
        <v>778</v>
      </c>
      <c r="B40" s="188">
        <f>SUM(F38:F40)</f>
        <v>2557696.0714285714</v>
      </c>
      <c r="C40" s="188">
        <f>AVERAGE(F38:F40)</f>
        <v>852565.35714285716</v>
      </c>
      <c r="D40" s="190">
        <f>C40/C37-1</f>
        <v>0.11273060725905037</v>
      </c>
      <c r="E40" s="287">
        <f>C40/C28-1</f>
        <v>0.18596249023890521</v>
      </c>
      <c r="F40" s="136">
        <f>Q40/21</f>
        <v>750923.47619047621</v>
      </c>
      <c r="G40" s="190">
        <f t="shared" ref="G40" si="8">F40/F39-1</f>
        <v>-0.10029511113951128</v>
      </c>
      <c r="H40" s="190">
        <f t="shared" ref="H40" si="9">F40/F28-1</f>
        <v>-9.6469053136247651E-2</v>
      </c>
      <c r="I40" s="130">
        <f t="shared" si="0"/>
        <v>167.16854142218517</v>
      </c>
      <c r="J40" s="130">
        <f t="shared" si="4"/>
        <v>-1.9057076367422154E-2</v>
      </c>
      <c r="K40" s="136">
        <f>R38+R39+R40</f>
        <v>73174148403</v>
      </c>
      <c r="L40" s="190">
        <f>U40/U37-1</f>
        <v>0.11948473984341446</v>
      </c>
      <c r="M40" s="190">
        <f>U40/U28-1</f>
        <v>0.20712198031121987</v>
      </c>
      <c r="N40" s="191">
        <f>AVERAGE(T38:T40)</f>
        <v>201.73523881647944</v>
      </c>
      <c r="O40" s="192">
        <f>N40/N37-1</f>
        <v>-0.10380103447154587</v>
      </c>
      <c r="P40" s="129" t="s">
        <v>778</v>
      </c>
      <c r="Q40" s="116">
        <v>15769393</v>
      </c>
      <c r="R40" s="116">
        <v>22552304144</v>
      </c>
      <c r="S40" s="116">
        <v>94332.3</v>
      </c>
      <c r="T40" s="130">
        <f t="shared" ref="T40" si="10">Q40/S40</f>
        <v>167.16854142218517</v>
      </c>
      <c r="U40" s="85">
        <f>Q38+Q39+Q40</f>
        <v>52739478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527068</v>
      </c>
      <c r="G41" s="190">
        <f t="shared" ref="G41" si="11">F41/F40-1</f>
        <v>-0.29810690874404611</v>
      </c>
      <c r="H41" s="190">
        <f t="shared" ref="H41" si="12">F41/F29-1</f>
        <v>0.49199983890436449</v>
      </c>
      <c r="I41" s="130">
        <f t="shared" si="0"/>
        <v>144.78906728709666</v>
      </c>
      <c r="J41" s="130">
        <f t="shared" si="4"/>
        <v>0.21687555377963763</v>
      </c>
      <c r="K41" s="193"/>
      <c r="L41" s="190"/>
      <c r="M41" s="190"/>
      <c r="N41" s="193"/>
      <c r="O41" s="193"/>
      <c r="P41" s="129" t="s">
        <v>792</v>
      </c>
      <c r="Q41" s="116">
        <v>9487224</v>
      </c>
      <c r="R41" s="116">
        <v>13882230949</v>
      </c>
      <c r="S41" s="116">
        <v>65524.45</v>
      </c>
      <c r="T41" s="130">
        <f t="shared" ref="T41" si="13">Q41/S41</f>
        <v>144.78906728709666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644289.25</v>
      </c>
      <c r="G42" s="190">
        <f t="shared" ref="G42" si="14">F42/F41-1</f>
        <v>0.22240251732224303</v>
      </c>
      <c r="H42" s="190">
        <f t="shared" ref="H42" si="15">F42/F30-1</f>
        <v>0.34659031970462229</v>
      </c>
      <c r="I42" s="130">
        <f t="shared" si="0"/>
        <v>230.27292425223936</v>
      </c>
      <c r="J42" s="130">
        <f t="shared" si="4"/>
        <v>0.28399680107116843</v>
      </c>
      <c r="K42" s="193"/>
      <c r="L42" s="190"/>
      <c r="M42" s="190"/>
      <c r="N42" s="193"/>
      <c r="O42" s="193"/>
      <c r="P42" s="129" t="s">
        <v>826</v>
      </c>
      <c r="Q42" s="116">
        <v>12885785</v>
      </c>
      <c r="R42" s="116">
        <v>18665972682</v>
      </c>
      <c r="S42" s="116">
        <v>55958.75</v>
      </c>
      <c r="T42" s="130">
        <f t="shared" ref="T42" si="16">Q42/S42</f>
        <v>230.27292425223936</v>
      </c>
      <c r="U42" s="78"/>
    </row>
    <row r="43" spans="1:21" s="79" customFormat="1" ht="13.2">
      <c r="A43" s="129" t="s">
        <v>835</v>
      </c>
      <c r="B43" s="188">
        <f>SUM(F41:F43)</f>
        <v>1957024.5</v>
      </c>
      <c r="C43" s="188">
        <f>AVERAGE(F41:F43)</f>
        <v>652341.5</v>
      </c>
      <c r="D43" s="190">
        <f>C43/C40-1</f>
        <v>-0.23484868985745966</v>
      </c>
      <c r="E43" s="287">
        <f>C43/C31-1</f>
        <v>0.35837215259570487</v>
      </c>
      <c r="F43" s="136">
        <f>Q43/20</f>
        <v>785667.25</v>
      </c>
      <c r="G43" s="190">
        <f t="shared" ref="G43" si="17">F43/F42-1</f>
        <v>0.21943249867974668</v>
      </c>
      <c r="H43" s="190">
        <f t="shared" ref="H43" si="18">F43/F31-1</f>
        <v>0.2901140255788861</v>
      </c>
      <c r="I43" s="130">
        <f t="shared" si="0"/>
        <v>230.14081297255055</v>
      </c>
      <c r="J43" s="130">
        <f t="shared" si="4"/>
        <v>0.18642509972973742</v>
      </c>
      <c r="K43" s="136">
        <f>R41+R42+R43</f>
        <v>55306534633</v>
      </c>
      <c r="L43" s="190">
        <f>U43/U40-1</f>
        <v>-0.27783976170564295</v>
      </c>
      <c r="M43" s="190">
        <f>K43/K31-1</f>
        <v>0.43462661432262228</v>
      </c>
      <c r="N43" s="191">
        <f>AVERAGE(T41:T43)</f>
        <v>201.73426817062887</v>
      </c>
      <c r="O43" s="192">
        <f>N43/N40-1</f>
        <v>-4.8114838848700714E-6</v>
      </c>
      <c r="P43" s="129" t="s">
        <v>835</v>
      </c>
      <c r="Q43" s="116">
        <v>15713345</v>
      </c>
      <c r="R43" s="116">
        <v>22758331002</v>
      </c>
      <c r="S43" s="116">
        <v>68277.09</v>
      </c>
      <c r="T43" s="130">
        <f t="shared" ref="T43" si="19">Q43/S43</f>
        <v>230.14081297255055</v>
      </c>
      <c r="U43" s="85">
        <f>Q41+Q42+Q43</f>
        <v>38086354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1056543.7727272727</v>
      </c>
      <c r="G44" s="190">
        <f t="shared" ref="G44" si="20">F44/F43-1</f>
        <v>0.34477257735672784</v>
      </c>
      <c r="H44" s="190">
        <f t="shared" ref="H44" si="21">F44/F32-1</f>
        <v>0.98220394071821571</v>
      </c>
      <c r="I44" s="130">
        <f t="shared" si="0"/>
        <v>313.09158360962141</v>
      </c>
      <c r="J44" s="130">
        <f t="shared" si="4"/>
        <v>0.8131968095318598</v>
      </c>
      <c r="K44" s="136"/>
      <c r="L44" s="190"/>
      <c r="M44" s="190"/>
      <c r="N44" s="191"/>
      <c r="O44" s="192"/>
      <c r="P44" s="129" t="s">
        <v>843</v>
      </c>
      <c r="Q44" s="116">
        <v>23243963</v>
      </c>
      <c r="R44" s="116">
        <v>33785479186</v>
      </c>
      <c r="S44" s="116">
        <v>74240.14</v>
      </c>
      <c r="T44" s="130">
        <f t="shared" ref="T44" si="22">Q44/S44</f>
        <v>313.09158360962141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903090.4</v>
      </c>
      <c r="G45" s="190">
        <f t="shared" ref="G45" si="23">F45/F44-1</f>
        <v>-0.14524090405753953</v>
      </c>
      <c r="H45" s="190">
        <f t="shared" ref="H45" si="24">F45/F33-1</f>
        <v>1.1201518691980588</v>
      </c>
      <c r="I45" s="130">
        <f t="shared" si="0"/>
        <v>220.3134798226593</v>
      </c>
      <c r="J45" s="130">
        <f t="shared" si="4"/>
        <v>0.165180261155496</v>
      </c>
      <c r="K45" s="136"/>
      <c r="L45" s="190"/>
      <c r="M45" s="190"/>
      <c r="N45" s="191"/>
      <c r="O45" s="192"/>
      <c r="P45" s="129" t="s">
        <v>849</v>
      </c>
      <c r="Q45" s="116">
        <v>18061808</v>
      </c>
      <c r="R45" s="116">
        <v>25317699797</v>
      </c>
      <c r="S45" s="116">
        <v>81982.31</v>
      </c>
      <c r="T45" s="130">
        <f t="shared" ref="T45" si="25">Q45/S45</f>
        <v>220.3134798226593</v>
      </c>
      <c r="U45" s="85"/>
    </row>
    <row r="46" spans="1:21" s="79" customFormat="1" ht="13.2">
      <c r="A46" s="129" t="s">
        <v>888</v>
      </c>
      <c r="B46" s="188">
        <f>SUM(F44:F46)</f>
        <v>3421045.0674641151</v>
      </c>
      <c r="C46" s="188">
        <f>AVERAGE(F44:F46)</f>
        <v>1140348.3558213718</v>
      </c>
      <c r="D46" s="190">
        <f>C46/C43-1</f>
        <v>0.74808494603113829</v>
      </c>
      <c r="E46" s="287">
        <f>C46/C34-1</f>
        <v>0.99772029011063879</v>
      </c>
      <c r="F46" s="136">
        <f>Q46/19</f>
        <v>1461410.894736842</v>
      </c>
      <c r="G46" s="190">
        <f t="shared" ref="G46" si="26">F46/F45-1</f>
        <v>0.61823322973740158</v>
      </c>
      <c r="H46" s="190">
        <f t="shared" ref="H46" si="27">F46/F34-1</f>
        <v>0.93948576552699503</v>
      </c>
      <c r="I46" s="130">
        <f t="shared" si="0"/>
        <v>184.82443520223396</v>
      </c>
      <c r="J46" s="130">
        <f t="shared" si="4"/>
        <v>-0.28937286849052268</v>
      </c>
      <c r="K46" s="136">
        <f>R44+R45+R46</f>
        <v>97161894691</v>
      </c>
      <c r="L46" s="190">
        <f>U46/U43-1</f>
        <v>0.81357811251767487</v>
      </c>
      <c r="M46" s="190">
        <f>K46/K34-1</f>
        <v>1.058945965221755</v>
      </c>
      <c r="N46" s="191">
        <f>AVERAGE(T44:T46)</f>
        <v>239.40983287817156</v>
      </c>
      <c r="O46" s="192">
        <f>N46/N43-1</f>
        <v>0.18675837798502504</v>
      </c>
      <c r="P46" s="129" t="s">
        <v>928</v>
      </c>
      <c r="Q46" s="116">
        <v>27766807</v>
      </c>
      <c r="R46" s="116">
        <v>38058715708</v>
      </c>
      <c r="S46" s="116">
        <v>150233.42000000001</v>
      </c>
      <c r="T46" s="130">
        <f t="shared" ref="T46" si="28">Q46/S46</f>
        <v>184.82443520223396</v>
      </c>
      <c r="U46" s="85">
        <f t="shared" ref="U46:U51" si="29">Q44+Q45+Q46</f>
        <v>69072578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794437.13043478259</v>
      </c>
      <c r="G47" s="190">
        <f t="shared" ref="G47" si="30">F47/F46-1</f>
        <v>-0.45639030522087509</v>
      </c>
      <c r="H47" s="190">
        <f t="shared" ref="H47" si="31">F47/F35-1</f>
        <v>0.29164377797054031</v>
      </c>
      <c r="I47" s="130">
        <f t="shared" si="0"/>
        <v>203.54754517729538</v>
      </c>
      <c r="J47" s="130">
        <f t="shared" si="4"/>
        <v>-0.1217425656348442</v>
      </c>
      <c r="K47" s="136"/>
      <c r="L47" s="190"/>
      <c r="M47" s="190"/>
      <c r="N47" s="191"/>
      <c r="O47" s="192"/>
      <c r="P47" s="129" t="s">
        <v>1029</v>
      </c>
      <c r="Q47" s="116">
        <v>18272054</v>
      </c>
      <c r="R47" s="116">
        <v>25115750689</v>
      </c>
      <c r="S47" s="116">
        <v>89767.99</v>
      </c>
      <c r="T47" s="130">
        <f t="shared" ref="T47" si="32">Q47/S47</f>
        <v>203.54754517729538</v>
      </c>
      <c r="U47" s="85">
        <f t="shared" si="29"/>
        <v>64100669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500867.3</v>
      </c>
      <c r="G48" s="190">
        <f t="shared" ref="G48" si="33">F48/F47-1</f>
        <v>-0.36953185996494975</v>
      </c>
      <c r="H48" s="190">
        <f t="shared" ref="H48" si="34">F48/F36-1</f>
        <v>-0.43528757737860957</v>
      </c>
      <c r="I48" s="130">
        <f t="shared" si="0"/>
        <v>153.96641566975691</v>
      </c>
      <c r="J48" s="130">
        <f t="shared" si="4"/>
        <v>-0.44621591631842228</v>
      </c>
      <c r="K48" s="136"/>
      <c r="L48" s="190"/>
      <c r="M48" s="190"/>
      <c r="N48" s="191"/>
      <c r="O48" s="192"/>
      <c r="P48" s="129" t="s">
        <v>1147</v>
      </c>
      <c r="Q48" s="116">
        <v>10017346</v>
      </c>
      <c r="R48" s="116">
        <v>13900012312</v>
      </c>
      <c r="S48" s="116">
        <v>65061.89</v>
      </c>
      <c r="T48" s="130">
        <f t="shared" ref="T48" si="35">Q48/S48</f>
        <v>153.96641566975691</v>
      </c>
      <c r="U48" s="85">
        <f t="shared" si="29"/>
        <v>56056207</v>
      </c>
    </row>
    <row r="49" spans="1:26" ht="13.2">
      <c r="A49" s="129" t="s">
        <v>1242</v>
      </c>
      <c r="B49" s="188">
        <f>SUM(F47:F49)</f>
        <v>2485652.2486166004</v>
      </c>
      <c r="C49" s="188">
        <f>AVERAGE(F47:F49)</f>
        <v>828550.7495388668</v>
      </c>
      <c r="D49" s="190">
        <f>C49/C46-1</f>
        <v>-0.27342312083040887</v>
      </c>
      <c r="E49" s="287">
        <f>C49/C37-1</f>
        <v>8.1387803240098977E-2</v>
      </c>
      <c r="F49" s="136">
        <f>Q49/22</f>
        <v>1190347.8181818181</v>
      </c>
      <c r="G49" s="190">
        <f t="shared" ref="G49" si="36">F49/F48-1</f>
        <v>1.3765732324346551</v>
      </c>
      <c r="H49" s="190">
        <f t="shared" ref="H49" si="37">F49/F37-1</f>
        <v>0.49433248746231007</v>
      </c>
      <c r="I49" s="130">
        <f t="shared" si="0"/>
        <v>224.3208183244482</v>
      </c>
      <c r="J49" s="130">
        <f t="shared" si="4"/>
        <v>0.35529968989389848</v>
      </c>
      <c r="K49" s="136">
        <f>R47+R48+R49</f>
        <v>75431737702</v>
      </c>
      <c r="L49" s="190">
        <f>U49/U46-1</f>
        <v>-0.21130709787609203</v>
      </c>
      <c r="M49" s="190">
        <f>K49/K37-1</f>
        <v>0.17521667202618341</v>
      </c>
      <c r="N49" s="191">
        <f>AVERAGE(T47:T49)</f>
        <v>193.94492639050017</v>
      </c>
      <c r="O49" s="192">
        <f>N49/N46-1</f>
        <v>-0.1899040901582647</v>
      </c>
      <c r="P49" s="129" t="s">
        <v>1158</v>
      </c>
      <c r="Q49" s="116">
        <v>26187652</v>
      </c>
      <c r="R49" s="116">
        <v>36415974701</v>
      </c>
      <c r="S49" s="116">
        <v>116741.96</v>
      </c>
      <c r="T49" s="130">
        <f t="shared" ref="T49" si="38">Q49/S49</f>
        <v>224.3208183244482</v>
      </c>
      <c r="U49" s="85">
        <f t="shared" si="29"/>
        <v>54477052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87"/>
      <c r="F50" s="136">
        <f>Q50/18</f>
        <v>799150.11111111112</v>
      </c>
      <c r="G50" s="190">
        <f t="shared" ref="G50" si="39">F50/F49-1</f>
        <v>-0.32864151224995486</v>
      </c>
      <c r="H50" s="190">
        <f t="shared" ref="H50" si="40">F50/F38-1</f>
        <v>-0.17794708361185707</v>
      </c>
      <c r="I50" s="130">
        <f t="shared" ref="I50" si="41">T50</f>
        <v>191.93534613658235</v>
      </c>
      <c r="J50" s="130">
        <f t="shared" ref="J50" si="42">I50/I38-1</f>
        <v>-0.39873379807905229</v>
      </c>
      <c r="K50" s="136"/>
      <c r="L50" s="190"/>
      <c r="M50" s="190"/>
      <c r="N50" s="191"/>
      <c r="O50" s="192"/>
      <c r="P50" s="129" t="s">
        <v>1293</v>
      </c>
      <c r="Q50" s="116">
        <v>14384702</v>
      </c>
      <c r="R50" s="116">
        <v>20301375292</v>
      </c>
      <c r="S50" s="116">
        <v>74945.56</v>
      </c>
      <c r="T50" s="130">
        <f t="shared" ref="T50" si="43">Q50/S50</f>
        <v>191.93534613658235</v>
      </c>
      <c r="U50" s="85">
        <f t="shared" si="29"/>
        <v>50589700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977491.9</v>
      </c>
      <c r="G51" s="190">
        <f t="shared" ref="G51:G52" si="44">F51/F50-1</f>
        <v>0.22316431720309526</v>
      </c>
      <c r="H51" s="190">
        <f t="shared" ref="H51:H52" si="45">F51/F39-1</f>
        <v>0.17116359940310244</v>
      </c>
      <c r="I51" s="130">
        <f t="shared" ref="I51:I52" si="46">T51</f>
        <v>214.1174323919974</v>
      </c>
      <c r="J51" s="130">
        <f t="shared" ref="J51:J52" si="47">I51/I39-1</f>
        <v>0.80205329987661989</v>
      </c>
      <c r="K51" s="136"/>
      <c r="L51" s="190"/>
      <c r="M51" s="190"/>
      <c r="N51" s="191"/>
      <c r="O51" s="192"/>
      <c r="P51" s="129" t="s">
        <v>1402</v>
      </c>
      <c r="Q51" s="116">
        <v>19549838</v>
      </c>
      <c r="R51" s="116">
        <v>28277150687</v>
      </c>
      <c r="S51" s="116">
        <v>91304.28</v>
      </c>
      <c r="T51" s="130">
        <f t="shared" ref="T51:T52" si="48">Q51/S51</f>
        <v>214.1174323919974</v>
      </c>
      <c r="U51" s="85">
        <f t="shared" si="29"/>
        <v>60122192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2734788.3292929293</v>
      </c>
      <c r="C52" s="188">
        <f>AVERAGE(F50:F52)</f>
        <v>911596.10976430972</v>
      </c>
      <c r="D52" s="190">
        <f>C52/C49-1</f>
        <v>0.10022966036982295</v>
      </c>
      <c r="E52" s="287">
        <f>C52/C40-1</f>
        <v>6.9238976375111339E-2</v>
      </c>
      <c r="F52" s="136">
        <f>Q52/22</f>
        <v>958146.31818181823</v>
      </c>
      <c r="G52" s="190">
        <f t="shared" si="44"/>
        <v>-1.9791040537708637E-2</v>
      </c>
      <c r="H52" s="190">
        <f t="shared" si="45"/>
        <v>0.2759573359493408</v>
      </c>
      <c r="I52" s="130">
        <f t="shared" si="46"/>
        <v>185.26603227984714</v>
      </c>
      <c r="J52" s="130">
        <f t="shared" si="47"/>
        <v>0.10825895053996226</v>
      </c>
      <c r="K52" s="136">
        <f>R50+R51+R52</f>
        <v>79602350751</v>
      </c>
      <c r="L52" s="190">
        <f>U52/U49-1</f>
        <v>9.8519831800003566E-3</v>
      </c>
      <c r="M52" s="190">
        <f>K52/K40-1</f>
        <v>8.7847996707761666E-2</v>
      </c>
      <c r="N52" s="191">
        <f>AVERAGE(T50:T52)</f>
        <v>197.10627026947563</v>
      </c>
      <c r="O52" s="192">
        <f>N52/N49-1</f>
        <v>1.6300214384624923E-2</v>
      </c>
      <c r="P52" s="129" t="s">
        <v>1403</v>
      </c>
      <c r="Q52" s="116">
        <v>21079219</v>
      </c>
      <c r="R52" s="116">
        <v>31023824772</v>
      </c>
      <c r="S52" s="116">
        <v>113778.11</v>
      </c>
      <c r="T52" s="130">
        <f t="shared" si="48"/>
        <v>185.26603227984714</v>
      </c>
      <c r="U52" s="85">
        <f t="shared" ref="U52" si="49">Q50+Q51+Q52</f>
        <v>55013759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605232</v>
      </c>
      <c r="G53" s="190">
        <f t="shared" ref="G53" si="50">F53/F52-1</f>
        <v>-0.36833029724678135</v>
      </c>
      <c r="H53" s="190">
        <f t="shared" ref="H53" si="51">F53/F41-1</f>
        <v>0.14829965014001978</v>
      </c>
      <c r="I53" s="130">
        <f t="shared" ref="I53" si="52">T53</f>
        <v>198.44722460720402</v>
      </c>
      <c r="J53" s="130">
        <f t="shared" ref="J53" si="53">I53/I41-1</f>
        <v>0.37059536555830341</v>
      </c>
      <c r="K53" s="136"/>
      <c r="L53" s="190"/>
      <c r="M53" s="190"/>
      <c r="N53" s="191"/>
      <c r="O53" s="192"/>
      <c r="P53" s="129" t="s">
        <v>1414</v>
      </c>
      <c r="Q53" s="116">
        <v>12709872</v>
      </c>
      <c r="R53" s="116">
        <v>18506345991</v>
      </c>
      <c r="S53" s="116">
        <v>64046.61</v>
      </c>
      <c r="T53" s="130">
        <f t="shared" ref="T53" si="54">Q53/S53</f>
        <v>198.44722460720402</v>
      </c>
      <c r="U53" s="85">
        <f t="shared" ref="U53" si="55">Q51+Q52+Q53</f>
        <v>53338929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795745.70588235289</v>
      </c>
      <c r="G54" s="190">
        <f t="shared" ref="G54" si="56">F54/F53-1</f>
        <v>0.31477797915898842</v>
      </c>
      <c r="H54" s="190">
        <f t="shared" ref="H54" si="57">F54/F42-1</f>
        <v>0.23507524901642074</v>
      </c>
      <c r="I54" s="130">
        <f t="shared" ref="I54" si="58">T54</f>
        <v>219.76890247765786</v>
      </c>
      <c r="J54" s="130">
        <f t="shared" ref="J54" si="59">I54/I42-1</f>
        <v>-4.5615531260094988E-2</v>
      </c>
      <c r="K54" s="136"/>
      <c r="L54" s="190"/>
      <c r="M54" s="190"/>
      <c r="N54" s="191"/>
      <c r="O54" s="192"/>
      <c r="P54" s="129" t="s">
        <v>1417</v>
      </c>
      <c r="Q54" s="116">
        <v>13527677</v>
      </c>
      <c r="R54" s="116">
        <v>19605924180</v>
      </c>
      <c r="S54" s="116">
        <v>61554.1</v>
      </c>
      <c r="T54" s="130">
        <f t="shared" ref="T54" si="60">Q54/S54</f>
        <v>219.76890247765786</v>
      </c>
      <c r="U54" s="85">
        <f t="shared" ref="U54" si="61">Q52+Q53+Q54</f>
        <v>47316768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2738429.6106442576</v>
      </c>
      <c r="C55" s="188">
        <f>AVERAGE(F53:F55)</f>
        <v>912809.8702147525</v>
      </c>
      <c r="D55" s="190">
        <f>C55/C52-1</f>
        <v>1.3314673433135749E-3</v>
      </c>
      <c r="E55" s="287">
        <f>C55/C43-1</f>
        <v>0.39928223210504399</v>
      </c>
      <c r="F55" s="136">
        <f>Q55/21</f>
        <v>1337451.9047619049</v>
      </c>
      <c r="G55" s="190">
        <f t="shared" ref="G55" si="62">F55/F54-1</f>
        <v>0.68075290243494013</v>
      </c>
      <c r="H55" s="190">
        <f t="shared" ref="H55" si="63">F55/F43-1</f>
        <v>0.70231342182317613</v>
      </c>
      <c r="I55" s="130">
        <f>T55</f>
        <v>242.24449068566085</v>
      </c>
      <c r="J55" s="130">
        <f t="shared" ref="J55" si="64">I55/I43-1</f>
        <v>5.2592486994273102E-2</v>
      </c>
      <c r="K55" s="136">
        <f>R53+R54+R55</f>
        <v>79364198903</v>
      </c>
      <c r="L55" s="190">
        <f>U55/U52-1</f>
        <v>-1.2537227277997887E-2</v>
      </c>
      <c r="M55" s="190">
        <f>K55/K43-1</f>
        <v>0.43498773571044547</v>
      </c>
      <c r="N55" s="191">
        <f>AVERAGE(T53:T55)</f>
        <v>220.1535392568409</v>
      </c>
      <c r="O55" s="192">
        <f>N55/N52-1</f>
        <v>0.11692813706969329</v>
      </c>
      <c r="P55" s="129" t="s">
        <v>1418</v>
      </c>
      <c r="Q55" s="116">
        <v>28086490</v>
      </c>
      <c r="R55" s="116">
        <v>41251928732</v>
      </c>
      <c r="S55" s="116">
        <v>115942.74</v>
      </c>
      <c r="T55" s="130">
        <f t="shared" ref="T55" si="65">Q55/S55</f>
        <v>242.24449068566085</v>
      </c>
      <c r="U55" s="85">
        <f t="shared" ref="U55" si="66">Q53+Q54+Q55</f>
        <v>54324039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651479.72727272729</v>
      </c>
      <c r="G56" s="190">
        <f t="shared" ref="G56" si="67">F56/F55-1</f>
        <v>-0.51289483759888577</v>
      </c>
      <c r="H56" s="190">
        <f t="shared" ref="H56" si="68">F56/F44-1</f>
        <v>-0.38338595703323053</v>
      </c>
      <c r="I56" s="291">
        <f>T56</f>
        <v>203.76886747588159</v>
      </c>
      <c r="J56" s="130">
        <f t="shared" ref="J56" si="69">I56/I44-1</f>
        <v>-0.34917168603947202</v>
      </c>
      <c r="K56" s="136"/>
      <c r="L56" s="190"/>
      <c r="M56" s="190"/>
      <c r="N56" s="191"/>
      <c r="O56" s="192"/>
      <c r="P56" s="129" t="s">
        <v>1420</v>
      </c>
      <c r="Q56" s="116">
        <v>14332554</v>
      </c>
      <c r="R56" s="116">
        <v>21370720288</v>
      </c>
      <c r="S56" s="116">
        <v>70337.31</v>
      </c>
      <c r="T56" s="130">
        <f t="shared" ref="T56" si="70">Q56/S56</f>
        <v>203.76886747588159</v>
      </c>
      <c r="U56" s="85">
        <f t="shared" ref="U56" si="71">Q54+Q55+Q56</f>
        <v>55946721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1302643.9166666667</v>
      </c>
      <c r="G57" s="254">
        <f t="shared" ref="G57" si="72">F57/F56-1</f>
        <v>0.99951565971191658</v>
      </c>
      <c r="H57" s="254">
        <f t="shared" ref="H57" si="73">F57/F45-1</f>
        <v>0.44242914847358228</v>
      </c>
      <c r="I57" s="282">
        <f>T57</f>
        <v>292.27304597883824</v>
      </c>
      <c r="J57" s="277">
        <f t="shared" ref="J57" si="74">I57/I45-1</f>
        <v>0.32662352850176291</v>
      </c>
      <c r="K57" s="204"/>
      <c r="L57" s="254"/>
      <c r="M57" s="254"/>
      <c r="N57" s="257"/>
      <c r="O57" s="258"/>
      <c r="P57" s="129" t="s">
        <v>1436</v>
      </c>
      <c r="Q57" s="116">
        <v>15631727</v>
      </c>
      <c r="R57" s="116">
        <v>23090157491</v>
      </c>
      <c r="S57" s="116">
        <v>53483.3</v>
      </c>
      <c r="T57" s="130">
        <f t="shared" ref="T57" si="75">Q57/S57</f>
        <v>292.27304597883824</v>
      </c>
      <c r="U57" s="85">
        <f t="shared" ref="U57" si="76">Q55+Q56+Q57</f>
        <v>58050771</v>
      </c>
      <c r="V57" s="79"/>
      <c r="W57" s="79"/>
      <c r="X57" s="79"/>
      <c r="Y57" s="79"/>
      <c r="Z57" s="79"/>
    </row>
    <row r="58" spans="1:26">
      <c r="B58" s="196">
        <f>SUM(F56:F58)</f>
        <v>1954123.643939394</v>
      </c>
      <c r="C58" s="196">
        <f>AVERAGE(F56:F58)</f>
        <v>977061.82196969702</v>
      </c>
      <c r="D58" s="197">
        <f>C58/C55-1</f>
        <v>7.0389194783606168E-2</v>
      </c>
      <c r="E58" s="233">
        <f>C58/C46-1</f>
        <v>-0.14319004628551646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84288320</v>
      </c>
      <c r="R66" s="212">
        <v>123825076682</v>
      </c>
      <c r="S66" s="213">
        <v>365364.06</v>
      </c>
    </row>
    <row r="67" spans="16:19" ht="18" thickBot="1">
      <c r="P67" s="180" t="s">
        <v>976</v>
      </c>
      <c r="Q67" s="181">
        <v>12709872</v>
      </c>
      <c r="R67" s="181">
        <v>18506345991</v>
      </c>
      <c r="S67" s="182">
        <v>64046.61</v>
      </c>
    </row>
    <row r="68" spans="16:19" ht="18" thickBot="1">
      <c r="P68" s="180" t="s">
        <v>977</v>
      </c>
      <c r="Q68" s="181">
        <v>13527677</v>
      </c>
      <c r="R68" s="181">
        <v>19605924180</v>
      </c>
      <c r="S68" s="182">
        <v>61554.1</v>
      </c>
    </row>
    <row r="69" spans="16:19" ht="18" thickBot="1">
      <c r="P69" s="180" t="s">
        <v>978</v>
      </c>
      <c r="Q69" s="181">
        <v>28086490</v>
      </c>
      <c r="R69" s="181">
        <v>41251928732</v>
      </c>
      <c r="S69" s="182">
        <v>115942.74</v>
      </c>
    </row>
    <row r="70" spans="16:19" ht="18" thickBot="1">
      <c r="P70" s="180" t="s">
        <v>979</v>
      </c>
      <c r="Q70" s="181">
        <v>14332554</v>
      </c>
      <c r="R70" s="181">
        <v>21370720288</v>
      </c>
      <c r="S70" s="182">
        <v>70337.31</v>
      </c>
    </row>
    <row r="71" spans="16:19" ht="18" thickBot="1">
      <c r="P71" s="180" t="s">
        <v>980</v>
      </c>
      <c r="Q71" s="181">
        <v>15631727</v>
      </c>
      <c r="R71" s="181">
        <v>23090157491</v>
      </c>
      <c r="S71" s="182">
        <v>53483.3</v>
      </c>
    </row>
    <row r="72" spans="16:19" ht="18" thickBot="1">
      <c r="P72" s="180" t="s">
        <v>975</v>
      </c>
      <c r="Q72" s="181">
        <v>216643693</v>
      </c>
      <c r="R72" s="181">
        <v>307493902819</v>
      </c>
      <c r="S72" s="182">
        <v>1047812.96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7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93">
    <tabColor rgb="FFFFFF00"/>
  </sheetPr>
  <dimension ref="A1:Z71"/>
  <sheetViews>
    <sheetView zoomScale="90" zoomScaleNormal="9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350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2863289.4</v>
      </c>
      <c r="G5" s="90"/>
      <c r="H5" s="90"/>
      <c r="I5" s="130">
        <f t="shared" ref="I5:I49" si="0">T5</f>
        <v>125.95339236547092</v>
      </c>
      <c r="J5" s="130"/>
      <c r="L5" s="80"/>
      <c r="M5" s="80"/>
      <c r="P5" s="129" t="s">
        <v>0</v>
      </c>
      <c r="Q5" s="116">
        <v>57265788</v>
      </c>
      <c r="R5" s="116">
        <v>67580363778</v>
      </c>
      <c r="S5" s="116">
        <v>454658.56</v>
      </c>
      <c r="T5" s="130">
        <f t="shared" ref="T5:T17" si="1">Q5/S5</f>
        <v>125.95339236547092</v>
      </c>
      <c r="U5" s="85"/>
    </row>
    <row r="6" spans="1:21" ht="15" hidden="1" customHeight="1">
      <c r="A6" s="129" t="s">
        <v>1</v>
      </c>
      <c r="C6" s="79"/>
      <c r="F6" s="78">
        <f>Q6/18</f>
        <v>3576308.777777778</v>
      </c>
      <c r="G6" s="90">
        <f t="shared" ref="G6:G16" si="2">F6/F5-1</f>
        <v>0.24902106569380589</v>
      </c>
      <c r="H6" s="90"/>
      <c r="I6" s="130">
        <f t="shared" si="0"/>
        <v>109.98295298653504</v>
      </c>
      <c r="J6" s="130"/>
      <c r="P6" s="129" t="s">
        <v>1</v>
      </c>
      <c r="Q6" s="116">
        <v>64373558</v>
      </c>
      <c r="R6" s="116">
        <v>76478494572</v>
      </c>
      <c r="S6" s="116">
        <v>585304.87</v>
      </c>
      <c r="T6" s="130">
        <f t="shared" si="1"/>
        <v>109.98295298653504</v>
      </c>
      <c r="U6" s="85"/>
    </row>
    <row r="7" spans="1:21" ht="15" hidden="1" customHeight="1">
      <c r="A7" s="129" t="s">
        <v>2</v>
      </c>
      <c r="B7" s="131">
        <f>F5+F6+F7</f>
        <v>9785615.0414141417</v>
      </c>
      <c r="C7" s="131">
        <f>AVERAGE(F5:F7)</f>
        <v>3261871.6804713807</v>
      </c>
      <c r="F7" s="78">
        <f>Q7/22</f>
        <v>3346016.8636363638</v>
      </c>
      <c r="G7" s="90">
        <f t="shared" si="2"/>
        <v>-6.4393744626411009E-2</v>
      </c>
      <c r="H7" s="90"/>
      <c r="I7" s="130">
        <f t="shared" si="0"/>
        <v>125.45588734045835</v>
      </c>
      <c r="J7" s="130"/>
      <c r="K7" s="79">
        <f>R5+R6+R7</f>
        <v>232815432653</v>
      </c>
      <c r="N7" s="88">
        <f>AVERAGE(T5:T7)</f>
        <v>120.46407756415476</v>
      </c>
      <c r="P7" s="129" t="s">
        <v>2</v>
      </c>
      <c r="Q7" s="116">
        <v>73612371</v>
      </c>
      <c r="R7" s="116">
        <v>88756574303</v>
      </c>
      <c r="S7" s="116">
        <v>586759</v>
      </c>
      <c r="T7" s="130">
        <f t="shared" si="1"/>
        <v>125.45588734045835</v>
      </c>
      <c r="U7" s="85">
        <f>Q5+Q6+Q7</f>
        <v>195251717</v>
      </c>
    </row>
    <row r="8" spans="1:21" ht="15" hidden="1" customHeight="1">
      <c r="A8" s="129" t="s">
        <v>3</v>
      </c>
      <c r="C8" s="79"/>
      <c r="F8" s="78">
        <f>Q8/21</f>
        <v>3318806.9523809524</v>
      </c>
      <c r="G8" s="90">
        <f t="shared" si="2"/>
        <v>-8.1320305199658049E-3</v>
      </c>
      <c r="H8" s="90"/>
      <c r="I8" s="130">
        <f t="shared" si="0"/>
        <v>105.89050037117539</v>
      </c>
      <c r="J8" s="130"/>
      <c r="K8" s="78"/>
      <c r="P8" s="129" t="s">
        <v>3</v>
      </c>
      <c r="Q8" s="116">
        <v>69694946</v>
      </c>
      <c r="R8" s="116">
        <v>84562549237</v>
      </c>
      <c r="S8" s="116">
        <v>658179.4</v>
      </c>
      <c r="T8" s="130">
        <f t="shared" si="1"/>
        <v>105.89050037117539</v>
      </c>
      <c r="U8" s="85"/>
    </row>
    <row r="9" spans="1:21" ht="15" hidden="1" customHeight="1">
      <c r="A9" s="129" t="s">
        <v>4</v>
      </c>
      <c r="C9" s="79"/>
      <c r="F9" s="78">
        <f>Q9/21</f>
        <v>2946996.6666666665</v>
      </c>
      <c r="G9" s="90">
        <f t="shared" si="2"/>
        <v>-0.11203130855428178</v>
      </c>
      <c r="H9" s="90"/>
      <c r="I9" s="130">
        <f t="shared" si="0"/>
        <v>112.63962664618268</v>
      </c>
      <c r="J9" s="130"/>
      <c r="K9" s="78"/>
      <c r="P9" s="129" t="s">
        <v>4</v>
      </c>
      <c r="Q9" s="116">
        <v>61886930</v>
      </c>
      <c r="R9" s="116">
        <v>77733687718</v>
      </c>
      <c r="S9" s="116">
        <v>549424.14</v>
      </c>
      <c r="T9" s="130">
        <f t="shared" si="1"/>
        <v>112.63962664618268</v>
      </c>
      <c r="U9" s="85"/>
    </row>
    <row r="10" spans="1:21" ht="15" hidden="1" customHeight="1">
      <c r="A10" s="129" t="s">
        <v>5</v>
      </c>
      <c r="B10" s="131">
        <f>F8+F9+F10</f>
        <v>9947027</v>
      </c>
      <c r="C10" s="131">
        <f>AVERAGE(F8:F10)</f>
        <v>3315675.6666666665</v>
      </c>
      <c r="D10" s="90">
        <f>C10/C7-1</f>
        <v>1.6494819988599474E-2</v>
      </c>
      <c r="E10" s="286"/>
      <c r="F10" s="78">
        <f>Q10/21</f>
        <v>3681223.3809523811</v>
      </c>
      <c r="G10" s="90">
        <f t="shared" si="2"/>
        <v>0.24914405998164724</v>
      </c>
      <c r="H10" s="90"/>
      <c r="I10" s="130">
        <f t="shared" si="0"/>
        <v>116.94117153025196</v>
      </c>
      <c r="J10" s="130"/>
      <c r="K10" s="79">
        <f>R8+R9+R10</f>
        <v>259667792306</v>
      </c>
      <c r="L10" s="87">
        <f>U10/U7-1</f>
        <v>6.9837285989141851E-2</v>
      </c>
      <c r="N10" s="88">
        <f>AVERAGE(T8:T10)</f>
        <v>111.82376618253669</v>
      </c>
      <c r="O10" s="89">
        <f>N10/N7-1</f>
        <v>-7.1725211003392797E-2</v>
      </c>
      <c r="P10" s="129" t="s">
        <v>5</v>
      </c>
      <c r="Q10" s="116">
        <v>77305691</v>
      </c>
      <c r="R10" s="116">
        <v>97371555351</v>
      </c>
      <c r="S10" s="116">
        <v>661064.79</v>
      </c>
      <c r="T10" s="130">
        <f t="shared" si="1"/>
        <v>116.94117153025196</v>
      </c>
      <c r="U10" s="85">
        <f>Q8+Q9+Q10</f>
        <v>208887567</v>
      </c>
    </row>
    <row r="11" spans="1:21" ht="15" hidden="1" customHeight="1">
      <c r="A11" s="129" t="s">
        <v>6</v>
      </c>
      <c r="C11" s="79"/>
      <c r="F11" s="78">
        <f>Q11/21</f>
        <v>3119469.5714285714</v>
      </c>
      <c r="G11" s="90">
        <f t="shared" si="2"/>
        <v>-0.15259976138108644</v>
      </c>
      <c r="H11" s="90"/>
      <c r="I11" s="130">
        <f t="shared" si="0"/>
        <v>84.770503906712264</v>
      </c>
      <c r="J11" s="130"/>
      <c r="K11" s="78"/>
      <c r="O11" s="89"/>
      <c r="P11" s="129" t="s">
        <v>6</v>
      </c>
      <c r="Q11" s="116">
        <v>65508861</v>
      </c>
      <c r="R11" s="116">
        <v>84681299003</v>
      </c>
      <c r="S11" s="116">
        <v>772778.95</v>
      </c>
      <c r="T11" s="130">
        <f t="shared" si="1"/>
        <v>84.770503906712264</v>
      </c>
      <c r="U11" s="85"/>
    </row>
    <row r="12" spans="1:21" ht="15" hidden="1" customHeight="1">
      <c r="A12" s="129" t="s">
        <v>7</v>
      </c>
      <c r="C12" s="79"/>
      <c r="F12" s="78">
        <f>Q12/22</f>
        <v>3028648.3181818184</v>
      </c>
      <c r="G12" s="90">
        <f t="shared" si="2"/>
        <v>-2.9114325742616964E-2</v>
      </c>
      <c r="H12" s="90"/>
      <c r="I12" s="130">
        <f t="shared" si="0"/>
        <v>101.29994854141042</v>
      </c>
      <c r="J12" s="130"/>
      <c r="K12" s="78"/>
      <c r="O12" s="89"/>
      <c r="P12" s="129" t="s">
        <v>7</v>
      </c>
      <c r="Q12" s="116">
        <v>66630263</v>
      </c>
      <c r="R12" s="116">
        <v>86749838705</v>
      </c>
      <c r="S12" s="116">
        <v>657752.18999999994</v>
      </c>
      <c r="T12" s="130">
        <f t="shared" si="1"/>
        <v>101.29994854141042</v>
      </c>
      <c r="U12" s="85"/>
    </row>
    <row r="13" spans="1:21" ht="15" hidden="1" customHeight="1">
      <c r="A13" s="129" t="s">
        <v>35</v>
      </c>
      <c r="B13" s="131">
        <f>F11+F12+F13</f>
        <v>9965368.4396103881</v>
      </c>
      <c r="C13" s="131">
        <f>AVERAGE(F11:F13)</f>
        <v>3321789.4798701294</v>
      </c>
      <c r="D13" s="90">
        <f>C13/C10-1</f>
        <v>1.843911714564328E-3</v>
      </c>
      <c r="E13" s="286"/>
      <c r="F13" s="78">
        <f>Q13/20</f>
        <v>3817250.55</v>
      </c>
      <c r="G13" s="90">
        <f t="shared" si="2"/>
        <v>0.26038091880261671</v>
      </c>
      <c r="H13" s="90"/>
      <c r="I13" s="130">
        <f t="shared" si="0"/>
        <v>96.706265751896083</v>
      </c>
      <c r="J13" s="130"/>
      <c r="K13" s="78">
        <f>R11+R12+R13</f>
        <v>275960362200</v>
      </c>
      <c r="L13" s="87">
        <f>U13/U10-1</f>
        <v>-1.9313356261170256E-3</v>
      </c>
      <c r="N13" s="88">
        <f>AVERAGE(T11:T13)</f>
        <v>94.258906066672921</v>
      </c>
      <c r="O13" s="89">
        <f>N13/N10-1</f>
        <v>-0.15707627023750559</v>
      </c>
      <c r="P13" s="129" t="s">
        <v>60</v>
      </c>
      <c r="Q13" s="116">
        <v>76345011</v>
      </c>
      <c r="R13" s="116">
        <v>104529224492</v>
      </c>
      <c r="S13" s="116">
        <v>789452.58</v>
      </c>
      <c r="T13" s="130">
        <f t="shared" si="1"/>
        <v>96.706265751896083</v>
      </c>
      <c r="U13" s="85">
        <f>Q11+Q12+Q13</f>
        <v>208484135</v>
      </c>
    </row>
    <row r="14" spans="1:21" ht="15" hidden="1" customHeight="1">
      <c r="A14" s="129" t="s">
        <v>36</v>
      </c>
      <c r="C14" s="79"/>
      <c r="F14" s="78">
        <f>Q14/20</f>
        <v>3668070</v>
      </c>
      <c r="G14" s="90">
        <f t="shared" si="2"/>
        <v>-3.908062833339554E-2</v>
      </c>
      <c r="H14" s="90"/>
      <c r="I14" s="130">
        <f t="shared" si="0"/>
        <v>93.87735896753972</v>
      </c>
      <c r="J14" s="130"/>
      <c r="O14" s="89"/>
      <c r="P14" s="129" t="s">
        <v>36</v>
      </c>
      <c r="Q14" s="116">
        <v>73361400</v>
      </c>
      <c r="R14" s="116">
        <v>104598588794</v>
      </c>
      <c r="S14" s="116">
        <v>781459.99</v>
      </c>
      <c r="T14" s="130">
        <f t="shared" si="1"/>
        <v>93.87735896753972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3433419.2272727271</v>
      </c>
      <c r="G15" s="90">
        <f t="shared" si="2"/>
        <v>-6.397118177332306E-2</v>
      </c>
      <c r="H15" s="90"/>
      <c r="I15" s="130">
        <f t="shared" si="0"/>
        <v>120.17199937520608</v>
      </c>
      <c r="J15" s="130"/>
      <c r="O15" s="89"/>
      <c r="P15" s="129" t="s">
        <v>37</v>
      </c>
      <c r="Q15" s="116">
        <v>75535223</v>
      </c>
      <c r="R15" s="116">
        <v>104580001689</v>
      </c>
      <c r="S15" s="116">
        <v>628559.26</v>
      </c>
      <c r="T15" s="130">
        <f t="shared" si="1"/>
        <v>120.17199937520608</v>
      </c>
      <c r="U15" s="78"/>
    </row>
    <row r="16" spans="1:21" ht="15" hidden="1" customHeight="1">
      <c r="A16" s="129" t="s">
        <v>38</v>
      </c>
      <c r="B16" s="131">
        <f>F14+F15+F16</f>
        <v>10642542.681818182</v>
      </c>
      <c r="C16" s="131">
        <f>AVERAGE(F14:F16)</f>
        <v>3547514.2272727271</v>
      </c>
      <c r="D16" s="90">
        <f>C16/C13-1</f>
        <v>6.7952755215367366E-2</v>
      </c>
      <c r="E16" s="286"/>
      <c r="F16" s="78">
        <f>Q16/22</f>
        <v>3541053.4545454546</v>
      </c>
      <c r="G16" s="90">
        <f t="shared" si="2"/>
        <v>3.1348990655657438E-2</v>
      </c>
      <c r="H16" s="90"/>
      <c r="I16" s="130">
        <f t="shared" si="0"/>
        <v>105.87224676278905</v>
      </c>
      <c r="J16" s="130"/>
      <c r="K16" s="78">
        <f>R14+R15+R16</f>
        <v>311280985267</v>
      </c>
      <c r="L16" s="87">
        <f>U16/U13-1</f>
        <v>8.7851595997940013E-2</v>
      </c>
      <c r="N16" s="88">
        <f>AVERAGE(T14:T16)</f>
        <v>106.64053503517827</v>
      </c>
      <c r="O16" s="89">
        <f>N16/N13-1</f>
        <v>0.13135765611100303</v>
      </c>
      <c r="P16" s="129" t="s">
        <v>38</v>
      </c>
      <c r="Q16" s="116">
        <v>77903176</v>
      </c>
      <c r="R16" s="116">
        <v>102102394784</v>
      </c>
      <c r="S16" s="116">
        <v>735822.45</v>
      </c>
      <c r="T16" s="130">
        <f t="shared" si="1"/>
        <v>105.87224676278905</v>
      </c>
      <c r="U16" s="85">
        <f>Q14+Q15+Q16</f>
        <v>226799799</v>
      </c>
    </row>
    <row r="17" spans="1:21" ht="15" hidden="1" customHeight="1">
      <c r="A17" s="129" t="s">
        <v>87</v>
      </c>
      <c r="C17" s="79"/>
      <c r="F17" s="78">
        <f>Q17/20</f>
        <v>3017443.55</v>
      </c>
      <c r="G17" s="90">
        <f t="shared" ref="G17:G22" si="3">F17/F16-1</f>
        <v>-0.14786839884422687</v>
      </c>
      <c r="H17" s="90">
        <f t="shared" ref="H17:H22" si="4">F17/F5-1</f>
        <v>5.3838131067016848E-2</v>
      </c>
      <c r="I17" s="130">
        <f t="shared" si="0"/>
        <v>135.31401252253156</v>
      </c>
      <c r="J17" s="130">
        <f t="shared" ref="J17:J49" si="5">I17/I5-1</f>
        <v>7.431812658050152E-2</v>
      </c>
      <c r="O17" s="89"/>
      <c r="P17" s="129" t="s">
        <v>87</v>
      </c>
      <c r="Q17" s="116">
        <v>60348871</v>
      </c>
      <c r="R17" s="116">
        <v>75802095195</v>
      </c>
      <c r="S17" s="116">
        <v>445991.29</v>
      </c>
      <c r="T17" s="130">
        <f t="shared" si="1"/>
        <v>135.31401252253156</v>
      </c>
      <c r="U17" s="78"/>
    </row>
    <row r="18" spans="1:21" ht="15" hidden="1" customHeight="1">
      <c r="A18" s="129" t="s">
        <v>106</v>
      </c>
      <c r="C18" s="79"/>
      <c r="F18" s="78">
        <f>Q18/20</f>
        <v>3245296.35</v>
      </c>
      <c r="G18" s="90">
        <f t="shared" si="3"/>
        <v>7.5511868316476161E-2</v>
      </c>
      <c r="H18" s="90">
        <f t="shared" si="4"/>
        <v>-9.2557004539037591E-2</v>
      </c>
      <c r="I18" s="130">
        <f t="shared" si="0"/>
        <v>112.29607795826517</v>
      </c>
      <c r="J18" s="130">
        <f t="shared" si="5"/>
        <v>2.1031668171460405E-2</v>
      </c>
      <c r="O18" s="89"/>
      <c r="P18" s="129" t="s">
        <v>106</v>
      </c>
      <c r="Q18" s="116">
        <v>64905927</v>
      </c>
      <c r="R18" s="116">
        <v>81381585966</v>
      </c>
      <c r="S18" s="116">
        <v>577989.26</v>
      </c>
      <c r="T18" s="130">
        <f t="shared" ref="T18" si="6">Q18/S18</f>
        <v>112.29607795826517</v>
      </c>
      <c r="U18" s="78"/>
    </row>
    <row r="19" spans="1:21" hidden="1">
      <c r="A19" s="129" t="s">
        <v>114</v>
      </c>
      <c r="B19" s="131">
        <f>SUM(F17:F19)</f>
        <v>10082385.4</v>
      </c>
      <c r="C19" s="131">
        <f>AVERAGE(F17:F19)</f>
        <v>3360795.1333333333</v>
      </c>
      <c r="D19" s="90">
        <f>C19/C16-1</f>
        <v>-5.2633782975111676E-2</v>
      </c>
      <c r="E19" s="286">
        <f>C19/C7-1</f>
        <v>3.0327205528715595E-2</v>
      </c>
      <c r="F19" s="78">
        <f>Q19/22</f>
        <v>3819645.5</v>
      </c>
      <c r="G19" s="90">
        <f t="shared" si="3"/>
        <v>0.1769789529390744</v>
      </c>
      <c r="H19" s="90">
        <f t="shared" si="4"/>
        <v>0.14154998485241022</v>
      </c>
      <c r="I19" s="130">
        <f t="shared" si="0"/>
        <v>106.84845024470236</v>
      </c>
      <c r="J19" s="130">
        <f t="shared" si="5"/>
        <v>-0.14831856431942236</v>
      </c>
      <c r="K19" s="78">
        <f>R17+R18+R19</f>
        <v>267081013922</v>
      </c>
      <c r="L19" s="87">
        <f>U19/U16-1</f>
        <v>-7.7216999649986517E-2</v>
      </c>
      <c r="M19" s="87">
        <f>U19/U7-1</f>
        <v>7.1883014478177465E-2</v>
      </c>
      <c r="N19" s="88">
        <f>AVERAGE(T17:T19)</f>
        <v>118.15284690849968</v>
      </c>
      <c r="O19" s="89">
        <f>N19/N16-1</f>
        <v>0.10795437091087146</v>
      </c>
      <c r="P19" s="129" t="s">
        <v>115</v>
      </c>
      <c r="Q19" s="116">
        <v>84032201</v>
      </c>
      <c r="R19" s="116">
        <v>109897332761</v>
      </c>
      <c r="S19" s="116">
        <v>786461.58</v>
      </c>
      <c r="T19" s="130">
        <f t="shared" ref="T19" si="7">Q19/S19</f>
        <v>106.84845024470236</v>
      </c>
      <c r="U19" s="85">
        <f>Q17+Q18+Q19</f>
        <v>209286999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3721588</v>
      </c>
      <c r="G20" s="90">
        <f t="shared" si="3"/>
        <v>-2.5671884995610239E-2</v>
      </c>
      <c r="H20" s="90">
        <f t="shared" si="4"/>
        <v>0.12136320472936446</v>
      </c>
      <c r="I20" s="130">
        <f t="shared" si="0"/>
        <v>121.45374822484361</v>
      </c>
      <c r="J20" s="130">
        <f t="shared" si="5"/>
        <v>0.14697492031027082</v>
      </c>
      <c r="O20" s="89"/>
      <c r="P20" s="129" t="s">
        <v>132</v>
      </c>
      <c r="Q20" s="116">
        <v>74431760</v>
      </c>
      <c r="R20" s="116">
        <v>97699027385</v>
      </c>
      <c r="S20" s="116">
        <v>612840.37</v>
      </c>
      <c r="T20" s="130">
        <f t="shared" ref="T20" si="8">Q20/S20</f>
        <v>121.45374822484361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3541605.0476190476</v>
      </c>
      <c r="G21" s="90">
        <f t="shared" si="3"/>
        <v>-4.8361869282938508E-2</v>
      </c>
      <c r="H21" s="90">
        <f t="shared" si="4"/>
        <v>0.20176757838852244</v>
      </c>
      <c r="I21" s="130">
        <f t="shared" si="0"/>
        <v>124.50008850331702</v>
      </c>
      <c r="J21" s="130">
        <f t="shared" si="5"/>
        <v>0.10529564248636736</v>
      </c>
      <c r="O21" s="89"/>
      <c r="P21" s="129" t="s">
        <v>141</v>
      </c>
      <c r="Q21" s="116">
        <v>74373706</v>
      </c>
      <c r="R21" s="116">
        <v>99037655901</v>
      </c>
      <c r="S21" s="116">
        <v>597378.74</v>
      </c>
      <c r="T21" s="130">
        <f t="shared" ref="T21" si="9">Q21/S21</f>
        <v>124.50008850331702</v>
      </c>
      <c r="U21" s="78"/>
    </row>
    <row r="22" spans="1:21" hidden="1">
      <c r="A22" s="129" t="s">
        <v>156</v>
      </c>
      <c r="B22" s="131">
        <f>SUM(F20:F22)</f>
        <v>11309760.095238095</v>
      </c>
      <c r="C22" s="131">
        <f>AVERAGE(F20:F22)</f>
        <v>3769920.0317460317</v>
      </c>
      <c r="D22" s="90">
        <f>C22/C19-1</f>
        <v>0.12173455452695703</v>
      </c>
      <c r="E22" s="286">
        <f>C22/C10-1</f>
        <v>0.13699903450931572</v>
      </c>
      <c r="F22" s="78">
        <f>Q22/21</f>
        <v>4046567.0476190476</v>
      </c>
      <c r="G22" s="90">
        <f t="shared" si="3"/>
        <v>0.14257998653448833</v>
      </c>
      <c r="H22" s="90">
        <f t="shared" si="4"/>
        <v>9.9245177175895094E-2</v>
      </c>
      <c r="I22" s="130">
        <f t="shared" si="0"/>
        <v>114.0637778254584</v>
      </c>
      <c r="J22" s="130">
        <f t="shared" si="5"/>
        <v>-2.4605480406438396E-2</v>
      </c>
      <c r="K22" s="78">
        <f>R20+R21+R22</f>
        <v>307039409371</v>
      </c>
      <c r="L22" s="87">
        <f>U22/U19-1</f>
        <v>0.11704680709765447</v>
      </c>
      <c r="M22" s="87">
        <f>U22/U10-1</f>
        <v>0.11918280899887157</v>
      </c>
      <c r="N22" s="88">
        <f>AVERAGE(T20:T22)</f>
        <v>120.00587151787302</v>
      </c>
      <c r="O22" s="89">
        <f>N22/N19-1</f>
        <v>1.5683283626744648E-2</v>
      </c>
      <c r="P22" s="129" t="s">
        <v>156</v>
      </c>
      <c r="Q22" s="116">
        <v>84977908</v>
      </c>
      <c r="R22" s="116">
        <v>110302726085</v>
      </c>
      <c r="S22" s="116">
        <v>745003.45</v>
      </c>
      <c r="T22" s="130">
        <f t="shared" ref="T22:T23" si="10">Q22/S22</f>
        <v>114.0637778254584</v>
      </c>
      <c r="U22" s="85">
        <f>Q20+Q21+Q22</f>
        <v>233783374</v>
      </c>
    </row>
    <row r="23" spans="1:21" hidden="1">
      <c r="A23" s="129" t="s">
        <v>189</v>
      </c>
      <c r="B23" s="131"/>
      <c r="C23" s="131"/>
      <c r="F23" s="78">
        <f>Q23/21</f>
        <v>3502542.0476190476</v>
      </c>
      <c r="G23" s="90">
        <f t="shared" ref="G23" si="11">F23/F22-1</f>
        <v>-0.13444111850811857</v>
      </c>
      <c r="H23" s="90">
        <f t="shared" ref="H23" si="12">F23/F11-1</f>
        <v>0.12280051701707961</v>
      </c>
      <c r="I23" s="130">
        <f t="shared" si="0"/>
        <v>92.392765980415319</v>
      </c>
      <c r="J23" s="130">
        <f t="shared" si="5"/>
        <v>8.9916441715282902E-2</v>
      </c>
      <c r="O23" s="89"/>
      <c r="P23" s="129" t="s">
        <v>189</v>
      </c>
      <c r="Q23" s="116">
        <v>73553383</v>
      </c>
      <c r="R23" s="116">
        <v>94835963588</v>
      </c>
      <c r="S23" s="116">
        <v>796094.61</v>
      </c>
      <c r="T23" s="130">
        <f t="shared" si="10"/>
        <v>92.392765980415319</v>
      </c>
      <c r="U23" s="78"/>
    </row>
    <row r="24" spans="1:21" hidden="1">
      <c r="A24" s="129" t="s">
        <v>204</v>
      </c>
      <c r="B24" s="131"/>
      <c r="C24" s="131"/>
      <c r="F24" s="78">
        <f>Q24/22</f>
        <v>3599515.0909090908</v>
      </c>
      <c r="G24" s="90">
        <f t="shared" ref="G24" si="13">F24/F23-1</f>
        <v>2.7686475129103272E-2</v>
      </c>
      <c r="H24" s="90">
        <f t="shared" ref="H24" si="14">F24/F12-1</f>
        <v>0.1884889603392379</v>
      </c>
      <c r="I24" s="130">
        <f t="shared" si="0"/>
        <v>112.4722078460757</v>
      </c>
      <c r="J24" s="130">
        <f t="shared" si="5"/>
        <v>0.11028889417548116</v>
      </c>
      <c r="O24" s="89"/>
      <c r="P24" s="129" t="s">
        <v>204</v>
      </c>
      <c r="Q24" s="116">
        <v>79189332</v>
      </c>
      <c r="R24" s="116">
        <v>104182164923</v>
      </c>
      <c r="S24" s="116">
        <v>704079.11</v>
      </c>
      <c r="T24" s="130">
        <f t="shared" ref="T24" si="15">Q24/S24</f>
        <v>112.4722078460757</v>
      </c>
      <c r="U24" s="78"/>
    </row>
    <row r="25" spans="1:21" s="79" customFormat="1" ht="13.2" hidden="1">
      <c r="A25" s="129" t="s">
        <v>218</v>
      </c>
      <c r="B25" s="131">
        <f>SUM(F23:F25)</f>
        <v>11477313.664843928</v>
      </c>
      <c r="C25" s="131">
        <f>AVERAGE(F23:F25)</f>
        <v>3825771.2216146425</v>
      </c>
      <c r="D25" s="90">
        <f>C25/C22-1</f>
        <v>1.4814953473361481E-2</v>
      </c>
      <c r="E25" s="286">
        <f>C25/C13-1</f>
        <v>0.15171995239271374</v>
      </c>
      <c r="F25" s="78">
        <f>Q25/19</f>
        <v>4375256.5263157897</v>
      </c>
      <c r="G25" s="90">
        <f t="shared" ref="G25" si="16">F25/F24-1</f>
        <v>0.21551276097325056</v>
      </c>
      <c r="H25" s="90">
        <f t="shared" ref="H25" si="17">F25/F13-1</f>
        <v>0.14618007621108076</v>
      </c>
      <c r="I25" s="130">
        <f t="shared" si="0"/>
        <v>117.22319613808419</v>
      </c>
      <c r="J25" s="130">
        <f t="shared" si="5"/>
        <v>0.2121571981574093</v>
      </c>
      <c r="K25" s="78">
        <f>R23+R24+R25</f>
        <v>309386047905</v>
      </c>
      <c r="L25" s="90">
        <f>U25/U22-1</f>
        <v>8.9365422538558725E-3</v>
      </c>
      <c r="M25" s="90">
        <f>U25/U13-1</f>
        <v>0.13136948765909695</v>
      </c>
      <c r="N25" s="88">
        <f>AVERAGE(T23:T25)</f>
        <v>107.36272332152508</v>
      </c>
      <c r="O25" s="91">
        <f>N25/N22-1</f>
        <v>-0.10535441338355633</v>
      </c>
      <c r="P25" s="129" t="s">
        <v>220</v>
      </c>
      <c r="Q25" s="116">
        <v>83129874</v>
      </c>
      <c r="R25" s="116">
        <v>110367919394</v>
      </c>
      <c r="S25" s="116">
        <v>709158.91</v>
      </c>
      <c r="T25" s="130">
        <f t="shared" ref="T25" si="18">Q25/S25</f>
        <v>117.22319613808419</v>
      </c>
      <c r="U25" s="85">
        <f>Q23+Q24+Q25</f>
        <v>235872589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3792610.8947368423</v>
      </c>
      <c r="G26" s="90">
        <f t="shared" ref="G26" si="19">F26/F25-1</f>
        <v>-0.1331683360905852</v>
      </c>
      <c r="H26" s="90">
        <f t="shared" ref="H26" si="20">F26/F14-1</f>
        <v>3.3952703938813222E-2</v>
      </c>
      <c r="I26" s="130">
        <f t="shared" si="0"/>
        <v>105.8815836009897</v>
      </c>
      <c r="J26" s="130">
        <f t="shared" si="5"/>
        <v>0.12787135008347139</v>
      </c>
      <c r="L26" s="90"/>
      <c r="M26" s="90"/>
      <c r="P26" s="129" t="s">
        <v>312</v>
      </c>
      <c r="Q26" s="116">
        <v>72059607</v>
      </c>
      <c r="R26" s="116">
        <v>97167629611</v>
      </c>
      <c r="S26" s="116">
        <v>680567.9</v>
      </c>
      <c r="T26" s="130">
        <f t="shared" ref="T26" si="21">Q26/S26</f>
        <v>105.8815836009897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4431178.8181818184</v>
      </c>
      <c r="G27" s="90">
        <f t="shared" ref="G27" si="22">F27/F26-1</f>
        <v>0.16837158916859685</v>
      </c>
      <c r="H27" s="90">
        <f t="shared" ref="H27" si="23">F27/F15-1</f>
        <v>0.29060231939740233</v>
      </c>
      <c r="I27" s="130">
        <f t="shared" si="0"/>
        <v>117.23073931897319</v>
      </c>
      <c r="J27" s="130">
        <f t="shared" si="5"/>
        <v>-2.4475419161909429E-2</v>
      </c>
      <c r="L27" s="90"/>
      <c r="M27" s="90"/>
      <c r="P27" s="129" t="s">
        <v>375</v>
      </c>
      <c r="Q27" s="116">
        <v>97485934</v>
      </c>
      <c r="R27" s="116">
        <v>128736357931</v>
      </c>
      <c r="S27" s="116">
        <v>831573.14</v>
      </c>
      <c r="T27" s="130">
        <f t="shared" ref="T27" si="24">Q27/S27</f>
        <v>117.23073931897319</v>
      </c>
      <c r="U27" s="78"/>
    </row>
    <row r="28" spans="1:21" s="79" customFormat="1" ht="13.2" hidden="1">
      <c r="A28" s="123" t="s">
        <v>413</v>
      </c>
      <c r="B28" s="131">
        <f>SUM(F26:F28)</f>
        <v>13110876.397129187</v>
      </c>
      <c r="C28" s="131">
        <f>AVERAGE(F26:F28)</f>
        <v>4370292.1323763961</v>
      </c>
      <c r="D28" s="90">
        <f>C28/C25-1</f>
        <v>0.14232971059151356</v>
      </c>
      <c r="E28" s="286">
        <f>C28/C16-1</f>
        <v>0.23193082603539206</v>
      </c>
      <c r="F28" s="78">
        <f>Q28/19</f>
        <v>4887086.6842105268</v>
      </c>
      <c r="G28" s="90">
        <f t="shared" ref="G28" si="25">F28/F27-1</f>
        <v>0.10288636156095698</v>
      </c>
      <c r="H28" s="90">
        <f t="shared" ref="H28" si="26">F28/F16-1</f>
        <v>0.38012225653844434</v>
      </c>
      <c r="I28" s="130">
        <f t="shared" si="0"/>
        <v>102.05916061909846</v>
      </c>
      <c r="J28" s="130">
        <f t="shared" si="5"/>
        <v>-3.6015917865934721E-2</v>
      </c>
      <c r="K28" s="78">
        <f>R26+R27+R28</f>
        <v>347120701037</v>
      </c>
      <c r="L28" s="90">
        <f>U28/U25-1</f>
        <v>0.11246579821956337</v>
      </c>
      <c r="M28" s="90">
        <f>U28/U16-1</f>
        <v>0.15696834457952935</v>
      </c>
      <c r="N28" s="88">
        <f>AVERAGE(T26:T28)</f>
        <v>108.39049451302044</v>
      </c>
      <c r="O28" s="91">
        <f>N28/N25-1</f>
        <v>9.5728867496909231E-3</v>
      </c>
      <c r="P28" s="129" t="s">
        <v>413</v>
      </c>
      <c r="Q28" s="116">
        <v>92854647</v>
      </c>
      <c r="R28" s="116">
        <v>121216713495</v>
      </c>
      <c r="S28" s="116">
        <v>909811.98</v>
      </c>
      <c r="T28" s="130">
        <f t="shared" ref="T28" si="27">Q28/S28</f>
        <v>102.05916061909846</v>
      </c>
      <c r="U28" s="85">
        <f>Q26+Q27+Q28</f>
        <v>262400188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3062800.8181818184</v>
      </c>
      <c r="G29" s="190">
        <f t="shared" ref="G29" si="28">F29/F28-1</f>
        <v>-0.37328698750581069</v>
      </c>
      <c r="H29" s="190">
        <f t="shared" ref="H29" si="29">F29/F17-1</f>
        <v>1.5031687397041305E-2</v>
      </c>
      <c r="I29" s="130">
        <f t="shared" si="0"/>
        <v>123.15969597942052</v>
      </c>
      <c r="J29" s="130">
        <f t="shared" si="5"/>
        <v>-8.9823044313959599E-2</v>
      </c>
      <c r="K29" s="136"/>
      <c r="L29" s="190"/>
      <c r="M29" s="190"/>
      <c r="N29" s="191"/>
      <c r="O29" s="192"/>
      <c r="P29" s="129" t="s">
        <v>454</v>
      </c>
      <c r="Q29" s="116">
        <v>67381618</v>
      </c>
      <c r="R29" s="116">
        <v>88872935006</v>
      </c>
      <c r="S29" s="116">
        <v>547107.69999999995</v>
      </c>
      <c r="T29" s="130">
        <f t="shared" ref="T29" si="30">Q29/S29</f>
        <v>123.15969597942052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3788933</v>
      </c>
      <c r="G30" s="190">
        <f t="shared" ref="G30" si="31">F30/F29-1</f>
        <v>0.23708109829004109</v>
      </c>
      <c r="H30" s="190">
        <f t="shared" ref="H30" si="32">F30/F18-1</f>
        <v>0.16751525634939313</v>
      </c>
      <c r="I30" s="130">
        <f t="shared" si="0"/>
        <v>115.10122622842486</v>
      </c>
      <c r="J30" s="130">
        <f t="shared" si="5"/>
        <v>2.4979930921561033E-2</v>
      </c>
      <c r="K30" s="136"/>
      <c r="L30" s="190"/>
      <c r="M30" s="190"/>
      <c r="N30" s="191"/>
      <c r="O30" s="192"/>
      <c r="P30" s="129" t="s">
        <v>466</v>
      </c>
      <c r="Q30" s="116">
        <v>71989727</v>
      </c>
      <c r="R30" s="116">
        <v>95925071270</v>
      </c>
      <c r="S30" s="116">
        <v>625447.09</v>
      </c>
      <c r="T30" s="130">
        <f t="shared" ref="T30" si="33">Q30/S30</f>
        <v>115.10122622842486</v>
      </c>
      <c r="U30" s="85"/>
    </row>
    <row r="31" spans="1:21" s="79" customFormat="1" ht="13.2" hidden="1">
      <c r="A31" s="129" t="s">
        <v>505</v>
      </c>
      <c r="B31" s="188">
        <f>SUM(F29:F31)</f>
        <v>10991094.618181817</v>
      </c>
      <c r="C31" s="188">
        <f>AVERAGE(F29:F31)</f>
        <v>3663698.2060606056</v>
      </c>
      <c r="D31" s="190">
        <f>C31/C28-1</f>
        <v>-0.16168116567795021</v>
      </c>
      <c r="E31" s="287">
        <f>C31/C19-1</f>
        <v>9.0128395427317987E-2</v>
      </c>
      <c r="F31" s="136">
        <f>Q31/20</f>
        <v>4139360.8</v>
      </c>
      <c r="G31" s="190">
        <f t="shared" ref="G31" si="34">F31/F30-1</f>
        <v>9.2487198902698964E-2</v>
      </c>
      <c r="H31" s="190">
        <f t="shared" ref="H31" si="35">F31/F19-1</f>
        <v>8.3702872426250075E-2</v>
      </c>
      <c r="I31" s="130">
        <f t="shared" si="0"/>
        <v>143.64466123254351</v>
      </c>
      <c r="J31" s="130">
        <f t="shared" si="5"/>
        <v>0.34437758248782413</v>
      </c>
      <c r="K31" s="136">
        <f>R29+R30+R31</f>
        <v>294772255327</v>
      </c>
      <c r="L31" s="190">
        <f>U31/U28-1</f>
        <v>-0.15335974911725292</v>
      </c>
      <c r="M31" s="190">
        <f>U31/U19-1</f>
        <v>6.1501966493389348E-2</v>
      </c>
      <c r="N31" s="191">
        <f>AVERAGE(T29:T31)</f>
        <v>127.3018611467963</v>
      </c>
      <c r="O31" s="192">
        <f>N31/N28-1</f>
        <v>0.17447440127237468</v>
      </c>
      <c r="P31" s="129" t="s">
        <v>505</v>
      </c>
      <c r="Q31" s="116">
        <v>82787216</v>
      </c>
      <c r="R31" s="116">
        <v>109974249051</v>
      </c>
      <c r="S31" s="116">
        <v>576333.4</v>
      </c>
      <c r="T31" s="130">
        <f t="shared" ref="T31" si="36">Q31/S31</f>
        <v>143.64466123254351</v>
      </c>
      <c r="U31" s="85">
        <f>Q29+Q30+Q31</f>
        <v>222158561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3743689.5238095238</v>
      </c>
      <c r="G32" s="190">
        <f t="shared" ref="G32" si="37">F32/F31-1</f>
        <v>-9.558753037195411E-2</v>
      </c>
      <c r="H32" s="190">
        <f t="shared" ref="H32" si="38">F32/F20-1</f>
        <v>5.938734703982318E-3</v>
      </c>
      <c r="I32" s="130">
        <f t="shared" si="0"/>
        <v>142.92049486325968</v>
      </c>
      <c r="J32" s="130">
        <f t="shared" si="5"/>
        <v>0.1767483256150757</v>
      </c>
      <c r="K32" s="136"/>
      <c r="L32" s="190"/>
      <c r="M32" s="190"/>
      <c r="N32" s="191"/>
      <c r="O32" s="192"/>
      <c r="P32" s="129" t="s">
        <v>562</v>
      </c>
      <c r="Q32" s="116">
        <v>78617480</v>
      </c>
      <c r="R32" s="116">
        <v>107038907430</v>
      </c>
      <c r="S32" s="116">
        <v>550078.42000000004</v>
      </c>
      <c r="T32" s="130">
        <f t="shared" ref="T32" si="39">Q32/S32</f>
        <v>142.92049486325968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3664875.8095238097</v>
      </c>
      <c r="G33" s="190">
        <f t="shared" ref="G33" si="40">F33/F32-1</f>
        <v>-2.105241735044161E-2</v>
      </c>
      <c r="H33" s="190">
        <f t="shared" ref="H33" si="41">F33/F21-1</f>
        <v>3.4806467758914827E-2</v>
      </c>
      <c r="I33" s="130">
        <f t="shared" si="0"/>
        <v>132.46583301844416</v>
      </c>
      <c r="J33" s="130">
        <f t="shared" si="5"/>
        <v>6.3981838172869399E-2</v>
      </c>
      <c r="K33" s="136"/>
      <c r="L33" s="190"/>
      <c r="M33" s="190"/>
      <c r="N33" s="191"/>
      <c r="O33" s="192"/>
      <c r="P33" s="129" t="s">
        <v>634</v>
      </c>
      <c r="Q33" s="116">
        <v>76962392</v>
      </c>
      <c r="R33" s="116">
        <v>105206368676</v>
      </c>
      <c r="S33" s="116">
        <v>580998.06000000006</v>
      </c>
      <c r="T33" s="130">
        <f t="shared" ref="T33" si="42">Q33/S33</f>
        <v>132.46583301844416</v>
      </c>
      <c r="U33" s="85"/>
    </row>
    <row r="34" spans="1:21" s="79" customFormat="1" ht="13.2" hidden="1">
      <c r="A34" s="129" t="s">
        <v>652</v>
      </c>
      <c r="B34" s="188">
        <f>SUM(F32:F34)</f>
        <v>12275737.438596491</v>
      </c>
      <c r="C34" s="188">
        <f>AVERAGE(F32:F34)</f>
        <v>4091912.4795321636</v>
      </c>
      <c r="D34" s="190">
        <f>C34/C31-1</f>
        <v>0.11688033494767458</v>
      </c>
      <c r="E34" s="287">
        <f>C34/C22-1</f>
        <v>8.5410949058513985E-2</v>
      </c>
      <c r="F34" s="136">
        <f>Q34/19</f>
        <v>4867172.1052631577</v>
      </c>
      <c r="G34" s="190">
        <f t="shared" ref="G34" si="43">F34/F33-1</f>
        <v>0.32805921898225709</v>
      </c>
      <c r="H34" s="190">
        <f t="shared" ref="H34" si="44">F34/F22-1</f>
        <v>0.20279042654858381</v>
      </c>
      <c r="I34" s="130">
        <f t="shared" si="0"/>
        <v>111.56400831774113</v>
      </c>
      <c r="J34" s="130">
        <f t="shared" si="5"/>
        <v>-2.1915541948316353E-2</v>
      </c>
      <c r="K34" s="136">
        <f>R32+R33+R34</f>
        <v>339483903707</v>
      </c>
      <c r="L34" s="190">
        <f>U34/U31-1</f>
        <v>0.11657250966799348</v>
      </c>
      <c r="M34" s="190">
        <f>U34/U22-1</f>
        <v>6.1051253370994596E-2</v>
      </c>
      <c r="N34" s="191">
        <f>AVERAGE(T32:T34)</f>
        <v>128.983445399815</v>
      </c>
      <c r="O34" s="192">
        <f>N34/N31-1</f>
        <v>1.3209423946124454E-2</v>
      </c>
      <c r="P34" s="129" t="s">
        <v>652</v>
      </c>
      <c r="Q34" s="116">
        <v>92476270</v>
      </c>
      <c r="R34" s="116">
        <v>127238627601</v>
      </c>
      <c r="S34" s="116">
        <v>828907.74</v>
      </c>
      <c r="T34" s="130">
        <f t="shared" ref="T34:T39" si="45">Q34/S34</f>
        <v>111.56400831774113</v>
      </c>
      <c r="U34" s="85">
        <f>Q32+Q33+Q34</f>
        <v>248056142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3332730.8260869565</v>
      </c>
      <c r="G35" s="190">
        <f t="shared" ref="G35" si="46">F35/F34-1</f>
        <v>-0.31526341086581267</v>
      </c>
      <c r="H35" s="190">
        <f t="shared" ref="H35" si="47">F35/F23-1</f>
        <v>-4.8482279219895452E-2</v>
      </c>
      <c r="I35" s="130">
        <f t="shared" si="0"/>
        <v>118.56868540515352</v>
      </c>
      <c r="J35" s="130">
        <f t="shared" si="5"/>
        <v>0.2833113517814454</v>
      </c>
      <c r="K35" s="136"/>
      <c r="L35" s="190"/>
      <c r="M35" s="190"/>
      <c r="N35" s="191"/>
      <c r="O35" s="192"/>
      <c r="P35" s="129" t="s">
        <v>660</v>
      </c>
      <c r="Q35" s="116">
        <v>76652809</v>
      </c>
      <c r="R35" s="116">
        <v>106080454973</v>
      </c>
      <c r="S35" s="116">
        <v>646484.43000000005</v>
      </c>
      <c r="T35" s="130">
        <f t="shared" si="45"/>
        <v>118.56868540515352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4185178.5714285714</v>
      </c>
      <c r="G36" s="190">
        <f t="shared" ref="G36" si="48">F36/F35-1</f>
        <v>0.25578055649411535</v>
      </c>
      <c r="H36" s="190">
        <f t="shared" ref="H36" si="49">F36/F24-1</f>
        <v>0.16270621617857017</v>
      </c>
      <c r="I36" s="130">
        <f t="shared" si="0"/>
        <v>147.22895223391996</v>
      </c>
      <c r="J36" s="130">
        <f t="shared" si="5"/>
        <v>0.30902518100658916</v>
      </c>
      <c r="K36" s="136"/>
      <c r="L36" s="190"/>
      <c r="M36" s="190"/>
      <c r="N36" s="191"/>
      <c r="O36" s="192"/>
      <c r="P36" s="129" t="s">
        <v>664</v>
      </c>
      <c r="Q36" s="116">
        <v>87888750</v>
      </c>
      <c r="R36" s="116">
        <v>119853183681</v>
      </c>
      <c r="S36" s="116">
        <v>596952.9</v>
      </c>
      <c r="T36" s="130">
        <f t="shared" si="45"/>
        <v>147.22895223391996</v>
      </c>
      <c r="U36" s="85"/>
    </row>
    <row r="37" spans="1:21" s="79" customFormat="1" ht="13.2" hidden="1">
      <c r="A37" s="129" t="s">
        <v>702</v>
      </c>
      <c r="B37" s="188">
        <f>SUM(F35:F37)</f>
        <v>12107962.786404416</v>
      </c>
      <c r="C37" s="188">
        <f>AVERAGE(F35:F37)</f>
        <v>4035987.5954681388</v>
      </c>
      <c r="D37" s="190">
        <f>C37/C34-1</f>
        <v>-1.3667175029711043E-2</v>
      </c>
      <c r="E37" s="287">
        <f>C37/C25-1</f>
        <v>5.4947450246325857E-2</v>
      </c>
      <c r="F37" s="136">
        <f>Q37/18</f>
        <v>4590053.388888889</v>
      </c>
      <c r="G37" s="190">
        <f t="shared" ref="G37" si="50">F37/F36-1</f>
        <v>9.6740153508459992E-2</v>
      </c>
      <c r="H37" s="190">
        <f t="shared" ref="H37" si="51">F37/F25-1</f>
        <v>4.9093547151158656E-2</v>
      </c>
      <c r="I37" s="130">
        <f t="shared" si="0"/>
        <v>135.17319604616947</v>
      </c>
      <c r="J37" s="130">
        <f t="shared" si="5"/>
        <v>0.15312668908072502</v>
      </c>
      <c r="K37" s="136">
        <f>R35+R36+R37</f>
        <v>336181493431</v>
      </c>
      <c r="L37" s="190">
        <f>U37/U34-1</f>
        <v>-3.6024989858949308E-3</v>
      </c>
      <c r="M37" s="190">
        <f>U37/U25-1</f>
        <v>4.7864531643394992E-2</v>
      </c>
      <c r="N37" s="191">
        <f>AVERAGE(T35:T37)</f>
        <v>133.65694456174765</v>
      </c>
      <c r="O37" s="192">
        <f>N37/N34-1</f>
        <v>3.6233325505036884E-2</v>
      </c>
      <c r="P37" s="129" t="s">
        <v>702</v>
      </c>
      <c r="Q37" s="116">
        <v>82620961</v>
      </c>
      <c r="R37" s="116">
        <v>110247854777</v>
      </c>
      <c r="S37" s="116">
        <v>611222.96</v>
      </c>
      <c r="T37" s="130">
        <f t="shared" si="45"/>
        <v>135.17319604616947</v>
      </c>
      <c r="U37" s="85">
        <f>Q35+Q36+Q37</f>
        <v>247162520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4460616.3499999996</v>
      </c>
      <c r="G38" s="190">
        <f t="shared" ref="G38" si="52">F38/F37-1</f>
        <v>-2.8199462603684888E-2</v>
      </c>
      <c r="H38" s="190">
        <f t="shared" ref="H38" si="53">F38/F26-1</f>
        <v>0.17613340092182272</v>
      </c>
      <c r="I38" s="130">
        <f t="shared" si="0"/>
        <v>107.47449535077412</v>
      </c>
      <c r="J38" s="130">
        <f t="shared" si="5"/>
        <v>1.5044275837309273E-2</v>
      </c>
      <c r="K38" s="136"/>
      <c r="L38" s="190"/>
      <c r="M38" s="190"/>
      <c r="N38" s="191"/>
      <c r="O38" s="192"/>
      <c r="P38" s="129" t="s">
        <v>748</v>
      </c>
      <c r="Q38" s="116">
        <v>89212327</v>
      </c>
      <c r="R38" s="116">
        <v>120522374840</v>
      </c>
      <c r="S38" s="116">
        <v>830079.05</v>
      </c>
      <c r="T38" s="130">
        <f t="shared" si="45"/>
        <v>107.47449535077412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4560230.2857142854</v>
      </c>
      <c r="G39" s="190">
        <f t="shared" ref="G39" si="54">F39/F38-1</f>
        <v>2.2331877009392542E-2</v>
      </c>
      <c r="H39" s="190">
        <f t="shared" ref="H39" si="55">F39/F27-1</f>
        <v>2.9123507045788477E-2</v>
      </c>
      <c r="I39" s="130">
        <f t="shared" si="0"/>
        <v>113.25472461581376</v>
      </c>
      <c r="J39" s="130">
        <f t="shared" si="5"/>
        <v>-3.3916144573148954E-2</v>
      </c>
      <c r="K39" s="136"/>
      <c r="L39" s="190"/>
      <c r="M39" s="190"/>
      <c r="N39" s="191"/>
      <c r="O39" s="192"/>
      <c r="P39" s="129" t="s">
        <v>762</v>
      </c>
      <c r="Q39" s="116">
        <v>95764836</v>
      </c>
      <c r="R39" s="116">
        <v>133222925628</v>
      </c>
      <c r="S39" s="116">
        <v>845570.34</v>
      </c>
      <c r="T39" s="130">
        <f t="shared" si="45"/>
        <v>113.25472461581376</v>
      </c>
      <c r="U39" s="85"/>
    </row>
    <row r="40" spans="1:21" s="79" customFormat="1" ht="13.2" hidden="1">
      <c r="A40" s="129" t="s">
        <v>778</v>
      </c>
      <c r="B40" s="188">
        <f>SUM(F38:F40)</f>
        <v>14362834.635714285</v>
      </c>
      <c r="C40" s="188">
        <f>AVERAGE(F38:F40)</f>
        <v>4787611.5452380953</v>
      </c>
      <c r="D40" s="190">
        <f>C40/C37-1</f>
        <v>0.18623049055302521</v>
      </c>
      <c r="E40" s="287">
        <f>C40/C28-1</f>
        <v>9.5490049685712286E-2</v>
      </c>
      <c r="F40" s="136">
        <f>Q40/21</f>
        <v>5341988</v>
      </c>
      <c r="G40" s="190">
        <f t="shared" ref="G40" si="56">F40/F39-1</f>
        <v>0.17142943783666076</v>
      </c>
      <c r="H40" s="190">
        <f t="shared" ref="H40" si="57">F40/F28-1</f>
        <v>9.3082309601586033E-2</v>
      </c>
      <c r="I40" s="130">
        <f t="shared" si="0"/>
        <v>118.18130216783565</v>
      </c>
      <c r="J40" s="130">
        <f t="shared" si="5"/>
        <v>0.15796858852198148</v>
      </c>
      <c r="K40" s="136">
        <f>R38+R39+R40</f>
        <v>413406769380</v>
      </c>
      <c r="L40" s="190">
        <f>U40/U37-1</f>
        <v>0.20228144218629907</v>
      </c>
      <c r="M40" s="190">
        <f>U40/U28-1</f>
        <v>0.13246455067326401</v>
      </c>
      <c r="N40" s="191">
        <f>AVERAGE(T38:T40)</f>
        <v>112.97017404480785</v>
      </c>
      <c r="O40" s="192">
        <f>N40/N37-1</f>
        <v>-0.15477512661067006</v>
      </c>
      <c r="P40" s="129" t="s">
        <v>778</v>
      </c>
      <c r="Q40" s="116">
        <v>112181748</v>
      </c>
      <c r="R40" s="116">
        <v>159661468912</v>
      </c>
      <c r="S40" s="116">
        <v>949234.32</v>
      </c>
      <c r="T40" s="130">
        <f t="shared" ref="T40" si="58">Q40/S40</f>
        <v>118.18130216783565</v>
      </c>
      <c r="U40" s="85">
        <f>Q38+Q39+Q40</f>
        <v>297158911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3476392.611111111</v>
      </c>
      <c r="G41" s="190">
        <f t="shared" ref="G41" si="59">F41/F40-1</f>
        <v>-0.34923241850953035</v>
      </c>
      <c r="H41" s="190">
        <f t="shared" ref="H41" si="60">F41/F29-1</f>
        <v>0.13503711716219757</v>
      </c>
      <c r="I41" s="130">
        <f t="shared" si="0"/>
        <v>103.61467370975238</v>
      </c>
      <c r="J41" s="130">
        <f t="shared" si="5"/>
        <v>-0.15869657775814927</v>
      </c>
      <c r="K41" s="193"/>
      <c r="L41" s="190"/>
      <c r="M41" s="190"/>
      <c r="N41" s="193"/>
      <c r="O41" s="193"/>
      <c r="P41" s="129" t="s">
        <v>792</v>
      </c>
      <c r="Q41" s="116">
        <v>62575067</v>
      </c>
      <c r="R41" s="116">
        <v>91512005647</v>
      </c>
      <c r="S41" s="116">
        <v>603920.9</v>
      </c>
      <c r="T41" s="130">
        <f t="shared" ref="T41" si="61">Q41/S41</f>
        <v>103.61467370975238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4180267.9</v>
      </c>
      <c r="G42" s="190">
        <f t="shared" ref="G42" si="62">F42/F41-1</f>
        <v>0.20247289867064788</v>
      </c>
      <c r="H42" s="190">
        <f t="shared" ref="H42" si="63">F42/F30-1</f>
        <v>0.10328366851564796</v>
      </c>
      <c r="I42" s="130">
        <f t="shared" si="0"/>
        <v>124.09803027040876</v>
      </c>
      <c r="J42" s="130">
        <f t="shared" si="5"/>
        <v>7.8164276235678232E-2</v>
      </c>
      <c r="K42" s="193"/>
      <c r="L42" s="190"/>
      <c r="M42" s="190"/>
      <c r="N42" s="193"/>
      <c r="O42" s="193"/>
      <c r="P42" s="129" t="s">
        <v>826</v>
      </c>
      <c r="Q42" s="116">
        <v>83605358</v>
      </c>
      <c r="R42" s="116">
        <v>120903305730</v>
      </c>
      <c r="S42" s="116">
        <v>673704.15</v>
      </c>
      <c r="T42" s="130">
        <f t="shared" ref="T42" si="64">Q42/S42</f>
        <v>124.09803027040876</v>
      </c>
      <c r="U42" s="78"/>
    </row>
    <row r="43" spans="1:21" s="79" customFormat="1" ht="13.2">
      <c r="A43" s="129" t="s">
        <v>835</v>
      </c>
      <c r="B43" s="188">
        <f>SUM(F41:F43)</f>
        <v>12801616.61111111</v>
      </c>
      <c r="C43" s="188">
        <f>AVERAGE(F41:F43)</f>
        <v>4267205.5370370364</v>
      </c>
      <c r="D43" s="190">
        <f>C43/C40-1</f>
        <v>-0.10869846128570537</v>
      </c>
      <c r="E43" s="287">
        <f>C43/C31-1</f>
        <v>0.16472626756704201</v>
      </c>
      <c r="F43" s="136">
        <f>Q43/20</f>
        <v>5144956.0999999996</v>
      </c>
      <c r="G43" s="190">
        <f t="shared" ref="G43" si="65">F43/F42-1</f>
        <v>0.23077186033938157</v>
      </c>
      <c r="H43" s="190">
        <f t="shared" ref="H43" si="66">F43/F31-1</f>
        <v>0.24293492367227332</v>
      </c>
      <c r="I43" s="130">
        <f t="shared" si="0"/>
        <v>185.56919399578084</v>
      </c>
      <c r="J43" s="130">
        <f t="shared" si="5"/>
        <v>0.29186279812631888</v>
      </c>
      <c r="K43" s="136">
        <f>R41+R42+R43</f>
        <v>361649432509</v>
      </c>
      <c r="L43" s="190">
        <f>U43/U40-1</f>
        <v>-0.16179681046145711</v>
      </c>
      <c r="M43" s="190">
        <f>K43/K31-1</f>
        <v>0.22687744851635072</v>
      </c>
      <c r="N43" s="191">
        <f>AVERAGE(T41:T43)</f>
        <v>137.76063265864732</v>
      </c>
      <c r="O43" s="192">
        <f>N43/N40-1</f>
        <v>0.21944251058696906</v>
      </c>
      <c r="P43" s="129" t="s">
        <v>835</v>
      </c>
      <c r="Q43" s="116">
        <v>102899122</v>
      </c>
      <c r="R43" s="116">
        <v>149234121132</v>
      </c>
      <c r="S43" s="116">
        <v>554505.41</v>
      </c>
      <c r="T43" s="130">
        <f t="shared" ref="T43" si="67">Q43/S43</f>
        <v>185.56919399578084</v>
      </c>
      <c r="U43" s="85">
        <f>Q41+Q42+Q43</f>
        <v>249079547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4084737.0909090908</v>
      </c>
      <c r="G44" s="190">
        <f t="shared" ref="G44" si="68">F44/F43-1</f>
        <v>-0.20606959291468174</v>
      </c>
      <c r="H44" s="190">
        <f t="shared" ref="H44" si="69">F44/F32-1</f>
        <v>9.1099319249242194E-2</v>
      </c>
      <c r="I44" s="130">
        <f t="shared" si="0"/>
        <v>162.38049845691555</v>
      </c>
      <c r="J44" s="130">
        <f t="shared" si="5"/>
        <v>0.13615964324972696</v>
      </c>
      <c r="K44" s="136"/>
      <c r="L44" s="190"/>
      <c r="M44" s="190"/>
      <c r="N44" s="191"/>
      <c r="O44" s="192"/>
      <c r="P44" s="129" t="s">
        <v>843</v>
      </c>
      <c r="Q44" s="116">
        <v>89864216</v>
      </c>
      <c r="R44" s="116">
        <v>130121771400</v>
      </c>
      <c r="S44" s="116">
        <v>553417.54</v>
      </c>
      <c r="T44" s="130">
        <f t="shared" ref="T44" si="70">Q44/S44</f>
        <v>162.38049845691555</v>
      </c>
      <c r="U44" s="85"/>
    </row>
    <row r="45" spans="1:21" s="79" customFormat="1" ht="13.2">
      <c r="A45" s="129" t="s">
        <v>867</v>
      </c>
      <c r="B45" s="188"/>
      <c r="C45" s="188"/>
      <c r="D45" s="190"/>
      <c r="E45" s="287"/>
      <c r="F45" s="136">
        <f>Q45/20</f>
        <v>4185425.95</v>
      </c>
      <c r="G45" s="190">
        <f t="shared" ref="G45" si="71">F45/F44-1</f>
        <v>2.4650021984279125E-2</v>
      </c>
      <c r="H45" s="190">
        <f t="shared" ref="H45" si="72">F45/F33-1</f>
        <v>0.14203759350411049</v>
      </c>
      <c r="I45" s="130">
        <f t="shared" si="0"/>
        <v>148.99162513777208</v>
      </c>
      <c r="J45" s="130">
        <f t="shared" si="5"/>
        <v>0.12475512924926768</v>
      </c>
      <c r="K45" s="136"/>
      <c r="L45" s="190"/>
      <c r="M45" s="190"/>
      <c r="N45" s="191"/>
      <c r="O45" s="192"/>
      <c r="P45" s="129" t="s">
        <v>867</v>
      </c>
      <c r="Q45" s="116">
        <v>83708519</v>
      </c>
      <c r="R45" s="116">
        <v>117457072911</v>
      </c>
      <c r="S45" s="116">
        <v>561833.72</v>
      </c>
      <c r="T45" s="130">
        <f t="shared" ref="T45" si="73">Q45/S45</f>
        <v>148.99162513777208</v>
      </c>
      <c r="U45" s="85"/>
    </row>
    <row r="46" spans="1:21" s="79" customFormat="1" ht="13.2">
      <c r="A46" s="129" t="s">
        <v>888</v>
      </c>
      <c r="B46" s="188">
        <f>SUM(F44:F46)</f>
        <v>14419294.883014355</v>
      </c>
      <c r="C46" s="188">
        <f>AVERAGE(F44:F46)</f>
        <v>4806431.6276714513</v>
      </c>
      <c r="D46" s="190">
        <f>C46/C43-1</f>
        <v>0.12636515535851833</v>
      </c>
      <c r="E46" s="287">
        <f>C46/C34-1</f>
        <v>0.1746174073158524</v>
      </c>
      <c r="F46" s="136">
        <f>Q46/19</f>
        <v>6149131.8421052629</v>
      </c>
      <c r="G46" s="190">
        <f t="shared" ref="G46" si="74">F46/F45-1</f>
        <v>0.46917707195494951</v>
      </c>
      <c r="H46" s="190">
        <f t="shared" ref="H46" si="75">F46/F34-1</f>
        <v>0.26338902942344022</v>
      </c>
      <c r="I46" s="130">
        <f t="shared" si="0"/>
        <v>145.34473341934495</v>
      </c>
      <c r="J46" s="130">
        <f t="shared" si="5"/>
        <v>0.30279232174407222</v>
      </c>
      <c r="K46" s="136">
        <f>R44+R45+R46</f>
        <v>407550062303</v>
      </c>
      <c r="L46" s="190">
        <f>U46/U43-1</f>
        <v>0.16591764959328437</v>
      </c>
      <c r="M46" s="190">
        <f>K46/K34-1</f>
        <v>0.20049892749774134</v>
      </c>
      <c r="N46" s="191">
        <f>AVERAGE(T44:T46)</f>
        <v>152.23895233801088</v>
      </c>
      <c r="O46" s="192">
        <f>N46/N43-1</f>
        <v>0.10509765671038207</v>
      </c>
      <c r="P46" s="129" t="s">
        <v>888</v>
      </c>
      <c r="Q46" s="116">
        <v>116833505</v>
      </c>
      <c r="R46" s="116">
        <v>159971217992</v>
      </c>
      <c r="S46" s="116">
        <v>803837.21</v>
      </c>
      <c r="T46" s="130">
        <f t="shared" ref="T46" si="76">Q46/S46</f>
        <v>145.34473341934495</v>
      </c>
      <c r="U46" s="85">
        <f t="shared" ref="U46:U51" si="77">Q44+Q45+Q46</f>
        <v>290406240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3729895.5217391304</v>
      </c>
      <c r="G47" s="190">
        <f t="shared" ref="G47" si="78">F47/F46-1</f>
        <v>-0.39342729713498303</v>
      </c>
      <c r="H47" s="190">
        <f t="shared" ref="H47" si="79">F47/F35-1</f>
        <v>0.11917094910377002</v>
      </c>
      <c r="I47" s="130">
        <f t="shared" si="0"/>
        <v>109.78803277434145</v>
      </c>
      <c r="J47" s="130">
        <f t="shared" si="5"/>
        <v>-7.4055410168445968E-2</v>
      </c>
      <c r="K47" s="136"/>
      <c r="L47" s="190"/>
      <c r="M47" s="190"/>
      <c r="N47" s="191"/>
      <c r="O47" s="192"/>
      <c r="P47" s="129" t="s">
        <v>991</v>
      </c>
      <c r="Q47" s="116">
        <v>85787597</v>
      </c>
      <c r="R47" s="116">
        <v>117756437361</v>
      </c>
      <c r="S47" s="116">
        <v>781392.97</v>
      </c>
      <c r="T47" s="130">
        <f t="shared" ref="T47" si="80">Q47/S47</f>
        <v>109.78803277434145</v>
      </c>
      <c r="U47" s="85">
        <f t="shared" si="77"/>
        <v>286329621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3745789.8</v>
      </c>
      <c r="G48" s="190">
        <f t="shared" ref="G48" si="81">F48/F47-1</f>
        <v>4.2613199668011248E-3</v>
      </c>
      <c r="H48" s="190">
        <f t="shared" ref="H48" si="82">F48/F36-1</f>
        <v>-0.1049868635064215</v>
      </c>
      <c r="I48" s="130">
        <f t="shared" si="0"/>
        <v>119.11391635638256</v>
      </c>
      <c r="J48" s="130">
        <f t="shared" si="5"/>
        <v>-0.19096132554735379</v>
      </c>
      <c r="K48" s="136"/>
      <c r="L48" s="190"/>
      <c r="M48" s="190"/>
      <c r="N48" s="191"/>
      <c r="O48" s="192"/>
      <c r="P48" s="129" t="s">
        <v>1070</v>
      </c>
      <c r="Q48" s="116">
        <v>74915796</v>
      </c>
      <c r="R48" s="116">
        <v>103987281534</v>
      </c>
      <c r="S48" s="116">
        <v>628942.43000000005</v>
      </c>
      <c r="T48" s="130">
        <f t="shared" ref="T48" si="83">Q48/S48</f>
        <v>119.11391635638256</v>
      </c>
      <c r="U48" s="85">
        <f t="shared" si="77"/>
        <v>277536898</v>
      </c>
    </row>
    <row r="49" spans="1:26" ht="13.2">
      <c r="A49" s="129" t="s">
        <v>1158</v>
      </c>
      <c r="B49" s="188">
        <f>SUM(F47:F49)</f>
        <v>13438561.003557311</v>
      </c>
      <c r="C49" s="188">
        <f>AVERAGE(F47:F49)</f>
        <v>4479520.3345191041</v>
      </c>
      <c r="D49" s="190">
        <f>C49/C46-1</f>
        <v>-6.8015384067935725E-2</v>
      </c>
      <c r="E49" s="287">
        <f>C49/C37-1</f>
        <v>0.10989447528257812</v>
      </c>
      <c r="F49" s="136">
        <f>Q49/22</f>
        <v>5962875.6818181816</v>
      </c>
      <c r="G49" s="190">
        <f t="shared" ref="G49" si="84">F49/F48-1</f>
        <v>0.59188742566872854</v>
      </c>
      <c r="H49" s="190">
        <f t="shared" ref="H49" si="85">F49/F37-1</f>
        <v>0.2990863453249748</v>
      </c>
      <c r="I49" s="130">
        <f t="shared" si="0"/>
        <v>142.14933570082624</v>
      </c>
      <c r="J49" s="130">
        <f t="shared" si="5"/>
        <v>5.1608897760130112E-2</v>
      </c>
      <c r="K49" s="136">
        <f>R47+R48+R49</f>
        <v>404122020711</v>
      </c>
      <c r="L49" s="190">
        <f>U49/U46-1</f>
        <v>5.0977485883223483E-3</v>
      </c>
      <c r="M49" s="190">
        <f>K49/K37-1</f>
        <v>0.20209478691587934</v>
      </c>
      <c r="N49" s="191">
        <f>AVERAGE(T47:T49)</f>
        <v>123.68376161051674</v>
      </c>
      <c r="O49" s="192">
        <f>N49/N46-1</f>
        <v>-0.18756822934575923</v>
      </c>
      <c r="P49" s="129" t="s">
        <v>1158</v>
      </c>
      <c r="Q49" s="116">
        <v>131183265</v>
      </c>
      <c r="R49" s="116">
        <v>182378301816</v>
      </c>
      <c r="S49" s="116">
        <v>922855.28</v>
      </c>
      <c r="T49" s="130">
        <f t="shared" ref="T49" si="86">Q49/S49</f>
        <v>142.14933570082624</v>
      </c>
      <c r="U49" s="85">
        <f t="shared" si="77"/>
        <v>291886658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5056754</v>
      </c>
      <c r="G50" s="190">
        <f t="shared" ref="G50" si="87">F50/F49-1</f>
        <v>-0.15196051874452121</v>
      </c>
      <c r="H50" s="190">
        <f t="shared" ref="H50" si="88">F50/F38-1</f>
        <v>0.13364468118850903</v>
      </c>
      <c r="I50" s="130">
        <f t="shared" ref="I50" si="89">T50</f>
        <v>141.12509425813585</v>
      </c>
      <c r="J50" s="130">
        <f t="shared" ref="J50" si="90">I50/I38-1</f>
        <v>0.31310311155714898</v>
      </c>
      <c r="K50" s="136"/>
      <c r="L50" s="190"/>
      <c r="M50" s="190"/>
      <c r="N50" s="191"/>
      <c r="O50" s="192"/>
      <c r="P50" s="129" t="s">
        <v>1293</v>
      </c>
      <c r="Q50" s="116">
        <v>91021572</v>
      </c>
      <c r="R50" s="116">
        <v>128712057382</v>
      </c>
      <c r="S50" s="116">
        <v>644970.85</v>
      </c>
      <c r="T50" s="130">
        <f t="shared" ref="T50" si="91">Q50/S50</f>
        <v>141.12509425813585</v>
      </c>
      <c r="U50" s="85">
        <f t="shared" si="77"/>
        <v>297120633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5542673.8499999996</v>
      </c>
      <c r="G51" s="190">
        <f t="shared" ref="G51:G52" si="92">F51/F50-1</f>
        <v>9.6093234909192748E-2</v>
      </c>
      <c r="H51" s="190">
        <f t="shared" ref="H51:H52" si="93">F51/F39-1</f>
        <v>0.21543727021053938</v>
      </c>
      <c r="I51" s="130">
        <f t="shared" ref="I51:I52" si="94">T51</f>
        <v>116.25257072934303</v>
      </c>
      <c r="J51" s="130">
        <f t="shared" ref="J51:J52" si="95">I51/I39-1</f>
        <v>2.6469943074769464E-2</v>
      </c>
      <c r="K51" s="136"/>
      <c r="L51" s="190"/>
      <c r="M51" s="190"/>
      <c r="N51" s="191"/>
      <c r="O51" s="192"/>
      <c r="P51" s="129" t="s">
        <v>1402</v>
      </c>
      <c r="Q51" s="116">
        <v>110853477</v>
      </c>
      <c r="R51" s="116">
        <v>160847227762</v>
      </c>
      <c r="S51" s="116">
        <v>953557.21</v>
      </c>
      <c r="T51" s="130">
        <f t="shared" ref="T51:T52" si="96">Q51/S51</f>
        <v>116.25257072934303</v>
      </c>
      <c r="U51" s="85">
        <f t="shared" si="77"/>
        <v>333058314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17636234.850000001</v>
      </c>
      <c r="C52" s="188">
        <f>AVERAGE(F50:F52)</f>
        <v>5878744.9500000002</v>
      </c>
      <c r="D52" s="190">
        <f>C52/C49-1</f>
        <v>0.31236036695681357</v>
      </c>
      <c r="E52" s="287">
        <f>C52/C40-1</f>
        <v>0.22790767263630229</v>
      </c>
      <c r="F52" s="136">
        <f>Q52/22</f>
        <v>7036807</v>
      </c>
      <c r="G52" s="190">
        <f t="shared" si="92"/>
        <v>0.26956901857034232</v>
      </c>
      <c r="H52" s="190">
        <f t="shared" si="93"/>
        <v>0.31726372279383641</v>
      </c>
      <c r="I52" s="130">
        <f t="shared" si="94"/>
        <v>138.94339879769836</v>
      </c>
      <c r="J52" s="130">
        <f t="shared" si="95"/>
        <v>0.17568004624265643</v>
      </c>
      <c r="K52" s="136">
        <f>R50+R51+R52</f>
        <v>517371555868</v>
      </c>
      <c r="L52" s="190">
        <f>U52/U49-1</f>
        <v>0.2219976255303866</v>
      </c>
      <c r="M52" s="190">
        <f>K52/K40-1</f>
        <v>0.25148302879490703</v>
      </c>
      <c r="N52" s="191">
        <f>AVERAGE(T50:T52)</f>
        <v>132.10702126172575</v>
      </c>
      <c r="O52" s="192">
        <f>N52/N49-1</f>
        <v>6.8103197554211459E-2</v>
      </c>
      <c r="P52" s="129" t="s">
        <v>1403</v>
      </c>
      <c r="Q52" s="116">
        <v>154809754</v>
      </c>
      <c r="R52" s="116">
        <v>227812270724</v>
      </c>
      <c r="S52" s="116">
        <v>1114192.94</v>
      </c>
      <c r="T52" s="130">
        <f t="shared" si="96"/>
        <v>138.94339879769836</v>
      </c>
      <c r="U52" s="85">
        <f t="shared" ref="U52" si="97">Q50+Q51+Q52</f>
        <v>356684803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4128070.7142857141</v>
      </c>
      <c r="G53" s="190">
        <f t="shared" ref="G53" si="98">F53/F52-1</f>
        <v>-0.41336024786729064</v>
      </c>
      <c r="H53" s="190">
        <f t="shared" ref="H53" si="99">F53/F41-1</f>
        <v>0.18745814298757124</v>
      </c>
      <c r="I53" s="130">
        <f t="shared" ref="I53" si="100">T53</f>
        <v>128.84119858607053</v>
      </c>
      <c r="J53" s="130">
        <f t="shared" ref="J53" si="101">I53/I41-1</f>
        <v>0.24346479097143359</v>
      </c>
      <c r="K53" s="136"/>
      <c r="L53" s="190"/>
      <c r="M53" s="190"/>
      <c r="N53" s="191"/>
      <c r="O53" s="192"/>
      <c r="P53" s="129" t="s">
        <v>1414</v>
      </c>
      <c r="Q53" s="116">
        <v>86689485</v>
      </c>
      <c r="R53" s="116">
        <v>126569010069</v>
      </c>
      <c r="S53" s="116">
        <v>672839.79</v>
      </c>
      <c r="T53" s="130">
        <f t="shared" ref="T53" si="102">Q53/S53</f>
        <v>128.84119858607053</v>
      </c>
      <c r="U53" s="85">
        <f t="shared" ref="U53" si="103">Q51+Q52+Q53</f>
        <v>352352716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4988719.2941176472</v>
      </c>
      <c r="G54" s="190">
        <f t="shared" ref="G54" si="104">F54/F53-1</f>
        <v>0.2084868790773251</v>
      </c>
      <c r="H54" s="190">
        <f t="shared" ref="H54" si="105">F54/F42-1</f>
        <v>0.19339702943862691</v>
      </c>
      <c r="I54" s="130">
        <f t="shared" ref="I54" si="106">T54</f>
        <v>144.14534260508151</v>
      </c>
      <c r="J54" s="130">
        <f t="shared" ref="J54" si="107">I54/I42-1</f>
        <v>0.16154416223198553</v>
      </c>
      <c r="K54" s="136"/>
      <c r="L54" s="190"/>
      <c r="M54" s="190"/>
      <c r="N54" s="191"/>
      <c r="O54" s="192"/>
      <c r="P54" s="129" t="s">
        <v>1417</v>
      </c>
      <c r="Q54" s="116">
        <v>84808228</v>
      </c>
      <c r="R54" s="116">
        <v>122875628781</v>
      </c>
      <c r="S54" s="116">
        <v>588352.18999999994</v>
      </c>
      <c r="T54" s="130">
        <f t="shared" ref="T54" si="108">Q54/S54</f>
        <v>144.14534260508151</v>
      </c>
      <c r="U54" s="85">
        <f t="shared" ref="U54" si="109">Q52+Q53+Q54</f>
        <v>326307467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15362129.532212885</v>
      </c>
      <c r="C55" s="188">
        <f>AVERAGE(F53:F55)</f>
        <v>5120709.8440709617</v>
      </c>
      <c r="D55" s="190">
        <f>C55/C52-1</f>
        <v>-0.12894505755502095</v>
      </c>
      <c r="E55" s="287">
        <f>C55/C43-1</f>
        <v>0.20001481054192705</v>
      </c>
      <c r="F55" s="136">
        <f>Q55/21</f>
        <v>6245339.5238095243</v>
      </c>
      <c r="G55" s="190">
        <f t="shared" ref="G55" si="110">F55/F54-1</f>
        <v>0.25189235064269844</v>
      </c>
      <c r="H55" s="190">
        <f t="shared" ref="H55" si="111">F55/F43-1</f>
        <v>0.21387615412491567</v>
      </c>
      <c r="I55" s="130">
        <f>T55</f>
        <v>176.59016830311413</v>
      </c>
      <c r="J55" s="130">
        <f t="shared" ref="J55" si="112">I55/I43-1</f>
        <v>-4.8386402394305028E-2</v>
      </c>
      <c r="K55" s="136">
        <f>R53+R54+R55</f>
        <v>443117451395</v>
      </c>
      <c r="L55" s="190">
        <f>U55/U52-1</f>
        <v>-0.15149218454367397</v>
      </c>
      <c r="M55" s="190">
        <f>K55/K43-1</f>
        <v>0.22526792955488073</v>
      </c>
      <c r="N55" s="191">
        <f>AVERAGE(T53:T55)</f>
        <v>149.85890316475539</v>
      </c>
      <c r="O55" s="192">
        <f>N55/N52-1</f>
        <v>0.13437500697150861</v>
      </c>
      <c r="P55" s="129" t="s">
        <v>1418</v>
      </c>
      <c r="Q55" s="116">
        <v>131152130</v>
      </c>
      <c r="R55" s="116">
        <v>193672812545</v>
      </c>
      <c r="S55" s="116">
        <v>742692.14</v>
      </c>
      <c r="T55" s="130">
        <f t="shared" ref="T55" si="113">Q55/S55</f>
        <v>176.59016830311413</v>
      </c>
      <c r="U55" s="85">
        <f t="shared" ref="U55" si="114">Q53+Q54+Q55</f>
        <v>302649843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4016651.4545454546</v>
      </c>
      <c r="G56" s="190">
        <f t="shared" ref="G56" si="115">F56/F55-1</f>
        <v>-0.3568561902467422</v>
      </c>
      <c r="H56" s="190">
        <f t="shared" ref="H56" si="116">F56/F44-1</f>
        <v>-1.6668303209811497E-2</v>
      </c>
      <c r="I56" s="291">
        <f>T56</f>
        <v>173.46403947284372</v>
      </c>
      <c r="J56" s="130">
        <f t="shared" ref="J56" si="117">I56/I44-1</f>
        <v>6.8256601754852708E-2</v>
      </c>
      <c r="K56" s="136"/>
      <c r="L56" s="190"/>
      <c r="M56" s="190"/>
      <c r="N56" s="191"/>
      <c r="O56" s="192"/>
      <c r="P56" s="129" t="s">
        <v>1420</v>
      </c>
      <c r="Q56" s="116">
        <v>88366332</v>
      </c>
      <c r="R56" s="116">
        <v>131752944703</v>
      </c>
      <c r="S56" s="116">
        <v>509421.62</v>
      </c>
      <c r="T56" s="130">
        <f t="shared" ref="T56" si="118">Q56/S56</f>
        <v>173.46403947284372</v>
      </c>
      <c r="U56" s="85">
        <f t="shared" ref="U56" si="119">Q54+Q55+Q56</f>
        <v>304326690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4641947.666666667</v>
      </c>
      <c r="G57" s="254">
        <f t="shared" ref="G57" si="120">F57/F56-1</f>
        <v>0.15567599509128294</v>
      </c>
      <c r="H57" s="254">
        <f t="shared" ref="H57" si="121">F57/F45-1</f>
        <v>0.10907413537364508</v>
      </c>
      <c r="I57" s="282">
        <f>T57</f>
        <v>175.725455345076</v>
      </c>
      <c r="J57" s="277">
        <f t="shared" ref="J57" si="122">I57/I45-1</f>
        <v>0.1794317645879977</v>
      </c>
      <c r="K57" s="204"/>
      <c r="L57" s="254"/>
      <c r="M57" s="254"/>
      <c r="N57" s="257"/>
      <c r="O57" s="258"/>
      <c r="P57" s="129" t="s">
        <v>1436</v>
      </c>
      <c r="Q57" s="116">
        <v>55703372</v>
      </c>
      <c r="R57" s="116">
        <v>82085136033</v>
      </c>
      <c r="S57" s="116">
        <v>316990.90999999997</v>
      </c>
      <c r="T57" s="130">
        <f t="shared" ref="T57" si="123">Q57/S57</f>
        <v>175.725455345076</v>
      </c>
      <c r="U57" s="85">
        <f t="shared" ref="U57" si="124">Q55+Q56+Q57</f>
        <v>275221834</v>
      </c>
      <c r="V57" s="79"/>
      <c r="W57" s="79"/>
      <c r="X57" s="79"/>
      <c r="Y57" s="79"/>
      <c r="Z57" s="79"/>
    </row>
    <row r="58" spans="1:26">
      <c r="B58" s="196">
        <f>SUM(F56:F58)</f>
        <v>8658599.1212121211</v>
      </c>
      <c r="C58" s="196">
        <f>AVERAGE(F56:F58)</f>
        <v>4329299.5606060605</v>
      </c>
      <c r="D58" s="197">
        <f>C58/C55-1</f>
        <v>-0.15455089383383813</v>
      </c>
      <c r="E58" s="233">
        <f>C58/C46-1</f>
        <v>-9.9269500541411926E-2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446719547</v>
      </c>
      <c r="R65" s="212">
        <v>656955532131</v>
      </c>
      <c r="S65" s="213">
        <v>2830296.67</v>
      </c>
      <c r="T65" s="214">
        <v>735</v>
      </c>
      <c r="U65" s="214">
        <v>4384</v>
      </c>
    </row>
    <row r="66" spans="16:21" ht="18" thickBot="1">
      <c r="P66" s="180" t="s">
        <v>976</v>
      </c>
      <c r="Q66" s="181">
        <v>86689485</v>
      </c>
      <c r="R66" s="181">
        <v>126569010069</v>
      </c>
      <c r="S66" s="182">
        <v>672839.79</v>
      </c>
      <c r="T66" s="210">
        <v>372</v>
      </c>
      <c r="U66" s="210">
        <v>1614</v>
      </c>
    </row>
    <row r="67" spans="16:21" ht="18" thickBot="1">
      <c r="P67" s="180" t="s">
        <v>977</v>
      </c>
      <c r="Q67" s="181">
        <v>84808228</v>
      </c>
      <c r="R67" s="181">
        <v>122875628781</v>
      </c>
      <c r="S67" s="182">
        <v>588352.18999999994</v>
      </c>
      <c r="T67" s="210">
        <v>375</v>
      </c>
      <c r="U67" s="210">
        <v>1568</v>
      </c>
    </row>
    <row r="68" spans="16:21" ht="18" thickBot="1">
      <c r="P68" s="180" t="s">
        <v>978</v>
      </c>
      <c r="Q68" s="181">
        <v>131152130</v>
      </c>
      <c r="R68" s="181">
        <v>193672812545</v>
      </c>
      <c r="S68" s="182">
        <v>742692.14</v>
      </c>
      <c r="T68" s="210">
        <v>412</v>
      </c>
      <c r="U68" s="210">
        <v>1783</v>
      </c>
    </row>
    <row r="69" spans="16:21" ht="18" thickBot="1">
      <c r="P69" s="180" t="s">
        <v>979</v>
      </c>
      <c r="Q69" s="181">
        <v>88366332</v>
      </c>
      <c r="R69" s="181">
        <v>131752944703</v>
      </c>
      <c r="S69" s="182">
        <v>509421.62</v>
      </c>
      <c r="T69" s="210">
        <v>458</v>
      </c>
      <c r="U69" s="210">
        <v>1941</v>
      </c>
    </row>
    <row r="70" spans="16:21" ht="18" thickBot="1">
      <c r="P70" s="180" t="s">
        <v>980</v>
      </c>
      <c r="Q70" s="181">
        <v>55703372</v>
      </c>
      <c r="R70" s="181">
        <v>82085136033</v>
      </c>
      <c r="S70" s="182">
        <v>316990.90999999997</v>
      </c>
      <c r="T70" s="210">
        <v>319</v>
      </c>
      <c r="U70" s="210">
        <v>1194</v>
      </c>
    </row>
    <row r="71" spans="16:21" ht="18" thickBot="1">
      <c r="P71" s="215" t="s">
        <v>975</v>
      </c>
      <c r="Q71" s="217" t="s">
        <v>1503</v>
      </c>
      <c r="R71"/>
      <c r="S71"/>
      <c r="T71"/>
      <c r="U71"/>
    </row>
  </sheetData>
  <phoneticPr fontId="1" type="noConversion"/>
  <conditionalFormatting sqref="C29:C30">
    <cfRule type="cellIs" dxfId="1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"/>
  <dimension ref="A1:Z75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552217.75</v>
      </c>
      <c r="G5" s="90"/>
      <c r="H5" s="90"/>
      <c r="I5" s="130">
        <f t="shared" ref="I5:I49" si="0">T5</f>
        <v>253.9968607880227</v>
      </c>
      <c r="J5" s="130"/>
      <c r="L5" s="80"/>
      <c r="M5" s="80"/>
      <c r="P5" s="129" t="s">
        <v>0</v>
      </c>
      <c r="Q5" s="116">
        <v>11044355</v>
      </c>
      <c r="R5" s="116">
        <v>13037848079</v>
      </c>
      <c r="S5" s="116">
        <v>43482.25</v>
      </c>
      <c r="T5" s="130">
        <f t="shared" ref="T5:T17" si="1">Q5/S5</f>
        <v>253.9968607880227</v>
      </c>
      <c r="U5" s="85"/>
    </row>
    <row r="6" spans="1:21" ht="15" hidden="1" customHeight="1">
      <c r="A6" s="129" t="s">
        <v>1</v>
      </c>
      <c r="C6" s="79"/>
      <c r="F6" s="78">
        <f>Q6/18</f>
        <v>791205.83333333337</v>
      </c>
      <c r="G6" s="90">
        <f t="shared" ref="G6:G16" si="2">F6/F5-1</f>
        <v>0.43277870610521552</v>
      </c>
      <c r="H6" s="90"/>
      <c r="I6" s="130">
        <f t="shared" si="0"/>
        <v>267.64397014322878</v>
      </c>
      <c r="J6" s="130"/>
      <c r="P6" s="129" t="s">
        <v>1</v>
      </c>
      <c r="Q6" s="116">
        <v>14241705</v>
      </c>
      <c r="R6" s="116">
        <v>16914012744</v>
      </c>
      <c r="S6" s="116">
        <v>53211.38</v>
      </c>
      <c r="T6" s="130">
        <f t="shared" si="1"/>
        <v>267.64397014322878</v>
      </c>
      <c r="U6" s="85"/>
    </row>
    <row r="7" spans="1:21" ht="15" hidden="1" customHeight="1">
      <c r="A7" s="129" t="s">
        <v>2</v>
      </c>
      <c r="B7" s="131">
        <f>F5+F6+F7</f>
        <v>2090732.4015151518</v>
      </c>
      <c r="C7" s="131">
        <f>AVERAGE(F5:F7)</f>
        <v>696910.80050505057</v>
      </c>
      <c r="F7" s="78">
        <f>Q7/22</f>
        <v>747308.81818181823</v>
      </c>
      <c r="G7" s="90">
        <f t="shared" si="2"/>
        <v>-5.5481157117583391E-2</v>
      </c>
      <c r="H7" s="90"/>
      <c r="I7" s="130">
        <f t="shared" si="0"/>
        <v>273.58962539667749</v>
      </c>
      <c r="J7" s="130"/>
      <c r="K7" s="79">
        <f>R5+R6+R7</f>
        <v>49789754164</v>
      </c>
      <c r="N7" s="88">
        <f>AVERAGE(T5:T7)</f>
        <v>265.07681877597634</v>
      </c>
      <c r="P7" s="129" t="s">
        <v>2</v>
      </c>
      <c r="Q7" s="116">
        <v>16440794</v>
      </c>
      <c r="R7" s="116">
        <v>19837893341</v>
      </c>
      <c r="S7" s="116">
        <v>60092.9</v>
      </c>
      <c r="T7" s="130">
        <f t="shared" si="1"/>
        <v>273.58962539667749</v>
      </c>
      <c r="U7" s="85">
        <f>Q5+Q6+Q7</f>
        <v>41726854</v>
      </c>
    </row>
    <row r="8" spans="1:21" ht="15" hidden="1" customHeight="1">
      <c r="A8" s="129" t="s">
        <v>3</v>
      </c>
      <c r="C8" s="79"/>
      <c r="F8" s="78">
        <f>Q8/21</f>
        <v>743188.52380952379</v>
      </c>
      <c r="G8" s="90">
        <f t="shared" si="2"/>
        <v>-5.5135096389187233E-3</v>
      </c>
      <c r="H8" s="90"/>
      <c r="I8" s="130">
        <f t="shared" si="0"/>
        <v>292.62440929350714</v>
      </c>
      <c r="J8" s="130"/>
      <c r="K8" s="78"/>
      <c r="P8" s="129" t="s">
        <v>3</v>
      </c>
      <c r="Q8" s="116">
        <v>15606959</v>
      </c>
      <c r="R8" s="116">
        <v>18955966247</v>
      </c>
      <c r="S8" s="116">
        <v>53334.44</v>
      </c>
      <c r="T8" s="130">
        <f t="shared" si="1"/>
        <v>292.62440929350714</v>
      </c>
      <c r="U8" s="85"/>
    </row>
    <row r="9" spans="1:21" ht="15" hidden="1" customHeight="1">
      <c r="A9" s="129" t="s">
        <v>4</v>
      </c>
      <c r="C9" s="79"/>
      <c r="F9" s="78">
        <f>Q9/21</f>
        <v>501531.38095238095</v>
      </c>
      <c r="G9" s="90">
        <f t="shared" si="2"/>
        <v>-0.32516264058872713</v>
      </c>
      <c r="H9" s="90"/>
      <c r="I9" s="130">
        <f t="shared" si="0"/>
        <v>274.2099919029605</v>
      </c>
      <c r="J9" s="130"/>
      <c r="K9" s="78"/>
      <c r="P9" s="129" t="s">
        <v>4</v>
      </c>
      <c r="Q9" s="116">
        <v>10532159</v>
      </c>
      <c r="R9" s="116">
        <v>13231594271</v>
      </c>
      <c r="S9" s="116">
        <v>38409.1</v>
      </c>
      <c r="T9" s="130">
        <f t="shared" si="1"/>
        <v>274.2099919029605</v>
      </c>
      <c r="U9" s="85"/>
    </row>
    <row r="10" spans="1:21" ht="15" hidden="1" customHeight="1">
      <c r="A10" s="129" t="s">
        <v>5</v>
      </c>
      <c r="B10" s="131">
        <f>F8+F9+F10</f>
        <v>2018303.2380952383</v>
      </c>
      <c r="C10" s="131">
        <f>AVERAGE(F8:F10)</f>
        <v>672767.74603174615</v>
      </c>
      <c r="D10" s="90">
        <f>C10/C7-1</f>
        <v>-3.4642962134907362E-2</v>
      </c>
      <c r="E10" s="286"/>
      <c r="F10" s="78">
        <f>Q10/21</f>
        <v>773583.33333333337</v>
      </c>
      <c r="G10" s="90">
        <f t="shared" si="2"/>
        <v>0.54244253243803109</v>
      </c>
      <c r="H10" s="90"/>
      <c r="I10" s="130">
        <f t="shared" si="0"/>
        <v>297.33219612458294</v>
      </c>
      <c r="J10" s="130"/>
      <c r="K10" s="79">
        <f>R8+R9+R10</f>
        <v>52681643267</v>
      </c>
      <c r="L10" s="87">
        <f>U10/U7-1</f>
        <v>1.5757574247030393E-2</v>
      </c>
      <c r="N10" s="88">
        <f>AVERAGE(T8:T10)</f>
        <v>288.05553244035019</v>
      </c>
      <c r="O10" s="89">
        <f>N10/N7-1</f>
        <v>8.6686998019973149E-2</v>
      </c>
      <c r="P10" s="129" t="s">
        <v>5</v>
      </c>
      <c r="Q10" s="116">
        <v>16245250</v>
      </c>
      <c r="R10" s="116">
        <v>20494082749</v>
      </c>
      <c r="S10" s="116">
        <v>54636.7</v>
      </c>
      <c r="T10" s="130">
        <f t="shared" si="1"/>
        <v>297.33219612458294</v>
      </c>
      <c r="U10" s="85">
        <f>Q8+Q9+Q10</f>
        <v>42384368</v>
      </c>
    </row>
    <row r="11" spans="1:21" ht="15" hidden="1" customHeight="1">
      <c r="A11" s="129" t="s">
        <v>6</v>
      </c>
      <c r="C11" s="79"/>
      <c r="F11" s="78">
        <f>Q11/21</f>
        <v>501306.57142857142</v>
      </c>
      <c r="G11" s="90">
        <f t="shared" si="2"/>
        <v>-0.35196823686923873</v>
      </c>
      <c r="H11" s="90"/>
      <c r="I11" s="130">
        <f t="shared" si="0"/>
        <v>264.66809131134352</v>
      </c>
      <c r="J11" s="130"/>
      <c r="K11" s="78"/>
      <c r="O11" s="89"/>
      <c r="P11" s="129" t="s">
        <v>6</v>
      </c>
      <c r="Q11" s="116">
        <v>10527438</v>
      </c>
      <c r="R11" s="116">
        <v>13621231220</v>
      </c>
      <c r="S11" s="116">
        <v>39776</v>
      </c>
      <c r="T11" s="130">
        <f t="shared" si="1"/>
        <v>264.66809131134352</v>
      </c>
      <c r="U11" s="85"/>
    </row>
    <row r="12" spans="1:21" ht="15" hidden="1" customHeight="1">
      <c r="A12" s="129" t="s">
        <v>7</v>
      </c>
      <c r="C12" s="79"/>
      <c r="F12" s="78">
        <f>Q12/22</f>
        <v>513007.86363636365</v>
      </c>
      <c r="G12" s="90">
        <f t="shared" si="2"/>
        <v>2.3341589507688054E-2</v>
      </c>
      <c r="H12" s="90"/>
      <c r="I12" s="130">
        <f t="shared" si="0"/>
        <v>288.91493446651651</v>
      </c>
      <c r="J12" s="130"/>
      <c r="K12" s="78"/>
      <c r="O12" s="89"/>
      <c r="P12" s="129" t="s">
        <v>7</v>
      </c>
      <c r="Q12" s="116">
        <v>11286173</v>
      </c>
      <c r="R12" s="116">
        <v>14731844073</v>
      </c>
      <c r="S12" s="116">
        <v>39064</v>
      </c>
      <c r="T12" s="130">
        <f t="shared" si="1"/>
        <v>288.91493446651651</v>
      </c>
      <c r="U12" s="85"/>
    </row>
    <row r="13" spans="1:21" ht="15" hidden="1" customHeight="1">
      <c r="A13" s="129" t="s">
        <v>35</v>
      </c>
      <c r="B13" s="131">
        <f>F11+F12+F13</f>
        <v>1930614.3850649351</v>
      </c>
      <c r="C13" s="131">
        <f>AVERAGE(F11:F13)</f>
        <v>643538.1283549784</v>
      </c>
      <c r="D13" s="90">
        <f>C13/C10-1</f>
        <v>-4.3446817789907111E-2</v>
      </c>
      <c r="E13" s="286"/>
      <c r="F13" s="78">
        <f>Q13/20</f>
        <v>916299.95</v>
      </c>
      <c r="G13" s="90">
        <f t="shared" si="2"/>
        <v>0.78613236745529225</v>
      </c>
      <c r="H13" s="90"/>
      <c r="I13" s="130">
        <f t="shared" si="0"/>
        <v>282.70348527785194</v>
      </c>
      <c r="J13" s="130"/>
      <c r="K13" s="78">
        <f>R11+R12+R13</f>
        <v>53520231657</v>
      </c>
      <c r="L13" s="87">
        <f>U13/U10-1</f>
        <v>-5.2961931625357672E-2</v>
      </c>
      <c r="N13" s="88">
        <f>AVERAGE(T11:T13)</f>
        <v>278.76217035190399</v>
      </c>
      <c r="O13" s="89">
        <f>N13/N10-1</f>
        <v>-3.2262397495769868E-2</v>
      </c>
      <c r="P13" s="129" t="s">
        <v>60</v>
      </c>
      <c r="Q13" s="116">
        <v>18325999</v>
      </c>
      <c r="R13" s="116">
        <v>25167156364</v>
      </c>
      <c r="S13" s="116">
        <v>64824.1</v>
      </c>
      <c r="T13" s="130">
        <f t="shared" si="1"/>
        <v>282.70348527785194</v>
      </c>
      <c r="U13" s="85">
        <f>Q11+Q12+Q13</f>
        <v>40139610</v>
      </c>
    </row>
    <row r="14" spans="1:21" ht="15" hidden="1" customHeight="1">
      <c r="A14" s="129" t="s">
        <v>36</v>
      </c>
      <c r="C14" s="79"/>
      <c r="F14" s="78">
        <f>Q14/20</f>
        <v>891470.65</v>
      </c>
      <c r="G14" s="90">
        <f t="shared" si="2"/>
        <v>-2.7097349508749757E-2</v>
      </c>
      <c r="H14" s="90"/>
      <c r="I14" s="130">
        <f t="shared" si="0"/>
        <v>301.70661915011709</v>
      </c>
      <c r="J14" s="130"/>
      <c r="O14" s="89"/>
      <c r="P14" s="129" t="s">
        <v>36</v>
      </c>
      <c r="Q14" s="116">
        <v>17829413</v>
      </c>
      <c r="R14" s="116">
        <v>25427192887</v>
      </c>
      <c r="S14" s="116">
        <v>59095.199999999997</v>
      </c>
      <c r="T14" s="130">
        <f t="shared" si="1"/>
        <v>301.70661915011709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758002.18181818177</v>
      </c>
      <c r="G15" s="90">
        <f t="shared" si="2"/>
        <v>-0.1497171759741257</v>
      </c>
      <c r="H15" s="90"/>
      <c r="I15" s="130">
        <f t="shared" si="0"/>
        <v>280.13934355591488</v>
      </c>
      <c r="J15" s="130"/>
      <c r="O15" s="89"/>
      <c r="P15" s="129" t="s">
        <v>37</v>
      </c>
      <c r="Q15" s="116">
        <v>16676048</v>
      </c>
      <c r="R15" s="116">
        <v>23122406595</v>
      </c>
      <c r="S15" s="116">
        <v>59527.69</v>
      </c>
      <c r="T15" s="130">
        <f t="shared" si="1"/>
        <v>280.13934355591488</v>
      </c>
      <c r="U15" s="78"/>
    </row>
    <row r="16" spans="1:21" ht="15" hidden="1" customHeight="1">
      <c r="A16" s="129" t="s">
        <v>38</v>
      </c>
      <c r="B16" s="131">
        <f>F14+F15+F16</f>
        <v>2247605.831818182</v>
      </c>
      <c r="C16" s="131">
        <f>AVERAGE(F14:F16)</f>
        <v>749201.94393939397</v>
      </c>
      <c r="D16" s="90">
        <f>C16/C13-1</f>
        <v>0.16419200499357345</v>
      </c>
      <c r="E16" s="286"/>
      <c r="F16" s="78">
        <f>Q16/22</f>
        <v>598133</v>
      </c>
      <c r="G16" s="90">
        <f t="shared" si="2"/>
        <v>-0.21090860376511267</v>
      </c>
      <c r="H16" s="90"/>
      <c r="I16" s="130">
        <f t="shared" si="0"/>
        <v>274.6865113948889</v>
      </c>
      <c r="J16" s="130"/>
      <c r="K16" s="78">
        <f>R14+R15+R16</f>
        <v>65788004699</v>
      </c>
      <c r="L16" s="87">
        <f>U16/U13-1</f>
        <v>0.18746512484799926</v>
      </c>
      <c r="N16" s="88">
        <f>AVERAGE(T14:T16)</f>
        <v>285.51082470030696</v>
      </c>
      <c r="O16" s="89">
        <f>N16/N13-1</f>
        <v>2.4209362195320772E-2</v>
      </c>
      <c r="P16" s="129" t="s">
        <v>38</v>
      </c>
      <c r="Q16" s="116">
        <v>13158926</v>
      </c>
      <c r="R16" s="116">
        <v>17238405217</v>
      </c>
      <c r="S16" s="116">
        <v>47905.25</v>
      </c>
      <c r="T16" s="130">
        <f t="shared" si="1"/>
        <v>274.6865113948889</v>
      </c>
      <c r="U16" s="85">
        <f>Q14+Q15+Q16</f>
        <v>47664387</v>
      </c>
    </row>
    <row r="17" spans="1:21" ht="15" hidden="1" customHeight="1">
      <c r="A17" s="129" t="s">
        <v>87</v>
      </c>
      <c r="C17" s="79"/>
      <c r="F17" s="78">
        <f>Q17/20</f>
        <v>664946.69999999995</v>
      </c>
      <c r="G17" s="90">
        <f t="shared" ref="G17:G22" si="3">F17/F16-1</f>
        <v>0.11170375150677181</v>
      </c>
      <c r="H17" s="90">
        <f t="shared" ref="H17:H22" si="4">F17/F5-1</f>
        <v>0.20413858482455516</v>
      </c>
      <c r="I17" s="130">
        <f t="shared" si="0"/>
        <v>269.49030030718279</v>
      </c>
      <c r="J17" s="130">
        <f t="shared" ref="J17:J49" si="5">I17/I5-1</f>
        <v>6.0998547269804249E-2</v>
      </c>
      <c r="O17" s="89"/>
      <c r="P17" s="129" t="s">
        <v>87</v>
      </c>
      <c r="Q17" s="116">
        <v>13298934</v>
      </c>
      <c r="R17" s="116">
        <v>16711254455</v>
      </c>
      <c r="S17" s="116">
        <v>49348.47</v>
      </c>
      <c r="T17" s="130">
        <f t="shared" si="1"/>
        <v>269.49030030718279</v>
      </c>
      <c r="U17" s="78"/>
    </row>
    <row r="18" spans="1:21" ht="15" hidden="1" customHeight="1">
      <c r="A18" s="129" t="s">
        <v>106</v>
      </c>
      <c r="C18" s="79"/>
      <c r="F18" s="78">
        <f>Q18/20</f>
        <v>608491.69999999995</v>
      </c>
      <c r="G18" s="90">
        <f t="shared" si="3"/>
        <v>-8.4901541732593011E-2</v>
      </c>
      <c r="H18" s="90">
        <f t="shared" si="4"/>
        <v>-0.23093122628224649</v>
      </c>
      <c r="I18" s="130">
        <f t="shared" si="0"/>
        <v>282.16489505502176</v>
      </c>
      <c r="J18" s="130">
        <f t="shared" si="5"/>
        <v>5.4254631270123976E-2</v>
      </c>
      <c r="O18" s="89"/>
      <c r="P18" s="129" t="s">
        <v>106</v>
      </c>
      <c r="Q18" s="116">
        <v>12169834</v>
      </c>
      <c r="R18" s="116">
        <v>15248285200</v>
      </c>
      <c r="S18" s="116">
        <v>43130.22</v>
      </c>
      <c r="T18" s="130">
        <f t="shared" ref="T18" si="6">Q18/S18</f>
        <v>282.16489505502176</v>
      </c>
      <c r="U18" s="78"/>
    </row>
    <row r="19" spans="1:21" hidden="1">
      <c r="A19" s="129" t="s">
        <v>114</v>
      </c>
      <c r="B19" s="131">
        <f>SUM(F17:F19)</f>
        <v>2165358.9</v>
      </c>
      <c r="C19" s="131">
        <f>AVERAGE(F17:F19)</f>
        <v>721786.29999999993</v>
      </c>
      <c r="D19" s="90">
        <f>C19/C16-1</f>
        <v>-3.6593129744484254E-2</v>
      </c>
      <c r="E19" s="286">
        <f>C19/C7-1</f>
        <v>3.5693950326099344E-2</v>
      </c>
      <c r="F19" s="78">
        <f>Q19/22</f>
        <v>891920.5</v>
      </c>
      <c r="G19" s="90">
        <f t="shared" si="3"/>
        <v>0.46578909786279765</v>
      </c>
      <c r="H19" s="90">
        <f t="shared" si="4"/>
        <v>0.19350993632059366</v>
      </c>
      <c r="I19" s="130">
        <f t="shared" si="0"/>
        <v>291.93361816160348</v>
      </c>
      <c r="J19" s="130">
        <f t="shared" si="5"/>
        <v>6.7049299615542957E-2</v>
      </c>
      <c r="K19" s="78">
        <f>R17+R18+R19</f>
        <v>57618625610</v>
      </c>
      <c r="L19" s="87">
        <f>U19/U16-1</f>
        <v>-5.3989323307567116E-2</v>
      </c>
      <c r="M19" s="87">
        <f>U19/U7-1</f>
        <v>8.0623499677210164E-2</v>
      </c>
      <c r="N19" s="88">
        <f>AVERAGE(T17:T19)</f>
        <v>281.19627117460266</v>
      </c>
      <c r="O19" s="89">
        <f>N19/N16-1</f>
        <v>-1.5111698585274946E-2</v>
      </c>
      <c r="P19" s="129" t="s">
        <v>115</v>
      </c>
      <c r="Q19" s="116">
        <v>19622251</v>
      </c>
      <c r="R19" s="116">
        <v>25659085955</v>
      </c>
      <c r="S19" s="116">
        <v>67214.77</v>
      </c>
      <c r="T19" s="130">
        <f t="shared" ref="T19" si="7">Q19/S19</f>
        <v>291.93361816160348</v>
      </c>
      <c r="U19" s="85">
        <f>Q17+Q18+Q19</f>
        <v>45091019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899770.65</v>
      </c>
      <c r="G20" s="90">
        <f t="shared" si="3"/>
        <v>8.8014010217278837E-3</v>
      </c>
      <c r="H20" s="90">
        <f t="shared" si="4"/>
        <v>0.21068964492057685</v>
      </c>
      <c r="I20" s="130">
        <f t="shared" si="0"/>
        <v>293.17342728569832</v>
      </c>
      <c r="J20" s="130">
        <f t="shared" si="5"/>
        <v>1.8761865885237317E-3</v>
      </c>
      <c r="O20" s="89"/>
      <c r="P20" s="129" t="s">
        <v>132</v>
      </c>
      <c r="Q20" s="116">
        <v>17995413</v>
      </c>
      <c r="R20" s="116">
        <v>23627122994</v>
      </c>
      <c r="S20" s="116">
        <v>61381.46</v>
      </c>
      <c r="T20" s="130">
        <f t="shared" ref="T20" si="8">Q20/S20</f>
        <v>293.17342728569832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615884.71428571432</v>
      </c>
      <c r="G21" s="90">
        <f t="shared" si="3"/>
        <v>-0.31550921972647772</v>
      </c>
      <c r="H21" s="90">
        <f t="shared" si="4"/>
        <v>0.22800833143517885</v>
      </c>
      <c r="I21" s="130">
        <f t="shared" si="0"/>
        <v>282.10816737799473</v>
      </c>
      <c r="J21" s="130">
        <f t="shared" si="5"/>
        <v>2.8803383203589883E-2</v>
      </c>
      <c r="O21" s="89"/>
      <c r="P21" s="129" t="s">
        <v>141</v>
      </c>
      <c r="Q21" s="116">
        <v>12933579</v>
      </c>
      <c r="R21" s="116">
        <v>17210491677</v>
      </c>
      <c r="S21" s="116">
        <v>45846.17</v>
      </c>
      <c r="T21" s="130">
        <f t="shared" ref="T21" si="9">Q21/S21</f>
        <v>282.10816737799473</v>
      </c>
      <c r="U21" s="78"/>
    </row>
    <row r="22" spans="1:21" hidden="1">
      <c r="A22" s="129" t="s">
        <v>156</v>
      </c>
      <c r="B22" s="131">
        <f>SUM(F20:F22)</f>
        <v>2302080.1738095237</v>
      </c>
      <c r="C22" s="131">
        <f>AVERAGE(F20:F22)</f>
        <v>767360.05793650786</v>
      </c>
      <c r="D22" s="90">
        <f>C22/C19-1</f>
        <v>6.3140236849200226E-2</v>
      </c>
      <c r="E22" s="286">
        <f>C22/C10-1</f>
        <v>0.14060173434696455</v>
      </c>
      <c r="F22" s="78">
        <f>Q22/21</f>
        <v>786424.80952380947</v>
      </c>
      <c r="G22" s="90">
        <f t="shared" si="3"/>
        <v>0.27690262687536049</v>
      </c>
      <c r="H22" s="90">
        <f t="shared" si="4"/>
        <v>1.6599990766531736E-2</v>
      </c>
      <c r="I22" s="130">
        <f t="shared" si="0"/>
        <v>316.72862546214981</v>
      </c>
      <c r="J22" s="130">
        <f t="shared" si="5"/>
        <v>6.5234877320314633E-2</v>
      </c>
      <c r="K22" s="78">
        <f>R20+R21+R22</f>
        <v>62269169378</v>
      </c>
      <c r="L22" s="87">
        <f>U22/U19-1</f>
        <v>5.2180989744321282E-2</v>
      </c>
      <c r="M22" s="87">
        <f>U22/U10-1</f>
        <v>0.11937290182078453</v>
      </c>
      <c r="N22" s="88">
        <f>AVERAGE(T20:T22)</f>
        <v>297.33674004194762</v>
      </c>
      <c r="O22" s="89">
        <f>N22/N19-1</f>
        <v>5.7399299072934395E-2</v>
      </c>
      <c r="P22" s="129" t="s">
        <v>156</v>
      </c>
      <c r="Q22" s="116">
        <v>16514921</v>
      </c>
      <c r="R22" s="116">
        <v>21431554707</v>
      </c>
      <c r="S22" s="116">
        <v>52142.18</v>
      </c>
      <c r="T22" s="130">
        <f t="shared" ref="T22:T23" si="10">Q22/S22</f>
        <v>316.72862546214981</v>
      </c>
      <c r="U22" s="85">
        <f>Q20+Q21+Q22</f>
        <v>47443913</v>
      </c>
    </row>
    <row r="23" spans="1:21" hidden="1">
      <c r="A23" s="129" t="s">
        <v>189</v>
      </c>
      <c r="B23" s="131"/>
      <c r="C23" s="131"/>
      <c r="F23" s="78">
        <f>Q23/21</f>
        <v>449809.80952380953</v>
      </c>
      <c r="G23" s="90">
        <f t="shared" ref="G23" si="11">F23/F22-1</f>
        <v>-0.42803202025610654</v>
      </c>
      <c r="H23" s="90">
        <f t="shared" ref="H23" si="12">F23/F11-1</f>
        <v>-0.10272508847831729</v>
      </c>
      <c r="I23" s="130">
        <f t="shared" si="0"/>
        <v>285.64819812831905</v>
      </c>
      <c r="J23" s="130">
        <f t="shared" si="5"/>
        <v>7.9269498310226894E-2</v>
      </c>
      <c r="O23" s="89"/>
      <c r="P23" s="129" t="s">
        <v>189</v>
      </c>
      <c r="Q23" s="116">
        <v>9446006</v>
      </c>
      <c r="R23" s="116">
        <v>12169501278</v>
      </c>
      <c r="S23" s="116">
        <v>33068.67</v>
      </c>
      <c r="T23" s="130">
        <f t="shared" si="10"/>
        <v>285.64819812831905</v>
      </c>
      <c r="U23" s="78"/>
    </row>
    <row r="24" spans="1:21" hidden="1">
      <c r="A24" s="129" t="s">
        <v>204</v>
      </c>
      <c r="B24" s="131"/>
      <c r="C24" s="131"/>
      <c r="F24" s="78">
        <f>Q24/22</f>
        <v>783292.18181818177</v>
      </c>
      <c r="G24" s="90">
        <f t="shared" ref="G24" si="13">F24/F23-1</f>
        <v>0.74138528158692862</v>
      </c>
      <c r="H24" s="90">
        <f t="shared" ref="H24" si="14">F24/F12-1</f>
        <v>0.52686193982672402</v>
      </c>
      <c r="I24" s="130">
        <f t="shared" si="0"/>
        <v>301.10619530878694</v>
      </c>
      <c r="J24" s="130">
        <f t="shared" si="5"/>
        <v>4.2196713938591257E-2</v>
      </c>
      <c r="O24" s="89"/>
      <c r="P24" s="129" t="s">
        <v>204</v>
      </c>
      <c r="Q24" s="116">
        <v>17232428</v>
      </c>
      <c r="R24" s="116">
        <v>22712010408</v>
      </c>
      <c r="S24" s="116">
        <v>57230.400000000001</v>
      </c>
      <c r="T24" s="130">
        <f t="shared" ref="T24" si="15">Q24/S24</f>
        <v>301.10619530878694</v>
      </c>
      <c r="U24" s="78"/>
    </row>
    <row r="25" spans="1:21" s="79" customFormat="1" ht="13.2" hidden="1">
      <c r="A25" s="129" t="s">
        <v>219</v>
      </c>
      <c r="B25" s="131">
        <f>SUM(F23:F25)</f>
        <v>2174900.9387104125</v>
      </c>
      <c r="C25" s="131">
        <f>AVERAGE(F23:F25)</f>
        <v>724966.97957013745</v>
      </c>
      <c r="D25" s="90">
        <f>C25/C22-1</f>
        <v>-5.524535441728462E-2</v>
      </c>
      <c r="E25" s="286">
        <f>C25/C13-1</f>
        <v>0.12653306405217779</v>
      </c>
      <c r="F25" s="78">
        <f>Q25/19</f>
        <v>941798.94736842101</v>
      </c>
      <c r="G25" s="90">
        <f t="shared" ref="G25" si="16">F25/F24-1</f>
        <v>0.20235969313814994</v>
      </c>
      <c r="H25" s="90">
        <f t="shared" ref="H25" si="17">F25/F13-1</f>
        <v>2.7828220844518192E-2</v>
      </c>
      <c r="I25" s="130">
        <f t="shared" si="0"/>
        <v>301.21915602587961</v>
      </c>
      <c r="J25" s="130">
        <f t="shared" si="5"/>
        <v>6.5495021152037536E-2</v>
      </c>
      <c r="K25" s="78">
        <f>R23+R24+R25</f>
        <v>58638269116</v>
      </c>
      <c r="L25" s="90">
        <f>U25/U22-1</f>
        <v>-6.0519860577267326E-2</v>
      </c>
      <c r="M25" s="90">
        <f>U25/U13-1</f>
        <v>0.11043963805328461</v>
      </c>
      <c r="N25" s="88">
        <f>AVERAGE(T23:T25)</f>
        <v>295.99118315432855</v>
      </c>
      <c r="O25" s="91">
        <f>N25/N22-1</f>
        <v>-4.5253636917833573E-3</v>
      </c>
      <c r="P25" s="129" t="s">
        <v>219</v>
      </c>
      <c r="Q25" s="116">
        <v>17894180</v>
      </c>
      <c r="R25" s="116">
        <v>23756757430</v>
      </c>
      <c r="S25" s="116">
        <v>59405.85</v>
      </c>
      <c r="T25" s="130">
        <f t="shared" ref="T25" si="18">Q25/S25</f>
        <v>301.21915602587961</v>
      </c>
      <c r="U25" s="85">
        <f>Q23+Q24+Q25</f>
        <v>44572614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752079.89473684214</v>
      </c>
      <c r="G26" s="90">
        <f t="shared" ref="G26" si="19">F26/F25-1</f>
        <v>-0.20144326255799361</v>
      </c>
      <c r="H26" s="90">
        <f t="shared" ref="H26" si="20">F26/F14-1</f>
        <v>-0.15636045366514073</v>
      </c>
      <c r="I26" s="130">
        <f t="shared" si="0"/>
        <v>295.20442924874237</v>
      </c>
      <c r="J26" s="130">
        <f t="shared" si="5"/>
        <v>-2.155136642242339E-2</v>
      </c>
      <c r="L26" s="90"/>
      <c r="M26" s="90"/>
      <c r="P26" s="129" t="s">
        <v>312</v>
      </c>
      <c r="Q26" s="116">
        <v>14289518</v>
      </c>
      <c r="R26" s="116">
        <v>19268508774</v>
      </c>
      <c r="S26" s="116">
        <v>48405.5</v>
      </c>
      <c r="T26" s="130">
        <f t="shared" ref="T26" si="21">Q26/S26</f>
        <v>295.20442924874237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1078503.5</v>
      </c>
      <c r="G27" s="90">
        <f t="shared" ref="G27" si="22">F27/F26-1</f>
        <v>0.43402783074978446</v>
      </c>
      <c r="H27" s="90">
        <f t="shared" ref="H27" si="23">F27/F15-1</f>
        <v>0.42282374097268138</v>
      </c>
      <c r="I27" s="130">
        <f t="shared" si="0"/>
        <v>300.17331989450514</v>
      </c>
      <c r="J27" s="130">
        <f t="shared" si="5"/>
        <v>7.1514325993241146E-2</v>
      </c>
      <c r="L27" s="90"/>
      <c r="M27" s="90"/>
      <c r="P27" s="129" t="s">
        <v>375</v>
      </c>
      <c r="Q27" s="116">
        <v>23727077</v>
      </c>
      <c r="R27" s="116">
        <v>31318447838</v>
      </c>
      <c r="S27" s="116">
        <v>79044.59</v>
      </c>
      <c r="T27" s="130">
        <f t="shared" ref="T27" si="24">Q27/S27</f>
        <v>300.17331989450514</v>
      </c>
      <c r="U27" s="78"/>
    </row>
    <row r="28" spans="1:21" s="79" customFormat="1" ht="13.2" hidden="1">
      <c r="A28" s="123" t="s">
        <v>413</v>
      </c>
      <c r="B28" s="131">
        <f>SUM(F26:F28)</f>
        <v>2818488.8157894737</v>
      </c>
      <c r="C28" s="131">
        <f>AVERAGE(F26:F28)</f>
        <v>939496.27192982461</v>
      </c>
      <c r="D28" s="90">
        <f>C28/C25-1</f>
        <v>0.29591594983662617</v>
      </c>
      <c r="E28" s="286">
        <f>C28/C16-1</f>
        <v>0.25399604142754906</v>
      </c>
      <c r="F28" s="78">
        <f>Q28/19</f>
        <v>987905.42105263157</v>
      </c>
      <c r="G28" s="90">
        <f t="shared" ref="G28" si="25">F28/F27-1</f>
        <v>-8.4003509443750901E-2</v>
      </c>
      <c r="H28" s="90">
        <f t="shared" ref="H28" si="26">F28/F16-1</f>
        <v>0.65164841440387278</v>
      </c>
      <c r="I28" s="130">
        <f t="shared" si="0"/>
        <v>296.50572493128072</v>
      </c>
      <c r="J28" s="130">
        <f t="shared" si="5"/>
        <v>7.9433145171895925E-2</v>
      </c>
      <c r="K28" s="78">
        <f>R26+R27+R28</f>
        <v>75068860040</v>
      </c>
      <c r="L28" s="90">
        <f>U28/U25-1</f>
        <v>0.27402889137262632</v>
      </c>
      <c r="M28" s="90">
        <f>U28/U16-1</f>
        <v>0.19138840493217724</v>
      </c>
      <c r="N28" s="88">
        <f>AVERAGE(T26:T28)</f>
        <v>297.29449135817606</v>
      </c>
      <c r="O28" s="91">
        <f>N28/N25-1</f>
        <v>4.4031994127606833E-3</v>
      </c>
      <c r="P28" s="129" t="s">
        <v>413</v>
      </c>
      <c r="Q28" s="116">
        <v>18770203</v>
      </c>
      <c r="R28" s="116">
        <v>24481903428</v>
      </c>
      <c r="S28" s="116">
        <v>63304.69</v>
      </c>
      <c r="T28" s="130">
        <f t="shared" ref="T28" si="27">Q28/S28</f>
        <v>296.50572493128072</v>
      </c>
      <c r="U28" s="85">
        <f>Q26+Q27+Q28</f>
        <v>56786798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500839.86363636365</v>
      </c>
      <c r="G29" s="190">
        <f t="shared" ref="G29" si="28">F29/F28-1</f>
        <v>-0.49302852989438051</v>
      </c>
      <c r="H29" s="190">
        <f t="shared" ref="H29" si="29">F29/F17-1</f>
        <v>-0.24679697840990311</v>
      </c>
      <c r="I29" s="130">
        <f t="shared" si="0"/>
        <v>249.84217179590379</v>
      </c>
      <c r="J29" s="130">
        <f t="shared" si="5"/>
        <v>-7.2908481265866576E-2</v>
      </c>
      <c r="K29" s="136"/>
      <c r="L29" s="190"/>
      <c r="M29" s="190"/>
      <c r="N29" s="191"/>
      <c r="O29" s="192"/>
      <c r="P29" s="129" t="s">
        <v>427</v>
      </c>
      <c r="Q29" s="116">
        <v>11018477</v>
      </c>
      <c r="R29" s="116">
        <v>14556665523</v>
      </c>
      <c r="S29" s="116">
        <v>44101.75</v>
      </c>
      <c r="T29" s="130">
        <f t="shared" ref="T29" si="30">Q29/S29</f>
        <v>249.84217179590379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755452.78947368416</v>
      </c>
      <c r="G30" s="190">
        <f t="shared" ref="G30" si="31">F30/F29-1</f>
        <v>0.50837192548671206</v>
      </c>
      <c r="H30" s="190">
        <f t="shared" ref="H30" si="32">F30/F18-1</f>
        <v>0.241516999284763</v>
      </c>
      <c r="I30" s="130">
        <f t="shared" si="0"/>
        <v>298.79834113830452</v>
      </c>
      <c r="J30" s="130">
        <f t="shared" si="5"/>
        <v>5.8949381637426024E-2</v>
      </c>
      <c r="K30" s="136"/>
      <c r="L30" s="190"/>
      <c r="M30" s="190"/>
      <c r="N30" s="191"/>
      <c r="O30" s="192"/>
      <c r="P30" s="129" t="s">
        <v>466</v>
      </c>
      <c r="Q30" s="116">
        <v>14353603</v>
      </c>
      <c r="R30" s="116">
        <v>19124553702</v>
      </c>
      <c r="S30" s="116">
        <v>48037.760000000002</v>
      </c>
      <c r="T30" s="130">
        <f t="shared" ref="T30" si="33">Q30/S30</f>
        <v>298.79834113830452</v>
      </c>
      <c r="U30" s="85"/>
    </row>
    <row r="31" spans="1:21" s="79" customFormat="1" ht="13.2" hidden="1">
      <c r="A31" s="129" t="s">
        <v>505</v>
      </c>
      <c r="B31" s="188">
        <f>SUM(F29:F31)</f>
        <v>1951067.5031100479</v>
      </c>
      <c r="C31" s="188">
        <f>AVERAGE(F29:F31)</f>
        <v>650355.834370016</v>
      </c>
      <c r="D31" s="190">
        <f>C31/C28-1</f>
        <v>-0.30776113349112455</v>
      </c>
      <c r="E31" s="287">
        <f>C31/C19-1</f>
        <v>-9.8963454460113676E-2</v>
      </c>
      <c r="F31" s="136">
        <f>Q31/20</f>
        <v>694774.85</v>
      </c>
      <c r="G31" s="190">
        <f t="shared" ref="G31" si="34">F31/F30-1</f>
        <v>-8.0319962172563875E-2</v>
      </c>
      <c r="H31" s="190">
        <f t="shared" ref="H31" si="35">F31/F19-1</f>
        <v>-0.22103500255908459</v>
      </c>
      <c r="I31" s="130">
        <f t="shared" si="0"/>
        <v>287.95579627343193</v>
      </c>
      <c r="J31" s="130">
        <f t="shared" si="5"/>
        <v>-1.3625775315707522E-2</v>
      </c>
      <c r="K31" s="136">
        <f>R29+R30+R31</f>
        <v>52139340490</v>
      </c>
      <c r="L31" s="190">
        <f>U31/U28-1</f>
        <v>-0.3085086959824711</v>
      </c>
      <c r="M31" s="190">
        <f>U31/U19-1</f>
        <v>-0.12914860052286692</v>
      </c>
      <c r="N31" s="191">
        <f>AVERAGE(T29:T31)</f>
        <v>278.86543640254678</v>
      </c>
      <c r="O31" s="192">
        <f>N31/N28-1</f>
        <v>-6.1989224460355818E-2</v>
      </c>
      <c r="P31" s="129" t="s">
        <v>506</v>
      </c>
      <c r="Q31" s="116">
        <v>13895497</v>
      </c>
      <c r="R31" s="116">
        <v>18458121265</v>
      </c>
      <c r="S31" s="116">
        <v>48255.66</v>
      </c>
      <c r="T31" s="130">
        <f t="shared" ref="T31" si="36">Q31/S31</f>
        <v>287.95579627343193</v>
      </c>
      <c r="U31" s="85">
        <f>Q29+Q30+Q31</f>
        <v>39267577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657803</v>
      </c>
      <c r="G32" s="190">
        <f t="shared" ref="G32" si="37">F32/F31-1</f>
        <v>-5.3214145560968373E-2</v>
      </c>
      <c r="H32" s="190">
        <f t="shared" ref="H32" si="38">F32/F20-1</f>
        <v>-0.26892147460022175</v>
      </c>
      <c r="I32" s="130">
        <f t="shared" si="0"/>
        <v>281.80819675442029</v>
      </c>
      <c r="J32" s="130">
        <f t="shared" si="5"/>
        <v>-3.876623688750136E-2</v>
      </c>
      <c r="K32" s="136"/>
      <c r="L32" s="190"/>
      <c r="M32" s="190"/>
      <c r="N32" s="191"/>
      <c r="O32" s="192"/>
      <c r="P32" s="129" t="s">
        <v>562</v>
      </c>
      <c r="Q32" s="116">
        <v>13813863</v>
      </c>
      <c r="R32" s="116">
        <v>18806896953</v>
      </c>
      <c r="S32" s="116">
        <v>49018.67</v>
      </c>
      <c r="T32" s="130">
        <f t="shared" ref="T32" si="39">Q32/S32</f>
        <v>281.80819675442029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646340.71428571432</v>
      </c>
      <c r="G33" s="190">
        <f t="shared" ref="G33" si="40">F33/F32-1</f>
        <v>-1.7425104042221862E-2</v>
      </c>
      <c r="H33" s="190">
        <f t="shared" ref="H33" si="41">F33/F21-1</f>
        <v>4.945081326676859E-2</v>
      </c>
      <c r="I33" s="130">
        <f t="shared" si="0"/>
        <v>292.78909654034794</v>
      </c>
      <c r="J33" s="130">
        <f t="shared" si="5"/>
        <v>3.7861112854779222E-2</v>
      </c>
      <c r="K33" s="136"/>
      <c r="L33" s="190"/>
      <c r="M33" s="190"/>
      <c r="N33" s="191"/>
      <c r="O33" s="192"/>
      <c r="P33" s="129" t="s">
        <v>607</v>
      </c>
      <c r="Q33" s="116">
        <v>13573155</v>
      </c>
      <c r="R33" s="116">
        <v>18553246973</v>
      </c>
      <c r="S33" s="116">
        <v>46358.13</v>
      </c>
      <c r="T33" s="130">
        <f t="shared" ref="T33" si="42">Q33/S33</f>
        <v>292.78909654034794</v>
      </c>
      <c r="U33" s="85"/>
    </row>
    <row r="34" spans="1:21" s="79" customFormat="1" ht="13.2" hidden="1">
      <c r="A34" s="129" t="s">
        <v>652</v>
      </c>
      <c r="B34" s="188">
        <f>SUM(F32:F34)</f>
        <v>2419844.3984962404</v>
      </c>
      <c r="C34" s="188">
        <f>AVERAGE(F32:F34)</f>
        <v>806614.79949874675</v>
      </c>
      <c r="D34" s="190">
        <f>C34/C31-1</f>
        <v>0.24026687679383252</v>
      </c>
      <c r="E34" s="287">
        <f>C34/C22-1</f>
        <v>5.1155570525520888E-2</v>
      </c>
      <c r="F34" s="136">
        <f>Q34/19</f>
        <v>1115700.6842105263</v>
      </c>
      <c r="G34" s="190">
        <f t="shared" ref="G34" si="43">F34/F33-1</f>
        <v>0.72618041777472153</v>
      </c>
      <c r="H34" s="190">
        <f t="shared" ref="H34" si="44">F34/F22-1</f>
        <v>0.41869975450812347</v>
      </c>
      <c r="I34" s="130">
        <f t="shared" si="0"/>
        <v>334.20353511426492</v>
      </c>
      <c r="J34" s="130">
        <f t="shared" si="5"/>
        <v>5.5173130078207677E-2</v>
      </c>
      <c r="K34" s="136">
        <f>R32+R33+R34</f>
        <v>66559050432</v>
      </c>
      <c r="L34" s="190">
        <f>U34/U31-1</f>
        <v>0.23728874333142591</v>
      </c>
      <c r="M34" s="190">
        <f>U34/U22-1</f>
        <v>2.4058260118637431E-2</v>
      </c>
      <c r="N34" s="191">
        <f>AVERAGE(T32:T34)</f>
        <v>302.93360946967772</v>
      </c>
      <c r="O34" s="192">
        <f>N34/N31-1</f>
        <v>8.6307479971767354E-2</v>
      </c>
      <c r="P34" s="129" t="s">
        <v>652</v>
      </c>
      <c r="Q34" s="116">
        <v>21198313</v>
      </c>
      <c r="R34" s="116">
        <v>29198906506</v>
      </c>
      <c r="S34" s="116">
        <v>63429.35</v>
      </c>
      <c r="T34" s="130">
        <f t="shared" ref="T34" si="45">Q34/S34</f>
        <v>334.20353511426492</v>
      </c>
      <c r="U34" s="85">
        <f>Q32+Q33+Q34</f>
        <v>48585331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500127.04347826086</v>
      </c>
      <c r="G35" s="190">
        <f t="shared" ref="G35" si="46">F35/F34-1</f>
        <v>-0.55173726201292728</v>
      </c>
      <c r="H35" s="190">
        <f t="shared" ref="H35" si="47">F35/F23-1</f>
        <v>0.11186335399781422</v>
      </c>
      <c r="I35" s="130">
        <f t="shared" si="0"/>
        <v>289.11228379894555</v>
      </c>
      <c r="J35" s="130">
        <f t="shared" si="5"/>
        <v>1.2127104926005439E-2</v>
      </c>
      <c r="K35" s="136"/>
      <c r="L35" s="190"/>
      <c r="M35" s="190"/>
      <c r="N35" s="191"/>
      <c r="O35" s="192"/>
      <c r="P35" s="129" t="s">
        <v>660</v>
      </c>
      <c r="Q35" s="116">
        <v>11502922</v>
      </c>
      <c r="R35" s="116">
        <v>15913811202</v>
      </c>
      <c r="S35" s="116">
        <v>39787.040000000001</v>
      </c>
      <c r="T35" s="130">
        <f t="shared" ref="T35" si="48">Q35/S35</f>
        <v>289.11228379894555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799903.71428571432</v>
      </c>
      <c r="G36" s="190">
        <f t="shared" ref="G36" si="49">F36/F35-1</f>
        <v>0.59940104162850361</v>
      </c>
      <c r="H36" s="190">
        <f t="shared" ref="H36" si="50">F36/F24-1</f>
        <v>2.1207325763132001E-2</v>
      </c>
      <c r="I36" s="130">
        <f t="shared" si="0"/>
        <v>303.09655815887095</v>
      </c>
      <c r="J36" s="130">
        <f t="shared" si="5"/>
        <v>6.6101690403377322E-3</v>
      </c>
      <c r="K36" s="136"/>
      <c r="L36" s="190"/>
      <c r="M36" s="190"/>
      <c r="N36" s="191"/>
      <c r="O36" s="192"/>
      <c r="P36" s="129" t="s">
        <v>664</v>
      </c>
      <c r="Q36" s="116">
        <v>16797978</v>
      </c>
      <c r="R36" s="116">
        <v>22874965799</v>
      </c>
      <c r="S36" s="116">
        <v>55421.21</v>
      </c>
      <c r="T36" s="130">
        <f t="shared" ref="T36" si="51">Q36/S36</f>
        <v>303.09655815887095</v>
      </c>
      <c r="U36" s="85"/>
    </row>
    <row r="37" spans="1:21" s="79" customFormat="1" ht="13.2" hidden="1">
      <c r="A37" s="129" t="s">
        <v>702</v>
      </c>
      <c r="B37" s="188">
        <f>SUM(F35:F37)</f>
        <v>2364991.4244306423</v>
      </c>
      <c r="C37" s="188">
        <f>AVERAGE(F35:F37)</f>
        <v>788330.47481021413</v>
      </c>
      <c r="D37" s="190">
        <f>C37/C34-1</f>
        <v>-2.2667975717647448E-2</v>
      </c>
      <c r="E37" s="287">
        <f>C37/C25-1</f>
        <v>8.740190522559721E-2</v>
      </c>
      <c r="F37" s="136">
        <f>Q37/18</f>
        <v>1064960.6666666667</v>
      </c>
      <c r="G37" s="190">
        <f t="shared" ref="G37" si="52">F37/F36-1</f>
        <v>0.33136107214808841</v>
      </c>
      <c r="H37" s="190">
        <f t="shared" ref="H37" si="53">F37/F25-1</f>
        <v>0.13077283600962253</v>
      </c>
      <c r="I37" s="130">
        <f t="shared" si="0"/>
        <v>291.64020584443</v>
      </c>
      <c r="J37" s="130">
        <f t="shared" si="5"/>
        <v>-3.1800600957220038E-2</v>
      </c>
      <c r="K37" s="136">
        <f>R35+R36+R37</f>
        <v>64365531018</v>
      </c>
      <c r="L37" s="190">
        <f>U37/U34-1</f>
        <v>-2.2952174597719588E-2</v>
      </c>
      <c r="M37" s="190">
        <f>U37/U25-1</f>
        <v>6.5008033856843062E-2</v>
      </c>
      <c r="N37" s="191">
        <f>AVERAGE(T35:T37)</f>
        <v>294.6163492674155</v>
      </c>
      <c r="O37" s="192">
        <f>N37/N34-1</f>
        <v>-2.7455719478675866E-2</v>
      </c>
      <c r="P37" s="129" t="s">
        <v>702</v>
      </c>
      <c r="Q37" s="116">
        <v>19169292</v>
      </c>
      <c r="R37" s="116">
        <v>25576754017</v>
      </c>
      <c r="S37" s="116">
        <v>65729.25</v>
      </c>
      <c r="T37" s="130">
        <f t="shared" ref="T37" si="54">Q37/S37</f>
        <v>291.64020584443</v>
      </c>
      <c r="U37" s="85">
        <f>Q35+Q36+Q37</f>
        <v>47470192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985504.5</v>
      </c>
      <c r="G38" s="190">
        <f t="shared" ref="G38" si="55">F38/F37-1</f>
        <v>-7.4609484794743608E-2</v>
      </c>
      <c r="H38" s="190">
        <f t="shared" ref="H38" si="56">F38/F26-1</f>
        <v>0.31037208532856031</v>
      </c>
      <c r="I38" s="130">
        <f t="shared" si="0"/>
        <v>300.63347806178774</v>
      </c>
      <c r="J38" s="130">
        <f t="shared" si="5"/>
        <v>1.8390810825100523E-2</v>
      </c>
      <c r="K38" s="136"/>
      <c r="L38" s="190"/>
      <c r="M38" s="190"/>
      <c r="N38" s="191"/>
      <c r="O38" s="192"/>
      <c r="P38" s="129" t="s">
        <v>727</v>
      </c>
      <c r="Q38" s="116">
        <v>19710090</v>
      </c>
      <c r="R38" s="116">
        <v>26740737370</v>
      </c>
      <c r="S38" s="116">
        <v>65561.86</v>
      </c>
      <c r="T38" s="130">
        <f t="shared" ref="T38" si="57">Q38/S38</f>
        <v>300.63347806178774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909135</v>
      </c>
      <c r="G39" s="190">
        <f t="shared" ref="G39" si="58">F39/F38-1</f>
        <v>-7.7492796836544087E-2</v>
      </c>
      <c r="H39" s="190">
        <f t="shared" ref="H39" si="59">F39/F27-1</f>
        <v>-0.15704028776911716</v>
      </c>
      <c r="I39" s="130">
        <f t="shared" si="0"/>
        <v>366.89659718337356</v>
      </c>
      <c r="J39" s="130">
        <f t="shared" si="5"/>
        <v>0.22228250436220676</v>
      </c>
      <c r="K39" s="136"/>
      <c r="L39" s="190"/>
      <c r="M39" s="190"/>
      <c r="N39" s="191"/>
      <c r="O39" s="192"/>
      <c r="P39" s="129" t="s">
        <v>762</v>
      </c>
      <c r="Q39" s="116">
        <v>19091835</v>
      </c>
      <c r="R39" s="116">
        <v>26581739767</v>
      </c>
      <c r="S39" s="116">
        <v>52036.01</v>
      </c>
      <c r="T39" s="130">
        <f t="shared" ref="T39" si="60">Q39/S39</f>
        <v>366.89659718337356</v>
      </c>
      <c r="U39" s="85"/>
    </row>
    <row r="40" spans="1:21" s="79" customFormat="1" ht="13.2" hidden="1">
      <c r="A40" s="129" t="s">
        <v>778</v>
      </c>
      <c r="B40" s="188">
        <f>SUM(F38:F40)</f>
        <v>3079460.4047619049</v>
      </c>
      <c r="C40" s="188">
        <f>AVERAGE(F38:F40)</f>
        <v>1026486.8015873017</v>
      </c>
      <c r="D40" s="190">
        <f>C40/C37-1</f>
        <v>0.30210214419837356</v>
      </c>
      <c r="E40" s="287">
        <f>C40/C28-1</f>
        <v>9.2592735337617915E-2</v>
      </c>
      <c r="F40" s="136">
        <f>Q40/21</f>
        <v>1184820.9047619049</v>
      </c>
      <c r="G40" s="190">
        <f t="shared" ref="G40" si="61">F40/F39-1</f>
        <v>0.30323978810837215</v>
      </c>
      <c r="H40" s="190">
        <f t="shared" ref="H40" si="62">F40/F28-1</f>
        <v>0.19932625078568367</v>
      </c>
      <c r="I40" s="130">
        <f t="shared" si="0"/>
        <v>339.31568834151352</v>
      </c>
      <c r="J40" s="130">
        <f t="shared" si="5"/>
        <v>0.14438157448782674</v>
      </c>
      <c r="K40" s="136">
        <f>R38+R39+R40</f>
        <v>88831699971</v>
      </c>
      <c r="L40" s="190">
        <f>U40/U37-1</f>
        <v>0.34154005528353459</v>
      </c>
      <c r="M40" s="190">
        <f>U40/U28-1</f>
        <v>0.12144312133957613</v>
      </c>
      <c r="N40" s="191">
        <f>AVERAGE(T38:T40)</f>
        <v>335.61525452889163</v>
      </c>
      <c r="O40" s="192">
        <f>N40/N37-1</f>
        <v>0.13916031938968354</v>
      </c>
      <c r="P40" s="129" t="s">
        <v>778</v>
      </c>
      <c r="Q40" s="116">
        <v>24881239</v>
      </c>
      <c r="R40" s="116">
        <v>35509222834</v>
      </c>
      <c r="S40" s="116">
        <v>73327.7</v>
      </c>
      <c r="T40" s="130">
        <f t="shared" ref="T40" si="63">Q40/S40</f>
        <v>339.31568834151352</v>
      </c>
      <c r="U40" s="85">
        <f>Q38+Q39+Q40</f>
        <v>63683164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461783.88888888888</v>
      </c>
      <c r="G41" s="190">
        <f t="shared" ref="G41" si="64">F41/F40-1</f>
        <v>-0.61025004957885476</v>
      </c>
      <c r="H41" s="190">
        <f t="shared" ref="H41" si="65">F41/F29-1</f>
        <v>-7.7980962745073157E-2</v>
      </c>
      <c r="I41" s="130">
        <f t="shared" si="0"/>
        <v>272.68948584671062</v>
      </c>
      <c r="J41" s="130">
        <f t="shared" si="5"/>
        <v>9.1446987858682327E-2</v>
      </c>
      <c r="K41" s="193"/>
      <c r="L41" s="190"/>
      <c r="M41" s="190"/>
      <c r="N41" s="193"/>
      <c r="O41" s="193"/>
      <c r="P41" s="129" t="s">
        <v>793</v>
      </c>
      <c r="Q41" s="116">
        <v>8312110</v>
      </c>
      <c r="R41" s="116">
        <v>12159280577</v>
      </c>
      <c r="S41" s="116">
        <v>30481.96</v>
      </c>
      <c r="T41" s="130">
        <f t="shared" ref="T41" si="66">Q41/S41</f>
        <v>272.68948584671062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795588.3</v>
      </c>
      <c r="G42" s="190">
        <f t="shared" ref="G42" si="67">F42/F41-1</f>
        <v>0.72285850403808438</v>
      </c>
      <c r="H42" s="190">
        <f t="shared" ref="H42" si="68">F42/F30-1</f>
        <v>5.3127754752587242E-2</v>
      </c>
      <c r="I42" s="130">
        <f t="shared" si="0"/>
        <v>278.29264462003368</v>
      </c>
      <c r="J42" s="130">
        <f t="shared" si="5"/>
        <v>-6.8627210044581166E-2</v>
      </c>
      <c r="K42" s="193"/>
      <c r="L42" s="190"/>
      <c r="M42" s="190"/>
      <c r="N42" s="193"/>
      <c r="O42" s="193"/>
      <c r="P42" s="129" t="s">
        <v>826</v>
      </c>
      <c r="Q42" s="116">
        <v>15911766</v>
      </c>
      <c r="R42" s="116">
        <v>23020475598</v>
      </c>
      <c r="S42" s="116">
        <v>57176.38</v>
      </c>
      <c r="T42" s="130">
        <f t="shared" ref="T42" si="69">Q42/S42</f>
        <v>278.29264462003368</v>
      </c>
      <c r="U42" s="78"/>
    </row>
    <row r="43" spans="1:21" s="79" customFormat="1" ht="13.2">
      <c r="A43" s="129" t="s">
        <v>835</v>
      </c>
      <c r="B43" s="188">
        <f>SUM(F41:F43)</f>
        <v>2246991.4388888888</v>
      </c>
      <c r="C43" s="188">
        <f>AVERAGE(F41:F43)</f>
        <v>748997.14629629627</v>
      </c>
      <c r="D43" s="190">
        <f>C43/C40-1</f>
        <v>-0.27032949168163778</v>
      </c>
      <c r="E43" s="287">
        <f>C43/C31-1</f>
        <v>0.15167283310655888</v>
      </c>
      <c r="F43" s="136">
        <f>Q43/20</f>
        <v>989619.25</v>
      </c>
      <c r="G43" s="190">
        <f t="shared" ref="G43" si="70">F43/F42-1</f>
        <v>0.24388361417582427</v>
      </c>
      <c r="H43" s="190">
        <f t="shared" ref="H43" si="71">F43/F31-1</f>
        <v>0.42437402562859039</v>
      </c>
      <c r="I43" s="130">
        <f t="shared" si="0"/>
        <v>294.48431431363514</v>
      </c>
      <c r="J43" s="130">
        <f t="shared" si="5"/>
        <v>2.267194522455096E-2</v>
      </c>
      <c r="K43" s="136">
        <f>R41+R42+R43</f>
        <v>63882443742</v>
      </c>
      <c r="L43" s="190">
        <f>U43/U40-1</f>
        <v>-0.30882421294268603</v>
      </c>
      <c r="M43" s="190">
        <f>K43/K31-1</f>
        <v>0.22522538915221335</v>
      </c>
      <c r="N43" s="191">
        <f>AVERAGE(T41:T43)</f>
        <v>281.82214826012654</v>
      </c>
      <c r="O43" s="192">
        <f>N43/N40-1</f>
        <v>-0.16028206567748327</v>
      </c>
      <c r="P43" s="129" t="s">
        <v>835</v>
      </c>
      <c r="Q43" s="116">
        <v>19792385</v>
      </c>
      <c r="R43" s="116">
        <v>28702687567</v>
      </c>
      <c r="S43" s="116">
        <v>67210.320000000007</v>
      </c>
      <c r="T43" s="130">
        <f t="shared" ref="T43" si="72">Q43/S43</f>
        <v>294.48431431363514</v>
      </c>
      <c r="U43" s="85">
        <f>Q41+Q42+Q43</f>
        <v>44016261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777316.54545454541</v>
      </c>
      <c r="G44" s="190">
        <f t="shared" ref="G44" si="73">F44/F43-1</f>
        <v>-0.2145296835580498</v>
      </c>
      <c r="H44" s="190">
        <f t="shared" ref="H44" si="74">F44/F32-1</f>
        <v>0.1816859233760646</v>
      </c>
      <c r="I44" s="130">
        <f t="shared" si="0"/>
        <v>287.07487195671627</v>
      </c>
      <c r="J44" s="130">
        <f t="shared" si="5"/>
        <v>1.8688864493482393E-2</v>
      </c>
      <c r="K44" s="136"/>
      <c r="L44" s="190"/>
      <c r="M44" s="190"/>
      <c r="N44" s="191"/>
      <c r="O44" s="192"/>
      <c r="P44" s="129" t="s">
        <v>843</v>
      </c>
      <c r="Q44" s="116">
        <v>17100964</v>
      </c>
      <c r="R44" s="116">
        <v>24738953684</v>
      </c>
      <c r="S44" s="116">
        <v>59569.7</v>
      </c>
      <c r="T44" s="130">
        <f t="shared" ref="T44" si="75">Q44/S44</f>
        <v>287.07487195671627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867912</v>
      </c>
      <c r="G45" s="190">
        <f t="shared" ref="G45" si="76">F45/F44-1</f>
        <v>0.11654898519171208</v>
      </c>
      <c r="H45" s="190">
        <f t="shared" ref="H45" si="77">F45/F33-1</f>
        <v>0.34280880163823357</v>
      </c>
      <c r="I45" s="130">
        <f t="shared" si="0"/>
        <v>302.63549716407368</v>
      </c>
      <c r="J45" s="130">
        <f t="shared" si="5"/>
        <v>3.3629669752298419E-2</v>
      </c>
      <c r="K45" s="136"/>
      <c r="L45" s="190"/>
      <c r="M45" s="190"/>
      <c r="N45" s="191"/>
      <c r="O45" s="192"/>
      <c r="P45" s="129" t="s">
        <v>866</v>
      </c>
      <c r="Q45" s="116">
        <v>17358240</v>
      </c>
      <c r="R45" s="116">
        <v>24314185649</v>
      </c>
      <c r="S45" s="116">
        <v>57356.92</v>
      </c>
      <c r="T45" s="130">
        <f t="shared" ref="T45" si="78">Q45/S45</f>
        <v>302.63549716407368</v>
      </c>
      <c r="U45" s="85"/>
    </row>
    <row r="46" spans="1:21" s="79" customFormat="1" ht="13.2">
      <c r="A46" s="129" t="s">
        <v>922</v>
      </c>
      <c r="B46" s="188">
        <f>SUM(F44:F46)</f>
        <v>3002648.8612440191</v>
      </c>
      <c r="C46" s="188">
        <f>AVERAGE(F44:F46)</f>
        <v>1000882.9537480064</v>
      </c>
      <c r="D46" s="190">
        <f>C46/C43-1</f>
        <v>0.33629741941909397</v>
      </c>
      <c r="E46" s="287">
        <f>C46/C34-1</f>
        <v>0.2408437761989779</v>
      </c>
      <c r="F46" s="136">
        <f>Q46/19</f>
        <v>1357420.3157894737</v>
      </c>
      <c r="G46" s="190">
        <f t="shared" ref="G46" si="79">F46/F45-1</f>
        <v>0.56400685298679321</v>
      </c>
      <c r="H46" s="190">
        <f t="shared" ref="H46" si="80">F46/F34-1</f>
        <v>0.21665275911342574</v>
      </c>
      <c r="I46" s="130">
        <f t="shared" si="0"/>
        <v>301.03351277155008</v>
      </c>
      <c r="J46" s="130">
        <f t="shared" si="5"/>
        <v>-9.9250961936635185E-2</v>
      </c>
      <c r="K46" s="136">
        <f>R44+R45+R46</f>
        <v>84373971343</v>
      </c>
      <c r="L46" s="190">
        <f>U46/U43-1</f>
        <v>0.36881662892720479</v>
      </c>
      <c r="M46" s="190">
        <f>K46/K34-1</f>
        <v>0.26765587542749869</v>
      </c>
      <c r="N46" s="191">
        <f>AVERAGE(T44:T46)</f>
        <v>296.91462729744666</v>
      </c>
      <c r="O46" s="192">
        <f>N46/N43-1</f>
        <v>5.3553204141320698E-2</v>
      </c>
      <c r="P46" s="129" t="s">
        <v>888</v>
      </c>
      <c r="Q46" s="116">
        <v>25790986</v>
      </c>
      <c r="R46" s="116">
        <v>35320832010</v>
      </c>
      <c r="S46" s="116">
        <v>85674.8</v>
      </c>
      <c r="T46" s="130">
        <f t="shared" ref="T46" si="81">Q46/S46</f>
        <v>301.03351277155008</v>
      </c>
      <c r="U46" s="85">
        <f t="shared" ref="U46:U51" si="82">Q44+Q45+Q46</f>
        <v>60250190</v>
      </c>
    </row>
    <row r="47" spans="1:21" s="79" customFormat="1" ht="13.2">
      <c r="A47" s="129" t="s">
        <v>1020</v>
      </c>
      <c r="B47" s="188"/>
      <c r="C47" s="188"/>
      <c r="D47" s="190"/>
      <c r="E47" s="287"/>
      <c r="F47" s="136">
        <f>Q47/23</f>
        <v>574734.60869565222</v>
      </c>
      <c r="G47" s="190">
        <f t="shared" ref="G47" si="83">F47/F46-1</f>
        <v>-0.57659790264639776</v>
      </c>
      <c r="H47" s="190">
        <f t="shared" ref="H47" si="84">F47/F35-1</f>
        <v>0.14917722644733233</v>
      </c>
      <c r="I47" s="130">
        <f t="shared" si="0"/>
        <v>272.30100796866259</v>
      </c>
      <c r="J47" s="130">
        <f t="shared" si="5"/>
        <v>-5.8147912670406865E-2</v>
      </c>
      <c r="K47" s="136"/>
      <c r="L47" s="190"/>
      <c r="M47" s="190"/>
      <c r="N47" s="191"/>
      <c r="O47" s="192"/>
      <c r="P47" s="129" t="s">
        <v>991</v>
      </c>
      <c r="Q47" s="116">
        <v>13218896</v>
      </c>
      <c r="R47" s="116">
        <v>18171136350</v>
      </c>
      <c r="S47" s="116">
        <v>48545.16</v>
      </c>
      <c r="T47" s="130">
        <f t="shared" ref="T47" si="85">Q47/S47</f>
        <v>272.30100796866259</v>
      </c>
      <c r="U47" s="85">
        <f t="shared" si="82"/>
        <v>56368122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568590.19999999995</v>
      </c>
      <c r="G48" s="190">
        <f t="shared" ref="G48" si="86">F48/F47-1</f>
        <v>-1.0690862534965206E-2</v>
      </c>
      <c r="H48" s="190">
        <f t="shared" ref="H48" si="87">F48/F36-1</f>
        <v>-0.28917669733821538</v>
      </c>
      <c r="I48" s="130">
        <f t="shared" si="0"/>
        <v>251.21287631771952</v>
      </c>
      <c r="J48" s="130">
        <f t="shared" si="5"/>
        <v>-0.17117872323035788</v>
      </c>
      <c r="K48" s="136"/>
      <c r="L48" s="190"/>
      <c r="M48" s="190"/>
      <c r="N48" s="191"/>
      <c r="O48" s="192"/>
      <c r="P48" s="129" t="s">
        <v>1146</v>
      </c>
      <c r="Q48" s="116">
        <v>11371804</v>
      </c>
      <c r="R48" s="116">
        <v>15786377450</v>
      </c>
      <c r="S48" s="116">
        <v>45267.6</v>
      </c>
      <c r="T48" s="130">
        <f t="shared" ref="T48" si="88">Q48/S48</f>
        <v>251.21287631771952</v>
      </c>
      <c r="U48" s="85">
        <f t="shared" si="82"/>
        <v>50381686</v>
      </c>
    </row>
    <row r="49" spans="1:26" ht="13.2">
      <c r="A49" s="129" t="s">
        <v>1158</v>
      </c>
      <c r="B49" s="188">
        <f>SUM(F47:F49)</f>
        <v>2121054.6723320158</v>
      </c>
      <c r="C49" s="188">
        <f>AVERAGE(F47:F49)</f>
        <v>707018.2241106719</v>
      </c>
      <c r="D49" s="190">
        <f>C49/C46-1</f>
        <v>-0.29360548956988353</v>
      </c>
      <c r="E49" s="287">
        <f>C49/C37-1</f>
        <v>-0.10314487806540484</v>
      </c>
      <c r="F49" s="136">
        <f>Q49/22</f>
        <v>977729.86363636365</v>
      </c>
      <c r="G49" s="190">
        <f t="shared" ref="G49" si="89">F49/F48-1</f>
        <v>0.71956861661766891</v>
      </c>
      <c r="H49" s="190">
        <f t="shared" ref="H49" si="90">F49/F37-1</f>
        <v>-8.1909882459167305E-2</v>
      </c>
      <c r="I49" s="130">
        <f t="shared" si="0"/>
        <v>281.95877592725981</v>
      </c>
      <c r="J49" s="130">
        <f t="shared" si="5"/>
        <v>-3.3196485680491383E-2</v>
      </c>
      <c r="K49" s="136">
        <f>R47+R48+R49</f>
        <v>63864987288</v>
      </c>
      <c r="L49" s="190">
        <f>U49/U46-1</f>
        <v>-0.23484462040700615</v>
      </c>
      <c r="M49" s="190">
        <f>K49/K37-1</f>
        <v>-7.7765804473829414E-3</v>
      </c>
      <c r="N49" s="191">
        <f>AVERAGE(T47:T49)</f>
        <v>268.49088673788066</v>
      </c>
      <c r="O49" s="192">
        <f>N49/N46-1</f>
        <v>-9.573034787232404E-2</v>
      </c>
      <c r="P49" s="129" t="s">
        <v>1158</v>
      </c>
      <c r="Q49" s="116">
        <v>21510057</v>
      </c>
      <c r="R49" s="116">
        <v>29907473488</v>
      </c>
      <c r="S49" s="116">
        <v>76287.95</v>
      </c>
      <c r="T49" s="130">
        <f t="shared" ref="T49" si="91">Q49/S49</f>
        <v>281.95877592725981</v>
      </c>
      <c r="U49" s="85">
        <f t="shared" si="82"/>
        <v>46100757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1039888.0555555555</v>
      </c>
      <c r="G50" s="190">
        <f t="shared" ref="G50" si="92">F50/F49-1</f>
        <v>6.3573993421877972E-2</v>
      </c>
      <c r="H50" s="190">
        <f t="shared" ref="H50" si="93">F50/F38-1</f>
        <v>5.5183467508829853E-2</v>
      </c>
      <c r="I50" s="130">
        <f t="shared" ref="I50" si="94">T50</f>
        <v>377.94160375543174</v>
      </c>
      <c r="J50" s="130">
        <f t="shared" ref="J50" si="95">I50/I38-1</f>
        <v>0.25715075444044611</v>
      </c>
      <c r="K50" s="136"/>
      <c r="L50" s="190"/>
      <c r="M50" s="190"/>
      <c r="N50" s="191"/>
      <c r="O50" s="192"/>
      <c r="P50" s="129" t="s">
        <v>1371</v>
      </c>
      <c r="Q50" s="116">
        <v>18717985</v>
      </c>
      <c r="R50" s="116">
        <v>26489211517</v>
      </c>
      <c r="S50" s="116">
        <v>49526.13</v>
      </c>
      <c r="T50" s="130">
        <f t="shared" ref="T50" si="96">Q50/S50</f>
        <v>377.94160375543174</v>
      </c>
      <c r="U50" s="85">
        <f t="shared" si="82"/>
        <v>51599846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862313.75</v>
      </c>
      <c r="G51" s="190">
        <f t="shared" ref="G51:G52" si="97">F51/F50-1</f>
        <v>-0.17076290530203964</v>
      </c>
      <c r="H51" s="190">
        <f t="shared" ref="H51:H52" si="98">F51/F39-1</f>
        <v>-5.1500877207455442E-2</v>
      </c>
      <c r="I51" s="130">
        <f t="shared" ref="I51:I52" si="99">T51</f>
        <v>269.46757331491705</v>
      </c>
      <c r="J51" s="130">
        <f t="shared" ref="J51:J52" si="100">I51/I39-1</f>
        <v>-0.26554899831835144</v>
      </c>
      <c r="K51" s="136"/>
      <c r="L51" s="190"/>
      <c r="M51" s="190"/>
      <c r="N51" s="191"/>
      <c r="O51" s="192"/>
      <c r="P51" s="129" t="s">
        <v>1402</v>
      </c>
      <c r="Q51" s="116">
        <v>17246275</v>
      </c>
      <c r="R51" s="116">
        <v>25065426319</v>
      </c>
      <c r="S51" s="116">
        <v>64001.3</v>
      </c>
      <c r="T51" s="130">
        <f t="shared" ref="T51:T52" si="101">Q51/S51</f>
        <v>269.46757331491705</v>
      </c>
      <c r="U51" s="85">
        <f t="shared" si="82"/>
        <v>57474317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3294262.5782828284</v>
      </c>
      <c r="C52" s="188">
        <f>AVERAGE(F50:F52)</f>
        <v>1098087.5260942762</v>
      </c>
      <c r="D52" s="190">
        <f>C52/C49-1</f>
        <v>0.55312478327629222</v>
      </c>
      <c r="E52" s="287">
        <f>C52/C40-1</f>
        <v>6.9753185716811217E-2</v>
      </c>
      <c r="F52" s="136">
        <f>Q52/22</f>
        <v>1392060.7727272727</v>
      </c>
      <c r="G52" s="190">
        <f t="shared" si="97"/>
        <v>0.61433210676192118</v>
      </c>
      <c r="H52" s="190">
        <f t="shared" si="98"/>
        <v>0.17491239995213759</v>
      </c>
      <c r="I52" s="130">
        <f t="shared" si="99"/>
        <v>385.16816414208739</v>
      </c>
      <c r="J52" s="130">
        <f t="shared" si="100"/>
        <v>0.13513220100340417</v>
      </c>
      <c r="K52" s="136">
        <f>R50+R51+R52</f>
        <v>96614683706</v>
      </c>
      <c r="L52" s="190">
        <f>U52/U49-1</f>
        <v>0.44443608594106165</v>
      </c>
      <c r="M52" s="190">
        <f>K52/K40-1</f>
        <v>8.7614936306980917E-2</v>
      </c>
      <c r="N52" s="191">
        <f>AVERAGE(T50:T52)</f>
        <v>344.19244707081202</v>
      </c>
      <c r="O52" s="192">
        <f>N52/N49-1</f>
        <v>0.28195206642837167</v>
      </c>
      <c r="P52" s="129" t="s">
        <v>1403</v>
      </c>
      <c r="Q52" s="116">
        <v>30625337</v>
      </c>
      <c r="R52" s="116">
        <v>45060045870</v>
      </c>
      <c r="S52" s="116">
        <v>79511.600000000006</v>
      </c>
      <c r="T52" s="130">
        <f t="shared" si="101"/>
        <v>385.16816414208739</v>
      </c>
      <c r="U52" s="85">
        <f t="shared" ref="U52" si="102">Q50+Q51+Q52</f>
        <v>66589597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720422.52380952379</v>
      </c>
      <c r="G53" s="190">
        <f t="shared" ref="G53" si="103">F53/F52-1</f>
        <v>-0.48247767775389627</v>
      </c>
      <c r="H53" s="190">
        <f t="shared" ref="H53" si="104">F53/F41-1</f>
        <v>0.56008587814302602</v>
      </c>
      <c r="I53" s="130">
        <f t="shared" ref="I53" si="105">T53</f>
        <v>257.6071367089931</v>
      </c>
      <c r="J53" s="130">
        <f t="shared" ref="J53" si="106">I53/I41-1</f>
        <v>-5.5309610089608996E-2</v>
      </c>
      <c r="K53" s="136"/>
      <c r="L53" s="190"/>
      <c r="M53" s="190"/>
      <c r="N53" s="191"/>
      <c r="O53" s="192"/>
      <c r="P53" s="129" t="s">
        <v>1414</v>
      </c>
      <c r="Q53" s="116">
        <v>15128873</v>
      </c>
      <c r="R53" s="116">
        <v>22070455506</v>
      </c>
      <c r="S53" s="116">
        <v>58728.47</v>
      </c>
      <c r="T53" s="130">
        <f t="shared" ref="T53" si="107">Q53/S53</f>
        <v>257.6071367089931</v>
      </c>
      <c r="U53" s="85">
        <f t="shared" ref="U53" si="108">Q51+Q52+Q53</f>
        <v>63000485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947920.70588235289</v>
      </c>
      <c r="G54" s="190">
        <f t="shared" ref="G54" si="109">F54/F53-1</f>
        <v>0.31578438285055421</v>
      </c>
      <c r="H54" s="190">
        <f t="shared" ref="H54" si="110">F54/F42-1</f>
        <v>0.1914714003239526</v>
      </c>
      <c r="I54" s="130">
        <f t="shared" ref="I54" si="111">T54</f>
        <v>278.51547613348225</v>
      </c>
      <c r="J54" s="130">
        <f t="shared" ref="J54" si="112">I54/I42-1</f>
        <v>8.0070931717513005E-4</v>
      </c>
      <c r="K54" s="136"/>
      <c r="L54" s="190"/>
      <c r="M54" s="190"/>
      <c r="N54" s="191"/>
      <c r="O54" s="192"/>
      <c r="P54" s="129" t="s">
        <v>1417</v>
      </c>
      <c r="Q54" s="116">
        <v>16114652</v>
      </c>
      <c r="R54" s="116">
        <v>23363833329</v>
      </c>
      <c r="S54" s="116">
        <v>57859.09</v>
      </c>
      <c r="T54" s="130">
        <f t="shared" ref="T54" si="113">Q54/S54</f>
        <v>278.51547613348225</v>
      </c>
      <c r="U54" s="85">
        <f t="shared" ref="U54" si="114">Q52+Q53+Q54</f>
        <v>61868862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2943146.2296918766</v>
      </c>
      <c r="C55" s="188">
        <f>AVERAGE(F53:F55)</f>
        <v>981048.74323062552</v>
      </c>
      <c r="D55" s="190">
        <f>C55/C52-1</f>
        <v>-0.10658420215366549</v>
      </c>
      <c r="E55" s="287">
        <f>C55/C43-1</f>
        <v>0.30981639660684612</v>
      </c>
      <c r="F55" s="136">
        <f>Q55/21</f>
        <v>1274803</v>
      </c>
      <c r="G55" s="190">
        <f t="shared" ref="G55" si="115">F55/F54-1</f>
        <v>0.34484139030740479</v>
      </c>
      <c r="H55" s="190">
        <f t="shared" ref="H55" si="116">F55/F43-1</f>
        <v>0.28817522496657166</v>
      </c>
      <c r="I55" s="130">
        <f>T55</f>
        <v>291.8498355086183</v>
      </c>
      <c r="J55" s="130">
        <f t="shared" ref="J55" si="117">I55/I43-1</f>
        <v>-8.9460751454865095E-3</v>
      </c>
      <c r="K55" s="136">
        <f>R53+R54+R55</f>
        <v>84955532136</v>
      </c>
      <c r="L55" s="190">
        <f>U55/U52-1</f>
        <v>-0.12877700701507477</v>
      </c>
      <c r="M55" s="190">
        <f>K55/K43-1</f>
        <v>0.32987292219294573</v>
      </c>
      <c r="N55" s="191">
        <f>AVERAGE(T53:T55)</f>
        <v>275.99081611703122</v>
      </c>
      <c r="O55" s="192">
        <f>N55/N52-1</f>
        <v>-0.19814970239526908</v>
      </c>
      <c r="P55" s="129" t="s">
        <v>1418</v>
      </c>
      <c r="Q55" s="116">
        <v>26770863</v>
      </c>
      <c r="R55" s="116">
        <v>39521243301</v>
      </c>
      <c r="S55" s="116">
        <v>91728.21</v>
      </c>
      <c r="T55" s="130">
        <f t="shared" ref="T55" si="118">Q55/S55</f>
        <v>291.8498355086183</v>
      </c>
      <c r="U55" s="85">
        <f t="shared" ref="U55" si="119">Q53+Q54+Q55</f>
        <v>58014388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644083.68181818177</v>
      </c>
      <c r="G56" s="190">
        <f t="shared" ref="G56" si="120">F56/F55-1</f>
        <v>-0.49475826318405136</v>
      </c>
      <c r="H56" s="190">
        <f t="shared" ref="H56" si="121">F56/F44-1</f>
        <v>-0.17140103914609728</v>
      </c>
      <c r="I56" s="291">
        <f>T56</f>
        <v>285.32292090989432</v>
      </c>
      <c r="J56" s="130">
        <f t="shared" ref="J56" si="122">I56/I44-1</f>
        <v>-6.1027669711408716E-3</v>
      </c>
      <c r="K56" s="136"/>
      <c r="L56" s="190"/>
      <c r="M56" s="190"/>
      <c r="N56" s="191"/>
      <c r="O56" s="192"/>
      <c r="P56" s="129" t="s">
        <v>1420</v>
      </c>
      <c r="Q56" s="116">
        <v>14169841</v>
      </c>
      <c r="R56" s="116">
        <v>21066036364</v>
      </c>
      <c r="S56" s="116">
        <v>49662.47</v>
      </c>
      <c r="T56" s="130">
        <f t="shared" ref="T56" si="123">Q56/S56</f>
        <v>285.32292090989432</v>
      </c>
      <c r="U56" s="85">
        <f t="shared" ref="U56" si="124">Q54+Q55+Q56</f>
        <v>57055356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551008.5</v>
      </c>
      <c r="G57" s="254">
        <f t="shared" ref="G57" si="125">F57/F56-1</f>
        <v>-0.14450790238224964</v>
      </c>
      <c r="H57" s="254">
        <f t="shared" ref="H57" si="126">F57/F45-1</f>
        <v>-0.365133216270774</v>
      </c>
      <c r="I57" s="282">
        <f>T57</f>
        <v>287.55333375372646</v>
      </c>
      <c r="J57" s="277">
        <f t="shared" ref="J57" si="127">I57/I45-1</f>
        <v>-4.9836068642570508E-2</v>
      </c>
      <c r="K57" s="204"/>
      <c r="L57" s="254"/>
      <c r="M57" s="254"/>
      <c r="N57" s="257"/>
      <c r="O57" s="258"/>
      <c r="P57" s="129" t="s">
        <v>1436</v>
      </c>
      <c r="Q57" s="116">
        <v>6612102</v>
      </c>
      <c r="R57" s="116">
        <v>9728985680</v>
      </c>
      <c r="S57" s="116">
        <v>22994.35</v>
      </c>
      <c r="T57" s="130">
        <f t="shared" ref="T57" si="128">Q57/S57</f>
        <v>287.55333375372646</v>
      </c>
      <c r="U57" s="85">
        <f t="shared" ref="U57" si="129">Q55+Q56+Q57</f>
        <v>47552806</v>
      </c>
      <c r="V57" s="79"/>
      <c r="W57" s="79"/>
      <c r="X57" s="79"/>
      <c r="Y57" s="79"/>
      <c r="Z57" s="79"/>
    </row>
    <row r="58" spans="1:26">
      <c r="B58" s="196">
        <f>SUM(F56:F58)</f>
        <v>1195092.1818181816</v>
      </c>
      <c r="C58" s="196">
        <f>AVERAGE(F56:F58)</f>
        <v>597546.09090909082</v>
      </c>
      <c r="D58" s="197">
        <f>C58/C55-1</f>
        <v>-0.39091090526108618</v>
      </c>
      <c r="E58" s="233">
        <f>C58/C46-1</f>
        <v>-0.40298104921113909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78796331</v>
      </c>
      <c r="R67" s="212">
        <v>115750554180</v>
      </c>
      <c r="S67" s="213">
        <v>280972.59000000003</v>
      </c>
      <c r="T67" s="214">
        <v>41</v>
      </c>
      <c r="U67" s="214">
        <v>350</v>
      </c>
    </row>
    <row r="68" spans="16:21" ht="18" thickBot="1">
      <c r="P68" s="180" t="s">
        <v>976</v>
      </c>
      <c r="Q68" s="181">
        <v>15128873</v>
      </c>
      <c r="R68" s="181">
        <v>22070455506</v>
      </c>
      <c r="S68" s="182">
        <v>58728.47</v>
      </c>
      <c r="T68" s="210">
        <v>27</v>
      </c>
      <c r="U68" s="210">
        <v>125</v>
      </c>
    </row>
    <row r="69" spans="16:21" ht="18" thickBot="1">
      <c r="P69" s="180" t="s">
        <v>977</v>
      </c>
      <c r="Q69" s="181">
        <v>16114652</v>
      </c>
      <c r="R69" s="181">
        <v>23363833329</v>
      </c>
      <c r="S69" s="182">
        <v>57859.09</v>
      </c>
      <c r="T69" s="210">
        <v>27</v>
      </c>
      <c r="U69" s="210">
        <v>119</v>
      </c>
    </row>
    <row r="70" spans="16:21" ht="18" thickBot="1">
      <c r="P70" s="180" t="s">
        <v>978</v>
      </c>
      <c r="Q70" s="181">
        <v>26770863</v>
      </c>
      <c r="R70" s="181">
        <v>39521243301</v>
      </c>
      <c r="S70" s="182">
        <v>91728.21</v>
      </c>
      <c r="T70" s="210">
        <v>27</v>
      </c>
      <c r="U70" s="210">
        <v>153</v>
      </c>
    </row>
    <row r="71" spans="16:21" ht="18" thickBot="1">
      <c r="P71" s="180" t="s">
        <v>979</v>
      </c>
      <c r="Q71" s="181">
        <v>14169841</v>
      </c>
      <c r="R71" s="181">
        <v>21066036364</v>
      </c>
      <c r="S71" s="182">
        <v>49662.47</v>
      </c>
      <c r="T71" s="210">
        <v>29</v>
      </c>
      <c r="U71" s="210">
        <v>122</v>
      </c>
    </row>
    <row r="72" spans="16:21" ht="18" thickBot="1">
      <c r="P72" s="180" t="s">
        <v>980</v>
      </c>
      <c r="Q72" s="181">
        <v>6612102</v>
      </c>
      <c r="R72" s="181">
        <v>9728985680</v>
      </c>
      <c r="S72" s="182">
        <v>22994.35</v>
      </c>
      <c r="T72" s="210">
        <v>21</v>
      </c>
      <c r="U72" s="210">
        <v>70</v>
      </c>
    </row>
    <row r="73" spans="16:21" ht="18" thickBot="1">
      <c r="P73" s="215" t="s">
        <v>975</v>
      </c>
      <c r="Q73" s="217">
        <v>212</v>
      </c>
      <c r="R73"/>
      <c r="S73"/>
      <c r="T73"/>
      <c r="U73"/>
    </row>
    <row r="74" spans="16:21" ht="18" thickBot="1">
      <c r="P74" s="180" t="s">
        <v>982</v>
      </c>
      <c r="Q74" s="181">
        <v>198962814</v>
      </c>
      <c r="R74" s="181">
        <v>271835456022</v>
      </c>
      <c r="S74" s="182">
        <v>650944.37</v>
      </c>
      <c r="T74" s="210">
        <v>63</v>
      </c>
      <c r="U74" s="210">
        <v>648</v>
      </c>
    </row>
    <row r="75" spans="16:21" ht="18" thickBot="1">
      <c r="P75" s="215" t="s">
        <v>1386</v>
      </c>
      <c r="Q75" s="216">
        <v>193934344</v>
      </c>
      <c r="R75"/>
      <c r="S75"/>
      <c r="T75"/>
      <c r="U75"/>
    </row>
  </sheetData>
  <phoneticPr fontId="1" type="noConversion"/>
  <conditionalFormatting sqref="C29:C30">
    <cfRule type="cellIs" dxfId="1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4"/>
  <dimension ref="A1:Z72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281</v>
      </c>
      <c r="F4" s="84" t="s">
        <v>72</v>
      </c>
      <c r="G4" s="172" t="s">
        <v>290</v>
      </c>
      <c r="H4" s="172" t="s">
        <v>281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348336.4</v>
      </c>
      <c r="G5" s="90"/>
      <c r="H5" s="90"/>
      <c r="I5" s="130">
        <f t="shared" ref="I5:I49" si="0">T5</f>
        <v>267.41983713123733</v>
      </c>
      <c r="J5" s="130"/>
      <c r="L5" s="80"/>
      <c r="M5" s="80"/>
      <c r="P5" s="129" t="s">
        <v>0</v>
      </c>
      <c r="Q5" s="116">
        <v>6966728</v>
      </c>
      <c r="R5" s="116"/>
      <c r="S5" s="116">
        <v>26051.65</v>
      </c>
      <c r="T5" s="130">
        <f t="shared" ref="T5:T23" si="1">Q5/S5</f>
        <v>267.41983713123733</v>
      </c>
      <c r="U5" s="85"/>
    </row>
    <row r="6" spans="1:21" ht="15" hidden="1" customHeight="1">
      <c r="A6" s="129" t="s">
        <v>1</v>
      </c>
      <c r="C6" s="79"/>
      <c r="F6" s="78">
        <f>Q6/18</f>
        <v>405713.77777777775</v>
      </c>
      <c r="G6" s="90">
        <f t="shared" ref="G6:G22" si="2">F6/F5-1</f>
        <v>0.16471829466509313</v>
      </c>
      <c r="H6" s="90"/>
      <c r="I6" s="130">
        <f t="shared" si="0"/>
        <v>229.06181504292763</v>
      </c>
      <c r="J6" s="130"/>
      <c r="P6" s="129" t="s">
        <v>1</v>
      </c>
      <c r="Q6" s="116">
        <v>7302848</v>
      </c>
      <c r="R6" s="116"/>
      <c r="S6" s="116">
        <v>31881.56</v>
      </c>
      <c r="T6" s="130">
        <f t="shared" si="1"/>
        <v>229.06181504292763</v>
      </c>
      <c r="U6" s="85"/>
    </row>
    <row r="7" spans="1:21" ht="15" hidden="1" customHeight="1">
      <c r="A7" s="129" t="s">
        <v>2</v>
      </c>
      <c r="B7" s="131">
        <f>F5+F6+F7</f>
        <v>1181397.2232323233</v>
      </c>
      <c r="C7" s="131">
        <f>AVERAGE(F5:F7)</f>
        <v>393799.07441077445</v>
      </c>
      <c r="F7" s="78">
        <f>Q7/22</f>
        <v>427347.04545454547</v>
      </c>
      <c r="G7" s="90">
        <f t="shared" si="2"/>
        <v>5.3321501170751295E-2</v>
      </c>
      <c r="H7" s="90"/>
      <c r="I7" s="130">
        <f t="shared" si="0"/>
        <v>272.27447792484156</v>
      </c>
      <c r="J7" s="130"/>
      <c r="K7" s="79">
        <f>R5+R6+R7</f>
        <v>0</v>
      </c>
      <c r="N7" s="88">
        <f>AVERAGE(T5:T7)</f>
        <v>256.2520433663355</v>
      </c>
      <c r="P7" s="129" t="s">
        <v>2</v>
      </c>
      <c r="Q7" s="116">
        <v>9401635</v>
      </c>
      <c r="R7" s="116"/>
      <c r="S7" s="116">
        <v>34529.99</v>
      </c>
      <c r="T7" s="130">
        <f t="shared" si="1"/>
        <v>272.27447792484156</v>
      </c>
      <c r="U7" s="85">
        <f>Q5+Q6+Q7</f>
        <v>23671211</v>
      </c>
    </row>
    <row r="8" spans="1:21" ht="15" hidden="1" customHeight="1">
      <c r="A8" s="129" t="s">
        <v>3</v>
      </c>
      <c r="C8" s="79"/>
      <c r="F8" s="78">
        <f>Q8/21</f>
        <v>380883.95238095237</v>
      </c>
      <c r="G8" s="90">
        <f t="shared" si="2"/>
        <v>-0.10872449819835039</v>
      </c>
      <c r="H8" s="90"/>
      <c r="I8" s="130">
        <f t="shared" si="0"/>
        <v>313.17015281142244</v>
      </c>
      <c r="J8" s="130"/>
      <c r="K8" s="78"/>
      <c r="P8" s="129" t="s">
        <v>3</v>
      </c>
      <c r="Q8" s="116">
        <v>7998563</v>
      </c>
      <c r="R8" s="116"/>
      <c r="S8" s="116">
        <v>25540.63</v>
      </c>
      <c r="T8" s="130">
        <f t="shared" si="1"/>
        <v>313.17015281142244</v>
      </c>
      <c r="U8" s="85"/>
    </row>
    <row r="9" spans="1:21" ht="15" hidden="1" customHeight="1">
      <c r="A9" s="129" t="s">
        <v>4</v>
      </c>
      <c r="C9" s="79"/>
      <c r="F9" s="78">
        <f>Q9/21</f>
        <v>253909</v>
      </c>
      <c r="G9" s="90">
        <f t="shared" si="2"/>
        <v>-0.33336913143023317</v>
      </c>
      <c r="H9" s="90"/>
      <c r="I9" s="130">
        <f t="shared" si="0"/>
        <v>218.69476839330935</v>
      </c>
      <c r="J9" s="130"/>
      <c r="K9" s="78"/>
      <c r="P9" s="129" t="s">
        <v>4</v>
      </c>
      <c r="Q9" s="116">
        <v>5332089</v>
      </c>
      <c r="R9" s="116"/>
      <c r="S9" s="116">
        <v>24381.42</v>
      </c>
      <c r="T9" s="130">
        <f t="shared" si="1"/>
        <v>218.69476839330935</v>
      </c>
      <c r="U9" s="85"/>
    </row>
    <row r="10" spans="1:21" ht="15" hidden="1" customHeight="1">
      <c r="A10" s="129" t="s">
        <v>5</v>
      </c>
      <c r="B10" s="131">
        <f>F8+F9+F10</f>
        <v>1024598.4285714286</v>
      </c>
      <c r="C10" s="131">
        <f>AVERAGE(F8:F10)</f>
        <v>341532.80952380953</v>
      </c>
      <c r="D10" s="90">
        <f>C10/C7-1</f>
        <v>-0.13272317860362881</v>
      </c>
      <c r="E10" s="286"/>
      <c r="F10" s="78">
        <f>Q10/21</f>
        <v>389805.47619047621</v>
      </c>
      <c r="G10" s="90">
        <f t="shared" si="2"/>
        <v>0.53521724787414482</v>
      </c>
      <c r="H10" s="90"/>
      <c r="I10" s="130">
        <f t="shared" si="0"/>
        <v>262.24341221113599</v>
      </c>
      <c r="J10" s="130"/>
      <c r="K10" s="79">
        <f>R8+R9+R10</f>
        <v>0</v>
      </c>
      <c r="L10" s="87">
        <f>U10/U7-1</f>
        <v>-9.1023817919581695E-2</v>
      </c>
      <c r="N10" s="88">
        <f>AVERAGE(T8:T10)</f>
        <v>264.70277780528926</v>
      </c>
      <c r="O10" s="89">
        <f>N10/N7-1</f>
        <v>3.2978212887351255E-2</v>
      </c>
      <c r="P10" s="129" t="s">
        <v>5</v>
      </c>
      <c r="Q10" s="116">
        <v>8185915</v>
      </c>
      <c r="R10" s="116"/>
      <c r="S10" s="116">
        <v>31214.95</v>
      </c>
      <c r="T10" s="130">
        <f t="shared" si="1"/>
        <v>262.24341221113599</v>
      </c>
      <c r="U10" s="85">
        <f>Q8+Q9+Q10</f>
        <v>21516567</v>
      </c>
    </row>
    <row r="11" spans="1:21" ht="15" hidden="1" customHeight="1">
      <c r="A11" s="129" t="s">
        <v>6</v>
      </c>
      <c r="C11" s="79"/>
      <c r="F11" s="78">
        <f>Q11/21</f>
        <v>328341</v>
      </c>
      <c r="G11" s="90">
        <f t="shared" si="2"/>
        <v>-0.15767986840811321</v>
      </c>
      <c r="H11" s="90"/>
      <c r="I11" s="130">
        <f t="shared" si="0"/>
        <v>263.9101111382011</v>
      </c>
      <c r="J11" s="130"/>
      <c r="K11" s="78"/>
      <c r="O11" s="89"/>
      <c r="P11" s="129" t="s">
        <v>6</v>
      </c>
      <c r="Q11" s="116">
        <v>6895161</v>
      </c>
      <c r="R11" s="116"/>
      <c r="S11" s="116">
        <v>26126.93</v>
      </c>
      <c r="T11" s="130">
        <f t="shared" si="1"/>
        <v>263.9101111382011</v>
      </c>
      <c r="U11" s="85"/>
    </row>
    <row r="12" spans="1:21" ht="15" hidden="1" customHeight="1">
      <c r="A12" s="129" t="s">
        <v>7</v>
      </c>
      <c r="C12" s="79"/>
      <c r="F12" s="78">
        <f>Q12/22</f>
        <v>325755.5</v>
      </c>
      <c r="G12" s="90">
        <f t="shared" si="2"/>
        <v>-7.8744354192744614E-3</v>
      </c>
      <c r="H12" s="90"/>
      <c r="I12" s="130">
        <f t="shared" si="0"/>
        <v>276.06834314409434</v>
      </c>
      <c r="J12" s="130"/>
      <c r="K12" s="78"/>
      <c r="O12" s="89"/>
      <c r="P12" s="129" t="s">
        <v>7</v>
      </c>
      <c r="Q12" s="116">
        <v>7166621</v>
      </c>
      <c r="R12" s="116"/>
      <c r="S12" s="116">
        <v>25959.59</v>
      </c>
      <c r="T12" s="130">
        <f t="shared" si="1"/>
        <v>276.06834314409434</v>
      </c>
      <c r="U12" s="85"/>
    </row>
    <row r="13" spans="1:21" ht="15" hidden="1" customHeight="1">
      <c r="A13" s="129" t="s">
        <v>35</v>
      </c>
      <c r="B13" s="131">
        <f>F11+F12+F13</f>
        <v>1027849.15</v>
      </c>
      <c r="C13" s="131">
        <f>AVERAGE(F11:F13)</f>
        <v>342616.38333333336</v>
      </c>
      <c r="D13" s="90">
        <f>C13/C10-1</f>
        <v>3.1726785225543175E-3</v>
      </c>
      <c r="E13" s="286"/>
      <c r="F13" s="78">
        <f>Q13/20</f>
        <v>373752.65</v>
      </c>
      <c r="G13" s="90">
        <f t="shared" si="2"/>
        <v>0.14734102724282483</v>
      </c>
      <c r="H13" s="90"/>
      <c r="I13" s="130">
        <f t="shared" si="0"/>
        <v>290.29174210314972</v>
      </c>
      <c r="J13" s="130"/>
      <c r="K13" s="78">
        <f>R11+R12+R13</f>
        <v>0</v>
      </c>
      <c r="L13" s="87">
        <f>U13/U10-1</f>
        <v>9.419718303576019E-4</v>
      </c>
      <c r="N13" s="88">
        <f>AVERAGE(T11:T13)</f>
        <v>276.7567321284817</v>
      </c>
      <c r="O13" s="89">
        <f>N13/N10-1</f>
        <v>4.5537694855847466E-2</v>
      </c>
      <c r="P13" s="129" t="s">
        <v>60</v>
      </c>
      <c r="Q13" s="116">
        <v>7475053</v>
      </c>
      <c r="R13" s="116"/>
      <c r="S13" s="116">
        <v>25750.14</v>
      </c>
      <c r="T13" s="130">
        <f t="shared" si="1"/>
        <v>290.29174210314972</v>
      </c>
      <c r="U13" s="85">
        <f>Q11+Q12+Q13</f>
        <v>21536835</v>
      </c>
    </row>
    <row r="14" spans="1:21" ht="15" hidden="1" customHeight="1">
      <c r="A14" s="129" t="s">
        <v>36</v>
      </c>
      <c r="C14" s="79"/>
      <c r="F14" s="78">
        <f>Q14/20</f>
        <v>321575.05</v>
      </c>
      <c r="G14" s="90">
        <f t="shared" si="2"/>
        <v>-0.13960462889025682</v>
      </c>
      <c r="H14" s="90"/>
      <c r="I14" s="130">
        <f t="shared" si="0"/>
        <v>256.70422401416454</v>
      </c>
      <c r="J14" s="130"/>
      <c r="O14" s="89"/>
      <c r="P14" s="129" t="s">
        <v>36</v>
      </c>
      <c r="Q14" s="116">
        <v>6431501</v>
      </c>
      <c r="R14" s="116"/>
      <c r="S14" s="116">
        <v>25054.13</v>
      </c>
      <c r="T14" s="130">
        <f t="shared" si="1"/>
        <v>256.70422401416454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458065.45454545453</v>
      </c>
      <c r="G15" s="90">
        <f t="shared" si="2"/>
        <v>0.42444339057229263</v>
      </c>
      <c r="H15" s="90"/>
      <c r="I15" s="130">
        <f t="shared" si="0"/>
        <v>266.76273976693096</v>
      </c>
      <c r="J15" s="130"/>
      <c r="O15" s="89"/>
      <c r="P15" s="129" t="s">
        <v>37</v>
      </c>
      <c r="Q15" s="116">
        <v>10077440</v>
      </c>
      <c r="R15" s="116"/>
      <c r="S15" s="116">
        <v>37776.79</v>
      </c>
      <c r="T15" s="130">
        <f t="shared" si="1"/>
        <v>266.76273976693096</v>
      </c>
      <c r="U15" s="78"/>
    </row>
    <row r="16" spans="1:21" ht="15" hidden="1" customHeight="1">
      <c r="A16" s="129" t="s">
        <v>38</v>
      </c>
      <c r="B16" s="131">
        <f>F14+F15+F16</f>
        <v>1165275.1409090909</v>
      </c>
      <c r="C16" s="131">
        <f>AVERAGE(F14:F16)</f>
        <v>388425.04696969694</v>
      </c>
      <c r="D16" s="90">
        <f>C16/C13-1</f>
        <v>0.13370249020402536</v>
      </c>
      <c r="E16" s="286"/>
      <c r="F16" s="78">
        <f>Q16/22</f>
        <v>385634.63636363635</v>
      </c>
      <c r="G16" s="90">
        <f t="shared" si="2"/>
        <v>-0.15812329321732499</v>
      </c>
      <c r="H16" s="90"/>
      <c r="I16" s="130">
        <f t="shared" si="0"/>
        <v>268.09277239630637</v>
      </c>
      <c r="J16" s="130"/>
      <c r="K16" s="78">
        <f>R14+R15+R16</f>
        <v>0</v>
      </c>
      <c r="L16" s="87">
        <f>U16/U13-1</f>
        <v>0.16047241853317806</v>
      </c>
      <c r="N16" s="88">
        <f>AVERAGE(T14:T16)</f>
        <v>263.85324539246727</v>
      </c>
      <c r="O16" s="89">
        <f>N16/N13-1</f>
        <v>-4.6623930831876215E-2</v>
      </c>
      <c r="P16" s="129" t="s">
        <v>38</v>
      </c>
      <c r="Q16" s="116">
        <v>8483962</v>
      </c>
      <c r="R16" s="116"/>
      <c r="S16" s="116">
        <v>31645.62</v>
      </c>
      <c r="T16" s="130">
        <f t="shared" si="1"/>
        <v>268.09277239630637</v>
      </c>
      <c r="U16" s="85">
        <f>Q14+Q15+Q16</f>
        <v>24992903</v>
      </c>
    </row>
    <row r="17" spans="1:21" ht="15" hidden="1" customHeight="1">
      <c r="A17" s="129" t="s">
        <v>85</v>
      </c>
      <c r="C17" s="79"/>
      <c r="F17" s="78">
        <f>Q17/20</f>
        <v>346032.6</v>
      </c>
      <c r="G17" s="90">
        <f t="shared" si="2"/>
        <v>-0.10269315209096885</v>
      </c>
      <c r="H17" s="90">
        <f t="shared" ref="H17:H22" si="3">F17/F5-1</f>
        <v>-6.6137216782399255E-3</v>
      </c>
      <c r="I17" s="130">
        <f t="shared" si="0"/>
        <v>211.7074185446792</v>
      </c>
      <c r="J17" s="130">
        <f t="shared" ref="J17:J49" si="4">I17/I5-1</f>
        <v>-0.20833315577563916</v>
      </c>
      <c r="O17" s="89"/>
      <c r="P17" s="129" t="s">
        <v>85</v>
      </c>
      <c r="Q17" s="116">
        <v>6920652</v>
      </c>
      <c r="R17" s="116">
        <v>8700193362</v>
      </c>
      <c r="S17" s="116">
        <v>32689.7</v>
      </c>
      <c r="T17" s="130">
        <f t="shared" si="1"/>
        <v>211.7074185446792</v>
      </c>
      <c r="U17" s="78"/>
    </row>
    <row r="18" spans="1:21" ht="15" hidden="1" customHeight="1">
      <c r="A18" s="129" t="s">
        <v>106</v>
      </c>
      <c r="C18" s="79"/>
      <c r="F18" s="78">
        <f>Q18/20</f>
        <v>338217.65</v>
      </c>
      <c r="G18" s="90">
        <f t="shared" si="2"/>
        <v>-2.2584432796216136E-2</v>
      </c>
      <c r="H18" s="90">
        <f t="shared" si="3"/>
        <v>-0.16636390350723429</v>
      </c>
      <c r="I18" s="130">
        <f t="shared" si="0"/>
        <v>292.50256964194517</v>
      </c>
      <c r="J18" s="130">
        <f t="shared" si="4"/>
        <v>0.27695910200977125</v>
      </c>
      <c r="O18" s="89"/>
      <c r="P18" s="129" t="s">
        <v>106</v>
      </c>
      <c r="Q18" s="116">
        <v>6764353</v>
      </c>
      <c r="R18" s="116">
        <v>8454308682</v>
      </c>
      <c r="S18" s="116">
        <v>23125.79</v>
      </c>
      <c r="T18" s="130">
        <f t="shared" si="1"/>
        <v>292.50256964194517</v>
      </c>
      <c r="U18" s="78"/>
    </row>
    <row r="19" spans="1:21" hidden="1">
      <c r="A19" s="129" t="s">
        <v>114</v>
      </c>
      <c r="B19" s="131">
        <f>SUM(F17:F19)</f>
        <v>1069283.1590909092</v>
      </c>
      <c r="C19" s="131">
        <f>AVERAGE(F17:F19)</f>
        <v>356427.71969696973</v>
      </c>
      <c r="D19" s="90">
        <f>C19/C16-1</f>
        <v>-8.2377095716032689E-2</v>
      </c>
      <c r="E19" s="286">
        <f>C19/C7-1</f>
        <v>-9.4899549395137561E-2</v>
      </c>
      <c r="F19" s="78">
        <f>Q19/22</f>
        <v>385032.90909090912</v>
      </c>
      <c r="G19" s="90">
        <f t="shared" si="2"/>
        <v>0.13841755180697723</v>
      </c>
      <c r="H19" s="90">
        <f t="shared" si="3"/>
        <v>-9.9015862666440468E-2</v>
      </c>
      <c r="I19" s="130">
        <f t="shared" si="0"/>
        <v>289.84176060911523</v>
      </c>
      <c r="J19" s="130">
        <f t="shared" si="4"/>
        <v>6.4520489831305206E-2</v>
      </c>
      <c r="K19" s="78">
        <f>R17+R18+R19</f>
        <v>28235981104</v>
      </c>
      <c r="L19" s="87">
        <f>U19/U16-1</f>
        <v>-0.11351918582647247</v>
      </c>
      <c r="M19" s="87">
        <f>U19/U7-1</f>
        <v>-6.4022157548255576E-2</v>
      </c>
      <c r="N19" s="88">
        <f>AVERAGE(T17:T19)</f>
        <v>264.68391626524652</v>
      </c>
      <c r="O19" s="89">
        <f>N19/N16-1</f>
        <v>3.1482306444390318E-3</v>
      </c>
      <c r="P19" s="129" t="s">
        <v>114</v>
      </c>
      <c r="Q19" s="116">
        <v>8470724</v>
      </c>
      <c r="R19" s="116">
        <v>11081479060</v>
      </c>
      <c r="S19" s="116">
        <v>29225.34</v>
      </c>
      <c r="T19" s="130">
        <f t="shared" si="1"/>
        <v>289.84176060911523</v>
      </c>
      <c r="U19" s="85">
        <f>Q17+Q18+Q19</f>
        <v>22155729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315715.3</v>
      </c>
      <c r="G20" s="90">
        <f t="shared" si="2"/>
        <v>-0.18003034923579153</v>
      </c>
      <c r="H20" s="90">
        <f t="shared" si="3"/>
        <v>-0.17109844605837321</v>
      </c>
      <c r="I20" s="130">
        <f t="shared" si="0"/>
        <v>277.58912733355459</v>
      </c>
      <c r="J20" s="130">
        <f t="shared" si="4"/>
        <v>-0.11361563405211617</v>
      </c>
      <c r="O20" s="89"/>
      <c r="P20" s="129" t="s">
        <v>131</v>
      </c>
      <c r="Q20" s="116">
        <v>6314306</v>
      </c>
      <c r="R20" s="116">
        <v>8283587128</v>
      </c>
      <c r="S20" s="116">
        <v>22746.95</v>
      </c>
      <c r="T20" s="130">
        <f t="shared" si="1"/>
        <v>277.58912733355459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510593.57142857142</v>
      </c>
      <c r="G21" s="90">
        <f t="shared" si="2"/>
        <v>0.61725951016175462</v>
      </c>
      <c r="H21" s="90">
        <f t="shared" si="3"/>
        <v>1.0109313629236123</v>
      </c>
      <c r="I21" s="130">
        <f t="shared" si="0"/>
        <v>292.40699259278648</v>
      </c>
      <c r="J21" s="130">
        <f t="shared" si="4"/>
        <v>0.3370552699592253</v>
      </c>
      <c r="O21" s="89"/>
      <c r="P21" s="129" t="s">
        <v>141</v>
      </c>
      <c r="Q21" s="116">
        <v>10722465</v>
      </c>
      <c r="R21" s="116">
        <v>14277934292</v>
      </c>
      <c r="S21" s="116">
        <v>36669.660000000003</v>
      </c>
      <c r="T21" s="130">
        <f t="shared" si="1"/>
        <v>292.40699259278648</v>
      </c>
      <c r="U21" s="78"/>
    </row>
    <row r="22" spans="1:21" hidden="1">
      <c r="A22" s="129" t="s">
        <v>156</v>
      </c>
      <c r="B22" s="131">
        <f>SUM(F20:F22)</f>
        <v>1235445.8238095238</v>
      </c>
      <c r="C22" s="131">
        <f>AVERAGE(F20:F22)</f>
        <v>411815.27460317459</v>
      </c>
      <c r="D22" s="90">
        <f>C22/C19-1</f>
        <v>0.15539631696798062</v>
      </c>
      <c r="E22" s="286">
        <f>C22/C10-1</f>
        <v>0.2057853978285662</v>
      </c>
      <c r="F22" s="78">
        <f>Q22/21</f>
        <v>409136.95238095237</v>
      </c>
      <c r="G22" s="90">
        <f t="shared" si="2"/>
        <v>-0.19870328324690267</v>
      </c>
      <c r="H22" s="90">
        <f t="shared" si="3"/>
        <v>4.9592623426947258E-2</v>
      </c>
      <c r="I22" s="130">
        <f t="shared" si="0"/>
        <v>279.57125281421878</v>
      </c>
      <c r="J22" s="130">
        <f t="shared" si="4"/>
        <v>6.6075408556428794E-2</v>
      </c>
      <c r="K22" s="78">
        <f>R20+R21+R22</f>
        <v>33721737751</v>
      </c>
      <c r="L22" s="87">
        <f>U22/U19-1</f>
        <v>0.15675033757634416</v>
      </c>
      <c r="M22" s="87">
        <f>U22/U10-1</f>
        <v>0.19111227176714585</v>
      </c>
      <c r="N22" s="88">
        <f>AVERAGE(T20:T22)</f>
        <v>283.18912424685328</v>
      </c>
      <c r="O22" s="89">
        <f>N22/N19-1</f>
        <v>6.9914365189693628E-2</v>
      </c>
      <c r="P22" s="129" t="s">
        <v>156</v>
      </c>
      <c r="Q22" s="116">
        <v>8591876</v>
      </c>
      <c r="R22" s="116">
        <v>11160216331</v>
      </c>
      <c r="S22" s="116">
        <v>30732.33</v>
      </c>
      <c r="T22" s="130">
        <f t="shared" si="1"/>
        <v>279.57125281421878</v>
      </c>
      <c r="U22" s="85">
        <f>Q20+Q21+Q22</f>
        <v>25628647</v>
      </c>
    </row>
    <row r="23" spans="1:21" hidden="1">
      <c r="A23" s="129" t="s">
        <v>189</v>
      </c>
      <c r="B23" s="131"/>
      <c r="C23" s="131"/>
      <c r="F23" s="78">
        <f>Q23/21</f>
        <v>341912.33333333331</v>
      </c>
      <c r="G23" s="90">
        <f t="shared" ref="G23" si="5">F23/F22-1</f>
        <v>-0.16430835361217966</v>
      </c>
      <c r="H23" s="90">
        <f t="shared" ref="H23" si="6">F23/F11-1</f>
        <v>4.1333045015192527E-2</v>
      </c>
      <c r="I23" s="130">
        <f t="shared" si="0"/>
        <v>312.14716847922483</v>
      </c>
      <c r="J23" s="130">
        <f t="shared" si="4"/>
        <v>0.1827783601506785</v>
      </c>
      <c r="O23" s="89"/>
      <c r="P23" s="129" t="s">
        <v>189</v>
      </c>
      <c r="Q23" s="116">
        <v>7180159</v>
      </c>
      <c r="R23" s="116">
        <v>9251456994</v>
      </c>
      <c r="S23" s="116">
        <v>23002.48</v>
      </c>
      <c r="T23" s="130">
        <f t="shared" si="1"/>
        <v>312.14716847922483</v>
      </c>
      <c r="U23" s="78"/>
    </row>
    <row r="24" spans="1:21" hidden="1">
      <c r="A24" s="129" t="s">
        <v>204</v>
      </c>
      <c r="B24" s="131"/>
      <c r="C24" s="131"/>
      <c r="F24" s="78">
        <f>Q24/22</f>
        <v>395635.72727272729</v>
      </c>
      <c r="G24" s="90">
        <f t="shared" ref="G24" si="7">F24/F23-1</f>
        <v>0.15712622418629918</v>
      </c>
      <c r="H24" s="90">
        <f t="shared" ref="H24" si="8">F24/F12-1</f>
        <v>0.21451741343654152</v>
      </c>
      <c r="I24" s="130">
        <f t="shared" si="0"/>
        <v>297.27408379904864</v>
      </c>
      <c r="J24" s="130">
        <f t="shared" si="4"/>
        <v>7.6813373143207242E-2</v>
      </c>
      <c r="O24" s="89"/>
      <c r="P24" s="129" t="s">
        <v>204</v>
      </c>
      <c r="Q24" s="116">
        <v>8703986</v>
      </c>
      <c r="R24" s="116">
        <v>11445895703</v>
      </c>
      <c r="S24" s="116">
        <v>29279.33</v>
      </c>
      <c r="T24" s="130">
        <f t="shared" ref="T24" si="9">Q24/S24</f>
        <v>297.27408379904864</v>
      </c>
      <c r="U24" s="78"/>
    </row>
    <row r="25" spans="1:21" s="79" customFormat="1" ht="13.2" hidden="1">
      <c r="A25" s="129" t="s">
        <v>219</v>
      </c>
      <c r="B25" s="131">
        <f>SUM(F23:F25)</f>
        <v>1280079.0606060605</v>
      </c>
      <c r="C25" s="131">
        <f>AVERAGE(F23:F25)</f>
        <v>426693.02020202018</v>
      </c>
      <c r="D25" s="90">
        <f>C25/C22-1</f>
        <v>3.6127231106669822E-2</v>
      </c>
      <c r="E25" s="286">
        <f>C25/C13-1</f>
        <v>0.24539584491173683</v>
      </c>
      <c r="F25" s="78">
        <f>Q25/19</f>
        <v>542531</v>
      </c>
      <c r="G25" s="90">
        <f t="shared" ref="G25" si="10">F25/F24-1</f>
        <v>0.37128920014347444</v>
      </c>
      <c r="H25" s="90">
        <f t="shared" ref="H25" si="11">F25/F13-1</f>
        <v>0.45157766774362651</v>
      </c>
      <c r="I25" s="130">
        <f t="shared" si="0"/>
        <v>274.52029935983103</v>
      </c>
      <c r="J25" s="130">
        <f t="shared" si="4"/>
        <v>-5.4329629320680417E-2</v>
      </c>
      <c r="K25" s="78">
        <f>R23+R24+R25</f>
        <v>34384692657</v>
      </c>
      <c r="L25" s="90">
        <f>U25/U22-1</f>
        <v>2.1990509292199478E-2</v>
      </c>
      <c r="M25" s="90">
        <f>U25/U13-1</f>
        <v>0.21615984892859141</v>
      </c>
      <c r="N25" s="88">
        <f>AVERAGE(T23:T25)</f>
        <v>294.64718387936813</v>
      </c>
      <c r="O25" s="91">
        <f>N25/N22-1</f>
        <v>4.0460803934429856E-2</v>
      </c>
      <c r="P25" s="129" t="s">
        <v>219</v>
      </c>
      <c r="Q25" s="116">
        <v>10308089</v>
      </c>
      <c r="R25" s="116">
        <v>13687339960</v>
      </c>
      <c r="S25" s="116">
        <v>37549.46</v>
      </c>
      <c r="T25" s="130">
        <f t="shared" ref="T25" si="12">Q25/S25</f>
        <v>274.52029935983103</v>
      </c>
      <c r="U25" s="85">
        <f>Q23+Q24+Q25</f>
        <v>26192234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396751.31578947371</v>
      </c>
      <c r="G26" s="90">
        <f t="shared" ref="G26" si="13">F26/F25-1</f>
        <v>-0.26870295745409256</v>
      </c>
      <c r="H26" s="90">
        <f t="shared" ref="H26" si="14">F26/F14-1</f>
        <v>0.23377518184160651</v>
      </c>
      <c r="I26" s="130">
        <f t="shared" si="0"/>
        <v>304.4885582641312</v>
      </c>
      <c r="J26" s="130">
        <f t="shared" si="4"/>
        <v>0.18614549267148006</v>
      </c>
      <c r="L26" s="90"/>
      <c r="M26" s="90"/>
      <c r="P26" s="129" t="s">
        <v>312</v>
      </c>
      <c r="Q26" s="116">
        <v>7538275</v>
      </c>
      <c r="R26" s="116">
        <v>10164109988</v>
      </c>
      <c r="S26" s="116">
        <v>24757.17</v>
      </c>
      <c r="T26" s="130">
        <f t="shared" ref="T26" si="15">Q26/S26</f>
        <v>304.4885582641312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594768.81818181823</v>
      </c>
      <c r="G27" s="90">
        <f t="shared" ref="G27" si="16">F27/F26-1</f>
        <v>0.49909727961032813</v>
      </c>
      <c r="H27" s="90">
        <f t="shared" ref="H27" si="17">F27/F15-1</f>
        <v>0.29843630922138975</v>
      </c>
      <c r="I27" s="130">
        <f t="shared" si="0"/>
        <v>309.88121418344048</v>
      </c>
      <c r="J27" s="130">
        <f t="shared" si="4"/>
        <v>0.16163604577678981</v>
      </c>
      <c r="L27" s="90"/>
      <c r="M27" s="90"/>
      <c r="P27" s="129" t="s">
        <v>375</v>
      </c>
      <c r="Q27" s="116">
        <v>13084914</v>
      </c>
      <c r="R27" s="116">
        <v>17305249766</v>
      </c>
      <c r="S27" s="116">
        <v>42225.58</v>
      </c>
      <c r="T27" s="130">
        <f t="shared" ref="T27" si="18">Q27/S27</f>
        <v>309.88121418344048</v>
      </c>
      <c r="U27" s="78"/>
    </row>
    <row r="28" spans="1:21" s="79" customFormat="1" ht="13.2" hidden="1">
      <c r="A28" s="123" t="s">
        <v>413</v>
      </c>
      <c r="B28" s="131">
        <f>SUM(F26:F28)</f>
        <v>1652328.1866028709</v>
      </c>
      <c r="C28" s="131">
        <f>AVERAGE(F26:F28)</f>
        <v>550776.06220095698</v>
      </c>
      <c r="D28" s="90">
        <f>C28/C25-1</f>
        <v>0.29080166800054275</v>
      </c>
      <c r="E28" s="286">
        <f>C28/C16-1</f>
        <v>0.41797257024963663</v>
      </c>
      <c r="F28" s="78">
        <f>Q28/19</f>
        <v>660808.05263157899</v>
      </c>
      <c r="G28" s="90">
        <f t="shared" ref="G28" si="19">F28/F27-1</f>
        <v>0.11103345103336082</v>
      </c>
      <c r="H28" s="90">
        <f t="shared" ref="H28" si="20">F28/F16-1</f>
        <v>0.71355990961472227</v>
      </c>
      <c r="I28" s="130">
        <f t="shared" si="0"/>
        <v>286.86409581516921</v>
      </c>
      <c r="J28" s="130">
        <f t="shared" si="4"/>
        <v>7.0018013731135698E-2</v>
      </c>
      <c r="K28" s="78">
        <f>R26+R27+R28</f>
        <v>43870907613</v>
      </c>
      <c r="L28" s="90">
        <f>U28/U25-1</f>
        <v>0.26673203973360948</v>
      </c>
      <c r="M28" s="90">
        <f>U28/U16-1</f>
        <v>0.32751853596198899</v>
      </c>
      <c r="N28" s="88">
        <f>AVERAGE(T26:T28)</f>
        <v>300.41128942091365</v>
      </c>
      <c r="O28" s="91">
        <f>N28/N25-1</f>
        <v>1.9562737595705038E-2</v>
      </c>
      <c r="P28" s="129" t="s">
        <v>413</v>
      </c>
      <c r="Q28" s="116">
        <v>12555353</v>
      </c>
      <c r="R28" s="116">
        <v>16401547859</v>
      </c>
      <c r="S28" s="116">
        <v>43767.6</v>
      </c>
      <c r="T28" s="130">
        <f t="shared" ref="T28" si="21">Q28/S28</f>
        <v>286.86409581516921</v>
      </c>
      <c r="U28" s="85">
        <f>Q26+Q27+Q28</f>
        <v>33178542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409683.09090909088</v>
      </c>
      <c r="G29" s="190">
        <f t="shared" ref="G29" si="22">F29/F28-1</f>
        <v>-0.3800270906542631</v>
      </c>
      <c r="H29" s="190">
        <f t="shared" ref="H29" si="23">F29/F17-1</f>
        <v>0.18394362528007746</v>
      </c>
      <c r="I29" s="130">
        <f t="shared" si="0"/>
        <v>276.32169840590495</v>
      </c>
      <c r="J29" s="130">
        <f t="shared" si="4"/>
        <v>0.30520555352003131</v>
      </c>
      <c r="K29" s="136"/>
      <c r="L29" s="190"/>
      <c r="M29" s="190"/>
      <c r="N29" s="191"/>
      <c r="O29" s="192"/>
      <c r="P29" s="129" t="s">
        <v>427</v>
      </c>
      <c r="Q29" s="116">
        <v>9013028</v>
      </c>
      <c r="R29" s="116">
        <v>11874720230</v>
      </c>
      <c r="S29" s="116">
        <v>32617.88</v>
      </c>
      <c r="T29" s="130">
        <f t="shared" ref="T29" si="24">Q29/S29</f>
        <v>276.32169840590495</v>
      </c>
      <c r="U29" s="85"/>
    </row>
    <row r="30" spans="1:21" s="79" customFormat="1" ht="13.2" hidden="1">
      <c r="A30" s="129" t="s">
        <v>488</v>
      </c>
      <c r="B30" s="188"/>
      <c r="C30" s="188"/>
      <c r="D30" s="189"/>
      <c r="E30" s="287"/>
      <c r="F30" s="136">
        <f>Q30/19</f>
        <v>509943.42105263157</v>
      </c>
      <c r="G30" s="190">
        <f t="shared" ref="G30" si="25">F30/F29-1</f>
        <v>0.24472655173798374</v>
      </c>
      <c r="H30" s="190">
        <f t="shared" ref="H30" si="26">F30/F18-1</f>
        <v>0.507737461521099</v>
      </c>
      <c r="I30" s="130">
        <f t="shared" si="0"/>
        <v>323.05182139420498</v>
      </c>
      <c r="J30" s="130">
        <f t="shared" si="4"/>
        <v>0.1044409688080874</v>
      </c>
      <c r="K30" s="136"/>
      <c r="L30" s="190"/>
      <c r="M30" s="190"/>
      <c r="N30" s="191"/>
      <c r="O30" s="192"/>
      <c r="P30" s="129" t="s">
        <v>488</v>
      </c>
      <c r="Q30" s="116">
        <v>9688925</v>
      </c>
      <c r="R30" s="116">
        <v>12906053670</v>
      </c>
      <c r="S30" s="116">
        <v>29991.86</v>
      </c>
      <c r="T30" s="130">
        <f t="shared" ref="T30" si="27">Q30/S30</f>
        <v>323.05182139420498</v>
      </c>
      <c r="U30" s="85"/>
    </row>
    <row r="31" spans="1:21" s="79" customFormat="1" ht="13.2" hidden="1">
      <c r="A31" s="129" t="s">
        <v>505</v>
      </c>
      <c r="B31" s="188">
        <f>SUM(F29:F31)</f>
        <v>1661069.8619617224</v>
      </c>
      <c r="C31" s="188">
        <f>AVERAGE(F29:F31)</f>
        <v>553689.95398724079</v>
      </c>
      <c r="D31" s="190">
        <f>C31/C28-1</f>
        <v>5.2905200248529738E-3</v>
      </c>
      <c r="E31" s="287">
        <f>C31/C19-1</f>
        <v>0.55344246081079462</v>
      </c>
      <c r="F31" s="136">
        <f>Q31/20</f>
        <v>741443.35</v>
      </c>
      <c r="G31" s="190">
        <f t="shared" ref="G31" si="28">F31/F30-1</f>
        <v>0.45397179253632358</v>
      </c>
      <c r="H31" s="190">
        <f t="shared" ref="H31" si="29">F31/F19-1</f>
        <v>0.92566228105177295</v>
      </c>
      <c r="I31" s="130">
        <f t="shared" si="0"/>
        <v>300.2611236212598</v>
      </c>
      <c r="J31" s="130">
        <f t="shared" si="4"/>
        <v>3.5948453356920762E-2</v>
      </c>
      <c r="K31" s="136">
        <f>R29+R30+R31</f>
        <v>44475389561</v>
      </c>
      <c r="L31" s="190">
        <f>U31/U28-1</f>
        <v>1.061764558551137E-2</v>
      </c>
      <c r="M31" s="190">
        <f>U31/U19-1</f>
        <v>0.51341533379470383</v>
      </c>
      <c r="N31" s="191">
        <f>AVERAGE(T29:T31)</f>
        <v>299.87821447378991</v>
      </c>
      <c r="O31" s="192">
        <f>N31/N28-1</f>
        <v>-1.7744837357853704E-3</v>
      </c>
      <c r="P31" s="129" t="s">
        <v>505</v>
      </c>
      <c r="Q31" s="116">
        <v>14828867</v>
      </c>
      <c r="R31" s="116">
        <v>19694615661</v>
      </c>
      <c r="S31" s="116">
        <v>49386.57</v>
      </c>
      <c r="T31" s="130">
        <f t="shared" ref="T31" si="30">Q31/S31</f>
        <v>300.2611236212598</v>
      </c>
      <c r="U31" s="85">
        <f>Q29+Q30+Q31</f>
        <v>33530820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694317.61904761905</v>
      </c>
      <c r="G32" s="190">
        <f t="shared" ref="G32" si="31">F32/F31-1</f>
        <v>-6.3559449218043351E-2</v>
      </c>
      <c r="H32" s="190">
        <f t="shared" ref="H32" si="32">F32/F20-1</f>
        <v>1.1991890131635023</v>
      </c>
      <c r="I32" s="130">
        <f t="shared" si="0"/>
        <v>310.77338734033896</v>
      </c>
      <c r="J32" s="130">
        <f t="shared" si="4"/>
        <v>0.11954452368341406</v>
      </c>
      <c r="K32" s="136"/>
      <c r="L32" s="190"/>
      <c r="M32" s="190"/>
      <c r="N32" s="191"/>
      <c r="O32" s="192"/>
      <c r="P32" s="129" t="s">
        <v>566</v>
      </c>
      <c r="Q32" s="116">
        <v>14580670</v>
      </c>
      <c r="R32" s="116">
        <v>19888013019</v>
      </c>
      <c r="S32" s="116">
        <v>46917.37</v>
      </c>
      <c r="T32" s="130">
        <f t="shared" ref="T32" si="33">Q32/S32</f>
        <v>310.77338734033896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652463.19047619053</v>
      </c>
      <c r="G33" s="190">
        <f t="shared" ref="G33" si="34">F33/F32-1</f>
        <v>-6.0281386246310964E-2</v>
      </c>
      <c r="H33" s="190">
        <f t="shared" ref="H33" si="35">F33/F21-1</f>
        <v>0.27785234085632382</v>
      </c>
      <c r="I33" s="130">
        <f t="shared" si="0"/>
        <v>295.29927718986386</v>
      </c>
      <c r="J33" s="130">
        <f t="shared" si="4"/>
        <v>9.8912976445308942E-3</v>
      </c>
      <c r="K33" s="136"/>
      <c r="L33" s="190"/>
      <c r="M33" s="190"/>
      <c r="N33" s="191"/>
      <c r="O33" s="192"/>
      <c r="P33" s="129" t="s">
        <v>609</v>
      </c>
      <c r="Q33" s="116">
        <v>13701727</v>
      </c>
      <c r="R33" s="116">
        <v>18719305898</v>
      </c>
      <c r="S33" s="116">
        <v>46399.46</v>
      </c>
      <c r="T33" s="130">
        <f t="shared" ref="T33" si="36">Q33/S33</f>
        <v>295.29927718986386</v>
      </c>
      <c r="U33" s="85"/>
    </row>
    <row r="34" spans="1:21" s="79" customFormat="1" ht="13.2" hidden="1">
      <c r="A34" s="129" t="s">
        <v>652</v>
      </c>
      <c r="B34" s="188">
        <f>SUM(F32:F34)</f>
        <v>2001548.5989974937</v>
      </c>
      <c r="C34" s="188">
        <f>AVERAGE(F32:F34)</f>
        <v>667182.86633249791</v>
      </c>
      <c r="D34" s="190">
        <f>C34/C31-1</f>
        <v>0.20497556715264587</v>
      </c>
      <c r="E34" s="287">
        <f>C34/C22-1</f>
        <v>0.62010228245029442</v>
      </c>
      <c r="F34" s="136">
        <f>Q34/19</f>
        <v>654767.78947368416</v>
      </c>
      <c r="G34" s="190">
        <f t="shared" ref="G34" si="37">F34/F33-1</f>
        <v>3.5321517460802365E-3</v>
      </c>
      <c r="H34" s="190">
        <f t="shared" ref="H34" si="38">F34/F22-1</f>
        <v>0.60036336406011537</v>
      </c>
      <c r="I34" s="130">
        <f t="shared" si="0"/>
        <v>315.10300392441735</v>
      </c>
      <c r="J34" s="130">
        <f t="shared" si="4"/>
        <v>0.12709372209241487</v>
      </c>
      <c r="K34" s="136">
        <f>R32+R33+R34</f>
        <v>55728399882</v>
      </c>
      <c r="L34" s="190">
        <f>U34/U31-1</f>
        <v>0.2144941579120343</v>
      </c>
      <c r="M34" s="190">
        <f>U34/U22-1</f>
        <v>0.58896351414883519</v>
      </c>
      <c r="N34" s="191">
        <f>AVERAGE(T32:T34)</f>
        <v>307.05855615154002</v>
      </c>
      <c r="O34" s="192">
        <f>N34/N31-1</f>
        <v>2.3944192446089474E-2</v>
      </c>
      <c r="P34" s="129" t="s">
        <v>652</v>
      </c>
      <c r="Q34" s="116">
        <v>12440588</v>
      </c>
      <c r="R34" s="116">
        <v>17121080965</v>
      </c>
      <c r="S34" s="116">
        <v>39481.019999999997</v>
      </c>
      <c r="T34" s="130">
        <f t="shared" ref="T34" si="39">Q34/S34</f>
        <v>315.10300392441735</v>
      </c>
      <c r="U34" s="85">
        <f>Q32+Q33+Q34</f>
        <v>40722985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651344.56521739135</v>
      </c>
      <c r="G35" s="190">
        <f t="shared" ref="G35" si="40">F35/F34-1</f>
        <v>-5.2281500576630835E-3</v>
      </c>
      <c r="H35" s="190">
        <f t="shared" ref="H35" si="41">F35/F23-1</f>
        <v>0.90500459245613074</v>
      </c>
      <c r="I35" s="130">
        <f t="shared" si="0"/>
        <v>291.43069630127638</v>
      </c>
      <c r="J35" s="130">
        <f t="shared" si="4"/>
        <v>-6.6367644079165289E-2</v>
      </c>
      <c r="K35" s="136"/>
      <c r="L35" s="190"/>
      <c r="M35" s="190"/>
      <c r="N35" s="191"/>
      <c r="O35" s="192"/>
      <c r="P35" s="129" t="s">
        <v>660</v>
      </c>
      <c r="Q35" s="116">
        <v>14980925</v>
      </c>
      <c r="R35" s="116">
        <v>20731489690</v>
      </c>
      <c r="S35" s="116">
        <v>51404.76</v>
      </c>
      <c r="T35" s="130">
        <f t="shared" ref="T35" si="42">Q35/S35</f>
        <v>291.43069630127638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678506.38095238095</v>
      </c>
      <c r="G36" s="190">
        <f t="shared" ref="G36" si="43">F36/F35-1</f>
        <v>4.1701147419452411E-2</v>
      </c>
      <c r="H36" s="190">
        <f t="shared" ref="H36" si="44">F36/F24-1</f>
        <v>0.71497752649790347</v>
      </c>
      <c r="I36" s="130">
        <f t="shared" si="0"/>
        <v>292.74770782251665</v>
      </c>
      <c r="J36" s="130">
        <f t="shared" si="4"/>
        <v>-1.5226271724351648E-2</v>
      </c>
      <c r="K36" s="136"/>
      <c r="L36" s="190"/>
      <c r="M36" s="190"/>
      <c r="N36" s="191"/>
      <c r="O36" s="192"/>
      <c r="P36" s="129" t="s">
        <v>666</v>
      </c>
      <c r="Q36" s="116">
        <v>14248634</v>
      </c>
      <c r="R36" s="116">
        <v>19380217462</v>
      </c>
      <c r="S36" s="116">
        <v>48672.06</v>
      </c>
      <c r="T36" s="130">
        <f t="shared" ref="T36" si="45">Q36/S36</f>
        <v>292.74770782251665</v>
      </c>
      <c r="U36" s="85"/>
    </row>
    <row r="37" spans="1:21" s="79" customFormat="1" ht="13.2" hidden="1">
      <c r="A37" s="129" t="s">
        <v>702</v>
      </c>
      <c r="B37" s="188">
        <f>SUM(F35:F37)</f>
        <v>2084745.7239475499</v>
      </c>
      <c r="C37" s="188">
        <f>AVERAGE(F35:F37)</f>
        <v>694915.24131584994</v>
      </c>
      <c r="D37" s="190">
        <f>C37/C34-1</f>
        <v>4.15663776496491E-2</v>
      </c>
      <c r="E37" s="287">
        <f>C37/C25-1</f>
        <v>0.62860700413341286</v>
      </c>
      <c r="F37" s="136">
        <f>Q37/18</f>
        <v>754894.77777777775</v>
      </c>
      <c r="G37" s="190">
        <f t="shared" ref="G37" si="46">F37/F36-1</f>
        <v>0.11258316645183908</v>
      </c>
      <c r="H37" s="190">
        <f t="shared" ref="H37" si="47">F37/F25-1</f>
        <v>0.39143160073392624</v>
      </c>
      <c r="I37" s="130">
        <f t="shared" si="0"/>
        <v>289.46498817480415</v>
      </c>
      <c r="J37" s="130">
        <f t="shared" si="4"/>
        <v>5.4439284999409754E-2</v>
      </c>
      <c r="K37" s="136">
        <f>R35+R36+R37</f>
        <v>58237778248</v>
      </c>
      <c r="L37" s="190">
        <f>U37/U34-1</f>
        <v>5.1437290267400515E-2</v>
      </c>
      <c r="M37" s="190">
        <f>U37/U25-1</f>
        <v>0.6347465817539657</v>
      </c>
      <c r="N37" s="191">
        <f>AVERAGE(T35:T37)</f>
        <v>291.21446409953239</v>
      </c>
      <c r="O37" s="192">
        <f>N37/N34-1</f>
        <v>-5.1599578434115445E-2</v>
      </c>
      <c r="P37" s="129" t="s">
        <v>702</v>
      </c>
      <c r="Q37" s="116">
        <v>13588106</v>
      </c>
      <c r="R37" s="116">
        <v>18126071096</v>
      </c>
      <c r="S37" s="116">
        <v>46942.14</v>
      </c>
      <c r="T37" s="130">
        <f t="shared" ref="T37" si="48">Q37/S37</f>
        <v>289.46498817480415</v>
      </c>
      <c r="U37" s="85">
        <f>Q35+Q36+Q37</f>
        <v>42817665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633248.94999999995</v>
      </c>
      <c r="G38" s="190">
        <f t="shared" ref="G38" si="49">F38/F37-1</f>
        <v>-0.1611427597047006</v>
      </c>
      <c r="H38" s="190">
        <f t="shared" ref="H38" si="50">F38/F26-1</f>
        <v>0.59608531792750963</v>
      </c>
      <c r="I38" s="130">
        <f t="shared" si="0"/>
        <v>322.86200755495798</v>
      </c>
      <c r="J38" s="130">
        <f t="shared" si="4"/>
        <v>6.0342002325383115E-2</v>
      </c>
      <c r="K38" s="136"/>
      <c r="L38" s="190"/>
      <c r="M38" s="190"/>
      <c r="N38" s="191"/>
      <c r="O38" s="192"/>
      <c r="P38" s="129" t="s">
        <v>727</v>
      </c>
      <c r="Q38" s="116">
        <v>12664979</v>
      </c>
      <c r="R38" s="116">
        <v>17123663572</v>
      </c>
      <c r="S38" s="116">
        <v>39227.22</v>
      </c>
      <c r="T38" s="130">
        <f t="shared" ref="T38" si="51">Q38/S38</f>
        <v>322.86200755495798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686570.28571428568</v>
      </c>
      <c r="G39" s="190">
        <f t="shared" ref="G39" si="52">F39/F38-1</f>
        <v>8.4202801622151435E-2</v>
      </c>
      <c r="H39" s="190">
        <f t="shared" ref="H39" si="53">F39/F27-1</f>
        <v>0.15434815129195978</v>
      </c>
      <c r="I39" s="130">
        <f t="shared" si="0"/>
        <v>263.96382492237882</v>
      </c>
      <c r="J39" s="130">
        <f t="shared" si="4"/>
        <v>-0.14817738913943945</v>
      </c>
      <c r="K39" s="136"/>
      <c r="L39" s="190"/>
      <c r="M39" s="190"/>
      <c r="N39" s="191"/>
      <c r="O39" s="192"/>
      <c r="P39" s="129" t="s">
        <v>762</v>
      </c>
      <c r="Q39" s="116">
        <v>14417976</v>
      </c>
      <c r="R39" s="116">
        <v>20083449993</v>
      </c>
      <c r="S39" s="116">
        <v>54621.03</v>
      </c>
      <c r="T39" s="130">
        <f t="shared" ref="T39" si="54">Q39/S39</f>
        <v>263.96382492237882</v>
      </c>
      <c r="U39" s="85"/>
    </row>
    <row r="40" spans="1:21" s="79" customFormat="1" ht="13.2" hidden="1">
      <c r="A40" s="129" t="s">
        <v>778</v>
      </c>
      <c r="B40" s="188">
        <f>SUM(F38:F40)</f>
        <v>1946804.5214285713</v>
      </c>
      <c r="C40" s="188">
        <f>AVERAGE(F38:F40)</f>
        <v>648934.84047619044</v>
      </c>
      <c r="D40" s="190">
        <f>C40/C37-1</f>
        <v>-6.6166919511786437E-2</v>
      </c>
      <c r="E40" s="287">
        <f>C40/C28-1</f>
        <v>0.17821903494313274</v>
      </c>
      <c r="F40" s="136">
        <f>Q40/21</f>
        <v>626985.28571428568</v>
      </c>
      <c r="G40" s="190">
        <f t="shared" ref="G40" si="55">F40/F39-1</f>
        <v>-8.6786453244200201E-2</v>
      </c>
      <c r="H40" s="190">
        <f t="shared" ref="H40" si="56">F40/F28-1</f>
        <v>-5.1183950895572039E-2</v>
      </c>
      <c r="I40" s="130">
        <f t="shared" si="0"/>
        <v>284.32545458157591</v>
      </c>
      <c r="J40" s="130">
        <f t="shared" si="4"/>
        <v>-8.8496304369473089E-3</v>
      </c>
      <c r="K40" s="136">
        <f>R38+R39+R40</f>
        <v>55914393363</v>
      </c>
      <c r="L40" s="190">
        <f>U40/U37-1</f>
        <v>-5.9975689940121701E-2</v>
      </c>
      <c r="M40" s="190">
        <f>U40/U28-1</f>
        <v>0.2131228069033293</v>
      </c>
      <c r="N40" s="191">
        <f>AVERAGE(T38:T40)</f>
        <v>290.3837623529709</v>
      </c>
      <c r="O40" s="192">
        <f>N40/N37-1</f>
        <v>-2.8525428815155962E-3</v>
      </c>
      <c r="P40" s="129" t="s">
        <v>778</v>
      </c>
      <c r="Q40" s="116">
        <v>13166691</v>
      </c>
      <c r="R40" s="116">
        <v>18707279798</v>
      </c>
      <c r="S40" s="116">
        <v>46308.52</v>
      </c>
      <c r="T40" s="130">
        <f t="shared" ref="T40" si="57">Q40/S40</f>
        <v>284.32545458157591</v>
      </c>
      <c r="U40" s="85">
        <f>Q38+Q39+Q40</f>
        <v>40249646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484640.83333333331</v>
      </c>
      <c r="G41" s="190">
        <f t="shared" ref="G41" si="58">F41/F40-1</f>
        <v>-0.22702997283068316</v>
      </c>
      <c r="H41" s="190">
        <f t="shared" ref="H41" si="59">F41/F29-1</f>
        <v>0.18296518476735391</v>
      </c>
      <c r="I41" s="130">
        <f t="shared" si="0"/>
        <v>332.52072838271346</v>
      </c>
      <c r="J41" s="130">
        <f t="shared" si="4"/>
        <v>0.20338261635267774</v>
      </c>
      <c r="K41" s="193"/>
      <c r="L41" s="190"/>
      <c r="M41" s="190"/>
      <c r="N41" s="193"/>
      <c r="O41" s="193"/>
      <c r="P41" s="129" t="s">
        <v>792</v>
      </c>
      <c r="Q41" s="116">
        <v>8723535</v>
      </c>
      <c r="R41" s="116">
        <v>12758972405</v>
      </c>
      <c r="S41" s="116">
        <v>26234.560000000001</v>
      </c>
      <c r="T41" s="130">
        <f t="shared" ref="T41" si="60">Q41/S41</f>
        <v>332.52072838271346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514589.05</v>
      </c>
      <c r="G42" s="190">
        <f t="shared" ref="G42" si="61">F42/F41-1</f>
        <v>6.1794662370243225E-2</v>
      </c>
      <c r="H42" s="190">
        <f t="shared" ref="H42" si="62">F42/F30-1</f>
        <v>9.1100870323590488E-3</v>
      </c>
      <c r="I42" s="130">
        <f t="shared" si="0"/>
        <v>292.41910356806068</v>
      </c>
      <c r="J42" s="130">
        <f t="shared" si="4"/>
        <v>-9.4822922508041363E-2</v>
      </c>
      <c r="K42" s="193"/>
      <c r="L42" s="190"/>
      <c r="M42" s="190"/>
      <c r="N42" s="193"/>
      <c r="O42" s="193"/>
      <c r="P42" s="129" t="s">
        <v>826</v>
      </c>
      <c r="Q42" s="116">
        <v>10291781</v>
      </c>
      <c r="R42" s="116">
    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21" s="79" customFormat="1" ht="13.2">
      <c r="A43" s="129" t="s">
        <v>835</v>
      </c>
      <c r="B43" s="188">
        <f>SUM(F41:F43)</f>
        <v>2014553.5833333333</v>
      </c>
      <c r="C43" s="188">
        <f>AVERAGE(F41:F43)</f>
        <v>671517.86111111112</v>
      </c>
      <c r="D43" s="190">
        <f>C43/C40-1</f>
        <v>3.4800135893996886E-2</v>
      </c>
      <c r="E43" s="287">
        <f>C43/C31-1</f>
        <v>0.2128048491314789</v>
      </c>
      <c r="F43" s="136">
        <f>Q43/20</f>
        <v>1015323.7</v>
      </c>
      <c r="G43" s="190">
        <f t="shared" ref="G43" si="64">F43/F42-1</f>
        <v>0.9730767687341968</v>
      </c>
      <c r="H43" s="190">
        <f t="shared" ref="H43" si="65">F43/F31-1</f>
        <v>0.36938809957631968</v>
      </c>
      <c r="I43" s="130">
        <f t="shared" si="0"/>
        <v>298.95232214842559</v>
      </c>
      <c r="J43" s="130">
        <f t="shared" si="4"/>
        <v>-4.3588775564734616E-3</v>
      </c>
      <c r="K43" s="136">
        <f>R41+R42+R43</f>
        <v>57097994934</v>
      </c>
      <c r="L43" s="190">
        <f>U43/U40-1</f>
        <v>-2.3052525729046147E-2</v>
      </c>
      <c r="M43" s="190">
        <f>K43/K31-1</f>
        <v>0.28381101318263946</v>
      </c>
      <c r="N43" s="191">
        <f>AVERAGE(T41:T43)</f>
        <v>307.96405136639987</v>
      </c>
      <c r="O43" s="192">
        <f>N43/N40-1</f>
        <v>6.0541570475485251E-2</v>
      </c>
      <c r="P43" s="129" t="s">
        <v>835</v>
      </c>
      <c r="Q43" s="116">
        <v>20306474</v>
      </c>
      <c r="R43" s="116">
        <v>29453868351</v>
      </c>
      <c r="S43" s="116">
        <v>67925.460000000006</v>
      </c>
      <c r="T43" s="130">
        <f t="shared" ref="T43" si="66">Q43/S43</f>
        <v>298.95232214842559</v>
      </c>
      <c r="U43" s="85">
        <f>Q41+Q42+Q43</f>
        <v>39321790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553627.18181818177</v>
      </c>
      <c r="G44" s="190">
        <f t="shared" ref="G44" si="67">F44/F43-1</f>
        <v>-0.45472839665007148</v>
      </c>
      <c r="H44" s="190">
        <f t="shared" ref="H44" si="68">F44/F32-1</f>
        <v>-0.20263123586352227</v>
      </c>
      <c r="I44" s="130">
        <f t="shared" si="0"/>
        <v>306.28056569801942</v>
      </c>
      <c r="J44" s="130">
        <f t="shared" si="4"/>
        <v>-1.4456905981461321E-2</v>
      </c>
      <c r="K44" s="136"/>
      <c r="L44" s="190"/>
      <c r="M44" s="190"/>
      <c r="N44" s="191"/>
      <c r="O44" s="192"/>
      <c r="P44" s="129" t="s">
        <v>843</v>
      </c>
      <c r="Q44" s="116">
        <v>12179798</v>
      </c>
      <c r="R44" s="116">
        <v>17568095867</v>
      </c>
      <c r="S44" s="116">
        <v>39766.800000000003</v>
      </c>
      <c r="T44" s="130">
        <f t="shared" ref="T44" si="69">Q44/S44</f>
        <v>306.28056569801942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655365.55000000005</v>
      </c>
      <c r="G45" s="190">
        <f t="shared" ref="G45" si="70">F45/F44-1</f>
        <v>0.18376693111002362</v>
      </c>
      <c r="H45" s="190">
        <f t="shared" ref="H45" si="71">F45/F33-1</f>
        <v>4.4483115157674114E-3</v>
      </c>
      <c r="I45" s="130">
        <f t="shared" si="0"/>
        <v>306.46834650139391</v>
      </c>
      <c r="J45" s="130">
        <f t="shared" si="4"/>
        <v>3.7822880630855149E-2</v>
      </c>
      <c r="K45" s="136"/>
      <c r="L45" s="190"/>
      <c r="M45" s="190"/>
      <c r="N45" s="191"/>
      <c r="O45" s="192"/>
      <c r="P45" s="129" t="s">
        <v>866</v>
      </c>
      <c r="Q45" s="116">
        <v>13107311</v>
      </c>
      <c r="R45" s="116">
        <v>18383838716</v>
      </c>
      <c r="S45" s="116">
        <v>42768.89</v>
      </c>
      <c r="T45" s="130">
        <f t="shared" ref="T45" si="72">Q45/S45</f>
        <v>306.46834650139391</v>
      </c>
      <c r="U45" s="85"/>
    </row>
    <row r="46" spans="1:21" s="79" customFormat="1" ht="13.2">
      <c r="A46" s="129" t="s">
        <v>888</v>
      </c>
      <c r="B46" s="188">
        <f>SUM(F44:F46)</f>
        <v>2159990.3633971293</v>
      </c>
      <c r="C46" s="188">
        <f>AVERAGE(F44:F46)</f>
        <v>719996.78779904312</v>
      </c>
      <c r="D46" s="190">
        <f>C46/C43-1</f>
        <v>7.219305620213512E-2</v>
      </c>
      <c r="E46" s="287">
        <f>C46/C34-1</f>
        <v>7.915958896975761E-2</v>
      </c>
      <c r="F46" s="136">
        <f>Q46/19</f>
        <v>950997.63157894742</v>
      </c>
      <c r="G46" s="190">
        <f t="shared" ref="G46" si="73">F46/F45-1</f>
        <v>0.45109493713691129</v>
      </c>
      <c r="H46" s="190">
        <f t="shared" ref="H46" si="74">F46/F34-1</f>
        <v>0.45241969270262805</v>
      </c>
      <c r="I46" s="130">
        <f t="shared" si="0"/>
        <v>274.78153452539959</v>
      </c>
      <c r="J46" s="130">
        <f t="shared" si="4"/>
        <v>-0.1279628213531393</v>
      </c>
      <c r="K46" s="136">
        <f>R44+R45+R46</f>
        <v>60654644290</v>
      </c>
      <c r="L46" s="190">
        <f>U46/U43-1</f>
        <v>0.10259639756989691</v>
      </c>
      <c r="M46" s="190">
        <f>K46/K34-1</f>
        <v>8.8397377610534233E-2</v>
      </c>
      <c r="N46" s="191">
        <f>AVERAGE(T44:T46)</f>
        <v>295.84348224160431</v>
      </c>
      <c r="O46" s="192">
        <f>N46/N43-1</f>
        <v>-3.9357090774127856E-2</v>
      </c>
      <c r="P46" s="129" t="s">
        <v>956</v>
      </c>
      <c r="Q46" s="116">
        <v>18068955</v>
      </c>
      <c r="R46" s="116">
        <v>24702709707</v>
      </c>
      <c r="S46" s="116">
        <v>65757.53</v>
      </c>
      <c r="T46" s="130">
        <f t="shared" ref="T46" si="75">Q46/S46</f>
        <v>274.78153452539959</v>
      </c>
      <c r="U46" s="85">
        <f t="shared" ref="U46:U51" si="76">Q44+Q45+Q46</f>
        <v>43356064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652744.30434782605</v>
      </c>
      <c r="G47" s="190">
        <f t="shared" ref="G47" si="77">F47/F46-1</f>
        <v>-0.31362152473074978</v>
      </c>
      <c r="H47" s="190">
        <f t="shared" ref="H47" si="78">F47/F35-1</f>
        <v>2.1489994776688892E-3</v>
      </c>
      <c r="I47" s="130">
        <f t="shared" si="0"/>
        <v>319.27128125167468</v>
      </c>
      <c r="J47" s="130">
        <f t="shared" si="4"/>
        <v>9.5530722410988478E-2</v>
      </c>
      <c r="K47" s="136"/>
      <c r="L47" s="190"/>
      <c r="M47" s="190"/>
      <c r="N47" s="191"/>
      <c r="O47" s="192"/>
      <c r="P47" s="129" t="s">
        <v>991</v>
      </c>
      <c r="Q47" s="116">
        <v>15013119</v>
      </c>
      <c r="R47" s="116">
        <v>20611632213</v>
      </c>
      <c r="S47" s="116">
        <v>47023.08</v>
      </c>
      <c r="T47" s="130">
        <f t="shared" ref="T47" si="79">Q47/S47</f>
        <v>319.27128125167468</v>
      </c>
      <c r="U47" s="85">
        <f t="shared" si="76"/>
        <v>46189385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528936.1</v>
      </c>
      <c r="G48" s="190">
        <f t="shared" ref="G48" si="80">F48/F47-1</f>
        <v>-0.18967335834745602</v>
      </c>
      <c r="H48" s="190">
        <f t="shared" ref="H48" si="81">F48/F36-1</f>
        <v>-0.22044049275179645</v>
      </c>
      <c r="I48" s="130">
        <f t="shared" si="0"/>
        <v>317.05589129843179</v>
      </c>
      <c r="J48" s="130">
        <f t="shared" si="4"/>
        <v>8.3034581745222047E-2</v>
      </c>
      <c r="K48" s="136"/>
      <c r="L48" s="190"/>
      <c r="M48" s="190"/>
      <c r="N48" s="191"/>
      <c r="O48" s="192"/>
      <c r="P48" s="129" t="s">
        <v>1070</v>
      </c>
      <c r="Q48" s="116">
        <v>10578722</v>
      </c>
      <c r="R48" s="116">
        <v>14690387421</v>
      </c>
      <c r="S48" s="116">
        <v>33365.480000000003</v>
      </c>
      <c r="T48" s="130">
        <f t="shared" ref="T48" si="82">Q48/S48</f>
        <v>317.05589129843179</v>
      </c>
      <c r="U48" s="85">
        <f t="shared" si="76"/>
        <v>43660796</v>
      </c>
    </row>
    <row r="49" spans="1:26" ht="13.2">
      <c r="A49" s="129" t="s">
        <v>1241</v>
      </c>
      <c r="B49" s="188">
        <f>SUM(F47:F49)</f>
        <v>2108924.4498023717</v>
      </c>
      <c r="C49" s="188">
        <f>AVERAGE(F47:F49)</f>
        <v>702974.8166007906</v>
      </c>
      <c r="D49" s="190">
        <f>C49/C46-1</f>
        <v>-2.3641732139232152E-2</v>
      </c>
      <c r="E49" s="287">
        <f>C49/C37-1</f>
        <v>1.1597925625691508E-2</v>
      </c>
      <c r="F49" s="136">
        <f>Q49/22</f>
        <v>927244.04545454541</v>
      </c>
      <c r="G49" s="190">
        <f t="shared" ref="G49" si="83">F49/F48-1</f>
        <v>0.75303603867186508</v>
      </c>
      <c r="H49" s="190">
        <f t="shared" ref="H49" si="84">F49/F37-1</f>
        <v>0.22830899451195164</v>
      </c>
      <c r="I49" s="130">
        <f t="shared" si="0"/>
        <v>321.28370354550685</v>
      </c>
      <c r="J49" s="130">
        <f t="shared" si="4"/>
        <v>0.10992250071876675</v>
      </c>
      <c r="K49" s="136">
        <f>R47+R48+R49</f>
        <v>63657400258</v>
      </c>
      <c r="L49" s="190">
        <f>U49/U46-1</f>
        <v>6.0779179586043508E-2</v>
      </c>
      <c r="M49" s="190">
        <f>K49/K37-1</f>
        <v>9.3060246682506564E-2</v>
      </c>
      <c r="N49" s="191">
        <f>AVERAGE(T47:T49)</f>
        <v>319.20362536520446</v>
      </c>
      <c r="O49" s="192">
        <f>N49/N46-1</f>
        <v>7.8961155225055091E-2</v>
      </c>
      <c r="P49" s="129" t="s">
        <v>1158</v>
      </c>
      <c r="Q49" s="116">
        <v>20399369</v>
      </c>
      <c r="R49" s="116">
        <v>28355380624</v>
      </c>
      <c r="S49" s="116">
        <v>63493.32</v>
      </c>
      <c r="T49" s="130">
        <f t="shared" ref="T49" si="85">Q49/S49</f>
        <v>321.28370354550685</v>
      </c>
      <c r="U49" s="85">
        <f t="shared" si="76"/>
        <v>45991210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626173.4444444445</v>
      </c>
      <c r="G50" s="190">
        <f t="shared" ref="G50" si="86">F50/F49-1</f>
        <v>-0.3246940247133242</v>
      </c>
      <c r="H50" s="190">
        <f t="shared" ref="H50" si="87">F50/F38-1</f>
        <v>-1.1173339577673969E-2</v>
      </c>
      <c r="I50" s="130">
        <f t="shared" ref="I50" si="88">T50</f>
        <v>293.12895583920033</v>
      </c>
      <c r="J50" s="130">
        <f t="shared" ref="J50" si="89">I50/I38-1</f>
        <v>-9.2092135401519615E-2</v>
      </c>
      <c r="K50" s="136"/>
      <c r="L50" s="190"/>
      <c r="M50" s="190"/>
      <c r="N50" s="191"/>
      <c r="O50" s="192"/>
      <c r="P50" s="129" t="s">
        <v>1291</v>
      </c>
      <c r="Q50" s="116">
        <v>11271122</v>
      </c>
      <c r="R50" s="116">
        <v>15964977777</v>
      </c>
      <c r="S50" s="116">
        <v>38451.07</v>
      </c>
      <c r="T50" s="130">
        <f t="shared" ref="T50" si="90">Q50/S50</f>
        <v>293.12895583920033</v>
      </c>
      <c r="U50" s="85">
        <f t="shared" si="76"/>
        <v>42249213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742980.15</v>
      </c>
      <c r="G51" s="190">
        <f t="shared" ref="G51:G52" si="91">F51/F50-1</f>
        <v>0.1865404970330371</v>
      </c>
      <c r="H51" s="190">
        <f t="shared" ref="H51:H52" si="92">F51/F39-1</f>
        <v>8.2161820077936154E-2</v>
      </c>
      <c r="I51" s="130">
        <f t="shared" ref="I51:I52" si="93">T51</f>
        <v>302.58226038652555</v>
      </c>
      <c r="J51" s="130">
        <f t="shared" ref="J51:J52" si="94">I51/I39-1</f>
        <v>0.14630199981191683</v>
      </c>
      <c r="K51" s="136"/>
      <c r="L51" s="190"/>
      <c r="M51" s="190"/>
      <c r="N51" s="191"/>
      <c r="O51" s="192"/>
      <c r="P51" s="129" t="s">
        <v>1402</v>
      </c>
      <c r="Q51" s="116">
        <v>14859603</v>
      </c>
      <c r="R51" s="116">
        <v>21580416299</v>
      </c>
      <c r="S51" s="116">
        <v>49109.3</v>
      </c>
      <c r="T51" s="130">
        <f t="shared" ref="T51:T52" si="95">Q51/S51</f>
        <v>302.58226038652555</v>
      </c>
      <c r="U51" s="85">
        <f t="shared" si="76"/>
        <v>46530094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2608209.8217171719</v>
      </c>
      <c r="C52" s="188">
        <f>AVERAGE(F50:F52)</f>
        <v>869403.27390572394</v>
      </c>
      <c r="D52" s="190">
        <f>C52/C49-1</f>
        <v>0.2367488185561073</v>
      </c>
      <c r="E52" s="287">
        <f>C52/C40-1</f>
        <v>0.33973893783812414</v>
      </c>
      <c r="F52" s="136">
        <f>Q52/22</f>
        <v>1239056.2272727273</v>
      </c>
      <c r="G52" s="190">
        <f t="shared" si="91"/>
        <v>0.66768415989677155</v>
      </c>
      <c r="H52" s="190">
        <f t="shared" si="92"/>
        <v>0.97621260897876883</v>
      </c>
      <c r="I52" s="130">
        <f t="shared" si="93"/>
        <v>298.0706112521197</v>
      </c>
      <c r="J52" s="130">
        <f t="shared" si="94"/>
        <v>4.8343039460788662E-2</v>
      </c>
      <c r="K52" s="136">
        <f>R50+R51+R52</f>
        <v>77662368704</v>
      </c>
      <c r="L52" s="190">
        <f>U52/U49-1</f>
        <v>0.16087317554811009</v>
      </c>
      <c r="M52" s="190">
        <f>K52/K40-1</f>
        <v>0.3889512884421491</v>
      </c>
      <c r="N52" s="191">
        <f>AVERAGE(T50:T52)</f>
        <v>297.92727582594853</v>
      </c>
      <c r="O52" s="192">
        <f>N52/N49-1</f>
        <v>-6.6654473347266707E-2</v>
      </c>
      <c r="P52" s="129" t="s">
        <v>1403</v>
      </c>
      <c r="Q52" s="116">
        <v>27259237</v>
      </c>
      <c r="R52" s="116">
        <v>40116974628</v>
      </c>
      <c r="S52" s="116">
        <v>91452.28</v>
      </c>
      <c r="T52" s="130">
        <f t="shared" si="95"/>
        <v>298.0706112521197</v>
      </c>
      <c r="U52" s="85">
        <f t="shared" ref="U52" si="96">Q50+Q51+Q52</f>
        <v>53389962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608282.23809523811</v>
      </c>
      <c r="G53" s="190">
        <f t="shared" ref="G53" si="97">F53/F52-1</f>
        <v>-0.50907616239973119</v>
      </c>
      <c r="H53" s="190">
        <f t="shared" ref="H53" si="98">F53/F41-1</f>
        <v>0.25511966028843647</v>
      </c>
      <c r="I53" s="130">
        <f t="shared" ref="I53" si="99">T53</f>
        <v>304.14604331689179</v>
      </c>
      <c r="J53" s="130">
        <f t="shared" ref="J53" si="100">I53/I41-1</f>
        <v>-8.5332079007008343E-2</v>
      </c>
      <c r="K53" s="136"/>
      <c r="L53" s="190"/>
      <c r="M53" s="190"/>
      <c r="N53" s="191"/>
      <c r="O53" s="192"/>
      <c r="P53" s="129" t="s">
        <v>1414</v>
      </c>
      <c r="Q53" s="116">
        <v>12773927</v>
      </c>
      <c r="R53" s="116">
        <v>18665603185</v>
      </c>
      <c r="S53" s="116">
        <v>41999.32</v>
      </c>
      <c r="T53" s="130">
        <f t="shared" ref="T53" si="101">Q53/S53</f>
        <v>304.14604331689179</v>
      </c>
      <c r="U53" s="85">
        <f t="shared" ref="U53" si="102">Q51+Q52+Q53</f>
        <v>54892767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733554.5294117647</v>
      </c>
      <c r="G54" s="190">
        <f t="shared" ref="G54" si="103">F54/F53-1</f>
        <v>0.20594435193242133</v>
      </c>
      <c r="H54" s="190">
        <f t="shared" ref="H54" si="104">F54/F42-1</f>
        <v>0.42551523280910208</v>
      </c>
      <c r="I54" s="130">
        <f t="shared" ref="I54" si="105">T54</f>
        <v>290.83454762899828</v>
      </c>
      <c r="J54" s="130">
        <f t="shared" ref="J54" si="106">I54/I42-1</f>
        <v>-5.4187839293939888E-3</v>
      </c>
      <c r="K54" s="136"/>
      <c r="L54" s="190"/>
      <c r="M54" s="190"/>
      <c r="N54" s="191"/>
      <c r="O54" s="192"/>
      <c r="P54" s="129" t="s">
        <v>1417</v>
      </c>
      <c r="Q54" s="116">
        <v>12470427</v>
      </c>
      <c r="R54" s="116">
        <v>18066214066</v>
      </c>
      <c r="S54" s="116">
        <v>42878.080000000002</v>
      </c>
      <c r="T54" s="130">
        <f t="shared" ref="T54" si="107">Q54/S54</f>
        <v>290.83454762899828</v>
      </c>
      <c r="U54" s="85">
        <f t="shared" ref="U54" si="108">Q52+Q53+Q54</f>
        <v>52503591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2560810.62464986</v>
      </c>
      <c r="C55" s="188">
        <f>AVERAGE(F53:F55)</f>
        <v>853603.54154995328</v>
      </c>
      <c r="D55" s="190">
        <f>C55/C52-1</f>
        <v>-1.8173076672223232E-2</v>
      </c>
      <c r="E55" s="287">
        <f>C55/C43-1</f>
        <v>0.27115537945268997</v>
      </c>
      <c r="F55" s="136">
        <f>Q55/21</f>
        <v>1218973.857142857</v>
      </c>
      <c r="G55" s="190">
        <f t="shared" ref="G55" si="109">F55/F54-1</f>
        <v>0.66173584685019771</v>
      </c>
      <c r="H55" s="190">
        <f t="shared" ref="H55" si="110">F55/F43-1</f>
        <v>0.2005765817766858</v>
      </c>
      <c r="I55" s="130">
        <f>T55</f>
        <v>288.1328782659474</v>
      </c>
      <c r="J55" s="130">
        <f t="shared" ref="J55" si="111">I55/I43-1</f>
        <v>-3.6191202010822598E-2</v>
      </c>
      <c r="K55" s="136">
        <f>R53+R54+R55</f>
        <v>74731971185</v>
      </c>
      <c r="L55" s="190">
        <f>U55/U52-1</f>
        <v>-4.770853742132275E-2</v>
      </c>
      <c r="M55" s="190">
        <f>K55/K43-1</f>
        <v>0.30883704885580032</v>
      </c>
      <c r="N55" s="191">
        <f>AVERAGE(T53:T55)</f>
        <v>294.3711564039458</v>
      </c>
      <c r="O55" s="192">
        <f>N55/N52-1</f>
        <v>-1.1936199571335071E-2</v>
      </c>
      <c r="P55" s="129" t="s">
        <v>1418</v>
      </c>
      <c r="Q55" s="116">
        <v>25598451</v>
      </c>
      <c r="R55" s="116">
        <v>38000153934</v>
      </c>
      <c r="S55" s="116">
        <v>88842.52</v>
      </c>
      <c r="T55" s="130">
        <f t="shared" ref="T55" si="112">Q55/S55</f>
        <v>288.1328782659474</v>
      </c>
      <c r="U55" s="85">
        <f t="shared" ref="U55" si="113">Q53+Q54+Q55</f>
        <v>50842805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647508.27272727271</v>
      </c>
      <c r="G56" s="190">
        <f t="shared" ref="G56" si="114">F56/F55-1</f>
        <v>-0.4688087288065701</v>
      </c>
      <c r="H56" s="190">
        <f t="shared" ref="H56" si="115">F56/F44-1</f>
        <v>0.16957456929909687</v>
      </c>
      <c r="I56" s="291">
        <f>T56</f>
        <v>287.60854080455869</v>
      </c>
      <c r="J56" s="130">
        <f t="shared" ref="J56" si="116">I56/I44-1</f>
        <v>-6.0963792628849323E-2</v>
      </c>
      <c r="K56" s="136"/>
      <c r="L56" s="190"/>
      <c r="M56" s="190"/>
      <c r="N56" s="191"/>
      <c r="O56" s="192"/>
      <c r="P56" s="129" t="s">
        <v>1420</v>
      </c>
      <c r="Q56" s="116">
        <v>14245182</v>
      </c>
      <c r="R56" s="116">
        <v>21179313232</v>
      </c>
      <c r="S56" s="116">
        <v>49529.760000000002</v>
      </c>
      <c r="T56" s="130">
        <f t="shared" ref="T56" si="117">Q56/S56</f>
        <v>287.60854080455869</v>
      </c>
      <c r="U56" s="85">
        <f t="shared" ref="U56" si="118">Q54+Q55+Q56</f>
        <v>52314060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765227.41666666663</v>
      </c>
      <c r="G57" s="254">
        <f t="shared" ref="G57" si="119">F57/F56-1</f>
        <v>0.18180330491155994</v>
      </c>
      <c r="H57" s="254">
        <f t="shared" ref="H57" si="120">F57/F45-1</f>
        <v>0.16763448531383229</v>
      </c>
      <c r="I57" s="282">
        <f>T57</f>
        <v>255.44364440349656</v>
      </c>
      <c r="J57" s="277">
        <f t="shared" ref="J57" si="121">I57/I45-1</f>
        <v>-0.16649256825505554</v>
      </c>
      <c r="K57" s="204"/>
      <c r="L57" s="254"/>
      <c r="M57" s="254"/>
      <c r="N57" s="257"/>
      <c r="O57" s="258"/>
      <c r="P57" s="129" t="s">
        <v>1436</v>
      </c>
      <c r="Q57" s="116">
        <v>9182729</v>
      </c>
      <c r="R57" s="116">
        <v>13509422646</v>
      </c>
      <c r="S57" s="116">
        <v>35948.160000000003</v>
      </c>
      <c r="T57" s="130">
        <f t="shared" ref="T57" si="122">Q57/S57</f>
        <v>255.44364440349656</v>
      </c>
      <c r="U57" s="85">
        <f t="shared" ref="U57" si="123">Q55+Q56+Q57</f>
        <v>49026362</v>
      </c>
      <c r="V57" s="79"/>
      <c r="W57" s="79"/>
      <c r="X57" s="79"/>
      <c r="Y57" s="79"/>
      <c r="Z57" s="79"/>
    </row>
    <row r="58" spans="1:26">
      <c r="B58" s="196">
        <f>SUM(F56:F58)</f>
        <v>1412735.6893939395</v>
      </c>
      <c r="C58" s="196">
        <f>AVERAGE(F56:F58)</f>
        <v>706367.84469696973</v>
      </c>
      <c r="D58" s="197">
        <f>C58/C55-1</f>
        <v>-0.1724872141294499</v>
      </c>
      <c r="E58" s="233">
        <f>C58/C46-1</f>
        <v>-1.8929172092191804E-2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74270716</v>
      </c>
      <c r="R65" s="212">
        <v>109420707063</v>
      </c>
      <c r="S65" s="213">
        <v>259197.86</v>
      </c>
      <c r="T65" s="214">
        <v>69</v>
      </c>
      <c r="U65" s="214">
        <v>596</v>
      </c>
    </row>
    <row r="66" spans="16:21" ht="18" thickBot="1">
      <c r="P66" s="180" t="s">
        <v>976</v>
      </c>
      <c r="Q66" s="181">
        <v>12773927</v>
      </c>
      <c r="R66" s="181">
        <v>18665603185</v>
      </c>
      <c r="S66" s="182">
        <v>41999.32</v>
      </c>
      <c r="T66" s="210">
        <v>35</v>
      </c>
      <c r="U66" s="210">
        <v>229</v>
      </c>
    </row>
    <row r="67" spans="16:21" ht="18" thickBot="1">
      <c r="P67" s="180" t="s">
        <v>977</v>
      </c>
      <c r="Q67" s="181">
        <v>12470427</v>
      </c>
      <c r="R67" s="181">
        <v>18066214066</v>
      </c>
      <c r="S67" s="182">
        <v>42878.080000000002</v>
      </c>
      <c r="T67" s="210">
        <v>36</v>
      </c>
      <c r="U67" s="210">
        <v>176</v>
      </c>
    </row>
    <row r="68" spans="16:21" ht="18" thickBot="1">
      <c r="P68" s="180" t="s">
        <v>978</v>
      </c>
      <c r="Q68" s="181">
        <v>25598451</v>
      </c>
      <c r="R68" s="181">
        <v>38000153934</v>
      </c>
      <c r="S68" s="182">
        <v>88842.52</v>
      </c>
      <c r="T68" s="210">
        <v>43</v>
      </c>
      <c r="U68" s="210">
        <v>211</v>
      </c>
    </row>
    <row r="69" spans="16:21" ht="18" thickBot="1">
      <c r="P69" s="180" t="s">
        <v>979</v>
      </c>
      <c r="Q69" s="181">
        <v>14245182</v>
      </c>
      <c r="R69" s="181">
        <v>21179313232</v>
      </c>
      <c r="S69" s="182">
        <v>49529.760000000002</v>
      </c>
      <c r="T69" s="210">
        <v>40</v>
      </c>
      <c r="U69" s="210">
        <v>217</v>
      </c>
    </row>
    <row r="70" spans="16:21" ht="18" thickBot="1">
      <c r="P70" s="180" t="s">
        <v>980</v>
      </c>
      <c r="Q70" s="181">
        <v>9182729</v>
      </c>
      <c r="R70" s="181">
        <v>13509422646</v>
      </c>
      <c r="S70" s="182">
        <v>35948.160000000003</v>
      </c>
      <c r="T70" s="210">
        <v>30</v>
      </c>
      <c r="U70" s="210">
        <v>149</v>
      </c>
    </row>
    <row r="71" spans="16:21" ht="18" thickBot="1">
      <c r="P71" s="180" t="s">
        <v>975</v>
      </c>
      <c r="Q71" s="181">
        <v>182053163</v>
      </c>
      <c r="R71" s="181">
        <v>259066223259</v>
      </c>
      <c r="S71" s="182">
        <v>599642.14</v>
      </c>
      <c r="T71" s="210">
        <v>104</v>
      </c>
      <c r="U71" s="210">
        <v>1360</v>
      </c>
    </row>
    <row r="72" spans="16:21" ht="18" thickBot="1">
      <c r="P72" s="215" t="s">
        <v>982</v>
      </c>
      <c r="Q72" s="217">
        <v>157</v>
      </c>
      <c r="R72"/>
      <c r="S72"/>
      <c r="T72"/>
      <c r="U72"/>
    </row>
  </sheetData>
  <phoneticPr fontId="1" type="noConversion"/>
  <conditionalFormatting sqref="C29:C30">
    <cfRule type="cellIs" dxfId="16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95"/>
  <dimension ref="A1:Z73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685516.5</v>
      </c>
      <c r="G5" s="90"/>
      <c r="H5" s="90"/>
      <c r="I5" s="130">
        <f t="shared" ref="I5:I49" si="0">T5</f>
        <v>192.99027217307727</v>
      </c>
      <c r="J5" s="130"/>
      <c r="L5" s="80"/>
      <c r="M5" s="80"/>
      <c r="P5" s="129" t="s">
        <v>0</v>
      </c>
      <c r="Q5" s="116">
        <v>13710330</v>
      </c>
      <c r="R5" s="116">
        <v>16180341233</v>
      </c>
      <c r="S5" s="116">
        <v>71041.56</v>
      </c>
      <c r="T5" s="130">
        <f t="shared" ref="T5:T17" si="1">Q5/S5</f>
        <v>192.99027217307727</v>
      </c>
      <c r="U5" s="85"/>
    </row>
    <row r="6" spans="1:21" ht="15" hidden="1" customHeight="1">
      <c r="A6" s="129" t="s">
        <v>1</v>
      </c>
      <c r="C6" s="79"/>
      <c r="F6" s="78">
        <f>Q6/18</f>
        <v>783323.61111111112</v>
      </c>
      <c r="G6" s="90">
        <f t="shared" ref="G6:G16" si="2">F6/F5-1</f>
        <v>0.14267652363015504</v>
      </c>
      <c r="H6" s="90"/>
      <c r="I6" s="130">
        <f t="shared" si="0"/>
        <v>121.09189314066029</v>
      </c>
      <c r="J6" s="130"/>
      <c r="P6" s="129" t="s">
        <v>1</v>
      </c>
      <c r="Q6" s="116">
        <v>14099825</v>
      </c>
      <c r="R6" s="116">
        <v>16759353488</v>
      </c>
      <c r="S6" s="116">
        <v>116439.05</v>
      </c>
      <c r="T6" s="130">
        <f t="shared" si="1"/>
        <v>121.09189314066029</v>
      </c>
      <c r="U6" s="85"/>
    </row>
    <row r="7" spans="1:21" ht="15" hidden="1" customHeight="1">
      <c r="A7" s="129" t="s">
        <v>2</v>
      </c>
      <c r="B7" s="131">
        <f>F5+F6+F7</f>
        <v>2241225.9747474748</v>
      </c>
      <c r="C7" s="131">
        <f>AVERAGE(F5:F7)</f>
        <v>747075.32491582492</v>
      </c>
      <c r="F7" s="78">
        <f>Q7/22</f>
        <v>772385.86363636365</v>
      </c>
      <c r="G7" s="90">
        <f t="shared" si="2"/>
        <v>-1.3963255185468926E-2</v>
      </c>
      <c r="H7" s="90"/>
      <c r="I7" s="130">
        <f t="shared" si="0"/>
        <v>199.75058931898789</v>
      </c>
      <c r="J7" s="130"/>
      <c r="K7" s="79">
        <f>R5+R6+R7</f>
        <v>53422955586</v>
      </c>
      <c r="N7" s="88">
        <f>AVERAGE(T5:T7)</f>
        <v>171.27758487757515</v>
      </c>
      <c r="P7" s="129" t="s">
        <v>2</v>
      </c>
      <c r="Q7" s="116">
        <v>16992489</v>
      </c>
      <c r="R7" s="116">
        <v>20483260865</v>
      </c>
      <c r="S7" s="116">
        <v>85068.53</v>
      </c>
      <c r="T7" s="130">
        <f t="shared" si="1"/>
        <v>199.75058931898789</v>
      </c>
      <c r="U7" s="85">
        <f>Q5+Q6+Q7</f>
        <v>44802644</v>
      </c>
    </row>
    <row r="8" spans="1:21" ht="15" hidden="1" customHeight="1">
      <c r="A8" s="129" t="s">
        <v>3</v>
      </c>
      <c r="C8" s="79"/>
      <c r="F8" s="78">
        <f>Q8/21</f>
        <v>657896.52380952379</v>
      </c>
      <c r="G8" s="90">
        <f t="shared" si="2"/>
        <v>-0.14822816576138298</v>
      </c>
      <c r="H8" s="90"/>
      <c r="I8" s="130">
        <f t="shared" si="0"/>
        <v>122.22597916700396</v>
      </c>
      <c r="J8" s="130"/>
      <c r="K8" s="78"/>
      <c r="P8" s="129" t="s">
        <v>3</v>
      </c>
      <c r="Q8" s="116">
        <v>13815827</v>
      </c>
      <c r="R8" s="116">
        <v>16768165345</v>
      </c>
      <c r="S8" s="116">
        <v>113035.11</v>
      </c>
      <c r="T8" s="130">
        <f t="shared" si="1"/>
        <v>122.22597916700396</v>
      </c>
      <c r="U8" s="85"/>
    </row>
    <row r="9" spans="1:21" ht="15" hidden="1" customHeight="1">
      <c r="A9" s="129" t="s">
        <v>4</v>
      </c>
      <c r="C9" s="79"/>
      <c r="F9" s="78">
        <f>Q9/21</f>
        <v>653331.66666666663</v>
      </c>
      <c r="G9" s="90">
        <f t="shared" si="2"/>
        <v>-6.9385640106813806E-3</v>
      </c>
      <c r="H9" s="90"/>
      <c r="I9" s="130">
        <f t="shared" si="0"/>
        <v>156.04821447175723</v>
      </c>
      <c r="J9" s="130"/>
      <c r="K9" s="78"/>
      <c r="P9" s="129" t="s">
        <v>4</v>
      </c>
      <c r="Q9" s="116">
        <v>13719965</v>
      </c>
      <c r="R9" s="116">
        <v>17246911019</v>
      </c>
      <c r="S9" s="116">
        <v>87921.32</v>
      </c>
      <c r="T9" s="130">
        <f t="shared" si="1"/>
        <v>156.04821447175723</v>
      </c>
      <c r="U9" s="85"/>
    </row>
    <row r="10" spans="1:21" ht="15" hidden="1" customHeight="1">
      <c r="A10" s="129" t="s">
        <v>5</v>
      </c>
      <c r="B10" s="131">
        <f>F8+F9+F10</f>
        <v>2151275.5238095238</v>
      </c>
      <c r="C10" s="131">
        <f>AVERAGE(F8:F10)</f>
        <v>717091.8412698413</v>
      </c>
      <c r="D10" s="90">
        <f>C10/C7-1</f>
        <v>-4.0134485300209799E-2</v>
      </c>
      <c r="E10" s="286"/>
      <c r="F10" s="78">
        <f>Q10/21</f>
        <v>840047.33333333337</v>
      </c>
      <c r="G10" s="90">
        <f t="shared" si="2"/>
        <v>0.28579001477044597</v>
      </c>
      <c r="H10" s="90"/>
      <c r="I10" s="130">
        <f t="shared" si="0"/>
        <v>139.18550141197471</v>
      </c>
      <c r="J10" s="130"/>
      <c r="K10" s="79">
        <f>R8+R9+R10</f>
        <v>56171057784</v>
      </c>
      <c r="L10" s="87">
        <f>U10/U7-1</f>
        <v>8.3508910768748112E-3</v>
      </c>
      <c r="N10" s="88">
        <f>AVERAGE(T8:T10)</f>
        <v>139.15323168357864</v>
      </c>
      <c r="O10" s="89">
        <f>N10/N7-1</f>
        <v>-0.18755725226367581</v>
      </c>
      <c r="P10" s="129" t="s">
        <v>5</v>
      </c>
      <c r="Q10" s="116">
        <v>17640994</v>
      </c>
      <c r="R10" s="116">
        <v>22155981420</v>
      </c>
      <c r="S10" s="116">
        <v>126744.48</v>
      </c>
      <c r="T10" s="130">
        <f t="shared" si="1"/>
        <v>139.18550141197471</v>
      </c>
      <c r="U10" s="85">
        <f>Q8+Q9+Q10</f>
        <v>45176786</v>
      </c>
    </row>
    <row r="11" spans="1:21" ht="15" hidden="1" customHeight="1">
      <c r="A11" s="129" t="s">
        <v>6</v>
      </c>
      <c r="C11" s="79"/>
      <c r="F11" s="78">
        <f>Q11/21</f>
        <v>729269.57142857148</v>
      </c>
      <c r="G11" s="90">
        <f t="shared" si="2"/>
        <v>-0.1318708571637176</v>
      </c>
      <c r="H11" s="90"/>
      <c r="I11" s="130">
        <f t="shared" si="0"/>
        <v>107.79005368929215</v>
      </c>
      <c r="J11" s="130"/>
      <c r="K11" s="78"/>
      <c r="O11" s="89"/>
      <c r="P11" s="129" t="s">
        <v>6</v>
      </c>
      <c r="Q11" s="116">
        <v>15314661</v>
      </c>
      <c r="R11" s="116">
        <v>19772851243</v>
      </c>
      <c r="S11" s="116">
        <v>142078.60999999999</v>
      </c>
      <c r="T11" s="130">
        <f t="shared" si="1"/>
        <v>107.79005368929215</v>
      </c>
      <c r="U11" s="85"/>
    </row>
    <row r="12" spans="1:21" ht="15" hidden="1" customHeight="1">
      <c r="A12" s="129" t="s">
        <v>7</v>
      </c>
      <c r="C12" s="79"/>
      <c r="F12" s="78">
        <f>Q12/22</f>
        <v>648901</v>
      </c>
      <c r="G12" s="90">
        <f t="shared" si="2"/>
        <v>-0.11020420236530215</v>
      </c>
      <c r="H12" s="90"/>
      <c r="I12" s="130">
        <f t="shared" si="0"/>
        <v>142.23744603881806</v>
      </c>
      <c r="J12" s="130"/>
      <c r="K12" s="78"/>
      <c r="O12" s="89"/>
      <c r="P12" s="129" t="s">
        <v>7</v>
      </c>
      <c r="Q12" s="116">
        <v>14275822</v>
      </c>
      <c r="R12" s="116">
        <v>18561322038</v>
      </c>
      <c r="S12" s="116">
        <v>100366.13</v>
      </c>
      <c r="T12" s="130">
        <f t="shared" si="1"/>
        <v>142.23744603881806</v>
      </c>
      <c r="U12" s="85"/>
    </row>
    <row r="13" spans="1:21" ht="15" hidden="1" customHeight="1">
      <c r="A13" s="129" t="s">
        <v>35</v>
      </c>
      <c r="B13" s="131">
        <f>F11+F12+F13</f>
        <v>2188983.7214285713</v>
      </c>
      <c r="C13" s="131">
        <f>AVERAGE(F11:F13)</f>
        <v>729661.24047619046</v>
      </c>
      <c r="D13" s="90">
        <f>C13/C10-1</f>
        <v>1.7528297608422116E-2</v>
      </c>
      <c r="E13" s="286"/>
      <c r="F13" s="78">
        <f>Q13/20</f>
        <v>810813.15</v>
      </c>
      <c r="G13" s="90">
        <f t="shared" si="2"/>
        <v>0.249517491882429</v>
      </c>
      <c r="H13" s="90"/>
      <c r="I13" s="130">
        <f t="shared" si="0"/>
        <v>116.57679127154776</v>
      </c>
      <c r="J13" s="130"/>
      <c r="K13" s="78">
        <f>R11+R12+R13</f>
        <v>60538546177</v>
      </c>
      <c r="L13" s="87">
        <f>U13/U10-1</f>
        <v>1.3944329727218818E-2</v>
      </c>
      <c r="N13" s="88">
        <f>AVERAGE(T11:T13)</f>
        <v>122.20143033321934</v>
      </c>
      <c r="O13" s="89">
        <f>N13/N10-1</f>
        <v>-0.12182111148454033</v>
      </c>
      <c r="P13" s="129" t="s">
        <v>60</v>
      </c>
      <c r="Q13" s="116">
        <v>16216263</v>
      </c>
      <c r="R13" s="116">
        <v>22204372896</v>
      </c>
      <c r="S13" s="116">
        <v>139103.70000000001</v>
      </c>
      <c r="T13" s="130">
        <f t="shared" si="1"/>
        <v>116.57679127154776</v>
      </c>
      <c r="U13" s="85">
        <f>Q11+Q12+Q13</f>
        <v>45806746</v>
      </c>
    </row>
    <row r="14" spans="1:21" ht="15" hidden="1" customHeight="1">
      <c r="A14" s="129" t="s">
        <v>36</v>
      </c>
      <c r="C14" s="79"/>
      <c r="F14" s="78">
        <f>Q14/20</f>
        <v>602499.19999999995</v>
      </c>
      <c r="G14" s="90">
        <f t="shared" si="2"/>
        <v>-0.25691979711971868</v>
      </c>
      <c r="H14" s="90"/>
      <c r="I14" s="130">
        <f t="shared" si="0"/>
        <v>119.59080636267603</v>
      </c>
      <c r="J14" s="130"/>
      <c r="O14" s="89"/>
      <c r="P14" s="129" t="s">
        <v>36</v>
      </c>
      <c r="Q14" s="116">
        <v>12049984</v>
      </c>
      <c r="R14" s="116">
        <v>17184285910</v>
      </c>
      <c r="S14" s="116">
        <v>100760.12</v>
      </c>
      <c r="T14" s="130">
        <f t="shared" si="1"/>
        <v>119.59080636267603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670312.86363636365</v>
      </c>
      <c r="G15" s="90">
        <f t="shared" si="2"/>
        <v>0.11255394801580443</v>
      </c>
      <c r="H15" s="90"/>
      <c r="I15" s="130">
        <f t="shared" si="0"/>
        <v>112.30390544556035</v>
      </c>
      <c r="J15" s="130"/>
      <c r="O15" s="89"/>
      <c r="P15" s="129" t="s">
        <v>37</v>
      </c>
      <c r="Q15" s="116">
        <v>14746883</v>
      </c>
      <c r="R15" s="116">
        <v>20366828729</v>
      </c>
      <c r="S15" s="116">
        <v>131312.29</v>
      </c>
      <c r="T15" s="130">
        <f t="shared" si="1"/>
        <v>112.30390544556035</v>
      </c>
      <c r="U15" s="78"/>
    </row>
    <row r="16" spans="1:21" ht="15" hidden="1" customHeight="1">
      <c r="A16" s="129" t="s">
        <v>38</v>
      </c>
      <c r="B16" s="131">
        <f>F14+F15+F16</f>
        <v>2102167.7454545451</v>
      </c>
      <c r="C16" s="131">
        <f>AVERAGE(F14:F16)</f>
        <v>700722.58181818167</v>
      </c>
      <c r="D16" s="90">
        <f>C16/C13-1</f>
        <v>-3.9660402735826938E-2</v>
      </c>
      <c r="E16" s="286"/>
      <c r="F16" s="78">
        <f>Q16/22</f>
        <v>829355.68181818177</v>
      </c>
      <c r="G16" s="90">
        <f t="shared" si="2"/>
        <v>0.23726654642882838</v>
      </c>
      <c r="H16" s="90"/>
      <c r="I16" s="130">
        <f t="shared" si="0"/>
        <v>110.05642210052592</v>
      </c>
      <c r="J16" s="130"/>
      <c r="K16" s="78">
        <f>R14+R15+R16</f>
        <v>61466217055</v>
      </c>
      <c r="L16" s="87">
        <f>U16/U13-1</f>
        <v>-1.6679944914663847E-2</v>
      </c>
      <c r="N16" s="88">
        <f>AVERAGE(T14:T16)</f>
        <v>113.98371130292077</v>
      </c>
      <c r="O16" s="89">
        <f>N16/N13-1</f>
        <v>-6.724732278411516E-2</v>
      </c>
      <c r="P16" s="129" t="s">
        <v>38</v>
      </c>
      <c r="Q16" s="116">
        <v>18245825</v>
      </c>
      <c r="R16" s="116">
        <v>23915102416</v>
      </c>
      <c r="S16" s="116">
        <v>165786.1</v>
      </c>
      <c r="T16" s="130">
        <f t="shared" si="1"/>
        <v>110.05642210052592</v>
      </c>
      <c r="U16" s="85">
        <f>Q14+Q15+Q16</f>
        <v>45042692</v>
      </c>
    </row>
    <row r="17" spans="1:21" ht="15" hidden="1" customHeight="1">
      <c r="A17" s="129" t="s">
        <v>87</v>
      </c>
      <c r="C17" s="79"/>
      <c r="F17" s="78">
        <f>Q17/20</f>
        <v>739100.15</v>
      </c>
      <c r="G17" s="90">
        <f t="shared" ref="G17:G22" si="3">F17/F16-1</f>
        <v>-0.1088260848714705</v>
      </c>
      <c r="H17" s="90">
        <f t="shared" ref="H17:H22" si="4">F17/F5-1</f>
        <v>7.8165368740212626E-2</v>
      </c>
      <c r="I17" s="130">
        <f t="shared" si="0"/>
        <v>131.45317624050571</v>
      </c>
      <c r="J17" s="130">
        <f t="shared" ref="J17:J49" si="5">I17/I5-1</f>
        <v>-0.31886112828207192</v>
      </c>
      <c r="O17" s="89"/>
      <c r="P17" s="129" t="s">
        <v>87</v>
      </c>
      <c r="Q17" s="116">
        <v>14782003</v>
      </c>
      <c r="R17" s="116">
        <v>18557527047</v>
      </c>
      <c r="S17" s="116">
        <v>112450.71</v>
      </c>
      <c r="T17" s="130">
        <f t="shared" si="1"/>
        <v>131.45317624050571</v>
      </c>
      <c r="U17" s="78"/>
    </row>
    <row r="18" spans="1:21" ht="15" hidden="1" customHeight="1">
      <c r="A18" s="129" t="s">
        <v>106</v>
      </c>
      <c r="C18" s="79"/>
      <c r="F18" s="78">
        <f>Q18/20</f>
        <v>774470.3</v>
      </c>
      <c r="G18" s="90">
        <f t="shared" si="3"/>
        <v>4.7855693169592817E-2</v>
      </c>
      <c r="H18" s="90">
        <f t="shared" si="4"/>
        <v>-1.1302239566803096E-2</v>
      </c>
      <c r="I18" s="130">
        <f t="shared" si="0"/>
        <v>98.395976091846535</v>
      </c>
      <c r="J18" s="130">
        <f t="shared" si="5"/>
        <v>-0.18742722126286515</v>
      </c>
      <c r="O18" s="89"/>
      <c r="P18" s="129" t="s">
        <v>106</v>
      </c>
      <c r="Q18" s="116">
        <v>15489406</v>
      </c>
      <c r="R18" s="116">
        <v>19445624867</v>
      </c>
      <c r="S18" s="116">
        <v>157419.1</v>
      </c>
      <c r="T18" s="130">
        <f t="shared" ref="T18" si="6">Q18/S18</f>
        <v>98.395976091846535</v>
      </c>
      <c r="U18" s="78"/>
    </row>
    <row r="19" spans="1:21" hidden="1">
      <c r="A19" s="129" t="s">
        <v>114</v>
      </c>
      <c r="B19" s="131">
        <f>SUM(F17:F19)</f>
        <v>2313125.7227272727</v>
      </c>
      <c r="C19" s="131">
        <f>AVERAGE(F17:F19)</f>
        <v>771041.90757575759</v>
      </c>
      <c r="D19" s="90">
        <f>C19/C16-1</f>
        <v>0.10035258971548577</v>
      </c>
      <c r="E19" s="286">
        <f>C19/C7-1</f>
        <v>3.20805437693088E-2</v>
      </c>
      <c r="F19" s="78">
        <f>Q19/22</f>
        <v>799555.27272727271</v>
      </c>
      <c r="G19" s="90">
        <f t="shared" si="3"/>
        <v>3.2389844681290691E-2</v>
      </c>
      <c r="H19" s="90">
        <f t="shared" si="4"/>
        <v>3.5175953328555831E-2</v>
      </c>
      <c r="I19" s="130">
        <f t="shared" si="0"/>
        <v>141.84798969030183</v>
      </c>
      <c r="J19" s="130">
        <f t="shared" si="5"/>
        <v>-0.28987448710962049</v>
      </c>
      <c r="K19" s="78">
        <f>R17+R18+R19</f>
        <v>61004438868</v>
      </c>
      <c r="L19" s="87">
        <f>U19/U16-1</f>
        <v>6.2583581816113565E-2</v>
      </c>
      <c r="M19" s="87">
        <f>U19/U7-1</f>
        <v>6.8276796342644497E-2</v>
      </c>
      <c r="N19" s="88">
        <f>AVERAGE(T17:T19)</f>
        <v>123.89904734088469</v>
      </c>
      <c r="O19" s="89">
        <f>N19/N16-1</f>
        <v>8.6989061196762751E-2</v>
      </c>
      <c r="P19" s="129" t="s">
        <v>115</v>
      </c>
      <c r="Q19" s="116">
        <v>17590216</v>
      </c>
      <c r="R19" s="116">
        <v>23001286954</v>
      </c>
      <c r="S19" s="116">
        <v>124007.51</v>
      </c>
      <c r="T19" s="130">
        <f t="shared" ref="T19" si="7">Q19/S19</f>
        <v>141.84798969030183</v>
      </c>
      <c r="U19" s="85">
        <f>Q17+Q18+Q19</f>
        <v>47861625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913456.4</v>
      </c>
      <c r="G20" s="90">
        <f t="shared" si="3"/>
        <v>0.14245560145480884</v>
      </c>
      <c r="H20" s="90">
        <f t="shared" si="4"/>
        <v>0.38844995670545091</v>
      </c>
      <c r="I20" s="130">
        <f t="shared" si="0"/>
        <v>130.97789379071344</v>
      </c>
      <c r="J20" s="130">
        <f t="shared" si="5"/>
        <v>7.1604373173000058E-2</v>
      </c>
      <c r="O20" s="89"/>
      <c r="P20" s="129" t="s">
        <v>132</v>
      </c>
      <c r="Q20" s="116">
        <v>18269128</v>
      </c>
      <c r="R20" s="116">
        <v>23977658830</v>
      </c>
      <c r="S20" s="116">
        <v>139482.53</v>
      </c>
      <c r="T20" s="130">
        <f t="shared" ref="T20" si="8">Q20/S20</f>
        <v>130.97789379071344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745351.76190476189</v>
      </c>
      <c r="G21" s="90">
        <f t="shared" si="3"/>
        <v>-0.18403137587654772</v>
      </c>
      <c r="H21" s="90">
        <f t="shared" si="4"/>
        <v>0.14084744385280867</v>
      </c>
      <c r="I21" s="130">
        <f t="shared" si="0"/>
        <v>126.85102941943991</v>
      </c>
      <c r="J21" s="130">
        <f t="shared" si="5"/>
        <v>-0.18710361506636553</v>
      </c>
      <c r="O21" s="89"/>
      <c r="P21" s="129" t="s">
        <v>141</v>
      </c>
      <c r="Q21" s="116">
        <v>15652387</v>
      </c>
      <c r="R21" s="116">
        <v>20842199616</v>
      </c>
      <c r="S21" s="116">
        <v>123391.88</v>
      </c>
      <c r="T21" s="130">
        <f t="shared" ref="T21" si="9">Q21/S21</f>
        <v>126.85102941943991</v>
      </c>
      <c r="U21" s="78"/>
    </row>
    <row r="22" spans="1:21" hidden="1">
      <c r="A22" s="129" t="s">
        <v>156</v>
      </c>
      <c r="B22" s="131">
        <f>SUM(F20:F22)</f>
        <v>2485148.0666666669</v>
      </c>
      <c r="C22" s="131">
        <f>AVERAGE(F20:F22)</f>
        <v>828382.68888888892</v>
      </c>
      <c r="D22" s="90">
        <f>C22/C19-1</f>
        <v>7.436791794290043E-2</v>
      </c>
      <c r="E22" s="286">
        <f>C22/C10-1</f>
        <v>0.1551974812905017</v>
      </c>
      <c r="F22" s="78">
        <f>Q22/21</f>
        <v>826339.90476190473</v>
      </c>
      <c r="G22" s="90">
        <f t="shared" si="3"/>
        <v>0.1086576124140044</v>
      </c>
      <c r="H22" s="90">
        <f t="shared" si="4"/>
        <v>-1.631744787170164E-2</v>
      </c>
      <c r="I22" s="130">
        <f t="shared" si="0"/>
        <v>159.18706537635018</v>
      </c>
      <c r="J22" s="130">
        <f t="shared" si="5"/>
        <v>0.1437043640427238</v>
      </c>
      <c r="K22" s="78">
        <f>R20+R21+R22</f>
        <v>67344964311</v>
      </c>
      <c r="L22" s="87">
        <f>U22/U19-1</f>
        <v>7.1310324294254546E-2</v>
      </c>
      <c r="M22" s="87">
        <f>U22/U10-1</f>
        <v>0.13497788443825987</v>
      </c>
      <c r="N22" s="88">
        <f>AVERAGE(T20:T22)</f>
        <v>139.00532952883449</v>
      </c>
      <c r="O22" s="89">
        <f>N22/N19-1</f>
        <v>0.12192411896749888</v>
      </c>
      <c r="P22" s="129" t="s">
        <v>156</v>
      </c>
      <c r="Q22" s="116">
        <v>17353138</v>
      </c>
      <c r="R22" s="116">
        <v>22525105865</v>
      </c>
      <c r="S22" s="116">
        <v>109010.98</v>
      </c>
      <c r="T22" s="130">
        <f t="shared" ref="T22:T23" si="10">Q22/S22</f>
        <v>159.18706537635018</v>
      </c>
      <c r="U22" s="85">
        <f>Q20+Q21+Q22</f>
        <v>51274653</v>
      </c>
    </row>
    <row r="23" spans="1:21" hidden="1">
      <c r="A23" s="129" t="s">
        <v>189</v>
      </c>
      <c r="B23" s="131"/>
      <c r="C23" s="131"/>
      <c r="F23" s="78">
        <f>Q23/21</f>
        <v>837001.76190476189</v>
      </c>
      <c r="G23" s="90">
        <f t="shared" ref="G23" si="11">F23/F22-1</f>
        <v>1.2902507892232462E-2</v>
      </c>
      <c r="H23" s="90">
        <f t="shared" ref="H23" si="12">F23/F11-1</f>
        <v>0.14772615600175532</v>
      </c>
      <c r="I23" s="130">
        <f t="shared" si="0"/>
        <v>189.61998625185177</v>
      </c>
      <c r="J23" s="130">
        <f t="shared" si="5"/>
        <v>0.75916032845142367</v>
      </c>
      <c r="O23" s="89"/>
      <c r="P23" s="129" t="s">
        <v>189</v>
      </c>
      <c r="Q23" s="116">
        <v>17577037</v>
      </c>
      <c r="R23" s="116">
        <v>22694181600</v>
      </c>
      <c r="S23" s="116">
        <v>92696.12</v>
      </c>
      <c r="T23" s="130">
        <f t="shared" si="10"/>
        <v>189.61998625185177</v>
      </c>
      <c r="U23" s="78"/>
    </row>
    <row r="24" spans="1:21" hidden="1">
      <c r="A24" s="129" t="s">
        <v>204</v>
      </c>
      <c r="B24" s="131"/>
      <c r="C24" s="131"/>
      <c r="F24" s="78">
        <f>Q24/22</f>
        <v>805427</v>
      </c>
      <c r="G24" s="90">
        <f t="shared" ref="G24" si="13">F24/F23-1</f>
        <v>-3.7723650465092629E-2</v>
      </c>
      <c r="H24" s="90">
        <f t="shared" ref="H24" si="14">F24/F12-1</f>
        <v>0.24121707317449048</v>
      </c>
      <c r="I24" s="130">
        <f t="shared" si="0"/>
        <v>146.1112304008829</v>
      </c>
      <c r="J24" s="130">
        <f t="shared" si="5"/>
        <v>2.7234631033853374E-2</v>
      </c>
      <c r="O24" s="89"/>
      <c r="P24" s="129" t="s">
        <v>204</v>
      </c>
      <c r="Q24" s="116">
        <v>17719394</v>
      </c>
      <c r="R24" s="116">
        <v>23289698229</v>
      </c>
      <c r="S24" s="116">
        <v>121273.32</v>
      </c>
      <c r="T24" s="130">
        <f t="shared" ref="T24" si="15">Q24/S24</f>
        <v>146.1112304008829</v>
      </c>
      <c r="U24" s="78"/>
    </row>
    <row r="25" spans="1:21" s="79" customFormat="1" ht="13.2" hidden="1">
      <c r="A25" s="129" t="s">
        <v>218</v>
      </c>
      <c r="B25" s="131">
        <f>SUM(F23:F25)</f>
        <v>2440134.0776942354</v>
      </c>
      <c r="C25" s="131">
        <f>AVERAGE(F23:F25)</f>
        <v>813378.02589807846</v>
      </c>
      <c r="D25" s="90">
        <f>C25/C22-1</f>
        <v>-1.8113202016493468E-2</v>
      </c>
      <c r="E25" s="286">
        <f>C25/C13-1</f>
        <v>0.11473377065671309</v>
      </c>
      <c r="F25" s="78">
        <f>Q25/19</f>
        <v>797705.31578947371</v>
      </c>
      <c r="G25" s="90">
        <f t="shared" ref="G25" si="16">F25/F24-1</f>
        <v>-9.5870689839381296E-3</v>
      </c>
      <c r="H25" s="90">
        <f t="shared" ref="H25" si="17">F25/F13-1</f>
        <v>-1.6166282219924888E-2</v>
      </c>
      <c r="I25" s="130">
        <f t="shared" si="0"/>
        <v>147.86461477584606</v>
      </c>
      <c r="J25" s="130">
        <f t="shared" si="5"/>
        <v>0.26838809992134816</v>
      </c>
      <c r="K25" s="78">
        <f>R23+R24+R25</f>
        <v>66105748476</v>
      </c>
      <c r="L25" s="90">
        <f>U25/U22-1</f>
        <v>-1.6027821777750528E-2</v>
      </c>
      <c r="M25" s="90">
        <f>U25/U13-1</f>
        <v>0.10142798617478754</v>
      </c>
      <c r="N25" s="88">
        <f>AVERAGE(T23:T25)</f>
        <v>161.19861047619358</v>
      </c>
      <c r="O25" s="91">
        <f>N25/N22-1</f>
        <v>0.1596577701199251</v>
      </c>
      <c r="P25" s="129" t="s">
        <v>220</v>
      </c>
      <c r="Q25" s="116">
        <v>15156401</v>
      </c>
      <c r="R25" s="116">
        <v>20121868647</v>
      </c>
      <c r="S25" s="116">
        <v>102501.88</v>
      </c>
      <c r="T25" s="130">
        <f t="shared" ref="T25" si="18">Q25/S25</f>
        <v>147.86461477584606</v>
      </c>
      <c r="U25" s="85">
        <f>Q23+Q24+Q25</f>
        <v>50452832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951027.63157894742</v>
      </c>
      <c r="G26" s="90">
        <f t="shared" ref="G26" si="19">F26/F25-1</f>
        <v>0.19220420467893407</v>
      </c>
      <c r="H26" s="90">
        <f t="shared" ref="H26" si="20">F26/F14-1</f>
        <v>0.57847119395170554</v>
      </c>
      <c r="I26" s="130">
        <f t="shared" si="0"/>
        <v>100.88120119562161</v>
      </c>
      <c r="J26" s="130">
        <f t="shared" si="5"/>
        <v>-0.15644685186179697</v>
      </c>
      <c r="L26" s="90"/>
      <c r="M26" s="90"/>
      <c r="P26" s="129" t="s">
        <v>312</v>
      </c>
      <c r="Q26" s="116">
        <v>18069525</v>
      </c>
      <c r="R26" s="116">
        <v>24360138760</v>
      </c>
      <c r="S26" s="116">
        <v>179116.87</v>
      </c>
      <c r="T26" s="130">
        <f t="shared" ref="T26" si="21">Q26/S26</f>
        <v>100.88120119562161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928382.68181818177</v>
      </c>
      <c r="G27" s="90">
        <f t="shared" ref="G27" si="22">F27/F26-1</f>
        <v>-2.3811032412559108E-2</v>
      </c>
      <c r="H27" s="90">
        <f t="shared" ref="H27" si="23">F27/F15-1</f>
        <v>0.38499905369833054</v>
      </c>
      <c r="I27" s="130">
        <f t="shared" si="0"/>
        <v>146.53681855750577</v>
      </c>
      <c r="J27" s="130">
        <f t="shared" si="5"/>
        <v>0.30482388814643602</v>
      </c>
      <c r="L27" s="90"/>
      <c r="M27" s="90"/>
      <c r="P27" s="129" t="s">
        <v>375</v>
      </c>
      <c r="Q27" s="116">
        <v>20424419</v>
      </c>
      <c r="R27" s="116">
        <v>26946803388</v>
      </c>
      <c r="S27" s="116">
        <v>139380.79999999999</v>
      </c>
      <c r="T27" s="130">
        <f t="shared" ref="T27" si="24">Q27/S27</f>
        <v>146.53681855750577</v>
      </c>
      <c r="U27" s="78"/>
    </row>
    <row r="28" spans="1:21" s="79" customFormat="1" ht="13.2" hidden="1">
      <c r="A28" s="123" t="s">
        <v>413</v>
      </c>
      <c r="B28" s="131">
        <f>SUM(F26:F28)</f>
        <v>2853542.3133971291</v>
      </c>
      <c r="C28" s="131">
        <f>AVERAGE(F26:F28)</f>
        <v>951180.77113237639</v>
      </c>
      <c r="D28" s="90">
        <f>C28/C25-1</f>
        <v>0.16942029517227897</v>
      </c>
      <c r="E28" s="286">
        <f>C28/C16-1</f>
        <v>0.35742845430259274</v>
      </c>
      <c r="F28" s="78">
        <f>Q28/19</f>
        <v>974132</v>
      </c>
      <c r="G28" s="90">
        <f t="shared" ref="G28" si="25">F28/F27-1</f>
        <v>4.9278513136652879E-2</v>
      </c>
      <c r="H28" s="90">
        <f t="shared" ref="H28" si="26">F28/F16-1</f>
        <v>0.17456481140206059</v>
      </c>
      <c r="I28" s="130">
        <f t="shared" si="0"/>
        <v>121.07867752323837</v>
      </c>
      <c r="J28" s="130">
        <f t="shared" si="5"/>
        <v>0.10015095177857658</v>
      </c>
      <c r="K28" s="78">
        <f>R26+R27+R28</f>
        <v>75468871354</v>
      </c>
      <c r="L28" s="90">
        <f>U28/U25-1</f>
        <v>0.12981669691009623</v>
      </c>
      <c r="M28" s="90">
        <f>U28/U16-1</f>
        <v>0.26552054215587284</v>
      </c>
      <c r="N28" s="88">
        <f>AVERAGE(T26:T28)</f>
        <v>122.83223242545525</v>
      </c>
      <c r="O28" s="91">
        <f>N28/N25-1</f>
        <v>-0.23800687820695843</v>
      </c>
      <c r="P28" s="129" t="s">
        <v>413</v>
      </c>
      <c r="Q28" s="116">
        <v>18508508</v>
      </c>
      <c r="R28" s="116">
        <v>24161929206</v>
      </c>
      <c r="S28" s="116">
        <v>152863.48000000001</v>
      </c>
      <c r="T28" s="130">
        <f t="shared" ref="T28" si="27">Q28/S28</f>
        <v>121.07867752323837</v>
      </c>
      <c r="U28" s="85">
        <f>Q26+Q27+Q28</f>
        <v>57002452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931734.77272727271</v>
      </c>
      <c r="G29" s="190">
        <f t="shared" ref="G29" si="28">F29/F28-1</f>
        <v>-4.3523082367407429E-2</v>
      </c>
      <c r="H29" s="190">
        <f t="shared" ref="H29" si="29">F29/F17-1</f>
        <v>0.26063399219614913</v>
      </c>
      <c r="I29" s="130">
        <f t="shared" si="0"/>
        <v>196.28083464933061</v>
      </c>
      <c r="J29" s="130">
        <f t="shared" si="5"/>
        <v>0.4931615976339494</v>
      </c>
      <c r="K29" s="136"/>
      <c r="L29" s="190"/>
      <c r="M29" s="190"/>
      <c r="N29" s="191"/>
      <c r="O29" s="192"/>
      <c r="P29" s="129" t="s">
        <v>430</v>
      </c>
      <c r="Q29" s="116">
        <v>20498165</v>
      </c>
      <c r="R29" s="116">
        <v>27009115788</v>
      </c>
      <c r="S29" s="116">
        <v>104432.84</v>
      </c>
      <c r="T29" s="130">
        <f t="shared" ref="T29" si="30">Q29/S29</f>
        <v>196.28083464933061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989492.36842105258</v>
      </c>
      <c r="G30" s="190">
        <f t="shared" ref="G30" si="31">F30/F29-1</f>
        <v>6.1989310031564049E-2</v>
      </c>
      <c r="H30" s="190">
        <f t="shared" ref="H30" si="32">F30/F18-1</f>
        <v>0.27763759103616059</v>
      </c>
      <c r="I30" s="130">
        <f t="shared" si="0"/>
        <v>176.86694588538109</v>
      </c>
      <c r="J30" s="130">
        <f t="shared" si="5"/>
        <v>0.79750181776017715</v>
      </c>
      <c r="K30" s="136"/>
      <c r="L30" s="190"/>
      <c r="M30" s="190"/>
      <c r="N30" s="191"/>
      <c r="O30" s="192"/>
      <c r="P30" s="129" t="s">
        <v>487</v>
      </c>
      <c r="Q30" s="116">
        <v>18800355</v>
      </c>
      <c r="R30" s="116">
        <v>25052441358</v>
      </c>
      <c r="S30" s="116">
        <v>106296.6</v>
      </c>
      <c r="T30" s="130">
        <f t="shared" ref="T30" si="33">Q30/S30</f>
        <v>176.86694588538109</v>
      </c>
      <c r="U30" s="85"/>
    </row>
    <row r="31" spans="1:21" s="79" customFormat="1" ht="13.2" hidden="1">
      <c r="A31" s="129" t="s">
        <v>505</v>
      </c>
      <c r="B31" s="188">
        <f>SUM(F29:F31)</f>
        <v>3026649.7911483254</v>
      </c>
      <c r="C31" s="188">
        <f>AVERAGE(F29:F31)</f>
        <v>1008883.2637161085</v>
      </c>
      <c r="D31" s="190">
        <f>C31/C28-1</f>
        <v>6.0664065480463325E-2</v>
      </c>
      <c r="E31" s="287">
        <f>C31/C19-1</f>
        <v>0.30846748251097122</v>
      </c>
      <c r="F31" s="136">
        <f>Q31/20</f>
        <v>1105422.6499999999</v>
      </c>
      <c r="G31" s="190">
        <f t="shared" ref="G31" si="34">F31/F30-1</f>
        <v>0.1171613700911498</v>
      </c>
      <c r="H31" s="190">
        <f t="shared" ref="H31" si="35">F31/F19-1</f>
        <v>0.38254688288080141</v>
      </c>
      <c r="I31" s="130">
        <f t="shared" si="0"/>
        <v>169.41452343448034</v>
      </c>
      <c r="J31" s="130">
        <f t="shared" si="5"/>
        <v>0.19433855780659859</v>
      </c>
      <c r="K31" s="136">
        <f>R29+R30+R31</f>
        <v>81428983774</v>
      </c>
      <c r="L31" s="190">
        <f>U31/U28-1</f>
        <v>7.7268974324122164E-2</v>
      </c>
      <c r="M31" s="190">
        <f>U31/U19-1</f>
        <v>0.28301061654300286</v>
      </c>
      <c r="N31" s="191">
        <f>AVERAGE(T29:T31)</f>
        <v>180.85410132306401</v>
      </c>
      <c r="O31" s="192">
        <f>N31/N28-1</f>
        <v>0.47236680268610476</v>
      </c>
      <c r="P31" s="129" t="s">
        <v>506</v>
      </c>
      <c r="Q31" s="116">
        <v>22108453</v>
      </c>
      <c r="R31" s="116">
        <v>29367426628</v>
      </c>
      <c r="S31" s="116">
        <v>130499.16</v>
      </c>
      <c r="T31" s="130">
        <f t="shared" ref="T31" si="36">Q31/S31</f>
        <v>169.41452343448034</v>
      </c>
      <c r="U31" s="85">
        <f>Q29+Q30+Q31</f>
        <v>61406973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1034135.8095238095</v>
      </c>
      <c r="G32" s="190">
        <f t="shared" ref="G32" si="37">F32/F31-1</f>
        <v>-6.4488311756766059E-2</v>
      </c>
      <c r="H32" s="190">
        <f t="shared" ref="H32" si="38">F32/F20-1</f>
        <v>0.13211293885927056</v>
      </c>
      <c r="I32" s="130">
        <f t="shared" si="0"/>
        <v>149.16753207137535</v>
      </c>
      <c r="J32" s="130">
        <f t="shared" si="5"/>
        <v>0.13887563583612605</v>
      </c>
      <c r="K32" s="136"/>
      <c r="L32" s="190"/>
      <c r="M32" s="190"/>
      <c r="N32" s="191"/>
      <c r="O32" s="192"/>
      <c r="P32" s="129" t="s">
        <v>562</v>
      </c>
      <c r="Q32" s="116">
        <v>21716852</v>
      </c>
      <c r="R32" s="116">
        <v>29516490467</v>
      </c>
      <c r="S32" s="116">
        <v>145586.99</v>
      </c>
      <c r="T32" s="130">
        <f t="shared" ref="T32" si="39">Q32/S32</f>
        <v>149.16753207137535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936134.38095238095</v>
      </c>
      <c r="G33" s="190">
        <f t="shared" ref="G33" si="40">F33/F32-1</f>
        <v>-9.4766497464733757E-2</v>
      </c>
      <c r="H33" s="190">
        <f t="shared" ref="H33" si="41">F33/F21-1</f>
        <v>0.25596319590104688</v>
      </c>
      <c r="I33" s="130">
        <f t="shared" si="0"/>
        <v>190.80940453610057</v>
      </c>
      <c r="J33" s="130">
        <f t="shared" si="5"/>
        <v>0.50420067861789897</v>
      </c>
      <c r="K33" s="136"/>
      <c r="L33" s="190"/>
      <c r="M33" s="190"/>
      <c r="N33" s="191"/>
      <c r="O33" s="192"/>
      <c r="P33" s="129" t="s">
        <v>624</v>
      </c>
      <c r="Q33" s="116">
        <v>19658822</v>
      </c>
      <c r="R33" s="116">
        <v>26875247027</v>
      </c>
      <c r="S33" s="116">
        <v>103028.58</v>
      </c>
      <c r="T33" s="130">
        <f t="shared" ref="T33" si="42">Q33/S33</f>
        <v>190.80940453610057</v>
      </c>
      <c r="U33" s="85"/>
    </row>
    <row r="34" spans="1:21" s="79" customFormat="1" ht="13.2" hidden="1">
      <c r="A34" s="129" t="s">
        <v>652</v>
      </c>
      <c r="B34" s="188">
        <f>SUM(F32:F34)</f>
        <v>3111538.9799498748</v>
      </c>
      <c r="C34" s="188">
        <f>AVERAGE(F32:F34)</f>
        <v>1037179.6599832916</v>
      </c>
      <c r="D34" s="190">
        <f>C34/C31-1</f>
        <v>2.8047245191635373E-2</v>
      </c>
      <c r="E34" s="287">
        <f>C34/C22-1</f>
        <v>0.25205375956668341</v>
      </c>
      <c r="F34" s="136">
        <f>Q34/19</f>
        <v>1141268.7894736843</v>
      </c>
      <c r="G34" s="190">
        <f t="shared" ref="G34" si="43">F34/F33-1</f>
        <v>0.21912923261360073</v>
      </c>
      <c r="H34" s="190">
        <f t="shared" ref="H34" si="44">F34/F22-1</f>
        <v>0.38111300555250405</v>
      </c>
      <c r="I34" s="130">
        <f t="shared" si="0"/>
        <v>240.48164185025334</v>
      </c>
      <c r="J34" s="130">
        <f t="shared" si="5"/>
        <v>0.510685816600152</v>
      </c>
      <c r="K34" s="136">
        <f>R32+R33+R34</f>
        <v>86222583648</v>
      </c>
      <c r="L34" s="190">
        <f>U34/U31-1</f>
        <v>2.6915640345926084E-2</v>
      </c>
      <c r="M34" s="190">
        <f>U34/U22-1</f>
        <v>0.22984315466747285</v>
      </c>
      <c r="N34" s="191">
        <f>AVERAGE(T32:T34)</f>
        <v>193.48619281924309</v>
      </c>
      <c r="O34" s="192">
        <f>N34/N31-1</f>
        <v>6.9846862215273031E-2</v>
      </c>
      <c r="P34" s="129" t="s">
        <v>652</v>
      </c>
      <c r="Q34" s="116">
        <v>21684107</v>
      </c>
      <c r="R34" s="116">
        <v>29830846154</v>
      </c>
      <c r="S34" s="116">
        <v>90169.49</v>
      </c>
      <c r="T34" s="130">
        <f t="shared" ref="T34" si="45">Q34/S34</f>
        <v>240.48164185025334</v>
      </c>
      <c r="U34" s="85">
        <f>Q32+Q33+Q34</f>
        <v>63059781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927033.04347826086</v>
      </c>
      <c r="G35" s="190">
        <f t="shared" ref="G35" si="46">F35/F34-1</f>
        <v>-0.18771716879616229</v>
      </c>
      <c r="H35" s="190">
        <f t="shared" ref="H35" si="47">F35/F23-1</f>
        <v>0.10756402874065052</v>
      </c>
      <c r="I35" s="130">
        <f t="shared" si="0"/>
        <v>133.83591727689739</v>
      </c>
      <c r="J35" s="130">
        <f t="shared" si="5"/>
        <v>-0.29418876183685838</v>
      </c>
      <c r="K35" s="136"/>
      <c r="L35" s="190"/>
      <c r="M35" s="190"/>
      <c r="N35" s="191"/>
      <c r="O35" s="192"/>
      <c r="P35" s="129" t="s">
        <v>660</v>
      </c>
      <c r="Q35" s="116">
        <v>21321760</v>
      </c>
      <c r="R35" s="116">
        <v>29513379130</v>
      </c>
      <c r="S35" s="116">
        <v>159312.69</v>
      </c>
      <c r="T35" s="130">
        <f t="shared" ref="T35" si="48">Q35/S35</f>
        <v>133.83591727689739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1166517.7619047619</v>
      </c>
      <c r="G36" s="190">
        <f t="shared" ref="G36" si="49">F36/F35-1</f>
        <v>0.25833460857872548</v>
      </c>
      <c r="H36" s="190">
        <f t="shared" ref="H36" si="50">F36/F24-1</f>
        <v>0.4483221470161316</v>
      </c>
      <c r="I36" s="130">
        <f t="shared" si="0"/>
        <v>225.77831803543734</v>
      </c>
      <c r="J36" s="130">
        <f t="shared" si="5"/>
        <v>0.54524958427886205</v>
      </c>
      <c r="K36" s="136"/>
      <c r="L36" s="190"/>
      <c r="M36" s="190"/>
      <c r="N36" s="191"/>
      <c r="O36" s="192"/>
      <c r="P36" s="129" t="s">
        <v>666</v>
      </c>
      <c r="Q36" s="116">
        <v>24496873</v>
      </c>
      <c r="R36" s="116">
        <v>33475397426</v>
      </c>
      <c r="S36" s="116">
        <v>108499.67</v>
      </c>
      <c r="T36" s="130">
        <f t="shared" ref="T36" si="51">Q36/S36</f>
        <v>225.77831803543734</v>
      </c>
      <c r="U36" s="85"/>
    </row>
    <row r="37" spans="1:21" s="79" customFormat="1" ht="13.2" hidden="1">
      <c r="A37" s="129" t="s">
        <v>702</v>
      </c>
      <c r="B37" s="188">
        <f>SUM(F35:F37)</f>
        <v>3133464.3609385784</v>
      </c>
      <c r="C37" s="188">
        <f>AVERAGE(F35:F37)</f>
        <v>1044488.1203128594</v>
      </c>
      <c r="D37" s="190">
        <f>C37/C34-1</f>
        <v>7.0464747926946014E-3</v>
      </c>
      <c r="E37" s="287">
        <f>C37/C25-1</f>
        <v>0.28413614218260252</v>
      </c>
      <c r="F37" s="136">
        <f>Q37/18</f>
        <v>1039913.5555555555</v>
      </c>
      <c r="G37" s="190">
        <f t="shared" ref="G37" si="52">F37/F36-1</f>
        <v>-0.10853174335080784</v>
      </c>
      <c r="H37" s="190">
        <f t="shared" ref="H37" si="53">F37/F25-1</f>
        <v>0.30363122192105862</v>
      </c>
      <c r="I37" s="130">
        <f t="shared" si="0"/>
        <v>137.1962466671074</v>
      </c>
      <c r="J37" s="130">
        <f t="shared" si="5"/>
        <v>-7.2149568204071479E-2</v>
      </c>
      <c r="K37" s="136">
        <f>R35+R36+R37</f>
        <v>87974914328</v>
      </c>
      <c r="L37" s="190">
        <f>U37/U34-1</f>
        <v>2.34269129478899E-2</v>
      </c>
      <c r="M37" s="190">
        <f>U37/U25-1</f>
        <v>0.2791566784595958</v>
      </c>
      <c r="N37" s="191">
        <f>AVERAGE(T35:T37)</f>
        <v>165.60349399314737</v>
      </c>
      <c r="O37" s="192">
        <f>N37/N34-1</f>
        <v>-0.14410691750053728</v>
      </c>
      <c r="P37" s="129" t="s">
        <v>702</v>
      </c>
      <c r="Q37" s="116">
        <v>18718444</v>
      </c>
      <c r="R37" s="116">
        <v>24986137772</v>
      </c>
      <c r="S37" s="116">
        <v>136435.54</v>
      </c>
      <c r="T37" s="130">
        <f t="shared" ref="T37" si="54">Q37/S37</f>
        <v>137.1962466671074</v>
      </c>
      <c r="U37" s="85">
        <f>Q35+Q36+Q37</f>
        <v>64537077</v>
      </c>
    </row>
    <row r="38" spans="1:21" s="79" customFormat="1" ht="13.2" hidden="1">
      <c r="A38" s="129" t="s">
        <v>747</v>
      </c>
      <c r="B38" s="188"/>
      <c r="C38" s="188"/>
      <c r="D38" s="190"/>
      <c r="E38" s="287"/>
      <c r="F38" s="136">
        <f>Q38/20</f>
        <v>1212955.75</v>
      </c>
      <c r="G38" s="190">
        <f t="shared" ref="G38" si="55">F38/F37-1</f>
        <v>0.16640055658472463</v>
      </c>
      <c r="H38" s="190">
        <f t="shared" ref="H38" si="56">F38/F26-1</f>
        <v>0.27541588669320305</v>
      </c>
      <c r="I38" s="130">
        <f t="shared" si="0"/>
        <v>166.20224029061924</v>
      </c>
      <c r="J38" s="130">
        <f t="shared" si="5"/>
        <v>0.64750457291177321</v>
      </c>
      <c r="K38" s="136"/>
      <c r="L38" s="190"/>
      <c r="M38" s="190"/>
      <c r="N38" s="191"/>
      <c r="O38" s="192"/>
      <c r="P38" s="129" t="s">
        <v>747</v>
      </c>
      <c r="Q38" s="116">
        <v>24259115</v>
      </c>
      <c r="R38" s="116">
        <v>32727094909</v>
      </c>
      <c r="S38" s="116">
        <v>145961.42000000001</v>
      </c>
      <c r="T38" s="130">
        <f t="shared" ref="T38" si="57">Q38/S38</f>
        <v>166.20224029061924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1257152.2380952381</v>
      </c>
      <c r="G39" s="190">
        <f t="shared" ref="G39" si="58">F39/F38-1</f>
        <v>3.6437016020772539E-2</v>
      </c>
      <c r="H39" s="190">
        <f t="shared" ref="H39" si="59">F39/F27-1</f>
        <v>0.35413150494490142</v>
      </c>
      <c r="I39" s="130">
        <f t="shared" si="0"/>
        <v>159.44352812073649</v>
      </c>
      <c r="J39" s="130">
        <f t="shared" si="5"/>
        <v>8.8078270637257594E-2</v>
      </c>
      <c r="K39" s="136"/>
      <c r="L39" s="190"/>
      <c r="M39" s="190"/>
      <c r="N39" s="191"/>
      <c r="O39" s="192"/>
      <c r="P39" s="129" t="s">
        <v>762</v>
      </c>
      <c r="Q39" s="116">
        <v>26400197</v>
      </c>
      <c r="R39" s="116">
        <v>36734056535</v>
      </c>
      <c r="S39" s="116">
        <v>165577.1</v>
      </c>
      <c r="T39" s="130">
        <f t="shared" ref="T39" si="60">Q39/S39</f>
        <v>159.44352812073649</v>
      </c>
      <c r="U39" s="85"/>
    </row>
    <row r="40" spans="1:21" s="79" customFormat="1" ht="13.2" hidden="1">
      <c r="A40" s="129" t="s">
        <v>778</v>
      </c>
      <c r="B40" s="188">
        <f>SUM(F38:F40)</f>
        <v>3666683.8928571427</v>
      </c>
      <c r="C40" s="188">
        <f>AVERAGE(F38:F40)</f>
        <v>1222227.9642857143</v>
      </c>
      <c r="D40" s="190">
        <f>C40/C37-1</f>
        <v>0.17016933033150794</v>
      </c>
      <c r="E40" s="287">
        <f>C40/C28-1</f>
        <v>0.28495865494700601</v>
      </c>
      <c r="F40" s="136">
        <f>Q40/21</f>
        <v>1196575.9047619049</v>
      </c>
      <c r="G40" s="190">
        <f t="shared" ref="G40" si="61">F40/F39-1</f>
        <v>-4.8185360131971722E-2</v>
      </c>
      <c r="H40" s="190">
        <f t="shared" ref="H40" si="62">F40/F28-1</f>
        <v>0.22835088546716964</v>
      </c>
      <c r="I40" s="130">
        <f t="shared" si="0"/>
        <v>152.1925628458207</v>
      </c>
      <c r="J40" s="130">
        <f t="shared" si="5"/>
        <v>0.25697245757091047</v>
      </c>
      <c r="K40" s="136">
        <f>R38+R39+R40</f>
        <v>105191091461</v>
      </c>
      <c r="L40" s="190">
        <f>U40/U37-1</f>
        <v>0.1743234977933692</v>
      </c>
      <c r="M40" s="190">
        <f>U40/U28-1</f>
        <v>0.32954642021364267</v>
      </c>
      <c r="N40" s="191">
        <f>AVERAGE(T38:T40)</f>
        <v>159.27944375239215</v>
      </c>
      <c r="O40" s="192">
        <f>N40/N37-1</f>
        <v>-3.818790345701828E-2</v>
      </c>
      <c r="P40" s="129" t="s">
        <v>778</v>
      </c>
      <c r="Q40" s="116">
        <v>25128094</v>
      </c>
      <c r="R40" s="116">
        <v>35729940017</v>
      </c>
      <c r="S40" s="116">
        <v>165107.24</v>
      </c>
      <c r="T40" s="130">
        <f t="shared" ref="T40" si="63">Q40/S40</f>
        <v>152.1925628458207</v>
      </c>
      <c r="U40" s="85">
        <f>Q38+Q39+Q40</f>
        <v>75787406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982144.5</v>
      </c>
      <c r="G41" s="190">
        <f t="shared" ref="G41" si="64">F41/F40-1</f>
        <v>-0.17920418078665268</v>
      </c>
      <c r="H41" s="190">
        <f t="shared" ref="H41" si="65">F41/F29-1</f>
        <v>5.4103086788500399E-2</v>
      </c>
      <c r="I41" s="130">
        <f t="shared" si="0"/>
        <v>238.66218986647627</v>
      </c>
      <c r="J41" s="130">
        <f t="shared" si="5"/>
        <v>0.21592202464832044</v>
      </c>
      <c r="K41" s="193"/>
      <c r="L41" s="190"/>
      <c r="M41" s="190"/>
      <c r="N41" s="193"/>
      <c r="O41" s="193"/>
      <c r="P41" s="129" t="s">
        <v>792</v>
      </c>
      <c r="Q41" s="116">
        <v>17678601</v>
      </c>
      <c r="R41" s="116">
        <v>25862300761</v>
      </c>
      <c r="S41" s="116">
        <v>74073.740000000005</v>
      </c>
      <c r="T41" s="130">
        <f t="shared" ref="T41" si="66">Q41/S41</f>
        <v>238.66218986647627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1250437.1000000001</v>
      </c>
      <c r="G42" s="190">
        <f t="shared" ref="G42" si="67">F42/F41-1</f>
        <v>0.27317019033349998</v>
      </c>
      <c r="H42" s="190">
        <f t="shared" ref="H42" si="68">F42/F30-1</f>
        <v>0.26371575962262428</v>
      </c>
      <c r="I42" s="130">
        <f t="shared" si="0"/>
        <v>289.28706065281756</v>
      </c>
      <c r="J42" s="130">
        <f t="shared" si="5"/>
        <v>0.6356196982125224</v>
      </c>
      <c r="K42" s="193"/>
      <c r="L42" s="190"/>
      <c r="M42" s="190"/>
      <c r="N42" s="193"/>
      <c r="O42" s="193"/>
      <c r="P42" s="129" t="s">
        <v>826</v>
      </c>
      <c r="Q42" s="116">
        <v>25008742</v>
      </c>
      <c r="R42" s="116">
        <v>36162984491</v>
      </c>
      <c r="S42" s="116">
        <v>86449.57</v>
      </c>
      <c r="T42" s="130">
        <f t="shared" ref="T42" si="69">Q42/S42</f>
        <v>289.28706065281756</v>
      </c>
      <c r="U42" s="78"/>
    </row>
    <row r="43" spans="1:21" s="79" customFormat="1" ht="13.2">
      <c r="A43" s="129" t="s">
        <v>835</v>
      </c>
      <c r="B43" s="188">
        <f>SUM(F41:F43)</f>
        <v>3764003.25</v>
      </c>
      <c r="C43" s="188">
        <f>AVERAGE(F41:F43)</f>
        <v>1254667.75</v>
      </c>
      <c r="D43" s="190">
        <f>C43/C40-1</f>
        <v>2.6541518163711642E-2</v>
      </c>
      <c r="E43" s="287">
        <f>C43/C31-1</f>
        <v>0.24362034253454845</v>
      </c>
      <c r="F43" s="136">
        <f>Q43/20</f>
        <v>1531421.65</v>
      </c>
      <c r="G43" s="190">
        <f t="shared" ref="G43" si="70">F43/F42-1</f>
        <v>0.22470906373459321</v>
      </c>
      <c r="H43" s="190">
        <f t="shared" ref="H43" si="71">F43/F31-1</f>
        <v>0.38537205656135232</v>
      </c>
      <c r="I43" s="130">
        <f t="shared" si="0"/>
        <v>297.95749077967491</v>
      </c>
      <c r="J43" s="130">
        <f t="shared" si="5"/>
        <v>0.75874821555607364</v>
      </c>
      <c r="K43" s="136">
        <f>R41+R42+R43</f>
        <v>106445078232</v>
      </c>
      <c r="L43" s="190">
        <f>U43/U40-1</f>
        <v>-3.2612674459394975E-2</v>
      </c>
      <c r="M43" s="190">
        <f>K43/K31-1</f>
        <v>0.30721363940179192</v>
      </c>
      <c r="N43" s="191">
        <f>AVERAGE(T41:T43)</f>
        <v>275.30224709965626</v>
      </c>
      <c r="O43" s="192">
        <f>N43/N40-1</f>
        <v>0.72842295662224532</v>
      </c>
      <c r="P43" s="129" t="s">
        <v>835</v>
      </c>
      <c r="Q43" s="116">
        <v>30628433</v>
      </c>
      <c r="R43" s="116">
        <v>44419792980</v>
      </c>
      <c r="S43" s="116">
        <v>102794.64</v>
      </c>
      <c r="T43" s="130">
        <f t="shared" ref="T43" si="72">Q43/S43</f>
        <v>297.95749077967491</v>
      </c>
      <c r="U43" s="85">
        <f>Q41+Q42+Q43</f>
        <v>73315776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1401734.4090909092</v>
      </c>
      <c r="G44" s="190">
        <f t="shared" ref="G44" si="73">F44/F43-1</f>
        <v>-8.4684215421070186E-2</v>
      </c>
      <c r="H44" s="190">
        <f t="shared" ref="H44" si="74">F44/F32-1</f>
        <v>0.35546453007595646</v>
      </c>
      <c r="I44" s="130">
        <f t="shared" si="0"/>
        <v>207.48180086127587</v>
      </c>
      <c r="J44" s="130">
        <f t="shared" si="5"/>
        <v>0.39093137749304363</v>
      </c>
      <c r="K44" s="136"/>
      <c r="L44" s="190"/>
      <c r="M44" s="190"/>
      <c r="N44" s="191"/>
      <c r="O44" s="192"/>
      <c r="P44" s="129" t="s">
        <v>843</v>
      </c>
      <c r="Q44" s="116">
        <v>30838157</v>
      </c>
      <c r="R44" s="116">
        <v>44751497585</v>
      </c>
      <c r="S44" s="116">
        <v>148630.66</v>
      </c>
      <c r="T44" s="130">
        <f t="shared" ref="T44" si="75">Q44/S44</f>
        <v>207.48180086127587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1132605.55</v>
      </c>
      <c r="G45" s="190">
        <f t="shared" ref="G45" si="76">F45/F44-1</f>
        <v>-0.19199704119801975</v>
      </c>
      <c r="H45" s="190">
        <f t="shared" ref="H45" si="77">F45/F33-1</f>
        <v>0.20987496351510804</v>
      </c>
      <c r="I45" s="130">
        <f t="shared" si="0"/>
        <v>209.51857303862874</v>
      </c>
      <c r="J45" s="130">
        <f t="shared" si="5"/>
        <v>9.8051605726742208E-2</v>
      </c>
      <c r="K45" s="136"/>
      <c r="L45" s="190"/>
      <c r="M45" s="190"/>
      <c r="N45" s="191"/>
      <c r="O45" s="192"/>
      <c r="P45" s="129" t="s">
        <v>853</v>
      </c>
      <c r="Q45" s="116">
        <v>22652111</v>
      </c>
      <c r="R45" s="116">
        <v>31817002843</v>
      </c>
      <c r="S45" s="116">
        <v>108115.05</v>
      </c>
      <c r="T45" s="130">
        <f t="shared" ref="T45" si="78">Q45/S45</f>
        <v>209.51857303862874</v>
      </c>
      <c r="U45" s="85"/>
    </row>
    <row r="46" spans="1:21" s="79" customFormat="1" ht="13.2">
      <c r="A46" s="129" t="s">
        <v>888</v>
      </c>
      <c r="B46" s="188">
        <f>SUM(F44:F46)</f>
        <v>4342947.2748803832</v>
      </c>
      <c r="C46" s="188">
        <f>AVERAGE(F44:F46)</f>
        <v>1447649.0916267943</v>
      </c>
      <c r="D46" s="190">
        <f>C46/C43-1</f>
        <v>0.15381071333569718</v>
      </c>
      <c r="E46" s="287">
        <f>C46/C34-1</f>
        <v>0.39575538113629705</v>
      </c>
      <c r="F46" s="136">
        <f>Q46/19</f>
        <v>1808607.3157894737</v>
      </c>
      <c r="G46" s="190">
        <f t="shared" ref="G46" si="79">F46/F45-1</f>
        <v>0.59685542401719083</v>
      </c>
      <c r="H46" s="190">
        <f t="shared" ref="H46" si="80">F46/F34-1</f>
        <v>0.58473387905713614</v>
      </c>
      <c r="I46" s="130">
        <f t="shared" si="0"/>
        <v>210.31954874332934</v>
      </c>
      <c r="J46" s="130">
        <f t="shared" si="5"/>
        <v>-0.12542368255164271</v>
      </c>
      <c r="K46" s="136">
        <f>R44+R45+R46</f>
        <v>123637559198</v>
      </c>
      <c r="L46" s="190">
        <f>U46/U43-1</f>
        <v>0.19829335230660305</v>
      </c>
      <c r="M46" s="190">
        <f>K46/K34-1</f>
        <v>0.43393475313550134</v>
      </c>
      <c r="N46" s="191">
        <f>AVERAGE(T44:T46)</f>
        <v>209.10664088107796</v>
      </c>
      <c r="O46" s="192">
        <f>N46/N43-1</f>
        <v>-0.24044702473720181</v>
      </c>
      <c r="P46" s="129" t="s">
        <v>955</v>
      </c>
      <c r="Q46" s="116">
        <v>34363539</v>
      </c>
      <c r="R46" s="116">
        <v>47069058770</v>
      </c>
      <c r="S46" s="116">
        <v>163387.28</v>
      </c>
      <c r="T46" s="130">
        <f t="shared" ref="T46" si="81">Q46/S46</f>
        <v>210.31954874332934</v>
      </c>
      <c r="U46" s="85">
        <f t="shared" ref="U46:U51" si="82">Q44+Q45+Q46</f>
        <v>87853807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917735.08695652173</v>
      </c>
      <c r="G47" s="190">
        <f t="shared" ref="G47" si="83">F47/F46-1</f>
        <v>-0.49257360680534357</v>
      </c>
      <c r="H47" s="190">
        <f t="shared" ref="H47" si="84">F47/F35-1</f>
        <v>-1.0029800541793921E-2</v>
      </c>
      <c r="I47" s="130">
        <f t="shared" si="0"/>
        <v>118.63679383382716</v>
      </c>
      <c r="J47" s="130">
        <f t="shared" si="5"/>
        <v>-0.11356535489366648</v>
      </c>
      <c r="K47" s="136"/>
      <c r="L47" s="190"/>
      <c r="M47" s="190"/>
      <c r="N47" s="191"/>
      <c r="O47" s="192"/>
      <c r="P47" s="129" t="s">
        <v>991</v>
      </c>
      <c r="Q47" s="116">
        <v>21107907</v>
      </c>
      <c r="R47" s="116">
        <v>28951318112</v>
      </c>
      <c r="S47" s="116">
        <v>177920.41</v>
      </c>
      <c r="T47" s="130">
        <f t="shared" ref="T47" si="85">Q47/S47</f>
        <v>118.63679383382716</v>
      </c>
      <c r="U47" s="85">
        <f t="shared" si="82"/>
        <v>78123557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1112361.1499999999</v>
      </c>
      <c r="G48" s="190">
        <f t="shared" ref="G48" si="86">F48/F47-1</f>
        <v>0.21207216092054981</v>
      </c>
      <c r="H48" s="190">
        <f t="shared" ref="H48" si="87">F48/F36-1</f>
        <v>-4.6425878519270714E-2</v>
      </c>
      <c r="I48" s="130">
        <f t="shared" si="0"/>
        <v>224.14123043002806</v>
      </c>
      <c r="J48" s="130">
        <f t="shared" si="5"/>
        <v>-7.2508627916713086E-3</v>
      </c>
      <c r="K48" s="136"/>
      <c r="L48" s="190"/>
      <c r="M48" s="190"/>
      <c r="N48" s="191"/>
      <c r="O48" s="192"/>
      <c r="P48" s="129" t="s">
        <v>1145</v>
      </c>
      <c r="Q48" s="116">
        <v>22247223</v>
      </c>
      <c r="R48" s="116">
        <v>30872612415</v>
      </c>
      <c r="S48" s="116">
        <v>99255.38</v>
      </c>
      <c r="T48" s="130">
        <f t="shared" ref="T48" si="88">Q48/S48</f>
        <v>224.14123043002806</v>
      </c>
      <c r="U48" s="85">
        <f t="shared" si="82"/>
        <v>77718669</v>
      </c>
    </row>
    <row r="49" spans="1:26" ht="13.2">
      <c r="A49" s="129" t="s">
        <v>1158</v>
      </c>
      <c r="B49" s="188">
        <f>SUM(F47:F49)</f>
        <v>3758086.6005928852</v>
      </c>
      <c r="C49" s="188">
        <f>AVERAGE(F47:F49)</f>
        <v>1252695.5335309617</v>
      </c>
      <c r="D49" s="190">
        <f>C49/C46-1</f>
        <v>-0.13466907085663538</v>
      </c>
      <c r="E49" s="287">
        <f>C49/C37-1</f>
        <v>0.19933918746317292</v>
      </c>
      <c r="F49" s="136">
        <f>Q49/22</f>
        <v>1727990.3636363635</v>
      </c>
      <c r="G49" s="190">
        <f t="shared" ref="G49" si="89">F49/F48-1</f>
        <v>0.55344364879730268</v>
      </c>
      <c r="H49" s="190">
        <f t="shared" ref="H49" si="90">F49/F37-1</f>
        <v>0.66166731302316295</v>
      </c>
      <c r="I49" s="130">
        <f t="shared" si="0"/>
        <v>226.43793147176601</v>
      </c>
      <c r="J49" s="130">
        <f t="shared" si="5"/>
        <v>0.65046739231281148</v>
      </c>
      <c r="K49" s="136">
        <f>R47+R48+R49</f>
        <v>112666537122</v>
      </c>
      <c r="L49" s="190">
        <f>U49/U46-1</f>
        <v>-7.3791782295785979E-2</v>
      </c>
      <c r="M49" s="190">
        <f>K49/K37-1</f>
        <v>0.2806666307390917</v>
      </c>
      <c r="N49" s="191">
        <f>AVERAGE(T47:T49)</f>
        <v>189.73865191187375</v>
      </c>
      <c r="O49" s="192">
        <f>N49/N46-1</f>
        <v>-9.2622543634178878E-2</v>
      </c>
      <c r="P49" s="129" t="s">
        <v>1195</v>
      </c>
      <c r="Q49" s="116">
        <v>38015788</v>
      </c>
      <c r="R49" s="116">
        <v>52842606595</v>
      </c>
      <c r="S49" s="116">
        <v>167886.13</v>
      </c>
      <c r="T49" s="130">
        <f t="shared" ref="T49" si="91">Q49/S49</f>
        <v>226.43793147176601</v>
      </c>
      <c r="U49" s="85">
        <f t="shared" si="82"/>
        <v>81370918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1323947.5</v>
      </c>
      <c r="G50" s="190">
        <f t="shared" ref="G50" si="92">F50/F49-1</f>
        <v>-0.23382240557528355</v>
      </c>
      <c r="H50" s="190">
        <f t="shared" ref="H50" si="93">F50/F38-1</f>
        <v>9.1505192996529372E-2</v>
      </c>
      <c r="I50" s="130">
        <f t="shared" ref="I50" si="94">T50</f>
        <v>277.96251416286367</v>
      </c>
      <c r="J50" s="130">
        <f t="shared" ref="J50" si="95">I50/I38-1</f>
        <v>0.67243542371523835</v>
      </c>
      <c r="K50" s="136"/>
      <c r="L50" s="190"/>
      <c r="M50" s="190"/>
      <c r="N50" s="191"/>
      <c r="O50" s="192"/>
      <c r="P50" s="129" t="s">
        <v>1372</v>
      </c>
      <c r="Q50" s="116">
        <v>23831055</v>
      </c>
      <c r="R50" s="116">
        <v>33657277446</v>
      </c>
      <c r="S50" s="116">
        <v>85734.78</v>
      </c>
      <c r="T50" s="130">
        <f t="shared" ref="T50" si="96">Q50/S50</f>
        <v>277.96251416286367</v>
      </c>
      <c r="U50" s="85">
        <f t="shared" si="82"/>
        <v>84094066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1786115.95</v>
      </c>
      <c r="G51" s="190">
        <f t="shared" ref="G51:G52" si="97">F51/F50-1</f>
        <v>0.34908366834787619</v>
      </c>
      <c r="H51" s="190">
        <f t="shared" ref="H51:H52" si="98">F51/F39-1</f>
        <v>0.42076344922729181</v>
      </c>
      <c r="I51" s="130">
        <f t="shared" ref="I51:I52" si="99">T51</f>
        <v>220.19435143227375</v>
      </c>
      <c r="J51" s="130">
        <f t="shared" ref="J51:J52" si="100">I51/I39-1</f>
        <v>0.3810178062889733</v>
      </c>
      <c r="K51" s="136"/>
      <c r="L51" s="190"/>
      <c r="M51" s="190"/>
      <c r="N51" s="191"/>
      <c r="O51" s="192"/>
      <c r="P51" s="129" t="s">
        <v>1402</v>
      </c>
      <c r="Q51" s="116">
        <v>35722319</v>
      </c>
      <c r="R51" s="116">
        <v>51733922005</v>
      </c>
      <c r="S51" s="116">
        <v>162230.85999999999</v>
      </c>
      <c r="T51" s="130">
        <f t="shared" ref="T51:T52" si="101">Q51/S51</f>
        <v>220.19435143227375</v>
      </c>
      <c r="U51" s="85">
        <f t="shared" si="82"/>
        <v>97569162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4763866.7681818185</v>
      </c>
      <c r="C52" s="188">
        <f>AVERAGE(F50:F52)</f>
        <v>1587955.5893939396</v>
      </c>
      <c r="D52" s="190">
        <f>C52/C49-1</f>
        <v>0.26763091819923979</v>
      </c>
      <c r="E52" s="287">
        <f>C52/C40-1</f>
        <v>0.29923028747093117</v>
      </c>
      <c r="F52" s="136">
        <f>Q52/22</f>
        <v>1653803.3181818181</v>
      </c>
      <c r="G52" s="190">
        <f t="shared" si="97"/>
        <v>-7.4078411212990858E-2</v>
      </c>
      <c r="H52" s="190">
        <f t="shared" si="98"/>
        <v>0.38211317109121667</v>
      </c>
      <c r="I52" s="130">
        <f t="shared" si="99"/>
        <v>240.7657364196323</v>
      </c>
      <c r="J52" s="130">
        <f t="shared" si="100"/>
        <v>0.58198095831752972</v>
      </c>
      <c r="K52" s="136">
        <f>R50+R51+R52</f>
        <v>138933445242</v>
      </c>
      <c r="L52" s="190">
        <f>U52/U49-1</f>
        <v>0.17900902875398317</v>
      </c>
      <c r="M52" s="190">
        <f>K52/K40-1</f>
        <v>0.32077197139370028</v>
      </c>
      <c r="N52" s="191">
        <f>AVERAGE(T50:T52)</f>
        <v>246.30753400492324</v>
      </c>
      <c r="O52" s="192">
        <f>N52/N49-1</f>
        <v>0.29814105625312215</v>
      </c>
      <c r="P52" s="129" t="s">
        <v>1403</v>
      </c>
      <c r="Q52" s="116">
        <v>36383673</v>
      </c>
      <c r="R52" s="116">
        <v>53542245791</v>
      </c>
      <c r="S52" s="116">
        <v>151116.49</v>
      </c>
      <c r="T52" s="130">
        <f t="shared" si="101"/>
        <v>240.7657364196323</v>
      </c>
      <c r="U52" s="85">
        <f t="shared" ref="U52" si="102">Q50+Q51+Q52</f>
        <v>95937047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1096697.7142857143</v>
      </c>
      <c r="G53" s="190">
        <f t="shared" ref="G53" si="103">F53/F52-1</f>
        <v>-0.33686327616550105</v>
      </c>
      <c r="H53" s="190">
        <f t="shared" ref="H53" si="104">F53/F41-1</f>
        <v>0.11663580490010816</v>
      </c>
      <c r="I53" s="130">
        <f t="shared" ref="I53" si="105">T53</f>
        <v>234</v>
      </c>
      <c r="J53" s="130">
        <f t="shared" ref="J53" si="106">I53/I41-1</f>
        <v>-1.9534681505623541E-2</v>
      </c>
      <c r="K53" s="136"/>
      <c r="L53" s="190"/>
      <c r="M53" s="190"/>
      <c r="N53" s="191"/>
      <c r="O53" s="192"/>
      <c r="P53" s="129" t="s">
        <v>1414</v>
      </c>
      <c r="Q53" s="116">
        <v>23030652</v>
      </c>
      <c r="R53" s="116">
        <v>33576787509</v>
      </c>
      <c r="S53" s="116">
        <v>128977.47</v>
      </c>
      <c r="T53" s="130">
        <v>234</v>
      </c>
      <c r="U53" s="85">
        <f t="shared" ref="U53" si="107">Q51+Q52+Q53</f>
        <v>95136644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1550244.7647058824</v>
      </c>
      <c r="G54" s="190">
        <f t="shared" ref="G54" si="108">F54/F53-1</f>
        <v>0.41355703081369688</v>
      </c>
      <c r="H54" s="190">
        <f t="shared" ref="H54" si="109">F54/F42-1</f>
        <v>0.23976229168654895</v>
      </c>
      <c r="I54" s="130">
        <f t="shared" ref="I54" si="110">T54</f>
        <v>234</v>
      </c>
      <c r="J54" s="130">
        <f t="shared" ref="J54" si="111">I54/I42-1</f>
        <v>-0.19111487575024755</v>
      </c>
      <c r="K54" s="136"/>
      <c r="L54" s="190"/>
      <c r="M54" s="190"/>
      <c r="N54" s="191"/>
      <c r="O54" s="192"/>
      <c r="P54" s="129" t="s">
        <v>1417</v>
      </c>
      <c r="Q54" s="116">
        <v>26354161</v>
      </c>
      <c r="R54" s="116">
        <v>38182791014</v>
      </c>
      <c r="S54" s="116">
        <v>96819.86</v>
      </c>
      <c r="T54" s="130">
        <v>234</v>
      </c>
      <c r="U54" s="85">
        <f t="shared" ref="U54" si="112">Q52+Q53+Q54</f>
        <v>85768486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4613108.478991597</v>
      </c>
      <c r="C55" s="188">
        <f>AVERAGE(F53:F55)</f>
        <v>1537702.8263305323</v>
      </c>
      <c r="D55" s="190">
        <f>C55/C52-1</f>
        <v>-3.1646201820157205E-2</v>
      </c>
      <c r="E55" s="287">
        <f>C55/C43-1</f>
        <v>0.22558567902182247</v>
      </c>
      <c r="F55" s="136">
        <f>Q55/21</f>
        <v>1966166</v>
      </c>
      <c r="G55" s="190">
        <f t="shared" ref="G55" si="113">F55/F54-1</f>
        <v>0.2682939138149758</v>
      </c>
      <c r="H55" s="190">
        <f t="shared" ref="H55" si="114">F55/F43-1</f>
        <v>0.2838828548623431</v>
      </c>
      <c r="I55" s="130">
        <f>T55</f>
        <v>234</v>
      </c>
      <c r="J55" s="130">
        <f t="shared" ref="J55" si="115">I55/I43-1</f>
        <v>-0.21465307219602126</v>
      </c>
      <c r="K55" s="136">
        <f>R53+R54+R55</f>
        <v>132558586669</v>
      </c>
      <c r="L55" s="190">
        <f>U55/U52-1</f>
        <v>-5.4856264233357099E-2</v>
      </c>
      <c r="M55" s="190">
        <f>K55/K43-1</f>
        <v>0.24532377514049908</v>
      </c>
      <c r="N55" s="191">
        <f>AVERAGE(T53:T55)</f>
        <v>234</v>
      </c>
      <c r="O55" s="192">
        <f>N55/N52-1</f>
        <v>-4.996815893044193E-2</v>
      </c>
      <c r="P55" s="129" t="s">
        <v>1418</v>
      </c>
      <c r="Q55" s="116">
        <v>41289486</v>
      </c>
      <c r="R55" s="116">
        <v>60799008146</v>
      </c>
      <c r="S55" s="116">
        <v>142343.32</v>
      </c>
      <c r="T55" s="130">
        <v>234</v>
      </c>
      <c r="U55" s="85">
        <f t="shared" ref="U55" si="116">Q53+Q54+Q55</f>
        <v>90674299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1338559.8636363635</v>
      </c>
      <c r="G56" s="190">
        <f t="shared" ref="G56" si="117">F56/F55-1</f>
        <v>-0.31920302576874815</v>
      </c>
      <c r="H56" s="190">
        <f t="shared" ref="H56" si="118">F56/F44-1</f>
        <v>-4.506884117620924E-2</v>
      </c>
      <c r="I56" s="291">
        <f>T56</f>
        <v>234</v>
      </c>
      <c r="J56" s="130">
        <f t="shared" ref="J56" si="119">I56/I44-1</f>
        <v>0.12780975983746368</v>
      </c>
      <c r="K56" s="136"/>
      <c r="L56" s="190"/>
      <c r="M56" s="190"/>
      <c r="N56" s="191"/>
      <c r="O56" s="192"/>
      <c r="P56" s="129" t="s">
        <v>1420</v>
      </c>
      <c r="Q56" s="116">
        <v>29448317</v>
      </c>
      <c r="R56" s="116">
        <v>43967211806</v>
      </c>
      <c r="S56" s="116">
        <v>141825.19</v>
      </c>
      <c r="T56" s="130">
        <v>234</v>
      </c>
      <c r="U56" s="85">
        <f t="shared" ref="U56" si="120">Q54+Q55+Q56</f>
        <v>97091964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2017515.9166666667</v>
      </c>
      <c r="G57" s="254">
        <f t="shared" ref="G57" si="121">F57/F56-1</f>
        <v>0.50722875492907371</v>
      </c>
      <c r="H57" s="254">
        <f t="shared" ref="H57" si="122">F57/F45-1</f>
        <v>0.78130498889632549</v>
      </c>
      <c r="I57" s="282">
        <f>T57</f>
        <v>234</v>
      </c>
      <c r="J57" s="277">
        <f t="shared" ref="J57" si="123">I57/I45-1</f>
        <v>0.11684609438828919</v>
      </c>
      <c r="K57" s="204"/>
      <c r="L57" s="254"/>
      <c r="M57" s="254"/>
      <c r="N57" s="257"/>
      <c r="O57" s="258"/>
      <c r="P57" s="129" t="s">
        <v>1436</v>
      </c>
      <c r="Q57" s="116">
        <v>24210191</v>
      </c>
      <c r="R57" s="116">
        <v>35714816346</v>
      </c>
      <c r="S57" s="116">
        <v>73031.89</v>
      </c>
      <c r="T57" s="130">
        <v>234</v>
      </c>
      <c r="U57" s="85">
        <f t="shared" ref="U57" si="124">Q55+Q56+Q57</f>
        <v>94947994</v>
      </c>
      <c r="V57" s="79"/>
      <c r="W57" s="79"/>
      <c r="X57" s="79"/>
      <c r="Y57" s="79"/>
      <c r="Z57" s="79"/>
    </row>
    <row r="58" spans="1:26">
      <c r="B58" s="196">
        <f>SUM(F56:F58)</f>
        <v>3356075.7803030303</v>
      </c>
      <c r="C58" s="196">
        <f>AVERAGE(F56:F58)</f>
        <v>1678037.8901515151</v>
      </c>
      <c r="D58" s="197">
        <f>C58/C55-1</f>
        <v>9.1262798908855913E-2</v>
      </c>
      <c r="E58" s="233">
        <f>C58/C46-1</f>
        <v>0.15914685392840711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144332807</v>
      </c>
      <c r="R65" s="212">
        <v>212240614821</v>
      </c>
      <c r="S65" s="213">
        <v>582997.75</v>
      </c>
      <c r="T65" s="214">
        <v>451</v>
      </c>
      <c r="U65" s="214">
        <v>2293</v>
      </c>
    </row>
    <row r="66" spans="16:21" ht="18" thickBot="1">
      <c r="P66" s="180" t="s">
        <v>976</v>
      </c>
      <c r="Q66" s="181">
        <v>23030652</v>
      </c>
      <c r="R66" s="181">
        <v>33576787509</v>
      </c>
      <c r="S66" s="182">
        <v>128977.47</v>
      </c>
      <c r="T66" s="210">
        <v>233</v>
      </c>
      <c r="U66" s="210">
        <v>793</v>
      </c>
    </row>
    <row r="67" spans="16:21" ht="18" thickBot="1">
      <c r="P67" s="180" t="s">
        <v>977</v>
      </c>
      <c r="Q67" s="181">
        <v>26354161</v>
      </c>
      <c r="R67" s="181">
        <v>38182791014</v>
      </c>
      <c r="S67" s="182">
        <v>96819.86</v>
      </c>
      <c r="T67" s="210">
        <v>220</v>
      </c>
      <c r="U67" s="210">
        <v>830</v>
      </c>
    </row>
    <row r="68" spans="16:21" ht="18" thickBot="1">
      <c r="P68" s="180" t="s">
        <v>978</v>
      </c>
      <c r="Q68" s="181">
        <v>41289486</v>
      </c>
      <c r="R68" s="181">
        <v>60799008146</v>
      </c>
      <c r="S68" s="182">
        <v>142343.32</v>
      </c>
      <c r="T68" s="210">
        <v>241</v>
      </c>
      <c r="U68" s="210">
        <v>917</v>
      </c>
    </row>
    <row r="69" spans="16:21" ht="18" thickBot="1">
      <c r="P69" s="180" t="s">
        <v>979</v>
      </c>
      <c r="Q69" s="181">
        <v>29448317</v>
      </c>
      <c r="R69" s="181">
        <v>43967211806</v>
      </c>
      <c r="S69" s="182">
        <v>141825.19</v>
      </c>
      <c r="T69" s="210">
        <v>266</v>
      </c>
      <c r="U69" s="210">
        <v>1034</v>
      </c>
    </row>
    <row r="70" spans="16:21" ht="18" thickBot="1">
      <c r="P70" s="180" t="s">
        <v>980</v>
      </c>
      <c r="Q70" s="181">
        <v>24210191</v>
      </c>
      <c r="R70" s="181">
        <v>35714816346</v>
      </c>
      <c r="S70" s="182">
        <v>73031.89</v>
      </c>
      <c r="T70" s="210">
        <v>191</v>
      </c>
      <c r="U70" s="210">
        <v>647</v>
      </c>
    </row>
    <row r="71" spans="16:21" ht="18" thickBot="1">
      <c r="P71" s="180" t="s">
        <v>975</v>
      </c>
      <c r="Q71" s="181">
        <v>338361080</v>
      </c>
      <c r="R71" s="181">
        <v>481512602288</v>
      </c>
      <c r="S71" s="182">
        <v>1527182.25</v>
      </c>
      <c r="T71" s="210">
        <v>650</v>
      </c>
      <c r="U71" s="210">
        <v>4648</v>
      </c>
    </row>
    <row r="72" spans="16:21" ht="18" thickBot="1">
      <c r="P72" s="180" t="s">
        <v>982</v>
      </c>
      <c r="Q72" s="181">
        <v>264660324</v>
      </c>
      <c r="R72" s="181">
        <v>360638647732</v>
      </c>
      <c r="S72" s="182">
        <v>1560895.23</v>
      </c>
      <c r="T72" s="210">
        <v>553</v>
      </c>
      <c r="U72" s="210">
        <v>4152</v>
      </c>
    </row>
    <row r="73" spans="16:21" ht="18" thickBot="1">
      <c r="P73" s="215" t="s">
        <v>1386</v>
      </c>
      <c r="Q73" s="216">
        <v>206470</v>
      </c>
      <c r="R73"/>
      <c r="S73"/>
      <c r="T73"/>
      <c r="U73"/>
    </row>
  </sheetData>
  <phoneticPr fontId="1" type="noConversion"/>
  <conditionalFormatting sqref="C29:C30">
    <cfRule type="cellIs" dxfId="1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96"/>
  <dimension ref="A1:Z71"/>
  <sheetViews>
    <sheetView zoomScale="90" zoomScaleNormal="9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159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1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1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35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60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36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36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37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38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38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85</v>
      </c>
      <c r="C17" s="79"/>
      <c r="F17" s="78">
        <f>Q17/20</f>
        <v>927093.65</v>
      </c>
      <c r="G17" s="90">
        <f t="shared" ref="G17:G22" si="3">F17/F16-1</f>
        <v>-0.29490980033415981</v>
      </c>
      <c r="H17" s="90">
        <f t="shared" ref="H17:H22" si="4">F17/F5-1</f>
        <v>-5.5190029276978469E-2</v>
      </c>
      <c r="I17" s="130">
        <f t="shared" si="0"/>
        <v>89.63542564018077</v>
      </c>
      <c r="J17" s="130">
        <f t="shared" ref="J17:J49" si="5">I17/I5-1</f>
        <v>0.23730444735490552</v>
      </c>
      <c r="O17" s="89"/>
      <c r="P17" s="129" t="s">
        <v>85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3"/>
        <v>0.19975560182080843</v>
      </c>
      <c r="H18" s="90">
        <f t="shared" si="4"/>
        <v>-9.3189992469649652E-2</v>
      </c>
      <c r="I18" s="130">
        <f t="shared" si="0"/>
        <v>74.325374019672509</v>
      </c>
      <c r="J18" s="130">
        <f t="shared" si="5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3"/>
        <v>0.13503296136168008</v>
      </c>
      <c r="H19" s="90">
        <f t="shared" si="4"/>
        <v>0.21548189646555738</v>
      </c>
      <c r="I19" s="130">
        <f t="shared" si="0"/>
        <v>57.17206598638537</v>
      </c>
      <c r="J19" s="130">
        <f t="shared" si="5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3"/>
        <v>5.0905354726658025E-3</v>
      </c>
      <c r="H20" s="90">
        <f t="shared" si="4"/>
        <v>5.8888172421414531E-2</v>
      </c>
      <c r="I20" s="130">
        <f t="shared" si="0"/>
        <v>75.251597455812941</v>
      </c>
      <c r="J20" s="130">
        <f t="shared" si="5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3"/>
        <v>3.0410415496920029E-2</v>
      </c>
      <c r="H21" s="90">
        <f t="shared" si="4"/>
        <v>8.0317408768999066E-2</v>
      </c>
      <c r="I21" s="130">
        <f t="shared" si="0"/>
        <v>81.772579140373608</v>
      </c>
      <c r="J21" s="130">
        <f t="shared" si="5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156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3"/>
        <v>0.13717972171520465</v>
      </c>
      <c r="H22" s="90">
        <f t="shared" si="4"/>
        <v>0.11836125462724323</v>
      </c>
      <c r="I22" s="130">
        <f t="shared" si="0"/>
        <v>67.522726252899815</v>
      </c>
      <c r="J22" s="130">
        <f t="shared" si="5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156</v>
      </c>
      <c r="Q22" s="116">
        <v>31224011</v>
      </c>
      <c r="R22" s="116">
        <v>40549331486</v>
      </c>
      <c r="S22" s="116">
        <v>462422.25</v>
      </c>
      <c r="T22" s="130">
        <f t="shared" ref="T22:T23" si="6">Q22/S22</f>
        <v>67.522726252899815</v>
      </c>
      <c r="U22" s="85">
        <f>Q20+Q21+Q22</f>
        <v>84059577</v>
      </c>
    </row>
    <row r="23" spans="1:21" hidden="1">
      <c r="A23" s="129" t="s">
        <v>189</v>
      </c>
      <c r="B23" s="131"/>
      <c r="C23" s="131"/>
      <c r="F23" s="78">
        <f>Q23/21</f>
        <v>1397786.0952380951</v>
      </c>
      <c r="G23" s="90">
        <f t="shared" ref="G23" si="7">F23/F22-1</f>
        <v>-5.9905916635758394E-2</v>
      </c>
      <c r="H23" s="90">
        <f t="shared" ref="H23" si="8">F23/F11-1</f>
        <v>0.14083656272626954</v>
      </c>
      <c r="I23" s="130">
        <f t="shared" si="0"/>
        <v>50.735439407312192</v>
      </c>
      <c r="J23" s="130">
        <f t="shared" si="5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6"/>
        <v>50.735439407312192</v>
      </c>
      <c r="U23" s="78"/>
    </row>
    <row r="24" spans="1:21" hidden="1">
      <c r="A24" s="129" t="s">
        <v>204</v>
      </c>
      <c r="B24" s="131"/>
      <c r="C24" s="131"/>
      <c r="F24" s="78">
        <f>Q24/22</f>
        <v>1331975.4545454546</v>
      </c>
      <c r="G24" s="90">
        <f t="shared" ref="G24" si="9">F24/F23-1</f>
        <v>-4.7082054197592038E-2</v>
      </c>
      <c r="H24" s="90">
        <f t="shared" ref="H24" si="10">F24/F12-1</f>
        <v>0.15993100769161162</v>
      </c>
      <c r="I24" s="130">
        <f t="shared" si="0"/>
        <v>66.899127000986596</v>
      </c>
      <c r="J24" s="130">
        <f t="shared" si="5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ref="T24" si="11">Q24/S24</f>
        <v>66.899127000986596</v>
      </c>
      <c r="U24" s="78"/>
    </row>
    <row r="25" spans="1:21" s="79" customFormat="1" ht="13.2" hidden="1">
      <c r="A25" s="129" t="s">
        <v>219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ref="G25" si="12">F25/F24-1</f>
        <v>0.12704107835370748</v>
      </c>
      <c r="H25" s="90">
        <f t="shared" ref="H25" si="13">F25/F13-1</f>
        <v>7.9359381169048948E-2</v>
      </c>
      <c r="I25" s="130">
        <f t="shared" si="0"/>
        <v>63.314530592460592</v>
      </c>
      <c r="J25" s="130">
        <f t="shared" si="5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219</v>
      </c>
      <c r="Q25" s="116">
        <v>28522630</v>
      </c>
      <c r="R25" s="116">
        <v>37861420772</v>
      </c>
      <c r="S25" s="116">
        <v>450491.06</v>
      </c>
      <c r="T25" s="130">
        <f t="shared" ref="T25" si="14">Q25/S25</f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ref="G26" si="15">F26/F25-1</f>
        <v>-0.11206315827116919</v>
      </c>
      <c r="H26" s="90">
        <f t="shared" ref="H26" si="16">F26/F14-1</f>
        <v>-7.8098033413298462E-2</v>
      </c>
      <c r="I26" s="130">
        <f t="shared" si="0"/>
        <v>68.142850143461288</v>
      </c>
      <c r="J26" s="130">
        <f t="shared" si="5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ref="T26" si="17">Q26/S26</f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18">F27/F26-1</f>
        <v>5.3536060191041734E-3</v>
      </c>
      <c r="H27" s="90">
        <f t="shared" ref="H27" si="19">F27/F15-1</f>
        <v>0.1151093223779287</v>
      </c>
      <c r="I27" s="130">
        <f t="shared" si="0"/>
        <v>59.333293981977576</v>
      </c>
      <c r="J27" s="130">
        <f t="shared" si="5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20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21">F28/F27-1</f>
        <v>0.22105452460483965</v>
      </c>
      <c r="H28" s="90">
        <f t="shared" ref="H28" si="22">F28/F16-1</f>
        <v>0.24449458765033349</v>
      </c>
      <c r="I28" s="130">
        <f t="shared" si="0"/>
        <v>55.793061756635012</v>
      </c>
      <c r="J28" s="130">
        <f t="shared" si="5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23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24">F29/F28-1</f>
        <v>-0.39812735783700404</v>
      </c>
      <c r="H29" s="190">
        <f t="shared" ref="H29" si="25">F29/F17-1</f>
        <v>6.2314078371301873E-2</v>
      </c>
      <c r="I29" s="130">
        <f t="shared" si="0"/>
        <v>66.461168015422828</v>
      </c>
      <c r="J29" s="130">
        <f t="shared" si="5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26">Q29/S29</f>
        <v>66.461168015422828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1089939.6315789474</v>
      </c>
      <c r="G30" s="190">
        <f t="shared" ref="G30" si="27">F30/F29-1</f>
        <v>0.10668978389078321</v>
      </c>
      <c r="H30" s="190">
        <f t="shared" ref="H30" si="28">F30/F18-1</f>
        <v>-2.0090311699612284E-2</v>
      </c>
      <c r="I30" s="130">
        <f t="shared" si="0"/>
        <v>53.042721837089786</v>
      </c>
      <c r="J30" s="130">
        <f t="shared" si="5"/>
        <v>-0.28634436709258415</v>
      </c>
      <c r="K30" s="136"/>
      <c r="L30" s="190"/>
      <c r="M30" s="190"/>
      <c r="N30" s="191"/>
      <c r="O30" s="192"/>
      <c r="P30" s="129" t="s">
        <v>466</v>
      </c>
      <c r="Q30" s="116">
        <v>20708853</v>
      </c>
      <c r="R30" s="116">
        <v>27593912245</v>
      </c>
      <c r="S30" s="116">
        <v>390418.37</v>
      </c>
      <c r="T30" s="130">
        <f t="shared" ref="T30" si="29">Q30/S30</f>
        <v>53.042721837089786</v>
      </c>
      <c r="U30" s="85"/>
    </row>
    <row r="31" spans="1:21" s="79" customFormat="1" ht="13.2" hidden="1">
      <c r="A31" s="129" t="s">
        <v>523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30">F31/F30-1</f>
        <v>0.15405483345697624</v>
      </c>
      <c r="H31" s="190">
        <f t="shared" ref="H31" si="31">F31/F19-1</f>
        <v>-3.6681306790455892E-3</v>
      </c>
      <c r="I31" s="130">
        <f t="shared" si="0"/>
        <v>84.919058880731313</v>
      </c>
      <c r="J31" s="130">
        <f t="shared" si="5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523</v>
      </c>
      <c r="Q31" s="116">
        <v>25157002</v>
      </c>
      <c r="R31" s="116">
        <v>33428167108</v>
      </c>
      <c r="S31" s="116">
        <v>296246.83</v>
      </c>
      <c r="T31" s="130">
        <f t="shared" ref="T31" si="32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33">F32/F31-1</f>
        <v>-0.17658823461669126</v>
      </c>
      <c r="H32" s="190">
        <f t="shared" ref="H32" si="34">F32/F20-1</f>
        <v>-0.1837636964321705</v>
      </c>
      <c r="I32" s="130">
        <f t="shared" si="0"/>
        <v>81.76306863127391</v>
      </c>
      <c r="J32" s="130">
        <f t="shared" si="5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35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36">F33/F32-1</f>
        <v>0.12049001622966116</v>
      </c>
      <c r="H33" s="190">
        <f t="shared" ref="H33" si="37">F33/F21-1</f>
        <v>-0.11240742981922081</v>
      </c>
      <c r="I33" s="130">
        <f t="shared" si="0"/>
        <v>71.299971320266266</v>
      </c>
      <c r="J33" s="130">
        <f t="shared" si="5"/>
        <v>-0.12806992185155008</v>
      </c>
      <c r="K33" s="136"/>
      <c r="L33" s="190"/>
      <c r="M33" s="190"/>
      <c r="N33" s="191"/>
      <c r="O33" s="192"/>
      <c r="P33" s="129" t="s">
        <v>607</v>
      </c>
      <c r="Q33" s="116">
        <v>24370994</v>
      </c>
      <c r="R33" s="116">
        <v>33327556563</v>
      </c>
      <c r="S33" s="116">
        <v>341809.31</v>
      </c>
      <c r="T33" s="130">
        <f t="shared" ref="T33" si="38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39">F34/F33-1</f>
        <v>0.31461604250571495</v>
      </c>
      <c r="H34" s="190">
        <f t="shared" ref="H34" si="40">F34/F22-1</f>
        <v>2.6085331708681547E-2</v>
      </c>
      <c r="I34" s="130">
        <f t="shared" si="0"/>
        <v>50.342821716642639</v>
      </c>
      <c r="J34" s="130">
        <f t="shared" si="5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41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42">F35/F34-1</f>
        <v>-0.37178381775345914</v>
      </c>
      <c r="H35" s="190">
        <f t="shared" ref="H35" si="43">F35/F23-1</f>
        <v>-0.31432032053811965</v>
      </c>
      <c r="I35" s="130">
        <f t="shared" si="0"/>
        <v>63.912969116490181</v>
      </c>
      <c r="J35" s="130">
        <f t="shared" si="5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44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45">F36/F35-1</f>
        <v>0.12894781331107974</v>
      </c>
      <c r="H36" s="190">
        <f t="shared" ref="H36" si="46">F36/F24-1</f>
        <v>-0.18765663069919292</v>
      </c>
      <c r="I36" s="130">
        <f t="shared" si="0"/>
        <v>67.634610434948726</v>
      </c>
      <c r="J36" s="130">
        <f t="shared" si="5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47">Q36/S36</f>
        <v>67.634610434948726</v>
      </c>
      <c r="U36" s="85"/>
    </row>
    <row r="37" spans="1:21" s="79" customFormat="1" ht="13.2" hidden="1">
      <c r="A37" s="129" t="s">
        <v>702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48">F37/F36-1</f>
        <v>0.10210525273463023</v>
      </c>
      <c r="H37" s="190">
        <f t="shared" ref="H37" si="49">F37/F25-1</f>
        <v>-0.20562975784491122</v>
      </c>
      <c r="I37" s="130">
        <f t="shared" si="0"/>
        <v>67.025619398379547</v>
      </c>
      <c r="J37" s="130">
        <f t="shared" si="5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702</v>
      </c>
      <c r="Q37" s="116">
        <v>21465027</v>
      </c>
      <c r="R37" s="116">
        <v>28633953956</v>
      </c>
      <c r="S37" s="116">
        <v>320251.08</v>
      </c>
      <c r="T37" s="130">
        <f t="shared" ref="T37" si="50">Q37/S37</f>
        <v>67.025619398379547</v>
      </c>
      <c r="U37" s="85">
        <f>Q35+Q36+Q37</f>
        <v>66231448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1188058.8500000001</v>
      </c>
      <c r="G38" s="190">
        <f t="shared" ref="G38" si="51">F38/F37-1</f>
        <v>-3.7254879763253257E-3</v>
      </c>
      <c r="H38" s="190">
        <f t="shared" ref="H38" si="52">F38/F26-1</f>
        <v>-0.10870820065501874</v>
      </c>
      <c r="I38" s="130">
        <f t="shared" si="0"/>
        <v>45.161848073451274</v>
      </c>
      <c r="J38" s="130">
        <f t="shared" si="5"/>
        <v>-0.33724744447330957</v>
      </c>
      <c r="K38" s="136"/>
      <c r="L38" s="190"/>
      <c r="M38" s="190"/>
      <c r="N38" s="191"/>
      <c r="O38" s="192"/>
      <c r="P38" s="129" t="s">
        <v>728</v>
      </c>
      <c r="Q38" s="116">
        <v>23761177</v>
      </c>
      <c r="R38" s="116">
        <v>32018074223</v>
      </c>
      <c r="S38" s="116">
        <v>526133.85</v>
      </c>
      <c r="T38" s="130">
        <f t="shared" ref="T38" si="53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54">F39/F38-1</f>
        <v>0.16755752260845291</v>
      </c>
      <c r="H39" s="190">
        <f t="shared" ref="H39" si="55">F39/F27-1</f>
        <v>3.5092965235439699E-2</v>
      </c>
      <c r="I39" s="130">
        <f t="shared" si="0"/>
        <v>55.242084077551745</v>
      </c>
      <c r="J39" s="130">
        <f t="shared" si="5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56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57">F40/F39-1</f>
        <v>0.30253211262140023</v>
      </c>
      <c r="H40" s="190">
        <f t="shared" ref="H40" si="58">F40/F28-1</f>
        <v>0.10416185321780613</v>
      </c>
      <c r="I40" s="130">
        <f t="shared" si="0"/>
        <v>64.914454619359532</v>
      </c>
      <c r="J40" s="130">
        <f t="shared" si="5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59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60">F41/F40-1</f>
        <v>-0.39923661686406453</v>
      </c>
      <c r="H41" s="190">
        <f t="shared" ref="H41" si="61">F41/F29-1</f>
        <v>0.10212686870909682</v>
      </c>
      <c r="I41" s="130">
        <f t="shared" si="0"/>
        <v>47.002327860921589</v>
      </c>
      <c r="J41" s="130">
        <f t="shared" si="5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62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63">F42/F41-1</f>
        <v>4.6877258416716083E-2</v>
      </c>
      <c r="H42" s="190">
        <f t="shared" ref="H42" si="64">F42/F30-1</f>
        <v>4.2560952072043801E-2</v>
      </c>
      <c r="I42" s="130">
        <f t="shared" si="0"/>
        <v>51.548992963305707</v>
      </c>
      <c r="J42" s="130">
        <f t="shared" si="5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65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66">F43/F42-1</f>
        <v>-4.6940695406301969E-2</v>
      </c>
      <c r="H43" s="190">
        <f t="shared" ref="H43" si="67">F43/F31-1</f>
        <v>-0.13901628659885634</v>
      </c>
      <c r="I43" s="130">
        <f t="shared" si="0"/>
        <v>83.349966305628428</v>
      </c>
      <c r="J43" s="130">
        <f t="shared" si="5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68">Q43/S43</f>
        <v>83.349966305628428</v>
      </c>
      <c r="U43" s="85">
        <f>Q41+Q42+Q43</f>
        <v>63924363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966921.04545454541</v>
      </c>
      <c r="G44" s="190">
        <f t="shared" ref="G44" si="69">F44/F43-1</f>
        <v>-0.10717326167740249</v>
      </c>
      <c r="H44" s="190">
        <f t="shared" ref="H44" si="70">F44/F32-1</f>
        <v>-6.6433936334420518E-2</v>
      </c>
      <c r="I44" s="130">
        <f t="shared" si="0"/>
        <v>81.645433755770568</v>
      </c>
      <c r="J44" s="130">
        <f t="shared" si="5"/>
        <v>-1.4387287252370928E-3</v>
      </c>
      <c r="K44" s="136"/>
      <c r="L44" s="190"/>
      <c r="M44" s="190"/>
      <c r="N44" s="191"/>
      <c r="O44" s="192"/>
      <c r="P44" s="129" t="s">
        <v>843</v>
      </c>
      <c r="Q44" s="116">
        <v>21272263</v>
      </c>
      <c r="R44" s="116">
        <v>30815648451</v>
      </c>
      <c r="S44" s="116">
        <v>260544.43</v>
      </c>
      <c r="T44" s="130">
        <f t="shared" ref="T44" si="71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72">F45/F44-1</f>
        <v>0.23917304896051728</v>
      </c>
      <c r="H45" s="190">
        <f t="shared" ref="H45" si="73">F45/F33-1</f>
        <v>3.2449989524432121E-2</v>
      </c>
      <c r="I45" s="130">
        <f t="shared" si="0"/>
        <v>73.687492327951162</v>
      </c>
      <c r="J45" s="130">
        <f t="shared" si="5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74">Q45/S45</f>
        <v>73.687492327951162</v>
      </c>
      <c r="U45" s="85"/>
    </row>
    <row r="46" spans="1:21" s="79" customFormat="1" ht="13.2">
      <c r="A46" s="129" t="s">
        <v>888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75">F46/F45-1</f>
        <v>0.26819855555349359</v>
      </c>
      <c r="H46" s="190">
        <f t="shared" ref="H46" si="76">F46/F34-1</f>
        <v>-4.0045586995700599E-3</v>
      </c>
      <c r="I46" s="130">
        <f t="shared" si="0"/>
        <v>66.510824275207909</v>
      </c>
      <c r="J46" s="130">
        <f t="shared" si="5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928</v>
      </c>
      <c r="Q46" s="116">
        <v>28871133</v>
      </c>
      <c r="R46" s="116">
        <v>39547047652</v>
      </c>
      <c r="S46" s="116">
        <v>434081.72</v>
      </c>
      <c r="T46" s="130">
        <f t="shared" ref="T46" si="77">Q46/S46</f>
        <v>66.510824275207909</v>
      </c>
      <c r="U46" s="85">
        <f t="shared" ref="U46:U51" si="78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79">F47/F46-1</f>
        <v>-0.25811309442760255</v>
      </c>
      <c r="H47" s="190">
        <f t="shared" ref="H47" si="80">F47/F35-1</f>
        <v>0.17621289739493839</v>
      </c>
      <c r="I47" s="130">
        <f t="shared" si="0"/>
        <v>57.0907199230899</v>
      </c>
      <c r="J47" s="130">
        <f t="shared" si="5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81">Q47/S47</f>
        <v>57.0907199230899</v>
      </c>
      <c r="U47" s="85">
        <f t="shared" si="78"/>
        <v>78763186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1122695.8999999999</v>
      </c>
      <c r="G48" s="190">
        <f t="shared" ref="G48" si="82">F48/F47-1</f>
        <v>-4.1035037908042638E-3</v>
      </c>
      <c r="H48" s="190">
        <f t="shared" ref="H48" si="83">F48/F36-1</f>
        <v>3.7591188450188939E-2</v>
      </c>
      <c r="I48" s="130">
        <f t="shared" si="0"/>
        <v>56.41847839305597</v>
      </c>
      <c r="J48" s="130">
        <f t="shared" si="5"/>
        <v>-0.16583420780815294</v>
      </c>
      <c r="K48" s="136"/>
      <c r="L48" s="190"/>
      <c r="M48" s="190"/>
      <c r="N48" s="191"/>
      <c r="O48" s="192"/>
      <c r="P48" s="129" t="s">
        <v>1120</v>
      </c>
      <c r="Q48" s="116">
        <v>22453918</v>
      </c>
      <c r="R48" s="116">
        <v>31168231585</v>
      </c>
      <c r="S48" s="116">
        <v>397988.72</v>
      </c>
      <c r="T48" s="130">
        <f t="shared" ref="T48" si="84">Q48/S48</f>
        <v>56.41847839305597</v>
      </c>
      <c r="U48" s="85">
        <f t="shared" si="78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85">F49/F48-1</f>
        <v>0.40748337834120374</v>
      </c>
      <c r="H49" s="190">
        <f t="shared" ref="H49" si="86">F49/F37-1</f>
        <v>0.32509335894488856</v>
      </c>
      <c r="I49" s="130">
        <f t="shared" si="0"/>
        <v>64.015404119581092</v>
      </c>
      <c r="J49" s="130">
        <f t="shared" si="5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87">Q49/S49</f>
        <v>64.015404119581092</v>
      </c>
      <c r="U49" s="85">
        <f t="shared" si="78"/>
        <v>83146189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1458357.2222222222</v>
      </c>
      <c r="G50" s="190">
        <f t="shared" ref="G50" si="88">F50/F49-1</f>
        <v>-7.7091798620081864E-2</v>
      </c>
      <c r="H50" s="190">
        <f t="shared" ref="H50" si="89">F50/F38-1</f>
        <v>0.22751261204124873</v>
      </c>
      <c r="I50" s="130">
        <f t="shared" ref="I50" si="90">T50</f>
        <v>63.158231828489399</v>
      </c>
      <c r="J50" s="130">
        <f t="shared" ref="J50" si="91">I50/I38-1</f>
        <v>0.3984864331895539</v>
      </c>
      <c r="K50" s="136"/>
      <c r="L50" s="190"/>
      <c r="M50" s="190"/>
      <c r="N50" s="191"/>
      <c r="O50" s="192"/>
      <c r="P50" s="129" t="s">
        <v>1371</v>
      </c>
      <c r="Q50" s="116">
        <v>26250430</v>
      </c>
      <c r="R50" s="116">
        <v>37104183919</v>
      </c>
      <c r="S50" s="116">
        <v>415629.59</v>
      </c>
      <c r="T50" s="130">
        <f t="shared" ref="T50" si="92">Q50/S50</f>
        <v>63.158231828489399</v>
      </c>
      <c r="U50" s="85">
        <f t="shared" si="78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93">F51/F50-1</f>
        <v>0.10854136103675249</v>
      </c>
      <c r="H51" s="190">
        <f t="shared" ref="H51:H52" si="94">F51/F39-1</f>
        <v>0.16546591948799416</v>
      </c>
      <c r="I51" s="130">
        <f t="shared" ref="I51:I52" si="95">T51</f>
        <v>53.017779271474105</v>
      </c>
      <c r="J51" s="130">
        <f t="shared" ref="J51:J52" si="96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97">Q51/S51</f>
        <v>53.017779271474105</v>
      </c>
      <c r="U51" s="85">
        <f t="shared" si="78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93"/>
        <v>0.14459096466882571</v>
      </c>
      <c r="H52" s="190">
        <f t="shared" si="94"/>
        <v>2.4145008133971579E-2</v>
      </c>
      <c r="I52" s="130">
        <f t="shared" si="95"/>
        <v>58.51612113010232</v>
      </c>
      <c r="J52" s="130">
        <f t="shared" si="96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97"/>
        <v>58.51612113010232</v>
      </c>
      <c r="U52" s="85">
        <f t="shared" ref="U52" si="98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99">F53/F52-1</f>
        <v>-0.34042719773399255</v>
      </c>
      <c r="H53" s="190">
        <f t="shared" ref="H53" si="100">F53/F41-1</f>
        <v>0.12439974190108183</v>
      </c>
      <c r="I53" s="130">
        <f t="shared" ref="I53" si="101">T53</f>
        <v>64.748791864127952</v>
      </c>
      <c r="J53" s="130">
        <f t="shared" ref="J53" si="102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103">Q53/S53</f>
        <v>64.748791864127952</v>
      </c>
      <c r="U53" s="85">
        <f t="shared" ref="U53" si="104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105">F54/F53-1</f>
        <v>2.7494108816405571E-2</v>
      </c>
      <c r="H54" s="190">
        <f t="shared" ref="H54" si="106">F54/F42-1</f>
        <v>0.10358124743805308</v>
      </c>
      <c r="I54" s="130">
        <f t="shared" ref="I54" si="107">T54</f>
        <v>62.26884049815834</v>
      </c>
      <c r="J54" s="130">
        <f t="shared" ref="J54" si="108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109">Q54/S54</f>
        <v>62.26884049815834</v>
      </c>
      <c r="U54" s="85">
        <f t="shared" ref="U54" si="110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111">F55/F54-1</f>
        <v>3.5332567605345977E-2</v>
      </c>
      <c r="H55" s="190">
        <f t="shared" ref="H55" si="112">F55/F43-1</f>
        <v>0.19884838326849419</v>
      </c>
      <c r="I55" s="130">
        <f>T55</f>
        <v>75.031509520113033</v>
      </c>
      <c r="J55" s="130">
        <f t="shared" ref="J55" si="113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14">Q55/S55</f>
        <v>75.031509520113033</v>
      </c>
      <c r="U55" s="85">
        <f t="shared" ref="U55" si="115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16">F56/F55-1</f>
        <v>-0.25505368501180947</v>
      </c>
      <c r="H56" s="190">
        <f t="shared" ref="H56" si="117">F56/F44-1</f>
        <v>2.8107023686207988E-4</v>
      </c>
      <c r="I56" s="291">
        <f>T56</f>
        <v>94.978837787917229</v>
      </c>
      <c r="J56" s="130">
        <f t="shared" ref="J56" si="118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19">Q56/S56</f>
        <v>94.978837787917229</v>
      </c>
      <c r="U56" s="85">
        <f t="shared" ref="U56" si="120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910299.91666666663</v>
      </c>
      <c r="G57" s="254">
        <f t="shared" ref="G57" si="121">F57/F56-1</f>
        <v>-5.8822708818394687E-2</v>
      </c>
      <c r="H57" s="254">
        <f t="shared" ref="H57" si="122">F57/F45-1</f>
        <v>-0.24026605574136939</v>
      </c>
      <c r="I57" s="282">
        <f>T57</f>
        <v>67.481646807838473</v>
      </c>
      <c r="J57" s="277">
        <f t="shared" ref="J57" si="123">I57/I45-1</f>
        <v>-8.4218438218702785E-2</v>
      </c>
      <c r="K57" s="204"/>
      <c r="L57" s="254"/>
      <c r="M57" s="254"/>
      <c r="N57" s="257"/>
      <c r="O57" s="258"/>
      <c r="P57" s="129" t="s">
        <v>1436</v>
      </c>
      <c r="Q57" s="116">
        <v>10923599</v>
      </c>
      <c r="R57" s="116">
        <v>16085601942</v>
      </c>
      <c r="S57" s="116">
        <v>161875.10999999999</v>
      </c>
      <c r="T57" s="130">
        <f t="shared" ref="T57" si="124">Q57/S57</f>
        <v>67.481646807838473</v>
      </c>
      <c r="U57" s="85">
        <f t="shared" ref="U57" si="125">Q55+Q56+Q57</f>
        <v>59466959</v>
      </c>
      <c r="V57" s="79"/>
      <c r="W57" s="79"/>
      <c r="X57" s="79"/>
      <c r="Y57" s="79"/>
      <c r="Z57" s="79"/>
    </row>
    <row r="58" spans="1:26">
      <c r="B58" s="196">
        <f>SUM(F56:F58)</f>
        <v>1877492.7348484849</v>
      </c>
      <c r="C58" s="196">
        <f>AVERAGE(F56:F58)</f>
        <v>938746.36742424243</v>
      </c>
      <c r="D58" s="197">
        <f>C58/C55-1</f>
        <v>-0.25355022401142557</v>
      </c>
      <c r="E58" s="233">
        <f>C58/C46-1</f>
        <v>-0.23568069030230032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106415457</v>
      </c>
      <c r="R65" s="212">
        <v>156415455857</v>
      </c>
      <c r="S65" s="213">
        <v>1487488.5</v>
      </c>
      <c r="T65" s="214">
        <v>329</v>
      </c>
      <c r="U65" s="214">
        <v>1742</v>
      </c>
    </row>
    <row r="66" spans="16:21" ht="18" thickBot="1">
      <c r="P66" s="180" t="s">
        <v>976</v>
      </c>
      <c r="Q66" s="181">
        <v>25629974</v>
      </c>
      <c r="R66" s="181">
        <v>37478392307</v>
      </c>
      <c r="S66" s="182">
        <v>395837.1</v>
      </c>
      <c r="T66" s="210">
        <v>160</v>
      </c>
      <c r="U66" s="210">
        <v>623</v>
      </c>
    </row>
    <row r="67" spans="16:21" ht="18" thickBot="1">
      <c r="P67" s="180" t="s">
        <v>977</v>
      </c>
      <c r="Q67" s="181">
        <v>21318524</v>
      </c>
      <c r="R67" s="181">
        <v>30876437808</v>
      </c>
      <c r="S67" s="182">
        <v>342362.63</v>
      </c>
      <c r="T67" s="210">
        <v>164</v>
      </c>
      <c r="U67" s="210">
        <v>578</v>
      </c>
    </row>
    <row r="68" spans="16:21" ht="18" thickBot="1">
      <c r="P68" s="180" t="s">
        <v>978</v>
      </c>
      <c r="Q68" s="181">
        <v>27265118</v>
      </c>
      <c r="R68" s="181">
        <v>40214167750</v>
      </c>
      <c r="S68" s="182">
        <v>363382.24</v>
      </c>
      <c r="T68" s="210">
        <v>178</v>
      </c>
      <c r="U68" s="210">
        <v>687</v>
      </c>
    </row>
    <row r="69" spans="16:21" ht="18" thickBot="1">
      <c r="P69" s="180" t="s">
        <v>979</v>
      </c>
      <c r="Q69" s="181">
        <v>21278242</v>
      </c>
      <c r="R69" s="181">
        <v>31760856050</v>
      </c>
      <c r="S69" s="182">
        <v>224031.4</v>
      </c>
      <c r="T69" s="210">
        <v>202</v>
      </c>
      <c r="U69" s="210">
        <v>750</v>
      </c>
    </row>
    <row r="70" spans="16:21" ht="18" thickBot="1">
      <c r="P70" s="180" t="s">
        <v>980</v>
      </c>
      <c r="Q70" s="181">
        <v>10923599</v>
      </c>
      <c r="R70" s="181">
        <v>16085601942</v>
      </c>
      <c r="S70" s="182">
        <v>161875.10999999999</v>
      </c>
      <c r="T70" s="210">
        <v>126</v>
      </c>
      <c r="U70" s="210">
        <v>431</v>
      </c>
    </row>
    <row r="71" spans="16:21" ht="18" thickBot="1">
      <c r="P71" s="215" t="s">
        <v>975</v>
      </c>
      <c r="Q71" s="217" t="s">
        <v>1504</v>
      </c>
      <c r="R71"/>
      <c r="S71"/>
      <c r="T71"/>
      <c r="U71"/>
    </row>
  </sheetData>
  <phoneticPr fontId="1" type="noConversion"/>
  <conditionalFormatting sqref="C29:C30">
    <cfRule type="cellIs" dxfId="1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0"/>
  <dimension ref="A1:Z73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2847002000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8" t="s">
        <v>152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30595.55</v>
      </c>
      <c r="G5" s="90"/>
      <c r="H5" s="90"/>
      <c r="I5" s="130">
        <f t="shared" ref="I5:I49" si="0">T5</f>
        <v>0.75749371758210471</v>
      </c>
      <c r="J5" s="130"/>
      <c r="L5" s="80"/>
      <c r="M5" s="80"/>
      <c r="P5" s="129" t="s">
        <v>0</v>
      </c>
      <c r="Q5" s="116">
        <v>611911</v>
      </c>
      <c r="R5" s="116"/>
      <c r="S5" s="116">
        <v>807810</v>
      </c>
      <c r="T5" s="130">
        <f t="shared" ref="T5:T18" si="1">Q5/S5</f>
        <v>0.75749371758210471</v>
      </c>
      <c r="U5" s="85"/>
    </row>
    <row r="6" spans="1:21" ht="15" hidden="1" customHeight="1">
      <c r="A6" s="129" t="s">
        <v>1</v>
      </c>
      <c r="C6" s="79"/>
      <c r="F6" s="78">
        <f>Q6/18</f>
        <v>39556.222222222219</v>
      </c>
      <c r="G6" s="90">
        <f t="shared" ref="G6:G16" si="2">F6/F5-1</f>
        <v>0.29287501686428974</v>
      </c>
      <c r="H6" s="90"/>
      <c r="I6" s="130">
        <f t="shared" si="0"/>
        <v>0.81910130455789987</v>
      </c>
      <c r="J6" s="130"/>
      <c r="P6" s="129" t="s">
        <v>1</v>
      </c>
      <c r="Q6" s="116">
        <v>712012</v>
      </c>
      <c r="R6" s="116"/>
      <c r="S6" s="116">
        <v>869260</v>
      </c>
      <c r="T6" s="130">
        <f t="shared" si="1"/>
        <v>0.81910130455789987</v>
      </c>
      <c r="U6" s="85"/>
    </row>
    <row r="7" spans="1:21" ht="15" hidden="1" customHeight="1">
      <c r="A7" s="129" t="s">
        <v>2</v>
      </c>
      <c r="B7" s="131">
        <f>F5+F6+F7</f>
        <v>95584.999494949501</v>
      </c>
      <c r="C7" s="131">
        <f>AVERAGE(F5:F7)</f>
        <v>31861.666498316499</v>
      </c>
      <c r="F7" s="78">
        <f>Q7/22</f>
        <v>25433.227272727272</v>
      </c>
      <c r="G7" s="90">
        <f t="shared" si="2"/>
        <v>-0.35703598968965278</v>
      </c>
      <c r="H7" s="90"/>
      <c r="I7" s="130">
        <f t="shared" si="0"/>
        <v>0.77072508884542279</v>
      </c>
      <c r="J7" s="130"/>
      <c r="K7" s="79">
        <f>R5+R6+R7</f>
        <v>0</v>
      </c>
      <c r="N7" s="88">
        <f>AVERAGE(T5:T7)</f>
        <v>0.78244003699514242</v>
      </c>
      <c r="P7" s="129" t="s">
        <v>2</v>
      </c>
      <c r="Q7" s="116">
        <v>559531</v>
      </c>
      <c r="R7" s="116"/>
      <c r="S7" s="116">
        <v>725980</v>
      </c>
      <c r="T7" s="130">
        <f t="shared" si="1"/>
        <v>0.77072508884542279</v>
      </c>
      <c r="U7" s="85">
        <f>Q5+Q6+Q7</f>
        <v>1883454</v>
      </c>
    </row>
    <row r="8" spans="1:21" ht="15" hidden="1" customHeight="1">
      <c r="A8" s="129" t="s">
        <v>3</v>
      </c>
      <c r="C8" s="79"/>
      <c r="F8" s="78">
        <f>Q8/21</f>
        <v>31584.666666666668</v>
      </c>
      <c r="G8" s="90">
        <f t="shared" si="2"/>
        <v>0.24186625346346613</v>
      </c>
      <c r="H8" s="90"/>
      <c r="I8" s="130">
        <f t="shared" si="0"/>
        <v>0.76333433841012199</v>
      </c>
      <c r="J8" s="130"/>
      <c r="K8" s="78"/>
      <c r="P8" s="129" t="s">
        <v>3</v>
      </c>
      <c r="Q8" s="116">
        <v>663278</v>
      </c>
      <c r="R8" s="116"/>
      <c r="S8" s="116">
        <v>868922</v>
      </c>
      <c r="T8" s="130">
        <f t="shared" si="1"/>
        <v>0.76333433841012199</v>
      </c>
      <c r="U8" s="85"/>
    </row>
    <row r="9" spans="1:21" ht="15" hidden="1" customHeight="1">
      <c r="A9" s="129" t="s">
        <v>4</v>
      </c>
      <c r="C9" s="79"/>
      <c r="F9" s="78">
        <f>Q9/21</f>
        <v>26719.333333333332</v>
      </c>
      <c r="G9" s="90">
        <f t="shared" si="2"/>
        <v>-0.15404099035396934</v>
      </c>
      <c r="H9" s="90"/>
      <c r="I9" s="130">
        <f t="shared" si="0"/>
        <v>0.74584611621835739</v>
      </c>
      <c r="J9" s="130"/>
      <c r="K9" s="78"/>
      <c r="P9" s="129" t="s">
        <v>4</v>
      </c>
      <c r="Q9" s="116">
        <v>561106</v>
      </c>
      <c r="R9" s="116"/>
      <c r="S9" s="116">
        <v>752308</v>
      </c>
      <c r="T9" s="130">
        <f t="shared" si="1"/>
        <v>0.74584611621835739</v>
      </c>
      <c r="U9" s="85"/>
    </row>
    <row r="10" spans="1:21" ht="15" hidden="1" customHeight="1">
      <c r="A10" s="129" t="s">
        <v>5</v>
      </c>
      <c r="B10" s="131">
        <f>F8+F9+F10</f>
        <v>91504.28571428571</v>
      </c>
      <c r="C10" s="131">
        <f>AVERAGE(F8:F10)</f>
        <v>30501.428571428569</v>
      </c>
      <c r="D10" s="90">
        <f>C10/C7-1</f>
        <v>-4.269198935215146E-2</v>
      </c>
      <c r="E10" s="286"/>
      <c r="F10" s="78">
        <f>Q10/21</f>
        <v>33200.285714285717</v>
      </c>
      <c r="G10" s="90">
        <f t="shared" si="2"/>
        <v>0.2425566648725912</v>
      </c>
      <c r="H10" s="90"/>
      <c r="I10" s="130">
        <f t="shared" si="0"/>
        <v>0.78402412776379626</v>
      </c>
      <c r="J10" s="130"/>
      <c r="K10" s="79">
        <f>R8+R9+R10</f>
        <v>0</v>
      </c>
      <c r="L10" s="87">
        <f>U10/U7-1</f>
        <v>2.0247906240343561E-2</v>
      </c>
      <c r="N10" s="88">
        <f>AVERAGE(T8:T10)</f>
        <v>0.76440152746409196</v>
      </c>
      <c r="O10" s="89">
        <f>N10/N7-1</f>
        <v>-2.3054174988699438E-2</v>
      </c>
      <c r="P10" s="129" t="s">
        <v>5</v>
      </c>
      <c r="Q10" s="116">
        <v>697206</v>
      </c>
      <c r="R10" s="116"/>
      <c r="S10" s="116">
        <v>889266</v>
      </c>
      <c r="T10" s="130">
        <f t="shared" si="1"/>
        <v>0.78402412776379626</v>
      </c>
      <c r="U10" s="85">
        <f>Q8+Q9+Q10</f>
        <v>1921590</v>
      </c>
    </row>
    <row r="11" spans="1:21" ht="15" hidden="1" customHeight="1">
      <c r="A11" s="129" t="s">
        <v>6</v>
      </c>
      <c r="C11" s="79"/>
      <c r="F11" s="78">
        <f>Q11/21</f>
        <v>32907.952380952382</v>
      </c>
      <c r="G11" s="90">
        <f t="shared" si="2"/>
        <v>-8.8051451077587606E-3</v>
      </c>
      <c r="H11" s="90"/>
      <c r="I11" s="130">
        <f t="shared" si="0"/>
        <v>0.75072729840418018</v>
      </c>
      <c r="J11" s="130"/>
      <c r="K11" s="78"/>
      <c r="O11" s="89"/>
      <c r="P11" s="129" t="s">
        <v>6</v>
      </c>
      <c r="Q11" s="116">
        <v>691067</v>
      </c>
      <c r="R11" s="116"/>
      <c r="S11" s="116">
        <v>920530</v>
      </c>
      <c r="T11" s="130">
        <f t="shared" si="1"/>
        <v>0.75072729840418018</v>
      </c>
      <c r="U11" s="85"/>
    </row>
    <row r="12" spans="1:21" ht="15" hidden="1" customHeight="1">
      <c r="A12" s="129" t="s">
        <v>7</v>
      </c>
      <c r="C12" s="79"/>
      <c r="F12" s="78">
        <f>Q12/22</f>
        <v>29836.136363636364</v>
      </c>
      <c r="G12" s="90">
        <f t="shared" si="2"/>
        <v>-9.3345705067144569E-2</v>
      </c>
      <c r="H12" s="90"/>
      <c r="I12" s="130">
        <f t="shared" si="0"/>
        <v>0.70524749390263552</v>
      </c>
      <c r="J12" s="130"/>
      <c r="K12" s="78"/>
      <c r="O12" s="89"/>
      <c r="P12" s="129" t="s">
        <v>7</v>
      </c>
      <c r="Q12" s="116">
        <v>656395</v>
      </c>
      <c r="R12" s="116"/>
      <c r="S12" s="116">
        <v>930730</v>
      </c>
      <c r="T12" s="130">
        <f t="shared" si="1"/>
        <v>0.70524749390263552</v>
      </c>
      <c r="U12" s="85"/>
    </row>
    <row r="13" spans="1:21" ht="15" hidden="1" customHeight="1">
      <c r="A13" s="129" t="s">
        <v>96</v>
      </c>
      <c r="B13" s="131">
        <f>F11+F12+F13</f>
        <v>86591.838744588749</v>
      </c>
      <c r="C13" s="131">
        <f>AVERAGE(F11:F13)</f>
        <v>28863.946248196251</v>
      </c>
      <c r="D13" s="90">
        <f>C13/C10-1</f>
        <v>-5.3685430483940921E-2</v>
      </c>
      <c r="E13" s="286"/>
      <c r="F13" s="78">
        <f>Q13/20</f>
        <v>23847.75</v>
      </c>
      <c r="G13" s="90">
        <f t="shared" si="2"/>
        <v>-0.2007091766390664</v>
      </c>
      <c r="H13" s="90"/>
      <c r="I13" s="130">
        <f t="shared" si="0"/>
        <v>0.65877762430939224</v>
      </c>
      <c r="J13" s="130"/>
      <c r="K13" s="78">
        <f>R11+R12+R13</f>
        <v>0</v>
      </c>
      <c r="L13" s="87">
        <f>U13/U10-1</f>
        <v>-5.0569059997189858E-2</v>
      </c>
      <c r="N13" s="88">
        <f>AVERAGE(T11:T13)</f>
        <v>0.70491747220540268</v>
      </c>
      <c r="O13" s="89">
        <f>N13/N10-1</f>
        <v>-7.7817813179976381E-2</v>
      </c>
      <c r="P13" s="129" t="s">
        <v>96</v>
      </c>
      <c r="Q13" s="116">
        <v>476955</v>
      </c>
      <c r="R13" s="116"/>
      <c r="S13" s="116">
        <v>724000</v>
      </c>
      <c r="T13" s="130">
        <f t="shared" si="1"/>
        <v>0.65877762430939224</v>
      </c>
      <c r="U13" s="85">
        <f>Q11+Q12+Q13</f>
        <v>1824417</v>
      </c>
    </row>
    <row r="14" spans="1:21" ht="15" hidden="1" customHeight="1">
      <c r="A14" s="129" t="s">
        <v>97</v>
      </c>
      <c r="C14" s="79"/>
      <c r="F14" s="78">
        <f>Q14/20</f>
        <v>27379.95</v>
      </c>
      <c r="G14" s="90">
        <f t="shared" si="2"/>
        <v>0.14811460200647852</v>
      </c>
      <c r="H14" s="90"/>
      <c r="I14" s="130">
        <f t="shared" si="0"/>
        <v>0.63570814952403065</v>
      </c>
      <c r="J14" s="130"/>
      <c r="O14" s="89"/>
      <c r="P14" s="129" t="s">
        <v>97</v>
      </c>
      <c r="Q14" s="116">
        <v>547599</v>
      </c>
      <c r="R14" s="116"/>
      <c r="S14" s="116">
        <v>861400</v>
      </c>
      <c r="T14" s="130">
        <f t="shared" si="1"/>
        <v>0.63570814952403065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18935.81818181818</v>
      </c>
      <c r="G15" s="90">
        <f t="shared" si="2"/>
        <v>-0.30840566977594264</v>
      </c>
      <c r="H15" s="90"/>
      <c r="I15" s="130">
        <f t="shared" si="0"/>
        <v>0.59343019943019948</v>
      </c>
      <c r="J15" s="130"/>
      <c r="O15" s="89"/>
      <c r="P15" s="129" t="s">
        <v>98</v>
      </c>
      <c r="Q15" s="116">
        <v>416588</v>
      </c>
      <c r="R15" s="116"/>
      <c r="S15" s="116">
        <v>702000</v>
      </c>
      <c r="T15" s="130">
        <f t="shared" si="1"/>
        <v>0.59343019943019948</v>
      </c>
      <c r="U15" s="85"/>
    </row>
    <row r="16" spans="1:21" ht="15" hidden="1" customHeight="1">
      <c r="A16" s="129" t="s">
        <v>99</v>
      </c>
      <c r="B16" s="131">
        <f>F14+F15+F16</f>
        <v>71481.677272727276</v>
      </c>
      <c r="C16" s="131">
        <f>AVERAGE(F14:F16)</f>
        <v>23827.225757575758</v>
      </c>
      <c r="D16" s="90">
        <f>C16/C13-1</f>
        <v>-0.17449867898556126</v>
      </c>
      <c r="E16" s="286"/>
      <c r="F16" s="78">
        <f>Q16/22</f>
        <v>25165.909090909092</v>
      </c>
      <c r="G16" s="90">
        <f t="shared" si="2"/>
        <v>0.32901091726117904</v>
      </c>
      <c r="H16" s="90"/>
      <c r="I16" s="130">
        <f t="shared" si="0"/>
        <v>0.66701604741940146</v>
      </c>
      <c r="J16" s="130"/>
      <c r="K16" s="78">
        <f>R14+R15+R16</f>
        <v>0</v>
      </c>
      <c r="L16" s="87">
        <f>U16/U13-1</f>
        <v>-0.16804272268894671</v>
      </c>
      <c r="N16" s="88">
        <f>AVERAGE(T14:T16)</f>
        <v>0.63205146545787727</v>
      </c>
      <c r="O16" s="89">
        <f>N16/N13-1</f>
        <v>-0.10336813828653879</v>
      </c>
      <c r="P16" s="129" t="s">
        <v>99</v>
      </c>
      <c r="Q16" s="116">
        <v>553650</v>
      </c>
      <c r="R16" s="116"/>
      <c r="S16" s="116">
        <v>830040</v>
      </c>
      <c r="T16" s="130">
        <f t="shared" si="1"/>
        <v>0.66701604741940146</v>
      </c>
      <c r="U16" s="85">
        <f>Q14+Q15+Q16</f>
        <v>1517837</v>
      </c>
    </row>
    <row r="17" spans="1:21" ht="15" hidden="1" customHeight="1">
      <c r="A17" s="129" t="s">
        <v>100</v>
      </c>
      <c r="C17" s="79"/>
      <c r="F17" s="78">
        <f>Q17/20</f>
        <v>18112.599999999999</v>
      </c>
      <c r="G17" s="90">
        <f t="shared" ref="G17:G22" si="3">F17/F16-1</f>
        <v>-0.28027237424365581</v>
      </c>
      <c r="H17" s="90">
        <f t="shared" ref="H17:H22" si="4">F17/F5-1</f>
        <v>-0.40799887565348558</v>
      </c>
      <c r="I17" s="130">
        <f t="shared" si="0"/>
        <v>0.67649200912815644</v>
      </c>
      <c r="J17" s="130">
        <f t="shared" ref="J17:J49" si="5">I17/I5-1</f>
        <v>-0.10693383532275769</v>
      </c>
      <c r="O17" s="89"/>
      <c r="P17" s="129" t="s">
        <v>100</v>
      </c>
      <c r="Q17" s="116">
        <v>362252</v>
      </c>
      <c r="R17" s="116">
        <v>453509527</v>
      </c>
      <c r="S17" s="116">
        <v>535486</v>
      </c>
      <c r="T17" s="130">
        <f t="shared" si="1"/>
        <v>0.67649200912815644</v>
      </c>
      <c r="U17" s="78"/>
    </row>
    <row r="18" spans="1:21" hidden="1">
      <c r="A18" s="129" t="s">
        <v>106</v>
      </c>
      <c r="C18" s="79"/>
      <c r="F18" s="78">
        <f>Q18/20</f>
        <v>13208.3</v>
      </c>
      <c r="G18" s="90">
        <f t="shared" si="3"/>
        <v>-0.27076731115356156</v>
      </c>
      <c r="H18" s="90">
        <f t="shared" si="4"/>
        <v>-0.6660879311022847</v>
      </c>
      <c r="I18" s="130">
        <f t="shared" si="0"/>
        <v>0.62950624344676387</v>
      </c>
      <c r="J18" s="130">
        <f t="shared" si="5"/>
        <v>-0.23146717024638075</v>
      </c>
      <c r="O18" s="89"/>
      <c r="P18" s="129" t="s">
        <v>106</v>
      </c>
      <c r="Q18" s="116">
        <v>264166</v>
      </c>
      <c r="R18" s="116">
        <v>331150314</v>
      </c>
      <c r="S18" s="116">
        <v>419640</v>
      </c>
      <c r="T18" s="130">
        <f t="shared" si="1"/>
        <v>0.62950624344676387</v>
      </c>
      <c r="U18" s="78"/>
    </row>
    <row r="19" spans="1:21" hidden="1">
      <c r="A19" s="129" t="s">
        <v>114</v>
      </c>
      <c r="B19" s="131">
        <f>SUM(F17:F19)</f>
        <v>51358.80909090909</v>
      </c>
      <c r="C19" s="131">
        <f>AVERAGE(F17:F19)</f>
        <v>17119.603030303031</v>
      </c>
      <c r="D19" s="90">
        <f>C19/C16-1</f>
        <v>-0.28151085634214335</v>
      </c>
      <c r="E19" s="286">
        <f>C19/C7-1</f>
        <v>-0.46268965462909506</v>
      </c>
      <c r="F19" s="78">
        <f>Q19/22</f>
        <v>20037.909090909092</v>
      </c>
      <c r="G19" s="90">
        <f t="shared" si="3"/>
        <v>0.51706950106441352</v>
      </c>
      <c r="H19" s="90">
        <f t="shared" si="4"/>
        <v>-0.21213659296803922</v>
      </c>
      <c r="I19" s="130">
        <f t="shared" si="0"/>
        <v>0.68926191496214673</v>
      </c>
      <c r="J19" s="130">
        <f t="shared" si="5"/>
        <v>-0.10569679781063201</v>
      </c>
      <c r="K19" s="78">
        <f>R17+R18+R19</f>
        <v>1361630351</v>
      </c>
      <c r="L19" s="87">
        <f>U19/U16-1</f>
        <v>-0.29685993950602074</v>
      </c>
      <c r="M19" s="87">
        <f>U19/U7-1</f>
        <v>-0.43335382759547092</v>
      </c>
      <c r="N19" s="88">
        <f>AVERAGE(T17:T19)</f>
        <v>0.66508672251235568</v>
      </c>
      <c r="O19" s="89">
        <f>N19/N16-1</f>
        <v>5.2266720132587041E-2</v>
      </c>
      <c r="P19" s="129" t="s">
        <v>115</v>
      </c>
      <c r="Q19" s="116">
        <v>440834</v>
      </c>
      <c r="R19" s="116">
        <v>576970510</v>
      </c>
      <c r="S19" s="116">
        <v>639574</v>
      </c>
      <c r="T19" s="130">
        <f t="shared" ref="T19:T24" si="6">Q19/S19</f>
        <v>0.68926191496214673</v>
      </c>
      <c r="U19" s="85">
        <f>Q17+Q18+Q19</f>
        <v>1067252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20900.05</v>
      </c>
      <c r="G20" s="90">
        <f t="shared" si="3"/>
        <v>4.3025492589046976E-2</v>
      </c>
      <c r="H20" s="90">
        <f t="shared" si="4"/>
        <v>-0.33828492728539172</v>
      </c>
      <c r="I20" s="130">
        <f t="shared" si="0"/>
        <v>0.71861730109992883</v>
      </c>
      <c r="J20" s="130">
        <f t="shared" si="5"/>
        <v>-5.8581194451870378E-2</v>
      </c>
      <c r="O20" s="89"/>
      <c r="P20" s="129" t="s">
        <v>132</v>
      </c>
      <c r="Q20" s="116">
        <v>418001</v>
      </c>
      <c r="R20" s="116">
        <v>547575166</v>
      </c>
      <c r="S20" s="116">
        <v>581674</v>
      </c>
      <c r="T20" s="130">
        <f t="shared" si="6"/>
        <v>0.71861730109992883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27116.190476190477</v>
      </c>
      <c r="G21" s="90">
        <f t="shared" si="3"/>
        <v>0.29742227775486074</v>
      </c>
      <c r="H21" s="90">
        <f t="shared" si="4"/>
        <v>1.4852808560236408E-2</v>
      </c>
      <c r="I21" s="130">
        <f t="shared" si="0"/>
        <v>0.7472534394339434</v>
      </c>
      <c r="J21" s="130">
        <f t="shared" si="5"/>
        <v>1.8868814692252212E-3</v>
      </c>
      <c r="O21" s="89"/>
      <c r="P21" s="129" t="s">
        <v>141</v>
      </c>
      <c r="Q21" s="116">
        <v>569440</v>
      </c>
      <c r="R21" s="116">
        <v>759313983</v>
      </c>
      <c r="S21" s="116">
        <v>762044</v>
      </c>
      <c r="T21" s="130">
        <f t="shared" si="6"/>
        <v>0.7472534394339434</v>
      </c>
      <c r="U21" s="78"/>
    </row>
    <row r="22" spans="1:21" hidden="1">
      <c r="A22" s="129" t="s">
        <v>156</v>
      </c>
      <c r="B22" s="131">
        <f>SUM(F20:F22)</f>
        <v>67393.573809523805</v>
      </c>
      <c r="C22" s="131">
        <f>AVERAGE(F20:F22)</f>
        <v>22464.524603174603</v>
      </c>
      <c r="D22" s="90">
        <f>C22/C19-1</f>
        <v>0.31221060227919084</v>
      </c>
      <c r="E22" s="286">
        <f>C22/C10-1</f>
        <v>-0.26349270656071266</v>
      </c>
      <c r="F22" s="78">
        <f>Q22/21</f>
        <v>19377.333333333332</v>
      </c>
      <c r="G22" s="90">
        <f t="shared" si="3"/>
        <v>-0.28539617870188261</v>
      </c>
      <c r="H22" s="90">
        <f t="shared" si="4"/>
        <v>-0.41635040432813264</v>
      </c>
      <c r="I22" s="130">
        <f t="shared" si="0"/>
        <v>0.63646515992805197</v>
      </c>
      <c r="J22" s="130">
        <f t="shared" si="5"/>
        <v>-0.18820717706305023</v>
      </c>
      <c r="K22" s="78">
        <f>R20+R21+R22</f>
        <v>1836810195</v>
      </c>
      <c r="L22" s="87">
        <f>U22/U19-1</f>
        <v>0.3065002454902872</v>
      </c>
      <c r="M22" s="87">
        <f>U22/U10-1</f>
        <v>-0.27436914222076514</v>
      </c>
      <c r="N22" s="88">
        <f>AVERAGE(T20:T22)</f>
        <v>0.70077863348730807</v>
      </c>
      <c r="O22" s="89">
        <f>N22/N19-1</f>
        <v>5.366504813105677E-2</v>
      </c>
      <c r="P22" s="129" t="s">
        <v>156</v>
      </c>
      <c r="Q22" s="116">
        <v>406924</v>
      </c>
      <c r="R22" s="116">
        <v>529921046</v>
      </c>
      <c r="S22" s="116">
        <v>639350</v>
      </c>
      <c r="T22" s="130">
        <f t="shared" si="6"/>
        <v>0.63646515992805197</v>
      </c>
      <c r="U22" s="85">
        <f>Q20+Q21+Q22</f>
        <v>1394365</v>
      </c>
    </row>
    <row r="23" spans="1:21" hidden="1">
      <c r="A23" s="129" t="s">
        <v>189</v>
      </c>
      <c r="B23" s="131"/>
      <c r="C23" s="131"/>
      <c r="F23" s="78">
        <f>Q23/21</f>
        <v>30439.333333333332</v>
      </c>
      <c r="G23" s="90">
        <f t="shared" ref="G23" si="7">F23/F22-1</f>
        <v>0.57087318516479746</v>
      </c>
      <c r="H23" s="90">
        <f t="shared" ref="H23" si="8">F23/F11-1</f>
        <v>-7.501588123872216E-2</v>
      </c>
      <c r="I23" s="130">
        <f t="shared" si="0"/>
        <v>0.73509233129328211</v>
      </c>
      <c r="J23" s="130">
        <f t="shared" si="5"/>
        <v>-2.0826426778582929E-2</v>
      </c>
      <c r="O23" s="89"/>
      <c r="P23" s="129" t="s">
        <v>189</v>
      </c>
      <c r="Q23" s="116">
        <v>639226</v>
      </c>
      <c r="R23" s="116">
        <v>821998021</v>
      </c>
      <c r="S23" s="116">
        <v>869586</v>
      </c>
      <c r="T23" s="130">
        <f t="shared" si="6"/>
        <v>0.73509233129328211</v>
      </c>
      <c r="U23" s="78"/>
    </row>
    <row r="24" spans="1:21" hidden="1">
      <c r="A24" s="129" t="s">
        <v>204</v>
      </c>
      <c r="B24" s="131"/>
      <c r="C24" s="131"/>
      <c r="F24" s="78">
        <f>Q24/22</f>
        <v>45550.954545454544</v>
      </c>
      <c r="G24" s="90">
        <f t="shared" ref="G24" si="9">F24/F23-1</f>
        <v>0.49645046580480989</v>
      </c>
      <c r="H24" s="90">
        <f t="shared" ref="H24" si="10">F24/F12-1</f>
        <v>0.52670419488265452</v>
      </c>
      <c r="I24" s="130">
        <f t="shared" si="0"/>
        <v>0.72780957222746745</v>
      </c>
      <c r="J24" s="130">
        <f t="shared" si="5"/>
        <v>3.1991717120439356E-2</v>
      </c>
      <c r="O24" s="89"/>
      <c r="P24" s="129" t="s">
        <v>204</v>
      </c>
      <c r="Q24" s="116">
        <v>1002121</v>
      </c>
      <c r="R24" s="116">
        <v>1309042119</v>
      </c>
      <c r="S24" s="116">
        <v>1376900</v>
      </c>
      <c r="T24" s="130">
        <f t="shared" si="6"/>
        <v>0.72780957222746745</v>
      </c>
      <c r="U24" s="78"/>
    </row>
    <row r="25" spans="1:21" s="79" customFormat="1" ht="13.2" hidden="1">
      <c r="A25" s="129" t="s">
        <v>219</v>
      </c>
      <c r="B25" s="131">
        <f>SUM(F23:F25)</f>
        <v>120833.65629984051</v>
      </c>
      <c r="C25" s="131">
        <f>AVERAGE(F23:F25)</f>
        <v>40277.885433280171</v>
      </c>
      <c r="D25" s="90">
        <f>C25/C22-1</f>
        <v>0.7929551657455618</v>
      </c>
      <c r="E25" s="286">
        <f>C25/C13-1</f>
        <v>0.395439316818891</v>
      </c>
      <c r="F25" s="78">
        <f>Q25/19</f>
        <v>44843.368421052633</v>
      </c>
      <c r="G25" s="90">
        <f t="shared" ref="G25" si="11">F25/F24-1</f>
        <v>-1.5533947234757095E-2</v>
      </c>
      <c r="H25" s="90">
        <f t="shared" ref="H25" si="12">F25/F13-1</f>
        <v>0.88040248749054451</v>
      </c>
      <c r="I25" s="130">
        <f t="shared" si="0"/>
        <v>0.76933995741660754</v>
      </c>
      <c r="J25" s="130">
        <f t="shared" si="5"/>
        <v>0.16782952096030845</v>
      </c>
      <c r="K25" s="78">
        <f>R23+R24+R25</f>
        <v>3262586909</v>
      </c>
      <c r="L25" s="90">
        <f>U25/U22-1</f>
        <v>0.78817669691938619</v>
      </c>
      <c r="M25" s="90">
        <f>U25/U13-1</f>
        <v>0.36666726959900076</v>
      </c>
      <c r="N25" s="88">
        <f>AVERAGE(T23:T25)</f>
        <v>0.74408062031245237</v>
      </c>
      <c r="O25" s="91">
        <f>N25/N22-1</f>
        <v>6.1791248699548884E-2</v>
      </c>
      <c r="P25" s="129" t="s">
        <v>219</v>
      </c>
      <c r="Q25" s="116">
        <v>852024</v>
      </c>
      <c r="R25" s="116">
        <v>1131546769</v>
      </c>
      <c r="S25" s="116">
        <v>1107474</v>
      </c>
      <c r="T25" s="130">
        <f t="shared" ref="T25" si="13">Q25/S25</f>
        <v>0.76933995741660754</v>
      </c>
      <c r="U25" s="85">
        <f>Q23+Q24+Q25</f>
        <v>2493371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42934.631578947367</v>
      </c>
      <c r="G26" s="90">
        <f t="shared" ref="G26" si="14">F26/F25-1</f>
        <v>-4.2564528698722182E-2</v>
      </c>
      <c r="H26" s="90">
        <f t="shared" ref="H26" si="15">F26/F14-1</f>
        <v>0.56810482045976585</v>
      </c>
      <c r="I26" s="130">
        <f t="shared" si="0"/>
        <v>0.78043250317623103</v>
      </c>
      <c r="J26" s="130">
        <f t="shared" si="5"/>
        <v>0.22765848410242784</v>
      </c>
      <c r="L26" s="90"/>
      <c r="M26" s="90"/>
      <c r="P26" s="129" t="s">
        <v>312</v>
      </c>
      <c r="Q26" s="116">
        <v>815758</v>
      </c>
      <c r="R26" s="116">
        <v>1097633465</v>
      </c>
      <c r="S26" s="116">
        <v>1045264</v>
      </c>
      <c r="T26" s="130">
        <f t="shared" ref="T26" si="16">Q26/S26</f>
        <v>0.78043250317623103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19714</v>
      </c>
      <c r="G27" s="90">
        <f t="shared" ref="G27" si="17">F27/F26-1</f>
        <v>-0.54083686583521096</v>
      </c>
      <c r="H27" s="90">
        <f t="shared" ref="H27" si="18">F27/F15-1</f>
        <v>4.1095758879276412E-2</v>
      </c>
      <c r="I27" s="130">
        <f t="shared" si="0"/>
        <v>0.64155141044036512</v>
      </c>
      <c r="J27" s="130">
        <f t="shared" si="5"/>
        <v>8.1089926087972497E-2</v>
      </c>
      <c r="L27" s="90"/>
      <c r="M27" s="90"/>
      <c r="P27" s="129" t="s">
        <v>375</v>
      </c>
      <c r="Q27" s="116">
        <v>433708</v>
      </c>
      <c r="R27" s="116">
        <v>577552560</v>
      </c>
      <c r="S27" s="116">
        <v>676030</v>
      </c>
      <c r="T27" s="130">
        <f t="shared" ref="T27" si="19">Q27/S27</f>
        <v>0.64155141044036512</v>
      </c>
      <c r="U27" s="78"/>
    </row>
    <row r="28" spans="1:21" s="79" customFormat="1" ht="13.2" hidden="1">
      <c r="A28" s="123" t="s">
        <v>413</v>
      </c>
      <c r="B28" s="131">
        <f>SUM(F26:F28)</f>
        <v>117969.15789473684</v>
      </c>
      <c r="C28" s="131">
        <f>AVERAGE(F26:F28)</f>
        <v>39323.052631578947</v>
      </c>
      <c r="D28" s="90">
        <f>C28/C25-1</f>
        <v>-2.3706130335041875E-2</v>
      </c>
      <c r="E28" s="286">
        <f>C28/C16-1</f>
        <v>0.6503412118415155</v>
      </c>
      <c r="F28" s="78">
        <f>Q28/19</f>
        <v>55320.526315789473</v>
      </c>
      <c r="G28" s="90">
        <f t="shared" ref="G28" si="20">F28/F27-1</f>
        <v>1.8061543226026924</v>
      </c>
      <c r="H28" s="90">
        <f t="shared" ref="H28" si="21">F28/F16-1</f>
        <v>1.1982327805425239</v>
      </c>
      <c r="I28" s="130">
        <f t="shared" si="0"/>
        <v>0.75891741865982765</v>
      </c>
      <c r="J28" s="130">
        <f t="shared" si="5"/>
        <v>0.13777985041886276</v>
      </c>
      <c r="K28" s="78">
        <f>R26+R27+R28</f>
        <v>3045509825</v>
      </c>
      <c r="L28" s="90">
        <f>U28/U25-1</f>
        <v>-7.7331051014871033E-2</v>
      </c>
      <c r="M28" s="90">
        <f>U28/U16-1</f>
        <v>0.51568053750172127</v>
      </c>
      <c r="N28" s="88">
        <f>AVERAGE(T26:T28)</f>
        <v>0.72696711075880793</v>
      </c>
      <c r="O28" s="91">
        <f>N28/N25-1</f>
        <v>-2.2999536725547554E-2</v>
      </c>
      <c r="P28" s="129" t="s">
        <v>413</v>
      </c>
      <c r="Q28" s="116">
        <v>1051090</v>
      </c>
      <c r="R28" s="116">
        <v>1370323800</v>
      </c>
      <c r="S28" s="116">
        <v>1384986</v>
      </c>
      <c r="T28" s="130">
        <f t="shared" ref="T28" si="22">Q28/S28</f>
        <v>0.75891741865982765</v>
      </c>
      <c r="U28" s="85">
        <f>Q26+Q27+Q28</f>
        <v>2300556</v>
      </c>
    </row>
    <row r="29" spans="1:21" s="79" customFormat="1" ht="13.2" hidden="1">
      <c r="A29" s="129" t="s">
        <v>450</v>
      </c>
      <c r="B29" s="188"/>
      <c r="C29" s="188"/>
      <c r="D29" s="189"/>
      <c r="E29" s="287"/>
      <c r="F29" s="136">
        <f>Q29/22</f>
        <v>42307.13636363636</v>
      </c>
      <c r="G29" s="190">
        <f t="shared" ref="G29" si="23">F29/F28-1</f>
        <v>-0.23523619203960566</v>
      </c>
      <c r="H29" s="190">
        <f t="shared" ref="H29" si="24">F29/F17-1</f>
        <v>1.335784832858693</v>
      </c>
      <c r="I29" s="130">
        <f t="shared" si="0"/>
        <v>0.74966976922506923</v>
      </c>
      <c r="J29" s="130">
        <f t="shared" si="5"/>
        <v>0.10817239392261579</v>
      </c>
      <c r="K29" s="136"/>
      <c r="L29" s="190"/>
      <c r="M29" s="190"/>
      <c r="N29" s="191"/>
      <c r="O29" s="192"/>
      <c r="P29" s="129" t="s">
        <v>450</v>
      </c>
      <c r="Q29" s="116">
        <v>930757</v>
      </c>
      <c r="R29" s="116">
        <v>1224576415</v>
      </c>
      <c r="S29" s="116">
        <v>1241556</v>
      </c>
      <c r="T29" s="130">
        <f t="shared" ref="T29" si="25">Q29/S29</f>
        <v>0.74966976922506923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28055.42105263158</v>
      </c>
      <c r="G30" s="190">
        <f t="shared" ref="G30" si="26">F30/F29-1</f>
        <v>-0.33686315208169826</v>
      </c>
      <c r="H30" s="190">
        <f t="shared" ref="H30" si="27">F30/F18-1</f>
        <v>1.1240750931332255</v>
      </c>
      <c r="I30" s="130">
        <f t="shared" si="0"/>
        <v>0.66140531553217363</v>
      </c>
      <c r="J30" s="130">
        <f t="shared" si="5"/>
        <v>5.0673162367304458E-2</v>
      </c>
      <c r="K30" s="136"/>
      <c r="L30" s="190"/>
      <c r="M30" s="190"/>
      <c r="N30" s="191"/>
      <c r="O30" s="192"/>
      <c r="P30" s="129" t="s">
        <v>469</v>
      </c>
      <c r="Q30" s="116">
        <v>533053</v>
      </c>
      <c r="R30" s="116">
        <v>710224563</v>
      </c>
      <c r="S30" s="116">
        <v>805940</v>
      </c>
      <c r="T30" s="130">
        <f t="shared" ref="T30" si="28">Q30/S30</f>
        <v>0.66140531553217363</v>
      </c>
      <c r="U30" s="85"/>
    </row>
    <row r="31" spans="1:21" s="79" customFormat="1" ht="13.2" hidden="1">
      <c r="A31" s="129" t="s">
        <v>505</v>
      </c>
      <c r="B31" s="188">
        <f>SUM(F29:F31)</f>
        <v>109136.40741626793</v>
      </c>
      <c r="C31" s="188">
        <f>AVERAGE(F29:F31)</f>
        <v>36378.802472089308</v>
      </c>
      <c r="D31" s="190">
        <f>C31/C28-1</f>
        <v>-7.4873387553976767E-2</v>
      </c>
      <c r="E31" s="287">
        <f>C31/C19-1</f>
        <v>1.1249793238602552</v>
      </c>
      <c r="F31" s="136">
        <f>Q31/20</f>
        <v>38773.85</v>
      </c>
      <c r="G31" s="190">
        <f t="shared" ref="G31" si="29">F31/F30-1</f>
        <v>0.38204484357090185</v>
      </c>
      <c r="H31" s="190">
        <f t="shared" ref="H31" si="30">F31/F19-1</f>
        <v>0.93502474854480355</v>
      </c>
      <c r="I31" s="130">
        <f t="shared" si="0"/>
        <v>0.71107513806774569</v>
      </c>
      <c r="J31" s="130">
        <f t="shared" si="5"/>
        <v>3.164721948520377E-2</v>
      </c>
      <c r="K31" s="136">
        <f>R29+R30+R31</f>
        <v>2963004819</v>
      </c>
      <c r="L31" s="190">
        <f>U31/U28-1</f>
        <v>-2.6632257593381725E-2</v>
      </c>
      <c r="M31" s="190">
        <f>U31/U19-1</f>
        <v>1.0981801861228653</v>
      </c>
      <c r="N31" s="191">
        <f>AVERAGE(T29:T31)</f>
        <v>0.70738340760832952</v>
      </c>
      <c r="O31" s="192">
        <f>N31/N28-1</f>
        <v>-2.6938912174495733E-2</v>
      </c>
      <c r="P31" s="129" t="s">
        <v>505</v>
      </c>
      <c r="Q31" s="116">
        <v>775477</v>
      </c>
      <c r="R31" s="116">
        <v>1028203841</v>
      </c>
      <c r="S31" s="116">
        <v>1090569.7</v>
      </c>
      <c r="T31" s="130">
        <f t="shared" ref="T31" si="31">Q31/S31</f>
        <v>0.71107513806774569</v>
      </c>
      <c r="U31" s="85">
        <f>Q29+Q30+Q31</f>
        <v>2239287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33808.238095238092</v>
      </c>
      <c r="G32" s="190">
        <f t="shared" ref="G32" si="32">F32/F31-1</f>
        <v>-0.12806600079078834</v>
      </c>
      <c r="H32" s="190">
        <f t="shared" ref="H32" si="33">F32/F20-1</f>
        <v>0.61761517772627772</v>
      </c>
      <c r="I32" s="130">
        <f t="shared" si="0"/>
        <v>0.67582363188105055</v>
      </c>
      <c r="J32" s="130">
        <f t="shared" si="5"/>
        <v>-5.9550012438299937E-2</v>
      </c>
      <c r="K32" s="136"/>
      <c r="L32" s="190"/>
      <c r="M32" s="190"/>
      <c r="N32" s="191"/>
      <c r="O32" s="192"/>
      <c r="P32" s="129" t="s">
        <v>566</v>
      </c>
      <c r="Q32" s="116">
        <v>709973</v>
      </c>
      <c r="R32" s="116">
        <v>963389077</v>
      </c>
      <c r="S32" s="116">
        <v>1050530</v>
      </c>
      <c r="T32" s="130">
        <f t="shared" ref="T32" si="34">Q32/S32</f>
        <v>0.67582363188105055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37796.857142857145</v>
      </c>
      <c r="G33" s="190">
        <f t="shared" ref="G33" si="35">F33/F32-1</f>
        <v>0.11797772591352085</v>
      </c>
      <c r="H33" s="190">
        <f t="shared" ref="H33" si="36">F33/F21-1</f>
        <v>0.39388522056757513</v>
      </c>
      <c r="I33" s="130">
        <f t="shared" si="0"/>
        <v>0.66911754788238464</v>
      </c>
      <c r="J33" s="130">
        <f t="shared" si="5"/>
        <v>-0.10456411095377216</v>
      </c>
      <c r="K33" s="136"/>
      <c r="L33" s="190"/>
      <c r="M33" s="190"/>
      <c r="N33" s="191"/>
      <c r="O33" s="192"/>
      <c r="P33" s="129" t="s">
        <v>609</v>
      </c>
      <c r="Q33" s="116">
        <v>793734</v>
      </c>
      <c r="R33" s="116">
        <v>1087517622</v>
      </c>
      <c r="S33" s="116">
        <v>1186240</v>
      </c>
      <c r="T33" s="130">
        <f t="shared" ref="T33" si="37">Q33/S33</f>
        <v>0.66911754788238464</v>
      </c>
      <c r="U33" s="85"/>
    </row>
    <row r="34" spans="1:21" s="79" customFormat="1" ht="13.2" hidden="1">
      <c r="A34" s="129" t="s">
        <v>652</v>
      </c>
      <c r="B34" s="188">
        <f>SUM(F32:F34)</f>
        <v>119719.56892230577</v>
      </c>
      <c r="C34" s="188">
        <f>AVERAGE(F32:F34)</f>
        <v>39906.522974101921</v>
      </c>
      <c r="D34" s="190">
        <f>C34/C31-1</f>
        <v>9.6971869943194733E-2</v>
      </c>
      <c r="E34" s="287">
        <f>C34/C22-1</f>
        <v>0.77642410329317535</v>
      </c>
      <c r="F34" s="136">
        <f>Q34/19</f>
        <v>48114.473684210527</v>
      </c>
      <c r="G34" s="190">
        <f t="shared" ref="G34" si="38">F34/F33-1</f>
        <v>0.27297551493122518</v>
      </c>
      <c r="H34" s="190">
        <f t="shared" ref="H34" si="39">F34/F22-1</f>
        <v>1.4830286426173465</v>
      </c>
      <c r="I34" s="130">
        <f t="shared" si="0"/>
        <v>0.69099892968579923</v>
      </c>
      <c r="J34" s="130">
        <f t="shared" si="5"/>
        <v>8.5682254412656089E-2</v>
      </c>
      <c r="K34" s="136">
        <f>R32+R33+R34</f>
        <v>3306337529</v>
      </c>
      <c r="L34" s="190">
        <f>U34/U31-1</f>
        <v>7.9755297110196244E-2</v>
      </c>
      <c r="M34" s="190">
        <f>U34/U22-1</f>
        <v>0.73403807467915505</v>
      </c>
      <c r="N34" s="191">
        <f>AVERAGE(T32:T34)</f>
        <v>0.67864670314974485</v>
      </c>
      <c r="O34" s="192">
        <f>N34/N31-1</f>
        <v>-4.0623944737046891E-2</v>
      </c>
      <c r="P34" s="129" t="s">
        <v>652</v>
      </c>
      <c r="Q34" s="116">
        <v>914175</v>
      </c>
      <c r="R34" s="116">
        <v>1255430830</v>
      </c>
      <c r="S34" s="116">
        <v>1322976</v>
      </c>
      <c r="T34" s="130">
        <f t="shared" ref="T34" si="40">Q34/S34</f>
        <v>0.69099892968579923</v>
      </c>
      <c r="U34" s="85">
        <f>Q32+Q33+Q34</f>
        <v>2417882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40710.913043478264</v>
      </c>
      <c r="G35" s="190">
        <f t="shared" ref="G35" si="41">F35/F34-1</f>
        <v>-0.15387387773009875</v>
      </c>
      <c r="H35" s="190">
        <f t="shared" ref="H35" si="42">F35/F23-1</f>
        <v>0.33744430594663477</v>
      </c>
      <c r="I35" s="130">
        <f t="shared" si="0"/>
        <v>0.68691247349849249</v>
      </c>
      <c r="J35" s="130">
        <f t="shared" si="5"/>
        <v>-6.5542593418196238E-2</v>
      </c>
      <c r="K35" s="136"/>
      <c r="L35" s="190"/>
      <c r="M35" s="190"/>
      <c r="N35" s="191"/>
      <c r="O35" s="192"/>
      <c r="P35" s="129" t="s">
        <v>660</v>
      </c>
      <c r="Q35" s="116">
        <v>936351</v>
      </c>
      <c r="R35" s="116">
        <v>1296791477</v>
      </c>
      <c r="S35" s="116">
        <v>1363130</v>
      </c>
      <c r="T35" s="130">
        <f t="shared" ref="T35" si="43">Q35/S35</f>
        <v>0.68691247349849249</v>
      </c>
      <c r="U35" s="85"/>
    </row>
    <row r="36" spans="1:21" s="79" customFormat="1" ht="13.2" hidden="1">
      <c r="A36" s="129" t="s">
        <v>678</v>
      </c>
      <c r="B36" s="188"/>
      <c r="C36" s="188"/>
      <c r="D36" s="190"/>
      <c r="E36" s="287"/>
      <c r="F36" s="136">
        <f>Q36/21</f>
        <v>55151.190476190473</v>
      </c>
      <c r="G36" s="190">
        <f t="shared" ref="G36" si="44">F36/F35-1</f>
        <v>0.35470286351205993</v>
      </c>
      <c r="H36" s="190">
        <f t="shared" ref="H36" si="45">F36/F24-1</f>
        <v>0.2107581723925458</v>
      </c>
      <c r="I36" s="130">
        <f t="shared" si="0"/>
        <v>0.79446714606451774</v>
      </c>
      <c r="J36" s="130">
        <f t="shared" si="5"/>
        <v>9.1586558326025136E-2</v>
      </c>
      <c r="K36" s="136"/>
      <c r="L36" s="190"/>
      <c r="M36" s="190"/>
      <c r="N36" s="191"/>
      <c r="O36" s="192"/>
      <c r="P36" s="129" t="s">
        <v>678</v>
      </c>
      <c r="Q36" s="116">
        <v>1158175</v>
      </c>
      <c r="R36" s="116">
        <v>1585369702</v>
      </c>
      <c r="S36" s="116">
        <v>1457801</v>
      </c>
      <c r="T36" s="130">
        <f t="shared" ref="T36" si="46">Q36/S36</f>
        <v>0.79446714606451774</v>
      </c>
      <c r="U36" s="85"/>
    </row>
    <row r="37" spans="1:21" s="79" customFormat="1" ht="13.2" hidden="1">
      <c r="A37" s="129" t="s">
        <v>702</v>
      </c>
      <c r="B37" s="188">
        <f>SUM(F35:F37)</f>
        <v>158388.21463077987</v>
      </c>
      <c r="C37" s="188">
        <f>AVERAGE(F35:F37)</f>
        <v>52796.071543593287</v>
      </c>
      <c r="D37" s="190">
        <f>C37/C34-1</f>
        <v>0.32299352609237042</v>
      </c>
      <c r="E37" s="287">
        <f>C37/C25-1</f>
        <v>0.31079551410536044</v>
      </c>
      <c r="F37" s="136">
        <f>Q37/18</f>
        <v>62526.111111111109</v>
      </c>
      <c r="G37" s="190">
        <f t="shared" ref="G37" si="47">F37/F36-1</f>
        <v>0.1337218756520675</v>
      </c>
      <c r="H37" s="190">
        <f t="shared" ref="H37" si="48">F37/F25-1</f>
        <v>0.39432235607343347</v>
      </c>
      <c r="I37" s="130">
        <f t="shared" si="0"/>
        <v>0.77201731340416924</v>
      </c>
      <c r="J37" s="130">
        <f t="shared" si="5"/>
        <v>3.4800688067107011E-3</v>
      </c>
      <c r="K37" s="136">
        <f>R35+R36+R37</f>
        <v>4384396554</v>
      </c>
      <c r="L37" s="190">
        <f>U37/U34-1</f>
        <v>0.33174240926563003</v>
      </c>
      <c r="M37" s="190">
        <f>U37/U25-1</f>
        <v>0.29142273652817807</v>
      </c>
      <c r="N37" s="191">
        <f>AVERAGE(T35:T37)</f>
        <v>0.75113231098905986</v>
      </c>
      <c r="O37" s="192">
        <f>N37/N34-1</f>
        <v>0.10680904733330876</v>
      </c>
      <c r="P37" s="129" t="s">
        <v>702</v>
      </c>
      <c r="Q37" s="116">
        <v>1125470</v>
      </c>
      <c r="R37" s="116">
        <v>1502235375</v>
      </c>
      <c r="S37" s="116">
        <v>1457830</v>
      </c>
      <c r="T37" s="130">
        <f t="shared" ref="T37" si="49">Q37/S37</f>
        <v>0.77201731340416924</v>
      </c>
      <c r="U37" s="85">
        <f>Q35+Q36+Q37</f>
        <v>3219996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39620.050000000003</v>
      </c>
      <c r="G38" s="190">
        <f t="shared" ref="G38" si="50">F38/F37-1</f>
        <v>-0.3663439274258754</v>
      </c>
      <c r="H38" s="190">
        <f t="shared" ref="H38" si="51">F38/F26-1</f>
        <v>-7.7200652644534129E-2</v>
      </c>
      <c r="I38" s="130">
        <f t="shared" si="0"/>
        <v>0.69468031946136921</v>
      </c>
      <c r="J38" s="130">
        <f t="shared" si="5"/>
        <v>-0.10987777080767991</v>
      </c>
      <c r="K38" s="136"/>
      <c r="L38" s="190"/>
      <c r="M38" s="190"/>
      <c r="N38" s="191"/>
      <c r="O38" s="192"/>
      <c r="P38" s="129" t="s">
        <v>728</v>
      </c>
      <c r="Q38" s="116">
        <v>792401</v>
      </c>
      <c r="R38" s="116">
        <v>1063392452</v>
      </c>
      <c r="S38" s="116">
        <v>1140670</v>
      </c>
      <c r="T38" s="130">
        <f t="shared" ref="T38" si="52">Q38/S38</f>
        <v>0.69468031946136921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46054.619047619046</v>
      </c>
      <c r="G39" s="190">
        <f t="shared" ref="G39" si="53">F39/F38-1</f>
        <v>0.16240688862379127</v>
      </c>
      <c r="H39" s="190">
        <f t="shared" ref="H39" si="54">F39/F27-1</f>
        <v>1.3361377218027313</v>
      </c>
      <c r="I39" s="130">
        <f t="shared" si="0"/>
        <v>0.71096916759414319</v>
      </c>
      <c r="J39" s="130">
        <f t="shared" si="5"/>
        <v>0.10820295306673744</v>
      </c>
      <c r="K39" s="136"/>
      <c r="L39" s="190"/>
      <c r="M39" s="190"/>
      <c r="N39" s="191"/>
      <c r="O39" s="192"/>
      <c r="P39" s="129" t="s">
        <v>762</v>
      </c>
      <c r="Q39" s="116">
        <v>967147</v>
      </c>
      <c r="R39" s="116">
        <v>1342677130</v>
      </c>
      <c r="S39" s="116">
        <v>1360322</v>
      </c>
      <c r="T39" s="130">
        <f t="shared" ref="T39" si="55">Q39/S39</f>
        <v>0.71096916759414319</v>
      </c>
      <c r="U39" s="85"/>
    </row>
    <row r="40" spans="1:21" s="79" customFormat="1" ht="13.2" hidden="1">
      <c r="A40" s="129" t="s">
        <v>778</v>
      </c>
      <c r="B40" s="188">
        <f>SUM(F38:F40)</f>
        <v>133585.04999999999</v>
      </c>
      <c r="C40" s="188">
        <f>AVERAGE(F38:F40)</f>
        <v>44528.35</v>
      </c>
      <c r="D40" s="190">
        <f>C40/C37-1</f>
        <v>-0.15659728653800875</v>
      </c>
      <c r="E40" s="287">
        <f>C40/C28-1</f>
        <v>0.13237266743225473</v>
      </c>
      <c r="F40" s="136">
        <f>Q40/21</f>
        <v>47910.380952380954</v>
      </c>
      <c r="G40" s="190">
        <f t="shared" ref="G40" si="56">F40/F39-1</f>
        <v>4.0294805236432696E-2</v>
      </c>
      <c r="H40" s="190">
        <f t="shared" ref="H40" si="57">F40/F28-1</f>
        <v>-0.133949292548461</v>
      </c>
      <c r="I40" s="130">
        <f t="shared" si="0"/>
        <v>0.72636032198678846</v>
      </c>
      <c r="J40" s="130">
        <f t="shared" si="5"/>
        <v>-4.2899393099359528E-2</v>
      </c>
      <c r="K40" s="136">
        <f>R38+R39+R40</f>
        <v>3835876095</v>
      </c>
      <c r="L40" s="190">
        <f>U40/U37-1</f>
        <v>-0.14109644856701686</v>
      </c>
      <c r="M40" s="190">
        <f>U40/U28-1</f>
        <v>0.20217286603760143</v>
      </c>
      <c r="N40" s="191">
        <f>AVERAGE(T38:T40)</f>
        <v>0.71066993634743358</v>
      </c>
      <c r="O40" s="192">
        <f>N40/N37-1</f>
        <v>-5.3868504988617949E-2</v>
      </c>
      <c r="P40" s="129" t="s">
        <v>778</v>
      </c>
      <c r="Q40" s="116">
        <v>1006118</v>
      </c>
      <c r="R40" s="116">
        <v>1429806513</v>
      </c>
      <c r="S40" s="116">
        <v>1385150</v>
      </c>
      <c r="T40" s="130">
        <f t="shared" ref="T40" si="58">Q40/S40</f>
        <v>0.72636032198678846</v>
      </c>
      <c r="U40" s="85">
        <f>Q38+Q39+Q40</f>
        <v>2765666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42310</v>
      </c>
      <c r="G41" s="190">
        <f t="shared" ref="G41" si="59">F41/F40-1</f>
        <v>-0.11689284954647472</v>
      </c>
      <c r="H41" s="190">
        <f t="shared" ref="H41" si="60">F41/F29-1</f>
        <v>6.7686839851921476E-5</v>
      </c>
      <c r="I41" s="130">
        <f t="shared" si="0"/>
        <v>0.66382511374928088</v>
      </c>
      <c r="J41" s="130">
        <f t="shared" si="5"/>
        <v>-0.11450996025159932</v>
      </c>
      <c r="K41" s="193"/>
      <c r="L41" s="190"/>
      <c r="M41" s="190"/>
      <c r="N41" s="193"/>
      <c r="O41" s="193"/>
      <c r="P41" s="129" t="s">
        <v>792</v>
      </c>
      <c r="Q41" s="116">
        <v>761580</v>
      </c>
      <c r="R41" s="116">
        <v>1112192679</v>
      </c>
      <c r="S41" s="116">
        <v>1147260</v>
      </c>
      <c r="T41" s="130">
        <f t="shared" ref="T41" si="61">Q41/S41</f>
        <v>0.66382511374928088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44876.15</v>
      </c>
      <c r="G42" s="190">
        <f t="shared" ref="G42" si="62">F42/F41-1</f>
        <v>6.0651146301110792E-2</v>
      </c>
      <c r="H42" s="190">
        <f t="shared" ref="H42" si="63">F42/F30-1</f>
        <v>0.59955360911579136</v>
      </c>
      <c r="I42" s="130">
        <f t="shared" si="0"/>
        <v>0.69902178399806847</v>
      </c>
      <c r="J42" s="130">
        <f t="shared" si="5"/>
        <v>5.6873550276245188E-2</v>
      </c>
      <c r="K42" s="193"/>
      <c r="L42" s="190"/>
      <c r="M42" s="190"/>
      <c r="N42" s="193"/>
      <c r="O42" s="193"/>
      <c r="P42" s="129" t="s">
        <v>826</v>
      </c>
      <c r="Q42" s="116">
        <v>897523</v>
      </c>
      <c r="R42" s="116">
        <v>1297890107</v>
      </c>
      <c r="S42" s="116">
        <v>1283970</v>
      </c>
      <c r="T42" s="130">
        <f t="shared" ref="T42" si="64">Q42/S42</f>
        <v>0.69902178399806847</v>
      </c>
      <c r="U42" s="78"/>
    </row>
    <row r="43" spans="1:21" s="79" customFormat="1" ht="13.2">
      <c r="A43" s="129" t="s">
        <v>835</v>
      </c>
      <c r="B43" s="188">
        <f>SUM(F41:F43)</f>
        <v>132006.34999999998</v>
      </c>
      <c r="C43" s="188">
        <f>AVERAGE(F41:F43)</f>
        <v>44002.116666666661</v>
      </c>
      <c r="D43" s="190">
        <f>C43/C40-1</f>
        <v>-1.1817939208017769E-2</v>
      </c>
      <c r="E43" s="287">
        <f>C43/C31-1</f>
        <v>0.20955374219440404</v>
      </c>
      <c r="F43" s="136">
        <f>Q43/20</f>
        <v>44820.2</v>
      </c>
      <c r="G43" s="190">
        <f t="shared" ref="G43" si="65">F43/F42-1</f>
        <v>-1.2467647068655774E-3</v>
      </c>
      <c r="H43" s="190">
        <f t="shared" ref="H43" si="66">F43/F31-1</f>
        <v>0.15593886085596353</v>
      </c>
      <c r="I43" s="130">
        <f t="shared" si="0"/>
        <v>0.7448556661625646</v>
      </c>
      <c r="J43" s="130">
        <f t="shared" si="5"/>
        <v>4.7506270837443632E-2</v>
      </c>
      <c r="K43" s="136">
        <f>R41+R42+R43</f>
        <v>3708277385</v>
      </c>
      <c r="L43" s="190">
        <f>U43/U40-1</f>
        <v>-7.5988568395460643E-2</v>
      </c>
      <c r="M43" s="190">
        <f>K43/K31-1</f>
        <v>0.2515259378658472</v>
      </c>
      <c r="N43" s="191">
        <f>AVERAGE(T41:T43)</f>
        <v>0.70256752130330469</v>
      </c>
      <c r="O43" s="192">
        <f>N43/N40-1</f>
        <v>-1.1401094417715418E-2</v>
      </c>
      <c r="P43" s="129" t="s">
        <v>835</v>
      </c>
      <c r="Q43" s="116">
        <v>896404</v>
      </c>
      <c r="R43" s="116">
        <v>1298194599</v>
      </c>
      <c r="S43" s="116">
        <v>1203460</v>
      </c>
      <c r="T43" s="130">
        <f t="shared" ref="T43" si="67">Q43/S43</f>
        <v>0.7448556661625646</v>
      </c>
      <c r="U43" s="85">
        <f>Q41+Q42+Q43</f>
        <v>2555507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49639.954545454544</v>
      </c>
      <c r="G44" s="190">
        <f t="shared" ref="G44" si="68">F44/F43-1</f>
        <v>0.10753531991054355</v>
      </c>
      <c r="H44" s="190">
        <f t="shared" ref="H44" si="69">F44/F32-1</f>
        <v>0.46827984367651387</v>
      </c>
      <c r="I44" s="130">
        <f t="shared" si="0"/>
        <v>0.74389262019263513</v>
      </c>
      <c r="J44" s="130">
        <f t="shared" si="5"/>
        <v>0.10072004751021368</v>
      </c>
      <c r="K44" s="136"/>
      <c r="L44" s="190"/>
      <c r="M44" s="190"/>
      <c r="N44" s="191"/>
      <c r="O44" s="192"/>
      <c r="P44" s="129" t="s">
        <v>843</v>
      </c>
      <c r="Q44" s="116">
        <v>1092079</v>
      </c>
      <c r="R44" s="116">
        <v>1582496849</v>
      </c>
      <c r="S44" s="116">
        <v>1468060</v>
      </c>
      <c r="T44" s="130">
        <f t="shared" ref="T44" si="70">Q44/S44</f>
        <v>0.74389262019263513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59948.75</v>
      </c>
      <c r="G45" s="190">
        <f t="shared" ref="G45" si="71">F45/F44-1</f>
        <v>0.20767133146960992</v>
      </c>
      <c r="H45" s="190">
        <f t="shared" ref="H45" si="72">F45/F33-1</f>
        <v>0.58607764062015733</v>
      </c>
      <c r="I45" s="130">
        <f t="shared" si="0"/>
        <v>0.79047911021446893</v>
      </c>
      <c r="J45" s="130">
        <f t="shared" si="5"/>
        <v>0.18137554861050642</v>
      </c>
      <c r="K45" s="136"/>
      <c r="L45" s="190"/>
      <c r="M45" s="190"/>
      <c r="N45" s="191"/>
      <c r="O45" s="192"/>
      <c r="P45" s="129" t="s">
        <v>849</v>
      </c>
      <c r="Q45" s="116">
        <v>1198975</v>
      </c>
      <c r="R45" s="116">
        <v>1684344144</v>
      </c>
      <c r="S45" s="116">
        <v>1516770</v>
      </c>
      <c r="T45" s="130">
        <f t="shared" ref="T45" si="73">Q45/S45</f>
        <v>0.79047911021446893</v>
      </c>
      <c r="U45" s="85"/>
    </row>
    <row r="46" spans="1:21" s="79" customFormat="1" ht="13.2">
      <c r="A46" s="129" t="s">
        <v>893</v>
      </c>
      <c r="B46" s="188">
        <f>SUM(F44:F46)</f>
        <v>153663.5466507177</v>
      </c>
      <c r="C46" s="188">
        <f>AVERAGE(F44:F46)</f>
        <v>51221.182216905901</v>
      </c>
      <c r="D46" s="190">
        <f>C46/C43-1</f>
        <v>0.16406177923045151</v>
      </c>
      <c r="E46" s="287">
        <f>C46/C34-1</f>
        <v>0.28352906741955031</v>
      </c>
      <c r="F46" s="136">
        <f>Q46/19</f>
        <v>44074.84210526316</v>
      </c>
      <c r="G46" s="190">
        <f t="shared" ref="G46" si="74">F46/F45-1</f>
        <v>-0.26479130748742619</v>
      </c>
      <c r="H46" s="190">
        <f t="shared" ref="H46" si="75">F46/F34-1</f>
        <v>-8.3958760631170137E-2</v>
      </c>
      <c r="I46" s="130">
        <f t="shared" si="0"/>
        <v>0.70653617380299516</v>
      </c>
      <c r="J46" s="130">
        <f t="shared" si="5"/>
        <v>2.2485192740111515E-2</v>
      </c>
      <c r="K46" s="136">
        <f>R44+R45+R46</f>
        <v>4413197080</v>
      </c>
      <c r="L46" s="190">
        <f>U46/U43-1</f>
        <v>0.22420952085046131</v>
      </c>
      <c r="M46" s="190">
        <f>K46/K34-1</f>
        <v>0.33476907342087636</v>
      </c>
      <c r="N46" s="191">
        <f>AVERAGE(T44:T46)</f>
        <v>0.74696930140336637</v>
      </c>
      <c r="O46" s="192">
        <f>N46/N43-1</f>
        <v>6.3199306477609074E-2</v>
      </c>
      <c r="P46" s="129" t="s">
        <v>962</v>
      </c>
      <c r="Q46" s="116">
        <v>837422</v>
      </c>
      <c r="R46" s="116">
        <v>1146356087</v>
      </c>
      <c r="S46" s="116">
        <v>1185250</v>
      </c>
      <c r="T46" s="130">
        <f t="shared" ref="T46" si="76">Q46/S46</f>
        <v>0.70653617380299516</v>
      </c>
      <c r="U46" s="85">
        <f t="shared" ref="U46:U51" si="77">Q44+Q45+Q46</f>
        <v>3128476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47210.434782608696</v>
      </c>
      <c r="G47" s="190">
        <f t="shared" ref="G47" si="78">F47/F46-1</f>
        <v>7.1142459679307546E-2</v>
      </c>
      <c r="H47" s="190">
        <f t="shared" ref="H47" si="79">F47/F35-1</f>
        <v>0.1596506011100538</v>
      </c>
      <c r="I47" s="130">
        <f t="shared" si="0"/>
        <v>0.73120538720538719</v>
      </c>
      <c r="J47" s="130">
        <f t="shared" si="5"/>
        <v>6.4481160869459542E-2</v>
      </c>
      <c r="K47" s="136"/>
      <c r="L47" s="190"/>
      <c r="M47" s="190"/>
      <c r="N47" s="191"/>
      <c r="O47" s="192"/>
      <c r="P47" s="129" t="s">
        <v>991</v>
      </c>
      <c r="Q47" s="116">
        <v>1085840</v>
      </c>
      <c r="R47" s="116">
        <v>1485418934</v>
      </c>
      <c r="S47" s="116">
        <v>1485000</v>
      </c>
      <c r="T47" s="130">
        <f t="shared" ref="T47" si="80">Q47/S47</f>
        <v>0.73120538720538719</v>
      </c>
      <c r="U47" s="85">
        <f t="shared" si="77"/>
        <v>3122237</v>
      </c>
    </row>
    <row r="48" spans="1:21" s="79" customFormat="1" ht="13.2">
      <c r="A48" s="129" t="s">
        <v>1106</v>
      </c>
      <c r="B48" s="188"/>
      <c r="C48" s="188"/>
      <c r="D48" s="190"/>
      <c r="E48" s="287"/>
      <c r="F48" s="136">
        <f>Q48/20</f>
        <v>49209.85</v>
      </c>
      <c r="G48" s="190">
        <f t="shared" ref="G48" si="81">F48/F47-1</f>
        <v>4.2351129079790661E-2</v>
      </c>
      <c r="H48" s="190">
        <f t="shared" ref="H48" si="82">F48/F36-1</f>
        <v>-0.10772823623372974</v>
      </c>
      <c r="I48" s="130">
        <f t="shared" si="0"/>
        <v>0.77816898067617568</v>
      </c>
      <c r="J48" s="130">
        <f t="shared" si="5"/>
        <v>-2.051458700221509E-2</v>
      </c>
      <c r="K48" s="136"/>
      <c r="L48" s="190"/>
      <c r="M48" s="190"/>
      <c r="N48" s="191"/>
      <c r="O48" s="192"/>
      <c r="P48" s="129" t="s">
        <v>1070</v>
      </c>
      <c r="Q48" s="116">
        <v>984197</v>
      </c>
      <c r="R48" s="116">
        <v>1365273558</v>
      </c>
      <c r="S48" s="116">
        <v>1264760</v>
      </c>
      <c r="T48" s="130">
        <f t="shared" ref="T48:T57" si="83">Q48/S48</f>
        <v>0.77816898067617568</v>
      </c>
      <c r="U48" s="85">
        <f t="shared" si="77"/>
        <v>2907459</v>
      </c>
    </row>
    <row r="49" spans="1:26" ht="13.2">
      <c r="A49" s="129" t="s">
        <v>1158</v>
      </c>
      <c r="B49" s="188">
        <f>SUM(F47:F49)</f>
        <v>149254.14841897233</v>
      </c>
      <c r="C49" s="188">
        <f>AVERAGE(F47:F49)</f>
        <v>49751.382806324109</v>
      </c>
      <c r="D49" s="190">
        <f>C49/C46-1</f>
        <v>-2.8695148119729952E-2</v>
      </c>
      <c r="E49" s="287">
        <f>C49/C37-1</f>
        <v>-5.7668850129411697E-2</v>
      </c>
      <c r="F49" s="136">
        <f>Q49/22</f>
        <v>52833.86363636364</v>
      </c>
      <c r="G49" s="190">
        <f t="shared" ref="G49" si="84">F49/F48-1</f>
        <v>7.364406996492856E-2</v>
      </c>
      <c r="H49" s="190">
        <f t="shared" ref="H49" si="85">F49/F37-1</f>
        <v>-0.1550111993615596</v>
      </c>
      <c r="I49" s="130">
        <f t="shared" si="0"/>
        <v>0.76014976129749523</v>
      </c>
      <c r="J49" s="130">
        <f t="shared" si="5"/>
        <v>-1.5372132076086009E-2</v>
      </c>
      <c r="K49" s="136">
        <f>R47+R48+R49</f>
        <v>4466326336</v>
      </c>
      <c r="L49" s="190">
        <f>U49/U46-1</f>
        <v>3.3212976541932893E-2</v>
      </c>
      <c r="M49" s="190">
        <f>K49/K37-1</f>
        <v>1.8686672382600467E-2</v>
      </c>
      <c r="N49" s="191">
        <f>AVERAGE(T47:T49)</f>
        <v>0.75650804305968611</v>
      </c>
      <c r="O49" s="192">
        <f>N49/N46-1</f>
        <v>1.2769924598506011E-2</v>
      </c>
      <c r="P49" s="129" t="s">
        <v>1158</v>
      </c>
      <c r="Q49" s="116">
        <v>1162345</v>
      </c>
      <c r="R49" s="116">
        <v>1615633844</v>
      </c>
      <c r="S49" s="116">
        <v>1529100</v>
      </c>
      <c r="T49" s="130">
        <f t="shared" si="83"/>
        <v>0.76014976129749523</v>
      </c>
      <c r="U49" s="85">
        <f t="shared" si="77"/>
        <v>3232382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52875.777777777781</v>
      </c>
      <c r="G50" s="190">
        <f t="shared" ref="G50" si="86">F50/F49-1</f>
        <v>7.9331963497164537E-4</v>
      </c>
      <c r="H50" s="190">
        <f t="shared" ref="H50" si="87">F50/F38-1</f>
        <v>0.33457120265566997</v>
      </c>
      <c r="I50" s="130">
        <f t="shared" ref="I50" si="88">T50</f>
        <v>0.74206410466322048</v>
      </c>
      <c r="J50" s="130">
        <f t="shared" ref="J50" si="89">I50/I38-1</f>
        <v>6.8209482656124365E-2</v>
      </c>
      <c r="K50" s="136"/>
      <c r="L50" s="190"/>
      <c r="M50" s="190"/>
      <c r="N50" s="191"/>
      <c r="O50" s="192"/>
      <c r="P50" s="129" t="s">
        <v>1291</v>
      </c>
      <c r="Q50" s="116">
        <v>951764</v>
      </c>
      <c r="R50" s="116">
        <v>1345810146</v>
      </c>
      <c r="S50" s="116">
        <v>1282590</v>
      </c>
      <c r="T50" s="130">
        <f t="shared" si="83"/>
        <v>0.74206410466322048</v>
      </c>
      <c r="U50" s="85">
        <f t="shared" si="77"/>
        <v>3098306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41632.550000000003</v>
      </c>
      <c r="G51" s="190">
        <f t="shared" ref="G51:G52" si="90">F51/F50-1</f>
        <v>-0.21263474979091457</v>
      </c>
      <c r="H51" s="190">
        <f t="shared" ref="H51:H52" si="91">F51/F39-1</f>
        <v>-9.6017926954227173E-2</v>
      </c>
      <c r="I51" s="130">
        <f t="shared" ref="I51:I52" si="92">T51</f>
        <v>0.71183118169904025</v>
      </c>
      <c r="J51" s="130">
        <f t="shared" ref="J51:J52" si="93">I51/I39-1</f>
        <v>1.2124493496870059E-3</v>
      </c>
      <c r="K51" s="136"/>
      <c r="L51" s="190"/>
      <c r="M51" s="190"/>
      <c r="N51" s="191"/>
      <c r="O51" s="192"/>
      <c r="P51" s="129" t="s">
        <v>1402</v>
      </c>
      <c r="Q51" s="116">
        <v>832651</v>
      </c>
      <c r="R51" s="116">
        <v>1207231885</v>
      </c>
      <c r="S51" s="116">
        <v>1169731</v>
      </c>
      <c r="T51" s="130">
        <f t="shared" si="83"/>
        <v>0.71183118169904025</v>
      </c>
      <c r="U51" s="85">
        <f t="shared" si="77"/>
        <v>2946760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155383.87323232324</v>
      </c>
      <c r="C52" s="188">
        <f>AVERAGE(F50:F52)</f>
        <v>51794.624410774413</v>
      </c>
      <c r="D52" s="190">
        <f>C52/C49-1</f>
        <v>4.1069041485829461E-2</v>
      </c>
      <c r="E52" s="287">
        <f>C52/C40-1</f>
        <v>0.16318310493818911</v>
      </c>
      <c r="F52" s="136">
        <f>Q52/22</f>
        <v>60875.545454545456</v>
      </c>
      <c r="G52" s="190">
        <f t="shared" si="90"/>
        <v>0.46221034874264122</v>
      </c>
      <c r="H52" s="190">
        <f t="shared" si="91"/>
        <v>0.27061284515877326</v>
      </c>
      <c r="I52" s="130">
        <f t="shared" si="92"/>
        <v>0.74445216482581889</v>
      </c>
      <c r="J52" s="130">
        <f t="shared" si="93"/>
        <v>2.4907531828754603E-2</v>
      </c>
      <c r="K52" s="136">
        <f>R50+R51+R52</f>
        <v>4523374419</v>
      </c>
      <c r="L52" s="190">
        <f>U52/U49-1</f>
        <v>-3.3629997939599976E-2</v>
      </c>
      <c r="M52" s="190">
        <f>K52/K40-1</f>
        <v>0.17922850138359325</v>
      </c>
      <c r="N52" s="191">
        <f>AVERAGE(T50:T52)</f>
        <v>0.73278248372935995</v>
      </c>
      <c r="O52" s="192">
        <f>N52/N49-1</f>
        <v>-3.1361939305190267E-2</v>
      </c>
      <c r="P52" s="129" t="s">
        <v>1403</v>
      </c>
      <c r="Q52" s="116">
        <v>1339262</v>
      </c>
      <c r="R52" s="116">
        <v>1970332388</v>
      </c>
      <c r="S52" s="116">
        <v>1798990</v>
      </c>
      <c r="T52" s="130">
        <f t="shared" si="83"/>
        <v>0.74445216482581889</v>
      </c>
      <c r="U52" s="85">
        <f t="shared" ref="U52" si="94">Q50+Q51+Q52</f>
        <v>3123677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46182.666666666664</v>
      </c>
      <c r="G53" s="190">
        <f t="shared" ref="G53" si="95">F53/F52-1</f>
        <v>-0.2413592958908215</v>
      </c>
      <c r="H53" s="190">
        <f t="shared" ref="H53" si="96">F53/F41-1</f>
        <v>9.1530764988576374E-2</v>
      </c>
      <c r="I53" s="130">
        <f t="shared" ref="I53" si="97">T53</f>
        <v>0.71823647128367896</v>
      </c>
      <c r="J53" s="130">
        <f t="shared" ref="J53" si="98">I53/I41-1</f>
        <v>8.1966404113702485E-2</v>
      </c>
      <c r="K53" s="136"/>
      <c r="L53" s="190"/>
      <c r="M53" s="190"/>
      <c r="N53" s="191"/>
      <c r="O53" s="192"/>
      <c r="P53" s="129" t="s">
        <v>1414</v>
      </c>
      <c r="Q53" s="116">
        <v>969836</v>
      </c>
      <c r="R53" s="116">
        <v>1418735711</v>
      </c>
      <c r="S53" s="116">
        <v>1350301.8</v>
      </c>
      <c r="T53" s="130">
        <f t="shared" si="83"/>
        <v>0.71823647128367896</v>
      </c>
      <c r="U53" s="85">
        <f t="shared" ref="U53" si="99">Q51+Q52+Q53</f>
        <v>3141749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44697.23529411765</v>
      </c>
      <c r="G54" s="190">
        <f t="shared" ref="G54" si="100">F54/F53-1</f>
        <v>-3.216426161075614E-2</v>
      </c>
      <c r="H54" s="190">
        <f t="shared" ref="H54" si="101">F54/F42-1</f>
        <v>-3.9868550640451694E-3</v>
      </c>
      <c r="I54" s="130">
        <f t="shared" ref="I54" si="102">T54</f>
        <v>0.68568270211249172</v>
      </c>
      <c r="J54" s="130">
        <f t="shared" ref="J54" si="103">I54/I42-1</f>
        <v>-1.9082498129433967E-2</v>
      </c>
      <c r="K54" s="136"/>
      <c r="L54" s="190"/>
      <c r="M54" s="190"/>
      <c r="N54" s="191"/>
      <c r="O54" s="192"/>
      <c r="P54" s="129" t="s">
        <v>1417</v>
      </c>
      <c r="Q54" s="116">
        <v>759853</v>
      </c>
      <c r="R54" s="116">
        <v>1102388689</v>
      </c>
      <c r="S54" s="116">
        <v>1108170</v>
      </c>
      <c r="T54" s="130">
        <f t="shared" si="83"/>
        <v>0.68568270211249172</v>
      </c>
      <c r="U54" s="85">
        <f t="shared" ref="U54" si="104">Q52+Q53+Q54</f>
        <v>3068951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145386.09243697478</v>
      </c>
      <c r="C55" s="188">
        <f>AVERAGE(F53:F55)</f>
        <v>48462.030812324927</v>
      </c>
      <c r="D55" s="190">
        <f>C55/C52-1</f>
        <v>-6.4342460947669933E-2</v>
      </c>
      <c r="E55" s="287">
        <f>C55/C43-1</f>
        <v>0.10135680925178825</v>
      </c>
      <c r="F55" s="136">
        <f>Q55/21</f>
        <v>54506.190476190473</v>
      </c>
      <c r="G55" s="190">
        <f t="shared" ref="G55" si="105">F55/F54-1</f>
        <v>0.21945328648467277</v>
      </c>
      <c r="H55" s="190">
        <f t="shared" ref="H55" si="106">F55/F43-1</f>
        <v>0.21610770313810468</v>
      </c>
      <c r="I55" s="130">
        <f>T55</f>
        <v>0.7048908759483693</v>
      </c>
      <c r="J55" s="130">
        <f t="shared" ref="J55" si="107">I55/I43-1</f>
        <v>-5.3654408538087117E-2</v>
      </c>
      <c r="K55" s="136">
        <f>R53+R54+R55</f>
        <v>4206204515</v>
      </c>
      <c r="L55" s="190">
        <f>U55/U52-1</f>
        <v>-7.982835613285244E-2</v>
      </c>
      <c r="M55" s="190">
        <f>K55/K43-1</f>
        <v>0.13427451031956705</v>
      </c>
      <c r="N55" s="191">
        <f>AVERAGE(T53:T55)</f>
        <v>0.70293668311484669</v>
      </c>
      <c r="O55" s="192">
        <f>N55/N52-1</f>
        <v>-4.072941326683821E-2</v>
      </c>
      <c r="P55" s="129" t="s">
        <v>1418</v>
      </c>
      <c r="Q55" s="116">
        <v>1144630</v>
      </c>
      <c r="R55" s="116">
        <v>1685080115</v>
      </c>
      <c r="S55" s="116">
        <v>1623840</v>
      </c>
      <c r="T55" s="130">
        <f t="shared" si="83"/>
        <v>0.7048908759483693</v>
      </c>
      <c r="U55" s="85">
        <f t="shared" ref="U55" si="108">Q53+Q54+Q55</f>
        <v>2874319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52835.272727272728</v>
      </c>
      <c r="G56" s="190">
        <f t="shared" ref="G56" si="109">F56/F55-1</f>
        <v>-3.0655559200154281E-2</v>
      </c>
      <c r="H56" s="190">
        <f t="shared" ref="H56" si="110">F56/F44-1</f>
        <v>6.4369885328808607E-2</v>
      </c>
      <c r="I56" s="291">
        <f>T56</f>
        <v>0.73270382370368503</v>
      </c>
      <c r="J56" s="130">
        <f t="shared" ref="J56" si="111">I56/I44-1</f>
        <v>-1.5040875773243645E-2</v>
      </c>
      <c r="K56" s="136"/>
      <c r="L56" s="190"/>
      <c r="M56" s="190"/>
      <c r="N56" s="191"/>
      <c r="O56" s="192"/>
      <c r="P56" s="129" t="s">
        <v>1420</v>
      </c>
      <c r="Q56" s="116">
        <v>1162376</v>
      </c>
      <c r="R56" s="116">
        <v>1734701499</v>
      </c>
      <c r="S56" s="116">
        <v>1586420</v>
      </c>
      <c r="T56" s="130">
        <f t="shared" si="83"/>
        <v>0.73270382370368503</v>
      </c>
      <c r="U56" s="85">
        <f t="shared" ref="U56" si="112">Q54+Q55+Q56</f>
        <v>3066859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55641.833333333336</v>
      </c>
      <c r="G57" s="254">
        <f t="shared" ref="G57" si="113">F57/F56-1</f>
        <v>5.3119071052166733E-2</v>
      </c>
      <c r="H57" s="254">
        <f t="shared" ref="H57" si="114">F57/F45-1</f>
        <v>-7.1843310605586685E-2</v>
      </c>
      <c r="I57" s="282">
        <f>T57</f>
        <v>0.6899173382930357</v>
      </c>
      <c r="J57" s="277">
        <f t="shared" ref="J57" si="115">I57/I45-1</f>
        <v>-0.12721622952711464</v>
      </c>
      <c r="K57" s="204"/>
      <c r="L57" s="254"/>
      <c r="M57" s="254"/>
      <c r="N57" s="257"/>
      <c r="O57" s="258"/>
      <c r="P57" s="129" t="s">
        <v>1436</v>
      </c>
      <c r="Q57" s="116">
        <v>667702</v>
      </c>
      <c r="R57" s="116">
        <v>985604091</v>
      </c>
      <c r="S57" s="116">
        <v>967800</v>
      </c>
      <c r="T57" s="130">
        <f t="shared" si="83"/>
        <v>0.6899173382930357</v>
      </c>
      <c r="U57" s="85">
        <f t="shared" ref="U57" si="116">Q55+Q56+Q57</f>
        <v>2974708</v>
      </c>
      <c r="V57" s="79"/>
      <c r="W57" s="79"/>
      <c r="X57" s="79"/>
      <c r="Y57" s="79"/>
      <c r="Z57" s="79"/>
    </row>
    <row r="58" spans="1:26">
      <c r="B58" s="196">
        <f>SUM(F56:F58)</f>
        <v>108477.10606060606</v>
      </c>
      <c r="C58" s="196">
        <f>AVERAGE(F56:F58)</f>
        <v>54238.553030303032</v>
      </c>
      <c r="D58" s="197">
        <f>C58/C55-1</f>
        <v>0.11919686651903594</v>
      </c>
      <c r="E58" s="233">
        <f>C58/C46-1</f>
        <v>5.890865229583131E-2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4704397</v>
      </c>
      <c r="R66" s="212">
        <v>6926510105</v>
      </c>
      <c r="S66" s="213">
        <v>6636531.7999999998</v>
      </c>
      <c r="T66" s="214">
        <v>7</v>
      </c>
      <c r="U66" s="214">
        <v>9</v>
      </c>
    </row>
    <row r="67" spans="16:21" ht="18" thickBot="1">
      <c r="P67" s="180" t="s">
        <v>976</v>
      </c>
      <c r="Q67" s="181">
        <v>969836</v>
      </c>
      <c r="R67" s="181">
        <v>1418735711</v>
      </c>
      <c r="S67" s="182">
        <v>1350301.8</v>
      </c>
      <c r="T67" s="210">
        <v>7</v>
      </c>
      <c r="U67" s="210">
        <v>8</v>
      </c>
    </row>
    <row r="68" spans="16:21" ht="18" thickBot="1">
      <c r="P68" s="180" t="s">
        <v>977</v>
      </c>
      <c r="Q68" s="181">
        <v>759853</v>
      </c>
      <c r="R68" s="181">
        <v>1102388689</v>
      </c>
      <c r="S68" s="182">
        <v>1108170</v>
      </c>
      <c r="T68" s="210">
        <v>5</v>
      </c>
      <c r="U68" s="210">
        <v>5</v>
      </c>
    </row>
    <row r="69" spans="16:21" ht="18" thickBot="1">
      <c r="P69" s="180" t="s">
        <v>978</v>
      </c>
      <c r="Q69" s="181">
        <v>1144630</v>
      </c>
      <c r="R69" s="181">
        <v>1685080115</v>
      </c>
      <c r="S69" s="182">
        <v>1623840</v>
      </c>
      <c r="T69" s="210" t="s">
        <v>1421</v>
      </c>
      <c r="U69" s="210">
        <v>6</v>
      </c>
    </row>
    <row r="70" spans="16:21" ht="18" thickBot="1">
      <c r="P70" s="180" t="s">
        <v>979</v>
      </c>
      <c r="Q70" s="181">
        <v>1162376</v>
      </c>
      <c r="R70" s="181">
        <v>1734701499</v>
      </c>
      <c r="S70" s="182">
        <v>1586420</v>
      </c>
      <c r="T70" s="210">
        <v>5</v>
      </c>
      <c r="U70" s="210">
        <v>6</v>
      </c>
    </row>
    <row r="71" spans="16:21" ht="18" thickBot="1">
      <c r="P71" s="180" t="s">
        <v>980</v>
      </c>
      <c r="Q71" s="181">
        <v>667702</v>
      </c>
      <c r="R71" s="181">
        <v>985604091</v>
      </c>
      <c r="S71" s="182">
        <v>967800</v>
      </c>
      <c r="T71" s="210" t="s">
        <v>1421</v>
      </c>
      <c r="U71" s="210" t="s">
        <v>1421</v>
      </c>
    </row>
    <row r="72" spans="16:21" ht="18" thickBot="1">
      <c r="P72" s="180" t="s">
        <v>975</v>
      </c>
      <c r="Q72" s="181">
        <v>12040042</v>
      </c>
      <c r="R72" s="181">
        <v>17111175220</v>
      </c>
      <c r="S72" s="182">
        <v>16334941</v>
      </c>
      <c r="T72" s="210">
        <v>5</v>
      </c>
      <c r="U72" s="210">
        <v>10</v>
      </c>
    </row>
    <row r="73" spans="16:21" ht="18" thickBot="1">
      <c r="P73" s="215" t="s">
        <v>982</v>
      </c>
      <c r="Q73" s="217">
        <v>1</v>
      </c>
      <c r="R73"/>
      <c r="S73"/>
      <c r="T73"/>
      <c r="U73"/>
    </row>
  </sheetData>
  <phoneticPr fontId="1" type="noConversion"/>
  <conditionalFormatting sqref="C29:C30">
    <cfRule type="cellIs" dxfId="1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89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6229595.8499999996</v>
      </c>
      <c r="G5" s="90"/>
      <c r="H5" s="90"/>
      <c r="I5" s="130">
        <f t="shared" ref="I5:I49" si="0">T5</f>
        <v>363.1217938797476</v>
      </c>
      <c r="J5" s="130"/>
      <c r="L5" s="80"/>
      <c r="M5" s="80"/>
      <c r="P5" s="129" t="s">
        <v>0</v>
      </c>
      <c r="Q5" s="116">
        <f>비행기!Q5+비행기부품!Q5</f>
        <v>124591917</v>
      </c>
      <c r="R5" s="116">
        <f>비행기!R5+비행기부품!R5</f>
        <v>146964663249</v>
      </c>
      <c r="S5" s="116">
        <f>비행기!S5+비행기부품!S5</f>
        <v>343113.3</v>
      </c>
      <c r="T5" s="130">
        <f t="shared" ref="T5:T26" si="1">Q5/S5</f>
        <v>363.1217938797476</v>
      </c>
      <c r="U5" s="85"/>
    </row>
    <row r="6" spans="1:21" ht="15" hidden="1" customHeight="1">
      <c r="A6" s="129" t="s">
        <v>1</v>
      </c>
      <c r="C6" s="79"/>
      <c r="F6" s="78">
        <f>Q6/18</f>
        <v>4950048</v>
      </c>
      <c r="G6" s="90">
        <f t="shared" ref="G6:G26" si="2">F6/F5-1</f>
        <v>-0.20539821214886667</v>
      </c>
      <c r="H6" s="90"/>
      <c r="I6" s="130">
        <f t="shared" si="0"/>
        <v>293.78352182556296</v>
      </c>
      <c r="J6" s="130"/>
      <c r="P6" s="129" t="s">
        <v>1</v>
      </c>
      <c r="Q6" s="116">
        <f>비행기!Q6+비행기부품!Q6</f>
        <v>89100864</v>
      </c>
      <c r="R6" s="116">
        <f>비행기!R6+비행기부품!R6</f>
        <v>105922993927</v>
      </c>
      <c r="S6" s="116">
        <f>비행기!S6+비행기부품!S6</f>
        <v>303287.48000000004</v>
      </c>
      <c r="T6" s="130">
        <f t="shared" si="1"/>
        <v>293.78352182556296</v>
      </c>
      <c r="U6" s="85"/>
    </row>
    <row r="7" spans="1:21" ht="15" hidden="1" customHeight="1">
      <c r="A7" s="129" t="s">
        <v>2</v>
      </c>
      <c r="B7" s="131">
        <f>F5+F6+F7</f>
        <v>16375862.440909091</v>
      </c>
      <c r="C7" s="131">
        <f>AVERAGE(F5:F7)</f>
        <v>5458620.8136363635</v>
      </c>
      <c r="F7" s="78">
        <f>Q7/22</f>
        <v>5196218.5909090908</v>
      </c>
      <c r="G7" s="90">
        <f t="shared" si="2"/>
        <v>4.9730950267369289E-2</v>
      </c>
      <c r="H7" s="90"/>
      <c r="I7" s="130">
        <f t="shared" si="0"/>
        <v>313.8180020550821</v>
      </c>
      <c r="J7" s="130"/>
      <c r="K7" s="79">
        <f>R5+R6+R7</f>
        <v>390662256390</v>
      </c>
      <c r="N7" s="88">
        <f>AVERAGE(T5:T7)</f>
        <v>323.57443925346428</v>
      </c>
      <c r="P7" s="129" t="s">
        <v>2</v>
      </c>
      <c r="Q7" s="116">
        <f>비행기!Q7+비행기부품!Q7</f>
        <v>114316809</v>
      </c>
      <c r="R7" s="116">
        <f>비행기!R7+비행기부품!R7</f>
        <v>137774599214</v>
      </c>
      <c r="S7" s="116">
        <f>비행기!S7+비행기부품!S7</f>
        <v>364277.41000000003</v>
      </c>
      <c r="T7" s="130">
        <f t="shared" si="1"/>
        <v>313.8180020550821</v>
      </c>
      <c r="U7" s="85">
        <f>Q5+Q6+Q7</f>
        <v>328009590</v>
      </c>
    </row>
    <row r="8" spans="1:21" ht="15" hidden="1" customHeight="1">
      <c r="A8" s="129" t="s">
        <v>3</v>
      </c>
      <c r="C8" s="79"/>
      <c r="F8" s="78">
        <f>Q8/21</f>
        <v>4673558.2380952379</v>
      </c>
      <c r="G8" s="90">
        <f t="shared" si="2"/>
        <v>-0.10058475094336095</v>
      </c>
      <c r="H8" s="90"/>
      <c r="I8" s="130">
        <f t="shared" si="0"/>
        <v>332.06239359856204</v>
      </c>
      <c r="J8" s="130"/>
      <c r="K8" s="78"/>
      <c r="P8" s="129" t="s">
        <v>3</v>
      </c>
      <c r="Q8" s="116">
        <f>비행기!Q8+비행기부품!Q8</f>
        <v>98144723</v>
      </c>
      <c r="R8" s="116">
        <f>비행기!R8+비행기부품!R8</f>
        <v>118916452833</v>
      </c>
      <c r="S8" s="116">
        <f>비행기!S8+비행기부품!S8</f>
        <v>295561.08999999997</v>
      </c>
      <c r="T8" s="130">
        <f t="shared" si="1"/>
        <v>332.06239359856204</v>
      </c>
      <c r="U8" s="85"/>
    </row>
    <row r="9" spans="1:21" ht="15" hidden="1" customHeight="1">
      <c r="A9" s="129" t="s">
        <v>4</v>
      </c>
      <c r="C9" s="79"/>
      <c r="F9" s="78">
        <f>Q9/21</f>
        <v>7786159.666666667</v>
      </c>
      <c r="G9" s="90">
        <f t="shared" si="2"/>
        <v>0.66600249103561082</v>
      </c>
      <c r="H9" s="90"/>
      <c r="I9" s="130">
        <f t="shared" si="0"/>
        <v>203.30349278175248</v>
      </c>
      <c r="J9" s="130"/>
      <c r="K9" s="78"/>
      <c r="P9" s="129" t="s">
        <v>4</v>
      </c>
      <c r="Q9" s="116">
        <f>비행기!Q9+비행기부품!Q9</f>
        <v>163509353</v>
      </c>
      <c r="R9" s="116">
        <f>비행기!R9+비행기부품!R9</f>
        <v>206105970988</v>
      </c>
      <c r="S9" s="116">
        <f>비행기!S9+비행기부품!S9</f>
        <v>804262.39</v>
      </c>
      <c r="T9" s="130">
        <f t="shared" si="1"/>
        <v>203.30349278175248</v>
      </c>
      <c r="U9" s="85"/>
    </row>
    <row r="10" spans="1:21" ht="15" hidden="1" customHeight="1">
      <c r="A10" s="129" t="s">
        <v>5</v>
      </c>
      <c r="B10" s="131">
        <f>F8+F9+F10</f>
        <v>17761799.238095239</v>
      </c>
      <c r="C10" s="131">
        <f>AVERAGE(F8:F10)</f>
        <v>5920599.7460317463</v>
      </c>
      <c r="D10" s="90">
        <f>C10/C7-1</f>
        <v>8.4632904201973114E-2</v>
      </c>
      <c r="E10" s="286"/>
      <c r="F10" s="78">
        <f>Q10/21</f>
        <v>5302081.333333333</v>
      </c>
      <c r="G10" s="90">
        <f t="shared" si="2"/>
        <v>-0.31903768220524986</v>
      </c>
      <c r="H10" s="90"/>
      <c r="I10" s="130">
        <f t="shared" si="0"/>
        <v>339.94438519209558</v>
      </c>
      <c r="J10" s="130"/>
      <c r="K10" s="79">
        <f>R8+R9+R10</f>
        <v>465099613658</v>
      </c>
      <c r="L10" s="87">
        <f>U10/U7-1</f>
        <v>0.13715511793420432</v>
      </c>
      <c r="N10" s="88">
        <f>AVERAGE(T8:T10)</f>
        <v>291.77009052413672</v>
      </c>
      <c r="O10" s="89">
        <f>N10/N7-1</f>
        <v>-9.8290670927855261E-2</v>
      </c>
      <c r="P10" s="129" t="s">
        <v>5</v>
      </c>
      <c r="Q10" s="116">
        <f>비행기!Q10+비행기부품!Q10</f>
        <v>111343708</v>
      </c>
      <c r="R10" s="116">
        <f>비행기!R10+비행기부품!R10</f>
        <v>140077189837</v>
      </c>
      <c r="S10" s="116">
        <f>비행기!S10+비행기부품!S10</f>
        <v>327535.07</v>
      </c>
      <c r="T10" s="130">
        <f t="shared" si="1"/>
        <v>339.94438519209558</v>
      </c>
      <c r="U10" s="85">
        <f>Q8+Q9+Q10</f>
        <v>372997784</v>
      </c>
    </row>
    <row r="11" spans="1:21" ht="15" hidden="1" customHeight="1">
      <c r="A11" s="129" t="s">
        <v>6</v>
      </c>
      <c r="C11" s="79"/>
      <c r="F11" s="78">
        <f>Q11/21</f>
        <v>8674143.3809523806</v>
      </c>
      <c r="G11" s="90">
        <f t="shared" si="2"/>
        <v>0.63598836676069737</v>
      </c>
      <c r="H11" s="90"/>
      <c r="I11" s="130">
        <f t="shared" si="0"/>
        <v>608.93223237898508</v>
      </c>
      <c r="J11" s="130"/>
      <c r="K11" s="78"/>
      <c r="O11" s="89"/>
      <c r="P11" s="129" t="s">
        <v>6</v>
      </c>
      <c r="Q11" s="116">
        <f>비행기!Q11+비행기부품!Q11</f>
        <v>182157011</v>
      </c>
      <c r="R11" s="116">
        <f>비행기!R11+비행기부품!R11</f>
        <v>234307266098</v>
      </c>
      <c r="S11" s="116">
        <f>비행기!S11+비행기부품!S11</f>
        <v>299141.68</v>
      </c>
      <c r="T11" s="130">
        <f t="shared" si="1"/>
        <v>608.93223237898508</v>
      </c>
      <c r="U11" s="85"/>
    </row>
    <row r="12" spans="1:21" ht="15" hidden="1" customHeight="1">
      <c r="A12" s="129" t="s">
        <v>7</v>
      </c>
      <c r="C12" s="79"/>
      <c r="F12" s="78">
        <f>Q12/22</f>
        <v>5182816.6818181816</v>
      </c>
      <c r="G12" s="90">
        <f t="shared" si="2"/>
        <v>-0.40249815408871736</v>
      </c>
      <c r="H12" s="90"/>
      <c r="I12" s="130">
        <f t="shared" si="0"/>
        <v>327.13850556343914</v>
      </c>
      <c r="J12" s="130"/>
      <c r="K12" s="78"/>
      <c r="O12" s="89"/>
      <c r="P12" s="129" t="s">
        <v>7</v>
      </c>
      <c r="Q12" s="116">
        <f>비행기!Q12+비행기부품!Q12</f>
        <v>114021967</v>
      </c>
      <c r="R12" s="116">
        <f>비행기!R12+비행기부품!R12</f>
        <v>148009869713</v>
      </c>
      <c r="S12" s="116">
        <f>비행기!S12+비행기부품!S12</f>
        <v>348543.4</v>
      </c>
      <c r="T12" s="130">
        <f t="shared" si="1"/>
        <v>327.13850556343914</v>
      </c>
      <c r="U12" s="85"/>
    </row>
    <row r="13" spans="1:21" ht="15" hidden="1" customHeight="1">
      <c r="A13" s="129" t="s">
        <v>96</v>
      </c>
      <c r="B13" s="131">
        <f>F11+F12+F13</f>
        <v>26555752.862770565</v>
      </c>
      <c r="C13" s="131">
        <f>AVERAGE(F11:F13)</f>
        <v>8851917.620923521</v>
      </c>
      <c r="D13" s="90">
        <f>C13/C10-1</f>
        <v>0.49510488812497022</v>
      </c>
      <c r="E13" s="286"/>
      <c r="F13" s="78">
        <f>Q13/20</f>
        <v>12698792.800000001</v>
      </c>
      <c r="G13" s="90">
        <f t="shared" si="2"/>
        <v>1.4501720935931584</v>
      </c>
      <c r="H13" s="90"/>
      <c r="I13" s="130">
        <f t="shared" si="0"/>
        <v>300.26957904457265</v>
      </c>
      <c r="J13" s="130"/>
      <c r="K13" s="78">
        <f>R11+R12+R13</f>
        <v>728620958548</v>
      </c>
      <c r="L13" s="87">
        <f>U13/U10-1</f>
        <v>0.47495469839037963</v>
      </c>
      <c r="N13" s="88">
        <f>AVERAGE(T11:T13)</f>
        <v>412.1134389956656</v>
      </c>
      <c r="O13" s="89">
        <f>N13/N10-1</f>
        <v>0.4124595096616781</v>
      </c>
      <c r="P13" s="129" t="s">
        <v>96</v>
      </c>
      <c r="Q13" s="116">
        <f>비행기!Q13+비행기부품!Q13</f>
        <v>253975856</v>
      </c>
      <c r="R13" s="116">
        <f>비행기!R13+비행기부품!R13</f>
        <v>346303822737</v>
      </c>
      <c r="S13" s="116">
        <f>비행기!S13+비행기부품!S13</f>
        <v>845826.13</v>
      </c>
      <c r="T13" s="130">
        <f t="shared" si="1"/>
        <v>300.26957904457265</v>
      </c>
      <c r="U13" s="85">
        <f>Q11+Q12+Q13</f>
        <v>550154834</v>
      </c>
    </row>
    <row r="14" spans="1:21" ht="15" hidden="1" customHeight="1">
      <c r="A14" s="129" t="s">
        <v>97</v>
      </c>
      <c r="C14" s="79"/>
      <c r="F14" s="78">
        <f>Q14/20</f>
        <v>5199615.3</v>
      </c>
      <c r="G14" s="90">
        <f t="shared" si="2"/>
        <v>-0.5905425514148086</v>
      </c>
      <c r="H14" s="90"/>
      <c r="I14" s="130">
        <f t="shared" si="0"/>
        <v>269.58122642609948</v>
      </c>
      <c r="J14" s="130"/>
      <c r="O14" s="89"/>
      <c r="P14" s="129" t="s">
        <v>97</v>
      </c>
      <c r="Q14" s="116">
        <f>비행기!Q14+비행기부품!Q14</f>
        <v>103992306</v>
      </c>
      <c r="R14" s="116">
        <f>비행기!R14+비행기부품!R14</f>
        <v>148228300666</v>
      </c>
      <c r="S14" s="116">
        <f>비행기!S14+비행기부품!S14</f>
        <v>385755</v>
      </c>
      <c r="T14" s="130">
        <f t="shared" si="1"/>
        <v>269.58122642609948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8642245.2727272734</v>
      </c>
      <c r="G15" s="90">
        <f t="shared" si="2"/>
        <v>0.66209320768928293</v>
      </c>
      <c r="H15" s="90"/>
      <c r="I15" s="130">
        <f t="shared" si="0"/>
        <v>287.7608212480493</v>
      </c>
      <c r="J15" s="130"/>
      <c r="O15" s="89"/>
      <c r="P15" s="129" t="s">
        <v>98</v>
      </c>
      <c r="Q15" s="116">
        <f>비행기!Q15+비행기부품!Q15</f>
        <v>190129396</v>
      </c>
      <c r="R15" s="116">
        <f>비행기!R15+비행기부품!R15</f>
        <v>265990083547</v>
      </c>
      <c r="S15" s="116">
        <f>비행기!S15+비행기부품!S15</f>
        <v>660720.23</v>
      </c>
      <c r="T15" s="130">
        <f t="shared" si="1"/>
        <v>287.7608212480493</v>
      </c>
      <c r="U15" s="78"/>
    </row>
    <row r="16" spans="1:21" ht="15" hidden="1" customHeight="1">
      <c r="A16" s="129" t="s">
        <v>99</v>
      </c>
      <c r="B16" s="131">
        <f>F14+F15+F16</f>
        <v>18609263.163636364</v>
      </c>
      <c r="C16" s="131">
        <f>AVERAGE(F14:F16)</f>
        <v>6203087.7212121217</v>
      </c>
      <c r="D16" s="90">
        <f>C16/C13-1</f>
        <v>-0.29923797454353707</v>
      </c>
      <c r="E16" s="286"/>
      <c r="F16" s="78">
        <f>Q16/22</f>
        <v>4767402.5909090908</v>
      </c>
      <c r="G16" s="90">
        <f t="shared" si="2"/>
        <v>-0.44836064697749323</v>
      </c>
      <c r="H16" s="90"/>
      <c r="I16" s="130">
        <f t="shared" si="0"/>
        <v>258.10993761405666</v>
      </c>
      <c r="J16" s="130"/>
      <c r="K16" s="78">
        <f>R14+R15+R16</f>
        <v>551683831225</v>
      </c>
      <c r="L16" s="87">
        <f>U16/U13-1</f>
        <v>-0.27474133763586994</v>
      </c>
      <c r="N16" s="88">
        <f>AVERAGE(T14:T16)</f>
        <v>271.81732842940181</v>
      </c>
      <c r="O16" s="89">
        <f>N16/N13-1</f>
        <v>-0.3404308068869828</v>
      </c>
      <c r="P16" s="129" t="s">
        <v>99</v>
      </c>
      <c r="Q16" s="116">
        <f>비행기!Q16+비행기부품!Q16</f>
        <v>104882857</v>
      </c>
      <c r="R16" s="116">
        <f>비행기!R16+비행기부품!R16</f>
        <v>137465447012</v>
      </c>
      <c r="S16" s="116">
        <f>비행기!S16+비행기부품!S16</f>
        <v>406349.55000000005</v>
      </c>
      <c r="T16" s="130">
        <f t="shared" si="1"/>
        <v>258.10993761405666</v>
      </c>
      <c r="U16" s="85">
        <f>Q14+Q15+Q16</f>
        <v>399004559</v>
      </c>
    </row>
    <row r="17" spans="1:21" ht="15" hidden="1" customHeight="1">
      <c r="A17" s="129" t="s">
        <v>100</v>
      </c>
      <c r="C17" s="79"/>
      <c r="F17" s="78">
        <f>Q17/20</f>
        <v>4294114.05</v>
      </c>
      <c r="G17" s="90">
        <f t="shared" si="2"/>
        <v>-9.9275975100487579E-2</v>
      </c>
      <c r="H17" s="90">
        <f t="shared" ref="H17:H26" si="3">F17/F5-1</f>
        <v>-0.31069139099930532</v>
      </c>
      <c r="I17" s="130">
        <f t="shared" si="0"/>
        <v>311.52428979753125</v>
      </c>
      <c r="J17" s="130">
        <f t="shared" ref="J17:J49" si="4">I17/I5-1</f>
        <v>-0.14209420902812442</v>
      </c>
      <c r="O17" s="89"/>
      <c r="P17" s="129" t="s">
        <v>100</v>
      </c>
      <c r="Q17" s="116">
        <f>비행기!Q17+비행기부품!Q17</f>
        <v>85882281</v>
      </c>
      <c r="R17" s="116">
        <f>비행기!R17+비행기부품!R17</f>
        <v>107941079210</v>
      </c>
      <c r="S17" s="116">
        <f>비행기!S17+비행기부품!S17</f>
        <v>275684.06</v>
      </c>
      <c r="T17" s="130">
        <f t="shared" si="1"/>
        <v>311.52428979753125</v>
      </c>
      <c r="U17" s="78"/>
    </row>
    <row r="18" spans="1:21" hidden="1">
      <c r="A18" s="129" t="s">
        <v>106</v>
      </c>
      <c r="C18" s="79"/>
      <c r="F18" s="78">
        <f>Q18/20</f>
        <v>7919292.7000000002</v>
      </c>
      <c r="G18" s="90">
        <f t="shared" si="2"/>
        <v>0.84422039279557581</v>
      </c>
      <c r="H18" s="90">
        <f t="shared" si="3"/>
        <v>0.59984159749562038</v>
      </c>
      <c r="I18" s="130">
        <f t="shared" si="0"/>
        <v>290.91114971007676</v>
      </c>
      <c r="J18" s="130">
        <f t="shared" si="4"/>
        <v>-9.7771723125835708E-3</v>
      </c>
      <c r="O18" s="89"/>
      <c r="P18" s="129" t="s">
        <v>106</v>
      </c>
      <c r="Q18" s="116">
        <f>비행기!Q18+비행기부품!Q18</f>
        <v>158385854</v>
      </c>
      <c r="R18" s="116">
        <f>비행기!R18+비행기부품!R18</f>
        <v>200744717904</v>
      </c>
      <c r="S18" s="116">
        <f>비행기!S18+비행기부품!S18</f>
        <v>544447.52</v>
      </c>
      <c r="T18" s="130">
        <f t="shared" si="1"/>
        <v>290.91114971007676</v>
      </c>
      <c r="U18" s="78"/>
    </row>
    <row r="19" spans="1:21" hidden="1">
      <c r="A19" s="129" t="s">
        <v>114</v>
      </c>
      <c r="B19" s="131">
        <f>SUM(F17:F19)</f>
        <v>18203733.613636363</v>
      </c>
      <c r="C19" s="131">
        <f>AVERAGE(F17:F19)</f>
        <v>6067911.2045454541</v>
      </c>
      <c r="D19" s="90">
        <f>C19/C16-1</f>
        <v>-2.1791811230464586E-2</v>
      </c>
      <c r="E19" s="286">
        <f>C19/C7-1</f>
        <v>0.11161984166165229</v>
      </c>
      <c r="F19" s="78">
        <f>Q19/22</f>
        <v>5990326.8636363633</v>
      </c>
      <c r="G19" s="90">
        <f t="shared" si="2"/>
        <v>-0.24357804534281668</v>
      </c>
      <c r="H19" s="90">
        <f t="shared" si="3"/>
        <v>0.15282426226575296</v>
      </c>
      <c r="I19" s="130">
        <f t="shared" si="0"/>
        <v>369.99743138428397</v>
      </c>
      <c r="J19" s="130">
        <f t="shared" si="4"/>
        <v>0.17901914154478971</v>
      </c>
      <c r="K19" s="78">
        <f>R17+R18+R19</f>
        <v>480937505643</v>
      </c>
      <c r="L19" s="87">
        <f>U19/U16-1</f>
        <v>-5.7516217502667666E-2</v>
      </c>
      <c r="M19" s="87">
        <f>U19/U7-1</f>
        <v>0.14647661978419602</v>
      </c>
      <c r="N19" s="88">
        <f>AVERAGE(T17:T19)</f>
        <v>324.14429029729735</v>
      </c>
      <c r="O19" s="89">
        <f>N19/N16-1</f>
        <v>0.19250782196355165</v>
      </c>
      <c r="P19" s="129" t="s">
        <v>115</v>
      </c>
      <c r="Q19" s="116">
        <f>비행기!Q19+비행기부품!Q19</f>
        <v>131787191</v>
      </c>
      <c r="R19" s="116">
        <f>비행기!R19+비행기부품!R19</f>
        <v>172251708529</v>
      </c>
      <c r="S19" s="116">
        <f>비행기!S19+비행기부품!S19</f>
        <v>356184.07</v>
      </c>
      <c r="T19" s="130">
        <f t="shared" si="1"/>
        <v>369.99743138428397</v>
      </c>
      <c r="U19" s="85">
        <f>Q17+Q18+Q19</f>
        <v>376055326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4886380.75</v>
      </c>
      <c r="G20" s="90">
        <f t="shared" si="2"/>
        <v>-0.18428812630204705</v>
      </c>
      <c r="H20" s="90">
        <f t="shared" si="3"/>
        <v>4.5537575667720764E-2</v>
      </c>
      <c r="I20" s="130">
        <f t="shared" si="0"/>
        <v>339.41188795793283</v>
      </c>
      <c r="J20" s="130">
        <f t="shared" si="4"/>
        <v>2.2132871716439517E-2</v>
      </c>
      <c r="O20" s="89"/>
      <c r="P20" s="129" t="s">
        <v>131</v>
      </c>
      <c r="Q20" s="116">
        <f>비행기!Q20+비행기부품!Q20</f>
        <v>97727615</v>
      </c>
      <c r="R20" s="116">
        <f>비행기!R20+비행기부품!R20</f>
        <v>128080974707</v>
      </c>
      <c r="S20" s="116">
        <f>비행기!S20+비행기부품!S20</f>
        <v>287932.21000000002</v>
      </c>
      <c r="T20" s="130">
        <f t="shared" si="1"/>
        <v>339.41188795793283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14629654.952380951</v>
      </c>
      <c r="G21" s="90">
        <f t="shared" si="2"/>
        <v>1.9939654113898002</v>
      </c>
      <c r="H21" s="90">
        <f t="shared" si="3"/>
        <v>0.87893076673112369</v>
      </c>
      <c r="I21" s="130">
        <f t="shared" si="0"/>
        <v>376.3903622878517</v>
      </c>
      <c r="J21" s="130">
        <f t="shared" si="4"/>
        <v>0.8513718438271447</v>
      </c>
      <c r="O21" s="89"/>
      <c r="P21" s="129" t="s">
        <v>141</v>
      </c>
      <c r="Q21" s="116">
        <f>비행기!Q21+비행기부품!Q21</f>
        <v>307222754</v>
      </c>
      <c r="R21" s="116">
        <f>비행기!R21+비행기부품!R21</f>
        <v>408045711242</v>
      </c>
      <c r="S21" s="116">
        <f>비행기!S21+비행기부품!S21</f>
        <v>816234.38</v>
      </c>
      <c r="T21" s="130">
        <f t="shared" si="1"/>
        <v>376.3903622878517</v>
      </c>
      <c r="U21" s="78"/>
    </row>
    <row r="22" spans="1:21" hidden="1">
      <c r="A22" s="129" t="s">
        <v>156</v>
      </c>
      <c r="B22" s="131">
        <f>SUM(F20:F22)</f>
        <v>29831614.273809522</v>
      </c>
      <c r="C22" s="131">
        <f>AVERAGE(F20:F22)</f>
        <v>9943871.4246031735</v>
      </c>
      <c r="D22" s="90">
        <f>C22/C19-1</f>
        <v>0.63876350351901157</v>
      </c>
      <c r="E22" s="286">
        <f>C22/C10-1</f>
        <v>0.67953785953323487</v>
      </c>
      <c r="F22" s="78">
        <f>Q22/21</f>
        <v>10315578.571428571</v>
      </c>
      <c r="G22" s="90">
        <f t="shared" si="2"/>
        <v>-0.29488572321046247</v>
      </c>
      <c r="H22" s="90">
        <f t="shared" si="3"/>
        <v>0.94557154500369256</v>
      </c>
      <c r="I22" s="130">
        <f t="shared" si="0"/>
        <v>359.39217775943843</v>
      </c>
      <c r="J22" s="130">
        <f t="shared" si="4"/>
        <v>5.720874770840334E-2</v>
      </c>
      <c r="K22" s="78">
        <f>R20+R21+R22</f>
        <v>818706560097</v>
      </c>
      <c r="L22" s="87">
        <f>U22/U19-1</f>
        <v>0.65288848747750494</v>
      </c>
      <c r="M22" s="87">
        <f>U22/U10-1</f>
        <v>0.66643756521620512</v>
      </c>
      <c r="N22" s="88">
        <f>AVERAGE(T20:T22)</f>
        <v>358.39814266840767</v>
      </c>
      <c r="O22" s="89">
        <f>N22/N19-1</f>
        <v>0.10567470535943579</v>
      </c>
      <c r="P22" s="129" t="s">
        <v>156</v>
      </c>
      <c r="Q22" s="116">
        <f>비행기!Q22+비행기부품!Q22</f>
        <v>216627150</v>
      </c>
      <c r="R22" s="116">
        <f>비행기!R22+비행기부품!R22</f>
        <v>282579874148</v>
      </c>
      <c r="S22" s="116">
        <f>비행기!S22+비행기부품!S22</f>
        <v>602759.78</v>
      </c>
      <c r="T22" s="130">
        <f t="shared" si="1"/>
        <v>359.39217775943843</v>
      </c>
      <c r="U22" s="85">
        <f>Q20+Q21+Q22</f>
        <v>621577519</v>
      </c>
    </row>
    <row r="23" spans="1:21" hidden="1">
      <c r="A23" s="129" t="s">
        <v>189</v>
      </c>
      <c r="B23" s="131"/>
      <c r="C23" s="131"/>
      <c r="F23" s="78">
        <f>Q23/21</f>
        <v>9315163.4285714291</v>
      </c>
      <c r="G23" s="90">
        <f t="shared" si="2"/>
        <v>-9.698100168884638E-2</v>
      </c>
      <c r="H23" s="90">
        <f t="shared" si="3"/>
        <v>7.3900098196055808E-2</v>
      </c>
      <c r="I23" s="130">
        <f t="shared" si="0"/>
        <v>504.43376907129885</v>
      </c>
      <c r="J23" s="130">
        <f t="shared" si="4"/>
        <v>-0.17160934788987958</v>
      </c>
      <c r="O23" s="89"/>
      <c r="P23" s="129" t="s">
        <v>189</v>
      </c>
      <c r="Q23" s="116">
        <f>비행기!Q23+비행기부품!Q23</f>
        <v>195618432</v>
      </c>
      <c r="R23" s="116">
        <f>비행기!R23+비행기부품!R23</f>
        <v>253792895093</v>
      </c>
      <c r="S23" s="116">
        <f>비행기!S23+비행기부품!S23</f>
        <v>387798.05</v>
      </c>
      <c r="T23" s="130">
        <f t="shared" si="1"/>
        <v>504.43376907129885</v>
      </c>
      <c r="U23" s="78"/>
    </row>
    <row r="24" spans="1:21" hidden="1">
      <c r="A24" s="129" t="s">
        <v>204</v>
      </c>
      <c r="B24" s="131"/>
      <c r="C24" s="131"/>
      <c r="F24" s="78">
        <f>Q24/22</f>
        <v>8888748.6818181816</v>
      </c>
      <c r="G24" s="90">
        <f t="shared" si="2"/>
        <v>-4.577641069026761E-2</v>
      </c>
      <c r="H24" s="90">
        <f t="shared" si="3"/>
        <v>0.71504207605890535</v>
      </c>
      <c r="I24" s="130">
        <f t="shared" si="0"/>
        <v>519.73207040700527</v>
      </c>
      <c r="J24" s="130">
        <f t="shared" si="4"/>
        <v>0.58872178471273884</v>
      </c>
      <c r="O24" s="89"/>
      <c r="P24" s="129" t="s">
        <v>204</v>
      </c>
      <c r="Q24" s="116">
        <f>비행기!Q24+비행기부품!Q24</f>
        <v>195552471</v>
      </c>
      <c r="R24" s="116">
        <f>비행기!R24+비행기부품!R24</f>
        <v>256669575414</v>
      </c>
      <c r="S24" s="116">
        <f>비행기!S24+비행기부품!S24</f>
        <v>376256.31</v>
      </c>
      <c r="T24" s="130">
        <f t="shared" si="1"/>
        <v>519.73207040700527</v>
      </c>
      <c r="U24" s="78"/>
    </row>
    <row r="25" spans="1:21" s="79" customFormat="1" ht="13.2" hidden="1">
      <c r="A25" s="129" t="s">
        <v>229</v>
      </c>
      <c r="B25" s="131">
        <f>SUM(F23:F25)</f>
        <v>30766101.268284351</v>
      </c>
      <c r="C25" s="131">
        <f>AVERAGE(F23:F25)</f>
        <v>10255367.089428117</v>
      </c>
      <c r="D25" s="90">
        <f>C25/C22-1</f>
        <v>3.1325391442033279E-2</v>
      </c>
      <c r="E25" s="286">
        <f>C25/C13-1</f>
        <v>0.15854750672184581</v>
      </c>
      <c r="F25" s="78">
        <f>Q25/19</f>
        <v>12562189.157894736</v>
      </c>
      <c r="G25" s="90">
        <f t="shared" si="2"/>
        <v>0.41326857216590329</v>
      </c>
      <c r="H25" s="90">
        <f t="shared" si="3"/>
        <v>-1.0757214820078409E-2</v>
      </c>
      <c r="I25" s="130">
        <f t="shared" si="0"/>
        <v>356.5520985045228</v>
      </c>
      <c r="J25" s="130">
        <f t="shared" si="4"/>
        <v>0.1874399652440164</v>
      </c>
      <c r="K25" s="78">
        <f>R23+R24+R25</f>
        <v>827245184068</v>
      </c>
      <c r="L25" s="90">
        <f>U25/U22-1</f>
        <v>1.3312865647574945E-2</v>
      </c>
      <c r="M25" s="90">
        <f>U25/U13-1</f>
        <v>0.14486406021472864</v>
      </c>
      <c r="N25" s="88">
        <f>AVERAGE(T23:T25)</f>
        <v>460.23931266094229</v>
      </c>
      <c r="O25" s="91">
        <f>N25/N22-1</f>
        <v>0.28415652278298431</v>
      </c>
      <c r="P25" s="129" t="s">
        <v>229</v>
      </c>
      <c r="Q25" s="116">
        <f>비행기!Q25+비행기부품!Q25</f>
        <v>238681594</v>
      </c>
      <c r="R25" s="116">
        <f>비행기!R25+비행기부품!R25</f>
        <v>316782713561</v>
      </c>
      <c r="S25" s="116">
        <f>비행기!S25+비행기부품!S25</f>
        <v>669415.76</v>
      </c>
      <c r="T25" s="130">
        <f t="shared" si="1"/>
        <v>356.5520985045228</v>
      </c>
      <c r="U25" s="85">
        <f>Q23+Q24+Q25</f>
        <v>629852497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18345742.842105262</v>
      </c>
      <c r="G26" s="90">
        <f t="shared" si="2"/>
        <v>0.4603937746452289</v>
      </c>
      <c r="H26" s="90">
        <f t="shared" si="3"/>
        <v>2.5282884951325655</v>
      </c>
      <c r="I26" s="130">
        <f t="shared" si="0"/>
        <v>366.68302439479766</v>
      </c>
      <c r="J26" s="130">
        <f t="shared" si="4"/>
        <v>0.36019495591736539</v>
      </c>
      <c r="L26" s="90"/>
      <c r="M26" s="90"/>
      <c r="P26" s="129" t="s">
        <v>312</v>
      </c>
      <c r="Q26" s="116">
        <f>비행기!Q26+비행기부품!Q26</f>
        <v>348569114</v>
      </c>
      <c r="R26" s="116">
        <f>비행기!R26+비행기부품!R26</f>
        <v>470117063521</v>
      </c>
      <c r="S26" s="116">
        <f>비행기!S26+비행기부품!S26</f>
        <v>950600.63</v>
      </c>
      <c r="T26" s="130">
        <f t="shared" si="1"/>
        <v>366.68302439479766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13345605.636363637</v>
      </c>
      <c r="G27" s="90">
        <f t="shared" ref="G27" si="5">F27/F26-1</f>
        <v>-0.27255027222260109</v>
      </c>
      <c r="H27" s="90">
        <f t="shared" ref="H27" si="6">F27/F15-1</f>
        <v>0.5442289839283978</v>
      </c>
      <c r="I27" s="130">
        <f t="shared" si="0"/>
        <v>739.91878122442074</v>
      </c>
      <c r="J27" s="130">
        <f t="shared" si="4"/>
        <v>1.5712978508169191</v>
      </c>
      <c r="L27" s="90"/>
      <c r="M27" s="90"/>
      <c r="P27" s="129" t="s">
        <v>378</v>
      </c>
      <c r="Q27" s="116">
        <f>비행기!Q27+비행기부품!Q27</f>
        <v>293603324</v>
      </c>
      <c r="R27" s="116">
        <f>비행기!R27+비행기부품!R27</f>
        <v>390149663968</v>
      </c>
      <c r="S27" s="116">
        <f>비행기!S27+비행기부품!S27</f>
        <v>396804.8</v>
      </c>
      <c r="T27" s="130">
        <f t="shared" ref="T27" si="7">Q27/S27</f>
        <v>739.91878122442074</v>
      </c>
      <c r="U27" s="78"/>
    </row>
    <row r="28" spans="1:21" s="79" customFormat="1" ht="13.2" hidden="1">
      <c r="A28" s="123" t="s">
        <v>414</v>
      </c>
      <c r="B28" s="131">
        <f>SUM(F26:F28)</f>
        <v>40398883.583732054</v>
      </c>
      <c r="C28" s="131">
        <f>AVERAGE(F26:F28)</f>
        <v>13466294.527910685</v>
      </c>
      <c r="D28" s="90">
        <f>C28/C25-1</f>
        <v>0.31309726999364029</v>
      </c>
      <c r="E28" s="286">
        <f>C28/C16-1</f>
        <v>1.1709018368160828</v>
      </c>
      <c r="F28" s="78">
        <f>Q28/19</f>
        <v>8707535.1052631587</v>
      </c>
      <c r="G28" s="90">
        <f t="shared" ref="G28" si="8">F28/F27-1</f>
        <v>-0.34753541034232471</v>
      </c>
      <c r="H28" s="90">
        <f t="shared" ref="H28" si="9">F28/F16-1</f>
        <v>0.82647362777111888</v>
      </c>
      <c r="I28" s="130">
        <f t="shared" si="0"/>
        <v>242.32352260180178</v>
      </c>
      <c r="J28" s="130">
        <f t="shared" si="4"/>
        <v>-6.1161593227223143E-2</v>
      </c>
      <c r="K28" s="78">
        <f>R26+R27+R28</f>
        <v>1075927962935</v>
      </c>
      <c r="L28" s="90">
        <f>U28/U25-1</f>
        <v>0.28222974243444177</v>
      </c>
      <c r="M28" s="90">
        <f>U28/U16-1</f>
        <v>1.0240761334258339</v>
      </c>
      <c r="N28" s="88">
        <f>AVERAGE(T26:T28)</f>
        <v>449.64177607367338</v>
      </c>
      <c r="O28" s="91">
        <f>N28/N25-1</f>
        <v>-2.3026143781585406E-2</v>
      </c>
      <c r="P28" s="129" t="s">
        <v>414</v>
      </c>
      <c r="Q28" s="116">
        <f>비행기!Q28+비행기부품!Q28</f>
        <v>165443167</v>
      </c>
      <c r="R28" s="116">
        <f>비행기!R28+비행기부품!R28</f>
        <v>215661235446</v>
      </c>
      <c r="S28" s="116">
        <f>비행기!S28+비행기부품!S28</f>
        <v>682736.72</v>
      </c>
      <c r="T28" s="130">
        <f t="shared" ref="T28" si="10">Q28/S28</f>
        <v>242.32352260180178</v>
      </c>
      <c r="U28" s="85">
        <f>Q26+Q27+Q28</f>
        <v>807615605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5619082.3181818184</v>
      </c>
      <c r="G29" s="190">
        <f t="shared" ref="G29" si="11">F29/F28-1</f>
        <v>-0.35468737705284292</v>
      </c>
      <c r="H29" s="190">
        <f t="shared" ref="H29" si="12">F29/F17-1</f>
        <v>0.30855451270136114</v>
      </c>
      <c r="I29" s="130">
        <f t="shared" si="0"/>
        <v>347.67733075650841</v>
      </c>
      <c r="J29" s="130">
        <f t="shared" si="4"/>
        <v>0.11605207729539835</v>
      </c>
      <c r="K29" s="136"/>
      <c r="L29" s="190"/>
      <c r="M29" s="190"/>
      <c r="N29" s="191"/>
      <c r="O29" s="192"/>
      <c r="P29" s="129" t="s">
        <v>430</v>
      </c>
      <c r="Q29" s="116">
        <f>비행기!Q29+비행기부품!Q29</f>
        <v>123619811</v>
      </c>
      <c r="R29" s="116">
        <f>비행기!R29+비행기부품!R29</f>
        <v>162787328037</v>
      </c>
      <c r="S29" s="116">
        <f>비행기!S29+비행기부품!S29</f>
        <v>355559.02</v>
      </c>
      <c r="T29" s="130">
        <f t="shared" ref="T29" si="13">Q29/S29</f>
        <v>347.67733075650841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10367462</v>
      </c>
      <c r="G30" s="190">
        <f t="shared" ref="G30" si="14">F30/F29-1</f>
        <v>0.8450454029572978</v>
      </c>
      <c r="H30" s="190">
        <f t="shared" ref="H30" si="15">F30/F18-1</f>
        <v>0.30913989326344771</v>
      </c>
      <c r="I30" s="130">
        <f t="shared" si="0"/>
        <v>512.6305184998273</v>
      </c>
      <c r="J30" s="130">
        <f t="shared" si="4"/>
        <v>0.76215493634643083</v>
      </c>
      <c r="K30" s="136"/>
      <c r="L30" s="190"/>
      <c r="M30" s="190"/>
      <c r="N30" s="191"/>
      <c r="O30" s="192"/>
      <c r="P30" s="129" t="s">
        <v>466</v>
      </c>
      <c r="Q30" s="116">
        <f>비행기!Q30+비행기부품!Q30</f>
        <v>196981778</v>
      </c>
      <c r="R30" s="116">
        <f>비행기!R30+비행기부품!R30</f>
        <v>262412259431</v>
      </c>
      <c r="S30" s="116">
        <f>비행기!S30+비행기부품!S30</f>
        <v>384256.83</v>
      </c>
      <c r="T30" s="130">
        <f t="shared" ref="T30" si="16">Q30/S30</f>
        <v>512.6305184998273</v>
      </c>
      <c r="U30" s="85"/>
    </row>
    <row r="31" spans="1:21" s="79" customFormat="1" ht="13.2" hidden="1">
      <c r="A31" s="129" t="s">
        <v>466</v>
      </c>
      <c r="B31" s="188">
        <f>SUM(F29:F31)</f>
        <v>23345597.368181817</v>
      </c>
      <c r="C31" s="188">
        <f>AVERAGE(F29:F31)</f>
        <v>7781865.7893939391</v>
      </c>
      <c r="D31" s="190">
        <f>C31/C28-1</f>
        <v>-0.42212270990620415</v>
      </c>
      <c r="E31" s="287">
        <f>C31/C19-1</f>
        <v>0.28246204123167895</v>
      </c>
      <c r="F31" s="136">
        <f>Q31/20</f>
        <v>7359053.0499999998</v>
      </c>
      <c r="G31" s="190">
        <f t="shared" ref="G31" si="17">F31/F30-1</f>
        <v>-0.29017795772967392</v>
      </c>
      <c r="H31" s="190">
        <f t="shared" ref="H31" si="18">F31/F19-1</f>
        <v>0.2284893992466992</v>
      </c>
      <c r="I31" s="130">
        <f t="shared" si="0"/>
        <v>346.28564618934428</v>
      </c>
      <c r="J31" s="130">
        <f t="shared" si="4"/>
        <v>-6.4086350832831429E-2</v>
      </c>
      <c r="K31" s="136">
        <f>R29+R30+R31</f>
        <v>620859028343</v>
      </c>
      <c r="L31" s="190">
        <f>U31/U28-1</f>
        <v>-0.42078552333074348</v>
      </c>
      <c r="M31" s="190">
        <f>U31/U19-1</f>
        <v>0.24391975770075924</v>
      </c>
      <c r="N31" s="191">
        <f>AVERAGE(T29:T31)</f>
        <v>402.19783181522666</v>
      </c>
      <c r="O31" s="192">
        <f>N31/N28-1</f>
        <v>-0.10551498277747451</v>
      </c>
      <c r="P31" s="129" t="s">
        <v>466</v>
      </c>
      <c r="Q31" s="116">
        <f>비행기!Q31+비행기부품!Q31</f>
        <v>147181061</v>
      </c>
      <c r="R31" s="116">
        <f>비행기!R31+비행기부품!R31</f>
        <v>195659440875</v>
      </c>
      <c r="S31" s="116">
        <f>비행기!S31+비행기부품!S31</f>
        <v>425027.9</v>
      </c>
      <c r="T31" s="130">
        <f t="shared" ref="T31" si="19">Q31/S31</f>
        <v>346.28564618934428</v>
      </c>
      <c r="U31" s="85">
        <f>Q29+Q30+Q31</f>
        <v>467782650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5421776.333333333</v>
      </c>
      <c r="G32" s="190">
        <f t="shared" ref="G32" si="20">F32/F31-1</f>
        <v>-0.26325081549271712</v>
      </c>
      <c r="H32" s="190">
        <f t="shared" ref="H32" si="21">F32/F20-1</f>
        <v>0.10956894493605174</v>
      </c>
      <c r="I32" s="130">
        <f t="shared" si="0"/>
        <v>299.23376889706935</v>
      </c>
      <c r="J32" s="130">
        <f t="shared" si="4"/>
        <v>-0.11837569774763812</v>
      </c>
      <c r="K32" s="136"/>
      <c r="L32" s="190"/>
      <c r="M32" s="190"/>
      <c r="N32" s="191"/>
      <c r="O32" s="192"/>
      <c r="P32" s="129" t="s">
        <v>562</v>
      </c>
      <c r="Q32" s="116">
        <f>비행기!Q32+비행기부품!Q32</f>
        <v>113857303</v>
      </c>
      <c r="R32" s="116">
        <f>비행기!R32+비행기부품!R32</f>
        <v>154671518815</v>
      </c>
      <c r="S32" s="116">
        <f>비행기!S32+비행기부품!S32</f>
        <v>380496.17</v>
      </c>
      <c r="T32" s="130">
        <f t="shared" ref="T32" si="22">Q32/S32</f>
        <v>299.23376889706935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5837422.7619047621</v>
      </c>
      <c r="G33" s="190">
        <f t="shared" ref="G33" si="23">F33/F32-1</f>
        <v>7.6662407856262105E-2</v>
      </c>
      <c r="H33" s="190">
        <f t="shared" ref="H33" si="24">F33/F21-1</f>
        <v>-0.60098698288473773</v>
      </c>
      <c r="I33" s="130">
        <f t="shared" si="0"/>
        <v>304.63360333706163</v>
      </c>
      <c r="J33" s="130">
        <f t="shared" si="4"/>
        <v>-0.19064451734264309</v>
      </c>
      <c r="K33" s="136"/>
      <c r="L33" s="190"/>
      <c r="M33" s="190"/>
      <c r="N33" s="191"/>
      <c r="O33" s="192"/>
      <c r="P33" s="129" t="s">
        <v>609</v>
      </c>
      <c r="Q33" s="116">
        <f>비행기!Q33+비행기부품!Q33</f>
        <v>122585878</v>
      </c>
      <c r="R33" s="116">
        <f>비행기!R33+비행기부품!R33</f>
        <v>167716295567</v>
      </c>
      <c r="S33" s="116">
        <f>비행기!S33+비행기부품!S33</f>
        <v>402404.31999999995</v>
      </c>
      <c r="T33" s="130">
        <f t="shared" ref="T33" si="25">Q33/S33</f>
        <v>304.63360333706163</v>
      </c>
      <c r="U33" s="85"/>
    </row>
    <row r="34" spans="1:21" s="79" customFormat="1" ht="13.2" hidden="1">
      <c r="A34" s="129" t="s">
        <v>652</v>
      </c>
      <c r="B34" s="188">
        <f>SUM(F32:F34)</f>
        <v>24898345.621553883</v>
      </c>
      <c r="C34" s="188">
        <f>AVERAGE(F32:F34)</f>
        <v>8299448.5405179607</v>
      </c>
      <c r="D34" s="190">
        <f>C34/C31-1</f>
        <v>6.6511395227278891E-2</v>
      </c>
      <c r="E34" s="287">
        <f>C34/C22-1</f>
        <v>-0.16537048940682941</v>
      </c>
      <c r="F34" s="136">
        <f>Q34/19</f>
        <v>13639146.52631579</v>
      </c>
      <c r="G34" s="190">
        <f t="shared" ref="G34" si="26">F34/F33-1</f>
        <v>1.3365014121172387</v>
      </c>
      <c r="H34" s="190">
        <f t="shared" ref="H34" si="27">F34/F22-1</f>
        <v>0.32218919490300091</v>
      </c>
      <c r="I34" s="130">
        <f t="shared" si="0"/>
        <v>351.64101084418229</v>
      </c>
      <c r="J34" s="130">
        <f t="shared" si="4"/>
        <v>-2.1567433558457805E-2</v>
      </c>
      <c r="K34" s="136">
        <f>R32+R33+R34</f>
        <v>677672485029</v>
      </c>
      <c r="L34" s="190">
        <f>U34/U31-1</f>
        <v>5.9438534114080621E-2</v>
      </c>
      <c r="M34" s="190">
        <f>U34/U22-1</f>
        <v>-0.20269483716640013</v>
      </c>
      <c r="N34" s="191">
        <f>AVERAGE(T32:T34)</f>
        <v>318.50279435943776</v>
      </c>
      <c r="O34" s="192">
        <f>N34/N31-1</f>
        <v>-0.20809420348700225</v>
      </c>
      <c r="P34" s="129" t="s">
        <v>652</v>
      </c>
      <c r="Q34" s="116">
        <f>비행기!Q34+비행기부품!Q34</f>
        <v>259143784</v>
      </c>
      <c r="R34" s="116">
        <f>비행기!R34+비행기부품!R34</f>
        <v>355284670647</v>
      </c>
      <c r="S34" s="116">
        <f>비행기!S34+비행기부품!S34</f>
        <v>736955.52</v>
      </c>
      <c r="T34" s="130">
        <f t="shared" ref="T34" si="28">Q34/S34</f>
        <v>351.64101084418229</v>
      </c>
      <c r="U34" s="85">
        <f>Q32+Q33+Q34</f>
        <v>495586965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8077727</v>
      </c>
      <c r="G35" s="190">
        <f t="shared" ref="G35" si="29">F35/F34-1</f>
        <v>-0.40775421802129741</v>
      </c>
      <c r="H35" s="190">
        <f t="shared" ref="H35" si="30">F35/F23-1</f>
        <v>-0.13284108626328228</v>
      </c>
      <c r="I35" s="130">
        <f t="shared" si="0"/>
        <v>436.64167037335238</v>
      </c>
      <c r="J35" s="130">
        <f t="shared" si="4"/>
        <v>-0.13439246706808883</v>
      </c>
      <c r="K35" s="136"/>
      <c r="L35" s="190"/>
      <c r="M35" s="190"/>
      <c r="N35" s="191"/>
      <c r="O35" s="192"/>
      <c r="P35" s="129" t="s">
        <v>660</v>
      </c>
      <c r="Q35" s="116">
        <f>비행기!Q35+비행기부품!Q35</f>
        <v>185787721</v>
      </c>
      <c r="R35" s="116">
        <f>비행기!R35+비행기부품!R35</f>
        <v>257166926569</v>
      </c>
      <c r="S35" s="116">
        <f>비행기!S35+비행기부품!S35</f>
        <v>425492.42</v>
      </c>
      <c r="T35" s="130">
        <f t="shared" ref="T35" si="31">Q35/S35</f>
        <v>436.64167037335238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5059873.7619047621</v>
      </c>
      <c r="G36" s="190">
        <f t="shared" ref="G36" si="32">F36/F35-1</f>
        <v>-0.37360178650445075</v>
      </c>
      <c r="H36" s="190">
        <f t="shared" ref="H36" si="33">F36/F24-1</f>
        <v>-0.4307552229196594</v>
      </c>
      <c r="I36" s="130">
        <f t="shared" si="0"/>
        <v>281.95583574115807</v>
      </c>
      <c r="J36" s="130">
        <f t="shared" si="4"/>
        <v>-0.45749771508162507</v>
      </c>
      <c r="K36" s="136"/>
      <c r="L36" s="190"/>
      <c r="M36" s="190"/>
      <c r="N36" s="191"/>
      <c r="O36" s="192"/>
      <c r="P36" s="129" t="s">
        <v>664</v>
      </c>
      <c r="Q36" s="116">
        <f>비행기!Q36+비행기부품!Q36</f>
        <v>106257349</v>
      </c>
      <c r="R36" s="116">
        <f>비행기!R36+비행기부품!R36</f>
        <v>145266647585</v>
      </c>
      <c r="S36" s="116">
        <f>비행기!S36+비행기부품!S36</f>
        <v>376858.13</v>
      </c>
      <c r="T36" s="130">
        <f t="shared" ref="T36" si="34">Q36/S36</f>
        <v>281.95583574115807</v>
      </c>
      <c r="U36" s="85"/>
    </row>
    <row r="37" spans="1:21" s="79" customFormat="1" ht="13.2" hidden="1">
      <c r="A37" s="129" t="s">
        <v>702</v>
      </c>
      <c r="B37" s="188">
        <f>SUM(F35:F37)</f>
        <v>18716997.761904761</v>
      </c>
      <c r="C37" s="188">
        <f>AVERAGE(F35:F37)</f>
        <v>6238999.2539682537</v>
      </c>
      <c r="D37" s="190">
        <f>C37/C34-1</f>
        <v>-0.24826339683782372</v>
      </c>
      <c r="E37" s="287">
        <f>C37/C25-1</f>
        <v>-0.3916356967465543</v>
      </c>
      <c r="F37" s="136">
        <f>Q37/18</f>
        <v>5579397</v>
      </c>
      <c r="G37" s="190">
        <f t="shared" ref="G37" si="35">F37/F36-1</f>
        <v>0.10267513826267205</v>
      </c>
      <c r="H37" s="190">
        <f t="shared" ref="H37" si="36">F37/F25-1</f>
        <v>-0.55585790582578398</v>
      </c>
      <c r="I37" s="130">
        <f t="shared" si="0"/>
        <v>272.63735516441523</v>
      </c>
      <c r="J37" s="130">
        <f t="shared" si="4"/>
        <v>-0.23535058043991053</v>
      </c>
      <c r="K37" s="136">
        <f>R35+R36+R37</f>
        <v>536420237825</v>
      </c>
      <c r="L37" s="190">
        <f>U37/U34-1</f>
        <v>-0.20806186659893289</v>
      </c>
      <c r="M37" s="190">
        <f>U37/U25-1</f>
        <v>-0.3768791615983702</v>
      </c>
      <c r="N37" s="191">
        <f>AVERAGE(T35:T37)</f>
        <v>330.41162042630856</v>
      </c>
      <c r="O37" s="192">
        <f>N37/N34-1</f>
        <v>3.7390020677279923E-2</v>
      </c>
      <c r="P37" s="129" t="s">
        <v>702</v>
      </c>
      <c r="Q37" s="116">
        <f>비행기!Q37+비행기부품!Q37</f>
        <v>100429146</v>
      </c>
      <c r="R37" s="116">
        <f>비행기!R37+비행기부품!R37</f>
        <v>133986663671</v>
      </c>
      <c r="S37" s="116">
        <f>비행기!S37+비행기부품!S37</f>
        <v>368361.64999999997</v>
      </c>
      <c r="T37" s="130">
        <f t="shared" ref="T37" si="37">Q37/S37</f>
        <v>272.63735516441523</v>
      </c>
      <c r="U37" s="85">
        <f>Q35+Q36+Q37</f>
        <v>392474216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16155097.5</v>
      </c>
      <c r="G38" s="190">
        <f t="shared" ref="G38" si="38">F38/F37-1</f>
        <v>1.8954916633464154</v>
      </c>
      <c r="H38" s="190">
        <f t="shared" ref="H38" si="39">F38/F26-1</f>
        <v>-0.11940892014890336</v>
      </c>
      <c r="I38" s="130">
        <f t="shared" si="0"/>
        <v>530.62649761281102</v>
      </c>
      <c r="J38" s="130">
        <f t="shared" si="4"/>
        <v>0.44709861736468026</v>
      </c>
      <c r="K38" s="136"/>
      <c r="L38" s="190"/>
      <c r="M38" s="190"/>
      <c r="N38" s="191"/>
      <c r="O38" s="192"/>
      <c r="P38" s="129" t="s">
        <v>728</v>
      </c>
      <c r="Q38" s="116">
        <f>비행기!Q38+비행기부품!Q38</f>
        <v>323101950</v>
      </c>
      <c r="R38" s="116">
        <f>비행기!R38+비행기부품!R38</f>
        <v>439853562026</v>
      </c>
      <c r="S38" s="116">
        <f>비행기!S38+비행기부품!S38</f>
        <v>608906.55000000005</v>
      </c>
      <c r="T38" s="130">
        <f t="shared" ref="T38" si="40">Q38/S38</f>
        <v>530.62649761281102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4865513.0952380951</v>
      </c>
      <c r="G39" s="190">
        <f t="shared" ref="G39" si="41">F39/F38-1</f>
        <v>-0.69882490060873392</v>
      </c>
      <c r="H39" s="190">
        <f t="shared" ref="H39" si="42">F39/F27-1</f>
        <v>-0.63542208365720654</v>
      </c>
      <c r="I39" s="130">
        <f t="shared" si="0"/>
        <v>294.39263147819509</v>
      </c>
      <c r="J39" s="130">
        <f t="shared" si="4"/>
        <v>-0.60212845119158498</v>
      </c>
      <c r="K39" s="136"/>
      <c r="L39" s="190"/>
      <c r="M39" s="190"/>
      <c r="N39" s="191"/>
      <c r="O39" s="192"/>
      <c r="P39" s="129" t="s">
        <v>762</v>
      </c>
      <c r="Q39" s="116">
        <f>비행기!Q39+비행기부품!Q39</f>
        <v>102175775</v>
      </c>
      <c r="R39" s="116">
        <f>비행기!R39+비행기부품!R39</f>
        <v>142012880472</v>
      </c>
      <c r="S39" s="116">
        <f>비행기!S39+비행기부품!S39</f>
        <v>347073.13999999996</v>
      </c>
      <c r="T39" s="130">
        <f t="shared" ref="T39:T44" si="43">Q39/S39</f>
        <v>294.39263147819509</v>
      </c>
      <c r="U39" s="85"/>
    </row>
    <row r="40" spans="1:21" s="79" customFormat="1" ht="13.2" hidden="1">
      <c r="A40" s="129" t="s">
        <v>778</v>
      </c>
      <c r="B40" s="188">
        <f>SUM(F38:F40)</f>
        <v>26524513.119047619</v>
      </c>
      <c r="C40" s="188">
        <f>AVERAGE(F38:F40)</f>
        <v>8841504.3730158731</v>
      </c>
      <c r="D40" s="190">
        <f>C40/C37-1</f>
        <v>0.41713502648558931</v>
      </c>
      <c r="E40" s="287">
        <f>C40/C28-1</f>
        <v>-0.34343450199379788</v>
      </c>
      <c r="F40" s="136">
        <f>Q40/21</f>
        <v>5503902.5238095243</v>
      </c>
      <c r="G40" s="190">
        <f t="shared" ref="G40" si="44">F40/F39-1</f>
        <v>0.1312070106637313</v>
      </c>
      <c r="H40" s="190">
        <f t="shared" ref="H40" si="45">F40/F28-1</f>
        <v>-0.36791497739897017</v>
      </c>
      <c r="I40" s="130">
        <f t="shared" si="0"/>
        <v>295.06177607951776</v>
      </c>
      <c r="J40" s="130">
        <f t="shared" si="4"/>
        <v>0.21763571654732883</v>
      </c>
      <c r="K40" s="136">
        <f>R38+R39+R40</f>
        <v>745877563629</v>
      </c>
      <c r="L40" s="190">
        <f>U40/U37-1</f>
        <v>0.37807696901036669</v>
      </c>
      <c r="M40" s="190">
        <f>U40/U28-1</f>
        <v>-0.33030061002845534</v>
      </c>
      <c r="N40" s="191">
        <f>AVERAGE(T38:T40)</f>
        <v>373.36030172350797</v>
      </c>
      <c r="O40" s="192">
        <f>N40/N37-1</f>
        <v>0.1299853838124263</v>
      </c>
      <c r="P40" s="129" t="s">
        <v>778</v>
      </c>
      <c r="Q40" s="116">
        <f>비행기!Q40+비행기부품!Q40</f>
        <v>115581953</v>
      </c>
      <c r="R40" s="116">
        <f>비행기!R40+비행기부품!R40</f>
        <v>164011121131</v>
      </c>
      <c r="S40" s="116">
        <f>비행기!S40+비행기부품!S40</f>
        <v>391721.2</v>
      </c>
      <c r="T40" s="130">
        <f t="shared" si="43"/>
        <v>295.06177607951776</v>
      </c>
      <c r="U40" s="85">
        <f>Q38+Q39+Q40</f>
        <v>540859678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16846611.055555556</v>
      </c>
      <c r="G41" s="190">
        <f t="shared" ref="G41" si="46">F41/F40-1</f>
        <v>2.0608483676224667</v>
      </c>
      <c r="H41" s="190">
        <f t="shared" ref="H41" si="47">F41/F29-1</f>
        <v>1.998107182207407</v>
      </c>
      <c r="I41" s="130">
        <f t="shared" si="0"/>
        <v>545.44707399343872</v>
      </c>
      <c r="J41" s="130">
        <f t="shared" si="4"/>
        <v>0.56883128620035328</v>
      </c>
      <c r="K41" s="193"/>
      <c r="L41" s="190"/>
      <c r="M41" s="190"/>
      <c r="N41" s="193"/>
      <c r="O41" s="193"/>
      <c r="P41" s="129" t="s">
        <v>793</v>
      </c>
      <c r="Q41" s="116">
        <f>비행기!Q41+비행기부품!Q41</f>
        <v>303238999</v>
      </c>
      <c r="R41" s="116">
        <f>비행기!R41+비행기부품!R41</f>
        <v>443347591169</v>
      </c>
      <c r="S41" s="116">
        <f>비행기!S41+비행기부품!S41</f>
        <v>555945.78</v>
      </c>
      <c r="T41" s="130">
        <f t="shared" si="43"/>
        <v>545.44707399343872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5931320.0499999998</v>
      </c>
      <c r="G42" s="190">
        <f t="shared" ref="G42" si="48">F42/F41-1</f>
        <v>-0.64792206394270546</v>
      </c>
      <c r="H42" s="190">
        <f t="shared" ref="H42" si="49">F42/F30-1</f>
        <v>-0.42789083287693752</v>
      </c>
      <c r="I42" s="130">
        <f t="shared" si="0"/>
        <v>322.55751795403955</v>
      </c>
      <c r="J42" s="130">
        <f t="shared" si="4"/>
        <v>-0.37077972084459854</v>
      </c>
      <c r="K42" s="193"/>
      <c r="L42" s="190"/>
      <c r="M42" s="190"/>
      <c r="N42" s="193"/>
      <c r="O42" s="193"/>
      <c r="P42" s="129" t="s">
        <v>826</v>
      </c>
      <c r="Q42" s="116">
        <f>비행기!Q42+비행기부품!Q42</f>
        <v>118626401</v>
      </c>
      <c r="R42" s="116">
        <f>비행기!R42+비행기부품!R42</f>
        <v>171409630618</v>
      </c>
      <c r="S42" s="116">
        <f>비행기!S42+비행기부품!S42</f>
        <v>367768.21</v>
      </c>
      <c r="T42" s="130">
        <f t="shared" si="43"/>
        <v>322.55751795403955</v>
      </c>
      <c r="U42" s="78"/>
    </row>
    <row r="43" spans="1:21" s="79" customFormat="1" ht="13.2">
      <c r="A43" s="129" t="s">
        <v>835</v>
      </c>
      <c r="B43" s="188">
        <f>SUM(F41:F43)</f>
        <v>33375541.005555555</v>
      </c>
      <c r="C43" s="188">
        <f>AVERAGE(F41:F43)</f>
        <v>11125180.335185185</v>
      </c>
      <c r="D43" s="190">
        <f>C43/C40-1</f>
        <v>0.2582904295267956</v>
      </c>
      <c r="E43" s="287">
        <f>C43/C31-1</f>
        <v>0.42962891371731393</v>
      </c>
      <c r="F43" s="136">
        <f>Q43/20</f>
        <v>10597609.9</v>
      </c>
      <c r="G43" s="190">
        <f t="shared" ref="G43" si="50">F43/F42-1</f>
        <v>0.78672029340247795</v>
      </c>
      <c r="H43" s="190">
        <f t="shared" ref="H43" si="51">F43/F31-1</f>
        <v>0.44007793230951098</v>
      </c>
      <c r="I43" s="130">
        <f t="shared" si="0"/>
        <v>654.68062604054376</v>
      </c>
      <c r="J43" s="130">
        <f t="shared" si="4"/>
        <v>0.89057973740723084</v>
      </c>
      <c r="K43" s="136">
        <f>R41+R42+R43</f>
        <v>922263208632</v>
      </c>
      <c r="L43" s="190">
        <f>U43/U40-1</f>
        <v>0.17187067881218532</v>
      </c>
      <c r="M43" s="190">
        <f>K43/K31-1</f>
        <v>0.48546315110116445</v>
      </c>
      <c r="N43" s="191">
        <f>AVERAGE(T41:T43)</f>
        <v>507.5617393293407</v>
      </c>
      <c r="O43" s="192">
        <f>N43/N40-1</f>
        <v>0.35944217150653479</v>
      </c>
      <c r="P43" s="129" t="s">
        <v>835</v>
      </c>
      <c r="Q43" s="116">
        <f>비행기!Q43+비행기부품!Q43</f>
        <v>211952198</v>
      </c>
      <c r="R43" s="116">
        <f>비행기!R43+비행기부품!R43</f>
        <v>307505986845</v>
      </c>
      <c r="S43" s="116">
        <f>비행기!S43+비행기부품!S43</f>
        <v>323749</v>
      </c>
      <c r="T43" s="130">
        <f t="shared" si="43"/>
        <v>654.68062604054376</v>
      </c>
      <c r="U43" s="85">
        <f>Q41+Q42+Q43</f>
        <v>633817598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11844513.045454545</v>
      </c>
      <c r="G44" s="190">
        <f t="shared" ref="G44" si="52">F44/F43-1</f>
        <v>0.11765890207513152</v>
      </c>
      <c r="H44" s="190">
        <f t="shared" ref="H44" si="53">F44/F32-1</f>
        <v>1.1846185303945367</v>
      </c>
      <c r="I44" s="130">
        <f t="shared" si="0"/>
        <v>431.49988764545441</v>
      </c>
      <c r="J44" s="130">
        <f t="shared" si="4"/>
        <v>0.44201601722926553</v>
      </c>
      <c r="K44" s="136"/>
      <c r="L44" s="190"/>
      <c r="M44" s="190"/>
      <c r="N44" s="191"/>
      <c r="O44" s="192"/>
      <c r="P44" s="129" t="s">
        <v>843</v>
      </c>
      <c r="Q44" s="116">
        <f>비행기!Q44+비행기부품!Q44</f>
        <v>260579287</v>
      </c>
      <c r="R44" s="116">
        <f>비행기!R44+비행기부품!R44</f>
        <v>374474872948</v>
      </c>
      <c r="S44" s="116">
        <f>비행기!S44+비행기부품!S44</f>
        <v>603891.9</v>
      </c>
      <c r="T44" s="130">
        <f t="shared" si="43"/>
        <v>431.49988764545441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15693103.550000001</v>
      </c>
      <c r="G45" s="190">
        <f t="shared" ref="G45" si="54">F45/F44-1</f>
        <v>0.32492602184455288</v>
      </c>
      <c r="H45" s="190">
        <f t="shared" ref="H45" si="55">F45/F33-1</f>
        <v>1.6883616606310885</v>
      </c>
      <c r="I45" s="130">
        <f t="shared" si="0"/>
        <v>485.37435645910534</v>
      </c>
      <c r="J45" s="130">
        <f t="shared" si="4"/>
        <v>0.5933053712464651</v>
      </c>
      <c r="K45" s="136"/>
      <c r="L45" s="190"/>
      <c r="M45" s="190"/>
      <c r="N45" s="191"/>
      <c r="O45" s="192"/>
      <c r="P45" s="129" t="s">
        <v>849</v>
      </c>
      <c r="Q45" s="116">
        <f>비행기!Q45+비행기부품!Q45</f>
        <v>313862071</v>
      </c>
      <c r="R45" s="116">
        <f>비행기!R45+비행기부품!R45</f>
        <v>442359683736</v>
      </c>
      <c r="S45" s="116">
        <f>비행기!S45+비행기부품!S45</f>
        <v>646639.16999999993</v>
      </c>
      <c r="T45" s="130">
        <f t="shared" ref="T45" si="56">Q45/S45</f>
        <v>485.37435645910534</v>
      </c>
      <c r="U45" s="85"/>
    </row>
    <row r="46" spans="1:21" s="79" customFormat="1" ht="13.2">
      <c r="A46" s="129" t="s">
        <v>893</v>
      </c>
      <c r="B46" s="188">
        <f>SUM(F44:F46)</f>
        <v>37442051.279665068</v>
      </c>
      <c r="C46" s="188">
        <f>AVERAGE(F44:F46)</f>
        <v>12480683.759888357</v>
      </c>
      <c r="D46" s="189">
        <f>C46/C43-1</f>
        <v>0.12184102943627551</v>
      </c>
      <c r="E46" s="287">
        <f>C46/C34-1</f>
        <v>0.50379675215257724</v>
      </c>
      <c r="F46" s="136">
        <f>Q46/19</f>
        <v>9904434.6842105258</v>
      </c>
      <c r="G46" s="190">
        <f t="shared" ref="G46" si="57">F46/F45-1</f>
        <v>-0.36886705343822668</v>
      </c>
      <c r="H46" s="190">
        <f t="shared" ref="H46" si="58">F46/F34-1</f>
        <v>-0.2738229870101766</v>
      </c>
      <c r="I46" s="130">
        <f t="shared" si="0"/>
        <v>305.41340886753233</v>
      </c>
      <c r="J46" s="130">
        <f t="shared" si="4"/>
        <v>-0.1314624874546676</v>
      </c>
      <c r="K46" s="136">
        <f>R44+R45+R46</f>
        <v>1074046253120</v>
      </c>
      <c r="L46" s="190">
        <f>U46/U43-1</f>
        <v>0.20322569049274009</v>
      </c>
      <c r="M46" s="190">
        <f>K46/K34-1</f>
        <v>0.58490462110769892</v>
      </c>
      <c r="N46" s="191">
        <f>AVERAGE(T44:T46)</f>
        <v>407.42921765736401</v>
      </c>
      <c r="O46" s="192">
        <f>N46/N43-1</f>
        <v>-0.19728146137312352</v>
      </c>
      <c r="P46" s="129" t="s">
        <v>888</v>
      </c>
      <c r="Q46" s="116">
        <f>비행기!Q46+비행기부품!Q46</f>
        <v>188184259</v>
      </c>
      <c r="R46" s="116">
        <f>비행기!R46+비행기부품!R46</f>
        <v>257211696436</v>
      </c>
      <c r="S46" s="116">
        <f>비행기!S46+비행기부품!S46</f>
        <v>616162.4</v>
      </c>
      <c r="T46" s="130">
        <f t="shared" ref="T46" si="59">Q46/S46</f>
        <v>305.41340886753233</v>
      </c>
      <c r="U46" s="85">
        <f t="shared" ref="U46:U51" si="60">Q44+Q45+Q46</f>
        <v>762625617</v>
      </c>
    </row>
    <row r="47" spans="1:21" s="79" customFormat="1" ht="13.2">
      <c r="A47" s="129" t="s">
        <v>1019</v>
      </c>
      <c r="B47" s="188"/>
      <c r="C47" s="188"/>
      <c r="D47" s="189"/>
      <c r="E47" s="287"/>
      <c r="F47" s="136">
        <f>Q47/23</f>
        <v>8680326.3913043477</v>
      </c>
      <c r="G47" s="190">
        <f t="shared" ref="G47" si="61">F47/F46-1</f>
        <v>-0.12359193956396419</v>
      </c>
      <c r="H47" s="190">
        <f t="shared" ref="H47" si="62">F47/F35-1</f>
        <v>7.4600118486840117E-2</v>
      </c>
      <c r="I47" s="130">
        <f t="shared" si="0"/>
        <v>350.98528680840008</v>
      </c>
      <c r="J47" s="130">
        <f t="shared" si="4"/>
        <v>-0.19617088651138459</v>
      </c>
      <c r="K47" s="136"/>
      <c r="L47" s="190"/>
      <c r="M47" s="190"/>
      <c r="N47" s="191"/>
      <c r="O47" s="192"/>
      <c r="P47" s="129" t="s">
        <v>991</v>
      </c>
      <c r="Q47" s="116">
        <f>비행기!Q47+비행기부품!Q47</f>
        <v>199647507</v>
      </c>
      <c r="R47" s="116">
        <f>비행기!R47+비행기부품!R47</f>
        <v>273173064332</v>
      </c>
      <c r="S47" s="116">
        <f>비행기!S47+비행기부품!S47</f>
        <v>568820.15999999992</v>
      </c>
      <c r="T47" s="130">
        <f t="shared" ref="T47:T52" si="63">Q47/S47</f>
        <v>350.98528680840008</v>
      </c>
      <c r="U47" s="85">
        <f t="shared" si="60"/>
        <v>701693837</v>
      </c>
    </row>
    <row r="48" spans="1:21" s="79" customFormat="1" ht="13.2">
      <c r="A48" s="129" t="s">
        <v>1105</v>
      </c>
      <c r="B48" s="188"/>
      <c r="C48" s="188"/>
      <c r="D48" s="189"/>
      <c r="E48" s="287"/>
      <c r="F48" s="136">
        <f>Q48/20</f>
        <v>11249375.5</v>
      </c>
      <c r="G48" s="190">
        <f t="shared" ref="G48" si="64">F48/F47-1</f>
        <v>0.29596227064332936</v>
      </c>
      <c r="H48" s="190">
        <f t="shared" ref="H48" si="65">F48/F36-1</f>
        <v>1.2232522053604029</v>
      </c>
      <c r="I48" s="130">
        <f t="shared" si="0"/>
        <v>475.64238594535288</v>
      </c>
      <c r="J48" s="130">
        <f t="shared" si="4"/>
        <v>0.68693932046153328</v>
      </c>
      <c r="K48" s="136"/>
      <c r="L48" s="190"/>
      <c r="M48" s="190"/>
      <c r="N48" s="191"/>
      <c r="O48" s="192"/>
      <c r="P48" s="129" t="s">
        <v>1070</v>
      </c>
      <c r="Q48" s="116">
        <f>비행기!Q48+비행기부품!Q48</f>
        <v>224987510</v>
      </c>
      <c r="R48" s="116">
        <f>비행기!R48+비행기부품!R48</f>
        <v>311994276399</v>
      </c>
      <c r="S48" s="116">
        <f>비행기!S48+비행기부품!S48</f>
        <v>473018.21</v>
      </c>
      <c r="T48" s="130">
        <f t="shared" si="63"/>
        <v>475.64238594535288</v>
      </c>
      <c r="U48" s="85">
        <f t="shared" si="60"/>
        <v>612819276</v>
      </c>
    </row>
    <row r="49" spans="1:26" ht="13.2">
      <c r="A49" s="129" t="s">
        <v>1158</v>
      </c>
      <c r="B49" s="188">
        <f>SUM(F47:F49)</f>
        <v>28107230.573122531</v>
      </c>
      <c r="C49" s="188">
        <f>AVERAGE(F47:F49)</f>
        <v>9369076.8577075098</v>
      </c>
      <c r="D49" s="189">
        <f>C49/C46-1</f>
        <v>-0.24931381661806329</v>
      </c>
      <c r="E49" s="287">
        <f>C49/C37-1</f>
        <v>0.50169546049366831</v>
      </c>
      <c r="F49" s="136">
        <f>Q49/22</f>
        <v>8177528.6818181816</v>
      </c>
      <c r="G49" s="190">
        <f t="shared" ref="G49" si="66">F49/F48-1</f>
        <v>-0.27306820882473148</v>
      </c>
      <c r="H49" s="190">
        <f t="shared" ref="H49" si="67">F49/F37-1</f>
        <v>0.46566531863894634</v>
      </c>
      <c r="I49" s="130">
        <f t="shared" si="0"/>
        <v>347.77830648477988</v>
      </c>
      <c r="J49" s="130">
        <f t="shared" si="4"/>
        <v>0.27560768873748254</v>
      </c>
      <c r="K49" s="136">
        <f>R47+R48+R49</f>
        <v>835211555408</v>
      </c>
      <c r="L49" s="190">
        <f>U49/U46-1</f>
        <v>-0.20729039974013885</v>
      </c>
      <c r="M49" s="190">
        <f>K49/K37-1</f>
        <v>0.55700977799513351</v>
      </c>
      <c r="N49" s="191">
        <f>AVERAGE(T47:T49)</f>
        <v>391.46865974617759</v>
      </c>
      <c r="O49" s="192">
        <f>N49/N46-1</f>
        <v>-3.9173817731964378E-2</v>
      </c>
      <c r="P49" s="129" t="s">
        <v>1194</v>
      </c>
      <c r="Q49" s="116">
        <f>비행기!Q49+비행기부품!Q49</f>
        <v>179905631</v>
      </c>
      <c r="R49" s="116">
        <f>비행기!R49+비행기부품!R49</f>
        <v>250044214677</v>
      </c>
      <c r="S49" s="116">
        <f>비행기!S49+비행기부품!S49</f>
        <v>517299.75</v>
      </c>
      <c r="T49" s="130">
        <f t="shared" si="63"/>
        <v>347.77830648477988</v>
      </c>
      <c r="U49" s="85">
        <f t="shared" si="60"/>
        <v>604540648</v>
      </c>
      <c r="V49" s="79"/>
      <c r="W49" s="79"/>
      <c r="X49" s="79"/>
      <c r="Y49" s="79"/>
      <c r="Z49" s="79"/>
    </row>
    <row r="50" spans="1:26" ht="13.2">
      <c r="A50" s="129" t="s">
        <v>1317</v>
      </c>
      <c r="B50" s="188"/>
      <c r="C50" s="188"/>
      <c r="D50" s="190"/>
      <c r="E50" s="287"/>
      <c r="F50" s="136">
        <f>Q50/18</f>
        <v>7538619.166666667</v>
      </c>
      <c r="G50" s="190">
        <f t="shared" ref="G50" si="68">F50/F49-1</f>
        <v>-7.8129902078125202E-2</v>
      </c>
      <c r="H50" s="190">
        <f t="shared" ref="H50" si="69">F50/F38-1</f>
        <v>-0.53335972335254134</v>
      </c>
      <c r="I50" s="130">
        <f t="shared" ref="I50" si="70">T50</f>
        <v>289.91596046173964</v>
      </c>
      <c r="J50" s="130">
        <f t="shared" ref="J50" si="71">I50/I38-1</f>
        <v>-0.45363459652690341</v>
      </c>
      <c r="K50" s="136"/>
      <c r="L50" s="190"/>
      <c r="M50" s="190"/>
      <c r="N50" s="191"/>
      <c r="O50" s="192"/>
      <c r="P50" s="129" t="s">
        <v>1291</v>
      </c>
      <c r="Q50" s="116">
        <f>비행기!Q50+비행기부품!Q50</f>
        <v>135695145</v>
      </c>
      <c r="R50" s="116">
        <f>비행기!R50+비행기부품!R50</f>
        <v>192028063043</v>
      </c>
      <c r="S50" s="116">
        <f>비행기!S50+비행기부품!S50</f>
        <v>468049.93</v>
      </c>
      <c r="T50" s="130">
        <f t="shared" si="63"/>
        <v>289.91596046173964</v>
      </c>
      <c r="U50" s="85">
        <f t="shared" si="60"/>
        <v>540588286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9984563.0500000007</v>
      </c>
      <c r="G51" s="190">
        <f t="shared" ref="G51:G52" si="72">F51/F50-1</f>
        <v>0.32445515939424374</v>
      </c>
      <c r="H51" s="190">
        <f t="shared" ref="H51:H52" si="73">F51/F39-1</f>
        <v>1.0521089666312786</v>
      </c>
      <c r="I51" s="130">
        <f t="shared" ref="I51:I52" si="74">T51</f>
        <v>401.5967497756933</v>
      </c>
      <c r="J51" s="130">
        <f t="shared" ref="J51:J52" si="75">I51/I39-1</f>
        <v>0.36415353794423533</v>
      </c>
      <c r="K51" s="136"/>
      <c r="L51" s="190"/>
      <c r="M51" s="190"/>
      <c r="N51" s="191"/>
      <c r="O51" s="192"/>
      <c r="P51" s="129" t="s">
        <v>1402</v>
      </c>
      <c r="Q51" s="116">
        <f>비행기!Q51+비행기부품!Q51</f>
        <v>199691261</v>
      </c>
      <c r="R51" s="116">
        <f>비행기!R51+비행기부품!R51</f>
        <v>290038769408</v>
      </c>
      <c r="S51" s="116">
        <f>비행기!S51+비행기부품!S51</f>
        <v>497243.22</v>
      </c>
      <c r="T51" s="130">
        <f t="shared" si="63"/>
        <v>401.5967497756933</v>
      </c>
      <c r="U51" s="85">
        <f t="shared" si="60"/>
        <v>515292037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33919497.489393942</v>
      </c>
      <c r="C52" s="188">
        <f>AVERAGE(F50:F52)</f>
        <v>11306499.163131313</v>
      </c>
      <c r="D52" s="190">
        <f>C52/C49-1</f>
        <v>0.20678902893511597</v>
      </c>
      <c r="E52" s="287">
        <f>C52/C40-1</f>
        <v>0.2787981192022666</v>
      </c>
      <c r="F52" s="136">
        <f>Q52/22</f>
        <v>16396315.272727273</v>
      </c>
      <c r="G52" s="190">
        <f t="shared" si="72"/>
        <v>0.64216653153662762</v>
      </c>
      <c r="H52" s="190">
        <f t="shared" si="73"/>
        <v>1.9790344581499908</v>
      </c>
      <c r="I52" s="130">
        <f t="shared" si="74"/>
        <v>365.97597966104206</v>
      </c>
      <c r="J52" s="130">
        <f t="shared" si="75"/>
        <v>0.24033680174965544</v>
      </c>
      <c r="K52" s="136">
        <f>R50+R51+R52</f>
        <v>1012396610191</v>
      </c>
      <c r="L52" s="190">
        <f>U52/U49-1</f>
        <v>0.15146160031244094</v>
      </c>
      <c r="M52" s="190">
        <f>K52/K40-1</f>
        <v>0.35732278266325057</v>
      </c>
      <c r="N52" s="191">
        <f>AVERAGE(T50:T52)</f>
        <v>352.49622996615835</v>
      </c>
      <c r="O52" s="192">
        <f>N52/N49-1</f>
        <v>-9.9554405722512729E-2</v>
      </c>
      <c r="P52" s="129" t="s">
        <v>1403</v>
      </c>
      <c r="Q52" s="116">
        <f>비행기!Q52+비행기부품!Q52</f>
        <v>360718936</v>
      </c>
      <c r="R52" s="116">
        <f>비행기!R52+비행기부품!R52</f>
        <v>530329777740</v>
      </c>
      <c r="S52" s="116">
        <f>비행기!S52+비행기부품!S52</f>
        <v>985635.55</v>
      </c>
      <c r="T52" s="130">
        <f t="shared" si="63"/>
        <v>365.97597966104206</v>
      </c>
      <c r="U52" s="85">
        <f t="shared" ref="U52" si="76">Q50+Q51+Q52</f>
        <v>696105342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77">F53/F52-1</f>
        <v>-0.58550965167913605</v>
      </c>
      <c r="H53" s="190">
        <f t="shared" ref="H53" si="78">F53/F41-1</f>
        <v>-0.59658863102141524</v>
      </c>
      <c r="I53" s="130">
        <f t="shared" ref="I53" si="79">T53</f>
        <v>267.26460863124532</v>
      </c>
      <c r="J53" s="130">
        <f t="shared" ref="J53" si="80">I53/I41-1</f>
        <v>-0.51000817242543262</v>
      </c>
      <c r="K53" s="136"/>
      <c r="L53" s="190"/>
      <c r="M53" s="190"/>
      <c r="N53" s="191"/>
      <c r="O53" s="192"/>
      <c r="P53" s="129" t="s">
        <v>1414</v>
      </c>
      <c r="Q53" s="116">
        <f>비행기!Q53+비행기부품!Q53</f>
        <v>142718403</v>
      </c>
      <c r="R53" s="116">
        <f>비행기!R53+비행기부품!R53</f>
        <v>208135793681</v>
      </c>
      <c r="S53" s="116">
        <f>비행기!S53+비행기부품!S53</f>
        <v>533996.64</v>
      </c>
      <c r="T53" s="130">
        <f t="shared" ref="T53" si="81">Q53/S53</f>
        <v>267.26460863124532</v>
      </c>
      <c r="U53" s="85">
        <f t="shared" ref="U53" si="82">Q51+Q52+Q53</f>
        <v>703128600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83">F54/F53-1</f>
        <v>0.2380472825217923</v>
      </c>
      <c r="H54" s="190">
        <f t="shared" ref="H54" si="84">F54/F42-1</f>
        <v>0.41855622847396345</v>
      </c>
      <c r="I54" s="130">
        <f t="shared" ref="I54" si="85">T54</f>
        <v>349.59271961146743</v>
      </c>
      <c r="J54" s="130">
        <f t="shared" ref="J54" si="86">I54/I42-1</f>
        <v>8.3815134208963249E-2</v>
      </c>
      <c r="K54" s="136"/>
      <c r="L54" s="190"/>
      <c r="M54" s="190"/>
      <c r="N54" s="191"/>
      <c r="O54" s="192"/>
      <c r="P54" s="129" t="s">
        <v>1417</v>
      </c>
      <c r="Q54" s="116">
        <f>비행기!Q54+비행기부품!Q54</f>
        <v>143036487</v>
      </c>
      <c r="R54" s="116">
        <f>비행기!R54+비행기부품!R54</f>
        <v>207226837611</v>
      </c>
      <c r="S54" s="116">
        <f>비행기!S54+비행기부품!S54</f>
        <v>409151.79</v>
      </c>
      <c r="T54" s="130">
        <f t="shared" ref="T54" si="87">Q54/S54</f>
        <v>349.59271961146743</v>
      </c>
      <c r="U54" s="85">
        <f t="shared" ref="U54" si="88">Q52+Q53+Q54</f>
        <v>646473826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22451912.761904761</v>
      </c>
      <c r="C55" s="188">
        <f>AVERAGE(F53:F55)</f>
        <v>7483970.9206349207</v>
      </c>
      <c r="D55" s="190">
        <f>C55/C52-1</f>
        <v>-0.33808238848688432</v>
      </c>
      <c r="E55" s="287">
        <f>C55/C43-1</f>
        <v>-0.3272944172450265</v>
      </c>
      <c r="F55" s="136">
        <f>Q55/21</f>
        <v>7241887.333333333</v>
      </c>
      <c r="G55" s="190">
        <f t="shared" ref="G55" si="89">F55/F54-1</f>
        <v>-0.13929594295288683</v>
      </c>
      <c r="H55" s="190">
        <f t="shared" ref="H55" si="90">F55/F43-1</f>
        <v>-0.31664899900369681</v>
      </c>
      <c r="I55" s="130">
        <f>T55</f>
        <v>270.97793334853344</v>
      </c>
      <c r="J55" s="130">
        <f t="shared" ref="J55" si="91">I55/I43-1</f>
        <v>-0.5860914122548786</v>
      </c>
      <c r="K55" s="136">
        <f>R53+R54+R55</f>
        <v>639360989455</v>
      </c>
      <c r="L55" s="190">
        <f>U55/U52-1</f>
        <v>-0.37102260594345504</v>
      </c>
      <c r="M55" s="190">
        <f>K55/K43-1</f>
        <v>-0.30674780965905712</v>
      </c>
      <c r="N55" s="191">
        <f>AVERAGE(T53:T55)</f>
        <v>295.9450871970821</v>
      </c>
      <c r="O55" s="192">
        <f>N55/N52-1</f>
        <v>-0.16043048963816009</v>
      </c>
      <c r="P55" s="129" t="s">
        <v>1418</v>
      </c>
      <c r="Q55" s="116">
        <f>비행기!Q55+비행기부품!Q55</f>
        <v>152079634</v>
      </c>
      <c r="R55" s="116">
        <f>비행기!R55+비행기부품!R55</f>
        <v>223998358163</v>
      </c>
      <c r="S55" s="116">
        <f>비행기!S55+비행기부품!S55</f>
        <v>561225.15999999992</v>
      </c>
      <c r="T55" s="130">
        <f t="shared" ref="T55" si="92">Q55/S55</f>
        <v>270.97793334853344</v>
      </c>
      <c r="U55" s="85">
        <f t="shared" ref="U55" si="93">Q53+Q54+Q55</f>
        <v>437834524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9088576.4545454551</v>
      </c>
      <c r="G56" s="190">
        <f t="shared" ref="G56" si="94">F56/F55-1</f>
        <v>0.25500108413894895</v>
      </c>
      <c r="H56" s="190">
        <f t="shared" ref="H56" si="95">F56/F44-1</f>
        <v>-0.23267622572012014</v>
      </c>
      <c r="I56" s="291">
        <f>T56</f>
        <v>317.19266822121443</v>
      </c>
      <c r="J56" s="130">
        <f t="shared" ref="J56" si="96">I56/I44-1</f>
        <v>-0.26490671885912864</v>
      </c>
      <c r="K56" s="136"/>
      <c r="L56" s="190"/>
      <c r="M56" s="190"/>
      <c r="N56" s="191"/>
      <c r="O56" s="192"/>
      <c r="P56" s="129" t="s">
        <v>1420</v>
      </c>
      <c r="Q56" s="116">
        <f>비행기!Q56+비행기부품!Q56</f>
        <v>199948682</v>
      </c>
      <c r="R56" s="116">
        <f>비행기!R56+비행기부품!R56</f>
        <v>298677433680</v>
      </c>
      <c r="S56" s="116">
        <f>비행기!S56+비행기부품!S56</f>
        <v>630369.81000000006</v>
      </c>
      <c r="T56" s="130">
        <f t="shared" ref="T56" si="97">Q56/S56</f>
        <v>317.19266822121443</v>
      </c>
      <c r="U56" s="85">
        <f t="shared" ref="U56" si="98">Q54+Q55+Q56</f>
        <v>495064803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6745902.166666667</v>
      </c>
      <c r="G57" s="254">
        <f t="shared" ref="G57" si="99">F57/F56-1</f>
        <v>-0.25776031038470826</v>
      </c>
      <c r="H57" s="254">
        <f t="shared" ref="H57" si="100">F57/F45-1</f>
        <v>-0.57013587878436789</v>
      </c>
      <c r="I57" s="282">
        <f>T57</f>
        <v>310.33815357621683</v>
      </c>
      <c r="J57" s="277">
        <f t="shared" ref="J57" si="101">I57/I45-1</f>
        <v>-0.36062103519396782</v>
      </c>
      <c r="K57" s="204"/>
      <c r="L57" s="254"/>
      <c r="M57" s="254"/>
      <c r="N57" s="257"/>
      <c r="O57" s="258"/>
      <c r="P57" s="129" t="s">
        <v>1436</v>
      </c>
      <c r="Q57" s="116">
        <f>비행기!Q57+비행기부품!Q57</f>
        <v>80950826</v>
      </c>
      <c r="R57" s="116">
        <f>비행기!R57+비행기부품!R57</f>
        <v>119293274479</v>
      </c>
      <c r="S57" s="116">
        <f>비행기!S57+비행기부품!S57</f>
        <v>260847.16</v>
      </c>
      <c r="T57" s="130">
        <f t="shared" ref="T57" si="102">Q57/S57</f>
        <v>310.33815357621683</v>
      </c>
      <c r="U57" s="85">
        <f t="shared" ref="U57" si="103">Q55+Q56+Q57</f>
        <v>432979142</v>
      </c>
      <c r="V57" s="79"/>
      <c r="W57" s="79"/>
      <c r="X57" s="79"/>
      <c r="Y57" s="79"/>
      <c r="Z57" s="79"/>
    </row>
    <row r="58" spans="1:26">
      <c r="B58" s="196">
        <f>SUM(F56:F58)</f>
        <v>15834478.621212121</v>
      </c>
      <c r="C58" s="196">
        <f>AVERAGE(F56:F58)</f>
        <v>7917239.3106060605</v>
      </c>
      <c r="D58" s="197">
        <f>C58/C55-1</f>
        <v>5.7892847869909003E-2</v>
      </c>
      <c r="E58" s="233">
        <f>C58/C46-1</f>
        <v>-0.36564058004167532</v>
      </c>
    </row>
  </sheetData>
  <phoneticPr fontId="1" type="noConversion"/>
  <conditionalFormatting sqref="C29:C30">
    <cfRule type="cellIs" dxfId="1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90"/>
  <dimension ref="A1:Z69"/>
  <sheetViews>
    <sheetView topLeftCell="C1"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8802403000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969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323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1279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10843.75</v>
      </c>
      <c r="G5" s="90"/>
      <c r="H5" s="90"/>
      <c r="I5" s="130">
        <f t="shared" ref="I5:I49" si="0">T5</f>
        <v>807.72811918063314</v>
      </c>
      <c r="J5" s="130"/>
      <c r="L5" s="80"/>
      <c r="M5" s="80"/>
      <c r="P5" s="129" t="s">
        <v>0</v>
      </c>
      <c r="Q5" s="116">
        <v>216875</v>
      </c>
      <c r="R5" s="116">
        <v>255498540</v>
      </c>
      <c r="S5" s="116">
        <v>268.5</v>
      </c>
      <c r="T5" s="130">
        <f t="shared" ref="T5:T26" si="1">Q5/S5</f>
        <v>807.72811918063314</v>
      </c>
      <c r="U5" s="85"/>
    </row>
    <row r="6" spans="1:21" ht="15" hidden="1" customHeight="1">
      <c r="A6" s="129" t="s">
        <v>1</v>
      </c>
      <c r="C6" s="79"/>
      <c r="F6" s="78">
        <f>Q6/18</f>
        <v>10011.666666666666</v>
      </c>
      <c r="G6" s="90">
        <f t="shared" ref="G6:G26" si="2">F6/F5-1</f>
        <v>-7.6733909702209502E-2</v>
      </c>
      <c r="H6" s="90"/>
      <c r="I6" s="130">
        <f t="shared" si="0"/>
        <v>662.04996326230719</v>
      </c>
      <c r="J6" s="130"/>
      <c r="P6" s="129" t="s">
        <v>1</v>
      </c>
      <c r="Q6" s="116">
        <v>180210</v>
      </c>
      <c r="R6" s="116">
        <v>213732465</v>
      </c>
      <c r="S6" s="116">
        <v>272.2</v>
      </c>
      <c r="T6" s="130">
        <f t="shared" si="1"/>
        <v>662.04996326230719</v>
      </c>
      <c r="U6" s="85"/>
    </row>
    <row r="7" spans="1:21" ht="15" hidden="1" customHeight="1">
      <c r="A7" s="129" t="s">
        <v>2</v>
      </c>
      <c r="B7" s="131">
        <f>F5+F6+F7</f>
        <v>513069.96212121216</v>
      </c>
      <c r="C7" s="131">
        <f>AVERAGE(F5:F7)</f>
        <v>171023.32070707073</v>
      </c>
      <c r="F7" s="78">
        <f>Q7/22</f>
        <v>492214.54545454547</v>
      </c>
      <c r="G7" s="90">
        <f t="shared" si="2"/>
        <v>48.164096432949442</v>
      </c>
      <c r="H7" s="90"/>
      <c r="I7" s="130">
        <f t="shared" si="0"/>
        <v>1163.1403130001397</v>
      </c>
      <c r="J7" s="130"/>
      <c r="K7" s="79">
        <f>R5+R6+R7</f>
        <v>13591053067</v>
      </c>
      <c r="N7" s="88">
        <f>AVERAGE(T5:T7)</f>
        <v>877.63946514769339</v>
      </c>
      <c r="P7" s="129" t="s">
        <v>2</v>
      </c>
      <c r="Q7" s="116">
        <v>10828720</v>
      </c>
      <c r="R7" s="116">
        <v>13121822062</v>
      </c>
      <c r="S7" s="116">
        <v>9309.9</v>
      </c>
      <c r="T7" s="130">
        <f t="shared" si="1"/>
        <v>1163.1403130001397</v>
      </c>
      <c r="U7" s="85">
        <f>Q5+Q6+Q7</f>
        <v>11225805</v>
      </c>
    </row>
    <row r="8" spans="1:21" ht="15" hidden="1" customHeight="1">
      <c r="A8" s="129" t="s">
        <v>3</v>
      </c>
      <c r="C8" s="79"/>
      <c r="F8" s="78">
        <f>Q8/21</f>
        <v>39429.809523809527</v>
      </c>
      <c r="G8" s="90">
        <f t="shared" si="2"/>
        <v>-0.91989304280433792</v>
      </c>
      <c r="H8" s="90"/>
      <c r="I8" s="130">
        <f t="shared" si="0"/>
        <v>894.58297320656868</v>
      </c>
      <c r="J8" s="130"/>
      <c r="K8" s="78"/>
      <c r="P8" s="129" t="s">
        <v>3</v>
      </c>
      <c r="Q8" s="116">
        <v>828026</v>
      </c>
      <c r="R8" s="116">
        <v>999059069</v>
      </c>
      <c r="S8" s="116">
        <v>925.6</v>
      </c>
      <c r="T8" s="130">
        <f t="shared" si="1"/>
        <v>894.58297320656868</v>
      </c>
      <c r="U8" s="85"/>
    </row>
    <row r="9" spans="1:21" ht="15" hidden="1" customHeight="1">
      <c r="A9" s="129" t="s">
        <v>4</v>
      </c>
      <c r="C9" s="79"/>
      <c r="F9" s="78">
        <f>Q9/21</f>
        <v>3116221.6190476189</v>
      </c>
      <c r="G9" s="90">
        <f t="shared" si="2"/>
        <v>78.032124595121402</v>
      </c>
      <c r="H9" s="90"/>
      <c r="I9" s="130">
        <f t="shared" si="0"/>
        <v>139.6171532807783</v>
      </c>
      <c r="J9" s="130"/>
      <c r="K9" s="78"/>
      <c r="P9" s="129" t="s">
        <v>4</v>
      </c>
      <c r="Q9" s="116">
        <v>65440654</v>
      </c>
      <c r="R9" s="116">
        <v>82765811979</v>
      </c>
      <c r="S9" s="116">
        <v>468715</v>
      </c>
      <c r="T9" s="130">
        <f t="shared" si="1"/>
        <v>139.6171532807783</v>
      </c>
      <c r="U9" s="85"/>
    </row>
    <row r="10" spans="1:21" ht="15" hidden="1" customHeight="1">
      <c r="A10" s="129" t="s">
        <v>5</v>
      </c>
      <c r="B10" s="131">
        <f>F8+F9+F10</f>
        <v>3210169.6666666665</v>
      </c>
      <c r="C10" s="131">
        <f>AVERAGE(F8:F10)</f>
        <v>1070056.5555555555</v>
      </c>
      <c r="D10" s="90">
        <f>C10/C7-1</f>
        <v>5.2567873850862226</v>
      </c>
      <c r="E10" s="286"/>
      <c r="F10" s="78">
        <f>Q10/21</f>
        <v>54518.238095238092</v>
      </c>
      <c r="G10" s="90">
        <f t="shared" si="2"/>
        <v>-0.98250501897490206</v>
      </c>
      <c r="H10" s="90"/>
      <c r="I10" s="130">
        <f t="shared" si="0"/>
        <v>274.93468133134814</v>
      </c>
      <c r="J10" s="130"/>
      <c r="K10" s="79">
        <f>R8+R9+R10</f>
        <v>85191686420</v>
      </c>
      <c r="L10" s="87">
        <f>U10/U7-1</f>
        <v>5.0052319633202256</v>
      </c>
      <c r="N10" s="88">
        <f>AVERAGE(T8:T10)</f>
        <v>436.37826927289842</v>
      </c>
      <c r="O10" s="89">
        <f>N10/N7-1</f>
        <v>-0.50278185222736926</v>
      </c>
      <c r="P10" s="129" t="s">
        <v>5</v>
      </c>
      <c r="Q10" s="116">
        <v>1144883</v>
      </c>
      <c r="R10" s="116">
        <v>1426815372</v>
      </c>
      <c r="S10" s="116">
        <v>4164.2</v>
      </c>
      <c r="T10" s="130">
        <f t="shared" si="1"/>
        <v>274.93468133134814</v>
      </c>
      <c r="U10" s="85">
        <f>Q8+Q9+Q10</f>
        <v>67413563</v>
      </c>
    </row>
    <row r="11" spans="1:21" ht="15" hidden="1" customHeight="1">
      <c r="A11" s="129" t="s">
        <v>6</v>
      </c>
      <c r="C11" s="79"/>
      <c r="F11" s="78">
        <f>Q11/21</f>
        <v>3592000</v>
      </c>
      <c r="G11" s="90">
        <f t="shared" si="2"/>
        <v>64.886208459729076</v>
      </c>
      <c r="H11" s="90"/>
      <c r="I11" s="130">
        <f t="shared" si="0"/>
        <v>167626.66666666666</v>
      </c>
      <c r="J11" s="130"/>
      <c r="K11" s="78"/>
      <c r="O11" s="89"/>
      <c r="P11" s="129" t="s">
        <v>6</v>
      </c>
      <c r="Q11" s="116">
        <v>75432000</v>
      </c>
      <c r="R11" s="116">
        <v>96555222960</v>
      </c>
      <c r="S11" s="116">
        <v>450</v>
      </c>
      <c r="T11" s="130">
        <f t="shared" si="1"/>
        <v>167626.66666666666</v>
      </c>
      <c r="U11" s="85"/>
    </row>
    <row r="12" spans="1:21" ht="15" hidden="1" customHeight="1">
      <c r="A12" s="129" t="s">
        <v>7</v>
      </c>
      <c r="C12" s="79"/>
      <c r="F12" s="78">
        <f>Q12/22</f>
        <v>3863.6363636363635</v>
      </c>
      <c r="G12" s="90">
        <f t="shared" si="2"/>
        <v>-0.99892437740433282</v>
      </c>
      <c r="H12" s="90"/>
      <c r="I12" s="130">
        <f t="shared" si="0"/>
        <v>1465.5172413793102</v>
      </c>
      <c r="J12" s="130"/>
      <c r="K12" s="78"/>
      <c r="O12" s="89"/>
      <c r="P12" s="129" t="s">
        <v>7</v>
      </c>
      <c r="Q12" s="116">
        <v>85000</v>
      </c>
      <c r="R12" s="116">
        <v>110268800</v>
      </c>
      <c r="S12" s="116">
        <v>58</v>
      </c>
      <c r="T12" s="130">
        <f t="shared" si="1"/>
        <v>1465.5172413793102</v>
      </c>
      <c r="U12" s="85"/>
    </row>
    <row r="13" spans="1:21" ht="15" hidden="1" customHeight="1">
      <c r="A13" s="129" t="s">
        <v>96</v>
      </c>
      <c r="B13" s="131">
        <f>F11+F12+F13</f>
        <v>9321240.4863636363</v>
      </c>
      <c r="C13" s="131">
        <f>AVERAGE(F11:F13)</f>
        <v>3107080.1621212121</v>
      </c>
      <c r="D13" s="90">
        <f>C13/C10-1</f>
        <v>1.9036597607759789</v>
      </c>
      <c r="E13" s="286"/>
      <c r="F13" s="78">
        <f>Q13/20</f>
        <v>5725376.8499999996</v>
      </c>
      <c r="G13" s="90">
        <f t="shared" si="2"/>
        <v>1480.8622435294117</v>
      </c>
      <c r="H13" s="90"/>
      <c r="I13" s="130">
        <f t="shared" si="0"/>
        <v>219.93568889119373</v>
      </c>
      <c r="J13" s="130"/>
      <c r="K13" s="78">
        <f>R11+R12+R13</f>
        <v>252807430034</v>
      </c>
      <c r="L13" s="87">
        <f>U13/U10-1</f>
        <v>1.8187879195763617</v>
      </c>
      <c r="N13" s="88">
        <f>AVERAGE(T11:T13)</f>
        <v>56437.373198979047</v>
      </c>
      <c r="O13" s="89">
        <f>N13/N10-1</f>
        <v>128.33130995046122</v>
      </c>
      <c r="P13" s="129" t="s">
        <v>96</v>
      </c>
      <c r="Q13" s="116">
        <v>114507537</v>
      </c>
      <c r="R13" s="116">
        <v>156141938274</v>
      </c>
      <c r="S13" s="116">
        <v>520641</v>
      </c>
      <c r="T13" s="130">
        <f t="shared" si="1"/>
        <v>219.93568889119373</v>
      </c>
      <c r="U13" s="85">
        <f>Q11+Q12+Q13</f>
        <v>190024537</v>
      </c>
    </row>
    <row r="14" spans="1:21" ht="15" hidden="1" customHeight="1">
      <c r="A14" s="129" t="s">
        <v>97</v>
      </c>
      <c r="C14" s="79"/>
      <c r="F14" s="78">
        <f>Q14/20</f>
        <v>141232.65</v>
      </c>
      <c r="G14" s="90">
        <f t="shared" si="2"/>
        <v>-0.97533216525301736</v>
      </c>
      <c r="H14" s="90"/>
      <c r="I14" s="130">
        <f t="shared" si="0"/>
        <v>39.656998530053869</v>
      </c>
      <c r="J14" s="130"/>
      <c r="O14" s="89"/>
      <c r="P14" s="129" t="s">
        <v>97</v>
      </c>
      <c r="Q14" s="116">
        <v>2824653</v>
      </c>
      <c r="R14" s="116">
        <v>4037385469</v>
      </c>
      <c r="S14" s="116">
        <v>71227.100000000006</v>
      </c>
      <c r="T14" s="130">
        <f t="shared" si="1"/>
        <v>39.656998530053869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4004414.6818181816</v>
      </c>
      <c r="G15" s="90">
        <f t="shared" si="2"/>
        <v>27.353321146478393</v>
      </c>
      <c r="H15" s="90"/>
      <c r="I15" s="130">
        <f t="shared" si="0"/>
        <v>262.41499680683245</v>
      </c>
      <c r="J15" s="130"/>
      <c r="O15" s="89"/>
      <c r="P15" s="129" t="s">
        <v>98</v>
      </c>
      <c r="Q15" s="116">
        <v>88097123</v>
      </c>
      <c r="R15" s="116">
        <v>124218820543</v>
      </c>
      <c r="S15" s="116">
        <v>335716.8</v>
      </c>
      <c r="T15" s="130">
        <f t="shared" si="1"/>
        <v>262.41499680683245</v>
      </c>
      <c r="U15" s="78"/>
    </row>
    <row r="16" spans="1:21" ht="15" hidden="1" customHeight="1">
      <c r="A16" s="129" t="s">
        <v>99</v>
      </c>
      <c r="B16" s="131">
        <f>F14+F15+F16</f>
        <v>4593610.0590909086</v>
      </c>
      <c r="C16" s="131">
        <f>AVERAGE(F14:F16)</f>
        <v>1531203.3530303028</v>
      </c>
      <c r="D16" s="90">
        <f>C16/C13-1</f>
        <v>-0.50718897706683364</v>
      </c>
      <c r="E16" s="286"/>
      <c r="F16" s="78">
        <f>Q16/22</f>
        <v>447962.72727272729</v>
      </c>
      <c r="G16" s="90">
        <f t="shared" si="2"/>
        <v>-0.88813278272435747</v>
      </c>
      <c r="H16" s="90"/>
      <c r="I16" s="130">
        <f t="shared" si="0"/>
        <v>121.93076908515735</v>
      </c>
      <c r="J16" s="130"/>
      <c r="K16" s="78">
        <f>R14+R15+R16</f>
        <v>141060308830</v>
      </c>
      <c r="L16" s="87">
        <f>U16/U13-1</f>
        <v>-0.46966345719868796</v>
      </c>
      <c r="N16" s="88">
        <f>AVERAGE(T14:T16)</f>
        <v>141.33425480734789</v>
      </c>
      <c r="O16" s="89">
        <f>N16/N13-1</f>
        <v>-0.99749573293730287</v>
      </c>
      <c r="P16" s="129" t="s">
        <v>99</v>
      </c>
      <c r="Q16" s="116">
        <v>9855180</v>
      </c>
      <c r="R16" s="116">
        <v>12804102818</v>
      </c>
      <c r="S16" s="116">
        <v>80826.03</v>
      </c>
      <c r="T16" s="130">
        <f t="shared" si="1"/>
        <v>121.93076908515735</v>
      </c>
      <c r="U16" s="85">
        <f>Q14+Q15+Q16</f>
        <v>100776956</v>
      </c>
    </row>
    <row r="17" spans="1:21" ht="15" hidden="1" customHeight="1">
      <c r="A17" s="129" t="s">
        <v>100</v>
      </c>
      <c r="C17" s="79"/>
      <c r="F17" s="78">
        <f>Q17/20</f>
        <v>45262.65</v>
      </c>
      <c r="G17" s="90">
        <f t="shared" si="2"/>
        <v>-0.89895889268384743</v>
      </c>
      <c r="H17" s="90">
        <f t="shared" ref="H17:H26" si="3">F17/F5-1</f>
        <v>3.1740772334293945</v>
      </c>
      <c r="I17" s="130">
        <f t="shared" si="0"/>
        <v>199.46083507766883</v>
      </c>
      <c r="J17" s="130">
        <f t="shared" ref="J17:J49" si="4">I17/I5-1</f>
        <v>-0.75305943876263248</v>
      </c>
      <c r="O17" s="89"/>
      <c r="P17" s="129" t="s">
        <v>100</v>
      </c>
      <c r="Q17" s="116">
        <v>905253</v>
      </c>
      <c r="R17" s="116">
        <v>1120504351</v>
      </c>
      <c r="S17" s="116">
        <v>4538.5</v>
      </c>
      <c r="T17" s="130">
        <f t="shared" si="1"/>
        <v>199.46083507766883</v>
      </c>
      <c r="U17" s="78"/>
    </row>
    <row r="18" spans="1:21" hidden="1">
      <c r="A18" s="129" t="s">
        <v>106</v>
      </c>
      <c r="C18" s="79"/>
      <c r="F18" s="78">
        <f>Q18/20</f>
        <v>2848240.85</v>
      </c>
      <c r="G18" s="90">
        <f t="shared" si="2"/>
        <v>61.92695743620844</v>
      </c>
      <c r="H18" s="90">
        <f t="shared" si="3"/>
        <v>283.49217745963045</v>
      </c>
      <c r="I18" s="130">
        <f t="shared" si="0"/>
        <v>249.86146932086939</v>
      </c>
      <c r="J18" s="130">
        <f t="shared" si="4"/>
        <v>-0.62259424033549393</v>
      </c>
      <c r="O18" s="89"/>
      <c r="P18" s="129" t="s">
        <v>106</v>
      </c>
      <c r="Q18" s="116">
        <v>56964817</v>
      </c>
      <c r="R18" s="116">
        <v>73970761108</v>
      </c>
      <c r="S18" s="116">
        <v>227985.6</v>
      </c>
      <c r="T18" s="130">
        <f t="shared" si="1"/>
        <v>249.86146932086939</v>
      </c>
      <c r="U18" s="78"/>
    </row>
    <row r="19" spans="1:21" hidden="1">
      <c r="A19" s="129" t="s">
        <v>114</v>
      </c>
      <c r="B19" s="131">
        <f>SUM(F17:F19)</f>
        <v>3209333.5454545454</v>
      </c>
      <c r="C19" s="131">
        <f>AVERAGE(F17:F19)</f>
        <v>1069777.8484848484</v>
      </c>
      <c r="D19" s="90">
        <f>C19/C16-1</f>
        <v>-0.30134828508067057</v>
      </c>
      <c r="E19" s="286">
        <f>C19/C7-1</f>
        <v>5.2551577414238562</v>
      </c>
      <c r="F19" s="78">
        <f>Q19/22</f>
        <v>315830.04545454547</v>
      </c>
      <c r="G19" s="90">
        <f t="shared" si="2"/>
        <v>-0.88911399629194088</v>
      </c>
      <c r="H19" s="90">
        <f t="shared" si="3"/>
        <v>-0.3583488168500063</v>
      </c>
      <c r="I19" s="130">
        <f t="shared" si="0"/>
        <v>10106.561454545454</v>
      </c>
      <c r="J19" s="130">
        <f t="shared" si="4"/>
        <v>7.6890303272845468</v>
      </c>
      <c r="K19" s="78">
        <f>R17+R18+R19</f>
        <v>84204212478</v>
      </c>
      <c r="L19" s="87">
        <f>U19/U16-1</f>
        <v>-0.35681396250944508</v>
      </c>
      <c r="M19" s="87">
        <f>U19/U7-1</f>
        <v>4.774047473655564</v>
      </c>
      <c r="N19" s="88">
        <f>AVERAGE(T17:T19)</f>
        <v>3518.6279196479973</v>
      </c>
      <c r="O19" s="89">
        <f>N19/N16-1</f>
        <v>23.895789944512913</v>
      </c>
      <c r="P19" s="129" t="s">
        <v>115</v>
      </c>
      <c r="Q19" s="116">
        <v>6948261</v>
      </c>
      <c r="R19" s="116">
        <v>9112947019</v>
      </c>
      <c r="S19" s="116">
        <v>687.5</v>
      </c>
      <c r="T19" s="130">
        <f t="shared" si="1"/>
        <v>10106.561454545454</v>
      </c>
      <c r="U19" s="85">
        <f>Q17+Q18+Q19</f>
        <v>64818331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4181.3999999999996</v>
      </c>
      <c r="G20" s="90">
        <f t="shared" si="2"/>
        <v>-0.98676060096188101</v>
      </c>
      <c r="H20" s="90">
        <f t="shared" si="3"/>
        <v>-0.89395332996789956</v>
      </c>
      <c r="I20" s="130">
        <f t="shared" si="0"/>
        <v>323.26246617703907</v>
      </c>
      <c r="J20" s="130">
        <f t="shared" si="4"/>
        <v>-0.63864451274058132</v>
      </c>
      <c r="O20" s="89"/>
      <c r="P20" s="129" t="s">
        <v>131</v>
      </c>
      <c r="Q20" s="116">
        <v>83628</v>
      </c>
      <c r="R20" s="116">
        <v>110062625</v>
      </c>
      <c r="S20" s="116">
        <v>258.7</v>
      </c>
      <c r="T20" s="130">
        <f t="shared" si="1"/>
        <v>323.26246617703907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8702219.1904761903</v>
      </c>
      <c r="G21" s="90">
        <f t="shared" si="2"/>
        <v>2080.1735759497278</v>
      </c>
      <c r="H21" s="90">
        <f t="shared" si="3"/>
        <v>1.792554655703777</v>
      </c>
      <c r="I21" s="130">
        <f t="shared" si="0"/>
        <v>358.61525235208882</v>
      </c>
      <c r="J21" s="130">
        <f t="shared" si="4"/>
        <v>1.5685615551184635</v>
      </c>
      <c r="O21" s="89"/>
      <c r="P21" s="129" t="s">
        <v>141</v>
      </c>
      <c r="Q21" s="116">
        <v>182746603</v>
      </c>
      <c r="R21" s="116">
        <v>242537365994</v>
      </c>
      <c r="S21" s="116">
        <v>509589.6</v>
      </c>
      <c r="T21" s="130">
        <f t="shared" si="1"/>
        <v>358.61525235208882</v>
      </c>
      <c r="U21" s="78"/>
    </row>
    <row r="22" spans="1:21" hidden="1">
      <c r="A22" s="129" t="s">
        <v>156</v>
      </c>
      <c r="B22" s="131">
        <f>SUM(F20:F22)</f>
        <v>13162313.685714286</v>
      </c>
      <c r="C22" s="131">
        <f>AVERAGE(F20:F22)</f>
        <v>4387437.895238095</v>
      </c>
      <c r="D22" s="90">
        <f>C22/C19-1</f>
        <v>3.1012607444172886</v>
      </c>
      <c r="E22" s="286">
        <f>C22/C10-1</f>
        <v>3.1001925295062653</v>
      </c>
      <c r="F22" s="78">
        <f>Q22/21</f>
        <v>4455913.0952380951</v>
      </c>
      <c r="G22" s="90">
        <f t="shared" si="2"/>
        <v>-0.48795669268883757</v>
      </c>
      <c r="H22" s="90">
        <f t="shared" si="3"/>
        <v>80.732522013166417</v>
      </c>
      <c r="I22" s="130">
        <f t="shared" si="0"/>
        <v>363.14932311784537</v>
      </c>
      <c r="J22" s="130">
        <f t="shared" si="4"/>
        <v>0.32085672625703388</v>
      </c>
      <c r="K22" s="78">
        <f>R20+R21+R22</f>
        <v>364778090921</v>
      </c>
      <c r="L22" s="87">
        <f>U22/U19-1</f>
        <v>3.2642937844234217</v>
      </c>
      <c r="M22" s="87">
        <f>U22/U10-1</f>
        <v>3.1001305034121991</v>
      </c>
      <c r="N22" s="88">
        <f>AVERAGE(T20:T22)</f>
        <v>348.34234721565775</v>
      </c>
      <c r="O22" s="89">
        <f>N22/N19-1</f>
        <v>-0.90100051634601197</v>
      </c>
      <c r="P22" s="129" t="s">
        <v>156</v>
      </c>
      <c r="Q22" s="116">
        <v>93574175</v>
      </c>
      <c r="R22" s="116">
        <v>122130662302</v>
      </c>
      <c r="S22" s="116">
        <v>257674.1</v>
      </c>
      <c r="T22" s="130">
        <f t="shared" si="1"/>
        <v>363.14932311784537</v>
      </c>
      <c r="U22" s="85">
        <f>Q20+Q21+Q22</f>
        <v>276404406</v>
      </c>
    </row>
    <row r="23" spans="1:21" hidden="1">
      <c r="A23" s="129" t="s">
        <v>189</v>
      </c>
      <c r="B23" s="131"/>
      <c r="C23" s="131"/>
      <c r="F23" s="78">
        <f>Q23/21</f>
        <v>4181725</v>
      </c>
      <c r="G23" s="90">
        <f t="shared" si="2"/>
        <v>-6.153353743166845E-2</v>
      </c>
      <c r="H23" s="90">
        <f t="shared" si="3"/>
        <v>0.16417733853006689</v>
      </c>
      <c r="I23" s="130">
        <f t="shared" si="0"/>
        <v>4486.2563539298581</v>
      </c>
      <c r="J23" s="130">
        <f t="shared" si="4"/>
        <v>-0.97323661895126157</v>
      </c>
      <c r="O23" s="89"/>
      <c r="P23" s="129" t="s">
        <v>189</v>
      </c>
      <c r="Q23" s="116">
        <v>87816225</v>
      </c>
      <c r="R23" s="116">
        <v>114606873452</v>
      </c>
      <c r="S23" s="116">
        <v>19574.5</v>
      </c>
      <c r="T23" s="130">
        <f t="shared" si="1"/>
        <v>4486.2563539298581</v>
      </c>
      <c r="U23" s="78"/>
    </row>
    <row r="24" spans="1:21" hidden="1">
      <c r="A24" s="129" t="s">
        <v>204</v>
      </c>
      <c r="B24" s="131"/>
      <c r="C24" s="131"/>
      <c r="F24" s="78">
        <f>Q24/22</f>
        <v>4004526.6363636362</v>
      </c>
      <c r="G24" s="90">
        <f t="shared" si="2"/>
        <v>-4.2374465952773943E-2</v>
      </c>
      <c r="H24" s="90">
        <f t="shared" si="3"/>
        <v>1035.4657176470589</v>
      </c>
      <c r="I24" s="130">
        <f t="shared" si="0"/>
        <v>4921.6820947134966</v>
      </c>
      <c r="J24" s="130">
        <f t="shared" si="4"/>
        <v>2.3583242528633273</v>
      </c>
      <c r="O24" s="89"/>
      <c r="P24" s="129" t="s">
        <v>204</v>
      </c>
      <c r="Q24" s="116">
        <v>88099586</v>
      </c>
      <c r="R24" s="116">
        <v>115545516316</v>
      </c>
      <c r="S24" s="116">
        <v>17900.3</v>
      </c>
      <c r="T24" s="130">
        <f t="shared" si="1"/>
        <v>4921.6820947134966</v>
      </c>
      <c r="U24" s="78"/>
    </row>
    <row r="25" spans="1:21" s="79" customFormat="1" ht="13.2" hidden="1">
      <c r="A25" s="129" t="s">
        <v>229</v>
      </c>
      <c r="B25" s="131">
        <f>SUM(F23:F25)</f>
        <v>14448305.057416268</v>
      </c>
      <c r="C25" s="131">
        <f>AVERAGE(F23:F25)</f>
        <v>4816101.6858054223</v>
      </c>
      <c r="D25" s="90">
        <f>C25/C22-1</f>
        <v>9.7702531819898297E-2</v>
      </c>
      <c r="E25" s="286">
        <f>C25/C13-1</f>
        <v>0.55004101423551832</v>
      </c>
      <c r="F25" s="78">
        <f>Q25/19</f>
        <v>6262053.4210526319</v>
      </c>
      <c r="G25" s="90">
        <f t="shared" si="2"/>
        <v>0.5637437304547368</v>
      </c>
      <c r="H25" s="90">
        <f t="shared" si="3"/>
        <v>9.3736462264948139E-2</v>
      </c>
      <c r="I25" s="130">
        <f t="shared" si="0"/>
        <v>474.28074000845083</v>
      </c>
      <c r="J25" s="130">
        <f t="shared" si="4"/>
        <v>1.1564519264678608</v>
      </c>
      <c r="K25" s="78">
        <f>R23+R24+R25</f>
        <v>388021221620</v>
      </c>
      <c r="L25" s="90">
        <f>U25/U22-1</f>
        <v>6.6896256349835426E-2</v>
      </c>
      <c r="M25" s="90">
        <f>U25/U13-1</f>
        <v>0.55187761883614006</v>
      </c>
      <c r="N25" s="88">
        <f>AVERAGE(T23:T25)</f>
        <v>3294.0730628839356</v>
      </c>
      <c r="O25" s="91">
        <f>N25/N22-1</f>
        <v>8.4564243745093215</v>
      </c>
      <c r="P25" s="129" t="s">
        <v>229</v>
      </c>
      <c r="Q25" s="116">
        <v>118979015</v>
      </c>
      <c r="R25" s="116">
        <v>157868831852</v>
      </c>
      <c r="S25" s="116">
        <v>250862</v>
      </c>
      <c r="T25" s="130">
        <f t="shared" si="1"/>
        <v>474.28074000845083</v>
      </c>
      <c r="U25" s="85">
        <f>Q23+Q24+Q25</f>
        <v>294894826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12869662.052631579</v>
      </c>
      <c r="G26" s="90">
        <f t="shared" si="2"/>
        <v>1.0551824117891715</v>
      </c>
      <c r="H26" s="90">
        <f t="shared" si="3"/>
        <v>90.12384461122538</v>
      </c>
      <c r="I26" s="130">
        <f t="shared" si="0"/>
        <v>405.13442041375731</v>
      </c>
      <c r="J26" s="130">
        <f t="shared" si="4"/>
        <v>9.2159627664894526</v>
      </c>
      <c r="L26" s="90"/>
      <c r="M26" s="90"/>
      <c r="P26" s="129" t="s">
        <v>312</v>
      </c>
      <c r="Q26" s="116">
        <v>244523579</v>
      </c>
      <c r="R26" s="116">
        <v>329766313930</v>
      </c>
      <c r="S26" s="116">
        <v>603561.6</v>
      </c>
      <c r="T26" s="130">
        <f t="shared" si="1"/>
        <v>405.13442041375731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7918083.3636363633</v>
      </c>
      <c r="G27" s="90">
        <f t="shared" ref="G27" si="5">F27/F26-1</f>
        <v>-0.38474815179647404</v>
      </c>
      <c r="H27" s="90">
        <f t="shared" ref="H27" si="6">F27/F15-1</f>
        <v>0.97733851081606837</v>
      </c>
      <c r="I27" s="130">
        <f t="shared" si="0"/>
        <v>4863.1987515215133</v>
      </c>
      <c r="J27" s="130">
        <f t="shared" si="4"/>
        <v>17.532472650949082</v>
      </c>
      <c r="L27" s="90"/>
      <c r="M27" s="90"/>
      <c r="P27" s="129" t="s">
        <v>377</v>
      </c>
      <c r="Q27" s="116">
        <v>174197834</v>
      </c>
      <c r="R27" s="116">
        <v>232151954341</v>
      </c>
      <c r="S27" s="116">
        <v>35819.599999999999</v>
      </c>
      <c r="T27" s="130">
        <f t="shared" ref="T27" si="7">Q27/S27</f>
        <v>4863.1987515215133</v>
      </c>
      <c r="U27" s="78"/>
    </row>
    <row r="28" spans="1:21" s="79" customFormat="1" ht="13.2" hidden="1">
      <c r="A28" s="123" t="s">
        <v>413</v>
      </c>
      <c r="B28" s="131">
        <f>SUM(F26:F28)</f>
        <v>22740559.205741625</v>
      </c>
      <c r="C28" s="131">
        <f>AVERAGE(F26:F28)</f>
        <v>7580186.4019138748</v>
      </c>
      <c r="D28" s="90">
        <f>C28/C25-1</f>
        <v>0.57392573837364891</v>
      </c>
      <c r="E28" s="286">
        <f>C28/C16-1</f>
        <v>3.9504766214836398</v>
      </c>
      <c r="F28" s="78">
        <f>Q28/19</f>
        <v>1952813.7894736843</v>
      </c>
      <c r="G28" s="90">
        <f t="shared" ref="G28" si="8">F28/F27-1</f>
        <v>-0.7533729186987419</v>
      </c>
      <c r="H28" s="90">
        <f t="shared" ref="H28" si="9">F28/F16-1</f>
        <v>3.3593220386051854</v>
      </c>
      <c r="I28" s="130">
        <f t="shared" si="0"/>
        <v>153.24283625610229</v>
      </c>
      <c r="J28" s="130">
        <f t="shared" si="4"/>
        <v>0.25680201483086162</v>
      </c>
      <c r="K28" s="78">
        <f>R26+R27+R28</f>
        <v>610234265627</v>
      </c>
      <c r="L28" s="90">
        <f>U28/U25-1</f>
        <v>0.54572015108871397</v>
      </c>
      <c r="M28" s="90">
        <f>U28/U16-1</f>
        <v>3.5231062049542361</v>
      </c>
      <c r="N28" s="88">
        <f>AVERAGE(T26:T28)</f>
        <v>1807.1920027304577</v>
      </c>
      <c r="O28" s="91">
        <f>N28/N25-1</f>
        <v>-0.45138071675062508</v>
      </c>
      <c r="P28" s="129" t="s">
        <v>413</v>
      </c>
      <c r="Q28" s="116">
        <v>37103462</v>
      </c>
      <c r="R28" s="116">
        <v>48315997356</v>
      </c>
      <c r="S28" s="116">
        <v>242122</v>
      </c>
      <c r="T28" s="130">
        <f t="shared" ref="T28" si="10">Q28/S28</f>
        <v>153.24283625610229</v>
      </c>
      <c r="U28" s="85">
        <f>Q26+Q27+Q28</f>
        <v>455824875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777272.72727272729</v>
      </c>
      <c r="G29" s="190">
        <f t="shared" ref="G29" si="11">F29/F28-1</f>
        <v>-0.60197294208875118</v>
      </c>
      <c r="H29" s="190">
        <f t="shared" ref="H29" si="12">F29/F17-1</f>
        <v>16.172497131138527</v>
      </c>
      <c r="I29" s="130">
        <f t="shared" si="0"/>
        <v>691.71959063144698</v>
      </c>
      <c r="J29" s="130">
        <f t="shared" si="4"/>
        <v>2.4679469298426211</v>
      </c>
      <c r="K29" s="136"/>
      <c r="L29" s="190"/>
      <c r="M29" s="190"/>
      <c r="N29" s="191"/>
      <c r="O29" s="192"/>
      <c r="P29" s="129" t="s">
        <v>430</v>
      </c>
      <c r="Q29" s="116">
        <v>17100000</v>
      </c>
      <c r="R29" s="116">
        <v>22736160000</v>
      </c>
      <c r="S29" s="116">
        <v>24721</v>
      </c>
      <c r="T29" s="130">
        <f t="shared" ref="T29" si="13">Q29/S29</f>
        <v>691.71959063144698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4285377.1052631577</v>
      </c>
      <c r="G30" s="190">
        <f t="shared" ref="G30" si="14">F30/F29-1</f>
        <v>4.5133506617420744</v>
      </c>
      <c r="H30" s="190">
        <f t="shared" ref="H30" si="15">F30/F18-1</f>
        <v>0.50456977866290953</v>
      </c>
      <c r="I30" s="130">
        <f t="shared" si="0"/>
        <v>23512.031475599193</v>
      </c>
      <c r="J30" s="130">
        <f t="shared" si="4"/>
        <v>93.100268999080029</v>
      </c>
      <c r="K30" s="136"/>
      <c r="L30" s="190"/>
      <c r="M30" s="190"/>
      <c r="N30" s="191"/>
      <c r="O30" s="192"/>
      <c r="P30" s="129" t="s">
        <v>466</v>
      </c>
      <c r="Q30" s="116">
        <v>81422165</v>
      </c>
      <c r="R30" s="116">
        <v>108407913296</v>
      </c>
      <c r="S30" s="116">
        <v>3463</v>
      </c>
      <c r="T30" s="130">
        <f t="shared" ref="T30" si="16">Q30/S30</f>
        <v>23512.031475599193</v>
      </c>
      <c r="U30" s="85"/>
    </row>
    <row r="31" spans="1:21" s="79" customFormat="1" ht="13.2" hidden="1">
      <c r="A31" s="129" t="s">
        <v>505</v>
      </c>
      <c r="B31" s="188">
        <f>SUM(F29:F31)</f>
        <v>6696698.7325358856</v>
      </c>
      <c r="C31" s="188">
        <f>AVERAGE(F29:F31)</f>
        <v>2232232.9108452951</v>
      </c>
      <c r="D31" s="190">
        <f>C31/C28-1</f>
        <v>-0.7055174117774079</v>
      </c>
      <c r="E31" s="287">
        <f>C31/C19-1</f>
        <v>1.0866322050011217</v>
      </c>
      <c r="F31" s="136">
        <f>Q31/20</f>
        <v>1634048.9</v>
      </c>
      <c r="G31" s="190">
        <f t="shared" ref="G31" si="17">F31/F30-1</f>
        <v>-0.61869192375319426</v>
      </c>
      <c r="H31" s="190">
        <f t="shared" ref="H31" si="18">F31/F19-1</f>
        <v>4.1738234646050278</v>
      </c>
      <c r="I31" s="130">
        <f t="shared" si="0"/>
        <v>620.39139678803292</v>
      </c>
      <c r="J31" s="130">
        <f t="shared" si="4"/>
        <v>-0.93861498793845355</v>
      </c>
      <c r="K31" s="136">
        <f>R29+R30+R31</f>
        <v>174669539142</v>
      </c>
      <c r="L31" s="190">
        <f>U31/U28-1</f>
        <v>-0.71216326664928054</v>
      </c>
      <c r="M31" s="190">
        <f>U31/U19-1</f>
        <v>1.0241672529334331</v>
      </c>
      <c r="N31" s="191">
        <f>AVERAGE(T29:T31)</f>
        <v>8274.7141543395574</v>
      </c>
      <c r="O31" s="192">
        <f>N31/N28-1</f>
        <v>3.5787686874650966</v>
      </c>
      <c r="P31" s="129" t="s">
        <v>505</v>
      </c>
      <c r="Q31" s="116">
        <v>32680978</v>
      </c>
      <c r="R31" s="116">
        <v>43525465846</v>
      </c>
      <c r="S31" s="116">
        <v>52678</v>
      </c>
      <c r="T31" s="130">
        <f t="shared" ref="T31" si="19">Q31/S31</f>
        <v>620.39139678803292</v>
      </c>
      <c r="U31" s="85">
        <f>Q29+Q30+Q31</f>
        <v>131203143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29011.857142857141</v>
      </c>
      <c r="G32" s="190">
        <f t="shared" ref="G32" si="20">F32/F31-1</f>
        <v>-0.9822454168030974</v>
      </c>
      <c r="H32" s="190">
        <f t="shared" ref="H32" si="21">F32/F20-1</f>
        <v>5.938311843606721</v>
      </c>
      <c r="I32" s="130">
        <f t="shared" si="0"/>
        <v>444.83717873831779</v>
      </c>
      <c r="J32" s="130">
        <f t="shared" si="4"/>
        <v>0.37608669512128468</v>
      </c>
      <c r="K32" s="136"/>
      <c r="L32" s="190"/>
      <c r="M32" s="190"/>
      <c r="N32" s="191"/>
      <c r="O32" s="192"/>
      <c r="P32" s="129" t="s">
        <v>562</v>
      </c>
      <c r="Q32" s="116">
        <v>609249</v>
      </c>
      <c r="R32" s="116">
        <v>825777963</v>
      </c>
      <c r="S32" s="116">
        <v>1369.6</v>
      </c>
      <c r="T32" s="130">
        <f t="shared" ref="T32" si="22">Q32/S32</f>
        <v>444.83717873831779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116118.71428571429</v>
      </c>
      <c r="G33" s="190">
        <f t="shared" ref="G33" si="23">F33/F32-1</f>
        <v>3.0024571234421398</v>
      </c>
      <c r="H33" s="190">
        <f t="shared" ref="H33" si="24">F33/F21-1</f>
        <v>-0.98665642501710416</v>
      </c>
      <c r="I33" s="130">
        <f t="shared" si="0"/>
        <v>803.6797663933346</v>
      </c>
      <c r="J33" s="130">
        <f t="shared" si="4"/>
        <v>1.2410640961926545</v>
      </c>
      <c r="K33" s="136"/>
      <c r="L33" s="190"/>
      <c r="M33" s="190"/>
      <c r="N33" s="191"/>
      <c r="O33" s="192"/>
      <c r="P33" s="129" t="s">
        <v>609</v>
      </c>
      <c r="Q33" s="116">
        <v>2438493</v>
      </c>
      <c r="R33" s="116">
        <v>3325611179</v>
      </c>
      <c r="S33" s="116">
        <v>3034.16</v>
      </c>
      <c r="T33" s="130">
        <f t="shared" ref="T33" si="25">Q33/S33</f>
        <v>803.6797663933346</v>
      </c>
      <c r="U33" s="85"/>
    </row>
    <row r="34" spans="1:21" s="79" customFormat="1" ht="13.2" hidden="1">
      <c r="A34" s="129" t="s">
        <v>652</v>
      </c>
      <c r="B34" s="188">
        <f>SUM(F32:F34)</f>
        <v>7770823.4135338347</v>
      </c>
      <c r="C34" s="188">
        <f>AVERAGE(F32:F34)</f>
        <v>2590274.4711779449</v>
      </c>
      <c r="D34" s="190">
        <f>C34/C31-1</f>
        <v>0.1603961479974183</v>
      </c>
      <c r="E34" s="287">
        <f>C34/C22-1</f>
        <v>-0.40961569530379016</v>
      </c>
      <c r="F34" s="136">
        <f>Q34/19</f>
        <v>7625692.8421052629</v>
      </c>
      <c r="G34" s="190">
        <f t="shared" ref="G34" si="26">F34/F33-1</f>
        <v>64.671523225291409</v>
      </c>
      <c r="H34" s="190">
        <f t="shared" ref="H34" si="27">F34/F22-1</f>
        <v>0.71136480427650595</v>
      </c>
      <c r="I34" s="130">
        <f t="shared" si="0"/>
        <v>380.83375498324483</v>
      </c>
      <c r="J34" s="130">
        <f t="shared" si="4"/>
        <v>4.869741106376968E-2</v>
      </c>
      <c r="K34" s="136">
        <f>R32+R33+R34</f>
        <v>202312454459</v>
      </c>
      <c r="L34" s="190">
        <f>U34/U31-1</f>
        <v>0.12753324819360468</v>
      </c>
      <c r="M34" s="190">
        <f>U34/U22-1</f>
        <v>-0.4647845591868025</v>
      </c>
      <c r="N34" s="191">
        <f>AVERAGE(T32:T34)</f>
        <v>543.11690003829915</v>
      </c>
      <c r="O34" s="192">
        <f>N34/N31-1</f>
        <v>-0.9343642704861933</v>
      </c>
      <c r="P34" s="129" t="s">
        <v>652</v>
      </c>
      <c r="Q34" s="116">
        <v>144888164</v>
      </c>
      <c r="R34" s="116">
        <v>198161065317</v>
      </c>
      <c r="S34" s="116">
        <v>380449.9</v>
      </c>
      <c r="T34" s="130">
        <f t="shared" ref="T34" si="28">Q34/S34</f>
        <v>380.83375498324483</v>
      </c>
      <c r="U34" s="85">
        <f>Q32+Q33+Q34</f>
        <v>147935906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2764910.7826086958</v>
      </c>
      <c r="G35" s="190">
        <f t="shared" ref="G35" si="29">F35/F34-1</f>
        <v>-0.63742169533209614</v>
      </c>
      <c r="H35" s="190">
        <f t="shared" ref="H35" si="30">F35/F23-1</f>
        <v>-0.33881094940277134</v>
      </c>
      <c r="I35" s="130">
        <f t="shared" si="0"/>
        <v>3557.884301108717</v>
      </c>
      <c r="J35" s="130">
        <f t="shared" si="4"/>
        <v>-0.206936915677569</v>
      </c>
      <c r="K35" s="136"/>
      <c r="L35" s="190"/>
      <c r="M35" s="190"/>
      <c r="N35" s="191"/>
      <c r="O35" s="192"/>
      <c r="P35" s="129" t="s">
        <v>660</v>
      </c>
      <c r="Q35" s="116">
        <v>63592948</v>
      </c>
      <c r="R35" s="116">
        <v>88036805421</v>
      </c>
      <c r="S35" s="116">
        <v>17873.810000000001</v>
      </c>
      <c r="T35" s="130">
        <f t="shared" ref="T35" si="31">Q35/S35</f>
        <v>3557.884301108717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19278.571428571428</v>
      </c>
      <c r="G36" s="190">
        <f t="shared" ref="G36" si="32">F36/F35-1</f>
        <v>-0.99302741645414605</v>
      </c>
      <c r="H36" s="190">
        <f t="shared" ref="H36" si="33">F36/F24-1</f>
        <v>-0.99518580517020172</v>
      </c>
      <c r="I36" s="130">
        <f t="shared" si="0"/>
        <v>545.12771486662984</v>
      </c>
      <c r="J36" s="130">
        <f t="shared" si="4"/>
        <v>-0.88923955176784675</v>
      </c>
      <c r="K36" s="136"/>
      <c r="L36" s="190"/>
      <c r="M36" s="190"/>
      <c r="N36" s="191"/>
      <c r="O36" s="192"/>
      <c r="P36" s="129" t="s">
        <v>664</v>
      </c>
      <c r="Q36" s="116">
        <v>404850</v>
      </c>
      <c r="R36" s="116">
        <v>549283526</v>
      </c>
      <c r="S36" s="116">
        <v>742.67</v>
      </c>
      <c r="T36" s="130">
        <f t="shared" ref="T36" si="34">Q36/S36</f>
        <v>545.12771486662984</v>
      </c>
      <c r="U36" s="85"/>
    </row>
    <row r="37" spans="1:21" s="79" customFormat="1" ht="13.2" hidden="1">
      <c r="A37" s="129" t="s">
        <v>704</v>
      </c>
      <c r="B37" s="188">
        <f>SUM(F35:F37)</f>
        <v>2784710.0762594892</v>
      </c>
      <c r="C37" s="188">
        <f>AVERAGE(F35:F37)</f>
        <v>928236.69208649639</v>
      </c>
      <c r="D37" s="190">
        <f>C37/C34-1</f>
        <v>-0.64164543085491066</v>
      </c>
      <c r="E37" s="287">
        <f>C37/C25-1</f>
        <v>-0.80726389253318631</v>
      </c>
      <c r="F37" s="136">
        <f>Q37/18</f>
        <v>520.72222222222217</v>
      </c>
      <c r="G37" s="190">
        <f t="shared" ref="G37" si="35">F37/F36-1</f>
        <v>-0.97298958461981799</v>
      </c>
      <c r="H37" s="190">
        <f t="shared" ref="H37" si="36">F37/F25-1</f>
        <v>-0.99991684481316123</v>
      </c>
      <c r="I37" s="130">
        <f t="shared" si="0"/>
        <v>399.36088623775032</v>
      </c>
      <c r="J37" s="130">
        <f t="shared" si="4"/>
        <v>-0.15796520383552914</v>
      </c>
      <c r="K37" s="136">
        <f>R35+R36+R37</f>
        <v>88598576410</v>
      </c>
      <c r="L37" s="190">
        <f>U37/U34-1</f>
        <v>-0.56733174027406164</v>
      </c>
      <c r="M37" s="190">
        <f>U37/U25-1</f>
        <v>-0.78294915557453693</v>
      </c>
      <c r="N37" s="191">
        <f>AVERAGE(T35:T37)</f>
        <v>1500.7909674043658</v>
      </c>
      <c r="O37" s="192">
        <f>N37/N34-1</f>
        <v>1.763292704201497</v>
      </c>
      <c r="P37" s="129" t="s">
        <v>704</v>
      </c>
      <c r="Q37" s="116">
        <v>9373</v>
      </c>
      <c r="R37" s="116">
        <v>12487463</v>
      </c>
      <c r="S37" s="116">
        <v>23.47</v>
      </c>
      <c r="T37" s="130">
        <f t="shared" ref="T37" si="37">Q37/S37</f>
        <v>399.36088623775032</v>
      </c>
      <c r="U37" s="85">
        <f>Q35+Q36+Q37</f>
        <v>64007171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10729014.949999999</v>
      </c>
      <c r="G38" s="190">
        <f t="shared" ref="G38" si="38">F38/F37-1</f>
        <v>20603.1042462392</v>
      </c>
      <c r="H38" s="190">
        <f t="shared" ref="H38" si="39">F38/F26-1</f>
        <v>-0.16633281385923127</v>
      </c>
      <c r="I38" s="130">
        <f t="shared" si="0"/>
        <v>983.00378381258247</v>
      </c>
      <c r="J38" s="130">
        <f t="shared" si="4"/>
        <v>1.4263645207155107</v>
      </c>
      <c r="K38" s="136"/>
      <c r="L38" s="190"/>
      <c r="M38" s="190"/>
      <c r="N38" s="191"/>
      <c r="O38" s="192"/>
      <c r="P38" s="129" t="s">
        <v>728</v>
      </c>
      <c r="Q38" s="116">
        <v>214580299</v>
      </c>
      <c r="R38" s="116">
        <v>294006476388</v>
      </c>
      <c r="S38" s="116">
        <v>218290.41</v>
      </c>
      <c r="T38" s="130">
        <f t="shared" ref="T38" si="40">Q38/S38</f>
        <v>983.00378381258247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16200.761904761905</v>
      </c>
      <c r="G39" s="190">
        <f t="shared" ref="G39" si="41">F39/F38-1</f>
        <v>-0.99849000472268312</v>
      </c>
      <c r="H39" s="190">
        <f t="shared" ref="H39" si="42">F39/F27-1</f>
        <v>-0.99795395411228383</v>
      </c>
      <c r="I39" s="130">
        <f t="shared" si="0"/>
        <v>721.69873358647453</v>
      </c>
      <c r="J39" s="130">
        <f t="shared" si="4"/>
        <v>-0.85159999200923431</v>
      </c>
      <c r="K39" s="136"/>
      <c r="L39" s="190"/>
      <c r="M39" s="190"/>
      <c r="N39" s="191"/>
      <c r="O39" s="192"/>
      <c r="P39" s="129" t="s">
        <v>762</v>
      </c>
      <c r="Q39" s="116">
        <v>340216</v>
      </c>
      <c r="R39" s="116">
        <v>471044988</v>
      </c>
      <c r="S39" s="116">
        <v>471.41</v>
      </c>
      <c r="T39" s="130">
        <f t="shared" ref="T39" si="43">Q39/S39</f>
        <v>721.69873358647453</v>
      </c>
      <c r="U39" s="85"/>
    </row>
    <row r="40" spans="1:21" s="79" customFormat="1" ht="13.2" hidden="1">
      <c r="A40" s="129" t="s">
        <v>778</v>
      </c>
      <c r="B40" s="188">
        <f>SUM(F38:F40)</f>
        <v>10919715.426190475</v>
      </c>
      <c r="C40" s="188">
        <f>AVERAGE(F38:F40)</f>
        <v>3639905.1420634915</v>
      </c>
      <c r="D40" s="190">
        <f>C40/C37-1</f>
        <v>2.9213114209929469</v>
      </c>
      <c r="E40" s="287">
        <f>C40/C28-1</f>
        <v>-0.519813240853223</v>
      </c>
      <c r="F40" s="136">
        <f>Q40/21</f>
        <v>174499.71428571429</v>
      </c>
      <c r="G40" s="190">
        <f t="shared" ref="G40" si="44">F40/F39-1</f>
        <v>9.7710807251863532</v>
      </c>
      <c r="H40" s="190">
        <f t="shared" ref="H40" si="45">F40/F28-1</f>
        <v>-0.91064190798614497</v>
      </c>
      <c r="I40" s="130">
        <f t="shared" si="0"/>
        <v>248.82675396157694</v>
      </c>
      <c r="J40" s="130">
        <f t="shared" si="4"/>
        <v>0.62374150753600666</v>
      </c>
      <c r="K40" s="136">
        <f>R38+R39+R40</f>
        <v>299711858856</v>
      </c>
      <c r="L40" s="190">
        <f>U40/U37-1</f>
        <v>2.4150081246365347</v>
      </c>
      <c r="M40" s="190">
        <f>U40/U28-1</f>
        <v>-0.52046274569811479</v>
      </c>
      <c r="N40" s="191">
        <f>AVERAGE(T38:T40)</f>
        <v>651.17642378687799</v>
      </c>
      <c r="O40" s="192">
        <f>N40/N37-1</f>
        <v>-0.56611117875189865</v>
      </c>
      <c r="P40" s="129" t="s">
        <v>778</v>
      </c>
      <c r="Q40" s="116">
        <v>3664494</v>
      </c>
      <c r="R40" s="116">
        <v>5234337480</v>
      </c>
      <c r="S40" s="116">
        <v>14727.09</v>
      </c>
      <c r="T40" s="130">
        <f t="shared" ref="T40" si="46">Q40/S40</f>
        <v>248.82675396157694</v>
      </c>
      <c r="U40" s="85">
        <f>Q38+Q39+Q40</f>
        <v>218585009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10787721</v>
      </c>
      <c r="G41" s="190">
        <f t="shared" ref="G41" si="47">F41/F40-1</f>
        <v>60.82085193753899</v>
      </c>
      <c r="H41" s="190">
        <f t="shared" ref="H41" si="48">F41/F29-1</f>
        <v>12.878939298245614</v>
      </c>
      <c r="I41" s="130">
        <f t="shared" si="0"/>
        <v>876.15454657026419</v>
      </c>
      <c r="J41" s="130">
        <f t="shared" si="4"/>
        <v>0.2666325465358772</v>
      </c>
      <c r="K41" s="193"/>
      <c r="L41" s="190"/>
      <c r="M41" s="190"/>
      <c r="N41" s="193"/>
      <c r="O41" s="193"/>
      <c r="P41" s="129" t="s">
        <v>792</v>
      </c>
      <c r="Q41" s="116">
        <v>194178978</v>
      </c>
      <c r="R41" s="116">
        <v>283895130352</v>
      </c>
      <c r="S41" s="116">
        <v>221626.4</v>
      </c>
      <c r="T41" s="130">
        <f t="shared" ref="T41" si="49">Q41/S41</f>
        <v>876.15454657026419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822.75</v>
      </c>
      <c r="G42" s="190">
        <f t="shared" ref="G42" si="50">F42/F41-1</f>
        <v>-0.99992373273279866</v>
      </c>
      <c r="H42" s="190">
        <f t="shared" ref="H42" si="51">F42/F30-1</f>
        <v>-0.99980800989509433</v>
      </c>
      <c r="I42" s="130">
        <f t="shared" si="0"/>
        <v>1007.6546233925292</v>
      </c>
      <c r="J42" s="130">
        <f t="shared" si="4"/>
        <v>-0.95714302167219056</v>
      </c>
      <c r="K42" s="193"/>
      <c r="L42" s="190"/>
      <c r="M42" s="190"/>
      <c r="N42" s="193"/>
      <c r="O42" s="193"/>
      <c r="P42" s="129" t="s">
        <v>826</v>
      </c>
      <c r="Q42" s="116">
        <v>16455</v>
      </c>
      <c r="R42" s="116">
        <v>23737821</v>
      </c>
      <c r="S42" s="116">
        <v>16.329999999999998</v>
      </c>
      <c r="T42" s="130">
        <f t="shared" ref="T42" si="52">Q42/S42</f>
        <v>1007.6546233925292</v>
      </c>
      <c r="U42" s="78"/>
    </row>
    <row r="43" spans="1:21" s="79" customFormat="1" ht="13.2">
      <c r="A43" s="129" t="s">
        <v>835</v>
      </c>
      <c r="B43" s="188">
        <f>SUM(F41:F43)</f>
        <v>14805854.949999999</v>
      </c>
      <c r="C43" s="188">
        <f>AVERAGE(F41:F43)</f>
        <v>4935284.9833333334</v>
      </c>
      <c r="D43" s="190">
        <f>C43/C40-1</f>
        <v>0.35588285702837874</v>
      </c>
      <c r="E43" s="287">
        <f>C43/C31-1</f>
        <v>1.2109184751086097</v>
      </c>
      <c r="F43" s="136">
        <f>Q43/20</f>
        <v>4017311.2</v>
      </c>
      <c r="G43" s="190">
        <f t="shared" ref="G43" si="53">F43/F42-1</f>
        <v>4881.7848070495293</v>
      </c>
      <c r="H43" s="190">
        <f t="shared" ref="H43" si="54">F43/F31-1</f>
        <v>1.4585012113162588</v>
      </c>
      <c r="I43" s="130">
        <f t="shared" si="0"/>
        <v>43991.340389069264</v>
      </c>
      <c r="J43" s="130">
        <f t="shared" si="4"/>
        <v>69.909011015991965</v>
      </c>
      <c r="K43" s="136">
        <f>R41+R42+R43</f>
        <v>400738780128</v>
      </c>
      <c r="L43" s="190">
        <f>U43/U40-1</f>
        <v>0.25599490219386456</v>
      </c>
      <c r="M43" s="190">
        <f>K43/K31-1</f>
        <v>1.2942682627805753</v>
      </c>
      <c r="N43" s="191">
        <f>AVERAGE(T41:T43)</f>
        <v>15291.716519677351</v>
      </c>
      <c r="O43" s="192">
        <f>N43/N40-1</f>
        <v>22.483215855311958</v>
      </c>
      <c r="P43" s="129" t="s">
        <v>835</v>
      </c>
      <c r="Q43" s="116">
        <v>80346224</v>
      </c>
      <c r="R43" s="116">
        <v>116819911955</v>
      </c>
      <c r="S43" s="116">
        <v>1826.41</v>
      </c>
      <c r="T43" s="130">
        <f t="shared" ref="T43" si="55">Q43/S43</f>
        <v>43991.340389069264</v>
      </c>
      <c r="U43" s="85">
        <f>Q41+Q42+Q43</f>
        <v>274541657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6136731.4545454541</v>
      </c>
      <c r="G44" s="190">
        <f t="shared" ref="G44" si="56">F44/F43-1</f>
        <v>0.52757183823485065</v>
      </c>
      <c r="H44" s="190">
        <f t="shared" ref="H44" si="57">F44/F32-1</f>
        <v>210.52494389888952</v>
      </c>
      <c r="I44" s="130">
        <f t="shared" si="0"/>
        <v>626.06060830894933</v>
      </c>
      <c r="J44" s="130">
        <f t="shared" si="4"/>
        <v>0.40739272307371355</v>
      </c>
      <c r="K44" s="136"/>
      <c r="L44" s="190"/>
      <c r="M44" s="190"/>
      <c r="N44" s="191"/>
      <c r="O44" s="192"/>
      <c r="P44" s="129" t="s">
        <v>843</v>
      </c>
      <c r="Q44" s="116">
        <v>135008092</v>
      </c>
      <c r="R44" s="116">
        <v>192246484882</v>
      </c>
      <c r="S44" s="116">
        <v>215647</v>
      </c>
      <c r="T44" s="130">
        <f t="shared" ref="T44" si="58">Q44/S44</f>
        <v>626.06060830894933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9619693.75</v>
      </c>
      <c r="G45" s="190">
        <f t="shared" ref="G45" si="59">F45/F44-1</f>
        <v>0.56755983559859513</v>
      </c>
      <c r="H45" s="190">
        <f t="shared" ref="H45" si="60">F45/F33-1</f>
        <v>81.843612325317309</v>
      </c>
      <c r="I45" s="130">
        <f t="shared" si="0"/>
        <v>908.95889239549479</v>
      </c>
      <c r="J45" s="130">
        <f t="shared" si="4"/>
        <v>0.13099636248728808</v>
      </c>
      <c r="K45" s="136"/>
      <c r="L45" s="190"/>
      <c r="M45" s="190"/>
      <c r="N45" s="191"/>
      <c r="O45" s="192"/>
      <c r="P45" s="129" t="s">
        <v>887</v>
      </c>
      <c r="Q45" s="116">
        <v>192393875</v>
      </c>
      <c r="R45" s="116">
        <v>271584082584</v>
      </c>
      <c r="S45" s="116">
        <v>211664</v>
      </c>
      <c r="T45" s="130">
        <f t="shared" ref="T45" si="61">Q45/S45</f>
        <v>908.95889239549479</v>
      </c>
      <c r="U45" s="85"/>
    </row>
    <row r="46" spans="1:21" s="79" customFormat="1" ht="13.2">
      <c r="A46" s="129" t="s">
        <v>888</v>
      </c>
      <c r="B46" s="188">
        <f>SUM(F44:F46)</f>
        <v>19242092.678229664</v>
      </c>
      <c r="C46" s="188">
        <f>AVERAGE(F44:F46)</f>
        <v>6414030.8927432215</v>
      </c>
      <c r="D46" s="190">
        <f>C46/C43-1</f>
        <v>0.29962725848733673</v>
      </c>
      <c r="E46" s="287">
        <f>C46/C34-1</f>
        <v>1.4761973930223684</v>
      </c>
      <c r="F46" s="136">
        <f>Q46/19</f>
        <v>3485667.4736842103</v>
      </c>
      <c r="G46" s="190">
        <f t="shared" ref="G46" si="62">F46/F45-1</f>
        <v>-0.63765296855898246</v>
      </c>
      <c r="H46" s="190">
        <f t="shared" ref="H46" si="63">F46/F34-1</f>
        <v>-0.54290481588268313</v>
      </c>
      <c r="I46" s="130">
        <f t="shared" si="0"/>
        <v>310.22607058206313</v>
      </c>
      <c r="J46" s="130">
        <f t="shared" si="4"/>
        <v>-0.18540290475115095</v>
      </c>
      <c r="K46" s="136">
        <f>R44+R45+R46</f>
        <v>554088351581</v>
      </c>
      <c r="L46" s="190">
        <f>U46/U43-1</f>
        <v>0.4337702092327651</v>
      </c>
      <c r="M46" s="190">
        <f>K46/K34-1</f>
        <v>1.7387752922215167</v>
      </c>
      <c r="N46" s="191">
        <f>AVERAGE(T44:T46)</f>
        <v>615.08185709550241</v>
      </c>
      <c r="O46" s="192">
        <f>N46/N43-1</f>
        <v>-0.95977679442958441</v>
      </c>
      <c r="P46" s="129" t="s">
        <v>888</v>
      </c>
      <c r="Q46" s="116">
        <v>66227682</v>
      </c>
      <c r="R46" s="116">
        <v>90257784115</v>
      </c>
      <c r="S46" s="116">
        <v>213482</v>
      </c>
      <c r="T46" s="130">
        <f t="shared" ref="T46" si="64">Q46/S46</f>
        <v>310.22607058206313</v>
      </c>
      <c r="U46" s="85">
        <f t="shared" ref="U46:U51" si="65">Q44+Q45+Q46</f>
        <v>393629649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2498739.6956521738</v>
      </c>
      <c r="G47" s="190">
        <f t="shared" ref="G47" si="66">F47/F46-1</f>
        <v>-0.28313882075185259</v>
      </c>
      <c r="H47" s="190">
        <f t="shared" ref="H47" si="67">F47/F35-1</f>
        <v>-9.6267513813009686E-2</v>
      </c>
      <c r="I47" s="130">
        <f t="shared" si="0"/>
        <v>1184.9693402061855</v>
      </c>
      <c r="J47" s="130">
        <f t="shared" si="4"/>
        <v>-0.66694551033126004</v>
      </c>
      <c r="K47" s="136"/>
      <c r="L47" s="190"/>
      <c r="M47" s="190"/>
      <c r="N47" s="191"/>
      <c r="O47" s="192"/>
      <c r="P47" s="129" t="s">
        <v>1029</v>
      </c>
      <c r="Q47" s="116">
        <v>57471013</v>
      </c>
      <c r="R47" s="116">
        <v>77931843048</v>
      </c>
      <c r="S47" s="116">
        <v>48500</v>
      </c>
      <c r="T47" s="130">
        <f t="shared" ref="T47" si="68">Q47/S47</f>
        <v>1184.9693402061855</v>
      </c>
      <c r="U47" s="85">
        <f t="shared" si="65"/>
        <v>316092570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3449200</v>
      </c>
      <c r="G48" s="190">
        <f t="shared" ref="G48" si="69">F48/F47-1</f>
        <v>0.38037587748801305</v>
      </c>
      <c r="H48" s="190">
        <f t="shared" ref="H48" si="70">F48/F36-1</f>
        <v>177.91367173027049</v>
      </c>
      <c r="I48" s="130">
        <f t="shared" si="0"/>
        <v>1550.2022471910113</v>
      </c>
      <c r="J48" s="130">
        <f t="shared" si="4"/>
        <v>1.8437413929142852</v>
      </c>
      <c r="K48" s="136"/>
      <c r="L48" s="190"/>
      <c r="M48" s="190"/>
      <c r="N48" s="191"/>
      <c r="O48" s="192"/>
      <c r="P48" s="129" t="s">
        <v>1070</v>
      </c>
      <c r="Q48" s="116">
        <v>68984000</v>
      </c>
      <c r="R48" s="116">
        <v>95477995040</v>
      </c>
      <c r="S48" s="116">
        <v>44500</v>
      </c>
      <c r="T48" s="130">
        <f t="shared" ref="T48" si="71">Q48/S48</f>
        <v>1550.2022471910113</v>
      </c>
      <c r="U48" s="85">
        <f t="shared" si="65"/>
        <v>192682695</v>
      </c>
    </row>
    <row r="49" spans="1:26" ht="13.2">
      <c r="A49" s="129" t="s">
        <v>1158</v>
      </c>
      <c r="B49" s="188">
        <f>SUM(F47:F49)</f>
        <v>5947939.6956521738</v>
      </c>
      <c r="C49" s="188">
        <f>AVERAGE(F47:F49)</f>
        <v>1982646.5652173914</v>
      </c>
      <c r="D49" s="190">
        <f>C49/C46-1</f>
        <v>-0.69088914625270359</v>
      </c>
      <c r="E49" s="287">
        <f>C49/C37-1</f>
        <v>1.1359278103527513</v>
      </c>
      <c r="F49" s="136">
        <f>Q49/22</f>
        <v>0</v>
      </c>
      <c r="G49" s="190">
        <f t="shared" ref="G49" si="72">F49/F48-1</f>
        <v>-1</v>
      </c>
      <c r="H49" s="190">
        <f t="shared" ref="H49" si="7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173409838088</v>
      </c>
      <c r="L49" s="190">
        <f>U49/U46-1</f>
        <v>-0.67874621913960553</v>
      </c>
      <c r="M49" s="190">
        <f>K49/K37-1</f>
        <v>0.95725309722276153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74">Q49/S49</f>
        <v>#DIV/0!</v>
      </c>
      <c r="U49" s="85">
        <f t="shared" si="65"/>
        <v>126455013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0</v>
      </c>
      <c r="G50" s="190" t="e">
        <f t="shared" ref="G50" si="75">F50/F49-1</f>
        <v>#DIV/0!</v>
      </c>
      <c r="H50" s="190">
        <f t="shared" ref="H50" si="76">F50/F38-1</f>
        <v>-1</v>
      </c>
      <c r="I50" s="130" t="e">
        <f t="shared" ref="I50" si="77">T50</f>
        <v>#DIV/0!</v>
      </c>
      <c r="J50" s="130" t="e">
        <f t="shared" ref="J50" si="78">I50/I38-1</f>
        <v>#DIV/0!</v>
      </c>
      <c r="K50" s="136"/>
      <c r="L50" s="190"/>
      <c r="M50" s="190"/>
      <c r="N50" s="191"/>
      <c r="O50" s="192"/>
      <c r="P50" s="129" t="s">
        <v>1370</v>
      </c>
      <c r="Q50" s="116"/>
      <c r="R50" s="116"/>
      <c r="S50" s="116"/>
      <c r="T50" s="130" t="e">
        <f t="shared" ref="T50" si="79">Q50/S50</f>
        <v>#DIV/0!</v>
      </c>
      <c r="U50" s="85">
        <f t="shared" si="65"/>
        <v>68984000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2718667.2</v>
      </c>
      <c r="G51" s="190" t="e">
        <f t="shared" ref="G51:G52" si="80">F51/F50-1</f>
        <v>#DIV/0!</v>
      </c>
      <c r="H51" s="190">
        <f t="shared" ref="H51:H52" si="81">F51/F39-1</f>
        <v>166.8110706139629</v>
      </c>
      <c r="I51" s="130">
        <f t="shared" ref="I51:I52" si="82">T51</f>
        <v>1235.7578181818183</v>
      </c>
      <c r="J51" s="130">
        <f t="shared" ref="J51:J52" si="83">I51/I39-1</f>
        <v>0.71229040688589307</v>
      </c>
      <c r="K51" s="136"/>
      <c r="L51" s="190"/>
      <c r="M51" s="190"/>
      <c r="N51" s="191"/>
      <c r="O51" s="192"/>
      <c r="P51" s="129" t="s">
        <v>1402</v>
      </c>
      <c r="Q51" s="116">
        <v>54373344</v>
      </c>
      <c r="R51" s="116">
        <v>79459029987</v>
      </c>
      <c r="S51" s="116">
        <v>44000</v>
      </c>
      <c r="T51" s="130">
        <f t="shared" ref="T51:T52" si="84">Q51/S51</f>
        <v>1235.7578181818183</v>
      </c>
      <c r="U51" s="85">
        <f t="shared" si="65"/>
        <v>54373344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11609541.063636363</v>
      </c>
      <c r="C52" s="188">
        <f>AVERAGE(F50:F52)</f>
        <v>3869847.021212121</v>
      </c>
      <c r="D52" s="190">
        <f>C52/C49-1</f>
        <v>0.95185924163331848</v>
      </c>
      <c r="E52" s="287">
        <f>C52/C40-1</f>
        <v>6.3172492187055562E-2</v>
      </c>
      <c r="F52" s="136">
        <f>Q52/22</f>
        <v>8890873.8636363633</v>
      </c>
      <c r="G52" s="190">
        <f t="shared" si="80"/>
        <v>2.2703060763142919</v>
      </c>
      <c r="H52" s="190">
        <f t="shared" si="81"/>
        <v>49.950649976876377</v>
      </c>
      <c r="I52" s="130">
        <f t="shared" si="82"/>
        <v>391.10536692267243</v>
      </c>
      <c r="J52" s="130">
        <f t="shared" si="83"/>
        <v>0.57179789028259287</v>
      </c>
      <c r="K52" s="136">
        <f>R50+R51+R52</f>
        <v>366846171279</v>
      </c>
      <c r="L52" s="190">
        <f>U52/U49-1</f>
        <v>0.9767707350597481</v>
      </c>
      <c r="M52" s="190">
        <f>K52/K40-1</f>
        <v>0.22399618313153047</v>
      </c>
      <c r="N52" s="191" t="e">
        <f>AVERAGE(T50:T52)</f>
        <v>#DIV/0!</v>
      </c>
      <c r="O52" s="192" t="e">
        <f>N52/N49-1</f>
        <v>#DIV/0!</v>
      </c>
      <c r="P52" s="129" t="s">
        <v>1403</v>
      </c>
      <c r="Q52" s="116">
        <v>195599225</v>
      </c>
      <c r="R52" s="116">
        <v>287387141292</v>
      </c>
      <c r="S52" s="116">
        <v>500119</v>
      </c>
      <c r="T52" s="130">
        <f t="shared" si="84"/>
        <v>391.10536692267243</v>
      </c>
      <c r="U52" s="85">
        <f t="shared" ref="U52" si="85">Q50+Q51+Q52</f>
        <v>249972569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0</v>
      </c>
      <c r="G53" s="190">
        <f t="shared" ref="G53" si="86">F53/F52-1</f>
        <v>-1</v>
      </c>
      <c r="H53" s="190">
        <f t="shared" ref="H53" si="87">F53/F41-1</f>
        <v>-1</v>
      </c>
      <c r="I53" s="130" t="e">
        <f t="shared" ref="I53" si="88">T53</f>
        <v>#DIV/0!</v>
      </c>
      <c r="J53" s="130" t="e">
        <f t="shared" ref="J53" si="89">I53/I41-1</f>
        <v>#DIV/0!</v>
      </c>
      <c r="K53" s="136"/>
      <c r="L53" s="190"/>
      <c r="M53" s="190"/>
      <c r="N53" s="191"/>
      <c r="O53" s="192"/>
      <c r="P53" s="129" t="s">
        <v>1414</v>
      </c>
      <c r="Q53" s="116"/>
      <c r="R53" s="116"/>
      <c r="S53" s="116"/>
      <c r="T53" s="130" t="e">
        <f t="shared" ref="T53" si="90">Q53/S53</f>
        <v>#DIV/0!</v>
      </c>
      <c r="U53" s="85">
        <f t="shared" ref="U53" si="91">Q51+Q52+Q53</f>
        <v>249972569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0</v>
      </c>
      <c r="G54" s="190" t="e">
        <f t="shared" ref="G54" si="92">F54/F53-1</f>
        <v>#DIV/0!</v>
      </c>
      <c r="H54" s="190">
        <f t="shared" ref="H54" si="93">F54/F42-1</f>
        <v>-1</v>
      </c>
      <c r="I54" s="130" t="e">
        <f t="shared" ref="I54" si="94">T54</f>
        <v>#DIV/0!</v>
      </c>
      <c r="J54" s="130" t="e">
        <f t="shared" ref="J54" si="95">I54/I42-1</f>
        <v>#DIV/0!</v>
      </c>
      <c r="K54" s="136"/>
      <c r="L54" s="190"/>
      <c r="M54" s="190"/>
      <c r="N54" s="191"/>
      <c r="O54" s="192"/>
      <c r="P54" s="129" t="s">
        <v>1417</v>
      </c>
      <c r="Q54" s="116"/>
      <c r="R54" s="116"/>
      <c r="S54" s="116"/>
      <c r="T54" s="130" t="e">
        <f t="shared" ref="T54" si="96">Q54/S54</f>
        <v>#DIV/0!</v>
      </c>
      <c r="U54" s="85">
        <f t="shared" ref="U54" si="97">Q52+Q53+Q54</f>
        <v>195599225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160952.38095238095</v>
      </c>
      <c r="C55" s="188">
        <f>AVERAGE(F53:F55)</f>
        <v>53650.793650793647</v>
      </c>
      <c r="D55" s="190">
        <f>C55/C52-1</f>
        <v>-0.9861361977988502</v>
      </c>
      <c r="E55" s="287">
        <f>C55/C43-1</f>
        <v>-0.98912913968859451</v>
      </c>
      <c r="F55" s="136">
        <f>Q55/21</f>
        <v>160952.38095238095</v>
      </c>
      <c r="G55" s="190" t="e">
        <f t="shared" ref="G55" si="98">F55/F54-1</f>
        <v>#DIV/0!</v>
      </c>
      <c r="H55" s="190">
        <f t="shared" ref="H55" si="99">F55/F43-1</f>
        <v>-0.95993529678448086</v>
      </c>
      <c r="I55" s="130">
        <f>T55</f>
        <v>65</v>
      </c>
      <c r="J55" s="130">
        <f t="shared" ref="J55" si="100">I55/I43-1</f>
        <v>-0.99852243647442596</v>
      </c>
      <c r="K55" s="136">
        <f>R53+R54+R55</f>
        <v>4993950000</v>
      </c>
      <c r="L55" s="190">
        <f>U55/U52-1</f>
        <v>-0.98647851636873007</v>
      </c>
      <c r="M55" s="190">
        <f>K55/K43-1</f>
        <v>-0.98753814143366692</v>
      </c>
      <c r="N55" s="191" t="e">
        <f>AVERAGE(T53:T55)</f>
        <v>#DIV/0!</v>
      </c>
      <c r="O55" s="192" t="e">
        <f>N55/N52-1</f>
        <v>#DIV/0!</v>
      </c>
      <c r="P55" s="129" t="s">
        <v>1418</v>
      </c>
      <c r="Q55" s="116">
        <v>3380000</v>
      </c>
      <c r="R55" s="116">
        <v>4993950000</v>
      </c>
      <c r="S55" s="116">
        <v>52000</v>
      </c>
      <c r="T55" s="130">
        <f t="shared" ref="T55" si="101">Q55/S55</f>
        <v>65</v>
      </c>
      <c r="U55" s="85">
        <f t="shared" ref="U55" si="102">Q53+Q54+Q55</f>
        <v>3380000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1987541.1363636365</v>
      </c>
      <c r="G56" s="190">
        <f t="shared" ref="G56" si="103">F56/F55-1</f>
        <v>11.348628362022595</v>
      </c>
      <c r="H56" s="190">
        <f t="shared" ref="H56" si="104">F56/F44-1</f>
        <v>-0.67612382078549782</v>
      </c>
      <c r="I56" s="291">
        <f>T56</f>
        <v>454.05924195223258</v>
      </c>
      <c r="J56" s="130">
        <f t="shared" ref="J56" si="105">I56/I44-1</f>
        <v>-0.27473596657248434</v>
      </c>
      <c r="K56" s="136"/>
      <c r="L56" s="190"/>
      <c r="M56" s="190"/>
      <c r="N56" s="191"/>
      <c r="O56" s="192"/>
      <c r="P56" s="129" t="s">
        <v>1420</v>
      </c>
      <c r="Q56" s="116">
        <v>43725905</v>
      </c>
      <c r="R56" s="116">
        <v>65403459662</v>
      </c>
      <c r="S56" s="116">
        <v>96300</v>
      </c>
      <c r="T56" s="130">
        <f t="shared" ref="T56" si="106">Q56/S56</f>
        <v>454.05924195223258</v>
      </c>
      <c r="U56" s="85">
        <f t="shared" ref="U56" si="107">Q54+Q55+Q56</f>
        <v>47105905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0</v>
      </c>
      <c r="G57" s="254">
        <f t="shared" ref="G57" si="108">F57/F56-1</f>
        <v>-1</v>
      </c>
      <c r="H57" s="254">
        <f t="shared" ref="H57" si="109">F57/F45-1</f>
        <v>-1</v>
      </c>
      <c r="I57" s="282" t="e">
        <f>T57</f>
        <v>#DIV/0!</v>
      </c>
      <c r="J57" s="277" t="e">
        <f t="shared" ref="J57" si="110">I57/I45-1</f>
        <v>#DIV/0!</v>
      </c>
      <c r="K57" s="204"/>
      <c r="L57" s="254"/>
      <c r="M57" s="254"/>
      <c r="N57" s="257"/>
      <c r="O57" s="258"/>
      <c r="P57" s="129" t="s">
        <v>1436</v>
      </c>
      <c r="Q57" s="116"/>
      <c r="R57" s="116"/>
      <c r="S57" s="116"/>
      <c r="T57" s="130" t="e">
        <f t="shared" ref="T57" si="111">Q57/S57</f>
        <v>#DIV/0!</v>
      </c>
      <c r="U57" s="85">
        <f t="shared" ref="U57" si="112">Q55+Q56+Q57</f>
        <v>47105905</v>
      </c>
      <c r="V57" s="79"/>
      <c r="W57" s="79"/>
      <c r="X57" s="79"/>
      <c r="Y57" s="79"/>
      <c r="Z57" s="79"/>
    </row>
    <row r="58" spans="1:26">
      <c r="B58" s="196">
        <f>SUM(F56:F58)</f>
        <v>1987541.1363636365</v>
      </c>
      <c r="C58" s="196">
        <f>AVERAGE(F56:F58)</f>
        <v>993770.56818181823</v>
      </c>
      <c r="D58" s="197">
        <f>C58/C55-1</f>
        <v>17.522942543033892</v>
      </c>
      <c r="E58" s="233">
        <f>C58/C46-1</f>
        <v>-0.8450630212420458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46485905</v>
      </c>
      <c r="R65" s="212">
        <v>69481359662</v>
      </c>
      <c r="S65" s="213">
        <v>148300</v>
      </c>
      <c r="T65" s="214" t="s">
        <v>1421</v>
      </c>
      <c r="U65" s="214" t="s">
        <v>1421</v>
      </c>
    </row>
    <row r="66" spans="16:21" ht="18" thickBot="1">
      <c r="P66" s="180" t="s">
        <v>978</v>
      </c>
      <c r="Q66" s="181">
        <v>2760000</v>
      </c>
      <c r="R66" s="181">
        <v>4077900000</v>
      </c>
      <c r="S66" s="182">
        <v>52000</v>
      </c>
      <c r="T66" s="210" t="s">
        <v>1421</v>
      </c>
      <c r="U66" s="210" t="s">
        <v>1421</v>
      </c>
    </row>
    <row r="67" spans="16:21" ht="18" thickBot="1">
      <c r="P67" s="180" t="s">
        <v>979</v>
      </c>
      <c r="Q67" s="181">
        <v>43725905</v>
      </c>
      <c r="R67" s="181">
        <v>65403459662</v>
      </c>
      <c r="S67" s="182">
        <v>96300</v>
      </c>
      <c r="T67" s="210" t="s">
        <v>1421</v>
      </c>
      <c r="U67" s="210" t="s">
        <v>1421</v>
      </c>
    </row>
    <row r="68" spans="16:21" ht="18" thickBot="1">
      <c r="P68" s="180" t="s">
        <v>975</v>
      </c>
      <c r="Q68" s="181">
        <v>910619731</v>
      </c>
      <c r="R68" s="181">
        <v>1299334712198</v>
      </c>
      <c r="S68" s="182">
        <v>1493989</v>
      </c>
      <c r="T68" s="210" t="s">
        <v>1421</v>
      </c>
      <c r="U68" s="210">
        <v>7</v>
      </c>
    </row>
    <row r="69" spans="16:21" ht="18" thickBot="1">
      <c r="P69" s="215" t="s">
        <v>982</v>
      </c>
      <c r="Q69" s="217"/>
      <c r="R69"/>
      <c r="S69"/>
      <c r="T69"/>
      <c r="U69"/>
    </row>
  </sheetData>
  <phoneticPr fontId="1" type="noConversion"/>
  <conditionalFormatting sqref="C29:C30">
    <cfRule type="cellIs" dxfId="1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92"/>
  <dimension ref="A1:Z71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318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6218752.0999999996</v>
      </c>
      <c r="G5" s="90"/>
      <c r="H5" s="90"/>
      <c r="I5" s="130">
        <f t="shared" ref="I5:I49" si="0">T5</f>
        <v>362.77359901623129</v>
      </c>
      <c r="J5" s="130"/>
      <c r="L5" s="80"/>
      <c r="M5" s="80"/>
      <c r="P5" s="129" t="s">
        <v>0</v>
      </c>
      <c r="Q5" s="116">
        <v>124375042</v>
      </c>
      <c r="R5" s="116">
        <v>146709164709</v>
      </c>
      <c r="S5" s="116">
        <v>342844.8</v>
      </c>
      <c r="T5" s="130">
        <f t="shared" ref="T5:T26" si="1">Q5/S5</f>
        <v>362.77359901623129</v>
      </c>
      <c r="U5" s="85"/>
    </row>
    <row r="6" spans="1:21" ht="15" hidden="1" customHeight="1">
      <c r="A6" s="129" t="s">
        <v>1</v>
      </c>
      <c r="C6" s="79"/>
      <c r="F6" s="78">
        <f>Q6/18</f>
        <v>4940036.333333333</v>
      </c>
      <c r="G6" s="90">
        <f t="shared" ref="G6:G26" si="2">F6/F5-1</f>
        <v>-0.20562256640953203</v>
      </c>
      <c r="H6" s="90"/>
      <c r="I6" s="130">
        <f t="shared" si="0"/>
        <v>293.45270641137301</v>
      </c>
      <c r="J6" s="130"/>
      <c r="P6" s="129" t="s">
        <v>1</v>
      </c>
      <c r="Q6" s="116">
        <v>88920654</v>
      </c>
      <c r="R6" s="116">
        <v>105709261462</v>
      </c>
      <c r="S6" s="116">
        <v>303015.28000000003</v>
      </c>
      <c r="T6" s="130">
        <f t="shared" si="1"/>
        <v>293.45270641137301</v>
      </c>
      <c r="U6" s="85"/>
    </row>
    <row r="7" spans="1:21" ht="15" hidden="1" customHeight="1">
      <c r="A7" s="129" t="s">
        <v>2</v>
      </c>
      <c r="B7" s="131">
        <f>F5+F6+F7</f>
        <v>15862792.47878788</v>
      </c>
      <c r="C7" s="131">
        <f>AVERAGE(F5:F7)</f>
        <v>5287597.4929292938</v>
      </c>
      <c r="F7" s="78">
        <f>Q7/22</f>
        <v>4704004.0454545459</v>
      </c>
      <c r="G7" s="90">
        <f t="shared" si="2"/>
        <v>-4.7779463945667455E-2</v>
      </c>
      <c r="H7" s="90"/>
      <c r="I7" s="130">
        <f t="shared" si="0"/>
        <v>291.54242595329356</v>
      </c>
      <c r="J7" s="130"/>
      <c r="K7" s="79">
        <f>R5+R6+R7</f>
        <v>377071203323</v>
      </c>
      <c r="N7" s="88">
        <f>AVERAGE(T5:T7)</f>
        <v>315.92291046029931</v>
      </c>
      <c r="P7" s="129" t="s">
        <v>2</v>
      </c>
      <c r="Q7" s="116">
        <v>103488089</v>
      </c>
      <c r="R7" s="116">
        <v>124652777152</v>
      </c>
      <c r="S7" s="116">
        <v>354967.51</v>
      </c>
      <c r="T7" s="130">
        <f t="shared" si="1"/>
        <v>291.54242595329356</v>
      </c>
      <c r="U7" s="85">
        <f>Q5+Q6+Q7</f>
        <v>316783785</v>
      </c>
    </row>
    <row r="8" spans="1:21" ht="15" hidden="1" customHeight="1">
      <c r="A8" s="129" t="s">
        <v>3</v>
      </c>
      <c r="C8" s="79"/>
      <c r="F8" s="78">
        <f>Q8/21</f>
        <v>4634128.4285714282</v>
      </c>
      <c r="G8" s="90">
        <f t="shared" si="2"/>
        <v>-1.4854497616905382E-2</v>
      </c>
      <c r="H8" s="90"/>
      <c r="I8" s="130">
        <f t="shared" si="0"/>
        <v>330.29523021819267</v>
      </c>
      <c r="J8" s="130"/>
      <c r="K8" s="78"/>
      <c r="P8" s="129" t="s">
        <v>3</v>
      </c>
      <c r="Q8" s="116">
        <v>97316697</v>
      </c>
      <c r="R8" s="116">
        <v>117917393764</v>
      </c>
      <c r="S8" s="116">
        <v>294635.49</v>
      </c>
      <c r="T8" s="130">
        <f t="shared" si="1"/>
        <v>330.29523021819267</v>
      </c>
      <c r="U8" s="85"/>
    </row>
    <row r="9" spans="1:21" ht="15" hidden="1" customHeight="1">
      <c r="A9" s="129" t="s">
        <v>4</v>
      </c>
      <c r="C9" s="79"/>
      <c r="F9" s="78">
        <f>Q9/21</f>
        <v>4669938.0476190476</v>
      </c>
      <c r="G9" s="90">
        <f t="shared" si="2"/>
        <v>7.727368716593519E-3</v>
      </c>
      <c r="H9" s="90"/>
      <c r="I9" s="130">
        <f t="shared" si="0"/>
        <v>292.26482435163626</v>
      </c>
      <c r="J9" s="130"/>
      <c r="K9" s="78"/>
      <c r="P9" s="129" t="s">
        <v>4</v>
      </c>
      <c r="Q9" s="116">
        <v>98068699</v>
      </c>
      <c r="R9" s="116">
        <v>123340159009</v>
      </c>
      <c r="S9" s="116">
        <v>335547.39</v>
      </c>
      <c r="T9" s="130">
        <f t="shared" si="1"/>
        <v>292.26482435163626</v>
      </c>
      <c r="U9" s="85"/>
    </row>
    <row r="10" spans="1:21" ht="15" hidden="1" customHeight="1">
      <c r="A10" s="129" t="s">
        <v>5</v>
      </c>
      <c r="B10" s="131">
        <f>F8+F9+F10</f>
        <v>14551629.571428571</v>
      </c>
      <c r="C10" s="131">
        <f>AVERAGE(F8:F10)</f>
        <v>4850543.1904761903</v>
      </c>
      <c r="D10" s="90">
        <f>C10/C7-1</f>
        <v>-8.2656500052725845E-2</v>
      </c>
      <c r="E10" s="286"/>
      <c r="F10" s="78">
        <f>Q10/21</f>
        <v>5247563.0952380951</v>
      </c>
      <c r="G10" s="90">
        <f t="shared" si="2"/>
        <v>0.12369008790460256</v>
      </c>
      <c r="H10" s="90"/>
      <c r="I10" s="130">
        <f t="shared" si="0"/>
        <v>340.78154596918392</v>
      </c>
      <c r="J10" s="130"/>
      <c r="K10" s="79">
        <f>R8+R9+R10</f>
        <v>379907927238</v>
      </c>
      <c r="L10" s="87">
        <f>U10/U7-1</f>
        <v>-3.5353968638262234E-2</v>
      </c>
      <c r="N10" s="88">
        <f>AVERAGE(T8:T10)</f>
        <v>321.11386684633766</v>
      </c>
      <c r="O10" s="89">
        <f>N10/N7-1</f>
        <v>1.6431085604001083E-2</v>
      </c>
      <c r="P10" s="129" t="s">
        <v>5</v>
      </c>
      <c r="Q10" s="116">
        <v>110198825</v>
      </c>
      <c r="R10" s="116">
        <v>138650374465</v>
      </c>
      <c r="S10" s="116">
        <v>323370.87</v>
      </c>
      <c r="T10" s="130">
        <f t="shared" si="1"/>
        <v>340.78154596918392</v>
      </c>
      <c r="U10" s="85">
        <f>Q8+Q9+Q10</f>
        <v>305584221</v>
      </c>
    </row>
    <row r="11" spans="1:21" ht="15" hidden="1" customHeight="1">
      <c r="A11" s="129" t="s">
        <v>6</v>
      </c>
      <c r="C11" s="79"/>
      <c r="F11" s="78">
        <f>Q11/21</f>
        <v>5082143.3809523806</v>
      </c>
      <c r="G11" s="90">
        <f t="shared" si="2"/>
        <v>-3.152314918058341E-2</v>
      </c>
      <c r="H11" s="90"/>
      <c r="I11" s="130">
        <f t="shared" si="0"/>
        <v>357.30828190460477</v>
      </c>
      <c r="J11" s="130"/>
      <c r="K11" s="78"/>
      <c r="O11" s="89"/>
      <c r="P11" s="129" t="s">
        <v>6</v>
      </c>
      <c r="Q11" s="116">
        <v>106725011</v>
      </c>
      <c r="R11" s="116">
        <v>137752043138</v>
      </c>
      <c r="S11" s="116">
        <v>298691.68</v>
      </c>
      <c r="T11" s="130">
        <f t="shared" si="1"/>
        <v>357.30828190460477</v>
      </c>
      <c r="U11" s="85"/>
    </row>
    <row r="12" spans="1:21" ht="15" hidden="1" customHeight="1">
      <c r="A12" s="129" t="s">
        <v>7</v>
      </c>
      <c r="C12" s="79"/>
      <c r="F12" s="78">
        <f>Q12/22</f>
        <v>5178953.0454545459</v>
      </c>
      <c r="G12" s="90">
        <f t="shared" si="2"/>
        <v>1.9048983321683366E-2</v>
      </c>
      <c r="H12" s="90"/>
      <c r="I12" s="130">
        <f t="shared" si="0"/>
        <v>326.94904004586704</v>
      </c>
      <c r="J12" s="130"/>
      <c r="K12" s="78"/>
      <c r="O12" s="89"/>
      <c r="P12" s="129" t="s">
        <v>7</v>
      </c>
      <c r="Q12" s="116">
        <v>113936967</v>
      </c>
      <c r="R12" s="116">
        <v>147899600913</v>
      </c>
      <c r="S12" s="116">
        <v>348485.4</v>
      </c>
      <c r="T12" s="130">
        <f t="shared" si="1"/>
        <v>326.94904004586704</v>
      </c>
      <c r="U12" s="85"/>
    </row>
    <row r="13" spans="1:21" ht="15" hidden="1" customHeight="1">
      <c r="A13" s="129" t="s">
        <v>96</v>
      </c>
      <c r="B13" s="131">
        <f>F11+F12+F13</f>
        <v>17234512.376406927</v>
      </c>
      <c r="C13" s="131">
        <f>AVERAGE(F11:F13)</f>
        <v>5744837.4588023089</v>
      </c>
      <c r="D13" s="90">
        <f>C13/C10-1</f>
        <v>0.1843699217196999</v>
      </c>
      <c r="E13" s="286"/>
      <c r="F13" s="78">
        <f>Q13/20</f>
        <v>6973415.9500000002</v>
      </c>
      <c r="G13" s="90">
        <f t="shared" si="2"/>
        <v>0.34649144118431718</v>
      </c>
      <c r="H13" s="90"/>
      <c r="I13" s="130">
        <f t="shared" si="0"/>
        <v>428.88898087068128</v>
      </c>
      <c r="J13" s="130"/>
      <c r="K13" s="78">
        <f>R11+R12+R13</f>
        <v>475813528514</v>
      </c>
      <c r="L13" s="87">
        <f>U13/U10-1</f>
        <v>0.17849768493118634</v>
      </c>
      <c r="N13" s="88">
        <f>AVERAGE(T11:T13)</f>
        <v>371.04876760705105</v>
      </c>
      <c r="O13" s="89">
        <f>N13/N10-1</f>
        <v>0.1555052768387879</v>
      </c>
      <c r="P13" s="129" t="s">
        <v>96</v>
      </c>
      <c r="Q13" s="116">
        <v>139468319</v>
      </c>
      <c r="R13" s="116">
        <v>190161884463</v>
      </c>
      <c r="S13" s="116">
        <v>325185.13</v>
      </c>
      <c r="T13" s="130">
        <f t="shared" si="1"/>
        <v>428.88898087068128</v>
      </c>
      <c r="U13" s="85">
        <f>Q11+Q12+Q13</f>
        <v>360130297</v>
      </c>
    </row>
    <row r="14" spans="1:21" ht="15" hidden="1" customHeight="1">
      <c r="A14" s="129" t="s">
        <v>97</v>
      </c>
      <c r="C14" s="79"/>
      <c r="F14" s="78">
        <f>Q14/20</f>
        <v>5058382.6500000004</v>
      </c>
      <c r="G14" s="90">
        <f t="shared" si="2"/>
        <v>-0.27461911260291305</v>
      </c>
      <c r="H14" s="90"/>
      <c r="I14" s="130">
        <f t="shared" si="0"/>
        <v>321.64921776414747</v>
      </c>
      <c r="J14" s="130"/>
      <c r="O14" s="89"/>
      <c r="P14" s="129" t="s">
        <v>97</v>
      </c>
      <c r="Q14" s="116">
        <v>101167653</v>
      </c>
      <c r="R14" s="116">
        <v>144190915197</v>
      </c>
      <c r="S14" s="116">
        <v>314527.90000000002</v>
      </c>
      <c r="T14" s="130">
        <f t="shared" si="1"/>
        <v>321.64921776414747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4637830.5909090908</v>
      </c>
      <c r="G15" s="90">
        <f t="shared" si="2"/>
        <v>-8.3139629440827201E-2</v>
      </c>
      <c r="H15" s="90"/>
      <c r="I15" s="130">
        <f t="shared" si="0"/>
        <v>313.94214208754659</v>
      </c>
      <c r="J15" s="130"/>
      <c r="O15" s="89"/>
      <c r="P15" s="129" t="s">
        <v>98</v>
      </c>
      <c r="Q15" s="116">
        <v>102032273</v>
      </c>
      <c r="R15" s="116">
        <v>141771263004</v>
      </c>
      <c r="S15" s="116">
        <v>325003.43</v>
      </c>
      <c r="T15" s="130">
        <f t="shared" si="1"/>
        <v>313.94214208754659</v>
      </c>
      <c r="U15" s="78"/>
    </row>
    <row r="16" spans="1:21" ht="15" hidden="1" customHeight="1">
      <c r="A16" s="129" t="s">
        <v>99</v>
      </c>
      <c r="B16" s="131">
        <f>F14+F15+F16</f>
        <v>14015653.104545455</v>
      </c>
      <c r="C16" s="131">
        <f>AVERAGE(F14:F16)</f>
        <v>4671884.3681818182</v>
      </c>
      <c r="D16" s="90">
        <f>C16/C13-1</f>
        <v>-0.18676822422129613</v>
      </c>
      <c r="E16" s="286"/>
      <c r="F16" s="78">
        <f>Q16/22</f>
        <v>4319439.8636363633</v>
      </c>
      <c r="G16" s="90">
        <f t="shared" si="2"/>
        <v>-6.8650788559811882E-2</v>
      </c>
      <c r="H16" s="90"/>
      <c r="I16" s="130">
        <f t="shared" si="0"/>
        <v>291.92261437821759</v>
      </c>
      <c r="J16" s="130"/>
      <c r="K16" s="78">
        <f>R14+R15+R16</f>
        <v>410623522395</v>
      </c>
      <c r="L16" s="87">
        <f>U16/U13-1</f>
        <v>-0.17188971468290548</v>
      </c>
      <c r="N16" s="88">
        <f>AVERAGE(T14:T16)</f>
        <v>309.17132474330384</v>
      </c>
      <c r="O16" s="89">
        <f>N16/N13-1</f>
        <v>-0.16676363935340377</v>
      </c>
      <c r="P16" s="129" t="s">
        <v>99</v>
      </c>
      <c r="Q16" s="116">
        <v>95027677</v>
      </c>
      <c r="R16" s="116">
        <v>124661344194</v>
      </c>
      <c r="S16" s="116">
        <v>325523.52</v>
      </c>
      <c r="T16" s="130">
        <f t="shared" si="1"/>
        <v>291.92261437821759</v>
      </c>
      <c r="U16" s="85">
        <f>Q14+Q15+Q16</f>
        <v>298227603</v>
      </c>
    </row>
    <row r="17" spans="1:21" ht="15" hidden="1" customHeight="1">
      <c r="A17" s="129" t="s">
        <v>100</v>
      </c>
      <c r="C17" s="79"/>
      <c r="F17" s="78">
        <f>Q17/20</f>
        <v>4248851.4000000004</v>
      </c>
      <c r="G17" s="90">
        <f t="shared" si="2"/>
        <v>-1.6342041066625068E-2</v>
      </c>
      <c r="H17" s="90">
        <f t="shared" ref="H17:H26" si="3">F17/F5-1</f>
        <v>-0.31676784478995379</v>
      </c>
      <c r="I17" s="130">
        <f t="shared" si="0"/>
        <v>313.40003502177944</v>
      </c>
      <c r="J17" s="130">
        <f t="shared" ref="J17:J49" si="4">I17/I5-1</f>
        <v>-0.13610021271763706</v>
      </c>
      <c r="O17" s="89"/>
      <c r="P17" s="129" t="s">
        <v>100</v>
      </c>
      <c r="Q17" s="116">
        <v>84977028</v>
      </c>
      <c r="R17" s="116">
        <v>106820574859</v>
      </c>
      <c r="S17" s="116">
        <v>271145.56</v>
      </c>
      <c r="T17" s="130">
        <f t="shared" si="1"/>
        <v>313.40003502177944</v>
      </c>
      <c r="U17" s="78"/>
    </row>
    <row r="18" spans="1:21" hidden="1">
      <c r="A18" s="129" t="s">
        <v>106</v>
      </c>
      <c r="C18" s="79"/>
      <c r="F18" s="78">
        <f>Q18/20</f>
        <v>5071051.8499999996</v>
      </c>
      <c r="G18" s="90">
        <f t="shared" si="2"/>
        <v>0.19351122752845606</v>
      </c>
      <c r="H18" s="90">
        <f t="shared" si="3"/>
        <v>2.652116458792575E-2</v>
      </c>
      <c r="I18" s="130">
        <f t="shared" si="0"/>
        <v>320.48417389365522</v>
      </c>
      <c r="J18" s="130">
        <f t="shared" si="4"/>
        <v>9.2115243416390546E-2</v>
      </c>
      <c r="O18" s="89"/>
      <c r="P18" s="129" t="s">
        <v>106</v>
      </c>
      <c r="Q18" s="116">
        <v>101421037</v>
      </c>
      <c r="R18" s="116">
        <v>126773956796</v>
      </c>
      <c r="S18" s="116">
        <v>316461.92</v>
      </c>
      <c r="T18" s="130">
        <f t="shared" si="1"/>
        <v>320.48417389365522</v>
      </c>
      <c r="U18" s="78"/>
    </row>
    <row r="19" spans="1:21" hidden="1">
      <c r="A19" s="129" t="s">
        <v>114</v>
      </c>
      <c r="B19" s="131">
        <f>SUM(F17:F19)</f>
        <v>14994400.068181818</v>
      </c>
      <c r="C19" s="131">
        <f>AVERAGE(F17:F19)</f>
        <v>4998133.3560606064</v>
      </c>
      <c r="D19" s="90">
        <f>C19/C16-1</f>
        <v>6.9832419248371913E-2</v>
      </c>
      <c r="E19" s="286">
        <f>C19/C7-1</f>
        <v>-5.4743981034064304E-2</v>
      </c>
      <c r="F19" s="78">
        <f>Q19/22</f>
        <v>5674496.8181818184</v>
      </c>
      <c r="G19" s="90">
        <f t="shared" si="2"/>
        <v>0.11899798819485907</v>
      </c>
      <c r="H19" s="90">
        <f t="shared" si="3"/>
        <v>0.20631206167117444</v>
      </c>
      <c r="I19" s="130">
        <f t="shared" si="0"/>
        <v>351.16774825703664</v>
      </c>
      <c r="J19" s="130">
        <f t="shared" si="4"/>
        <v>0.20451679411248125</v>
      </c>
      <c r="K19" s="78">
        <f>R17+R18+R19</f>
        <v>396733293165</v>
      </c>
      <c r="L19" s="87">
        <f>U19/U16-1</f>
        <v>4.3622360469429688E-2</v>
      </c>
      <c r="M19" s="87">
        <f>U19/U7-1</f>
        <v>-1.7509703029781054E-2</v>
      </c>
      <c r="N19" s="88">
        <f>AVERAGE(T17:T19)</f>
        <v>328.35065239082377</v>
      </c>
      <c r="O19" s="89">
        <f>N19/N16-1</f>
        <v>6.2034626475931942E-2</v>
      </c>
      <c r="P19" s="129" t="s">
        <v>115</v>
      </c>
      <c r="Q19" s="116">
        <v>124838930</v>
      </c>
      <c r="R19" s="116">
        <v>163138761510</v>
      </c>
      <c r="S19" s="116">
        <v>355496.57</v>
      </c>
      <c r="T19" s="130">
        <f t="shared" si="1"/>
        <v>351.16774825703664</v>
      </c>
      <c r="U19" s="85">
        <f>Q17+Q18+Q19</f>
        <v>311236995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4882199.3499999996</v>
      </c>
      <c r="G20" s="90">
        <f t="shared" si="2"/>
        <v>-0.13962426864760868</v>
      </c>
      <c r="H20" s="90">
        <f t="shared" si="3"/>
        <v>5.3531300492041911E-2</v>
      </c>
      <c r="I20" s="130">
        <f t="shared" si="0"/>
        <v>339.42641086417723</v>
      </c>
      <c r="J20" s="130">
        <f t="shared" si="4"/>
        <v>2.7645511683449087E-2</v>
      </c>
      <c r="O20" s="89"/>
      <c r="P20" s="129" t="s">
        <v>131</v>
      </c>
      <c r="Q20" s="116">
        <v>97643987</v>
      </c>
      <c r="R20" s="116">
        <v>127970912082</v>
      </c>
      <c r="S20" s="116">
        <v>287673.51</v>
      </c>
      <c r="T20" s="130">
        <f t="shared" si="1"/>
        <v>339.42641086417723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5927435.7619047621</v>
      </c>
      <c r="G21" s="90">
        <f t="shared" si="2"/>
        <v>0.21409130127076081</v>
      </c>
      <c r="H21" s="90">
        <f t="shared" si="3"/>
        <v>0.26927503137367004</v>
      </c>
      <c r="I21" s="130">
        <f t="shared" si="0"/>
        <v>405.92946340061616</v>
      </c>
      <c r="J21" s="130">
        <f t="shared" si="4"/>
        <v>0.38890974752481711</v>
      </c>
      <c r="O21" s="89"/>
      <c r="P21" s="129" t="s">
        <v>141</v>
      </c>
      <c r="Q21" s="116">
        <v>124476151</v>
      </c>
      <c r="R21" s="116">
        <v>165508345248</v>
      </c>
      <c r="S21" s="116">
        <v>306644.78000000003</v>
      </c>
      <c r="T21" s="130">
        <f t="shared" si="1"/>
        <v>405.92946340061616</v>
      </c>
      <c r="U21" s="78"/>
    </row>
    <row r="22" spans="1:21" hidden="1">
      <c r="A22" s="129" t="s">
        <v>156</v>
      </c>
      <c r="B22" s="131">
        <f>SUM(F20:F22)</f>
        <v>16669300.588095238</v>
      </c>
      <c r="C22" s="131">
        <f>AVERAGE(F20:F22)</f>
        <v>5556433.5293650795</v>
      </c>
      <c r="D22" s="90">
        <f>C22/C19-1</f>
        <v>0.11170173613464973</v>
      </c>
      <c r="E22" s="286">
        <f>C22/C10-1</f>
        <v>0.14552810090937252</v>
      </c>
      <c r="F22" s="78">
        <f>Q22/21</f>
        <v>5859665.4761904757</v>
      </c>
      <c r="G22" s="90">
        <f t="shared" si="2"/>
        <v>-1.1433322677209201E-2</v>
      </c>
      <c r="H22" s="90">
        <f t="shared" si="3"/>
        <v>0.11664507312124228</v>
      </c>
      <c r="I22" s="130">
        <f t="shared" si="0"/>
        <v>356.58673231529053</v>
      </c>
      <c r="J22" s="130">
        <f t="shared" si="4"/>
        <v>4.6379231895191442E-2</v>
      </c>
      <c r="K22" s="78">
        <f>R20+R21+R22</f>
        <v>453928469176</v>
      </c>
      <c r="L22" s="87">
        <f>U22/U19-1</f>
        <v>0.10903626029418523</v>
      </c>
      <c r="M22" s="87">
        <f>U22/U10-1</f>
        <v>0.12955149277815625</v>
      </c>
      <c r="N22" s="88">
        <f>AVERAGE(T20:T22)</f>
        <v>367.31420219336133</v>
      </c>
      <c r="O22" s="89">
        <f>N22/N19-1</f>
        <v>0.11866445069876286</v>
      </c>
      <c r="P22" s="129" t="s">
        <v>156</v>
      </c>
      <c r="Q22" s="116">
        <v>123052975</v>
      </c>
      <c r="R22" s="116">
        <v>160449211846</v>
      </c>
      <c r="S22" s="116">
        <v>345085.68</v>
      </c>
      <c r="T22" s="130">
        <f t="shared" si="1"/>
        <v>356.58673231529053</v>
      </c>
      <c r="U22" s="85">
        <f>Q20+Q21+Q22</f>
        <v>345173113</v>
      </c>
    </row>
    <row r="23" spans="1:21" hidden="1">
      <c r="A23" s="129" t="s">
        <v>189</v>
      </c>
      <c r="B23" s="131"/>
      <c r="C23" s="131"/>
      <c r="F23" s="78">
        <f>Q23/21</f>
        <v>5133438.4285714282</v>
      </c>
      <c r="G23" s="90">
        <f t="shared" si="2"/>
        <v>-0.12393660535228834</v>
      </c>
      <c r="H23" s="90">
        <f t="shared" si="3"/>
        <v>1.0093191744904084E-2</v>
      </c>
      <c r="I23" s="130">
        <f t="shared" si="0"/>
        <v>292.76293436419263</v>
      </c>
      <c r="J23" s="130">
        <f t="shared" si="4"/>
        <v>-0.18064330106304294</v>
      </c>
      <c r="O23" s="89"/>
      <c r="P23" s="129" t="s">
        <v>189</v>
      </c>
      <c r="Q23" s="116">
        <v>107802207</v>
      </c>
      <c r="R23" s="116">
        <v>139186021641</v>
      </c>
      <c r="S23" s="116">
        <v>368223.55</v>
      </c>
      <c r="T23" s="130">
        <f t="shared" si="1"/>
        <v>292.76293436419263</v>
      </c>
      <c r="U23" s="78"/>
    </row>
    <row r="24" spans="1:21" hidden="1">
      <c r="A24" s="129" t="s">
        <v>204</v>
      </c>
      <c r="B24" s="131"/>
      <c r="C24" s="131"/>
      <c r="F24" s="78">
        <f>Q24/22</f>
        <v>4884222.0454545459</v>
      </c>
      <c r="G24" s="90">
        <f t="shared" si="2"/>
        <v>-4.8547652140874309E-2</v>
      </c>
      <c r="H24" s="90">
        <f t="shared" si="3"/>
        <v>-5.6909378674262934E-2</v>
      </c>
      <c r="I24" s="130">
        <f t="shared" si="0"/>
        <v>299.84954068441601</v>
      </c>
      <c r="J24" s="130">
        <f t="shared" si="4"/>
        <v>-8.2886003756577176E-2</v>
      </c>
      <c r="O24" s="89"/>
      <c r="P24" s="129" t="s">
        <v>204</v>
      </c>
      <c r="Q24" s="116">
        <v>107452885</v>
      </c>
      <c r="R24" s="116">
        <v>141124059098</v>
      </c>
      <c r="S24" s="116">
        <v>358356.01</v>
      </c>
      <c r="T24" s="130">
        <f t="shared" si="1"/>
        <v>299.84954068441601</v>
      </c>
      <c r="U24" s="78"/>
    </row>
    <row r="25" spans="1:21" s="79" customFormat="1" ht="13.2" hidden="1">
      <c r="A25" s="129" t="s">
        <v>229</v>
      </c>
      <c r="B25" s="131">
        <f>SUM(F23:F25)</f>
        <v>16317796.210868079</v>
      </c>
      <c r="C25" s="131">
        <f>AVERAGE(F23:F25)</f>
        <v>5439265.4036226934</v>
      </c>
      <c r="D25" s="90">
        <f>C25/C22-1</f>
        <v>-2.1086930154597727E-2</v>
      </c>
      <c r="E25" s="286">
        <f>C25/C13-1</f>
        <v>-5.3190722517556077E-2</v>
      </c>
      <c r="F25" s="78">
        <f>Q25/19</f>
        <v>6300135.7368421052</v>
      </c>
      <c r="G25" s="90">
        <f t="shared" si="2"/>
        <v>0.28989543845682975</v>
      </c>
      <c r="H25" s="90">
        <f t="shared" si="3"/>
        <v>-9.6549555911388696E-2</v>
      </c>
      <c r="I25" s="130">
        <f t="shared" si="0"/>
        <v>285.99092981508517</v>
      </c>
      <c r="J25" s="130">
        <f t="shared" si="4"/>
        <v>-0.33318191287055421</v>
      </c>
      <c r="K25" s="78">
        <f>R23+R24+R25</f>
        <v>439223962448</v>
      </c>
      <c r="L25" s="90">
        <f>U25/U22-1</f>
        <v>-2.9595126663298332E-2</v>
      </c>
      <c r="M25" s="90">
        <f>U25/U13-1</f>
        <v>-6.9898662261120403E-2</v>
      </c>
      <c r="N25" s="88">
        <f>AVERAGE(T23:T25)</f>
        <v>292.86780162123131</v>
      </c>
      <c r="O25" s="91">
        <f>N25/N22-1</f>
        <v>-0.20267770787947914</v>
      </c>
      <c r="P25" s="129" t="s">
        <v>229</v>
      </c>
      <c r="Q25" s="116">
        <v>119702579</v>
      </c>
      <c r="R25" s="116">
        <v>158913881709</v>
      </c>
      <c r="S25" s="116">
        <v>418553.76</v>
      </c>
      <c r="T25" s="130">
        <f t="shared" si="1"/>
        <v>285.99092981508517</v>
      </c>
      <c r="U25" s="85">
        <f>Q23+Q24+Q25</f>
        <v>334957671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5476080.7894736845</v>
      </c>
      <c r="G26" s="90">
        <f t="shared" si="2"/>
        <v>-0.13079955445237312</v>
      </c>
      <c r="H26" s="90">
        <f t="shared" si="3"/>
        <v>8.2575433369732165E-2</v>
      </c>
      <c r="I26" s="130">
        <f t="shared" si="0"/>
        <v>299.80931827754358</v>
      </c>
      <c r="J26" s="130">
        <f t="shared" si="4"/>
        <v>-6.7899743821600689E-2</v>
      </c>
      <c r="L26" s="90"/>
      <c r="M26" s="90"/>
      <c r="P26" s="129" t="s">
        <v>312</v>
      </c>
      <c r="Q26" s="116">
        <v>104045535</v>
      </c>
      <c r="R26" s="116">
        <v>140350749591</v>
      </c>
      <c r="S26" s="116">
        <v>347039.03</v>
      </c>
      <c r="T26" s="130">
        <f t="shared" si="1"/>
        <v>299.80931827754358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5427522.2727272725</v>
      </c>
      <c r="G27" s="90">
        <f t="shared" ref="G27" si="5">F27/F26-1</f>
        <v>-8.8673850173563995E-3</v>
      </c>
      <c r="H27" s="90">
        <f t="shared" ref="H27" si="6">F27/F15-1</f>
        <v>0.17027178253688424</v>
      </c>
      <c r="I27" s="130">
        <f t="shared" si="0"/>
        <v>330.77669112196287</v>
      </c>
      <c r="J27" s="130">
        <f t="shared" si="4"/>
        <v>5.362309412325339E-2</v>
      </c>
      <c r="L27" s="90"/>
      <c r="M27" s="90"/>
      <c r="P27" s="129" t="s">
        <v>376</v>
      </c>
      <c r="Q27" s="116">
        <v>119405490</v>
      </c>
      <c r="R27" s="116">
        <v>157997709627</v>
      </c>
      <c r="S27" s="116">
        <v>360985.2</v>
      </c>
      <c r="T27" s="130">
        <f t="shared" ref="T27" si="7">Q27/S27</f>
        <v>330.77669112196287</v>
      </c>
      <c r="U27" s="78"/>
    </row>
    <row r="28" spans="1:21" s="79" customFormat="1" ht="13.2" hidden="1">
      <c r="A28" s="123" t="s">
        <v>415</v>
      </c>
      <c r="B28" s="131">
        <f>SUM(F26:F28)</f>
        <v>17658324.377990428</v>
      </c>
      <c r="C28" s="131">
        <f>AVERAGE(F26:F28)</f>
        <v>5886108.1259968095</v>
      </c>
      <c r="D28" s="90">
        <f>C28/C25-1</f>
        <v>8.2151299709793069E-2</v>
      </c>
      <c r="E28" s="286">
        <f>C28/C16-1</f>
        <v>0.25990021629913262</v>
      </c>
      <c r="F28" s="78">
        <f>Q28/19</f>
        <v>6754721.3157894732</v>
      </c>
      <c r="G28" s="90">
        <f t="shared" ref="G28" si="8">F28/F27-1</f>
        <v>0.24453129372333238</v>
      </c>
      <c r="H28" s="90">
        <f t="shared" ref="H28" si="9">F28/F16-1</f>
        <v>0.56379566078805055</v>
      </c>
      <c r="I28" s="130">
        <f t="shared" si="0"/>
        <v>291.27421117478781</v>
      </c>
      <c r="J28" s="130">
        <f t="shared" si="4"/>
        <v>-2.2211475627226251E-3</v>
      </c>
      <c r="K28" s="78">
        <f>R26+R27+R28</f>
        <v>465693697308</v>
      </c>
      <c r="L28" s="90">
        <f>U28/U25-1</f>
        <v>5.0254287205143688E-2</v>
      </c>
      <c r="M28" s="90">
        <f>U28/U16-1</f>
        <v>0.17960486038577717</v>
      </c>
      <c r="N28" s="88">
        <f>AVERAGE(T26:T28)</f>
        <v>307.28674019143142</v>
      </c>
      <c r="O28" s="91">
        <f>N28/N25-1</f>
        <v>4.9233608100245352E-2</v>
      </c>
      <c r="P28" s="129" t="s">
        <v>416</v>
      </c>
      <c r="Q28" s="116">
        <v>128339705</v>
      </c>
      <c r="R28" s="116">
        <v>167345238090</v>
      </c>
      <c r="S28" s="116">
        <v>440614.72</v>
      </c>
      <c r="T28" s="130">
        <f t="shared" ref="T28" si="10">Q28/S28</f>
        <v>291.27421117478781</v>
      </c>
      <c r="U28" s="85">
        <f>Q26+Q27+Q28</f>
        <v>351790730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4841809.5909090908</v>
      </c>
      <c r="G29" s="190">
        <f t="shared" ref="G29" si="11">F29/F28-1</f>
        <v>-0.28319624681019229</v>
      </c>
      <c r="H29" s="190">
        <f t="shared" ref="H29" si="12">F29/F17-1</f>
        <v>0.13955729092080982</v>
      </c>
      <c r="I29" s="130">
        <f t="shared" si="0"/>
        <v>321.96967869654156</v>
      </c>
      <c r="J29" s="130">
        <f t="shared" si="4"/>
        <v>2.7344105670462193E-2</v>
      </c>
      <c r="K29" s="136"/>
      <c r="L29" s="190"/>
      <c r="M29" s="190"/>
      <c r="N29" s="191"/>
      <c r="O29" s="192"/>
      <c r="P29" s="129" t="s">
        <v>430</v>
      </c>
      <c r="Q29" s="116">
        <v>106519811</v>
      </c>
      <c r="R29" s="116">
        <v>140051168037</v>
      </c>
      <c r="S29" s="116">
        <v>330838.02</v>
      </c>
      <c r="T29" s="130">
        <f t="shared" ref="T29" si="13">Q29/S29</f>
        <v>321.96967869654156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6082084.8947368423</v>
      </c>
      <c r="G30" s="190">
        <f t="shared" ref="G30" si="14">F30/F29-1</f>
        <v>0.25615945454700939</v>
      </c>
      <c r="H30" s="190">
        <f t="shared" ref="H30" si="15">F30/F18-1</f>
        <v>0.19937343861645651</v>
      </c>
      <c r="I30" s="130">
        <f t="shared" si="0"/>
        <v>303.47028732056924</v>
      </c>
      <c r="J30" s="130">
        <f t="shared" si="4"/>
        <v>-5.3088070984533609E-2</v>
      </c>
      <c r="K30" s="136"/>
      <c r="L30" s="190"/>
      <c r="M30" s="190"/>
      <c r="N30" s="191"/>
      <c r="O30" s="192"/>
      <c r="P30" s="129" t="s">
        <v>466</v>
      </c>
      <c r="Q30" s="116">
        <v>115559613</v>
      </c>
      <c r="R30" s="116">
        <v>154004346135</v>
      </c>
      <c r="S30" s="116">
        <v>380793.83</v>
      </c>
      <c r="T30" s="130">
        <f t="shared" ref="T30" si="16">Q30/S30</f>
        <v>303.47028732056924</v>
      </c>
      <c r="U30" s="85"/>
    </row>
    <row r="31" spans="1:21" s="79" customFormat="1" ht="13.2" hidden="1">
      <c r="A31" s="129" t="s">
        <v>505</v>
      </c>
      <c r="B31" s="188">
        <f>SUM(F29:F31)</f>
        <v>16648898.635645933</v>
      </c>
      <c r="C31" s="188">
        <f>AVERAGE(F29:F31)</f>
        <v>5549632.8785486445</v>
      </c>
      <c r="D31" s="190">
        <f>C31/C28-1</f>
        <v>-5.7164299439569466E-2</v>
      </c>
      <c r="E31" s="287">
        <f>C31/C19-1</f>
        <v>0.11034109800597935</v>
      </c>
      <c r="F31" s="136">
        <f>Q31/20</f>
        <v>5725004.1500000004</v>
      </c>
      <c r="G31" s="190">
        <f t="shared" ref="G31" si="17">F31/F30-1</f>
        <v>-5.8710253295846448E-2</v>
      </c>
      <c r="H31" s="190">
        <f t="shared" ref="H31" si="18">F31/F19-1</f>
        <v>8.9007595627421665E-3</v>
      </c>
      <c r="I31" s="130">
        <f t="shared" si="0"/>
        <v>307.50668390135189</v>
      </c>
      <c r="J31" s="130">
        <f t="shared" si="4"/>
        <v>-0.12433107702056712</v>
      </c>
      <c r="K31" s="136">
        <f>R29+R30+R31</f>
        <v>446189489201</v>
      </c>
      <c r="L31" s="190">
        <f>U31/U28-1</f>
        <v>-4.3239408269797219E-2</v>
      </c>
      <c r="M31" s="190">
        <f>U31/U19-1</f>
        <v>8.1425127498098382E-2</v>
      </c>
      <c r="N31" s="191">
        <f>AVERAGE(T29:T31)</f>
        <v>310.9822166394876</v>
      </c>
      <c r="O31" s="192">
        <f>N31/N28-1</f>
        <v>1.2026150056959839E-2</v>
      </c>
      <c r="P31" s="129" t="s">
        <v>505</v>
      </c>
      <c r="Q31" s="116">
        <v>114500083</v>
      </c>
      <c r="R31" s="116">
        <v>152133975029</v>
      </c>
      <c r="S31" s="116">
        <v>372349.9</v>
      </c>
      <c r="T31" s="130">
        <f t="shared" ref="T31" si="19">Q31/S31</f>
        <v>307.50668390135189</v>
      </c>
      <c r="U31" s="85">
        <f>Q29+Q30+Q31</f>
        <v>336579507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5392764.4761904757</v>
      </c>
      <c r="G32" s="190">
        <f t="shared" ref="G32" si="20">F32/F31-1</f>
        <v>-5.8033088728769666E-2</v>
      </c>
      <c r="H32" s="190">
        <f t="shared" ref="H32" si="21">F32/F20-1</f>
        <v>0.10457686988764103</v>
      </c>
      <c r="I32" s="130">
        <f t="shared" si="0"/>
        <v>298.70777455666058</v>
      </c>
      <c r="J32" s="130">
        <f t="shared" si="4"/>
        <v>-0.11996307595465916</v>
      </c>
      <c r="K32" s="136"/>
      <c r="L32" s="190"/>
      <c r="M32" s="190"/>
      <c r="N32" s="191"/>
      <c r="O32" s="192"/>
      <c r="P32" s="129" t="s">
        <v>562</v>
      </c>
      <c r="Q32" s="116">
        <v>113248054</v>
      </c>
      <c r="R32" s="116">
        <v>153845740852</v>
      </c>
      <c r="S32" s="116">
        <v>379126.57</v>
      </c>
      <c r="T32" s="130">
        <f t="shared" ref="T32" si="22">Q32/S32</f>
        <v>298.70777455666058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5721304.0476190476</v>
      </c>
      <c r="G33" s="190">
        <f t="shared" ref="G33" si="23">F33/F32-1</f>
        <v>6.0922291874436985E-2</v>
      </c>
      <c r="H33" s="190">
        <f t="shared" ref="H33" si="24">F33/F21-1</f>
        <v>-3.477586642279773E-2</v>
      </c>
      <c r="I33" s="130">
        <f t="shared" si="0"/>
        <v>300.84216857864396</v>
      </c>
      <c r="J33" s="130">
        <f t="shared" si="4"/>
        <v>-0.25888067828735162</v>
      </c>
      <c r="K33" s="136"/>
      <c r="L33" s="190"/>
      <c r="M33" s="190"/>
      <c r="N33" s="191"/>
      <c r="O33" s="192"/>
      <c r="P33" s="129" t="s">
        <v>610</v>
      </c>
      <c r="Q33" s="116">
        <v>120147385</v>
      </c>
      <c r="R33" s="116">
        <v>164390684388</v>
      </c>
      <c r="S33" s="116">
        <v>399370.16</v>
      </c>
      <c r="T33" s="130">
        <f t="shared" ref="T33" si="25">Q33/S33</f>
        <v>300.84216857864396</v>
      </c>
      <c r="U33" s="85"/>
    </row>
    <row r="34" spans="1:21" s="79" customFormat="1" ht="13.2" hidden="1">
      <c r="A34" s="129" t="s">
        <v>652</v>
      </c>
      <c r="B34" s="188">
        <f>SUM(F32:F34)</f>
        <v>17127522.20802005</v>
      </c>
      <c r="C34" s="188">
        <f>AVERAGE(F32:F34)</f>
        <v>5709174.0693400167</v>
      </c>
      <c r="D34" s="190">
        <f>C34/C31-1</f>
        <v>2.8748062130029783E-2</v>
      </c>
      <c r="E34" s="287">
        <f>C34/C22-1</f>
        <v>2.7488952970951885E-2</v>
      </c>
      <c r="F34" s="136">
        <f>Q34/19</f>
        <v>6013453.6842105268</v>
      </c>
      <c r="G34" s="190">
        <f t="shared" ref="G34" si="26">F34/F33-1</f>
        <v>5.1063469824341734E-2</v>
      </c>
      <c r="H34" s="190">
        <f t="shared" ref="H34" si="27">F34/F22-1</f>
        <v>2.6245219739068348E-2</v>
      </c>
      <c r="I34" s="130">
        <f t="shared" si="0"/>
        <v>320.48757043437354</v>
      </c>
      <c r="J34" s="130">
        <f t="shared" si="4"/>
        <v>-0.10123529175224177</v>
      </c>
      <c r="K34" s="136">
        <f>R32+R33+R34</f>
        <v>475360030570</v>
      </c>
      <c r="L34" s="190">
        <f>U34/U31-1</f>
        <v>3.289431403201859E-2</v>
      </c>
      <c r="M34" s="190">
        <f>U34/U22-1</f>
        <v>7.1788499934524186E-3</v>
      </c>
      <c r="N34" s="191">
        <f>AVERAGE(T32:T34)</f>
        <v>306.67917118989271</v>
      </c>
      <c r="O34" s="192">
        <f>N34/N31-1</f>
        <v>-1.3836950215655897E-2</v>
      </c>
      <c r="P34" s="129" t="s">
        <v>652</v>
      </c>
      <c r="Q34" s="116">
        <v>114255620</v>
      </c>
      <c r="R34" s="116">
        <v>157123605330</v>
      </c>
      <c r="S34" s="116">
        <v>356505.62</v>
      </c>
      <c r="T34" s="130">
        <f t="shared" ref="T34" si="28">Q34/S34</f>
        <v>320.48757043437354</v>
      </c>
      <c r="U34" s="85">
        <f>Q32+Q33+Q34</f>
        <v>347651059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5312816.2173913047</v>
      </c>
      <c r="G35" s="190">
        <f t="shared" ref="G35" si="29">F35/F34-1</f>
        <v>-0.11651165929137852</v>
      </c>
      <c r="H35" s="190">
        <f t="shared" ref="H35" si="30">F35/F23-1</f>
        <v>3.4943009703107597E-2</v>
      </c>
      <c r="I35" s="130">
        <f t="shared" si="0"/>
        <v>299.77721821876582</v>
      </c>
      <c r="J35" s="130">
        <f t="shared" si="4"/>
        <v>2.3958920448063026E-2</v>
      </c>
      <c r="K35" s="136"/>
      <c r="L35" s="190"/>
      <c r="M35" s="190"/>
      <c r="N35" s="191"/>
      <c r="O35" s="192"/>
      <c r="P35" s="129" t="s">
        <v>660</v>
      </c>
      <c r="Q35" s="116">
        <v>122194773</v>
      </c>
      <c r="R35" s="116">
        <v>169130121148</v>
      </c>
      <c r="S35" s="116">
        <v>407618.61</v>
      </c>
      <c r="T35" s="130">
        <f t="shared" ref="T35" si="31">Q35/S35</f>
        <v>299.77721821876582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5040595.1904761903</v>
      </c>
      <c r="G36" s="190">
        <f t="shared" ref="G36" si="32">F36/F35-1</f>
        <v>-5.1238555179832668E-2</v>
      </c>
      <c r="H36" s="190">
        <f t="shared" ref="H36" si="33">F36/F24-1</f>
        <v>3.2015977890925695E-2</v>
      </c>
      <c r="I36" s="130">
        <f t="shared" si="0"/>
        <v>281.43618185756043</v>
      </c>
      <c r="J36" s="130">
        <f t="shared" si="4"/>
        <v>-6.1408661106588713E-2</v>
      </c>
      <c r="K36" s="136"/>
      <c r="L36" s="190"/>
      <c r="M36" s="190"/>
      <c r="N36" s="191"/>
      <c r="O36" s="192"/>
      <c r="P36" s="129" t="s">
        <v>666</v>
      </c>
      <c r="Q36" s="116">
        <v>105852499</v>
      </c>
      <c r="R36" s="116">
        <v>144717364059</v>
      </c>
      <c r="S36" s="116">
        <v>376115.46</v>
      </c>
      <c r="T36" s="130">
        <f t="shared" ref="T36" si="34">Q36/S36</f>
        <v>281.43618185756043</v>
      </c>
      <c r="U36" s="85"/>
    </row>
    <row r="37" spans="1:21" s="79" customFormat="1" ht="13.2" hidden="1">
      <c r="A37" s="129" t="s">
        <v>702</v>
      </c>
      <c r="B37" s="188">
        <f>SUM(F35:F37)</f>
        <v>15932287.685645273</v>
      </c>
      <c r="C37" s="188">
        <f>AVERAGE(F35:F37)</f>
        <v>5310762.5618817573</v>
      </c>
      <c r="D37" s="190">
        <f>C37/C34-1</f>
        <v>-6.9784438627970569E-2</v>
      </c>
      <c r="E37" s="287">
        <f>C37/C25-1</f>
        <v>-2.3625036140974109E-2</v>
      </c>
      <c r="F37" s="136">
        <f>Q37/18</f>
        <v>5578876.277777778</v>
      </c>
      <c r="G37" s="190">
        <f t="shared" ref="G37" si="35">F37/F36-1</f>
        <v>0.10678919194277436</v>
      </c>
      <c r="H37" s="190">
        <f t="shared" ref="H37" si="36">F37/F25-1</f>
        <v>-0.1144831618224551</v>
      </c>
      <c r="I37" s="130">
        <f t="shared" si="0"/>
        <v>272.62928051607355</v>
      </c>
      <c r="J37" s="130">
        <f t="shared" si="4"/>
        <v>-4.6720535184982759E-2</v>
      </c>
      <c r="K37" s="136">
        <f>R35+R36+R37</f>
        <v>447821661415</v>
      </c>
      <c r="L37" s="190">
        <f>U37/U34-1</f>
        <v>-5.5181808032404134E-2</v>
      </c>
      <c r="M37" s="190">
        <f>U37/U25-1</f>
        <v>-1.9377451427287973E-2</v>
      </c>
      <c r="N37" s="191">
        <f>AVERAGE(T35:T37)</f>
        <v>284.61422686413329</v>
      </c>
      <c r="O37" s="192">
        <f>N37/N34-1</f>
        <v>-7.1947971686988299E-2</v>
      </c>
      <c r="P37" s="129" t="s">
        <v>702</v>
      </c>
      <c r="Q37" s="116">
        <v>100419773</v>
      </c>
      <c r="R37" s="116">
        <v>133974176208</v>
      </c>
      <c r="S37" s="116">
        <v>368338.18</v>
      </c>
      <c r="T37" s="130">
        <f t="shared" ref="T37" si="37">Q37/S37</f>
        <v>272.62928051607355</v>
      </c>
      <c r="U37" s="85">
        <f>Q35+Q36+Q37</f>
        <v>328467045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5426082.5499999998</v>
      </c>
      <c r="G38" s="190">
        <f t="shared" ref="G38" si="38">F38/F37-1</f>
        <v>-2.7387903973851935E-2</v>
      </c>
      <c r="H38" s="190">
        <f t="shared" ref="H38" si="39">F38/F26-1</f>
        <v>-9.1302961727286469E-3</v>
      </c>
      <c r="I38" s="130">
        <f t="shared" si="0"/>
        <v>277.82172800130581</v>
      </c>
      <c r="J38" s="130">
        <f t="shared" si="4"/>
        <v>-7.3338582011260645E-2</v>
      </c>
      <c r="K38" s="136"/>
      <c r="L38" s="190"/>
      <c r="M38" s="190"/>
      <c r="N38" s="191"/>
      <c r="O38" s="192"/>
      <c r="P38" s="129" t="s">
        <v>728</v>
      </c>
      <c r="Q38" s="116">
        <v>108521651</v>
      </c>
      <c r="R38" s="116">
        <v>145847085638</v>
      </c>
      <c r="S38" s="116">
        <v>390616.14</v>
      </c>
      <c r="T38" s="130">
        <f t="shared" ref="T38" si="40">Q38/S38</f>
        <v>277.82172800130581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4849312.333333333</v>
      </c>
      <c r="G39" s="190">
        <f t="shared" ref="G39" si="41">F39/F38-1</f>
        <v>-0.10629587945849939</v>
      </c>
      <c r="H39" s="190">
        <f t="shared" ref="H39" si="42">F39/F27-1</f>
        <v>-0.10653294640528399</v>
      </c>
      <c r="I39" s="130">
        <f t="shared" si="0"/>
        <v>293.81145616324534</v>
      </c>
      <c r="J39" s="130">
        <f t="shared" si="4"/>
        <v>-0.11175284096752702</v>
      </c>
      <c r="K39" s="136"/>
      <c r="L39" s="190"/>
      <c r="M39" s="190"/>
      <c r="N39" s="191"/>
      <c r="O39" s="192"/>
      <c r="P39" s="129" t="s">
        <v>762</v>
      </c>
      <c r="Q39" s="116">
        <v>101835559</v>
      </c>
      <c r="R39" s="116">
        <v>141541835484</v>
      </c>
      <c r="S39" s="116">
        <v>346601.73</v>
      </c>
      <c r="T39" s="130">
        <f t="shared" ref="T39" si="43">Q39/S39</f>
        <v>293.81145616324534</v>
      </c>
      <c r="U39" s="85"/>
    </row>
    <row r="40" spans="1:21" s="79" customFormat="1" ht="13.2" hidden="1">
      <c r="A40" s="129" t="s">
        <v>778</v>
      </c>
      <c r="B40" s="188">
        <f>SUM(F38:F40)</f>
        <v>15604797.692857143</v>
      </c>
      <c r="C40" s="188">
        <f>AVERAGE(F38:F40)</f>
        <v>5201599.2309523812</v>
      </c>
      <c r="D40" s="190">
        <f>C40/C37-1</f>
        <v>-2.0555114196387003E-2</v>
      </c>
      <c r="E40" s="287">
        <f>C40/C28-1</f>
        <v>-0.11629227333103176</v>
      </c>
      <c r="F40" s="136">
        <f>Q40/21</f>
        <v>5329402.8095238097</v>
      </c>
      <c r="G40" s="190">
        <f t="shared" ref="G40" si="44">F40/F39-1</f>
        <v>9.9001764206940734E-2</v>
      </c>
      <c r="H40" s="190">
        <f t="shared" ref="H40" si="45">F40/F28-1</f>
        <v>-0.21101070490264573</v>
      </c>
      <c r="I40" s="130">
        <f t="shared" si="0"/>
        <v>296.86792454131444</v>
      </c>
      <c r="J40" s="130">
        <f t="shared" si="4"/>
        <v>1.9204286380059665E-2</v>
      </c>
      <c r="K40" s="136">
        <f>R38+R39+R40</f>
        <v>446165704773</v>
      </c>
      <c r="L40" s="190">
        <f>U40/U37-1</f>
        <v>-1.8852350926102823E-2</v>
      </c>
      <c r="M40" s="190">
        <f>U40/U28-1</f>
        <v>-8.3902327386511821E-2</v>
      </c>
      <c r="N40" s="191">
        <f>AVERAGE(T38:T40)</f>
        <v>289.50036956862186</v>
      </c>
      <c r="O40" s="192">
        <f>N40/N37-1</f>
        <v>1.7167598255097394E-2</v>
      </c>
      <c r="P40" s="129" t="s">
        <v>778</v>
      </c>
      <c r="Q40" s="116">
        <v>111917459</v>
      </c>
      <c r="R40" s="116">
        <v>158776783651</v>
      </c>
      <c r="S40" s="116">
        <v>376994.11</v>
      </c>
      <c r="T40" s="130">
        <f t="shared" ref="T40" si="46">Q40/S40</f>
        <v>296.86792454131444</v>
      </c>
      <c r="U40" s="85">
        <f>Q38+Q39+Q40</f>
        <v>322274669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6058890.055555556</v>
      </c>
      <c r="G41" s="190">
        <f t="shared" ref="G41" si="47">F41/F40-1</f>
        <v>0.13687973532946884</v>
      </c>
      <c r="H41" s="190">
        <f t="shared" ref="H41" si="48">F41/F29-1</f>
        <v>0.25136892349745366</v>
      </c>
      <c r="I41" s="130">
        <f t="shared" si="0"/>
        <v>326.21507314353119</v>
      </c>
      <c r="J41" s="130">
        <f t="shared" si="4"/>
        <v>1.3185696442524097E-2</v>
      </c>
      <c r="K41" s="193"/>
      <c r="L41" s="190"/>
      <c r="M41" s="190"/>
      <c r="N41" s="193"/>
      <c r="O41" s="193"/>
      <c r="P41" s="129" t="s">
        <v>792</v>
      </c>
      <c r="Q41" s="116">
        <v>109060021</v>
      </c>
      <c r="R41" s="116">
        <v>159452460817</v>
      </c>
      <c r="S41" s="116">
        <v>334319.38</v>
      </c>
      <c r="T41" s="130">
        <f t="shared" ref="T41" si="49">Q41/S41</f>
        <v>326.21507314353119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5930497.2999999998</v>
      </c>
      <c r="G42" s="190">
        <f t="shared" ref="G42" si="50">F42/F41-1</f>
        <v>-2.1190804648754002E-2</v>
      </c>
      <c r="H42" s="190">
        <f t="shared" ref="H42" si="51">F42/F30-1</f>
        <v>-2.49236236192657E-2</v>
      </c>
      <c r="I42" s="130">
        <f t="shared" si="0"/>
        <v>322.5270962584882</v>
      </c>
      <c r="J42" s="130">
        <f t="shared" si="4"/>
        <v>6.2796292533866316E-2</v>
      </c>
      <c r="K42" s="193"/>
      <c r="L42" s="190"/>
      <c r="M42" s="190"/>
      <c r="N42" s="193"/>
      <c r="O42" s="193"/>
      <c r="P42" s="129" t="s">
        <v>826</v>
      </c>
      <c r="Q42" s="116">
        <v>118609946</v>
      </c>
      <c r="R42" s="116">
        <v>171385892797</v>
      </c>
      <c r="S42" s="116">
        <v>367751.88</v>
      </c>
      <c r="T42" s="130">
        <f t="shared" ref="T42" si="52">Q42/S42</f>
        <v>322.5270962584882</v>
      </c>
      <c r="U42" s="78"/>
    </row>
    <row r="43" spans="1:21" s="79" customFormat="1" ht="13.2">
      <c r="A43" s="129" t="s">
        <v>835</v>
      </c>
      <c r="B43" s="188">
        <f>SUM(F41:F43)</f>
        <v>18569686.055555556</v>
      </c>
      <c r="C43" s="188">
        <f>AVERAGE(F41:F43)</f>
        <v>6189895.3518518517</v>
      </c>
      <c r="D43" s="190">
        <f>C43/C40-1</f>
        <v>0.18999851334538898</v>
      </c>
      <c r="E43" s="287">
        <f>C43/C31-1</f>
        <v>0.11537023931403745</v>
      </c>
      <c r="F43" s="136">
        <f>Q43/20</f>
        <v>6580298.7000000002</v>
      </c>
      <c r="G43" s="190">
        <f t="shared" ref="G43" si="53">F43/F42-1</f>
        <v>0.10956946224391673</v>
      </c>
      <c r="H43" s="190">
        <f t="shared" ref="H43" si="54">F43/F31-1</f>
        <v>0.14939631965157618</v>
      </c>
      <c r="I43" s="130">
        <f t="shared" si="0"/>
        <v>408.81248501386619</v>
      </c>
      <c r="J43" s="130">
        <f t="shared" si="4"/>
        <v>0.32944259886400773</v>
      </c>
      <c r="K43" s="136">
        <f>R41+R42+R43</f>
        <v>521524428504</v>
      </c>
      <c r="L43" s="190">
        <f>U43/U40-1</f>
        <v>0.11481284618121812</v>
      </c>
      <c r="M43" s="190">
        <f>K43/K31-1</f>
        <v>0.16884068568693467</v>
      </c>
      <c r="N43" s="191">
        <f>AVERAGE(T41:T43)</f>
        <v>352.51821813862853</v>
      </c>
      <c r="O43" s="192">
        <f>N43/N40-1</f>
        <v>0.21767795552008518</v>
      </c>
      <c r="P43" s="129" t="s">
        <v>835</v>
      </c>
      <c r="Q43" s="116">
        <v>131605974</v>
      </c>
      <c r="R43" s="116">
        <v>190686074890</v>
      </c>
      <c r="S43" s="116">
        <v>321922.59000000003</v>
      </c>
      <c r="T43" s="130">
        <f t="shared" ref="T43" si="55">Q43/S43</f>
        <v>408.81248501386619</v>
      </c>
      <c r="U43" s="85">
        <f>Q41+Q42+Q43</f>
        <v>359275941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5707781.5909090908</v>
      </c>
      <c r="G44" s="190">
        <f t="shared" ref="G44" si="56">F44/F43-1</f>
        <v>-0.13259536517558224</v>
      </c>
      <c r="H44" s="190">
        <f t="shared" ref="H44" si="57">F44/F32-1</f>
        <v>5.8414773370771611E-2</v>
      </c>
      <c r="I44" s="130">
        <f t="shared" si="0"/>
        <v>323.43295430281245</v>
      </c>
      <c r="J44" s="130">
        <f t="shared" si="4"/>
        <v>8.2773807219610473E-2</v>
      </c>
      <c r="K44" s="136"/>
      <c r="L44" s="190"/>
      <c r="M44" s="190"/>
      <c r="N44" s="191"/>
      <c r="O44" s="192"/>
      <c r="P44" s="129" t="s">
        <v>843</v>
      </c>
      <c r="Q44" s="116">
        <v>125571195</v>
      </c>
      <c r="R44" s="116">
        <v>182228388066</v>
      </c>
      <c r="S44" s="116">
        <v>388244.9</v>
      </c>
      <c r="T44" s="130">
        <f t="shared" ref="T44" si="58">Q44/S44</f>
        <v>323.43295430281245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6073409.7999999998</v>
      </c>
      <c r="G45" s="190">
        <f t="shared" ref="G45" si="59">F45/F44-1</f>
        <v>6.4057848617272484E-2</v>
      </c>
      <c r="H45" s="190">
        <f t="shared" ref="H45" si="60">F45/F33-1</f>
        <v>6.1542919140520569E-2</v>
      </c>
      <c r="I45" s="130">
        <f t="shared" si="0"/>
        <v>279.25317208336281</v>
      </c>
      <c r="J45" s="130">
        <f t="shared" si="4"/>
        <v>-7.1761869678311108E-2</v>
      </c>
      <c r="K45" s="136"/>
      <c r="L45" s="190"/>
      <c r="M45" s="190"/>
      <c r="N45" s="191"/>
      <c r="O45" s="192"/>
      <c r="P45" s="129" t="s">
        <v>849</v>
      </c>
      <c r="Q45" s="116">
        <v>121468196</v>
      </c>
      <c r="R45" s="116">
        <v>170775601152</v>
      </c>
      <c r="S45" s="116">
        <v>434975.17</v>
      </c>
      <c r="T45" s="130">
        <f t="shared" ref="T45" si="61">Q45/S45</f>
        <v>279.25317208336281</v>
      </c>
      <c r="U45" s="85"/>
    </row>
    <row r="46" spans="1:21" s="79" customFormat="1" ht="13.2">
      <c r="A46" s="129" t="s">
        <v>888</v>
      </c>
      <c r="B46" s="188">
        <f>SUM(F44:F46)</f>
        <v>18199958.601435408</v>
      </c>
      <c r="C46" s="188">
        <f>AVERAGE(F44:F46)</f>
        <v>6066652.867145136</v>
      </c>
      <c r="D46" s="190">
        <f>C46/C43-1</f>
        <v>-1.9910269512043444E-2</v>
      </c>
      <c r="E46" s="287">
        <f>C46/C34-1</f>
        <v>6.2614800926265035E-2</v>
      </c>
      <c r="F46" s="136">
        <f>Q46/19</f>
        <v>6418767.2105263155</v>
      </c>
      <c r="G46" s="190">
        <f t="shared" ref="G46" si="62">F46/F45-1</f>
        <v>5.6863841219197075E-2</v>
      </c>
      <c r="H46" s="190">
        <f t="shared" ref="H46" si="63">F46/F34-1</f>
        <v>6.7401122150490211E-2</v>
      </c>
      <c r="I46" s="130">
        <f t="shared" si="0"/>
        <v>302.86196447604601</v>
      </c>
      <c r="J46" s="130">
        <f t="shared" si="4"/>
        <v>-5.499622320590658E-2</v>
      </c>
      <c r="K46" s="136">
        <f>R44+R45+R46</f>
        <v>519957901539</v>
      </c>
      <c r="L46" s="190">
        <f>U46/U43-1</f>
        <v>2.7054489017398486E-2</v>
      </c>
      <c r="M46" s="190">
        <f>K46/K34-1</f>
        <v>9.3819143598428134E-2</v>
      </c>
      <c r="N46" s="191">
        <f>AVERAGE(T44:T46)</f>
        <v>301.84936362074041</v>
      </c>
      <c r="O46" s="192">
        <f>N46/N43-1</f>
        <v>-0.14373400270042924</v>
      </c>
      <c r="P46" s="129" t="s">
        <v>888</v>
      </c>
      <c r="Q46" s="116">
        <v>121956577</v>
      </c>
      <c r="R46" s="116">
        <v>166953912321</v>
      </c>
      <c r="S46" s="116">
        <v>402680.4</v>
      </c>
      <c r="T46" s="130">
        <f t="shared" ref="T46" si="64">Q46/S46</f>
        <v>302.86196447604601</v>
      </c>
      <c r="U46" s="85">
        <f t="shared" ref="U46:U51" si="65">Q44+Q45+Q46</f>
        <v>368995968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6181586.6956521738</v>
      </c>
      <c r="G47" s="190">
        <f t="shared" ref="G47" si="66">F47/F46-1</f>
        <v>-3.6951100903797052E-2</v>
      </c>
      <c r="H47" s="190">
        <f t="shared" ref="H47" si="67">F47/F35-1</f>
        <v>0.16352353304015699</v>
      </c>
      <c r="I47" s="130">
        <f t="shared" si="0"/>
        <v>273.24809786343855</v>
      </c>
      <c r="J47" s="130">
        <f t="shared" si="4"/>
        <v>-8.8496118927781087E-2</v>
      </c>
      <c r="K47" s="136"/>
      <c r="L47" s="190"/>
      <c r="M47" s="190"/>
      <c r="N47" s="191"/>
      <c r="O47" s="192"/>
      <c r="P47" s="129" t="s">
        <v>1029</v>
      </c>
      <c r="Q47" s="116">
        <v>142176494</v>
      </c>
      <c r="R47" s="116">
        <v>195241221284</v>
      </c>
      <c r="S47" s="116">
        <v>520320.16</v>
      </c>
      <c r="T47" s="130">
        <f t="shared" ref="T47" si="68">Q47/S47</f>
        <v>273.24809786343855</v>
      </c>
      <c r="U47" s="85">
        <f t="shared" si="65"/>
        <v>385601267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7800175.5</v>
      </c>
      <c r="G48" s="190">
        <f t="shared" ref="G48" si="69">F48/F47-1</f>
        <v>0.26184034682976498</v>
      </c>
      <c r="H48" s="190">
        <f t="shared" ref="H48" si="70">F48/F36-1</f>
        <v>0.54747112300107337</v>
      </c>
      <c r="I48" s="130">
        <f t="shared" si="0"/>
        <v>364.05339693732031</v>
      </c>
      <c r="J48" s="130">
        <f t="shared" si="4"/>
        <v>0.29355577003092614</v>
      </c>
      <c r="K48" s="136"/>
      <c r="L48" s="190"/>
      <c r="M48" s="190"/>
      <c r="N48" s="191"/>
      <c r="O48" s="192"/>
      <c r="P48" s="129" t="s">
        <v>1144</v>
      </c>
      <c r="Q48" s="116">
        <v>156003510</v>
      </c>
      <c r="R48" s="116">
        <v>216516281359</v>
      </c>
      <c r="S48" s="116">
        <v>428518.21</v>
      </c>
      <c r="T48" s="130">
        <f t="shared" ref="T48" si="71">Q48/S48</f>
        <v>364.05339693732031</v>
      </c>
      <c r="U48" s="85">
        <f t="shared" si="65"/>
        <v>420136581</v>
      </c>
    </row>
    <row r="49" spans="1:26" ht="13.2">
      <c r="A49" s="129" t="s">
        <v>1158</v>
      </c>
      <c r="B49" s="188">
        <f>SUM(F47:F49)</f>
        <v>22159290.877470355</v>
      </c>
      <c r="C49" s="188">
        <f>AVERAGE(F47:F49)</f>
        <v>7386430.2924901182</v>
      </c>
      <c r="D49" s="190">
        <f>C49/C46-1</f>
        <v>0.21754622429320691</v>
      </c>
      <c r="E49" s="287">
        <f>C49/C37-1</f>
        <v>0.3908417494516816</v>
      </c>
      <c r="F49" s="136">
        <f>Q49/22</f>
        <v>8177528.6818181816</v>
      </c>
      <c r="G49" s="190">
        <f t="shared" ref="G49" si="72">F49/F48-1</f>
        <v>4.8377524559310547E-2</v>
      </c>
      <c r="H49" s="190">
        <f t="shared" ref="H49" si="73">F49/F37-1</f>
        <v>0.46580212118909348</v>
      </c>
      <c r="I49" s="130">
        <f t="shared" si="0"/>
        <v>347.77830648477988</v>
      </c>
      <c r="J49" s="130">
        <f t="shared" si="4"/>
        <v>0.27564546928507827</v>
      </c>
      <c r="K49" s="136">
        <f>R47+R48+R49</f>
        <v>661801717320</v>
      </c>
      <c r="L49" s="190">
        <f>U49/U46-1</f>
        <v>0.29563918432843139</v>
      </c>
      <c r="M49" s="190">
        <f>K49/K37-1</f>
        <v>0.47782426430396119</v>
      </c>
      <c r="N49" s="191">
        <f>AVERAGE(T47:T49)</f>
        <v>328.35993376184621</v>
      </c>
      <c r="O49" s="192">
        <f>N49/N46-1</f>
        <v>8.7827152666835051E-2</v>
      </c>
      <c r="P49" s="129" t="s">
        <v>1165</v>
      </c>
      <c r="Q49" s="116">
        <v>179905631</v>
      </c>
      <c r="R49" s="116">
        <v>250044214677</v>
      </c>
      <c r="S49" s="116">
        <v>517299.75</v>
      </c>
      <c r="T49" s="130">
        <f t="shared" ref="T49" si="74">Q49/S49</f>
        <v>347.77830648477988</v>
      </c>
      <c r="U49" s="85">
        <f t="shared" si="65"/>
        <v>478085635</v>
      </c>
      <c r="V49" s="79"/>
      <c r="W49" s="79"/>
      <c r="X49" s="79"/>
      <c r="Y49" s="79"/>
      <c r="Z49" s="79"/>
    </row>
    <row r="50" spans="1:26" ht="13.2">
      <c r="A50" s="129" t="s">
        <v>1316</v>
      </c>
      <c r="B50" s="188"/>
      <c r="C50" s="188"/>
      <c r="D50" s="190"/>
      <c r="E50" s="287"/>
      <c r="F50" s="136">
        <f>Q50/18</f>
        <v>7538619.166666667</v>
      </c>
      <c r="G50" s="190">
        <f t="shared" ref="G50" si="75">F50/F49-1</f>
        <v>-7.8129902078125202E-2</v>
      </c>
      <c r="H50" s="190">
        <f t="shared" ref="H50" si="76">F50/F38-1</f>
        <v>0.3893299811051838</v>
      </c>
      <c r="I50" s="130">
        <f t="shared" ref="I50" si="77">T50</f>
        <v>289.91596046173964</v>
      </c>
      <c r="J50" s="130">
        <f t="shared" ref="J50" si="78">I50/I38-1</f>
        <v>4.3532349134251191E-2</v>
      </c>
      <c r="K50" s="136"/>
      <c r="L50" s="190"/>
      <c r="M50" s="190"/>
      <c r="N50" s="191"/>
      <c r="O50" s="192"/>
      <c r="P50" s="129" t="s">
        <v>1291</v>
      </c>
      <c r="Q50" s="116">
        <v>135695145</v>
      </c>
      <c r="R50" s="116">
        <v>192028063043</v>
      </c>
      <c r="S50" s="116">
        <v>468049.93</v>
      </c>
      <c r="T50" s="130">
        <f t="shared" ref="T50" si="79">Q50/S50</f>
        <v>289.91596046173964</v>
      </c>
      <c r="U50" s="85">
        <f t="shared" si="65"/>
        <v>471604286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7265895.8499999996</v>
      </c>
      <c r="G51" s="190">
        <f t="shared" ref="G51:G52" si="80">F51/F50-1</f>
        <v>-3.6176826370611925E-2</v>
      </c>
      <c r="H51" s="190">
        <f t="shared" ref="H51:H52" si="81">F51/F39-1</f>
        <v>0.49833530004975968</v>
      </c>
      <c r="I51" s="130">
        <f t="shared" ref="I51:I52" si="82">T51</f>
        <v>320.61796092614469</v>
      </c>
      <c r="J51" s="130">
        <f t="shared" ref="J51:J52" si="83">I51/I39-1</f>
        <v>9.1237098488104351E-2</v>
      </c>
      <c r="K51" s="136"/>
      <c r="L51" s="190"/>
      <c r="M51" s="190"/>
      <c r="N51" s="191"/>
      <c r="O51" s="192"/>
      <c r="P51" s="129" t="s">
        <v>1402</v>
      </c>
      <c r="Q51" s="116">
        <v>145317917</v>
      </c>
      <c r="R51" s="116">
        <v>210579739421</v>
      </c>
      <c r="S51" s="116">
        <v>453243.22</v>
      </c>
      <c r="T51" s="130">
        <f t="shared" ref="T51:T52" si="84">Q51/S51</f>
        <v>320.61796092614469</v>
      </c>
      <c r="U51" s="85">
        <f t="shared" si="65"/>
        <v>460918693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22309956.425757576</v>
      </c>
      <c r="C52" s="188">
        <f>AVERAGE(F50:F52)</f>
        <v>7436652.1419191919</v>
      </c>
      <c r="D52" s="190">
        <f>C52/C49-1</f>
        <v>6.7992044113831529E-3</v>
      </c>
      <c r="E52" s="287">
        <f>C52/C40-1</f>
        <v>0.42968572005067496</v>
      </c>
      <c r="F52" s="136">
        <f>Q52/22</f>
        <v>7505441.4090909092</v>
      </c>
      <c r="G52" s="190">
        <f t="shared" si="80"/>
        <v>3.2968482350446804E-2</v>
      </c>
      <c r="H52" s="190">
        <f t="shared" si="81"/>
        <v>0.40830814958825234</v>
      </c>
      <c r="I52" s="130">
        <f t="shared" si="82"/>
        <v>340.0907981406607</v>
      </c>
      <c r="J52" s="130">
        <f t="shared" si="83"/>
        <v>0.14559630740211893</v>
      </c>
      <c r="K52" s="136">
        <f>R50+R51+R52</f>
        <v>645550438912</v>
      </c>
      <c r="L52" s="190">
        <f>U52/U49-1</f>
        <v>-6.6835017956563325E-2</v>
      </c>
      <c r="M52" s="190">
        <f>K52/K40-1</f>
        <v>0.44688493984638034</v>
      </c>
      <c r="N52" s="191">
        <f>AVERAGE(T50:T52)</f>
        <v>316.87490650951503</v>
      </c>
      <c r="O52" s="192">
        <f>N52/N49-1</f>
        <v>-3.4976944722680647E-2</v>
      </c>
      <c r="P52" s="129" t="s">
        <v>1403</v>
      </c>
      <c r="Q52" s="116">
        <v>165119711</v>
      </c>
      <c r="R52" s="116">
        <v>242942636448</v>
      </c>
      <c r="S52" s="116">
        <v>485516.55</v>
      </c>
      <c r="T52" s="130">
        <f t="shared" si="84"/>
        <v>340.0907981406607</v>
      </c>
      <c r="U52" s="85">
        <f t="shared" ref="U52" si="85">Q50+Q51+Q52</f>
        <v>446132773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6796114.4285714282</v>
      </c>
      <c r="G53" s="190">
        <f t="shared" ref="G53" si="86">F53/F52-1</f>
        <v>-9.4508362913913957E-2</v>
      </c>
      <c r="H53" s="190">
        <f t="shared" ref="H53" si="87">F53/F41-1</f>
        <v>0.1216764731256168</v>
      </c>
      <c r="I53" s="130">
        <f t="shared" ref="I53" si="88">T53</f>
        <v>267.26460863124532</v>
      </c>
      <c r="J53" s="130">
        <f t="shared" ref="J53" si="89">I53/I41-1</f>
        <v>-0.18071042500954049</v>
      </c>
      <c r="K53" s="136"/>
      <c r="L53" s="190"/>
      <c r="M53" s="190"/>
      <c r="N53" s="191"/>
      <c r="O53" s="192"/>
      <c r="P53" s="129" t="s">
        <v>1414</v>
      </c>
      <c r="Q53" s="116">
        <v>142718403</v>
      </c>
      <c r="R53" s="116">
        <v>208135793681</v>
      </c>
      <c r="S53" s="116">
        <v>533996.64</v>
      </c>
      <c r="T53" s="130">
        <f t="shared" ref="T53" si="90">Q53/S53</f>
        <v>267.26460863124532</v>
      </c>
      <c r="U53" s="85">
        <f t="shared" ref="U53" si="91">Q51+Q52+Q53</f>
        <v>453156031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8413911</v>
      </c>
      <c r="G54" s="190">
        <f t="shared" ref="G54" si="92">F54/F53-1</f>
        <v>0.2380472825217923</v>
      </c>
      <c r="H54" s="190">
        <f t="shared" ref="H54" si="93">F54/F42-1</f>
        <v>0.41875302767611089</v>
      </c>
      <c r="I54" s="130">
        <f t="shared" ref="I54" si="94">T54</f>
        <v>349.59271961146743</v>
      </c>
      <c r="J54" s="130">
        <f t="shared" ref="J54" si="95">I54/I42-1</f>
        <v>8.3917362810619789E-2</v>
      </c>
      <c r="K54" s="136"/>
      <c r="L54" s="190"/>
      <c r="M54" s="190"/>
      <c r="N54" s="191"/>
      <c r="O54" s="192"/>
      <c r="P54" s="129" t="s">
        <v>1417</v>
      </c>
      <c r="Q54" s="116">
        <v>143036487</v>
      </c>
      <c r="R54" s="116">
        <v>207226837611</v>
      </c>
      <c r="S54" s="116">
        <v>409151.79</v>
      </c>
      <c r="T54" s="130">
        <f t="shared" ref="T54" si="96">Q54/S54</f>
        <v>349.59271961146743</v>
      </c>
      <c r="U54" s="85">
        <f t="shared" ref="U54" si="97">Q52+Q53+Q54</f>
        <v>450874601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22290960.380952381</v>
      </c>
      <c r="C55" s="188">
        <f>AVERAGE(F53:F55)</f>
        <v>7430320.1269841269</v>
      </c>
      <c r="D55" s="190">
        <f>C55/C52-1</f>
        <v>-8.5146041716444021E-4</v>
      </c>
      <c r="E55" s="287">
        <f>C55/C43-1</f>
        <v>0.20039511245713926</v>
      </c>
      <c r="F55" s="136">
        <f>Q55/21</f>
        <v>7080934.9523809524</v>
      </c>
      <c r="G55" s="190">
        <f t="shared" ref="G55" si="98">F55/F54-1</f>
        <v>-0.15842526116796907</v>
      </c>
      <c r="H55" s="190">
        <f t="shared" ref="H55" si="99">F55/F43-1</f>
        <v>7.6081083124836191E-2</v>
      </c>
      <c r="I55" s="130">
        <f>T55</f>
        <v>292.01156125121548</v>
      </c>
      <c r="J55" s="130">
        <f t="shared" ref="J55" si="100">I55/I43-1</f>
        <v>-0.28570781970782777</v>
      </c>
      <c r="K55" s="136">
        <f>R53+R54+R55</f>
        <v>634367039455</v>
      </c>
      <c r="L55" s="190">
        <f>U55/U52-1</f>
        <v>-2.6176622088241008E-2</v>
      </c>
      <c r="M55" s="190">
        <f>K55/K43-1</f>
        <v>0.21637071014044462</v>
      </c>
      <c r="N55" s="191">
        <f>AVERAGE(T53:T55)</f>
        <v>302.9562964979761</v>
      </c>
      <c r="O55" s="192">
        <f>N55/N52-1</f>
        <v>-4.3924620490960131E-2</v>
      </c>
      <c r="P55" s="129" t="s">
        <v>1418</v>
      </c>
      <c r="Q55" s="116">
        <v>148699634</v>
      </c>
      <c r="R55" s="116">
        <v>219004408163</v>
      </c>
      <c r="S55" s="116">
        <v>509225.16</v>
      </c>
      <c r="T55" s="130">
        <f t="shared" ref="T55" si="101">Q55/S55</f>
        <v>292.01156125121548</v>
      </c>
      <c r="U55" s="85">
        <f t="shared" ref="U55" si="102">Q53+Q54+Q55</f>
        <v>434454524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7101035.3181818184</v>
      </c>
      <c r="G56" s="190">
        <f t="shared" ref="G56" si="103">F56/F55-1</f>
        <v>2.8386598572138766E-3</v>
      </c>
      <c r="H56" s="190">
        <f t="shared" ref="H56" si="104">F56/F44-1</f>
        <v>0.24409723902046165</v>
      </c>
      <c r="I56" s="291">
        <f>T56</f>
        <v>292.51377642933977</v>
      </c>
      <c r="J56" s="130">
        <f t="shared" ref="J56" si="105">I56/I44-1</f>
        <v>-9.559686934227718E-2</v>
      </c>
      <c r="K56" s="136"/>
      <c r="L56" s="190"/>
      <c r="M56" s="190"/>
      <c r="N56" s="191"/>
      <c r="O56" s="192"/>
      <c r="P56" s="129" t="s">
        <v>1420</v>
      </c>
      <c r="Q56" s="116">
        <v>156222777</v>
      </c>
      <c r="R56" s="116">
        <v>233273974018</v>
      </c>
      <c r="S56" s="116">
        <v>534069.81000000006</v>
      </c>
      <c r="T56" s="130">
        <f t="shared" ref="T56" si="106">Q56/S56</f>
        <v>292.51377642933977</v>
      </c>
      <c r="U56" s="85">
        <f t="shared" ref="U56" si="107">Q54+Q55+Q56</f>
        <v>447958898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6745902.166666667</v>
      </c>
      <c r="G57" s="254">
        <f t="shared" ref="G57" si="108">F57/F56-1</f>
        <v>-5.0011461090166964E-2</v>
      </c>
      <c r="H57" s="254">
        <f t="shared" ref="H57" si="109">F57/F45-1</f>
        <v>0.11072731608966468</v>
      </c>
      <c r="I57" s="282">
        <f>T57</f>
        <v>310.33815357621683</v>
      </c>
      <c r="J57" s="277">
        <f t="shared" ref="J57" si="110">I57/I45-1</f>
        <v>0.11131469433612917</v>
      </c>
      <c r="K57" s="204"/>
      <c r="L57" s="254"/>
      <c r="M57" s="254"/>
      <c r="N57" s="257"/>
      <c r="O57" s="258"/>
      <c r="P57" s="129" t="s">
        <v>1436</v>
      </c>
      <c r="Q57" s="116">
        <v>80950826</v>
      </c>
      <c r="R57" s="116">
        <v>119293274479</v>
      </c>
      <c r="S57" s="116">
        <v>260847.16</v>
      </c>
      <c r="T57" s="130">
        <f t="shared" ref="T57" si="111">Q57/S57</f>
        <v>310.33815357621683</v>
      </c>
      <c r="U57" s="85">
        <f t="shared" ref="U57" si="112">Q55+Q56+Q57</f>
        <v>385873237</v>
      </c>
      <c r="V57" s="79"/>
      <c r="W57" s="79"/>
      <c r="X57" s="79"/>
      <c r="Y57" s="79"/>
      <c r="Z57" s="79"/>
    </row>
    <row r="58" spans="1:26">
      <c r="B58" s="196">
        <f>SUM(F56:F58)</f>
        <v>13846937.484848484</v>
      </c>
      <c r="C58" s="196">
        <f>AVERAGE(F56:F58)</f>
        <v>6923468.7424242422</v>
      </c>
      <c r="D58" s="197">
        <f>C58/C55-1</f>
        <v>-6.8213936398135999E-2</v>
      </c>
      <c r="E58" s="233">
        <f>C58/C46-1</f>
        <v>0.14123370729176221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671628127</v>
      </c>
      <c r="R64" s="212">
        <v>986934287952</v>
      </c>
      <c r="S64" s="213">
        <v>2247290.58</v>
      </c>
      <c r="T64" s="214">
        <v>155</v>
      </c>
      <c r="U64" s="214">
        <v>615</v>
      </c>
    </row>
    <row r="65" spans="16:21" ht="18" thickBot="1">
      <c r="P65" s="180" t="s">
        <v>976</v>
      </c>
      <c r="Q65" s="181">
        <v>142718403</v>
      </c>
      <c r="R65" s="181">
        <v>208135793681</v>
      </c>
      <c r="S65" s="182">
        <v>533996.64</v>
      </c>
      <c r="T65" s="210">
        <v>80</v>
      </c>
      <c r="U65" s="210">
        <v>284</v>
      </c>
    </row>
    <row r="66" spans="16:21" ht="18" thickBot="1">
      <c r="P66" s="180" t="s">
        <v>977</v>
      </c>
      <c r="Q66" s="181">
        <v>143036487</v>
      </c>
      <c r="R66" s="181">
        <v>207226837611</v>
      </c>
      <c r="S66" s="182">
        <v>409151.79</v>
      </c>
      <c r="T66" s="210">
        <v>80</v>
      </c>
      <c r="U66" s="210">
        <v>249</v>
      </c>
    </row>
    <row r="67" spans="16:21" ht="18" thickBot="1">
      <c r="P67" s="180" t="s">
        <v>978</v>
      </c>
      <c r="Q67" s="181">
        <v>148699634</v>
      </c>
      <c r="R67" s="181">
        <v>219004408163</v>
      </c>
      <c r="S67" s="182">
        <v>509225.16</v>
      </c>
      <c r="T67" s="210">
        <v>88</v>
      </c>
      <c r="U67" s="210">
        <v>297</v>
      </c>
    </row>
    <row r="68" spans="16:21" ht="18" thickBot="1">
      <c r="P68" s="180" t="s">
        <v>979</v>
      </c>
      <c r="Q68" s="181">
        <v>156222777</v>
      </c>
      <c r="R68" s="181">
        <v>233273974018</v>
      </c>
      <c r="S68" s="182">
        <v>534069.81000000006</v>
      </c>
      <c r="T68" s="210">
        <v>95</v>
      </c>
      <c r="U68" s="210">
        <v>289</v>
      </c>
    </row>
    <row r="69" spans="16:21" ht="18" thickBot="1">
      <c r="P69" s="180" t="s">
        <v>980</v>
      </c>
      <c r="Q69" s="181">
        <v>80950826</v>
      </c>
      <c r="R69" s="181">
        <v>119293274479</v>
      </c>
      <c r="S69" s="182">
        <v>260847.16</v>
      </c>
      <c r="T69" s="210">
        <v>80</v>
      </c>
      <c r="U69" s="210">
        <v>194</v>
      </c>
    </row>
    <row r="70" spans="16:21" ht="18" thickBot="1">
      <c r="P70" s="180" t="s">
        <v>975</v>
      </c>
      <c r="Q70" s="181">
        <v>1644756951</v>
      </c>
      <c r="R70" s="181">
        <v>2337705275909</v>
      </c>
      <c r="S70" s="182">
        <v>5123024.42</v>
      </c>
      <c r="T70" s="210">
        <v>197</v>
      </c>
      <c r="U70" s="210">
        <v>1169</v>
      </c>
    </row>
    <row r="71" spans="16:21" ht="18" thickBot="1">
      <c r="P71" s="215" t="s">
        <v>982</v>
      </c>
      <c r="Q71" s="216">
        <v>1334</v>
      </c>
      <c r="R71"/>
      <c r="S71"/>
      <c r="T71"/>
      <c r="U71"/>
    </row>
  </sheetData>
  <phoneticPr fontId="1" type="noConversion"/>
  <conditionalFormatting sqref="C29:C30">
    <cfRule type="cellIs" dxfId="16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97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10" t="s">
        <v>123</v>
      </c>
      <c r="L3" s="111">
        <v>8529903010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899743.05</v>
      </c>
      <c r="G5" s="90"/>
      <c r="H5" s="90"/>
      <c r="I5" s="130">
        <f t="shared" ref="I5:I49" si="0">T5</f>
        <v>248.37905020056124</v>
      </c>
      <c r="J5" s="130"/>
      <c r="L5" s="80"/>
      <c r="M5" s="80"/>
      <c r="P5" s="129" t="s">
        <v>0</v>
      </c>
      <c r="Q5" s="116">
        <f>안테나!Q5+안테나시스템!Q5</f>
        <v>17994861</v>
      </c>
      <c r="R5" s="116"/>
      <c r="S5" s="116">
        <f>안테나!S5+안테나시스템!S5</f>
        <v>72449.19</v>
      </c>
      <c r="T5" s="130">
        <f t="shared" ref="T5:T19" si="1">Q5/S5</f>
        <v>248.37905020056124</v>
      </c>
      <c r="U5" s="85"/>
    </row>
    <row r="6" spans="1:21" ht="15" hidden="1" customHeight="1">
      <c r="A6" s="129" t="s">
        <v>1</v>
      </c>
      <c r="C6" s="79"/>
      <c r="F6" s="78">
        <f>Q6/18</f>
        <v>744726.4444444445</v>
      </c>
      <c r="G6" s="90">
        <f t="shared" ref="G6:G16" si="2">F6/F5-1</f>
        <v>-0.17228986159499149</v>
      </c>
      <c r="H6" s="90"/>
      <c r="I6" s="130">
        <f t="shared" si="0"/>
        <v>161.19437803372591</v>
      </c>
      <c r="J6" s="130"/>
      <c r="P6" s="129" t="s">
        <v>1</v>
      </c>
      <c r="Q6" s="116">
        <f>안테나!Q6+안테나시스템!Q6</f>
        <v>13405076</v>
      </c>
      <c r="R6" s="116"/>
      <c r="S6" s="116">
        <f>안테나!S6+안테나시스템!S6</f>
        <v>83160.94</v>
      </c>
      <c r="T6" s="130">
        <f t="shared" si="1"/>
        <v>161.19437803372591</v>
      </c>
      <c r="U6" s="85"/>
    </row>
    <row r="7" spans="1:21" ht="15" hidden="1" customHeight="1">
      <c r="A7" s="129" t="s">
        <v>2</v>
      </c>
      <c r="B7" s="131">
        <f>F5+F6+F7</f>
        <v>2305950.4035353535</v>
      </c>
      <c r="C7" s="131">
        <f>AVERAGE(F5:F7)</f>
        <v>768650.13451178453</v>
      </c>
      <c r="F7" s="78">
        <f>Q7/22</f>
        <v>661480.90909090906</v>
      </c>
      <c r="G7" s="90">
        <f t="shared" si="2"/>
        <v>-0.11178001798450365</v>
      </c>
      <c r="H7" s="90"/>
      <c r="I7" s="130">
        <f t="shared" si="0"/>
        <v>130.97234903387891</v>
      </c>
      <c r="J7" s="130"/>
      <c r="K7" s="79">
        <f>R5+R6+R7</f>
        <v>0</v>
      </c>
      <c r="N7" s="88">
        <f>AVERAGE(T5:T7)</f>
        <v>180.18192575605534</v>
      </c>
      <c r="P7" s="129" t="s">
        <v>2</v>
      </c>
      <c r="Q7" s="116">
        <f>안테나!Q7+안테나시스템!Q7</f>
        <v>14552580</v>
      </c>
      <c r="R7" s="116"/>
      <c r="S7" s="116">
        <f>안테나!S7+안테나시스템!S7</f>
        <v>111111.85</v>
      </c>
      <c r="T7" s="130">
        <f t="shared" si="1"/>
        <v>130.97234903387891</v>
      </c>
      <c r="U7" s="85">
        <f>Q5+Q6+Q7</f>
        <v>45952517</v>
      </c>
    </row>
    <row r="8" spans="1:21" ht="15" hidden="1" customHeight="1">
      <c r="A8" s="129" t="s">
        <v>3</v>
      </c>
      <c r="C8" s="79"/>
      <c r="F8" s="78">
        <f>Q8/21</f>
        <v>621063.52380952379</v>
      </c>
      <c r="G8" s="90">
        <f t="shared" si="2"/>
        <v>-6.1101363207793802E-2</v>
      </c>
      <c r="H8" s="90"/>
      <c r="I8" s="130">
        <f t="shared" si="0"/>
        <v>164.99012386972262</v>
      </c>
      <c r="J8" s="130"/>
      <c r="K8" s="78"/>
      <c r="P8" s="129" t="s">
        <v>3</v>
      </c>
      <c r="Q8" s="116">
        <f>안테나!Q8+안테나시스템!Q8</f>
        <v>13042334</v>
      </c>
      <c r="R8" s="116"/>
      <c r="S8" s="116">
        <f>안테나!S8+안테나시스템!S8</f>
        <v>79049.179999999993</v>
      </c>
      <c r="T8" s="130">
        <f t="shared" si="1"/>
        <v>164.99012386972262</v>
      </c>
      <c r="U8" s="85"/>
    </row>
    <row r="9" spans="1:21" ht="15" hidden="1" customHeight="1">
      <c r="A9" s="129" t="s">
        <v>4</v>
      </c>
      <c r="C9" s="79"/>
      <c r="F9" s="78">
        <f>Q9/21</f>
        <v>601050.71428571432</v>
      </c>
      <c r="G9" s="90">
        <f t="shared" si="2"/>
        <v>-3.2223450189206804E-2</v>
      </c>
      <c r="H9" s="90"/>
      <c r="I9" s="130">
        <f t="shared" si="0"/>
        <v>148.55694420104209</v>
      </c>
      <c r="J9" s="130"/>
      <c r="K9" s="78"/>
      <c r="P9" s="129" t="s">
        <v>4</v>
      </c>
      <c r="Q9" s="116">
        <f>안테나!Q9+안테나시스템!Q9</f>
        <v>12622065</v>
      </c>
      <c r="R9" s="116"/>
      <c r="S9" s="116">
        <f>안테나!S9+안테나시스템!S9</f>
        <v>84964.49</v>
      </c>
      <c r="T9" s="130">
        <f t="shared" si="1"/>
        <v>148.55694420104209</v>
      </c>
      <c r="U9" s="85"/>
    </row>
    <row r="10" spans="1:21" ht="15" hidden="1" customHeight="1">
      <c r="A10" s="129" t="s">
        <v>5</v>
      </c>
      <c r="B10" s="131">
        <f>F8+F9+F10</f>
        <v>1715496.4285714286</v>
      </c>
      <c r="C10" s="131">
        <f>AVERAGE(F8:F10)</f>
        <v>571832.14285714284</v>
      </c>
      <c r="D10" s="90">
        <f>C10/C7-1</f>
        <v>-0.25605666715930842</v>
      </c>
      <c r="E10" s="286"/>
      <c r="F10" s="78">
        <f>Q10/21</f>
        <v>493382.19047619047</v>
      </c>
      <c r="G10" s="90">
        <f t="shared" si="2"/>
        <v>-0.17913384220410844</v>
      </c>
      <c r="H10" s="90"/>
      <c r="I10" s="130">
        <f t="shared" si="0"/>
        <v>156.24485487330867</v>
      </c>
      <c r="J10" s="130"/>
      <c r="K10" s="79">
        <f>R8+R9+R10</f>
        <v>0</v>
      </c>
      <c r="L10" s="87">
        <f>U10/U7-1</f>
        <v>-0.21602934176597988</v>
      </c>
      <c r="N10" s="88">
        <f>AVERAGE(T8:T10)</f>
        <v>156.59730764802444</v>
      </c>
      <c r="O10" s="89">
        <f>N10/N7-1</f>
        <v>-0.13089336241173066</v>
      </c>
      <c r="P10" s="129" t="s">
        <v>5</v>
      </c>
      <c r="Q10" s="116">
        <f>안테나!Q10+안테나시스템!Q10</f>
        <v>10361026</v>
      </c>
      <c r="R10" s="116"/>
      <c r="S10" s="116">
        <f>안테나!S10+안테나시스템!S10</f>
        <v>66312.75</v>
      </c>
      <c r="T10" s="130">
        <f t="shared" si="1"/>
        <v>156.24485487330867</v>
      </c>
      <c r="U10" s="85">
        <f>Q8+Q9+Q10</f>
        <v>36025425</v>
      </c>
    </row>
    <row r="11" spans="1:21" ht="15" hidden="1" customHeight="1">
      <c r="A11" s="129" t="s">
        <v>6</v>
      </c>
      <c r="C11" s="79"/>
      <c r="F11" s="78">
        <f>Q11/21</f>
        <v>791472.09523809527</v>
      </c>
      <c r="G11" s="90">
        <f t="shared" si="2"/>
        <v>0.60417645897230643</v>
      </c>
      <c r="H11" s="90"/>
      <c r="I11" s="130">
        <f t="shared" si="0"/>
        <v>123.91401526131148</v>
      </c>
      <c r="J11" s="130"/>
      <c r="K11" s="78"/>
      <c r="O11" s="89"/>
      <c r="P11" s="129" t="s">
        <v>6</v>
      </c>
      <c r="Q11" s="116">
        <f>안테나!Q11+안테나시스템!Q11</f>
        <v>16620914</v>
      </c>
      <c r="R11" s="116"/>
      <c r="S11" s="116">
        <f>안테나!S11+안테나시스템!S11</f>
        <v>134132.64000000001</v>
      </c>
      <c r="T11" s="130">
        <f t="shared" si="1"/>
        <v>123.91401526131148</v>
      </c>
      <c r="U11" s="85"/>
    </row>
    <row r="12" spans="1:21" ht="15" hidden="1" customHeight="1">
      <c r="A12" s="129" t="s">
        <v>7</v>
      </c>
      <c r="C12" s="79"/>
      <c r="F12" s="78">
        <f>Q12/22</f>
        <v>528646.59090909094</v>
      </c>
      <c r="G12" s="90">
        <f t="shared" si="2"/>
        <v>-0.33207172547244335</v>
      </c>
      <c r="H12" s="90"/>
      <c r="I12" s="130">
        <f t="shared" si="0"/>
        <v>133.79547289975082</v>
      </c>
      <c r="J12" s="130"/>
      <c r="K12" s="78"/>
      <c r="O12" s="89"/>
      <c r="P12" s="129" t="s">
        <v>7</v>
      </c>
      <c r="Q12" s="116">
        <f>안테나!Q12+안테나시스템!Q12</f>
        <v>11630225</v>
      </c>
      <c r="R12" s="116"/>
      <c r="S12" s="116">
        <f>안테나!S12+안테나시스템!S12</f>
        <v>86925.4</v>
      </c>
      <c r="T12" s="130">
        <f t="shared" si="1"/>
        <v>133.79547289975082</v>
      </c>
      <c r="U12" s="85"/>
    </row>
    <row r="13" spans="1:21" ht="15" hidden="1" customHeight="1">
      <c r="A13" s="129" t="s">
        <v>96</v>
      </c>
      <c r="B13" s="131">
        <f>F11+F12+F13</f>
        <v>1966096.9861471863</v>
      </c>
      <c r="C13" s="131">
        <f>AVERAGE(F11:F13)</f>
        <v>655365.66204906208</v>
      </c>
      <c r="D13" s="90">
        <f>C13/C10-1</f>
        <v>0.14608048924033268</v>
      </c>
      <c r="E13" s="286"/>
      <c r="F13" s="78">
        <f>Q13/20</f>
        <v>645978.30000000005</v>
      </c>
      <c r="G13" s="90">
        <f t="shared" si="2"/>
        <v>0.2219473483960972</v>
      </c>
      <c r="H13" s="90"/>
      <c r="I13" s="130">
        <f t="shared" si="0"/>
        <v>137.84546279007736</v>
      </c>
      <c r="J13" s="130"/>
      <c r="K13" s="78">
        <f>R11+R12+R13</f>
        <v>0</v>
      </c>
      <c r="L13" s="87">
        <f>U13/U10-1</f>
        <v>0.14282357529439271</v>
      </c>
      <c r="N13" s="88">
        <f>AVERAGE(T11:T13)</f>
        <v>131.85165031704653</v>
      </c>
      <c r="O13" s="89">
        <f>N13/N10-1</f>
        <v>-0.15802096282905087</v>
      </c>
      <c r="P13" s="129" t="s">
        <v>96</v>
      </c>
      <c r="Q13" s="116">
        <f>안테나!Q13+안테나시스템!Q13</f>
        <v>12919566</v>
      </c>
      <c r="R13" s="116"/>
      <c r="S13" s="116">
        <f>안테나!S13+안테나시스템!S13</f>
        <v>93725</v>
      </c>
      <c r="T13" s="130">
        <f t="shared" si="1"/>
        <v>137.84546279007736</v>
      </c>
      <c r="U13" s="85">
        <f>Q11+Q12+Q13</f>
        <v>41170705</v>
      </c>
    </row>
    <row r="14" spans="1:21" ht="15" hidden="1" customHeight="1">
      <c r="A14" s="129" t="s">
        <v>97</v>
      </c>
      <c r="C14" s="79"/>
      <c r="F14" s="78">
        <f>Q14/20</f>
        <v>711002.75</v>
      </c>
      <c r="G14" s="90">
        <f t="shared" si="2"/>
        <v>0.10066042466132363</v>
      </c>
      <c r="H14" s="90"/>
      <c r="I14" s="130">
        <f t="shared" si="0"/>
        <v>145.34617553477628</v>
      </c>
      <c r="J14" s="130"/>
      <c r="O14" s="89"/>
      <c r="P14" s="129" t="s">
        <v>97</v>
      </c>
      <c r="Q14" s="116">
        <f>안테나!Q14+안테나시스템!Q14</f>
        <v>14220055</v>
      </c>
      <c r="R14" s="116"/>
      <c r="S14" s="116">
        <f>안테나!S14+안테나시스템!S14</f>
        <v>97835.77</v>
      </c>
      <c r="T14" s="130">
        <f t="shared" si="1"/>
        <v>145.34617553477628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638663.72727272729</v>
      </c>
      <c r="G15" s="90">
        <f t="shared" si="2"/>
        <v>-0.10174225448111518</v>
      </c>
      <c r="H15" s="90"/>
      <c r="I15" s="130">
        <f t="shared" si="0"/>
        <v>213.84642709891929</v>
      </c>
      <c r="J15" s="130"/>
      <c r="O15" s="89"/>
      <c r="P15" s="129" t="s">
        <v>98</v>
      </c>
      <c r="Q15" s="116">
        <f>안테나!Q15+안테나시스템!Q15</f>
        <v>14050602</v>
      </c>
      <c r="R15" s="116"/>
      <c r="S15" s="116">
        <f>안테나!S15+안테나시스템!S15</f>
        <v>65704.17</v>
      </c>
      <c r="T15" s="130">
        <f t="shared" si="1"/>
        <v>213.84642709891929</v>
      </c>
      <c r="U15" s="85"/>
    </row>
    <row r="16" spans="1:21" ht="15" hidden="1" customHeight="1">
      <c r="A16" s="129" t="s">
        <v>99</v>
      </c>
      <c r="B16" s="131">
        <f>F14+F15+F16</f>
        <v>2295502.1136363638</v>
      </c>
      <c r="C16" s="131">
        <f>AVERAGE(F14:F16)</f>
        <v>765167.37121212122</v>
      </c>
      <c r="D16" s="90">
        <f>C16/C13-1</f>
        <v>0.16754266438029997</v>
      </c>
      <c r="E16" s="286"/>
      <c r="F16" s="78">
        <f>Q16/22</f>
        <v>945835.63636363635</v>
      </c>
      <c r="G16" s="90">
        <f t="shared" si="2"/>
        <v>0.48096031757215796</v>
      </c>
      <c r="H16" s="90"/>
      <c r="I16" s="130">
        <f t="shared" si="0"/>
        <v>143.43607007310015</v>
      </c>
      <c r="J16" s="130"/>
      <c r="K16" s="78">
        <f>R14+R15+R16</f>
        <v>0</v>
      </c>
      <c r="L16" s="87">
        <f>U16/U13-1</f>
        <v>0.19208648479543888</v>
      </c>
      <c r="N16" s="88">
        <f>AVERAGE(T14:T16)</f>
        <v>167.54289090226524</v>
      </c>
      <c r="O16" s="89">
        <f>N16/N13-1</f>
        <v>0.2706924069543053</v>
      </c>
      <c r="P16" s="129" t="s">
        <v>99</v>
      </c>
      <c r="Q16" s="116">
        <f>안테나!Q16+안테나시스템!Q16</f>
        <v>20808384</v>
      </c>
      <c r="R16" s="116"/>
      <c r="S16" s="116">
        <f>안테나!S16+안테나시스템!S16</f>
        <v>145070.79</v>
      </c>
      <c r="T16" s="130">
        <f t="shared" si="1"/>
        <v>143.43607007310015</v>
      </c>
      <c r="U16" s="85">
        <f>Q14+Q15+Q16</f>
        <v>49079041</v>
      </c>
    </row>
    <row r="17" spans="1:21" ht="15" hidden="1" customHeight="1">
      <c r="A17" s="129" t="s">
        <v>100</v>
      </c>
      <c r="C17" s="79"/>
      <c r="F17" s="78">
        <f>Q17/20</f>
        <v>643676.69999999995</v>
      </c>
      <c r="G17" s="90">
        <f t="shared" ref="G17:G22" si="3">F17/F16-1</f>
        <v>-0.31946241476512549</v>
      </c>
      <c r="H17" s="90">
        <f t="shared" ref="H17:H22" si="4">F17/F5-1</f>
        <v>-0.28459941980101999</v>
      </c>
      <c r="I17" s="130">
        <f t="shared" si="0"/>
        <v>166.46781788014945</v>
      </c>
      <c r="J17" s="130">
        <f t="shared" ref="J17:J49" si="5">I17/I5-1</f>
        <v>-0.32978317718128825</v>
      </c>
      <c r="O17" s="89"/>
      <c r="P17" s="129" t="s">
        <v>100</v>
      </c>
      <c r="Q17" s="116">
        <f>안테나!Q17+안테나시스템!Q17</f>
        <v>12873534</v>
      </c>
      <c r="R17" s="116">
        <f>안테나!R17+안테나시스템!R17</f>
        <v>16215544172</v>
      </c>
      <c r="S17" s="116">
        <f>안테나!S17+안테나시스템!S17</f>
        <v>77333.469999999987</v>
      </c>
      <c r="T17" s="130">
        <f t="shared" si="1"/>
        <v>166.46781788014945</v>
      </c>
      <c r="U17" s="78"/>
    </row>
    <row r="18" spans="1:21" hidden="1">
      <c r="A18" s="129" t="s">
        <v>106</v>
      </c>
      <c r="C18" s="79"/>
      <c r="F18" s="78">
        <f>Q18/20</f>
        <v>919143.2</v>
      </c>
      <c r="G18" s="90">
        <f t="shared" si="3"/>
        <v>0.42795785524006069</v>
      </c>
      <c r="H18" s="90">
        <f t="shared" si="4"/>
        <v>0.23420244689399738</v>
      </c>
      <c r="I18" s="130">
        <f t="shared" si="0"/>
        <v>130.50997667160394</v>
      </c>
      <c r="J18" s="130">
        <f t="shared" si="5"/>
        <v>-0.19035652320146068</v>
      </c>
      <c r="O18" s="89"/>
      <c r="P18" s="129" t="s">
        <v>106</v>
      </c>
      <c r="Q18" s="116">
        <f>안테나!Q18+안테나시스템!Q18</f>
        <v>18382864</v>
      </c>
      <c r="R18" s="116">
        <f>안테나!R18+안테나시스템!R18</f>
        <v>22990524045</v>
      </c>
      <c r="S18" s="116">
        <f>안테나!S18+안테나시스템!S18</f>
        <v>140854.09</v>
      </c>
      <c r="T18" s="130">
        <f t="shared" si="1"/>
        <v>130.50997667160394</v>
      </c>
      <c r="U18" s="78"/>
    </row>
    <row r="19" spans="1:21" hidden="1">
      <c r="A19" s="129" t="s">
        <v>114</v>
      </c>
      <c r="B19" s="131">
        <f>SUM(F17:F19)</f>
        <v>2375695.3090909091</v>
      </c>
      <c r="C19" s="131">
        <f>AVERAGE(F17:F19)</f>
        <v>791898.4363636364</v>
      </c>
      <c r="D19" s="90">
        <f>C19/C16-1</f>
        <v>3.493492555644373E-2</v>
      </c>
      <c r="E19" s="286">
        <f>C19/C7-1</f>
        <v>3.0245622563532359E-2</v>
      </c>
      <c r="F19" s="78">
        <f>Q19/22</f>
        <v>812875.40909090906</v>
      </c>
      <c r="G19" s="90">
        <f t="shared" si="3"/>
        <v>-0.11561614219535199</v>
      </c>
      <c r="H19" s="90">
        <f t="shared" si="4"/>
        <v>0.22887206254835912</v>
      </c>
      <c r="I19" s="130">
        <f t="shared" si="0"/>
        <v>157.70961127520525</v>
      </c>
      <c r="J19" s="130">
        <f t="shared" si="5"/>
        <v>0.20414432846745489</v>
      </c>
      <c r="K19" s="78">
        <f>R17+R18+R19</f>
        <v>62572807647</v>
      </c>
      <c r="L19" s="87">
        <f>U19/U16-1</f>
        <v>1.2350689574394114E-3</v>
      </c>
      <c r="M19" s="87">
        <f>U19/U7-1</f>
        <v>6.9357245436631798E-2</v>
      </c>
      <c r="N19" s="88">
        <f>AVERAGE(T17:T19)</f>
        <v>151.56246860898622</v>
      </c>
      <c r="O19" s="89">
        <f>N19/N16-1</f>
        <v>-9.5381082463242617E-2</v>
      </c>
      <c r="P19" s="129" t="s">
        <v>114</v>
      </c>
      <c r="Q19" s="116">
        <f>안테나!Q19+안테나시스템!Q19</f>
        <v>17883259</v>
      </c>
      <c r="R19" s="116">
        <f>안테나!R19+안테나시스템!R19</f>
        <v>23366739430</v>
      </c>
      <c r="S19" s="116">
        <f>안테나!S19+안테나시스템!S19</f>
        <v>113393.59</v>
      </c>
      <c r="T19" s="130">
        <f t="shared" si="1"/>
        <v>157.70961127520525</v>
      </c>
      <c r="U19" s="85">
        <f>Q17+Q18+Q19</f>
        <v>49139657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758959.3</v>
      </c>
      <c r="G20" s="90">
        <f t="shared" si="3"/>
        <v>-6.6327641958325301E-2</v>
      </c>
      <c r="H20" s="90">
        <f t="shared" si="4"/>
        <v>0.22203167776565147</v>
      </c>
      <c r="I20" s="130">
        <f t="shared" si="0"/>
        <v>159.6438803999178</v>
      </c>
      <c r="J20" s="130">
        <f t="shared" si="5"/>
        <v>-3.2403415091840637E-2</v>
      </c>
      <c r="O20" s="89"/>
      <c r="P20" s="129" t="s">
        <v>132</v>
      </c>
      <c r="Q20" s="116">
        <f>안테나!Q20+안테나시스템!Q20</f>
        <v>15179186</v>
      </c>
      <c r="R20" s="116">
        <f>안테나!R20+안테나시스템!R20</f>
        <v>19890377940</v>
      </c>
      <c r="S20" s="116">
        <f>안테나!S20+안테나시스템!S20</f>
        <v>95081.54</v>
      </c>
      <c r="T20" s="130">
        <f t="shared" ref="T20" si="6">Q20/S20</f>
        <v>159.6438803999178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660435.80952380947</v>
      </c>
      <c r="G21" s="90">
        <f t="shared" si="3"/>
        <v>-0.12981393136126085</v>
      </c>
      <c r="H21" s="90">
        <f t="shared" si="4"/>
        <v>9.8802137368172227E-2</v>
      </c>
      <c r="I21" s="130">
        <f t="shared" si="0"/>
        <v>220.20566911051156</v>
      </c>
      <c r="J21" s="130">
        <f t="shared" si="5"/>
        <v>0.4822980527420333</v>
      </c>
      <c r="O21" s="89"/>
      <c r="P21" s="129" t="s">
        <v>141</v>
      </c>
      <c r="Q21" s="116">
        <f>안테나!Q21+안테나시스템!Q21</f>
        <v>13869152</v>
      </c>
      <c r="R21" s="116">
        <f>안테나!R21+안테나시스템!R21</f>
        <v>18484704180</v>
      </c>
      <c r="S21" s="116">
        <f>안테나!S21+안테나시스템!S21</f>
        <v>62982.720000000001</v>
      </c>
      <c r="T21" s="130">
        <f t="shared" ref="T21" si="7">Q21/S21</f>
        <v>220.20566911051156</v>
      </c>
      <c r="U21" s="78"/>
    </row>
    <row r="22" spans="1:21" hidden="1">
      <c r="A22" s="129" t="s">
        <v>156</v>
      </c>
      <c r="B22" s="131">
        <f>SUM(F20:F22)</f>
        <v>2315488.9666666668</v>
      </c>
      <c r="C22" s="131">
        <f>AVERAGE(F20:F22)</f>
        <v>771829.6555555556</v>
      </c>
      <c r="D22" s="90">
        <f>C22/C19-1</f>
        <v>-2.5342619566513847E-2</v>
      </c>
      <c r="E22" s="286">
        <f>C22/C10-1</f>
        <v>0.34974863724716654</v>
      </c>
      <c r="F22" s="78">
        <f>Q22/21</f>
        <v>896093.85714285716</v>
      </c>
      <c r="G22" s="90">
        <f t="shared" si="3"/>
        <v>0.35682203208963337</v>
      </c>
      <c r="H22" s="90">
        <f t="shared" si="4"/>
        <v>0.81622659763618</v>
      </c>
      <c r="I22" s="130">
        <f t="shared" si="0"/>
        <v>201.12820291385174</v>
      </c>
      <c r="J22" s="130">
        <f t="shared" si="5"/>
        <v>0.28726288668472821</v>
      </c>
      <c r="K22" s="78">
        <f>R20+R21+R22</f>
        <v>62729387886</v>
      </c>
      <c r="L22" s="87">
        <f>U22/U19-1</f>
        <v>-2.5912838585747555E-2</v>
      </c>
      <c r="M22" s="87">
        <f>U22/U10-1</f>
        <v>0.32868131326694972</v>
      </c>
      <c r="N22" s="88">
        <f>AVERAGE(T20:T22)</f>
        <v>193.6592508080937</v>
      </c>
      <c r="O22" s="89">
        <f>N22/N19-1</f>
        <v>0.27775202255191789</v>
      </c>
      <c r="P22" s="129" t="s">
        <v>156</v>
      </c>
      <c r="Q22" s="116">
        <f>안테나!Q22+안테나시스템!Q22</f>
        <v>18817971</v>
      </c>
      <c r="R22" s="116">
        <f>안테나!R22+안테나시스템!R22</f>
        <v>24354305766</v>
      </c>
      <c r="S22" s="116">
        <f>안테나!S22+안테나시스템!S22</f>
        <v>93562.069999999992</v>
      </c>
      <c r="T22" s="130">
        <f t="shared" ref="T22:T23" si="8">Q22/S22</f>
        <v>201.12820291385174</v>
      </c>
      <c r="U22" s="85">
        <f>Q20+Q21+Q22</f>
        <v>47866309</v>
      </c>
    </row>
    <row r="23" spans="1:21" hidden="1">
      <c r="A23" s="129" t="s">
        <v>189</v>
      </c>
      <c r="B23" s="131"/>
      <c r="C23" s="131"/>
      <c r="F23" s="78">
        <f>Q23/21</f>
        <v>750987.19047619053</v>
      </c>
      <c r="G23" s="90">
        <f t="shared" ref="G23" si="9">F23/F22-1</f>
        <v>-0.16193244213204494</v>
      </c>
      <c r="H23" s="90">
        <f t="shared" ref="H23" si="10">F23/F11-1</f>
        <v>-5.1151398773857992E-2</v>
      </c>
      <c r="I23" s="130">
        <f t="shared" si="0"/>
        <v>134.21414410237452</v>
      </c>
      <c r="J23" s="130">
        <f t="shared" si="5"/>
        <v>8.3123194897219532E-2</v>
      </c>
      <c r="O23" s="89"/>
      <c r="P23" s="129" t="s">
        <v>189</v>
      </c>
      <c r="Q23" s="116">
        <f>안테나!Q23+안테나시스템!Q23</f>
        <v>15770731</v>
      </c>
      <c r="R23" s="116">
        <f>안테나!R23+안테나시스템!R23</f>
        <v>20326699746</v>
      </c>
      <c r="S23" s="116">
        <f>안테나!S23+안테나시스템!S23</f>
        <v>117504.24</v>
      </c>
      <c r="T23" s="130">
        <f t="shared" si="8"/>
        <v>134.21414410237452</v>
      </c>
      <c r="U23" s="78"/>
    </row>
    <row r="24" spans="1:21" hidden="1">
      <c r="A24" s="129" t="s">
        <v>204</v>
      </c>
      <c r="B24" s="131"/>
      <c r="C24" s="131"/>
      <c r="F24" s="78">
        <f>Q24/22</f>
        <v>529508.27272727271</v>
      </c>
      <c r="G24" s="90">
        <f t="shared" ref="G24" si="11">F24/F23-1</f>
        <v>-0.29491703794372459</v>
      </c>
      <c r="H24" s="90">
        <f t="shared" ref="H24" si="12">F24/F12-1</f>
        <v>1.6299770640721967E-3</v>
      </c>
      <c r="I24" s="130">
        <f t="shared" si="0"/>
        <v>141.45286052946429</v>
      </c>
      <c r="J24" s="130">
        <f t="shared" si="5"/>
        <v>5.7232038302603261E-2</v>
      </c>
      <c r="O24" s="89"/>
      <c r="P24" s="129" t="s">
        <v>204</v>
      </c>
      <c r="Q24" s="116">
        <f>안테나!Q24+안테나시스템!Q24</f>
        <v>11649182</v>
      </c>
      <c r="R24" s="116">
        <f>안테나!R24+안테나시스템!R24</f>
        <v>15293018568</v>
      </c>
      <c r="S24" s="116">
        <f>안테나!S24+안테나시스템!S24</f>
        <v>82353.81</v>
      </c>
      <c r="T24" s="130">
        <f t="shared" ref="T24" si="13">Q24/S24</f>
        <v>141.45286052946429</v>
      </c>
      <c r="U24" s="78"/>
    </row>
    <row r="25" spans="1:21" s="79" customFormat="1" ht="13.2" hidden="1">
      <c r="A25" s="129" t="s">
        <v>218</v>
      </c>
      <c r="B25" s="131">
        <f>SUM(F23:F25)</f>
        <v>2116084.3053087266</v>
      </c>
      <c r="C25" s="131">
        <f>AVERAGE(F23:F25)</f>
        <v>705361.43510290887</v>
      </c>
      <c r="D25" s="90">
        <f>C25/C22-1</f>
        <v>-8.6117733329128865E-2</v>
      </c>
      <c r="E25" s="286">
        <f>C25/C13-1</f>
        <v>7.6286836416681325E-2</v>
      </c>
      <c r="F25" s="78">
        <f>Q25/19</f>
        <v>835588.84210526315</v>
      </c>
      <c r="G25" s="90">
        <f t="shared" ref="G25" si="14">F25/F24-1</f>
        <v>0.57804681275610514</v>
      </c>
      <c r="H25" s="90">
        <f t="shared" ref="H25" si="15">F25/F13-1</f>
        <v>0.29352463094389258</v>
      </c>
      <c r="I25" s="130">
        <f t="shared" si="0"/>
        <v>172.19998824246807</v>
      </c>
      <c r="J25" s="130">
        <f t="shared" si="5"/>
        <v>0.24922492737181101</v>
      </c>
      <c r="K25" s="78">
        <f>R23+R24+R25</f>
        <v>56695723023</v>
      </c>
      <c r="L25" s="90">
        <f>U25/U22-1</f>
        <v>-9.5478596438258956E-2</v>
      </c>
      <c r="M25" s="90">
        <f>U25/U13-1</f>
        <v>5.1623988464613468E-2</v>
      </c>
      <c r="N25" s="88">
        <f>AVERAGE(T23:T25)</f>
        <v>149.28899762476897</v>
      </c>
      <c r="O25" s="91">
        <f>N25/N22-1</f>
        <v>-0.22911507195333192</v>
      </c>
      <c r="P25" s="129" t="s">
        <v>232</v>
      </c>
      <c r="Q25" s="116">
        <f>안테나!Q25+안테나시스템!Q25</f>
        <v>15876188</v>
      </c>
      <c r="R25" s="116">
        <f>안테나!R25+안테나시스템!R25</f>
        <v>21076004709</v>
      </c>
      <c r="S25" s="116">
        <f>안테나!S25+안테나시스템!S25</f>
        <v>92196.22</v>
      </c>
      <c r="T25" s="130">
        <f t="shared" ref="T25" si="16">Q25/S25</f>
        <v>172.19998824246807</v>
      </c>
      <c r="U25" s="85">
        <f>Q23+Q24+Q25</f>
        <v>43296101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650176.42105263157</v>
      </c>
      <c r="G26" s="90">
        <f t="shared" ref="G26" si="17">F26/F25-1</f>
        <v>-0.22189432375076434</v>
      </c>
      <c r="H26" s="90">
        <f t="shared" ref="H26" si="18">F26/F14-1</f>
        <v>-8.5550061441208802E-2</v>
      </c>
      <c r="I26" s="130">
        <f t="shared" si="0"/>
        <v>148.81069874227043</v>
      </c>
      <c r="J26" s="130">
        <f t="shared" si="5"/>
        <v>2.3836356166559103E-2</v>
      </c>
      <c r="L26" s="90"/>
      <c r="M26" s="90"/>
      <c r="P26" s="129" t="s">
        <v>312</v>
      </c>
      <c r="Q26" s="116">
        <f>안테나!Q26+안테나시스템!Q26</f>
        <v>12353352</v>
      </c>
      <c r="R26" s="116">
        <f>안테나!R26+안테나시스템!R26</f>
        <v>16650305909</v>
      </c>
      <c r="S26" s="116">
        <f>안테나!S26+안테나시스템!S26</f>
        <v>83013.87</v>
      </c>
      <c r="T26" s="130">
        <f t="shared" ref="T26" si="19">Q26/S26</f>
        <v>148.81069874227043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758471.90909090906</v>
      </c>
      <c r="G27" s="90">
        <f t="shared" ref="G27" si="20">F27/F26-1</f>
        <v>0.166563235041572</v>
      </c>
      <c r="H27" s="90">
        <f t="shared" ref="H27" si="21">F27/F15-1</f>
        <v>0.18759196225186647</v>
      </c>
      <c r="I27" s="130">
        <f t="shared" si="0"/>
        <v>179.76610041892752</v>
      </c>
      <c r="J27" s="130">
        <f t="shared" si="5"/>
        <v>-0.15936823047423265</v>
      </c>
      <c r="L27" s="90"/>
      <c r="M27" s="90"/>
      <c r="P27" s="129" t="s">
        <v>375</v>
      </c>
      <c r="Q27" s="116">
        <f>안테나!Q27+안테나시스템!Q27</f>
        <v>16686382</v>
      </c>
      <c r="R27" s="116">
        <f>안테나!R27+안테나시스템!R27</f>
        <v>22050327544</v>
      </c>
      <c r="S27" s="116">
        <f>안테나!S27+안테나시스템!S27</f>
        <v>92822.739999999991</v>
      </c>
      <c r="T27" s="130">
        <f t="shared" ref="T27" si="22">Q27/S27</f>
        <v>179.76610041892752</v>
      </c>
      <c r="U27" s="78"/>
    </row>
    <row r="28" spans="1:21" s="79" customFormat="1" ht="13.2" hidden="1">
      <c r="A28" s="123" t="s">
        <v>414</v>
      </c>
      <c r="B28" s="131">
        <f>SUM(F26:F28)</f>
        <v>2301839.4880382773</v>
      </c>
      <c r="C28" s="131">
        <f>AVERAGE(F26:F28)</f>
        <v>767279.82934609242</v>
      </c>
      <c r="D28" s="90">
        <f>C28/C25-1</f>
        <v>8.778250576479274E-2</v>
      </c>
      <c r="E28" s="286">
        <f>C28/C16-1</f>
        <v>2.7607791621129252E-3</v>
      </c>
      <c r="F28" s="78">
        <f>Q28/19</f>
        <v>893191.15789473685</v>
      </c>
      <c r="G28" s="90">
        <f t="shared" ref="G28" si="23">F28/F27-1</f>
        <v>0.17761929899987972</v>
      </c>
      <c r="H28" s="90">
        <f t="shared" ref="H28" si="24">F28/F16-1</f>
        <v>-5.5659224969886623E-2</v>
      </c>
      <c r="I28" s="130">
        <f t="shared" si="0"/>
        <v>131.36271315747899</v>
      </c>
      <c r="J28" s="130">
        <f t="shared" si="5"/>
        <v>-8.4172390595114277E-2</v>
      </c>
      <c r="K28" s="78">
        <f>R26+R27+R28</f>
        <v>60848751758</v>
      </c>
      <c r="L28" s="90">
        <f>U28/U25-1</f>
        <v>6.2690748989152612E-2</v>
      </c>
      <c r="M28" s="90">
        <f>U28/U16-1</f>
        <v>-6.2525162217411667E-2</v>
      </c>
      <c r="N28" s="88">
        <f>AVERAGE(T26:T28)</f>
        <v>153.31317077289233</v>
      </c>
      <c r="O28" s="91">
        <f>N28/N25-1</f>
        <v>2.6955590915265892E-2</v>
      </c>
      <c r="P28" s="129" t="s">
        <v>414</v>
      </c>
      <c r="Q28" s="116">
        <f>안테나!Q28+안테나시스템!Q28</f>
        <v>16970632</v>
      </c>
      <c r="R28" s="116">
        <f>안테나!R28+안테나시스템!R28</f>
        <v>22148118305</v>
      </c>
      <c r="S28" s="116">
        <f>안테나!S28+안테나시스템!S28</f>
        <v>129189.11</v>
      </c>
      <c r="T28" s="130">
        <f t="shared" ref="T28" si="25">Q28/S28</f>
        <v>131.36271315747899</v>
      </c>
      <c r="U28" s="85">
        <f>Q26+Q27+Q28</f>
        <v>46010366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565226.22727272729</v>
      </c>
      <c r="G29" s="190">
        <f t="shared" ref="G29" si="26">F29/F28-1</f>
        <v>-0.36718336016114084</v>
      </c>
      <c r="H29" s="190">
        <f t="shared" ref="H29" si="27">F29/F17-1</f>
        <v>-0.12187868960811021</v>
      </c>
      <c r="I29" s="130">
        <f t="shared" si="0"/>
        <v>186.81812759664155</v>
      </c>
      <c r="J29" s="130">
        <f t="shared" si="5"/>
        <v>0.12224771115305622</v>
      </c>
      <c r="K29" s="136"/>
      <c r="L29" s="190"/>
      <c r="M29" s="190"/>
      <c r="N29" s="191"/>
      <c r="O29" s="192"/>
      <c r="P29" s="129" t="s">
        <v>427</v>
      </c>
      <c r="Q29" s="116">
        <f>안테나!Q29+안테나시스템!Q29</f>
        <v>12434977</v>
      </c>
      <c r="R29" s="116">
        <f>안테나!R29+안테나시스템!R29</f>
        <v>16355659740</v>
      </c>
      <c r="S29" s="116">
        <f>안테나!S29+안테나시스템!S29</f>
        <v>66561.94</v>
      </c>
      <c r="T29" s="130">
        <f t="shared" ref="T29" si="28">Q29/S29</f>
        <v>186.81812759664155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605115</v>
      </c>
      <c r="G30" s="190">
        <f t="shared" ref="G30" si="29">F30/F29-1</f>
        <v>7.0571340823549544E-2</v>
      </c>
      <c r="H30" s="190">
        <f t="shared" ref="H30" si="30">F30/F18-1</f>
        <v>-0.34165318309486481</v>
      </c>
      <c r="I30" s="130">
        <f t="shared" si="0"/>
        <v>133.22787985789563</v>
      </c>
      <c r="J30" s="130">
        <f t="shared" si="5"/>
        <v>2.082525225738574E-2</v>
      </c>
      <c r="K30" s="136"/>
      <c r="L30" s="190"/>
      <c r="M30" s="190"/>
      <c r="N30" s="191"/>
      <c r="O30" s="192"/>
      <c r="P30" s="129" t="s">
        <v>466</v>
      </c>
      <c r="Q30" s="116">
        <f>안테나!Q30+안테나시스템!Q30</f>
        <v>11497185</v>
      </c>
      <c r="R30" s="116">
        <f>안테나!R30+안테나시스템!R30</f>
        <v>15323168775</v>
      </c>
      <c r="S30" s="116">
        <f>안테나!S30+안테나시스템!S30</f>
        <v>86297.14</v>
      </c>
      <c r="T30" s="130">
        <f t="shared" ref="T30" si="31">Q30/S30</f>
        <v>133.22787985789563</v>
      </c>
      <c r="U30" s="85"/>
    </row>
    <row r="31" spans="1:21" s="79" customFormat="1" ht="13.2" hidden="1">
      <c r="A31" s="129" t="s">
        <v>505</v>
      </c>
      <c r="B31" s="188">
        <f>SUM(F29:F31)</f>
        <v>1873562.5772727272</v>
      </c>
      <c r="C31" s="188">
        <f>AVERAGE(F29:F31)</f>
        <v>624520.85909090901</v>
      </c>
      <c r="D31" s="190">
        <f>C31/C28-1</f>
        <v>-0.18605854708424763</v>
      </c>
      <c r="E31" s="287">
        <f>C31/C19-1</f>
        <v>-0.21136242930509885</v>
      </c>
      <c r="F31" s="136">
        <f>Q31/20</f>
        <v>703221.35</v>
      </c>
      <c r="G31" s="190">
        <f t="shared" ref="G31" si="32">F31/F30-1</f>
        <v>0.16212843839600732</v>
      </c>
      <c r="H31" s="190">
        <f t="shared" ref="H31" si="33">F31/F19-1</f>
        <v>-0.13489651410853021</v>
      </c>
      <c r="I31" s="130">
        <f t="shared" si="0"/>
        <v>176.08520291938999</v>
      </c>
      <c r="J31" s="130">
        <f t="shared" si="5"/>
        <v>0.11651535689932757</v>
      </c>
      <c r="K31" s="136">
        <f>R29+R30+R31</f>
        <v>50365353592</v>
      </c>
      <c r="L31" s="190">
        <f>U31/U28-1</f>
        <v>-0.17417329390511693</v>
      </c>
      <c r="M31" s="190">
        <f>U31/U19-1</f>
        <v>-0.22676324338202036</v>
      </c>
      <c r="N31" s="191">
        <f>AVERAGE(T29:T31)</f>
        <v>165.37707012464239</v>
      </c>
      <c r="O31" s="192">
        <f>N31/N28-1</f>
        <v>7.8687951536927647E-2</v>
      </c>
      <c r="P31" s="129" t="s">
        <v>506</v>
      </c>
      <c r="Q31" s="116">
        <f>안테나!Q31+안테나시스템!Q31</f>
        <v>14064427</v>
      </c>
      <c r="R31" s="116">
        <f>안테나!R31+안테나시스템!R31</f>
        <v>18686525077</v>
      </c>
      <c r="S31" s="116">
        <f>안테나!S31+안테나시스템!S31</f>
        <v>79872.850000000006</v>
      </c>
      <c r="T31" s="130">
        <f t="shared" ref="T31" si="34">Q31/S31</f>
        <v>176.08520291938999</v>
      </c>
      <c r="U31" s="85">
        <f>Q29+Q30+Q31</f>
        <v>37996589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618692.04761904757</v>
      </c>
      <c r="G32" s="190">
        <f t="shared" ref="G32" si="35">F32/F31-1</f>
        <v>-0.12020298072712443</v>
      </c>
      <c r="H32" s="190">
        <f t="shared" ref="H32" si="36">F32/F20-1</f>
        <v>-0.18481524948828276</v>
      </c>
      <c r="I32" s="130">
        <f t="shared" si="0"/>
        <v>162.46661268007892</v>
      </c>
      <c r="J32" s="130">
        <f t="shared" si="5"/>
        <v>1.7681431152199556E-2</v>
      </c>
      <c r="K32" s="136"/>
      <c r="L32" s="190"/>
      <c r="M32" s="190"/>
      <c r="N32" s="191"/>
      <c r="O32" s="192"/>
      <c r="P32" s="129" t="s">
        <v>566</v>
      </c>
      <c r="Q32" s="116">
        <f>안테나!Q32+안테나시스템!Q32</f>
        <v>12992533</v>
      </c>
      <c r="R32" s="116">
        <f>안테나!R32+안테나시스템!R32</f>
        <v>17660962237</v>
      </c>
      <c r="S32" s="116">
        <f>안테나!S32+안테나시스템!S32</f>
        <v>79970.48000000001</v>
      </c>
      <c r="T32" s="130">
        <f t="shared" ref="T32" si="37">Q32/S32</f>
        <v>162.46661268007892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746484.90476190473</v>
      </c>
      <c r="G33" s="190">
        <f t="shared" ref="G33" si="38">F33/F32-1</f>
        <v>0.20655325639734756</v>
      </c>
      <c r="H33" s="190">
        <f t="shared" ref="H33" si="39">F33/F21-1</f>
        <v>0.1302913833520607</v>
      </c>
      <c r="I33" s="130">
        <f t="shared" si="0"/>
        <v>173.12213106923977</v>
      </c>
      <c r="J33" s="130">
        <f t="shared" si="5"/>
        <v>-0.21381619388573792</v>
      </c>
      <c r="K33" s="136"/>
      <c r="L33" s="190"/>
      <c r="M33" s="190"/>
      <c r="N33" s="191"/>
      <c r="O33" s="192"/>
      <c r="P33" s="129" t="s">
        <v>607</v>
      </c>
      <c r="Q33" s="116">
        <f>안테나!Q33+안테나시스템!Q33</f>
        <v>15676183</v>
      </c>
      <c r="R33" s="116">
        <f>안테나!R33+안테나시스템!R33</f>
        <v>21442410812</v>
      </c>
      <c r="S33" s="116">
        <f>안테나!S33+안테나시스템!S33</f>
        <v>90549.849999999991</v>
      </c>
      <c r="T33" s="130">
        <f t="shared" ref="T33" si="40">Q33/S33</f>
        <v>173.12213106923977</v>
      </c>
      <c r="U33" s="85"/>
    </row>
    <row r="34" spans="1:21" s="79" customFormat="1" ht="13.2" hidden="1">
      <c r="A34" s="129" t="s">
        <v>652</v>
      </c>
      <c r="B34" s="188">
        <f>SUM(F32:F34)</f>
        <v>2077830.0576441102</v>
      </c>
      <c r="C34" s="188">
        <f>AVERAGE(F32:F34)</f>
        <v>692610.01921470335</v>
      </c>
      <c r="D34" s="190">
        <f>C34/C31-1</f>
        <v>0.10902623848770898</v>
      </c>
      <c r="E34" s="287">
        <f>C34/C22-1</f>
        <v>-0.10263875684308954</v>
      </c>
      <c r="F34" s="136">
        <f>Q34/19</f>
        <v>712653.10526315786</v>
      </c>
      <c r="G34" s="190">
        <f t="shared" ref="G34" si="41">F34/F33-1</f>
        <v>-4.5321478415612071E-2</v>
      </c>
      <c r="H34" s="190">
        <f t="shared" ref="H34" si="42">F34/F22-1</f>
        <v>-0.20471153821385335</v>
      </c>
      <c r="I34" s="130">
        <f t="shared" si="0"/>
        <v>158.33663386250552</v>
      </c>
      <c r="J34" s="130">
        <f t="shared" si="5"/>
        <v>-0.21275767610609497</v>
      </c>
      <c r="K34" s="136">
        <f>R32+R33+R34</f>
        <v>57723790602</v>
      </c>
      <c r="L34" s="190">
        <f>U34/U31-1</f>
        <v>0.11086616222314061</v>
      </c>
      <c r="M34" s="190">
        <f>U34/U22-1</f>
        <v>-0.11818717837633985</v>
      </c>
      <c r="N34" s="191">
        <f>AVERAGE(T32:T34)</f>
        <v>164.64179253727477</v>
      </c>
      <c r="O34" s="192">
        <f>N34/N31-1</f>
        <v>-4.4460673224737679E-3</v>
      </c>
      <c r="P34" s="129" t="s">
        <v>652</v>
      </c>
      <c r="Q34" s="116">
        <f>안테나!Q34+안테나시스템!Q34</f>
        <v>13540409</v>
      </c>
      <c r="R34" s="116">
        <f>안테나!R34+안테나시스템!R34</f>
        <v>18620417553</v>
      </c>
      <c r="S34" s="116">
        <f>안테나!S34+안테나시스템!S34</f>
        <v>85516.59</v>
      </c>
      <c r="T34" s="130">
        <f t="shared" ref="T34" si="43">Q34/S34</f>
        <v>158.33663386250552</v>
      </c>
      <c r="U34" s="85">
        <f>Q32+Q33+Q34</f>
        <v>42209125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623875.04347826086</v>
      </c>
      <c r="G35" s="190">
        <f t="shared" ref="G35" si="44">F35/F34-1</f>
        <v>-0.12457401943420199</v>
      </c>
      <c r="H35" s="190">
        <f t="shared" ref="H35" si="45">F35/F23-1</f>
        <v>-0.16926007342059934</v>
      </c>
      <c r="I35" s="130">
        <f t="shared" si="0"/>
        <v>177.37977183739798</v>
      </c>
      <c r="J35" s="130">
        <f t="shared" si="5"/>
        <v>0.32161757632711208</v>
      </c>
      <c r="K35" s="136"/>
      <c r="L35" s="190"/>
      <c r="M35" s="190"/>
      <c r="N35" s="191"/>
      <c r="O35" s="192"/>
      <c r="P35" s="129" t="s">
        <v>660</v>
      </c>
      <c r="Q35" s="116">
        <f>안테나!Q35+안테나시스템!Q35</f>
        <v>14349126</v>
      </c>
      <c r="R35" s="116">
        <f>안테나!R35+안테나시스템!R35</f>
        <v>19862574799</v>
      </c>
      <c r="S35" s="116">
        <f>안테나!S35+안테나시스템!S35</f>
        <v>80894.94</v>
      </c>
      <c r="T35" s="130">
        <f t="shared" ref="T35" si="46">Q35/S35</f>
        <v>177.37977183739798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627354.66666666663</v>
      </c>
      <c r="G36" s="190">
        <f t="shared" ref="G36" si="47">F36/F35-1</f>
        <v>5.5774360984308657E-3</v>
      </c>
      <c r="H36" s="190">
        <f t="shared" ref="H36" si="48">F36/F24-1</f>
        <v>0.18478728091523222</v>
      </c>
      <c r="I36" s="130">
        <f t="shared" si="0"/>
        <v>143.75731569894572</v>
      </c>
      <c r="J36" s="130">
        <f t="shared" si="5"/>
        <v>1.6291329569835256E-2</v>
      </c>
      <c r="K36" s="136"/>
      <c r="L36" s="190"/>
      <c r="M36" s="190"/>
      <c r="N36" s="191"/>
      <c r="O36" s="192"/>
      <c r="P36" s="129" t="s">
        <v>666</v>
      </c>
      <c r="Q36" s="116">
        <f>안테나!Q36+안테나시스템!Q36</f>
        <v>13174448</v>
      </c>
      <c r="R36" s="116">
        <f>안테나!R36+안테나시스템!R36</f>
        <v>18033530977</v>
      </c>
      <c r="S36" s="116">
        <f>안테나!S36+안테나시스템!S36</f>
        <v>91643.67</v>
      </c>
      <c r="T36" s="130">
        <f t="shared" ref="T36" si="49">Q36/S36</f>
        <v>143.75731569894572</v>
      </c>
      <c r="U36" s="85"/>
    </row>
    <row r="37" spans="1:21" s="79" customFormat="1" ht="13.2" hidden="1">
      <c r="A37" s="129" t="s">
        <v>702</v>
      </c>
      <c r="B37" s="188">
        <f>SUM(F35:F37)</f>
        <v>2147488.0990338163</v>
      </c>
      <c r="C37" s="188">
        <f>AVERAGE(F35:F37)</f>
        <v>715829.36634460546</v>
      </c>
      <c r="D37" s="190">
        <f>C37/C34-1</f>
        <v>3.3524417039517695E-2</v>
      </c>
      <c r="E37" s="287">
        <f>C37/C25-1</f>
        <v>1.4840521072957857E-2</v>
      </c>
      <c r="F37" s="136">
        <f>Q37/18</f>
        <v>896258.38888888888</v>
      </c>
      <c r="G37" s="190">
        <f t="shared" ref="G37" si="50">F37/F36-1</f>
        <v>0.4286311021658491</v>
      </c>
      <c r="H37" s="190">
        <f t="shared" ref="H37" si="51">F37/F25-1</f>
        <v>7.2606937439194441E-2</v>
      </c>
      <c r="I37" s="130">
        <f t="shared" si="0"/>
        <v>159.78737409774092</v>
      </c>
      <c r="J37" s="130">
        <f t="shared" si="5"/>
        <v>-7.2082549316144107E-2</v>
      </c>
      <c r="K37" s="136">
        <f>R35+R36+R37</f>
        <v>59413923958</v>
      </c>
      <c r="L37" s="190">
        <f>U37/U34-1</f>
        <v>3.4284055876543373E-2</v>
      </c>
      <c r="M37" s="190">
        <f>U37/U25-1</f>
        <v>8.3177004783872022E-3</v>
      </c>
      <c r="N37" s="191">
        <f>AVERAGE(T35:T37)</f>
        <v>160.30815387802821</v>
      </c>
      <c r="O37" s="192">
        <f>N37/N34-1</f>
        <v>-2.6321619756814907E-2</v>
      </c>
      <c r="P37" s="129" t="s">
        <v>702</v>
      </c>
      <c r="Q37" s="116">
        <f>안테나!Q37+안테나시스템!Q37</f>
        <v>16132651</v>
      </c>
      <c r="R37" s="116">
        <f>안테나!R37+안테나시스템!R37</f>
        <v>21517818182</v>
      </c>
      <c r="S37" s="116">
        <f>안테나!S37+안테나시스템!S37</f>
        <v>100963.23999999999</v>
      </c>
      <c r="T37" s="130">
        <f t="shared" ref="T37" si="52">Q37/S37</f>
        <v>159.78737409774092</v>
      </c>
      <c r="U37" s="85">
        <f>Q35+Q36+Q37</f>
        <v>43656225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821698.85</v>
      </c>
      <c r="G38" s="190">
        <f t="shared" ref="G38" si="53">F38/F37-1</f>
        <v>-8.3189780774405864E-2</v>
      </c>
      <c r="H38" s="190">
        <f t="shared" ref="H38" si="54">F38/F26-1</f>
        <v>0.26380905765495877</v>
      </c>
      <c r="I38" s="130">
        <f t="shared" si="0"/>
        <v>154.40920450773282</v>
      </c>
      <c r="J38" s="130">
        <f t="shared" si="5"/>
        <v>3.7621661700269371E-2</v>
      </c>
      <c r="K38" s="136"/>
      <c r="L38" s="190"/>
      <c r="M38" s="190"/>
      <c r="N38" s="191"/>
      <c r="O38" s="192"/>
      <c r="P38" s="129" t="s">
        <v>727</v>
      </c>
      <c r="Q38" s="116">
        <f>안테나!Q38+안테나시스템!Q38</f>
        <v>16433977</v>
      </c>
      <c r="R38" s="116">
        <f>안테나!R38+안테나시스템!R38</f>
        <v>22154130587</v>
      </c>
      <c r="S38" s="116">
        <f>안테나!S38+안테나시스템!S38</f>
        <v>106431.33</v>
      </c>
      <c r="T38" s="130">
        <f t="shared" ref="T38" si="55">Q38/S38</f>
        <v>154.40920450773282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701052.95238095243</v>
      </c>
      <c r="G39" s="190">
        <f t="shared" ref="G39" si="56">F39/F38-1</f>
        <v>-0.14682495614913849</v>
      </c>
      <c r="H39" s="190">
        <f t="shared" ref="H39" si="57">F39/F27-1</f>
        <v>-7.5703471706391801E-2</v>
      </c>
      <c r="I39" s="130">
        <f t="shared" si="0"/>
        <v>259.95187695587049</v>
      </c>
      <c r="J39" s="130">
        <f t="shared" si="5"/>
        <v>0.44605616047785301</v>
      </c>
      <c r="K39" s="136"/>
      <c r="L39" s="190"/>
      <c r="M39" s="190"/>
      <c r="N39" s="191"/>
      <c r="O39" s="192"/>
      <c r="P39" s="129" t="s">
        <v>762</v>
      </c>
      <c r="Q39" s="116">
        <f>안테나!Q39+안테나시스템!Q39</f>
        <v>14722112</v>
      </c>
      <c r="R39" s="116">
        <f>안테나!R39+안테나시스템!R39</f>
        <v>20442878531</v>
      </c>
      <c r="S39" s="116">
        <f>안테나!S39+안테나시스템!S39</f>
        <v>56633.99</v>
      </c>
      <c r="T39" s="130">
        <f t="shared" ref="T39" si="58">Q39/S39</f>
        <v>259.95187695587049</v>
      </c>
      <c r="U39" s="85"/>
    </row>
    <row r="40" spans="1:21" s="79" customFormat="1" ht="13.2" hidden="1">
      <c r="A40" s="129" t="s">
        <v>778</v>
      </c>
      <c r="B40" s="188">
        <f>SUM(F38:F40)</f>
        <v>2238497.9452380952</v>
      </c>
      <c r="C40" s="188">
        <f>AVERAGE(F38:F40)</f>
        <v>746165.98174603179</v>
      </c>
      <c r="D40" s="190">
        <f>C40/C37-1</f>
        <v>4.2379674301909143E-2</v>
      </c>
      <c r="E40" s="287">
        <f>C40/C28-1</f>
        <v>-2.7517793108225885E-2</v>
      </c>
      <c r="F40" s="136">
        <f>Q40/21</f>
        <v>715746.14285714284</v>
      </c>
      <c r="G40" s="190">
        <f t="shared" ref="G40" si="59">F40/F39-1</f>
        <v>2.0958745593023576E-2</v>
      </c>
      <c r="H40" s="190">
        <f t="shared" ref="H40" si="60">F40/F28-1</f>
        <v>-0.19866409723069156</v>
      </c>
      <c r="I40" s="130">
        <f t="shared" si="0"/>
        <v>162.31820468289314</v>
      </c>
      <c r="J40" s="130">
        <f t="shared" si="5"/>
        <v>0.23564899644166437</v>
      </c>
      <c r="K40" s="136">
        <f>R38+R39+R40</f>
        <v>63932184639</v>
      </c>
      <c r="L40" s="190">
        <f>U40/U37-1</f>
        <v>5.7964998118825051E-2</v>
      </c>
      <c r="M40" s="190">
        <f>U40/U28-1</f>
        <v>3.8337447696026317E-3</v>
      </c>
      <c r="N40" s="191">
        <f>AVERAGE(T38:T40)</f>
        <v>192.22642871549883</v>
      </c>
      <c r="O40" s="192">
        <f>N40/N37-1</f>
        <v>0.19910574768240363</v>
      </c>
      <c r="P40" s="129" t="s">
        <v>778</v>
      </c>
      <c r="Q40" s="116">
        <f>안테나!Q40+안테나시스템!Q40</f>
        <v>15030669</v>
      </c>
      <c r="R40" s="116">
        <f>안테나!R40+안테나시스템!R40</f>
        <v>21335175521</v>
      </c>
      <c r="S40" s="116">
        <f>안테나!S40+안테나시스템!S40</f>
        <v>92600.02</v>
      </c>
      <c r="T40" s="130">
        <f t="shared" ref="T40" si="61">Q40/S40</f>
        <v>162.31820468289314</v>
      </c>
      <c r="U40" s="85">
        <f>Q38+Q39+Q40</f>
        <v>46186758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706599.11111111112</v>
      </c>
      <c r="G41" s="190">
        <f t="shared" ref="G41" si="62">F41/F40-1</f>
        <v>-1.277971503907549E-2</v>
      </c>
      <c r="H41" s="190">
        <f t="shared" ref="H41" si="63">F41/F29-1</f>
        <v>0.25011734597051882</v>
      </c>
      <c r="I41" s="130">
        <f t="shared" si="0"/>
        <v>211.44713324587582</v>
      </c>
      <c r="J41" s="130">
        <f t="shared" si="5"/>
        <v>0.13183413176268788</v>
      </c>
      <c r="K41" s="193"/>
      <c r="L41" s="190"/>
      <c r="M41" s="190"/>
      <c r="N41" s="193"/>
      <c r="O41" s="193"/>
      <c r="P41" s="129" t="s">
        <v>793</v>
      </c>
      <c r="Q41" s="116">
        <f>안테나!Q41+안테나시스템!Q41</f>
        <v>12718784</v>
      </c>
      <c r="R41" s="116">
        <f>안테나!R41+안테나시스템!R41</f>
        <v>18603859951</v>
      </c>
      <c r="S41" s="116">
        <f>안테나!S41+안테나시스템!S41</f>
        <v>60151.130000000005</v>
      </c>
      <c r="T41" s="130">
        <f t="shared" ref="T41" si="64">Q41/S41</f>
        <v>211.44713324587582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753338.4</v>
      </c>
      <c r="G42" s="190">
        <f t="shared" ref="G42" si="65">F42/F41-1</f>
        <v>6.6146826614871479E-2</v>
      </c>
      <c r="H42" s="190">
        <f t="shared" ref="H42" si="66">F42/F30-1</f>
        <v>0.24495079447708301</v>
      </c>
      <c r="I42" s="130">
        <f t="shared" si="0"/>
        <v>161.06428281728614</v>
      </c>
      <c r="J42" s="130">
        <f t="shared" si="5"/>
        <v>0.20893827169719703</v>
      </c>
      <c r="K42" s="193"/>
      <c r="L42" s="190"/>
      <c r="M42" s="190"/>
      <c r="N42" s="193"/>
      <c r="O42" s="193"/>
      <c r="P42" s="129" t="s">
        <v>826</v>
      </c>
      <c r="Q42" s="116">
        <f>안테나!Q42+안테나시스템!Q42</f>
        <v>15066768</v>
      </c>
      <c r="R42" s="116">
        <f>안테나!R42+안테나시스템!R42</f>
        <v>21776253097</v>
      </c>
      <c r="S42" s="116">
        <f>안테나!S42+안테나시스템!S42</f>
        <v>93545.06</v>
      </c>
      <c r="T42" s="130">
        <f t="shared" ref="T42" si="67">Q42/S42</f>
        <v>161.06428281728614</v>
      </c>
      <c r="U42" s="78"/>
    </row>
    <row r="43" spans="1:21" s="79" customFormat="1" ht="13.2">
      <c r="A43" s="129" t="s">
        <v>835</v>
      </c>
      <c r="B43" s="188">
        <f>SUM(F41:F43)</f>
        <v>2389895.2611111114</v>
      </c>
      <c r="C43" s="188">
        <f>AVERAGE(F41:F43)</f>
        <v>796631.75370370375</v>
      </c>
      <c r="D43" s="190">
        <f>C43/C40-1</f>
        <v>6.7633439733585599E-2</v>
      </c>
      <c r="E43" s="287">
        <f>C43/C31-1</f>
        <v>0.27558870469647712</v>
      </c>
      <c r="F43" s="136">
        <f>Q43/20</f>
        <v>929957.75</v>
      </c>
      <c r="G43" s="190">
        <f t="shared" ref="G43" si="68">F43/F42-1</f>
        <v>0.23444888777739181</v>
      </c>
      <c r="H43" s="190">
        <f t="shared" ref="H43" si="69">F43/F31-1</f>
        <v>0.32242536436073799</v>
      </c>
      <c r="I43" s="130">
        <f t="shared" si="0"/>
        <v>153.2763778586004</v>
      </c>
      <c r="J43" s="130">
        <f t="shared" si="5"/>
        <v>-0.12953288909364657</v>
      </c>
      <c r="K43" s="136">
        <f>R41+R42+R43</f>
        <v>67338395280</v>
      </c>
      <c r="L43" s="190">
        <f>U43/U40-1</f>
        <v>4.2858388112021473E-3</v>
      </c>
      <c r="M43" s="190">
        <f>K43/K31-1</f>
        <v>0.33699836251513959</v>
      </c>
      <c r="N43" s="191">
        <f>AVERAGE(T41:T43)</f>
        <v>175.2625979739208</v>
      </c>
      <c r="O43" s="192">
        <f>N43/N40-1</f>
        <v>-8.8249211385417858E-2</v>
      </c>
      <c r="P43" s="129" t="s">
        <v>835</v>
      </c>
      <c r="Q43" s="116">
        <f>안테나!Q43+안테나시스템!Q43</f>
        <v>18599155</v>
      </c>
      <c r="R43" s="116">
        <f>안테나!R43+안테나시스템!R43</f>
        <v>26958282232</v>
      </c>
      <c r="S43" s="116">
        <f>안테나!S43+안테나시스템!S43</f>
        <v>121343.91</v>
      </c>
      <c r="T43" s="130">
        <f t="shared" ref="T43" si="70">Q43/S43</f>
        <v>153.2763778586004</v>
      </c>
      <c r="U43" s="85">
        <f>Q41+Q42+Q43</f>
        <v>46384707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928564.72727272729</v>
      </c>
      <c r="G44" s="190">
        <f t="shared" ref="G44" si="71">F44/F43-1</f>
        <v>-1.4979419519571824E-3</v>
      </c>
      <c r="H44" s="190">
        <f t="shared" ref="H44" si="72">F44/F32-1</f>
        <v>0.50085124068780695</v>
      </c>
      <c r="I44" s="130">
        <f t="shared" si="0"/>
        <v>195.81455554047454</v>
      </c>
      <c r="J44" s="130">
        <f t="shared" si="5"/>
        <v>0.20526028277614627</v>
      </c>
      <c r="K44" s="136"/>
      <c r="L44" s="190"/>
      <c r="M44" s="190"/>
      <c r="N44" s="191"/>
      <c r="O44" s="192"/>
      <c r="P44" s="129" t="s">
        <v>843</v>
      </c>
      <c r="Q44" s="116">
        <f>안테나!Q44+안테나시스템!Q44</f>
        <v>20428424</v>
      </c>
      <c r="R44" s="116">
        <f>안테나!R44+안테나시스템!R44</f>
        <v>29527798280</v>
      </c>
      <c r="S44" s="116">
        <f>안테나!S44+안테나시스템!S44</f>
        <v>104325.36</v>
      </c>
      <c r="T44" s="130">
        <f t="shared" ref="T44" si="73">Q44/S44</f>
        <v>195.81455554047454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984948.75</v>
      </c>
      <c r="G45" s="190">
        <f t="shared" ref="G45" si="74">F45/F44-1</f>
        <v>6.0721693460053405E-2</v>
      </c>
      <c r="H45" s="190">
        <f t="shared" ref="H45" si="75">F45/F33-1</f>
        <v>0.31944898512603492</v>
      </c>
      <c r="I45" s="130">
        <f t="shared" si="0"/>
        <v>155.28174185045717</v>
      </c>
      <c r="J45" s="130">
        <f t="shared" si="5"/>
        <v>-0.1030508873047975</v>
      </c>
      <c r="K45" s="136"/>
      <c r="L45" s="190"/>
      <c r="M45" s="190"/>
      <c r="N45" s="191"/>
      <c r="O45" s="192"/>
      <c r="P45" s="129" t="s">
        <v>849</v>
      </c>
      <c r="Q45" s="116">
        <f>안테나!Q45+안테나시스템!Q45</f>
        <v>19698975</v>
      </c>
      <c r="R45" s="116">
        <f>안테나!R45+안테나시스템!R45</f>
        <v>27710329545</v>
      </c>
      <c r="S45" s="116">
        <f>안테나!S45+안테나시스템!S45</f>
        <v>126859.57</v>
      </c>
      <c r="T45" s="130">
        <f t="shared" ref="T45" si="76">Q45/S45</f>
        <v>155.28174185045717</v>
      </c>
      <c r="U45" s="85"/>
    </row>
    <row r="46" spans="1:21" s="79" customFormat="1" ht="13.2">
      <c r="A46" s="129" t="s">
        <v>893</v>
      </c>
      <c r="B46" s="188">
        <f>SUM(F44:F46)</f>
        <v>2785366.0035885167</v>
      </c>
      <c r="C46" s="188">
        <f>AVERAGE(F44:F46)</f>
        <v>928455.33452950558</v>
      </c>
      <c r="D46" s="190">
        <f>C46/C43-1</f>
        <v>0.16547618170243283</v>
      </c>
      <c r="E46" s="287">
        <f>C46/C34-1</f>
        <v>0.34051675368804069</v>
      </c>
      <c r="F46" s="136">
        <f>Q46/19</f>
        <v>871852.52631578944</v>
      </c>
      <c r="G46" s="190">
        <f t="shared" ref="G46" si="77">F46/F45-1</f>
        <v>-0.11482447557216613</v>
      </c>
      <c r="H46" s="190">
        <f t="shared" ref="H46" si="78">F46/F34-1</f>
        <v>0.22338978091429884</v>
      </c>
      <c r="I46" s="130">
        <f t="shared" si="0"/>
        <v>156.60981478475415</v>
      </c>
      <c r="J46" s="130">
        <f t="shared" si="5"/>
        <v>-1.0905998413802909E-2</v>
      </c>
      <c r="K46" s="136">
        <f>R44+R45+R46</f>
        <v>79922231480</v>
      </c>
      <c r="L46" s="190">
        <f>U46/U43-1</f>
        <v>0.22222604532135981</v>
      </c>
      <c r="M46" s="190">
        <f>K46/K34-1</f>
        <v>0.3845631176763169</v>
      </c>
      <c r="N46" s="191">
        <f>AVERAGE(T44:T46)</f>
        <v>169.23537072522859</v>
      </c>
      <c r="O46" s="192">
        <f>N46/N43-1</f>
        <v>-3.4389694768698242E-2</v>
      </c>
      <c r="P46" s="129" t="s">
        <v>960</v>
      </c>
      <c r="Q46" s="116">
        <f>안테나!Q46+안테나시스템!Q46</f>
        <v>16565198</v>
      </c>
      <c r="R46" s="116">
        <f>안테나!R46+안테나시스템!R46</f>
        <v>22684103655</v>
      </c>
      <c r="S46" s="116">
        <f>안테나!S46+안테나시스템!S46</f>
        <v>105773.68999999999</v>
      </c>
      <c r="T46" s="130">
        <f t="shared" ref="T46" si="79">Q46/S46</f>
        <v>156.60981478475415</v>
      </c>
      <c r="U46" s="85">
        <f t="shared" ref="U46:U51" si="80">Q44+Q45+Q46</f>
        <v>56692597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744311.60869565222</v>
      </c>
      <c r="G47" s="190">
        <f t="shared" ref="G47" si="81">F47/F46-1</f>
        <v>-0.14628726048324969</v>
      </c>
      <c r="H47" s="190">
        <f t="shared" ref="H47" si="82">F47/F35-1</f>
        <v>0.19304597367114917</v>
      </c>
      <c r="I47" s="130">
        <f t="shared" si="0"/>
        <v>167.69632518526595</v>
      </c>
      <c r="J47" s="130">
        <f t="shared" si="5"/>
        <v>-5.4591606200783405E-2</v>
      </c>
      <c r="K47" s="136"/>
      <c r="L47" s="190"/>
      <c r="M47" s="190"/>
      <c r="N47" s="191"/>
      <c r="O47" s="192"/>
      <c r="P47" s="129" t="s">
        <v>1029</v>
      </c>
      <c r="Q47" s="116">
        <f>안테나!Q47+안테나시스템!Q47</f>
        <v>17119167</v>
      </c>
      <c r="R47" s="116">
        <f>안테나!R47+안테나시스템!R47</f>
        <v>23465542143</v>
      </c>
      <c r="S47" s="116">
        <f>안테나!S47+안테나시스템!S47</f>
        <v>102084.33</v>
      </c>
      <c r="T47" s="130">
        <f t="shared" ref="T47" si="83">Q47/S47</f>
        <v>167.69632518526595</v>
      </c>
      <c r="U47" s="85">
        <f t="shared" si="80"/>
        <v>53383340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705157.45</v>
      </c>
      <c r="G48" s="190">
        <f t="shared" ref="G48" si="84">F48/F47-1</f>
        <v>-5.2604525091670795E-2</v>
      </c>
      <c r="H48" s="190">
        <f t="shared" ref="H48" si="85">F48/F36-1</f>
        <v>0.12401722258116621</v>
      </c>
      <c r="I48" s="130">
        <f t="shared" si="0"/>
        <v>178.68062294175158</v>
      </c>
      <c r="J48" s="130">
        <f t="shared" si="5"/>
        <v>0.24293238276611739</v>
      </c>
      <c r="K48" s="136"/>
      <c r="L48" s="190"/>
      <c r="M48" s="190"/>
      <c r="N48" s="191"/>
      <c r="O48" s="192"/>
      <c r="P48" s="129" t="s">
        <v>1120</v>
      </c>
      <c r="Q48" s="116">
        <f>안테나!Q48+안테나시스템!Q48</f>
        <v>14103149</v>
      </c>
      <c r="R48" s="116">
        <f>안테나!R48+안테나시스템!R48</f>
        <v>19571646236</v>
      </c>
      <c r="S48" s="116">
        <f>안테나!S48+안테나시스템!S48</f>
        <v>78929.37000000001</v>
      </c>
      <c r="T48" s="130">
        <f t="shared" ref="T48" si="86">Q48/S48</f>
        <v>178.68062294175158</v>
      </c>
      <c r="U48" s="85">
        <f t="shared" si="80"/>
        <v>47787514</v>
      </c>
    </row>
    <row r="49" spans="1:26" ht="13.2">
      <c r="A49" s="129" t="s">
        <v>1158</v>
      </c>
      <c r="B49" s="188">
        <f>SUM(F47:F49)</f>
        <v>2303479.3768774704</v>
      </c>
      <c r="C49" s="188">
        <f>AVERAGE(F47:F49)</f>
        <v>767826.45895915676</v>
      </c>
      <c r="D49" s="190">
        <f>C49/C46-1</f>
        <v>-0.17300657295673516</v>
      </c>
      <c r="E49" s="287">
        <f>C49/C37-1</f>
        <v>7.2638948692584915E-2</v>
      </c>
      <c r="F49" s="136">
        <f>Q49/22</f>
        <v>854010.31818181823</v>
      </c>
      <c r="G49" s="190">
        <f t="shared" ref="G49" si="87">F49/F48-1</f>
        <v>0.21109167630834547</v>
      </c>
      <c r="H49" s="190">
        <f t="shared" ref="H49" si="88">F49/F37-1</f>
        <v>-4.7138270872361332E-2</v>
      </c>
      <c r="I49" s="130">
        <f t="shared" si="0"/>
        <v>171.19325578886443</v>
      </c>
      <c r="J49" s="130">
        <f t="shared" si="5"/>
        <v>7.1381620453607297E-2</v>
      </c>
      <c r="K49" s="136">
        <f>R47+R48+R49</f>
        <v>69161036512</v>
      </c>
      <c r="L49" s="190">
        <f>U49/U46-1</f>
        <v>-0.11786466582224131</v>
      </c>
      <c r="M49" s="190">
        <f>K49/K37-1</f>
        <v>0.16405434794864382</v>
      </c>
      <c r="N49" s="191">
        <f>AVERAGE(T47:T49)</f>
        <v>172.52340130529399</v>
      </c>
      <c r="O49" s="192">
        <f>N49/N46-1</f>
        <v>1.9428743329335418E-2</v>
      </c>
      <c r="P49" s="129" t="s">
        <v>1158</v>
      </c>
      <c r="Q49" s="116">
        <f>안테나!Q49+안테나시스템!Q49</f>
        <v>18788227</v>
      </c>
      <c r="R49" s="116">
        <f>안테나!R49+안테나시스템!R49</f>
        <v>26123848133</v>
      </c>
      <c r="S49" s="116">
        <f>안테나!S49+안테나시스템!S49</f>
        <v>109748.64</v>
      </c>
      <c r="T49" s="130">
        <f t="shared" ref="T49" si="89">Q49/S49</f>
        <v>171.19325578886443</v>
      </c>
      <c r="U49" s="85">
        <f t="shared" si="80"/>
        <v>50010543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692949.5</v>
      </c>
      <c r="G50" s="190">
        <f t="shared" ref="G50" si="90">F50/F49-1</f>
        <v>-0.18859352721254652</v>
      </c>
      <c r="H50" s="190">
        <f t="shared" ref="H50" si="91">F50/F38-1</f>
        <v>-0.156686783728613</v>
      </c>
      <c r="I50" s="130">
        <f t="shared" ref="I50" si="92">T50</f>
        <v>182.28096667686231</v>
      </c>
      <c r="J50" s="130">
        <f t="shared" ref="J50" si="93">I50/I38-1</f>
        <v>0.1805058335608074</v>
      </c>
      <c r="K50" s="136"/>
      <c r="L50" s="190"/>
      <c r="M50" s="190"/>
      <c r="N50" s="191"/>
      <c r="O50" s="192"/>
      <c r="P50" s="129" t="s">
        <v>1291</v>
      </c>
      <c r="Q50" s="116">
        <f>안테나!Q50+안테나시스템!Q50</f>
        <v>12473091</v>
      </c>
      <c r="R50" s="116">
        <f>안테나!R50+안테나시스템!R50</f>
        <v>17600364247</v>
      </c>
      <c r="S50" s="116">
        <f>안테나!S50+안테나시스템!S50</f>
        <v>68427.83</v>
      </c>
      <c r="T50" s="130">
        <f t="shared" ref="T50" si="94">Q50/S50</f>
        <v>182.28096667686231</v>
      </c>
      <c r="U50" s="85">
        <f t="shared" si="80"/>
        <v>45364467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911149.6</v>
      </c>
      <c r="G51" s="190">
        <f t="shared" ref="G51:G52" si="95">F51/F50-1</f>
        <v>0.3148860054015481</v>
      </c>
      <c r="H51" s="190">
        <f t="shared" ref="H51:H52" si="96">F51/F39-1</f>
        <v>0.2996872731303768</v>
      </c>
      <c r="I51" s="130">
        <f t="shared" ref="I51:I52" si="97">T51</f>
        <v>160.00858390277642</v>
      </c>
      <c r="J51" s="130">
        <f t="shared" ref="J51:J52" si="98">I51/I39-1</f>
        <v>-0.38446844171108052</v>
      </c>
      <c r="K51" s="136"/>
      <c r="L51" s="190"/>
      <c r="M51" s="190"/>
      <c r="N51" s="191"/>
      <c r="O51" s="192"/>
      <c r="P51" s="129" t="s">
        <v>1402</v>
      </c>
      <c r="Q51" s="116">
        <f>안테나!Q51+안테나시스템!Q51</f>
        <v>18222992</v>
      </c>
      <c r="R51" s="116">
        <f>안테나!R51+안테나시스템!R51</f>
        <v>26354514324</v>
      </c>
      <c r="S51" s="116">
        <f>안테나!S51+안테나시스템!S51</f>
        <v>113887.59</v>
      </c>
      <c r="T51" s="130">
        <f t="shared" ref="T51:T52" si="99">Q51/S51</f>
        <v>160.00858390277642</v>
      </c>
      <c r="U51" s="85">
        <f t="shared" si="80"/>
        <v>49484310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2902436.872727273</v>
      </c>
      <c r="C52" s="188">
        <f>AVERAGE(F50:F52)</f>
        <v>967478.95757575764</v>
      </c>
      <c r="D52" s="190">
        <f>C52/C49-1</f>
        <v>0.26002294696544315</v>
      </c>
      <c r="E52" s="287">
        <f>C52/C40-1</f>
        <v>0.29660019518961778</v>
      </c>
      <c r="F52" s="136">
        <f>Q52/22</f>
        <v>1298337.7727272727</v>
      </c>
      <c r="G52" s="190">
        <f t="shared" si="95"/>
        <v>0.42494467728161522</v>
      </c>
      <c r="H52" s="190">
        <f t="shared" si="96"/>
        <v>0.8139640509196715</v>
      </c>
      <c r="I52" s="130">
        <f t="shared" si="97"/>
        <v>191.60206910744822</v>
      </c>
      <c r="J52" s="130">
        <f t="shared" si="98"/>
        <v>0.18041022867252865</v>
      </c>
      <c r="K52" s="136">
        <f>R50+R51+R52</f>
        <v>85992161093</v>
      </c>
      <c r="L52" s="190">
        <f>U52/U49-1</f>
        <v>0.18494042346230866</v>
      </c>
      <c r="M52" s="190">
        <f>K52/K40-1</f>
        <v>0.34505275517431544</v>
      </c>
      <c r="N52" s="191">
        <f>AVERAGE(T50:T52)</f>
        <v>177.96387322902899</v>
      </c>
      <c r="O52" s="192">
        <f>N52/N49-1</f>
        <v>3.1534689685996042E-2</v>
      </c>
      <c r="P52" s="129" t="s">
        <v>1403</v>
      </c>
      <c r="Q52" s="116">
        <f>안테나!Q52+안테나시스템!Q52</f>
        <v>28563431</v>
      </c>
      <c r="R52" s="116">
        <f>안테나!R52+안테나시스템!R52</f>
        <v>42037282522</v>
      </c>
      <c r="S52" s="116">
        <f>안테나!S52+안테나시스템!S52</f>
        <v>149076.84</v>
      </c>
      <c r="T52" s="130">
        <f t="shared" si="99"/>
        <v>191.60206910744822</v>
      </c>
      <c r="U52" s="85">
        <f t="shared" ref="U52" si="100">Q50+Q51+Q52</f>
        <v>59259514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728967.42857142852</v>
      </c>
      <c r="G53" s="190">
        <f t="shared" ref="G53" si="101">F53/F52-1</f>
        <v>-0.43853791834141254</v>
      </c>
      <c r="H53" s="190">
        <f t="shared" ref="H53" si="102">F53/F41-1</f>
        <v>3.1656305688162689E-2</v>
      </c>
      <c r="I53" s="130">
        <f t="shared" ref="I53" si="103">T53</f>
        <v>194.23999208235867</v>
      </c>
      <c r="J53" s="130">
        <f t="shared" ref="J53" si="104">I53/I41-1</f>
        <v>-8.1377982758027101E-2</v>
      </c>
      <c r="K53" s="136"/>
      <c r="L53" s="190"/>
      <c r="M53" s="190"/>
      <c r="N53" s="191"/>
      <c r="O53" s="192"/>
      <c r="P53" s="129" t="s">
        <v>1414</v>
      </c>
      <c r="Q53" s="116">
        <f>안테나!Q53+안테나시스템!Q53</f>
        <v>15308316</v>
      </c>
      <c r="R53" s="116">
        <f>안테나!R53+안테나시스템!R53</f>
        <v>22247034835</v>
      </c>
      <c r="S53" s="116">
        <f>안테나!S53+안테나시스템!S53</f>
        <v>78811.350000000006</v>
      </c>
      <c r="T53" s="130">
        <f t="shared" ref="T53" si="105">Q53/S53</f>
        <v>194.23999208235867</v>
      </c>
      <c r="U53" s="85">
        <f t="shared" ref="U53" si="106">Q51+Q52+Q53</f>
        <v>62094739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740125.9411764706</v>
      </c>
      <c r="G54" s="190">
        <f t="shared" ref="G54" si="107">F54/F53-1</f>
        <v>1.5307285576407148E-2</v>
      </c>
      <c r="H54" s="190">
        <f t="shared" ref="H54" si="108">F54/F42-1</f>
        <v>-1.753854419677725E-2</v>
      </c>
      <c r="I54" s="130">
        <f t="shared" ref="I54" si="109">T54</f>
        <v>204.60106572837211</v>
      </c>
      <c r="J54" s="130">
        <f t="shared" ref="J54" si="110">I54/I42-1</f>
        <v>0.27030687468105374</v>
      </c>
      <c r="K54" s="136"/>
      <c r="L54" s="190"/>
      <c r="M54" s="190"/>
      <c r="N54" s="191"/>
      <c r="O54" s="192"/>
      <c r="P54" s="129" t="s">
        <v>1417</v>
      </c>
      <c r="Q54" s="116">
        <f>안테나!Q54+안테나시스템!Q54</f>
        <v>12582141</v>
      </c>
      <c r="R54" s="116">
        <f>안테나!R54+안테나시스템!R54</f>
        <v>18242645940</v>
      </c>
      <c r="S54" s="116">
        <f>안테나!S54+안테나시스템!S54</f>
        <v>61495.97</v>
      </c>
      <c r="T54" s="130">
        <f t="shared" ref="T54" si="111">Q54/S54</f>
        <v>204.60106572837211</v>
      </c>
      <c r="U54" s="85">
        <f t="shared" ref="U54" si="112">Q52+Q53+Q54</f>
        <v>56453888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2149622.2268907563</v>
      </c>
      <c r="C55" s="188">
        <f>AVERAGE(F53:F55)</f>
        <v>716540.74229691876</v>
      </c>
      <c r="D55" s="190">
        <f>C55/C52-1</f>
        <v>-0.25937330555242533</v>
      </c>
      <c r="E55" s="287">
        <f>C55/C43-1</f>
        <v>-0.10053705621753783</v>
      </c>
      <c r="F55" s="136">
        <f>Q55/21</f>
        <v>680528.85714285716</v>
      </c>
      <c r="G55" s="190">
        <f t="shared" ref="G55" si="113">F55/F54-1</f>
        <v>-8.0522895791060423E-2</v>
      </c>
      <c r="H55" s="190">
        <f t="shared" ref="H55" si="114">F55/F43-1</f>
        <v>-0.26821529564879998</v>
      </c>
      <c r="I55" s="130">
        <f>T55</f>
        <v>182.21255993806525</v>
      </c>
      <c r="J55" s="130">
        <f t="shared" ref="J55" si="115">I55/I43-1</f>
        <v>0.18878435466526278</v>
      </c>
      <c r="K55" s="136">
        <f>R53+R54+R55</f>
        <v>61501715597</v>
      </c>
      <c r="L55" s="190">
        <f>U55/U52-1</f>
        <v>-0.28818918427174411</v>
      </c>
      <c r="M55" s="190">
        <f>K55/K43-1</f>
        <v>-8.6676845486597709E-2</v>
      </c>
      <c r="N55" s="191">
        <f>AVERAGE(T53:T55)</f>
        <v>193.68453924959866</v>
      </c>
      <c r="O55" s="192">
        <f>N55/N52-1</f>
        <v>8.8336277106860317E-2</v>
      </c>
      <c r="P55" s="129" t="s">
        <v>1418</v>
      </c>
      <c r="Q55" s="116">
        <f>안테나!Q55+안테나시스템!Q55</f>
        <v>14291106</v>
      </c>
      <c r="R55" s="116">
        <f>안테나!R55+안테나시스템!R55</f>
        <v>21012034822</v>
      </c>
      <c r="S55" s="116">
        <f>안테나!S55+안테나시스템!S55</f>
        <v>78430.960000000006</v>
      </c>
      <c r="T55" s="130">
        <f t="shared" ref="T55" si="116">Q55/S55</f>
        <v>182.21255993806525</v>
      </c>
      <c r="U55" s="85">
        <f t="shared" ref="U55" si="117">Q53+Q54+Q55</f>
        <v>42181563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629619.04545454541</v>
      </c>
      <c r="G56" s="190">
        <f t="shared" ref="G56" si="118">F56/F55-1</f>
        <v>-7.4809188697819939E-2</v>
      </c>
      <c r="H56" s="190">
        <f t="shared" ref="H56" si="119">F56/F44-1</f>
        <v>-0.3219438268953102</v>
      </c>
      <c r="I56" s="291">
        <f>T56</f>
        <v>183.2752500290097</v>
      </c>
      <c r="J56" s="130">
        <f t="shared" ref="J56" si="120">I56/I44-1</f>
        <v>-6.4036636484221865E-2</v>
      </c>
      <c r="K56" s="136"/>
      <c r="L56" s="190"/>
      <c r="M56" s="190"/>
      <c r="N56" s="191"/>
      <c r="O56" s="192"/>
      <c r="P56" s="129" t="s">
        <v>1420</v>
      </c>
      <c r="Q56" s="116">
        <f>안테나!Q56+안테나시스템!Q56</f>
        <v>13851619</v>
      </c>
      <c r="R56" s="116">
        <f>안테나!R56+안테나시스템!R56</f>
        <v>20683221085</v>
      </c>
      <c r="S56" s="116">
        <f>안테나!S56+안테나시스템!S56</f>
        <v>75578.23</v>
      </c>
      <c r="T56" s="130">
        <f t="shared" ref="T56" si="121">Q56/S56</f>
        <v>183.2752500290097</v>
      </c>
      <c r="U56" s="85">
        <f t="shared" ref="U56" si="122">Q54+Q55+Q56</f>
        <v>40724866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768402.25</v>
      </c>
      <c r="G57" s="254">
        <f t="shared" ref="G57" si="123">F57/F56-1</f>
        <v>0.22042408905413891</v>
      </c>
      <c r="H57" s="254">
        <f t="shared" ref="H57" si="124">F57/F45-1</f>
        <v>-0.21985560162394235</v>
      </c>
      <c r="I57" s="282">
        <f>T57</f>
        <v>258.76369753068406</v>
      </c>
      <c r="J57" s="277">
        <f t="shared" ref="J57" si="125">I57/I45-1</f>
        <v>0.6664141865428348</v>
      </c>
      <c r="K57" s="204"/>
      <c r="L57" s="254"/>
      <c r="M57" s="254"/>
      <c r="N57" s="257"/>
      <c r="O57" s="258"/>
      <c r="P57" s="129" t="s">
        <v>1436</v>
      </c>
      <c r="Q57" s="116">
        <f>안테나!Q57+안테나시스템!Q57</f>
        <v>9220827</v>
      </c>
      <c r="R57" s="116">
        <f>안테나!R57+안테나시스템!R57</f>
        <v>13597727781</v>
      </c>
      <c r="S57" s="116">
        <f>안테나!S57+안테나시스템!S57</f>
        <v>35634.159999999996</v>
      </c>
      <c r="T57" s="130">
        <f t="shared" ref="T57" si="126">Q57/S57</f>
        <v>258.76369753068406</v>
      </c>
      <c r="U57" s="85">
        <f t="shared" ref="U57" si="127">Q55+Q56+Q57</f>
        <v>37363552</v>
      </c>
      <c r="V57" s="79"/>
      <c r="W57" s="79"/>
      <c r="X57" s="79"/>
      <c r="Y57" s="79"/>
      <c r="Z57" s="79"/>
    </row>
    <row r="58" spans="1:26">
      <c r="B58" s="196">
        <f>SUM(F56:F58)</f>
        <v>1398021.2954545454</v>
      </c>
      <c r="C58" s="196">
        <f>AVERAGE(F56:F58)</f>
        <v>699010.64772727271</v>
      </c>
      <c r="D58" s="197">
        <f>C58/C55-1</f>
        <v>-2.4464895762175587E-2</v>
      </c>
      <c r="E58" s="233">
        <f>C58/C46-1</f>
        <v>-0.24712517475975715</v>
      </c>
    </row>
  </sheetData>
  <phoneticPr fontId="1" type="noConversion"/>
  <conditionalFormatting sqref="C29:C30">
    <cfRule type="cellIs" dxfId="16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98"/>
  <dimension ref="A1:Z72"/>
  <sheetViews>
    <sheetView zoomScale="90" zoomScaleNormal="90" workbookViewId="0">
      <selection activeCell="I64" sqref="H64:I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485293</v>
      </c>
      <c r="G5" s="90"/>
      <c r="H5" s="90"/>
      <c r="I5" s="130">
        <f t="shared" ref="I5:I49" si="0">T5</f>
        <v>135.98915321642247</v>
      </c>
      <c r="J5" s="130"/>
      <c r="L5" s="80"/>
      <c r="M5" s="80"/>
      <c r="P5" s="129" t="s">
        <v>0</v>
      </c>
      <c r="Q5" s="116">
        <v>9705860</v>
      </c>
      <c r="R5" s="116"/>
      <c r="S5" s="116">
        <v>71372.31</v>
      </c>
      <c r="T5" s="130">
        <f t="shared" ref="T5:T19" si="1">Q5/S5</f>
        <v>135.98915321642247</v>
      </c>
      <c r="U5" s="85"/>
    </row>
    <row r="6" spans="1:21" ht="15" hidden="1" customHeight="1">
      <c r="A6" s="129" t="s">
        <v>1</v>
      </c>
      <c r="C6" s="79"/>
      <c r="F6" s="78">
        <f>Q6/18</f>
        <v>679528</v>
      </c>
      <c r="G6" s="90">
        <f t="shared" ref="G6:G16" si="2">F6/F5-1</f>
        <v>0.40024273995297688</v>
      </c>
      <c r="H6" s="90"/>
      <c r="I6" s="130">
        <f t="shared" si="0"/>
        <v>150.07744663642092</v>
      </c>
      <c r="J6" s="130"/>
      <c r="P6" s="129" t="s">
        <v>1</v>
      </c>
      <c r="Q6" s="116">
        <v>12231504</v>
      </c>
      <c r="R6" s="116"/>
      <c r="S6" s="116">
        <v>81501.279999999999</v>
      </c>
      <c r="T6" s="130">
        <f t="shared" si="1"/>
        <v>150.07744663642092</v>
      </c>
      <c r="U6" s="85"/>
    </row>
    <row r="7" spans="1:21" ht="15" hidden="1" customHeight="1">
      <c r="A7" s="129" t="s">
        <v>2</v>
      </c>
      <c r="B7" s="131">
        <f>F5+F6+F7</f>
        <v>1774798.8636363638</v>
      </c>
      <c r="C7" s="131">
        <f>AVERAGE(F5:F7)</f>
        <v>591599.62121212122</v>
      </c>
      <c r="F7" s="78">
        <f>Q7/22</f>
        <v>609977.86363636365</v>
      </c>
      <c r="G7" s="90">
        <f t="shared" si="2"/>
        <v>-0.10235065569577173</v>
      </c>
      <c r="H7" s="90"/>
      <c r="I7" s="130">
        <f t="shared" si="0"/>
        <v>124.26597996263365</v>
      </c>
      <c r="J7" s="130"/>
      <c r="K7" s="79">
        <f>R5+R6+R7</f>
        <v>0</v>
      </c>
      <c r="N7" s="88">
        <f>AVERAGE(T5:T7)</f>
        <v>136.77752660515901</v>
      </c>
      <c r="P7" s="129" t="s">
        <v>2</v>
      </c>
      <c r="Q7" s="116">
        <v>13419513</v>
      </c>
      <c r="R7" s="116"/>
      <c r="S7" s="116">
        <v>107990.24</v>
      </c>
      <c r="T7" s="130">
        <f t="shared" si="1"/>
        <v>124.26597996263365</v>
      </c>
      <c r="U7" s="85">
        <f>Q5+Q6+Q7</f>
        <v>35356877</v>
      </c>
    </row>
    <row r="8" spans="1:21" ht="15" hidden="1" customHeight="1">
      <c r="A8" s="129" t="s">
        <v>3</v>
      </c>
      <c r="C8" s="79"/>
      <c r="F8" s="78">
        <f>Q8/21</f>
        <v>573640.71428571432</v>
      </c>
      <c r="G8" s="90">
        <f t="shared" si="2"/>
        <v>-5.9571259084758577E-2</v>
      </c>
      <c r="H8" s="90"/>
      <c r="I8" s="130">
        <f t="shared" si="0"/>
        <v>155.07571209065986</v>
      </c>
      <c r="J8" s="130"/>
      <c r="K8" s="78"/>
      <c r="P8" s="129" t="s">
        <v>3</v>
      </c>
      <c r="Q8" s="116">
        <v>12046455</v>
      </c>
      <c r="R8" s="116"/>
      <c r="S8" s="116">
        <v>77681.119999999995</v>
      </c>
      <c r="T8" s="130">
        <f t="shared" si="1"/>
        <v>155.07571209065986</v>
      </c>
      <c r="U8" s="85"/>
    </row>
    <row r="9" spans="1:21" ht="15" hidden="1" customHeight="1">
      <c r="A9" s="129" t="s">
        <v>4</v>
      </c>
      <c r="C9" s="79"/>
      <c r="F9" s="78">
        <f>Q9/21</f>
        <v>532173.33333333337</v>
      </c>
      <c r="G9" s="90">
        <f t="shared" si="2"/>
        <v>-7.2288071469988502E-2</v>
      </c>
      <c r="H9" s="90"/>
      <c r="I9" s="130">
        <f t="shared" si="0"/>
        <v>134.66669221271033</v>
      </c>
      <c r="J9" s="130"/>
      <c r="K9" s="78"/>
      <c r="P9" s="129" t="s">
        <v>4</v>
      </c>
      <c r="Q9" s="116">
        <v>11175640</v>
      </c>
      <c r="R9" s="116"/>
      <c r="S9" s="116">
        <v>82987.41</v>
      </c>
      <c r="T9" s="130">
        <f t="shared" si="1"/>
        <v>134.66669221271033</v>
      </c>
      <c r="U9" s="85"/>
    </row>
    <row r="10" spans="1:21" ht="15" hidden="1" customHeight="1">
      <c r="A10" s="129" t="s">
        <v>5</v>
      </c>
      <c r="B10" s="131">
        <f>F8+F9+F10</f>
        <v>1551973.6666666665</v>
      </c>
      <c r="C10" s="131">
        <f>AVERAGE(F8:F10)</f>
        <v>517324.5555555555</v>
      </c>
      <c r="D10" s="90">
        <f>C10/C7-1</f>
        <v>-0.12554954904194227</v>
      </c>
      <c r="E10" s="286"/>
      <c r="F10" s="78">
        <f>Q10/21</f>
        <v>446159.61904761905</v>
      </c>
      <c r="G10" s="90">
        <f t="shared" si="2"/>
        <v>-0.16162725356221219</v>
      </c>
      <c r="H10" s="90"/>
      <c r="I10" s="130">
        <f t="shared" si="0"/>
        <v>143.56737660051536</v>
      </c>
      <c r="J10" s="130"/>
      <c r="K10" s="79">
        <f>R8+R9+R10</f>
        <v>0</v>
      </c>
      <c r="L10" s="87">
        <f>U10/U7-1</f>
        <v>-7.8214769930047834E-2</v>
      </c>
      <c r="N10" s="88">
        <f>AVERAGE(T8:T10)</f>
        <v>144.43659363462851</v>
      </c>
      <c r="O10" s="89">
        <f>N10/N7-1</f>
        <v>5.5996531152220808E-2</v>
      </c>
      <c r="P10" s="129" t="s">
        <v>5</v>
      </c>
      <c r="Q10" s="116">
        <v>9369352</v>
      </c>
      <c r="R10" s="116"/>
      <c r="S10" s="116">
        <v>65261.01</v>
      </c>
      <c r="T10" s="130">
        <f t="shared" si="1"/>
        <v>143.56737660051536</v>
      </c>
      <c r="U10" s="85">
        <f>Q8+Q9+Q10</f>
        <v>32591447</v>
      </c>
    </row>
    <row r="11" spans="1:21" ht="15" hidden="1" customHeight="1">
      <c r="A11" s="129" t="s">
        <v>6</v>
      </c>
      <c r="C11" s="79"/>
      <c r="F11" s="78">
        <f>Q11/21</f>
        <v>739649.23809523811</v>
      </c>
      <c r="G11" s="90">
        <f t="shared" si="2"/>
        <v>0.65781304833034349</v>
      </c>
      <c r="H11" s="90"/>
      <c r="I11" s="130">
        <f t="shared" si="0"/>
        <v>117.58338904917285</v>
      </c>
      <c r="J11" s="130"/>
      <c r="K11" s="78"/>
      <c r="O11" s="89"/>
      <c r="P11" s="129" t="s">
        <v>6</v>
      </c>
      <c r="Q11" s="116">
        <v>15532634</v>
      </c>
      <c r="R11" s="116"/>
      <c r="S11" s="116">
        <v>132098.88</v>
      </c>
      <c r="T11" s="130">
        <f t="shared" si="1"/>
        <v>117.58338904917285</v>
      </c>
      <c r="U11" s="85"/>
    </row>
    <row r="12" spans="1:21" ht="15" hidden="1" customHeight="1">
      <c r="A12" s="129" t="s">
        <v>7</v>
      </c>
      <c r="C12" s="79"/>
      <c r="F12" s="78">
        <f>Q12/22</f>
        <v>489846.54545454547</v>
      </c>
      <c r="G12" s="90">
        <f t="shared" si="2"/>
        <v>-0.33773129177282779</v>
      </c>
      <c r="H12" s="90"/>
      <c r="I12" s="130">
        <f t="shared" si="0"/>
        <v>125.54862012860301</v>
      </c>
      <c r="J12" s="130"/>
      <c r="K12" s="78"/>
      <c r="O12" s="89"/>
      <c r="P12" s="129" t="s">
        <v>7</v>
      </c>
      <c r="Q12" s="116">
        <v>10776624</v>
      </c>
      <c r="R12" s="116"/>
      <c r="S12" s="116">
        <v>85836.26</v>
      </c>
      <c r="T12" s="130">
        <f t="shared" si="1"/>
        <v>125.54862012860301</v>
      </c>
      <c r="U12" s="85"/>
    </row>
    <row r="13" spans="1:21" ht="15" hidden="1" customHeight="1">
      <c r="A13" s="129" t="s">
        <v>96</v>
      </c>
      <c r="B13" s="131">
        <f>F11+F12+F13</f>
        <v>1814643.5835497836</v>
      </c>
      <c r="C13" s="131">
        <f>AVERAGE(F11:F13)</f>
        <v>604881.19451659452</v>
      </c>
      <c r="D13" s="90">
        <f>C13/C10-1</f>
        <v>0.16924895217280356</v>
      </c>
      <c r="E13" s="286"/>
      <c r="F13" s="78">
        <f>Q13/20</f>
        <v>585147.80000000005</v>
      </c>
      <c r="G13" s="90">
        <f t="shared" si="2"/>
        <v>0.19455328496196955</v>
      </c>
      <c r="H13" s="90"/>
      <c r="I13" s="130">
        <f t="shared" si="0"/>
        <v>129.13847441679189</v>
      </c>
      <c r="J13" s="130"/>
      <c r="K13" s="78">
        <f>R11+R12+R13</f>
        <v>0</v>
      </c>
      <c r="L13" s="87">
        <f>U13/U10-1</f>
        <v>0.1663248336288965</v>
      </c>
      <c r="N13" s="88">
        <f>AVERAGE(T11:T13)</f>
        <v>124.09016119818925</v>
      </c>
      <c r="O13" s="89">
        <f>N13/N10-1</f>
        <v>-0.14086757326822763</v>
      </c>
      <c r="P13" s="129" t="s">
        <v>96</v>
      </c>
      <c r="Q13" s="116">
        <v>11702956</v>
      </c>
      <c r="R13" s="116"/>
      <c r="S13" s="116">
        <v>90623.31</v>
      </c>
      <c r="T13" s="130">
        <f t="shared" si="1"/>
        <v>129.13847441679189</v>
      </c>
      <c r="U13" s="85">
        <f>Q11+Q12+Q13</f>
        <v>38012214</v>
      </c>
    </row>
    <row r="14" spans="1:21" ht="15" hidden="1" customHeight="1">
      <c r="A14" s="129" t="s">
        <v>97</v>
      </c>
      <c r="C14" s="79"/>
      <c r="F14" s="78">
        <f>Q14/20</f>
        <v>676196.95</v>
      </c>
      <c r="G14" s="90">
        <f t="shared" si="2"/>
        <v>0.15560026031030083</v>
      </c>
      <c r="H14" s="90"/>
      <c r="I14" s="130">
        <f t="shared" si="0"/>
        <v>139.25712516969591</v>
      </c>
      <c r="J14" s="130"/>
      <c r="O14" s="89"/>
      <c r="P14" s="129" t="s">
        <v>97</v>
      </c>
      <c r="Q14" s="116">
        <v>13523939</v>
      </c>
      <c r="R14" s="116"/>
      <c r="S14" s="116">
        <v>97114.880000000005</v>
      </c>
      <c r="T14" s="130">
        <f t="shared" si="1"/>
        <v>139.25712516969591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588062.54545454541</v>
      </c>
      <c r="G15" s="90">
        <f t="shared" si="2"/>
        <v>-0.1303383645037951</v>
      </c>
      <c r="H15" s="90"/>
      <c r="I15" s="130">
        <f t="shared" si="0"/>
        <v>200.78414818206156</v>
      </c>
      <c r="J15" s="130"/>
      <c r="O15" s="89"/>
      <c r="P15" s="129" t="s">
        <v>98</v>
      </c>
      <c r="Q15" s="116">
        <v>12937376</v>
      </c>
      <c r="R15" s="116"/>
      <c r="S15" s="116">
        <v>64434.25</v>
      </c>
      <c r="T15" s="130">
        <f t="shared" si="1"/>
        <v>200.78414818206156</v>
      </c>
      <c r="U15" s="85"/>
    </row>
    <row r="16" spans="1:21" ht="15" hidden="1" customHeight="1">
      <c r="A16" s="129" t="s">
        <v>99</v>
      </c>
      <c r="B16" s="131">
        <f>F14+F15+F16</f>
        <v>2167722.4954545451</v>
      </c>
      <c r="C16" s="131">
        <f>AVERAGE(F14:F16)</f>
        <v>722574.16515151504</v>
      </c>
      <c r="D16" s="90">
        <f>C16/C13-1</f>
        <v>0.19457204439787179</v>
      </c>
      <c r="E16" s="286"/>
      <c r="F16" s="78">
        <f>Q16/22</f>
        <v>903463</v>
      </c>
      <c r="G16" s="90">
        <f t="shared" si="2"/>
        <v>0.53633828065289291</v>
      </c>
      <c r="H16" s="90"/>
      <c r="I16" s="130">
        <f t="shared" si="0"/>
        <v>138.53103279368813</v>
      </c>
      <c r="J16" s="130"/>
      <c r="K16" s="78">
        <f>R14+R15+R16</f>
        <v>0</v>
      </c>
      <c r="L16" s="87">
        <f>U16/U13-1</f>
        <v>0.21901610361343327</v>
      </c>
      <c r="N16" s="88">
        <f>AVERAGE(T14:T16)</f>
        <v>159.52410204848186</v>
      </c>
      <c r="O16" s="89">
        <f>N16/N13-1</f>
        <v>0.28554996228669305</v>
      </c>
      <c r="P16" s="129" t="s">
        <v>99</v>
      </c>
      <c r="Q16" s="116">
        <v>19876186</v>
      </c>
      <c r="R16" s="116"/>
      <c r="S16" s="116">
        <v>143478.22</v>
      </c>
      <c r="T16" s="130">
        <f t="shared" si="1"/>
        <v>138.53103279368813</v>
      </c>
      <c r="U16" s="85">
        <f>Q14+Q15+Q16</f>
        <v>46337501</v>
      </c>
    </row>
    <row r="17" spans="1:21" ht="15" hidden="1" customHeight="1">
      <c r="A17" s="129" t="s">
        <v>100</v>
      </c>
      <c r="C17" s="79"/>
      <c r="F17" s="78">
        <f>Q17/20</f>
        <v>607495.05000000005</v>
      </c>
      <c r="G17" s="90">
        <f t="shared" ref="G17:G22" si="3">F17/F16-1</f>
        <v>-0.32759277358342287</v>
      </c>
      <c r="H17" s="90">
        <f t="shared" ref="H17:H22" si="4">F17/F5-1</f>
        <v>0.25181086477653714</v>
      </c>
      <c r="I17" s="130">
        <f t="shared" si="0"/>
        <v>157.9349300186573</v>
      </c>
      <c r="J17" s="130">
        <f t="shared" ref="J17:J49" si="5">I17/I5-1</f>
        <v>0.16137887679401031</v>
      </c>
      <c r="O17" s="89"/>
      <c r="P17" s="129" t="s">
        <v>100</v>
      </c>
      <c r="Q17" s="116">
        <v>12149901</v>
      </c>
      <c r="R17" s="116">
        <v>15302089696</v>
      </c>
      <c r="S17" s="116">
        <v>76929.789999999994</v>
      </c>
      <c r="T17" s="130">
        <f t="shared" si="1"/>
        <v>157.9349300186573</v>
      </c>
      <c r="U17" s="78"/>
    </row>
    <row r="18" spans="1:21" hidden="1">
      <c r="A18" s="129" t="s">
        <v>106</v>
      </c>
      <c r="C18" s="79"/>
      <c r="F18" s="78">
        <f>Q18/20</f>
        <v>882065.9</v>
      </c>
      <c r="G18" s="90">
        <f t="shared" si="3"/>
        <v>0.45197216010237451</v>
      </c>
      <c r="H18" s="90">
        <f t="shared" si="4"/>
        <v>0.29805673938380761</v>
      </c>
      <c r="I18" s="130">
        <f t="shared" si="0"/>
        <v>125.79240441775019</v>
      </c>
      <c r="J18" s="130">
        <f t="shared" si="5"/>
        <v>-0.16181673371285366</v>
      </c>
      <c r="O18" s="89"/>
      <c r="P18" s="129" t="s">
        <v>106</v>
      </c>
      <c r="Q18" s="116">
        <v>17641318</v>
      </c>
      <c r="R18" s="116">
        <v>22064904169</v>
      </c>
      <c r="S18" s="116">
        <v>140241.51999999999</v>
      </c>
      <c r="T18" s="130">
        <f t="shared" si="1"/>
        <v>125.79240441775019</v>
      </c>
      <c r="U18" s="78"/>
    </row>
    <row r="19" spans="1:21" hidden="1">
      <c r="A19" s="129" t="s">
        <v>114</v>
      </c>
      <c r="B19" s="131">
        <f>SUM(F17:F19)</f>
        <v>2272215.5863636364</v>
      </c>
      <c r="C19" s="131">
        <f>AVERAGE(F17:F19)</f>
        <v>757405.19545454544</v>
      </c>
      <c r="D19" s="90">
        <f>C19/C16-1</f>
        <v>4.8204090296705804E-2</v>
      </c>
      <c r="E19" s="286">
        <f>C19/C7-1</f>
        <v>0.2802665321230382</v>
      </c>
      <c r="F19" s="78">
        <f>Q19/22</f>
        <v>782654.63636363635</v>
      </c>
      <c r="G19" s="90">
        <f t="shared" si="3"/>
        <v>-0.11270276249922329</v>
      </c>
      <c r="H19" s="90">
        <f t="shared" si="4"/>
        <v>0.28308694957857261</v>
      </c>
      <c r="I19" s="130">
        <f t="shared" si="0"/>
        <v>152.39298665225084</v>
      </c>
      <c r="J19" s="130">
        <f t="shared" si="5"/>
        <v>0.22634518874815845</v>
      </c>
      <c r="K19" s="78">
        <f>R17+R18+R19</f>
        <v>59864772655</v>
      </c>
      <c r="L19" s="87">
        <f>U19/U16-1</f>
        <v>1.4504882341410674E-2</v>
      </c>
      <c r="M19" s="87">
        <f>U19/U7-1</f>
        <v>0.32957503571370284</v>
      </c>
      <c r="N19" s="88">
        <f>AVERAGE(T17:T19)</f>
        <v>145.3734403628861</v>
      </c>
      <c r="O19" s="89">
        <f>N19/N16-1</f>
        <v>-8.8705477754672857E-2</v>
      </c>
      <c r="P19" s="129" t="s">
        <v>114</v>
      </c>
      <c r="Q19" s="116">
        <v>17218402</v>
      </c>
      <c r="R19" s="116">
        <v>22497778790</v>
      </c>
      <c r="S19" s="116">
        <v>112986.84</v>
      </c>
      <c r="T19" s="130">
        <f t="shared" si="1"/>
        <v>152.39298665225084</v>
      </c>
      <c r="U19" s="85">
        <f>Q17+Q18+Q19</f>
        <v>47009621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697534.55</v>
      </c>
      <c r="G20" s="90">
        <f t="shared" si="3"/>
        <v>-0.10875817047365943</v>
      </c>
      <c r="H20" s="90">
        <f t="shared" si="4"/>
        <v>0.21597810725229949</v>
      </c>
      <c r="I20" s="130">
        <f t="shared" si="0"/>
        <v>154.00563158003388</v>
      </c>
      <c r="J20" s="130">
        <f t="shared" si="5"/>
        <v>-6.9003746376504749E-3</v>
      </c>
      <c r="O20" s="89"/>
      <c r="P20" s="129" t="s">
        <v>132</v>
      </c>
      <c r="Q20" s="116">
        <v>13950691</v>
      </c>
      <c r="R20" s="116">
        <v>18285990097</v>
      </c>
      <c r="S20" s="116">
        <v>90585.59</v>
      </c>
      <c r="T20" s="130">
        <f t="shared" ref="T20" si="6">Q20/S20</f>
        <v>154.00563158003388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603689.85714285716</v>
      </c>
      <c r="G21" s="90">
        <f t="shared" si="3"/>
        <v>-0.13453769832210161</v>
      </c>
      <c r="H21" s="90">
        <f t="shared" si="4"/>
        <v>0.13438577119520656</v>
      </c>
      <c r="I21" s="130">
        <f t="shared" si="0"/>
        <v>220.38704367970513</v>
      </c>
      <c r="J21" s="130">
        <f t="shared" si="5"/>
        <v>0.6365371426187314</v>
      </c>
      <c r="O21" s="89"/>
      <c r="P21" s="129" t="s">
        <v>141</v>
      </c>
      <c r="Q21" s="116">
        <v>12677487</v>
      </c>
      <c r="R21" s="116">
        <v>16892525611</v>
      </c>
      <c r="S21" s="116">
        <v>57523.74</v>
      </c>
      <c r="T21" s="130">
        <f t="shared" ref="T21" si="7">Q21/S21</f>
        <v>220.38704367970513</v>
      </c>
      <c r="U21" s="78"/>
    </row>
    <row r="22" spans="1:21" hidden="1">
      <c r="A22" s="129" t="s">
        <v>156</v>
      </c>
      <c r="B22" s="131">
        <f>SUM(F20:F22)</f>
        <v>2171452.4071428571</v>
      </c>
      <c r="C22" s="131">
        <f>AVERAGE(F20:F22)</f>
        <v>723817.46904761903</v>
      </c>
      <c r="D22" s="90">
        <f>C22/C19-1</f>
        <v>-4.434578295540903E-2</v>
      </c>
      <c r="E22" s="286">
        <f>C22/C10-1</f>
        <v>0.39915544559896343</v>
      </c>
      <c r="F22" s="78">
        <f>Q22/21</f>
        <v>870228</v>
      </c>
      <c r="G22" s="90">
        <f t="shared" si="3"/>
        <v>0.44151502580913715</v>
      </c>
      <c r="H22" s="90">
        <f t="shared" si="4"/>
        <v>0.95048579666982302</v>
      </c>
      <c r="I22" s="130">
        <f t="shared" si="0"/>
        <v>196.15008988662018</v>
      </c>
      <c r="J22" s="130">
        <f t="shared" si="5"/>
        <v>0.36625809101756657</v>
      </c>
      <c r="K22" s="78">
        <f>R20+R21+R22</f>
        <v>58825429565</v>
      </c>
      <c r="L22" s="87">
        <f>U22/U19-1</f>
        <v>-4.4813273436090872E-2</v>
      </c>
      <c r="M22" s="87">
        <f>U22/U10-1</f>
        <v>0.37775306509097306</v>
      </c>
      <c r="N22" s="88">
        <f>AVERAGE(T20:T22)</f>
        <v>190.18092171545308</v>
      </c>
      <c r="O22" s="89">
        <f>N22/N19-1</f>
        <v>0.30822329884136357</v>
      </c>
      <c r="P22" s="129" t="s">
        <v>156</v>
      </c>
      <c r="Q22" s="116">
        <v>18274788</v>
      </c>
      <c r="R22" s="116">
        <v>23646913857</v>
      </c>
      <c r="S22" s="116">
        <v>93167.37</v>
      </c>
      <c r="T22" s="130">
        <f t="shared" ref="T22:T23" si="8">Q22/S22</f>
        <v>196.15008988662018</v>
      </c>
      <c r="U22" s="85">
        <f>Q20+Q21+Q22</f>
        <v>44902966</v>
      </c>
    </row>
    <row r="23" spans="1:21" hidden="1">
      <c r="A23" s="129" t="s">
        <v>189</v>
      </c>
      <c r="B23" s="131"/>
      <c r="C23" s="131"/>
      <c r="F23" s="78">
        <f>Q23/21</f>
        <v>703500.19047619053</v>
      </c>
      <c r="G23" s="90">
        <f t="shared" ref="G23" si="9">F23/F22-1</f>
        <v>-0.19159095033003937</v>
      </c>
      <c r="H23" s="90">
        <f t="shared" ref="H23" si="10">F23/F11-1</f>
        <v>-4.887323038706759E-2</v>
      </c>
      <c r="I23" s="130">
        <f t="shared" si="0"/>
        <v>128.97079526163512</v>
      </c>
      <c r="J23" s="130">
        <f t="shared" si="5"/>
        <v>9.6845364847411464E-2</v>
      </c>
      <c r="O23" s="89"/>
      <c r="P23" s="129" t="s">
        <v>189</v>
      </c>
      <c r="Q23" s="116">
        <v>14773504</v>
      </c>
      <c r="R23" s="116">
        <v>19037895884</v>
      </c>
      <c r="S23" s="116">
        <v>114549.22</v>
      </c>
      <c r="T23" s="130">
        <f t="shared" si="8"/>
        <v>128.97079526163512</v>
      </c>
      <c r="U23" s="78"/>
    </row>
    <row r="24" spans="1:21" hidden="1">
      <c r="A24" s="129" t="s">
        <v>204</v>
      </c>
      <c r="B24" s="131"/>
      <c r="C24" s="131"/>
      <c r="F24" s="78">
        <f>Q24/22</f>
        <v>499491</v>
      </c>
      <c r="G24" s="90">
        <f t="shared" ref="G24" si="11">F24/F23-1</f>
        <v>-0.28999166345370742</v>
      </c>
      <c r="H24" s="90">
        <f t="shared" ref="H24" si="12">F24/F12-1</f>
        <v>1.9688726265294276E-2</v>
      </c>
      <c r="I24" s="130">
        <f t="shared" si="0"/>
        <v>134.96758950837454</v>
      </c>
      <c r="J24" s="130">
        <f t="shared" si="5"/>
        <v>7.5022484278388868E-2</v>
      </c>
      <c r="O24" s="89"/>
      <c r="P24" s="129" t="s">
        <v>204</v>
      </c>
      <c r="Q24" s="116">
        <v>10988802</v>
      </c>
      <c r="R24" s="116">
        <v>14425300672</v>
      </c>
      <c r="S24" s="116">
        <v>81418.080000000002</v>
      </c>
      <c r="T24" s="130">
        <f t="shared" ref="T24" si="13">Q24/S24</f>
        <v>134.96758950837454</v>
      </c>
      <c r="U24" s="78"/>
    </row>
    <row r="25" spans="1:21" s="79" customFormat="1" ht="13.2" hidden="1">
      <c r="A25" s="129" t="s">
        <v>219</v>
      </c>
      <c r="B25" s="131">
        <f>SUM(F23:F25)</f>
        <v>1999982.6641604011</v>
      </c>
      <c r="C25" s="131">
        <f>AVERAGE(F23:F25)</f>
        <v>666660.88805346703</v>
      </c>
      <c r="D25" s="90">
        <f>C25/C22-1</f>
        <v>-7.8965462203277825E-2</v>
      </c>
      <c r="E25" s="286">
        <f>C25/C13-1</f>
        <v>0.10213525250399824</v>
      </c>
      <c r="F25" s="78">
        <f>Q25/19</f>
        <v>796991.47368421056</v>
      </c>
      <c r="G25" s="90">
        <f t="shared" ref="G25" si="14">F25/F24-1</f>
        <v>0.59560727557495641</v>
      </c>
      <c r="H25" s="90">
        <f t="shared" ref="H25" si="15">F25/F13-1</f>
        <v>0.36203447006758038</v>
      </c>
      <c r="I25" s="130">
        <f t="shared" si="0"/>
        <v>166.33148110964706</v>
      </c>
      <c r="J25" s="130">
        <f t="shared" si="5"/>
        <v>0.28800871979341691</v>
      </c>
      <c r="K25" s="78">
        <f>R23+R24+R25</f>
        <v>53565448088</v>
      </c>
      <c r="L25" s="90">
        <f>U25/U22-1</f>
        <v>-8.9032470594481494E-2</v>
      </c>
      <c r="M25" s="90">
        <f>U25/U13-1</f>
        <v>7.6105275004502593E-2</v>
      </c>
      <c r="N25" s="88">
        <f>AVERAGE(T23:T25)</f>
        <v>143.42328862655222</v>
      </c>
      <c r="O25" s="91">
        <f>N25/N22-1</f>
        <v>-0.24585869427459817</v>
      </c>
      <c r="P25" s="129" t="s">
        <v>219</v>
      </c>
      <c r="Q25" s="116">
        <v>15142838</v>
      </c>
      <c r="R25" s="116">
        <v>20102251532</v>
      </c>
      <c r="S25" s="116">
        <v>91040.12</v>
      </c>
      <c r="T25" s="130">
        <f t="shared" ref="T25" si="16">Q25/S25</f>
        <v>166.33148110964706</v>
      </c>
      <c r="U25" s="85">
        <f>Q23+Q24+Q25</f>
        <v>40905144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611665.52631578944</v>
      </c>
      <c r="G26" s="90">
        <f t="shared" ref="G26" si="17">F26/F25-1</f>
        <v>-0.23253190716297711</v>
      </c>
      <c r="H26" s="90">
        <f t="shared" ref="H26" si="18">F26/F14-1</f>
        <v>-9.5432881920290424E-2</v>
      </c>
      <c r="I26" s="130">
        <f t="shared" si="0"/>
        <v>146.26347208021656</v>
      </c>
      <c r="J26" s="130">
        <f t="shared" si="5"/>
        <v>5.0312304680876219E-2</v>
      </c>
      <c r="L26" s="90"/>
      <c r="M26" s="90"/>
      <c r="P26" s="129" t="s">
        <v>312</v>
      </c>
      <c r="Q26" s="116">
        <v>11621645</v>
      </c>
      <c r="R26" s="116">
        <v>15663119907</v>
      </c>
      <c r="S26" s="116">
        <v>79456.92</v>
      </c>
      <c r="T26" s="130">
        <f t="shared" ref="T26" si="19">Q26/S26</f>
        <v>146.26347208021656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712846.90909090906</v>
      </c>
      <c r="G27" s="90">
        <f t="shared" ref="G27" si="20">F27/F26-1</f>
        <v>0.16541946279784603</v>
      </c>
      <c r="H27" s="90">
        <f t="shared" ref="H27" si="21">F27/F15-1</f>
        <v>0.21219573428182037</v>
      </c>
      <c r="I27" s="130">
        <f t="shared" si="0"/>
        <v>170.64462702724819</v>
      </c>
      <c r="J27" s="130">
        <f t="shared" si="5"/>
        <v>-0.15010906701401683</v>
      </c>
      <c r="L27" s="90"/>
      <c r="M27" s="90"/>
      <c r="P27" s="129" t="s">
        <v>375</v>
      </c>
      <c r="Q27" s="116">
        <v>15682632</v>
      </c>
      <c r="R27" s="116">
        <v>20726651212</v>
      </c>
      <c r="S27" s="116">
        <v>91902.29</v>
      </c>
      <c r="T27" s="130">
        <f t="shared" ref="T27" si="22">Q27/S27</f>
        <v>170.64462702724819</v>
      </c>
      <c r="U27" s="78"/>
    </row>
    <row r="28" spans="1:21" s="79" customFormat="1" ht="13.2" hidden="1">
      <c r="A28" s="123" t="s">
        <v>413</v>
      </c>
      <c r="B28" s="131">
        <f>SUM(F26:F28)</f>
        <v>2180100.1196172247</v>
      </c>
      <c r="C28" s="131">
        <f>AVERAGE(F26:F28)</f>
        <v>726700.03987240826</v>
      </c>
      <c r="D28" s="90">
        <f>C28/C25-1</f>
        <v>9.0059508357007489E-2</v>
      </c>
      <c r="E28" s="286">
        <f>C28/C16-1</f>
        <v>5.7099671146256803E-3</v>
      </c>
      <c r="F28" s="78">
        <f>Q28/19</f>
        <v>855587.68421052629</v>
      </c>
      <c r="G28" s="90">
        <f t="shared" ref="G28" si="23">F28/F27-1</f>
        <v>0.20024043493665977</v>
      </c>
      <c r="H28" s="90">
        <f t="shared" ref="H28" si="24">F28/F16-1</f>
        <v>-5.2990898121421326E-2</v>
      </c>
      <c r="I28" s="130">
        <f t="shared" si="0"/>
        <v>133.13850341598001</v>
      </c>
      <c r="J28" s="130">
        <f t="shared" si="5"/>
        <v>-3.8926508154596084E-2</v>
      </c>
      <c r="K28" s="78">
        <f>R26+R27+R28</f>
        <v>57604840371</v>
      </c>
      <c r="L28" s="90">
        <f>U28/U25-1</f>
        <v>6.4913571750291332E-2</v>
      </c>
      <c r="M28" s="90">
        <f>U28/U16-1</f>
        <v>-5.9931112815082566E-2</v>
      </c>
      <c r="N28" s="88">
        <f>AVERAGE(T26:T28)</f>
        <v>150.01553417448159</v>
      </c>
      <c r="O28" s="91">
        <f>N28/N25-1</f>
        <v>4.5963564293204584E-2</v>
      </c>
      <c r="P28" s="129" t="s">
        <v>413</v>
      </c>
      <c r="Q28" s="116">
        <v>16256166</v>
      </c>
      <c r="R28" s="116">
        <v>21215069252</v>
      </c>
      <c r="S28" s="116">
        <v>122099.66</v>
      </c>
      <c r="T28" s="130">
        <f t="shared" ref="T28" si="25">Q28/S28</f>
        <v>133.13850341598001</v>
      </c>
      <c r="U28" s="85">
        <f>Q26+Q27+Q28</f>
        <v>43560443</v>
      </c>
    </row>
    <row r="29" spans="1:21" s="79" customFormat="1" ht="13.2" hidden="1">
      <c r="A29" s="129" t="s">
        <v>456</v>
      </c>
      <c r="B29" s="188"/>
      <c r="C29" s="188"/>
      <c r="D29" s="189"/>
      <c r="E29" s="287"/>
      <c r="F29" s="136">
        <f>Q29/22</f>
        <v>526705.40909090906</v>
      </c>
      <c r="G29" s="190">
        <f t="shared" ref="G29" si="26">F29/F28-1</f>
        <v>-0.38439341892010259</v>
      </c>
      <c r="H29" s="190">
        <f t="shared" ref="H29" si="27">F29/F17-1</f>
        <v>-0.13298814683196347</v>
      </c>
      <c r="I29" s="130">
        <f t="shared" si="0"/>
        <v>237.73122208521997</v>
      </c>
      <c r="J29" s="130">
        <f t="shared" si="5"/>
        <v>0.50524790214005288</v>
      </c>
      <c r="K29" s="136"/>
      <c r="L29" s="190"/>
      <c r="M29" s="190"/>
      <c r="N29" s="191"/>
      <c r="O29" s="192"/>
      <c r="P29" s="129" t="s">
        <v>456</v>
      </c>
      <c r="Q29" s="116">
        <v>11587519</v>
      </c>
      <c r="R29" s="116">
        <v>15239192685</v>
      </c>
      <c r="S29" s="116">
        <v>48742.1</v>
      </c>
      <c r="T29" s="130">
        <f t="shared" ref="T29" si="28">Q29/S29</f>
        <v>237.73122208521997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578694.89473684214</v>
      </c>
      <c r="G30" s="190">
        <f t="shared" ref="G30" si="29">F30/F29-1</f>
        <v>9.870695221388881E-2</v>
      </c>
      <c r="H30" s="190">
        <f t="shared" ref="H30" si="30">F30/F18-1</f>
        <v>-0.34393235841353564</v>
      </c>
      <c r="I30" s="130">
        <f t="shared" si="0"/>
        <v>150.62992834696055</v>
      </c>
      <c r="J30" s="130">
        <f t="shared" si="5"/>
        <v>0.1974485188050481</v>
      </c>
      <c r="K30" s="136"/>
      <c r="L30" s="190"/>
      <c r="M30" s="190"/>
      <c r="N30" s="191"/>
      <c r="O30" s="192"/>
      <c r="P30" s="129" t="s">
        <v>466</v>
      </c>
      <c r="Q30" s="116">
        <v>10995203</v>
      </c>
      <c r="R30" s="116">
        <v>14654685729</v>
      </c>
      <c r="S30" s="116">
        <v>72994.81</v>
      </c>
      <c r="T30" s="130">
        <f t="shared" ref="T30" si="31">Q30/S30</f>
        <v>150.62992834696055</v>
      </c>
      <c r="U30" s="85"/>
    </row>
    <row r="31" spans="1:21" s="79" customFormat="1" ht="13.2" hidden="1">
      <c r="A31" s="129" t="s">
        <v>505</v>
      </c>
      <c r="B31" s="188">
        <f>SUM(F29:F31)</f>
        <v>1766142.6038277512</v>
      </c>
      <c r="C31" s="188">
        <f>AVERAGE(F29:F31)</f>
        <v>588714.20127591712</v>
      </c>
      <c r="D31" s="190">
        <f>C31/C28-1</f>
        <v>-0.18988004819804094</v>
      </c>
      <c r="E31" s="287">
        <f>C31/C19-1</f>
        <v>-0.22272225645005106</v>
      </c>
      <c r="F31" s="136">
        <f>Q31/20</f>
        <v>660742.30000000005</v>
      </c>
      <c r="G31" s="190">
        <f t="shared" ref="G31" si="32">F31/F30-1</f>
        <v>0.14178007445610596</v>
      </c>
      <c r="H31" s="190">
        <f t="shared" ref="H31" si="33">F31/F19-1</f>
        <v>-0.15576773036196967</v>
      </c>
      <c r="I31" s="130">
        <f t="shared" si="0"/>
        <v>181.69439595155694</v>
      </c>
      <c r="J31" s="130">
        <f t="shared" si="5"/>
        <v>0.19227531360199457</v>
      </c>
      <c r="K31" s="136">
        <f>R29+R30+R31</f>
        <v>47450328962</v>
      </c>
      <c r="L31" s="190">
        <f>U31/U28-1</f>
        <v>-0.17820927578720902</v>
      </c>
      <c r="M31" s="190">
        <f>U31/U19-1</f>
        <v>-0.23850549656633058</v>
      </c>
      <c r="N31" s="191">
        <f>AVERAGE(T29:T31)</f>
        <v>190.01851546124581</v>
      </c>
      <c r="O31" s="192">
        <f>N31/N28-1</f>
        <v>0.26665892640316269</v>
      </c>
      <c r="P31" s="129" t="s">
        <v>506</v>
      </c>
      <c r="Q31" s="116">
        <v>13214846</v>
      </c>
      <c r="R31" s="116">
        <v>17556450548</v>
      </c>
      <c r="S31" s="116">
        <v>72731.17</v>
      </c>
      <c r="T31" s="130">
        <f t="shared" ref="T31" si="34">Q31/S31</f>
        <v>181.69439595155694</v>
      </c>
      <c r="U31" s="85">
        <f>Q29+Q30+Q31</f>
        <v>35797568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597197.90476190473</v>
      </c>
      <c r="G32" s="190">
        <f t="shared" ref="G32" si="35">F32/F31-1</f>
        <v>-9.6171223241035553E-2</v>
      </c>
      <c r="H32" s="190">
        <f t="shared" ref="H32" si="36">F32/F20-1</f>
        <v>-0.1438446959195</v>
      </c>
      <c r="I32" s="130">
        <f t="shared" si="0"/>
        <v>182.08225991167936</v>
      </c>
      <c r="J32" s="130">
        <f t="shared" si="5"/>
        <v>0.18230910158018854</v>
      </c>
      <c r="K32" s="136"/>
      <c r="L32" s="190"/>
      <c r="M32" s="190"/>
      <c r="N32" s="191"/>
      <c r="O32" s="192"/>
      <c r="P32" s="129" t="s">
        <v>583</v>
      </c>
      <c r="Q32" s="116">
        <v>12541156</v>
      </c>
      <c r="R32" s="116">
        <v>17046033378</v>
      </c>
      <c r="S32" s="116">
        <v>68876.320000000007</v>
      </c>
      <c r="T32" s="130">
        <f t="shared" ref="T32" si="37">Q32/S32</f>
        <v>182.08225991167936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719833.23809523811</v>
      </c>
      <c r="G33" s="190">
        <f t="shared" ref="G33" si="38">F33/F32-1</f>
        <v>0.20535124513242642</v>
      </c>
      <c r="H33" s="190">
        <f t="shared" ref="H33" si="39">F33/F21-1</f>
        <v>0.19238915409654922</v>
      </c>
      <c r="I33" s="130">
        <f t="shared" si="0"/>
        <v>194.65361464206407</v>
      </c>
      <c r="J33" s="130">
        <f t="shared" si="5"/>
        <v>-0.11676470906810743</v>
      </c>
      <c r="K33" s="136"/>
      <c r="L33" s="190"/>
      <c r="M33" s="190"/>
      <c r="N33" s="191"/>
      <c r="O33" s="192"/>
      <c r="P33" s="129" t="s">
        <v>607</v>
      </c>
      <c r="Q33" s="116">
        <v>15116498</v>
      </c>
      <c r="R33" s="116">
        <v>20677658055</v>
      </c>
      <c r="S33" s="116">
        <v>77658.45</v>
      </c>
      <c r="T33" s="130">
        <f t="shared" ref="T33" si="40">Q33/S33</f>
        <v>194.65361464206407</v>
      </c>
      <c r="U33" s="85"/>
    </row>
    <row r="34" spans="1:21" s="79" customFormat="1" ht="13.2" hidden="1">
      <c r="A34" s="129" t="s">
        <v>652</v>
      </c>
      <c r="B34" s="188">
        <f>SUM(F32:F34)</f>
        <v>1995416.5112781953</v>
      </c>
      <c r="C34" s="188">
        <f>AVERAGE(F32:F34)</f>
        <v>665138.83709273173</v>
      </c>
      <c r="D34" s="190">
        <f>C34/C31-1</f>
        <v>0.12981619205240835</v>
      </c>
      <c r="E34" s="287">
        <f>C34/C22-1</f>
        <v>-8.1068272684956311E-2</v>
      </c>
      <c r="F34" s="136">
        <f>Q34/19</f>
        <v>678385.36842105258</v>
      </c>
      <c r="G34" s="190">
        <f t="shared" ref="G34" si="41">F34/F33-1</f>
        <v>-5.7579821937455145E-2</v>
      </c>
      <c r="H34" s="190">
        <f t="shared" ref="H34" si="42">F34/F22-1</f>
        <v>-0.22045099856468353</v>
      </c>
      <c r="I34" s="130">
        <f t="shared" si="0"/>
        <v>160.68468490930624</v>
      </c>
      <c r="J34" s="130">
        <f t="shared" si="5"/>
        <v>-0.18080748776517952</v>
      </c>
      <c r="K34" s="136">
        <f>R32+R33+R34</f>
        <v>55448445726</v>
      </c>
      <c r="L34" s="190">
        <f>U34/U31-1</f>
        <v>0.13267404087339107</v>
      </c>
      <c r="M34" s="190">
        <f>U34/U22-1</f>
        <v>-9.7008959274538786E-2</v>
      </c>
      <c r="N34" s="191">
        <f>AVERAGE(T32:T34)</f>
        <v>179.14018648768322</v>
      </c>
      <c r="O34" s="192">
        <f>N34/N31-1</f>
        <v>-5.7248784136413322E-2</v>
      </c>
      <c r="P34" s="129" t="s">
        <v>652</v>
      </c>
      <c r="Q34" s="116">
        <v>12889322</v>
      </c>
      <c r="R34" s="116">
        <v>17724754293</v>
      </c>
      <c r="S34" s="116">
        <v>80215</v>
      </c>
      <c r="T34" s="130">
        <f t="shared" ref="T34" si="43">Q34/S34</f>
        <v>160.68468490930624</v>
      </c>
      <c r="U34" s="85">
        <f>Q32+Q33+Q34</f>
        <v>40546976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587654.65217391308</v>
      </c>
      <c r="G35" s="190">
        <f t="shared" ref="G35" si="44">F35/F34-1</f>
        <v>-0.13374509603341822</v>
      </c>
      <c r="H35" s="190">
        <f t="shared" ref="H35" si="45">F35/F23-1</f>
        <v>-0.16467023018694993</v>
      </c>
      <c r="I35" s="130">
        <f t="shared" si="0"/>
        <v>169.03730185787668</v>
      </c>
      <c r="J35" s="130">
        <f t="shared" si="5"/>
        <v>0.31066340650967605</v>
      </c>
      <c r="K35" s="136"/>
      <c r="L35" s="190"/>
      <c r="M35" s="190"/>
      <c r="N35" s="191"/>
      <c r="O35" s="192"/>
      <c r="P35" s="129" t="s">
        <v>660</v>
      </c>
      <c r="Q35" s="116">
        <v>13516057</v>
      </c>
      <c r="R35" s="116">
        <v>18709589128</v>
      </c>
      <c r="S35" s="116">
        <v>79959.02</v>
      </c>
      <c r="T35" s="130">
        <f t="shared" ref="T35" si="46">Q35/S35</f>
        <v>169.03730185787668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587759.38095238095</v>
      </c>
      <c r="G36" s="190">
        <f t="shared" ref="G36" si="47">F36/F35-1</f>
        <v>1.7821483771207625E-4</v>
      </c>
      <c r="H36" s="190">
        <f t="shared" ref="H36" si="48">F36/F24-1</f>
        <v>0.17671665946409632</v>
      </c>
      <c r="I36" s="130">
        <f t="shared" si="0"/>
        <v>137.1424536549182</v>
      </c>
      <c r="J36" s="130">
        <f t="shared" si="5"/>
        <v>1.6113973395136538E-2</v>
      </c>
      <c r="K36" s="136"/>
      <c r="L36" s="190"/>
      <c r="M36" s="190"/>
      <c r="N36" s="191"/>
      <c r="O36" s="192"/>
      <c r="P36" s="129" t="s">
        <v>664</v>
      </c>
      <c r="Q36" s="116">
        <v>12342947</v>
      </c>
      <c r="R36" s="116">
        <v>16897279384</v>
      </c>
      <c r="S36" s="116">
        <v>90000.92</v>
      </c>
      <c r="T36" s="130">
        <f t="shared" ref="T36" si="49">Q36/S36</f>
        <v>137.1424536549182</v>
      </c>
      <c r="U36" s="85"/>
    </row>
    <row r="37" spans="1:21" s="79" customFormat="1" ht="13.2" hidden="1">
      <c r="A37" s="129" t="s">
        <v>702</v>
      </c>
      <c r="B37" s="188">
        <f>SUM(F35:F37)</f>
        <v>2035365.9220151831</v>
      </c>
      <c r="C37" s="188">
        <f>AVERAGE(F35:F37)</f>
        <v>678455.30733839434</v>
      </c>
      <c r="D37" s="190">
        <f>C37/C34-1</f>
        <v>2.0020587436854198E-2</v>
      </c>
      <c r="E37" s="287">
        <f>C37/C25-1</f>
        <v>1.7691782278340895E-2</v>
      </c>
      <c r="F37" s="136">
        <f>Q37/18</f>
        <v>859951.88888888888</v>
      </c>
      <c r="G37" s="190">
        <f t="shared" ref="G37" si="50">F37/F36-1</f>
        <v>0.46310193721699244</v>
      </c>
      <c r="H37" s="190">
        <f t="shared" ref="H37" si="51">F37/F25-1</f>
        <v>7.8997601961328989E-2</v>
      </c>
      <c r="I37" s="130">
        <f t="shared" si="0"/>
        <v>154.59383092161454</v>
      </c>
      <c r="J37" s="130">
        <f t="shared" si="5"/>
        <v>-7.0567821014561716E-2</v>
      </c>
      <c r="K37" s="136">
        <f>R35+R36+R37</f>
        <v>56252776732</v>
      </c>
      <c r="L37" s="190">
        <f>U37/U34-1</f>
        <v>1.9512231935619573E-2</v>
      </c>
      <c r="M37" s="190">
        <f>U37/U25-1</f>
        <v>1.0585319049359665E-2</v>
      </c>
      <c r="N37" s="191">
        <f>AVERAGE(T35:T37)</f>
        <v>153.59119547813648</v>
      </c>
      <c r="O37" s="192">
        <f>N37/N34-1</f>
        <v>-0.14262009831782418</v>
      </c>
      <c r="P37" s="129" t="s">
        <v>702</v>
      </c>
      <c r="Q37" s="116">
        <v>15479134</v>
      </c>
      <c r="R37" s="116">
        <v>20645908220</v>
      </c>
      <c r="S37" s="116">
        <v>100127.76</v>
      </c>
      <c r="T37" s="130">
        <f t="shared" ref="T37" si="52">Q37/S37</f>
        <v>154.59383092161454</v>
      </c>
      <c r="U37" s="85">
        <f>Q35+Q36+Q37</f>
        <v>41338138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796096.45</v>
      </c>
      <c r="G38" s="190">
        <f t="shared" ref="G38" si="53">F38/F37-1</f>
        <v>-7.4254664375926982E-2</v>
      </c>
      <c r="H38" s="190">
        <f t="shared" ref="H38" si="54">F38/F26-1</f>
        <v>0.30152250821634974</v>
      </c>
      <c r="I38" s="130">
        <f t="shared" si="0"/>
        <v>150.49297017377091</v>
      </c>
      <c r="J38" s="130">
        <f t="shared" si="5"/>
        <v>2.891698134469789E-2</v>
      </c>
      <c r="K38" s="136"/>
      <c r="L38" s="190"/>
      <c r="M38" s="190"/>
      <c r="N38" s="191"/>
      <c r="O38" s="192"/>
      <c r="P38" s="129" t="s">
        <v>727</v>
      </c>
      <c r="Q38" s="116">
        <v>15921929</v>
      </c>
      <c r="R38" s="116">
        <v>21467730706</v>
      </c>
      <c r="S38" s="116">
        <v>105798.49</v>
      </c>
      <c r="T38" s="130">
        <f t="shared" ref="T38" si="55">Q38/S38</f>
        <v>150.49297017377091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658335.52380952379</v>
      </c>
      <c r="G39" s="190">
        <f t="shared" ref="G39" si="56">F39/F38-1</f>
        <v>-0.17304552255003292</v>
      </c>
      <c r="H39" s="190">
        <f t="shared" ref="H39" si="57">F39/F27-1</f>
        <v>-7.6469974950025943E-2</v>
      </c>
      <c r="I39" s="130">
        <f t="shared" si="0"/>
        <v>248.2083902235843</v>
      </c>
      <c r="J39" s="130">
        <f t="shared" si="5"/>
        <v>0.45453387280661861</v>
      </c>
      <c r="K39" s="136"/>
      <c r="L39" s="190"/>
      <c r="M39" s="190"/>
      <c r="N39" s="191"/>
      <c r="O39" s="192"/>
      <c r="P39" s="129" t="s">
        <v>762</v>
      </c>
      <c r="Q39" s="116">
        <v>13825046</v>
      </c>
      <c r="R39" s="116">
        <v>19195877999</v>
      </c>
      <c r="S39" s="116">
        <v>55699.35</v>
      </c>
      <c r="T39" s="130">
        <f t="shared" ref="T39" si="58">Q39/S39</f>
        <v>248.2083902235843</v>
      </c>
      <c r="U39" s="85"/>
    </row>
    <row r="40" spans="1:21" s="79" customFormat="1" ht="13.2" hidden="1">
      <c r="A40" s="129" t="s">
        <v>778</v>
      </c>
      <c r="B40" s="188">
        <f>SUM(F38:F40)</f>
        <v>2148031.6404761905</v>
      </c>
      <c r="C40" s="188">
        <f>AVERAGE(F38:F40)</f>
        <v>716010.54682539683</v>
      </c>
      <c r="D40" s="190">
        <f>C40/C37-1</f>
        <v>5.5354035970818893E-2</v>
      </c>
      <c r="E40" s="287">
        <f>C40/C28-1</f>
        <v>-1.4709635971518975E-2</v>
      </c>
      <c r="F40" s="136">
        <f>Q40/21</f>
        <v>693599.66666666663</v>
      </c>
      <c r="G40" s="190">
        <f t="shared" ref="G40" si="59">F40/F39-1</f>
        <v>5.3565608389295694E-2</v>
      </c>
      <c r="H40" s="190">
        <f t="shared" ref="H40" si="60">F40/F28-1</f>
        <v>-0.18932953399549035</v>
      </c>
      <c r="I40" s="130">
        <f t="shared" si="0"/>
        <v>158.35753446759026</v>
      </c>
      <c r="J40" s="130">
        <f t="shared" si="5"/>
        <v>0.18941951730383733</v>
      </c>
      <c r="K40" s="136">
        <f>R38+R39+R40</f>
        <v>61341128492</v>
      </c>
      <c r="L40" s="190">
        <f>U40/U37-1</f>
        <v>7.1953652097247245E-2</v>
      </c>
      <c r="M40" s="190">
        <f>U40/U28-1</f>
        <v>1.7266238545829315E-2</v>
      </c>
      <c r="N40" s="191">
        <f>AVERAGE(T38:T40)</f>
        <v>185.68629828831513</v>
      </c>
      <c r="O40" s="192">
        <f>N40/N37-1</f>
        <v>0.20896447032829646</v>
      </c>
      <c r="P40" s="129" t="s">
        <v>778</v>
      </c>
      <c r="Q40" s="116">
        <v>14565593</v>
      </c>
      <c r="R40" s="116">
        <v>20677519787</v>
      </c>
      <c r="S40" s="116">
        <v>91979.16</v>
      </c>
      <c r="T40" s="130">
        <f t="shared" ref="T40" si="61">Q40/S40</f>
        <v>158.35753446759026</v>
      </c>
      <c r="U40" s="85">
        <f>Q38+Q39+Q40</f>
        <v>44312568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665505.77777777775</v>
      </c>
      <c r="G41" s="190">
        <f t="shared" ref="G41" si="62">F41/F40-1</f>
        <v>-4.0504472881170428E-2</v>
      </c>
      <c r="H41" s="190">
        <f t="shared" ref="H41" si="63">F41/F29-1</f>
        <v>0.26352561847890921</v>
      </c>
      <c r="I41" s="130">
        <f t="shared" si="0"/>
        <v>202.2609672309348</v>
      </c>
      <c r="J41" s="130">
        <f t="shared" si="5"/>
        <v>-0.1492031822457468</v>
      </c>
      <c r="K41" s="193"/>
      <c r="L41" s="190"/>
      <c r="M41" s="190"/>
      <c r="N41" s="193"/>
      <c r="O41" s="193"/>
      <c r="P41" s="129" t="s">
        <v>792</v>
      </c>
      <c r="Q41" s="116">
        <v>11979104</v>
      </c>
      <c r="R41" s="116">
        <v>17521212764</v>
      </c>
      <c r="S41" s="116">
        <v>59225.98</v>
      </c>
      <c r="T41" s="130">
        <f t="shared" ref="T41" si="64">Q41/S41</f>
        <v>202.2609672309348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729274.35</v>
      </c>
      <c r="G42" s="190">
        <f t="shared" ref="G42" si="65">F42/F41-1</f>
        <v>9.5819712392512857E-2</v>
      </c>
      <c r="H42" s="190">
        <f t="shared" ref="H42" si="66">F42/F30-1</f>
        <v>0.26020525951180695</v>
      </c>
      <c r="I42" s="130">
        <f t="shared" si="0"/>
        <v>159.82504973751654</v>
      </c>
      <c r="J42" s="130">
        <f t="shared" si="5"/>
        <v>6.1044451733230476E-2</v>
      </c>
      <c r="K42" s="193"/>
      <c r="L42" s="190"/>
      <c r="M42" s="190"/>
      <c r="N42" s="193"/>
      <c r="O42" s="193"/>
      <c r="P42" s="129" t="s">
        <v>826</v>
      </c>
      <c r="Q42" s="116">
        <v>14585487</v>
      </c>
      <c r="R42" s="116">
        <v>21080828000</v>
      </c>
      <c r="S42" s="116">
        <v>91259.08</v>
      </c>
      <c r="T42" s="130">
        <f t="shared" ref="T42" si="67">Q42/S42</f>
        <v>159.82504973751654</v>
      </c>
      <c r="U42" s="78"/>
    </row>
    <row r="43" spans="1:21" s="79" customFormat="1" ht="13.2">
      <c r="A43" s="129" t="s">
        <v>835</v>
      </c>
      <c r="B43" s="188">
        <f>SUM(F41:F43)</f>
        <v>2299074.7777777775</v>
      </c>
      <c r="C43" s="188">
        <f>AVERAGE(F41:F43)</f>
        <v>766358.25925925921</v>
      </c>
      <c r="D43" s="190">
        <f>C43/C40-1</f>
        <v>7.0316998341841463E-2</v>
      </c>
      <c r="E43" s="287">
        <f>C43/C31-1</f>
        <v>0.30174923179759405</v>
      </c>
      <c r="F43" s="136">
        <f>Q43/20</f>
        <v>904294.65</v>
      </c>
      <c r="G43" s="190">
        <f t="shared" ref="G43" si="68">F43/F42-1</f>
        <v>0.23999239792267479</v>
      </c>
      <c r="H43" s="190">
        <f t="shared" ref="H43" si="69">F43/F31-1</f>
        <v>0.36860414415726073</v>
      </c>
      <c r="I43" s="130">
        <f t="shared" si="0"/>
        <v>149.81073092181856</v>
      </c>
      <c r="J43" s="130">
        <f t="shared" si="5"/>
        <v>-0.17547962810167872</v>
      </c>
      <c r="K43" s="136">
        <f>R41+R42+R43</f>
        <v>64818086113</v>
      </c>
      <c r="L43" s="190">
        <f>U43/U40-1</f>
        <v>7.6257372400534429E-3</v>
      </c>
      <c r="M43" s="190">
        <f>K43/K31-1</f>
        <v>0.36601974171577933</v>
      </c>
      <c r="N43" s="191">
        <f>AVERAGE(T41:T43)</f>
        <v>170.63224929675661</v>
      </c>
      <c r="O43" s="192">
        <f>N43/N40-1</f>
        <v>-8.1072481547260433E-2</v>
      </c>
      <c r="P43" s="129" t="s">
        <v>835</v>
      </c>
      <c r="Q43" s="116">
        <v>18085893</v>
      </c>
      <c r="R43" s="116">
        <v>26216045349</v>
      </c>
      <c r="S43" s="116">
        <v>120724.95</v>
      </c>
      <c r="T43" s="130">
        <f t="shared" ref="T43" si="70">Q43/S43</f>
        <v>149.81073092181856</v>
      </c>
      <c r="U43" s="85">
        <f>Q41+Q42+Q43</f>
        <v>44650484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887010.86363636365</v>
      </c>
      <c r="G44" s="190">
        <f t="shared" ref="G44" si="71">F44/F43-1</f>
        <v>-1.9113003005863605E-2</v>
      </c>
      <c r="H44" s="190">
        <f t="shared" ref="H44" si="72">F44/F32-1</f>
        <v>0.48528796997371204</v>
      </c>
      <c r="I44" s="130">
        <f t="shared" si="0"/>
        <v>188.4595211502515</v>
      </c>
      <c r="J44" s="130">
        <f t="shared" si="5"/>
        <v>3.502406682378334E-2</v>
      </c>
      <c r="K44" s="136"/>
      <c r="L44" s="190"/>
      <c r="M44" s="190"/>
      <c r="N44" s="191"/>
      <c r="O44" s="192"/>
      <c r="P44" s="129" t="s">
        <v>843</v>
      </c>
      <c r="Q44" s="116">
        <v>19514239</v>
      </c>
      <c r="R44" s="116">
        <v>28199184029</v>
      </c>
      <c r="S44" s="116">
        <v>103546.05</v>
      </c>
      <c r="T44" s="130">
        <f t="shared" ref="T44" si="73">Q44/S44</f>
        <v>188.4595211502515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946536.7</v>
      </c>
      <c r="G45" s="190">
        <f t="shared" ref="G45" si="74">F45/F44-1</f>
        <v>6.7108350984119713E-2</v>
      </c>
      <c r="H45" s="190">
        <f t="shared" ref="H45" si="75">F45/F33-1</f>
        <v>0.31493886348544486</v>
      </c>
      <c r="I45" s="130">
        <f t="shared" si="0"/>
        <v>150.09839666558199</v>
      </c>
      <c r="J45" s="130">
        <f t="shared" si="5"/>
        <v>-0.22889489136079899</v>
      </c>
      <c r="K45" s="136"/>
      <c r="L45" s="190"/>
      <c r="M45" s="190"/>
      <c r="N45" s="191"/>
      <c r="O45" s="192"/>
      <c r="P45" s="129" t="s">
        <v>849</v>
      </c>
      <c r="Q45" s="116">
        <v>18930734</v>
      </c>
      <c r="R45" s="116">
        <v>26628066886</v>
      </c>
      <c r="S45" s="116">
        <v>126122.16</v>
      </c>
      <c r="T45" s="130">
        <f t="shared" ref="T45" si="76">Q45/S45</f>
        <v>150.09839666558199</v>
      </c>
      <c r="U45" s="85"/>
    </row>
    <row r="46" spans="1:21" s="79" customFormat="1" ht="13.2">
      <c r="A46" s="129" t="s">
        <v>893</v>
      </c>
      <c r="B46" s="188">
        <f>SUM(F44:F46)</f>
        <v>2679119.7215311006</v>
      </c>
      <c r="C46" s="188">
        <f>AVERAGE(F44:F46)</f>
        <v>893039.90717703348</v>
      </c>
      <c r="D46" s="190">
        <f>C46/C43-1</f>
        <v>0.16530342876479365</v>
      </c>
      <c r="E46" s="287">
        <f>C46/C34-1</f>
        <v>0.34263684117505289</v>
      </c>
      <c r="F46" s="136">
        <f>Q46/19</f>
        <v>845572.15789473685</v>
      </c>
      <c r="G46" s="190">
        <f t="shared" ref="G46" si="77">F46/F45-1</f>
        <v>-0.10666732954492208</v>
      </c>
      <c r="H46" s="190">
        <f t="shared" ref="H46" si="78">F46/F34-1</f>
        <v>0.24644810642483761</v>
      </c>
      <c r="I46" s="130">
        <f t="shared" si="0"/>
        <v>152.82016633618463</v>
      </c>
      <c r="J46" s="130">
        <f t="shared" si="5"/>
        <v>-4.8943796837642051E-2</v>
      </c>
      <c r="K46" s="136">
        <f>R44+R45+R46</f>
        <v>76827256849</v>
      </c>
      <c r="L46" s="190">
        <f>U46/U43-1</f>
        <v>0.22083433630865001</v>
      </c>
      <c r="M46" s="190">
        <f>K46/K34-1</f>
        <v>0.38556195476865085</v>
      </c>
      <c r="N46" s="191">
        <f>AVERAGE(T44:T46)</f>
        <v>163.79269471733937</v>
      </c>
      <c r="O46" s="192">
        <f>N46/N43-1</f>
        <v>-4.0083598543685373E-2</v>
      </c>
      <c r="P46" s="129" t="s">
        <v>928</v>
      </c>
      <c r="Q46" s="116">
        <v>16065871</v>
      </c>
      <c r="R46" s="116">
        <v>22000005934</v>
      </c>
      <c r="S46" s="116">
        <v>105129.26</v>
      </c>
      <c r="T46" s="130">
        <f t="shared" ref="T46" si="79">Q46/S46</f>
        <v>152.82016633618463</v>
      </c>
      <c r="U46" s="85">
        <f t="shared" ref="U46:U51" si="80">Q44+Q45+Q46</f>
        <v>54510844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710385.21739130432</v>
      </c>
      <c r="G47" s="190">
        <f t="shared" ref="G47" si="81">F47/F46-1</f>
        <v>-0.15987629114943214</v>
      </c>
      <c r="H47" s="190">
        <f t="shared" ref="H47" si="82">F47/F35-1</f>
        <v>0.20884811302586237</v>
      </c>
      <c r="I47" s="130">
        <f t="shared" si="0"/>
        <v>161.32728896345611</v>
      </c>
      <c r="J47" s="130">
        <f t="shared" si="5"/>
        <v>-4.5611310696990426E-2</v>
      </c>
      <c r="K47" s="136"/>
      <c r="L47" s="190"/>
      <c r="M47" s="190"/>
      <c r="N47" s="191"/>
      <c r="O47" s="192"/>
      <c r="P47" s="129" t="s">
        <v>991</v>
      </c>
      <c r="Q47" s="116">
        <v>16338860</v>
      </c>
      <c r="R47" s="116">
        <v>22399861344</v>
      </c>
      <c r="S47" s="116">
        <v>101277.72</v>
      </c>
      <c r="T47" s="130">
        <f t="shared" ref="T47" si="83">Q47/S47</f>
        <v>161.32728896345611</v>
      </c>
      <c r="U47" s="85">
        <f t="shared" si="80"/>
        <v>51335465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659217</v>
      </c>
      <c r="G48" s="190">
        <f t="shared" ref="G48" si="84">F48/F47-1</f>
        <v>-7.2028831876887356E-2</v>
      </c>
      <c r="H48" s="190">
        <f t="shared" ref="H48" si="85">F48/F36-1</f>
        <v>0.12157631398725122</v>
      </c>
      <c r="I48" s="130">
        <f t="shared" si="0"/>
        <v>168.56976132855729</v>
      </c>
      <c r="J48" s="130">
        <f t="shared" si="5"/>
        <v>0.22915812599297225</v>
      </c>
      <c r="K48" s="136"/>
      <c r="L48" s="190"/>
      <c r="M48" s="190"/>
      <c r="N48" s="191"/>
      <c r="O48" s="192"/>
      <c r="P48" s="129" t="s">
        <v>1070</v>
      </c>
      <c r="Q48" s="116">
        <v>13184340</v>
      </c>
      <c r="R48" s="116">
        <v>18298176601</v>
      </c>
      <c r="S48" s="116">
        <v>78212.960000000006</v>
      </c>
      <c r="T48" s="130">
        <f t="shared" ref="T48" si="86">Q48/S48</f>
        <v>168.56976132855729</v>
      </c>
      <c r="U48" s="85">
        <f t="shared" si="80"/>
        <v>45589071</v>
      </c>
    </row>
    <row r="49" spans="1:26" ht="13.2">
      <c r="A49" s="129" t="s">
        <v>1207</v>
      </c>
      <c r="B49" s="188">
        <f>SUM(F47:F49)</f>
        <v>2187035.9901185771</v>
      </c>
      <c r="C49" s="188">
        <f>AVERAGE(F47:F49)</f>
        <v>729011.99670619238</v>
      </c>
      <c r="D49" s="190">
        <f>C49/C46-1</f>
        <v>-0.18367366245630135</v>
      </c>
      <c r="E49" s="287">
        <f>C49/C37-1</f>
        <v>7.4517346715340604E-2</v>
      </c>
      <c r="F49" s="136">
        <f>Q49/22</f>
        <v>817433.77272727271</v>
      </c>
      <c r="G49" s="190">
        <f t="shared" ref="G49" si="87">F49/F48-1</f>
        <v>0.24000711863813096</v>
      </c>
      <c r="H49" s="190">
        <f t="shared" ref="H49" si="88">F49/F37-1</f>
        <v>-4.9442435921098093E-2</v>
      </c>
      <c r="I49" s="130">
        <f t="shared" si="0"/>
        <v>164.94768116226498</v>
      </c>
      <c r="J49" s="130">
        <f t="shared" si="5"/>
        <v>6.6974536945787255E-2</v>
      </c>
      <c r="K49" s="136">
        <f>R47+R48+R49</f>
        <v>65703239465</v>
      </c>
      <c r="L49" s="190">
        <f>U49/U46-1</f>
        <v>-0.12849004869563196</v>
      </c>
      <c r="M49" s="190">
        <f>K49/K37-1</f>
        <v>0.16799993319483564</v>
      </c>
      <c r="N49" s="191">
        <f>AVERAGE(T47:T49)</f>
        <v>164.94824381809281</v>
      </c>
      <c r="O49" s="192">
        <f>N49/N46-1</f>
        <v>7.0549489569580182E-3</v>
      </c>
      <c r="P49" s="129" t="s">
        <v>1193</v>
      </c>
      <c r="Q49" s="116">
        <v>17983543</v>
      </c>
      <c r="R49" s="116">
        <v>25005201520</v>
      </c>
      <c r="S49" s="116">
        <v>109025.74</v>
      </c>
      <c r="T49" s="130">
        <f t="shared" ref="T49" si="89">Q49/S49</f>
        <v>164.94768116226498</v>
      </c>
      <c r="U49" s="85">
        <f t="shared" si="80"/>
        <v>47506743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618726.5555555555</v>
      </c>
      <c r="G50" s="190">
        <f t="shared" ref="G50" si="90">F50/F49-1</f>
        <v>-0.24308662524274438</v>
      </c>
      <c r="H50" s="190">
        <f t="shared" ref="H50" si="91">F50/F38-1</f>
        <v>-0.22279950431187634</v>
      </c>
      <c r="I50" s="130">
        <f t="shared" ref="I50" si="92">T50</f>
        <v>179.67828181204527</v>
      </c>
      <c r="J50" s="130">
        <f t="shared" ref="J50" si="93">I50/I38-1</f>
        <v>0.19393139496532452</v>
      </c>
      <c r="K50" s="136"/>
      <c r="L50" s="190"/>
      <c r="M50" s="190"/>
      <c r="N50" s="191"/>
      <c r="O50" s="192"/>
      <c r="P50" s="129" t="s">
        <v>1369</v>
      </c>
      <c r="Q50" s="116">
        <v>11137078</v>
      </c>
      <c r="R50" s="116">
        <v>15708555126</v>
      </c>
      <c r="S50" s="116">
        <v>61983.44</v>
      </c>
      <c r="T50" s="130">
        <f t="shared" ref="T50" si="94">Q50/S50</f>
        <v>179.67828181204527</v>
      </c>
      <c r="U50" s="85">
        <f t="shared" si="80"/>
        <v>42304961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883337.8</v>
      </c>
      <c r="G51" s="190">
        <f t="shared" ref="G51:G52" si="95">F51/F50-1</f>
        <v>0.42767074092504354</v>
      </c>
      <c r="H51" s="190">
        <f t="shared" ref="H51:H52" si="96">F51/F39-1</f>
        <v>0.34177447221513768</v>
      </c>
      <c r="I51" s="130">
        <f t="shared" ref="I51:I52" si="97">T51</f>
        <v>156.06585297875941</v>
      </c>
      <c r="J51" s="130">
        <f t="shared" ref="J51:J52" si="98">I51/I39-1</f>
        <v>-0.3712305501108305</v>
      </c>
      <c r="K51" s="136"/>
      <c r="L51" s="190"/>
      <c r="M51" s="190"/>
      <c r="N51" s="191"/>
      <c r="O51" s="192"/>
      <c r="P51" s="129" t="s">
        <v>1402</v>
      </c>
      <c r="Q51" s="116">
        <v>17666756</v>
      </c>
      <c r="R51" s="116">
        <v>25550469322</v>
      </c>
      <c r="S51" s="116">
        <v>113200.65</v>
      </c>
      <c r="T51" s="130">
        <f t="shared" ref="T51:T52" si="99">Q51/S51</f>
        <v>156.06585297875941</v>
      </c>
      <c r="U51" s="85">
        <f t="shared" si="80"/>
        <v>46787377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2762622.7191919191</v>
      </c>
      <c r="C52" s="188">
        <f>AVERAGE(F50:F52)</f>
        <v>920874.23973063973</v>
      </c>
      <c r="D52" s="190">
        <f>C52/C49-1</f>
        <v>0.26318118754055564</v>
      </c>
      <c r="E52" s="287">
        <f>C52/C40-1</f>
        <v>0.28611826154454678</v>
      </c>
      <c r="F52" s="136">
        <f>Q52/22</f>
        <v>1260558.3636363635</v>
      </c>
      <c r="G52" s="190">
        <f t="shared" si="95"/>
        <v>0.42703998814084887</v>
      </c>
      <c r="H52" s="190">
        <f t="shared" si="96"/>
        <v>0.81741489250479793</v>
      </c>
      <c r="I52" s="130">
        <f t="shared" si="97"/>
        <v>189.66500450460032</v>
      </c>
      <c r="J52" s="130">
        <f t="shared" si="98"/>
        <v>0.19770117122793107</v>
      </c>
      <c r="K52" s="136">
        <f>R50+R51+R52</f>
        <v>82073200520</v>
      </c>
      <c r="L52" s="190">
        <f>U52/U49-1</f>
        <v>0.19006512401828934</v>
      </c>
      <c r="M52" s="190">
        <f>K52/K40-1</f>
        <v>0.33797995794459235</v>
      </c>
      <c r="N52" s="191">
        <f>AVERAGE(T50:T52)</f>
        <v>175.13637976513499</v>
      </c>
      <c r="O52" s="192">
        <f>N52/N49-1</f>
        <v>6.17656527357624E-2</v>
      </c>
      <c r="P52" s="129" t="s">
        <v>1403</v>
      </c>
      <c r="Q52" s="116">
        <v>27732284</v>
      </c>
      <c r="R52" s="116">
        <v>40814176072</v>
      </c>
      <c r="S52" s="116">
        <v>146217.19</v>
      </c>
      <c r="T52" s="130">
        <f t="shared" si="99"/>
        <v>189.66500450460032</v>
      </c>
      <c r="U52" s="85">
        <f t="shared" ref="U52" si="100">Q50+Q51+Q52</f>
        <v>56536118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690956.61904761905</v>
      </c>
      <c r="G53" s="190">
        <f t="shared" ref="G53" si="101">F53/F52-1</f>
        <v>-0.45186463476835803</v>
      </c>
      <c r="H53" s="190">
        <f t="shared" ref="H53" si="102">F53/F41-1</f>
        <v>3.8242855463742842E-2</v>
      </c>
      <c r="I53" s="130">
        <f t="shared" ref="I53" si="103">T53</f>
        <v>186.05375984645977</v>
      </c>
      <c r="J53" s="130">
        <f t="shared" ref="J53" si="104">I53/I41-1</f>
        <v>-8.0130178384691386E-2</v>
      </c>
      <c r="K53" s="136"/>
      <c r="L53" s="190"/>
      <c r="M53" s="190"/>
      <c r="N53" s="191"/>
      <c r="O53" s="192"/>
      <c r="P53" s="129" t="s">
        <v>1414</v>
      </c>
      <c r="Q53" s="116">
        <v>14510089</v>
      </c>
      <c r="R53" s="116">
        <v>21082149204</v>
      </c>
      <c r="S53" s="116">
        <v>77988.69</v>
      </c>
      <c r="T53" s="130">
        <f t="shared" ref="T53" si="105">Q53/S53</f>
        <v>186.05375984645977</v>
      </c>
      <c r="U53" s="85">
        <f t="shared" ref="U53" si="106">Q51+Q52+Q53</f>
        <v>59909129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687758.70588235289</v>
      </c>
      <c r="G54" s="190">
        <f t="shared" ref="G54" si="107">F54/F53-1</f>
        <v>-4.6282401486710256E-3</v>
      </c>
      <c r="H54" s="190">
        <f t="shared" ref="H54" si="108">F54/F42-1</f>
        <v>-5.6927333475594089E-2</v>
      </c>
      <c r="I54" s="130">
        <f t="shared" ref="I54" si="109">T54</f>
        <v>195.7296677170292</v>
      </c>
      <c r="J54" s="130">
        <f t="shared" ref="J54" si="110">I54/I42-1</f>
        <v>0.22464950293135799</v>
      </c>
      <c r="K54" s="136"/>
      <c r="L54" s="190"/>
      <c r="M54" s="190"/>
      <c r="N54" s="191"/>
      <c r="O54" s="192"/>
      <c r="P54" s="129" t="s">
        <v>1417</v>
      </c>
      <c r="Q54" s="116">
        <v>11691898</v>
      </c>
      <c r="R54" s="116">
        <v>16951776518</v>
      </c>
      <c r="S54" s="116">
        <v>59734.93</v>
      </c>
      <c r="T54" s="130">
        <f t="shared" ref="T54" si="111">Q54/S54</f>
        <v>195.7296677170292</v>
      </c>
      <c r="U54" s="85">
        <f t="shared" ref="U54" si="112">Q52+Q53+Q54</f>
        <v>53934271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2015093.2296918766</v>
      </c>
      <c r="C55" s="188">
        <f>AVERAGE(F53:F55)</f>
        <v>671697.74323062552</v>
      </c>
      <c r="D55" s="190">
        <f>C55/C52-1</f>
        <v>-0.27058688988075019</v>
      </c>
      <c r="E55" s="287">
        <f>C55/C43-1</f>
        <v>-0.12351992672478007</v>
      </c>
      <c r="F55" s="136">
        <f>Q55/21</f>
        <v>636377.90476190473</v>
      </c>
      <c r="G55" s="190">
        <f t="shared" ref="G55" si="113">F55/F54-1</f>
        <v>-7.4707598291365418E-2</v>
      </c>
      <c r="H55" s="190">
        <f t="shared" ref="H55" si="114">F55/F43-1</f>
        <v>-0.29627151419959774</v>
      </c>
      <c r="I55" s="130">
        <f>T55</f>
        <v>174.17913583587355</v>
      </c>
      <c r="J55" s="130">
        <f t="shared" ref="J55" si="115">I55/I43-1</f>
        <v>0.16266127776101746</v>
      </c>
      <c r="K55" s="136">
        <f>R53+R54+R55</f>
        <v>57678998705</v>
      </c>
      <c r="L55" s="190">
        <f>U55/U52-1</f>
        <v>-0.30016555080771556</v>
      </c>
      <c r="M55" s="190">
        <f>K55/K43-1</f>
        <v>-0.11014036106456671</v>
      </c>
      <c r="N55" s="191">
        <f>AVERAGE(T53:T55)</f>
        <v>185.32085446645419</v>
      </c>
      <c r="O55" s="192">
        <f>N55/N52-1</f>
        <v>5.8151679936384371E-2</v>
      </c>
      <c r="P55" s="129" t="s">
        <v>1418</v>
      </c>
      <c r="Q55" s="116">
        <v>13363936</v>
      </c>
      <c r="R55" s="116">
        <v>19645072983</v>
      </c>
      <c r="S55" s="116">
        <v>76725.240000000005</v>
      </c>
      <c r="T55" s="130">
        <f t="shared" ref="T55" si="116">Q55/S55</f>
        <v>174.17913583587355</v>
      </c>
      <c r="U55" s="85">
        <f t="shared" ref="U55" si="117">Q53+Q54+Q55</f>
        <v>39565923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606755.40909090906</v>
      </c>
      <c r="G56" s="190">
        <f t="shared" ref="G56" si="118">F56/F55-1</f>
        <v>-4.6548592352650409E-2</v>
      </c>
      <c r="H56" s="190">
        <f t="shared" ref="H56" si="119">F56/F44-1</f>
        <v>-0.31595492911611878</v>
      </c>
      <c r="I56" s="291">
        <f>T56</f>
        <v>178.28498016023804</v>
      </c>
      <c r="J56" s="130">
        <f t="shared" ref="J56" si="120">I56/I44-1</f>
        <v>-5.3987938247501477E-2</v>
      </c>
      <c r="K56" s="136"/>
      <c r="L56" s="190"/>
      <c r="M56" s="190"/>
      <c r="N56" s="191"/>
      <c r="O56" s="192"/>
      <c r="P56" s="129" t="s">
        <v>1420</v>
      </c>
      <c r="Q56" s="116">
        <v>13348619</v>
      </c>
      <c r="R56" s="116">
        <v>19932985592</v>
      </c>
      <c r="S56" s="116">
        <v>74872.37</v>
      </c>
      <c r="T56" s="130">
        <f t="shared" ref="T56" si="121">Q56/S56</f>
        <v>178.28498016023804</v>
      </c>
      <c r="U56" s="85">
        <f t="shared" ref="U56" si="122">Q54+Q55+Q56</f>
        <v>38404453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708169.58333333337</v>
      </c>
      <c r="G57" s="254">
        <f t="shared" ref="G57" si="123">F57/F56-1</f>
        <v>0.16714177199404179</v>
      </c>
      <c r="H57" s="254">
        <f t="shared" ref="H57" si="124">F57/F45-1</f>
        <v>-0.25183082353454078</v>
      </c>
      <c r="I57" s="282">
        <f>T57</f>
        <v>243.2613199205239</v>
      </c>
      <c r="J57" s="277">
        <f t="shared" ref="J57" si="125">I57/I45-1</f>
        <v>0.62067900340406812</v>
      </c>
      <c r="K57" s="204"/>
      <c r="L57" s="254"/>
      <c r="M57" s="254"/>
      <c r="N57" s="257"/>
      <c r="O57" s="258"/>
      <c r="P57" s="129" t="s">
        <v>1436</v>
      </c>
      <c r="Q57" s="116">
        <v>8498035</v>
      </c>
      <c r="R57" s="116">
        <v>12534291626</v>
      </c>
      <c r="S57" s="116">
        <v>34933.769999999997</v>
      </c>
      <c r="T57" s="130">
        <f t="shared" ref="T57" si="126">Q57/S57</f>
        <v>243.2613199205239</v>
      </c>
      <c r="U57" s="85">
        <f t="shared" ref="U57" si="127">Q55+Q56+Q57</f>
        <v>35210590</v>
      </c>
      <c r="V57" s="79"/>
      <c r="W57" s="79"/>
      <c r="X57" s="79"/>
      <c r="Y57" s="79"/>
      <c r="Z57" s="79"/>
    </row>
    <row r="58" spans="1:26">
      <c r="B58" s="196">
        <f>SUM(F56:F58)</f>
        <v>1314924.9924242424</v>
      </c>
      <c r="C58" s="196">
        <f>AVERAGE(F56:F58)</f>
        <v>657462.49621212122</v>
      </c>
      <c r="D58" s="197">
        <f>C58/C55-1</f>
        <v>-2.1192935605288565E-2</v>
      </c>
      <c r="E58" s="233">
        <f>C58/C46-1</f>
        <v>-0.26379270295947943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61412577</v>
      </c>
      <c r="R65" s="212">
        <v>90146275923</v>
      </c>
      <c r="S65" s="213">
        <v>324255.02</v>
      </c>
      <c r="T65" s="214">
        <v>73</v>
      </c>
      <c r="U65" s="214">
        <v>271</v>
      </c>
    </row>
    <row r="66" spans="16:21" ht="18" thickBot="1">
      <c r="P66" s="180" t="s">
        <v>976</v>
      </c>
      <c r="Q66" s="181">
        <v>14510089</v>
      </c>
      <c r="R66" s="181">
        <v>21082149204</v>
      </c>
      <c r="S66" s="182">
        <v>77988.69</v>
      </c>
      <c r="T66" s="210">
        <v>38</v>
      </c>
      <c r="U66" s="210">
        <v>128</v>
      </c>
    </row>
    <row r="67" spans="16:21" ht="18" thickBot="1">
      <c r="P67" s="180" t="s">
        <v>977</v>
      </c>
      <c r="Q67" s="181">
        <v>11691898</v>
      </c>
      <c r="R67" s="181">
        <v>16951776518</v>
      </c>
      <c r="S67" s="182">
        <v>59734.93</v>
      </c>
      <c r="T67" s="210">
        <v>27</v>
      </c>
      <c r="U67" s="210">
        <v>102</v>
      </c>
    </row>
    <row r="68" spans="16:21" ht="18" thickBot="1">
      <c r="P68" s="180" t="s">
        <v>978</v>
      </c>
      <c r="Q68" s="181">
        <v>13363936</v>
      </c>
      <c r="R68" s="181">
        <v>19645072983</v>
      </c>
      <c r="S68" s="182">
        <v>76725.240000000005</v>
      </c>
      <c r="T68" s="210">
        <v>40</v>
      </c>
      <c r="U68" s="210">
        <v>134</v>
      </c>
    </row>
    <row r="69" spans="16:21" ht="18" thickBot="1">
      <c r="P69" s="180" t="s">
        <v>979</v>
      </c>
      <c r="Q69" s="181">
        <v>13348619</v>
      </c>
      <c r="R69" s="181">
        <v>19932985592</v>
      </c>
      <c r="S69" s="182">
        <v>74872.37</v>
      </c>
      <c r="T69" s="210">
        <v>30</v>
      </c>
      <c r="U69" s="210">
        <v>122</v>
      </c>
    </row>
    <row r="70" spans="16:21" ht="18" thickBot="1">
      <c r="P70" s="180" t="s">
        <v>980</v>
      </c>
      <c r="Q70" s="181">
        <v>8498035</v>
      </c>
      <c r="R70" s="181">
        <v>12534291626</v>
      </c>
      <c r="S70" s="182">
        <v>34933.769999999997</v>
      </c>
      <c r="T70" s="210">
        <v>20</v>
      </c>
      <c r="U70" s="210">
        <v>76</v>
      </c>
    </row>
    <row r="71" spans="16:21" ht="18" thickBot="1">
      <c r="P71" s="180" t="s">
        <v>975</v>
      </c>
      <c r="Q71" s="181">
        <v>203167665</v>
      </c>
      <c r="R71" s="181">
        <v>289368133046</v>
      </c>
      <c r="S71" s="182">
        <v>1215926.1100000001</v>
      </c>
      <c r="T71" s="210">
        <v>134</v>
      </c>
      <c r="U71" s="210">
        <v>558</v>
      </c>
    </row>
    <row r="72" spans="16:21" ht="18" thickBot="1">
      <c r="P72" s="215" t="s">
        <v>982</v>
      </c>
      <c r="Q72" s="217" t="s">
        <v>1505</v>
      </c>
      <c r="R72"/>
      <c r="S72"/>
      <c r="T72"/>
      <c r="U72"/>
    </row>
  </sheetData>
  <phoneticPr fontId="1" type="noConversion"/>
  <conditionalFormatting sqref="C29:C30">
    <cfRule type="cellIs" dxfId="16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99"/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123</v>
      </c>
      <c r="L2" s="111">
        <v>8529903010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414450.05</v>
      </c>
      <c r="G5" s="90"/>
      <c r="H5" s="90"/>
      <c r="I5" s="130">
        <f t="shared" ref="I5:I49" si="0">T5</f>
        <v>7697.237389495579</v>
      </c>
      <c r="J5" s="130"/>
      <c r="L5" s="80"/>
      <c r="M5" s="80"/>
      <c r="P5" s="129" t="s">
        <v>0</v>
      </c>
      <c r="Q5" s="116">
        <v>8289001</v>
      </c>
      <c r="R5" s="116"/>
      <c r="S5" s="116">
        <v>1076.8800000000001</v>
      </c>
      <c r="T5" s="130">
        <f t="shared" ref="T5:T19" si="1">Q5/S5</f>
        <v>7697.237389495579</v>
      </c>
      <c r="U5" s="85"/>
    </row>
    <row r="6" spans="1:21" ht="15" hidden="1" customHeight="1">
      <c r="A6" s="129" t="s">
        <v>1</v>
      </c>
      <c r="C6" s="79"/>
      <c r="F6" s="78">
        <f>Q6/18</f>
        <v>65198.444444444445</v>
      </c>
      <c r="G6" s="90">
        <f t="shared" ref="G6:G16" si="2">F6/F5-1</f>
        <v>-0.84268684623287071</v>
      </c>
      <c r="H6" s="90"/>
      <c r="I6" s="130">
        <f t="shared" si="0"/>
        <v>707.11591530795465</v>
      </c>
      <c r="J6" s="130"/>
      <c r="P6" s="129" t="s">
        <v>1</v>
      </c>
      <c r="Q6" s="116">
        <v>1173572</v>
      </c>
      <c r="R6" s="116"/>
      <c r="S6" s="116">
        <v>1659.66</v>
      </c>
      <c r="T6" s="130">
        <f t="shared" si="1"/>
        <v>707.11591530795465</v>
      </c>
      <c r="U6" s="85"/>
    </row>
    <row r="7" spans="1:21" ht="15" hidden="1" customHeight="1">
      <c r="A7" s="129" t="s">
        <v>2</v>
      </c>
      <c r="B7" s="131">
        <f>F5+F6+F7</f>
        <v>531151.53989898984</v>
      </c>
      <c r="C7" s="131">
        <f>AVERAGE(F5:F7)</f>
        <v>177050.51329966329</v>
      </c>
      <c r="F7" s="78">
        <f>Q7/22</f>
        <v>51503.045454545456</v>
      </c>
      <c r="G7" s="90">
        <f t="shared" si="2"/>
        <v>-0.21005714333520376</v>
      </c>
      <c r="H7" s="90"/>
      <c r="I7" s="130">
        <f t="shared" si="0"/>
        <v>362.97519549206976</v>
      </c>
      <c r="J7" s="130"/>
      <c r="K7" s="79">
        <f>R5+R6+R7</f>
        <v>0</v>
      </c>
      <c r="N7" s="88">
        <f>AVERAGE(T5:T7)</f>
        <v>2922.4428334318677</v>
      </c>
      <c r="P7" s="129" t="s">
        <v>2</v>
      </c>
      <c r="Q7" s="116">
        <v>1133067</v>
      </c>
      <c r="R7" s="116"/>
      <c r="S7" s="116">
        <v>3121.61</v>
      </c>
      <c r="T7" s="130">
        <f t="shared" si="1"/>
        <v>362.97519549206976</v>
      </c>
      <c r="U7" s="85">
        <f>Q5+Q6+Q7</f>
        <v>10595640</v>
      </c>
    </row>
    <row r="8" spans="1:21" ht="15" hidden="1" customHeight="1">
      <c r="A8" s="129" t="s">
        <v>3</v>
      </c>
      <c r="C8" s="79"/>
      <c r="F8" s="78">
        <f>Q8/21</f>
        <v>47422.809523809527</v>
      </c>
      <c r="G8" s="90">
        <f t="shared" si="2"/>
        <v>-7.92231972832943E-2</v>
      </c>
      <c r="H8" s="90"/>
      <c r="I8" s="130">
        <f t="shared" si="0"/>
        <v>727.94979752350048</v>
      </c>
      <c r="J8" s="130"/>
      <c r="K8" s="78"/>
      <c r="P8" s="129" t="s">
        <v>3</v>
      </c>
      <c r="Q8" s="116">
        <v>995879</v>
      </c>
      <c r="R8" s="116"/>
      <c r="S8" s="116">
        <v>1368.06</v>
      </c>
      <c r="T8" s="130">
        <f t="shared" si="1"/>
        <v>727.94979752350048</v>
      </c>
      <c r="U8" s="85"/>
    </row>
    <row r="9" spans="1:21" ht="15" hidden="1" customHeight="1">
      <c r="A9" s="129" t="s">
        <v>4</v>
      </c>
      <c r="C9" s="79"/>
      <c r="F9" s="78">
        <f>Q9/21</f>
        <v>68877.380952380947</v>
      </c>
      <c r="G9" s="90">
        <f t="shared" si="2"/>
        <v>0.45241038318912219</v>
      </c>
      <c r="H9" s="90"/>
      <c r="I9" s="130">
        <f t="shared" si="0"/>
        <v>731.59659700163877</v>
      </c>
      <c r="J9" s="130"/>
      <c r="K9" s="78"/>
      <c r="P9" s="129" t="s">
        <v>4</v>
      </c>
      <c r="Q9" s="116">
        <v>1446425</v>
      </c>
      <c r="R9" s="116"/>
      <c r="S9" s="116">
        <v>1977.08</v>
      </c>
      <c r="T9" s="130">
        <f t="shared" si="1"/>
        <v>731.59659700163877</v>
      </c>
      <c r="U9" s="85"/>
    </row>
    <row r="10" spans="1:21" ht="15" hidden="1" customHeight="1">
      <c r="A10" s="129" t="s">
        <v>5</v>
      </c>
      <c r="B10" s="131">
        <f>F8+F9+F10</f>
        <v>163522.76190476189</v>
      </c>
      <c r="C10" s="131">
        <f>AVERAGE(F8:F10)</f>
        <v>54507.5873015873</v>
      </c>
      <c r="D10" s="90">
        <f>C10/C7-1</f>
        <v>-0.6921353895804212</v>
      </c>
      <c r="E10" s="286"/>
      <c r="F10" s="78">
        <f>Q10/21</f>
        <v>47222.571428571428</v>
      </c>
      <c r="G10" s="90">
        <f t="shared" si="2"/>
        <v>-0.31439652937414653</v>
      </c>
      <c r="H10" s="90"/>
      <c r="I10" s="130">
        <f t="shared" si="0"/>
        <v>942.88892692110221</v>
      </c>
      <c r="J10" s="130"/>
      <c r="K10" s="79">
        <f>R8+R9+R10</f>
        <v>0</v>
      </c>
      <c r="L10" s="87">
        <f>U10/U7-1</f>
        <v>-0.67590650493976767</v>
      </c>
      <c r="N10" s="88">
        <f>AVERAGE(T8:T10)</f>
        <v>800.81177381541386</v>
      </c>
      <c r="O10" s="89">
        <f>N10/N7-1</f>
        <v>-0.72597863518342676</v>
      </c>
      <c r="P10" s="129" t="s">
        <v>5</v>
      </c>
      <c r="Q10" s="116">
        <v>991674</v>
      </c>
      <c r="R10" s="116"/>
      <c r="S10" s="116">
        <v>1051.74</v>
      </c>
      <c r="T10" s="130">
        <f t="shared" si="1"/>
        <v>942.88892692110221</v>
      </c>
      <c r="U10" s="85">
        <f>Q8+Q9+Q10</f>
        <v>3433978</v>
      </c>
    </row>
    <row r="11" spans="1:21" ht="15" hidden="1" customHeight="1">
      <c r="A11" s="129" t="s">
        <v>6</v>
      </c>
      <c r="C11" s="79"/>
      <c r="F11" s="78">
        <f>Q11/21</f>
        <v>51822.857142857145</v>
      </c>
      <c r="G11" s="90">
        <f t="shared" si="2"/>
        <v>9.7417094730728016E-2</v>
      </c>
      <c r="H11" s="90"/>
      <c r="I11" s="130">
        <f t="shared" si="0"/>
        <v>535.10738730233652</v>
      </c>
      <c r="J11" s="130"/>
      <c r="K11" s="78"/>
      <c r="O11" s="89"/>
      <c r="P11" s="129" t="s">
        <v>6</v>
      </c>
      <c r="Q11" s="116">
        <v>1088280</v>
      </c>
      <c r="R11" s="116"/>
      <c r="S11" s="116">
        <v>2033.76</v>
      </c>
      <c r="T11" s="130">
        <f t="shared" si="1"/>
        <v>535.10738730233652</v>
      </c>
      <c r="U11" s="85"/>
    </row>
    <row r="12" spans="1:21" ht="15" hidden="1" customHeight="1">
      <c r="A12" s="129" t="s">
        <v>7</v>
      </c>
      <c r="C12" s="79"/>
      <c r="F12" s="78">
        <f>Q12/22</f>
        <v>38800.045454545456</v>
      </c>
      <c r="G12" s="90">
        <f t="shared" si="2"/>
        <v>-0.25129474533626039</v>
      </c>
      <c r="H12" s="90"/>
      <c r="I12" s="130">
        <f t="shared" si="0"/>
        <v>783.73854600877746</v>
      </c>
      <c r="J12" s="130"/>
      <c r="K12" s="78"/>
      <c r="O12" s="89"/>
      <c r="P12" s="129" t="s">
        <v>7</v>
      </c>
      <c r="Q12" s="116">
        <v>853601</v>
      </c>
      <c r="R12" s="116"/>
      <c r="S12" s="116">
        <v>1089.1400000000001</v>
      </c>
      <c r="T12" s="130">
        <f t="shared" si="1"/>
        <v>783.73854600877746</v>
      </c>
      <c r="U12" s="85"/>
    </row>
    <row r="13" spans="1:21" ht="15" hidden="1" customHeight="1">
      <c r="A13" s="129" t="s">
        <v>96</v>
      </c>
      <c r="B13" s="131">
        <f>F11+F12+F13</f>
        <v>151453.4025974026</v>
      </c>
      <c r="C13" s="131">
        <f>AVERAGE(F11:F13)</f>
        <v>50484.467532467534</v>
      </c>
      <c r="D13" s="90">
        <f>C13/C10-1</f>
        <v>-7.3808436004699329E-2</v>
      </c>
      <c r="E13" s="286"/>
      <c r="F13" s="78">
        <f>Q13/20</f>
        <v>60830.5</v>
      </c>
      <c r="G13" s="90">
        <f t="shared" si="2"/>
        <v>0.56779455506729715</v>
      </c>
      <c r="H13" s="90"/>
      <c r="I13" s="130">
        <f t="shared" si="0"/>
        <v>392.24100409776605</v>
      </c>
      <c r="J13" s="130"/>
      <c r="K13" s="78">
        <f>R11+R12+R13</f>
        <v>0</v>
      </c>
      <c r="L13" s="87">
        <f>U13/U10-1</f>
        <v>-8.0223868644470064E-2</v>
      </c>
      <c r="N13" s="88">
        <f>AVERAGE(T11:T13)</f>
        <v>570.36231246962677</v>
      </c>
      <c r="O13" s="89">
        <f>N13/N10-1</f>
        <v>-0.28776982167460663</v>
      </c>
      <c r="P13" s="129" t="s">
        <v>96</v>
      </c>
      <c r="Q13" s="116">
        <v>1216610</v>
      </c>
      <c r="R13" s="116"/>
      <c r="S13" s="116">
        <v>3101.69</v>
      </c>
      <c r="T13" s="130">
        <f t="shared" si="1"/>
        <v>392.24100409776605</v>
      </c>
      <c r="U13" s="85">
        <f>Q11+Q12+Q13</f>
        <v>3158491</v>
      </c>
    </row>
    <row r="14" spans="1:21" ht="15" hidden="1" customHeight="1">
      <c r="A14" s="129" t="s">
        <v>97</v>
      </c>
      <c r="C14" s="79"/>
      <c r="F14" s="78">
        <f>Q14/20</f>
        <v>34805.800000000003</v>
      </c>
      <c r="G14" s="90">
        <f t="shared" si="2"/>
        <v>-0.42782321368392495</v>
      </c>
      <c r="H14" s="90"/>
      <c r="I14" s="130">
        <f t="shared" si="0"/>
        <v>965.63414667979862</v>
      </c>
      <c r="J14" s="130"/>
      <c r="O14" s="89"/>
      <c r="P14" s="129" t="s">
        <v>97</v>
      </c>
      <c r="Q14" s="116">
        <v>696116</v>
      </c>
      <c r="R14" s="116"/>
      <c r="S14" s="116">
        <v>720.89</v>
      </c>
      <c r="T14" s="130">
        <f t="shared" si="1"/>
        <v>965.63414667979862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50601.181818181816</v>
      </c>
      <c r="G15" s="90">
        <f t="shared" si="2"/>
        <v>0.45381464635726831</v>
      </c>
      <c r="H15" s="90"/>
      <c r="I15" s="130">
        <f t="shared" si="0"/>
        <v>876.61112511024317</v>
      </c>
      <c r="J15" s="130"/>
      <c r="O15" s="89"/>
      <c r="P15" s="129" t="s">
        <v>98</v>
      </c>
      <c r="Q15" s="116">
        <v>1113226</v>
      </c>
      <c r="R15" s="116"/>
      <c r="S15" s="116">
        <v>1269.92</v>
      </c>
      <c r="T15" s="130">
        <f t="shared" si="1"/>
        <v>876.61112511024317</v>
      </c>
      <c r="U15" s="85"/>
    </row>
    <row r="16" spans="1:21" ht="15" hidden="1" customHeight="1">
      <c r="A16" s="129" t="s">
        <v>99</v>
      </c>
      <c r="B16" s="131">
        <f>F14+F15+F16</f>
        <v>127779.61818181816</v>
      </c>
      <c r="C16" s="131">
        <f>AVERAGE(F14:F16)</f>
        <v>42593.206060606055</v>
      </c>
      <c r="D16" s="90">
        <f>C16/C13-1</f>
        <v>-0.1563106804441674</v>
      </c>
      <c r="E16" s="286"/>
      <c r="F16" s="78">
        <f>Q16/22</f>
        <v>42372.63636363636</v>
      </c>
      <c r="G16" s="90">
        <f t="shared" si="2"/>
        <v>-0.16261567731978954</v>
      </c>
      <c r="H16" s="90"/>
      <c r="I16" s="130">
        <f t="shared" si="0"/>
        <v>585.34193159484357</v>
      </c>
      <c r="J16" s="130"/>
      <c r="K16" s="78">
        <f>R14+R15+R16</f>
        <v>0</v>
      </c>
      <c r="L16" s="87">
        <f>U16/U13-1</f>
        <v>-0.13200955772867484</v>
      </c>
      <c r="N16" s="88">
        <f>AVERAGE(T14:T16)</f>
        <v>809.19573446162849</v>
      </c>
      <c r="O16" s="89">
        <f>N16/N13-1</f>
        <v>0.41873983741644949</v>
      </c>
      <c r="P16" s="129" t="s">
        <v>99</v>
      </c>
      <c r="Q16" s="116">
        <v>932198</v>
      </c>
      <c r="R16" s="116"/>
      <c r="S16" s="116">
        <v>1592.57</v>
      </c>
      <c r="T16" s="130">
        <f t="shared" si="1"/>
        <v>585.34193159484357</v>
      </c>
      <c r="U16" s="85">
        <f>Q14+Q15+Q16</f>
        <v>2741540</v>
      </c>
    </row>
    <row r="17" spans="1:21" ht="15" hidden="1" customHeight="1">
      <c r="A17" s="129" t="s">
        <v>100</v>
      </c>
      <c r="C17" s="79"/>
      <c r="F17" s="78">
        <f>Q17/20</f>
        <v>36181.65</v>
      </c>
      <c r="G17" s="90">
        <f t="shared" ref="G17:G22" si="3">F17/F16-1</f>
        <v>-0.14610812295241993</v>
      </c>
      <c r="H17" s="90">
        <f t="shared" ref="H17:H22" si="4">F17/F5-1</f>
        <v>-0.91269961241408948</v>
      </c>
      <c r="I17" s="130">
        <f t="shared" si="0"/>
        <v>1792.5906658739596</v>
      </c>
      <c r="J17" s="130">
        <f t="shared" ref="J17:J49" si="5">I17/I5-1</f>
        <v>-0.76711246189180704</v>
      </c>
      <c r="O17" s="89"/>
      <c r="P17" s="129" t="s">
        <v>100</v>
      </c>
      <c r="Q17" s="116">
        <v>723633</v>
      </c>
      <c r="R17" s="116">
        <v>913454476</v>
      </c>
      <c r="S17" s="116">
        <v>403.68</v>
      </c>
      <c r="T17" s="130">
        <f t="shared" si="1"/>
        <v>1792.5906658739596</v>
      </c>
      <c r="U17" s="78"/>
    </row>
    <row r="18" spans="1:21" hidden="1">
      <c r="A18" s="129" t="s">
        <v>106</v>
      </c>
      <c r="C18" s="79"/>
      <c r="F18" s="78">
        <f>Q18/20</f>
        <v>37077.300000000003</v>
      </c>
      <c r="G18" s="90">
        <f t="shared" si="3"/>
        <v>2.475426079241827E-2</v>
      </c>
      <c r="H18" s="90">
        <f t="shared" si="4"/>
        <v>-0.43131618682108974</v>
      </c>
      <c r="I18" s="130">
        <f t="shared" si="0"/>
        <v>1210.5489984818062</v>
      </c>
      <c r="J18" s="130">
        <f t="shared" si="5"/>
        <v>0.71195269725275856</v>
      </c>
      <c r="O18" s="89"/>
      <c r="P18" s="129" t="s">
        <v>106</v>
      </c>
      <c r="Q18" s="116">
        <v>741546</v>
      </c>
      <c r="R18" s="116">
        <v>925619876</v>
      </c>
      <c r="S18" s="116">
        <v>612.57000000000005</v>
      </c>
      <c r="T18" s="130">
        <f t="shared" si="1"/>
        <v>1210.5489984818062</v>
      </c>
      <c r="U18" s="78"/>
    </row>
    <row r="19" spans="1:21" hidden="1">
      <c r="A19" s="129" t="s">
        <v>114</v>
      </c>
      <c r="B19" s="131">
        <f>SUM(F17:F19)</f>
        <v>103479.72272727275</v>
      </c>
      <c r="C19" s="131">
        <f>AVERAGE(F17:F19)</f>
        <v>34493.240909090913</v>
      </c>
      <c r="D19" s="90">
        <f>C19/C16-1</f>
        <v>-0.19017035580720709</v>
      </c>
      <c r="E19" s="286">
        <f>C19/C7-1</f>
        <v>-0.80517853201187806</v>
      </c>
      <c r="F19" s="78">
        <f>Q19/22</f>
        <v>30220.772727272728</v>
      </c>
      <c r="G19" s="90">
        <f t="shared" si="3"/>
        <v>-0.18492520417417868</v>
      </c>
      <c r="H19" s="90">
        <f t="shared" si="4"/>
        <v>-0.4132235781290956</v>
      </c>
      <c r="I19" s="130">
        <f t="shared" si="0"/>
        <v>1634.5593116164721</v>
      </c>
      <c r="J19" s="130">
        <f t="shared" si="5"/>
        <v>3.503225928153495</v>
      </c>
      <c r="K19" s="78">
        <f>R17+R18+R19</f>
        <v>2708034992</v>
      </c>
      <c r="L19" s="87">
        <f>U19/U16-1</f>
        <v>-0.22305127774900235</v>
      </c>
      <c r="M19" s="87">
        <f>U19/U7-1</f>
        <v>-0.79897051994971513</v>
      </c>
      <c r="N19" s="88">
        <f>AVERAGE(T17:T19)</f>
        <v>1545.8996586574124</v>
      </c>
      <c r="O19" s="89">
        <f>N19/N16-1</f>
        <v>0.91041498715502422</v>
      </c>
      <c r="P19" s="129" t="s">
        <v>114</v>
      </c>
      <c r="Q19" s="116">
        <v>664857</v>
      </c>
      <c r="R19" s="116">
        <v>868960640</v>
      </c>
      <c r="S19" s="116">
        <v>406.75</v>
      </c>
      <c r="T19" s="130">
        <f t="shared" si="1"/>
        <v>1634.5593116164721</v>
      </c>
      <c r="U19" s="85">
        <f>Q17+Q18+Q19</f>
        <v>2130036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61424.75</v>
      </c>
      <c r="G20" s="90">
        <f t="shared" si="3"/>
        <v>1.032534063715957</v>
      </c>
      <c r="H20" s="90">
        <f t="shared" si="4"/>
        <v>0.29525750618298008</v>
      </c>
      <c r="I20" s="130">
        <f t="shared" si="0"/>
        <v>273.24480921718435</v>
      </c>
      <c r="J20" s="130">
        <f t="shared" si="5"/>
        <v>-0.62463783883618262</v>
      </c>
      <c r="O20" s="89"/>
      <c r="P20" s="129" t="s">
        <v>132</v>
      </c>
      <c r="Q20" s="116">
        <v>1228495</v>
      </c>
      <c r="R20" s="116">
        <v>1604387843</v>
      </c>
      <c r="S20" s="116">
        <v>4495.95</v>
      </c>
      <c r="T20" s="130">
        <f t="shared" ref="T20" si="6">Q20/S20</f>
        <v>273.24480921718435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56745.952380952382</v>
      </c>
      <c r="G21" s="90">
        <f t="shared" si="3"/>
        <v>-7.6171211426137142E-2</v>
      </c>
      <c r="H21" s="90">
        <f t="shared" si="4"/>
        <v>-0.17613080526124747</v>
      </c>
      <c r="I21" s="130">
        <f t="shared" si="0"/>
        <v>218.29444328427655</v>
      </c>
      <c r="J21" s="130">
        <f t="shared" si="5"/>
        <v>-0.70161911061515281</v>
      </c>
      <c r="O21" s="89"/>
      <c r="P21" s="129" t="s">
        <v>141</v>
      </c>
      <c r="Q21" s="116">
        <v>1191665</v>
      </c>
      <c r="R21" s="116">
        <v>1592178569</v>
      </c>
      <c r="S21" s="116">
        <v>5458.98</v>
      </c>
      <c r="T21" s="130">
        <f t="shared" ref="T21" si="7">Q21/S21</f>
        <v>218.29444328427655</v>
      </c>
      <c r="U21" s="78"/>
    </row>
    <row r="22" spans="1:21" hidden="1">
      <c r="A22" s="129" t="s">
        <v>156</v>
      </c>
      <c r="B22" s="131">
        <f>SUM(F20:F22)</f>
        <v>144036.55952380953</v>
      </c>
      <c r="C22" s="131">
        <f>AVERAGE(F20:F22)</f>
        <v>48012.186507936509</v>
      </c>
      <c r="D22" s="90">
        <f>C22/C19-1</f>
        <v>0.39193028090563065</v>
      </c>
      <c r="E22" s="286">
        <f>C22/C10-1</f>
        <v>-0.11916507618860683</v>
      </c>
      <c r="F22" s="78">
        <f>Q22/21</f>
        <v>25865.857142857141</v>
      </c>
      <c r="G22" s="90">
        <f t="shared" si="3"/>
        <v>-0.54418146039365101</v>
      </c>
      <c r="H22" s="90">
        <f t="shared" si="4"/>
        <v>-0.45225648751505032</v>
      </c>
      <c r="I22" s="130">
        <f t="shared" si="0"/>
        <v>1376.1920445908286</v>
      </c>
      <c r="J22" s="130">
        <f t="shared" si="5"/>
        <v>0.45954842113230554</v>
      </c>
      <c r="K22" s="78">
        <f>R20+R21+R22</f>
        <v>3903958321</v>
      </c>
      <c r="L22" s="87">
        <f>U22/U19-1</f>
        <v>0.39121733153805849</v>
      </c>
      <c r="M22" s="87">
        <f>U22/U10-1</f>
        <v>-0.13705242141912388</v>
      </c>
      <c r="N22" s="88">
        <f>AVERAGE(T20:T22)</f>
        <v>622.57709903076318</v>
      </c>
      <c r="O22" s="89">
        <f>N22/N19-1</f>
        <v>-0.59727198622227473</v>
      </c>
      <c r="P22" s="129" t="s">
        <v>156</v>
      </c>
      <c r="Q22" s="116">
        <v>543183</v>
      </c>
      <c r="R22" s="116">
        <v>707391909</v>
      </c>
      <c r="S22" s="116">
        <v>394.7</v>
      </c>
      <c r="T22" s="130">
        <f t="shared" ref="T22:T23" si="8">Q22/S22</f>
        <v>1376.1920445908286</v>
      </c>
      <c r="U22" s="85">
        <f>Q20+Q21+Q22</f>
        <v>2963343</v>
      </c>
    </row>
    <row r="23" spans="1:21" hidden="1">
      <c r="A23" s="129" t="s">
        <v>189</v>
      </c>
      <c r="B23" s="131"/>
      <c r="C23" s="131"/>
      <c r="F23" s="78">
        <f>Q23/21</f>
        <v>47487</v>
      </c>
      <c r="G23" s="90">
        <f t="shared" ref="G23" si="9">F23/F22-1</f>
        <v>0.83589508508182342</v>
      </c>
      <c r="H23" s="90">
        <f t="shared" ref="H23" si="10">F23/F11-1</f>
        <v>-8.3666887198147522E-2</v>
      </c>
      <c r="I23" s="130">
        <f t="shared" si="0"/>
        <v>337.46878193717811</v>
      </c>
      <c r="J23" s="130">
        <f t="shared" si="5"/>
        <v>-0.36934381781108228</v>
      </c>
      <c r="O23" s="89"/>
      <c r="P23" s="129" t="s">
        <v>189</v>
      </c>
      <c r="Q23" s="116">
        <v>997227</v>
      </c>
      <c r="R23" s="116">
        <v>1288803862</v>
      </c>
      <c r="S23" s="116">
        <v>2955.02</v>
      </c>
      <c r="T23" s="130">
        <f t="shared" si="8"/>
        <v>337.46878193717811</v>
      </c>
      <c r="U23" s="78"/>
    </row>
    <row r="24" spans="1:21" hidden="1">
      <c r="A24" s="129" t="s">
        <v>204</v>
      </c>
      <c r="B24" s="131"/>
      <c r="C24" s="131"/>
      <c r="F24" s="78">
        <f>Q24/22</f>
        <v>30017.272727272728</v>
      </c>
      <c r="G24" s="90">
        <f t="shared" ref="G24" si="11">F24/F23-1</f>
        <v>-0.3678844162134326</v>
      </c>
      <c r="H24" s="90">
        <f t="shared" ref="H24" si="12">F24/F12-1</f>
        <v>-0.22635985665433855</v>
      </c>
      <c r="I24" s="130">
        <f t="shared" si="0"/>
        <v>705.7377662359869</v>
      </c>
      <c r="J24" s="130">
        <f t="shared" si="5"/>
        <v>-9.9523980503463672E-2</v>
      </c>
      <c r="O24" s="89"/>
      <c r="P24" s="129" t="s">
        <v>204</v>
      </c>
      <c r="Q24" s="116">
        <v>660380</v>
      </c>
      <c r="R24" s="116">
        <v>867717896</v>
      </c>
      <c r="S24" s="116">
        <v>935.73</v>
      </c>
      <c r="T24" s="130">
        <f t="shared" ref="T24" si="13">Q24/S24</f>
        <v>705.7377662359869</v>
      </c>
      <c r="U24" s="78"/>
    </row>
    <row r="25" spans="1:21" s="79" customFormat="1" ht="13.2" hidden="1">
      <c r="A25" s="129" t="s">
        <v>233</v>
      </c>
      <c r="B25" s="131">
        <f>SUM(F23:F25)</f>
        <v>116101.64114832538</v>
      </c>
      <c r="C25" s="131">
        <f>AVERAGE(F23:F25)</f>
        <v>38700.54704944179</v>
      </c>
      <c r="D25" s="90">
        <f>C25/C22-1</f>
        <v>-0.19394324932390838</v>
      </c>
      <c r="E25" s="286">
        <f>C25/C13-1</f>
        <v>-0.23341675289428931</v>
      </c>
      <c r="F25" s="78">
        <f>Q25/19</f>
        <v>38597.368421052633</v>
      </c>
      <c r="G25" s="90">
        <f t="shared" ref="G25" si="14">F25/F24-1</f>
        <v>0.28583861604403205</v>
      </c>
      <c r="H25" s="90">
        <f t="shared" ref="H25" si="15">F25/F13-1</f>
        <v>-0.36549315851336694</v>
      </c>
      <c r="I25" s="130">
        <f t="shared" si="0"/>
        <v>634.33094023008391</v>
      </c>
      <c r="J25" s="130">
        <f t="shared" si="5"/>
        <v>0.61719691109085817</v>
      </c>
      <c r="K25" s="78">
        <f>R23+R24+R25</f>
        <v>3130274935</v>
      </c>
      <c r="L25" s="90">
        <f>U25/U22-1</f>
        <v>-0.19315550039263085</v>
      </c>
      <c r="M25" s="90">
        <f>U25/U13-1</f>
        <v>-0.24300654964665092</v>
      </c>
      <c r="N25" s="88">
        <f>AVERAGE(T23:T25)</f>
        <v>559.17916280108295</v>
      </c>
      <c r="O25" s="91">
        <f>N25/N22-1</f>
        <v>-0.10183146204442639</v>
      </c>
      <c r="P25" s="129" t="s">
        <v>233</v>
      </c>
      <c r="Q25" s="116">
        <v>733350</v>
      </c>
      <c r="R25" s="116">
        <v>973753177</v>
      </c>
      <c r="S25" s="116">
        <v>1156.0999999999999</v>
      </c>
      <c r="T25" s="130">
        <f t="shared" ref="T25" si="16">Q25/S25</f>
        <v>634.33094023008391</v>
      </c>
      <c r="U25" s="85">
        <f>Q23+Q24+Q25</f>
        <v>2390957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38510.894736842107</v>
      </c>
      <c r="G26" s="90">
        <f t="shared" ref="G26" si="17">F26/F25-1</f>
        <v>-2.2404036271902461E-3</v>
      </c>
      <c r="H26" s="90">
        <f t="shared" ref="H26" si="18">F26/F14-1</f>
        <v>0.10645049781479243</v>
      </c>
      <c r="I26" s="130">
        <f t="shared" si="0"/>
        <v>205.71191610790143</v>
      </c>
      <c r="J26" s="130">
        <f t="shared" si="5"/>
        <v>-0.78696702388247786</v>
      </c>
      <c r="L26" s="90"/>
      <c r="M26" s="90"/>
      <c r="P26" s="129" t="s">
        <v>312</v>
      </c>
      <c r="Q26" s="116">
        <v>731707</v>
      </c>
      <c r="R26" s="116">
        <v>987186002</v>
      </c>
      <c r="S26" s="116">
        <v>3556.95</v>
      </c>
      <c r="T26" s="130">
        <f t="shared" ref="T26" si="19">Q26/S26</f>
        <v>205.71191610790143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45625</v>
      </c>
      <c r="G27" s="90">
        <f t="shared" ref="G27" si="20">F27/F26-1</f>
        <v>0.18472968004952794</v>
      </c>
      <c r="H27" s="90">
        <f t="shared" ref="H27" si="21">F27/F15-1</f>
        <v>-9.83412173269399E-2</v>
      </c>
      <c r="I27" s="130">
        <f t="shared" si="0"/>
        <v>1090.4992123417892</v>
      </c>
      <c r="J27" s="130">
        <f t="shared" si="5"/>
        <v>0.24399426507922461</v>
      </c>
      <c r="L27" s="90"/>
      <c r="M27" s="90"/>
      <c r="P27" s="129" t="s">
        <v>394</v>
      </c>
      <c r="Q27" s="116">
        <v>1003750</v>
      </c>
      <c r="R27" s="116">
        <v>1323676332</v>
      </c>
      <c r="S27" s="116">
        <v>920.45</v>
      </c>
      <c r="T27" s="130">
        <f t="shared" ref="T27" si="22">Q27/S27</f>
        <v>1090.4992123417892</v>
      </c>
      <c r="U27" s="78"/>
    </row>
    <row r="28" spans="1:21" s="79" customFormat="1" ht="13.2" hidden="1">
      <c r="A28" s="123" t="s">
        <v>413</v>
      </c>
      <c r="B28" s="131">
        <f>SUM(F26:F28)</f>
        <v>121739.36842105264</v>
      </c>
      <c r="C28" s="131">
        <f>AVERAGE(F26:F28)</f>
        <v>40579.789473684214</v>
      </c>
      <c r="D28" s="90">
        <f>C28/C25-1</f>
        <v>4.855854936214743E-2</v>
      </c>
      <c r="E28" s="286">
        <f>C28/C16-1</f>
        <v>-4.7270839017305777E-2</v>
      </c>
      <c r="F28" s="78">
        <f>Q28/19</f>
        <v>37603.473684210527</v>
      </c>
      <c r="G28" s="90">
        <f t="shared" ref="G28" si="23">F28/F27-1</f>
        <v>-0.17581427541456385</v>
      </c>
      <c r="H28" s="90">
        <f t="shared" ref="H28" si="24">F28/F16-1</f>
        <v>-0.11255288999479551</v>
      </c>
      <c r="I28" s="130">
        <f t="shared" si="0"/>
        <v>100.77876280952684</v>
      </c>
      <c r="J28" s="130">
        <f t="shared" si="5"/>
        <v>-0.8278292441224202</v>
      </c>
      <c r="K28" s="78">
        <f>R26+R27+R28</f>
        <v>3243911387</v>
      </c>
      <c r="L28" s="90">
        <f>U28/U25-1</f>
        <v>2.4662091371781214E-2</v>
      </c>
      <c r="M28" s="90">
        <f>U28/U16-1</f>
        <v>-0.10636977757027077</v>
      </c>
      <c r="N28" s="88">
        <f>AVERAGE(T26:T28)</f>
        <v>465.66329708640586</v>
      </c>
      <c r="O28" s="91">
        <f>N28/N25-1</f>
        <v>-0.16723775121774975</v>
      </c>
      <c r="P28" s="129" t="s">
        <v>413</v>
      </c>
      <c r="Q28" s="116">
        <v>714466</v>
      </c>
      <c r="R28" s="116">
        <v>933049053</v>
      </c>
      <c r="S28" s="116">
        <v>7089.45</v>
      </c>
      <c r="T28" s="130">
        <f t="shared" ref="T28" si="25">Q28/S28</f>
        <v>100.77876280952684</v>
      </c>
      <c r="U28" s="85">
        <f>Q26+Q27+Q28</f>
        <v>2449923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38520.818181818184</v>
      </c>
      <c r="G29" s="190">
        <f t="shared" ref="G29" si="26">F29/F28-1</f>
        <v>2.43952062862971E-2</v>
      </c>
      <c r="H29" s="190">
        <f t="shared" ref="H29" si="27">F29/F17-1</f>
        <v>6.4650677396364875E-2</v>
      </c>
      <c r="I29" s="130">
        <f t="shared" si="0"/>
        <v>47.556992655377378</v>
      </c>
      <c r="J29" s="130">
        <f t="shared" si="5"/>
        <v>-0.97347024417747297</v>
      </c>
      <c r="K29" s="136"/>
      <c r="L29" s="190"/>
      <c r="M29" s="190"/>
      <c r="N29" s="191"/>
      <c r="O29" s="192"/>
      <c r="P29" s="129" t="s">
        <v>427</v>
      </c>
      <c r="Q29" s="116">
        <v>847458</v>
      </c>
      <c r="R29" s="116">
        <v>1116467055</v>
      </c>
      <c r="S29" s="116">
        <v>17819.84</v>
      </c>
      <c r="T29" s="130">
        <f t="shared" ref="T29" si="28">Q29/S29</f>
        <v>47.556992655377378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26420.105263157893</v>
      </c>
      <c r="G30" s="190">
        <f t="shared" ref="G30" si="29">F30/F29-1</f>
        <v>-0.31413436914929871</v>
      </c>
      <c r="H30" s="190">
        <f t="shared" ref="H30" si="30">F30/F18-1</f>
        <v>-0.28743179079496373</v>
      </c>
      <c r="I30" s="130">
        <f t="shared" si="0"/>
        <v>37.736396556092053</v>
      </c>
      <c r="J30" s="130">
        <f t="shared" si="5"/>
        <v>-0.96882703913396429</v>
      </c>
      <c r="K30" s="136"/>
      <c r="L30" s="190"/>
      <c r="M30" s="190"/>
      <c r="N30" s="191"/>
      <c r="O30" s="192"/>
      <c r="P30" s="129" t="s">
        <v>469</v>
      </c>
      <c r="Q30" s="116">
        <v>501982</v>
      </c>
      <c r="R30" s="116">
        <v>668483046</v>
      </c>
      <c r="S30" s="116">
        <v>13302.33</v>
      </c>
      <c r="T30" s="130">
        <f t="shared" ref="T30" si="31">Q30/S30</f>
        <v>37.736396556092053</v>
      </c>
      <c r="U30" s="85"/>
    </row>
    <row r="31" spans="1:21" s="79" customFormat="1" ht="13.2" hidden="1">
      <c r="A31" s="129" t="s">
        <v>505</v>
      </c>
      <c r="B31" s="188">
        <f>SUM(F29:F31)</f>
        <v>107419.97344497609</v>
      </c>
      <c r="C31" s="188">
        <f>AVERAGE(F29:F31)</f>
        <v>35806.657814992031</v>
      </c>
      <c r="D31" s="190">
        <f>C31/C28-1</f>
        <v>-0.11762337164877446</v>
      </c>
      <c r="E31" s="287">
        <f>C31/C19-1</f>
        <v>3.8077515225742653E-2</v>
      </c>
      <c r="F31" s="136">
        <f>Q31/20</f>
        <v>42479.05</v>
      </c>
      <c r="G31" s="190">
        <f t="shared" ref="G31" si="32">F31/F30-1</f>
        <v>0.6078304600563369</v>
      </c>
      <c r="H31" s="190">
        <f t="shared" ref="H31" si="33">F31/F19-1</f>
        <v>0.40562421693687511</v>
      </c>
      <c r="I31" s="130">
        <f t="shared" si="0"/>
        <v>118.96094476369706</v>
      </c>
      <c r="J31" s="130">
        <f t="shared" si="5"/>
        <v>-0.92722139605564236</v>
      </c>
      <c r="K31" s="136">
        <f>R29+R30+R31</f>
        <v>2915024630</v>
      </c>
      <c r="L31" s="190">
        <f>U31/U28-1</f>
        <v>-0.10241219826092496</v>
      </c>
      <c r="M31" s="190">
        <f>U31/U19-1</f>
        <v>3.238677656152289E-2</v>
      </c>
      <c r="N31" s="191">
        <f>AVERAGE(T29:T31)</f>
        <v>68.084777991722163</v>
      </c>
      <c r="O31" s="192">
        <f>N31/N28-1</f>
        <v>-0.85378968362394092</v>
      </c>
      <c r="P31" s="129" t="s">
        <v>505</v>
      </c>
      <c r="Q31" s="116">
        <v>849581</v>
      </c>
      <c r="R31" s="116">
        <v>1130074529</v>
      </c>
      <c r="S31" s="116">
        <v>7141.68</v>
      </c>
      <c r="T31" s="130">
        <f t="shared" ref="T31" si="34">Q31/S31</f>
        <v>118.96094476369706</v>
      </c>
      <c r="U31" s="85">
        <f>Q29+Q30+Q31</f>
        <v>2199021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21494.142857142859</v>
      </c>
      <c r="G32" s="190">
        <f t="shared" ref="G32" si="35">F32/F31-1</f>
        <v>-0.49400603692542899</v>
      </c>
      <c r="H32" s="190">
        <f t="shared" ref="H32" si="36">F32/F20-1</f>
        <v>-0.6500735801587656</v>
      </c>
      <c r="I32" s="130">
        <f t="shared" si="0"/>
        <v>40.686000562458084</v>
      </c>
      <c r="J32" s="130">
        <f t="shared" si="5"/>
        <v>-0.85110055455758193</v>
      </c>
      <c r="K32" s="136"/>
      <c r="L32" s="190"/>
      <c r="M32" s="190"/>
      <c r="N32" s="191"/>
      <c r="O32" s="192"/>
      <c r="P32" s="129" t="s">
        <v>585</v>
      </c>
      <c r="Q32" s="116">
        <v>451377</v>
      </c>
      <c r="R32" s="116">
        <v>614928859</v>
      </c>
      <c r="S32" s="116">
        <v>11094.16</v>
      </c>
      <c r="T32" s="130">
        <f t="shared" ref="T32" si="37">Q32/S32</f>
        <v>40.686000562458084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26651.666666666668</v>
      </c>
      <c r="G33" s="190">
        <f t="shared" ref="G33" si="38">F33/F32-1</f>
        <v>0.23995019684210761</v>
      </c>
      <c r="H33" s="190">
        <f t="shared" ref="H33" si="39">F33/F21-1</f>
        <v>-0.53033360885819425</v>
      </c>
      <c r="I33" s="130">
        <f t="shared" si="0"/>
        <v>43.415377693656239</v>
      </c>
      <c r="J33" s="130">
        <f t="shared" si="5"/>
        <v>-0.80111551608705844</v>
      </c>
      <c r="K33" s="136"/>
      <c r="L33" s="190"/>
      <c r="M33" s="190"/>
      <c r="N33" s="191"/>
      <c r="O33" s="192"/>
      <c r="P33" s="129" t="s">
        <v>607</v>
      </c>
      <c r="Q33" s="116">
        <v>559685</v>
      </c>
      <c r="R33" s="116">
        <v>764752757</v>
      </c>
      <c r="S33" s="116">
        <v>12891.4</v>
      </c>
      <c r="T33" s="130">
        <f t="shared" ref="T33" si="40">Q33/S33</f>
        <v>43.415377693656239</v>
      </c>
      <c r="U33" s="85"/>
    </row>
    <row r="34" spans="1:21" s="79" customFormat="1" ht="13.2" hidden="1">
      <c r="A34" s="129" t="s">
        <v>652</v>
      </c>
      <c r="B34" s="188">
        <f>SUM(F32:F34)</f>
        <v>82413.546365914779</v>
      </c>
      <c r="C34" s="188">
        <f>AVERAGE(F32:F34)</f>
        <v>27471.182121971593</v>
      </c>
      <c r="D34" s="190">
        <f>C34/C31-1</f>
        <v>-0.23279122380225126</v>
      </c>
      <c r="E34" s="287">
        <f>C34/C22-1</f>
        <v>-0.42782897176677104</v>
      </c>
      <c r="F34" s="136">
        <f>Q34/19</f>
        <v>34267.73684210526</v>
      </c>
      <c r="G34" s="190">
        <f t="shared" ref="G34" si="41">F34/F33-1</f>
        <v>0.28576337347652769</v>
      </c>
      <c r="H34" s="190">
        <f t="shared" ref="H34" si="42">F34/F22-1</f>
        <v>0.32482510256066655</v>
      </c>
      <c r="I34" s="130">
        <f t="shared" si="0"/>
        <v>122.8097608453313</v>
      </c>
      <c r="J34" s="130">
        <f t="shared" si="5"/>
        <v>-0.91076117513682819</v>
      </c>
      <c r="K34" s="136">
        <f>R32+R33+R34</f>
        <v>2275344876</v>
      </c>
      <c r="L34" s="190">
        <f>U34/U31-1</f>
        <v>-0.24414137018245852</v>
      </c>
      <c r="M34" s="190">
        <f>U34/U22-1</f>
        <v>-0.43909665536524123</v>
      </c>
      <c r="N34" s="191">
        <f>AVERAGE(T32:T34)</f>
        <v>68.970379700481871</v>
      </c>
      <c r="O34" s="192">
        <f>N34/N31-1</f>
        <v>1.3007337835005961E-2</v>
      </c>
      <c r="P34" s="129" t="s">
        <v>652</v>
      </c>
      <c r="Q34" s="116">
        <v>651087</v>
      </c>
      <c r="R34" s="116">
        <v>895663260</v>
      </c>
      <c r="S34" s="116">
        <v>5301.59</v>
      </c>
      <c r="T34" s="130">
        <f t="shared" ref="T34" si="43">Q34/S34</f>
        <v>122.8097608453313</v>
      </c>
      <c r="U34" s="85">
        <f>Q32+Q33+Q34</f>
        <v>1662149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36220.391304347824</v>
      </c>
      <c r="G35" s="190">
        <f t="shared" ref="G35" si="44">F35/F34-1</f>
        <v>5.6982300034571054E-2</v>
      </c>
      <c r="H35" s="190">
        <f t="shared" ref="H35" si="45">F35/F23-1</f>
        <v>-0.23725669542510952</v>
      </c>
      <c r="I35" s="130">
        <f t="shared" si="0"/>
        <v>890.1070604325156</v>
      </c>
      <c r="J35" s="130">
        <f t="shared" si="5"/>
        <v>1.6375982255988779</v>
      </c>
      <c r="K35" s="136"/>
      <c r="L35" s="190"/>
      <c r="M35" s="190"/>
      <c r="N35" s="191"/>
      <c r="O35" s="192"/>
      <c r="P35" s="129" t="s">
        <v>660</v>
      </c>
      <c r="Q35" s="116">
        <v>833069</v>
      </c>
      <c r="R35" s="116">
        <v>1152985671</v>
      </c>
      <c r="S35" s="116">
        <v>935.92</v>
      </c>
      <c r="T35" s="130">
        <f t="shared" ref="T35" si="46">Q35/S35</f>
        <v>890.1070604325156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39595.285714285717</v>
      </c>
      <c r="G36" s="190">
        <f t="shared" ref="G36" si="47">F36/F35-1</f>
        <v>9.317664134492043E-2</v>
      </c>
      <c r="H36" s="190">
        <f t="shared" ref="H36" si="48">F36/F24-1</f>
        <v>0.31908338489095023</v>
      </c>
      <c r="I36" s="130">
        <f t="shared" si="0"/>
        <v>506.16405417744636</v>
      </c>
      <c r="J36" s="130">
        <f t="shared" si="5"/>
        <v>-0.28278734907861858</v>
      </c>
      <c r="K36" s="136"/>
      <c r="L36" s="190"/>
      <c r="M36" s="190"/>
      <c r="N36" s="191"/>
      <c r="O36" s="192"/>
      <c r="P36" s="129" t="s">
        <v>664</v>
      </c>
      <c r="Q36" s="116">
        <v>831501</v>
      </c>
      <c r="R36" s="116">
        <v>1136251593</v>
      </c>
      <c r="S36" s="116">
        <v>1642.75</v>
      </c>
      <c r="T36" s="130">
        <f t="shared" ref="T36" si="49">Q36/S36</f>
        <v>506.16405417744636</v>
      </c>
      <c r="U36" s="85"/>
    </row>
    <row r="37" spans="1:21" s="79" customFormat="1" ht="13.2" hidden="1">
      <c r="A37" s="129" t="s">
        <v>702</v>
      </c>
      <c r="B37" s="188">
        <f>SUM(F35:F37)</f>
        <v>112122.17701863355</v>
      </c>
      <c r="C37" s="188">
        <f>AVERAGE(F35:F37)</f>
        <v>37374.059006211181</v>
      </c>
      <c r="D37" s="190">
        <f>C37/C34-1</f>
        <v>0.36048237168211328</v>
      </c>
      <c r="E37" s="287">
        <f>C37/C25-1</f>
        <v>-3.4275692318663009E-2</v>
      </c>
      <c r="F37" s="136">
        <f>Q37/18</f>
        <v>36306.5</v>
      </c>
      <c r="G37" s="190">
        <f t="shared" ref="G37" si="50">F37/F36-1</f>
        <v>-8.3060032399239536E-2</v>
      </c>
      <c r="H37" s="190">
        <f t="shared" ref="H37" si="51">F37/F25-1</f>
        <v>-5.9352969250698884E-2</v>
      </c>
      <c r="I37" s="130">
        <f t="shared" si="0"/>
        <v>782.20543878967783</v>
      </c>
      <c r="J37" s="130">
        <f t="shared" si="5"/>
        <v>0.23311884882354472</v>
      </c>
      <c r="K37" s="136">
        <f>R35+R36+R37</f>
        <v>3161147226</v>
      </c>
      <c r="L37" s="190">
        <f>U37/U34-1</f>
        <v>0.3946324908296428</v>
      </c>
      <c r="M37" s="190">
        <f>U37/U25-1</f>
        <v>-3.0477336062505467E-2</v>
      </c>
      <c r="N37" s="191">
        <f>AVERAGE(T35:T37)</f>
        <v>726.15885113321326</v>
      </c>
      <c r="O37" s="192">
        <f>N37/N34-1</f>
        <v>9.5285610183198663</v>
      </c>
      <c r="P37" s="129" t="s">
        <v>702</v>
      </c>
      <c r="Q37" s="116">
        <v>653517</v>
      </c>
      <c r="R37" s="116">
        <v>871909962</v>
      </c>
      <c r="S37" s="116">
        <v>835.48</v>
      </c>
      <c r="T37" s="130">
        <f t="shared" ref="T37" si="52">Q37/S37</f>
        <v>782.20543878967783</v>
      </c>
      <c r="U37" s="85">
        <f>Q35+Q36+Q37</f>
        <v>2318087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25602.400000000001</v>
      </c>
      <c r="G38" s="190">
        <f t="shared" ref="G38" si="53">F38/F37-1</f>
        <v>-0.29482599534518605</v>
      </c>
      <c r="H38" s="190">
        <f t="shared" ref="H38" si="54">F38/F26-1</f>
        <v>-0.33519072524931426</v>
      </c>
      <c r="I38" s="130">
        <f t="shared" si="0"/>
        <v>809.12710953795579</v>
      </c>
      <c r="J38" s="130">
        <f t="shared" si="5"/>
        <v>2.9333020898679827</v>
      </c>
      <c r="K38" s="136"/>
      <c r="L38" s="190"/>
      <c r="M38" s="190"/>
      <c r="N38" s="191"/>
      <c r="O38" s="192"/>
      <c r="P38" s="129" t="s">
        <v>727</v>
      </c>
      <c r="Q38" s="116">
        <v>512048</v>
      </c>
      <c r="R38" s="116">
        <v>686399881</v>
      </c>
      <c r="S38" s="116">
        <v>632.84</v>
      </c>
      <c r="T38" s="130">
        <f t="shared" ref="T38" si="55">Q38/S38</f>
        <v>809.12710953795579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42717.428571428572</v>
      </c>
      <c r="G39" s="190">
        <f t="shared" ref="G39" si="56">F39/F38-1</f>
        <v>0.66849313234027163</v>
      </c>
      <c r="H39" s="190">
        <f t="shared" ref="H39" si="57">F39/F27-1</f>
        <v>-6.3727592954990198E-2</v>
      </c>
      <c r="I39" s="130">
        <f t="shared" si="0"/>
        <v>959.79842506205603</v>
      </c>
      <c r="J39" s="130">
        <f t="shared" si="5"/>
        <v>-0.11985408682603282</v>
      </c>
      <c r="K39" s="136"/>
      <c r="L39" s="190"/>
      <c r="M39" s="190"/>
      <c r="N39" s="191"/>
      <c r="O39" s="192"/>
      <c r="P39" s="129" t="s">
        <v>762</v>
      </c>
      <c r="Q39" s="116">
        <v>897066</v>
      </c>
      <c r="R39" s="116">
        <v>1247000532</v>
      </c>
      <c r="S39" s="116">
        <v>934.64</v>
      </c>
      <c r="T39" s="130">
        <f t="shared" ref="T39" si="58">Q39/S39</f>
        <v>959.79842506205603</v>
      </c>
      <c r="U39" s="85"/>
    </row>
    <row r="40" spans="1:21" s="79" customFormat="1" ht="13.2" hidden="1">
      <c r="A40" s="129" t="s">
        <v>778</v>
      </c>
      <c r="B40" s="188">
        <f>SUM(F38:F40)</f>
        <v>90466.304761904757</v>
      </c>
      <c r="C40" s="188">
        <f>AVERAGE(F38:F40)</f>
        <v>30155.434920634918</v>
      </c>
      <c r="D40" s="190">
        <f>C40/C37-1</f>
        <v>-0.1931453065982639</v>
      </c>
      <c r="E40" s="287">
        <f>C40/C28-1</f>
        <v>-0.25688537787534449</v>
      </c>
      <c r="F40" s="136">
        <f>Q40/21</f>
        <v>22146.476190476191</v>
      </c>
      <c r="G40" s="190">
        <f t="shared" ref="G40" si="59">F40/F39-1</f>
        <v>-0.48155877048065587</v>
      </c>
      <c r="H40" s="190">
        <f t="shared" ref="H40" si="60">F40/F28-1</f>
        <v>-0.41105238371168451</v>
      </c>
      <c r="I40" s="130">
        <f t="shared" si="0"/>
        <v>749.0835292980704</v>
      </c>
      <c r="J40" s="130">
        <f t="shared" si="5"/>
        <v>6.4329502408542956</v>
      </c>
      <c r="K40" s="136">
        <f>R38+R39+R40</f>
        <v>2591056147</v>
      </c>
      <c r="L40" s="190">
        <f>U40/U37-1</f>
        <v>-0.19149281282367747</v>
      </c>
      <c r="M40" s="190">
        <f>U40/U28-1</f>
        <v>-0.23500044695282263</v>
      </c>
      <c r="N40" s="191">
        <f>AVERAGE(T38:T40)</f>
        <v>839.33635463269411</v>
      </c>
      <c r="O40" s="192">
        <f>N40/N37-1</f>
        <v>0.15585777591619343</v>
      </c>
      <c r="P40" s="129" t="s">
        <v>778</v>
      </c>
      <c r="Q40" s="116">
        <v>465076</v>
      </c>
      <c r="R40" s="116">
        <v>657655734</v>
      </c>
      <c r="S40" s="116">
        <v>620.86</v>
      </c>
      <c r="T40" s="130">
        <f t="shared" ref="T40" si="61">Q40/S40</f>
        <v>749.0835292980704</v>
      </c>
      <c r="U40" s="85">
        <f>Q38+Q39+Q40</f>
        <v>1874190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41093.333333333336</v>
      </c>
      <c r="G41" s="190">
        <f t="shared" ref="G41" si="62">F41/F40-1</f>
        <v>0.85552468843801877</v>
      </c>
      <c r="H41" s="190">
        <f t="shared" ref="H41" si="63">F41/F29-1</f>
        <v>6.6782463949049298E-2</v>
      </c>
      <c r="I41" s="130">
        <f t="shared" si="0"/>
        <v>799.52440144841376</v>
      </c>
      <c r="J41" s="130">
        <f t="shared" si="5"/>
        <v>15.81192095644445</v>
      </c>
      <c r="K41" s="193"/>
      <c r="L41" s="190"/>
      <c r="M41" s="190"/>
      <c r="N41" s="193"/>
      <c r="O41" s="193"/>
      <c r="P41" s="129" t="s">
        <v>793</v>
      </c>
      <c r="Q41" s="116">
        <v>739680</v>
      </c>
      <c r="R41" s="116">
        <v>1082647187</v>
      </c>
      <c r="S41" s="116">
        <v>925.15</v>
      </c>
      <c r="T41" s="130">
        <f t="shared" ref="T41" si="64">Q41/S41</f>
        <v>799.52440144841376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24064.05</v>
      </c>
      <c r="G42" s="190">
        <f t="shared" ref="G42" si="65">F42/F41-1</f>
        <v>-0.41440501297858534</v>
      </c>
      <c r="H42" s="190">
        <f t="shared" ref="H42" si="66">F42/F30-1</f>
        <v>-8.917660394197402E-2</v>
      </c>
      <c r="I42" s="130">
        <f t="shared" si="0"/>
        <v>210.53596269433677</v>
      </c>
      <c r="J42" s="130">
        <f t="shared" si="5"/>
        <v>4.5791220653883142</v>
      </c>
      <c r="K42" s="193"/>
      <c r="L42" s="190"/>
      <c r="M42" s="190"/>
      <c r="N42" s="193"/>
      <c r="O42" s="193"/>
      <c r="P42" s="129" t="s">
        <v>826</v>
      </c>
      <c r="Q42" s="116">
        <v>481281</v>
      </c>
      <c r="R42" s="116">
        <v>695425097</v>
      </c>
      <c r="S42" s="116">
        <v>2285.98</v>
      </c>
      <c r="T42" s="130">
        <f t="shared" ref="T42" si="67">Q42/S42</f>
        <v>210.53596269433677</v>
      </c>
      <c r="U42" s="78"/>
    </row>
    <row r="43" spans="1:21" s="79" customFormat="1" ht="13.2">
      <c r="A43" s="129" t="s">
        <v>835</v>
      </c>
      <c r="B43" s="188">
        <f>SUM(F41:F43)</f>
        <v>90820.483333333337</v>
      </c>
      <c r="C43" s="188">
        <f>AVERAGE(F41:F43)</f>
        <v>30273.494444444445</v>
      </c>
      <c r="D43" s="190">
        <f>C43/C40-1</f>
        <v>3.915033032030335E-3</v>
      </c>
      <c r="E43" s="287">
        <f>C43/C31-1</f>
        <v>-0.15452889792553848</v>
      </c>
      <c r="F43" s="136">
        <f>Q43/20</f>
        <v>25663.1</v>
      </c>
      <c r="G43" s="190">
        <f t="shared" ref="G43" si="68">F43/F42-1</f>
        <v>6.6449745574830521E-2</v>
      </c>
      <c r="H43" s="190">
        <f t="shared" ref="H43" si="69">F43/F31-1</f>
        <v>-0.39586454970155882</v>
      </c>
      <c r="I43" s="130">
        <f t="shared" si="0"/>
        <v>829.23290681142555</v>
      </c>
      <c r="J43" s="130">
        <f t="shared" si="5"/>
        <v>5.970631482951033</v>
      </c>
      <c r="K43" s="136">
        <f>R41+R42+R43</f>
        <v>2520309167</v>
      </c>
      <c r="L43" s="190">
        <f>U43/U40-1</f>
        <v>-7.4681329000795049E-2</v>
      </c>
      <c r="M43" s="190">
        <f>K43/K31-1</f>
        <v>-0.13540724799982218</v>
      </c>
      <c r="N43" s="191">
        <f>AVERAGE(T41:T43)</f>
        <v>613.09775698472538</v>
      </c>
      <c r="O43" s="192">
        <f>N43/N40-1</f>
        <v>-0.26954461867313495</v>
      </c>
      <c r="P43" s="129" t="s">
        <v>835</v>
      </c>
      <c r="Q43" s="116">
        <v>513262</v>
      </c>
      <c r="R43" s="116">
        <v>742236883</v>
      </c>
      <c r="S43" s="116">
        <v>618.96</v>
      </c>
      <c r="T43" s="130">
        <f t="shared" ref="T43" si="70">Q43/S43</f>
        <v>829.23290681142555</v>
      </c>
      <c r="U43" s="85">
        <f>Q41+Q42+Q43</f>
        <v>1734223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41553.86363636364</v>
      </c>
      <c r="G44" s="190">
        <f t="shared" ref="G44" si="71">F44/F43-1</f>
        <v>0.61920670676432854</v>
      </c>
      <c r="H44" s="190">
        <f t="shared" ref="H44" si="72">F44/F32-1</f>
        <v>0.93326451361862994</v>
      </c>
      <c r="I44" s="130">
        <f t="shared" si="0"/>
        <v>1173.0697668450296</v>
      </c>
      <c r="J44" s="130">
        <f t="shared" si="5"/>
        <v>27.832270329550362</v>
      </c>
      <c r="K44" s="136"/>
      <c r="L44" s="190"/>
      <c r="M44" s="190"/>
      <c r="N44" s="191"/>
      <c r="O44" s="192"/>
      <c r="P44" s="129" t="s">
        <v>843</v>
      </c>
      <c r="Q44" s="116">
        <v>914185</v>
      </c>
      <c r="R44" s="116">
        <v>1328614251</v>
      </c>
      <c r="S44" s="116">
        <v>779.31</v>
      </c>
      <c r="T44" s="130">
        <f t="shared" ref="T44" si="73">Q44/S44</f>
        <v>1173.0697668450296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38412.050000000003</v>
      </c>
      <c r="G45" s="190">
        <f t="shared" ref="G45" si="74">F45/F44-1</f>
        <v>-7.5608219342911953E-2</v>
      </c>
      <c r="H45" s="190">
        <f t="shared" ref="H45" si="75">F45/F33-1</f>
        <v>0.44126258520417738</v>
      </c>
      <c r="I45" s="130">
        <f t="shared" si="0"/>
        <v>1041.8098479814487</v>
      </c>
      <c r="J45" s="130">
        <f t="shared" si="5"/>
        <v>22.99633271262951</v>
      </c>
      <c r="K45" s="136"/>
      <c r="L45" s="190"/>
      <c r="M45" s="190"/>
      <c r="N45" s="191"/>
      <c r="O45" s="192"/>
      <c r="P45" s="129" t="s">
        <v>849</v>
      </c>
      <c r="Q45" s="116">
        <v>768241</v>
      </c>
      <c r="R45" s="116">
        <v>1082262659</v>
      </c>
      <c r="S45" s="116">
        <v>737.41</v>
      </c>
      <c r="T45" s="130">
        <f t="shared" ref="T45" si="76">Q45/S45</f>
        <v>1041.8098479814487</v>
      </c>
      <c r="U45" s="85"/>
    </row>
    <row r="46" spans="1:21" s="79" customFormat="1" ht="13.2">
      <c r="A46" s="129" t="s">
        <v>888</v>
      </c>
      <c r="B46" s="188">
        <f>SUM(F44:F46)</f>
        <v>106246.28205741626</v>
      </c>
      <c r="C46" s="188">
        <f>AVERAGE(F44:F46)</f>
        <v>35415.427352472085</v>
      </c>
      <c r="D46" s="190">
        <f>C46/C43-1</f>
        <v>0.16984933528118851</v>
      </c>
      <c r="E46" s="287">
        <f>C46/C34-1</f>
        <v>0.28918468798423658</v>
      </c>
      <c r="F46" s="136">
        <f>Q46/19</f>
        <v>26280.36842105263</v>
      </c>
      <c r="G46" s="190">
        <f t="shared" ref="G46" si="77">F46/F45-1</f>
        <v>-0.31583009964184083</v>
      </c>
      <c r="H46" s="190">
        <f t="shared" ref="H46" si="78">F46/F34-1</f>
        <v>-0.2330871296769863</v>
      </c>
      <c r="I46" s="130">
        <f t="shared" si="0"/>
        <v>774.83512561488453</v>
      </c>
      <c r="J46" s="130">
        <f t="shared" si="5"/>
        <v>5.3092307995837977</v>
      </c>
      <c r="K46" s="136">
        <f>R44+R45+R46</f>
        <v>3094974631</v>
      </c>
      <c r="L46" s="190">
        <f>U46/U43-1</f>
        <v>0.25805793141943112</v>
      </c>
      <c r="M46" s="190">
        <f>K46/K34-1</f>
        <v>0.36022220791464754</v>
      </c>
      <c r="N46" s="191">
        <f>AVERAGE(T44:T46)</f>
        <v>996.57158014712093</v>
      </c>
      <c r="O46" s="192">
        <f>N46/N43-1</f>
        <v>0.62546929717759414</v>
      </c>
      <c r="P46" s="129" t="s">
        <v>888</v>
      </c>
      <c r="Q46" s="116">
        <v>499327</v>
      </c>
      <c r="R46" s="116">
        <v>684097721</v>
      </c>
      <c r="S46" s="116">
        <v>644.42999999999995</v>
      </c>
      <c r="T46" s="130">
        <f t="shared" ref="T46" si="79">Q46/S46</f>
        <v>774.83512561488453</v>
      </c>
      <c r="U46" s="85">
        <f t="shared" ref="U46:U51" si="80">Q44+Q45+Q46</f>
        <v>2181753</v>
      </c>
    </row>
    <row r="47" spans="1:21" s="79" customFormat="1" ht="13.2">
      <c r="A47" s="129" t="s">
        <v>1017</v>
      </c>
      <c r="B47" s="188"/>
      <c r="C47" s="188"/>
      <c r="D47" s="190"/>
      <c r="E47" s="287"/>
      <c r="F47" s="136">
        <f>Q47/23</f>
        <v>33926.391304347824</v>
      </c>
      <c r="G47" s="190">
        <f t="shared" ref="G47" si="81">F47/F46-1</f>
        <v>0.29094047544516655</v>
      </c>
      <c r="H47" s="190">
        <f t="shared" ref="H47" si="82">F47/F35-1</f>
        <v>-6.333448970013289E-2</v>
      </c>
      <c r="I47" s="130">
        <f t="shared" si="0"/>
        <v>967.39068446957015</v>
      </c>
      <c r="J47" s="130">
        <f t="shared" si="5"/>
        <v>8.6825088208491774E-2</v>
      </c>
      <c r="K47" s="136"/>
      <c r="L47" s="190"/>
      <c r="M47" s="190"/>
      <c r="N47" s="191"/>
      <c r="O47" s="192"/>
      <c r="P47" s="129" t="s">
        <v>991</v>
      </c>
      <c r="Q47" s="116">
        <v>780307</v>
      </c>
      <c r="R47" s="116">
        <v>1065680799</v>
      </c>
      <c r="S47" s="116">
        <v>806.61</v>
      </c>
      <c r="T47" s="130">
        <f t="shared" ref="T47" si="83">Q47/S47</f>
        <v>967.39068446957015</v>
      </c>
      <c r="U47" s="85">
        <f t="shared" si="80"/>
        <v>2047875</v>
      </c>
    </row>
    <row r="48" spans="1:21" s="79" customFormat="1" ht="13.2">
      <c r="A48" s="129" t="s">
        <v>1104</v>
      </c>
      <c r="B48" s="188"/>
      <c r="C48" s="188"/>
      <c r="D48" s="190"/>
      <c r="E48" s="287"/>
      <c r="F48" s="136">
        <f>Q48/20</f>
        <v>45940.45</v>
      </c>
      <c r="G48" s="190">
        <f t="shared" ref="G48" si="84">F48/F47-1</f>
        <v>0.35412132660606654</v>
      </c>
      <c r="H48" s="190">
        <f t="shared" ref="H48" si="85">F48/F36-1</f>
        <v>0.16025049879675413</v>
      </c>
      <c r="I48" s="130">
        <f t="shared" si="0"/>
        <v>1282.5183903072264</v>
      </c>
      <c r="J48" s="130">
        <f t="shared" si="5"/>
        <v>1.533799821860943</v>
      </c>
      <c r="K48" s="136"/>
      <c r="L48" s="190"/>
      <c r="M48" s="190"/>
      <c r="N48" s="191"/>
      <c r="O48" s="192"/>
      <c r="P48" s="129" t="s">
        <v>1070</v>
      </c>
      <c r="Q48" s="116">
        <v>918809</v>
      </c>
      <c r="R48" s="116">
        <v>1273469635</v>
      </c>
      <c r="S48" s="116">
        <v>716.41</v>
      </c>
      <c r="T48" s="130">
        <f t="shared" ref="T48" si="86">Q48/S48</f>
        <v>1282.5183903072264</v>
      </c>
      <c r="U48" s="85">
        <f t="shared" si="80"/>
        <v>2198443</v>
      </c>
    </row>
    <row r="49" spans="1:26" ht="13.2">
      <c r="A49" s="129" t="s">
        <v>1207</v>
      </c>
      <c r="B49" s="188">
        <f>SUM(F47:F49)</f>
        <v>116443.38675889328</v>
      </c>
      <c r="C49" s="188">
        <f>AVERAGE(F47:F49)</f>
        <v>38814.462252964426</v>
      </c>
      <c r="D49" s="190">
        <f>C49/C46-1</f>
        <v>9.597610856600558E-2</v>
      </c>
      <c r="E49" s="287">
        <f>C49/C37-1</f>
        <v>3.8540187634259038E-2</v>
      </c>
      <c r="F49" s="136">
        <f>Q49/22</f>
        <v>36576.545454545456</v>
      </c>
      <c r="G49" s="190">
        <f t="shared" ref="G49" si="87">F49/F48-1</f>
        <v>-0.20382700964954725</v>
      </c>
      <c r="H49" s="190">
        <f t="shared" ref="H49" si="88">F49/F37-1</f>
        <v>7.4379368582886407E-3</v>
      </c>
      <c r="I49" s="130">
        <f t="shared" si="0"/>
        <v>1113.1332134458432</v>
      </c>
      <c r="J49" s="130">
        <f t="shared" si="5"/>
        <v>0.42307015298719564</v>
      </c>
      <c r="K49" s="136">
        <f>R47+R48+R49</f>
        <v>3457797047</v>
      </c>
      <c r="L49" s="190">
        <f>U49/U46-1</f>
        <v>0.14760928482738422</v>
      </c>
      <c r="M49" s="190">
        <f>K49/K37-1</f>
        <v>9.3842456485448089E-2</v>
      </c>
      <c r="N49" s="191">
        <f>AVERAGE(T47:T49)</f>
        <v>1121.0140960742131</v>
      </c>
      <c r="O49" s="192">
        <f>N49/N46-1</f>
        <v>0.12487062485639111</v>
      </c>
      <c r="P49" s="129" t="s">
        <v>1158</v>
      </c>
      <c r="Q49" s="116">
        <v>804684</v>
      </c>
      <c r="R49" s="116">
        <v>1118646613</v>
      </c>
      <c r="S49" s="116">
        <v>722.9</v>
      </c>
      <c r="T49" s="130">
        <f t="shared" ref="T49" si="89">Q49/S49</f>
        <v>1113.1332134458432</v>
      </c>
      <c r="U49" s="85">
        <f t="shared" si="80"/>
        <v>2503800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74222.944444444438</v>
      </c>
      <c r="G50" s="190">
        <f t="shared" ref="G50" si="90">F50/F49-1</f>
        <v>1.029249715140077</v>
      </c>
      <c r="H50" s="190">
        <f t="shared" ref="H50" si="91">F50/F38-1</f>
        <v>1.8990619803004574</v>
      </c>
      <c r="I50" s="130">
        <f t="shared" ref="I50" si="92">T50</f>
        <v>207.3141135157866</v>
      </c>
      <c r="J50" s="130">
        <f t="shared" ref="J50" si="93">I50/I38-1</f>
        <v>-0.74378053698612168</v>
      </c>
      <c r="K50" s="136"/>
      <c r="L50" s="190"/>
      <c r="M50" s="190"/>
      <c r="N50" s="191"/>
      <c r="O50" s="192"/>
      <c r="P50" s="129" t="s">
        <v>1291</v>
      </c>
      <c r="Q50" s="116">
        <v>1336013</v>
      </c>
      <c r="R50" s="116">
        <v>1891809121</v>
      </c>
      <c r="S50" s="116">
        <v>6444.39</v>
      </c>
      <c r="T50" s="130">
        <f t="shared" ref="T50" si="94">Q50/S50</f>
        <v>207.3141135157866</v>
      </c>
      <c r="U50" s="85">
        <f t="shared" si="80"/>
        <v>3059506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27811.8</v>
      </c>
      <c r="G51" s="190">
        <f t="shared" ref="G51:G52" si="95">F51/F50-1</f>
        <v>-0.6252937658540747</v>
      </c>
      <c r="H51" s="190">
        <f t="shared" ref="H51:H52" si="96">F51/F39-1</f>
        <v>-0.34893552982723686</v>
      </c>
      <c r="I51" s="130">
        <f t="shared" ref="I51:I52" si="97">T51</f>
        <v>809.73010743296356</v>
      </c>
      <c r="J51" s="130">
        <f t="shared" ref="J51:J52" si="98">I51/I39-1</f>
        <v>-0.15635399445398102</v>
      </c>
      <c r="K51" s="136"/>
      <c r="L51" s="190"/>
      <c r="M51" s="190"/>
      <c r="N51" s="191"/>
      <c r="O51" s="192"/>
      <c r="P51" s="129" t="s">
        <v>1402</v>
      </c>
      <c r="Q51" s="116">
        <v>556236</v>
      </c>
      <c r="R51" s="116">
        <v>804045002</v>
      </c>
      <c r="S51" s="116">
        <v>686.94</v>
      </c>
      <c r="T51" s="130">
        <f t="shared" ref="T51:T52" si="99">Q51/S51</f>
        <v>809.73010743296356</v>
      </c>
      <c r="U51" s="85">
        <f t="shared" si="80"/>
        <v>2696933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139814.15353535354</v>
      </c>
      <c r="C52" s="188">
        <f>AVERAGE(F50:F52)</f>
        <v>46604.717845117848</v>
      </c>
      <c r="D52" s="190">
        <f>C52/C49-1</f>
        <v>0.20070497283672784</v>
      </c>
      <c r="E52" s="287">
        <f>C52/C40-1</f>
        <v>0.54548319292277658</v>
      </c>
      <c r="F52" s="136">
        <f>Q52/22</f>
        <v>37779.409090909088</v>
      </c>
      <c r="G52" s="190">
        <f t="shared" si="95"/>
        <v>0.3583949651194489</v>
      </c>
      <c r="H52" s="190">
        <f t="shared" si="96"/>
        <v>0.70588805035970648</v>
      </c>
      <c r="I52" s="130">
        <f t="shared" si="97"/>
        <v>290.64640777717551</v>
      </c>
      <c r="J52" s="130">
        <f t="shared" si="98"/>
        <v>-0.61199733219401309</v>
      </c>
      <c r="K52" s="136">
        <f>R50+R51+R52</f>
        <v>3918960573</v>
      </c>
      <c r="L52" s="190">
        <f>U52/U49-1</f>
        <v>8.7705088265835895E-2</v>
      </c>
      <c r="M52" s="190">
        <f>K52/K40-1</f>
        <v>0.51249542683105731</v>
      </c>
      <c r="N52" s="191">
        <f>AVERAGE(T50:T52)</f>
        <v>435.89687624197524</v>
      </c>
      <c r="O52" s="192">
        <f>N52/N49-1</f>
        <v>-0.61115843434218675</v>
      </c>
      <c r="P52" s="129" t="s">
        <v>1403</v>
      </c>
      <c r="Q52" s="116">
        <v>831147</v>
      </c>
      <c r="R52" s="116">
        <v>1223106450</v>
      </c>
      <c r="S52" s="116">
        <v>2859.65</v>
      </c>
      <c r="T52" s="130">
        <f t="shared" si="99"/>
        <v>290.64640777717551</v>
      </c>
      <c r="U52" s="85">
        <f t="shared" ref="U52" si="100">Q50+Q51+Q52</f>
        <v>2723396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38010.809523809527</v>
      </c>
      <c r="G53" s="190">
        <f t="shared" ref="G53" si="101">F53/F52-1</f>
        <v>6.1250410863658011E-3</v>
      </c>
      <c r="H53" s="190">
        <f t="shared" ref="H53" si="102">F53/F41-1</f>
        <v>-7.5012746824881793E-2</v>
      </c>
      <c r="I53" s="130">
        <f t="shared" ref="I53" si="103">T53</f>
        <v>970.30000243113807</v>
      </c>
      <c r="J53" s="130">
        <f t="shared" ref="J53" si="104">I53/I41-1</f>
        <v>0.21359648395139441</v>
      </c>
      <c r="K53" s="136"/>
      <c r="L53" s="190"/>
      <c r="M53" s="190"/>
      <c r="N53" s="191"/>
      <c r="O53" s="192"/>
      <c r="P53" s="129" t="s">
        <v>1414</v>
      </c>
      <c r="Q53" s="116">
        <v>798227</v>
      </c>
      <c r="R53" s="116">
        <v>1164885631</v>
      </c>
      <c r="S53" s="116">
        <v>822.66</v>
      </c>
      <c r="T53" s="130">
        <f t="shared" ref="T53" si="105">Q53/S53</f>
        <v>970.30000243113807</v>
      </c>
      <c r="U53" s="85">
        <f t="shared" ref="U53" si="106">Q51+Q52+Q53</f>
        <v>2185610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52367.23529411765</v>
      </c>
      <c r="G54" s="190">
        <f t="shared" ref="G54" si="107">F54/F53-1</f>
        <v>0.37769323911176977</v>
      </c>
      <c r="H54" s="190">
        <f t="shared" ref="H54" si="108">F54/F42-1</f>
        <v>1.1761605088967837</v>
      </c>
      <c r="I54" s="130">
        <f t="shared" ref="I54" si="109">T54</f>
        <v>505.52116930904469</v>
      </c>
      <c r="J54" s="130">
        <f t="shared" ref="J54" si="110">I54/I42-1</f>
        <v>1.4011155283858909</v>
      </c>
      <c r="K54" s="136"/>
      <c r="L54" s="190"/>
      <c r="M54" s="190"/>
      <c r="N54" s="191"/>
      <c r="O54" s="192"/>
      <c r="P54" s="129" t="s">
        <v>1417</v>
      </c>
      <c r="Q54" s="116">
        <v>890243</v>
      </c>
      <c r="R54" s="116">
        <v>1290869422</v>
      </c>
      <c r="S54" s="116">
        <v>1761.04</v>
      </c>
      <c r="T54" s="130">
        <f t="shared" ref="T54" si="111">Q54/S54</f>
        <v>505.52116930904469</v>
      </c>
      <c r="U54" s="85">
        <f t="shared" ref="U54" si="112">Q52+Q53+Q54</f>
        <v>2519617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134528.99719887954</v>
      </c>
      <c r="C55" s="188">
        <f>AVERAGE(F53:F55)</f>
        <v>44842.999066293181</v>
      </c>
      <c r="D55" s="190">
        <f>C55/C52-1</f>
        <v>-3.7801296956231134E-2</v>
      </c>
      <c r="E55" s="287">
        <f>C55/C43-1</f>
        <v>0.48126273128414554</v>
      </c>
      <c r="F55" s="136">
        <f>Q55/21</f>
        <v>44150.952380952382</v>
      </c>
      <c r="G55" s="190">
        <f t="shared" ref="G55" si="113">F55/F54-1</f>
        <v>-0.15689739714191464</v>
      </c>
      <c r="H55" s="190">
        <f t="shared" ref="H55" si="114">F55/F43-1</f>
        <v>0.72040604529275054</v>
      </c>
      <c r="I55" s="130">
        <f>T55</f>
        <v>543.56518068616185</v>
      </c>
      <c r="J55" s="130">
        <f t="shared" ref="J55" si="115">I55/I43-1</f>
        <v>-0.34449636981209053</v>
      </c>
      <c r="K55" s="136">
        <f>R53+R54+R55</f>
        <v>3822716892</v>
      </c>
      <c r="L55" s="190">
        <f>U55/U52-1</f>
        <v>-3.9566776186790276E-2</v>
      </c>
      <c r="M55" s="190">
        <f>K55/K43-1</f>
        <v>0.51676506281580337</v>
      </c>
      <c r="N55" s="191">
        <f>AVERAGE(T53:T55)</f>
        <v>673.12878414211491</v>
      </c>
      <c r="O55" s="192">
        <f>N55/N52-1</f>
        <v>0.5442386051155077</v>
      </c>
      <c r="P55" s="129" t="s">
        <v>1418</v>
      </c>
      <c r="Q55" s="116">
        <v>927170</v>
      </c>
      <c r="R55" s="116">
        <v>1366961839</v>
      </c>
      <c r="S55" s="116">
        <v>1705.72</v>
      </c>
      <c r="T55" s="130">
        <f t="shared" ref="T55" si="116">Q55/S55</f>
        <v>543.56518068616185</v>
      </c>
      <c r="U55" s="85">
        <f t="shared" ref="U55" si="117">Q53+Q54+Q55</f>
        <v>2615640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22863.636363636364</v>
      </c>
      <c r="G56" s="190">
        <f t="shared" ref="G56" si="118">F56/F55-1</f>
        <v>-0.48214851253129021</v>
      </c>
      <c r="H56" s="190">
        <f t="shared" ref="H56" si="119">F56/F44-1</f>
        <v>-0.44978314017403487</v>
      </c>
      <c r="I56" s="291">
        <f>T56</f>
        <v>712.60589918680762</v>
      </c>
      <c r="J56" s="130">
        <f t="shared" ref="J56" si="120">I56/I44-1</f>
        <v>-0.39252897029018086</v>
      </c>
      <c r="K56" s="136"/>
      <c r="L56" s="190"/>
      <c r="M56" s="190"/>
      <c r="N56" s="191"/>
      <c r="O56" s="192"/>
      <c r="P56" s="129" t="s">
        <v>1420</v>
      </c>
      <c r="Q56" s="116">
        <v>503000</v>
      </c>
      <c r="R56" s="116">
        <v>750235493</v>
      </c>
      <c r="S56" s="116">
        <v>705.86</v>
      </c>
      <c r="T56" s="130">
        <f t="shared" ref="T56" si="121">Q56/S56</f>
        <v>712.60589918680762</v>
      </c>
      <c r="U56" s="85">
        <f t="shared" ref="U56" si="122">Q54+Q55+Q56</f>
        <v>2320413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60232.666666666664</v>
      </c>
      <c r="G57" s="254">
        <f t="shared" ref="G57" si="123">F57/F56-1</f>
        <v>1.6344307488402916</v>
      </c>
      <c r="H57" s="254">
        <f t="shared" ref="H57" si="124">F57/F45-1</f>
        <v>0.56806696509732379</v>
      </c>
      <c r="I57" s="282">
        <f>T57</f>
        <v>1031.9850369080084</v>
      </c>
      <c r="J57" s="277">
        <f t="shared" ref="J57" si="125">I57/I45-1</f>
        <v>-9.4305223668947891E-3</v>
      </c>
      <c r="K57" s="204"/>
      <c r="L57" s="254"/>
      <c r="M57" s="254"/>
      <c r="N57" s="257"/>
      <c r="O57" s="258"/>
      <c r="P57" s="129" t="s">
        <v>1436</v>
      </c>
      <c r="Q57" s="116">
        <v>722792</v>
      </c>
      <c r="R57" s="116">
        <v>1063436155</v>
      </c>
      <c r="S57" s="116">
        <v>700.39</v>
      </c>
      <c r="T57" s="130">
        <f t="shared" ref="T57" si="126">Q57/S57</f>
        <v>1031.9850369080084</v>
      </c>
      <c r="U57" s="85">
        <f t="shared" ref="U57" si="127">Q55+Q56+Q57</f>
        <v>2152962</v>
      </c>
      <c r="V57" s="79"/>
      <c r="W57" s="79"/>
      <c r="X57" s="79"/>
      <c r="Y57" s="79"/>
      <c r="Z57" s="79"/>
    </row>
    <row r="58" spans="1:26">
      <c r="B58" s="196">
        <f>SUM(F56:F58)</f>
        <v>83096.303030303025</v>
      </c>
      <c r="C58" s="196">
        <f>AVERAGE(F56:F58)</f>
        <v>41548.151515151512</v>
      </c>
      <c r="D58" s="197">
        <f>C58/C55-1</f>
        <v>-7.3475182743035661E-2</v>
      </c>
      <c r="E58" s="233">
        <f>C58/C46-1</f>
        <v>0.17316532994628253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3841432</v>
      </c>
      <c r="R66" s="212">
        <v>5636388540</v>
      </c>
      <c r="S66" s="213">
        <v>5695.7</v>
      </c>
      <c r="T66" s="214">
        <v>24</v>
      </c>
      <c r="U66" s="214">
        <v>62</v>
      </c>
    </row>
    <row r="67" spans="16:21" ht="18" thickBot="1">
      <c r="P67" s="180" t="s">
        <v>976</v>
      </c>
      <c r="Q67" s="181">
        <v>798227</v>
      </c>
      <c r="R67" s="181">
        <v>1164885631</v>
      </c>
      <c r="S67" s="210">
        <v>822.66</v>
      </c>
      <c r="T67" s="210">
        <v>12</v>
      </c>
      <c r="U67" s="210">
        <v>32</v>
      </c>
    </row>
    <row r="68" spans="16:21" ht="18" thickBot="1">
      <c r="P68" s="180" t="s">
        <v>977</v>
      </c>
      <c r="Q68" s="181">
        <v>890243</v>
      </c>
      <c r="R68" s="181">
        <v>1290869422</v>
      </c>
      <c r="S68" s="182">
        <v>1761.04</v>
      </c>
      <c r="T68" s="210">
        <v>10</v>
      </c>
      <c r="U68" s="210">
        <v>28</v>
      </c>
    </row>
    <row r="69" spans="16:21" ht="18" thickBot="1">
      <c r="P69" s="180" t="s">
        <v>978</v>
      </c>
      <c r="Q69" s="181">
        <v>927170</v>
      </c>
      <c r="R69" s="181">
        <v>1366961839</v>
      </c>
      <c r="S69" s="182">
        <v>1705.72</v>
      </c>
      <c r="T69" s="210">
        <v>12</v>
      </c>
      <c r="U69" s="210">
        <v>31</v>
      </c>
    </row>
    <row r="70" spans="16:21" ht="18" thickBot="1">
      <c r="P70" s="180" t="s">
        <v>979</v>
      </c>
      <c r="Q70" s="181">
        <v>503000</v>
      </c>
      <c r="R70" s="181">
        <v>750235493</v>
      </c>
      <c r="S70" s="210">
        <v>705.86</v>
      </c>
      <c r="T70" s="210">
        <v>13</v>
      </c>
      <c r="U70" s="210">
        <v>30</v>
      </c>
    </row>
    <row r="71" spans="16:21" ht="18" thickBot="1">
      <c r="P71" s="180" t="s">
        <v>980</v>
      </c>
      <c r="Q71" s="181">
        <v>722792</v>
      </c>
      <c r="R71" s="181">
        <v>1063436155</v>
      </c>
      <c r="S71" s="210">
        <v>700.39</v>
      </c>
      <c r="T71" s="210">
        <v>6</v>
      </c>
      <c r="U71" s="210">
        <v>20</v>
      </c>
    </row>
    <row r="72" spans="16:21" ht="18" thickBot="1">
      <c r="P72" s="180" t="s">
        <v>975</v>
      </c>
      <c r="Q72" s="181">
        <v>9143174</v>
      </c>
      <c r="R72" s="181">
        <v>12992045118</v>
      </c>
      <c r="S72" s="182">
        <v>18228.439999999999</v>
      </c>
      <c r="T72" s="210">
        <v>38</v>
      </c>
      <c r="U72" s="210">
        <v>152</v>
      </c>
    </row>
    <row r="73" spans="16:21" ht="18" thickBot="1">
      <c r="P73" s="215" t="s">
        <v>982</v>
      </c>
      <c r="Q73" s="216">
        <v>8053447</v>
      </c>
      <c r="R73"/>
      <c r="S73"/>
      <c r="T73"/>
      <c r="U73"/>
    </row>
  </sheetData>
  <phoneticPr fontId="1" type="noConversion"/>
  <conditionalFormatting sqref="C29:C30">
    <cfRule type="cellIs" dxfId="1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75">
    <tabColor rgb="FFFF0000"/>
  </sheetPr>
  <dimension ref="A1:Z58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 t="s">
        <v>371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262</v>
      </c>
      <c r="F4" s="84" t="s">
        <v>72</v>
      </c>
      <c r="G4" s="172" t="s">
        <v>282</v>
      </c>
      <c r="H4" s="172" t="s">
        <v>262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1241481.6499999999</v>
      </c>
      <c r="G5" s="90"/>
      <c r="H5" s="90"/>
      <c r="I5" s="130">
        <f t="shared" ref="I5:I49" si="0">T5</f>
        <v>1.5806011928094406</v>
      </c>
      <c r="J5" s="130"/>
      <c r="L5" s="80"/>
      <c r="P5" s="129" t="s">
        <v>0</v>
      </c>
      <c r="Q5" s="116">
        <f>'라이신(1)'!Q5+'라이신(2)'!Q5</f>
        <v>24829633</v>
      </c>
      <c r="R5" s="116">
        <f>'라이신(1)'!R5+'라이신(2)'!R5</f>
        <v>0</v>
      </c>
      <c r="S5" s="116">
        <f>'라이신(1)'!S5+'라이신(2)'!S5</f>
        <v>15708980.299999999</v>
      </c>
      <c r="T5" s="130">
        <f t="shared" ref="T5:T25" si="1">Q5/S5</f>
        <v>1.5806011928094406</v>
      </c>
      <c r="U5" s="85"/>
    </row>
    <row r="6" spans="1:21" ht="15" hidden="1" customHeight="1">
      <c r="A6" s="129" t="s">
        <v>1</v>
      </c>
      <c r="C6" s="79"/>
      <c r="F6" s="78">
        <f>Q6/18</f>
        <v>1257009.388888889</v>
      </c>
      <c r="G6" s="90">
        <f t="shared" ref="G6:G25" si="2">F6/F5-1</f>
        <v>1.2507425211552015E-2</v>
      </c>
      <c r="H6" s="90"/>
      <c r="I6" s="130">
        <f t="shared" si="0"/>
        <v>1.6477848412529998</v>
      </c>
      <c r="J6" s="130"/>
      <c r="P6" s="129" t="s">
        <v>1</v>
      </c>
      <c r="Q6" s="116">
        <f>'라이신(1)'!Q6+'라이신(2)'!Q6</f>
        <v>22626169</v>
      </c>
      <c r="R6" s="116">
        <f>'라이신(1)'!R6+'라이신(2)'!R6</f>
        <v>0</v>
      </c>
      <c r="S6" s="116">
        <f>'라이신(1)'!S6+'라이신(2)'!S6</f>
        <v>13731264.199999999</v>
      </c>
      <c r="T6" s="130">
        <f t="shared" si="1"/>
        <v>1.6477848412529998</v>
      </c>
      <c r="U6" s="85"/>
    </row>
    <row r="7" spans="1:21" ht="15" hidden="1" customHeight="1">
      <c r="A7" s="129" t="s">
        <v>2</v>
      </c>
      <c r="B7" s="131">
        <f>F5+F6+F7</f>
        <v>3796584.4934343435</v>
      </c>
      <c r="C7" s="131">
        <f>AVERAGE(F5:F7)</f>
        <v>1265528.1644781146</v>
      </c>
      <c r="F7" s="78">
        <f>Q7/22</f>
        <v>1298093.4545454546</v>
      </c>
      <c r="G7" s="90">
        <f t="shared" si="2"/>
        <v>3.2683976762402089E-2</v>
      </c>
      <c r="H7" s="90"/>
      <c r="I7" s="130">
        <f t="shared" si="0"/>
        <v>1.4698695602696035</v>
      </c>
      <c r="J7" s="130"/>
      <c r="K7" s="79">
        <f>R5+R6+R7</f>
        <v>0</v>
      </c>
      <c r="L7" s="102">
        <f>S5+S6+S7</f>
        <v>48869217.5</v>
      </c>
      <c r="N7" s="88">
        <f>AVERAGE(T5:T7)</f>
        <v>1.5660851981106811</v>
      </c>
      <c r="P7" s="129" t="s">
        <v>2</v>
      </c>
      <c r="Q7" s="116">
        <f>'라이신(1)'!Q7+'라이신(2)'!Q7</f>
        <v>28558056</v>
      </c>
      <c r="R7" s="116">
        <f>'라이신(1)'!R7+'라이신(2)'!R7</f>
        <v>0</v>
      </c>
      <c r="S7" s="116">
        <f>'라이신(1)'!S7+'라이신(2)'!S7</f>
        <v>19428973</v>
      </c>
      <c r="T7" s="130">
        <f t="shared" si="1"/>
        <v>1.4698695602696035</v>
      </c>
      <c r="U7" s="85">
        <f>Q5+Q6+Q7</f>
        <v>76013858</v>
      </c>
    </row>
    <row r="8" spans="1:21" ht="15" hidden="1" customHeight="1">
      <c r="A8" s="129" t="s">
        <v>3</v>
      </c>
      <c r="C8" s="79"/>
      <c r="F8" s="78">
        <f>Q8/21</f>
        <v>570974.61904761905</v>
      </c>
      <c r="G8" s="90">
        <f t="shared" si="2"/>
        <v>-0.56014367297803402</v>
      </c>
      <c r="H8" s="90"/>
      <c r="I8" s="130">
        <f t="shared" si="0"/>
        <v>1.9450348082784596</v>
      </c>
      <c r="J8" s="130"/>
      <c r="K8" s="78"/>
      <c r="P8" s="129" t="s">
        <v>3</v>
      </c>
      <c r="Q8" s="116">
        <f>'라이신(1)'!Q8+'라이신(2)'!Q8</f>
        <v>11990467</v>
      </c>
      <c r="R8" s="116">
        <f>'라이신(1)'!R8+'라이신(2)'!R8</f>
        <v>0</v>
      </c>
      <c r="S8" s="116">
        <f>'라이신(1)'!S8+'라이신(2)'!S8</f>
        <v>6164654.1999999993</v>
      </c>
      <c r="T8" s="130">
        <f t="shared" si="1"/>
        <v>1.9450348082784596</v>
      </c>
      <c r="U8" s="85"/>
    </row>
    <row r="9" spans="1:21" ht="15" hidden="1" customHeight="1">
      <c r="A9" s="129" t="s">
        <v>4</v>
      </c>
      <c r="C9" s="79"/>
      <c r="F9" s="78">
        <f>Q9/21</f>
        <v>897793.42857142852</v>
      </c>
      <c r="G9" s="90">
        <f t="shared" si="2"/>
        <v>0.57238763094047962</v>
      </c>
      <c r="H9" s="90"/>
      <c r="I9" s="130">
        <f t="shared" si="0"/>
        <v>1.6452774293865622</v>
      </c>
      <c r="J9" s="130"/>
      <c r="K9" s="78"/>
      <c r="P9" s="129" t="s">
        <v>4</v>
      </c>
      <c r="Q9" s="116">
        <f>'라이신(1)'!Q9+'라이신(2)'!Q9</f>
        <v>18853662</v>
      </c>
      <c r="R9" s="116">
        <f>'라이신(1)'!R9+'라이신(2)'!R9</f>
        <v>0</v>
      </c>
      <c r="S9" s="116">
        <f>'라이신(1)'!S9+'라이신(2)'!S9</f>
        <v>11459260.1</v>
      </c>
      <c r="T9" s="130">
        <f t="shared" si="1"/>
        <v>1.6452774293865622</v>
      </c>
      <c r="U9" s="85"/>
    </row>
    <row r="10" spans="1:21" ht="15" hidden="1" customHeight="1">
      <c r="A10" s="129" t="s">
        <v>5</v>
      </c>
      <c r="B10" s="131">
        <f>F8+F9+F10</f>
        <v>1858762.8095238095</v>
      </c>
      <c r="C10" s="131">
        <f>AVERAGE(F8:F10)</f>
        <v>619587.60317460319</v>
      </c>
      <c r="D10" s="90">
        <f>C10/C7-1</f>
        <v>-0.51041184181775034</v>
      </c>
      <c r="E10" s="286"/>
      <c r="F10" s="78">
        <f>Q10/21</f>
        <v>389994.76190476189</v>
      </c>
      <c r="G10" s="90">
        <f t="shared" si="2"/>
        <v>-0.56560746660250938</v>
      </c>
      <c r="H10" s="90"/>
      <c r="I10" s="130">
        <f t="shared" si="0"/>
        <v>1.8755587820383637</v>
      </c>
      <c r="J10" s="130"/>
      <c r="K10" s="79">
        <f>R8+R9+R10</f>
        <v>0</v>
      </c>
      <c r="L10" s="102">
        <f>U10/U7-1</f>
        <v>-0.48648812167907596</v>
      </c>
      <c r="N10" s="88">
        <f>AVERAGE(T8:T10)</f>
        <v>1.8219570065677952</v>
      </c>
      <c r="O10" s="89">
        <f>N10/N7-1</f>
        <v>0.16338307057993839</v>
      </c>
      <c r="P10" s="129" t="s">
        <v>5</v>
      </c>
      <c r="Q10" s="116">
        <f>'라이신(1)'!Q10+'라이신(2)'!Q10</f>
        <v>8189890</v>
      </c>
      <c r="R10" s="116">
        <f>'라이신(1)'!R10+'라이신(2)'!R10</f>
        <v>0</v>
      </c>
      <c r="S10" s="116">
        <f>'라이신(1)'!S10+'라이신(2)'!S10</f>
        <v>4366640</v>
      </c>
      <c r="T10" s="130">
        <f t="shared" si="1"/>
        <v>1.8755587820383637</v>
      </c>
      <c r="U10" s="85">
        <f>Q8+Q9+Q10</f>
        <v>39034019</v>
      </c>
    </row>
    <row r="11" spans="1:21" ht="15" hidden="1" customHeight="1">
      <c r="A11" s="129" t="s">
        <v>6</v>
      </c>
      <c r="C11" s="79"/>
      <c r="F11" s="78">
        <f>Q11/21</f>
        <v>286286.71428571426</v>
      </c>
      <c r="G11" s="90">
        <f t="shared" si="2"/>
        <v>-0.26592164241522176</v>
      </c>
      <c r="H11" s="90"/>
      <c r="I11" s="130">
        <f t="shared" si="0"/>
        <v>1.4546174021185272</v>
      </c>
      <c r="J11" s="130"/>
      <c r="K11" s="78"/>
      <c r="O11" s="89"/>
      <c r="P11" s="129" t="s">
        <v>6</v>
      </c>
      <c r="Q11" s="116">
        <f>'라이신(1)'!Q11+'라이신(2)'!Q11</f>
        <v>6012021</v>
      </c>
      <c r="R11" s="116">
        <f>'라이신(1)'!R11+'라이신(2)'!R11</f>
        <v>0</v>
      </c>
      <c r="S11" s="116">
        <f>'라이신(1)'!S11+'라이신(2)'!S11</f>
        <v>4133060</v>
      </c>
      <c r="T11" s="130">
        <f t="shared" si="1"/>
        <v>1.4546174021185272</v>
      </c>
      <c r="U11" s="85"/>
    </row>
    <row r="12" spans="1:21" ht="15" hidden="1" customHeight="1">
      <c r="A12" s="129" t="s">
        <v>7</v>
      </c>
      <c r="C12" s="79"/>
      <c r="F12" s="78">
        <f>Q12/22</f>
        <v>182435.18181818182</v>
      </c>
      <c r="G12" s="90">
        <f t="shared" si="2"/>
        <v>-0.36275358682515935</v>
      </c>
      <c r="H12" s="90"/>
      <c r="I12" s="130">
        <f t="shared" si="0"/>
        <v>1.4106672383978405</v>
      </c>
      <c r="J12" s="130"/>
      <c r="K12" s="78"/>
      <c r="O12" s="89"/>
      <c r="P12" s="129" t="s">
        <v>7</v>
      </c>
      <c r="Q12" s="116">
        <f>'라이신(1)'!Q12+'라이신(2)'!Q12</f>
        <v>4013574</v>
      </c>
      <c r="R12" s="116">
        <f>'라이신(1)'!R12+'라이신(2)'!R12</f>
        <v>0</v>
      </c>
      <c r="S12" s="116">
        <f>'라이신(1)'!S12+'라이신(2)'!S12</f>
        <v>2845160</v>
      </c>
      <c r="T12" s="130">
        <f t="shared" si="1"/>
        <v>1.4106672383978405</v>
      </c>
      <c r="U12" s="85"/>
    </row>
    <row r="13" spans="1:21" ht="15" hidden="1" customHeight="1">
      <c r="A13" s="129" t="s">
        <v>96</v>
      </c>
      <c r="B13" s="131">
        <f>F11+F12+F13</f>
        <v>802867.44610389601</v>
      </c>
      <c r="C13" s="131">
        <f>AVERAGE(F11:F13)</f>
        <v>267622.482034632</v>
      </c>
      <c r="D13" s="90">
        <f>C13/C10-1</f>
        <v>-0.56806353022009293</v>
      </c>
      <c r="E13" s="286"/>
      <c r="F13" s="78">
        <f>Q13/20</f>
        <v>334145.55</v>
      </c>
      <c r="G13" s="90">
        <f t="shared" si="2"/>
        <v>0.83158504116281384</v>
      </c>
      <c r="H13" s="90"/>
      <c r="I13" s="130">
        <f t="shared" si="0"/>
        <v>1.2353878503098152</v>
      </c>
      <c r="J13" s="130"/>
      <c r="K13" s="79">
        <f>R11+R12+R13</f>
        <v>0</v>
      </c>
      <c r="L13" s="102">
        <f>U13/U10-1</f>
        <v>-0.57195014943247324</v>
      </c>
      <c r="N13" s="88">
        <f>AVERAGE(T11:T13)</f>
        <v>1.3668908302753942</v>
      </c>
      <c r="O13" s="89">
        <f>N13/N10-1</f>
        <v>-0.24976779070635446</v>
      </c>
      <c r="P13" s="129" t="s">
        <v>96</v>
      </c>
      <c r="Q13" s="116">
        <f>'라이신(1)'!Q13+'라이신(2)'!Q13</f>
        <v>6682911</v>
      </c>
      <c r="R13" s="116">
        <f>'라이신(1)'!R13+'라이신(2)'!R13</f>
        <v>0</v>
      </c>
      <c r="S13" s="116">
        <f>'라이신(1)'!S13+'라이신(2)'!S13</f>
        <v>5409565.0999999996</v>
      </c>
      <c r="T13" s="130">
        <f t="shared" si="1"/>
        <v>1.2353878503098152</v>
      </c>
      <c r="U13" s="85">
        <f>Q11+Q12+Q13</f>
        <v>16708506</v>
      </c>
    </row>
    <row r="14" spans="1:21" ht="15" hidden="1" customHeight="1">
      <c r="A14" s="129" t="s">
        <v>97</v>
      </c>
      <c r="C14" s="79"/>
      <c r="F14" s="78">
        <f>Q14/20</f>
        <v>396528.65</v>
      </c>
      <c r="G14" s="90">
        <f t="shared" si="2"/>
        <v>0.18669439111189723</v>
      </c>
      <c r="H14" s="90"/>
      <c r="I14" s="130">
        <f t="shared" si="0"/>
        <v>1.1573942274660571</v>
      </c>
      <c r="J14" s="130"/>
      <c r="O14" s="89"/>
      <c r="P14" s="129" t="s">
        <v>97</v>
      </c>
      <c r="Q14" s="116">
        <f>'라이신(1)'!Q14+'라이신(2)'!Q14</f>
        <v>7930573</v>
      </c>
      <c r="R14" s="116">
        <f>'라이신(1)'!R14+'라이신(2)'!R14</f>
        <v>0</v>
      </c>
      <c r="S14" s="116">
        <f>'라이신(1)'!S14+'라이신(2)'!S14</f>
        <v>6852093.0999999996</v>
      </c>
      <c r="T14" s="130">
        <f t="shared" si="1"/>
        <v>1.1573942274660571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445195.22727272729</v>
      </c>
      <c r="G15" s="90">
        <f t="shared" si="2"/>
        <v>0.12273155362853916</v>
      </c>
      <c r="H15" s="90"/>
      <c r="I15" s="130">
        <f t="shared" si="0"/>
        <v>1.1504914755307678</v>
      </c>
      <c r="J15" s="130"/>
      <c r="O15" s="89"/>
      <c r="P15" s="129" t="s">
        <v>98</v>
      </c>
      <c r="Q15" s="116">
        <f>'라이신(1)'!Q15+'라이신(2)'!Q15</f>
        <v>9794295</v>
      </c>
      <c r="R15" s="116">
        <f>'라이신(1)'!R15+'라이신(2)'!R15</f>
        <v>0</v>
      </c>
      <c r="S15" s="116">
        <f>'라이신(1)'!S15+'라이신(2)'!S15</f>
        <v>8513140</v>
      </c>
      <c r="T15" s="130">
        <f t="shared" si="1"/>
        <v>1.1504914755307678</v>
      </c>
      <c r="U15" s="78"/>
    </row>
    <row r="16" spans="1:21" ht="15" hidden="1" customHeight="1">
      <c r="A16" s="129" t="s">
        <v>99</v>
      </c>
      <c r="B16" s="131">
        <f>F14+F15+F16</f>
        <v>1234485.6499999999</v>
      </c>
      <c r="C16" s="131">
        <f>AVERAGE(F14:F16)</f>
        <v>411495.21666666662</v>
      </c>
      <c r="D16" s="90">
        <f>C16/C13-1</f>
        <v>0.53759584597760579</v>
      </c>
      <c r="E16" s="286"/>
      <c r="F16" s="78">
        <f>Q16/22</f>
        <v>392761.77272727271</v>
      </c>
      <c r="G16" s="90">
        <f t="shared" si="2"/>
        <v>-0.1177763177441562</v>
      </c>
      <c r="H16" s="90"/>
      <c r="I16" s="130">
        <f t="shared" si="0"/>
        <v>1.1569170445920613</v>
      </c>
      <c r="J16" s="130"/>
      <c r="K16" s="79">
        <f>R14+R15+R16</f>
        <v>0</v>
      </c>
      <c r="L16" s="102">
        <f>U16/U13-1</f>
        <v>0.5779763313368651</v>
      </c>
      <c r="N16" s="88">
        <f>AVERAGE(T14:T16)</f>
        <v>1.1549342491962955</v>
      </c>
      <c r="O16" s="89">
        <f>N16/N13-1</f>
        <v>-0.15506474722373753</v>
      </c>
      <c r="P16" s="129" t="s">
        <v>99</v>
      </c>
      <c r="Q16" s="116">
        <f>'라이신(1)'!Q16+'라이신(2)'!Q16</f>
        <v>8640759</v>
      </c>
      <c r="R16" s="116">
        <f>'라이신(1)'!R16+'라이신(2)'!R16</f>
        <v>0</v>
      </c>
      <c r="S16" s="116">
        <f>'라이신(1)'!S16+'라이신(2)'!S16</f>
        <v>7468780.0999999996</v>
      </c>
      <c r="T16" s="130">
        <f t="shared" si="1"/>
        <v>1.1569170445920613</v>
      </c>
      <c r="U16" s="85">
        <f>Q14+Q15+Q16</f>
        <v>26365627</v>
      </c>
    </row>
    <row r="17" spans="1:21" ht="15" hidden="1" customHeight="1">
      <c r="A17" s="129" t="s">
        <v>100</v>
      </c>
      <c r="C17" s="79"/>
      <c r="F17" s="78">
        <f>Q17/20</f>
        <v>292811.59999999998</v>
      </c>
      <c r="G17" s="90">
        <f t="shared" si="2"/>
        <v>-0.25448039923344701</v>
      </c>
      <c r="H17" s="90">
        <f t="shared" ref="H17:H25" si="3">F17/F5-1</f>
        <v>-0.76414343296979059</v>
      </c>
      <c r="I17" s="130">
        <f t="shared" si="0"/>
        <v>1.2624780643425257</v>
      </c>
      <c r="J17" s="130">
        <f t="shared" ref="J17:J49" si="4">I17/I5-1</f>
        <v>-0.20126716967830871</v>
      </c>
      <c r="O17" s="89"/>
      <c r="P17" s="129" t="s">
        <v>100</v>
      </c>
      <c r="Q17" s="116">
        <f>'라이신(1)'!Q17+'라이신(2)'!Q17</f>
        <v>5856232</v>
      </c>
      <c r="R17" s="116">
        <f>'라이신(1)'!R17+'라이신(2)'!R17</f>
        <v>7387212098</v>
      </c>
      <c r="S17" s="116">
        <f>'라이신(1)'!S17+'라이신(2)'!S17</f>
        <v>4638680.2</v>
      </c>
      <c r="T17" s="130">
        <f t="shared" si="1"/>
        <v>1.2624780643425257</v>
      </c>
      <c r="U17" s="78"/>
    </row>
    <row r="18" spans="1:21" ht="15" hidden="1" customHeight="1">
      <c r="A18" s="129" t="s">
        <v>106</v>
      </c>
      <c r="C18" s="79"/>
      <c r="F18" s="78">
        <f>Q18/20</f>
        <v>203823.15</v>
      </c>
      <c r="G18" s="90">
        <f t="shared" si="2"/>
        <v>-0.30391026175192515</v>
      </c>
      <c r="H18" s="90">
        <f t="shared" si="3"/>
        <v>-0.83785073381180886</v>
      </c>
      <c r="I18" s="130">
        <f t="shared" si="0"/>
        <v>1.3542930610938491</v>
      </c>
      <c r="J18" s="130">
        <f t="shared" si="4"/>
        <v>-0.17811292640365306</v>
      </c>
      <c r="O18" s="89"/>
      <c r="P18" s="129" t="s">
        <v>106</v>
      </c>
      <c r="Q18" s="116">
        <f>'라이신(1)'!Q18+'라이신(2)'!Q18</f>
        <v>4076463</v>
      </c>
      <c r="R18" s="116">
        <f>'라이신(1)'!R18+'라이신(2)'!R18</f>
        <v>5123615524</v>
      </c>
      <c r="S18" s="116">
        <f>'라이신(1)'!S18+'라이신(2)'!S18</f>
        <v>3010030.19</v>
      </c>
      <c r="T18" s="130">
        <f t="shared" si="1"/>
        <v>1.3542930610938491</v>
      </c>
      <c r="U18" s="78"/>
    </row>
    <row r="19" spans="1:21" hidden="1">
      <c r="A19" s="129" t="s">
        <v>114</v>
      </c>
      <c r="B19" s="131">
        <f>SUM(F17:F19)</f>
        <v>595968.88636363635</v>
      </c>
      <c r="C19" s="131">
        <f>AVERAGE(F17:F19)</f>
        <v>198656.29545454544</v>
      </c>
      <c r="D19" s="90">
        <f>C19/C16-1</f>
        <v>-0.51723303842078971</v>
      </c>
      <c r="E19" s="286">
        <f>C19/C7-1</f>
        <v>-0.84302499064770453</v>
      </c>
      <c r="F19" s="78">
        <f>Q19/22</f>
        <v>99334.136363636368</v>
      </c>
      <c r="G19" s="90">
        <f t="shared" si="2"/>
        <v>-0.51264546562234781</v>
      </c>
      <c r="H19" s="90">
        <f t="shared" si="3"/>
        <v>-0.92347689912786779</v>
      </c>
      <c r="I19" s="130">
        <f t="shared" si="0"/>
        <v>1.2827464561382913</v>
      </c>
      <c r="J19" s="130">
        <f t="shared" si="4"/>
        <v>-0.12730592508969985</v>
      </c>
      <c r="K19" s="79">
        <f>R17+R18+R19</f>
        <v>15369351707</v>
      </c>
      <c r="L19" s="102">
        <f>U19/U16-1</f>
        <v>-0.54038468343650625</v>
      </c>
      <c r="M19" s="87">
        <f>U19/U7-1</f>
        <v>-0.84058109509452872</v>
      </c>
      <c r="N19" s="88">
        <f>AVERAGE(T17:T19)</f>
        <v>1.2998391938582221</v>
      </c>
      <c r="O19" s="89">
        <f>N19/N16-1</f>
        <v>0.1254659689612323</v>
      </c>
      <c r="P19" s="129" t="s">
        <v>114</v>
      </c>
      <c r="Q19" s="116">
        <f>'라이신(1)'!Q19+'라이신(2)'!Q19</f>
        <v>2185351</v>
      </c>
      <c r="R19" s="116">
        <f>'라이신(1)'!R19+'라이신(2)'!R19</f>
        <v>2858524085</v>
      </c>
      <c r="S19" s="116">
        <f>'라이신(1)'!S19+'라이신(2)'!S19</f>
        <v>1703650</v>
      </c>
      <c r="T19" s="130">
        <f t="shared" si="1"/>
        <v>1.2827464561382913</v>
      </c>
      <c r="U19" s="85">
        <f>Q17+Q18+Q19</f>
        <v>12118046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183027.9</v>
      </c>
      <c r="G20" s="90">
        <f t="shared" si="2"/>
        <v>0.84254785615674543</v>
      </c>
      <c r="H20" s="90">
        <f t="shared" si="3"/>
        <v>-0.67944652197449851</v>
      </c>
      <c r="I20" s="130">
        <f t="shared" si="0"/>
        <v>1.1266524410005734</v>
      </c>
      <c r="J20" s="130">
        <f t="shared" si="4"/>
        <v>-0.42075461261396774</v>
      </c>
      <c r="O20" s="89"/>
      <c r="P20" s="129" t="s">
        <v>132</v>
      </c>
      <c r="Q20" s="116">
        <f>'라이신(1)'!Q20+'라이신(2)'!Q20</f>
        <v>3660558</v>
      </c>
      <c r="R20" s="116">
        <f>'라이신(1)'!R20+'라이신(2)'!R20</f>
        <v>4811817809</v>
      </c>
      <c r="S20" s="116">
        <f>'라이신(1)'!S20+'라이신(2)'!S20</f>
        <v>3249057</v>
      </c>
      <c r="T20" s="130">
        <f t="shared" si="1"/>
        <v>1.1266524410005734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178895.28571428571</v>
      </c>
      <c r="G21" s="90">
        <f t="shared" si="2"/>
        <v>-2.2579149330316794E-2</v>
      </c>
      <c r="H21" s="90">
        <f t="shared" si="3"/>
        <v>-0.80073892276206071</v>
      </c>
      <c r="I21" s="130">
        <f t="shared" si="0"/>
        <v>1.1345087267020393</v>
      </c>
      <c r="J21" s="130">
        <f t="shared" si="4"/>
        <v>-0.31044533497001892</v>
      </c>
      <c r="O21" s="89"/>
      <c r="P21" s="129" t="s">
        <v>141</v>
      </c>
      <c r="Q21" s="116">
        <f>'라이신(1)'!Q21+'라이신(2)'!Q21</f>
        <v>3756801</v>
      </c>
      <c r="R21" s="116">
        <f>'라이신(1)'!R21+'라이신(2)'!R21</f>
        <v>5011223898</v>
      </c>
      <c r="S21" s="116">
        <f>'라이신(1)'!S21+'라이신(2)'!S21</f>
        <v>3311390.13</v>
      </c>
      <c r="T21" s="130">
        <f t="shared" si="1"/>
        <v>1.1345087267020393</v>
      </c>
      <c r="U21" s="78"/>
    </row>
    <row r="22" spans="1:21" hidden="1">
      <c r="A22" s="129" t="s">
        <v>155</v>
      </c>
      <c r="B22" s="131">
        <f>SUM(F20:F22)</f>
        <v>597434.61428571423</v>
      </c>
      <c r="C22" s="131">
        <f>AVERAGE(F20:F22)</f>
        <v>199144.87142857141</v>
      </c>
      <c r="D22" s="90">
        <f>C22/C19-1</f>
        <v>2.4594034279561416E-3</v>
      </c>
      <c r="E22" s="286">
        <f>C22/C10-1</f>
        <v>-0.6785848031687437</v>
      </c>
      <c r="F22" s="78">
        <f>Q22/21</f>
        <v>235511.42857142858</v>
      </c>
      <c r="G22" s="90">
        <f t="shared" si="2"/>
        <v>0.31647643833144223</v>
      </c>
      <c r="H22" s="90">
        <f t="shared" si="3"/>
        <v>-0.39611643135622088</v>
      </c>
      <c r="I22" s="130">
        <f t="shared" si="0"/>
        <v>1.1241429039396893</v>
      </c>
      <c r="J22" s="130">
        <f t="shared" si="4"/>
        <v>-0.40063573869011615</v>
      </c>
      <c r="K22" s="79">
        <f>R20+R21+R22</f>
        <v>16277150639</v>
      </c>
      <c r="L22" s="102">
        <f>U22/U19-1</f>
        <v>2.0222154627899558E-2</v>
      </c>
      <c r="M22" s="87">
        <f>U22/U10-1</f>
        <v>-0.68327373617356701</v>
      </c>
      <c r="N22" s="88">
        <f>AVERAGE(T20:T22)</f>
        <v>1.1284346905474341</v>
      </c>
      <c r="O22" s="89">
        <f>N22/N19-1</f>
        <v>-0.1318659293554767</v>
      </c>
      <c r="P22" s="129" t="s">
        <v>155</v>
      </c>
      <c r="Q22" s="116">
        <f>'라이신(1)'!Q22+'라이신(2)'!Q22</f>
        <v>4945740</v>
      </c>
      <c r="R22" s="116">
        <f>'라이신(1)'!R22+'라이신(2)'!R22</f>
        <v>6454108932</v>
      </c>
      <c r="S22" s="116">
        <f>'라이신(1)'!S22+'라이신(2)'!S22</f>
        <v>4399565.2</v>
      </c>
      <c r="T22" s="130">
        <f t="shared" si="1"/>
        <v>1.1241429039396893</v>
      </c>
      <c r="U22" s="85">
        <f>Q20+Q21+Q22</f>
        <v>12363099</v>
      </c>
    </row>
    <row r="23" spans="1:21" hidden="1">
      <c r="A23" s="129" t="s">
        <v>189</v>
      </c>
      <c r="B23" s="131"/>
      <c r="C23" s="131"/>
      <c r="F23" s="78">
        <f>Q23/21</f>
        <v>207648.71428571429</v>
      </c>
      <c r="G23" s="90">
        <f t="shared" si="2"/>
        <v>-0.1183072704994601</v>
      </c>
      <c r="H23" s="90">
        <f t="shared" si="3"/>
        <v>-0.27468267326411522</v>
      </c>
      <c r="I23" s="130">
        <f t="shared" si="0"/>
        <v>1.0771810956243466</v>
      </c>
      <c r="J23" s="130">
        <f t="shared" si="4"/>
        <v>-0.25947462607313543</v>
      </c>
      <c r="O23" s="89"/>
      <c r="P23" s="129" t="s">
        <v>189</v>
      </c>
      <c r="Q23" s="116">
        <f>'라이신(1)'!Q23+'라이신(2)'!Q23</f>
        <v>4360623</v>
      </c>
      <c r="R23" s="116">
        <f>'라이신(1)'!R23+'라이신(2)'!R23</f>
        <v>5619695150</v>
      </c>
      <c r="S23" s="116">
        <f>'라이신(1)'!S23+'라이신(2)'!S23</f>
        <v>4048180.03</v>
      </c>
      <c r="T23" s="130">
        <f t="shared" si="1"/>
        <v>1.0771810956243466</v>
      </c>
      <c r="U23" s="78"/>
    </row>
    <row r="24" spans="1:21" hidden="1">
      <c r="A24" s="129" t="s">
        <v>204</v>
      </c>
      <c r="B24" s="131"/>
      <c r="C24" s="131"/>
      <c r="F24" s="78">
        <f>Q24/22</f>
        <v>278095.36363636365</v>
      </c>
      <c r="G24" s="90">
        <f t="shared" si="2"/>
        <v>0.33925877939084303</v>
      </c>
      <c r="H24" s="90">
        <f t="shared" si="3"/>
        <v>0.52435161280195652</v>
      </c>
      <c r="I24" s="130">
        <f t="shared" si="0"/>
        <v>1.0385975755365198</v>
      </c>
      <c r="J24" s="130">
        <f t="shared" si="4"/>
        <v>-0.26375438000807139</v>
      </c>
      <c r="O24" s="89"/>
      <c r="P24" s="129" t="s">
        <v>204</v>
      </c>
      <c r="Q24" s="116">
        <f>'라이신(1)'!Q24+'라이신(2)'!Q24</f>
        <v>6118098</v>
      </c>
      <c r="R24" s="116">
        <f>'라이신(1)'!R24+'라이신(2)'!R24</f>
        <v>7977860093</v>
      </c>
      <c r="S24" s="116">
        <f>'라이신(1)'!S24+'라이신(2)'!S24</f>
        <v>5890730.0999999996</v>
      </c>
      <c r="T24" s="130">
        <f t="shared" si="1"/>
        <v>1.0385975755365198</v>
      </c>
      <c r="U24" s="78"/>
    </row>
    <row r="25" spans="1:21" s="79" customFormat="1" ht="13.2" hidden="1">
      <c r="A25" s="129" t="s">
        <v>245</v>
      </c>
      <c r="B25" s="131">
        <f>SUM(F23:F25)</f>
        <v>808873.76213260426</v>
      </c>
      <c r="C25" s="131">
        <f>AVERAGE(F23:F25)</f>
        <v>269624.58737753477</v>
      </c>
      <c r="D25" s="90">
        <f>C25/C22-1</f>
        <v>0.35391178011954372</v>
      </c>
      <c r="E25" s="286">
        <f>C25/C13-1</f>
        <v>7.481080541819729E-3</v>
      </c>
      <c r="F25" s="78">
        <f>Q25/19</f>
        <v>323129.68421052629</v>
      </c>
      <c r="G25" s="90">
        <f t="shared" si="2"/>
        <v>0.16193840841248019</v>
      </c>
      <c r="H25" s="90">
        <f t="shared" si="3"/>
        <v>-3.2967267675639289E-2</v>
      </c>
      <c r="I25" s="130">
        <f t="shared" si="0"/>
        <v>1.0559176105972474</v>
      </c>
      <c r="J25" s="130">
        <f t="shared" si="4"/>
        <v>-0.14527440889722165</v>
      </c>
      <c r="K25" s="79">
        <f>R23+R24+R25</f>
        <v>21743455263</v>
      </c>
      <c r="L25" s="102">
        <f>U25/U22-1</f>
        <v>0.34417632666372722</v>
      </c>
      <c r="M25" s="90">
        <f>U25/U13-1</f>
        <v>-5.4056897726223463E-3</v>
      </c>
      <c r="N25" s="88">
        <f>AVERAGE(T23:T25)</f>
        <v>1.0572320939193711</v>
      </c>
      <c r="O25" s="91">
        <f>N25/N22-1</f>
        <v>-6.3098553442663685E-2</v>
      </c>
      <c r="P25" s="129" t="s">
        <v>245</v>
      </c>
      <c r="Q25" s="116">
        <f>'라이신(1)'!Q25+'라이신(2)'!Q25</f>
        <v>6139464</v>
      </c>
      <c r="R25" s="116">
        <f>'라이신(1)'!R25+'라이신(2)'!R25</f>
        <v>8145900020</v>
      </c>
      <c r="S25" s="116">
        <f>'라이신(1)'!S25+'라이신(2)'!S25</f>
        <v>5814340</v>
      </c>
      <c r="T25" s="130">
        <f t="shared" si="1"/>
        <v>1.0559176105972474</v>
      </c>
      <c r="U25" s="85">
        <f>Q23+Q24+Q25</f>
        <v>16618185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364780.84210526315</v>
      </c>
      <c r="G26" s="90">
        <f t="shared" ref="G26" si="5">F26/F25-1</f>
        <v>0.1288992003210705</v>
      </c>
      <c r="H26" s="90">
        <f t="shared" ref="H26" si="6">F26/F14-1</f>
        <v>-8.0064348174430422E-2</v>
      </c>
      <c r="I26" s="130">
        <f t="shared" si="0"/>
        <v>1.1697400283674153</v>
      </c>
      <c r="J26" s="130">
        <f t="shared" si="4"/>
        <v>1.0666893447695447E-2</v>
      </c>
      <c r="L26" s="90"/>
      <c r="M26" s="90"/>
      <c r="P26" s="129" t="s">
        <v>312</v>
      </c>
      <c r="Q26" s="116">
        <f>'라이신(1)'!Q26+'라이신(2)'!Q26</f>
        <v>6930836</v>
      </c>
      <c r="R26" s="116">
        <f>'라이신(1)'!R26+'라이신(2)'!R26</f>
        <v>9335936275</v>
      </c>
      <c r="S26" s="116">
        <f>'라이신(1)'!S26+'라이신(2)'!S26</f>
        <v>5925108</v>
      </c>
      <c r="T26" s="130">
        <f t="shared" ref="T26" si="7">Q26/S26</f>
        <v>1.1697400283674153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199464.40909090909</v>
      </c>
      <c r="G27" s="90">
        <f t="shared" ref="G27" si="8">F27/F26-1</f>
        <v>-0.45319384664025053</v>
      </c>
      <c r="H27" s="90">
        <f t="shared" ref="H27" si="9">F27/F15-1</f>
        <v>-0.5519619329415747</v>
      </c>
      <c r="I27" s="130">
        <f t="shared" si="0"/>
        <v>1.1442248836407827</v>
      </c>
      <c r="J27" s="130">
        <f t="shared" si="4"/>
        <v>-5.446882504795747E-3</v>
      </c>
      <c r="L27" s="90"/>
      <c r="M27" s="90"/>
      <c r="P27" s="129" t="s">
        <v>382</v>
      </c>
      <c r="Q27" s="116">
        <f>'라이신(1)'!Q27+'라이신(2)'!Q27</f>
        <v>4388217</v>
      </c>
      <c r="R27" s="116">
        <f>'라이신(1)'!R27+'라이신(2)'!R27</f>
        <v>5866707957</v>
      </c>
      <c r="S27" s="116">
        <f>'라이신(1)'!S27+'라이신(2)'!S27</f>
        <v>3835100.13</v>
      </c>
      <c r="T27" s="130">
        <f t="shared" ref="T27" si="10">Q27/S27</f>
        <v>1.1442248836407827</v>
      </c>
      <c r="U27" s="78"/>
    </row>
    <row r="28" spans="1:21" s="79" customFormat="1" ht="13.2" hidden="1">
      <c r="A28" s="123" t="s">
        <v>413</v>
      </c>
      <c r="B28" s="131">
        <f>SUM(F26:F28)</f>
        <v>832435.14593301434</v>
      </c>
      <c r="C28" s="131">
        <f>AVERAGE(F26:F28)</f>
        <v>277478.38197767147</v>
      </c>
      <c r="D28" s="90">
        <f>C28/C25-1</f>
        <v>2.9128629093234881E-2</v>
      </c>
      <c r="E28" s="286">
        <f>C28/C16-1</f>
        <v>-0.3256826064093864</v>
      </c>
      <c r="F28" s="78">
        <f>Q28/19</f>
        <v>268189.89473684208</v>
      </c>
      <c r="G28" s="90">
        <f t="shared" ref="G28" si="11">F28/F27-1</f>
        <v>0.34455011778372069</v>
      </c>
      <c r="H28" s="90">
        <f t="shared" ref="H28" si="12">F28/F16-1</f>
        <v>-0.31716904912976673</v>
      </c>
      <c r="I28" s="130">
        <f t="shared" si="0"/>
        <v>1.089466164128132</v>
      </c>
      <c r="J28" s="130">
        <f t="shared" si="4"/>
        <v>-5.8302261842562042E-2</v>
      </c>
      <c r="K28" s="79">
        <f>R26+R27+R28</f>
        <v>21843703789</v>
      </c>
      <c r="L28" s="102">
        <f>U28/U25-1</f>
        <v>-1.224706548880039E-2</v>
      </c>
      <c r="M28" s="90">
        <f>U28/U16-1</f>
        <v>-0.3774219365236412</v>
      </c>
      <c r="N28" s="88">
        <f>AVERAGE(T26:T28)</f>
        <v>1.1344770253787768</v>
      </c>
      <c r="O28" s="91">
        <f>N28/N25-1</f>
        <v>7.306336224910015E-2</v>
      </c>
      <c r="P28" s="129" t="s">
        <v>413</v>
      </c>
      <c r="Q28" s="116">
        <f>'라이신(1)'!Q28+'라이신(2)'!Q28</f>
        <v>5095608</v>
      </c>
      <c r="R28" s="116">
        <f>'라이신(1)'!R28+'라이신(2)'!R28</f>
        <v>6641059557</v>
      </c>
      <c r="S28" s="116">
        <f>'라이신(1)'!S28+'라이신(2)'!S28</f>
        <v>4677160.4000000004</v>
      </c>
      <c r="T28" s="130">
        <f t="shared" ref="T28" si="13">Q28/S28</f>
        <v>1.089466164128132</v>
      </c>
      <c r="U28" s="85">
        <f>Q26+Q27+Q28</f>
        <v>16414661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301196</v>
      </c>
      <c r="G29" s="190">
        <f t="shared" ref="G29" si="14">F29/F28-1</f>
        <v>0.12306990647632254</v>
      </c>
      <c r="H29" s="190">
        <f t="shared" ref="H29" si="15">F29/F17-1</f>
        <v>2.8634111490118741E-2</v>
      </c>
      <c r="I29" s="130">
        <f t="shared" si="0"/>
        <v>1.0767715012641275</v>
      </c>
      <c r="J29" s="130">
        <f t="shared" si="4"/>
        <v>-0.14709686316420134</v>
      </c>
      <c r="K29" s="136"/>
      <c r="L29" s="190"/>
      <c r="M29" s="190"/>
      <c r="N29" s="191"/>
      <c r="O29" s="192"/>
      <c r="P29" s="129" t="s">
        <v>427</v>
      </c>
      <c r="Q29" s="116">
        <f>'라이신(1)'!Q29+'라이신(2)'!Q29</f>
        <v>6626312</v>
      </c>
      <c r="R29" s="116">
        <f>'라이신(1)'!R29+'라이신(2)'!R29</f>
        <v>8679627088</v>
      </c>
      <c r="S29" s="116">
        <f>'라이신(1)'!S29+'라이신(2)'!S29</f>
        <v>6153870.1499999994</v>
      </c>
      <c r="T29" s="130">
        <f t="shared" ref="T29" si="16">Q29/S29</f>
        <v>1.0767715012641275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346758.57894736843</v>
      </c>
      <c r="G30" s="190">
        <f t="shared" ref="G30" si="17">F30/F29-1</f>
        <v>0.15127219135502612</v>
      </c>
      <c r="H30" s="190">
        <f t="shared" ref="H30" si="18">F30/F18-1</f>
        <v>0.70127180816981993</v>
      </c>
      <c r="I30" s="130">
        <f t="shared" si="0"/>
        <v>1.0011477010359318</v>
      </c>
      <c r="J30" s="130">
        <f t="shared" si="4"/>
        <v>-0.26075992722925512</v>
      </c>
      <c r="K30" s="136"/>
      <c r="L30" s="190"/>
      <c r="M30" s="190"/>
      <c r="N30" s="191"/>
      <c r="O30" s="192"/>
      <c r="P30" s="129" t="s">
        <v>474</v>
      </c>
      <c r="Q30" s="116">
        <f>'라이신(1)'!Q30+'라이신(2)'!Q30</f>
        <v>6588413</v>
      </c>
      <c r="R30" s="116">
        <f>'라이신(1)'!R30+'라이신(2)'!R30</f>
        <v>8778390070</v>
      </c>
      <c r="S30" s="116">
        <f>'라이신(1)'!S30+'라이신(2)'!S30</f>
        <v>6580860.1399999997</v>
      </c>
      <c r="T30" s="130">
        <f t="shared" ref="T30" si="19">Q30/S30</f>
        <v>1.0011477010359318</v>
      </c>
      <c r="U30" s="85"/>
    </row>
    <row r="31" spans="1:21" s="79" customFormat="1" ht="13.2" hidden="1">
      <c r="A31" s="129" t="s">
        <v>505</v>
      </c>
      <c r="B31" s="188">
        <f>SUM(F29:F31)</f>
        <v>1077803.4789473685</v>
      </c>
      <c r="C31" s="188">
        <f>AVERAGE(F29:F31)</f>
        <v>359267.82631578948</v>
      </c>
      <c r="D31" s="190">
        <f>C31/C28-1</f>
        <v>0.29475969895449206</v>
      </c>
      <c r="E31" s="287">
        <f>C31/C19-1</f>
        <v>0.80848950945022313</v>
      </c>
      <c r="F31" s="136">
        <f>Q31/20</f>
        <v>429848.9</v>
      </c>
      <c r="G31" s="190">
        <f t="shared" ref="G31" si="20">F31/F30-1</f>
        <v>0.23962008756888808</v>
      </c>
      <c r="H31" s="190">
        <f t="shared" ref="H31" si="21">F31/F19-1</f>
        <v>3.3273029366907192</v>
      </c>
      <c r="I31" s="130">
        <f t="shared" si="0"/>
        <v>1.0208617558225903</v>
      </c>
      <c r="J31" s="130">
        <f t="shared" si="4"/>
        <v>-0.20415936373280263</v>
      </c>
      <c r="K31" s="193">
        <f>R29+R30+R31</f>
        <v>28878691048</v>
      </c>
      <c r="L31" s="190">
        <f>U31/U28-1</f>
        <v>0.32879399702497669</v>
      </c>
      <c r="M31" s="190">
        <f>U31/U19-1</f>
        <v>0.79993564969137765</v>
      </c>
      <c r="N31" s="191">
        <f>AVERAGE(T29:T31)</f>
        <v>1.0329269860408832</v>
      </c>
      <c r="O31" s="192">
        <f>N31/N28-1</f>
        <v>-8.9512645092119314E-2</v>
      </c>
      <c r="P31" s="129" t="s">
        <v>505</v>
      </c>
      <c r="Q31" s="116">
        <f>'라이신(1)'!Q31+'라이신(2)'!Q31</f>
        <v>8596978</v>
      </c>
      <c r="R31" s="116">
        <f>'라이신(1)'!R31+'라이신(2)'!R31</f>
        <v>11420673890</v>
      </c>
      <c r="S31" s="116">
        <f>'라이신(1)'!S31+'라이신(2)'!S31</f>
        <v>8421295</v>
      </c>
      <c r="T31" s="130">
        <f t="shared" ref="T31" si="22">Q31/S31</f>
        <v>1.0208617558225903</v>
      </c>
      <c r="U31" s="85">
        <f>Q29+Q30+Q31</f>
        <v>21811703</v>
      </c>
    </row>
    <row r="32" spans="1:21" s="79" customFormat="1" ht="13.2" hidden="1">
      <c r="A32" s="129" t="s">
        <v>586</v>
      </c>
      <c r="B32" s="188"/>
      <c r="C32" s="188"/>
      <c r="D32" s="190"/>
      <c r="E32" s="287"/>
      <c r="F32" s="136">
        <f>Q32/21</f>
        <v>263509.14285714284</v>
      </c>
      <c r="G32" s="190">
        <f t="shared" ref="G32" si="23">F32/F31-1</f>
        <v>-0.38697262489878925</v>
      </c>
      <c r="H32" s="190">
        <f t="shared" ref="H32" si="24">F32/F20-1</f>
        <v>0.43972117287660972</v>
      </c>
      <c r="I32" s="130">
        <f t="shared" si="0"/>
        <v>1.0106977923389191</v>
      </c>
      <c r="J32" s="130">
        <f t="shared" si="4"/>
        <v>-0.10291962671174404</v>
      </c>
      <c r="K32" s="136"/>
      <c r="L32" s="190"/>
      <c r="M32" s="190"/>
      <c r="N32" s="191"/>
      <c r="O32" s="192"/>
      <c r="P32" s="129" t="s">
        <v>586</v>
      </c>
      <c r="Q32" s="116">
        <f>'라이신(1)'!Q32+'라이신(2)'!Q32</f>
        <v>5533692</v>
      </c>
      <c r="R32" s="116">
        <f>'라이신(1)'!R32+'라이신(2)'!R32</f>
        <v>7500222140</v>
      </c>
      <c r="S32" s="116">
        <f>'라이신(1)'!S32+'라이신(2)'!S32</f>
        <v>5475120.2999999998</v>
      </c>
      <c r="T32" s="130">
        <f t="shared" ref="T32" si="25">Q32/S32</f>
        <v>1.0106977923389191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202774.52380952382</v>
      </c>
      <c r="G33" s="190">
        <f t="shared" ref="G33" si="26">F33/F32-1</f>
        <v>-0.23048391562089099</v>
      </c>
      <c r="H33" s="190">
        <f t="shared" ref="H33" si="27">F33/F21-1</f>
        <v>0.13348165101105969</v>
      </c>
      <c r="I33" s="130">
        <f t="shared" si="0"/>
        <v>1.0743825611464266</v>
      </c>
      <c r="J33" s="130">
        <f t="shared" si="4"/>
        <v>-5.2997534651316847E-2</v>
      </c>
      <c r="K33" s="136"/>
      <c r="L33" s="190"/>
      <c r="M33" s="190"/>
      <c r="N33" s="191"/>
      <c r="O33" s="192"/>
      <c r="P33" s="129" t="s">
        <v>607</v>
      </c>
      <c r="Q33" s="116">
        <f>'라이신(1)'!Q33+'라이신(2)'!Q33</f>
        <v>4258265</v>
      </c>
      <c r="R33" s="116">
        <f>'라이신(1)'!R33+'라이신(2)'!R33</f>
        <v>5835169874</v>
      </c>
      <c r="S33" s="116">
        <f>'라이신(1)'!S33+'라이신(2)'!S33</f>
        <v>3963453.2</v>
      </c>
      <c r="T33" s="130">
        <f t="shared" ref="T33" si="28">Q33/S33</f>
        <v>1.0743825611464266</v>
      </c>
      <c r="U33" s="85"/>
    </row>
    <row r="34" spans="1:21" s="79" customFormat="1" ht="13.2" hidden="1">
      <c r="A34" s="129" t="s">
        <v>652</v>
      </c>
      <c r="B34" s="188">
        <f>SUM(F32:F34)</f>
        <v>645711.19298245606</v>
      </c>
      <c r="C34" s="188">
        <f>AVERAGE(F32:F34)</f>
        <v>215237.06432748536</v>
      </c>
      <c r="D34" s="190">
        <f>C34/C31-1</f>
        <v>-0.40090080836156994</v>
      </c>
      <c r="E34" s="287">
        <f>C34/C22-1</f>
        <v>8.0806464075505291E-2</v>
      </c>
      <c r="F34" s="136">
        <f>Q34/19</f>
        <v>179427.52631578947</v>
      </c>
      <c r="G34" s="190">
        <f t="shared" ref="G34" si="29">F34/F33-1</f>
        <v>-0.11513772566254599</v>
      </c>
      <c r="H34" s="190">
        <f t="shared" ref="H34" si="30">F34/F22-1</f>
        <v>-0.23813664838192494</v>
      </c>
      <c r="I34" s="130">
        <f t="shared" si="0"/>
        <v>1.0072394830959019</v>
      </c>
      <c r="J34" s="130">
        <f t="shared" si="4"/>
        <v>-0.10399338058718843</v>
      </c>
      <c r="K34" s="193">
        <f>R32+R33+R34</f>
        <v>18018513517</v>
      </c>
      <c r="L34" s="190">
        <f>U34/U31-1</f>
        <v>-0.39477077970482177</v>
      </c>
      <c r="M34" s="190">
        <f>U34/U22-1</f>
        <v>6.7780820973770473E-2</v>
      </c>
      <c r="N34" s="191">
        <f>AVERAGE(T32:T34)</f>
        <v>1.0307732788604158</v>
      </c>
      <c r="O34" s="192">
        <f>N34/N31-1</f>
        <v>-2.0850526799791602E-3</v>
      </c>
      <c r="P34" s="129" t="s">
        <v>652</v>
      </c>
      <c r="Q34" s="116">
        <f>'라이신(1)'!Q34+'라이신(2)'!Q34</f>
        <v>3409123</v>
      </c>
      <c r="R34" s="116">
        <f>'라이신(1)'!R34+'라이신(2)'!R34</f>
        <v>4683121503</v>
      </c>
      <c r="S34" s="116">
        <f>'라이신(1)'!S34+'라이신(2)'!S34</f>
        <v>3384620.1</v>
      </c>
      <c r="T34" s="130">
        <f t="shared" ref="T34" si="31">Q34/S34</f>
        <v>1.0072394830959019</v>
      </c>
      <c r="U34" s="85">
        <f>Q32+Q33+Q34</f>
        <v>13201080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408612.4347826087</v>
      </c>
      <c r="G35" s="190">
        <f t="shared" ref="G35" si="32">F35/F34-1</f>
        <v>1.2773118660927065</v>
      </c>
      <c r="H35" s="190">
        <f t="shared" ref="H35" si="33">F35/F23-1</f>
        <v>0.96780623558486534</v>
      </c>
      <c r="I35" s="130">
        <f t="shared" si="0"/>
        <v>1.1570684359826966</v>
      </c>
      <c r="J35" s="130">
        <f t="shared" si="4"/>
        <v>7.4163333057795988E-2</v>
      </c>
      <c r="K35" s="193"/>
      <c r="L35" s="190"/>
      <c r="M35" s="190"/>
      <c r="N35" s="191"/>
      <c r="O35" s="192"/>
      <c r="P35" s="129" t="s">
        <v>660</v>
      </c>
      <c r="Q35" s="116">
        <f>'라이신(1)'!Q35+'라이신(2)'!Q35</f>
        <v>9398086</v>
      </c>
      <c r="R35" s="116">
        <f>'라이신(1)'!R35+'라이신(2)'!R35</f>
        <v>13006913524</v>
      </c>
      <c r="S35" s="116">
        <f>'라이신(1)'!S35+'라이신(2)'!S35</f>
        <v>8122325.0999999996</v>
      </c>
      <c r="T35" s="130">
        <f t="shared" ref="T35" si="34">Q35/S35</f>
        <v>1.1570684359826966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332322.57142857142</v>
      </c>
      <c r="G36" s="190">
        <f t="shared" ref="G36" si="35">F36/F35-1</f>
        <v>-0.18670470318561216</v>
      </c>
      <c r="H36" s="190">
        <f t="shared" ref="H36" si="36">F36/F24-1</f>
        <v>0.19499500848606388</v>
      </c>
      <c r="I36" s="130">
        <f t="shared" si="0"/>
        <v>1.2605859252593279</v>
      </c>
      <c r="J36" s="130">
        <f t="shared" si="4"/>
        <v>0.21373855952642029</v>
      </c>
      <c r="K36" s="193"/>
      <c r="L36" s="190"/>
      <c r="M36" s="190"/>
      <c r="N36" s="191"/>
      <c r="O36" s="192"/>
      <c r="P36" s="129" t="s">
        <v>664</v>
      </c>
      <c r="Q36" s="116">
        <f>'라이신(1)'!Q36+'라이신(2)'!Q36</f>
        <v>6978774</v>
      </c>
      <c r="R36" s="116">
        <f>'라이신(1)'!R36+'라이신(2)'!R36</f>
        <v>9540739072</v>
      </c>
      <c r="S36" s="116">
        <f>'라이신(1)'!S36+'라이신(2)'!S36</f>
        <v>5536135.1099999994</v>
      </c>
      <c r="T36" s="130">
        <f t="shared" ref="T36:T41" si="37">Q36/S36</f>
        <v>1.2605859252593279</v>
      </c>
      <c r="U36" s="85"/>
    </row>
    <row r="37" spans="1:21" s="79" customFormat="1" ht="13.2" hidden="1">
      <c r="A37" s="129" t="s">
        <v>702</v>
      </c>
      <c r="B37" s="188">
        <f>SUM(F35:F37)</f>
        <v>1069675.8395445135</v>
      </c>
      <c r="C37" s="188">
        <f>AVERAGE(F35:F37)</f>
        <v>356558.61318150448</v>
      </c>
      <c r="D37" s="190">
        <f>C37/C34-1</f>
        <v>0.65658556204333363</v>
      </c>
      <c r="E37" s="287">
        <f>C37/C25-1</f>
        <v>0.32242618022904046</v>
      </c>
      <c r="F37" s="136">
        <f>Q37/18</f>
        <v>328740.83333333331</v>
      </c>
      <c r="G37" s="190">
        <f t="shared" ref="G37" si="38">F37/F36-1</f>
        <v>-1.0777895945620286E-2</v>
      </c>
      <c r="H37" s="190">
        <f t="shared" ref="H37" si="39">F37/F25-1</f>
        <v>1.7365006673763839E-2</v>
      </c>
      <c r="I37" s="130">
        <f t="shared" si="0"/>
        <v>1.2703540327989975</v>
      </c>
      <c r="J37" s="130">
        <f t="shared" si="4"/>
        <v>0.20308063815742283</v>
      </c>
      <c r="K37" s="193">
        <f>R35+R36+R37</f>
        <v>30452785308</v>
      </c>
      <c r="L37" s="190">
        <f>U37/U34-1</f>
        <v>0.68881599081287281</v>
      </c>
      <c r="M37" s="190">
        <f>U37/U25-1</f>
        <v>0.34155414685779473</v>
      </c>
      <c r="N37" s="191">
        <f>AVERAGE(T35:T37)</f>
        <v>1.2293361313470073</v>
      </c>
      <c r="O37" s="192">
        <f>N37/N34-1</f>
        <v>0.19263484663292307</v>
      </c>
      <c r="P37" s="129" t="s">
        <v>702</v>
      </c>
      <c r="Q37" s="116">
        <f>'라이신(1)'!Q37+'라이신(2)'!Q37</f>
        <v>5917335</v>
      </c>
      <c r="R37" s="116">
        <f>'라이신(1)'!R37+'라이신(2)'!R37</f>
        <v>7905132712</v>
      </c>
      <c r="S37" s="116">
        <f>'라이신(1)'!S37+'라이신(2)'!S37</f>
        <v>4658020.4000000004</v>
      </c>
      <c r="T37" s="130">
        <f t="shared" si="37"/>
        <v>1.2703540327989975</v>
      </c>
      <c r="U37" s="85">
        <f>Q35+Q36+Q37</f>
        <v>22294195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389642.45</v>
      </c>
      <c r="G38" s="190">
        <f t="shared" ref="G38" si="40">F38/F37-1</f>
        <v>0.18525723150708906</v>
      </c>
      <c r="H38" s="190">
        <f t="shared" ref="H38" si="41">F38/F26-1</f>
        <v>6.8154916665175813E-2</v>
      </c>
      <c r="I38" s="130">
        <f t="shared" si="0"/>
        <v>1.1461656245125749</v>
      </c>
      <c r="J38" s="130">
        <f t="shared" si="4"/>
        <v>-2.0153541199870562E-2</v>
      </c>
      <c r="K38" s="193"/>
      <c r="L38" s="190"/>
      <c r="M38" s="190"/>
      <c r="N38" s="191"/>
      <c r="O38" s="192"/>
      <c r="P38" s="129" t="s">
        <v>745</v>
      </c>
      <c r="Q38" s="116">
        <f>'라이신(1)'!Q38+'라이신(2)'!Q38</f>
        <v>7792849</v>
      </c>
      <c r="R38" s="116">
        <f>'라이신(1)'!R38+'라이신(2)'!R38</f>
        <v>10481492340</v>
      </c>
      <c r="S38" s="116">
        <f>'라이신(1)'!S38+'라이신(2)'!S38</f>
        <v>6799060.1300000008</v>
      </c>
      <c r="T38" s="130">
        <f t="shared" si="37"/>
        <v>1.1461656245125749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605039.85714285716</v>
      </c>
      <c r="G39" s="190">
        <f t="shared" ref="G39" si="42">F39/F38-1</f>
        <v>0.55280785536292854</v>
      </c>
      <c r="H39" s="190">
        <f t="shared" ref="H39" si="43">F39/F27-1</f>
        <v>2.0333223851835172</v>
      </c>
      <c r="I39" s="130">
        <f t="shared" si="0"/>
        <v>1.1692858908469674</v>
      </c>
      <c r="J39" s="130">
        <f t="shared" si="4"/>
        <v>2.1902169376393665E-2</v>
      </c>
      <c r="K39" s="193"/>
      <c r="L39" s="190"/>
      <c r="M39" s="190"/>
      <c r="N39" s="191"/>
      <c r="O39" s="192"/>
      <c r="P39" s="129" t="s">
        <v>762</v>
      </c>
      <c r="Q39" s="116">
        <f>'라이신(1)'!Q39+'라이신(2)'!Q39</f>
        <v>12705837</v>
      </c>
      <c r="R39" s="116">
        <f>'라이신(1)'!R39+'라이신(2)'!R39</f>
        <v>17675646774</v>
      </c>
      <c r="S39" s="116">
        <f>'라이신(1)'!S39+'라이신(2)'!S39</f>
        <v>10866322</v>
      </c>
      <c r="T39" s="130">
        <f t="shared" si="37"/>
        <v>1.1692858908469674</v>
      </c>
      <c r="U39" s="85"/>
    </row>
    <row r="40" spans="1:21" s="79" customFormat="1" ht="13.2" hidden="1">
      <c r="A40" s="129" t="s">
        <v>778</v>
      </c>
      <c r="B40" s="188">
        <f>SUM(F38:F40)</f>
        <v>1381847.7833333334</v>
      </c>
      <c r="C40" s="188">
        <f>AVERAGE(F38:F40)</f>
        <v>460615.92777777783</v>
      </c>
      <c r="D40" s="190">
        <f>C40/C37-1</f>
        <v>0.29183789354515888</v>
      </c>
      <c r="E40" s="287">
        <f>C40/C28-1</f>
        <v>0.66000653634647244</v>
      </c>
      <c r="F40" s="136">
        <f>Q40/21</f>
        <v>387165.47619047621</v>
      </c>
      <c r="G40" s="190">
        <f t="shared" ref="G40" si="44">F40/F39-1</f>
        <v>-0.3600992205393474</v>
      </c>
      <c r="H40" s="190">
        <f t="shared" ref="H40" si="45">F40/F28-1</f>
        <v>0.4436244011743149</v>
      </c>
      <c r="I40" s="130">
        <f t="shared" si="0"/>
        <v>1.3905283152122248</v>
      </c>
      <c r="J40" s="130">
        <f t="shared" si="4"/>
        <v>0.27633914755399869</v>
      </c>
      <c r="K40" s="193">
        <f>R38+R39+R40</f>
        <v>39756556032</v>
      </c>
      <c r="L40" s="190">
        <f>U40/U37-1</f>
        <v>0.28415316184325112</v>
      </c>
      <c r="M40" s="190">
        <f>U40/U28-1</f>
        <v>0.74412136808673668</v>
      </c>
      <c r="N40" s="191">
        <f>AVERAGE(T38:T40)</f>
        <v>1.2353266101905891</v>
      </c>
      <c r="O40" s="192">
        <f>N40/N37-1</f>
        <v>4.8729380767633668E-3</v>
      </c>
      <c r="P40" s="129" t="s">
        <v>778</v>
      </c>
      <c r="Q40" s="116">
        <f>'라이신(1)'!Q40+'라이신(2)'!Q40</f>
        <v>8130475</v>
      </c>
      <c r="R40" s="116">
        <f>'라이신(1)'!R40+'라이신(2)'!R40</f>
        <v>11599416918</v>
      </c>
      <c r="S40" s="116">
        <f>'라이신(1)'!S40+'라이신(2)'!S40</f>
        <v>5847040.2300000004</v>
      </c>
      <c r="T40" s="130">
        <f t="shared" si="37"/>
        <v>1.3905283152122248</v>
      </c>
      <c r="U40" s="85">
        <f>Q38+Q39+Q40</f>
        <v>28629161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752978.4444444445</v>
      </c>
      <c r="G41" s="190">
        <f t="shared" ref="G41" si="46">F41/F40-1</f>
        <v>0.94484914268026565</v>
      </c>
      <c r="H41" s="190">
        <f t="shared" ref="H41" si="47">F41/F29-1</f>
        <v>1.499961634432212</v>
      </c>
      <c r="I41" s="130">
        <f t="shared" si="0"/>
        <v>1.2613478959251172</v>
      </c>
      <c r="J41" s="130">
        <f t="shared" si="4"/>
        <v>0.1714164931411144</v>
      </c>
      <c r="K41" s="193"/>
      <c r="L41" s="190"/>
      <c r="M41" s="190"/>
      <c r="N41" s="193"/>
      <c r="O41" s="193"/>
      <c r="P41" s="129" t="s">
        <v>792</v>
      </c>
      <c r="Q41" s="116">
        <f>'라이신(1)'!Q41+'라이신(2)'!Q41</f>
        <v>13553612</v>
      </c>
      <c r="R41" s="116">
        <f>'라이신(1)'!R41+'라이신(2)'!R41</f>
        <v>19815336799</v>
      </c>
      <c r="S41" s="116">
        <f>'라이신(1)'!S41+'라이신(2)'!S41</f>
        <v>10745340</v>
      </c>
      <c r="T41" s="130">
        <f t="shared" si="37"/>
        <v>1.2613478959251172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1133122.55</v>
      </c>
      <c r="G42" s="190">
        <f t="shared" ref="G42" si="48">F42/F41-1</f>
        <v>0.50485390167580424</v>
      </c>
      <c r="H42" s="190">
        <f t="shared" ref="H42" si="49">F42/F30-1</f>
        <v>2.2677563549826036</v>
      </c>
      <c r="I42" s="130">
        <f t="shared" si="0"/>
        <v>1.4426908175594553</v>
      </c>
      <c r="J42" s="130">
        <f t="shared" si="4"/>
        <v>0.44103693797292776</v>
      </c>
      <c r="K42" s="193"/>
      <c r="L42" s="190"/>
      <c r="M42" s="190"/>
      <c r="N42" s="193"/>
      <c r="O42" s="193"/>
      <c r="P42" s="129" t="s">
        <v>826</v>
      </c>
      <c r="Q42" s="116">
        <f>'라이신(1)'!Q42+'라이신(2)'!Q42</f>
        <v>22662451</v>
      </c>
      <c r="R42" s="116">
        <f>'라이신(1)'!R42+'라이신(2)'!R42</f>
        <v>32754717171</v>
      </c>
      <c r="S42" s="116">
        <f>'라이신(1)'!S42+'라이신(2)'!S42</f>
        <v>15708460</v>
      </c>
      <c r="T42" s="130">
        <f t="shared" ref="T42" si="50">Q42/S42</f>
        <v>1.4426908175594553</v>
      </c>
      <c r="U42" s="78"/>
    </row>
    <row r="43" spans="1:21" s="79" customFormat="1" ht="13.2">
      <c r="A43" s="129" t="s">
        <v>834</v>
      </c>
      <c r="B43" s="188">
        <f>SUM(F41:F43)</f>
        <v>2972475.6944444445</v>
      </c>
      <c r="C43" s="188">
        <f>AVERAGE(F41:F43)</f>
        <v>990825.23148148146</v>
      </c>
      <c r="D43" s="190">
        <f>C43/C40-1</f>
        <v>1.1510876453223755</v>
      </c>
      <c r="E43" s="287">
        <f>C43/C31-1</f>
        <v>1.7579013730290596</v>
      </c>
      <c r="F43" s="136">
        <f>Q43/20</f>
        <v>1086374.7</v>
      </c>
      <c r="G43" s="190">
        <f t="shared" ref="G43" si="51">F43/F42-1</f>
        <v>-4.1255775908793035E-2</v>
      </c>
      <c r="H43" s="190">
        <f t="shared" ref="H43" si="52">F43/F31-1</f>
        <v>1.5273408865301268</v>
      </c>
      <c r="I43" s="130">
        <f t="shared" si="0"/>
        <v>1.6973806388168307</v>
      </c>
      <c r="J43" s="130">
        <f t="shared" si="4"/>
        <v>0.66269392416323281</v>
      </c>
      <c r="K43" s="193">
        <f>R41+R42+R43</f>
        <v>84081242601</v>
      </c>
      <c r="L43" s="190">
        <f>U43/U40-1</f>
        <v>1.0239348613813726</v>
      </c>
      <c r="M43" s="190">
        <f>K43/K31-1</f>
        <v>1.911532328845738</v>
      </c>
      <c r="N43" s="191">
        <f>AVERAGE(T41:T43)</f>
        <v>1.4671397841004676</v>
      </c>
      <c r="O43" s="192">
        <f>N43/N40-1</f>
        <v>0.18765334770382203</v>
      </c>
      <c r="P43" s="129" t="s">
        <v>834</v>
      </c>
      <c r="Q43" s="116">
        <f>'라이신(1)'!Q43+'라이신(2)'!Q43</f>
        <v>21727494</v>
      </c>
      <c r="R43" s="116">
        <f>'라이신(1)'!R43+'라이신(2)'!R43</f>
        <v>31511188631</v>
      </c>
      <c r="S43" s="116">
        <f>'라이신(1)'!S43+'라이신(2)'!S43</f>
        <v>12800602</v>
      </c>
      <c r="T43" s="130">
        <f t="shared" ref="T43:T48" si="53">Q43/S43</f>
        <v>1.6973806388168307</v>
      </c>
      <c r="U43" s="85">
        <f>Q41+Q42+Q43</f>
        <v>57943557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664257.72727272729</v>
      </c>
      <c r="G44" s="190">
        <f t="shared" ref="G44" si="54">F44/F43-1</f>
        <v>-0.38855559939611317</v>
      </c>
      <c r="H44" s="190">
        <f t="shared" ref="H44" si="55">F44/F32-1</f>
        <v>1.5208147241890719</v>
      </c>
      <c r="I44" s="130">
        <f t="shared" si="0"/>
        <v>1.6269407612749518</v>
      </c>
      <c r="J44" s="130">
        <f t="shared" si="4"/>
        <v>0.60972030769944219</v>
      </c>
      <c r="K44" s="193"/>
      <c r="L44" s="190"/>
      <c r="M44" s="190"/>
      <c r="N44" s="191"/>
      <c r="O44" s="192"/>
      <c r="P44" s="129" t="s">
        <v>843</v>
      </c>
      <c r="Q44" s="116">
        <f>'라이신(1)'!Q44+'라이신(2)'!Q44</f>
        <v>14613670</v>
      </c>
      <c r="R44" s="116">
        <f>'라이신(1)'!R44+'라이신(2)'!R44</f>
        <v>21245854054</v>
      </c>
      <c r="S44" s="116">
        <f>'라이신(1)'!S44+'라이신(2)'!S44</f>
        <v>8982300</v>
      </c>
      <c r="T44" s="130">
        <f t="shared" si="53"/>
        <v>1.6269407612749518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480608.85</v>
      </c>
      <c r="G45" s="190">
        <f t="shared" ref="G45" si="56">F45/F44-1</f>
        <v>-0.27647232351626938</v>
      </c>
      <c r="H45" s="190">
        <f t="shared" ref="H45" si="57">F45/F33-1</f>
        <v>1.370163869557202</v>
      </c>
      <c r="I45" s="130">
        <f t="shared" si="0"/>
        <v>1.5786988853357669</v>
      </c>
      <c r="J45" s="130">
        <f t="shared" si="4"/>
        <v>0.46940107037032175</v>
      </c>
      <c r="K45" s="193"/>
      <c r="L45" s="190"/>
      <c r="M45" s="190"/>
      <c r="N45" s="191"/>
      <c r="O45" s="192"/>
      <c r="P45" s="129" t="s">
        <v>849</v>
      </c>
      <c r="Q45" s="116">
        <f>'라이신(1)'!Q45+'라이신(2)'!Q45</f>
        <v>9612177</v>
      </c>
      <c r="R45" s="116">
        <f>'라이신(1)'!R45+'라이신(2)'!R45</f>
        <v>13522550127</v>
      </c>
      <c r="S45" s="116">
        <f>'라이신(1)'!S45+'라이신(2)'!S45</f>
        <v>6088670.29</v>
      </c>
      <c r="T45" s="130">
        <f t="shared" si="53"/>
        <v>1.5786988853357669</v>
      </c>
      <c r="U45" s="85"/>
    </row>
    <row r="46" spans="1:21" s="79" customFormat="1" ht="13.2">
      <c r="A46" s="129" t="s">
        <v>923</v>
      </c>
      <c r="B46" s="188">
        <f>SUM(F44:F46)</f>
        <v>1368592.3667464114</v>
      </c>
      <c r="C46" s="188">
        <f>AVERAGE(F44:F46)</f>
        <v>456197.45558213716</v>
      </c>
      <c r="D46" s="190">
        <f>C46/C43-1</f>
        <v>-0.53957828173185396</v>
      </c>
      <c r="E46" s="287">
        <f>C46/C34-1</f>
        <v>1.1195116045999778</v>
      </c>
      <c r="F46" s="136">
        <f>Q46/19</f>
        <v>223725.78947368421</v>
      </c>
      <c r="G46" s="190">
        <f t="shared" ref="G46" si="58">F46/F45-1</f>
        <v>-0.53449506917385259</v>
      </c>
      <c r="H46" s="190">
        <f t="shared" ref="H46" si="59">F46/F34-1</f>
        <v>0.24688666264021575</v>
      </c>
      <c r="I46" s="130">
        <f t="shared" si="0"/>
        <v>1.2726190431888755</v>
      </c>
      <c r="J46" s="130">
        <f t="shared" si="4"/>
        <v>0.26347215785990596</v>
      </c>
      <c r="K46" s="193">
        <f>R44+R45+R46</f>
        <v>40594595727</v>
      </c>
      <c r="L46" s="190">
        <f>U46/U43-1</f>
        <v>-0.50854523825660203</v>
      </c>
      <c r="M46" s="190">
        <f>K46/K34-1</f>
        <v>1.2529381066146246</v>
      </c>
      <c r="N46" s="191">
        <f>AVERAGE(T44:T46)</f>
        <v>1.4927528965998647</v>
      </c>
      <c r="O46" s="192">
        <f>N46/N43-1</f>
        <v>1.7457854239226966E-2</v>
      </c>
      <c r="P46" s="129" t="s">
        <v>959</v>
      </c>
      <c r="Q46" s="116">
        <f>'라이신(1)'!Q46+'라이신(2)'!Q46</f>
        <v>4250790</v>
      </c>
      <c r="R46" s="116">
        <f>'라이신(1)'!R46+'라이신(2)'!R46</f>
        <v>5826191546</v>
      </c>
      <c r="S46" s="116">
        <f>'라이신(1)'!S46+'라이신(2)'!S46</f>
        <v>3340190.4699999997</v>
      </c>
      <c r="T46" s="130">
        <f t="shared" si="53"/>
        <v>1.2726190431888755</v>
      </c>
      <c r="U46" s="85">
        <f t="shared" ref="U46:U51" si="60">Q44+Q45+Q46</f>
        <v>28476637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178797.30434782608</v>
      </c>
      <c r="G47" s="190">
        <f t="shared" ref="G47" si="61">F47/F46-1</f>
        <v>-0.20081942824540955</v>
      </c>
      <c r="H47" s="190">
        <f t="shared" ref="H47" si="62">F47/F35-1</f>
        <v>-0.56242813696320715</v>
      </c>
      <c r="I47" s="130">
        <f t="shared" si="0"/>
        <v>1.1424382345849486</v>
      </c>
      <c r="J47" s="130">
        <f t="shared" si="4"/>
        <v>-1.2644197130243673E-2</v>
      </c>
      <c r="K47" s="193"/>
      <c r="L47" s="190"/>
      <c r="M47" s="190"/>
      <c r="N47" s="191"/>
      <c r="O47" s="192"/>
      <c r="P47" s="129" t="s">
        <v>991</v>
      </c>
      <c r="Q47" s="116">
        <f>'라이신(1)'!Q47+'라이신(2)'!Q47</f>
        <v>4112338</v>
      </c>
      <c r="R47" s="116">
        <f>'라이신(1)'!R47+'라이신(2)'!R47</f>
        <v>5643416747</v>
      </c>
      <c r="S47" s="116">
        <f>'라이신(1)'!S47+'라이신(2)'!S47</f>
        <v>3599615.17</v>
      </c>
      <c r="T47" s="130">
        <f t="shared" si="53"/>
        <v>1.1424382345849486</v>
      </c>
      <c r="U47" s="85">
        <f t="shared" si="60"/>
        <v>17975305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292181.84999999998</v>
      </c>
      <c r="G48" s="190">
        <f t="shared" ref="G48" si="63">F48/F47-1</f>
        <v>0.63415131489678123</v>
      </c>
      <c r="H48" s="190">
        <f t="shared" ref="H48" si="64">F48/F36-1</f>
        <v>-0.12078842931437528</v>
      </c>
      <c r="I48" s="130">
        <f t="shared" si="0"/>
        <v>1.1047094644414299</v>
      </c>
      <c r="J48" s="130">
        <f t="shared" si="4"/>
        <v>-0.12365397526220279</v>
      </c>
      <c r="K48" s="193"/>
      <c r="L48" s="190"/>
      <c r="M48" s="190"/>
      <c r="N48" s="191"/>
      <c r="O48" s="192"/>
      <c r="P48" s="129" t="s">
        <v>1070</v>
      </c>
      <c r="Q48" s="116">
        <f>'라이신(1)'!Q48+'라이신(2)'!Q48</f>
        <v>5843637</v>
      </c>
      <c r="R48" s="116">
        <f>'라이신(1)'!R48+'라이신(2)'!R48</f>
        <v>8109180202</v>
      </c>
      <c r="S48" s="116">
        <f>'라이신(1)'!S48+'라이신(2)'!S48</f>
        <v>5289750.0999999996</v>
      </c>
      <c r="T48" s="130">
        <f t="shared" si="53"/>
        <v>1.1047094644414299</v>
      </c>
      <c r="U48" s="85">
        <f t="shared" si="60"/>
        <v>14206765</v>
      </c>
    </row>
    <row r="49" spans="1:26" ht="13.2">
      <c r="A49" s="129" t="s">
        <v>1158</v>
      </c>
      <c r="B49" s="188">
        <f>SUM(F47:F49)</f>
        <v>604121.10889328062</v>
      </c>
      <c r="C49" s="188">
        <f>AVERAGE(F47:F49)</f>
        <v>201373.70296442686</v>
      </c>
      <c r="D49" s="190">
        <f>C49/C46-1</f>
        <v>-0.55858214354251245</v>
      </c>
      <c r="E49" s="287">
        <f>C49/C37-1</f>
        <v>-0.43522973357000772</v>
      </c>
      <c r="F49" s="136">
        <f>Q49/22</f>
        <v>133141.95454545456</v>
      </c>
      <c r="G49" s="190">
        <f t="shared" ref="G49" si="65">F49/F48-1</f>
        <v>-0.5443181890132649</v>
      </c>
      <c r="H49" s="190">
        <f t="shared" ref="H49" si="66">F49/F37-1</f>
        <v>-0.59499416852042653</v>
      </c>
      <c r="I49" s="130">
        <f t="shared" si="0"/>
        <v>1.1091464505572117</v>
      </c>
      <c r="J49" s="130">
        <f t="shared" si="4"/>
        <v>-0.12689972879969036</v>
      </c>
      <c r="K49" s="193">
        <f>R47+R48+R49</f>
        <v>17828187896</v>
      </c>
      <c r="L49" s="190">
        <f>U49/U46-1</f>
        <v>-0.54752037608935356</v>
      </c>
      <c r="M49" s="190">
        <f>K49/K37-1</f>
        <v>-0.41456297952107179</v>
      </c>
      <c r="N49" s="191">
        <f>AVERAGE(T47:T49)</f>
        <v>1.1187647165278634</v>
      </c>
      <c r="O49" s="192">
        <f>N49/N46-1</f>
        <v>-0.25053589306298263</v>
      </c>
      <c r="P49" s="129" t="s">
        <v>1158</v>
      </c>
      <c r="Q49" s="116">
        <f>'라이신(1)'!Q49+'라이신(2)'!Q49</f>
        <v>2929123</v>
      </c>
      <c r="R49" s="116">
        <f>'라이신(1)'!R49+'라이신(2)'!R49</f>
        <v>4075590947</v>
      </c>
      <c r="S49" s="116">
        <f>'라이신(1)'!S49+'라이신(2)'!S49</f>
        <v>2640880.29</v>
      </c>
      <c r="T49" s="130">
        <f t="shared" ref="T49" si="67">Q49/S49</f>
        <v>1.1091464505572117</v>
      </c>
      <c r="U49" s="85">
        <f t="shared" si="60"/>
        <v>12885098</v>
      </c>
      <c r="V49" s="79"/>
      <c r="W49" s="79"/>
      <c r="X49" s="79"/>
      <c r="Y49" s="79"/>
      <c r="Z49" s="79"/>
    </row>
    <row r="50" spans="1:26" ht="13.2">
      <c r="A50" s="129" t="s">
        <v>1315</v>
      </c>
      <c r="B50" s="188"/>
      <c r="C50" s="188"/>
      <c r="D50" s="190"/>
      <c r="E50" s="287"/>
      <c r="F50" s="136">
        <f>Q50/18</f>
        <v>364859.55555555556</v>
      </c>
      <c r="G50" s="190">
        <f t="shared" ref="G50" si="68">F50/F49-1</f>
        <v>1.7403800462535104</v>
      </c>
      <c r="H50" s="190">
        <f t="shared" ref="H50" si="69">F50/F38-1</f>
        <v>-6.3604195190858803E-2</v>
      </c>
      <c r="I50" s="130">
        <f t="shared" ref="I50" si="70">T50</f>
        <v>1.0994160054727462</v>
      </c>
      <c r="J50" s="130">
        <f t="shared" ref="J50" si="71">I50/I38-1</f>
        <v>-4.0787839069689191E-2</v>
      </c>
      <c r="K50" s="193"/>
      <c r="L50" s="190"/>
      <c r="M50" s="190"/>
      <c r="N50" s="191"/>
      <c r="O50" s="192"/>
      <c r="P50" s="129" t="s">
        <v>1291</v>
      </c>
      <c r="Q50" s="116">
        <f>'라이신(1)'!Q50+'라이신(2)'!Q50</f>
        <v>6567472</v>
      </c>
      <c r="R50" s="116">
        <f>'라이신(1)'!R50+'라이신(2)'!R50</f>
        <v>9264734881</v>
      </c>
      <c r="S50" s="116">
        <f>'라이신(1)'!S50+'라이신(2)'!S50</f>
        <v>5973600.5</v>
      </c>
      <c r="T50" s="130">
        <f t="shared" ref="T50" si="72">Q50/S50</f>
        <v>1.0994160054727462</v>
      </c>
      <c r="U50" s="85">
        <f t="shared" si="60"/>
        <v>15340232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317457.55</v>
      </c>
      <c r="G51" s="190">
        <f t="shared" ref="G51:G52" si="73">F51/F50-1</f>
        <v>-0.12991849832020608</v>
      </c>
      <c r="H51" s="190">
        <f t="shared" ref="H51:H52" si="74">F51/F39-1</f>
        <v>-0.47531134312521095</v>
      </c>
      <c r="I51" s="130">
        <f t="shared" ref="I51:I52" si="75">T51</f>
        <v>1.0941415593014454</v>
      </c>
      <c r="J51" s="130">
        <f t="shared" ref="J51:J52" si="76">I51/I39-1</f>
        <v>-6.4265148612279499E-2</v>
      </c>
      <c r="K51" s="193"/>
      <c r="L51" s="190"/>
      <c r="M51" s="190"/>
      <c r="N51" s="191"/>
      <c r="O51" s="192"/>
      <c r="P51" s="129" t="s">
        <v>1402</v>
      </c>
      <c r="Q51" s="116">
        <f>'라이신(1)'!Q51+'라이신(2)'!Q51</f>
        <v>6349151</v>
      </c>
      <c r="R51" s="116">
        <f>'라이신(1)'!R51+'라이신(2)'!R51</f>
        <v>9182580229</v>
      </c>
      <c r="S51" s="116">
        <f>'라이신(1)'!S51+'라이신(2)'!S51</f>
        <v>5802860.6500000004</v>
      </c>
      <c r="T51" s="130">
        <f t="shared" ref="T51:T52" si="77">Q51/S51</f>
        <v>1.0941415593014454</v>
      </c>
      <c r="U51" s="85">
        <f t="shared" si="60"/>
        <v>15845746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1047806.3328282828</v>
      </c>
      <c r="C52" s="188">
        <f>AVERAGE(F50:F52)</f>
        <v>349268.77760942763</v>
      </c>
      <c r="D52" s="190">
        <f>C52/C49-1</f>
        <v>0.73443092354082995</v>
      </c>
      <c r="E52" s="287">
        <f>C52/C40-1</f>
        <v>-0.24173534490120618</v>
      </c>
      <c r="F52" s="136">
        <f>Q52/22</f>
        <v>365489.22727272729</v>
      </c>
      <c r="G52" s="190">
        <f t="shared" si="73"/>
        <v>0.151301102376451</v>
      </c>
      <c r="H52" s="190">
        <f t="shared" si="74"/>
        <v>-5.5987039782144032E-2</v>
      </c>
      <c r="I52" s="130">
        <f t="shared" si="75"/>
        <v>1.0851940907201116</v>
      </c>
      <c r="J52" s="130">
        <f t="shared" si="76"/>
        <v>-0.21958145055500899</v>
      </c>
      <c r="K52" s="193">
        <f>R50+R51+R52</f>
        <v>30283627594</v>
      </c>
      <c r="L52" s="190">
        <f>U52/U49-1</f>
        <v>0.62648246835220034</v>
      </c>
      <c r="M52" s="190">
        <f>K52/K40-1</f>
        <v>-0.2382733662939831</v>
      </c>
      <c r="N52" s="191">
        <f>AVERAGE(T50:T52)</f>
        <v>1.0929172184981011</v>
      </c>
      <c r="O52" s="192">
        <f>N52/N49-1</f>
        <v>-2.3103604938472855E-2</v>
      </c>
      <c r="P52" s="129" t="s">
        <v>1403</v>
      </c>
      <c r="Q52" s="116">
        <f>'라이신(1)'!Q52+'라이신(2)'!Q52</f>
        <v>8040763</v>
      </c>
      <c r="R52" s="116">
        <f>'라이신(1)'!R52+'라이신(2)'!R52</f>
        <v>11836312484</v>
      </c>
      <c r="S52" s="116">
        <f>'라이신(1)'!S52+'라이신(2)'!S52</f>
        <v>7409516.0199999996</v>
      </c>
      <c r="T52" s="130">
        <f t="shared" si="77"/>
        <v>1.0851940907201116</v>
      </c>
      <c r="U52" s="85">
        <f t="shared" ref="U52" si="78">Q50+Q51+Q52</f>
        <v>20957386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466241.47619047621</v>
      </c>
      <c r="G53" s="190">
        <f t="shared" ref="G53" si="79">F53/F52-1</f>
        <v>0.27566407269937887</v>
      </c>
      <c r="H53" s="190">
        <f t="shared" ref="H53" si="80">F53/F41-1</f>
        <v>-0.38080368750200533</v>
      </c>
      <c r="I53" s="130">
        <f t="shared" ref="I53" si="81">T53</f>
        <v>1.0869945578015416</v>
      </c>
      <c r="J53" s="130">
        <f t="shared" ref="J53" si="82">I53/I41-1</f>
        <v>-0.13822779479542291</v>
      </c>
      <c r="K53" s="193"/>
      <c r="L53" s="190"/>
      <c r="M53" s="190"/>
      <c r="N53" s="191"/>
      <c r="O53" s="192"/>
      <c r="P53" s="129" t="s">
        <v>1414</v>
      </c>
      <c r="Q53" s="116">
        <f>'라이신(1)'!Q53+'라이신(2)'!Q53</f>
        <v>9791071</v>
      </c>
      <c r="R53" s="116">
        <f>'라이신(1)'!R53+'라이신(2)'!R53</f>
        <v>14305428344</v>
      </c>
      <c r="S53" s="116">
        <f>'라이신(1)'!S53+'라이신(2)'!S53</f>
        <v>9007470.120000001</v>
      </c>
      <c r="T53" s="130">
        <f t="shared" ref="T53" si="83">Q53/S53</f>
        <v>1.0869945578015416</v>
      </c>
      <c r="U53" s="85">
        <f t="shared" ref="U53" si="84">Q51+Q52+Q53</f>
        <v>24180985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913308.3529411765</v>
      </c>
      <c r="G54" s="190">
        <f t="shared" ref="G54" si="85">F54/F53-1</f>
        <v>0.9588741019000584</v>
      </c>
      <c r="H54" s="190">
        <f t="shared" ref="H54" si="86">F54/F42-1</f>
        <v>-0.1939897825339576</v>
      </c>
      <c r="I54" s="130">
        <f t="shared" ref="I54" si="87">T54</f>
        <v>1.1665480351537971</v>
      </c>
      <c r="J54" s="130">
        <f t="shared" ref="J54" si="88">I54/I42-1</f>
        <v>-0.19140815138256606</v>
      </c>
      <c r="K54" s="193"/>
      <c r="L54" s="190"/>
      <c r="M54" s="190"/>
      <c r="N54" s="191"/>
      <c r="O54" s="192"/>
      <c r="P54" s="129" t="s">
        <v>1417</v>
      </c>
      <c r="Q54" s="116">
        <f>'라이신(1)'!Q54+'라이신(2)'!Q54</f>
        <v>15526242</v>
      </c>
      <c r="R54" s="116">
        <f>'라이신(1)'!R54+'라이신(2)'!R54</f>
        <v>22520058169</v>
      </c>
      <c r="S54" s="116">
        <f>'라이신(1)'!S54+'라이신(2)'!S54</f>
        <v>13309560.800000001</v>
      </c>
      <c r="T54" s="130">
        <f t="shared" ref="T54" si="89">Q54/S54</f>
        <v>1.1665480351537971</v>
      </c>
      <c r="U54" s="85">
        <f t="shared" ref="U54" si="90">Q52+Q53+Q54</f>
        <v>33358076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2195277.5910364147</v>
      </c>
      <c r="C55" s="188">
        <f>AVERAGE(F53:F55)</f>
        <v>731759.1970121382</v>
      </c>
      <c r="D55" s="190">
        <f>C55/C52-1</f>
        <v>1.0951176970946808</v>
      </c>
      <c r="E55" s="287">
        <f>C55/C43-1</f>
        <v>-0.26146491453592458</v>
      </c>
      <c r="F55" s="136">
        <f>Q55/21</f>
        <v>815727.76190476189</v>
      </c>
      <c r="G55" s="190">
        <f t="shared" ref="G55" si="91">F55/F54-1</f>
        <v>-0.10684298541907622</v>
      </c>
      <c r="H55" s="190">
        <f t="shared" ref="H55" si="92">F55/F43-1</f>
        <v>-0.24912853557362669</v>
      </c>
      <c r="I55" s="130">
        <f>T55</f>
        <v>1.2022322674340349</v>
      </c>
      <c r="J55" s="130">
        <f t="shared" ref="J55" si="93">I55/I43-1</f>
        <v>-0.29171321980433451</v>
      </c>
      <c r="K55" s="193">
        <f>R53+R54+R55</f>
        <v>61999013065</v>
      </c>
      <c r="L55" s="190">
        <f>U55/U52-1</f>
        <v>1.0254241631088914</v>
      </c>
      <c r="M55" s="190">
        <f>K55/K43-1</f>
        <v>-0.26262967640463208</v>
      </c>
      <c r="N55" s="191">
        <f>AVERAGE(T53:T55)</f>
        <v>1.1519249534631244</v>
      </c>
      <c r="O55" s="192">
        <f>N55/N52-1</f>
        <v>5.3991037899569827E-2</v>
      </c>
      <c r="P55" s="129" t="s">
        <v>1418</v>
      </c>
      <c r="Q55" s="116">
        <f>'라이신(1)'!Q55+'라이신(2)'!Q55</f>
        <v>17130283</v>
      </c>
      <c r="R55" s="116">
        <f>'라이신(1)'!R55+'라이신(2)'!R55</f>
        <v>25173526552</v>
      </c>
      <c r="S55" s="116">
        <f>'라이신(1)'!S55+'라이신(2)'!S55</f>
        <v>14248730.02</v>
      </c>
      <c r="T55" s="130">
        <f t="shared" ref="T55" si="94">Q55/S55</f>
        <v>1.2022322674340349</v>
      </c>
      <c r="U55" s="85">
        <f t="shared" ref="U55" si="95">Q53+Q54+Q55</f>
        <v>42447596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869981.18181818177</v>
      </c>
      <c r="G56" s="190">
        <f t="shared" ref="G56" si="96">F56/F55-1</f>
        <v>6.6509223355026625E-2</v>
      </c>
      <c r="H56" s="190">
        <f t="shared" ref="H56" si="97">F56/F44-1</f>
        <v>0.30970427004304857</v>
      </c>
      <c r="I56" s="291">
        <f>T56</f>
        <v>1.4140537232424299</v>
      </c>
      <c r="J56" s="130">
        <f t="shared" ref="J56" si="98">I56/I44-1</f>
        <v>-0.13085113060028875</v>
      </c>
      <c r="K56" s="193"/>
      <c r="L56" s="190"/>
      <c r="M56" s="190"/>
      <c r="N56" s="191"/>
      <c r="O56" s="192"/>
      <c r="P56" s="129" t="s">
        <v>1420</v>
      </c>
      <c r="Q56" s="116">
        <f>'라이신(1)'!Q56+'라이신(2)'!Q56</f>
        <v>19139586</v>
      </c>
      <c r="R56" s="116">
        <f>'라이신(1)'!R56+'라이신(2)'!R56</f>
        <v>28652892461</v>
      </c>
      <c r="S56" s="116">
        <f>'라이신(1)'!S56+'라이신(2)'!S56</f>
        <v>13535260.850000001</v>
      </c>
      <c r="T56" s="130">
        <f t="shared" ref="T56" si="99">Q56/S56</f>
        <v>1.4140537232424299</v>
      </c>
      <c r="U56" s="85">
        <f t="shared" ref="U56" si="100">Q54+Q55+Q56</f>
        <v>51796111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1031437.25</v>
      </c>
      <c r="G57" s="254">
        <f t="shared" ref="G57" si="101">F57/F56-1</f>
        <v>0.18558570180149148</v>
      </c>
      <c r="H57" s="254">
        <f t="shared" ref="H57" si="102">F57/F45-1</f>
        <v>1.1461054035937956</v>
      </c>
      <c r="I57" s="282">
        <f>T57</f>
        <v>1.4521899154773581</v>
      </c>
      <c r="J57" s="277">
        <f t="shared" ref="J57" si="103">I57/I45-1</f>
        <v>-8.013495862543929E-2</v>
      </c>
      <c r="K57" s="259"/>
      <c r="L57" s="254"/>
      <c r="M57" s="254"/>
      <c r="N57" s="257"/>
      <c r="O57" s="258"/>
      <c r="P57" s="129" t="s">
        <v>1436</v>
      </c>
      <c r="Q57" s="116">
        <f>'라이신(1)'!Q57+'라이신(2)'!Q57</f>
        <v>12377247</v>
      </c>
      <c r="R57" s="116">
        <f>'라이신(1)'!R57+'라이신(2)'!R57</f>
        <v>18251490135</v>
      </c>
      <c r="S57" s="116">
        <f>'라이신(1)'!S57+'라이신(2)'!S57</f>
        <v>8523160</v>
      </c>
      <c r="T57" s="130">
        <f t="shared" ref="T57" si="104">Q57/S57</f>
        <v>1.4521899154773581</v>
      </c>
      <c r="U57" s="85">
        <f t="shared" ref="U57" si="105">Q55+Q56+Q57</f>
        <v>48647116</v>
      </c>
      <c r="V57" s="79"/>
      <c r="W57" s="79"/>
      <c r="X57" s="79"/>
      <c r="Y57" s="79"/>
      <c r="Z57" s="79"/>
    </row>
    <row r="58" spans="1:26">
      <c r="B58" s="196">
        <f>SUM(F56:F58)</f>
        <v>1901418.4318181816</v>
      </c>
      <c r="C58" s="196">
        <f>AVERAGE(F56:F58)</f>
        <v>950709.21590909082</v>
      </c>
      <c r="D58" s="197">
        <f>C58/C55-1</f>
        <v>0.29921047769669618</v>
      </c>
      <c r="E58" s="233">
        <f>C58/C46-1</f>
        <v>1.0839862306902281</v>
      </c>
    </row>
  </sheetData>
  <phoneticPr fontId="1" type="noConversion"/>
  <conditionalFormatting sqref="C29:C30">
    <cfRule type="cellIs" dxfId="1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76">
    <tabColor rgb="FFFF0000"/>
  </sheetPr>
  <dimension ref="A1:Z73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284</v>
      </c>
      <c r="H4" s="172" t="s">
        <v>261</v>
      </c>
      <c r="I4" s="84" t="s">
        <v>45</v>
      </c>
      <c r="J4" s="84" t="s">
        <v>1252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394064.15</v>
      </c>
      <c r="G5" s="90"/>
      <c r="H5" s="90"/>
      <c r="I5" s="130">
        <f t="shared" ref="I5:I49" si="0">T5</f>
        <v>1.1044507008273525</v>
      </c>
      <c r="J5" s="130"/>
      <c r="L5" s="80"/>
      <c r="P5" s="129" t="s">
        <v>0</v>
      </c>
      <c r="Q5" s="116">
        <v>7881283</v>
      </c>
      <c r="R5" s="116"/>
      <c r="S5" s="116">
        <v>7135930.0999999996</v>
      </c>
      <c r="T5" s="130">
        <f t="shared" ref="T5:T25" si="1">Q5/S5</f>
        <v>1.1044507008273525</v>
      </c>
      <c r="U5" s="85"/>
    </row>
    <row r="6" spans="1:21" ht="15" hidden="1" customHeight="1">
      <c r="A6" s="129" t="s">
        <v>1</v>
      </c>
      <c r="C6" s="79"/>
      <c r="F6" s="78">
        <f>Q6/18</f>
        <v>369427.44444444444</v>
      </c>
      <c r="G6" s="90">
        <f t="shared" ref="G6:G25" si="2">F6/F5-1</f>
        <v>-6.2519530273321244E-2</v>
      </c>
      <c r="H6" s="90"/>
      <c r="I6" s="130">
        <f t="shared" si="0"/>
        <v>1.120656246050137</v>
      </c>
      <c r="J6" s="130"/>
      <c r="P6" s="129" t="s">
        <v>1</v>
      </c>
      <c r="Q6" s="116">
        <v>6649694</v>
      </c>
      <c r="R6" s="116"/>
      <c r="S6" s="116">
        <v>5933750</v>
      </c>
      <c r="T6" s="130">
        <f t="shared" si="1"/>
        <v>1.120656246050137</v>
      </c>
      <c r="U6" s="85"/>
    </row>
    <row r="7" spans="1:21" ht="15" hidden="1" customHeight="1">
      <c r="A7" s="129" t="s">
        <v>2</v>
      </c>
      <c r="B7" s="131">
        <f>F5+F6+F7</f>
        <v>1342674.8217171717</v>
      </c>
      <c r="C7" s="131">
        <f>AVERAGE(F5:F7)</f>
        <v>447558.27390572388</v>
      </c>
      <c r="F7" s="78">
        <f>Q7/22</f>
        <v>579183.22727272729</v>
      </c>
      <c r="G7" s="90">
        <f t="shared" si="2"/>
        <v>0.56778614037113462</v>
      </c>
      <c r="H7" s="90"/>
      <c r="I7" s="130">
        <f t="shared" si="0"/>
        <v>1.1052836018799317</v>
      </c>
      <c r="J7" s="130"/>
      <c r="K7" s="79">
        <f>R5+R6+R7</f>
        <v>0</v>
      </c>
      <c r="L7" s="102">
        <f>S5+S6+S7</f>
        <v>24597971.100000001</v>
      </c>
      <c r="N7" s="88">
        <f>AVERAGE(T5:T7)</f>
        <v>1.1101301829191403</v>
      </c>
      <c r="P7" s="129" t="s">
        <v>2</v>
      </c>
      <c r="Q7" s="116">
        <v>12742031</v>
      </c>
      <c r="R7" s="116"/>
      <c r="S7" s="116">
        <v>11528291</v>
      </c>
      <c r="T7" s="130">
        <f t="shared" si="1"/>
        <v>1.1052836018799317</v>
      </c>
      <c r="U7" s="85">
        <f>Q5+Q6+Q7</f>
        <v>27273008</v>
      </c>
    </row>
    <row r="8" spans="1:21" ht="15" hidden="1" customHeight="1">
      <c r="A8" s="129" t="s">
        <v>3</v>
      </c>
      <c r="C8" s="79"/>
      <c r="F8" s="78">
        <f>Q8/21</f>
        <v>46414.619047619046</v>
      </c>
      <c r="G8" s="90">
        <f t="shared" si="2"/>
        <v>-0.91986194202104676</v>
      </c>
      <c r="H8" s="90"/>
      <c r="I8" s="130">
        <f t="shared" si="0"/>
        <v>1.1687202958386687</v>
      </c>
      <c r="J8" s="130"/>
      <c r="K8" s="78"/>
      <c r="P8" s="129" t="s">
        <v>3</v>
      </c>
      <c r="Q8" s="116">
        <v>974707</v>
      </c>
      <c r="R8" s="116"/>
      <c r="S8" s="116">
        <v>833995.1</v>
      </c>
      <c r="T8" s="130">
        <f t="shared" si="1"/>
        <v>1.1687202958386687</v>
      </c>
      <c r="U8" s="85"/>
    </row>
    <row r="9" spans="1:21" ht="15" hidden="1" customHeight="1">
      <c r="A9" s="129" t="s">
        <v>4</v>
      </c>
      <c r="C9" s="79"/>
      <c r="F9" s="78">
        <f>Q9/21</f>
        <v>239035.66666666666</v>
      </c>
      <c r="G9" s="90">
        <f t="shared" si="2"/>
        <v>4.1500081562972255</v>
      </c>
      <c r="H9" s="90"/>
      <c r="I9" s="130">
        <f t="shared" si="0"/>
        <v>1.080315091587861</v>
      </c>
      <c r="J9" s="130"/>
      <c r="K9" s="78"/>
      <c r="P9" s="129" t="s">
        <v>4</v>
      </c>
      <c r="Q9" s="116">
        <v>5019749</v>
      </c>
      <c r="R9" s="116"/>
      <c r="S9" s="116">
        <v>4646560.0999999996</v>
      </c>
      <c r="T9" s="130">
        <f t="shared" si="1"/>
        <v>1.080315091587861</v>
      </c>
      <c r="U9" s="85"/>
    </row>
    <row r="10" spans="1:21" ht="15" hidden="1" customHeight="1">
      <c r="A10" s="129" t="s">
        <v>5</v>
      </c>
      <c r="B10" s="131">
        <f>F8+F9+F10</f>
        <v>285792.38095238095</v>
      </c>
      <c r="C10" s="131">
        <f>AVERAGE(F8:F10)</f>
        <v>95264.126984126982</v>
      </c>
      <c r="D10" s="90">
        <f>C10/C7-1</f>
        <v>-0.78714698724529908</v>
      </c>
      <c r="E10" s="286"/>
      <c r="F10" s="78">
        <f>Q10/21</f>
        <v>342.09523809523807</v>
      </c>
      <c r="G10" s="90">
        <f t="shared" si="2"/>
        <v>-0.99856885274542606</v>
      </c>
      <c r="H10" s="90"/>
      <c r="I10" s="130">
        <f t="shared" si="0"/>
        <v>6.3017543859649123</v>
      </c>
      <c r="J10" s="130"/>
      <c r="K10" s="79">
        <f>R8+R9+R10</f>
        <v>0</v>
      </c>
      <c r="L10" s="102">
        <f>U10/U7-1</f>
        <v>-0.77994213179565675</v>
      </c>
      <c r="N10" s="88">
        <f>AVERAGE(T8:T10)</f>
        <v>2.8502632577971472</v>
      </c>
      <c r="O10" s="89">
        <f>N10/N7-1</f>
        <v>1.567503615028504</v>
      </c>
      <c r="P10" s="129" t="s">
        <v>5</v>
      </c>
      <c r="Q10" s="116">
        <v>7184</v>
      </c>
      <c r="R10" s="116"/>
      <c r="S10" s="116">
        <v>1140</v>
      </c>
      <c r="T10" s="130">
        <f t="shared" si="1"/>
        <v>6.3017543859649123</v>
      </c>
      <c r="U10" s="85">
        <f>Q8+Q9+Q10</f>
        <v>6001640</v>
      </c>
    </row>
    <row r="11" spans="1:21" ht="15" hidden="1" customHeight="1">
      <c r="A11" s="129" t="s">
        <v>6</v>
      </c>
      <c r="C11" s="79"/>
      <c r="F11" s="78">
        <f>Q11/21</f>
        <v>89392</v>
      </c>
      <c r="G11" s="90">
        <f t="shared" si="2"/>
        <v>260.30734966592428</v>
      </c>
      <c r="H11" s="90"/>
      <c r="I11" s="130">
        <f t="shared" si="0"/>
        <v>0.92677185568435394</v>
      </c>
      <c r="J11" s="130"/>
      <c r="K11" s="78"/>
      <c r="O11" s="89"/>
      <c r="P11" s="129" t="s">
        <v>6</v>
      </c>
      <c r="Q11" s="116">
        <v>1877232</v>
      </c>
      <c r="R11" s="116"/>
      <c r="S11" s="116">
        <v>2025560</v>
      </c>
      <c r="T11" s="130">
        <f t="shared" si="1"/>
        <v>0.92677185568435394</v>
      </c>
      <c r="U11" s="85"/>
    </row>
    <row r="12" spans="1:21" ht="15" hidden="1" customHeight="1">
      <c r="A12" s="129" t="s">
        <v>7</v>
      </c>
      <c r="C12" s="79"/>
      <c r="F12" s="78">
        <f>Q12/22</f>
        <v>56514.818181818184</v>
      </c>
      <c r="G12" s="90">
        <f t="shared" si="2"/>
        <v>-0.36778662316741784</v>
      </c>
      <c r="H12" s="90"/>
      <c r="I12" s="130">
        <f t="shared" si="0"/>
        <v>0.93612667148536322</v>
      </c>
      <c r="J12" s="130"/>
      <c r="K12" s="78"/>
      <c r="O12" s="89"/>
      <c r="P12" s="129" t="s">
        <v>7</v>
      </c>
      <c r="Q12" s="116">
        <v>1243326</v>
      </c>
      <c r="R12" s="116"/>
      <c r="S12" s="116">
        <v>1328160</v>
      </c>
      <c r="T12" s="130">
        <f t="shared" si="1"/>
        <v>0.93612667148536322</v>
      </c>
      <c r="U12" s="85"/>
    </row>
    <row r="13" spans="1:21" ht="15" hidden="1" customHeight="1">
      <c r="A13" s="129" t="s">
        <v>96</v>
      </c>
      <c r="B13" s="131">
        <f>F11+F12+F13</f>
        <v>294079.11818181816</v>
      </c>
      <c r="C13" s="131">
        <f>AVERAGE(F11:F13)</f>
        <v>98026.372727272726</v>
      </c>
      <c r="D13" s="90">
        <f>C13/C10-1</f>
        <v>2.8995654824045092E-2</v>
      </c>
      <c r="E13" s="286"/>
      <c r="F13" s="78">
        <f>Q13/20</f>
        <v>148172.29999999999</v>
      </c>
      <c r="G13" s="90">
        <f t="shared" si="2"/>
        <v>1.6218309598608891</v>
      </c>
      <c r="H13" s="90"/>
      <c r="I13" s="130">
        <f t="shared" si="0"/>
        <v>0.94124261725671698</v>
      </c>
      <c r="J13" s="130"/>
      <c r="K13" s="79">
        <f>R11+R12+R13</f>
        <v>0</v>
      </c>
      <c r="L13" s="102">
        <f>U13/U10-1</f>
        <v>1.3723582220859676E-2</v>
      </c>
      <c r="N13" s="88">
        <f>AVERAGE(T11:T13)</f>
        <v>0.93471371480881127</v>
      </c>
      <c r="O13" s="89">
        <f>N13/N10-1</f>
        <v>-0.67206056765043742</v>
      </c>
      <c r="P13" s="129" t="s">
        <v>96</v>
      </c>
      <c r="Q13" s="116">
        <v>2963446</v>
      </c>
      <c r="R13" s="116"/>
      <c r="S13" s="116">
        <v>3148440.1</v>
      </c>
      <c r="T13" s="130">
        <f t="shared" si="1"/>
        <v>0.94124261725671698</v>
      </c>
      <c r="U13" s="85">
        <f>Q11+Q12+Q13</f>
        <v>6084004</v>
      </c>
    </row>
    <row r="14" spans="1:21" ht="15" hidden="1" customHeight="1">
      <c r="A14" s="129" t="s">
        <v>97</v>
      </c>
      <c r="C14" s="79"/>
      <c r="F14" s="78">
        <f>Q14/20</f>
        <v>184979.05</v>
      </c>
      <c r="G14" s="90">
        <f t="shared" si="2"/>
        <v>0.24840506626407222</v>
      </c>
      <c r="H14" s="90"/>
      <c r="I14" s="130">
        <f t="shared" si="0"/>
        <v>0.89297300543416303</v>
      </c>
      <c r="J14" s="130"/>
      <c r="O14" s="89"/>
      <c r="P14" s="129" t="s">
        <v>97</v>
      </c>
      <c r="Q14" s="116">
        <v>3699581</v>
      </c>
      <c r="R14" s="116"/>
      <c r="S14" s="116">
        <v>4142993.1</v>
      </c>
      <c r="T14" s="130">
        <f t="shared" si="1"/>
        <v>0.89297300543416303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268141.54545454547</v>
      </c>
      <c r="G15" s="90">
        <f t="shared" si="2"/>
        <v>0.44957791411808801</v>
      </c>
      <c r="H15" s="90"/>
      <c r="I15" s="130">
        <f t="shared" si="0"/>
        <v>0.97754199090583693</v>
      </c>
      <c r="J15" s="130"/>
      <c r="O15" s="89"/>
      <c r="P15" s="129" t="s">
        <v>98</v>
      </c>
      <c r="Q15" s="116">
        <v>5899114</v>
      </c>
      <c r="R15" s="116"/>
      <c r="S15" s="116">
        <v>6034640</v>
      </c>
      <c r="T15" s="130">
        <f t="shared" si="1"/>
        <v>0.97754199090583693</v>
      </c>
      <c r="U15" s="78"/>
    </row>
    <row r="16" spans="1:21" ht="15" hidden="1" customHeight="1">
      <c r="A16" s="129" t="s">
        <v>99</v>
      </c>
      <c r="B16" s="131">
        <f>F14+F15+F16</f>
        <v>732450.27727272734</v>
      </c>
      <c r="C16" s="131">
        <f>AVERAGE(F14:F16)</f>
        <v>244150.09242424244</v>
      </c>
      <c r="D16" s="90">
        <f>C16/C13-1</f>
        <v>1.4906572142938779</v>
      </c>
      <c r="E16" s="286"/>
      <c r="F16" s="78">
        <f>Q16/22</f>
        <v>279329.68181818182</v>
      </c>
      <c r="G16" s="90">
        <f t="shared" si="2"/>
        <v>4.1724740359314838E-2</v>
      </c>
      <c r="H16" s="90"/>
      <c r="I16" s="130">
        <f t="shared" si="0"/>
        <v>1.0372120146233277</v>
      </c>
      <c r="J16" s="130"/>
      <c r="K16" s="79">
        <f>R14+R15+R16</f>
        <v>0</v>
      </c>
      <c r="L16" s="102">
        <f>U16/U13-1</f>
        <v>1.5877609547922718</v>
      </c>
      <c r="N16" s="88">
        <f>AVERAGE(T14:T16)</f>
        <v>0.96924233698777584</v>
      </c>
      <c r="O16" s="89">
        <f>N16/N13-1</f>
        <v>3.6940318336964983E-2</v>
      </c>
      <c r="P16" s="129" t="s">
        <v>99</v>
      </c>
      <c r="Q16" s="116">
        <v>6145253</v>
      </c>
      <c r="R16" s="116"/>
      <c r="S16" s="116">
        <v>5924780</v>
      </c>
      <c r="T16" s="130">
        <f t="shared" si="1"/>
        <v>1.0372120146233277</v>
      </c>
      <c r="U16" s="85">
        <f>Q14+Q15+Q16</f>
        <v>15743948</v>
      </c>
    </row>
    <row r="17" spans="1:21" ht="15" hidden="1" customHeight="1">
      <c r="A17" s="129" t="s">
        <v>100</v>
      </c>
      <c r="C17" s="79"/>
      <c r="F17" s="78">
        <f>Q17/20</f>
        <v>149155.85</v>
      </c>
      <c r="G17" s="90">
        <f t="shared" si="2"/>
        <v>-0.46602219631966335</v>
      </c>
      <c r="H17" s="90">
        <f t="shared" ref="H17:H25" si="3">F17/F5-1</f>
        <v>-0.62149348018590378</v>
      </c>
      <c r="I17" s="130">
        <f t="shared" si="0"/>
        <v>1.0336223862948224</v>
      </c>
      <c r="J17" s="130">
        <f t="shared" ref="J17:J49" si="4">I17/I5-1</f>
        <v>-6.4129901388511157E-2</v>
      </c>
      <c r="O17" s="89"/>
      <c r="P17" s="129" t="s">
        <v>100</v>
      </c>
      <c r="Q17" s="116">
        <v>2983117</v>
      </c>
      <c r="R17" s="116">
        <v>3760044486</v>
      </c>
      <c r="S17" s="116">
        <v>2886080.1</v>
      </c>
      <c r="T17" s="130">
        <f t="shared" si="1"/>
        <v>1.0336223862948224</v>
      </c>
      <c r="U17" s="78"/>
    </row>
    <row r="18" spans="1:21" ht="15" hidden="1" customHeight="1">
      <c r="A18" s="129" t="s">
        <v>106</v>
      </c>
      <c r="C18" s="79"/>
      <c r="F18" s="78">
        <f>Q18/20</f>
        <v>64368.95</v>
      </c>
      <c r="G18" s="90">
        <f t="shared" si="2"/>
        <v>-0.56844501908574152</v>
      </c>
      <c r="H18" s="90">
        <f t="shared" si="3"/>
        <v>-0.8257602379898985</v>
      </c>
      <c r="I18" s="130">
        <f t="shared" si="0"/>
        <v>1.001484958658666</v>
      </c>
      <c r="J18" s="130">
        <f t="shared" si="4"/>
        <v>-0.10634062658509413</v>
      </c>
      <c r="O18" s="89"/>
      <c r="P18" s="129" t="s">
        <v>106</v>
      </c>
      <c r="Q18" s="116">
        <v>1287379</v>
      </c>
      <c r="R18" s="116">
        <v>1625205130</v>
      </c>
      <c r="S18" s="116">
        <v>1285470.1299999999</v>
      </c>
      <c r="T18" s="130">
        <f t="shared" si="1"/>
        <v>1.001484958658666</v>
      </c>
      <c r="U18" s="78"/>
    </row>
    <row r="19" spans="1:21" hidden="1">
      <c r="A19" s="129" t="s">
        <v>114</v>
      </c>
      <c r="B19" s="131">
        <f>SUM(F17:F19)</f>
        <v>251035.11818181816</v>
      </c>
      <c r="C19" s="131">
        <f>AVERAGE(F17:F19)</f>
        <v>83678.372727272726</v>
      </c>
      <c r="D19" s="90">
        <f>C19/C16-1</f>
        <v>-0.65726667601718247</v>
      </c>
      <c r="E19" s="286">
        <f>C19/C7-1</f>
        <v>-0.81303356991474318</v>
      </c>
      <c r="F19" s="78">
        <f>Q19/22</f>
        <v>37510.318181818184</v>
      </c>
      <c r="G19" s="90">
        <f t="shared" si="2"/>
        <v>-0.41726067953853241</v>
      </c>
      <c r="H19" s="90">
        <f t="shared" si="3"/>
        <v>-0.93523583485238737</v>
      </c>
      <c r="I19" s="130">
        <f t="shared" si="0"/>
        <v>0.9388248009101251</v>
      </c>
      <c r="J19" s="130">
        <f t="shared" si="4"/>
        <v>-0.15060279613909378</v>
      </c>
      <c r="K19" s="79">
        <f>R17+R18+R19</f>
        <v>6465097439</v>
      </c>
      <c r="L19" s="102">
        <f>U19/U16-1</f>
        <v>-0.67633766320874533</v>
      </c>
      <c r="M19" s="87">
        <f>U19/U7-1</f>
        <v>-0.81315874655263554</v>
      </c>
      <c r="N19" s="88">
        <f>AVERAGE(T17:T19)</f>
        <v>0.99131071528787118</v>
      </c>
      <c r="O19" s="89">
        <f>N19/N16-1</f>
        <v>2.2768689994165703E-2</v>
      </c>
      <c r="P19" s="129" t="s">
        <v>114</v>
      </c>
      <c r="Q19" s="116">
        <v>825227</v>
      </c>
      <c r="R19" s="116">
        <v>1079847823</v>
      </c>
      <c r="S19" s="116">
        <v>879000</v>
      </c>
      <c r="T19" s="130">
        <f t="shared" si="1"/>
        <v>0.9388248009101251</v>
      </c>
      <c r="U19" s="85">
        <f>Q17+Q18+Q19</f>
        <v>5095723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111625.45</v>
      </c>
      <c r="G20" s="90">
        <f t="shared" si="2"/>
        <v>1.9758598543188719</v>
      </c>
      <c r="H20" s="90">
        <f t="shared" si="3"/>
        <v>1.4049631838080572</v>
      </c>
      <c r="I20" s="130">
        <f t="shared" si="0"/>
        <v>0.93448736301914592</v>
      </c>
      <c r="J20" s="130">
        <f t="shared" si="4"/>
        <v>-0.20041829824768997</v>
      </c>
      <c r="O20" s="89"/>
      <c r="P20" s="129" t="s">
        <v>132</v>
      </c>
      <c r="Q20" s="116">
        <v>2232509</v>
      </c>
      <c r="R20" s="116">
        <v>2936848976</v>
      </c>
      <c r="S20" s="116">
        <v>2389020</v>
      </c>
      <c r="T20" s="130">
        <f t="shared" si="1"/>
        <v>0.93448736301914592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99968.047619047618</v>
      </c>
      <c r="G21" s="90">
        <f t="shared" si="2"/>
        <v>-0.1044331949474997</v>
      </c>
      <c r="H21" s="90">
        <f t="shared" si="3"/>
        <v>-0.58178606141462452</v>
      </c>
      <c r="I21" s="130">
        <f t="shared" si="0"/>
        <v>0.93210713424714331</v>
      </c>
      <c r="J21" s="130">
        <f t="shared" si="4"/>
        <v>-0.13718956487304057</v>
      </c>
      <c r="O21" s="89"/>
      <c r="P21" s="129" t="s">
        <v>141</v>
      </c>
      <c r="Q21" s="116">
        <v>2099329</v>
      </c>
      <c r="R21" s="116">
        <v>2798712104</v>
      </c>
      <c r="S21" s="116">
        <v>2252240.0299999998</v>
      </c>
      <c r="T21" s="130">
        <f t="shared" si="1"/>
        <v>0.93210713424714331</v>
      </c>
      <c r="U21" s="78"/>
    </row>
    <row r="22" spans="1:21" hidden="1">
      <c r="A22" s="129" t="s">
        <v>155</v>
      </c>
      <c r="B22" s="131">
        <f>SUM(F20:F22)</f>
        <v>336690.21190476191</v>
      </c>
      <c r="C22" s="131">
        <f>AVERAGE(F20:F22)</f>
        <v>112230.07063492063</v>
      </c>
      <c r="D22" s="90">
        <f>C22/C19-1</f>
        <v>0.34120761407137445</v>
      </c>
      <c r="E22" s="286">
        <f>C22/C10-1</f>
        <v>0.17809372938063595</v>
      </c>
      <c r="F22" s="78">
        <f>Q22/21</f>
        <v>125096.71428571429</v>
      </c>
      <c r="G22" s="90">
        <f t="shared" si="2"/>
        <v>0.25136698440311167</v>
      </c>
      <c r="H22" s="90">
        <f t="shared" si="3"/>
        <v>364.67803452115817</v>
      </c>
      <c r="I22" s="130">
        <f t="shared" si="0"/>
        <v>0.90364791513308618</v>
      </c>
      <c r="J22" s="130">
        <f t="shared" si="4"/>
        <v>-0.85660375511529541</v>
      </c>
      <c r="K22" s="79">
        <f>R20+R21+R22</f>
        <v>9161767653</v>
      </c>
      <c r="L22" s="102">
        <f>U22/U19-1</f>
        <v>0.36562937192622136</v>
      </c>
      <c r="M22" s="87">
        <f>U22/U10-1</f>
        <v>0.15949457148379453</v>
      </c>
      <c r="N22" s="88">
        <f>AVERAGE(T20:T22)</f>
        <v>0.9234141374664584</v>
      </c>
      <c r="O22" s="89">
        <f>N22/N19-1</f>
        <v>-6.8491721893368163E-2</v>
      </c>
      <c r="P22" s="129" t="s">
        <v>155</v>
      </c>
      <c r="Q22" s="116">
        <v>2627031</v>
      </c>
      <c r="R22" s="116">
        <v>3426206573</v>
      </c>
      <c r="S22" s="116">
        <v>2907140</v>
      </c>
      <c r="T22" s="130">
        <f t="shared" si="1"/>
        <v>0.90364791513308618</v>
      </c>
      <c r="U22" s="85">
        <f>Q20+Q21+Q22</f>
        <v>6958869</v>
      </c>
    </row>
    <row r="23" spans="1:21" hidden="1">
      <c r="A23" s="129" t="s">
        <v>189</v>
      </c>
      <c r="B23" s="131"/>
      <c r="C23" s="131"/>
      <c r="F23" s="78">
        <f>Q23/21</f>
        <v>122950.33333333333</v>
      </c>
      <c r="G23" s="90">
        <f t="shared" si="2"/>
        <v>-1.7157772405426597E-2</v>
      </c>
      <c r="H23" s="90">
        <f t="shared" si="3"/>
        <v>0.37540644949585333</v>
      </c>
      <c r="I23" s="130">
        <f t="shared" si="0"/>
        <v>0.90975482463755619</v>
      </c>
      <c r="J23" s="130">
        <f t="shared" si="4"/>
        <v>-1.8361618280080316E-2</v>
      </c>
      <c r="O23" s="89"/>
      <c r="P23" s="129" t="s">
        <v>189</v>
      </c>
      <c r="Q23" s="116">
        <v>2581957</v>
      </c>
      <c r="R23" s="116">
        <v>3320247684</v>
      </c>
      <c r="S23" s="116">
        <v>2838080.03</v>
      </c>
      <c r="T23" s="130">
        <f t="shared" si="1"/>
        <v>0.90975482463755619</v>
      </c>
      <c r="U23" s="78"/>
    </row>
    <row r="24" spans="1:21" hidden="1">
      <c r="A24" s="129" t="s">
        <v>204</v>
      </c>
      <c r="B24" s="131"/>
      <c r="C24" s="131"/>
      <c r="F24" s="78">
        <f>Q24/22</f>
        <v>172335.04545454544</v>
      </c>
      <c r="G24" s="90">
        <f t="shared" si="2"/>
        <v>0.40166391405645196</v>
      </c>
      <c r="H24" s="90">
        <f t="shared" si="3"/>
        <v>2.0493780392270406</v>
      </c>
      <c r="I24" s="130">
        <f t="shared" si="0"/>
        <v>0.88142106229788697</v>
      </c>
      <c r="J24" s="130">
        <f t="shared" si="4"/>
        <v>-5.8438255050114352E-2</v>
      </c>
      <c r="O24" s="89"/>
      <c r="P24" s="129" t="s">
        <v>204</v>
      </c>
      <c r="Q24" s="116">
        <v>3791371</v>
      </c>
      <c r="R24" s="116">
        <v>4944010499</v>
      </c>
      <c r="S24" s="116">
        <v>4301430</v>
      </c>
      <c r="T24" s="130">
        <f t="shared" si="1"/>
        <v>0.88142106229788697</v>
      </c>
      <c r="U24" s="78"/>
    </row>
    <row r="25" spans="1:21" s="79" customFormat="1" ht="13.2" hidden="1">
      <c r="A25" s="129" t="s">
        <v>245</v>
      </c>
      <c r="B25" s="131">
        <f>SUM(F23:F25)</f>
        <v>474197.37878787878</v>
      </c>
      <c r="C25" s="131">
        <f>AVERAGE(F23:F25)</f>
        <v>158065.79292929292</v>
      </c>
      <c r="D25" s="90">
        <f>C25/C22-1</f>
        <v>0.40840856675100756</v>
      </c>
      <c r="E25" s="286">
        <f>C25/C13-1</f>
        <v>0.61248232013093884</v>
      </c>
      <c r="F25" s="78">
        <f>Q25/19</f>
        <v>178912</v>
      </c>
      <c r="G25" s="90">
        <f t="shared" si="2"/>
        <v>3.816376714386438E-2</v>
      </c>
      <c r="H25" s="90">
        <f t="shared" si="3"/>
        <v>0.20745915397142389</v>
      </c>
      <c r="I25" s="130">
        <f t="shared" si="0"/>
        <v>0.86234899567218171</v>
      </c>
      <c r="J25" s="130">
        <f t="shared" si="4"/>
        <v>-8.3818582093608707E-2</v>
      </c>
      <c r="K25" s="79">
        <f>R23+R24+R25</f>
        <v>12773790996</v>
      </c>
      <c r="L25" s="102">
        <f>U25/U22-1</f>
        <v>0.40434544751453139</v>
      </c>
      <c r="M25" s="90">
        <f>U25/U13-1</f>
        <v>0.60628691236889387</v>
      </c>
      <c r="N25" s="88">
        <f>AVERAGE(T23:T25)</f>
        <v>0.88450829420254173</v>
      </c>
      <c r="O25" s="91">
        <f>N25/N22-1</f>
        <v>-4.2132605171782855E-2</v>
      </c>
      <c r="P25" s="129" t="s">
        <v>245</v>
      </c>
      <c r="Q25" s="116">
        <v>3399328</v>
      </c>
      <c r="R25" s="116">
        <v>4509532813</v>
      </c>
      <c r="S25" s="116">
        <v>3941940</v>
      </c>
      <c r="T25" s="130">
        <f t="shared" si="1"/>
        <v>0.86234899567218171</v>
      </c>
      <c r="U25" s="85">
        <f>Q23+Q24+Q25</f>
        <v>9772656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150813.21052631579</v>
      </c>
      <c r="G26" s="90">
        <f t="shared" ref="G26" si="5">F26/F25-1</f>
        <v>-0.15705368825838517</v>
      </c>
      <c r="H26" s="90">
        <f t="shared" ref="H26" si="6">F26/F14-1</f>
        <v>-0.18470112952620421</v>
      </c>
      <c r="I26" s="130">
        <f t="shared" si="0"/>
        <v>0.87128004492847355</v>
      </c>
      <c r="J26" s="130">
        <f t="shared" si="4"/>
        <v>-2.4292963363592768E-2</v>
      </c>
      <c r="L26" s="90"/>
      <c r="M26" s="90"/>
      <c r="P26" s="129" t="s">
        <v>312</v>
      </c>
      <c r="Q26" s="116">
        <v>2865451</v>
      </c>
      <c r="R26" s="116">
        <v>3859797113</v>
      </c>
      <c r="S26" s="116">
        <v>3288783</v>
      </c>
      <c r="T26" s="130">
        <f t="shared" ref="T26" si="7">Q26/S26</f>
        <v>0.87128004492847355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101047.59090909091</v>
      </c>
      <c r="G27" s="90">
        <f t="shared" ref="G27" si="8">F27/F26-1</f>
        <v>-0.32998183278209003</v>
      </c>
      <c r="H27" s="90">
        <f t="shared" ref="H27" si="9">F27/F15-1</f>
        <v>-0.62315578237681124</v>
      </c>
      <c r="I27" s="130">
        <f t="shared" si="0"/>
        <v>0.90476625630042118</v>
      </c>
      <c r="J27" s="130">
        <f t="shared" si="4"/>
        <v>-7.4447681309299352E-2</v>
      </c>
      <c r="L27" s="90"/>
      <c r="M27" s="90"/>
      <c r="P27" s="129" t="s">
        <v>382</v>
      </c>
      <c r="Q27" s="116">
        <v>2223047</v>
      </c>
      <c r="R27" s="116">
        <v>2974384995</v>
      </c>
      <c r="S27" s="116">
        <v>2457040.13</v>
      </c>
      <c r="T27" s="130">
        <f t="shared" ref="T27" si="10">Q27/S27</f>
        <v>0.90476625630042118</v>
      </c>
      <c r="U27" s="78"/>
    </row>
    <row r="28" spans="1:21" s="79" customFormat="1" ht="13.2" hidden="1">
      <c r="A28" s="123" t="s">
        <v>413</v>
      </c>
      <c r="B28" s="131">
        <f>SUM(F26:F28)</f>
        <v>423199.48564593302</v>
      </c>
      <c r="C28" s="131">
        <f>AVERAGE(F26:F28)</f>
        <v>141066.49521531101</v>
      </c>
      <c r="D28" s="90">
        <f>C28/C25-1</f>
        <v>-0.10754570865048685</v>
      </c>
      <c r="E28" s="286">
        <f>C28/C16-1</f>
        <v>-0.42221404131115514</v>
      </c>
      <c r="F28" s="78">
        <f>Q28/19</f>
        <v>171338.68421052632</v>
      </c>
      <c r="G28" s="90">
        <f t="shared" ref="G28" si="11">F28/F27-1</f>
        <v>0.69562364296912249</v>
      </c>
      <c r="H28" s="90">
        <f t="shared" ref="H28" si="12">F28/F16-1</f>
        <v>-0.3866076705659508</v>
      </c>
      <c r="I28" s="130">
        <f t="shared" si="0"/>
        <v>0.91464833141549762</v>
      </c>
      <c r="J28" s="130">
        <f t="shared" si="4"/>
        <v>-0.11816647076956599</v>
      </c>
      <c r="K28" s="79">
        <f>R26+R27+R28</f>
        <v>11076070254</v>
      </c>
      <c r="L28" s="102">
        <f>U28/U25-1</f>
        <v>-0.1461959778385733</v>
      </c>
      <c r="M28" s="90">
        <f>U28/U16-1</f>
        <v>-0.47002283035995795</v>
      </c>
      <c r="N28" s="88">
        <f>AVERAGE(T26:T28)</f>
        <v>0.89689821088146415</v>
      </c>
      <c r="O28" s="91">
        <f>N28/N25-1</f>
        <v>1.4007688520425887E-2</v>
      </c>
      <c r="P28" s="129" t="s">
        <v>413</v>
      </c>
      <c r="Q28" s="116">
        <v>3255435</v>
      </c>
      <c r="R28" s="116">
        <v>4241888146</v>
      </c>
      <c r="S28" s="116">
        <v>3559220.4</v>
      </c>
      <c r="T28" s="130">
        <f t="shared" ref="T28" si="13">Q28/S28</f>
        <v>0.91464833141549762</v>
      </c>
      <c r="U28" s="85">
        <f>Q26+Q27+Q28</f>
        <v>8343933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192591.90909090909</v>
      </c>
      <c r="G29" s="190">
        <f t="shared" ref="G29" si="14">F29/F28-1</f>
        <v>0.12404218567634517</v>
      </c>
      <c r="H29" s="190">
        <f t="shared" ref="H29" si="15">F29/F17-1</f>
        <v>0.29121257457155769</v>
      </c>
      <c r="I29" s="130">
        <f t="shared" si="0"/>
        <v>0.89975768251995236</v>
      </c>
      <c r="J29" s="130">
        <f t="shared" si="4"/>
        <v>-0.12951025979103314</v>
      </c>
      <c r="K29" s="193"/>
      <c r="L29" s="190"/>
      <c r="M29" s="190"/>
      <c r="N29" s="191"/>
      <c r="O29" s="192"/>
      <c r="P29" s="129" t="s">
        <v>433</v>
      </c>
      <c r="Q29" s="116">
        <v>4237022</v>
      </c>
      <c r="R29" s="116">
        <v>5543184197</v>
      </c>
      <c r="S29" s="116">
        <v>4709070.0999999996</v>
      </c>
      <c r="T29" s="130">
        <f t="shared" ref="T29" si="16">Q29/S29</f>
        <v>0.89975768251995236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252667.47368421053</v>
      </c>
      <c r="G30" s="190">
        <f t="shared" ref="G30" si="17">F30/F29-1</f>
        <v>0.31193192318865282</v>
      </c>
      <c r="H30" s="190">
        <f t="shared" ref="H30" si="18">F30/F18-1</f>
        <v>2.9253005320765766</v>
      </c>
      <c r="I30" s="130">
        <f t="shared" si="0"/>
        <v>0.86647400358062476</v>
      </c>
      <c r="J30" s="130">
        <f t="shared" si="4"/>
        <v>-0.13481076666280389</v>
      </c>
      <c r="K30" s="193"/>
      <c r="L30" s="190"/>
      <c r="M30" s="190"/>
      <c r="N30" s="191"/>
      <c r="O30" s="192"/>
      <c r="P30" s="129" t="s">
        <v>466</v>
      </c>
      <c r="Q30" s="116">
        <v>4800682</v>
      </c>
      <c r="R30" s="116">
        <v>6396127584</v>
      </c>
      <c r="S30" s="116">
        <v>5540480.1299999999</v>
      </c>
      <c r="T30" s="130">
        <f t="shared" ref="T30" si="19">Q30/S30</f>
        <v>0.86647400358062476</v>
      </c>
      <c r="U30" s="85"/>
    </row>
    <row r="31" spans="1:21" s="79" customFormat="1" ht="13.2" hidden="1">
      <c r="A31" s="129" t="s">
        <v>505</v>
      </c>
      <c r="B31" s="188">
        <f>SUM(F29:F31)</f>
        <v>784917.83277511969</v>
      </c>
      <c r="C31" s="188">
        <f>AVERAGE(F29:F31)</f>
        <v>261639.27759170657</v>
      </c>
      <c r="D31" s="190">
        <f>C31/C28-1</f>
        <v>0.85472303109511794</v>
      </c>
      <c r="E31" s="287">
        <f>C31/C19-1</f>
        <v>2.1267252106401475</v>
      </c>
      <c r="F31" s="136">
        <f>Q31/20</f>
        <v>339658.45</v>
      </c>
      <c r="G31" s="190">
        <f t="shared" ref="G31" si="20">F31/F30-1</f>
        <v>0.34429036332754381</v>
      </c>
      <c r="H31" s="190">
        <f t="shared" ref="H31" si="21">F31/F19-1</f>
        <v>8.055067151220209</v>
      </c>
      <c r="I31" s="130">
        <f t="shared" si="0"/>
        <v>0.91950305027024026</v>
      </c>
      <c r="J31" s="130">
        <f t="shared" si="4"/>
        <v>-2.0580784211445824E-2</v>
      </c>
      <c r="K31" s="193">
        <f>R29+R30+R31</f>
        <v>20968615592</v>
      </c>
      <c r="L31" s="190">
        <f>U31/U28-1</f>
        <v>0.89729148112766488</v>
      </c>
      <c r="M31" s="190">
        <f>U31/U19-1</f>
        <v>2.1066981074128246</v>
      </c>
      <c r="N31" s="191">
        <f>AVERAGE(T29:T31)</f>
        <v>0.8952449121236058</v>
      </c>
      <c r="O31" s="192">
        <f>N31/N28-1</f>
        <v>-1.8433516064587652E-3</v>
      </c>
      <c r="P31" s="129" t="s">
        <v>505</v>
      </c>
      <c r="Q31" s="116">
        <v>6793169</v>
      </c>
      <c r="R31" s="116">
        <v>9029303811</v>
      </c>
      <c r="S31" s="116">
        <v>7387870</v>
      </c>
      <c r="T31" s="130">
        <f t="shared" ref="T31" si="22">Q31/S31</f>
        <v>0.91950305027024026</v>
      </c>
      <c r="U31" s="85">
        <f>Q29+Q30+Q31</f>
        <v>15830873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214430.85714285713</v>
      </c>
      <c r="G32" s="190">
        <f t="shared" ref="G32" si="23">F32/F31-1</f>
        <v>-0.36868681717514429</v>
      </c>
      <c r="H32" s="190">
        <f t="shared" ref="H32" si="24">F32/F20-1</f>
        <v>0.92098537692665183</v>
      </c>
      <c r="I32" s="130">
        <f t="shared" si="0"/>
        <v>0.91786169164162834</v>
      </c>
      <c r="J32" s="130">
        <f t="shared" si="4"/>
        <v>-1.7791221192979267E-2</v>
      </c>
      <c r="K32" s="193"/>
      <c r="L32" s="190"/>
      <c r="M32" s="190"/>
      <c r="N32" s="191"/>
      <c r="O32" s="192"/>
      <c r="P32" s="129" t="s">
        <v>566</v>
      </c>
      <c r="Q32" s="116">
        <v>4503048</v>
      </c>
      <c r="R32" s="116">
        <v>6107818874</v>
      </c>
      <c r="S32" s="116">
        <v>4906020.2</v>
      </c>
      <c r="T32" s="130">
        <f t="shared" ref="T32" si="25">Q32/S32</f>
        <v>0.91786169164162834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138828.85714285713</v>
      </c>
      <c r="G33" s="190">
        <f t="shared" ref="G33" si="26">F33/F32-1</f>
        <v>-0.35257052556401802</v>
      </c>
      <c r="H33" s="190">
        <f t="shared" ref="H33" si="27">F33/F21-1</f>
        <v>0.3887323044649027</v>
      </c>
      <c r="I33" s="130">
        <f t="shared" si="0"/>
        <v>0.90520031761741482</v>
      </c>
      <c r="J33" s="130">
        <f t="shared" si="4"/>
        <v>-2.8866656676178049E-2</v>
      </c>
      <c r="K33" s="193"/>
      <c r="L33" s="190"/>
      <c r="M33" s="190"/>
      <c r="N33" s="191"/>
      <c r="O33" s="192"/>
      <c r="P33" s="129" t="s">
        <v>609</v>
      </c>
      <c r="Q33" s="116">
        <v>2915406</v>
      </c>
      <c r="R33" s="116">
        <v>3997417179</v>
      </c>
      <c r="S33" s="116">
        <v>3220730.2</v>
      </c>
      <c r="T33" s="130">
        <f t="shared" ref="T33" si="28">Q33/S33</f>
        <v>0.90520031761741482</v>
      </c>
      <c r="U33" s="85"/>
    </row>
    <row r="34" spans="1:21" s="79" customFormat="1" ht="13.2" hidden="1">
      <c r="A34" s="129" t="s">
        <v>652</v>
      </c>
      <c r="B34" s="188">
        <f>SUM(F32:F34)</f>
        <v>507495.03007518791</v>
      </c>
      <c r="C34" s="188">
        <f>AVERAGE(F32:F34)</f>
        <v>169165.01002506263</v>
      </c>
      <c r="D34" s="190">
        <f>C34/C31-1</f>
        <v>-0.35344183953508668</v>
      </c>
      <c r="E34" s="287">
        <f>C34/C22-1</f>
        <v>0.50730556497062884</v>
      </c>
      <c r="F34" s="136">
        <f>Q34/19</f>
        <v>154235.31578947368</v>
      </c>
      <c r="G34" s="190">
        <f t="shared" ref="G34" si="29">F34/F33-1</f>
        <v>0.1109744685916636</v>
      </c>
      <c r="H34" s="190">
        <f t="shared" ref="H34" si="30">F34/F22-1</f>
        <v>0.23292859185100867</v>
      </c>
      <c r="I34" s="130">
        <f t="shared" si="0"/>
        <v>0.93555923610744629</v>
      </c>
      <c r="J34" s="130">
        <f t="shared" si="4"/>
        <v>3.5313887676773126E-2</v>
      </c>
      <c r="K34" s="193">
        <f>R32+R33+R34</f>
        <v>14130442372</v>
      </c>
      <c r="L34" s="190">
        <f>U34/U31-1</f>
        <v>-0.34628210333062492</v>
      </c>
      <c r="M34" s="190">
        <f>U34/U22-1</f>
        <v>0.48715617437258851</v>
      </c>
      <c r="N34" s="191">
        <f>AVERAGE(T32:T34)</f>
        <v>0.91954041512216322</v>
      </c>
      <c r="O34" s="192">
        <f>N34/N31-1</f>
        <v>2.7138387126854679E-2</v>
      </c>
      <c r="P34" s="129" t="s">
        <v>652</v>
      </c>
      <c r="Q34" s="116">
        <v>2930471</v>
      </c>
      <c r="R34" s="116">
        <v>4025206319</v>
      </c>
      <c r="S34" s="116">
        <v>3132320.1</v>
      </c>
      <c r="T34" s="130">
        <f t="shared" ref="T34" si="31">Q34/S34</f>
        <v>0.93555923610744629</v>
      </c>
      <c r="U34" s="85">
        <f>Q32+Q33+Q34</f>
        <v>10348925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219536.26086956522</v>
      </c>
      <c r="G35" s="190">
        <f t="shared" ref="G35" si="32">F35/F34-1</f>
        <v>0.42338516795482328</v>
      </c>
      <c r="H35" s="190">
        <f t="shared" ref="H35" si="33">F35/F23-1</f>
        <v>0.78556865132179565</v>
      </c>
      <c r="I35" s="130">
        <f t="shared" si="0"/>
        <v>0.95800064507560667</v>
      </c>
      <c r="J35" s="130">
        <f t="shared" si="4"/>
        <v>5.303167307441492E-2</v>
      </c>
      <c r="K35" s="193"/>
      <c r="L35" s="190"/>
      <c r="M35" s="190"/>
      <c r="N35" s="191"/>
      <c r="O35" s="192"/>
      <c r="P35" s="129" t="s">
        <v>660</v>
      </c>
      <c r="Q35" s="116">
        <v>5049334</v>
      </c>
      <c r="R35" s="116">
        <v>6985182104</v>
      </c>
      <c r="S35" s="116">
        <v>5270700</v>
      </c>
      <c r="T35" s="130">
        <f t="shared" ref="T35" si="34">Q35/S35</f>
        <v>0.95800064507560667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150336.85714285713</v>
      </c>
      <c r="G36" s="190">
        <f t="shared" ref="G36" si="35">F36/F35-1</f>
        <v>-0.31520717102776052</v>
      </c>
      <c r="H36" s="190">
        <f t="shared" ref="H36" si="36">F36/F24-1</f>
        <v>-0.12764779359686584</v>
      </c>
      <c r="I36" s="130">
        <f t="shared" si="0"/>
        <v>0.96691195507645533</v>
      </c>
      <c r="J36" s="130">
        <f t="shared" si="4"/>
        <v>9.6992114705872101E-2</v>
      </c>
      <c r="K36" s="193"/>
      <c r="L36" s="190"/>
      <c r="M36" s="190"/>
      <c r="N36" s="191"/>
      <c r="O36" s="192"/>
      <c r="P36" s="129" t="s">
        <v>664</v>
      </c>
      <c r="Q36" s="116">
        <v>3157074</v>
      </c>
      <c r="R36" s="116">
        <v>4309828007</v>
      </c>
      <c r="S36" s="116">
        <v>3265110.11</v>
      </c>
      <c r="T36" s="130">
        <f t="shared" ref="T36" si="37">Q36/S36</f>
        <v>0.96691195507645533</v>
      </c>
      <c r="U36" s="85"/>
    </row>
    <row r="37" spans="1:21" s="79" customFormat="1" ht="13.2" hidden="1">
      <c r="A37" s="129" t="s">
        <v>702</v>
      </c>
      <c r="B37" s="188">
        <f>SUM(F35:F37)</f>
        <v>534847.84023464459</v>
      </c>
      <c r="C37" s="188">
        <f>AVERAGE(F35:F37)</f>
        <v>178282.6134115482</v>
      </c>
      <c r="D37" s="190">
        <f>C37/C34-1</f>
        <v>5.3897690693452294E-2</v>
      </c>
      <c r="E37" s="287">
        <f>C37/C25-1</f>
        <v>0.12790130051287441</v>
      </c>
      <c r="F37" s="136">
        <f>Q37/18</f>
        <v>164974.72222222222</v>
      </c>
      <c r="G37" s="190">
        <f t="shared" ref="G37" si="38">F37/F36-1</f>
        <v>9.7367108489274212E-2</v>
      </c>
      <c r="H37" s="190">
        <f t="shared" ref="H37" si="39">F37/F25-1</f>
        <v>-7.79001843240128E-2</v>
      </c>
      <c r="I37" s="130">
        <f t="shared" si="0"/>
        <v>0.98350459754522035</v>
      </c>
      <c r="J37" s="130">
        <f t="shared" si="4"/>
        <v>0.14049486052755311</v>
      </c>
      <c r="K37" s="193">
        <f>R35+R36+R37</f>
        <v>15262761341</v>
      </c>
      <c r="L37" s="190">
        <f>U37/U34-1</f>
        <v>7.9914387243119389E-2</v>
      </c>
      <c r="M37" s="190">
        <f>U37/U25-1</f>
        <v>0.14359422863139759</v>
      </c>
      <c r="N37" s="191">
        <f>AVERAGE(T35:T37)</f>
        <v>0.96947239923242756</v>
      </c>
      <c r="O37" s="192">
        <f>N37/N34-1</f>
        <v>5.430102178122409E-2</v>
      </c>
      <c r="P37" s="129" t="s">
        <v>702</v>
      </c>
      <c r="Q37" s="116">
        <v>2969545</v>
      </c>
      <c r="R37" s="116">
        <v>3967751230</v>
      </c>
      <c r="S37" s="116">
        <v>3019350.4</v>
      </c>
      <c r="T37" s="130">
        <f t="shared" ref="T37" si="40">Q37/S37</f>
        <v>0.98350459754522035</v>
      </c>
      <c r="U37" s="85">
        <f>Q35+Q36+Q37</f>
        <v>11175953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253124.6</v>
      </c>
      <c r="G38" s="190">
        <f t="shared" ref="G38" si="41">F38/F37-1</f>
        <v>0.53432354114855984</v>
      </c>
      <c r="H38" s="190">
        <f t="shared" ref="H38" si="42">F38/F26-1</f>
        <v>0.67839806020064564</v>
      </c>
      <c r="I38" s="130">
        <f t="shared" si="0"/>
        <v>0.96492011326558003</v>
      </c>
      <c r="J38" s="130">
        <f t="shared" si="4"/>
        <v>0.10747413404239481</v>
      </c>
      <c r="K38" s="193"/>
      <c r="L38" s="190"/>
      <c r="M38" s="190"/>
      <c r="N38" s="191"/>
      <c r="O38" s="192"/>
      <c r="P38" s="129" t="s">
        <v>728</v>
      </c>
      <c r="Q38" s="116">
        <v>5062492</v>
      </c>
      <c r="R38" s="116">
        <v>6780850016</v>
      </c>
      <c r="S38" s="116">
        <v>5246540.03</v>
      </c>
      <c r="T38" s="130">
        <f t="shared" ref="T38" si="43">Q38/S38</f>
        <v>0.96492011326558003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313400.80952380953</v>
      </c>
      <c r="G39" s="190">
        <f t="shared" ref="G39" si="44">F39/F38-1</f>
        <v>0.23812861145779407</v>
      </c>
      <c r="H39" s="190">
        <f t="shared" ref="H39" si="45">F39/F27-1</f>
        <v>2.1015168862933664</v>
      </c>
      <c r="I39" s="130">
        <f t="shared" si="0"/>
        <v>0.91619268311764746</v>
      </c>
      <c r="J39" s="130">
        <f t="shared" si="4"/>
        <v>1.2629147846371813E-2</v>
      </c>
      <c r="K39" s="193"/>
      <c r="L39" s="190"/>
      <c r="M39" s="190"/>
      <c r="N39" s="191"/>
      <c r="O39" s="192"/>
      <c r="P39" s="129" t="s">
        <v>762</v>
      </c>
      <c r="Q39" s="116">
        <v>6581417</v>
      </c>
      <c r="R39" s="116">
        <v>9147474490</v>
      </c>
      <c r="S39" s="116">
        <v>7183442</v>
      </c>
      <c r="T39" s="130">
        <f t="shared" ref="T39" si="46">Q39/S39</f>
        <v>0.91619268311764746</v>
      </c>
      <c r="U39" s="85"/>
    </row>
    <row r="40" spans="1:21" s="79" customFormat="1" ht="13.2" hidden="1">
      <c r="A40" s="129" t="s">
        <v>778</v>
      </c>
      <c r="B40" s="188">
        <f>SUM(F38:F40)</f>
        <v>671155.21904761903</v>
      </c>
      <c r="C40" s="188">
        <f>AVERAGE(F38:F40)</f>
        <v>223718.40634920634</v>
      </c>
      <c r="D40" s="190">
        <f>C40/C37-1</f>
        <v>0.25485263014837023</v>
      </c>
      <c r="E40" s="287">
        <f>C40/C28-1</f>
        <v>0.58590745455001914</v>
      </c>
      <c r="F40" s="136">
        <f>Q40/21</f>
        <v>104629.80952380953</v>
      </c>
      <c r="G40" s="190">
        <f t="shared" ref="G40" si="47">F40/F39-1</f>
        <v>-0.66614697108540599</v>
      </c>
      <c r="H40" s="190">
        <f t="shared" ref="H40" si="48">F40/F28-1</f>
        <v>-0.38933924930082131</v>
      </c>
      <c r="I40" s="130">
        <f t="shared" si="0"/>
        <v>0.92857659079099841</v>
      </c>
      <c r="J40" s="130">
        <f t="shared" si="4"/>
        <v>1.5227994079370033E-2</v>
      </c>
      <c r="K40" s="193">
        <f>R38+R39+R40</f>
        <v>19058802706</v>
      </c>
      <c r="L40" s="190">
        <f>U40/U37-1</f>
        <v>0.23847469652028774</v>
      </c>
      <c r="M40" s="190">
        <f>U40/U28-1</f>
        <v>0.65882623937656248</v>
      </c>
      <c r="N40" s="191">
        <f>AVERAGE(T38:T40)</f>
        <v>0.93656312905807526</v>
      </c>
      <c r="O40" s="192">
        <f>N40/N37-1</f>
        <v>-3.3945546258364878E-2</v>
      </c>
      <c r="P40" s="129" t="s">
        <v>778</v>
      </c>
      <c r="Q40" s="116">
        <v>2197226</v>
      </c>
      <c r="R40" s="116">
        <v>3130478200</v>
      </c>
      <c r="S40" s="116">
        <v>2366230.23</v>
      </c>
      <c r="T40" s="130">
        <f t="shared" ref="T40" si="49">Q40/S40</f>
        <v>0.92857659079099841</v>
      </c>
      <c r="U40" s="85">
        <f>Q38+Q39+Q40</f>
        <v>13841135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332978.94444444444</v>
      </c>
      <c r="G41" s="190">
        <f t="shared" ref="G41" si="50">F41/F40-1</f>
        <v>2.1824481565998823</v>
      </c>
      <c r="H41" s="190">
        <f t="shared" ref="H41" si="51">F41/F29-1</f>
        <v>0.72893527052202645</v>
      </c>
      <c r="I41" s="130">
        <f t="shared" si="0"/>
        <v>0.91452747189031081</v>
      </c>
      <c r="J41" s="130">
        <f t="shared" si="4"/>
        <v>1.6415296759670461E-2</v>
      </c>
      <c r="K41" s="193"/>
      <c r="L41" s="190"/>
      <c r="M41" s="190"/>
      <c r="N41" s="193"/>
      <c r="O41" s="193"/>
      <c r="P41" s="129" t="s">
        <v>793</v>
      </c>
      <c r="Q41" s="116">
        <v>5993621</v>
      </c>
      <c r="R41" s="116">
        <v>8763205958</v>
      </c>
      <c r="S41" s="116">
        <v>6553790</v>
      </c>
      <c r="T41" s="130">
        <f t="shared" ref="T41" si="52">Q41/S41</f>
        <v>0.91452747189031081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1381737</v>
      </c>
      <c r="G42" s="190">
        <f t="shared" ref="G42" si="53">F42/F41-1</f>
        <v>3.1496227405770236</v>
      </c>
      <c r="H42" s="190">
        <f t="shared" ref="H42" si="54">F42/F30-1</f>
        <v>4.4685986282782322</v>
      </c>
      <c r="I42" s="130">
        <f t="shared" si="0"/>
        <v>0.95843472108541539</v>
      </c>
      <c r="J42" s="130">
        <f t="shared" si="4"/>
        <v>0.10613211374463782</v>
      </c>
      <c r="K42" s="193"/>
      <c r="L42" s="190"/>
      <c r="M42" s="190"/>
      <c r="N42" s="193"/>
      <c r="O42" s="193"/>
      <c r="P42" s="129" t="s">
        <v>826</v>
      </c>
      <c r="Q42" s="116">
        <v>8290422</v>
      </c>
      <c r="R42" s="116">
        <v>11971580668</v>
      </c>
      <c r="S42" s="116">
        <v>8649960</v>
      </c>
      <c r="T42" s="130">
        <f t="shared" ref="T42" si="55">Q42/S42</f>
        <v>0.95843472108541539</v>
      </c>
      <c r="U42" s="78"/>
    </row>
    <row r="43" spans="1:21" s="79" customFormat="1" ht="13.2">
      <c r="A43" s="129" t="s">
        <v>835</v>
      </c>
      <c r="B43" s="188">
        <f>SUM(F41:F43)</f>
        <v>2041694.4944444445</v>
      </c>
      <c r="C43" s="188">
        <f>AVERAGE(F41:F43)</f>
        <v>680564.83148148155</v>
      </c>
      <c r="D43" s="190">
        <f>C43/C40-1</f>
        <v>2.0420600726932361</v>
      </c>
      <c r="E43" s="287">
        <f>C43/C31-1</f>
        <v>1.601156973623497</v>
      </c>
      <c r="F43" s="136">
        <f>Q43/20</f>
        <v>326978.55</v>
      </c>
      <c r="G43" s="190">
        <f t="shared" ref="G43" si="56">F43/F42-1</f>
        <v>-0.76335688340111041</v>
      </c>
      <c r="H43" s="190">
        <f t="shared" ref="H43" si="57">F43/F31-1</f>
        <v>-3.7331325041376151E-2</v>
      </c>
      <c r="I43" s="130">
        <f t="shared" si="0"/>
        <v>1.0841100811942306</v>
      </c>
      <c r="J43" s="130">
        <f t="shared" si="4"/>
        <v>0.17901738430950576</v>
      </c>
      <c r="K43" s="193">
        <f>R41+R42+R43</f>
        <v>30216142987</v>
      </c>
      <c r="L43" s="190">
        <f>U43/U40-1</f>
        <v>0.50447300745206225</v>
      </c>
      <c r="M43" s="190">
        <f>K43/K31-1</f>
        <v>0.44101754617162903</v>
      </c>
      <c r="N43" s="191">
        <f>AVERAGE(T41:T43)</f>
        <v>0.98569075805665241</v>
      </c>
      <c r="O43" s="192">
        <f>N43/N40-1</f>
        <v>5.2455224292233371E-2</v>
      </c>
      <c r="P43" s="129" t="s">
        <v>835</v>
      </c>
      <c r="Q43" s="116">
        <v>6539571</v>
      </c>
      <c r="R43" s="116">
        <v>9481356361</v>
      </c>
      <c r="S43" s="116">
        <v>6032202</v>
      </c>
      <c r="T43" s="130">
        <f t="shared" ref="T43" si="58">Q43/S43</f>
        <v>1.0841100811942306</v>
      </c>
      <c r="U43" s="85">
        <f>Q41+Q42+Q43</f>
        <v>20823614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240824.09090909091</v>
      </c>
      <c r="G44" s="190">
        <f t="shared" ref="G44" si="59">F44/F43-1</f>
        <v>-0.26348657760855898</v>
      </c>
      <c r="H44" s="190">
        <f t="shared" ref="H44" si="60">F44/F32-1</f>
        <v>0.12308505463208674</v>
      </c>
      <c r="I44" s="130">
        <f t="shared" si="0"/>
        <v>1.1200883702247311</v>
      </c>
      <c r="J44" s="130">
        <f t="shared" si="4"/>
        <v>0.220323694108437</v>
      </c>
      <c r="K44" s="193"/>
      <c r="L44" s="190"/>
      <c r="M44" s="190"/>
      <c r="N44" s="191"/>
      <c r="O44" s="192"/>
      <c r="P44" s="129" t="s">
        <v>843</v>
      </c>
      <c r="Q44" s="116">
        <v>5298130</v>
      </c>
      <c r="R44" s="116">
        <v>7730934516</v>
      </c>
      <c r="S44" s="116">
        <v>4730100</v>
      </c>
      <c r="T44" s="130">
        <f t="shared" ref="T44" si="61">Q44/S44</f>
        <v>1.1200883702247311</v>
      </c>
      <c r="U44" s="85"/>
    </row>
    <row r="45" spans="1:21" s="79" customFormat="1" ht="13.2">
      <c r="A45" s="129" t="s">
        <v>886</v>
      </c>
      <c r="B45" s="188"/>
      <c r="C45" s="188"/>
      <c r="D45" s="190"/>
      <c r="E45" s="287"/>
      <c r="F45" s="136">
        <f>Q45/20</f>
        <v>123238.5</v>
      </c>
      <c r="G45" s="190">
        <f t="shared" ref="G45" si="62">F45/F44-1</f>
        <v>-0.48826340614518704</v>
      </c>
      <c r="H45" s="190">
        <f t="shared" ref="H45" si="63">F45/F33-1</f>
        <v>-0.11229911031259443</v>
      </c>
      <c r="I45" s="130">
        <f t="shared" si="0"/>
        <v>1.0513569509533411</v>
      </c>
      <c r="J45" s="130">
        <f t="shared" si="4"/>
        <v>0.16146330319528213</v>
      </c>
      <c r="K45" s="193"/>
      <c r="L45" s="190"/>
      <c r="M45" s="190"/>
      <c r="N45" s="191"/>
      <c r="O45" s="192"/>
      <c r="P45" s="129" t="s">
        <v>886</v>
      </c>
      <c r="Q45" s="116">
        <v>2464770</v>
      </c>
      <c r="R45" s="116">
        <v>3462353765</v>
      </c>
      <c r="S45" s="116">
        <v>2344370.29</v>
      </c>
      <c r="T45" s="130">
        <f t="shared" ref="T45" si="64">Q45/S45</f>
        <v>1.0513569509533411</v>
      </c>
      <c r="U45" s="85"/>
    </row>
    <row r="46" spans="1:21" s="79" customFormat="1" ht="13.2">
      <c r="A46" s="129" t="s">
        <v>893</v>
      </c>
      <c r="B46" s="188">
        <f>SUM(F44:F46)</f>
        <v>490791.01196172251</v>
      </c>
      <c r="C46" s="188">
        <f>AVERAGE(F44:F46)</f>
        <v>163597.00398724084</v>
      </c>
      <c r="D46" s="190">
        <f>C46/C43-1</f>
        <v>-0.75961584198948962</v>
      </c>
      <c r="E46" s="287">
        <f>C46/C34-1</f>
        <v>-3.2914643737477767E-2</v>
      </c>
      <c r="F46" s="136">
        <f>Q46/19</f>
        <v>126728.42105263157</v>
      </c>
      <c r="G46" s="190">
        <f t="shared" ref="G46" si="65">F46/F45-1</f>
        <v>2.831843176143467E-2</v>
      </c>
      <c r="H46" s="190">
        <f t="shared" ref="H46" si="66">F46/F34-1</f>
        <v>-0.17834368604910267</v>
      </c>
      <c r="I46" s="130">
        <f t="shared" si="0"/>
        <v>1.027678133038872</v>
      </c>
      <c r="J46" s="130">
        <f t="shared" si="4"/>
        <v>9.8463991777476334E-2</v>
      </c>
      <c r="K46" s="193">
        <f>R44+R45+R46</f>
        <v>14496823547</v>
      </c>
      <c r="L46" s="190">
        <f>U46/U43-1</f>
        <v>-0.51157661681588995</v>
      </c>
      <c r="M46" s="190">
        <f>K46/K34-1</f>
        <v>2.592849999699931E-2</v>
      </c>
      <c r="N46" s="191">
        <f>AVERAGE(T44:T46)</f>
        <v>1.0663744847389813</v>
      </c>
      <c r="O46" s="192">
        <f>N46/N43-1</f>
        <v>8.1855009822149105E-2</v>
      </c>
      <c r="P46" s="129" t="s">
        <v>888</v>
      </c>
      <c r="Q46" s="116">
        <v>2407840</v>
      </c>
      <c r="R46" s="116">
        <v>3303535266</v>
      </c>
      <c r="S46" s="116">
        <v>2342990.4</v>
      </c>
      <c r="T46" s="130">
        <f t="shared" ref="T46" si="67">Q46/S46</f>
        <v>1.027678133038872</v>
      </c>
      <c r="U46" s="85">
        <f t="shared" ref="U46:U51" si="68">Q44+Q45+Q46</f>
        <v>10170740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130283.82608695653</v>
      </c>
      <c r="G47" s="190">
        <f t="shared" ref="G47" si="69">F47/F46-1</f>
        <v>2.8055309178423027E-2</v>
      </c>
      <c r="H47" s="190">
        <f t="shared" ref="H47" si="70">F47/F35-1</f>
        <v>-0.40654985390152443</v>
      </c>
      <c r="I47" s="130">
        <f t="shared" si="0"/>
        <v>0.99316832524171927</v>
      </c>
      <c r="J47" s="130">
        <f t="shared" si="4"/>
        <v>3.6709453534174985E-2</v>
      </c>
      <c r="K47" s="193"/>
      <c r="L47" s="190"/>
      <c r="M47" s="190"/>
      <c r="N47" s="191"/>
      <c r="O47" s="192"/>
      <c r="P47" s="129" t="s">
        <v>991</v>
      </c>
      <c r="Q47" s="116">
        <v>2996528</v>
      </c>
      <c r="R47" s="116">
        <v>4114749233</v>
      </c>
      <c r="S47" s="116">
        <v>3017140.12</v>
      </c>
      <c r="T47" s="130">
        <f t="shared" ref="T47" si="71">Q47/S47</f>
        <v>0.99316832524171927</v>
      </c>
      <c r="U47" s="85">
        <f t="shared" si="68"/>
        <v>7869138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223645.2</v>
      </c>
      <c r="G48" s="190">
        <f t="shared" ref="G48" si="72">F48/F47-1</f>
        <v>0.71659987825910521</v>
      </c>
      <c r="H48" s="190">
        <f t="shared" ref="H48" si="73">F48/F36-1</f>
        <v>0.48762721431300005</v>
      </c>
      <c r="I48" s="130">
        <f t="shared" si="0"/>
        <v>0.97908568551696962</v>
      </c>
      <c r="J48" s="130">
        <f t="shared" si="4"/>
        <v>1.2590319497654434E-2</v>
      </c>
      <c r="K48" s="193"/>
      <c r="L48" s="190"/>
      <c r="M48" s="190"/>
      <c r="N48" s="191"/>
      <c r="O48" s="192"/>
      <c r="P48" s="129" t="s">
        <v>1143</v>
      </c>
      <c r="Q48" s="116">
        <v>4472904</v>
      </c>
      <c r="R48" s="116">
        <v>6207392267</v>
      </c>
      <c r="S48" s="116">
        <v>4568450</v>
      </c>
      <c r="T48" s="130">
        <f t="shared" ref="T48" si="74">Q48/S48</f>
        <v>0.97908568551696962</v>
      </c>
      <c r="U48" s="85">
        <f t="shared" si="68"/>
        <v>9877272</v>
      </c>
    </row>
    <row r="49" spans="1:26" ht="13.2">
      <c r="A49" s="129" t="s">
        <v>1240</v>
      </c>
      <c r="B49" s="188">
        <f>SUM(F47:F49)</f>
        <v>451903.57154150202</v>
      </c>
      <c r="C49" s="188">
        <f>AVERAGE(F47:F49)</f>
        <v>150634.52384716735</v>
      </c>
      <c r="D49" s="190">
        <f>C49/C46-1</f>
        <v>-7.9234214711440876E-2</v>
      </c>
      <c r="E49" s="287">
        <f>C49/C37-1</f>
        <v>-0.15508012270696248</v>
      </c>
      <c r="F49" s="136">
        <f>Q49/22</f>
        <v>97974.545454545456</v>
      </c>
      <c r="G49" s="190">
        <f t="shared" ref="G49" si="75">F49/F48-1</f>
        <v>-0.56191974853676507</v>
      </c>
      <c r="H49" s="190">
        <f t="shared" ref="H49" si="76">F49/F37-1</f>
        <v>-0.40612389501360702</v>
      </c>
      <c r="I49" s="130">
        <f t="shared" si="0"/>
        <v>0.93788986415856868</v>
      </c>
      <c r="J49" s="130">
        <f t="shared" si="4"/>
        <v>-4.6379786632928632E-2</v>
      </c>
      <c r="K49" s="193">
        <f>R47+R48+R49</f>
        <v>13320839028</v>
      </c>
      <c r="L49" s="190">
        <f>U49/U46-1</f>
        <v>-5.3670431060080181E-2</v>
      </c>
      <c r="M49" s="190">
        <f>K49/K37-1</f>
        <v>-0.1272326985670319</v>
      </c>
      <c r="N49" s="191">
        <f>AVERAGE(T47:T49)</f>
        <v>0.97004795830575252</v>
      </c>
      <c r="O49" s="192">
        <f>N49/N46-1</f>
        <v>-9.0330862011206881E-2</v>
      </c>
      <c r="P49" s="129" t="s">
        <v>1158</v>
      </c>
      <c r="Q49" s="116">
        <v>2155440</v>
      </c>
      <c r="R49" s="116">
        <v>2998697528</v>
      </c>
      <c r="S49" s="116">
        <v>2298180.29</v>
      </c>
      <c r="T49" s="130">
        <f t="shared" ref="T49" si="77">Q49/S49</f>
        <v>0.93788986415856868</v>
      </c>
      <c r="U49" s="85">
        <f t="shared" si="68"/>
        <v>9624872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188612.83333333334</v>
      </c>
      <c r="G50" s="190">
        <f t="shared" ref="G50" si="78">F50/F49-1</f>
        <v>0.92512077967066286</v>
      </c>
      <c r="H50" s="190">
        <f t="shared" ref="H50" si="79">F50/F38-1</f>
        <v>-0.25486170315594237</v>
      </c>
      <c r="I50" s="130">
        <f t="shared" ref="I50" si="80">T50</f>
        <v>0.86260247661962108</v>
      </c>
      <c r="J50" s="130">
        <f t="shared" ref="J50" si="81">I50/I38-1</f>
        <v>-0.10603741723207039</v>
      </c>
      <c r="K50" s="193"/>
      <c r="L50" s="190"/>
      <c r="M50" s="190"/>
      <c r="N50" s="191"/>
      <c r="O50" s="192"/>
      <c r="P50" s="129" t="s">
        <v>1291</v>
      </c>
      <c r="Q50" s="116">
        <v>3395031</v>
      </c>
      <c r="R50" s="116">
        <v>4791857912</v>
      </c>
      <c r="S50" s="116">
        <v>3935800.2</v>
      </c>
      <c r="T50" s="130">
        <f t="shared" ref="T50" si="82">Q50/S50</f>
        <v>0.86260247661962108</v>
      </c>
      <c r="U50" s="85">
        <f t="shared" si="68"/>
        <v>10023375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139573.25</v>
      </c>
      <c r="G51" s="190">
        <f t="shared" ref="G51:G52" si="83">F51/F50-1</f>
        <v>-0.26000130779365493</v>
      </c>
      <c r="H51" s="190">
        <f t="shared" ref="H51:H52" si="84">F51/F39-1</f>
        <v>-0.55464936350333072</v>
      </c>
      <c r="I51" s="130">
        <f t="shared" ref="I51:I52" si="85">T51</f>
        <v>0.79964961071772511</v>
      </c>
      <c r="J51" s="130">
        <f t="shared" ref="J51:J52" si="86">I51/I39-1</f>
        <v>-0.12720367074243177</v>
      </c>
      <c r="K51" s="193"/>
      <c r="L51" s="190"/>
      <c r="M51" s="190"/>
      <c r="N51" s="191"/>
      <c r="O51" s="192"/>
      <c r="P51" s="129" t="s">
        <v>1402</v>
      </c>
      <c r="Q51" s="116">
        <v>2791465</v>
      </c>
      <c r="R51" s="116">
        <v>4042105043</v>
      </c>
      <c r="S51" s="116">
        <v>3490860.2</v>
      </c>
      <c r="T51" s="130">
        <f t="shared" ref="T51:T52" si="87">Q51/S51</f>
        <v>0.79964961071772511</v>
      </c>
      <c r="U51" s="85">
        <f t="shared" si="68"/>
        <v>8341936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506344.44696969702</v>
      </c>
      <c r="C52" s="188">
        <f>AVERAGE(F50:F52)</f>
        <v>168781.48232323234</v>
      </c>
      <c r="D52" s="190">
        <f>C52/C49-1</f>
        <v>0.12047011543301167</v>
      </c>
      <c r="E52" s="287">
        <f>C52/C40-1</f>
        <v>-0.24556282570787635</v>
      </c>
      <c r="F52" s="136">
        <f>Q52/22</f>
        <v>178158.36363636365</v>
      </c>
      <c r="G52" s="190">
        <f t="shared" si="83"/>
        <v>0.27645063532133585</v>
      </c>
      <c r="H52" s="190">
        <f t="shared" si="84"/>
        <v>0.70274957440137542</v>
      </c>
      <c r="I52" s="130">
        <f t="shared" si="85"/>
        <v>0.81685016613480987</v>
      </c>
      <c r="J52" s="130">
        <f t="shared" si="86"/>
        <v>-0.12032009611723626</v>
      </c>
      <c r="K52" s="193">
        <f>R50+R51+R52</f>
        <v>14601767706</v>
      </c>
      <c r="L52" s="190">
        <f>U52/U49-1</f>
        <v>4.9985911500952884E-2</v>
      </c>
      <c r="M52" s="190">
        <f>K52/K40-1</f>
        <v>-0.23385703020037341</v>
      </c>
      <c r="N52" s="191">
        <f>AVERAGE(T50:T52)</f>
        <v>0.8263674178240521</v>
      </c>
      <c r="O52" s="192">
        <f>N52/N49-1</f>
        <v>-0.14811694540612941</v>
      </c>
      <c r="P52" s="129" t="s">
        <v>1403</v>
      </c>
      <c r="Q52" s="116">
        <v>3919484</v>
      </c>
      <c r="R52" s="116">
        <v>5767804751</v>
      </c>
      <c r="S52" s="116">
        <v>4798290.0199999996</v>
      </c>
      <c r="T52" s="130">
        <f t="shared" si="87"/>
        <v>0.81685016613480987</v>
      </c>
      <c r="U52" s="85">
        <f t="shared" ref="U52" si="88">Q50+Q51+Q52</f>
        <v>10105980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180125.09523809524</v>
      </c>
      <c r="G53" s="190">
        <f t="shared" ref="G53" si="89">F53/F52-1</f>
        <v>1.1039232520937636E-2</v>
      </c>
      <c r="H53" s="190">
        <f t="shared" ref="H53" si="90">F53/F41-1</f>
        <v>-0.45904959384557109</v>
      </c>
      <c r="I53" s="130">
        <f t="shared" ref="I53" si="91">T53</f>
        <v>0.78497768223066844</v>
      </c>
      <c r="J53" s="130">
        <f t="shared" ref="J53" si="92">I53/I41-1</f>
        <v>-0.1416576249938839</v>
      </c>
      <c r="K53" s="193"/>
      <c r="L53" s="190"/>
      <c r="M53" s="190"/>
      <c r="N53" s="191"/>
      <c r="O53" s="192"/>
      <c r="P53" s="129" t="s">
        <v>1414</v>
      </c>
      <c r="Q53" s="116">
        <v>3782627</v>
      </c>
      <c r="R53" s="116">
        <v>5512288273</v>
      </c>
      <c r="S53" s="116">
        <v>4818770.12</v>
      </c>
      <c r="T53" s="130">
        <f t="shared" ref="T53" si="93">Q53/S53</f>
        <v>0.78497768223066844</v>
      </c>
      <c r="U53" s="85">
        <f t="shared" ref="U53" si="94">Q51+Q52+Q53</f>
        <v>10493576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301847.1176470588</v>
      </c>
      <c r="G54" s="190">
        <f t="shared" ref="G54" si="95">F54/F53-1</f>
        <v>0.67576381985012923</v>
      </c>
      <c r="H54" s="190">
        <f t="shared" ref="H54" si="96">F54/F42-1</f>
        <v>-0.78154517274484303</v>
      </c>
      <c r="I54" s="130">
        <f t="shared" ref="I54" si="97">T54</f>
        <v>0.79930103774999595</v>
      </c>
      <c r="J54" s="130">
        <f t="shared" ref="J54" si="98">I54/I42-1</f>
        <v>-0.16603497331065231</v>
      </c>
      <c r="K54" s="193"/>
      <c r="L54" s="190"/>
      <c r="M54" s="190"/>
      <c r="N54" s="191"/>
      <c r="O54" s="192"/>
      <c r="P54" s="129" t="s">
        <v>1417</v>
      </c>
      <c r="Q54" s="116">
        <v>5131401</v>
      </c>
      <c r="R54" s="116">
        <v>7432505465</v>
      </c>
      <c r="S54" s="116">
        <v>6419860.2999999998</v>
      </c>
      <c r="T54" s="130">
        <f t="shared" ref="T54" si="99">Q54/S54</f>
        <v>0.79930103774999595</v>
      </c>
      <c r="U54" s="85">
        <f t="shared" ref="U54" si="100">Q52+Q53+Q54</f>
        <v>12833512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733563.78431372554</v>
      </c>
      <c r="C55" s="188">
        <f>AVERAGE(F53:F55)</f>
        <v>244521.26143790851</v>
      </c>
      <c r="D55" s="190">
        <f>C55/C52-1</f>
        <v>0.44874460202706001</v>
      </c>
      <c r="E55" s="287">
        <f>C55/C43-1</f>
        <v>-0.64070834970178436</v>
      </c>
      <c r="F55" s="136">
        <f>Q55/21</f>
        <v>251591.57142857142</v>
      </c>
      <c r="G55" s="190">
        <f t="shared" ref="G55" si="101">F55/F54-1</f>
        <v>-0.1664933778736617</v>
      </c>
      <c r="H55" s="190">
        <f t="shared" ref="H55" si="102">F55/F43-1</f>
        <v>-0.23055634252286139</v>
      </c>
      <c r="I55" s="130">
        <f>T55</f>
        <v>0.79258913988509161</v>
      </c>
      <c r="J55" s="130">
        <f t="shared" ref="J55" si="103">I55/I43-1</f>
        <v>-0.26890345027324736</v>
      </c>
      <c r="K55" s="193">
        <f>R53+R54+R55</f>
        <v>20705320145</v>
      </c>
      <c r="L55" s="190">
        <f>U55/U52-1</f>
        <v>0.40485643153855433</v>
      </c>
      <c r="M55" s="190">
        <f>K55/K43-1</f>
        <v>-0.31475965830886743</v>
      </c>
      <c r="N55" s="191">
        <f>AVERAGE(T53:T55)</f>
        <v>0.79228928662191855</v>
      </c>
      <c r="O55" s="192">
        <f>N55/N52-1</f>
        <v>-4.1238473912568185E-2</v>
      </c>
      <c r="P55" s="129" t="s">
        <v>1418</v>
      </c>
      <c r="Q55" s="116">
        <v>5283423</v>
      </c>
      <c r="R55" s="116">
        <v>7760526407</v>
      </c>
      <c r="S55" s="116">
        <v>6666030.0199999996</v>
      </c>
      <c r="T55" s="130">
        <f t="shared" ref="T55" si="104">Q55/S55</f>
        <v>0.79258913988509161</v>
      </c>
      <c r="U55" s="85">
        <f t="shared" ref="U55" si="105">Q53+Q54+Q55</f>
        <v>14197451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198814.63636363635</v>
      </c>
      <c r="G56" s="190">
        <f t="shared" ref="G56" si="106">F56/F55-1</f>
        <v>-0.20977227005364452</v>
      </c>
      <c r="H56" s="190">
        <f t="shared" ref="H56" si="107">F56/F44-1</f>
        <v>-0.17444041576933755</v>
      </c>
      <c r="I56" s="291">
        <f>T56</f>
        <v>0.85554150904604587</v>
      </c>
      <c r="J56" s="130">
        <f t="shared" ref="J56" si="108">I56/I44-1</f>
        <v>-0.23618391924344984</v>
      </c>
      <c r="K56" s="193"/>
      <c r="L56" s="190"/>
      <c r="M56" s="190"/>
      <c r="N56" s="191"/>
      <c r="O56" s="192"/>
      <c r="P56" s="129" t="s">
        <v>1420</v>
      </c>
      <c r="Q56" s="116">
        <v>4373922</v>
      </c>
      <c r="R56" s="116">
        <v>6529994781</v>
      </c>
      <c r="S56" s="116">
        <v>5112460.3</v>
      </c>
      <c r="T56" s="130">
        <f t="shared" ref="T56" si="109">Q56/S56</f>
        <v>0.85554150904604587</v>
      </c>
      <c r="U56" s="85">
        <f t="shared" ref="U56" si="110">Q54+Q55+Q56</f>
        <v>14788746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242421.25</v>
      </c>
      <c r="G57" s="254">
        <f t="shared" ref="G57" si="111">F57/F56-1</f>
        <v>0.21933301508348801</v>
      </c>
      <c r="H57" s="254">
        <f t="shared" ref="H57" si="112">F57/F45-1</f>
        <v>0.96709023560007634</v>
      </c>
      <c r="I57" s="282">
        <f>T57</f>
        <v>0.87864029285442458</v>
      </c>
      <c r="J57" s="277">
        <f t="shared" ref="J57" si="113">I57/I45-1</f>
        <v>-0.16427975098495518</v>
      </c>
      <c r="K57" s="259"/>
      <c r="L57" s="254"/>
      <c r="M57" s="254"/>
      <c r="N57" s="257"/>
      <c r="O57" s="258"/>
      <c r="P57" s="129" t="s">
        <v>1436</v>
      </c>
      <c r="Q57" s="116">
        <v>2909055</v>
      </c>
      <c r="R57" s="116">
        <v>4279495864</v>
      </c>
      <c r="S57" s="116">
        <v>3310860</v>
      </c>
      <c r="T57" s="130">
        <f t="shared" ref="T57" si="114">Q57/S57</f>
        <v>0.87864029285442458</v>
      </c>
      <c r="U57" s="85">
        <f t="shared" ref="U57" si="115">Q55+Q56+Q57</f>
        <v>12566400</v>
      </c>
      <c r="V57" s="79"/>
      <c r="W57" s="79"/>
      <c r="X57" s="79"/>
      <c r="Y57" s="79"/>
      <c r="Z57" s="79"/>
    </row>
    <row r="58" spans="1:26">
      <c r="B58" s="196">
        <f>SUM(F56:F58)</f>
        <v>441235.88636363635</v>
      </c>
      <c r="C58" s="196">
        <f>AVERAGE(F56:F58)</f>
        <v>220617.94318181818</v>
      </c>
      <c r="D58" s="197">
        <f>C58/C55-1</f>
        <v>-9.7755582134358199E-2</v>
      </c>
      <c r="E58" s="233">
        <f>C58/C46-1</f>
        <v>0.34854513105279405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21480428</v>
      </c>
      <c r="R65" s="212">
        <v>31514810790</v>
      </c>
      <c r="S65" s="213">
        <v>26327980.75</v>
      </c>
      <c r="T65" s="214" t="s">
        <v>1421</v>
      </c>
      <c r="U65" s="214">
        <v>14</v>
      </c>
    </row>
    <row r="66" spans="16:21" ht="18" thickBot="1">
      <c r="P66" s="180" t="s">
        <v>976</v>
      </c>
      <c r="Q66" s="181">
        <v>3782627</v>
      </c>
      <c r="R66" s="181">
        <v>5512288273</v>
      </c>
      <c r="S66" s="182">
        <v>4818770.12</v>
      </c>
      <c r="T66" s="210" t="s">
        <v>1421</v>
      </c>
      <c r="U66" s="210">
        <v>8</v>
      </c>
    </row>
    <row r="67" spans="16:21" ht="18" thickBot="1">
      <c r="P67" s="180" t="s">
        <v>977</v>
      </c>
      <c r="Q67" s="181">
        <v>5131401</v>
      </c>
      <c r="R67" s="181">
        <v>7432505465</v>
      </c>
      <c r="S67" s="182">
        <v>6419860.2999999998</v>
      </c>
      <c r="T67" s="210" t="s">
        <v>1421</v>
      </c>
      <c r="U67" s="210">
        <v>7</v>
      </c>
    </row>
    <row r="68" spans="16:21" ht="18" thickBot="1">
      <c r="P68" s="180" t="s">
        <v>978</v>
      </c>
      <c r="Q68" s="181">
        <v>5283423</v>
      </c>
      <c r="R68" s="181">
        <v>7760526407</v>
      </c>
      <c r="S68" s="182">
        <v>6666030.0199999996</v>
      </c>
      <c r="T68" s="210" t="s">
        <v>1421</v>
      </c>
      <c r="U68" s="210">
        <v>7</v>
      </c>
    </row>
    <row r="69" spans="16:21" ht="18" thickBot="1">
      <c r="P69" s="180" t="s">
        <v>979</v>
      </c>
      <c r="Q69" s="181">
        <v>4373922</v>
      </c>
      <c r="R69" s="181">
        <v>6529994781</v>
      </c>
      <c r="S69" s="182">
        <v>5112460.3</v>
      </c>
      <c r="T69" s="210" t="s">
        <v>1421</v>
      </c>
      <c r="U69" s="210">
        <v>6</v>
      </c>
    </row>
    <row r="70" spans="16:21" ht="18" thickBot="1">
      <c r="P70" s="180" t="s">
        <v>980</v>
      </c>
      <c r="Q70" s="181">
        <v>2909055</v>
      </c>
      <c r="R70" s="181">
        <v>4279495864</v>
      </c>
      <c r="S70" s="182">
        <v>3310860</v>
      </c>
      <c r="T70" s="210" t="s">
        <v>1421</v>
      </c>
      <c r="U70" s="210">
        <v>7</v>
      </c>
    </row>
    <row r="71" spans="16:21" ht="18" thickBot="1">
      <c r="P71" s="180" t="s">
        <v>975</v>
      </c>
      <c r="Q71" s="181">
        <v>50725762</v>
      </c>
      <c r="R71" s="181">
        <v>72636392936</v>
      </c>
      <c r="S71" s="182">
        <v>52762813.549999997</v>
      </c>
      <c r="T71" s="210" t="s">
        <v>1421</v>
      </c>
      <c r="U71" s="210">
        <v>15</v>
      </c>
    </row>
    <row r="72" spans="16:21" ht="18" thickBot="1">
      <c r="P72" s="180" t="s">
        <v>982</v>
      </c>
      <c r="Q72" s="181">
        <v>51197363</v>
      </c>
      <c r="R72" s="181">
        <v>69421315119</v>
      </c>
      <c r="S72" s="182">
        <v>55248383.479999997</v>
      </c>
      <c r="T72" s="210">
        <v>7</v>
      </c>
      <c r="U72" s="210">
        <v>26</v>
      </c>
    </row>
    <row r="73" spans="16:21" ht="18" thickBot="1">
      <c r="P73" s="215" t="s">
        <v>1386</v>
      </c>
      <c r="Q73" s="216">
        <v>30171181</v>
      </c>
      <c r="R73" s="217"/>
      <c r="S73"/>
      <c r="T73"/>
      <c r="U73"/>
    </row>
  </sheetData>
  <phoneticPr fontId="1" type="noConversion"/>
  <conditionalFormatting sqref="C29:C30">
    <cfRule type="cellIs" dxfId="15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77">
    <tabColor rgb="FFFF0000"/>
  </sheetPr>
  <dimension ref="A1:Z74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72</v>
      </c>
      <c r="G4" s="172" t="s">
        <v>282</v>
      </c>
      <c r="H4" s="172" t="s">
        <v>261</v>
      </c>
      <c r="I4" s="84" t="s">
        <v>45</v>
      </c>
      <c r="J4" s="84" t="s">
        <v>1277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847417.5</v>
      </c>
      <c r="G5" s="90"/>
      <c r="H5" s="90"/>
      <c r="I5" s="130">
        <f t="shared" ref="I5:I49" si="0">T5</f>
        <v>1.9769334839541708</v>
      </c>
      <c r="J5" s="130"/>
      <c r="L5" s="80"/>
      <c r="P5" s="129" t="s">
        <v>0</v>
      </c>
      <c r="Q5" s="116">
        <v>16948350</v>
      </c>
      <c r="R5" s="116"/>
      <c r="S5" s="116">
        <v>8573050.1999999993</v>
      </c>
      <c r="T5" s="130">
        <f t="shared" ref="T5:T25" si="1">Q5/S5</f>
        <v>1.9769334839541708</v>
      </c>
      <c r="U5" s="85"/>
    </row>
    <row r="6" spans="1:21" ht="15" hidden="1" customHeight="1">
      <c r="A6" s="129" t="s">
        <v>1</v>
      </c>
      <c r="C6" s="79"/>
      <c r="F6" s="78">
        <f>Q6/18</f>
        <v>887581.9444444445</v>
      </c>
      <c r="G6" s="90">
        <f t="shared" ref="G6:G25" si="2">F6/F5-1</f>
        <v>4.7396288658712482E-2</v>
      </c>
      <c r="H6" s="90"/>
      <c r="I6" s="130">
        <f t="shared" si="0"/>
        <v>2.0489190003655269</v>
      </c>
      <c r="J6" s="130"/>
      <c r="P6" s="129" t="s">
        <v>1</v>
      </c>
      <c r="Q6" s="116">
        <v>15976475</v>
      </c>
      <c r="R6" s="116"/>
      <c r="S6" s="116">
        <v>7797514.2000000002</v>
      </c>
      <c r="T6" s="130">
        <f t="shared" si="1"/>
        <v>2.0489190003655269</v>
      </c>
      <c r="U6" s="85"/>
    </row>
    <row r="7" spans="1:21" ht="15" hidden="1" customHeight="1">
      <c r="A7" s="129" t="s">
        <v>2</v>
      </c>
      <c r="B7" s="131">
        <f>F5+F6+F7</f>
        <v>2453909.6717171716</v>
      </c>
      <c r="C7" s="131">
        <f>AVERAGE(F5:F7)</f>
        <v>817969.89057239052</v>
      </c>
      <c r="F7" s="78">
        <f>Q7/22</f>
        <v>718910.22727272729</v>
      </c>
      <c r="G7" s="90">
        <f t="shared" si="2"/>
        <v>-0.19003509279055042</v>
      </c>
      <c r="H7" s="90"/>
      <c r="I7" s="130">
        <f t="shared" si="0"/>
        <v>2.0018556625871033</v>
      </c>
      <c r="J7" s="130"/>
      <c r="K7" s="79">
        <f>R5+R6+R7</f>
        <v>0</v>
      </c>
      <c r="L7" s="102">
        <f>S5+S6+S7</f>
        <v>24271246.399999999</v>
      </c>
      <c r="N7" s="88">
        <f>AVERAGE(T5:T7)</f>
        <v>2.0092360489689338</v>
      </c>
      <c r="P7" s="129" t="s">
        <v>2</v>
      </c>
      <c r="Q7" s="116">
        <v>15816025</v>
      </c>
      <c r="R7" s="116"/>
      <c r="S7" s="116">
        <v>7900682</v>
      </c>
      <c r="T7" s="130">
        <f t="shared" si="1"/>
        <v>2.0018556625871033</v>
      </c>
      <c r="U7" s="85">
        <f>Q5+Q6+Q7</f>
        <v>48740850</v>
      </c>
    </row>
    <row r="8" spans="1:21" ht="15" hidden="1" customHeight="1">
      <c r="A8" s="129" t="s">
        <v>3</v>
      </c>
      <c r="C8" s="79"/>
      <c r="F8" s="78">
        <f>Q8/21</f>
        <v>524560</v>
      </c>
      <c r="G8" s="90">
        <f t="shared" si="2"/>
        <v>-0.27034005067645006</v>
      </c>
      <c r="H8" s="90"/>
      <c r="I8" s="130">
        <f t="shared" si="0"/>
        <v>2.0664911774230696</v>
      </c>
      <c r="J8" s="130"/>
      <c r="K8" s="78"/>
      <c r="P8" s="129" t="s">
        <v>3</v>
      </c>
      <c r="Q8" s="116">
        <v>11015760</v>
      </c>
      <c r="R8" s="116"/>
      <c r="S8" s="116">
        <v>5330659.0999999996</v>
      </c>
      <c r="T8" s="130">
        <f t="shared" si="1"/>
        <v>2.0664911774230696</v>
      </c>
      <c r="U8" s="85"/>
    </row>
    <row r="9" spans="1:21" ht="15" hidden="1" customHeight="1">
      <c r="A9" s="129" t="s">
        <v>4</v>
      </c>
      <c r="C9" s="79"/>
      <c r="F9" s="78">
        <f>Q9/21</f>
        <v>658757.76190476189</v>
      </c>
      <c r="G9" s="90">
        <f t="shared" si="2"/>
        <v>0.25582919380959646</v>
      </c>
      <c r="H9" s="90"/>
      <c r="I9" s="130">
        <f t="shared" si="0"/>
        <v>2.0306065143041674</v>
      </c>
      <c r="J9" s="130"/>
      <c r="K9" s="78"/>
      <c r="P9" s="129" t="s">
        <v>4</v>
      </c>
      <c r="Q9" s="116">
        <v>13833913</v>
      </c>
      <c r="R9" s="116"/>
      <c r="S9" s="116">
        <v>6812700</v>
      </c>
      <c r="T9" s="130">
        <f t="shared" si="1"/>
        <v>2.0306065143041674</v>
      </c>
      <c r="U9" s="85"/>
    </row>
    <row r="10" spans="1:21" ht="15" hidden="1" customHeight="1">
      <c r="A10" s="129" t="s">
        <v>5</v>
      </c>
      <c r="B10" s="131">
        <f>F8+F9+F10</f>
        <v>1572970.4285714286</v>
      </c>
      <c r="C10" s="131">
        <f>AVERAGE(F8:F10)</f>
        <v>524323.47619047621</v>
      </c>
      <c r="D10" s="90">
        <f>C10/C7-1</f>
        <v>-0.3589941607464664</v>
      </c>
      <c r="E10" s="286"/>
      <c r="F10" s="78">
        <f>Q10/21</f>
        <v>389652.66666666669</v>
      </c>
      <c r="G10" s="90">
        <f t="shared" si="2"/>
        <v>-0.40850387016312739</v>
      </c>
      <c r="H10" s="90"/>
      <c r="I10" s="130">
        <f t="shared" si="0"/>
        <v>1.8744029320810904</v>
      </c>
      <c r="J10" s="130"/>
      <c r="K10" s="79">
        <f>R8+R9+R10</f>
        <v>0</v>
      </c>
      <c r="L10" s="102">
        <f>U10/U7-1</f>
        <v>-0.32228553666995963</v>
      </c>
      <c r="N10" s="88">
        <f>AVERAGE(T8:T10)</f>
        <v>1.9905002079361092</v>
      </c>
      <c r="O10" s="89">
        <f>N10/N7-1</f>
        <v>-9.324858093422761E-3</v>
      </c>
      <c r="P10" s="129" t="s">
        <v>5</v>
      </c>
      <c r="Q10" s="116">
        <v>8182706</v>
      </c>
      <c r="R10" s="116"/>
      <c r="S10" s="116">
        <v>4365500</v>
      </c>
      <c r="T10" s="130">
        <f t="shared" si="1"/>
        <v>1.8744029320810904</v>
      </c>
      <c r="U10" s="85">
        <f>Q8+Q9+Q10</f>
        <v>33032379</v>
      </c>
    </row>
    <row r="11" spans="1:21" ht="15" hidden="1" customHeight="1">
      <c r="A11" s="129" t="s">
        <v>6</v>
      </c>
      <c r="C11" s="79"/>
      <c r="F11" s="78">
        <f>Q11/21</f>
        <v>196894.71428571429</v>
      </c>
      <c r="G11" s="90">
        <f t="shared" si="2"/>
        <v>-0.49469173156166191</v>
      </c>
      <c r="H11" s="90"/>
      <c r="I11" s="130">
        <f t="shared" si="0"/>
        <v>1.9619402135231316</v>
      </c>
      <c r="J11" s="130"/>
      <c r="K11" s="78"/>
      <c r="O11" s="89"/>
      <c r="P11" s="129" t="s">
        <v>6</v>
      </c>
      <c r="Q11" s="116">
        <v>4134789</v>
      </c>
      <c r="R11" s="116"/>
      <c r="S11" s="116">
        <v>2107500</v>
      </c>
      <c r="T11" s="130">
        <f t="shared" si="1"/>
        <v>1.9619402135231316</v>
      </c>
      <c r="U11" s="85"/>
    </row>
    <row r="12" spans="1:21" ht="15" hidden="1" customHeight="1">
      <c r="A12" s="129" t="s">
        <v>7</v>
      </c>
      <c r="C12" s="79"/>
      <c r="F12" s="78">
        <f>Q12/22</f>
        <v>125920.36363636363</v>
      </c>
      <c r="G12" s="90">
        <f t="shared" si="2"/>
        <v>-0.36046854232135273</v>
      </c>
      <c r="H12" s="90"/>
      <c r="I12" s="130">
        <f t="shared" si="0"/>
        <v>1.8261357943309162</v>
      </c>
      <c r="J12" s="130"/>
      <c r="K12" s="78"/>
      <c r="O12" s="89"/>
      <c r="P12" s="129" t="s">
        <v>7</v>
      </c>
      <c r="Q12" s="116">
        <v>2770248</v>
      </c>
      <c r="R12" s="116"/>
      <c r="S12" s="116">
        <v>1517000</v>
      </c>
      <c r="T12" s="130">
        <f t="shared" si="1"/>
        <v>1.8261357943309162</v>
      </c>
      <c r="U12" s="85"/>
    </row>
    <row r="13" spans="1:21" ht="15" hidden="1" customHeight="1">
      <c r="A13" s="129" t="s">
        <v>96</v>
      </c>
      <c r="B13" s="131">
        <f>F11+F12+F13</f>
        <v>508788.32792207791</v>
      </c>
      <c r="C13" s="131">
        <f>AVERAGE(F11:F13)</f>
        <v>169596.10930735929</v>
      </c>
      <c r="D13" s="90">
        <f>C13/C10-1</f>
        <v>-0.67654297965146148</v>
      </c>
      <c r="E13" s="286"/>
      <c r="F13" s="78">
        <f>Q13/20</f>
        <v>185973.25</v>
      </c>
      <c r="G13" s="90">
        <f t="shared" si="2"/>
        <v>0.47691163390425695</v>
      </c>
      <c r="H13" s="90"/>
      <c r="I13" s="130">
        <f t="shared" si="0"/>
        <v>1.6449621316822378</v>
      </c>
      <c r="J13" s="130"/>
      <c r="K13" s="79">
        <f>R11+R12+R13</f>
        <v>0</v>
      </c>
      <c r="L13" s="102">
        <f>U13/U10-1</f>
        <v>-0.67836098029754388</v>
      </c>
      <c r="N13" s="88">
        <f>AVERAGE(T11:T13)</f>
        <v>1.8110127131787619</v>
      </c>
      <c r="O13" s="89">
        <f>N13/N10-1</f>
        <v>-9.0172055266174778E-2</v>
      </c>
      <c r="P13" s="129" t="s">
        <v>96</v>
      </c>
      <c r="Q13" s="116">
        <v>3719465</v>
      </c>
      <c r="R13" s="116"/>
      <c r="S13" s="116">
        <v>2261125</v>
      </c>
      <c r="T13" s="130">
        <f t="shared" si="1"/>
        <v>1.6449621316822378</v>
      </c>
      <c r="U13" s="85">
        <f>Q11+Q12+Q13</f>
        <v>10624502</v>
      </c>
    </row>
    <row r="14" spans="1:21" ht="15" hidden="1" customHeight="1">
      <c r="A14" s="129" t="s">
        <v>97</v>
      </c>
      <c r="C14" s="79"/>
      <c r="F14" s="78">
        <f>Q14/20</f>
        <v>211549.6</v>
      </c>
      <c r="G14" s="90">
        <f t="shared" si="2"/>
        <v>0.13752703681846712</v>
      </c>
      <c r="H14" s="90"/>
      <c r="I14" s="130">
        <f t="shared" si="0"/>
        <v>1.5617703296297663</v>
      </c>
      <c r="J14" s="130"/>
      <c r="O14" s="89"/>
      <c r="P14" s="129" t="s">
        <v>97</v>
      </c>
      <c r="Q14" s="116">
        <v>4230992</v>
      </c>
      <c r="R14" s="116"/>
      <c r="S14" s="116">
        <v>2709100</v>
      </c>
      <c r="T14" s="130">
        <f t="shared" si="1"/>
        <v>1.5617703296297663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177053.68181818182</v>
      </c>
      <c r="G15" s="90">
        <f t="shared" si="2"/>
        <v>-0.16306302721356214</v>
      </c>
      <c r="H15" s="90"/>
      <c r="I15" s="130">
        <f t="shared" si="0"/>
        <v>1.5715880572927174</v>
      </c>
      <c r="J15" s="130"/>
      <c r="O15" s="89"/>
      <c r="P15" s="129" t="s">
        <v>98</v>
      </c>
      <c r="Q15" s="116">
        <v>3895181</v>
      </c>
      <c r="R15" s="116"/>
      <c r="S15" s="116">
        <v>2478500</v>
      </c>
      <c r="T15" s="130">
        <f t="shared" si="1"/>
        <v>1.5715880572927174</v>
      </c>
      <c r="U15" s="78"/>
    </row>
    <row r="16" spans="1:21" ht="15" hidden="1" customHeight="1">
      <c r="A16" s="129" t="s">
        <v>99</v>
      </c>
      <c r="B16" s="131">
        <f>F14+F15+F16</f>
        <v>502035.3727272728</v>
      </c>
      <c r="C16" s="131">
        <f>AVERAGE(F14:F16)</f>
        <v>167345.12424242427</v>
      </c>
      <c r="D16" s="90">
        <f>C16/C13-1</f>
        <v>-1.3272622079175012E-2</v>
      </c>
      <c r="E16" s="286"/>
      <c r="F16" s="78">
        <f>Q16/22</f>
        <v>113432.09090909091</v>
      </c>
      <c r="G16" s="90">
        <f t="shared" si="2"/>
        <v>-0.35933503475191531</v>
      </c>
      <c r="H16" s="90"/>
      <c r="I16" s="130">
        <f t="shared" si="0"/>
        <v>1.6162602580142318</v>
      </c>
      <c r="J16" s="130"/>
      <c r="K16" s="79">
        <f>R14+R15+R16</f>
        <v>0</v>
      </c>
      <c r="L16" s="102">
        <f>U16/U13-1</f>
        <v>-2.6570657147040322E-4</v>
      </c>
      <c r="N16" s="88">
        <f>AVERAGE(T14:T16)</f>
        <v>1.5832062149789052</v>
      </c>
      <c r="O16" s="89">
        <f>N16/N13-1</f>
        <v>-0.12578956323282875</v>
      </c>
      <c r="P16" s="129" t="s">
        <v>99</v>
      </c>
      <c r="Q16" s="116">
        <v>2495506</v>
      </c>
      <c r="R16" s="116"/>
      <c r="S16" s="116">
        <v>1544000.1</v>
      </c>
      <c r="T16" s="130">
        <f t="shared" si="1"/>
        <v>1.6162602580142318</v>
      </c>
      <c r="U16" s="85">
        <f>Q14+Q15+Q16</f>
        <v>10621679</v>
      </c>
    </row>
    <row r="17" spans="1:21" ht="15" hidden="1" customHeight="1">
      <c r="A17" s="129" t="s">
        <v>100</v>
      </c>
      <c r="C17" s="79"/>
      <c r="F17" s="78">
        <f>Q17/20</f>
        <v>143655.75</v>
      </c>
      <c r="G17" s="90">
        <f t="shared" si="2"/>
        <v>0.26644716542456726</v>
      </c>
      <c r="H17" s="90">
        <f t="shared" ref="H17:H25" si="3">F17/F5-1</f>
        <v>-0.83047818814220853</v>
      </c>
      <c r="I17" s="130">
        <f t="shared" si="0"/>
        <v>1.6393443090640014</v>
      </c>
      <c r="J17" s="130">
        <f t="shared" ref="J17:J49" si="4">I17/I5-1</f>
        <v>-0.17076405333321543</v>
      </c>
      <c r="O17" s="89"/>
      <c r="P17" s="129" t="s">
        <v>100</v>
      </c>
      <c r="Q17" s="116">
        <v>2873115</v>
      </c>
      <c r="R17" s="116">
        <v>3627167612</v>
      </c>
      <c r="S17" s="116">
        <v>1752600.1</v>
      </c>
      <c r="T17" s="130">
        <f t="shared" si="1"/>
        <v>1.6393443090640014</v>
      </c>
      <c r="U17" s="78"/>
    </row>
    <row r="18" spans="1:21" ht="15" hidden="1" customHeight="1">
      <c r="A18" s="129" t="s">
        <v>106</v>
      </c>
      <c r="C18" s="79"/>
      <c r="F18" s="78">
        <f>Q18/20</f>
        <v>139454.20000000001</v>
      </c>
      <c r="G18" s="90">
        <f t="shared" si="2"/>
        <v>-2.9247350001653127E-2</v>
      </c>
      <c r="H18" s="90">
        <f t="shared" si="3"/>
        <v>-0.84288301393142107</v>
      </c>
      <c r="I18" s="130">
        <f t="shared" si="0"/>
        <v>1.6172727553483988</v>
      </c>
      <c r="J18" s="130">
        <f t="shared" si="4"/>
        <v>-0.21067023388436656</v>
      </c>
      <c r="O18" s="89"/>
      <c r="P18" s="129" t="s">
        <v>106</v>
      </c>
      <c r="Q18" s="116">
        <v>2789084</v>
      </c>
      <c r="R18" s="116">
        <v>3498410394</v>
      </c>
      <c r="S18" s="116">
        <v>1724560.06</v>
      </c>
      <c r="T18" s="130">
        <f t="shared" si="1"/>
        <v>1.6172727553483988</v>
      </c>
      <c r="U18" s="78"/>
    </row>
    <row r="19" spans="1:21" hidden="1">
      <c r="A19" s="129" t="s">
        <v>114</v>
      </c>
      <c r="B19" s="131">
        <f>SUM(F17:F19)</f>
        <v>344933.76818181819</v>
      </c>
      <c r="C19" s="131">
        <f>AVERAGE(F17:F19)</f>
        <v>114977.92272727273</v>
      </c>
      <c r="D19" s="90">
        <f>C19/C16-1</f>
        <v>-0.31292935334817329</v>
      </c>
      <c r="E19" s="286">
        <f>C19/C7-1</f>
        <v>-0.85943501826599666</v>
      </c>
      <c r="F19" s="78">
        <f>Q19/22</f>
        <v>61823.818181818184</v>
      </c>
      <c r="G19" s="90">
        <f t="shared" si="2"/>
        <v>-0.55667295655621574</v>
      </c>
      <c r="H19" s="90">
        <f t="shared" si="3"/>
        <v>-0.91400342374269139</v>
      </c>
      <c r="I19" s="130">
        <f t="shared" si="0"/>
        <v>1.6493348693385073</v>
      </c>
      <c r="J19" s="130">
        <f t="shared" si="4"/>
        <v>-0.17609700830928787</v>
      </c>
      <c r="K19" s="79">
        <f>R17+R18+R19</f>
        <v>8904254268</v>
      </c>
      <c r="L19" s="102">
        <f>U19/U16-1</f>
        <v>-0.33886883608514251</v>
      </c>
      <c r="M19" s="87">
        <f>U19/U7-1</f>
        <v>-0.85592530700634062</v>
      </c>
      <c r="N19" s="88">
        <f>AVERAGE(T17:T19)</f>
        <v>1.6353173112503026</v>
      </c>
      <c r="O19" s="89">
        <f>N19/N16-1</f>
        <v>3.2914913912267307E-2</v>
      </c>
      <c r="P19" s="129" t="s">
        <v>114</v>
      </c>
      <c r="Q19" s="116">
        <v>1360124</v>
      </c>
      <c r="R19" s="116">
        <v>1778676262</v>
      </c>
      <c r="S19" s="116">
        <v>824650</v>
      </c>
      <c r="T19" s="130">
        <f t="shared" si="1"/>
        <v>1.6493348693385073</v>
      </c>
      <c r="U19" s="85">
        <f>Q17+Q18+Q19</f>
        <v>7022323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71402.45</v>
      </c>
      <c r="G20" s="90">
        <f t="shared" si="2"/>
        <v>0.15493432951701447</v>
      </c>
      <c r="H20" s="90">
        <f t="shared" si="3"/>
        <v>-0.86388125285953943</v>
      </c>
      <c r="I20" s="130">
        <f t="shared" si="0"/>
        <v>1.660450655029958</v>
      </c>
      <c r="J20" s="130">
        <f t="shared" si="4"/>
        <v>-0.19648790511626923</v>
      </c>
      <c r="O20" s="89"/>
      <c r="P20" s="129" t="s">
        <v>132</v>
      </c>
      <c r="Q20" s="116">
        <v>1428049</v>
      </c>
      <c r="R20" s="116">
        <v>1874968833</v>
      </c>
      <c r="S20" s="116">
        <v>860037</v>
      </c>
      <c r="T20" s="130">
        <f t="shared" si="1"/>
        <v>1.660450655029958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78927.238095238092</v>
      </c>
      <c r="G21" s="90">
        <f t="shared" si="2"/>
        <v>0.10538557283731986</v>
      </c>
      <c r="H21" s="90">
        <f t="shared" si="3"/>
        <v>-0.88018776755354755</v>
      </c>
      <c r="I21" s="130">
        <f t="shared" si="0"/>
        <v>1.5649075612606749</v>
      </c>
      <c r="J21" s="130">
        <f t="shared" si="4"/>
        <v>-0.22933983012611114</v>
      </c>
      <c r="O21" s="89"/>
      <c r="P21" s="129" t="s">
        <v>141</v>
      </c>
      <c r="Q21" s="116">
        <v>1657472</v>
      </c>
      <c r="R21" s="116">
        <v>2212511794</v>
      </c>
      <c r="S21" s="116">
        <v>1059150.1000000001</v>
      </c>
      <c r="T21" s="130">
        <f t="shared" si="1"/>
        <v>1.5649075612606749</v>
      </c>
      <c r="U21" s="78"/>
    </row>
    <row r="22" spans="1:21" hidden="1">
      <c r="A22" s="129" t="s">
        <v>155</v>
      </c>
      <c r="B22" s="131">
        <f>SUM(F20:F22)</f>
        <v>260744.40238095238</v>
      </c>
      <c r="C22" s="131">
        <f>AVERAGE(F20:F22)</f>
        <v>86914.800793650793</v>
      </c>
      <c r="D22" s="90">
        <f>C22/C19-1</f>
        <v>-0.24407400366927456</v>
      </c>
      <c r="E22" s="286">
        <f>C22/C10-1</f>
        <v>-0.83423439014186651</v>
      </c>
      <c r="F22" s="78">
        <f>Q22/21</f>
        <v>110414.71428571429</v>
      </c>
      <c r="G22" s="90">
        <f t="shared" si="2"/>
        <v>0.39894308923469013</v>
      </c>
      <c r="H22" s="90">
        <f t="shared" si="3"/>
        <v>-0.71663298180333013</v>
      </c>
      <c r="I22" s="130">
        <f t="shared" si="0"/>
        <v>1.5536517341036591</v>
      </c>
      <c r="J22" s="130">
        <f t="shared" si="4"/>
        <v>-0.17112179696673402</v>
      </c>
      <c r="K22" s="79">
        <f>R20+R21+R22</f>
        <v>7115382986</v>
      </c>
      <c r="L22" s="102">
        <f>U22/U19-1</f>
        <v>-0.23042132923820224</v>
      </c>
      <c r="M22" s="87">
        <f>U22/U10-1</f>
        <v>-0.83639597983542147</v>
      </c>
      <c r="N22" s="88">
        <f>AVERAGE(T20:T22)</f>
        <v>1.5930033167980973</v>
      </c>
      <c r="O22" s="89">
        <f>N22/N19-1</f>
        <v>-2.5875097243270528E-2</v>
      </c>
      <c r="P22" s="129" t="s">
        <v>155</v>
      </c>
      <c r="Q22" s="116">
        <v>2318709</v>
      </c>
      <c r="R22" s="116">
        <v>3027902359</v>
      </c>
      <c r="S22" s="116">
        <v>1492425.2</v>
      </c>
      <c r="T22" s="130">
        <f t="shared" si="1"/>
        <v>1.5536517341036591</v>
      </c>
      <c r="U22" s="85">
        <f>Q20+Q21+Q22</f>
        <v>5404230</v>
      </c>
    </row>
    <row r="23" spans="1:21" hidden="1">
      <c r="A23" s="129" t="s">
        <v>189</v>
      </c>
      <c r="B23" s="131"/>
      <c r="C23" s="131"/>
      <c r="F23" s="78">
        <f>Q23/21</f>
        <v>84698.380952380947</v>
      </c>
      <c r="G23" s="90">
        <f t="shared" si="2"/>
        <v>-0.23290675975294883</v>
      </c>
      <c r="H23" s="90">
        <f t="shared" si="3"/>
        <v>-0.56982907713065889</v>
      </c>
      <c r="I23" s="130">
        <f t="shared" si="0"/>
        <v>1.4698504255846625</v>
      </c>
      <c r="J23" s="130">
        <f t="shared" si="4"/>
        <v>-0.25081793244596606</v>
      </c>
      <c r="O23" s="89"/>
      <c r="P23" s="129" t="s">
        <v>189</v>
      </c>
      <c r="Q23" s="116">
        <v>1778666</v>
      </c>
      <c r="R23" s="116">
        <v>2299447466</v>
      </c>
      <c r="S23" s="116">
        <v>1210100</v>
      </c>
      <c r="T23" s="130">
        <f t="shared" si="1"/>
        <v>1.4698504255846625</v>
      </c>
      <c r="U23" s="78"/>
    </row>
    <row r="24" spans="1:21" hidden="1">
      <c r="A24" s="129" t="s">
        <v>204</v>
      </c>
      <c r="B24" s="131"/>
      <c r="C24" s="131"/>
      <c r="F24" s="78">
        <f>Q24/22</f>
        <v>105760.31818181818</v>
      </c>
      <c r="G24" s="90">
        <f t="shared" si="2"/>
        <v>0.24866989182802279</v>
      </c>
      <c r="H24" s="90">
        <f t="shared" si="3"/>
        <v>-0.16010155047490338</v>
      </c>
      <c r="I24" s="130">
        <f t="shared" si="0"/>
        <v>1.4639947483801201</v>
      </c>
      <c r="J24" s="130">
        <f t="shared" si="4"/>
        <v>-0.19831003098183186</v>
      </c>
      <c r="O24" s="89"/>
      <c r="P24" s="129" t="s">
        <v>204</v>
      </c>
      <c r="Q24" s="116">
        <v>2326727</v>
      </c>
      <c r="R24" s="116">
        <v>3033849594</v>
      </c>
      <c r="S24" s="116">
        <v>1589300.1</v>
      </c>
      <c r="T24" s="130">
        <f t="shared" si="1"/>
        <v>1.4639947483801201</v>
      </c>
      <c r="U24" s="78"/>
    </row>
    <row r="25" spans="1:21" s="79" customFormat="1" ht="13.2" hidden="1">
      <c r="A25" s="129" t="s">
        <v>245</v>
      </c>
      <c r="B25" s="131">
        <f>SUM(F23:F25)</f>
        <v>334676.38334472547</v>
      </c>
      <c r="C25" s="131">
        <f>AVERAGE(F23:F25)</f>
        <v>111558.79444824182</v>
      </c>
      <c r="D25" s="90">
        <f>C25/C22-1</f>
        <v>0.28354196787610086</v>
      </c>
      <c r="E25" s="286">
        <f>C25/C13-1</f>
        <v>-0.34220899934641991</v>
      </c>
      <c r="F25" s="78">
        <f>Q25/19</f>
        <v>144217.68421052632</v>
      </c>
      <c r="G25" s="90">
        <f t="shared" si="2"/>
        <v>0.36362755606118768</v>
      </c>
      <c r="H25" s="90">
        <f t="shared" si="3"/>
        <v>-0.22452457968806627</v>
      </c>
      <c r="I25" s="130">
        <f t="shared" si="0"/>
        <v>1.4634351634266183</v>
      </c>
      <c r="J25" s="130">
        <f t="shared" si="4"/>
        <v>-0.11035328094147623</v>
      </c>
      <c r="K25" s="79">
        <f>R23+R24+R25</f>
        <v>8969664267</v>
      </c>
      <c r="L25" s="102">
        <f>U25/U22-1</f>
        <v>0.26669830854719367</v>
      </c>
      <c r="M25" s="90">
        <f>U25/U13-1</f>
        <v>-0.35568471821079239</v>
      </c>
      <c r="N25" s="88">
        <f>AVERAGE(T23:T25)</f>
        <v>1.4657601124638004</v>
      </c>
      <c r="O25" s="91">
        <f>N25/N22-1</f>
        <v>-7.9876295920119578E-2</v>
      </c>
      <c r="P25" s="129" t="s">
        <v>245</v>
      </c>
      <c r="Q25" s="116">
        <v>2740136</v>
      </c>
      <c r="R25" s="116">
        <v>3636367207</v>
      </c>
      <c r="S25" s="116">
        <v>1872400</v>
      </c>
      <c r="T25" s="130">
        <f t="shared" si="1"/>
        <v>1.4634351634266183</v>
      </c>
      <c r="U25" s="85">
        <f>Q23+Q24+Q25</f>
        <v>6845529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213967.63157894736</v>
      </c>
      <c r="G26" s="90">
        <f t="shared" ref="G26" si="5">F26/F25-1</f>
        <v>0.48364351258477667</v>
      </c>
      <c r="H26" s="90">
        <f t="shared" ref="H26" si="6">F26/F14-1</f>
        <v>1.1430092890496457E-2</v>
      </c>
      <c r="I26" s="130">
        <f t="shared" si="0"/>
        <v>1.5420651854380625</v>
      </c>
      <c r="J26" s="130">
        <f t="shared" si="4"/>
        <v>-1.2617184369468126E-2</v>
      </c>
      <c r="L26" s="90"/>
      <c r="M26" s="90"/>
      <c r="P26" s="129" t="s">
        <v>312</v>
      </c>
      <c r="Q26" s="116">
        <v>4065385</v>
      </c>
      <c r="R26" s="116">
        <v>5476139162</v>
      </c>
      <c r="S26" s="116">
        <v>2636325</v>
      </c>
      <c r="T26" s="130">
        <f t="shared" ref="T26" si="7">Q26/S26</f>
        <v>1.5420651854380625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98416.818181818177</v>
      </c>
      <c r="G27" s="90">
        <f t="shared" ref="G27" si="8">F27/F26-1</f>
        <v>-0.54003875513523436</v>
      </c>
      <c r="H27" s="90">
        <f t="shared" ref="H27" si="9">F27/F15-1</f>
        <v>-0.44414136339235588</v>
      </c>
      <c r="I27" s="130">
        <f t="shared" si="0"/>
        <v>1.5711725178874649</v>
      </c>
      <c r="J27" s="130">
        <f t="shared" si="4"/>
        <v>-2.6440733201316124E-4</v>
      </c>
      <c r="L27" s="90"/>
      <c r="M27" s="90"/>
      <c r="P27" s="129" t="s">
        <v>382</v>
      </c>
      <c r="Q27" s="116">
        <v>2165170</v>
      </c>
      <c r="R27" s="116">
        <v>2892322962</v>
      </c>
      <c r="S27" s="116">
        <v>1378060</v>
      </c>
      <c r="T27" s="130">
        <f t="shared" ref="T27" si="10">Q27/S27</f>
        <v>1.5711725178874649</v>
      </c>
      <c r="U27" s="78"/>
    </row>
    <row r="28" spans="1:21" s="79" customFormat="1" ht="13.2" hidden="1">
      <c r="A28" s="123" t="s">
        <v>415</v>
      </c>
      <c r="B28" s="131">
        <f>SUM(F26:F28)</f>
        <v>409235.66028708132</v>
      </c>
      <c r="C28" s="131">
        <f>AVERAGE(F26:F28)</f>
        <v>136411.88676236043</v>
      </c>
      <c r="D28" s="90">
        <f>C28/C25-1</f>
        <v>0.22278021591250985</v>
      </c>
      <c r="E28" s="286">
        <f>C28/C16-1</f>
        <v>-0.18484695995834599</v>
      </c>
      <c r="F28" s="78">
        <f>Q28/19</f>
        <v>96851.210526315786</v>
      </c>
      <c r="G28" s="90">
        <f t="shared" ref="G28" si="11">F28/F27-1</f>
        <v>-1.5907927978427883E-2</v>
      </c>
      <c r="H28" s="90">
        <f t="shared" ref="H28" si="12">F28/F16-1</f>
        <v>-0.14617451066879938</v>
      </c>
      <c r="I28" s="130">
        <f t="shared" si="0"/>
        <v>1.646039143424513</v>
      </c>
      <c r="J28" s="130">
        <f t="shared" si="4"/>
        <v>1.8424560811059143E-2</v>
      </c>
      <c r="K28" s="79">
        <f>R26+R27+R28</f>
        <v>10767633535</v>
      </c>
      <c r="L28" s="102">
        <f>U28/U25-1</f>
        <v>0.17897798694593225</v>
      </c>
      <c r="M28" s="90">
        <f>U28/U16-1</f>
        <v>-0.24016457285142956</v>
      </c>
      <c r="N28" s="88">
        <f>AVERAGE(T26:T28)</f>
        <v>1.5864256155833469</v>
      </c>
      <c r="O28" s="91">
        <f>N28/N25-1</f>
        <v>8.2322818102015027E-2</v>
      </c>
      <c r="P28" s="129" t="s">
        <v>418</v>
      </c>
      <c r="Q28" s="116">
        <v>1840173</v>
      </c>
      <c r="R28" s="116">
        <v>2399171411</v>
      </c>
      <c r="S28" s="116">
        <v>1117940</v>
      </c>
      <c r="T28" s="130">
        <f t="shared" ref="T28" si="13">Q28/S28</f>
        <v>1.646039143424513</v>
      </c>
      <c r="U28" s="85">
        <f>Q26+Q27+Q28</f>
        <v>8070728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108604.09090909091</v>
      </c>
      <c r="G29" s="190">
        <f t="shared" ref="G29" si="14">F29/F28-1</f>
        <v>0.12134985529769615</v>
      </c>
      <c r="H29" s="190">
        <f t="shared" ref="H29" si="15">F29/F17-1</f>
        <v>-0.24399760601931419</v>
      </c>
      <c r="I29" s="130">
        <f t="shared" si="0"/>
        <v>1.6537167201786849</v>
      </c>
      <c r="J29" s="130">
        <f t="shared" si="4"/>
        <v>8.7671705298379976E-3</v>
      </c>
      <c r="K29" s="193"/>
      <c r="L29" s="190"/>
      <c r="M29" s="190"/>
      <c r="N29" s="191"/>
      <c r="O29" s="192"/>
      <c r="P29" s="129" t="s">
        <v>427</v>
      </c>
      <c r="Q29" s="116">
        <v>2389290</v>
      </c>
      <c r="R29" s="116">
        <v>3136442891</v>
      </c>
      <c r="S29" s="116">
        <v>1444800.05</v>
      </c>
      <c r="T29" s="130">
        <f t="shared" ref="T29" si="16">Q29/S29</f>
        <v>1.6537167201786849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94091.105263157893</v>
      </c>
      <c r="G30" s="190">
        <f t="shared" ref="G30" si="17">F30/F29-1</f>
        <v>-0.13363203470927609</v>
      </c>
      <c r="H30" s="190">
        <f t="shared" ref="H30" si="18">F30/F18-1</f>
        <v>-0.32529027262600996</v>
      </c>
      <c r="I30" s="130">
        <f t="shared" si="0"/>
        <v>1.718344242311999</v>
      </c>
      <c r="J30" s="130">
        <f t="shared" si="4"/>
        <v>6.2495016149472615E-2</v>
      </c>
      <c r="K30" s="193"/>
      <c r="L30" s="190"/>
      <c r="M30" s="190"/>
      <c r="N30" s="191"/>
      <c r="O30" s="192"/>
      <c r="P30" s="129" t="s">
        <v>466</v>
      </c>
      <c r="Q30" s="116">
        <v>1787731</v>
      </c>
      <c r="R30" s="116">
        <v>2382262486</v>
      </c>
      <c r="S30" s="116">
        <v>1040380.01</v>
      </c>
      <c r="T30" s="130">
        <f t="shared" ref="T30" si="19">Q30/S30</f>
        <v>1.718344242311999</v>
      </c>
      <c r="U30" s="85"/>
    </row>
    <row r="31" spans="1:21" s="79" customFormat="1" ht="13.2" hidden="1">
      <c r="A31" s="129" t="s">
        <v>505</v>
      </c>
      <c r="B31" s="188">
        <f>SUM(F29:F31)</f>
        <v>292885.64617224882</v>
      </c>
      <c r="C31" s="188">
        <f>AVERAGE(F29:F31)</f>
        <v>97628.548724082939</v>
      </c>
      <c r="D31" s="190">
        <f>C31/C28-1</f>
        <v>-0.28431054623444163</v>
      </c>
      <c r="E31" s="287">
        <f>C31/C19-1</f>
        <v>-0.15089308966159054</v>
      </c>
      <c r="F31" s="136">
        <f>Q31/20</f>
        <v>90190.45</v>
      </c>
      <c r="G31" s="190">
        <f t="shared" ref="G31" si="20">F31/F30-1</f>
        <v>-4.145615307895878E-2</v>
      </c>
      <c r="H31" s="190">
        <f t="shared" ref="H31" si="21">F31/F19-1</f>
        <v>0.45883015078037004</v>
      </c>
      <c r="I31" s="130">
        <f t="shared" si="0"/>
        <v>1.7454667731088371</v>
      </c>
      <c r="J31" s="130">
        <f t="shared" si="4"/>
        <v>5.8285255200410058E-2</v>
      </c>
      <c r="K31" s="193">
        <f>R29+R30+R31</f>
        <v>7910075456</v>
      </c>
      <c r="L31" s="190">
        <f>U31/U28-1</f>
        <v>-0.25894789168957244</v>
      </c>
      <c r="M31" s="190">
        <f>U31/U19-1</f>
        <v>-0.1483117481209566</v>
      </c>
      <c r="N31" s="191">
        <f>AVERAGE(T29:T31)</f>
        <v>1.7058425785331737</v>
      </c>
      <c r="O31" s="192">
        <f>N31/N28-1</f>
        <v>7.5274227657951442E-2</v>
      </c>
      <c r="P31" s="129" t="s">
        <v>505</v>
      </c>
      <c r="Q31" s="116">
        <v>1803809</v>
      </c>
      <c r="R31" s="116">
        <v>2391370079</v>
      </c>
      <c r="S31" s="116">
        <v>1033425</v>
      </c>
      <c r="T31" s="130">
        <f t="shared" ref="T31" si="22">Q31/S31</f>
        <v>1.7454667731088371</v>
      </c>
      <c r="U31" s="85">
        <f>Q29+Q30+Q31</f>
        <v>5980830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49078.285714285717</v>
      </c>
      <c r="G32" s="190">
        <f t="shared" ref="G32" si="23">F32/F31-1</f>
        <v>-0.45583722318398767</v>
      </c>
      <c r="H32" s="190">
        <f t="shared" ref="H32" si="24">F32/F20-1</f>
        <v>-0.31265263706937618</v>
      </c>
      <c r="I32" s="130">
        <f t="shared" si="0"/>
        <v>1.8110065347027704</v>
      </c>
      <c r="J32" s="130">
        <f t="shared" si="4"/>
        <v>9.0671697600128942E-2</v>
      </c>
      <c r="K32" s="193"/>
      <c r="L32" s="190"/>
      <c r="M32" s="190"/>
      <c r="N32" s="191"/>
      <c r="O32" s="192"/>
      <c r="P32" s="129" t="s">
        <v>562</v>
      </c>
      <c r="Q32" s="116">
        <v>1030644</v>
      </c>
      <c r="R32" s="116">
        <v>1392403266</v>
      </c>
      <c r="S32" s="116">
        <v>569100.1</v>
      </c>
      <c r="T32" s="130">
        <f t="shared" ref="T32" si="25">Q32/S32</f>
        <v>1.8110065347027704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63945.666666666664</v>
      </c>
      <c r="G33" s="190">
        <f t="shared" ref="G33" si="26">F33/F32-1</f>
        <v>0.30293195322536182</v>
      </c>
      <c r="H33" s="190">
        <f t="shared" ref="H33" si="27">F33/F21-1</f>
        <v>-0.18981497123329982</v>
      </c>
      <c r="I33" s="130">
        <f t="shared" si="0"/>
        <v>1.8080212946145466</v>
      </c>
      <c r="J33" s="130">
        <f t="shared" si="4"/>
        <v>0.15535341471417108</v>
      </c>
      <c r="K33" s="193"/>
      <c r="L33" s="190"/>
      <c r="M33" s="190"/>
      <c r="N33" s="191"/>
      <c r="O33" s="192"/>
      <c r="P33" s="129" t="s">
        <v>607</v>
      </c>
      <c r="Q33" s="116">
        <v>1342859</v>
      </c>
      <c r="R33" s="116">
        <v>1837752695</v>
      </c>
      <c r="S33" s="116">
        <v>742723</v>
      </c>
      <c r="T33" s="130">
        <f t="shared" ref="T33" si="28">Q33/S33</f>
        <v>1.8080212946145466</v>
      </c>
      <c r="U33" s="85"/>
    </row>
    <row r="34" spans="1:21" s="79" customFormat="1" ht="13.2" hidden="1">
      <c r="A34" s="129" t="s">
        <v>652</v>
      </c>
      <c r="B34" s="188">
        <f>SUM(F32:F34)</f>
        <v>138216.16290726818</v>
      </c>
      <c r="C34" s="188">
        <f>AVERAGE(F32:F34)</f>
        <v>46072.05430242273</v>
      </c>
      <c r="D34" s="190">
        <f>C34/C31-1</f>
        <v>-0.5280883009678734</v>
      </c>
      <c r="E34" s="287">
        <f>C34/C22-1</f>
        <v>-0.46991704655913635</v>
      </c>
      <c r="F34" s="136">
        <f>Q34/19</f>
        <v>25192.21052631579</v>
      </c>
      <c r="G34" s="190">
        <f t="shared" ref="G34" si="29">F34/F33-1</f>
        <v>-0.60603725256886121</v>
      </c>
      <c r="H34" s="190">
        <f t="shared" ref="H34" si="30">F34/F22-1</f>
        <v>-0.77184009677254384</v>
      </c>
      <c r="I34" s="130">
        <f t="shared" si="0"/>
        <v>1.8971541815299247</v>
      </c>
      <c r="J34" s="130">
        <f t="shared" si="4"/>
        <v>0.22109359509996018</v>
      </c>
      <c r="K34" s="193">
        <f>R32+R33+R34</f>
        <v>3888071145</v>
      </c>
      <c r="L34" s="190">
        <f>U34/U31-1</f>
        <v>-0.52311719276421498</v>
      </c>
      <c r="M34" s="190">
        <f>U34/U22-1</f>
        <v>-0.47223656284058968</v>
      </c>
      <c r="N34" s="191">
        <f>AVERAGE(T32:T34)</f>
        <v>1.8387273369490806</v>
      </c>
      <c r="O34" s="192">
        <f>N34/N31-1</f>
        <v>7.7899778143756038E-2</v>
      </c>
      <c r="P34" s="129" t="s">
        <v>652</v>
      </c>
      <c r="Q34" s="116">
        <v>478652</v>
      </c>
      <c r="R34" s="116">
        <v>657915184</v>
      </c>
      <c r="S34" s="116">
        <v>252300</v>
      </c>
      <c r="T34" s="130">
        <f t="shared" ref="T34" si="31">Q34/S34</f>
        <v>1.8971541815299247</v>
      </c>
      <c r="U34" s="85">
        <f>Q32+Q33+Q34</f>
        <v>2852155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189076.17391304349</v>
      </c>
      <c r="G35" s="190">
        <f t="shared" ref="G35" si="32">F35/F34-1</f>
        <v>6.5053427215342801</v>
      </c>
      <c r="H35" s="190">
        <f t="shared" ref="H35" si="33">F35/F23-1</f>
        <v>1.2323469679939425</v>
      </c>
      <c r="I35" s="130">
        <f t="shared" si="0"/>
        <v>1.5250083189406629</v>
      </c>
      <c r="J35" s="130">
        <f t="shared" si="4"/>
        <v>3.7526194771866139E-2</v>
      </c>
      <c r="K35" s="193"/>
      <c r="L35" s="190"/>
      <c r="M35" s="190"/>
      <c r="N35" s="191"/>
      <c r="O35" s="192"/>
      <c r="P35" s="129" t="s">
        <v>660</v>
      </c>
      <c r="Q35" s="116">
        <v>4348752</v>
      </c>
      <c r="R35" s="116">
        <v>6021731420</v>
      </c>
      <c r="S35" s="116">
        <v>2851625.1</v>
      </c>
      <c r="T35" s="130">
        <f t="shared" ref="T35" si="34">Q35/S35</f>
        <v>1.5250083189406629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181985.71428571429</v>
      </c>
      <c r="G36" s="190">
        <f t="shared" ref="G36" si="35">F36/F35-1</f>
        <v>-3.7500545312441735E-2</v>
      </c>
      <c r="H36" s="190">
        <f t="shared" ref="H36" si="36">F36/F24-1</f>
        <v>0.72073720478840642</v>
      </c>
      <c r="I36" s="130">
        <f t="shared" si="0"/>
        <v>1.6828084235092085</v>
      </c>
      <c r="J36" s="130">
        <f t="shared" si="4"/>
        <v>0.14946342899877285</v>
      </c>
      <c r="K36" s="193"/>
      <c r="L36" s="190"/>
      <c r="M36" s="190"/>
      <c r="N36" s="191"/>
      <c r="O36" s="192"/>
      <c r="P36" s="129" t="s">
        <v>666</v>
      </c>
      <c r="Q36" s="116">
        <v>3821700</v>
      </c>
      <c r="R36" s="116">
        <v>5230911065</v>
      </c>
      <c r="S36" s="116">
        <v>2271025</v>
      </c>
      <c r="T36" s="130">
        <f t="shared" ref="T36" si="37">Q36/S36</f>
        <v>1.6828084235092085</v>
      </c>
      <c r="U36" s="85"/>
    </row>
    <row r="37" spans="1:21" s="79" customFormat="1" ht="13.2" hidden="1">
      <c r="A37" s="129" t="s">
        <v>702</v>
      </c>
      <c r="B37" s="188">
        <f>SUM(F35:F37)</f>
        <v>534827.9993098689</v>
      </c>
      <c r="C37" s="188">
        <f>AVERAGE(F35:F37)</f>
        <v>178275.99976995631</v>
      </c>
      <c r="D37" s="190">
        <f>C37/C34-1</f>
        <v>2.8695040294867327</v>
      </c>
      <c r="E37" s="287">
        <f>C37/C25-1</f>
        <v>0.59804523392073961</v>
      </c>
      <c r="F37" s="136">
        <f>Q37/18</f>
        <v>163766.11111111112</v>
      </c>
      <c r="G37" s="190">
        <f t="shared" ref="G37" si="38">F37/F36-1</f>
        <v>-0.10011556811541111</v>
      </c>
      <c r="H37" s="190">
        <f t="shared" ref="H37" si="39">F37/F25-1</f>
        <v>0.13554805714428464</v>
      </c>
      <c r="I37" s="130">
        <f t="shared" si="0"/>
        <v>1.7988917841908376</v>
      </c>
      <c r="J37" s="130">
        <f t="shared" si="4"/>
        <v>0.22922547520229819</v>
      </c>
      <c r="K37" s="193">
        <f>R35+R36+R37</f>
        <v>15190023967</v>
      </c>
      <c r="L37" s="190">
        <f>U37/U34-1</f>
        <v>2.8981899651316287</v>
      </c>
      <c r="M37" s="190">
        <f>U37/U25-1</f>
        <v>0.62416111304181165</v>
      </c>
      <c r="N37" s="191">
        <f>AVERAGE(T35:T37)</f>
        <v>1.6689028422135699</v>
      </c>
      <c r="O37" s="192">
        <f>N37/N34-1</f>
        <v>-9.2359803067535329E-2</v>
      </c>
      <c r="P37" s="129" t="s">
        <v>702</v>
      </c>
      <c r="Q37" s="116">
        <v>2947790</v>
      </c>
      <c r="R37" s="116">
        <v>3937381482</v>
      </c>
      <c r="S37" s="116">
        <v>1638670</v>
      </c>
      <c r="T37" s="130">
        <f t="shared" ref="T37" si="40">Q37/S37</f>
        <v>1.7988917841908376</v>
      </c>
      <c r="U37" s="85">
        <f>Q35+Q36+Q37</f>
        <v>11118242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136517.85</v>
      </c>
      <c r="G38" s="190">
        <f t="shared" ref="G38" si="41">F38/F37-1</f>
        <v>-0.16638522418489787</v>
      </c>
      <c r="H38" s="190">
        <f t="shared" ref="H38" si="42">F38/F26-1</f>
        <v>-0.36196961665377325</v>
      </c>
      <c r="I38" s="130">
        <f t="shared" si="0"/>
        <v>1.7586612888296904</v>
      </c>
      <c r="J38" s="130">
        <f t="shared" si="4"/>
        <v>0.1404584614431188</v>
      </c>
      <c r="K38" s="193"/>
      <c r="L38" s="190"/>
      <c r="M38" s="190"/>
      <c r="N38" s="191"/>
      <c r="O38" s="192"/>
      <c r="P38" s="129" t="s">
        <v>727</v>
      </c>
      <c r="Q38" s="116">
        <v>2730357</v>
      </c>
      <c r="R38" s="116">
        <v>3700642324</v>
      </c>
      <c r="S38" s="116">
        <v>1552520.1</v>
      </c>
      <c r="T38" s="130">
        <f t="shared" ref="T38" si="43">Q38/S38</f>
        <v>1.7586612888296904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291639.04761904763</v>
      </c>
      <c r="G39" s="190">
        <f t="shared" ref="G39" si="44">F39/F38-1</f>
        <v>1.1362704409646622</v>
      </c>
      <c r="H39" s="190">
        <f t="shared" ref="H39" si="45">F39/F27-1</f>
        <v>1.9633049818808908</v>
      </c>
      <c r="I39" s="130">
        <f t="shared" si="0"/>
        <v>1.6629431314623337</v>
      </c>
      <c r="J39" s="130">
        <f t="shared" si="4"/>
        <v>5.840899871279559E-2</v>
      </c>
      <c r="K39" s="193"/>
      <c r="L39" s="190"/>
      <c r="M39" s="190"/>
      <c r="N39" s="191"/>
      <c r="O39" s="192"/>
      <c r="P39" s="129" t="s">
        <v>762</v>
      </c>
      <c r="Q39" s="116">
        <v>6124420</v>
      </c>
      <c r="R39" s="116">
        <v>8528172284</v>
      </c>
      <c r="S39" s="116">
        <v>3682880</v>
      </c>
      <c r="T39" s="130">
        <f t="shared" ref="T39" si="46">Q39/S39</f>
        <v>1.6629431314623337</v>
      </c>
      <c r="U39" s="85"/>
    </row>
    <row r="40" spans="1:21" s="79" customFormat="1" ht="13.2" hidden="1">
      <c r="A40" s="129" t="s">
        <v>778</v>
      </c>
      <c r="B40" s="188">
        <f>SUM(F38:F40)</f>
        <v>710692.56428571441</v>
      </c>
      <c r="C40" s="188">
        <f>AVERAGE(F38:F40)</f>
        <v>236897.52142857146</v>
      </c>
      <c r="D40" s="190">
        <f>C40/C37-1</f>
        <v>0.32882452901264991</v>
      </c>
      <c r="E40" s="287">
        <f>C40/C28-1</f>
        <v>0.73663400639904952</v>
      </c>
      <c r="F40" s="136">
        <f>Q40/21</f>
        <v>282535.66666666669</v>
      </c>
      <c r="G40" s="190">
        <f t="shared" ref="G40" si="47">F40/F39-1</f>
        <v>-3.1214547663288905E-2</v>
      </c>
      <c r="H40" s="190">
        <f t="shared" ref="H40" si="48">F40/F28-1</f>
        <v>1.9172135808245567</v>
      </c>
      <c r="I40" s="130">
        <f t="shared" si="0"/>
        <v>1.7045598581939261</v>
      </c>
      <c r="J40" s="130">
        <f t="shared" si="4"/>
        <v>3.5552444182866294E-2</v>
      </c>
      <c r="K40" s="193">
        <f>R38+R39+R40</f>
        <v>20697753326</v>
      </c>
      <c r="L40" s="190">
        <f>U40/U37-1</f>
        <v>0.33006872849142876</v>
      </c>
      <c r="M40" s="190">
        <f>U40/U28-1</f>
        <v>0.8323038516475838</v>
      </c>
      <c r="N40" s="191">
        <f>AVERAGE(T38:T40)</f>
        <v>1.7087214261619834</v>
      </c>
      <c r="O40" s="192">
        <f>N40/N37-1</f>
        <v>2.385913843588372E-2</v>
      </c>
      <c r="P40" s="129" t="s">
        <v>778</v>
      </c>
      <c r="Q40" s="116">
        <v>5933249</v>
      </c>
      <c r="R40" s="116">
        <v>8468938718</v>
      </c>
      <c r="S40" s="116">
        <v>3480810</v>
      </c>
      <c r="T40" s="130">
        <f t="shared" ref="T40" si="49">Q40/S40</f>
        <v>1.7045598581939261</v>
      </c>
      <c r="U40" s="85">
        <f>Q38+Q39+Q40</f>
        <v>14788026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419999.5</v>
      </c>
      <c r="G41" s="190">
        <f t="shared" ref="G41" si="50">F41/F40-1</f>
        <v>0.48653621312707407</v>
      </c>
      <c r="H41" s="190">
        <f t="shared" ref="H41" si="51">F41/F29-1</f>
        <v>2.8672530333278923</v>
      </c>
      <c r="I41" s="130">
        <f t="shared" si="0"/>
        <v>1.8036265820519854</v>
      </c>
      <c r="J41" s="130">
        <f t="shared" si="4"/>
        <v>9.0650266786383327E-2</v>
      </c>
      <c r="K41" s="193"/>
      <c r="L41" s="190"/>
      <c r="M41" s="190"/>
      <c r="N41" s="193"/>
      <c r="O41" s="193"/>
      <c r="P41" s="129" t="s">
        <v>792</v>
      </c>
      <c r="Q41" s="116">
        <v>7559991</v>
      </c>
      <c r="R41" s="116">
        <v>11052130841</v>
      </c>
      <c r="S41" s="116">
        <v>4191550</v>
      </c>
      <c r="T41" s="130">
        <f t="shared" ref="T41" si="52">Q41/S41</f>
        <v>1.8036265820519854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Q42/6</f>
        <v>2395338.1666666665</v>
      </c>
      <c r="G42" s="190">
        <f t="shared" ref="G42" si="53">F42/F41-1</f>
        <v>4.703192900626469</v>
      </c>
      <c r="H42" s="190">
        <f t="shared" ref="H42" si="54">F42/F30-1</f>
        <v>24.457647244840899</v>
      </c>
      <c r="I42" s="130">
        <f t="shared" si="0"/>
        <v>2.0361307643266984</v>
      </c>
      <c r="J42" s="130">
        <f t="shared" si="4"/>
        <v>0.1849376360042525</v>
      </c>
      <c r="K42" s="193"/>
      <c r="L42" s="190"/>
      <c r="M42" s="190"/>
      <c r="N42" s="193"/>
      <c r="O42" s="193"/>
      <c r="P42" s="129" t="s">
        <v>826</v>
      </c>
      <c r="Q42" s="116">
        <v>14372029</v>
      </c>
      <c r="R42" s="116">
        <v>20783136503</v>
      </c>
      <c r="S42" s="116">
        <v>7058500</v>
      </c>
      <c r="T42" s="130">
        <f t="shared" ref="T42" si="55">Q42/S42</f>
        <v>2.0361307643266984</v>
      </c>
      <c r="U42" s="78"/>
    </row>
    <row r="43" spans="1:21" s="79" customFormat="1" ht="13.2">
      <c r="A43" s="129" t="s">
        <v>835</v>
      </c>
      <c r="B43" s="188">
        <f>SUM(F41:F43)</f>
        <v>3574733.8166666664</v>
      </c>
      <c r="C43" s="188">
        <f>AVERAGE(F41:F43)</f>
        <v>1191577.9388888888</v>
      </c>
      <c r="D43" s="190">
        <f>C43/C40-1</f>
        <v>4.0299299532695594</v>
      </c>
      <c r="E43" s="287">
        <f>C43/C31-1</f>
        <v>11.205220239998827</v>
      </c>
      <c r="F43" s="136">
        <f>Q43/20</f>
        <v>759396.15</v>
      </c>
      <c r="G43" s="190">
        <f t="shared" ref="G43" si="56">F43/F42-1</f>
        <v>-0.68296912704531842</v>
      </c>
      <c r="H43" s="190">
        <f t="shared" ref="H43" si="57">F43/F31-1</f>
        <v>7.419917518983441</v>
      </c>
      <c r="I43" s="130">
        <f t="shared" si="0"/>
        <v>2.243945836534484</v>
      </c>
      <c r="J43" s="130">
        <f t="shared" si="4"/>
        <v>0.28558496277635226</v>
      </c>
      <c r="K43" s="193">
        <f>R41+R42+R43</f>
        <v>53865099614</v>
      </c>
      <c r="L43" s="190">
        <f>U43/U40-1</f>
        <v>1.5101350917289436</v>
      </c>
      <c r="M43" s="190">
        <f>K43/K31-1</f>
        <v>5.8096821469815323</v>
      </c>
      <c r="N43" s="191">
        <f>AVERAGE(T41:T43)</f>
        <v>2.0279010609710557</v>
      </c>
      <c r="O43" s="192">
        <f>N43/N40-1</f>
        <v>0.18679442413617564</v>
      </c>
      <c r="P43" s="129" t="s">
        <v>835</v>
      </c>
      <c r="Q43" s="116">
        <v>15187923</v>
      </c>
      <c r="R43" s="116">
        <v>22029832270</v>
      </c>
      <c r="S43" s="116">
        <v>6768400</v>
      </c>
      <c r="T43" s="130">
        <f t="shared" ref="T43" si="58">Q43/S43</f>
        <v>2.243945836534484</v>
      </c>
      <c r="U43" s="85">
        <f>Q41+Q42+Q43</f>
        <v>37119943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423433.63636363635</v>
      </c>
      <c r="G44" s="190">
        <f t="shared" ref="G44" si="59">F44/F43-1</f>
        <v>-0.44240744917703845</v>
      </c>
      <c r="H44" s="190">
        <f t="shared" ref="H44" si="60">F44/F32-1</f>
        <v>7.6277185562001648</v>
      </c>
      <c r="I44" s="130">
        <f t="shared" si="0"/>
        <v>2.1907577254127277</v>
      </c>
      <c r="J44" s="130">
        <f t="shared" si="4"/>
        <v>0.20969067942777109</v>
      </c>
      <c r="K44" s="193"/>
      <c r="L44" s="190"/>
      <c r="M44" s="190"/>
      <c r="N44" s="191"/>
      <c r="O44" s="192"/>
      <c r="P44" s="129" t="s">
        <v>843</v>
      </c>
      <c r="Q44" s="116">
        <v>9315540</v>
      </c>
      <c r="R44" s="116">
        <v>13514919538</v>
      </c>
      <c r="S44" s="116">
        <v>4252200</v>
      </c>
      <c r="T44" s="130">
        <f t="shared" ref="T44" si="61">Q44/S44</f>
        <v>2.1907577254127277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357370.35</v>
      </c>
      <c r="G45" s="190">
        <f t="shared" ref="G45" si="62">F45/F44-1</f>
        <v>-0.15601804082211024</v>
      </c>
      <c r="H45" s="190">
        <f t="shared" ref="H45" si="63">F45/F33-1</f>
        <v>4.5886562550498597</v>
      </c>
      <c r="I45" s="130">
        <f t="shared" si="0"/>
        <v>1.9088766925727105</v>
      </c>
      <c r="J45" s="130">
        <f t="shared" si="4"/>
        <v>5.5782195850555771E-2</v>
      </c>
      <c r="K45" s="193"/>
      <c r="L45" s="190"/>
      <c r="M45" s="190"/>
      <c r="N45" s="191"/>
      <c r="O45" s="192"/>
      <c r="P45" s="129" t="s">
        <v>885</v>
      </c>
      <c r="Q45" s="116">
        <v>7147407</v>
      </c>
      <c r="R45" s="116">
        <v>10060196362</v>
      </c>
      <c r="S45" s="116">
        <v>3744300</v>
      </c>
      <c r="T45" s="130">
        <f t="shared" ref="T45" si="64">Q45/S45</f>
        <v>1.9088766925727105</v>
      </c>
      <c r="U45" s="85"/>
    </row>
    <row r="46" spans="1:21" s="79" customFormat="1" ht="13.2">
      <c r="A46" s="129" t="s">
        <v>893</v>
      </c>
      <c r="B46" s="188">
        <f>SUM(F44:F46)</f>
        <v>877801.35478468891</v>
      </c>
      <c r="C46" s="188">
        <f>AVERAGE(F44:F46)</f>
        <v>292600.45159489632</v>
      </c>
      <c r="D46" s="190">
        <f>C46/C43-1</f>
        <v>-0.75444287608434779</v>
      </c>
      <c r="E46" s="287">
        <f>C46/C34-1</f>
        <v>5.3509312971857161</v>
      </c>
      <c r="F46" s="136">
        <f>Q46/19</f>
        <v>96997.368421052626</v>
      </c>
      <c r="G46" s="190">
        <f t="shared" ref="G46" si="65">F46/F45-1</f>
        <v>-0.7285802573687139</v>
      </c>
      <c r="H46" s="190">
        <f t="shared" ref="H46" si="66">F46/F34-1</f>
        <v>2.8502920702305641</v>
      </c>
      <c r="I46" s="130">
        <f t="shared" si="0"/>
        <v>1.8481246195660617</v>
      </c>
      <c r="J46" s="130">
        <f t="shared" si="4"/>
        <v>-2.5843741347539861E-2</v>
      </c>
      <c r="K46" s="193">
        <f>R44+R45+R46</f>
        <v>26097772180</v>
      </c>
      <c r="L46" s="190">
        <f>U46/U43-1</f>
        <v>-0.50684468992853793</v>
      </c>
      <c r="M46" s="190">
        <f>K46/K34-1</f>
        <v>5.7122671388257222</v>
      </c>
      <c r="N46" s="191">
        <f>AVERAGE(T44:T46)</f>
        <v>1.9825863458505</v>
      </c>
      <c r="O46" s="192">
        <f>N46/N43-1</f>
        <v>-2.2345624247988138E-2</v>
      </c>
      <c r="P46" s="129" t="s">
        <v>888</v>
      </c>
      <c r="Q46" s="116">
        <v>1842950</v>
      </c>
      <c r="R46" s="116">
        <v>2522656280</v>
      </c>
      <c r="S46" s="116">
        <v>997200.07</v>
      </c>
      <c r="T46" s="130">
        <f t="shared" ref="T46" si="67">Q46/S46</f>
        <v>1.8481246195660617</v>
      </c>
      <c r="U46" s="85">
        <f t="shared" ref="U46:U51" si="68">Q44+Q45+Q46</f>
        <v>18305897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48513.478260869568</v>
      </c>
      <c r="G47" s="190">
        <f t="shared" ref="G47" si="69">F47/F46-1</f>
        <v>-0.49984747987925782</v>
      </c>
      <c r="H47" s="190">
        <f t="shared" ref="H47" si="70">F47/F35-1</f>
        <v>-0.74341834162996645</v>
      </c>
      <c r="I47" s="130">
        <f t="shared" si="0"/>
        <v>1.9156356997608737</v>
      </c>
      <c r="J47" s="130">
        <f t="shared" si="4"/>
        <v>0.25614770488042815</v>
      </c>
      <c r="K47" s="193"/>
      <c r="L47" s="190"/>
      <c r="M47" s="190"/>
      <c r="N47" s="191"/>
      <c r="O47" s="192"/>
      <c r="P47" s="129" t="s">
        <v>1029</v>
      </c>
      <c r="Q47" s="116">
        <v>1115810</v>
      </c>
      <c r="R47" s="116">
        <v>1528667514</v>
      </c>
      <c r="S47" s="116">
        <v>582475.05000000005</v>
      </c>
      <c r="T47" s="130">
        <f t="shared" ref="T47" si="71">Q47/S47</f>
        <v>1.9156356997608737</v>
      </c>
      <c r="U47" s="85">
        <f t="shared" si="68"/>
        <v>10106167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68536.649999999994</v>
      </c>
      <c r="G48" s="190">
        <f t="shared" ref="G48" si="72">F48/F47-1</f>
        <v>0.41273420205949019</v>
      </c>
      <c r="H48" s="190">
        <f t="shared" ref="H48" si="73">F48/F36-1</f>
        <v>-0.62339543920244922</v>
      </c>
      <c r="I48" s="130">
        <f t="shared" si="0"/>
        <v>1.9003643559733321</v>
      </c>
      <c r="J48" s="130">
        <f t="shared" si="4"/>
        <v>0.12928146152872699</v>
      </c>
      <c r="K48" s="193"/>
      <c r="L48" s="190"/>
      <c r="M48" s="190"/>
      <c r="N48" s="191"/>
      <c r="O48" s="192"/>
      <c r="P48" s="129" t="s">
        <v>1120</v>
      </c>
      <c r="Q48" s="116">
        <v>1370733</v>
      </c>
      <c r="R48" s="116">
        <v>1901787935</v>
      </c>
      <c r="S48" s="116">
        <v>721300.1</v>
      </c>
      <c r="T48" s="130">
        <f t="shared" ref="T48" si="74">Q48/S48</f>
        <v>1.9003643559733321</v>
      </c>
      <c r="U48" s="85">
        <f t="shared" si="68"/>
        <v>4329493</v>
      </c>
    </row>
    <row r="49" spans="1:26" ht="13.2">
      <c r="A49" s="129" t="s">
        <v>1158</v>
      </c>
      <c r="B49" s="188">
        <f>SUM(F47:F49)</f>
        <v>152217.53735177865</v>
      </c>
      <c r="C49" s="188">
        <f>AVERAGE(F47:F49)</f>
        <v>50739.179117259548</v>
      </c>
      <c r="D49" s="190">
        <f>C49/C46-1</f>
        <v>-0.82659227338614072</v>
      </c>
      <c r="E49" s="287">
        <f>C49/C37-1</f>
        <v>-0.71538973735818434</v>
      </c>
      <c r="F49" s="136">
        <f>Q49/22</f>
        <v>35167.409090909088</v>
      </c>
      <c r="G49" s="190">
        <f t="shared" ref="G49" si="75">F49/F48-1</f>
        <v>-0.48688170357160598</v>
      </c>
      <c r="H49" s="190">
        <f t="shared" ref="H49" si="76">F49/F37-1</f>
        <v>-0.78525832449517652</v>
      </c>
      <c r="I49" s="130">
        <f t="shared" si="0"/>
        <v>2.2576101546542167</v>
      </c>
      <c r="J49" s="130">
        <f t="shared" si="4"/>
        <v>0.25500053671639611</v>
      </c>
      <c r="K49" s="193">
        <f>R47+R48+R49</f>
        <v>4507348868</v>
      </c>
      <c r="L49" s="190">
        <f>U49/U46-1</f>
        <v>-0.82190296383728145</v>
      </c>
      <c r="M49" s="190">
        <f>K49/K37-1</f>
        <v>-0.7032691404706064</v>
      </c>
      <c r="N49" s="191">
        <f>AVERAGE(T47:T49)</f>
        <v>2.0245367367961404</v>
      </c>
      <c r="O49" s="192">
        <f>N49/N46-1</f>
        <v>2.1159426944224347E-2</v>
      </c>
      <c r="P49" s="129" t="s">
        <v>1158</v>
      </c>
      <c r="Q49" s="116">
        <v>773683</v>
      </c>
      <c r="R49" s="116">
        <v>1076893419</v>
      </c>
      <c r="S49" s="116">
        <v>342700</v>
      </c>
      <c r="T49" s="130">
        <f t="shared" ref="T49" si="77">Q49/S49</f>
        <v>2.2576101546542167</v>
      </c>
      <c r="U49" s="85">
        <f t="shared" si="68"/>
        <v>3260226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176246.72222222222</v>
      </c>
      <c r="G50" s="190">
        <f t="shared" ref="G50" si="78">F50/F49-1</f>
        <v>4.011649330396156</v>
      </c>
      <c r="H50" s="190">
        <f t="shared" ref="H50" si="79">F50/F38-1</f>
        <v>0.2910159530216907</v>
      </c>
      <c r="I50" s="130">
        <f t="shared" ref="I50" si="80">T50</f>
        <v>1.556796806831366</v>
      </c>
      <c r="J50" s="130">
        <f t="shared" ref="J50" si="81">I50/I38-1</f>
        <v>-0.11478303598338491</v>
      </c>
      <c r="K50" s="193"/>
      <c r="L50" s="190"/>
      <c r="M50" s="190"/>
      <c r="N50" s="191"/>
      <c r="O50" s="192"/>
      <c r="P50" s="129" t="s">
        <v>1367</v>
      </c>
      <c r="Q50" s="116">
        <v>3172441</v>
      </c>
      <c r="R50" s="116">
        <v>4472876969</v>
      </c>
      <c r="S50" s="116">
        <v>2037800.3</v>
      </c>
      <c r="T50" s="130">
        <f t="shared" ref="T50" si="82">Q50/S50</f>
        <v>1.556796806831366</v>
      </c>
      <c r="U50" s="85">
        <f t="shared" si="68"/>
        <v>5316857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177884.3</v>
      </c>
      <c r="G51" s="190">
        <f t="shared" ref="G51:G52" si="83">F51/F50-1</f>
        <v>9.2913942292385254E-3</v>
      </c>
      <c r="H51" s="190">
        <f t="shared" ref="H51:H52" si="84">F51/F39-1</f>
        <v>-0.39005321320222985</v>
      </c>
      <c r="I51" s="130">
        <f t="shared" ref="I51:I52" si="85">T51</f>
        <v>1.5387912229861374</v>
      </c>
      <c r="J51" s="130">
        <f t="shared" ref="J51:J52" si="86">I51/I39-1</f>
        <v>-7.4657939966366493E-2</v>
      </c>
      <c r="K51" s="193"/>
      <c r="L51" s="190"/>
      <c r="M51" s="190"/>
      <c r="N51" s="191"/>
      <c r="O51" s="192"/>
      <c r="P51" s="129" t="s">
        <v>1402</v>
      </c>
      <c r="Q51" s="116">
        <v>3557686</v>
      </c>
      <c r="R51" s="116">
        <v>5140475186</v>
      </c>
      <c r="S51" s="116">
        <v>2312000.4500000002</v>
      </c>
      <c r="T51" s="130">
        <f t="shared" ref="T51:T52" si="87">Q51/S51</f>
        <v>1.5387912229861374</v>
      </c>
      <c r="U51" s="85">
        <f t="shared" si="68"/>
        <v>7503810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541461.88585858583</v>
      </c>
      <c r="C52" s="188">
        <f>AVERAGE(F50:F52)</f>
        <v>180487.29528619527</v>
      </c>
      <c r="D52" s="190">
        <f>C52/C49-1</f>
        <v>2.5571583621619989</v>
      </c>
      <c r="E52" s="287">
        <f>C52/C40-1</f>
        <v>-0.2381207950264892</v>
      </c>
      <c r="F52" s="136">
        <f>Q52/22</f>
        <v>187330.86363636365</v>
      </c>
      <c r="G52" s="190">
        <f t="shared" si="83"/>
        <v>5.3105100542114592E-2</v>
      </c>
      <c r="H52" s="190">
        <f t="shared" si="84"/>
        <v>-0.33696560916900065</v>
      </c>
      <c r="I52" s="130">
        <f t="shared" si="85"/>
        <v>1.5782927253328514</v>
      </c>
      <c r="J52" s="130">
        <f t="shared" si="86"/>
        <v>-7.4076091991783555E-2</v>
      </c>
      <c r="K52" s="193">
        <f>R50+R51+R52</f>
        <v>15681859888</v>
      </c>
      <c r="L52" s="190">
        <f>U52/U49-1</f>
        <v>2.3284214039149433</v>
      </c>
      <c r="M52" s="190">
        <f>K52/K40-1</f>
        <v>-0.24233999502251102</v>
      </c>
      <c r="N52" s="191">
        <f>AVERAGE(T50:T52)</f>
        <v>1.557960251716785</v>
      </c>
      <c r="O52" s="192">
        <f>N52/N49-1</f>
        <v>-0.2304608637617116</v>
      </c>
      <c r="P52" s="129" t="s">
        <v>1403</v>
      </c>
      <c r="Q52" s="116">
        <v>4121279</v>
      </c>
      <c r="R52" s="116">
        <v>6068507733</v>
      </c>
      <c r="S52" s="116">
        <v>2611226</v>
      </c>
      <c r="T52" s="130">
        <f t="shared" si="87"/>
        <v>1.5782927253328514</v>
      </c>
      <c r="U52" s="85">
        <f t="shared" ref="U52" si="88">Q50+Q51+Q52</f>
        <v>10851406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286116.38095238095</v>
      </c>
      <c r="G53" s="190">
        <f t="shared" ref="G53" si="89">F53/F52-1</f>
        <v>0.52733177757496663</v>
      </c>
      <c r="H53" s="190">
        <f t="shared" ref="H53" si="90">F53/F41-1</f>
        <v>-0.31876971055351033</v>
      </c>
      <c r="I53" s="130">
        <f t="shared" ref="I53" si="91">T53</f>
        <v>1.4344412347506386</v>
      </c>
      <c r="J53" s="130">
        <f t="shared" ref="J53" si="92">I53/I41-1</f>
        <v>-0.20469056675873831</v>
      </c>
      <c r="K53" s="193"/>
      <c r="L53" s="190"/>
      <c r="M53" s="190"/>
      <c r="N53" s="191"/>
      <c r="O53" s="192"/>
      <c r="P53" s="129" t="s">
        <v>1414</v>
      </c>
      <c r="Q53" s="116">
        <v>6008444</v>
      </c>
      <c r="R53" s="116">
        <v>8793140071</v>
      </c>
      <c r="S53" s="116">
        <v>4188700</v>
      </c>
      <c r="T53" s="130">
        <f t="shared" ref="T53" si="93">Q53/S53</f>
        <v>1.4344412347506386</v>
      </c>
      <c r="U53" s="85">
        <f t="shared" ref="U53" si="94">Q51+Q52+Q53</f>
        <v>13687409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611461.23529411759</v>
      </c>
      <c r="G54" s="190">
        <f t="shared" ref="G54" si="95">F54/F53-1</f>
        <v>1.1371067020307537</v>
      </c>
      <c r="H54" s="190">
        <f t="shared" ref="H54" si="96">F54/F42-1</f>
        <v>-0.74472863840139025</v>
      </c>
      <c r="I54" s="130">
        <f t="shared" ref="I54" si="97">T54</f>
        <v>1.5087507795150166</v>
      </c>
      <c r="J54" s="130">
        <f t="shared" ref="J54" si="98">I54/I42-1</f>
        <v>-0.25901086219581493</v>
      </c>
      <c r="K54" s="193"/>
      <c r="L54" s="190"/>
      <c r="M54" s="190"/>
      <c r="N54" s="191"/>
      <c r="O54" s="192"/>
      <c r="P54" s="129" t="s">
        <v>1417</v>
      </c>
      <c r="Q54" s="116">
        <v>10394841</v>
      </c>
      <c r="R54" s="116">
        <v>15087552704</v>
      </c>
      <c r="S54" s="116">
        <v>6889700.5</v>
      </c>
      <c r="T54" s="130">
        <f t="shared" ref="T54" si="99">Q54/S54</f>
        <v>1.5087507795150166</v>
      </c>
      <c r="U54" s="85">
        <f t="shared" ref="U54" si="100">Q52+Q53+Q54</f>
        <v>20524564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1461713.806722689</v>
      </c>
      <c r="C55" s="188">
        <f>AVERAGE(F53:F55)</f>
        <v>487237.93557422963</v>
      </c>
      <c r="D55" s="190">
        <f>C55/C52-1</f>
        <v>1.6995691569405245</v>
      </c>
      <c r="E55" s="287">
        <f>C55/C43-1</f>
        <v>-0.59109855958850277</v>
      </c>
      <c r="F55" s="136">
        <f>Q55/21</f>
        <v>564136.19047619053</v>
      </c>
      <c r="G55" s="190">
        <f t="shared" ref="G55" si="101">F55/F54-1</f>
        <v>-7.7396639535396439E-2</v>
      </c>
      <c r="H55" s="190">
        <f t="shared" ref="H55" si="102">F55/F43-1</f>
        <v>-0.25712529557044694</v>
      </c>
      <c r="I55" s="130">
        <f>T55</f>
        <v>1.5623537789969273</v>
      </c>
      <c r="J55" s="130">
        <f t="shared" ref="J55" si="103">I55/I43-1</f>
        <v>-0.30374710763527035</v>
      </c>
      <c r="K55" s="193">
        <f>R53+R54+R55</f>
        <v>41293692920</v>
      </c>
      <c r="L55" s="190">
        <f>U55/U52-1</f>
        <v>1.603362642592121</v>
      </c>
      <c r="M55" s="190">
        <f>K55/K43-1</f>
        <v>-0.2333868642977982</v>
      </c>
      <c r="N55" s="191">
        <f>AVERAGE(T53:T55)</f>
        <v>1.5018485977541942</v>
      </c>
      <c r="O55" s="192">
        <f>N55/N52-1</f>
        <v>-3.6016101117316013E-2</v>
      </c>
      <c r="P55" s="129" t="s">
        <v>1418</v>
      </c>
      <c r="Q55" s="116">
        <v>11846860</v>
      </c>
      <c r="R55" s="116">
        <v>17413000145</v>
      </c>
      <c r="S55" s="116">
        <v>7582700</v>
      </c>
      <c r="T55" s="130">
        <f t="shared" ref="T55" si="104">Q55/S55</f>
        <v>1.5623537789969273</v>
      </c>
      <c r="U55" s="85">
        <f t="shared" ref="U55" si="105">Q53+Q54+Q55</f>
        <v>28250145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671166.54545454541</v>
      </c>
      <c r="G56" s="190">
        <f t="shared" ref="G56" si="106">F56/F55-1</f>
        <v>0.18972431973919268</v>
      </c>
      <c r="H56" s="190">
        <f t="shared" ref="H56" si="107">F56/F44-1</f>
        <v>0.58505722695624729</v>
      </c>
      <c r="I56" s="291">
        <f>T56</f>
        <v>1.7530587258177446</v>
      </c>
      <c r="J56" s="130">
        <f t="shared" ref="J56" si="108">I56/I44-1</f>
        <v>-0.19979342969680636</v>
      </c>
      <c r="K56" s="193"/>
      <c r="L56" s="190"/>
      <c r="M56" s="190"/>
      <c r="N56" s="191"/>
      <c r="O56" s="192"/>
      <c r="P56" s="129" t="s">
        <v>1420</v>
      </c>
      <c r="Q56" s="116">
        <v>14765664</v>
      </c>
      <c r="R56" s="116">
        <v>22122897680</v>
      </c>
      <c r="S56" s="116">
        <v>8422800.5500000007</v>
      </c>
      <c r="T56" s="130">
        <f t="shared" ref="T56" si="109">Q56/S56</f>
        <v>1.7530587258177446</v>
      </c>
      <c r="U56" s="85">
        <f t="shared" ref="U56" si="110">Q54+Q55+Q56</f>
        <v>37007365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789016</v>
      </c>
      <c r="G57" s="254">
        <f t="shared" ref="G57" si="111">F57/F56-1</f>
        <v>0.17558898807395318</v>
      </c>
      <c r="H57" s="254">
        <f t="shared" ref="H57" si="112">F57/F45-1</f>
        <v>1.2078384510634419</v>
      </c>
      <c r="I57" s="282">
        <f>T57</f>
        <v>1.8165094104330142</v>
      </c>
      <c r="J57" s="277">
        <f t="shared" ref="J57" si="113">I57/I45-1</f>
        <v>-4.8388291658172711E-2</v>
      </c>
      <c r="K57" s="259"/>
      <c r="L57" s="254"/>
      <c r="M57" s="254"/>
      <c r="N57" s="257"/>
      <c r="O57" s="258"/>
      <c r="P57" s="129" t="s">
        <v>1436</v>
      </c>
      <c r="Q57" s="116">
        <v>9468192</v>
      </c>
      <c r="R57" s="116">
        <v>13971994271</v>
      </c>
      <c r="S57" s="116">
        <v>5212300</v>
      </c>
      <c r="T57" s="130">
        <f t="shared" ref="T57" si="114">Q57/S57</f>
        <v>1.8165094104330142</v>
      </c>
      <c r="U57" s="85">
        <f t="shared" ref="U57" si="115">Q55+Q56+Q57</f>
        <v>36080716</v>
      </c>
      <c r="V57" s="79"/>
      <c r="W57" s="79"/>
      <c r="X57" s="79"/>
      <c r="Y57" s="79"/>
      <c r="Z57" s="79"/>
    </row>
    <row r="58" spans="1:26">
      <c r="B58" s="196">
        <f>SUM(F56:F58)</f>
        <v>1460182.5454545454</v>
      </c>
      <c r="C58" s="196">
        <f>AVERAGE(F56:F58)</f>
        <v>730091.27272727271</v>
      </c>
      <c r="D58" s="197">
        <f>C58/C55-1</f>
        <v>0.498428630904592</v>
      </c>
      <c r="E58" s="233">
        <f>C58/C46-1</f>
        <v>1.4951816333423844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52484001</v>
      </c>
      <c r="R66" s="212">
        <v>77388584871</v>
      </c>
      <c r="S66" s="213">
        <v>32296201.050000001</v>
      </c>
      <c r="T66" s="214" t="s">
        <v>1421</v>
      </c>
      <c r="U66" s="214">
        <v>36</v>
      </c>
    </row>
    <row r="67" spans="16:21" ht="18" thickBot="1">
      <c r="P67" s="180" t="s">
        <v>976</v>
      </c>
      <c r="Q67" s="181">
        <v>6008444</v>
      </c>
      <c r="R67" s="181">
        <v>8793140071</v>
      </c>
      <c r="S67" s="182">
        <v>4188700</v>
      </c>
      <c r="T67" s="210" t="s">
        <v>1421</v>
      </c>
      <c r="U67" s="210">
        <v>8</v>
      </c>
    </row>
    <row r="68" spans="16:21" ht="18" thickBot="1">
      <c r="P68" s="180" t="s">
        <v>977</v>
      </c>
      <c r="Q68" s="181">
        <v>10394841</v>
      </c>
      <c r="R68" s="181">
        <v>15087552704</v>
      </c>
      <c r="S68" s="182">
        <v>6889700.5</v>
      </c>
      <c r="T68" s="210" t="s">
        <v>1421</v>
      </c>
      <c r="U68" s="210">
        <v>16</v>
      </c>
    </row>
    <row r="69" spans="16:21" ht="18" thickBot="1">
      <c r="P69" s="180" t="s">
        <v>978</v>
      </c>
      <c r="Q69" s="181">
        <v>11846860</v>
      </c>
      <c r="R69" s="181">
        <v>17413000145</v>
      </c>
      <c r="S69" s="182">
        <v>7582700</v>
      </c>
      <c r="T69" s="210" t="s">
        <v>1421</v>
      </c>
      <c r="U69" s="210">
        <v>20</v>
      </c>
    </row>
    <row r="70" spans="16:21" ht="18" thickBot="1">
      <c r="P70" s="180" t="s">
        <v>979</v>
      </c>
      <c r="Q70" s="181">
        <v>14765664</v>
      </c>
      <c r="R70" s="181">
        <v>22122897680</v>
      </c>
      <c r="S70" s="182">
        <v>8422800.5500000007</v>
      </c>
      <c r="T70" s="210" t="s">
        <v>1421</v>
      </c>
      <c r="U70" s="210">
        <v>24</v>
      </c>
    </row>
    <row r="71" spans="16:21" ht="18" thickBot="1">
      <c r="P71" s="180" t="s">
        <v>980</v>
      </c>
      <c r="Q71" s="181">
        <v>9468192</v>
      </c>
      <c r="R71" s="181">
        <v>13971994271</v>
      </c>
      <c r="S71" s="182">
        <v>5212300</v>
      </c>
      <c r="T71" s="210" t="s">
        <v>1421</v>
      </c>
      <c r="U71" s="210">
        <v>15</v>
      </c>
    </row>
    <row r="72" spans="16:21" ht="18" thickBot="1">
      <c r="P72" s="180" t="s">
        <v>975</v>
      </c>
      <c r="Q72" s="181">
        <v>69538432</v>
      </c>
      <c r="R72" s="181">
        <v>100153389004</v>
      </c>
      <c r="S72" s="182">
        <v>35619651.969999999</v>
      </c>
      <c r="T72" s="210">
        <v>6</v>
      </c>
      <c r="U72" s="210">
        <v>61</v>
      </c>
    </row>
    <row r="73" spans="16:21" ht="18" thickBot="1">
      <c r="P73" s="215" t="s">
        <v>982</v>
      </c>
      <c r="Q73" s="216">
        <v>34850369</v>
      </c>
      <c r="R73" s="216">
        <v>47847711368</v>
      </c>
      <c r="S73" s="272">
        <v>20627458.359999999</v>
      </c>
      <c r="T73" s="217">
        <v>5</v>
      </c>
      <c r="U73" s="217">
        <v>89</v>
      </c>
    </row>
    <row r="74" spans="16:21" ht="18" thickBot="1">
      <c r="P74" s="180" t="s">
        <v>1386</v>
      </c>
      <c r="Q74" s="181">
        <v>27342810</v>
      </c>
      <c r="R74" s="210"/>
      <c r="S74"/>
      <c r="T74"/>
      <c r="U74"/>
    </row>
  </sheetData>
  <phoneticPr fontId="1" type="noConversion"/>
  <conditionalFormatting sqref="C29:C30">
    <cfRule type="cellIs" dxfId="15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71"/>
  <sheetViews>
    <sheetView zoomScaleNormal="100" workbookViewId="0">
      <selection activeCell="L2" sqref="L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73</v>
      </c>
      <c r="G4" s="172" t="s">
        <v>289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54493847</v>
      </c>
      <c r="G5" s="90"/>
      <c r="H5" s="90"/>
      <c r="I5" s="130">
        <f t="shared" ref="I5:I49" si="0">T5</f>
        <v>8117.2971651272228</v>
      </c>
      <c r="J5" s="130"/>
      <c r="L5" s="80"/>
      <c r="M5" s="80"/>
      <c r="P5" s="129" t="s">
        <v>0</v>
      </c>
      <c r="Q5" s="116">
        <v>1089876940</v>
      </c>
      <c r="R5" s="116">
        <v>1285997620825</v>
      </c>
      <c r="S5" s="116">
        <v>134265.99</v>
      </c>
      <c r="T5" s="130">
        <f t="shared" ref="T5:T42" si="1">Q5/S5</f>
        <v>8117.2971651272228</v>
      </c>
      <c r="U5" s="85"/>
    </row>
    <row r="6" spans="1:21" ht="15" hidden="1" customHeight="1">
      <c r="A6" s="129" t="s">
        <v>1</v>
      </c>
      <c r="C6" s="79"/>
      <c r="F6" s="78">
        <f>Q6/18</f>
        <v>53695771.388888888</v>
      </c>
      <c r="G6" s="90">
        <f t="shared" ref="G6:G42" si="2">F6/F5-1</f>
        <v>-1.4645242629156119E-2</v>
      </c>
      <c r="H6" s="90"/>
      <c r="I6" s="130">
        <f t="shared" si="0"/>
        <v>7832.1842632009157</v>
      </c>
      <c r="J6" s="130"/>
      <c r="P6" s="129" t="s">
        <v>1</v>
      </c>
      <c r="Q6" s="116">
        <v>966523885</v>
      </c>
      <c r="R6" s="116">
        <v>1148853517465</v>
      </c>
      <c r="S6" s="116">
        <v>123404.13</v>
      </c>
      <c r="T6" s="130">
        <f t="shared" si="1"/>
        <v>7832.1842632009157</v>
      </c>
      <c r="U6" s="85"/>
    </row>
    <row r="7" spans="1:21" ht="15" hidden="1" customHeight="1">
      <c r="A7" s="129" t="s">
        <v>2</v>
      </c>
      <c r="B7" s="131">
        <f>F5+F6+F7</f>
        <v>170381351.7979798</v>
      </c>
      <c r="C7" s="131">
        <f>AVERAGE(F5:F7)</f>
        <v>56793783.932659931</v>
      </c>
      <c r="F7" s="78">
        <f>Q7/22</f>
        <v>62191733.409090906</v>
      </c>
      <c r="G7" s="90">
        <f t="shared" si="2"/>
        <v>0.15822404260980716</v>
      </c>
      <c r="H7" s="90"/>
      <c r="I7" s="130">
        <f t="shared" si="0"/>
        <v>7802.8616481772697</v>
      </c>
      <c r="J7" s="130"/>
      <c r="K7" s="79">
        <f>R5+R6+R7</f>
        <v>4084856911537</v>
      </c>
      <c r="N7" s="88">
        <f>AVERAGE(T5:T7)</f>
        <v>7917.4476921684691</v>
      </c>
      <c r="P7" s="129" t="s">
        <v>2</v>
      </c>
      <c r="Q7" s="116">
        <v>1368218135</v>
      </c>
      <c r="R7" s="116">
        <v>1650005773247</v>
      </c>
      <c r="S7" s="116">
        <v>175348.25</v>
      </c>
      <c r="T7" s="130">
        <f t="shared" si="1"/>
        <v>7802.8616481772697</v>
      </c>
      <c r="U7" s="85">
        <f>Q5+Q6+Q7</f>
        <v>3424618960</v>
      </c>
    </row>
    <row r="8" spans="1:21" ht="15" hidden="1" customHeight="1">
      <c r="A8" s="129" t="s">
        <v>3</v>
      </c>
      <c r="C8" s="79"/>
      <c r="F8" s="78">
        <f>Q8/21</f>
        <v>39044620.285714284</v>
      </c>
      <c r="G8" s="90">
        <f t="shared" si="2"/>
        <v>-0.37218954762230638</v>
      </c>
      <c r="H8" s="90"/>
      <c r="I8" s="130">
        <f t="shared" si="0"/>
        <v>6004.5178386322996</v>
      </c>
      <c r="J8" s="130"/>
      <c r="K8" s="78"/>
      <c r="P8" s="129" t="s">
        <v>3</v>
      </c>
      <c r="Q8" s="116">
        <v>819937026</v>
      </c>
      <c r="R8" s="116">
        <v>993392350604</v>
      </c>
      <c r="S8" s="116">
        <v>136553.35</v>
      </c>
      <c r="T8" s="130">
        <f t="shared" si="1"/>
        <v>6004.5178386322996</v>
      </c>
      <c r="U8" s="85"/>
    </row>
    <row r="9" spans="1:21" ht="15" hidden="1" customHeight="1">
      <c r="A9" s="129" t="s">
        <v>4</v>
      </c>
      <c r="C9" s="79"/>
      <c r="F9" s="78">
        <f>Q9/21</f>
        <v>34610150.761904761</v>
      </c>
      <c r="G9" s="90">
        <f t="shared" si="2"/>
        <v>-0.11357440516413508</v>
      </c>
      <c r="H9" s="90"/>
      <c r="I9" s="130">
        <f t="shared" si="0"/>
        <v>5842.600759122407</v>
      </c>
      <c r="J9" s="130"/>
      <c r="K9" s="78"/>
      <c r="P9" s="129" t="s">
        <v>4</v>
      </c>
      <c r="Q9" s="116">
        <v>726813166</v>
      </c>
      <c r="R9" s="116">
        <v>913474693732</v>
      </c>
      <c r="S9" s="116">
        <v>124398.91</v>
      </c>
      <c r="T9" s="130">
        <f t="shared" si="1"/>
        <v>5842.600759122407</v>
      </c>
      <c r="U9" s="85"/>
    </row>
    <row r="10" spans="1:21" ht="15" hidden="1" customHeight="1">
      <c r="A10" s="129" t="s">
        <v>5</v>
      </c>
      <c r="B10" s="131">
        <f>F8+F9+F10</f>
        <v>132383886.38095239</v>
      </c>
      <c r="C10" s="131">
        <f>AVERAGE(F8:F10)</f>
        <v>44127962.126984127</v>
      </c>
      <c r="D10" s="90">
        <f>C10/C7-1</f>
        <v>-0.22301422670997939</v>
      </c>
      <c r="E10" s="90"/>
      <c r="F10" s="78">
        <f>Q10/21</f>
        <v>58729115.333333336</v>
      </c>
      <c r="G10" s="90">
        <f t="shared" si="2"/>
        <v>0.69687545533538131</v>
      </c>
      <c r="H10" s="90"/>
      <c r="I10" s="130">
        <f t="shared" si="0"/>
        <v>10101.15990676846</v>
      </c>
      <c r="J10" s="130"/>
      <c r="K10" s="79">
        <f>R8+R9+R10</f>
        <v>3458341419739</v>
      </c>
      <c r="L10" s="87">
        <f>U10/U7-1</f>
        <v>-0.18821286500148326</v>
      </c>
      <c r="N10" s="88">
        <f>AVERAGE(T8:T10)</f>
        <v>7316.0928348410553</v>
      </c>
      <c r="O10" s="89">
        <f>N10/N7-1</f>
        <v>-7.5953120337282853E-2</v>
      </c>
      <c r="P10" s="129" t="s">
        <v>5</v>
      </c>
      <c r="Q10" s="116">
        <v>1233311422</v>
      </c>
      <c r="R10" s="116">
        <v>1551474375403</v>
      </c>
      <c r="S10" s="116">
        <v>122096.02</v>
      </c>
      <c r="T10" s="130">
        <f t="shared" si="1"/>
        <v>10101.15990676846</v>
      </c>
      <c r="U10" s="85">
        <f>Q8+Q9+Q10</f>
        <v>2780061614</v>
      </c>
    </row>
    <row r="11" spans="1:21" ht="15" hidden="1" customHeight="1">
      <c r="A11" s="129" t="s">
        <v>6</v>
      </c>
      <c r="C11" s="79"/>
      <c r="F11" s="78">
        <f>Q11/21</f>
        <v>66048888.476190478</v>
      </c>
      <c r="G11" s="90">
        <f t="shared" si="2"/>
        <v>0.12463618941493926</v>
      </c>
      <c r="H11" s="90"/>
      <c r="I11" s="130">
        <f t="shared" si="0"/>
        <v>11340.22218559409</v>
      </c>
      <c r="J11" s="130"/>
      <c r="K11" s="78"/>
      <c r="O11" s="89"/>
      <c r="P11" s="129" t="s">
        <v>6</v>
      </c>
      <c r="Q11" s="116">
        <v>1387026658</v>
      </c>
      <c r="R11" s="116">
        <v>1790461582514</v>
      </c>
      <c r="S11" s="116">
        <v>122310.36</v>
      </c>
      <c r="T11" s="130">
        <f t="shared" si="1"/>
        <v>11340.22218559409</v>
      </c>
      <c r="U11" s="85"/>
    </row>
    <row r="12" spans="1:21" ht="15" hidden="1" customHeight="1">
      <c r="A12" s="129" t="s">
        <v>7</v>
      </c>
      <c r="C12" s="79"/>
      <c r="F12" s="78">
        <f>Q12/22</f>
        <v>53801696.045454547</v>
      </c>
      <c r="G12" s="90">
        <f t="shared" si="2"/>
        <v>-0.18542617011868168</v>
      </c>
      <c r="H12" s="90"/>
      <c r="I12" s="130">
        <f t="shared" si="0"/>
        <v>9234.499371877233</v>
      </c>
      <c r="J12" s="130"/>
      <c r="K12" s="78"/>
      <c r="O12" s="89"/>
      <c r="P12" s="129" t="s">
        <v>7</v>
      </c>
      <c r="Q12" s="116">
        <v>1183637313</v>
      </c>
      <c r="R12" s="116">
        <v>1537032058988</v>
      </c>
      <c r="S12" s="116">
        <v>128175.58</v>
      </c>
      <c r="T12" s="130">
        <f t="shared" si="1"/>
        <v>9234.499371877233</v>
      </c>
      <c r="U12" s="85"/>
    </row>
    <row r="13" spans="1:21" ht="15" hidden="1" customHeight="1">
      <c r="A13" s="129" t="s">
        <v>96</v>
      </c>
      <c r="B13" s="131">
        <f>F11+F12+F13</f>
        <v>176624429.37164503</v>
      </c>
      <c r="C13" s="131">
        <f>AVERAGE(F11:F13)</f>
        <v>58874809.790548347</v>
      </c>
      <c r="D13" s="90">
        <f>C13/C10-1</f>
        <v>0.33418374547023477</v>
      </c>
      <c r="E13" s="90"/>
      <c r="F13" s="78">
        <f>Q13/20</f>
        <v>56773844.850000001</v>
      </c>
      <c r="G13" s="90">
        <f t="shared" si="2"/>
        <v>5.5242660046152192E-2</v>
      </c>
      <c r="H13" s="90"/>
      <c r="I13" s="130">
        <f t="shared" si="0"/>
        <v>9098.0875278667154</v>
      </c>
      <c r="J13" s="130"/>
      <c r="K13" s="78">
        <f>R11+R12+R13</f>
        <v>4873325132310</v>
      </c>
      <c r="L13" s="87">
        <f>U13/U10-1</f>
        <v>0.33311465088989212</v>
      </c>
      <c r="N13" s="88">
        <f>AVERAGE(T11:T13)</f>
        <v>9890.936361779346</v>
      </c>
      <c r="O13" s="89">
        <f>N13/N10-1</f>
        <v>0.351942434994297</v>
      </c>
      <c r="P13" s="129" t="s">
        <v>96</v>
      </c>
      <c r="Q13" s="116">
        <v>1135476897</v>
      </c>
      <c r="R13" s="116">
        <v>1545831490808</v>
      </c>
      <c r="S13" s="116">
        <v>124803.91</v>
      </c>
      <c r="T13" s="130">
        <f t="shared" si="1"/>
        <v>9098.0875278667154</v>
      </c>
      <c r="U13" s="85">
        <f>Q11+Q12+Q13</f>
        <v>3706140868</v>
      </c>
    </row>
    <row r="14" spans="1:21" ht="15" hidden="1" customHeight="1">
      <c r="A14" s="129" t="s">
        <v>97</v>
      </c>
      <c r="C14" s="79"/>
      <c r="F14" s="78">
        <f>Q14/20</f>
        <v>57635612.350000001</v>
      </c>
      <c r="G14" s="90">
        <f t="shared" si="2"/>
        <v>1.5178952601798246E-2</v>
      </c>
      <c r="H14" s="90"/>
      <c r="I14" s="130">
        <f t="shared" si="0"/>
        <v>8926.757203844405</v>
      </c>
      <c r="J14" s="130"/>
      <c r="O14" s="89"/>
      <c r="P14" s="129" t="s">
        <v>97</v>
      </c>
      <c r="Q14" s="116">
        <v>1152712247</v>
      </c>
      <c r="R14" s="116">
        <v>1643726315400</v>
      </c>
      <c r="S14" s="116">
        <v>129130.01</v>
      </c>
      <c r="T14" s="130">
        <f t="shared" si="1"/>
        <v>8926.757203844405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45614347.68181818</v>
      </c>
      <c r="G15" s="90">
        <f t="shared" si="2"/>
        <v>-0.20857355683463685</v>
      </c>
      <c r="H15" s="90"/>
      <c r="I15" s="130">
        <f t="shared" si="0"/>
        <v>8663.2906316454755</v>
      </c>
      <c r="J15" s="130"/>
      <c r="O15" s="89"/>
      <c r="P15" s="129" t="s">
        <v>98</v>
      </c>
      <c r="Q15" s="116">
        <v>1003515649</v>
      </c>
      <c r="R15" s="116">
        <v>1388609103582</v>
      </c>
      <c r="S15" s="116">
        <v>115835.39</v>
      </c>
      <c r="T15" s="130">
        <f t="shared" si="1"/>
        <v>8663.2906316454755</v>
      </c>
      <c r="U15" s="85"/>
    </row>
    <row r="16" spans="1:21" ht="15" hidden="1" customHeight="1">
      <c r="A16" s="129" t="s">
        <v>99</v>
      </c>
      <c r="B16" s="131">
        <f>F14+F15+F16</f>
        <v>140600763.84999999</v>
      </c>
      <c r="C16" s="131">
        <f>AVERAGE(F14:F16)</f>
        <v>46866921.283333331</v>
      </c>
      <c r="D16" s="90">
        <f>C16/C13-1</f>
        <v>-0.20395630236316686</v>
      </c>
      <c r="E16" s="90"/>
      <c r="F16" s="78">
        <f>Q16/22</f>
        <v>37350803.81818182</v>
      </c>
      <c r="G16" s="90">
        <f t="shared" si="2"/>
        <v>-0.18116106627849893</v>
      </c>
      <c r="H16" s="90"/>
      <c r="I16" s="130">
        <f t="shared" si="0"/>
        <v>6874.6159120048023</v>
      </c>
      <c r="J16" s="130"/>
      <c r="K16" s="78">
        <f>R14+R15+R16</f>
        <v>4111644093975</v>
      </c>
      <c r="L16" s="87">
        <f>U16/U13-1</f>
        <v>-0.19648343490865927</v>
      </c>
      <c r="N16" s="88">
        <f>AVERAGE(T14:T16)</f>
        <v>8154.8879158315613</v>
      </c>
      <c r="O16" s="89">
        <f>N16/N13-1</f>
        <v>-0.17551911997495406</v>
      </c>
      <c r="P16" s="129" t="s">
        <v>99</v>
      </c>
      <c r="Q16" s="116">
        <v>821717684</v>
      </c>
      <c r="R16" s="116">
        <v>1079308674993</v>
      </c>
      <c r="S16" s="116">
        <v>119529.25</v>
      </c>
      <c r="T16" s="130">
        <f t="shared" si="1"/>
        <v>6874.6159120048023</v>
      </c>
      <c r="U16" s="85">
        <f>Q14+Q15+Q16</f>
        <v>2977945580</v>
      </c>
    </row>
    <row r="17" spans="1:21" ht="15" hidden="1" customHeight="1">
      <c r="A17" s="129" t="s">
        <v>100</v>
      </c>
      <c r="C17" s="79"/>
      <c r="F17" s="78">
        <f>Q17/20</f>
        <v>38923080.700000003</v>
      </c>
      <c r="G17" s="90">
        <f t="shared" si="2"/>
        <v>4.2094860648027588E-2</v>
      </c>
      <c r="H17" s="90">
        <f t="shared" ref="H17:H42" si="3">F17/F5-1</f>
        <v>-0.28573439309579296</v>
      </c>
      <c r="I17" s="130">
        <f t="shared" si="0"/>
        <v>7568.3784846396638</v>
      </c>
      <c r="J17" s="130">
        <f t="shared" ref="J17:J49" si="4">I17/I5-1</f>
        <v>-6.7623331919616336E-2</v>
      </c>
      <c r="O17" s="89"/>
      <c r="P17" s="129" t="s">
        <v>100</v>
      </c>
      <c r="Q17" s="116">
        <v>778461614</v>
      </c>
      <c r="R17" s="116">
        <v>980272692809</v>
      </c>
      <c r="S17" s="116">
        <v>102857.12</v>
      </c>
      <c r="T17" s="130">
        <f t="shared" si="1"/>
        <v>7568.3784846396638</v>
      </c>
      <c r="U17" s="78"/>
    </row>
    <row r="18" spans="1:21" ht="15" hidden="1" customHeight="1">
      <c r="A18" s="129" t="s">
        <v>106</v>
      </c>
      <c r="C18" s="79"/>
      <c r="F18" s="78">
        <f>Q18/20</f>
        <v>29469414.149999999</v>
      </c>
      <c r="G18" s="90">
        <f t="shared" si="2"/>
        <v>-0.24288073759793638</v>
      </c>
      <c r="H18" s="90">
        <f t="shared" si="3"/>
        <v>-0.45117812096283583</v>
      </c>
      <c r="I18" s="130">
        <f t="shared" si="0"/>
        <v>5905.3882980210346</v>
      </c>
      <c r="J18" s="130">
        <f t="shared" si="4"/>
        <v>-0.24601004016629502</v>
      </c>
      <c r="O18" s="89"/>
      <c r="P18" s="129" t="s">
        <v>106</v>
      </c>
      <c r="Q18" s="116">
        <v>589388283</v>
      </c>
      <c r="R18" s="116">
        <v>741086712496</v>
      </c>
      <c r="S18" s="116">
        <v>99805.17</v>
      </c>
      <c r="T18" s="130">
        <f t="shared" si="1"/>
        <v>5905.3882980210346</v>
      </c>
      <c r="U18" s="78"/>
    </row>
    <row r="19" spans="1:21" hidden="1">
      <c r="A19" s="129" t="s">
        <v>114</v>
      </c>
      <c r="B19" s="131">
        <f>SUM(F17:F19)</f>
        <v>101280106.66818181</v>
      </c>
      <c r="C19" s="131">
        <f>AVERAGE(F17:F19)</f>
        <v>33760035.556060605</v>
      </c>
      <c r="D19" s="90">
        <f>C19/C16-1</f>
        <v>-0.27966176075520788</v>
      </c>
      <c r="E19" s="90">
        <f>C19/C7-1</f>
        <v>-0.40556812350996563</v>
      </c>
      <c r="F19" s="78">
        <f>Q19/22</f>
        <v>32887611.818181816</v>
      </c>
      <c r="G19" s="90">
        <f t="shared" si="2"/>
        <v>0.11599136822955192</v>
      </c>
      <c r="H19" s="90">
        <f t="shared" si="3"/>
        <v>-0.47118997951302555</v>
      </c>
      <c r="I19" s="130">
        <f t="shared" si="0"/>
        <v>6958.9573674960448</v>
      </c>
      <c r="J19" s="130">
        <f t="shared" si="4"/>
        <v>-0.10815317747923403</v>
      </c>
      <c r="K19" s="78">
        <f>R17+R18+R19</f>
        <v>2667040880635</v>
      </c>
      <c r="L19" s="87">
        <f>U19/U16-1</f>
        <v>-0.29771135811017746</v>
      </c>
      <c r="M19" s="87">
        <f>U19/U7-1</f>
        <v>-0.3893109331497715</v>
      </c>
      <c r="N19" s="88">
        <f>AVERAGE(T17:T19)</f>
        <v>6810.9080500522477</v>
      </c>
      <c r="O19" s="89">
        <f>N19/N16-1</f>
        <v>-0.16480666315108594</v>
      </c>
      <c r="P19" s="129" t="s">
        <v>115</v>
      </c>
      <c r="Q19" s="116">
        <v>723527460</v>
      </c>
      <c r="R19" s="116">
        <v>945681475330</v>
      </c>
      <c r="S19" s="116">
        <v>103970.67</v>
      </c>
      <c r="T19" s="130">
        <f t="shared" si="1"/>
        <v>6958.9573674960448</v>
      </c>
      <c r="U19" s="85">
        <f>Q17+Q18+Q19</f>
        <v>2091377357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39500022.200000003</v>
      </c>
      <c r="G20" s="90">
        <f t="shared" si="2"/>
        <v>0.2010608255283084</v>
      </c>
      <c r="H20" s="90">
        <f t="shared" si="3"/>
        <v>1.1663627689378231E-2</v>
      </c>
      <c r="I20" s="130">
        <f t="shared" si="0"/>
        <v>6987.4330997880952</v>
      </c>
      <c r="J20" s="130">
        <f t="shared" si="4"/>
        <v>0.16369595154366001</v>
      </c>
      <c r="O20" s="89"/>
      <c r="P20" s="129" t="s">
        <v>132</v>
      </c>
      <c r="Q20" s="116">
        <v>790000444</v>
      </c>
      <c r="R20" s="116">
        <v>1035415546565</v>
      </c>
      <c r="S20" s="116">
        <v>113060.18</v>
      </c>
      <c r="T20" s="130">
        <f t="shared" si="1"/>
        <v>6987.4330997880952</v>
      </c>
      <c r="U20" s="78"/>
    </row>
    <row r="21" spans="1:21" hidden="1">
      <c r="A21" s="129" t="s">
        <v>142</v>
      </c>
      <c r="B21" s="131"/>
      <c r="C21" s="131"/>
      <c r="D21" s="90"/>
      <c r="E21" s="90"/>
      <c r="F21" s="78">
        <f>Q21/21</f>
        <v>47437808.238095239</v>
      </c>
      <c r="G21" s="90">
        <f t="shared" si="2"/>
        <v>0.2009564956167349</v>
      </c>
      <c r="H21" s="90">
        <f t="shared" si="3"/>
        <v>0.37063281129390013</v>
      </c>
      <c r="I21" s="130">
        <f t="shared" si="0"/>
        <v>9002.6034056290191</v>
      </c>
      <c r="J21" s="130">
        <f t="shared" si="4"/>
        <v>0.54085548145193862</v>
      </c>
      <c r="O21" s="89"/>
      <c r="P21" s="129" t="s">
        <v>142</v>
      </c>
      <c r="Q21" s="116">
        <v>996193973</v>
      </c>
      <c r="R21" s="116">
        <v>1326984775903</v>
      </c>
      <c r="S21" s="116">
        <v>110656.21</v>
      </c>
      <c r="T21" s="130">
        <f t="shared" si="1"/>
        <v>9002.6034056290191</v>
      </c>
      <c r="U21" s="78"/>
    </row>
    <row r="22" spans="1:21" hidden="1">
      <c r="A22" s="129" t="s">
        <v>156</v>
      </c>
      <c r="B22" s="131">
        <f>SUM(F20:F22)</f>
        <v>126833555.96190476</v>
      </c>
      <c r="C22" s="131">
        <f>AVERAGE(F20:F22)</f>
        <v>42277851.987301588</v>
      </c>
      <c r="D22" s="90">
        <f>C22/C19-1</f>
        <v>0.25230472334949483</v>
      </c>
      <c r="E22" s="90">
        <f>C22/C10-1</f>
        <v>-4.1926027183367243E-2</v>
      </c>
      <c r="F22" s="78">
        <f>Q22/21</f>
        <v>39895725.523809522</v>
      </c>
      <c r="G22" s="90">
        <f t="shared" si="2"/>
        <v>-0.15898885286670972</v>
      </c>
      <c r="H22" s="90">
        <f t="shared" si="3"/>
        <v>-0.32068233452231831</v>
      </c>
      <c r="I22" s="130">
        <f t="shared" si="0"/>
        <v>7774.2297361675055</v>
      </c>
      <c r="J22" s="130">
        <f t="shared" si="4"/>
        <v>-0.23036267043369485</v>
      </c>
      <c r="K22" s="78">
        <f>R20+R21+R22</f>
        <v>3453865310297</v>
      </c>
      <c r="L22" s="87">
        <f>U22/U19-1</f>
        <v>0.25467775780265378</v>
      </c>
      <c r="M22" s="87">
        <f>U22/U10-1</f>
        <v>-5.6134353358975542E-2</v>
      </c>
      <c r="N22" s="88">
        <f>AVERAGE(T20:T22)</f>
        <v>7921.4220805282066</v>
      </c>
      <c r="O22" s="89">
        <f>N22/N19-1</f>
        <v>0.16304933531842947</v>
      </c>
      <c r="P22" s="129" t="s">
        <v>156</v>
      </c>
      <c r="Q22" s="116">
        <v>837810236</v>
      </c>
      <c r="R22" s="116">
        <v>1091464987829</v>
      </c>
      <c r="S22" s="116">
        <v>107767.62</v>
      </c>
      <c r="T22" s="130">
        <f t="shared" si="1"/>
        <v>7774.2297361675055</v>
      </c>
      <c r="U22" s="85">
        <f>Q20+Q21+Q22</f>
        <v>2624004653</v>
      </c>
    </row>
    <row r="23" spans="1:21" hidden="1">
      <c r="A23" s="129" t="s">
        <v>189</v>
      </c>
      <c r="B23" s="131"/>
      <c r="C23" s="131"/>
      <c r="F23" s="78">
        <f>Q23/21</f>
        <v>38866052.142857142</v>
      </c>
      <c r="G23" s="90">
        <f t="shared" si="2"/>
        <v>-2.5809115323341514E-2</v>
      </c>
      <c r="H23" s="90">
        <f t="shared" si="3"/>
        <v>-0.4115563026186625</v>
      </c>
      <c r="I23" s="130">
        <f t="shared" si="0"/>
        <v>7305.9869938485335</v>
      </c>
      <c r="J23" s="130">
        <f t="shared" si="4"/>
        <v>-0.35574569225551833</v>
      </c>
      <c r="O23" s="89"/>
      <c r="P23" s="129" t="s">
        <v>189</v>
      </c>
      <c r="Q23" s="116">
        <v>816187095</v>
      </c>
      <c r="R23" s="116">
        <v>1054894118754</v>
      </c>
      <c r="S23" s="116">
        <v>111714.83</v>
      </c>
      <c r="T23" s="130">
        <f t="shared" si="1"/>
        <v>7305.9869938485335</v>
      </c>
      <c r="U23" s="78"/>
    </row>
    <row r="24" spans="1:21" hidden="1">
      <c r="A24" s="129" t="s">
        <v>204</v>
      </c>
      <c r="B24" s="131"/>
      <c r="C24" s="131"/>
      <c r="F24" s="78">
        <f>Q24/22</f>
        <v>38749701.409090906</v>
      </c>
      <c r="G24" s="90">
        <f t="shared" si="2"/>
        <v>-2.9936339646376986E-3</v>
      </c>
      <c r="H24" s="90">
        <f t="shared" si="3"/>
        <v>-0.27976803228743774</v>
      </c>
      <c r="I24" s="130">
        <f t="shared" si="0"/>
        <v>7464.0613054126552</v>
      </c>
      <c r="J24" s="130">
        <f t="shared" si="4"/>
        <v>-0.19171998341959651</v>
      </c>
      <c r="O24" s="89"/>
      <c r="P24" s="129" t="s">
        <v>204</v>
      </c>
      <c r="Q24" s="116">
        <v>852493431</v>
      </c>
      <c r="R24" s="116">
        <v>1117532951990</v>
      </c>
      <c r="S24" s="116">
        <v>114213.08</v>
      </c>
      <c r="T24" s="130">
        <f t="shared" si="1"/>
        <v>7464.0613054126552</v>
      </c>
      <c r="U24" s="78"/>
    </row>
    <row r="25" spans="1:21" s="79" customFormat="1" ht="13.2" hidden="1">
      <c r="A25" s="129" t="s">
        <v>218</v>
      </c>
      <c r="B25" s="131">
        <f>SUM(F23:F25)</f>
        <v>113351118.97300068</v>
      </c>
      <c r="C25" s="131">
        <f>AVERAGE(F23:F25)</f>
        <v>37783706.324333556</v>
      </c>
      <c r="D25" s="90">
        <f>C25/C22-1</f>
        <v>-0.10630023645283293</v>
      </c>
      <c r="E25" s="90">
        <f>C25/C13-1</f>
        <v>-0.35823646040213142</v>
      </c>
      <c r="F25" s="78">
        <f>Q25/19</f>
        <v>35735365.421052635</v>
      </c>
      <c r="G25" s="90">
        <f t="shared" si="2"/>
        <v>-7.778991523612333E-2</v>
      </c>
      <c r="H25" s="90">
        <f t="shared" si="3"/>
        <v>-0.37056640226731741</v>
      </c>
      <c r="I25" s="130">
        <f t="shared" si="0"/>
        <v>6711.4670795855718</v>
      </c>
      <c r="J25" s="130">
        <f t="shared" si="4"/>
        <v>-0.26232111319781393</v>
      </c>
      <c r="K25" s="78">
        <f>R23+R24+R25</f>
        <v>3073972971783</v>
      </c>
      <c r="L25" s="90">
        <f>U25/U22-1</f>
        <v>-0.10531695653971085</v>
      </c>
      <c r="M25" s="90">
        <f>U25/U13-1</f>
        <v>-0.36655066479788212</v>
      </c>
      <c r="N25" s="88">
        <f>AVERAGE(T23:T25)</f>
        <v>7160.5051262822535</v>
      </c>
      <c r="O25" s="91">
        <f>N25/N22-1</f>
        <v>-9.6058125234404157E-2</v>
      </c>
      <c r="P25" s="129" t="s">
        <v>222</v>
      </c>
      <c r="Q25" s="116">
        <v>678971943</v>
      </c>
      <c r="R25" s="116">
        <v>901545901039</v>
      </c>
      <c r="S25" s="116">
        <v>101165.95</v>
      </c>
      <c r="T25" s="130">
        <f t="shared" si="1"/>
        <v>6711.4670795855718</v>
      </c>
      <c r="U25" s="85">
        <f>Q23+Q24+Q25</f>
        <v>2347652469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46449200.684210524</v>
      </c>
      <c r="G26" s="90">
        <f t="shared" si="2"/>
        <v>0.29981042972198324</v>
      </c>
      <c r="H26" s="90">
        <f t="shared" si="3"/>
        <v>-0.19408853675152249</v>
      </c>
      <c r="I26" s="130">
        <f t="shared" si="0"/>
        <v>7710.3484695409124</v>
      </c>
      <c r="J26" s="130">
        <f t="shared" si="4"/>
        <v>-0.13626546645400339</v>
      </c>
      <c r="L26" s="90"/>
      <c r="M26" s="90"/>
      <c r="P26" s="129" t="s">
        <v>312</v>
      </c>
      <c r="Q26" s="116">
        <v>882534813</v>
      </c>
      <c r="R26" s="116">
        <v>1189852697905</v>
      </c>
      <c r="S26" s="116">
        <v>114461.08</v>
      </c>
      <c r="T26" s="130">
        <f t="shared" si="1"/>
        <v>7710.3484695409124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43498470.545454547</v>
      </c>
      <c r="G27" s="90">
        <f t="shared" si="2"/>
        <v>-6.3525961594405156E-2</v>
      </c>
      <c r="H27" s="90">
        <f t="shared" si="3"/>
        <v>-4.638621933438325E-2</v>
      </c>
      <c r="I27" s="130">
        <f t="shared" si="0"/>
        <v>7838.1676160574889</v>
      </c>
      <c r="J27" s="130">
        <f t="shared" si="4"/>
        <v>-9.5243603230158014E-2</v>
      </c>
      <c r="L27" s="90"/>
      <c r="M27" s="90"/>
      <c r="P27" s="129" t="s">
        <v>373</v>
      </c>
      <c r="Q27" s="116">
        <v>956966352</v>
      </c>
      <c r="R27" s="116">
        <v>1267984036681</v>
      </c>
      <c r="S27" s="116">
        <v>122090.57</v>
      </c>
      <c r="T27" s="130">
        <f t="shared" si="1"/>
        <v>7838.1676160574889</v>
      </c>
      <c r="U27" s="78"/>
    </row>
    <row r="28" spans="1:21" s="79" customFormat="1" ht="13.2" hidden="1">
      <c r="A28" s="123" t="s">
        <v>413</v>
      </c>
      <c r="B28" s="131">
        <f>SUM(F26:F28)</f>
        <v>136692885.65071771</v>
      </c>
      <c r="C28" s="131">
        <f>AVERAGE(F26:F28)</f>
        <v>45564295.216905899</v>
      </c>
      <c r="D28" s="90">
        <f>C28/C25-1</f>
        <v>0.20592444864418891</v>
      </c>
      <c r="E28" s="90">
        <f>C28/C16-1</f>
        <v>-2.7794146292486888E-2</v>
      </c>
      <c r="F28" s="78">
        <f>Q28/19</f>
        <v>46745214.421052635</v>
      </c>
      <c r="G28" s="90">
        <f t="shared" si="2"/>
        <v>7.4640414591252036E-2</v>
      </c>
      <c r="H28" s="90">
        <f t="shared" si="3"/>
        <v>0.25151829793547176</v>
      </c>
      <c r="I28" s="130">
        <f t="shared" si="0"/>
        <v>7969.4390322383242</v>
      </c>
      <c r="J28" s="130">
        <f t="shared" si="4"/>
        <v>0.15925589651076888</v>
      </c>
      <c r="K28" s="78">
        <f>R26+R27+R28</f>
        <v>3615877391001</v>
      </c>
      <c r="L28" s="90">
        <f>U28/U25-1</f>
        <v>0.16186713110985584</v>
      </c>
      <c r="M28" s="90">
        <f>U28/U16-1</f>
        <v>-8.4046311215666969E-2</v>
      </c>
      <c r="N28" s="88">
        <f>AVERAGE(T26:T28)</f>
        <v>7839.3183726122415</v>
      </c>
      <c r="O28" s="91">
        <f>N28/N25-1</f>
        <v>9.4799631360983128E-2</v>
      </c>
      <c r="P28" s="129" t="s">
        <v>413</v>
      </c>
      <c r="Q28" s="116">
        <v>888159074</v>
      </c>
      <c r="R28" s="116">
        <v>1158040656415</v>
      </c>
      <c r="S28" s="116">
        <v>111445.62</v>
      </c>
      <c r="T28" s="130">
        <f t="shared" si="1"/>
        <v>7969.4390322383242</v>
      </c>
      <c r="U28" s="85">
        <f>Q26+Q27+Q28</f>
        <v>2727660239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42672297.545454547</v>
      </c>
      <c r="G29" s="190">
        <f t="shared" si="2"/>
        <v>-8.7130135694997835E-2</v>
      </c>
      <c r="H29" s="190">
        <f t="shared" si="3"/>
        <v>9.6323743599630918E-2</v>
      </c>
      <c r="I29" s="130">
        <f t="shared" si="0"/>
        <v>9221.8530846171507</v>
      </c>
      <c r="J29" s="130">
        <f t="shared" si="4"/>
        <v>0.2184714471314142</v>
      </c>
      <c r="K29" s="136"/>
      <c r="L29" s="190"/>
      <c r="M29" s="190"/>
      <c r="N29" s="191"/>
      <c r="O29" s="192"/>
      <c r="P29" s="129" t="s">
        <v>427</v>
      </c>
      <c r="Q29" s="116">
        <v>938790546</v>
      </c>
      <c r="R29" s="116">
        <v>1234177271194</v>
      </c>
      <c r="S29" s="116">
        <v>101800.64</v>
      </c>
      <c r="T29" s="130">
        <f t="shared" si="1"/>
        <v>9221.8530846171507</v>
      </c>
      <c r="U29" s="85"/>
    </row>
    <row r="30" spans="1:21" s="79" customFormat="1" ht="13.2">
      <c r="A30" s="129" t="s">
        <v>467</v>
      </c>
      <c r="B30" s="188"/>
      <c r="C30" s="188"/>
      <c r="D30" s="189"/>
      <c r="E30" s="189"/>
      <c r="F30" s="136">
        <f>Q30/19</f>
        <v>40477843.473684214</v>
      </c>
      <c r="G30" s="190">
        <f t="shared" si="2"/>
        <v>-5.1425730462082542E-2</v>
      </c>
      <c r="H30" s="190">
        <f t="shared" si="3"/>
        <v>0.37355440008583329</v>
      </c>
      <c r="I30" s="130">
        <f t="shared" si="0"/>
        <v>7906.6675864462604</v>
      </c>
      <c r="J30" s="130">
        <f t="shared" si="4"/>
        <v>0.33889038068773192</v>
      </c>
      <c r="K30" s="136"/>
      <c r="L30" s="190"/>
      <c r="M30" s="190"/>
      <c r="N30" s="191"/>
      <c r="O30" s="192"/>
      <c r="P30" s="129" t="s">
        <v>467</v>
      </c>
      <c r="Q30" s="116">
        <v>769079026</v>
      </c>
      <c r="R30" s="116">
        <v>1024597915529</v>
      </c>
      <c r="S30" s="116">
        <v>97269.68</v>
      </c>
      <c r="T30" s="130">
        <f t="shared" si="1"/>
        <v>7906.6675864462604</v>
      </c>
      <c r="U30" s="85"/>
    </row>
    <row r="31" spans="1:21" s="79" customFormat="1" ht="13.2">
      <c r="A31" s="129" t="s">
        <v>505</v>
      </c>
      <c r="B31" s="188">
        <f>SUM(F29:F31)</f>
        <v>129122989.86913875</v>
      </c>
      <c r="C31" s="188">
        <f>AVERAGE(F29:F31)</f>
        <v>43040996.623046249</v>
      </c>
      <c r="D31" s="190">
        <f>C31/C28-1</f>
        <v>-5.53788571039594E-2</v>
      </c>
      <c r="E31" s="190">
        <f>C31/C19-1</f>
        <v>0.27490969467653681</v>
      </c>
      <c r="F31" s="136">
        <f>Q31/20</f>
        <v>45972848.850000001</v>
      </c>
      <c r="G31" s="190">
        <f t="shared" si="2"/>
        <v>0.1357534123547921</v>
      </c>
      <c r="H31" s="190">
        <f t="shared" si="3"/>
        <v>0.39787738629851055</v>
      </c>
      <c r="I31" s="130">
        <f t="shared" si="0"/>
        <v>8383.5471002328904</v>
      </c>
      <c r="J31" s="130">
        <f t="shared" si="4"/>
        <v>0.20471309960754058</v>
      </c>
      <c r="K31" s="136">
        <f>R29+R30+R31</f>
        <v>3480655522172</v>
      </c>
      <c r="L31" s="190">
        <f>U31/U28-1</f>
        <v>-3.6783793144553711E-2</v>
      </c>
      <c r="M31" s="190">
        <f>U31/U19-1</f>
        <v>0.25626613494983919</v>
      </c>
      <c r="N31" s="191">
        <f>AVERAGE(T29:T31)</f>
        <v>8504.0225904320996</v>
      </c>
      <c r="O31" s="192">
        <f>N31/N28-1</f>
        <v>8.4791073180813248E-2</v>
      </c>
      <c r="P31" s="129" t="s">
        <v>506</v>
      </c>
      <c r="Q31" s="116">
        <v>919456977</v>
      </c>
      <c r="R31" s="116">
        <v>1221880335449</v>
      </c>
      <c r="S31" s="116">
        <v>109673.98</v>
      </c>
      <c r="T31" s="130">
        <f t="shared" si="1"/>
        <v>8383.5471002328904</v>
      </c>
      <c r="U31" s="85">
        <f>Q29+Q30+Q31</f>
        <v>2627326549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38577456.142857142</v>
      </c>
      <c r="G32" s="190">
        <f t="shared" si="2"/>
        <v>-0.16086435563896662</v>
      </c>
      <c r="H32" s="190">
        <f t="shared" si="3"/>
        <v>-2.3356089585763851E-2</v>
      </c>
      <c r="I32" s="130">
        <f t="shared" si="0"/>
        <v>7416.0013127017619</v>
      </c>
      <c r="J32" s="130">
        <f t="shared" si="4"/>
        <v>6.133414185055508E-2</v>
      </c>
      <c r="K32" s="136"/>
      <c r="L32" s="190"/>
      <c r="M32" s="190"/>
      <c r="N32" s="191"/>
      <c r="O32" s="192"/>
      <c r="P32" s="129" t="s">
        <v>561</v>
      </c>
      <c r="Q32" s="116">
        <v>810126579</v>
      </c>
      <c r="R32" s="116">
        <v>1102684982111</v>
      </c>
      <c r="S32" s="116">
        <v>109240.35</v>
      </c>
      <c r="T32" s="130">
        <f t="shared" si="1"/>
        <v>7416.0013127017619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52152380.619047619</v>
      </c>
      <c r="G33" s="190">
        <f t="shared" si="2"/>
        <v>0.35188749683029474</v>
      </c>
      <c r="H33" s="190">
        <f t="shared" si="3"/>
        <v>9.9384279250201768E-2</v>
      </c>
      <c r="I33" s="130">
        <f t="shared" si="0"/>
        <v>9782.1698071076135</v>
      </c>
      <c r="J33" s="130">
        <f t="shared" si="4"/>
        <v>8.6593440403156974E-2</v>
      </c>
      <c r="K33" s="136"/>
      <c r="L33" s="190"/>
      <c r="M33" s="190"/>
      <c r="N33" s="191"/>
      <c r="O33" s="192"/>
      <c r="P33" s="129" t="s">
        <v>606</v>
      </c>
      <c r="Q33" s="116">
        <v>1095199993</v>
      </c>
      <c r="R33" s="116">
        <v>1498163366102</v>
      </c>
      <c r="S33" s="116">
        <v>111958.8</v>
      </c>
      <c r="T33" s="130">
        <f t="shared" si="1"/>
        <v>9782.1698071076135</v>
      </c>
      <c r="U33" s="85"/>
    </row>
    <row r="34" spans="1:21" s="79" customFormat="1" ht="13.2">
      <c r="A34" s="129" t="s">
        <v>652</v>
      </c>
      <c r="B34" s="188">
        <f>SUM(F32:F34)</f>
        <v>134636284.18295741</v>
      </c>
      <c r="C34" s="188">
        <f>AVERAGE(F32:F34)</f>
        <v>44878761.394319139</v>
      </c>
      <c r="D34" s="190">
        <f>C34/C31-1</f>
        <v>4.2698006911133124E-2</v>
      </c>
      <c r="E34" s="190">
        <f>C34/C22-1</f>
        <v>6.1519431209484221E-2</v>
      </c>
      <c r="F34" s="136">
        <f>Q34/19</f>
        <v>43906447.421052635</v>
      </c>
      <c r="G34" s="190">
        <f t="shared" si="2"/>
        <v>-0.1581123066697232</v>
      </c>
      <c r="H34" s="190">
        <f t="shared" si="3"/>
        <v>0.10053011555961144</v>
      </c>
      <c r="I34" s="130">
        <f t="shared" si="0"/>
        <v>8796.8636367902291</v>
      </c>
      <c r="J34" s="130">
        <f t="shared" si="4"/>
        <v>0.13154150768984807</v>
      </c>
      <c r="K34" s="136">
        <f>R32+R33+R34</f>
        <v>3747277199129</v>
      </c>
      <c r="L34" s="190">
        <f>U34/U31-1</f>
        <v>4.2713580480779445E-2</v>
      </c>
      <c r="M34" s="190">
        <f>U34/U22-1</f>
        <v>4.4033618563861676E-2</v>
      </c>
      <c r="N34" s="191">
        <f>AVERAGE(T32:T34)</f>
        <v>8665.0115855332024</v>
      </c>
      <c r="O34" s="192">
        <f>N34/N31-1</f>
        <v>1.8930922794376359E-2</v>
      </c>
      <c r="P34" s="129" t="s">
        <v>652</v>
      </c>
      <c r="Q34" s="116">
        <v>834222501</v>
      </c>
      <c r="R34" s="116">
        <v>1146428850916</v>
      </c>
      <c r="S34" s="116">
        <v>94831.81</v>
      </c>
      <c r="T34" s="130">
        <f t="shared" si="1"/>
        <v>8796.8636367902291</v>
      </c>
      <c r="U34" s="85">
        <f>Q32+Q33+Q34</f>
        <v>2739549073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42909313.826086953</v>
      </c>
      <c r="G35" s="190">
        <f t="shared" si="2"/>
        <v>-2.2710413926305684E-2</v>
      </c>
      <c r="H35" s="190">
        <f t="shared" si="3"/>
        <v>0.10403067613783579</v>
      </c>
      <c r="I35" s="130">
        <f t="shared" si="0"/>
        <v>8801.3877436577677</v>
      </c>
      <c r="J35" s="130">
        <f t="shared" si="4"/>
        <v>0.20468155104414043</v>
      </c>
      <c r="K35" s="136"/>
      <c r="L35" s="190"/>
      <c r="M35" s="190"/>
      <c r="N35" s="191"/>
      <c r="O35" s="192"/>
      <c r="P35" s="129" t="s">
        <v>660</v>
      </c>
      <c r="Q35" s="116">
        <v>986914218</v>
      </c>
      <c r="R35" s="116">
        <v>1365977087229</v>
      </c>
      <c r="S35" s="116">
        <v>112131.66</v>
      </c>
      <c r="T35" s="130">
        <f t="shared" si="1"/>
        <v>8801.3877436577677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45030215.714285716</v>
      </c>
      <c r="G36" s="190">
        <f t="shared" si="2"/>
        <v>4.9427541460925095E-2</v>
      </c>
      <c r="H36" s="190">
        <f t="shared" si="3"/>
        <v>0.16207903743282426</v>
      </c>
      <c r="I36" s="130">
        <f t="shared" si="0"/>
        <v>10050.181371729521</v>
      </c>
      <c r="J36" s="130">
        <f t="shared" si="4"/>
        <v>0.34647626278759391</v>
      </c>
      <c r="K36" s="136"/>
      <c r="L36" s="190"/>
      <c r="M36" s="190"/>
      <c r="N36" s="191"/>
      <c r="O36" s="192"/>
      <c r="P36" s="129" t="s">
        <v>664</v>
      </c>
      <c r="Q36" s="116">
        <v>945634530</v>
      </c>
      <c r="R36" s="116">
        <v>1293878103255</v>
      </c>
      <c r="S36" s="116">
        <v>94091.29</v>
      </c>
      <c r="T36" s="130">
        <f t="shared" si="1"/>
        <v>10050.181371729521</v>
      </c>
      <c r="U36" s="85"/>
    </row>
    <row r="37" spans="1:21" s="79" customFormat="1" ht="13.2">
      <c r="A37" s="129" t="s">
        <v>702</v>
      </c>
      <c r="B37" s="188">
        <f>SUM(F35:F37)</f>
        <v>130823433.04037267</v>
      </c>
      <c r="C37" s="188">
        <f>AVERAGE(F35:F37)</f>
        <v>43607811.013457559</v>
      </c>
      <c r="D37" s="190">
        <f>C37/C34-1</f>
        <v>-2.8319640323729134E-2</v>
      </c>
      <c r="E37" s="190">
        <f>C37/C25-1</f>
        <v>0.15414328703304436</v>
      </c>
      <c r="F37" s="136">
        <f>Q37/18</f>
        <v>42883903.5</v>
      </c>
      <c r="G37" s="190">
        <f t="shared" si="2"/>
        <v>-4.766382261866009E-2</v>
      </c>
      <c r="H37" s="190">
        <f t="shared" si="3"/>
        <v>0.20004099565569233</v>
      </c>
      <c r="I37" s="130">
        <f t="shared" si="0"/>
        <v>8551.1699460116943</v>
      </c>
      <c r="J37" s="130">
        <f t="shared" si="4"/>
        <v>0.2741133711319228</v>
      </c>
      <c r="K37" s="136">
        <f>R35+R36+R37</f>
        <v>3690219290521</v>
      </c>
      <c r="L37" s="190">
        <f>U37/U34-1</f>
        <v>-1.2808699922857714E-2</v>
      </c>
      <c r="M37" s="190">
        <f>U37/U25-1</f>
        <v>0.15198439577898193</v>
      </c>
      <c r="N37" s="191">
        <f>AVERAGE(T35:T37)</f>
        <v>9134.2463537996609</v>
      </c>
      <c r="O37" s="192">
        <f>N37/N34-1</f>
        <v>5.4152814873309252E-2</v>
      </c>
      <c r="P37" s="129" t="s">
        <v>702</v>
      </c>
      <c r="Q37" s="116">
        <v>771910263</v>
      </c>
      <c r="R37" s="116">
        <v>1030364100037</v>
      </c>
      <c r="S37" s="116">
        <v>90269.55</v>
      </c>
      <c r="T37" s="130">
        <f t="shared" si="1"/>
        <v>8551.1699460116943</v>
      </c>
      <c r="U37" s="85">
        <f>Q35+Q36+Q37</f>
        <v>2704459011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55160311.399999999</v>
      </c>
      <c r="G38" s="190">
        <f t="shared" si="2"/>
        <v>0.28627076590637324</v>
      </c>
      <c r="H38" s="190">
        <f t="shared" si="3"/>
        <v>0.18754059461674744</v>
      </c>
      <c r="I38" s="130">
        <f t="shared" si="0"/>
        <v>10637.41728977455</v>
      </c>
      <c r="J38" s="130">
        <f t="shared" si="4"/>
        <v>0.37962860327218406</v>
      </c>
      <c r="K38" s="136"/>
      <c r="L38" s="190"/>
      <c r="M38" s="190"/>
      <c r="N38" s="191"/>
      <c r="O38" s="192"/>
      <c r="P38" s="129" t="s">
        <v>728</v>
      </c>
      <c r="Q38" s="116">
        <v>1103206228</v>
      </c>
      <c r="R38" s="116">
        <v>1483443519685</v>
      </c>
      <c r="S38" s="116">
        <v>103709.97</v>
      </c>
      <c r="T38" s="130">
        <f t="shared" si="1"/>
        <v>10637.41728977455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48083491.809523806</v>
      </c>
      <c r="G39" s="190">
        <f t="shared" si="2"/>
        <v>-0.12829549744848234</v>
      </c>
      <c r="H39" s="190">
        <f t="shared" si="3"/>
        <v>0.10540649375885658</v>
      </c>
      <c r="I39" s="130">
        <f t="shared" si="0"/>
        <v>10930.048870336221</v>
      </c>
      <c r="J39" s="130">
        <f t="shared" si="4"/>
        <v>0.39446480424131503</v>
      </c>
      <c r="K39" s="136"/>
      <c r="L39" s="190"/>
      <c r="M39" s="190"/>
      <c r="N39" s="191"/>
      <c r="O39" s="192"/>
      <c r="P39" s="129" t="s">
        <v>762</v>
      </c>
      <c r="Q39" s="116">
        <v>1009753328</v>
      </c>
      <c r="R39" s="116">
        <v>1402615374032</v>
      </c>
      <c r="S39" s="116">
        <v>92383.24</v>
      </c>
      <c r="T39" s="130">
        <f t="shared" si="1"/>
        <v>10930.048870336221</v>
      </c>
      <c r="U39" s="85"/>
    </row>
    <row r="40" spans="1:21" s="79" customFormat="1" ht="13.2">
      <c r="A40" s="129" t="s">
        <v>778</v>
      </c>
      <c r="B40" s="188">
        <f>SUM(F38:F40)</f>
        <v>149599159.54285714</v>
      </c>
      <c r="C40" s="188">
        <f>AVERAGE(F38:F40)</f>
        <v>49866386.514285713</v>
      </c>
      <c r="D40" s="190">
        <f>C40/C37-1</f>
        <v>0.14351959787426005</v>
      </c>
      <c r="E40" s="190">
        <f>C40/C28-1</f>
        <v>9.4418036686400697E-2</v>
      </c>
      <c r="F40" s="136">
        <f>Q40/21</f>
        <v>46355356.333333336</v>
      </c>
      <c r="G40" s="190">
        <f t="shared" si="2"/>
        <v>-3.594030739356957E-2</v>
      </c>
      <c r="H40" s="190">
        <f t="shared" si="3"/>
        <v>-8.3400641658778474E-3</v>
      </c>
      <c r="I40" s="130">
        <f t="shared" si="0"/>
        <v>9826.2397765567275</v>
      </c>
      <c r="J40" s="130">
        <f t="shared" si="4"/>
        <v>0.23299014357311609</v>
      </c>
      <c r="K40" s="136">
        <f>R38+R39+R40</f>
        <v>4267219962725</v>
      </c>
      <c r="L40" s="190">
        <f>U40/U37-1</f>
        <v>0.14123454134317437</v>
      </c>
      <c r="M40" s="190">
        <f>U40/U28-1</f>
        <v>0.13152730492985709</v>
      </c>
      <c r="N40" s="191">
        <f>AVERAGE(T38:T40)</f>
        <v>10464.568645555833</v>
      </c>
      <c r="O40" s="192">
        <f>N40/N37-1</f>
        <v>0.14564116624715129</v>
      </c>
      <c r="P40" s="129" t="s">
        <v>778</v>
      </c>
      <c r="Q40" s="116">
        <v>973462483</v>
      </c>
      <c r="R40" s="116">
        <v>1381161069008</v>
      </c>
      <c r="S40" s="116">
        <v>99067.65</v>
      </c>
      <c r="T40" s="130">
        <f t="shared" si="1"/>
        <v>9826.2397765567275</v>
      </c>
      <c r="U40" s="85">
        <f>Q38+Q39+Q40</f>
        <v>3086422039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43517831</v>
      </c>
      <c r="G41" s="190">
        <f t="shared" si="2"/>
        <v>-6.1212458662364355E-2</v>
      </c>
      <c r="H41" s="190">
        <f t="shared" si="3"/>
        <v>1.9814575337659956E-2</v>
      </c>
      <c r="I41" s="130">
        <f t="shared" si="0"/>
        <v>9125.6062226278445</v>
      </c>
      <c r="J41" s="130">
        <f t="shared" si="4"/>
        <v>-1.0436824476184103E-2</v>
      </c>
      <c r="K41" s="193"/>
      <c r="L41" s="190"/>
      <c r="M41" s="190"/>
      <c r="N41" s="193"/>
      <c r="O41" s="193"/>
      <c r="P41" s="129" t="s">
        <v>792</v>
      </c>
      <c r="Q41" s="116">
        <v>783320958</v>
      </c>
      <c r="R41" s="116">
        <v>1145170596112</v>
      </c>
      <c r="S41" s="116">
        <v>85837.69</v>
      </c>
      <c r="T41" s="130">
        <f t="shared" si="1"/>
        <v>9125.6062226278445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34043657.049999997</v>
      </c>
      <c r="G42" s="190">
        <f t="shared" si="2"/>
        <v>-0.21770786209450566</v>
      </c>
      <c r="H42" s="190">
        <f t="shared" si="3"/>
        <v>-0.1589557612639928</v>
      </c>
      <c r="I42" s="130">
        <f t="shared" si="0"/>
        <v>7527.4800454209417</v>
      </c>
      <c r="J42" s="130">
        <f t="shared" si="4"/>
        <v>-4.7957946490039371E-2</v>
      </c>
      <c r="K42" s="193"/>
      <c r="L42" s="190"/>
      <c r="M42" s="190"/>
      <c r="N42" s="193"/>
      <c r="O42" s="193"/>
      <c r="P42" s="129" t="s">
        <v>826</v>
      </c>
      <c r="Q42" s="116">
        <v>680873141</v>
      </c>
      <c r="R42" s="116">
        <v>984467714702</v>
      </c>
      <c r="S42" s="116">
        <v>90451.67</v>
      </c>
      <c r="T42" s="130">
        <f t="shared" si="1"/>
        <v>7527.4800454209417</v>
      </c>
      <c r="U42" s="78"/>
    </row>
    <row r="43" spans="1:21" s="79" customFormat="1" ht="13.2">
      <c r="A43" s="129" t="s">
        <v>835</v>
      </c>
      <c r="B43" s="188">
        <f>SUM(F41:F43)</f>
        <v>108599434.19999999</v>
      </c>
      <c r="C43" s="188">
        <f>AVERAGE(F41:F43)</f>
        <v>36199811.399999999</v>
      </c>
      <c r="D43" s="190">
        <f>C43/C40-1</f>
        <v>-0.2740638748783315</v>
      </c>
      <c r="E43" s="190">
        <f>C43/C31-1</f>
        <v>-0.15894579028830258</v>
      </c>
      <c r="F43" s="136">
        <f>Q43/20</f>
        <v>31037946.149999999</v>
      </c>
      <c r="G43" s="190">
        <f t="shared" ref="G43" si="5">F43/F42-1</f>
        <v>-8.828989481316607E-2</v>
      </c>
      <c r="H43" s="190">
        <f t="shared" ref="H43" si="6">F43/F31-1</f>
        <v>-0.32486354606236245</v>
      </c>
      <c r="I43" s="130">
        <f t="shared" si="0"/>
        <v>6593.5849456625247</v>
      </c>
      <c r="J43" s="130">
        <f t="shared" si="4"/>
        <v>-0.21350892804319566</v>
      </c>
      <c r="K43" s="136">
        <f>R41+R42+R43</f>
        <v>3028692831613</v>
      </c>
      <c r="L43" s="190">
        <f>U43/U40-1</f>
        <v>-0.32447572118959978</v>
      </c>
      <c r="M43" s="190">
        <f>U43/U31-1</f>
        <v>-0.2064355217688626</v>
      </c>
      <c r="N43" s="191">
        <f>AVERAGE(T41:T43)</f>
        <v>7748.8904045704367</v>
      </c>
      <c r="O43" s="192">
        <f>N43/N40-1</f>
        <v>-0.25951172312665849</v>
      </c>
      <c r="P43" s="129" t="s">
        <v>835</v>
      </c>
      <c r="Q43" s="116">
        <v>620758923</v>
      </c>
      <c r="R43" s="116">
        <v>899054520799</v>
      </c>
      <c r="S43" s="116">
        <v>94145.89</v>
      </c>
      <c r="T43" s="130">
        <f t="shared" ref="T43" si="7">Q43/S43</f>
        <v>6593.5849456625247</v>
      </c>
      <c r="U43" s="85">
        <f>Q41+Q42+Q43</f>
        <v>2084953022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29256531.545454547</v>
      </c>
      <c r="G44" s="190">
        <f t="shared" ref="G44" si="8">F44/F43-1</f>
        <v>-5.739473211069579E-2</v>
      </c>
      <c r="H44" s="190">
        <f t="shared" ref="H44" si="9">F44/F32-1</f>
        <v>-0.24161584327608454</v>
      </c>
      <c r="I44" s="130">
        <f t="shared" si="0"/>
        <v>6375.7430539974712</v>
      </c>
      <c r="J44" s="130">
        <f t="shared" si="4"/>
        <v>-0.1402721244024846</v>
      </c>
      <c r="K44" s="136"/>
      <c r="L44" s="190"/>
      <c r="M44" s="190"/>
      <c r="N44" s="191"/>
      <c r="O44" s="192"/>
      <c r="P44" s="129" t="s">
        <v>843</v>
      </c>
      <c r="Q44" s="116">
        <v>643643694</v>
      </c>
      <c r="R44" s="116">
        <v>935808338475</v>
      </c>
      <c r="S44" s="116">
        <v>100951.95</v>
      </c>
      <c r="T44" s="130">
        <f t="shared" ref="T44" si="10">Q44/S44</f>
        <v>6375.7430539974712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31858329.649999999</v>
      </c>
      <c r="G45" s="190">
        <f t="shared" ref="G45" si="11">F45/F44-1</f>
        <v>8.8930504304762126E-2</v>
      </c>
      <c r="H45" s="190">
        <f t="shared" ref="H45" si="12">F45/F33-1</f>
        <v>-0.38912990602073538</v>
      </c>
      <c r="I45" s="130">
        <f t="shared" si="0"/>
        <v>7222.2817145861245</v>
      </c>
      <c r="J45" s="130">
        <f t="shared" si="4"/>
        <v>-0.26168918992404966</v>
      </c>
      <c r="K45" s="136"/>
      <c r="L45" s="190"/>
      <c r="M45" s="190"/>
      <c r="N45" s="191"/>
      <c r="O45" s="192"/>
      <c r="P45" s="129" t="s">
        <v>849</v>
      </c>
      <c r="Q45" s="116">
        <v>637166593</v>
      </c>
      <c r="R45" s="116">
        <v>899317877987</v>
      </c>
      <c r="S45" s="116">
        <v>88222.34</v>
      </c>
      <c r="T45" s="130">
        <f t="shared" ref="T45" si="13">Q45/S45</f>
        <v>7222.2817145861245</v>
      </c>
      <c r="U45" s="85"/>
    </row>
    <row r="46" spans="1:21" s="79" customFormat="1" ht="13.2">
      <c r="A46" s="129" t="s">
        <v>893</v>
      </c>
      <c r="B46" s="188">
        <f>SUM(F44:F46)</f>
        <v>91064785.405980855</v>
      </c>
      <c r="C46" s="188">
        <f>AVERAGE(F44:F46)</f>
        <v>30354928.468660284</v>
      </c>
      <c r="D46" s="190">
        <f>C46/C43-1</f>
        <v>-0.16146169566341206</v>
      </c>
      <c r="E46" s="190">
        <f>C46/C34-1</f>
        <v>-0.32362374705593633</v>
      </c>
      <c r="F46" s="136">
        <f>Q46/19</f>
        <v>29949924.210526317</v>
      </c>
      <c r="G46" s="190">
        <f t="shared" ref="G46" si="14">F46/F45-1</f>
        <v>-5.990287188436072E-2</v>
      </c>
      <c r="H46" s="190">
        <f t="shared" ref="H46" si="15">F46/F34-1</f>
        <v>-0.31786956199590688</v>
      </c>
      <c r="I46" s="130">
        <f t="shared" si="0"/>
        <v>6339.3207880451282</v>
      </c>
      <c r="J46" s="130">
        <f t="shared" si="4"/>
        <v>-0.27936580015486079</v>
      </c>
      <c r="K46" s="136">
        <f>R44+R45+R46</f>
        <v>2614419328677</v>
      </c>
      <c r="L46" s="190">
        <f>U46/U43-1</f>
        <v>-0.11275754058692644</v>
      </c>
      <c r="M46" s="190">
        <f>U46/U34-1</f>
        <v>-0.32475790806905547</v>
      </c>
      <c r="N46" s="191">
        <f>AVERAGE(T44:T46)</f>
        <v>6645.781852209574</v>
      </c>
      <c r="O46" s="192">
        <f>N46/N43-1</f>
        <v>-0.14235696916170459</v>
      </c>
      <c r="P46" s="129" t="s">
        <v>928</v>
      </c>
      <c r="Q46" s="116">
        <v>569048560</v>
      </c>
      <c r="R46" s="116">
        <v>779293112215</v>
      </c>
      <c r="S46" s="116">
        <v>89764.91</v>
      </c>
      <c r="T46" s="130">
        <f t="shared" ref="T46" si="16">Q46/S46</f>
        <v>6339.3207880451282</v>
      </c>
      <c r="U46" s="85">
        <f>Q44+Q45+Q46</f>
        <v>1849858847</v>
      </c>
    </row>
    <row r="47" spans="1:21" s="79" customFormat="1" ht="13.2">
      <c r="A47" s="129" t="s">
        <v>992</v>
      </c>
      <c r="B47" s="188"/>
      <c r="C47" s="188"/>
      <c r="D47" s="190"/>
      <c r="E47" s="190"/>
      <c r="F47" s="136">
        <f>Q47/23</f>
        <v>28712503.391304348</v>
      </c>
      <c r="G47" s="190">
        <f t="shared" ref="G47" si="17">F47/F46-1</f>
        <v>-4.1316325561420286E-2</v>
      </c>
      <c r="H47" s="190">
        <f t="shared" ref="H47" si="18">F47/F35-1</f>
        <v>-0.33085615147151515</v>
      </c>
      <c r="I47" s="130">
        <f t="shared" si="0"/>
        <v>6930.0954711016193</v>
      </c>
      <c r="J47" s="130">
        <f t="shared" si="4"/>
        <v>-0.21261332042831449</v>
      </c>
      <c r="K47" s="136"/>
      <c r="L47" s="190"/>
      <c r="M47" s="190"/>
      <c r="N47" s="191"/>
      <c r="O47" s="192"/>
      <c r="P47" s="129" t="s">
        <v>991</v>
      </c>
      <c r="Q47" s="116">
        <v>660387578</v>
      </c>
      <c r="R47" s="116">
        <v>905528099932</v>
      </c>
      <c r="S47" s="116">
        <v>95292.71</v>
      </c>
      <c r="T47" s="130">
        <f t="shared" ref="T47" si="19">Q47/S47</f>
        <v>6930.0954711016193</v>
      </c>
      <c r="U47" s="85">
        <f>Q45+Q46+Q47</f>
        <v>1866602731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31414217.949999999</v>
      </c>
      <c r="G48" s="190">
        <f t="shared" ref="G48" si="20">F48/F47-1</f>
        <v>9.4095402336595635E-2</v>
      </c>
      <c r="H48" s="190">
        <f t="shared" ref="H48" si="21">F48/F36-1</f>
        <v>-0.30237469548621498</v>
      </c>
      <c r="I48" s="130">
        <f t="shared" si="0"/>
        <v>6612.2841153363452</v>
      </c>
      <c r="J48" s="130">
        <f t="shared" si="4"/>
        <v>-0.34207315562122564</v>
      </c>
      <c r="K48" s="136"/>
      <c r="L48" s="190"/>
      <c r="M48" s="190"/>
      <c r="N48" s="191"/>
      <c r="O48" s="192"/>
      <c r="P48" s="129" t="s">
        <v>1070</v>
      </c>
      <c r="Q48" s="116">
        <v>628284359</v>
      </c>
      <c r="R48" s="116">
        <v>871789541226</v>
      </c>
      <c r="S48" s="116">
        <v>95017.75</v>
      </c>
      <c r="T48" s="130">
        <f t="shared" ref="T48" si="22">Q48/S48</f>
        <v>6612.2841153363452</v>
      </c>
      <c r="U48" s="85">
        <f>Q46+Q47+Q48</f>
        <v>1857720497</v>
      </c>
    </row>
    <row r="49" spans="1:21" s="79" customFormat="1" ht="13.2">
      <c r="A49" s="129" t="s">
        <v>1158</v>
      </c>
      <c r="B49" s="188">
        <f>SUM(F47:F49)</f>
        <v>88920000.7958498</v>
      </c>
      <c r="C49" s="188">
        <f>AVERAGE(F47:F49)</f>
        <v>29640000.265283268</v>
      </c>
      <c r="D49" s="190">
        <f>C49/C46-1</f>
        <v>-2.3552294123016515E-2</v>
      </c>
      <c r="E49" s="190">
        <f>C49/C37-1</f>
        <v>-0.3203052486139184</v>
      </c>
      <c r="F49" s="136">
        <f>Q49/22</f>
        <v>28793279.454545453</v>
      </c>
      <c r="G49" s="190">
        <f t="shared" ref="G49" si="23">F49/F48-1</f>
        <v>-8.3431600927520333E-2</v>
      </c>
      <c r="H49" s="190">
        <f t="shared" ref="H49" si="24">F49/F37-1</f>
        <v>-0.32857605990682603</v>
      </c>
      <c r="I49" s="130">
        <f t="shared" si="0"/>
        <v>6389.3491237659482</v>
      </c>
      <c r="J49" s="130">
        <f t="shared" si="4"/>
        <v>-0.25280994716448468</v>
      </c>
      <c r="K49" s="136">
        <f>R47+R48+R49</f>
        <v>2657496102947</v>
      </c>
      <c r="L49" s="190">
        <f>U49/U46-1</f>
        <v>3.9065271448789574E-2</v>
      </c>
      <c r="M49" s="190">
        <f>U49/U37-1</f>
        <v>-0.28927594125773937</v>
      </c>
      <c r="N49" s="191">
        <f>AVERAGE(T47:T49)</f>
        <v>6643.9095700679709</v>
      </c>
      <c r="O49" s="192">
        <f>N49/N46-1</f>
        <v>-2.8172488703948062E-4</v>
      </c>
      <c r="P49" s="129" t="s">
        <v>1158</v>
      </c>
      <c r="Q49" s="116">
        <v>633452148</v>
      </c>
      <c r="R49" s="116">
        <v>880178461789</v>
      </c>
      <c r="S49" s="116">
        <v>99141.89</v>
      </c>
      <c r="T49" s="130">
        <f t="shared" ref="T49" si="25">Q49/S49</f>
        <v>6389.3491237659482</v>
      </c>
      <c r="U49" s="85">
        <f>Q47+Q48+Q49</f>
        <v>1922124085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Q50/18</f>
        <v>17416809.055555556</v>
      </c>
      <c r="G50" s="233">
        <f t="shared" ref="G50" si="26">F50/F49-1</f>
        <v>-0.39510853277235669</v>
      </c>
      <c r="H50" s="233">
        <f t="shared" ref="H50" si="27">F50/F38-1</f>
        <v>-0.68425107448621914</v>
      </c>
      <c r="I50" s="220">
        <f t="shared" ref="I50" si="28">T50</f>
        <v>5913.0028604742665</v>
      </c>
      <c r="J50" s="220">
        <f t="shared" ref="J50" si="29">I50/I38-1</f>
        <v>-0.44413171925122563</v>
      </c>
      <c r="K50" s="232"/>
      <c r="L50" s="233"/>
      <c r="M50" s="233"/>
      <c r="N50" s="237"/>
      <c r="O50" s="234"/>
      <c r="P50" s="235" t="s">
        <v>1291</v>
      </c>
      <c r="Q50" s="238">
        <v>313502563</v>
      </c>
      <c r="R50" s="238">
        <v>440062597285</v>
      </c>
      <c r="S50" s="238">
        <v>53019.18</v>
      </c>
      <c r="T50" s="220">
        <f t="shared" ref="T50" si="30">Q50/S50</f>
        <v>5913.0028604742665</v>
      </c>
      <c r="U50" s="240">
        <f>Q48+Q49+Q50</f>
        <v>1575239070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6170438517</v>
      </c>
      <c r="R58" s="212">
        <v>8740670860522</v>
      </c>
      <c r="S58" s="213">
        <v>891845.98</v>
      </c>
    </row>
    <row r="59" spans="1:21" ht="18" thickBot="1">
      <c r="P59" s="180" t="s">
        <v>976</v>
      </c>
      <c r="Q59" s="181">
        <v>783320958</v>
      </c>
      <c r="R59" s="181">
        <v>1145170596112</v>
      </c>
      <c r="S59" s="182">
        <v>85837.69</v>
      </c>
    </row>
    <row r="60" spans="1:21" ht="18" thickBot="1">
      <c r="P60" s="180" t="s">
        <v>977</v>
      </c>
      <c r="Q60" s="181">
        <v>680873141</v>
      </c>
      <c r="R60" s="181">
        <v>984467714702</v>
      </c>
      <c r="S60" s="182">
        <v>90451.67</v>
      </c>
    </row>
    <row r="61" spans="1:21" ht="18" thickBot="1">
      <c r="P61" s="180" t="s">
        <v>978</v>
      </c>
      <c r="Q61" s="181">
        <v>620758923</v>
      </c>
      <c r="R61" s="181">
        <v>899054520799</v>
      </c>
      <c r="S61" s="182">
        <v>94145.89</v>
      </c>
    </row>
    <row r="62" spans="1:21" ht="18" thickBot="1">
      <c r="P62" s="180" t="s">
        <v>979</v>
      </c>
      <c r="Q62" s="181">
        <v>643643694</v>
      </c>
      <c r="R62" s="181">
        <v>935808338475</v>
      </c>
      <c r="S62" s="182">
        <v>100951.95</v>
      </c>
    </row>
    <row r="63" spans="1:21" ht="18" thickBot="1">
      <c r="P63" s="180" t="s">
        <v>980</v>
      </c>
      <c r="Q63" s="181">
        <v>637166593</v>
      </c>
      <c r="R63" s="181">
        <v>899317877987</v>
      </c>
      <c r="S63" s="182">
        <v>88222.34</v>
      </c>
    </row>
    <row r="64" spans="1:21" ht="18" thickBot="1">
      <c r="P64" s="180" t="s">
        <v>981</v>
      </c>
      <c r="Q64" s="181">
        <v>569048560</v>
      </c>
      <c r="R64" s="181">
        <v>779293112215</v>
      </c>
      <c r="S64" s="182">
        <v>89764.91</v>
      </c>
    </row>
    <row r="65" spans="16:19" ht="18" thickBot="1">
      <c r="P65" s="180" t="s">
        <v>1382</v>
      </c>
      <c r="Q65" s="181">
        <v>660387578</v>
      </c>
      <c r="R65" s="181">
        <v>905528099932</v>
      </c>
      <c r="S65" s="182">
        <v>95292.71</v>
      </c>
    </row>
    <row r="66" spans="16:19" ht="18" thickBot="1">
      <c r="P66" s="180" t="s">
        <v>1383</v>
      </c>
      <c r="Q66" s="181">
        <v>628284359</v>
      </c>
      <c r="R66" s="181">
        <v>871789541226</v>
      </c>
      <c r="S66" s="182">
        <v>95017.75</v>
      </c>
    </row>
    <row r="67" spans="16:19" ht="18" thickBot="1">
      <c r="P67" s="180" t="s">
        <v>1384</v>
      </c>
      <c r="Q67" s="181">
        <v>633452148</v>
      </c>
      <c r="R67" s="181">
        <v>880178461789</v>
      </c>
      <c r="S67" s="182">
        <v>99141.89</v>
      </c>
    </row>
    <row r="68" spans="16:19" ht="18" thickBot="1">
      <c r="P68" s="180" t="s">
        <v>1385</v>
      </c>
      <c r="Q68" s="181">
        <v>313502563</v>
      </c>
      <c r="R68" s="181">
        <v>440062597285</v>
      </c>
      <c r="S68" s="182">
        <v>53019.18</v>
      </c>
    </row>
    <row r="69" spans="16:19" ht="18" thickBot="1">
      <c r="P69" s="180" t="s">
        <v>982</v>
      </c>
      <c r="Q69" s="181">
        <v>11157756672</v>
      </c>
      <c r="R69" s="181">
        <v>15185371974547</v>
      </c>
      <c r="S69" s="182">
        <v>1216428.6200000001</v>
      </c>
    </row>
    <row r="70" spans="16:19" ht="18" thickBot="1">
      <c r="P70" s="215" t="s">
        <v>1386</v>
      </c>
      <c r="Q70" s="217" t="s">
        <v>1399</v>
      </c>
      <c r="R70"/>
      <c r="S70"/>
    </row>
    <row r="71" spans="16:19" ht="18" thickBot="1">
      <c r="P71" s="180" t="s">
        <v>1387</v>
      </c>
      <c r="Q71" s="181">
        <v>12888</v>
      </c>
      <c r="R71"/>
      <c r="S71"/>
    </row>
  </sheetData>
  <phoneticPr fontId="1" type="noConversion"/>
  <conditionalFormatting sqref="C29:C30">
    <cfRule type="cellIs" dxfId="1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92D050"/>
  </sheetPr>
  <dimension ref="A1:Y46"/>
  <sheetViews>
    <sheetView topLeftCell="C1" zoomScale="115" zoomScaleNormal="115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825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1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1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402930199.25</v>
      </c>
      <c r="G17" s="90">
        <f t="shared" si="2"/>
        <v>-5.1865902772610717E-2</v>
      </c>
      <c r="H17" s="90">
        <f t="shared" ref="H17:H41" si="3">F17/F5-1</f>
        <v>-5.9664089389817931E-2</v>
      </c>
      <c r="I17" s="130">
        <f t="shared" si="0"/>
        <v>-6753311805.6564636</v>
      </c>
      <c r="N17" s="89"/>
      <c r="O17" s="129" t="s">
        <v>100</v>
      </c>
      <c r="P17" s="116">
        <v>8058603985</v>
      </c>
      <c r="Q17" s="116"/>
      <c r="R17" s="116">
        <v>1472337251.02</v>
      </c>
      <c r="S17" s="130">
        <f t="shared" si="1"/>
        <v>5.4733410972365144</v>
      </c>
      <c r="T17" s="78"/>
    </row>
    <row r="18" spans="1:20" ht="15" hidden="1" customHeight="1">
      <c r="A18" s="129" t="s">
        <v>106</v>
      </c>
      <c r="C18" s="79"/>
      <c r="F18" s="78">
        <f>P18/20</f>
        <v>449591559.10000002</v>
      </c>
      <c r="G18" s="90">
        <f t="shared" si="2"/>
        <v>0.11580506980329064</v>
      </c>
      <c r="H18" s="90">
        <f t="shared" si="3"/>
        <v>4.5439539554483543E-2</v>
      </c>
      <c r="I18" s="130">
        <f t="shared" si="0"/>
        <v>9894280697.1211605</v>
      </c>
      <c r="N18" s="89"/>
      <c r="O18" s="129" t="s">
        <v>106</v>
      </c>
      <c r="P18" s="116">
        <v>8991831182</v>
      </c>
      <c r="Q18" s="116"/>
      <c r="R18" s="116">
        <v>1906607569.8499999</v>
      </c>
      <c r="S18" s="130">
        <f t="shared" si="1"/>
        <v>4.7161415511989295</v>
      </c>
      <c r="T18" s="78"/>
    </row>
    <row r="19" spans="1:20" hidden="1">
      <c r="A19" s="129" t="s">
        <v>114</v>
      </c>
      <c r="B19" s="131">
        <f>SUM(F17:F19)</f>
        <v>1296843010.7136364</v>
      </c>
      <c r="C19" s="131">
        <f>AVERAGE(F17:F19)</f>
        <v>432281003.57121211</v>
      </c>
      <c r="D19" s="90">
        <f>C19/C16-1</f>
        <v>3.4618619880640633E-2</v>
      </c>
      <c r="E19" s="90">
        <f>C19/C7-1</f>
        <v>1.3219566864108856E-4</v>
      </c>
      <c r="F19" s="78">
        <f>P19/22</f>
        <v>444321252.36363637</v>
      </c>
      <c r="G19" s="90">
        <f t="shared" si="2"/>
        <v>-1.1722432571718788E-2</v>
      </c>
      <c r="H19" s="90">
        <f t="shared" si="3"/>
        <v>1.4141966011079976E-2</v>
      </c>
      <c r="I19" s="130">
        <f t="shared" si="0"/>
        <v>31418633874.209473</v>
      </c>
      <c r="J19" s="78">
        <f>Q17+Q18+Q19</f>
        <v>0</v>
      </c>
      <c r="K19" s="87">
        <f>T19/T16-1</f>
        <v>4.0709708377881793E-3</v>
      </c>
      <c r="L19" s="87">
        <f>T19/T7-1</f>
        <v>3.3754714803309493E-2</v>
      </c>
      <c r="M19" s="88">
        <f>AVERAGE(S17:S19)</f>
        <v>5.0997616496316303</v>
      </c>
      <c r="N19" s="89">
        <f>M19/M16-1</f>
        <v>-7.7840102767926855E-2</v>
      </c>
      <c r="O19" s="129" t="s">
        <v>115</v>
      </c>
      <c r="P19" s="116">
        <v>9775067552</v>
      </c>
      <c r="Q19" s="116"/>
      <c r="R19" s="116">
        <v>1913003082.55</v>
      </c>
      <c r="S19" s="130">
        <f t="shared" si="1"/>
        <v>5.1098023004594451</v>
      </c>
      <c r="T19" s="85">
        <f>P17+P18+P19</f>
        <v>26825502719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459052349.35000002</v>
      </c>
      <c r="G20" s="90">
        <f t="shared" si="2"/>
        <v>3.3154157961158282E-2</v>
      </c>
      <c r="H20" s="90">
        <f t="shared" si="3"/>
        <v>3.5784198188397731E-3</v>
      </c>
      <c r="I20" s="130">
        <f t="shared" si="0"/>
        <v>128283536474.16307</v>
      </c>
      <c r="N20" s="89"/>
      <c r="O20" s="129" t="s">
        <v>132</v>
      </c>
      <c r="P20" s="116">
        <v>9181046987</v>
      </c>
      <c r="Q20" s="116"/>
      <c r="R20" s="116">
        <v>1826325429.3399999</v>
      </c>
      <c r="S20" s="130">
        <f t="shared" si="1"/>
        <v>5.0270597120896792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450459442.09523809</v>
      </c>
      <c r="G21" s="90">
        <f t="shared" si="2"/>
        <v>-1.8718795943271305E-2</v>
      </c>
      <c r="H21" s="90">
        <f t="shared" si="3"/>
        <v>-1.6734885900199226E-2</v>
      </c>
      <c r="I21" s="130">
        <f t="shared" si="0"/>
        <v>-26917389504.871105</v>
      </c>
      <c r="N21" s="89"/>
      <c r="O21" s="129" t="s">
        <v>141</v>
      </c>
      <c r="P21" s="116">
        <v>9459648284</v>
      </c>
      <c r="Q21" s="116"/>
      <c r="R21" s="116">
        <v>1980336196</v>
      </c>
      <c r="S21" s="130">
        <f t="shared" si="1"/>
        <v>4.7767890639514423</v>
      </c>
      <c r="T21" s="78"/>
    </row>
    <row r="22" spans="1:20" hidden="1">
      <c r="A22" s="129" t="s">
        <v>156</v>
      </c>
      <c r="B22" s="131">
        <f>SUM(F20:F22)</f>
        <v>1366616469.5880952</v>
      </c>
      <c r="C22" s="131">
        <f>AVERAGE(F20:F22)</f>
        <v>455538823.19603175</v>
      </c>
      <c r="D22" s="90">
        <f>C22/C19-1</f>
        <v>5.3802548417995144E-2</v>
      </c>
      <c r="E22" s="90">
        <f>C22/C10-1</f>
        <v>-1.0214485470885326E-2</v>
      </c>
      <c r="F22" s="78">
        <f>P22/21</f>
        <v>457104678.14285713</v>
      </c>
      <c r="G22" s="90">
        <f t="shared" si="2"/>
        <v>1.4752129551796722E-2</v>
      </c>
      <c r="H22" s="90">
        <f t="shared" si="3"/>
        <v>-1.7355670285191693E-2</v>
      </c>
      <c r="I22" s="130">
        <f t="shared" si="0"/>
        <v>-26337483406.381065</v>
      </c>
      <c r="J22" s="78">
        <f>Q20+Q21+Q22</f>
        <v>0</v>
      </c>
      <c r="K22" s="87">
        <f>T22/T19-1</f>
        <v>5.2725602491624946E-2</v>
      </c>
      <c r="L22" s="87">
        <f>T22/T10-1</f>
        <v>-2.6046543135731293E-2</v>
      </c>
      <c r="M22" s="88">
        <f>AVERAGE(S20:S22)</f>
        <v>5.0565472046085729</v>
      </c>
      <c r="N22" s="89">
        <f>M22/M19-1</f>
        <v>-8.4738166196803855E-3</v>
      </c>
      <c r="O22" s="129" t="s">
        <v>156</v>
      </c>
      <c r="P22" s="116">
        <v>9599198241</v>
      </c>
      <c r="Q22" s="116"/>
      <c r="R22" s="116">
        <v>1788961767.8499999</v>
      </c>
      <c r="S22" s="130">
        <f t="shared" si="1"/>
        <v>5.3657928377845971</v>
      </c>
      <c r="T22" s="85">
        <f>P20+P21+P22</f>
        <v>28239893512</v>
      </c>
    </row>
    <row r="23" spans="1:20" hidden="1">
      <c r="A23" s="129" t="s">
        <v>189</v>
      </c>
      <c r="B23" s="131"/>
      <c r="C23" s="131"/>
      <c r="F23" s="78">
        <f>P23/21</f>
        <v>443294571.85714287</v>
      </c>
      <c r="G23" s="90">
        <f t="shared" si="2"/>
        <v>-3.0212130713302976E-2</v>
      </c>
      <c r="H23" s="90">
        <f t="shared" si="3"/>
        <v>-7.8671721570188535E-2</v>
      </c>
      <c r="I23" s="130">
        <f t="shared" si="0"/>
        <v>-5634738416.924674</v>
      </c>
      <c r="N23" s="89"/>
      <c r="O23" s="129" t="s">
        <v>189</v>
      </c>
      <c r="P23" s="116">
        <v>9309186009</v>
      </c>
      <c r="Q23" s="116"/>
      <c r="R23" s="116">
        <v>1853798970.9100001</v>
      </c>
      <c r="S23" s="130">
        <f t="shared" si="1"/>
        <v>5.0216804276411215</v>
      </c>
      <c r="T23" s="78"/>
    </row>
    <row r="24" spans="1:20" hidden="1">
      <c r="A24" s="129" t="s">
        <v>204</v>
      </c>
      <c r="B24" s="131"/>
      <c r="C24" s="131"/>
      <c r="F24" s="78">
        <f>P24/22</f>
        <v>407233664.72727275</v>
      </c>
      <c r="G24" s="90">
        <f t="shared" si="2"/>
        <v>-8.1347504389228553E-2</v>
      </c>
      <c r="H24" s="90">
        <f t="shared" si="3"/>
        <v>2.3755883772466957E-2</v>
      </c>
      <c r="I24" s="130">
        <f t="shared" si="0"/>
        <v>17142433791.465849</v>
      </c>
      <c r="N24" s="89"/>
      <c r="O24" s="129" t="s">
        <v>204</v>
      </c>
      <c r="P24" s="116">
        <v>8959140624</v>
      </c>
      <c r="Q24" s="116"/>
      <c r="R24" s="116">
        <v>1587185650.8</v>
      </c>
      <c r="S24" s="130">
        <f t="shared" si="1"/>
        <v>5.6446708798584861</v>
      </c>
      <c r="T24" s="78"/>
    </row>
    <row r="25" spans="1:20" s="79" customFormat="1" ht="13.2" hidden="1">
      <c r="A25" s="129" t="s">
        <v>218</v>
      </c>
      <c r="B25" s="131">
        <f>SUM(F23:F25)</f>
        <v>1380966852.9002051</v>
      </c>
      <c r="C25" s="131">
        <f>AVERAGE(F23:F25)</f>
        <v>460322284.30006838</v>
      </c>
      <c r="D25" s="90">
        <f>C25/C22-1</f>
        <v>1.0500666157224892E-2</v>
      </c>
      <c r="E25" s="90">
        <f>C25/C13-1</f>
        <v>2.9513853044552896E-2</v>
      </c>
      <c r="F25" s="78">
        <f>P25/19</f>
        <v>530438616.31578946</v>
      </c>
      <c r="G25" s="90">
        <f t="shared" si="2"/>
        <v>0.30254117539871839</v>
      </c>
      <c r="H25" s="90">
        <f t="shared" si="3"/>
        <v>0.14702718560903372</v>
      </c>
      <c r="I25" s="130">
        <f t="shared" si="0"/>
        <v>3607758756.4404688</v>
      </c>
      <c r="J25" s="78">
        <f>Q23+Q24+Q25</f>
        <v>0</v>
      </c>
      <c r="K25" s="90">
        <f>T25/T22-1</f>
        <v>3.7807094051056644E-3</v>
      </c>
      <c r="L25" s="90">
        <f>T25/T13-1</f>
        <v>8.6247600156210691E-3</v>
      </c>
      <c r="M25" s="88">
        <f>AVERAGE(S23:S25)</f>
        <v>5.4451965057871474</v>
      </c>
      <c r="N25" s="91">
        <f>M25/M22-1</f>
        <v>7.6860609710981631E-2</v>
      </c>
      <c r="O25" s="129" t="s">
        <v>220</v>
      </c>
      <c r="P25" s="116">
        <v>10078333710</v>
      </c>
      <c r="Q25" s="116"/>
      <c r="R25" s="116">
        <v>1777722744.5599999</v>
      </c>
      <c r="S25" s="130">
        <f t="shared" si="1"/>
        <v>5.6692382098618337</v>
      </c>
      <c r="T25" s="85">
        <f>P23+P24+P25</f>
        <v>28346660343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529457295</v>
      </c>
      <c r="G26" s="90">
        <f t="shared" si="2"/>
        <v>-1.8500186178097566E-3</v>
      </c>
      <c r="H26" s="90">
        <f t="shared" si="3"/>
        <v>0.23249017067685029</v>
      </c>
      <c r="I26" s="130">
        <f t="shared" si="0"/>
        <v>2277331955.4051991</v>
      </c>
      <c r="K26" s="90"/>
      <c r="L26" s="90"/>
      <c r="O26" s="129" t="s">
        <v>312</v>
      </c>
      <c r="P26" s="116">
        <v>10059688605</v>
      </c>
      <c r="Q26" s="116"/>
      <c r="R26" s="116">
        <v>1708616950.0599999</v>
      </c>
      <c r="S26" s="130">
        <f t="shared" si="1"/>
        <v>5.8876207476735747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497436366.63636363</v>
      </c>
      <c r="G27" s="90">
        <f t="shared" si="2"/>
        <v>-6.0478774522572887E-2</v>
      </c>
      <c r="H27" s="90">
        <f t="shared" si="3"/>
        <v>0.24703532835577957</v>
      </c>
      <c r="I27" s="130">
        <f t="shared" si="0"/>
        <v>2013624407.2748866</v>
      </c>
      <c r="K27" s="90"/>
      <c r="L27" s="90"/>
      <c r="O27" s="129" t="s">
        <v>375</v>
      </c>
      <c r="P27" s="116">
        <v>10943600066</v>
      </c>
      <c r="Q27" s="116"/>
      <c r="R27" s="116">
        <v>1577885448.21</v>
      </c>
      <c r="S27" s="130">
        <f t="shared" si="1"/>
        <v>6.935611250116251</v>
      </c>
      <c r="T27" s="78"/>
    </row>
    <row r="28" spans="1:20" s="79" customFormat="1" ht="13.2" hidden="1">
      <c r="A28" s="123" t="s">
        <v>413</v>
      </c>
      <c r="B28" s="131">
        <f>SUM(F26:F28)</f>
        <v>1620629926.1626794</v>
      </c>
      <c r="C28" s="131">
        <f>AVERAGE(F26:F28)</f>
        <v>540209975.38755977</v>
      </c>
      <c r="D28" s="90">
        <f>C28/C25-1</f>
        <v>0.17354730329634727</v>
      </c>
      <c r="E28" s="90">
        <f>C28/C16-1</f>
        <v>0.29293513840276653</v>
      </c>
      <c r="F28" s="78">
        <f>P28/19</f>
        <v>593736264.52631581</v>
      </c>
      <c r="G28" s="90">
        <f t="shared" si="2"/>
        <v>0.19359239562866426</v>
      </c>
      <c r="H28" s="90">
        <f t="shared" si="3"/>
        <v>0.39711939736872637</v>
      </c>
      <c r="I28" s="130">
        <f t="shared" si="0"/>
        <v>1495107689.174473</v>
      </c>
      <c r="J28" s="78">
        <f>Q26+Q27+Q28</f>
        <v>0</v>
      </c>
      <c r="K28" s="90">
        <f>T28/T25-1</f>
        <v>0.13890939201846275</v>
      </c>
      <c r="L28" s="90">
        <f>T28/T16-1</f>
        <v>0.2083913725525115</v>
      </c>
      <c r="M28" s="88">
        <f>AVERAGE(S26:S28)</f>
        <v>6.4652124873682544</v>
      </c>
      <c r="N28" s="91">
        <f>M28/M25-1</f>
        <v>0.1873239984079611</v>
      </c>
      <c r="O28" s="129" t="s">
        <v>413</v>
      </c>
      <c r="P28" s="116">
        <v>11280989026</v>
      </c>
      <c r="Q28" s="116"/>
      <c r="R28" s="116">
        <v>1716417084.6199999</v>
      </c>
      <c r="S28" s="130">
        <f t="shared" si="1"/>
        <v>6.5724054643149366</v>
      </c>
      <c r="T28" s="85">
        <f>P26+P27+P28</f>
        <v>32284277697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466016604.04545456</v>
      </c>
      <c r="G29" s="190">
        <f t="shared" si="2"/>
        <v>-0.21511177287234817</v>
      </c>
      <c r="H29" s="190">
        <f t="shared" si="3"/>
        <v>0.15656906559220762</v>
      </c>
      <c r="I29" s="130">
        <f>S29</f>
        <v>5.6392788541557826</v>
      </c>
      <c r="J29" s="136"/>
      <c r="K29" s="190"/>
      <c r="L29" s="190"/>
      <c r="M29" s="191"/>
      <c r="N29" s="192"/>
      <c r="O29" s="129" t="s">
        <v>427</v>
      </c>
      <c r="P29" s="116">
        <v>10252365289</v>
      </c>
      <c r="Q29" s="116">
        <v>13495538254311</v>
      </c>
      <c r="R29" s="116">
        <v>1818027722.01</v>
      </c>
      <c r="S29" s="130">
        <f t="shared" si="1"/>
        <v>5.6392788541557826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516270304.84210527</v>
      </c>
      <c r="G30" s="190">
        <f t="shared" si="2"/>
        <v>0.1078367173195165</v>
      </c>
      <c r="H30" s="190">
        <f t="shared" si="3"/>
        <v>0.14830960322205322</v>
      </c>
      <c r="I30" s="130">
        <f t="shared" ref="I30:I45" si="4">S30</f>
        <v>5.2696178514649237</v>
      </c>
      <c r="J30" s="136"/>
      <c r="K30" s="190"/>
      <c r="L30" s="190"/>
      <c r="M30" s="191"/>
      <c r="N30" s="192"/>
      <c r="O30" s="129" t="s">
        <v>469</v>
      </c>
      <c r="P30" s="116">
        <v>9809135792</v>
      </c>
      <c r="Q30" s="116">
        <v>13071489493810</v>
      </c>
      <c r="R30" s="116">
        <v>1861451070.74</v>
      </c>
      <c r="S30" s="130">
        <f t="shared" si="1"/>
        <v>5.2696178514649237</v>
      </c>
      <c r="T30" s="85"/>
    </row>
    <row r="31" spans="1:20" s="79" customFormat="1" ht="13.2">
      <c r="A31" s="129" t="s">
        <v>505</v>
      </c>
      <c r="B31" s="188">
        <f>SUM(F29:F31)</f>
        <v>1526351857.28756</v>
      </c>
      <c r="C31" s="188">
        <f>AVERAGE(F29:F31)</f>
        <v>508783952.42918664</v>
      </c>
      <c r="D31" s="190">
        <f>C31/C28-1</f>
        <v>-5.8173718350586379E-2</v>
      </c>
      <c r="E31" s="190">
        <f>C31/C19-1</f>
        <v>0.17697504222012794</v>
      </c>
      <c r="F31" s="136">
        <f>P31/20</f>
        <v>544064948.39999998</v>
      </c>
      <c r="G31" s="190">
        <f t="shared" si="2"/>
        <v>5.3837385759375245E-2</v>
      </c>
      <c r="H31" s="190">
        <f t="shared" si="3"/>
        <v>0.22448553947343597</v>
      </c>
      <c r="I31" s="130">
        <f t="shared" si="4"/>
        <v>5.6778965592917769</v>
      </c>
      <c r="J31" s="136">
        <f>Q29+Q30+Q31</f>
        <v>41017356119126</v>
      </c>
      <c r="K31" s="190">
        <f>T31/T28-1</f>
        <v>-4.1552041541405016E-2</v>
      </c>
      <c r="L31" s="190">
        <f>T31/T19-1</f>
        <v>0.1534844425146149</v>
      </c>
      <c r="M31" s="191">
        <f>AVERAGE(S29:S31)</f>
        <v>5.5289310883041614</v>
      </c>
      <c r="N31" s="192">
        <f>M31/M28-1</f>
        <v>-0.14481834910970082</v>
      </c>
      <c r="O31" s="129" t="s">
        <v>506</v>
      </c>
      <c r="P31" s="116">
        <v>10881298968</v>
      </c>
      <c r="Q31" s="116">
        <v>14450328371005</v>
      </c>
      <c r="R31" s="116">
        <v>1916431349.95</v>
      </c>
      <c r="S31" s="130">
        <f t="shared" si="1"/>
        <v>5.6778965592917769</v>
      </c>
      <c r="T31" s="85">
        <f>P29+P30+P31</f>
        <v>30942800049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542946450</v>
      </c>
      <c r="G32" s="190">
        <f t="shared" si="2"/>
        <v>-2.0558177903010622E-3</v>
      </c>
      <c r="H32" s="190">
        <f t="shared" si="3"/>
        <v>0.18275497504541849</v>
      </c>
      <c r="I32" s="130">
        <f t="shared" si="4"/>
        <v>5.4663920271029953</v>
      </c>
      <c r="J32" s="136"/>
      <c r="K32" s="190"/>
      <c r="L32" s="190"/>
      <c r="M32" s="191"/>
      <c r="N32" s="192"/>
      <c r="O32" s="129" t="s">
        <v>562</v>
      </c>
      <c r="P32" s="116">
        <v>11401875450</v>
      </c>
      <c r="Q32" s="116">
        <v>15516687512725</v>
      </c>
      <c r="R32" s="116">
        <v>2085813712.8599999</v>
      </c>
      <c r="S32" s="130">
        <f t="shared" si="1"/>
        <v>5.4663920271029953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520502716.85714287</v>
      </c>
      <c r="G33" s="190">
        <f t="shared" si="2"/>
        <v>-4.1336918480371576E-2</v>
      </c>
      <c r="H33" s="190">
        <f t="shared" si="3"/>
        <v>0.15549296610613816</v>
      </c>
      <c r="I33" s="130">
        <f t="shared" si="4"/>
        <v>5.2694987946139884</v>
      </c>
      <c r="J33" s="136"/>
      <c r="K33" s="190"/>
      <c r="L33" s="190"/>
      <c r="M33" s="191"/>
      <c r="N33" s="192"/>
      <c r="O33" s="129" t="s">
        <v>607</v>
      </c>
      <c r="P33" s="116">
        <v>10930557054</v>
      </c>
      <c r="Q33" s="116">
        <v>14941978973685</v>
      </c>
      <c r="R33" s="116">
        <v>2074306775.6600001</v>
      </c>
      <c r="S33" s="130">
        <f t="shared" si="1"/>
        <v>5.2694987946139884</v>
      </c>
      <c r="T33" s="85"/>
    </row>
    <row r="34" spans="1:20" s="79" customFormat="1" ht="13.2">
      <c r="A34" s="129" t="s">
        <v>652</v>
      </c>
      <c r="B34" s="188">
        <f>SUM(F32:F34)</f>
        <v>1657960673.8571429</v>
      </c>
      <c r="C34" s="188">
        <f>AVERAGE(F32:F34)</f>
        <v>552653557.95238101</v>
      </c>
      <c r="D34" s="190">
        <f>C34/C31-1</f>
        <v>8.6224428490205174E-2</v>
      </c>
      <c r="E34" s="190">
        <f>C34/C22-1</f>
        <v>0.21318651629952945</v>
      </c>
      <c r="F34" s="136">
        <f>P34/19</f>
        <v>594511507</v>
      </c>
      <c r="G34" s="190">
        <f t="shared" si="2"/>
        <v>0.14218713514067893</v>
      </c>
      <c r="H34" s="190">
        <f t="shared" si="3"/>
        <v>0.30060254341610482</v>
      </c>
      <c r="I34" s="130">
        <f t="shared" si="4"/>
        <v>6.0073905885763166</v>
      </c>
      <c r="J34" s="136">
        <f>Q32+Q33+Q34</f>
        <v>45991346725810</v>
      </c>
      <c r="K34" s="190">
        <f>T34/T31-1</f>
        <v>8.6784359649015874E-2</v>
      </c>
      <c r="L34" s="190">
        <f>T34/T22-1</f>
        <v>0.19080304331566844</v>
      </c>
      <c r="M34" s="191">
        <f>AVERAGE(S32:S34)</f>
        <v>5.5810938034310995</v>
      </c>
      <c r="N34" s="192">
        <f>M34/M31-1</f>
        <v>9.4345026721860403E-3</v>
      </c>
      <c r="O34" s="129" t="s">
        <v>652</v>
      </c>
      <c r="P34" s="116">
        <v>11295718633</v>
      </c>
      <c r="Q34" s="116">
        <v>15532680239400</v>
      </c>
      <c r="R34" s="116">
        <v>1880303680.3499999</v>
      </c>
      <c r="S34" s="130">
        <f t="shared" si="1"/>
        <v>6.0073905885763166</v>
      </c>
      <c r="T34" s="85">
        <f>P32+P33+P34</f>
        <v>33628151137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442796598.52173913</v>
      </c>
      <c r="G35" s="190">
        <f t="shared" si="2"/>
        <v>-0.25519255168640642</v>
      </c>
      <c r="H35" s="190">
        <f t="shared" si="3"/>
        <v>-1.1233463412771982E-3</v>
      </c>
      <c r="I35" s="130">
        <f t="shared" si="4"/>
        <v>5.3617191023518318</v>
      </c>
      <c r="J35" s="136"/>
      <c r="K35" s="190"/>
      <c r="L35" s="190"/>
      <c r="M35" s="191"/>
      <c r="N35" s="192"/>
      <c r="O35" s="129" t="s">
        <v>660</v>
      </c>
      <c r="P35" s="116">
        <v>10184321766</v>
      </c>
      <c r="Q35" s="116">
        <v>14094452113015</v>
      </c>
      <c r="R35" s="116">
        <v>1899450823.8099999</v>
      </c>
      <c r="S35" s="130">
        <f t="shared" si="1"/>
        <v>5.3617191023518318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473218292.76190478</v>
      </c>
      <c r="G36" s="190">
        <f t="shared" si="2"/>
        <v>6.8703540952499198E-2</v>
      </c>
      <c r="H36" s="190">
        <f t="shared" si="3"/>
        <v>0.16203136859724609</v>
      </c>
      <c r="I36" s="130">
        <f t="shared" si="4"/>
        <v>5.9369202970782489</v>
      </c>
      <c r="J36" s="136"/>
      <c r="K36" s="190"/>
      <c r="L36" s="190"/>
      <c r="M36" s="191"/>
      <c r="N36" s="192"/>
      <c r="O36" s="129" t="s">
        <v>664</v>
      </c>
      <c r="P36" s="116">
        <v>9937584148</v>
      </c>
      <c r="Q36" s="116">
        <v>13546007882784</v>
      </c>
      <c r="R36" s="116">
        <v>1673861808.9400001</v>
      </c>
      <c r="S36" s="130">
        <f t="shared" si="1"/>
        <v>5.9369202970782489</v>
      </c>
      <c r="T36" s="85"/>
    </row>
    <row r="37" spans="1:20" s="79" customFormat="1" ht="13.2">
      <c r="A37" s="129" t="s">
        <v>702</v>
      </c>
      <c r="B37" s="188">
        <f>SUM(F35:F37)</f>
        <v>1494686753.1169772</v>
      </c>
      <c r="C37" s="188">
        <f>AVERAGE(F35:F37)</f>
        <v>498228917.70565909</v>
      </c>
      <c r="D37" s="190">
        <f>C37/C34-1</f>
        <v>-9.847876569974312E-2</v>
      </c>
      <c r="E37" s="190">
        <f>C37/C25-1</f>
        <v>8.2348030278891926E-2</v>
      </c>
      <c r="F37" s="136">
        <f>P37/18</f>
        <v>578671861.83333337</v>
      </c>
      <c r="G37" s="190">
        <f t="shared" si="2"/>
        <v>0.2228433910615677</v>
      </c>
      <c r="H37" s="190">
        <f t="shared" si="3"/>
        <v>9.0930871233607435E-2</v>
      </c>
      <c r="I37" s="130">
        <f t="shared" si="4"/>
        <v>5.9675254490867893</v>
      </c>
      <c r="J37" s="136">
        <f>Q35+Q36+Q37</f>
        <v>41540868177848</v>
      </c>
      <c r="K37" s="190">
        <f>T37/T34-1</f>
        <v>-9.1891811042802307E-2</v>
      </c>
      <c r="L37" s="190">
        <f>T37/T25-1</f>
        <v>7.730501785693189E-2</v>
      </c>
      <c r="M37" s="191">
        <f>AVERAGE(S35:S37)</f>
        <v>5.7553882828389566</v>
      </c>
      <c r="N37" s="192">
        <f>M37/M34-1</f>
        <v>3.1229448123718306E-2</v>
      </c>
      <c r="O37" s="129" t="s">
        <v>702</v>
      </c>
      <c r="P37" s="116">
        <v>10416093513</v>
      </c>
      <c r="Q37" s="116">
        <v>13900408182049</v>
      </c>
      <c r="R37" s="116">
        <v>1745462772.1099999</v>
      </c>
      <c r="S37" s="130">
        <f t="shared" si="1"/>
        <v>5.9675254490867893</v>
      </c>
      <c r="T37" s="85">
        <f>P35+P36+P37</f>
        <v>30537999427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519823012.69999999</v>
      </c>
      <c r="G38" s="190">
        <f t="shared" si="2"/>
        <v>-0.10169640691857729</v>
      </c>
      <c r="H38" s="190">
        <f t="shared" si="3"/>
        <v>-1.8196523857509583E-2</v>
      </c>
      <c r="I38" s="130">
        <f t="shared" si="4"/>
        <v>6.4442738963174193</v>
      </c>
      <c r="J38" s="136"/>
      <c r="K38" s="190"/>
      <c r="L38" s="190"/>
      <c r="M38" s="191"/>
      <c r="N38" s="192"/>
      <c r="O38" s="129" t="s">
        <v>728</v>
      </c>
      <c r="P38" s="116">
        <v>10396460254</v>
      </c>
      <c r="Q38" s="116">
        <v>14016200504587</v>
      </c>
      <c r="R38" s="116">
        <v>1613286527.1199999</v>
      </c>
      <c r="S38" s="130">
        <f t="shared" si="1"/>
        <v>6.4442738963174193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494130852.76190478</v>
      </c>
      <c r="G39" s="190">
        <f t="shared" si="2"/>
        <v>-4.942482212291488E-2</v>
      </c>
      <c r="H39" s="190">
        <f t="shared" si="3"/>
        <v>-6.6450989436308561E-3</v>
      </c>
      <c r="I39" s="130">
        <f t="shared" si="4"/>
        <v>6.4079541351767348</v>
      </c>
      <c r="J39" s="136"/>
      <c r="K39" s="190"/>
      <c r="L39" s="190"/>
      <c r="M39" s="191"/>
      <c r="N39" s="192"/>
      <c r="O39" s="129" t="s">
        <v>762</v>
      </c>
      <c r="P39" s="116">
        <v>10376747908</v>
      </c>
      <c r="Q39" s="116">
        <v>14431033478933</v>
      </c>
      <c r="R39" s="116">
        <v>1619354272.6900001</v>
      </c>
      <c r="S39" s="130">
        <f t="shared" si="1"/>
        <v>6.4079541351767348</v>
      </c>
      <c r="T39" s="85"/>
    </row>
    <row r="40" spans="1:20" s="79" customFormat="1" ht="13.2">
      <c r="A40" s="129" t="s">
        <v>777</v>
      </c>
      <c r="B40" s="188">
        <f>SUM(F38:F40)</f>
        <v>1580826145.1285715</v>
      </c>
      <c r="C40" s="188">
        <f>AVERAGE(F38:F40)</f>
        <v>526942048.37619048</v>
      </c>
      <c r="D40" s="190">
        <f>C40/C37-1</f>
        <v>5.7630397695009661E-2</v>
      </c>
      <c r="E40" s="190">
        <f>C40/C28-1</f>
        <v>-2.4560684948201073E-2</v>
      </c>
      <c r="F40" s="136">
        <f>P40/21</f>
        <v>566872279.66666663</v>
      </c>
      <c r="G40" s="190">
        <f t="shared" si="2"/>
        <v>0.14721085821332447</v>
      </c>
      <c r="H40" s="190">
        <f t="shared" si="3"/>
        <v>-4.5245652766521371E-2</v>
      </c>
      <c r="I40" s="130">
        <f t="shared" si="4"/>
        <v>6.8075589845507558</v>
      </c>
      <c r="J40" s="136">
        <f>Q38+Q39+Q40</f>
        <v>45367961752514</v>
      </c>
      <c r="K40" s="190">
        <f>T40/T37-1</f>
        <v>7.0061125422261616E-2</v>
      </c>
      <c r="L40" s="190">
        <f>T40/T28-1</f>
        <v>1.218080025487267E-2</v>
      </c>
      <c r="M40" s="191">
        <f>AVERAGE(S38:S40)</f>
        <v>6.5532623386816367</v>
      </c>
      <c r="N40" s="192">
        <f>M40/M37-1</f>
        <v>0.13863079546200718</v>
      </c>
      <c r="O40" s="129" t="s">
        <v>777</v>
      </c>
      <c r="P40" s="116">
        <v>11904317873</v>
      </c>
      <c r="Q40" s="116">
        <v>16920727768994</v>
      </c>
      <c r="R40" s="116">
        <v>1748691109.4000001</v>
      </c>
      <c r="S40" s="130">
        <f t="shared" si="1"/>
        <v>6.8075589845507558</v>
      </c>
      <c r="T40" s="85">
        <f>P38+P39+P40</f>
        <v>32677526035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516110777.55555558</v>
      </c>
      <c r="G41" s="190">
        <f t="shared" si="2"/>
        <v>-8.9546629694011393E-2</v>
      </c>
      <c r="H41" s="190">
        <f t="shared" si="3"/>
        <v>0.10749439628381752</v>
      </c>
      <c r="I41" s="130">
        <f t="shared" si="4"/>
        <v>5.5415868318490151</v>
      </c>
      <c r="J41" s="193"/>
      <c r="K41" s="190"/>
      <c r="L41" s="190"/>
      <c r="M41" s="193"/>
      <c r="N41" s="193"/>
      <c r="O41" s="129" t="s">
        <v>789</v>
      </c>
      <c r="P41" s="116">
        <v>9289993996</v>
      </c>
      <c r="Q41" s="116">
        <v>13582541833204</v>
      </c>
      <c r="R41" s="116">
        <v>1676414044.9100001</v>
      </c>
      <c r="S41" s="130">
        <f t="shared" si="1"/>
        <v>5.5415868318490151</v>
      </c>
      <c r="T41" s="78"/>
    </row>
    <row r="42" spans="1:20" s="79" customFormat="1" ht="13.2">
      <c r="A42" s="129" t="s">
        <v>828</v>
      </c>
      <c r="B42" s="193"/>
      <c r="C42" s="194"/>
      <c r="D42" s="195"/>
      <c r="E42" s="195"/>
      <c r="F42" s="136">
        <f>P42/20</f>
        <v>495470606.19999999</v>
      </c>
      <c r="G42" s="190">
        <f t="shared" ref="G42" si="5">F42/F41-1</f>
        <v>-3.9991746448917787E-2</v>
      </c>
      <c r="H42" s="190">
        <f t="shared" ref="H42" si="6">F42/F30-1</f>
        <v>-4.0288388557359722E-2</v>
      </c>
      <c r="I42" s="130">
        <f t="shared" si="4"/>
        <v>5.3129438930065191</v>
      </c>
      <c r="J42" s="193"/>
      <c r="K42" s="190"/>
      <c r="L42" s="190"/>
      <c r="M42" s="193"/>
      <c r="N42" s="193"/>
      <c r="O42" s="129" t="s">
        <v>828</v>
      </c>
      <c r="P42" s="116">
        <v>9909412124</v>
      </c>
      <c r="Q42" s="116">
        <v>14328112407077</v>
      </c>
      <c r="R42" s="116">
        <v>1865145261</v>
      </c>
      <c r="S42" s="130">
        <f t="shared" ref="S42" si="7">P42/R42</f>
        <v>5.3129438930065191</v>
      </c>
      <c r="T42" s="78"/>
    </row>
    <row r="43" spans="1:20" s="79" customFormat="1" ht="13.2">
      <c r="A43" s="129" t="s">
        <v>835</v>
      </c>
      <c r="B43" s="188">
        <f>SUM(F41:F43)</f>
        <v>1568223749.9055557</v>
      </c>
      <c r="C43" s="188">
        <f>AVERAGE(F41:F43)</f>
        <v>522741249.96851856</v>
      </c>
      <c r="D43" s="190">
        <f>C43/C40-1</f>
        <v>-7.9720311192037485E-3</v>
      </c>
      <c r="E43" s="190">
        <f>C43/C31-1</f>
        <v>2.7432660705379641E-2</v>
      </c>
      <c r="F43" s="136">
        <f>P43/20</f>
        <v>556642366.14999998</v>
      </c>
      <c r="G43" s="190">
        <f t="shared" ref="G43" si="8">F43/F42-1</f>
        <v>0.12346193534901162</v>
      </c>
      <c r="H43" s="190">
        <f t="shared" ref="H43" si="9">F43/F31-1</f>
        <v>2.3117493209198647E-2</v>
      </c>
      <c r="I43" s="130">
        <f t="shared" si="4"/>
        <v>5.6946061138001038</v>
      </c>
      <c r="J43" s="136">
        <f>Q41+Q42+Q43</f>
        <v>44053811996579</v>
      </c>
      <c r="K43" s="190">
        <f>T43/T40-1</f>
        <v>-7.1770200396689798E-2</v>
      </c>
      <c r="L43" s="190">
        <f>T43/T31-1</f>
        <v>-1.973145950053512E-2</v>
      </c>
      <c r="M43" s="191">
        <f>AVERAGE(S41:S43)</f>
        <v>5.5163789462185457</v>
      </c>
      <c r="N43" s="192">
        <f>M43/M40-1</f>
        <v>-0.15822400185976493</v>
      </c>
      <c r="O43" s="129" t="s">
        <v>835</v>
      </c>
      <c r="P43" s="116">
        <v>11132847323</v>
      </c>
      <c r="Q43" s="116">
        <v>16143157756298</v>
      </c>
      <c r="R43" s="116">
        <v>1954981099.75</v>
      </c>
      <c r="S43" s="130">
        <f t="shared" ref="S43" si="10">P43/R43</f>
        <v>5.6946061138001038</v>
      </c>
      <c r="T43" s="85">
        <f>P41+P42+P43</f>
        <v>30332253443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482969571.5</v>
      </c>
      <c r="G44" s="197">
        <f t="shared" ref="G44" si="11">F44/F43-1</f>
        <v>-0.13235211534392477</v>
      </c>
      <c r="H44" s="197">
        <f t="shared" ref="H44" si="12">F44/F32-1</f>
        <v>-0.11046555051607765</v>
      </c>
      <c r="I44" s="130">
        <f t="shared" si="4"/>
        <v>5.0276675111816553</v>
      </c>
      <c r="J44" s="147"/>
      <c r="K44" s="197"/>
      <c r="L44" s="197"/>
      <c r="M44" s="198"/>
      <c r="N44" s="199"/>
      <c r="O44" s="144" t="s">
        <v>843</v>
      </c>
      <c r="P44" s="145">
        <v>10625330573</v>
      </c>
      <c r="Q44" s="145">
        <v>15406941705135</v>
      </c>
      <c r="R44" s="145">
        <v>2113371767.2</v>
      </c>
      <c r="S44" s="146">
        <f t="shared" ref="S44" si="13">P44/R44</f>
        <v>5.0276675111816553</v>
      </c>
      <c r="T44" s="187"/>
    </row>
    <row r="45" spans="1:20" s="183" customFormat="1" ht="13.2">
      <c r="A45" s="144" t="s">
        <v>851</v>
      </c>
      <c r="B45" s="196"/>
      <c r="C45" s="196"/>
      <c r="D45" s="197"/>
      <c r="E45" s="197"/>
      <c r="F45" s="147">
        <f>P45/20</f>
        <v>99611277.099999994</v>
      </c>
      <c r="G45" s="197">
        <f t="shared" ref="G45" si="14">F45/F44-1</f>
        <v>-0.79375247846230002</v>
      </c>
      <c r="H45" s="197">
        <f t="shared" ref="H45" si="15">F45/F33-1</f>
        <v>-0.80862486616503237</v>
      </c>
      <c r="I45" s="130">
        <f t="shared" si="4"/>
        <v>3.8439533884909562</v>
      </c>
      <c r="J45" s="147"/>
      <c r="K45" s="197"/>
      <c r="L45" s="197"/>
      <c r="M45" s="198"/>
      <c r="N45" s="199"/>
      <c r="O45" s="144" t="s">
        <v>884</v>
      </c>
      <c r="P45" s="145">
        <v>1992225542</v>
      </c>
      <c r="Q45" s="145">
        <v>2853444835114</v>
      </c>
      <c r="R45" s="145">
        <v>518275155.98000002</v>
      </c>
      <c r="S45" s="146">
        <f t="shared" ref="S45" si="16">P45/R45</f>
        <v>3.8439533884909562</v>
      </c>
      <c r="T45" s="187"/>
    </row>
    <row r="46" spans="1:20">
      <c r="B46" s="131">
        <f>SUM(F44:F46)</f>
        <v>582580848.60000002</v>
      </c>
      <c r="C46" s="131">
        <f>AVERAGE(F44:F46)</f>
        <v>291290424.30000001</v>
      </c>
      <c r="D46" s="90">
        <f>C46/C43-1</f>
        <v>-0.44276365349483593</v>
      </c>
      <c r="E46" s="90">
        <f>C46/C34-1</f>
        <v>-0.47292400436314785</v>
      </c>
    </row>
  </sheetData>
  <phoneticPr fontId="1" type="noConversion"/>
  <conditionalFormatting sqref="C29:C30">
    <cfRule type="cellIs" dxfId="15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92D050"/>
  </sheetPr>
  <dimension ref="A1:Y46"/>
  <sheetViews>
    <sheetView topLeftCell="C1" zoomScale="120" zoomScaleNormal="120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836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291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2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2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0</v>
      </c>
      <c r="G17" s="90">
        <f t="shared" si="2"/>
        <v>-1</v>
      </c>
      <c r="H17" s="90">
        <f t="shared" ref="H17:H42" si="3">F17/F5-1</f>
        <v>-1</v>
      </c>
      <c r="I17" s="130">
        <f t="shared" si="0"/>
        <v>0</v>
      </c>
      <c r="N17" s="89"/>
      <c r="O17" s="129" t="s">
        <v>100</v>
      </c>
      <c r="P17" s="116"/>
      <c r="Q17" s="116"/>
      <c r="R17" s="116"/>
      <c r="S17" s="130" t="e">
        <f t="shared" si="1"/>
        <v>#DIV/0!</v>
      </c>
      <c r="T17" s="78"/>
    </row>
    <row r="18" spans="1:20" ht="15" hidden="1" customHeight="1">
      <c r="A18" s="129" t="s">
        <v>106</v>
      </c>
      <c r="C18" s="79"/>
      <c r="F18" s="78">
        <f>P18/20</f>
        <v>0</v>
      </c>
      <c r="G18" s="90" t="e">
        <f t="shared" si="2"/>
        <v>#DIV/0!</v>
      </c>
      <c r="H18" s="90">
        <f t="shared" si="3"/>
        <v>-1</v>
      </c>
      <c r="I18" s="130">
        <f t="shared" si="0"/>
        <v>0</v>
      </c>
      <c r="N18" s="89"/>
      <c r="O18" s="129" t="s">
        <v>106</v>
      </c>
      <c r="P18" s="116"/>
      <c r="Q18" s="116"/>
      <c r="R18" s="116"/>
      <c r="S18" s="130" t="e">
        <f t="shared" si="1"/>
        <v>#DIV/0!</v>
      </c>
      <c r="T18" s="78"/>
    </row>
    <row r="19" spans="1:20" hidden="1">
      <c r="A19" s="129" t="s">
        <v>114</v>
      </c>
      <c r="B19" s="131">
        <f>SUM(F17:F19)</f>
        <v>0</v>
      </c>
      <c r="C19" s="131">
        <f>AVERAGE(F17:F19)</f>
        <v>0</v>
      </c>
      <c r="D19" s="90">
        <f>C19/C16-1</f>
        <v>-1</v>
      </c>
      <c r="E19" s="90">
        <f>C19/C7-1</f>
        <v>-1</v>
      </c>
      <c r="F19" s="78">
        <f>P19/22</f>
        <v>0</v>
      </c>
      <c r="G19" s="90" t="e">
        <f t="shared" si="2"/>
        <v>#DIV/0!</v>
      </c>
      <c r="H19" s="90">
        <f t="shared" si="3"/>
        <v>-1</v>
      </c>
      <c r="I19" s="130">
        <f t="shared" si="0"/>
        <v>0</v>
      </c>
      <c r="J19" s="78">
        <f>Q17+Q18+Q19</f>
        <v>0</v>
      </c>
      <c r="K19" s="87">
        <f>T19/T16-1</f>
        <v>-1</v>
      </c>
      <c r="L19" s="87">
        <f>T19/T7-1</f>
        <v>-1</v>
      </c>
      <c r="M19" s="88" t="e">
        <f>AVERAGE(S17:S19)</f>
        <v>#DIV/0!</v>
      </c>
      <c r="N19" s="89" t="e">
        <f>M19/M16-1</f>
        <v>#DIV/0!</v>
      </c>
      <c r="O19" s="129" t="s">
        <v>114</v>
      </c>
      <c r="P19" s="116"/>
      <c r="Q19" s="116"/>
      <c r="R19" s="116"/>
      <c r="S19" s="130" t="e">
        <f t="shared" si="1"/>
        <v>#DIV/0!</v>
      </c>
      <c r="T19" s="85">
        <f>P17+P18+P19</f>
        <v>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0</v>
      </c>
      <c r="G20" s="90" t="e">
        <f t="shared" si="2"/>
        <v>#DIV/0!</v>
      </c>
      <c r="H20" s="90">
        <f t="shared" si="3"/>
        <v>-1</v>
      </c>
      <c r="I20" s="130">
        <f t="shared" si="0"/>
        <v>0</v>
      </c>
      <c r="N20" s="89"/>
      <c r="O20" s="129" t="s">
        <v>131</v>
      </c>
      <c r="P20" s="116"/>
      <c r="Q20" s="116"/>
      <c r="R20" s="116"/>
      <c r="S20" s="130" t="e">
        <f t="shared" si="1"/>
        <v>#DIV/0!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0</v>
      </c>
      <c r="G21" s="90" t="e">
        <f t="shared" si="2"/>
        <v>#DIV/0!</v>
      </c>
      <c r="H21" s="90">
        <f t="shared" si="3"/>
        <v>-1</v>
      </c>
      <c r="I21" s="130">
        <f t="shared" si="0"/>
        <v>0</v>
      </c>
      <c r="N21" s="89"/>
      <c r="O21" s="129" t="s">
        <v>141</v>
      </c>
      <c r="P21" s="116"/>
      <c r="Q21" s="116"/>
      <c r="R21" s="116"/>
      <c r="S21" s="130" t="e">
        <f t="shared" si="1"/>
        <v>#DIV/0!</v>
      </c>
      <c r="T21" s="78"/>
    </row>
    <row r="22" spans="1:20" hidden="1">
      <c r="A22" s="129" t="s">
        <v>156</v>
      </c>
      <c r="B22" s="131">
        <f>SUM(F20:F22)</f>
        <v>0</v>
      </c>
      <c r="C22" s="131">
        <f>AVERAGE(F20:F22)</f>
        <v>0</v>
      </c>
      <c r="D22" s="90" t="e">
        <f>C22/C19-1</f>
        <v>#DIV/0!</v>
      </c>
      <c r="E22" s="90">
        <f>C22/C10-1</f>
        <v>-1</v>
      </c>
      <c r="F22" s="78">
        <f>P22/21</f>
        <v>0</v>
      </c>
      <c r="G22" s="90" t="e">
        <f t="shared" si="2"/>
        <v>#DIV/0!</v>
      </c>
      <c r="H22" s="90">
        <f t="shared" si="3"/>
        <v>-1</v>
      </c>
      <c r="I22" s="130">
        <f t="shared" si="0"/>
        <v>0</v>
      </c>
      <c r="J22" s="78">
        <f>Q20+Q21+Q22</f>
        <v>0</v>
      </c>
      <c r="K22" s="87" t="e">
        <f>T22/T19-1</f>
        <v>#DIV/0!</v>
      </c>
      <c r="L22" s="87">
        <f>T22/T10-1</f>
        <v>-1</v>
      </c>
      <c r="M22" s="88" t="e">
        <f>AVERAGE(S20:S22)</f>
        <v>#DIV/0!</v>
      </c>
      <c r="N22" s="89" t="e">
        <f>M22/M19-1</f>
        <v>#DIV/0!</v>
      </c>
      <c r="O22" s="129" t="s">
        <v>156</v>
      </c>
      <c r="P22" s="116"/>
      <c r="Q22" s="116"/>
      <c r="R22" s="116"/>
      <c r="S22" s="130" t="e">
        <f t="shared" si="1"/>
        <v>#DIV/0!</v>
      </c>
      <c r="T22" s="85">
        <f>P20+P21+P22</f>
        <v>0</v>
      </c>
    </row>
    <row r="23" spans="1:20" hidden="1">
      <c r="A23" s="129" t="s">
        <v>189</v>
      </c>
      <c r="B23" s="131"/>
      <c r="C23" s="131"/>
      <c r="F23" s="78">
        <f>P23/21</f>
        <v>0</v>
      </c>
      <c r="G23" s="90" t="e">
        <f t="shared" si="2"/>
        <v>#DIV/0!</v>
      </c>
      <c r="H23" s="90">
        <f t="shared" si="3"/>
        <v>-1</v>
      </c>
      <c r="I23" s="130">
        <f t="shared" si="0"/>
        <v>0</v>
      </c>
      <c r="N23" s="89"/>
      <c r="O23" s="129" t="s">
        <v>189</v>
      </c>
      <c r="P23" s="116"/>
      <c r="Q23" s="116"/>
      <c r="R23" s="116"/>
      <c r="S23" s="130" t="e">
        <f t="shared" si="1"/>
        <v>#DIV/0!</v>
      </c>
      <c r="T23" s="78"/>
    </row>
    <row r="24" spans="1:20" hidden="1">
      <c r="A24" s="129" t="s">
        <v>204</v>
      </c>
      <c r="B24" s="131"/>
      <c r="C24" s="131"/>
      <c r="F24" s="78">
        <f>P24/22</f>
        <v>0</v>
      </c>
      <c r="G24" s="90" t="e">
        <f t="shared" si="2"/>
        <v>#DIV/0!</v>
      </c>
      <c r="H24" s="90">
        <f t="shared" si="3"/>
        <v>-1</v>
      </c>
      <c r="I24" s="130">
        <f t="shared" si="0"/>
        <v>0</v>
      </c>
      <c r="N24" s="89"/>
      <c r="O24" s="129" t="s">
        <v>204</v>
      </c>
      <c r="P24" s="116"/>
      <c r="Q24" s="116"/>
      <c r="R24" s="116"/>
      <c r="S24" s="130" t="e">
        <f t="shared" si="1"/>
        <v>#DIV/0!</v>
      </c>
      <c r="T24" s="78"/>
    </row>
    <row r="25" spans="1:20" s="79" customFormat="1" ht="13.2" hidden="1">
      <c r="A25" s="129" t="s">
        <v>218</v>
      </c>
      <c r="B25" s="131">
        <f>SUM(F23:F25)</f>
        <v>0</v>
      </c>
      <c r="C25" s="131">
        <f>AVERAGE(F23:F25)</f>
        <v>0</v>
      </c>
      <c r="D25" s="90" t="e">
        <f>C25/C22-1</f>
        <v>#DIV/0!</v>
      </c>
      <c r="E25" s="90">
        <f>C25/C13-1</f>
        <v>-1</v>
      </c>
      <c r="F25" s="78">
        <f>P25/19</f>
        <v>0</v>
      </c>
      <c r="G25" s="90" t="e">
        <f t="shared" si="2"/>
        <v>#DIV/0!</v>
      </c>
      <c r="H25" s="90">
        <f t="shared" si="3"/>
        <v>-1</v>
      </c>
      <c r="I25" s="130">
        <f t="shared" si="0"/>
        <v>0</v>
      </c>
      <c r="J25" s="78">
        <f>Q23+Q24+Q25</f>
        <v>0</v>
      </c>
      <c r="K25" s="90" t="e">
        <f>T25/T22-1</f>
        <v>#DIV/0!</v>
      </c>
      <c r="L25" s="90">
        <f>T25/T13-1</f>
        <v>-1</v>
      </c>
      <c r="M25" s="88" t="e">
        <f>AVERAGE(S23:S25)</f>
        <v>#DIV/0!</v>
      </c>
      <c r="N25" s="91" t="e">
        <f>M25/M22-1</f>
        <v>#DIV/0!</v>
      </c>
      <c r="O25" s="129" t="s">
        <v>220</v>
      </c>
      <c r="P25" s="116"/>
      <c r="Q25" s="116"/>
      <c r="R25" s="116"/>
      <c r="S25" s="130" t="e">
        <f t="shared" si="1"/>
        <v>#DIV/0!</v>
      </c>
      <c r="T25" s="85">
        <f>P23+P24+P25</f>
        <v>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0</v>
      </c>
      <c r="G26" s="90" t="e">
        <f t="shared" si="2"/>
        <v>#DIV/0!</v>
      </c>
      <c r="H26" s="90">
        <f t="shared" si="3"/>
        <v>-1</v>
      </c>
      <c r="I26" s="130">
        <f t="shared" si="0"/>
        <v>0</v>
      </c>
      <c r="K26" s="90"/>
      <c r="L26" s="90"/>
      <c r="O26" s="129" t="s">
        <v>312</v>
      </c>
      <c r="P26" s="116"/>
      <c r="Q26" s="116"/>
      <c r="R26" s="116"/>
      <c r="S26" s="130" t="e">
        <f t="shared" si="1"/>
        <v>#DIV/0!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0</v>
      </c>
      <c r="G27" s="90" t="e">
        <f t="shared" si="2"/>
        <v>#DIV/0!</v>
      </c>
      <c r="H27" s="90">
        <f t="shared" si="3"/>
        <v>-1</v>
      </c>
      <c r="I27" s="130">
        <f t="shared" si="0"/>
        <v>0</v>
      </c>
      <c r="K27" s="90"/>
      <c r="L27" s="90"/>
      <c r="O27" s="129" t="s">
        <v>375</v>
      </c>
      <c r="P27" s="116"/>
      <c r="Q27" s="116"/>
      <c r="R27" s="116"/>
      <c r="S27" s="130" t="e">
        <f t="shared" si="1"/>
        <v>#DIV/0!</v>
      </c>
      <c r="T27" s="78"/>
    </row>
    <row r="28" spans="1:20" s="79" customFormat="1" ht="13.2" hidden="1">
      <c r="A28" s="123" t="s">
        <v>413</v>
      </c>
      <c r="B28" s="131">
        <f>SUM(F26:F28)</f>
        <v>0</v>
      </c>
      <c r="C28" s="131">
        <f>AVERAGE(F26:F28)</f>
        <v>0</v>
      </c>
      <c r="D28" s="90" t="e">
        <f>C28/C25-1</f>
        <v>#DIV/0!</v>
      </c>
      <c r="E28" s="90">
        <f>C28/C16-1</f>
        <v>-1</v>
      </c>
      <c r="F28" s="78">
        <f>P28/19</f>
        <v>0</v>
      </c>
      <c r="G28" s="90" t="e">
        <f t="shared" si="2"/>
        <v>#DIV/0!</v>
      </c>
      <c r="H28" s="90">
        <f t="shared" si="3"/>
        <v>-1</v>
      </c>
      <c r="I28" s="130">
        <f t="shared" si="0"/>
        <v>0</v>
      </c>
      <c r="J28" s="78">
        <f>Q26+Q27+Q28</f>
        <v>0</v>
      </c>
      <c r="K28" s="90" t="e">
        <f>T28/T25-1</f>
        <v>#DIV/0!</v>
      </c>
      <c r="L28" s="90">
        <f>T28/T16-1</f>
        <v>-1</v>
      </c>
      <c r="M28" s="88" t="e">
        <f>AVERAGE(S26:S28)</f>
        <v>#DIV/0!</v>
      </c>
      <c r="N28" s="91" t="e">
        <f>M28/M25-1</f>
        <v>#DIV/0!</v>
      </c>
      <c r="O28" s="129" t="s">
        <v>413</v>
      </c>
      <c r="P28" s="116"/>
      <c r="Q28" s="116"/>
      <c r="R28" s="116"/>
      <c r="S28" s="130" t="e">
        <f t="shared" si="1"/>
        <v>#DIV/0!</v>
      </c>
      <c r="T28" s="85">
        <f>P26+P27+P28</f>
        <v>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486239799.04545456</v>
      </c>
      <c r="G29" s="190" t="e">
        <f t="shared" si="2"/>
        <v>#DIV/0!</v>
      </c>
      <c r="H29" s="190" t="e">
        <f t="shared" si="3"/>
        <v>#DIV/0!</v>
      </c>
      <c r="I29" s="130">
        <f>S29</f>
        <v>3.6148581002390996</v>
      </c>
      <c r="J29" s="136"/>
      <c r="K29" s="190"/>
      <c r="L29" s="190"/>
      <c r="M29" s="191"/>
      <c r="N29" s="192"/>
      <c r="O29" s="129" t="s">
        <v>427</v>
      </c>
      <c r="P29" s="116">
        <v>10697275579</v>
      </c>
      <c r="Q29" s="116">
        <v>14063929253961</v>
      </c>
      <c r="R29" s="116">
        <v>2959251866.1500001</v>
      </c>
      <c r="S29" s="130">
        <f t="shared" si="1"/>
        <v>3.6148581002390996</v>
      </c>
      <c r="T29" s="85"/>
    </row>
    <row r="30" spans="1:20" s="79" customFormat="1" ht="13.2">
      <c r="A30" s="129" t="s">
        <v>467</v>
      </c>
      <c r="B30" s="188"/>
      <c r="C30" s="188"/>
      <c r="D30" s="189"/>
      <c r="E30" s="189"/>
      <c r="F30" s="136">
        <f>P30/19</f>
        <v>507612364.31578946</v>
      </c>
      <c r="G30" s="190">
        <f t="shared" si="2"/>
        <v>4.395478385827678E-2</v>
      </c>
      <c r="H30" s="190" t="e">
        <f t="shared" si="3"/>
        <v>#DIV/0!</v>
      </c>
      <c r="I30" s="130">
        <f t="shared" ref="I30:I45" si="4">S30</f>
        <v>4.0182095667380926</v>
      </c>
      <c r="J30" s="136"/>
      <c r="K30" s="190"/>
      <c r="L30" s="190"/>
      <c r="M30" s="191"/>
      <c r="N30" s="192"/>
      <c r="O30" s="129" t="s">
        <v>467</v>
      </c>
      <c r="P30" s="116">
        <v>9644634922</v>
      </c>
      <c r="Q30" s="116">
        <v>12851114219229</v>
      </c>
      <c r="R30" s="116">
        <v>2400231934.5999999</v>
      </c>
      <c r="S30" s="130">
        <f t="shared" si="1"/>
        <v>4.0182095667380926</v>
      </c>
      <c r="T30" s="85"/>
    </row>
    <row r="31" spans="1:20" s="79" customFormat="1" ht="13.2">
      <c r="A31" s="129" t="s">
        <v>505</v>
      </c>
      <c r="B31" s="188">
        <f>SUM(F29:F31)</f>
        <v>1519871266.611244</v>
      </c>
      <c r="C31" s="188">
        <f>AVERAGE(F29:F31)</f>
        <v>506623755.5370813</v>
      </c>
      <c r="D31" s="190" t="e">
        <f>C31/C28-1</f>
        <v>#DIV/0!</v>
      </c>
      <c r="E31" s="190" t="e">
        <f>C31/C19-1</f>
        <v>#DIV/0!</v>
      </c>
      <c r="F31" s="136">
        <f>P31/20</f>
        <v>526019103.25</v>
      </c>
      <c r="G31" s="190">
        <f t="shared" si="2"/>
        <v>3.6261407775243892E-2</v>
      </c>
      <c r="H31" s="190" t="e">
        <f t="shared" si="3"/>
        <v>#DIV/0!</v>
      </c>
      <c r="I31" s="130">
        <f t="shared" si="4"/>
        <v>4.1456774444426765</v>
      </c>
      <c r="J31" s="136">
        <f>Q29+Q30+Q31</f>
        <v>40890651486586</v>
      </c>
      <c r="K31" s="190" t="e">
        <f>T31/T28-1</f>
        <v>#DIV/0!</v>
      </c>
      <c r="L31" s="190" t="e">
        <f>T31/T19-1</f>
        <v>#DIV/0!</v>
      </c>
      <c r="M31" s="191">
        <f>AVERAGE(S29:S31)</f>
        <v>3.92624837047329</v>
      </c>
      <c r="N31" s="192" t="e">
        <f>M31/M28-1</f>
        <v>#DIV/0!</v>
      </c>
      <c r="O31" s="129" t="s">
        <v>506</v>
      </c>
      <c r="P31" s="116">
        <v>10520382065</v>
      </c>
      <c r="Q31" s="116">
        <v>13975608013396</v>
      </c>
      <c r="R31" s="116">
        <v>2537675013.5500002</v>
      </c>
      <c r="S31" s="130">
        <f t="shared" si="1"/>
        <v>4.1456774444426765</v>
      </c>
      <c r="T31" s="85">
        <f>P29+P30+P31</f>
        <v>30862292566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498833621.52380955</v>
      </c>
      <c r="G32" s="190">
        <f t="shared" si="2"/>
        <v>-5.1681548366257823E-2</v>
      </c>
      <c r="H32" s="190" t="e">
        <f t="shared" si="3"/>
        <v>#DIV/0!</v>
      </c>
      <c r="I32" s="130">
        <f t="shared" si="4"/>
        <v>4.3846059468872154</v>
      </c>
      <c r="J32" s="136"/>
      <c r="K32" s="190"/>
      <c r="L32" s="190"/>
      <c r="M32" s="191"/>
      <c r="N32" s="192"/>
      <c r="O32" s="129" t="s">
        <v>562</v>
      </c>
      <c r="P32" s="116">
        <v>10475506052</v>
      </c>
      <c r="Q32" s="116">
        <v>14249193059767</v>
      </c>
      <c r="R32" s="116">
        <v>2389155645.6599998</v>
      </c>
      <c r="S32" s="130">
        <f t="shared" si="1"/>
        <v>4.3846059468872154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541814335.90476191</v>
      </c>
      <c r="G33" s="190">
        <f t="shared" si="2"/>
        <v>8.6162424757291189E-2</v>
      </c>
      <c r="H33" s="190" t="e">
        <f t="shared" si="3"/>
        <v>#DIV/0!</v>
      </c>
      <c r="I33" s="130">
        <f t="shared" si="4"/>
        <v>4.8557428598678491</v>
      </c>
      <c r="J33" s="136"/>
      <c r="K33" s="190"/>
      <c r="L33" s="190"/>
      <c r="M33" s="191"/>
      <c r="N33" s="192"/>
      <c r="O33" s="129" t="s">
        <v>607</v>
      </c>
      <c r="P33" s="116">
        <v>11378101054</v>
      </c>
      <c r="Q33" s="116">
        <v>15561679395132</v>
      </c>
      <c r="R33" s="116">
        <v>2343225616.0100002</v>
      </c>
      <c r="S33" s="130">
        <f t="shared" si="1"/>
        <v>4.8557428598678491</v>
      </c>
      <c r="T33" s="85"/>
    </row>
    <row r="34" spans="1:20" s="79" customFormat="1" ht="13.2">
      <c r="A34" s="129" t="s">
        <v>652</v>
      </c>
      <c r="B34" s="188">
        <f>SUM(F32:F34)</f>
        <v>1604131875.5338345</v>
      </c>
      <c r="C34" s="188">
        <f>AVERAGE(F32:F34)</f>
        <v>534710625.17794484</v>
      </c>
      <c r="D34" s="190">
        <f>C34/C31-1</f>
        <v>5.543930645551387E-2</v>
      </c>
      <c r="E34" s="190" t="e">
        <f>C34/C22-1</f>
        <v>#DIV/0!</v>
      </c>
      <c r="F34" s="136">
        <f>P34/19</f>
        <v>563483918.10526311</v>
      </c>
      <c r="G34" s="190">
        <f t="shared" si="2"/>
        <v>3.9994479223802282E-2</v>
      </c>
      <c r="H34" s="190" t="e">
        <f t="shared" si="3"/>
        <v>#DIV/0!</v>
      </c>
      <c r="I34" s="130">
        <f t="shared" si="4"/>
        <v>5.1061652553333756</v>
      </c>
      <c r="J34" s="136">
        <f>Q32+Q33+Q34</f>
        <v>44529706220717</v>
      </c>
      <c r="K34" s="190">
        <f>T34/T31-1</f>
        <v>5.5002685894763648E-2</v>
      </c>
      <c r="L34" s="190" t="e">
        <f>T34/T22-1</f>
        <v>#DIV/0!</v>
      </c>
      <c r="M34" s="191">
        <f>AVERAGE(S32:S34)</f>
        <v>4.7821713540294803</v>
      </c>
      <c r="N34" s="192">
        <f>M34/M31-1</f>
        <v>0.21800021363727762</v>
      </c>
      <c r="O34" s="129" t="s">
        <v>652</v>
      </c>
      <c r="P34" s="116">
        <v>10706194444</v>
      </c>
      <c r="Q34" s="116">
        <v>14718833765818</v>
      </c>
      <c r="R34" s="116">
        <v>2096719144.1400001</v>
      </c>
      <c r="S34" s="130">
        <f t="shared" si="1"/>
        <v>5.1061652553333756</v>
      </c>
      <c r="T34" s="85">
        <f>P32+P33+P34</f>
        <v>32559801550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495176932.13043481</v>
      </c>
      <c r="G35" s="190">
        <f t="shared" si="2"/>
        <v>-0.12122260064584134</v>
      </c>
      <c r="H35" s="190" t="e">
        <f t="shared" si="3"/>
        <v>#DIV/0!</v>
      </c>
      <c r="I35" s="130">
        <f t="shared" si="4"/>
        <v>4.4483594740380159</v>
      </c>
      <c r="J35" s="136"/>
      <c r="K35" s="190"/>
      <c r="L35" s="190"/>
      <c r="M35" s="191"/>
      <c r="N35" s="192"/>
      <c r="O35" s="129" t="s">
        <v>659</v>
      </c>
      <c r="P35" s="116">
        <v>11389069439</v>
      </c>
      <c r="Q35" s="116">
        <v>15762482488084</v>
      </c>
      <c r="R35" s="116">
        <v>2560285315.4000001</v>
      </c>
      <c r="S35" s="130">
        <f t="shared" si="1"/>
        <v>4.4483594740380159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540057124.23809528</v>
      </c>
      <c r="G36" s="190">
        <f t="shared" si="2"/>
        <v>9.0634658433237592E-2</v>
      </c>
      <c r="H36" s="190" t="e">
        <f t="shared" si="3"/>
        <v>#DIV/0!</v>
      </c>
      <c r="I36" s="130">
        <f t="shared" si="4"/>
        <v>4.3384334812313563</v>
      </c>
      <c r="J36" s="136"/>
      <c r="K36" s="190"/>
      <c r="L36" s="190"/>
      <c r="M36" s="191"/>
      <c r="N36" s="192"/>
      <c r="O36" s="129" t="s">
        <v>664</v>
      </c>
      <c r="P36" s="116">
        <v>11341199609</v>
      </c>
      <c r="Q36" s="116">
        <v>15484395304145</v>
      </c>
      <c r="R36" s="116">
        <v>2614123198.6300001</v>
      </c>
      <c r="S36" s="130">
        <f t="shared" si="1"/>
        <v>4.3384334812313563</v>
      </c>
      <c r="T36" s="85"/>
    </row>
    <row r="37" spans="1:20" s="79" customFormat="1" ht="13.2">
      <c r="A37" s="129" t="s">
        <v>702</v>
      </c>
      <c r="B37" s="188">
        <f>SUM(F35:F37)</f>
        <v>1681163315.9240856</v>
      </c>
      <c r="C37" s="188">
        <f>AVERAGE(F35:F37)</f>
        <v>560387771.97469521</v>
      </c>
      <c r="D37" s="190">
        <f>C37/C34-1</f>
        <v>4.8020640674954596E-2</v>
      </c>
      <c r="E37" s="190" t="e">
        <f>C37/C25-1</f>
        <v>#DIV/0!</v>
      </c>
      <c r="F37" s="136">
        <f>P37/18</f>
        <v>645929259.55555558</v>
      </c>
      <c r="G37" s="190">
        <f t="shared" si="2"/>
        <v>0.19603877176293749</v>
      </c>
      <c r="H37" s="190" t="e">
        <f t="shared" si="3"/>
        <v>#DIV/0!</v>
      </c>
      <c r="I37" s="130">
        <f t="shared" si="4"/>
        <v>4.7218865217100339</v>
      </c>
      <c r="J37" s="136">
        <f>Q35+Q36+Q37</f>
        <v>46767174418735</v>
      </c>
      <c r="K37" s="190">
        <f>T37/T34-1</f>
        <v>5.5196717561075026E-2</v>
      </c>
      <c r="L37" s="190" t="e">
        <f>T37/T25-1</f>
        <v>#DIV/0!</v>
      </c>
      <c r="M37" s="191">
        <f>AVERAGE(S35:S37)</f>
        <v>4.5028931589931354</v>
      </c>
      <c r="N37" s="192">
        <f>M37/M34-1</f>
        <v>-5.8399872016510646E-2</v>
      </c>
      <c r="O37" s="129" t="s">
        <v>702</v>
      </c>
      <c r="P37" s="116">
        <v>11626726672</v>
      </c>
      <c r="Q37" s="116">
        <v>15520296626506</v>
      </c>
      <c r="R37" s="116">
        <v>2462305398.1799998</v>
      </c>
      <c r="S37" s="130">
        <f t="shared" si="1"/>
        <v>4.7218865217100339</v>
      </c>
      <c r="T37" s="85">
        <f>P35+P36+P37</f>
        <v>34356995720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608680067.29999995</v>
      </c>
      <c r="G38" s="190">
        <f t="shared" si="2"/>
        <v>-5.7667603231328579E-2</v>
      </c>
      <c r="H38" s="190" t="e">
        <f t="shared" si="3"/>
        <v>#DIV/0!</v>
      </c>
      <c r="I38" s="130">
        <f t="shared" si="4"/>
        <v>4.4117385795268742</v>
      </c>
      <c r="J38" s="136"/>
      <c r="K38" s="190"/>
      <c r="L38" s="190"/>
      <c r="M38" s="191"/>
      <c r="N38" s="192"/>
      <c r="O38" s="129" t="s">
        <v>728</v>
      </c>
      <c r="P38" s="116">
        <v>12173601346</v>
      </c>
      <c r="Q38" s="116">
        <v>16378686344439</v>
      </c>
      <c r="R38" s="116">
        <v>2759365979.3200002</v>
      </c>
      <c r="S38" s="130">
        <f t="shared" si="1"/>
        <v>4.4117385795268742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537619801.42857146</v>
      </c>
      <c r="G39" s="190">
        <f t="shared" si="2"/>
        <v>-0.11674485446293581</v>
      </c>
      <c r="H39" s="190" t="e">
        <f t="shared" si="3"/>
        <v>#DIV/0!</v>
      </c>
      <c r="I39" s="130">
        <f t="shared" si="4"/>
        <v>4.1685715720978633</v>
      </c>
      <c r="J39" s="136"/>
      <c r="K39" s="190"/>
      <c r="L39" s="190"/>
      <c r="M39" s="191"/>
      <c r="N39" s="192"/>
      <c r="O39" s="129" t="s">
        <v>762</v>
      </c>
      <c r="P39" s="116">
        <v>11290015830</v>
      </c>
      <c r="Q39" s="116">
        <v>15689934270293</v>
      </c>
      <c r="R39" s="116">
        <v>2708365595.9200001</v>
      </c>
      <c r="S39" s="130">
        <f t="shared" si="1"/>
        <v>4.1685715720978633</v>
      </c>
      <c r="T39" s="85"/>
    </row>
    <row r="40" spans="1:20" s="79" customFormat="1" ht="13.2">
      <c r="A40" s="129" t="s">
        <v>777</v>
      </c>
      <c r="B40" s="188">
        <f>SUM(F38:F40)</f>
        <v>1707897726.5380952</v>
      </c>
      <c r="C40" s="188">
        <f>AVERAGE(F38:F40)</f>
        <v>569299242.17936504</v>
      </c>
      <c r="D40" s="190">
        <f>C40/C37-1</f>
        <v>1.5902328084832273E-2</v>
      </c>
      <c r="E40" s="190" t="e">
        <f>C40/C28-1</f>
        <v>#DIV/0!</v>
      </c>
      <c r="F40" s="136">
        <f>P40/21</f>
        <v>561597857.80952382</v>
      </c>
      <c r="G40" s="190">
        <f t="shared" si="2"/>
        <v>4.4600396632038963E-2</v>
      </c>
      <c r="H40" s="190" t="e">
        <f t="shared" si="3"/>
        <v>#DIV/0!</v>
      </c>
      <c r="I40" s="130">
        <f t="shared" si="4"/>
        <v>4.1199371364323225</v>
      </c>
      <c r="J40" s="136">
        <f>Q38+Q39+Q40</f>
        <v>48819989354876</v>
      </c>
      <c r="K40" s="190">
        <f>T40/T37-1</f>
        <v>2.6200674742814734E-2</v>
      </c>
      <c r="L40" s="190" t="e">
        <f>T40/T28-1</f>
        <v>#DIV/0!</v>
      </c>
      <c r="M40" s="191">
        <f>AVERAGE(S38:S40)</f>
        <v>4.233415762685687</v>
      </c>
      <c r="N40" s="192">
        <f>M40/M37-1</f>
        <v>-5.9845389795503023E-2</v>
      </c>
      <c r="O40" s="129" t="s">
        <v>777</v>
      </c>
      <c r="P40" s="116">
        <v>11793555014</v>
      </c>
      <c r="Q40" s="116">
        <v>16751368740144</v>
      </c>
      <c r="R40" s="116">
        <v>2862557030.23</v>
      </c>
      <c r="S40" s="130">
        <f t="shared" si="1"/>
        <v>4.1199371364323225</v>
      </c>
      <c r="T40" s="85">
        <f>P38+P39+P40</f>
        <v>35257172190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511606515.55555558</v>
      </c>
      <c r="G41" s="190">
        <f t="shared" si="2"/>
        <v>-8.9016262364240872E-2</v>
      </c>
      <c r="H41" s="190">
        <f t="shared" si="3"/>
        <v>5.2169148967029955E-2</v>
      </c>
      <c r="I41" s="130">
        <f t="shared" si="4"/>
        <v>3.8198973854173737</v>
      </c>
      <c r="J41" s="193"/>
      <c r="K41" s="190"/>
      <c r="L41" s="190"/>
      <c r="M41" s="193"/>
      <c r="N41" s="193"/>
      <c r="O41" s="129" t="s">
        <v>789</v>
      </c>
      <c r="P41" s="116">
        <v>9208917280</v>
      </c>
      <c r="Q41" s="116">
        <v>13459385910556</v>
      </c>
      <c r="R41" s="116">
        <v>2410776089.21</v>
      </c>
      <c r="S41" s="130">
        <f t="shared" si="1"/>
        <v>3.8198973854173737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475693941.55000001</v>
      </c>
      <c r="G42" s="190">
        <f t="shared" si="2"/>
        <v>-7.0195693200970966E-2</v>
      </c>
      <c r="H42" s="190">
        <f t="shared" si="3"/>
        <v>-6.2879521874555366E-2</v>
      </c>
      <c r="I42" s="130">
        <f t="shared" si="4"/>
        <v>3.776076145555002</v>
      </c>
      <c r="J42" s="193"/>
      <c r="K42" s="190"/>
      <c r="L42" s="190"/>
      <c r="M42" s="193"/>
      <c r="N42" s="193"/>
      <c r="O42" s="129" t="s">
        <v>826</v>
      </c>
      <c r="P42" s="116">
        <v>9513878831</v>
      </c>
      <c r="Q42" s="116">
        <v>13754892702034</v>
      </c>
      <c r="R42" s="116">
        <v>2519514560.6900001</v>
      </c>
      <c r="S42" s="130">
        <f t="shared" si="1"/>
        <v>3.776076145555002</v>
      </c>
      <c r="T42" s="78"/>
    </row>
    <row r="43" spans="1:20" s="79" customFormat="1" ht="13.2">
      <c r="A43" s="129" t="s">
        <v>835</v>
      </c>
      <c r="B43" s="188">
        <f>SUM(F41:F43)</f>
        <v>1491340629.4055555</v>
      </c>
      <c r="C43" s="188">
        <f>AVERAGE(F41:F43)</f>
        <v>497113543.13518518</v>
      </c>
      <c r="D43" s="190">
        <f>C43/C40-1</f>
        <v>-0.12679746203041109</v>
      </c>
      <c r="E43" s="190">
        <f>C43/C31-1</f>
        <v>-1.8771745892203873E-2</v>
      </c>
      <c r="F43" s="136">
        <f>P43/20</f>
        <v>504040172.30000001</v>
      </c>
      <c r="G43" s="190">
        <f t="shared" ref="G43" si="5">F43/F42-1</f>
        <v>5.9589219609643695E-2</v>
      </c>
      <c r="H43" s="190">
        <f t="shared" ref="H43" si="6">F43/F31-1</f>
        <v>-4.1783522336362955E-2</v>
      </c>
      <c r="I43" s="130">
        <f t="shared" si="4"/>
        <v>4.17632592862868</v>
      </c>
      <c r="J43" s="136">
        <f>Q41+Q42+Q43</f>
        <v>41823025228477</v>
      </c>
      <c r="K43" s="190">
        <f>T43/T40-1</f>
        <v>-0.18304283163215307</v>
      </c>
      <c r="L43" s="190">
        <f>T43/T31-1</f>
        <v>-6.6705770629236882E-2</v>
      </c>
      <c r="M43" s="191">
        <f>AVERAGE(S41:S43)</f>
        <v>3.9240998198670187</v>
      </c>
      <c r="N43" s="192">
        <f>M43/M40-1</f>
        <v>-7.3065335454422176E-2</v>
      </c>
      <c r="O43" s="129" t="s">
        <v>835</v>
      </c>
      <c r="P43" s="116">
        <v>10080803446</v>
      </c>
      <c r="Q43" s="116">
        <v>14608746615887</v>
      </c>
      <c r="R43" s="116">
        <v>2413797107.3800001</v>
      </c>
      <c r="S43" s="130">
        <f t="shared" ref="S43" si="7">P43/R43</f>
        <v>4.17632592862868</v>
      </c>
      <c r="T43" s="85">
        <f>P41+P42+P43</f>
        <v>28803599557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494698940.40909094</v>
      </c>
      <c r="G44" s="197">
        <f t="shared" ref="G44" si="8">F44/F43-1</f>
        <v>-1.8532713073808882E-2</v>
      </c>
      <c r="H44" s="197">
        <f t="shared" ref="H44" si="9">F44/F32-1</f>
        <v>-8.2886977467321321E-3</v>
      </c>
      <c r="I44" s="130">
        <f t="shared" si="4"/>
        <v>4.0084589132487922</v>
      </c>
      <c r="J44" s="147"/>
      <c r="K44" s="197"/>
      <c r="L44" s="197"/>
      <c r="M44" s="198"/>
      <c r="N44" s="199"/>
      <c r="O44" s="144" t="s">
        <v>843</v>
      </c>
      <c r="P44" s="145">
        <v>10883376689</v>
      </c>
      <c r="Q44" s="145">
        <v>15789648422245</v>
      </c>
      <c r="R44" s="145">
        <v>2715102468.1900001</v>
      </c>
      <c r="S44" s="146">
        <f t="shared" ref="S44" si="10">P44/R44</f>
        <v>4.0084589132487922</v>
      </c>
      <c r="T44" s="187"/>
    </row>
    <row r="45" spans="1:20" s="183" customFormat="1" ht="13.2">
      <c r="A45" s="144" t="s">
        <v>847</v>
      </c>
      <c r="B45" s="196"/>
      <c r="C45" s="196"/>
      <c r="D45" s="197"/>
      <c r="E45" s="197"/>
      <c r="F45" s="147">
        <f>P45/20</f>
        <v>140101686.25</v>
      </c>
      <c r="G45" s="197">
        <f t="shared" ref="G45" si="11">F45/F44-1</f>
        <v>-0.71679404420364634</v>
      </c>
      <c r="H45" s="197">
        <f t="shared" ref="H45" si="12">F45/F33-1</f>
        <v>-0.74142122685615586</v>
      </c>
      <c r="I45" s="130">
        <f t="shared" si="4"/>
        <v>4.2243223082646297</v>
      </c>
      <c r="J45" s="147"/>
      <c r="K45" s="197"/>
      <c r="L45" s="197"/>
      <c r="M45" s="198"/>
      <c r="N45" s="199"/>
      <c r="O45" s="144" t="s">
        <v>849</v>
      </c>
      <c r="P45" s="145">
        <v>2802033725</v>
      </c>
      <c r="Q45" s="145">
        <v>4013089281780</v>
      </c>
      <c r="R45" s="145">
        <v>663309643.65999997</v>
      </c>
      <c r="S45" s="146">
        <f t="shared" ref="S45" si="13">P45/R45</f>
        <v>4.2243223082646297</v>
      </c>
      <c r="T45" s="187"/>
    </row>
    <row r="46" spans="1:20">
      <c r="B46" s="131">
        <f>SUM(F44:F46)</f>
        <v>634800626.659091</v>
      </c>
      <c r="C46" s="131">
        <f>AVERAGE(F44:F46)</f>
        <v>317400313.3295455</v>
      </c>
      <c r="D46" s="90">
        <f>C46/C43-1</f>
        <v>-0.36151344554450893</v>
      </c>
      <c r="E46" s="90">
        <f>C46/C34-1</f>
        <v>-0.40640731942830055</v>
      </c>
    </row>
  </sheetData>
  <phoneticPr fontId="1" type="noConversion"/>
  <conditionalFormatting sqref="C29:C30">
    <cfRule type="cellIs" dxfId="15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1">
    <tabColor rgb="FFFF0000"/>
  </sheetPr>
  <dimension ref="A1:Z73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9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125351.05</v>
      </c>
      <c r="G5" s="90"/>
      <c r="H5" s="90"/>
      <c r="I5" s="130">
        <f t="shared" ref="I5:I49" si="0">T5</f>
        <v>55.937715314890774</v>
      </c>
      <c r="J5" s="130"/>
      <c r="K5" s="86"/>
      <c r="L5" s="80"/>
      <c r="M5" s="80"/>
      <c r="P5" s="129" t="s">
        <v>0</v>
      </c>
      <c r="Q5" s="116">
        <v>2507021</v>
      </c>
      <c r="R5" s="116">
        <v>2956481186</v>
      </c>
      <c r="S5" s="116">
        <v>44818.080000000002</v>
      </c>
      <c r="T5" s="130">
        <f t="shared" ref="T5:T17" si="1">Q5/S5</f>
        <v>55.937715314890774</v>
      </c>
      <c r="U5" s="85"/>
    </row>
    <row r="6" spans="1:21" ht="15" hidden="1" customHeight="1">
      <c r="A6" s="129" t="s">
        <v>1</v>
      </c>
      <c r="C6" s="79"/>
      <c r="F6" s="78">
        <f>Q6/18</f>
        <v>110972.88888888889</v>
      </c>
      <c r="G6" s="90">
        <f t="shared" ref="G6:G16" si="2">F6/F5-1</f>
        <v>-0.11470315654405061</v>
      </c>
      <c r="H6" s="90"/>
      <c r="I6" s="130">
        <f t="shared" si="0"/>
        <v>29.392972186248645</v>
      </c>
      <c r="J6" s="130"/>
      <c r="K6" s="78"/>
      <c r="P6" s="129" t="s">
        <v>1</v>
      </c>
      <c r="Q6" s="116">
        <v>1997512</v>
      </c>
      <c r="R6" s="116">
        <v>2371728907</v>
      </c>
      <c r="S6" s="116">
        <v>67958.83</v>
      </c>
      <c r="T6" s="130">
        <f t="shared" si="1"/>
        <v>29.392972186248645</v>
      </c>
      <c r="U6" s="85"/>
    </row>
    <row r="7" spans="1:21" ht="15" hidden="1" customHeight="1">
      <c r="A7" s="129" t="s">
        <v>2</v>
      </c>
      <c r="B7" s="131">
        <f>F5+F6+F7</f>
        <v>465171.66616161616</v>
      </c>
      <c r="C7" s="131">
        <f>AVERAGE(F5:F7)</f>
        <v>155057.22205387204</v>
      </c>
      <c r="F7" s="78">
        <f>Q7/22</f>
        <v>228847.72727272726</v>
      </c>
      <c r="G7" s="90">
        <f t="shared" si="2"/>
        <v>1.0621949159299624</v>
      </c>
      <c r="H7" s="90"/>
      <c r="I7" s="130">
        <f t="shared" si="0"/>
        <v>60.203527179447441</v>
      </c>
      <c r="J7" s="130"/>
      <c r="K7" s="85">
        <f>R5+R6+R7</f>
        <v>11393072628</v>
      </c>
      <c r="N7" s="88">
        <f>AVERAGE(T5:T7)</f>
        <v>48.511404893528955</v>
      </c>
      <c r="P7" s="129" t="s">
        <v>2</v>
      </c>
      <c r="Q7" s="116">
        <v>5034650</v>
      </c>
      <c r="R7" s="116">
        <v>6064862535</v>
      </c>
      <c r="S7" s="116">
        <v>83627.16</v>
      </c>
      <c r="T7" s="130">
        <f t="shared" si="1"/>
        <v>60.203527179447441</v>
      </c>
      <c r="U7" s="85">
        <f>Q5+Q6+Q7</f>
        <v>9539183</v>
      </c>
    </row>
    <row r="8" spans="1:21" ht="15" hidden="1" customHeight="1">
      <c r="A8" s="129" t="s">
        <v>3</v>
      </c>
      <c r="C8" s="79"/>
      <c r="F8" s="78">
        <f>Q8/21</f>
        <v>172155.47619047618</v>
      </c>
      <c r="G8" s="90">
        <f t="shared" si="2"/>
        <v>-0.24772914180916727</v>
      </c>
      <c r="H8" s="90"/>
      <c r="I8" s="130">
        <f t="shared" si="0"/>
        <v>41.160481092613978</v>
      </c>
      <c r="J8" s="130"/>
      <c r="K8" s="78"/>
      <c r="P8" s="129" t="s">
        <v>3</v>
      </c>
      <c r="Q8" s="116">
        <v>3615265</v>
      </c>
      <c r="R8" s="116">
        <v>4391336706</v>
      </c>
      <c r="S8" s="116">
        <v>87833.4</v>
      </c>
      <c r="T8" s="130">
        <f t="shared" si="1"/>
        <v>41.160481092613978</v>
      </c>
      <c r="U8" s="85"/>
    </row>
    <row r="9" spans="1:21" ht="15" hidden="1" customHeight="1">
      <c r="A9" s="129" t="s">
        <v>4</v>
      </c>
      <c r="C9" s="79"/>
      <c r="F9" s="78">
        <f>Q9/21</f>
        <v>244701.38095238095</v>
      </c>
      <c r="G9" s="90">
        <f t="shared" si="2"/>
        <v>0.42139760155894512</v>
      </c>
      <c r="H9" s="90"/>
      <c r="I9" s="130">
        <f t="shared" si="0"/>
        <v>55.43487277948109</v>
      </c>
      <c r="J9" s="130"/>
      <c r="K9" s="78"/>
      <c r="P9" s="129" t="s">
        <v>4</v>
      </c>
      <c r="Q9" s="116">
        <v>5138729</v>
      </c>
      <c r="R9" s="116">
        <v>6462490440</v>
      </c>
      <c r="S9" s="116">
        <v>92698.49</v>
      </c>
      <c r="T9" s="130">
        <f t="shared" si="1"/>
        <v>55.43487277948109</v>
      </c>
      <c r="U9" s="85"/>
    </row>
    <row r="10" spans="1:21" ht="15" hidden="1" customHeight="1">
      <c r="A10" s="129" t="s">
        <v>5</v>
      </c>
      <c r="B10" s="131">
        <f>F8+F9+F10</f>
        <v>685447.28571428568</v>
      </c>
      <c r="C10" s="131">
        <f>AVERAGE(F8:F10)</f>
        <v>228482.42857142855</v>
      </c>
      <c r="D10" s="90">
        <f>C10/C7-1</f>
        <v>0.47353619228420163</v>
      </c>
      <c r="E10" s="286"/>
      <c r="F10" s="78">
        <f>Q10/21</f>
        <v>268590.42857142858</v>
      </c>
      <c r="G10" s="90">
        <f t="shared" si="2"/>
        <v>9.762530773660183E-2</v>
      </c>
      <c r="H10" s="90"/>
      <c r="I10" s="130">
        <f t="shared" si="0"/>
        <v>55.272024466135981</v>
      </c>
      <c r="J10" s="130"/>
      <c r="K10" s="85">
        <f>R8+R9+R10</f>
        <v>17931826862</v>
      </c>
      <c r="L10" s="87">
        <f>U10/U7-1</f>
        <v>0.50897545418721912</v>
      </c>
      <c r="N10" s="88">
        <f>AVERAGE(T8:T10)</f>
        <v>50.622459446077016</v>
      </c>
      <c r="O10" s="89">
        <f>N10/N7-1</f>
        <v>4.3516664940570715E-2</v>
      </c>
      <c r="P10" s="129" t="s">
        <v>5</v>
      </c>
      <c r="Q10" s="116">
        <v>5640399</v>
      </c>
      <c r="R10" s="116">
        <v>7077999716</v>
      </c>
      <c r="S10" s="116">
        <v>102047.99</v>
      </c>
      <c r="T10" s="130">
        <f t="shared" si="1"/>
        <v>55.272024466135981</v>
      </c>
      <c r="U10" s="85">
        <f>Q8+Q9+Q10</f>
        <v>14394393</v>
      </c>
    </row>
    <row r="11" spans="1:21" ht="15" hidden="1" customHeight="1">
      <c r="A11" s="129" t="s">
        <v>6</v>
      </c>
      <c r="C11" s="79"/>
      <c r="F11" s="78">
        <f>Q11/21</f>
        <v>189941.85714285713</v>
      </c>
      <c r="G11" s="90">
        <f t="shared" si="2"/>
        <v>-0.29281971009497743</v>
      </c>
      <c r="H11" s="90"/>
      <c r="I11" s="130">
        <f t="shared" si="0"/>
        <v>40.956004509619902</v>
      </c>
      <c r="J11" s="130"/>
      <c r="K11" s="78"/>
      <c r="O11" s="89"/>
      <c r="P11" s="129" t="s">
        <v>6</v>
      </c>
      <c r="Q11" s="116">
        <v>3988779</v>
      </c>
      <c r="R11" s="116">
        <v>5148159924</v>
      </c>
      <c r="S11" s="116">
        <v>97391.8</v>
      </c>
      <c r="T11" s="130">
        <f t="shared" si="1"/>
        <v>40.956004509619902</v>
      </c>
      <c r="U11" s="85"/>
    </row>
    <row r="12" spans="1:21" ht="15" hidden="1" customHeight="1">
      <c r="A12" s="129" t="s">
        <v>7</v>
      </c>
      <c r="C12" s="79"/>
      <c r="F12" s="78">
        <f>Q12/22</f>
        <v>161263.18181818182</v>
      </c>
      <c r="G12" s="90">
        <f t="shared" si="2"/>
        <v>-0.15098660061592317</v>
      </c>
      <c r="H12" s="90"/>
      <c r="I12" s="130">
        <f t="shared" si="0"/>
        <v>99.702953045785137</v>
      </c>
      <c r="J12" s="130"/>
      <c r="K12" s="78"/>
      <c r="O12" s="89"/>
      <c r="P12" s="129" t="s">
        <v>7</v>
      </c>
      <c r="Q12" s="116">
        <v>3547790</v>
      </c>
      <c r="R12" s="116">
        <v>4593346383</v>
      </c>
      <c r="S12" s="116">
        <v>35583.599999999999</v>
      </c>
      <c r="T12" s="130">
        <f t="shared" si="1"/>
        <v>99.702953045785137</v>
      </c>
      <c r="U12" s="85"/>
    </row>
    <row r="13" spans="1:21" ht="15" hidden="1" customHeight="1">
      <c r="A13" s="129" t="s">
        <v>96</v>
      </c>
      <c r="B13" s="131">
        <f>F11+F12+F13</f>
        <v>662073.08896103897</v>
      </c>
      <c r="C13" s="131">
        <f>AVERAGE(F11:F13)</f>
        <v>220691.02965367967</v>
      </c>
      <c r="D13" s="90">
        <f>C13/C10-1</f>
        <v>-3.4100648205046213E-2</v>
      </c>
      <c r="E13" s="286"/>
      <c r="F13" s="78">
        <f>Q13/20</f>
        <v>310868.05</v>
      </c>
      <c r="G13" s="90">
        <f t="shared" si="2"/>
        <v>0.92770629039486541</v>
      </c>
      <c r="H13" s="90"/>
      <c r="I13" s="130">
        <f t="shared" si="0"/>
        <v>45.54204300275822</v>
      </c>
      <c r="J13" s="130"/>
      <c r="K13" s="78">
        <f>R11+R12+R13</f>
        <v>18206362263</v>
      </c>
      <c r="L13" s="87">
        <f>U13/U10-1</f>
        <v>-4.4493922043117751E-2</v>
      </c>
      <c r="N13" s="88">
        <f>AVERAGE(T11:T13)</f>
        <v>62.067000186054422</v>
      </c>
      <c r="O13" s="89">
        <f>N13/N10-1</f>
        <v>0.2260763476371217</v>
      </c>
      <c r="P13" s="129" t="s">
        <v>96</v>
      </c>
      <c r="Q13" s="116">
        <v>6217361</v>
      </c>
      <c r="R13" s="116">
        <v>8464855956</v>
      </c>
      <c r="S13" s="116">
        <v>136519.15</v>
      </c>
      <c r="T13" s="130">
        <f t="shared" si="1"/>
        <v>45.54204300275822</v>
      </c>
      <c r="U13" s="85">
        <f>Q11+Q12+Q13</f>
        <v>13753930</v>
      </c>
    </row>
    <row r="14" spans="1:21" ht="15" hidden="1" customHeight="1">
      <c r="A14" s="129" t="s">
        <v>97</v>
      </c>
      <c r="C14" s="79"/>
      <c r="F14" s="78">
        <f>Q14/20</f>
        <v>178390.55</v>
      </c>
      <c r="G14" s="90">
        <f t="shared" si="2"/>
        <v>-0.42615347572708095</v>
      </c>
      <c r="H14" s="90"/>
      <c r="I14" s="130">
        <f t="shared" si="0"/>
        <v>34.226065738440106</v>
      </c>
      <c r="J14" s="130"/>
      <c r="K14" s="78"/>
      <c r="O14" s="89"/>
      <c r="P14" s="129" t="s">
        <v>97</v>
      </c>
      <c r="Q14" s="116">
        <v>3567811</v>
      </c>
      <c r="R14" s="116">
        <v>5087813199</v>
      </c>
      <c r="S14" s="116">
        <v>104242.51</v>
      </c>
      <c r="T14" s="130">
        <f t="shared" si="1"/>
        <v>34.226065738440106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210721.90909090909</v>
      </c>
      <c r="G15" s="90">
        <f t="shared" si="2"/>
        <v>0.1812391917111591</v>
      </c>
      <c r="H15" s="90"/>
      <c r="I15" s="130">
        <f t="shared" si="0"/>
        <v>63.35276100573838</v>
      </c>
      <c r="J15" s="130"/>
      <c r="K15" s="78"/>
      <c r="O15" s="89"/>
      <c r="P15" s="129" t="s">
        <v>98</v>
      </c>
      <c r="Q15" s="116">
        <v>4635882</v>
      </c>
      <c r="R15" s="116">
        <v>6400811803</v>
      </c>
      <c r="S15" s="116">
        <v>73175.69</v>
      </c>
      <c r="T15" s="130">
        <f t="shared" si="1"/>
        <v>63.35276100573838</v>
      </c>
      <c r="U15" s="85"/>
    </row>
    <row r="16" spans="1:21" ht="15" hidden="1" customHeight="1">
      <c r="A16" s="129" t="s">
        <v>99</v>
      </c>
      <c r="B16" s="131">
        <f>F14+F15+F16</f>
        <v>657430.45909090911</v>
      </c>
      <c r="C16" s="131">
        <f>AVERAGE(F14:F16)</f>
        <v>219143.48636363636</v>
      </c>
      <c r="D16" s="90">
        <f>C16/C13-1</f>
        <v>-7.0122618598127406E-3</v>
      </c>
      <c r="E16" s="286"/>
      <c r="F16" s="78">
        <f>Q16/22</f>
        <v>268318</v>
      </c>
      <c r="G16" s="90">
        <f t="shared" si="2"/>
        <v>0.27332749194220218</v>
      </c>
      <c r="H16" s="90"/>
      <c r="I16" s="130">
        <f t="shared" si="0"/>
        <v>71.043740732895571</v>
      </c>
      <c r="J16" s="130"/>
      <c r="K16" s="78">
        <f>R14+R15+R16</f>
        <v>19234102111</v>
      </c>
      <c r="L16" s="87">
        <f>U16/U13-1</f>
        <v>2.5647869372608323E-2</v>
      </c>
      <c r="N16" s="88">
        <f>AVERAGE(T14:T16)</f>
        <v>56.207522492358017</v>
      </c>
      <c r="O16" s="89">
        <f>N16/N13-1</f>
        <v>-9.4405685406605877E-2</v>
      </c>
      <c r="P16" s="129" t="s">
        <v>99</v>
      </c>
      <c r="Q16" s="116">
        <v>5902996</v>
      </c>
      <c r="R16" s="116">
        <v>7745477109</v>
      </c>
      <c r="S16" s="116">
        <v>83089.600000000006</v>
      </c>
      <c r="T16" s="130">
        <f t="shared" si="1"/>
        <v>71.043740732895571</v>
      </c>
      <c r="U16" s="85">
        <f>Q14+Q15+Q16</f>
        <v>14106689</v>
      </c>
    </row>
    <row r="17" spans="1:21" ht="15" hidden="1" customHeight="1">
      <c r="A17" s="129" t="s">
        <v>100</v>
      </c>
      <c r="C17" s="79"/>
      <c r="F17" s="78">
        <f>Q17/20</f>
        <v>173719.8</v>
      </c>
      <c r="G17" s="90">
        <f t="shared" ref="G17:G22" si="3">F17/F16-1</f>
        <v>-0.35256002206337256</v>
      </c>
      <c r="H17" s="90">
        <f t="shared" ref="H17:H22" si="4">F17/F5-1</f>
        <v>0.38586633299042949</v>
      </c>
      <c r="I17" s="130">
        <f t="shared" si="0"/>
        <v>54.862430056005728</v>
      </c>
      <c r="J17" s="130">
        <f t="shared" ref="J17:J49" si="5">I17/I5-1</f>
        <v>-1.9222902702263234E-2</v>
      </c>
      <c r="K17" s="78"/>
      <c r="O17" s="89"/>
      <c r="P17" s="129" t="s">
        <v>100</v>
      </c>
      <c r="Q17" s="116">
        <v>3474396</v>
      </c>
      <c r="R17" s="116">
        <v>4353511445</v>
      </c>
      <c r="S17" s="116">
        <v>63329.24</v>
      </c>
      <c r="T17" s="130">
        <f t="shared" si="1"/>
        <v>54.862430056005728</v>
      </c>
      <c r="U17" s="78"/>
    </row>
    <row r="18" spans="1:21" hidden="1">
      <c r="A18" s="129" t="s">
        <v>106</v>
      </c>
      <c r="C18" s="79"/>
      <c r="F18" s="78">
        <f>Q18/20</f>
        <v>305476.5</v>
      </c>
      <c r="G18" s="90">
        <f t="shared" si="3"/>
        <v>0.75844376979480765</v>
      </c>
      <c r="H18" s="90">
        <f t="shared" si="4"/>
        <v>1.7527128748162712</v>
      </c>
      <c r="I18" s="130">
        <f t="shared" si="0"/>
        <v>65.829167603179272</v>
      </c>
      <c r="J18" s="130">
        <f t="shared" si="5"/>
        <v>1.2396226957264673</v>
      </c>
      <c r="K18" s="78"/>
      <c r="O18" s="89"/>
      <c r="P18" s="129" t="s">
        <v>106</v>
      </c>
      <c r="Q18" s="116">
        <v>6109530</v>
      </c>
      <c r="R18" s="116">
        <v>7655305054</v>
      </c>
      <c r="S18" s="116">
        <v>92808.86</v>
      </c>
      <c r="T18" s="130">
        <f t="shared" ref="T18" si="6">Q18/S18</f>
        <v>65.829167603179272</v>
      </c>
      <c r="U18" s="78"/>
    </row>
    <row r="19" spans="1:21" hidden="1">
      <c r="A19" s="129" t="s">
        <v>114</v>
      </c>
      <c r="B19" s="131">
        <f>SUM(F17:F19)</f>
        <v>856996.34545454546</v>
      </c>
      <c r="C19" s="131">
        <f>AVERAGE(F17:F19)</f>
        <v>285665.44848484849</v>
      </c>
      <c r="D19" s="90">
        <f>C19/C16-1</f>
        <v>0.30355436625129117</v>
      </c>
      <c r="E19" s="286">
        <f>C19/C7-1</f>
        <v>0.84232275479305829</v>
      </c>
      <c r="F19" s="78">
        <f>Q19/22</f>
        <v>377800.04545454547</v>
      </c>
      <c r="G19" s="90">
        <f t="shared" si="3"/>
        <v>0.23675649503168161</v>
      </c>
      <c r="H19" s="90">
        <f t="shared" si="4"/>
        <v>0.65087960434191072</v>
      </c>
      <c r="I19" s="130">
        <f t="shared" si="0"/>
        <v>58.625765003506295</v>
      </c>
      <c r="J19" s="130">
        <f t="shared" si="5"/>
        <v>-2.6207138515960016E-2</v>
      </c>
      <c r="K19" s="78">
        <f>R17+R18+R19</f>
        <v>22889256303</v>
      </c>
      <c r="L19" s="87">
        <f>U19/U16-1</f>
        <v>0.26858449916915306</v>
      </c>
      <c r="M19" s="87">
        <f>U19/U7-1</f>
        <v>0.87600206432773131</v>
      </c>
      <c r="N19" s="88">
        <f>AVERAGE(T17:T19)</f>
        <v>59.772454220897096</v>
      </c>
      <c r="O19" s="89">
        <f>N19/N16-1</f>
        <v>6.3424459404411104E-2</v>
      </c>
      <c r="P19" s="129" t="s">
        <v>115</v>
      </c>
      <c r="Q19" s="116">
        <v>8311601</v>
      </c>
      <c r="R19" s="116">
        <v>10880439804</v>
      </c>
      <c r="S19" s="116">
        <v>141773.85999999999</v>
      </c>
      <c r="T19" s="130">
        <f t="shared" ref="T19" si="7">Q19/S19</f>
        <v>58.625765003506295</v>
      </c>
      <c r="U19" s="85">
        <f>Q17+Q18+Q19</f>
        <v>17895527</v>
      </c>
    </row>
    <row r="20" spans="1:21" hidden="1">
      <c r="A20" s="129" t="s">
        <v>132</v>
      </c>
      <c r="B20" s="131"/>
      <c r="C20" s="131"/>
      <c r="D20" s="90"/>
      <c r="E20" s="286"/>
      <c r="F20" s="78">
        <f>O24/20</f>
        <v>342136.7</v>
      </c>
      <c r="G20" s="90">
        <f t="shared" si="3"/>
        <v>-9.4397409115283604E-2</v>
      </c>
      <c r="H20" s="90">
        <f t="shared" si="4"/>
        <v>0.98737041406369941</v>
      </c>
      <c r="I20" s="130">
        <f t="shared" si="0"/>
        <v>78.385873269527067</v>
      </c>
      <c r="J20" s="130">
        <f t="shared" si="5"/>
        <v>0.90439643047789797</v>
      </c>
      <c r="K20" s="78"/>
      <c r="O20" s="89"/>
      <c r="P20" s="129" t="s">
        <v>132</v>
      </c>
      <c r="Q20" s="116">
        <v>6842734</v>
      </c>
      <c r="R20" s="116">
        <v>8974159791</v>
      </c>
      <c r="S20" s="116">
        <v>87295.5</v>
      </c>
      <c r="T20" s="130">
        <f>O24/S20</f>
        <v>78.385873269527067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395190.95238095237</v>
      </c>
      <c r="G21" s="90">
        <f t="shared" si="3"/>
        <v>0.15506741130358814</v>
      </c>
      <c r="H21" s="90">
        <f t="shared" si="4"/>
        <v>0.61499273458475812</v>
      </c>
      <c r="I21" s="130">
        <f t="shared" si="0"/>
        <v>51.974688188257488</v>
      </c>
      <c r="J21" s="130">
        <f t="shared" si="5"/>
        <v>-6.2418914624160049E-2</v>
      </c>
      <c r="K21" s="78"/>
      <c r="O21" s="89"/>
      <c r="P21" s="129" t="s">
        <v>141</v>
      </c>
      <c r="Q21" s="116">
        <v>8299010</v>
      </c>
      <c r="R21" s="116">
        <v>11051755486</v>
      </c>
      <c r="S21" s="116">
        <v>159674.07</v>
      </c>
      <c r="T21" s="130">
        <f t="shared" ref="T21" si="8">Q21/S21</f>
        <v>51.974688188257488</v>
      </c>
      <c r="U21" s="78"/>
    </row>
    <row r="22" spans="1:21" hidden="1">
      <c r="A22" s="129" t="s">
        <v>156</v>
      </c>
      <c r="B22" s="131">
        <f>SUM(F20:F22)</f>
        <v>1127518.8904761905</v>
      </c>
      <c r="C22" s="131">
        <f>AVERAGE(F20:F22)</f>
        <v>375839.63015873014</v>
      </c>
      <c r="D22" s="90">
        <f>C22/C19-1</f>
        <v>0.31566359233207875</v>
      </c>
      <c r="E22" s="286">
        <f>C22/C10-1</f>
        <v>0.64493888002085265</v>
      </c>
      <c r="F22" s="78">
        <f>Q22/21</f>
        <v>390191.23809523811</v>
      </c>
      <c r="G22" s="90">
        <f t="shared" si="3"/>
        <v>-1.265138853911485E-2</v>
      </c>
      <c r="H22" s="90">
        <f t="shared" si="4"/>
        <v>0.45273694290067068</v>
      </c>
      <c r="I22" s="130">
        <f t="shared" si="0"/>
        <v>63.705751839136525</v>
      </c>
      <c r="J22" s="130">
        <f t="shared" si="5"/>
        <v>0.1525858235601214</v>
      </c>
      <c r="K22" s="78">
        <f>R20+R21+R22</f>
        <v>30655076572</v>
      </c>
      <c r="L22" s="87">
        <f>U22/U19-1</f>
        <v>0.30399959721778513</v>
      </c>
      <c r="M22" s="87">
        <f>U22/U10-1</f>
        <v>0.62117013200903992</v>
      </c>
      <c r="N22" s="88">
        <f>AVERAGE(T20:T22)</f>
        <v>64.688771098973703</v>
      </c>
      <c r="O22" s="89">
        <f>N22/N19-1</f>
        <v>8.2250544036684525E-2</v>
      </c>
      <c r="P22" s="129" t="s">
        <v>156</v>
      </c>
      <c r="Q22" s="116">
        <v>8194016</v>
      </c>
      <c r="R22" s="116">
        <v>10629161295</v>
      </c>
      <c r="S22" s="116">
        <v>128622.86</v>
      </c>
      <c r="T22" s="130">
        <f t="shared" ref="T22:T23" si="9">Q22/S22</f>
        <v>63.705751839136525</v>
      </c>
      <c r="U22" s="85">
        <f>O24+Q21+Q22</f>
        <v>23335760</v>
      </c>
    </row>
    <row r="23" spans="1:21" hidden="1">
      <c r="A23" s="129" t="s">
        <v>189</v>
      </c>
      <c r="B23" s="131"/>
      <c r="C23" s="131"/>
      <c r="F23" s="78">
        <f>Q23/21</f>
        <v>383403.04761904763</v>
      </c>
      <c r="G23" s="90">
        <f t="shared" ref="G23" si="10">F23/F22-1</f>
        <v>-1.7397085873398388E-2</v>
      </c>
      <c r="H23" s="90">
        <f t="shared" ref="H23" si="11">F23/F11-1</f>
        <v>1.018528477010133</v>
      </c>
      <c r="I23" s="130">
        <f t="shared" si="0"/>
        <v>68.822702130782261</v>
      </c>
      <c r="J23" s="130">
        <f t="shared" si="5"/>
        <v>0.68040566834630867</v>
      </c>
      <c r="K23" s="78"/>
      <c r="O23" s="89"/>
      <c r="P23" s="129" t="s">
        <v>189</v>
      </c>
      <c r="Q23" s="116">
        <v>8051464</v>
      </c>
      <c r="R23" s="116">
        <v>10385672823</v>
      </c>
      <c r="S23" s="116">
        <v>116988.49</v>
      </c>
      <c r="T23" s="130">
        <f t="shared" si="9"/>
        <v>68.822702130782261</v>
      </c>
      <c r="U23" s="78"/>
    </row>
    <row r="24" spans="1:21" hidden="1">
      <c r="A24" s="129" t="s">
        <v>204</v>
      </c>
      <c r="B24" s="131"/>
      <c r="C24" s="131"/>
      <c r="F24" s="78">
        <f>Q24/22</f>
        <v>262997.22727272729</v>
      </c>
      <c r="G24" s="90">
        <f t="shared" ref="G24" si="12">F24/F23-1</f>
        <v>-0.3140450267519953</v>
      </c>
      <c r="H24" s="90">
        <f t="shared" ref="H24" si="13">F24/F12-1</f>
        <v>0.6308572378861208</v>
      </c>
      <c r="I24" s="130">
        <f t="shared" si="0"/>
        <v>69.719407154665092</v>
      </c>
      <c r="J24" s="130">
        <f t="shared" si="5"/>
        <v>-0.30072876454673447</v>
      </c>
      <c r="K24" s="78"/>
      <c r="O24" s="116">
        <v>6842734</v>
      </c>
      <c r="P24" s="129" t="s">
        <v>204</v>
      </c>
      <c r="Q24" s="116">
        <v>5785939</v>
      </c>
      <c r="R24" s="116">
        <v>7610399908</v>
      </c>
      <c r="S24" s="116">
        <v>82988.929999999993</v>
      </c>
      <c r="T24" s="130">
        <f t="shared" ref="T24" si="14">Q24/S24</f>
        <v>69.719407154665092</v>
      </c>
      <c r="U24" s="78"/>
    </row>
    <row r="25" spans="1:21" s="79" customFormat="1" ht="13.2" hidden="1">
      <c r="A25" s="129" t="s">
        <v>219</v>
      </c>
      <c r="B25" s="131">
        <f>SUM(F23:F25)</f>
        <v>889016.32752335386</v>
      </c>
      <c r="C25" s="131">
        <f>AVERAGE(F23:F25)</f>
        <v>296338.77584111795</v>
      </c>
      <c r="D25" s="90">
        <f>C25/C22-1</f>
        <v>-0.21152866259483127</v>
      </c>
      <c r="E25" s="286">
        <f>C25/C13-1</f>
        <v>0.34277671505791973</v>
      </c>
      <c r="F25" s="78">
        <f>Q25/19</f>
        <v>242616.05263157896</v>
      </c>
      <c r="G25" s="90">
        <f t="shared" ref="G25" si="15">F25/F24-1</f>
        <v>-7.7495777626632956E-2</v>
      </c>
      <c r="H25" s="90">
        <f t="shared" ref="H25" si="16">F25/F13-1</f>
        <v>-0.21955294977538231</v>
      </c>
      <c r="I25" s="130">
        <f t="shared" si="0"/>
        <v>45.4775143694958</v>
      </c>
      <c r="J25" s="130">
        <f t="shared" si="5"/>
        <v>-1.4169024709433931E-3</v>
      </c>
      <c r="K25" s="78">
        <f>R23+R24+R25</f>
        <v>24111132935</v>
      </c>
      <c r="L25" s="90">
        <f>U25/U22-1</f>
        <v>-0.20949186998837832</v>
      </c>
      <c r="M25" s="90">
        <f>U25/U13-1</f>
        <v>0.34122450819511219</v>
      </c>
      <c r="N25" s="88">
        <f>AVERAGE(T23:T25)</f>
        <v>61.339874551647711</v>
      </c>
      <c r="O25" s="91">
        <f>N25/N22-1</f>
        <v>-5.1769364148256725E-2</v>
      </c>
      <c r="P25" s="129" t="s">
        <v>219</v>
      </c>
      <c r="Q25" s="116">
        <v>4609705</v>
      </c>
      <c r="R25" s="116">
        <v>6115060204</v>
      </c>
      <c r="S25" s="116">
        <v>101362.29</v>
      </c>
      <c r="T25" s="130">
        <f t="shared" ref="T25" si="17">Q25/S25</f>
        <v>45.4775143694958</v>
      </c>
      <c r="U25" s="85">
        <f>Q23+Q24+Q25</f>
        <v>18447108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215526.15789473685</v>
      </c>
      <c r="G26" s="90">
        <f t="shared" ref="G26" si="18">F26/F25-1</f>
        <v>-0.11165747048889241</v>
      </c>
      <c r="H26" s="90">
        <f t="shared" ref="H26" si="19">F26/F14-1</f>
        <v>0.20817026403437211</v>
      </c>
      <c r="I26" s="130">
        <f t="shared" si="0"/>
        <v>64.937612273170132</v>
      </c>
      <c r="J26" s="130">
        <f t="shared" si="5"/>
        <v>0.89731454294021185</v>
      </c>
      <c r="K26" s="78"/>
      <c r="L26" s="90"/>
      <c r="M26" s="90"/>
      <c r="P26" s="129" t="s">
        <v>312</v>
      </c>
      <c r="Q26" s="116">
        <v>4094997</v>
      </c>
      <c r="R26" s="116">
        <v>5517089747</v>
      </c>
      <c r="S26" s="116">
        <v>63060.480000000003</v>
      </c>
      <c r="T26" s="130">
        <f t="shared" ref="T26" si="20">Q26/S26</f>
        <v>64.937612273170132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243956.63636363635</v>
      </c>
      <c r="G27" s="90">
        <f t="shared" ref="G27" si="21">F27/F26-1</f>
        <v>0.13191196255066617</v>
      </c>
      <c r="H27" s="90">
        <f t="shared" ref="H27" si="22">F27/F15-1</f>
        <v>0.15771842337660869</v>
      </c>
      <c r="I27" s="130">
        <f t="shared" si="0"/>
        <v>83.723624242484746</v>
      </c>
      <c r="J27" s="130">
        <f t="shared" si="5"/>
        <v>0.32154657371446227</v>
      </c>
      <c r="K27" s="78"/>
      <c r="L27" s="90"/>
      <c r="M27" s="90"/>
      <c r="P27" s="129" t="s">
        <v>377</v>
      </c>
      <c r="Q27" s="116">
        <v>5367046</v>
      </c>
      <c r="R27" s="116">
        <v>7117212207</v>
      </c>
      <c r="S27" s="116">
        <v>64104.32</v>
      </c>
      <c r="T27" s="130">
        <f t="shared" ref="T27" si="23">Q27/S27</f>
        <v>83.723624242484746</v>
      </c>
      <c r="U27" s="78"/>
    </row>
    <row r="28" spans="1:21" s="79" customFormat="1" ht="13.2" hidden="1">
      <c r="A28" s="123" t="s">
        <v>413</v>
      </c>
      <c r="B28" s="131">
        <f>SUM(F26:F28)</f>
        <v>591184.21531100478</v>
      </c>
      <c r="C28" s="131">
        <f>AVERAGE(F26:F28)</f>
        <v>197061.40510366825</v>
      </c>
      <c r="D28" s="90">
        <f>C28/C25-1</f>
        <v>-0.33501309592598594</v>
      </c>
      <c r="E28" s="286">
        <f>C28/C16-1</f>
        <v>-0.10076540090872765</v>
      </c>
      <c r="F28" s="78">
        <f>Q28/19</f>
        <v>131701.42105263157</v>
      </c>
      <c r="G28" s="90">
        <f t="shared" ref="G28" si="24">F28/F27-1</f>
        <v>-0.46014413456529069</v>
      </c>
      <c r="H28" s="90">
        <f t="shared" ref="H28" si="25">F28/F16-1</f>
        <v>-0.50915920268997394</v>
      </c>
      <c r="I28" s="130">
        <f t="shared" si="0"/>
        <v>21.712196885670025</v>
      </c>
      <c r="J28" s="130">
        <f t="shared" si="5"/>
        <v>-0.69438269069611969</v>
      </c>
      <c r="K28" s="78">
        <f>R26+R27+R28</f>
        <v>15895239337</v>
      </c>
      <c r="L28" s="90">
        <f>U28/U25-1</f>
        <v>-0.3514229981198137</v>
      </c>
      <c r="M28" s="90">
        <f>U28/U16-1</f>
        <v>-0.15186547318084354</v>
      </c>
      <c r="N28" s="88">
        <f>AVERAGE(T26:T28)</f>
        <v>56.791144467108303</v>
      </c>
      <c r="O28" s="91">
        <f>N28/N25-1</f>
        <v>-7.415616868778252E-2</v>
      </c>
      <c r="P28" s="129" t="s">
        <v>413</v>
      </c>
      <c r="Q28" s="116">
        <v>2502327</v>
      </c>
      <c r="R28" s="116">
        <v>3260937383</v>
      </c>
      <c r="S28" s="116">
        <v>115249.83</v>
      </c>
      <c r="T28" s="130">
        <f t="shared" ref="T28" si="26">Q28/S28</f>
        <v>21.712196885670025</v>
      </c>
      <c r="U28" s="85">
        <f>Q26+Q27+Q28</f>
        <v>11964370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185817.31818181818</v>
      </c>
      <c r="G29" s="190">
        <f t="shared" ref="G29" si="27">F29/F28-1</f>
        <v>0.41089835399392061</v>
      </c>
      <c r="H29" s="190">
        <f t="shared" ref="H29" si="28">F29/F17-1</f>
        <v>6.9638107929079984E-2</v>
      </c>
      <c r="I29" s="130">
        <f t="shared" si="0"/>
        <v>96.400299861034839</v>
      </c>
      <c r="J29" s="130">
        <f t="shared" si="5"/>
        <v>0.75712777874814541</v>
      </c>
      <c r="K29" s="136"/>
      <c r="L29" s="190"/>
      <c r="M29" s="190"/>
      <c r="N29" s="191"/>
      <c r="O29" s="192"/>
      <c r="P29" s="129" t="s">
        <v>427</v>
      </c>
      <c r="Q29" s="116">
        <v>4087981</v>
      </c>
      <c r="R29" s="116">
        <v>5367522013</v>
      </c>
      <c r="S29" s="116">
        <v>42406.31</v>
      </c>
      <c r="T29" s="130">
        <f t="shared" ref="T29" si="29">Q29/S29</f>
        <v>96.400299861034839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308580.4736842105</v>
      </c>
      <c r="G30" s="190">
        <f t="shared" ref="G30" si="30">F30/F29-1</f>
        <v>0.6606658448394529</v>
      </c>
      <c r="H30" s="190">
        <f t="shared" ref="H30" si="31">F30/F18-1</f>
        <v>1.0161088280802311E-2</v>
      </c>
      <c r="I30" s="130">
        <f t="shared" si="0"/>
        <v>83.616293387770895</v>
      </c>
      <c r="J30" s="130">
        <f t="shared" si="5"/>
        <v>0.27020128663654219</v>
      </c>
      <c r="K30" s="136"/>
      <c r="L30" s="190"/>
      <c r="M30" s="190"/>
      <c r="N30" s="191"/>
      <c r="O30" s="192"/>
      <c r="P30" s="129" t="s">
        <v>494</v>
      </c>
      <c r="Q30" s="116">
        <v>5863029</v>
      </c>
      <c r="R30" s="116">
        <v>7817609859</v>
      </c>
      <c r="S30" s="116">
        <v>70118.259999999995</v>
      </c>
      <c r="T30" s="130">
        <f t="shared" ref="T30" si="32">Q30/S30</f>
        <v>83.616293387770895</v>
      </c>
      <c r="U30" s="85"/>
    </row>
    <row r="31" spans="1:21" s="79" customFormat="1" ht="13.2" hidden="1">
      <c r="A31" s="129" t="s">
        <v>505</v>
      </c>
      <c r="B31" s="188">
        <f>SUM(F29:F31)</f>
        <v>912065.09186602873</v>
      </c>
      <c r="C31" s="188">
        <f>AVERAGE(F29:F31)</f>
        <v>304021.69728867622</v>
      </c>
      <c r="D31" s="190">
        <f>C31/C28-1</f>
        <v>0.5427764616249402</v>
      </c>
      <c r="E31" s="287">
        <f>C31/C19-1</f>
        <v>6.425785442792642E-2</v>
      </c>
      <c r="F31" s="136">
        <f>Q31/20</f>
        <v>417667.3</v>
      </c>
      <c r="G31" s="190">
        <f t="shared" ref="G31" si="33">F31/F30-1</f>
        <v>0.35351175987701922</v>
      </c>
      <c r="H31" s="190">
        <f t="shared" ref="H31" si="34">F31/F19-1</f>
        <v>0.10552474787949984</v>
      </c>
      <c r="I31" s="130">
        <f t="shared" si="0"/>
        <v>74.370064106245152</v>
      </c>
      <c r="J31" s="130">
        <f t="shared" si="5"/>
        <v>0.26855596855405173</v>
      </c>
      <c r="K31" s="136">
        <f>R29+R30+R31</f>
        <v>24270421085</v>
      </c>
      <c r="L31" s="190">
        <f>U31/U28-1</f>
        <v>0.52990554454601457</v>
      </c>
      <c r="M31" s="190">
        <f>U31/U19-1</f>
        <v>2.2845317715426861E-2</v>
      </c>
      <c r="N31" s="191">
        <f>AVERAGE(T29:T31)</f>
        <v>84.795552451683633</v>
      </c>
      <c r="O31" s="192">
        <f>N31/N28-1</f>
        <v>0.49311223162256623</v>
      </c>
      <c r="P31" s="129" t="s">
        <v>505</v>
      </c>
      <c r="Q31" s="116">
        <v>8353346</v>
      </c>
      <c r="R31" s="116">
        <v>11085289213</v>
      </c>
      <c r="S31" s="116">
        <v>112321.35</v>
      </c>
      <c r="T31" s="130">
        <f t="shared" ref="T31" si="35">Q31/S31</f>
        <v>74.370064106245152</v>
      </c>
      <c r="U31" s="85">
        <f>Q29+Q30+Q31</f>
        <v>18304356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523718.14285714284</v>
      </c>
      <c r="G32" s="190">
        <f t="shared" ref="G32" si="36">F32/F31-1</f>
        <v>0.253912247516487</v>
      </c>
      <c r="H32" s="190">
        <f t="shared" ref="H32" si="37">F32/F20-1</f>
        <v>0.53072775547651818</v>
      </c>
      <c r="I32" s="130">
        <f t="shared" si="0"/>
        <v>87.177413051911472</v>
      </c>
      <c r="J32" s="130">
        <f t="shared" si="5"/>
        <v>0.11215719638862742</v>
      </c>
      <c r="K32" s="136"/>
      <c r="L32" s="190"/>
      <c r="M32" s="190"/>
      <c r="N32" s="191"/>
      <c r="O32" s="192"/>
      <c r="P32" s="129" t="s">
        <v>562</v>
      </c>
      <c r="Q32" s="116">
        <v>10998081</v>
      </c>
      <c r="R32" s="116">
        <v>15009808640</v>
      </c>
      <c r="S32" s="116">
        <v>126157.46</v>
      </c>
      <c r="T32" s="130">
        <f t="shared" ref="T32" si="38">Q32/S32</f>
        <v>87.177413051911472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479061.57142857142</v>
      </c>
      <c r="G33" s="190">
        <f t="shared" ref="G33" si="39">F33/F32-1</f>
        <v>-8.5268329993205216E-2</v>
      </c>
      <c r="H33" s="190">
        <f t="shared" ref="H33" si="40">F33/F21-1</f>
        <v>0.21222808503664892</v>
      </c>
      <c r="I33" s="130">
        <f t="shared" si="0"/>
        <v>72.080786308259334</v>
      </c>
      <c r="J33" s="130">
        <f t="shared" si="5"/>
        <v>0.38684403545001667</v>
      </c>
      <c r="K33" s="136"/>
      <c r="L33" s="190"/>
      <c r="M33" s="190"/>
      <c r="N33" s="191"/>
      <c r="O33" s="192"/>
      <c r="P33" s="129" t="s">
        <v>609</v>
      </c>
      <c r="Q33" s="116">
        <v>10060293</v>
      </c>
      <c r="R33" s="116">
        <v>13772589059</v>
      </c>
      <c r="S33" s="116">
        <v>139569.69</v>
      </c>
      <c r="T33" s="130">
        <f t="shared" ref="T33" si="41">Q33/S33</f>
        <v>72.080786308259334</v>
      </c>
      <c r="U33" s="85"/>
    </row>
    <row r="34" spans="1:21" s="79" customFormat="1" ht="13.2" hidden="1">
      <c r="A34" s="129" t="s">
        <v>652</v>
      </c>
      <c r="B34" s="188">
        <f>SUM(F32:F34)</f>
        <v>1628735.92481203</v>
      </c>
      <c r="C34" s="188">
        <f>AVERAGE(F32:F34)</f>
        <v>542911.97493734339</v>
      </c>
      <c r="D34" s="190">
        <f>C34/C31-1</f>
        <v>0.78576719944377804</v>
      </c>
      <c r="E34" s="287">
        <f>C34/C22-1</f>
        <v>0.4445309418489285</v>
      </c>
      <c r="F34" s="136">
        <f>Q34/19</f>
        <v>625956.21052631584</v>
      </c>
      <c r="G34" s="190">
        <f t="shared" ref="G34" si="42">F34/F33-1</f>
        <v>0.30662997797903424</v>
      </c>
      <c r="H34" s="190">
        <f t="shared" ref="H34" si="43">F34/F22-1</f>
        <v>0.60422928403515841</v>
      </c>
      <c r="I34" s="130">
        <f t="shared" si="0"/>
        <v>73.981963037906681</v>
      </c>
      <c r="J34" s="130">
        <f t="shared" si="5"/>
        <v>0.1613074314658216</v>
      </c>
      <c r="K34" s="136">
        <f>R32+R33+R34</f>
        <v>45146253736</v>
      </c>
      <c r="L34" s="190">
        <f>U34/U31-1</f>
        <v>0.80020220323512059</v>
      </c>
      <c r="M34" s="190">
        <f>U34/U22-1</f>
        <v>0.41206208839994929</v>
      </c>
      <c r="N34" s="191">
        <f>AVERAGE(T32:T34)</f>
        <v>77.746720799359153</v>
      </c>
      <c r="O34" s="192">
        <f>N34/N31-1</f>
        <v>-8.3127374591266401E-2</v>
      </c>
      <c r="P34" s="129" t="s">
        <v>652</v>
      </c>
      <c r="Q34" s="116">
        <v>11893168</v>
      </c>
      <c r="R34" s="116">
        <v>16363856037</v>
      </c>
      <c r="S34" s="116">
        <v>160757.67000000001</v>
      </c>
      <c r="T34" s="130">
        <f t="shared" ref="T34" si="44">Q34/S34</f>
        <v>73.981963037906681</v>
      </c>
      <c r="U34" s="85">
        <f>Q32+Q33+Q34</f>
        <v>32951542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544485.73913043481</v>
      </c>
      <c r="G35" s="190">
        <f t="shared" ref="G35" si="45">F35/F34-1</f>
        <v>-0.13015362740371106</v>
      </c>
      <c r="H35" s="190">
        <f t="shared" ref="H35" si="46">F35/F23-1</f>
        <v>0.420139309042322</v>
      </c>
      <c r="I35" s="130">
        <f t="shared" si="0"/>
        <v>85.904230617210985</v>
      </c>
      <c r="J35" s="130">
        <f t="shared" si="5"/>
        <v>0.24819613234553151</v>
      </c>
      <c r="K35" s="136"/>
      <c r="L35" s="190"/>
      <c r="M35" s="190"/>
      <c r="N35" s="191"/>
      <c r="O35" s="192"/>
      <c r="P35" s="129" t="s">
        <v>660</v>
      </c>
      <c r="Q35" s="116">
        <v>12523172</v>
      </c>
      <c r="R35" s="116">
        <v>17332147587</v>
      </c>
      <c r="S35" s="116">
        <v>145780.62</v>
      </c>
      <c r="T35" s="130">
        <f t="shared" ref="T35" si="47">Q35/S35</f>
        <v>85.904230617210985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467767.52380952379</v>
      </c>
      <c r="G36" s="190">
        <f t="shared" ref="G36" si="48">F36/F35-1</f>
        <v>-0.14090032081176829</v>
      </c>
      <c r="H36" s="190">
        <f t="shared" ref="H36" si="49">F36/F24-1</f>
        <v>0.77860249197399467</v>
      </c>
      <c r="I36" s="130">
        <f t="shared" si="0"/>
        <v>76.593446976380761</v>
      </c>
      <c r="J36" s="130">
        <f t="shared" si="5"/>
        <v>9.859578705920935E-2</v>
      </c>
      <c r="K36" s="136"/>
      <c r="L36" s="190"/>
      <c r="M36" s="190"/>
      <c r="N36" s="191"/>
      <c r="O36" s="192"/>
      <c r="P36" s="129" t="s">
        <v>666</v>
      </c>
      <c r="Q36" s="116">
        <v>9823118</v>
      </c>
      <c r="R36" s="116">
        <v>13422953765</v>
      </c>
      <c r="S36" s="116">
        <v>128250.11</v>
      </c>
      <c r="T36" s="130">
        <f t="shared" ref="T36" si="50">Q36/S36</f>
        <v>76.593446976380761</v>
      </c>
      <c r="U36" s="85"/>
    </row>
    <row r="37" spans="1:21" s="79" customFormat="1" ht="13.2" hidden="1">
      <c r="A37" s="129" t="s">
        <v>702</v>
      </c>
      <c r="B37" s="188">
        <f>SUM(F35:F37)</f>
        <v>1605907.3740510698</v>
      </c>
      <c r="C37" s="188">
        <f>AVERAGE(F35:F37)</f>
        <v>535302.45801702328</v>
      </c>
      <c r="D37" s="190">
        <f>C37/C34-1</f>
        <v>-1.401611545075665E-2</v>
      </c>
      <c r="E37" s="287">
        <f>C37/C25-1</f>
        <v>0.80638681690453407</v>
      </c>
      <c r="F37" s="136">
        <f>Q37/18</f>
        <v>593654.11111111112</v>
      </c>
      <c r="G37" s="190">
        <f t="shared" ref="G37" si="51">F37/F36-1</f>
        <v>0.26912211920220597</v>
      </c>
      <c r="H37" s="190">
        <f t="shared" ref="H37" si="52">F37/F25-1</f>
        <v>1.4468871893344826</v>
      </c>
      <c r="I37" s="130">
        <f t="shared" si="0"/>
        <v>82.583985926265925</v>
      </c>
      <c r="J37" s="130">
        <f t="shared" si="5"/>
        <v>0.81593007162369058</v>
      </c>
      <c r="K37" s="136">
        <f>R35+R36+R37</f>
        <v>45018182037</v>
      </c>
      <c r="L37" s="190">
        <f>U37/U34-1</f>
        <v>2.4436489193737643E-3</v>
      </c>
      <c r="M37" s="190">
        <f>U37/U25-1</f>
        <v>0.79063645098190993</v>
      </c>
      <c r="N37" s="191">
        <f>AVERAGE(T35:T37)</f>
        <v>81.693887839952552</v>
      </c>
      <c r="O37" s="192">
        <f>N37/N34-1</f>
        <v>5.0769563011922259E-2</v>
      </c>
      <c r="P37" s="129" t="s">
        <v>702</v>
      </c>
      <c r="Q37" s="116">
        <v>10685774</v>
      </c>
      <c r="R37" s="116">
        <v>14263080685</v>
      </c>
      <c r="S37" s="116">
        <v>129392.81</v>
      </c>
      <c r="T37" s="130">
        <f t="shared" ref="T37" si="53">Q37/S37</f>
        <v>82.583985926265925</v>
      </c>
      <c r="U37" s="85">
        <f>Q35+Q36+Q37</f>
        <v>33032064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502750.6</v>
      </c>
      <c r="G38" s="190">
        <f t="shared" ref="G38" si="54">F38/F37-1</f>
        <v>-0.15312537959346706</v>
      </c>
      <c r="H38" s="190">
        <f t="shared" ref="H38" si="55">F38/F26-1</f>
        <v>1.3326662754575884</v>
      </c>
      <c r="I38" s="130">
        <f t="shared" si="0"/>
        <v>68.516582662688194</v>
      </c>
      <c r="J38" s="130">
        <f t="shared" si="5"/>
        <v>5.5113981931805167E-2</v>
      </c>
      <c r="K38" s="136"/>
      <c r="L38" s="190"/>
      <c r="M38" s="190"/>
      <c r="N38" s="191"/>
      <c r="O38" s="192"/>
      <c r="P38" s="129" t="s">
        <v>727</v>
      </c>
      <c r="Q38" s="116">
        <v>10055012</v>
      </c>
      <c r="R38" s="116">
        <v>13525751893</v>
      </c>
      <c r="S38" s="116">
        <v>146752.97</v>
      </c>
      <c r="T38" s="130">
        <f t="shared" ref="T38" si="56">Q38/S38</f>
        <v>68.516582662688194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327885.47619047621</v>
      </c>
      <c r="G39" s="190">
        <f t="shared" ref="G39" si="57">F39/F38-1</f>
        <v>-0.3478168376318671</v>
      </c>
      <c r="H39" s="190">
        <f t="shared" ref="H39" si="58">F39/F27-1</f>
        <v>0.34403179629734448</v>
      </c>
      <c r="I39" s="130">
        <f t="shared" si="0"/>
        <v>90.728733197693415</v>
      </c>
      <c r="J39" s="130">
        <f t="shared" si="5"/>
        <v>8.366944238964269E-2</v>
      </c>
      <c r="K39" s="136"/>
      <c r="L39" s="190"/>
      <c r="M39" s="190"/>
      <c r="N39" s="191"/>
      <c r="O39" s="192"/>
      <c r="P39" s="129" t="s">
        <v>762</v>
      </c>
      <c r="Q39" s="116">
        <v>6885595</v>
      </c>
      <c r="R39" s="116">
        <v>9571480275</v>
      </c>
      <c r="S39" s="116">
        <v>75892.11</v>
      </c>
      <c r="T39" s="130">
        <f t="shared" ref="T39" si="59">Q39/S39</f>
        <v>90.728733197693415</v>
      </c>
      <c r="U39" s="85"/>
    </row>
    <row r="40" spans="1:21" s="79" customFormat="1" ht="13.2" hidden="1">
      <c r="A40" s="129" t="s">
        <v>777</v>
      </c>
      <c r="B40" s="188">
        <f>SUM(F38:F40)</f>
        <v>1209569.8857142858</v>
      </c>
      <c r="C40" s="188">
        <f>AVERAGE(F38:F40)</f>
        <v>403189.96190476191</v>
      </c>
      <c r="D40" s="190">
        <f>C40/C37-1</f>
        <v>-0.24679971880132867</v>
      </c>
      <c r="E40" s="287">
        <f>C40/C28-1</f>
        <v>1.0460118088199737</v>
      </c>
      <c r="F40" s="136">
        <f>Q40/21</f>
        <v>378933.80952380953</v>
      </c>
      <c r="G40" s="190">
        <f t="shared" ref="G40" si="60">F40/F39-1</f>
        <v>0.1556895228371693</v>
      </c>
      <c r="H40" s="190">
        <f t="shared" ref="H40" si="61">F40/F28-1</f>
        <v>1.8772188370873915</v>
      </c>
      <c r="I40" s="130">
        <f t="shared" si="0"/>
        <v>42.15394210853885</v>
      </c>
      <c r="J40" s="130">
        <f t="shared" si="5"/>
        <v>0.94148672888832841</v>
      </c>
      <c r="K40" s="136">
        <f>R38+R39+R40</f>
        <v>34424208635</v>
      </c>
      <c r="L40" s="190">
        <f>U40/U37-1</f>
        <v>-0.24624095545467584</v>
      </c>
      <c r="M40" s="190">
        <f>U40/U28-1</f>
        <v>1.0810303425922134</v>
      </c>
      <c r="N40" s="191">
        <f>AVERAGE(T38:T40)</f>
        <v>67.133085989640151</v>
      </c>
      <c r="O40" s="192">
        <f>N40/N37-1</f>
        <v>-0.17823612310921766</v>
      </c>
      <c r="P40" s="129" t="s">
        <v>779</v>
      </c>
      <c r="Q40" s="116">
        <v>7957610</v>
      </c>
      <c r="R40" s="116">
        <v>11326976467</v>
      </c>
      <c r="S40" s="116">
        <v>188774.99</v>
      </c>
      <c r="T40" s="130">
        <f t="shared" ref="T40" si="62">Q40/S40</f>
        <v>42.15394210853885</v>
      </c>
      <c r="U40" s="85">
        <f>Q38+Q39+Q40</f>
        <v>24898217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799895.4444444445</v>
      </c>
      <c r="G41" s="190">
        <f t="shared" ref="G41" si="63">F41/F40-1</f>
        <v>1.1109107298967071</v>
      </c>
      <c r="H41" s="190">
        <f t="shared" ref="H41" si="64">F41/F29-1</f>
        <v>3.3047410880279973</v>
      </c>
      <c r="I41" s="130">
        <f t="shared" si="0"/>
        <v>139.69314524426744</v>
      </c>
      <c r="J41" s="130">
        <f t="shared" si="5"/>
        <v>0.44909450951543817</v>
      </c>
      <c r="K41" s="193"/>
      <c r="L41" s="190"/>
      <c r="M41" s="190"/>
      <c r="N41" s="193"/>
      <c r="O41" s="193"/>
      <c r="P41" s="129" t="s">
        <v>792</v>
      </c>
      <c r="Q41" s="116">
        <v>14398118</v>
      </c>
      <c r="R41" s="116">
        <v>21092267117</v>
      </c>
      <c r="S41" s="116">
        <v>103069.61</v>
      </c>
      <c r="T41" s="130">
        <f t="shared" ref="T41" si="65">Q41/S41</f>
        <v>139.69314524426744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447189.9</v>
      </c>
      <c r="G42" s="190">
        <f t="shared" ref="G42" si="66">F42/F41-1</f>
        <v>-0.44093955890624037</v>
      </c>
      <c r="H42" s="190">
        <f t="shared" ref="H42" si="67">F42/F30-1</f>
        <v>0.44918404804069723</v>
      </c>
      <c r="I42" s="130">
        <f t="shared" si="0"/>
        <v>84.655663074966824</v>
      </c>
      <c r="J42" s="130">
        <f t="shared" si="5"/>
        <v>1.2430229146559446E-2</v>
      </c>
      <c r="K42" s="193"/>
      <c r="L42" s="190"/>
      <c r="M42" s="190"/>
      <c r="N42" s="193"/>
      <c r="O42" s="193"/>
      <c r="P42" s="129" t="s">
        <v>826</v>
      </c>
      <c r="Q42" s="116">
        <v>8943798</v>
      </c>
      <c r="R42" s="116">
        <v>12948787294</v>
      </c>
      <c r="S42" s="116">
        <v>105649.14</v>
      </c>
      <c r="T42" s="130">
        <f t="shared" ref="T42" si="68">Q42/S42</f>
        <v>84.655663074966824</v>
      </c>
      <c r="U42" s="78"/>
    </row>
    <row r="43" spans="1:21" s="79" customFormat="1" ht="13.2">
      <c r="A43" s="129" t="s">
        <v>835</v>
      </c>
      <c r="B43" s="188">
        <f>SUM(F41:F43)</f>
        <v>1599624.0444444444</v>
      </c>
      <c r="C43" s="188">
        <f>AVERAGE(F41:F43)</f>
        <v>533208.01481481479</v>
      </c>
      <c r="D43" s="190">
        <f>C43/C40-1</f>
        <v>0.32247343732422751</v>
      </c>
      <c r="E43" s="287">
        <f>C43/C31-1</f>
        <v>0.7538485561065742</v>
      </c>
      <c r="F43" s="136">
        <f>Q43/20</f>
        <v>352538.7</v>
      </c>
      <c r="G43" s="190">
        <f t="shared" ref="G43" si="69">F43/F42-1</f>
        <v>-0.21165773198366067</v>
      </c>
      <c r="H43" s="190">
        <f t="shared" ref="H43" si="70">F43/F31-1</f>
        <v>-0.1559341609936904</v>
      </c>
      <c r="I43" s="130">
        <f t="shared" si="0"/>
        <v>86.952126085240721</v>
      </c>
      <c r="J43" s="130">
        <f t="shared" si="5"/>
        <v>0.16918180897384771</v>
      </c>
      <c r="K43" s="136">
        <f>R41+R42+R43</f>
        <v>44253960615</v>
      </c>
      <c r="L43" s="190">
        <f>U43/U40-1</f>
        <v>0.22067736818262929</v>
      </c>
      <c r="M43" s="190">
        <f>K43/K31-1</f>
        <v>0.82337012036229362</v>
      </c>
      <c r="N43" s="191">
        <f>AVERAGE(T41:T43)</f>
        <v>103.76697813482498</v>
      </c>
      <c r="O43" s="192">
        <f>N43/N40-1</f>
        <v>0.54569057276523991</v>
      </c>
      <c r="P43" s="129" t="s">
        <v>835</v>
      </c>
      <c r="Q43" s="116">
        <v>7050774</v>
      </c>
      <c r="R43" s="116">
        <v>10212906204</v>
      </c>
      <c r="S43" s="116">
        <v>81088</v>
      </c>
      <c r="T43" s="130">
        <f t="shared" ref="T43" si="71">Q43/S43</f>
        <v>86.952126085240721</v>
      </c>
      <c r="U43" s="85">
        <f>Q41+Q42+Q43</f>
        <v>30392690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488378.40909090912</v>
      </c>
      <c r="G44" s="190">
        <f t="shared" ref="G44" si="72">F44/F43-1</f>
        <v>0.38531857379320078</v>
      </c>
      <c r="H44" s="190">
        <f t="shared" ref="H44" si="73">F44/F32-1</f>
        <v>-6.7478536400205513E-2</v>
      </c>
      <c r="I44" s="130">
        <f t="shared" si="0"/>
        <v>82.328869517976145</v>
      </c>
      <c r="J44" s="130">
        <f t="shared" si="5"/>
        <v>-5.5616969627765522E-2</v>
      </c>
      <c r="K44" s="136"/>
      <c r="L44" s="190"/>
      <c r="M44" s="190"/>
      <c r="N44" s="191"/>
      <c r="O44" s="192"/>
      <c r="P44" s="129" t="s">
        <v>843</v>
      </c>
      <c r="Q44" s="116">
        <v>10744325</v>
      </c>
      <c r="R44" s="116">
        <v>15548493449</v>
      </c>
      <c r="S44" s="116">
        <v>130504.95</v>
      </c>
      <c r="T44" s="130">
        <f t="shared" ref="T44" si="74">Q44/S44</f>
        <v>82.328869517976145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257384.75</v>
      </c>
      <c r="G45" s="190">
        <f t="shared" ref="G45" si="75">F45/F44-1</f>
        <v>-0.47298089921888997</v>
      </c>
      <c r="H45" s="190">
        <f t="shared" ref="H45" si="76">F45/F33-1</f>
        <v>-0.46273137869841363</v>
      </c>
      <c r="I45" s="130">
        <f t="shared" si="0"/>
        <v>105.64729322288282</v>
      </c>
      <c r="J45" s="130">
        <f t="shared" si="5"/>
        <v>0.46567897818252968</v>
      </c>
      <c r="K45" s="136"/>
      <c r="L45" s="190"/>
      <c r="M45" s="190"/>
      <c r="N45" s="191"/>
      <c r="O45" s="192"/>
      <c r="P45" s="129" t="s">
        <v>883</v>
      </c>
      <c r="Q45" s="116">
        <v>5147695</v>
      </c>
      <c r="R45" s="116">
        <v>7234448537</v>
      </c>
      <c r="S45" s="116">
        <v>48725.29</v>
      </c>
      <c r="T45" s="130">
        <f t="shared" ref="T45" si="77">Q45/S45</f>
        <v>105.64729322288282</v>
      </c>
      <c r="U45" s="85"/>
    </row>
    <row r="46" spans="1:21" s="79" customFormat="1" ht="13.2">
      <c r="A46" s="129" t="s">
        <v>888</v>
      </c>
      <c r="B46" s="188">
        <f>SUM(F44:F46)</f>
        <v>1096952.8959330143</v>
      </c>
      <c r="C46" s="188">
        <f>AVERAGE(F44:F46)</f>
        <v>365650.96531100478</v>
      </c>
      <c r="D46" s="190">
        <f>C46/C43-1</f>
        <v>-0.31424330626763597</v>
      </c>
      <c r="E46" s="287">
        <f>C46/C34-1</f>
        <v>-0.32650046012854295</v>
      </c>
      <c r="F46" s="136">
        <f>Q46/19</f>
        <v>351189.73684210528</v>
      </c>
      <c r="G46" s="190">
        <f t="shared" ref="G46" si="78">F46/F45-1</f>
        <v>0.36445433088831125</v>
      </c>
      <c r="H46" s="190">
        <f t="shared" ref="H46" si="79">F46/F34-1</f>
        <v>-0.43895478479745687</v>
      </c>
      <c r="I46" s="130">
        <f t="shared" si="0"/>
        <v>53.779592011746622</v>
      </c>
      <c r="J46" s="130">
        <f t="shared" si="5"/>
        <v>-0.27307157307800578</v>
      </c>
      <c r="K46" s="136">
        <f>R44+R45+R46</f>
        <v>31908308582</v>
      </c>
      <c r="L46" s="190">
        <f>U46/U43-1</f>
        <v>-0.25756407215024402</v>
      </c>
      <c r="M46" s="190">
        <f>K46/K34-1</f>
        <v>-0.29322355806997891</v>
      </c>
      <c r="N46" s="191">
        <f>AVERAGE(T44:T46)</f>
        <v>80.585251584201856</v>
      </c>
      <c r="O46" s="192">
        <f>N46/N43-1</f>
        <v>-0.22340176968922609</v>
      </c>
      <c r="P46" s="129" t="s">
        <v>888</v>
      </c>
      <c r="Q46" s="116">
        <v>6672605</v>
      </c>
      <c r="R46" s="116">
        <v>9125366596</v>
      </c>
      <c r="S46" s="116">
        <v>124073.18</v>
      </c>
      <c r="T46" s="130">
        <f t="shared" ref="T46" si="80">Q46/S46</f>
        <v>53.779592011746622</v>
      </c>
      <c r="U46" s="85">
        <f t="shared" ref="U46:U51" si="81">Q44+Q45+Q46</f>
        <v>22564625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536211.78260869568</v>
      </c>
      <c r="G47" s="190">
        <f t="shared" ref="G47" si="82">F47/F46-1</f>
        <v>0.52684354454747684</v>
      </c>
      <c r="H47" s="190">
        <f t="shared" ref="H47" si="83">F47/F35-1</f>
        <v>-1.5195910429082971E-2</v>
      </c>
      <c r="I47" s="130">
        <f t="shared" si="0"/>
        <v>122.74310265722238</v>
      </c>
      <c r="J47" s="130">
        <f t="shared" si="5"/>
        <v>0.42883652848443887</v>
      </c>
      <c r="K47" s="136"/>
      <c r="L47" s="190"/>
      <c r="M47" s="190"/>
      <c r="N47" s="191"/>
      <c r="O47" s="192"/>
      <c r="P47" s="129" t="s">
        <v>991</v>
      </c>
      <c r="Q47" s="116">
        <v>12332871</v>
      </c>
      <c r="R47" s="116">
        <v>16917447694</v>
      </c>
      <c r="S47" s="116">
        <v>100477.1</v>
      </c>
      <c r="T47" s="130">
        <f t="shared" ref="T47" si="84">Q47/S47</f>
        <v>122.74310265722238</v>
      </c>
      <c r="U47" s="85">
        <f t="shared" si="81"/>
        <v>24153171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221875.5</v>
      </c>
      <c r="G48" s="190">
        <f t="shared" ref="G48" si="85">F48/F47-1</f>
        <v>-0.58621666439225706</v>
      </c>
      <c r="H48" s="190">
        <f t="shared" ref="H48" si="86">F48/F36-1</f>
        <v>-0.52567143141312156</v>
      </c>
      <c r="I48" s="130">
        <f t="shared" si="0"/>
        <v>118.71557924778769</v>
      </c>
      <c r="J48" s="130">
        <f t="shared" si="5"/>
        <v>0.54994433511258722</v>
      </c>
      <c r="K48" s="136"/>
      <c r="L48" s="190"/>
      <c r="M48" s="190"/>
      <c r="N48" s="191"/>
      <c r="O48" s="192"/>
      <c r="P48" s="129" t="s">
        <v>1070</v>
      </c>
      <c r="Q48" s="116">
        <v>4437510</v>
      </c>
      <c r="R48" s="116">
        <v>6155843389</v>
      </c>
      <c r="S48" s="116">
        <v>37379.339999999997</v>
      </c>
      <c r="T48" s="130">
        <f t="shared" ref="T48" si="87">Q48/S48</f>
        <v>118.71557924778769</v>
      </c>
      <c r="U48" s="85">
        <f t="shared" si="81"/>
        <v>23442986</v>
      </c>
    </row>
    <row r="49" spans="1:26" ht="13.2">
      <c r="A49" s="129" t="s">
        <v>1239</v>
      </c>
      <c r="B49" s="188">
        <f>SUM(F47:F49)</f>
        <v>1102012.7826086958</v>
      </c>
      <c r="C49" s="188">
        <f>AVERAGE(F47:F49)</f>
        <v>367337.59420289862</v>
      </c>
      <c r="D49" s="190">
        <f>C49/C46-1</f>
        <v>4.6126745227084154E-3</v>
      </c>
      <c r="E49" s="287">
        <f>C49/C37-1</f>
        <v>-0.31377562590751862</v>
      </c>
      <c r="F49" s="136">
        <f>Q49/22</f>
        <v>343925.5</v>
      </c>
      <c r="G49" s="190">
        <f t="shared" ref="G49" si="88">F49/F48-1</f>
        <v>0.55008326741798896</v>
      </c>
      <c r="H49" s="190">
        <f t="shared" ref="H49" si="89">F49/F37-1</f>
        <v>-0.42066349147941928</v>
      </c>
      <c r="I49" s="130">
        <f t="shared" si="0"/>
        <v>54.630130292348234</v>
      </c>
      <c r="J49" s="130">
        <f t="shared" si="5"/>
        <v>-0.33849002709648746</v>
      </c>
      <c r="K49" s="136">
        <f>R47+R48+R49</f>
        <v>33593201561</v>
      </c>
      <c r="L49" s="190">
        <f>U49/U46-1</f>
        <v>7.8535185051823442E-2</v>
      </c>
      <c r="M49" s="190">
        <f>K49/K37-1</f>
        <v>-0.25378591402491379</v>
      </c>
      <c r="N49" s="191">
        <f>AVERAGE(T47:T49)</f>
        <v>98.69627073245276</v>
      </c>
      <c r="O49" s="192">
        <f>N49/N46-1</f>
        <v>0.22474359504018016</v>
      </c>
      <c r="P49" s="129" t="s">
        <v>1191</v>
      </c>
      <c r="Q49" s="116">
        <v>7566361</v>
      </c>
      <c r="R49" s="116">
        <v>10519910478</v>
      </c>
      <c r="S49" s="116">
        <v>138501.60999999999</v>
      </c>
      <c r="T49" s="130">
        <f t="shared" ref="T49" si="90">Q49/S49</f>
        <v>54.630130292348234</v>
      </c>
      <c r="U49" s="85">
        <f t="shared" si="81"/>
        <v>24336742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442585.05555555556</v>
      </c>
      <c r="G50" s="190">
        <f t="shared" ref="G50" si="91">F50/F49-1</f>
        <v>0.2868631594794675</v>
      </c>
      <c r="H50" s="190">
        <f t="shared" ref="H50" si="92">F50/F38-1</f>
        <v>-0.11967274518308768</v>
      </c>
      <c r="I50" s="130">
        <f t="shared" ref="I50" si="93">T50</f>
        <v>105.04599906380005</v>
      </c>
      <c r="J50" s="130">
        <f t="shared" ref="J50" si="94">I50/I38-1</f>
        <v>0.53314708617253537</v>
      </c>
      <c r="K50" s="136"/>
      <c r="L50" s="190"/>
      <c r="M50" s="190"/>
      <c r="N50" s="191"/>
      <c r="O50" s="192"/>
      <c r="P50" s="129" t="s">
        <v>1291</v>
      </c>
      <c r="Q50" s="116">
        <v>7966531</v>
      </c>
      <c r="R50" s="116">
        <v>11287364198</v>
      </c>
      <c r="S50" s="116">
        <v>75838.5</v>
      </c>
      <c r="T50" s="130">
        <f t="shared" ref="T50" si="95">Q50/S50</f>
        <v>105.04599906380005</v>
      </c>
      <c r="U50" s="85">
        <f t="shared" si="81"/>
        <v>19970402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270927.7</v>
      </c>
      <c r="G51" s="190">
        <f t="shared" ref="G51:G52" si="96">F51/F50-1</f>
        <v>-0.38785167596787107</v>
      </c>
      <c r="H51" s="190">
        <f t="shared" ref="H51:H52" si="97">F51/F39-1</f>
        <v>-0.17371240974817714</v>
      </c>
      <c r="I51" s="130">
        <f t="shared" ref="I51:I52" si="98">T51</f>
        <v>57.403779575073251</v>
      </c>
      <c r="J51" s="130">
        <f t="shared" ref="J51:J52" si="99">I51/I39-1</f>
        <v>-0.3673031954497451</v>
      </c>
      <c r="K51" s="136"/>
      <c r="L51" s="190"/>
      <c r="M51" s="190"/>
      <c r="N51" s="191"/>
      <c r="O51" s="192"/>
      <c r="P51" s="129" t="s">
        <v>1402</v>
      </c>
      <c r="Q51" s="116">
        <v>5418554</v>
      </c>
      <c r="R51" s="116">
        <v>7858312446</v>
      </c>
      <c r="S51" s="116">
        <v>94393.68</v>
      </c>
      <c r="T51" s="130">
        <f t="shared" ref="T51:T52" si="100">Q51/S51</f>
        <v>57.403779575073251</v>
      </c>
      <c r="U51" s="85">
        <f t="shared" si="81"/>
        <v>20951446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973771.75555555557</v>
      </c>
      <c r="C52" s="188">
        <f>AVERAGE(F50:F52)</f>
        <v>324590.58518518519</v>
      </c>
      <c r="D52" s="190">
        <f>C52/C49-1</f>
        <v>-0.11636981809736069</v>
      </c>
      <c r="E52" s="287">
        <f>C52/C40-1</f>
        <v>-0.19494378369008802</v>
      </c>
      <c r="F52" s="136">
        <f>Q52/22</f>
        <v>260259</v>
      </c>
      <c r="G52" s="190">
        <f t="shared" si="96"/>
        <v>-3.9378402429873449E-2</v>
      </c>
      <c r="H52" s="190">
        <f t="shared" si="97"/>
        <v>-0.31318084198647589</v>
      </c>
      <c r="I52" s="130">
        <f t="shared" si="98"/>
        <v>62.638202961107574</v>
      </c>
      <c r="J52" s="130">
        <f t="shared" si="99"/>
        <v>0.48593938853513197</v>
      </c>
      <c r="K52" s="136">
        <f>R50+R51+R52</f>
        <v>27568521975</v>
      </c>
      <c r="L52" s="190">
        <f>U52/U49-1</f>
        <v>-0.21473535775659702</v>
      </c>
      <c r="M52" s="190">
        <f>K52/K40-1</f>
        <v>-0.19915306500407515</v>
      </c>
      <c r="N52" s="191">
        <f>AVERAGE(T50:T52)</f>
        <v>75.029327199993631</v>
      </c>
      <c r="O52" s="192">
        <f>N52/N49-1</f>
        <v>-0.23979572233905178</v>
      </c>
      <c r="P52" s="129" t="s">
        <v>1403</v>
      </c>
      <c r="Q52" s="116">
        <v>5725698</v>
      </c>
      <c r="R52" s="116">
        <v>8422845331</v>
      </c>
      <c r="S52" s="116">
        <v>91409.04</v>
      </c>
      <c r="T52" s="130">
        <f t="shared" si="100"/>
        <v>62.638202961107574</v>
      </c>
      <c r="U52" s="85">
        <f t="shared" ref="U52" si="101">Q50+Q51+Q52</f>
        <v>19110783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360242.76190476189</v>
      </c>
      <c r="G53" s="190">
        <f t="shared" ref="G53" si="102">F53/F52-1</f>
        <v>0.38417023774302472</v>
      </c>
      <c r="H53" s="190">
        <f t="shared" ref="H53" si="103">F53/F41-1</f>
        <v>-0.54963768776685162</v>
      </c>
      <c r="I53" s="130">
        <f t="shared" ref="I53" si="104">T53</f>
        <v>152.15316567002438</v>
      </c>
      <c r="J53" s="130">
        <f t="shared" ref="J53" si="105">I53/I41-1</f>
        <v>8.9195646672350026E-2</v>
      </c>
      <c r="K53" s="136"/>
      <c r="L53" s="190"/>
      <c r="M53" s="190"/>
      <c r="N53" s="191"/>
      <c r="O53" s="192"/>
      <c r="P53" s="129" t="s">
        <v>1414</v>
      </c>
      <c r="Q53" s="116">
        <v>7565098</v>
      </c>
      <c r="R53" s="116">
        <v>11029752488</v>
      </c>
      <c r="S53" s="116">
        <v>49720.28</v>
      </c>
      <c r="T53" s="130">
        <f t="shared" ref="T53" si="106">Q53/S53</f>
        <v>152.15316567002438</v>
      </c>
      <c r="U53" s="85">
        <f t="shared" ref="U53" si="107">Q51+Q52+Q53</f>
        <v>18709350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397269.29411764705</v>
      </c>
      <c r="G54" s="190">
        <f t="shared" ref="G54" si="108">F54/F53-1</f>
        <v>0.1027821683830914</v>
      </c>
      <c r="H54" s="190">
        <f t="shared" ref="H54" si="109">F54/F42-1</f>
        <v>-0.11163178301288323</v>
      </c>
      <c r="I54" s="130">
        <f t="shared" ref="I54" si="110">T54</f>
        <v>79.584170881214675</v>
      </c>
      <c r="J54" s="130">
        <f t="shared" ref="J54" si="111">I54/I42-1</f>
        <v>-5.9907299872674624E-2</v>
      </c>
      <c r="K54" s="136"/>
      <c r="L54" s="190"/>
      <c r="M54" s="190"/>
      <c r="N54" s="191"/>
      <c r="O54" s="192"/>
      <c r="P54" s="129" t="s">
        <v>1417</v>
      </c>
      <c r="Q54" s="116">
        <v>6753578</v>
      </c>
      <c r="R54" s="116">
        <v>9797380594</v>
      </c>
      <c r="S54" s="116">
        <v>84860.82</v>
      </c>
      <c r="T54" s="130">
        <f t="shared" ref="T54" si="112">Q54/S54</f>
        <v>79.584170881214675</v>
      </c>
      <c r="U54" s="85">
        <f t="shared" ref="U54" si="113">Q52+Q53+Q54</f>
        <v>20044374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1229541.7226890756</v>
      </c>
      <c r="C55" s="188">
        <f>AVERAGE(F53:F55)</f>
        <v>409847.24089635856</v>
      </c>
      <c r="D55" s="190">
        <f>C55/C52-1</f>
        <v>0.26265905298064274</v>
      </c>
      <c r="E55" s="287">
        <f>C55/C43-1</f>
        <v>-0.23135581328667743</v>
      </c>
      <c r="F55" s="136">
        <f>Q55/21</f>
        <v>472029.66666666669</v>
      </c>
      <c r="G55" s="190">
        <f t="shared" ref="G55" si="114">F55/F54-1</f>
        <v>0.18818563039226532</v>
      </c>
      <c r="H55" s="190">
        <f t="shared" ref="H55" si="115">F55/F43-1</f>
        <v>0.33894425396890226</v>
      </c>
      <c r="I55" s="130">
        <f>T55</f>
        <v>93.552123198666195</v>
      </c>
      <c r="J55" s="130">
        <f t="shared" ref="J55" si="116">I55/I43-1</f>
        <v>7.5903803743169851E-2</v>
      </c>
      <c r="K55" s="136">
        <f>R53+R54+R55</f>
        <v>35392772460</v>
      </c>
      <c r="L55" s="190">
        <f>U55/U52-1</f>
        <v>0.26793857687568323</v>
      </c>
      <c r="M55" s="190">
        <f>K55/K43-1</f>
        <v>-0.20023491754987632</v>
      </c>
      <c r="N55" s="191">
        <f>AVERAGE(T53:T55)</f>
        <v>108.42981991663508</v>
      </c>
      <c r="O55" s="192">
        <f>N55/N52-1</f>
        <v>0.44516582999086629</v>
      </c>
      <c r="P55" s="129" t="s">
        <v>1418</v>
      </c>
      <c r="Q55" s="116">
        <v>9912623</v>
      </c>
      <c r="R55" s="116">
        <v>14565639378</v>
      </c>
      <c r="S55" s="116">
        <v>105958.29</v>
      </c>
      <c r="T55" s="130">
        <f t="shared" ref="T55" si="117">Q55/S55</f>
        <v>93.552123198666195</v>
      </c>
      <c r="U55" s="85">
        <f t="shared" ref="U55" si="118">Q53+Q54+Q55</f>
        <v>24231299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599551.40909090906</v>
      </c>
      <c r="G56" s="190">
        <f t="shared" ref="G56" si="119">F56/F55-1</f>
        <v>0.27015620294538478</v>
      </c>
      <c r="H56" s="190">
        <f t="shared" ref="H56" si="120">F56/F44-1</f>
        <v>0.2276370083741881</v>
      </c>
      <c r="I56" s="291">
        <f>T56</f>
        <v>96.544898091979945</v>
      </c>
      <c r="J56" s="130">
        <f t="shared" ref="J56" si="121">I56/I44-1</f>
        <v>0.17267367640581766</v>
      </c>
      <c r="K56" s="136"/>
      <c r="L56" s="190"/>
      <c r="M56" s="190"/>
      <c r="N56" s="191"/>
      <c r="O56" s="192"/>
      <c r="P56" s="129" t="s">
        <v>1420</v>
      </c>
      <c r="Q56" s="116">
        <v>13190131</v>
      </c>
      <c r="R56" s="116">
        <v>19705362537</v>
      </c>
      <c r="S56" s="116">
        <v>136621.73000000001</v>
      </c>
      <c r="T56" s="130">
        <f t="shared" ref="T56" si="122">Q56/S56</f>
        <v>96.544898091979945</v>
      </c>
      <c r="U56" s="85">
        <f t="shared" ref="U56" si="123">Q54+Q55+Q56</f>
        <v>29856332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664507.33333333337</v>
      </c>
      <c r="G57" s="254">
        <f t="shared" ref="G57" si="124">F57/F56-1</f>
        <v>0.10834087495668809</v>
      </c>
      <c r="H57" s="254">
        <f t="shared" ref="H57" si="125">F57/F45-1</f>
        <v>1.5817665317519136</v>
      </c>
      <c r="I57" s="282">
        <f>T57</f>
        <v>95.486921645307476</v>
      </c>
      <c r="J57" s="277">
        <f t="shared" ref="J57" si="126">I57/I45-1</f>
        <v>-9.6172568814802739E-2</v>
      </c>
      <c r="K57" s="204"/>
      <c r="L57" s="254"/>
      <c r="M57" s="254"/>
      <c r="N57" s="257"/>
      <c r="O57" s="258"/>
      <c r="P57" s="129" t="s">
        <v>1436</v>
      </c>
      <c r="Q57" s="116">
        <v>7974088</v>
      </c>
      <c r="R57" s="116">
        <v>11769728118</v>
      </c>
      <c r="S57" s="116">
        <v>83509.740000000005</v>
      </c>
      <c r="T57" s="130">
        <f t="shared" ref="T57" si="127">Q57/S57</f>
        <v>95.486921645307476</v>
      </c>
      <c r="U57" s="85">
        <f t="shared" ref="U57" si="128">Q55+Q56+Q57</f>
        <v>31076842</v>
      </c>
      <c r="V57" s="79"/>
      <c r="W57" s="79"/>
      <c r="X57" s="79"/>
      <c r="Y57" s="79"/>
      <c r="Z57" s="79"/>
    </row>
    <row r="58" spans="1:26">
      <c r="B58" s="196">
        <f>SUM(F56:F58)</f>
        <v>1264058.7424242424</v>
      </c>
      <c r="C58" s="196">
        <f>AVERAGE(F56:F58)</f>
        <v>632029.37121212122</v>
      </c>
      <c r="D58" s="197">
        <f>C58/C55-1</f>
        <v>0.54210961584086315</v>
      </c>
      <c r="E58" s="233">
        <f>C58/C46-1</f>
        <v>0.72850458817891539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45395518</v>
      </c>
      <c r="R66" s="212">
        <v>66867863115</v>
      </c>
      <c r="S66" s="213">
        <v>460670.87</v>
      </c>
      <c r="T66" s="214">
        <v>32</v>
      </c>
      <c r="U66" s="214">
        <v>113</v>
      </c>
    </row>
    <row r="67" spans="16:21" ht="18" thickBot="1">
      <c r="P67" s="180" t="s">
        <v>976</v>
      </c>
      <c r="Q67" s="181">
        <v>7565098</v>
      </c>
      <c r="R67" s="181">
        <v>11029752488</v>
      </c>
      <c r="S67" s="182">
        <v>49720.28</v>
      </c>
      <c r="T67" s="210">
        <v>20</v>
      </c>
      <c r="U67" s="210">
        <v>33</v>
      </c>
    </row>
    <row r="68" spans="16:21" ht="18" thickBot="1">
      <c r="P68" s="180" t="s">
        <v>977</v>
      </c>
      <c r="Q68" s="181">
        <v>6753578</v>
      </c>
      <c r="R68" s="181">
        <v>9797380594</v>
      </c>
      <c r="S68" s="182">
        <v>84860.82</v>
      </c>
      <c r="T68" s="210">
        <v>11</v>
      </c>
      <c r="U68" s="210">
        <v>29</v>
      </c>
    </row>
    <row r="69" spans="16:21" ht="18" thickBot="1">
      <c r="P69" s="180" t="s">
        <v>978</v>
      </c>
      <c r="Q69" s="181">
        <v>9912623</v>
      </c>
      <c r="R69" s="181">
        <v>14565639378</v>
      </c>
      <c r="S69" s="182">
        <v>105958.29</v>
      </c>
      <c r="T69" s="210">
        <v>19</v>
      </c>
      <c r="U69" s="210">
        <v>45</v>
      </c>
    </row>
    <row r="70" spans="16:21" ht="18" thickBot="1">
      <c r="P70" s="180" t="s">
        <v>979</v>
      </c>
      <c r="Q70" s="181">
        <v>13190131</v>
      </c>
      <c r="R70" s="181">
        <v>19705362537</v>
      </c>
      <c r="S70" s="182">
        <v>136621.73000000001</v>
      </c>
      <c r="T70" s="210">
        <v>17</v>
      </c>
      <c r="U70" s="210">
        <v>43</v>
      </c>
    </row>
    <row r="71" spans="16:21" ht="18" thickBot="1">
      <c r="P71" s="180" t="s">
        <v>980</v>
      </c>
      <c r="Q71" s="181">
        <v>7974088</v>
      </c>
      <c r="R71" s="181">
        <v>11769728118</v>
      </c>
      <c r="S71" s="182">
        <v>83509.740000000005</v>
      </c>
      <c r="T71" s="210">
        <v>11</v>
      </c>
      <c r="U71" s="210">
        <v>21</v>
      </c>
    </row>
    <row r="72" spans="16:21" ht="18" thickBot="1">
      <c r="P72" s="180" t="s">
        <v>975</v>
      </c>
      <c r="Q72" s="181">
        <v>96378533</v>
      </c>
      <c r="R72" s="181">
        <v>137286321442</v>
      </c>
      <c r="S72" s="182">
        <v>1130074.49</v>
      </c>
      <c r="T72" s="210">
        <v>57</v>
      </c>
      <c r="U72" s="210">
        <v>252</v>
      </c>
    </row>
    <row r="73" spans="16:21" ht="18" thickBot="1">
      <c r="P73" s="215" t="s">
        <v>982</v>
      </c>
      <c r="Q73" s="217" t="s">
        <v>1506</v>
      </c>
      <c r="R73"/>
      <c r="S73"/>
      <c r="T73"/>
      <c r="U73"/>
    </row>
  </sheetData>
  <phoneticPr fontId="1" type="noConversion"/>
  <conditionalFormatting sqref="C29:C30">
    <cfRule type="cellIs" dxfId="1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00"/>
  </sheetPr>
  <dimension ref="A1:Z74"/>
  <sheetViews>
    <sheetView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97402</v>
      </c>
      <c r="G5" s="90"/>
      <c r="H5" s="90"/>
      <c r="I5" s="130">
        <f t="shared" ref="I5:I49" si="0">T5</f>
        <v>117.98415967992307</v>
      </c>
      <c r="J5" s="130"/>
      <c r="K5" s="86"/>
      <c r="L5" s="80"/>
      <c r="M5" s="80"/>
      <c r="P5" s="129" t="s">
        <v>0</v>
      </c>
      <c r="Q5" s="116">
        <v>1948040</v>
      </c>
      <c r="R5" s="116">
        <v>2297141438</v>
      </c>
      <c r="S5" s="116">
        <v>16511.03</v>
      </c>
      <c r="T5" s="130">
        <f t="shared" ref="T5:T29" si="1">Q5/S5</f>
        <v>117.98415967992307</v>
      </c>
      <c r="U5" s="85"/>
    </row>
    <row r="6" spans="1:21" ht="15" hidden="1" customHeight="1">
      <c r="A6" s="129" t="s">
        <v>1</v>
      </c>
      <c r="C6" s="79"/>
      <c r="F6" s="78">
        <f>Q6/18</f>
        <v>64205.666666666664</v>
      </c>
      <c r="G6" s="90">
        <f t="shared" ref="G6:G29" si="2">F6/F5-1</f>
        <v>-0.34081777923793488</v>
      </c>
      <c r="H6" s="90"/>
      <c r="I6" s="130">
        <f t="shared" si="0"/>
        <v>106.81549519807091</v>
      </c>
      <c r="J6" s="130"/>
      <c r="K6" s="78"/>
      <c r="P6" s="129" t="s">
        <v>1</v>
      </c>
      <c r="Q6" s="116">
        <v>1155702</v>
      </c>
      <c r="R6" s="116">
        <v>1372193790</v>
      </c>
      <c r="S6" s="116">
        <v>10819.61</v>
      </c>
      <c r="T6" s="130">
        <f t="shared" si="1"/>
        <v>106.81549519807091</v>
      </c>
      <c r="U6" s="85"/>
    </row>
    <row r="7" spans="1:21" ht="15" hidden="1" customHeight="1">
      <c r="A7" s="129" t="s">
        <v>2</v>
      </c>
      <c r="B7" s="131">
        <f>F5+F6+F7</f>
        <v>259309.30303030304</v>
      </c>
      <c r="C7" s="131">
        <f>AVERAGE(F5:F7)</f>
        <v>86436.434343434346</v>
      </c>
      <c r="F7" s="78">
        <f>Q7/22</f>
        <v>97701.636363636368</v>
      </c>
      <c r="G7" s="90">
        <f t="shared" si="2"/>
        <v>0.52169802816422806</v>
      </c>
      <c r="H7" s="90"/>
      <c r="I7" s="130">
        <f t="shared" si="0"/>
        <v>139.25952801308736</v>
      </c>
      <c r="J7" s="130"/>
      <c r="K7" s="85">
        <f>R5+R6+R7</f>
        <v>6261674926</v>
      </c>
      <c r="N7" s="88">
        <f>AVERAGE(T5:T7)</f>
        <v>121.35306096369379</v>
      </c>
      <c r="P7" s="129" t="s">
        <v>2</v>
      </c>
      <c r="Q7" s="116">
        <v>2149436</v>
      </c>
      <c r="R7" s="116">
        <v>2592339698</v>
      </c>
      <c r="S7" s="116">
        <v>15434.75</v>
      </c>
      <c r="T7" s="130">
        <f t="shared" si="1"/>
        <v>139.25952801308736</v>
      </c>
      <c r="U7" s="85">
        <f>Q5+Q6+Q7</f>
        <v>5253178</v>
      </c>
    </row>
    <row r="8" spans="1:21" ht="15" hidden="1" customHeight="1">
      <c r="A8" s="129" t="s">
        <v>3</v>
      </c>
      <c r="C8" s="79"/>
      <c r="F8" s="78">
        <f>Q8/21</f>
        <v>103381.19047619047</v>
      </c>
      <c r="G8" s="90">
        <f t="shared" si="2"/>
        <v>5.8131617073590602E-2</v>
      </c>
      <c r="H8" s="90"/>
      <c r="I8" s="130">
        <f t="shared" si="0"/>
        <v>135.14040937925816</v>
      </c>
      <c r="J8" s="130"/>
      <c r="K8" s="78"/>
      <c r="P8" s="129" t="s">
        <v>3</v>
      </c>
      <c r="Q8" s="116">
        <v>2171005</v>
      </c>
      <c r="R8" s="116">
        <v>2639009286</v>
      </c>
      <c r="S8" s="116">
        <v>16064.81</v>
      </c>
      <c r="T8" s="130">
        <f t="shared" si="1"/>
        <v>135.14040937925816</v>
      </c>
      <c r="U8" s="85"/>
    </row>
    <row r="9" spans="1:21" ht="15" hidden="1" customHeight="1">
      <c r="A9" s="129" t="s">
        <v>4</v>
      </c>
      <c r="C9" s="79"/>
      <c r="F9" s="78">
        <f>Q9/21</f>
        <v>116544.38095238095</v>
      </c>
      <c r="G9" s="90">
        <f t="shared" si="2"/>
        <v>0.12732674498676877</v>
      </c>
      <c r="H9" s="90"/>
      <c r="I9" s="130">
        <f t="shared" si="0"/>
        <v>92.790077043495216</v>
      </c>
      <c r="J9" s="130"/>
      <c r="K9" s="78"/>
      <c r="P9" s="129" t="s">
        <v>4</v>
      </c>
      <c r="Q9" s="116">
        <v>2447432</v>
      </c>
      <c r="R9" s="116">
        <v>3079769232</v>
      </c>
      <c r="S9" s="116">
        <v>26376.01</v>
      </c>
      <c r="T9" s="130">
        <f t="shared" si="1"/>
        <v>92.790077043495216</v>
      </c>
      <c r="U9" s="85"/>
    </row>
    <row r="10" spans="1:21" ht="15" hidden="1" customHeight="1">
      <c r="A10" s="129" t="s">
        <v>5</v>
      </c>
      <c r="B10" s="131">
        <f>F8+F9+F10</f>
        <v>408809.61904761905</v>
      </c>
      <c r="C10" s="131">
        <f>AVERAGE(F8:F10)</f>
        <v>136269.87301587302</v>
      </c>
      <c r="D10" s="90">
        <f>C10/C7-1</f>
        <v>0.57653279026339188</v>
      </c>
      <c r="E10" s="286"/>
      <c r="F10" s="78">
        <f>Q10/21</f>
        <v>188884.04761904763</v>
      </c>
      <c r="G10" s="90">
        <f t="shared" si="2"/>
        <v>0.62070488577415039</v>
      </c>
      <c r="H10" s="90"/>
      <c r="I10" s="130">
        <f t="shared" si="0"/>
        <v>102.69407995741625</v>
      </c>
      <c r="J10" s="130"/>
      <c r="K10" s="85">
        <f>R8+R9+R10</f>
        <v>10678915429</v>
      </c>
      <c r="L10" s="87">
        <f>U10/U7-1</f>
        <v>0.63424921066828488</v>
      </c>
      <c r="N10" s="88">
        <f>AVERAGE(T8:T10)</f>
        <v>110.20818879338988</v>
      </c>
      <c r="O10" s="89">
        <f>N10/N7-1</f>
        <v>-9.1838410022786476E-2</v>
      </c>
      <c r="P10" s="129" t="s">
        <v>5</v>
      </c>
      <c r="Q10" s="116">
        <v>3966565</v>
      </c>
      <c r="R10" s="116">
        <v>4960136911</v>
      </c>
      <c r="S10" s="116">
        <v>38625.06</v>
      </c>
      <c r="T10" s="130">
        <f t="shared" si="1"/>
        <v>102.69407995741625</v>
      </c>
      <c r="U10" s="85">
        <f>Q8+Q9+Q10</f>
        <v>8585002</v>
      </c>
    </row>
    <row r="11" spans="1:21" ht="15" hidden="1" customHeight="1">
      <c r="A11" s="129" t="s">
        <v>6</v>
      </c>
      <c r="C11" s="79"/>
      <c r="F11" s="78">
        <f>Q11/21</f>
        <v>88470.952380952382</v>
      </c>
      <c r="G11" s="90">
        <f t="shared" si="2"/>
        <v>-0.53161236485472951</v>
      </c>
      <c r="H11" s="90"/>
      <c r="I11" s="130">
        <f t="shared" si="0"/>
        <v>129.80038341586649</v>
      </c>
      <c r="J11" s="130"/>
      <c r="K11" s="78"/>
      <c r="O11" s="89"/>
      <c r="P11" s="129" t="s">
        <v>6</v>
      </c>
      <c r="Q11" s="116">
        <v>1857890</v>
      </c>
      <c r="R11" s="116">
        <v>2388356667</v>
      </c>
      <c r="S11" s="116">
        <v>14313.44</v>
      </c>
      <c r="T11" s="130">
        <f t="shared" si="1"/>
        <v>129.80038341586649</v>
      </c>
      <c r="U11" s="85"/>
    </row>
    <row r="12" spans="1:21" ht="15" hidden="1" customHeight="1">
      <c r="A12" s="129" t="s">
        <v>7</v>
      </c>
      <c r="C12" s="79"/>
      <c r="F12" s="78">
        <f>Q12/22</f>
        <v>87470.318181818177</v>
      </c>
      <c r="G12" s="90">
        <f t="shared" si="2"/>
        <v>-1.1310313410276329E-2</v>
      </c>
      <c r="H12" s="90"/>
      <c r="I12" s="130">
        <f t="shared" si="0"/>
        <v>136.824258747459</v>
      </c>
      <c r="J12" s="130"/>
      <c r="K12" s="78"/>
      <c r="O12" s="89"/>
      <c r="P12" s="129" t="s">
        <v>7</v>
      </c>
      <c r="Q12" s="116">
        <v>1924347</v>
      </c>
      <c r="R12" s="116">
        <v>2493905117</v>
      </c>
      <c r="S12" s="116">
        <v>14064.37</v>
      </c>
      <c r="T12" s="130">
        <f t="shared" si="1"/>
        <v>136.824258747459</v>
      </c>
      <c r="U12" s="85"/>
    </row>
    <row r="13" spans="1:21" ht="15" hidden="1" customHeight="1">
      <c r="A13" s="129" t="s">
        <v>96</v>
      </c>
      <c r="B13" s="131">
        <f>F11+F12+F13</f>
        <v>312712.02056277054</v>
      </c>
      <c r="C13" s="131">
        <f>AVERAGE(F11:F13)</f>
        <v>104237.34018759018</v>
      </c>
      <c r="D13" s="90">
        <f>C13/C10-1</f>
        <v>-0.23506687222458644</v>
      </c>
      <c r="E13" s="286"/>
      <c r="F13" s="78">
        <f>Q13/20</f>
        <v>136770.75</v>
      </c>
      <c r="G13" s="90">
        <f t="shared" si="2"/>
        <v>0.56362469970332807</v>
      </c>
      <c r="H13" s="90"/>
      <c r="I13" s="130">
        <f t="shared" si="0"/>
        <v>132.6492065046927</v>
      </c>
      <c r="J13" s="130"/>
      <c r="K13" s="78">
        <f>R11+R12+R13</f>
        <v>8589932981</v>
      </c>
      <c r="L13" s="87">
        <f>U13/U10-1</f>
        <v>-0.24080949544333241</v>
      </c>
      <c r="N13" s="88">
        <f>AVERAGE(T11:T13)</f>
        <v>133.0912828893394</v>
      </c>
      <c r="O13" s="89">
        <f>N13/N10-1</f>
        <v>0.20763515258243692</v>
      </c>
      <c r="P13" s="129" t="s">
        <v>96</v>
      </c>
      <c r="Q13" s="116">
        <v>2735415</v>
      </c>
      <c r="R13" s="116">
        <v>3707671197</v>
      </c>
      <c r="S13" s="116">
        <v>20621.419999999998</v>
      </c>
      <c r="T13" s="130">
        <f t="shared" si="1"/>
        <v>132.6492065046927</v>
      </c>
      <c r="U13" s="85">
        <f>Q11+Q12+Q13</f>
        <v>6517652</v>
      </c>
    </row>
    <row r="14" spans="1:21" ht="15" hidden="1" customHeight="1">
      <c r="A14" s="129" t="s">
        <v>97</v>
      </c>
      <c r="C14" s="79"/>
      <c r="F14" s="78">
        <f>Q14/20</f>
        <v>66087.75</v>
      </c>
      <c r="G14" s="90">
        <f t="shared" si="2"/>
        <v>-0.51679909629800225</v>
      </c>
      <c r="H14" s="90"/>
      <c r="I14" s="130">
        <f t="shared" si="0"/>
        <v>135.74003327376917</v>
      </c>
      <c r="J14" s="130"/>
      <c r="K14" s="78"/>
      <c r="O14" s="89"/>
      <c r="P14" s="129" t="s">
        <v>97</v>
      </c>
      <c r="Q14" s="116">
        <v>1321755</v>
      </c>
      <c r="R14" s="116">
        <v>1882975382</v>
      </c>
      <c r="S14" s="116">
        <v>9737.4</v>
      </c>
      <c r="T14" s="130">
        <f t="shared" si="1"/>
        <v>135.74003327376917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113467.22727272728</v>
      </c>
      <c r="G15" s="90">
        <f t="shared" si="2"/>
        <v>0.71691769310843956</v>
      </c>
      <c r="H15" s="90"/>
      <c r="I15" s="130">
        <f t="shared" si="0"/>
        <v>141.13381789892421</v>
      </c>
      <c r="J15" s="130"/>
      <c r="K15" s="78"/>
      <c r="O15" s="89"/>
      <c r="P15" s="129" t="s">
        <v>98</v>
      </c>
      <c r="Q15" s="116">
        <v>2496279</v>
      </c>
      <c r="R15" s="116">
        <v>3428395516</v>
      </c>
      <c r="S15" s="116">
        <v>17687.32</v>
      </c>
      <c r="T15" s="130">
        <f t="shared" si="1"/>
        <v>141.13381789892421</v>
      </c>
      <c r="U15" s="85"/>
    </row>
    <row r="16" spans="1:21" ht="15" hidden="1" customHeight="1">
      <c r="A16" s="129" t="s">
        <v>99</v>
      </c>
      <c r="B16" s="131">
        <f>F14+F15+F16</f>
        <v>355732.11363636365</v>
      </c>
      <c r="C16" s="131">
        <f>AVERAGE(F14:F16)</f>
        <v>118577.37121212122</v>
      </c>
      <c r="D16" s="90">
        <f>C16/C13-1</f>
        <v>0.13757096064350915</v>
      </c>
      <c r="E16" s="286"/>
      <c r="F16" s="78">
        <f>Q16/22</f>
        <v>176177.13636363635</v>
      </c>
      <c r="G16" s="90">
        <f t="shared" si="2"/>
        <v>0.55266979372097413</v>
      </c>
      <c r="H16" s="90"/>
      <c r="I16" s="130">
        <f t="shared" si="0"/>
        <v>158.16533940547677</v>
      </c>
      <c r="J16" s="130"/>
      <c r="K16" s="78">
        <f>R14+R15+R16</f>
        <v>10383702664</v>
      </c>
      <c r="L16" s="87">
        <f>U16/U13-1</f>
        <v>0.18047588303272399</v>
      </c>
      <c r="N16" s="88">
        <f>AVERAGE(T14:T16)</f>
        <v>145.01306352605673</v>
      </c>
      <c r="O16" s="89">
        <f>N16/N13-1</f>
        <v>8.9575969048475201E-2</v>
      </c>
      <c r="P16" s="129" t="s">
        <v>99</v>
      </c>
      <c r="Q16" s="116">
        <v>3875897</v>
      </c>
      <c r="R16" s="116">
        <v>5072331766</v>
      </c>
      <c r="S16" s="116">
        <v>24505.35</v>
      </c>
      <c r="T16" s="130">
        <f t="shared" si="1"/>
        <v>158.16533940547677</v>
      </c>
      <c r="U16" s="85">
        <f>Q14+Q15+Q16</f>
        <v>7693931</v>
      </c>
    </row>
    <row r="17" spans="1:21" ht="15" hidden="1" customHeight="1">
      <c r="A17" s="129" t="s">
        <v>100</v>
      </c>
      <c r="C17" s="79"/>
      <c r="F17" s="78">
        <f>Q17/20</f>
        <v>102584.65</v>
      </c>
      <c r="G17" s="90">
        <f t="shared" si="2"/>
        <v>-0.41771871130734384</v>
      </c>
      <c r="H17" s="90">
        <f t="shared" ref="H17:H29" si="3">F17/F5-1</f>
        <v>5.320886634771349E-2</v>
      </c>
      <c r="I17" s="130">
        <f t="shared" si="0"/>
        <v>191.5865779683555</v>
      </c>
      <c r="J17" s="130">
        <f t="shared" ref="J17:J49" si="4">I17/I5-1</f>
        <v>0.62383305087824503</v>
      </c>
      <c r="K17" s="78"/>
      <c r="O17" s="89"/>
      <c r="P17" s="129" t="s">
        <v>100</v>
      </c>
      <c r="Q17" s="116">
        <v>2051693</v>
      </c>
      <c r="R17" s="116">
        <v>2575143208</v>
      </c>
      <c r="S17" s="116">
        <v>10708.96</v>
      </c>
      <c r="T17" s="130">
        <f t="shared" si="1"/>
        <v>191.5865779683555</v>
      </c>
      <c r="U17" s="78"/>
    </row>
    <row r="18" spans="1:21" hidden="1">
      <c r="A18" s="129" t="s">
        <v>106</v>
      </c>
      <c r="C18" s="79"/>
      <c r="F18" s="78">
        <f>Q18/20</f>
        <v>234844.2</v>
      </c>
      <c r="G18" s="90">
        <f t="shared" si="2"/>
        <v>1.2892723229060099</v>
      </c>
      <c r="H18" s="90">
        <f t="shared" si="3"/>
        <v>2.657686497038164</v>
      </c>
      <c r="I18" s="130">
        <f t="shared" si="0"/>
        <v>123.26475703488582</v>
      </c>
      <c r="J18" s="130">
        <f t="shared" si="4"/>
        <v>0.1539969627656792</v>
      </c>
      <c r="K18" s="78"/>
      <c r="O18" s="89"/>
      <c r="P18" s="129" t="s">
        <v>106</v>
      </c>
      <c r="Q18" s="116">
        <v>4696884</v>
      </c>
      <c r="R18" s="116">
        <v>5876643801</v>
      </c>
      <c r="S18" s="116">
        <v>38104.03</v>
      </c>
      <c r="T18" s="130">
        <f t="shared" si="1"/>
        <v>123.26475703488582</v>
      </c>
      <c r="U18" s="78"/>
    </row>
    <row r="19" spans="1:21" hidden="1">
      <c r="A19" s="129" t="s">
        <v>114</v>
      </c>
      <c r="B19" s="131">
        <f>SUM(F17:F19)</f>
        <v>549235.16818181821</v>
      </c>
      <c r="C19" s="131">
        <f>AVERAGE(F17:F19)</f>
        <v>183078.3893939394</v>
      </c>
      <c r="D19" s="90">
        <f>C19/C16-1</f>
        <v>0.54395722828458837</v>
      </c>
      <c r="E19" s="286">
        <f>C19/C7-1</f>
        <v>1.1180696633843263</v>
      </c>
      <c r="F19" s="78">
        <f>Q19/22</f>
        <v>211806.31818181818</v>
      </c>
      <c r="G19" s="90">
        <f t="shared" si="2"/>
        <v>-9.8098576921132552E-2</v>
      </c>
      <c r="H19" s="90">
        <f t="shared" si="3"/>
        <v>1.1678891579000257</v>
      </c>
      <c r="I19" s="130">
        <f t="shared" si="0"/>
        <v>116.03597416286935</v>
      </c>
      <c r="J19" s="130">
        <f t="shared" si="4"/>
        <v>-0.16676455953545599</v>
      </c>
      <c r="K19" s="78">
        <f>R17+R18+R19</f>
        <v>14551486456</v>
      </c>
      <c r="L19" s="87">
        <f>U19/U16-1</f>
        <v>0.4827681714327825</v>
      </c>
      <c r="M19" s="87">
        <f>U19/U7-1</f>
        <v>1.1716979702572425</v>
      </c>
      <c r="N19" s="88">
        <f>AVERAGE(T17:T19)</f>
        <v>143.62910305537022</v>
      </c>
      <c r="O19" s="89">
        <f>N19/N16-1</f>
        <v>-9.5436951474224818E-3</v>
      </c>
      <c r="P19" s="129" t="s">
        <v>114</v>
      </c>
      <c r="Q19" s="116">
        <v>4659739</v>
      </c>
      <c r="R19" s="116">
        <v>6099699447</v>
      </c>
      <c r="S19" s="116">
        <v>40157.71</v>
      </c>
      <c r="T19" s="130">
        <f t="shared" si="1"/>
        <v>116.03597416286935</v>
      </c>
      <c r="U19" s="85">
        <f>Q17+Q18+Q19</f>
        <v>11408316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263684</v>
      </c>
      <c r="G20" s="90">
        <f t="shared" si="2"/>
        <v>0.2449298125925079</v>
      </c>
      <c r="H20" s="90">
        <f t="shared" si="3"/>
        <v>1.5505993767863271</v>
      </c>
      <c r="I20" s="130">
        <f t="shared" si="0"/>
        <v>149.0260020091755</v>
      </c>
      <c r="J20" s="130">
        <f t="shared" si="4"/>
        <v>0.10274937521425431</v>
      </c>
      <c r="K20" s="78"/>
      <c r="O20" s="89"/>
      <c r="P20" s="129" t="s">
        <v>131</v>
      </c>
      <c r="Q20" s="116">
        <v>5273680</v>
      </c>
      <c r="R20" s="116">
        <v>6910837033</v>
      </c>
      <c r="S20" s="116">
        <v>35387.65</v>
      </c>
      <c r="T20" s="130">
        <f t="shared" si="1"/>
        <v>149.0260020091755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238245.57142857142</v>
      </c>
      <c r="G21" s="90">
        <f t="shared" si="2"/>
        <v>-9.6473159431093913E-2</v>
      </c>
      <c r="H21" s="90">
        <f t="shared" si="3"/>
        <v>1.04424760320205</v>
      </c>
      <c r="I21" s="130">
        <f t="shared" si="0"/>
        <v>127.31068124217532</v>
      </c>
      <c r="J21" s="130">
        <f t="shared" si="4"/>
        <v>0.37202904985733132</v>
      </c>
      <c r="K21" s="78"/>
      <c r="O21" s="89"/>
      <c r="P21" s="129" t="s">
        <v>141</v>
      </c>
      <c r="Q21" s="116">
        <v>5003157</v>
      </c>
      <c r="R21" s="116">
        <v>6658836522</v>
      </c>
      <c r="S21" s="116">
        <v>39298.800000000003</v>
      </c>
      <c r="T21" s="130">
        <f t="shared" si="1"/>
        <v>127.31068124217532</v>
      </c>
      <c r="U21" s="78"/>
    </row>
    <row r="22" spans="1:21" hidden="1">
      <c r="A22" s="129" t="s">
        <v>155</v>
      </c>
      <c r="B22" s="131">
        <f>SUM(F20:F22)</f>
        <v>818636.61904761905</v>
      </c>
      <c r="C22" s="131">
        <f>AVERAGE(F20:F22)</f>
        <v>272878.87301587302</v>
      </c>
      <c r="D22" s="90">
        <f>C22/C19-1</f>
        <v>0.49050291473072338</v>
      </c>
      <c r="E22" s="286">
        <f>C22/C10-1</f>
        <v>1.0024886424021799</v>
      </c>
      <c r="F22" s="78">
        <f>Q22/21</f>
        <v>316707.04761904763</v>
      </c>
      <c r="G22" s="90">
        <f t="shared" si="2"/>
        <v>0.32933026087328465</v>
      </c>
      <c r="H22" s="90">
        <f t="shared" si="3"/>
        <v>0.676727344692448</v>
      </c>
      <c r="I22" s="130">
        <f t="shared" si="0"/>
        <v>122.48950177808138</v>
      </c>
      <c r="J22" s="130">
        <f t="shared" si="4"/>
        <v>0.19276108056933383</v>
      </c>
      <c r="K22" s="78">
        <f>R20+R21+R22</f>
        <v>22183472467</v>
      </c>
      <c r="L22" s="87">
        <f>U22/U19-1</f>
        <v>0.4838022544256313</v>
      </c>
      <c r="M22" s="87">
        <f>U22/U10-1</f>
        <v>0.97177414751912705</v>
      </c>
      <c r="N22" s="88">
        <f>AVERAGE(T20:T22)</f>
        <v>132.94206167647738</v>
      </c>
      <c r="O22" s="89">
        <f>N22/N19-1</f>
        <v>-7.4407213799649652E-2</v>
      </c>
      <c r="P22" s="129" t="s">
        <v>155</v>
      </c>
      <c r="Q22" s="116">
        <v>6650848</v>
      </c>
      <c r="R22" s="116">
        <v>8613798912</v>
      </c>
      <c r="S22" s="116">
        <v>54297.29</v>
      </c>
      <c r="T22" s="130">
        <f t="shared" si="1"/>
        <v>122.48950177808138</v>
      </c>
      <c r="U22" s="85">
        <f>Q20+Q21+Q22</f>
        <v>16927685</v>
      </c>
    </row>
    <row r="23" spans="1:21" hidden="1">
      <c r="A23" s="129" t="s">
        <v>189</v>
      </c>
      <c r="B23" s="131"/>
      <c r="C23" s="131"/>
      <c r="F23" s="78">
        <f>Q23/21</f>
        <v>222663.33333333334</v>
      </c>
      <c r="G23" s="90">
        <f t="shared" si="2"/>
        <v>-0.29694228465302475</v>
      </c>
      <c r="H23" s="90">
        <f t="shared" si="3"/>
        <v>1.5167959351737723</v>
      </c>
      <c r="I23" s="130">
        <f t="shared" si="0"/>
        <v>166.77777028764604</v>
      </c>
      <c r="J23" s="130">
        <f t="shared" si="4"/>
        <v>0.2848788724553144</v>
      </c>
      <c r="K23" s="78"/>
      <c r="O23" s="89"/>
      <c r="P23" s="129" t="s">
        <v>189</v>
      </c>
      <c r="Q23" s="116">
        <v>4675930</v>
      </c>
      <c r="R23" s="116">
        <v>6029570122</v>
      </c>
      <c r="S23" s="116">
        <v>28036.89</v>
      </c>
      <c r="T23" s="130">
        <f t="shared" si="1"/>
        <v>166.77777028764604</v>
      </c>
      <c r="U23" s="78"/>
    </row>
    <row r="24" spans="1:21" hidden="1">
      <c r="A24" s="129" t="s">
        <v>204</v>
      </c>
      <c r="B24" s="131"/>
      <c r="C24" s="131"/>
      <c r="F24" s="78">
        <f>Q24/22</f>
        <v>125845.27272727272</v>
      </c>
      <c r="G24" s="90">
        <f t="shared" si="2"/>
        <v>-0.43481815868228846</v>
      </c>
      <c r="H24" s="90">
        <f t="shared" si="3"/>
        <v>0.43871973194023739</v>
      </c>
      <c r="I24" s="130">
        <f t="shared" si="0"/>
        <v>162.99089849407164</v>
      </c>
      <c r="J24" s="130">
        <f t="shared" si="4"/>
        <v>0.19124269326325583</v>
      </c>
      <c r="K24" s="78"/>
      <c r="O24" s="89"/>
      <c r="P24" s="129" t="s">
        <v>204</v>
      </c>
      <c r="Q24" s="116">
        <v>2768596</v>
      </c>
      <c r="R24" s="116">
        <v>3651566863</v>
      </c>
      <c r="S24" s="116">
        <v>16986.2</v>
      </c>
      <c r="T24" s="130">
        <f t="shared" si="1"/>
        <v>162.99089849407164</v>
      </c>
      <c r="U24" s="78"/>
    </row>
    <row r="25" spans="1:21" s="79" customFormat="1" ht="13.2" hidden="1">
      <c r="A25" s="129" t="s">
        <v>217</v>
      </c>
      <c r="B25" s="131">
        <f>SUM(F23:F25)</f>
        <v>448863.23763955344</v>
      </c>
      <c r="C25" s="131">
        <f>AVERAGE(F23:F25)</f>
        <v>149621.07921318448</v>
      </c>
      <c r="D25" s="90">
        <f>C25/C22-1</f>
        <v>-0.45169416173717047</v>
      </c>
      <c r="E25" s="286">
        <f>C25/C13-1</f>
        <v>0.43538849843942384</v>
      </c>
      <c r="F25" s="78">
        <f>Q25/19</f>
        <v>100354.63157894737</v>
      </c>
      <c r="G25" s="90">
        <f t="shared" si="2"/>
        <v>-0.20255541265795285</v>
      </c>
      <c r="H25" s="90">
        <f t="shared" si="3"/>
        <v>-0.2662566259310023</v>
      </c>
      <c r="I25" s="130">
        <f t="shared" si="0"/>
        <v>126.52289602728546</v>
      </c>
      <c r="J25" s="130">
        <f t="shared" si="4"/>
        <v>-4.6184297960278564E-2</v>
      </c>
      <c r="K25" s="78">
        <f>R23+R24+R25</f>
        <v>12209971933</v>
      </c>
      <c r="L25" s="90">
        <f>U25/U22-1</f>
        <v>-0.44757573170814557</v>
      </c>
      <c r="M25" s="90">
        <f>U25/U13-1</f>
        <v>0.43475963429775022</v>
      </c>
      <c r="N25" s="88">
        <f>AVERAGE(T23:T25)</f>
        <v>152.09718826966773</v>
      </c>
      <c r="O25" s="91">
        <f>N25/N22-1</f>
        <v>0.14408627601853752</v>
      </c>
      <c r="P25" s="129" t="s">
        <v>217</v>
      </c>
      <c r="Q25" s="116">
        <v>1906738</v>
      </c>
      <c r="R25" s="116">
        <v>2528834948</v>
      </c>
      <c r="S25" s="116">
        <v>15070.3</v>
      </c>
      <c r="T25" s="130">
        <f t="shared" si="1"/>
        <v>126.52289602728546</v>
      </c>
      <c r="U25" s="85">
        <f>Q23+Q24+Q25</f>
        <v>9351264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77362</v>
      </c>
      <c r="G26" s="90">
        <f t="shared" si="2"/>
        <v>-0.22911380588208763</v>
      </c>
      <c r="H26" s="90">
        <f t="shared" si="3"/>
        <v>0.17059515568316375</v>
      </c>
      <c r="I26" s="130">
        <f t="shared" si="0"/>
        <v>149.13898065699652</v>
      </c>
      <c r="J26" s="130">
        <f t="shared" si="4"/>
        <v>9.8710358765004225E-2</v>
      </c>
      <c r="K26" s="78"/>
      <c r="L26" s="90"/>
      <c r="M26" s="90"/>
      <c r="P26" s="129" t="s">
        <v>312</v>
      </c>
      <c r="Q26" s="116">
        <v>1469878</v>
      </c>
      <c r="R26" s="116">
        <v>1981873033</v>
      </c>
      <c r="S26" s="116">
        <v>9855.76</v>
      </c>
      <c r="T26" s="130">
        <f t="shared" si="1"/>
        <v>149.13898065699652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97190.909090909088</v>
      </c>
      <c r="G27" s="90">
        <f t="shared" si="2"/>
        <v>0.25631329452326845</v>
      </c>
      <c r="H27" s="90">
        <f t="shared" si="3"/>
        <v>-0.14344510369233576</v>
      </c>
      <c r="I27" s="130">
        <f t="shared" si="0"/>
        <v>148.73110429123528</v>
      </c>
      <c r="J27" s="130">
        <f t="shared" si="4"/>
        <v>5.3830375351654025E-2</v>
      </c>
      <c r="K27" s="78"/>
      <c r="L27" s="90"/>
      <c r="M27" s="90"/>
      <c r="P27" s="129" t="s">
        <v>373</v>
      </c>
      <c r="Q27" s="116">
        <v>2138200</v>
      </c>
      <c r="R27" s="116">
        <v>2837387676</v>
      </c>
      <c r="S27" s="116">
        <v>14376.28</v>
      </c>
      <c r="T27" s="130">
        <f t="shared" si="1"/>
        <v>148.73110429123528</v>
      </c>
      <c r="U27" s="78"/>
    </row>
    <row r="28" spans="1:21" s="79" customFormat="1" ht="13.2" hidden="1">
      <c r="A28" s="123" t="s">
        <v>413</v>
      </c>
      <c r="B28" s="131">
        <f>SUM(F26:F28)</f>
        <v>215098.11961722487</v>
      </c>
      <c r="C28" s="131">
        <f>AVERAGE(F26:F28)</f>
        <v>71699.37320574162</v>
      </c>
      <c r="D28" s="90">
        <f>C28/C25-1</f>
        <v>-0.52079363694749015</v>
      </c>
      <c r="E28" s="286">
        <f>C28/C16-1</f>
        <v>-0.39533679594330251</v>
      </c>
      <c r="F28" s="78">
        <f>Q28/19</f>
        <v>40545.210526315786</v>
      </c>
      <c r="G28" s="90">
        <f t="shared" si="2"/>
        <v>-0.58282918736369504</v>
      </c>
      <c r="H28" s="90">
        <f t="shared" si="3"/>
        <v>-0.76986111045289718</v>
      </c>
      <c r="I28" s="130">
        <f t="shared" si="0"/>
        <v>104.14366209369102</v>
      </c>
      <c r="J28" s="130">
        <f t="shared" si="4"/>
        <v>-0.34155193239458348</v>
      </c>
      <c r="K28" s="78">
        <f>R26+R27+R28</f>
        <v>5826194078</v>
      </c>
      <c r="L28" s="90">
        <f>U28/U25-1</f>
        <v>-0.53178126507817547</v>
      </c>
      <c r="M28" s="90">
        <f>U28/U16-1</f>
        <v>-0.43092328225974474</v>
      </c>
      <c r="N28" s="88">
        <f>AVERAGE(T26:T28)</f>
        <v>134.0045823473076</v>
      </c>
      <c r="O28" s="91">
        <f>N28/N25-1</f>
        <v>-0.11895424319272752</v>
      </c>
      <c r="P28" s="129" t="s">
        <v>413</v>
      </c>
      <c r="Q28" s="116">
        <v>770359</v>
      </c>
      <c r="R28" s="116">
        <v>1006933369</v>
      </c>
      <c r="S28" s="116">
        <v>7397.08</v>
      </c>
      <c r="T28" s="130">
        <f t="shared" si="1"/>
        <v>104.14366209369102</v>
      </c>
      <c r="U28" s="85">
        <f>Q26+Q27+Q28</f>
        <v>4378437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63547.227272727272</v>
      </c>
      <c r="G29" s="190">
        <f t="shared" si="2"/>
        <v>0.56731772872364483</v>
      </c>
      <c r="H29" s="190">
        <f t="shared" si="3"/>
        <v>-0.38053863543203315</v>
      </c>
      <c r="I29" s="130">
        <f t="shared" si="0"/>
        <v>196.25869487397259</v>
      </c>
      <c r="J29" s="130">
        <f t="shared" si="4"/>
        <v>2.4386452094722344E-2</v>
      </c>
      <c r="K29" s="136"/>
      <c r="L29" s="190"/>
      <c r="M29" s="190"/>
      <c r="N29" s="191"/>
      <c r="O29" s="192"/>
      <c r="P29" s="129" t="s">
        <v>426</v>
      </c>
      <c r="Q29" s="116">
        <v>1398039</v>
      </c>
      <c r="R29" s="116">
        <v>1835431191</v>
      </c>
      <c r="S29" s="116">
        <v>7123.45</v>
      </c>
      <c r="T29" s="130">
        <f t="shared" si="1"/>
        <v>196.25869487397259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163246.42105263157</v>
      </c>
      <c r="G30" s="190">
        <f t="shared" ref="G30" si="5">F30/F29-1</f>
        <v>1.5688991960581178</v>
      </c>
      <c r="H30" s="190">
        <f t="shared" ref="H30" si="6">F30/F18-1</f>
        <v>-0.3048735244360663</v>
      </c>
      <c r="I30" s="130">
        <f t="shared" si="0"/>
        <v>167.4110800579036</v>
      </c>
      <c r="J30" s="130">
        <f t="shared" si="4"/>
        <v>0.35814229537258324</v>
      </c>
      <c r="K30" s="136"/>
      <c r="L30" s="190"/>
      <c r="M30" s="190"/>
      <c r="N30" s="191"/>
      <c r="O30" s="192"/>
      <c r="P30" s="129" t="s">
        <v>466</v>
      </c>
      <c r="Q30" s="116">
        <v>3101682</v>
      </c>
      <c r="R30" s="116">
        <v>4135486889</v>
      </c>
      <c r="S30" s="116">
        <v>18527.34</v>
      </c>
      <c r="T30" s="130">
        <f t="shared" ref="T30" si="7">Q30/S30</f>
        <v>167.4110800579036</v>
      </c>
      <c r="U30" s="85"/>
    </row>
    <row r="31" spans="1:21" s="79" customFormat="1" ht="13.2" hidden="1">
      <c r="A31" s="129" t="s">
        <v>505</v>
      </c>
      <c r="B31" s="188">
        <f>SUM(F29:F31)</f>
        <v>493221.4483253588</v>
      </c>
      <c r="C31" s="188">
        <f>AVERAGE(F29:F31)</f>
        <v>164407.14944178626</v>
      </c>
      <c r="D31" s="190">
        <f>C31/C28-1</f>
        <v>1.2930067878002132</v>
      </c>
      <c r="E31" s="287">
        <f>C31/C19-1</f>
        <v>-0.10198494761704102</v>
      </c>
      <c r="F31" s="136">
        <f>Q31/20</f>
        <v>266427.8</v>
      </c>
      <c r="G31" s="190">
        <f t="shared" ref="G31" si="8">F31/F30-1</f>
        <v>0.63205905698907872</v>
      </c>
      <c r="H31" s="190">
        <f t="shared" ref="H31" si="9">F31/F19-1</f>
        <v>0.25788410037557896</v>
      </c>
      <c r="I31" s="130">
        <f t="shared" si="0"/>
        <v>148.81923366091749</v>
      </c>
      <c r="J31" s="130">
        <f t="shared" si="4"/>
        <v>0.28252668824956984</v>
      </c>
      <c r="K31" s="136">
        <f>R29+R30+R31</f>
        <v>13041843814</v>
      </c>
      <c r="L31" s="190">
        <f>U31/U28-1</f>
        <v>1.2446998780615091</v>
      </c>
      <c r="M31" s="190">
        <f>U31/U19-1</f>
        <v>-0.13849888099172569</v>
      </c>
      <c r="N31" s="191">
        <f>AVERAGE(T29:T31)</f>
        <v>170.82966953093123</v>
      </c>
      <c r="O31" s="192">
        <f>N31/N28-1</f>
        <v>0.27480468606798736</v>
      </c>
      <c r="P31" s="129" t="s">
        <v>531</v>
      </c>
      <c r="Q31" s="116">
        <v>5328556</v>
      </c>
      <c r="R31" s="116">
        <v>7070925734</v>
      </c>
      <c r="S31" s="116">
        <v>35805.56</v>
      </c>
      <c r="T31" s="130">
        <f t="shared" ref="T31" si="10">Q31/S31</f>
        <v>148.81923366091749</v>
      </c>
      <c r="U31" s="85">
        <f>Q29+Q30+Q31</f>
        <v>9828277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320953.09523809527</v>
      </c>
      <c r="G32" s="190">
        <f t="shared" ref="G32" si="11">F32/F31-1</f>
        <v>0.20465317522456461</v>
      </c>
      <c r="H32" s="190">
        <f t="shared" ref="H32" si="12">F32/F20-1</f>
        <v>0.21718835893757404</v>
      </c>
      <c r="I32" s="130">
        <f t="shared" si="0"/>
        <v>163.15133608301625</v>
      </c>
      <c r="J32" s="130">
        <f t="shared" si="4"/>
        <v>9.4784358993748263E-2</v>
      </c>
      <c r="K32" s="136"/>
      <c r="L32" s="190"/>
      <c r="M32" s="190"/>
      <c r="N32" s="191"/>
      <c r="O32" s="192"/>
      <c r="P32" s="129" t="s">
        <v>562</v>
      </c>
      <c r="Q32" s="116">
        <v>6740015</v>
      </c>
      <c r="R32" s="116">
        <v>9219167631</v>
      </c>
      <c r="S32" s="116">
        <v>41311.43</v>
      </c>
      <c r="T32" s="130">
        <f t="shared" ref="T32" si="13">Q32/S32</f>
        <v>163.15133608301625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347638.28571428574</v>
      </c>
      <c r="G33" s="190">
        <f t="shared" ref="G33" si="14">F33/F32-1</f>
        <v>8.3143583508345387E-2</v>
      </c>
      <c r="H33" s="190">
        <f t="shared" ref="H33" si="15">F33/F21-1</f>
        <v>0.45915948670009765</v>
      </c>
      <c r="I33" s="130">
        <f t="shared" si="0"/>
        <v>134.41396178141304</v>
      </c>
      <c r="J33" s="130">
        <f t="shared" si="4"/>
        <v>5.5794851381916422E-2</v>
      </c>
      <c r="K33" s="136"/>
      <c r="L33" s="190"/>
      <c r="M33" s="190"/>
      <c r="N33" s="191"/>
      <c r="O33" s="192"/>
      <c r="P33" s="129" t="s">
        <v>607</v>
      </c>
      <c r="Q33" s="116">
        <v>7300404</v>
      </c>
      <c r="R33" s="116">
        <v>10003019606</v>
      </c>
      <c r="S33" s="116">
        <v>54312.84</v>
      </c>
      <c r="T33" s="130">
        <f t="shared" ref="T33" si="16">Q33/S33</f>
        <v>134.41396178141304</v>
      </c>
      <c r="U33" s="85"/>
    </row>
    <row r="34" spans="1:21" s="79" customFormat="1" ht="13.2" hidden="1">
      <c r="A34" s="129" t="s">
        <v>652</v>
      </c>
      <c r="B34" s="188">
        <f>SUM(F32:F34)</f>
        <v>1151879.3283208022</v>
      </c>
      <c r="C34" s="188">
        <f>AVERAGE(F32:F34)</f>
        <v>383959.77610693406</v>
      </c>
      <c r="D34" s="190">
        <f>C34/C31-1</f>
        <v>1.3354201895148581</v>
      </c>
      <c r="E34" s="287">
        <f>C34/C22-1</f>
        <v>0.40707036738824276</v>
      </c>
      <c r="F34" s="136">
        <f>Q34/19</f>
        <v>483287.94736842107</v>
      </c>
      <c r="G34" s="190">
        <f t="shared" ref="G34" si="17">F34/F33-1</f>
        <v>0.39020345925195943</v>
      </c>
      <c r="H34" s="190">
        <f t="shared" ref="H34" si="18">F34/F22-1</f>
        <v>0.52597787451116629</v>
      </c>
      <c r="I34" s="130">
        <f t="shared" si="0"/>
        <v>147.85116392603763</v>
      </c>
      <c r="J34" s="130">
        <f t="shared" si="4"/>
        <v>0.20705172100303648</v>
      </c>
      <c r="K34" s="136">
        <f>R32+R33+R34</f>
        <v>31850950684</v>
      </c>
      <c r="L34" s="190">
        <f>U34/U31-1</f>
        <v>1.3628648236104866</v>
      </c>
      <c r="M34" s="190">
        <f>U34/U22-1</f>
        <v>0.37188812291816631</v>
      </c>
      <c r="N34" s="191">
        <f>AVERAGE(T32:T34)</f>
        <v>148.47215393015563</v>
      </c>
      <c r="O34" s="192">
        <f>N34/N31-1</f>
        <v>-0.13087606890632919</v>
      </c>
      <c r="P34" s="129" t="s">
        <v>652</v>
      </c>
      <c r="Q34" s="116">
        <v>9182471</v>
      </c>
      <c r="R34" s="116">
        <v>12628763447</v>
      </c>
      <c r="S34" s="116">
        <v>62106.18</v>
      </c>
      <c r="T34" s="130">
        <f t="shared" ref="T34" si="19">Q34/S34</f>
        <v>147.85116392603763</v>
      </c>
      <c r="U34" s="85">
        <f>Q32+Q33+Q34</f>
        <v>23222890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403291.82608695654</v>
      </c>
      <c r="G35" s="190">
        <f t="shared" ref="G35" si="20">F35/F34-1</f>
        <v>-0.16552475954977974</v>
      </c>
      <c r="H35" s="190">
        <f t="shared" ref="H35" si="21">F35/F23-1</f>
        <v>0.81121794976102879</v>
      </c>
      <c r="I35" s="130">
        <f t="shared" si="0"/>
        <v>149.01194590486361</v>
      </c>
      <c r="J35" s="130">
        <f t="shared" si="4"/>
        <v>-0.10652393512721292</v>
      </c>
      <c r="K35" s="136"/>
      <c r="L35" s="190"/>
      <c r="M35" s="190"/>
      <c r="N35" s="191"/>
      <c r="O35" s="192"/>
      <c r="P35" s="129" t="s">
        <v>660</v>
      </c>
      <c r="Q35" s="116">
        <v>9275712</v>
      </c>
      <c r="R35" s="116">
        <v>12837821226</v>
      </c>
      <c r="S35" s="116">
        <v>62248.11</v>
      </c>
      <c r="T35" s="130">
        <f t="shared" ref="T35" si="22">Q35/S35</f>
        <v>149.01194590486361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322605.33333333331</v>
      </c>
      <c r="G36" s="190">
        <f t="shared" ref="G36" si="23">F36/F35-1</f>
        <v>-0.20006974487061846</v>
      </c>
      <c r="H36" s="190">
        <f t="shared" ref="H36" si="24">F36/F24-1</f>
        <v>1.5635077610938302</v>
      </c>
      <c r="I36" s="130">
        <f t="shared" si="0"/>
        <v>181.75874826617587</v>
      </c>
      <c r="J36" s="130">
        <f t="shared" si="4"/>
        <v>0.11514661214525956</v>
      </c>
      <c r="K36" s="136"/>
      <c r="L36" s="190"/>
      <c r="M36" s="190"/>
      <c r="N36" s="191"/>
      <c r="O36" s="192"/>
      <c r="P36" s="129" t="s">
        <v>689</v>
      </c>
      <c r="Q36" s="116">
        <v>6774712</v>
      </c>
      <c r="R36" s="116">
        <v>9248891605</v>
      </c>
      <c r="S36" s="116">
        <v>37273.1</v>
      </c>
      <c r="T36" s="130">
        <f t="shared" ref="T36" si="25">Q36/S36</f>
        <v>181.75874826617587</v>
      </c>
      <c r="U36" s="85"/>
    </row>
    <row r="37" spans="1:21" s="79" customFormat="1" ht="13.2" hidden="1">
      <c r="A37" s="129" t="s">
        <v>702</v>
      </c>
      <c r="B37" s="188">
        <f>SUM(F35:F37)</f>
        <v>1069448.1594202898</v>
      </c>
      <c r="C37" s="188">
        <f>AVERAGE(F35:F37)</f>
        <v>356482.71980676329</v>
      </c>
      <c r="D37" s="190">
        <f>C37/C34-1</f>
        <v>-7.1562330249193451E-2</v>
      </c>
      <c r="E37" s="287">
        <f>C37/C25-1</f>
        <v>1.3825701677959179</v>
      </c>
      <c r="F37" s="136">
        <f>Q37/18</f>
        <v>343551</v>
      </c>
      <c r="G37" s="190">
        <f t="shared" ref="G37" si="26">F37/F36-1</f>
        <v>6.492659761772912E-2</v>
      </c>
      <c r="H37" s="190">
        <f t="shared" ref="H37" si="27">F37/F25-1</f>
        <v>2.4233696501564452</v>
      </c>
      <c r="I37" s="130">
        <f t="shared" si="0"/>
        <v>186.93680158499359</v>
      </c>
      <c r="J37" s="130">
        <f t="shared" si="4"/>
        <v>0.47749385648491249</v>
      </c>
      <c r="K37" s="136">
        <f>R35+R36+R37</f>
        <v>30342545462</v>
      </c>
      <c r="L37" s="190">
        <f>U37/U34-1</f>
        <v>-4.2567828551915765E-2</v>
      </c>
      <c r="M37" s="190">
        <f>U37/U25-1</f>
        <v>1.3776830597446508</v>
      </c>
      <c r="N37" s="191">
        <f>AVERAGE(T35:T37)</f>
        <v>172.569165252011</v>
      </c>
      <c r="O37" s="192">
        <f>N37/N34-1</f>
        <v>0.16229987027191051</v>
      </c>
      <c r="P37" s="129" t="s">
        <v>702</v>
      </c>
      <c r="Q37" s="116">
        <v>6183918</v>
      </c>
      <c r="R37" s="116">
        <v>8255832631</v>
      </c>
      <c r="S37" s="116">
        <v>33080.26</v>
      </c>
      <c r="T37" s="130">
        <f t="shared" ref="T37" si="28">Q37/S37</f>
        <v>186.93680158499359</v>
      </c>
      <c r="U37" s="85">
        <f>Q35+Q36+Q37</f>
        <v>22234342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317288.45</v>
      </c>
      <c r="G38" s="190">
        <f t="shared" ref="G38" si="29">F38/F37-1</f>
        <v>-7.6444399812546027E-2</v>
      </c>
      <c r="H38" s="190">
        <f t="shared" ref="H38" si="30">F38/F26-1</f>
        <v>3.101347560817973</v>
      </c>
      <c r="I38" s="130">
        <f t="shared" si="0"/>
        <v>156.66190360276244</v>
      </c>
      <c r="J38" s="130">
        <f t="shared" si="4"/>
        <v>5.0442365320088944E-2</v>
      </c>
      <c r="K38" s="136"/>
      <c r="L38" s="190"/>
      <c r="M38" s="190"/>
      <c r="N38" s="191"/>
      <c r="O38" s="192"/>
      <c r="P38" s="129" t="s">
        <v>727</v>
      </c>
      <c r="Q38" s="116">
        <v>6345769</v>
      </c>
      <c r="R38" s="116">
        <v>8523087837</v>
      </c>
      <c r="S38" s="116">
        <v>40506.14</v>
      </c>
      <c r="T38" s="130">
        <f t="shared" ref="T38" si="31">Q38/S38</f>
        <v>156.66190360276244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183226.61904761905</v>
      </c>
      <c r="G39" s="190">
        <f t="shared" ref="G39" si="32">F39/F38-1</f>
        <v>-0.42252351433650026</v>
      </c>
      <c r="H39" s="190">
        <f t="shared" ref="H39" si="33">F39/F27-1</f>
        <v>0.88522384203892024</v>
      </c>
      <c r="I39" s="130">
        <f t="shared" si="0"/>
        <v>138.7768049328001</v>
      </c>
      <c r="J39" s="130">
        <f t="shared" si="4"/>
        <v>-6.6928161435171885E-2</v>
      </c>
      <c r="K39" s="136"/>
      <c r="L39" s="190"/>
      <c r="M39" s="190"/>
      <c r="N39" s="191"/>
      <c r="O39" s="192"/>
      <c r="P39" s="129" t="s">
        <v>762</v>
      </c>
      <c r="Q39" s="116">
        <v>3847759</v>
      </c>
      <c r="R39" s="116">
        <v>5346782051</v>
      </c>
      <c r="S39" s="116">
        <v>27726.240000000002</v>
      </c>
      <c r="T39" s="130">
        <f t="shared" ref="T39" si="34">Q39/S39</f>
        <v>138.7768049328001</v>
      </c>
      <c r="U39" s="85"/>
    </row>
    <row r="40" spans="1:21" s="79" customFormat="1" ht="13.2" hidden="1">
      <c r="A40" s="129" t="s">
        <v>778</v>
      </c>
      <c r="B40" s="188">
        <f>SUM(F38:F40)</f>
        <v>604921.1166666667</v>
      </c>
      <c r="C40" s="188">
        <f>AVERAGE(F38:F40)</f>
        <v>201640.37222222224</v>
      </c>
      <c r="D40" s="190">
        <f>C40/C37-1</f>
        <v>-0.43436144020802925</v>
      </c>
      <c r="E40" s="287">
        <f>C40/C28-1</f>
        <v>1.8123031374850997</v>
      </c>
      <c r="F40" s="136">
        <f>Q40/21</f>
        <v>104406.04761904762</v>
      </c>
      <c r="G40" s="190">
        <f t="shared" ref="G40" si="35">F40/F39-1</f>
        <v>-0.43018078834979012</v>
      </c>
      <c r="H40" s="190">
        <f t="shared" ref="H40" si="36">F40/F28-1</f>
        <v>1.5750525466203484</v>
      </c>
      <c r="I40" s="130">
        <f t="shared" si="0"/>
        <v>200.09756061945973</v>
      </c>
      <c r="J40" s="130">
        <f t="shared" si="4"/>
        <v>0.92136090278297944</v>
      </c>
      <c r="K40" s="136">
        <f>R38+R39+R40</f>
        <v>16959081873</v>
      </c>
      <c r="L40" s="190">
        <f>U40/U37-1</f>
        <v>-0.44293134467392825</v>
      </c>
      <c r="M40" s="190">
        <f>U40/U28-1</f>
        <v>1.8288759207909124</v>
      </c>
      <c r="N40" s="191">
        <f>AVERAGE(T38:T40)</f>
        <v>165.17875638500743</v>
      </c>
      <c r="O40" s="192">
        <f>N40/N37-1</f>
        <v>-4.282577861584369E-2</v>
      </c>
      <c r="P40" s="129" t="s">
        <v>778</v>
      </c>
      <c r="Q40" s="116">
        <v>2192527</v>
      </c>
      <c r="R40" s="116">
        <v>3089211985</v>
      </c>
      <c r="S40" s="116">
        <v>10957.29</v>
      </c>
      <c r="T40" s="130">
        <f t="shared" ref="T40" si="37">Q40/S40</f>
        <v>200.09756061945973</v>
      </c>
      <c r="U40" s="85">
        <f>Q38+Q39+Q40</f>
        <v>12386055</v>
      </c>
    </row>
    <row r="41" spans="1:21" s="79" customFormat="1" ht="13.2">
      <c r="A41" s="129" t="s">
        <v>819</v>
      </c>
      <c r="B41" s="193"/>
      <c r="C41" s="194"/>
      <c r="D41" s="195"/>
      <c r="E41" s="288"/>
      <c r="F41" s="136">
        <f>Q41/18</f>
        <v>651655.5555555555</v>
      </c>
      <c r="G41" s="190">
        <f t="shared" ref="G41" si="38">F41/F40-1</f>
        <v>5.2415498950145949</v>
      </c>
      <c r="H41" s="190">
        <f t="shared" ref="H41" si="39">F41/F29-1</f>
        <v>9.2546654436837752</v>
      </c>
      <c r="I41" s="130">
        <f t="shared" si="0"/>
        <v>163.82484604671197</v>
      </c>
      <c r="J41" s="130">
        <f t="shared" si="4"/>
        <v>-0.16526069761183315</v>
      </c>
      <c r="K41" s="193"/>
      <c r="L41" s="190"/>
      <c r="M41" s="190"/>
      <c r="N41" s="193"/>
      <c r="O41" s="193"/>
      <c r="P41" s="129" t="s">
        <v>819</v>
      </c>
      <c r="Q41" s="116">
        <v>11729800</v>
      </c>
      <c r="R41" s="116">
        <v>17188208270</v>
      </c>
      <c r="S41" s="116">
        <v>71599.64</v>
      </c>
      <c r="T41" s="130">
        <f t="shared" ref="T41" si="40">Q41/S41</f>
        <v>163.82484604671197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232908.1</v>
      </c>
      <c r="G42" s="190">
        <f t="shared" ref="G42" si="41">F42/F41-1</f>
        <v>-0.64259017204044389</v>
      </c>
      <c r="H42" s="190">
        <f t="shared" ref="H42" si="42">F42/F30-1</f>
        <v>0.42672714353051022</v>
      </c>
      <c r="I42" s="130">
        <f t="shared" si="0"/>
        <v>164.50693779819818</v>
      </c>
      <c r="J42" s="130">
        <f t="shared" si="4"/>
        <v>-1.7347371862728278E-2</v>
      </c>
      <c r="K42" s="193"/>
      <c r="L42" s="190"/>
      <c r="M42" s="190"/>
      <c r="N42" s="193"/>
      <c r="O42" s="193"/>
      <c r="P42" s="129" t="s">
        <v>826</v>
      </c>
      <c r="Q42" s="116">
        <v>4658162</v>
      </c>
      <c r="R42" s="116">
        <v>6743553900</v>
      </c>
      <c r="S42" s="116">
        <v>28315.9</v>
      </c>
      <c r="T42" s="130">
        <f t="shared" ref="T42" si="43">Q42/S42</f>
        <v>164.50693779819818</v>
      </c>
      <c r="U42" s="78"/>
    </row>
    <row r="43" spans="1:21" s="79" customFormat="1" ht="13.2">
      <c r="A43" s="129" t="s">
        <v>835</v>
      </c>
      <c r="B43" s="188">
        <f>SUM(F41:F43)</f>
        <v>1025933.0555555555</v>
      </c>
      <c r="C43" s="188">
        <f>AVERAGE(F41:F43)</f>
        <v>341977.68518518517</v>
      </c>
      <c r="D43" s="190">
        <f>C43/C40-1</f>
        <v>0.69597824788927221</v>
      </c>
      <c r="E43" s="287">
        <f>C43/C31-1</f>
        <v>1.0800657778345193</v>
      </c>
      <c r="F43" s="136">
        <f>Q43/20</f>
        <v>141369.4</v>
      </c>
      <c r="G43" s="190">
        <f t="shared" ref="G43" si="44">F43/F42-1</f>
        <v>-0.39302497422803251</v>
      </c>
      <c r="H43" s="190">
        <f t="shared" ref="H43" si="45">F43/F31-1</f>
        <v>-0.46938945560485801</v>
      </c>
      <c r="I43" s="130">
        <f t="shared" si="0"/>
        <v>172.85894029451072</v>
      </c>
      <c r="J43" s="130">
        <f t="shared" si="4"/>
        <v>0.16153628830240696</v>
      </c>
      <c r="K43" s="136">
        <f>R41+R42+R43</f>
        <v>28028507953</v>
      </c>
      <c r="L43" s="190">
        <f>U43/U40-1</f>
        <v>0.55136966532120191</v>
      </c>
      <c r="M43" s="190">
        <f>K43/K31-1</f>
        <v>1.1491215776493426</v>
      </c>
      <c r="N43" s="191">
        <f>AVERAGE(T41:T43)</f>
        <v>167.0635747131403</v>
      </c>
      <c r="O43" s="192">
        <f>N43/N40-1</f>
        <v>1.1410779263524962E-2</v>
      </c>
      <c r="P43" s="129" t="s">
        <v>835</v>
      </c>
      <c r="Q43" s="116">
        <v>2827388</v>
      </c>
      <c r="R43" s="116">
        <v>4096745783</v>
      </c>
      <c r="S43" s="116">
        <v>16356.62</v>
      </c>
      <c r="T43" s="130">
        <f t="shared" ref="T43" si="46">Q43/S43</f>
        <v>172.85894029451072</v>
      </c>
      <c r="U43" s="85">
        <f>Q41+Q42+Q43</f>
        <v>19215350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220934.77272727274</v>
      </c>
      <c r="G44" s="190">
        <f t="shared" ref="G44" si="47">F44/F43-1</f>
        <v>0.56281891786534244</v>
      </c>
      <c r="H44" s="190">
        <f t="shared" ref="H44" si="48">F44/F32-1</f>
        <v>-0.31162909470190692</v>
      </c>
      <c r="I44" s="130">
        <f t="shared" si="0"/>
        <v>144.54519798457233</v>
      </c>
      <c r="J44" s="130">
        <f t="shared" si="4"/>
        <v>-0.11404220489482575</v>
      </c>
      <c r="K44" s="136"/>
      <c r="L44" s="190"/>
      <c r="M44" s="190"/>
      <c r="N44" s="191"/>
      <c r="O44" s="192"/>
      <c r="P44" s="129" t="s">
        <v>843</v>
      </c>
      <c r="Q44" s="116">
        <v>4860565</v>
      </c>
      <c r="R44" s="116">
        <v>7048383734</v>
      </c>
      <c r="S44" s="116">
        <v>33626.61</v>
      </c>
      <c r="T44" s="130">
        <f t="shared" ref="T44" si="49">Q44/S44</f>
        <v>144.54519798457233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94764.55</v>
      </c>
      <c r="G45" s="190">
        <f t="shared" ref="G45" si="50">F45/F44-1</f>
        <v>-0.57107453557353927</v>
      </c>
      <c r="H45" s="190">
        <f t="shared" ref="H45" si="51">F45/F33-1</f>
        <v>-0.7274047367789509</v>
      </c>
      <c r="I45" s="130">
        <f t="shared" si="0"/>
        <v>144.41489706208429</v>
      </c>
      <c r="J45" s="130">
        <f t="shared" si="4"/>
        <v>7.4403991580391127E-2</v>
      </c>
      <c r="K45" s="136"/>
      <c r="L45" s="190"/>
      <c r="M45" s="190"/>
      <c r="N45" s="191"/>
      <c r="O45" s="192"/>
      <c r="P45" s="129" t="s">
        <v>853</v>
      </c>
      <c r="Q45" s="116">
        <v>1895291</v>
      </c>
      <c r="R45" s="116">
        <v>2665584567</v>
      </c>
      <c r="S45" s="116">
        <v>13123.93</v>
      </c>
      <c r="T45" s="130">
        <f t="shared" ref="T45" si="52">Q45/S45</f>
        <v>144.41489706208429</v>
      </c>
      <c r="U45" s="85"/>
    </row>
    <row r="46" spans="1:21" s="79" customFormat="1" ht="13.2">
      <c r="A46" s="129" t="s">
        <v>888</v>
      </c>
      <c r="B46" s="188">
        <f>SUM(F44:F46)</f>
        <v>468662.11220095697</v>
      </c>
      <c r="C46" s="188">
        <f>AVERAGE(F44:F46)</f>
        <v>156220.70406698567</v>
      </c>
      <c r="D46" s="190">
        <f>C46/C43-1</f>
        <v>-0.54318450929805495</v>
      </c>
      <c r="E46" s="287">
        <f>C46/C34-1</f>
        <v>-0.59313263058191368</v>
      </c>
      <c r="F46" s="136">
        <f>Q46/19</f>
        <v>152962.78947368421</v>
      </c>
      <c r="G46" s="190">
        <f t="shared" ref="G46" si="53">F46/F45-1</f>
 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c r="J46" s="130">
        <f t="shared" si="4"/>
        <v>7.3267116792603559E-3</v>
      </c>
      <c r="K46" s="136">
        <f>R44+R45+R46</f>
        <v>13687581592</v>
      </c>
      <c r="L46" s="190">
        <f>U46/U43-1</f>
        <v>-0.49716507896031037</v>
      </c>
      <c r="M46" s="190">
        <f>K46/K34-1</f>
        <v>-0.57026144281226065</v>
      </c>
      <c r="N46" s="191">
        <f>AVERAGE(T44:T46)</f>
        <v>145.96484060740781</v>
      </c>
      <c r="O46" s="192">
        <f>N46/N43-1</f>
        <v>-0.12629164760756784</v>
      </c>
      <c r="P46" s="129" t="s">
        <v>928</v>
      </c>
      <c r="Q46" s="116">
        <v>2906293</v>
      </c>
      <c r="R46" s="116">
        <v>3973613291</v>
      </c>
      <c r="S46" s="116">
        <v>19513.91</v>
      </c>
      <c r="T46" s="130">
        <f t="shared" ref="T46" si="55">Q46/S46</f>
        <v>148.93442677556678</v>
      </c>
      <c r="U46" s="85">
        <f t="shared" ref="U46:U51" si="56">Q44+Q45+Q46</f>
        <v>9662149</v>
      </c>
    </row>
    <row r="47" spans="1:21" s="79" customFormat="1" ht="13.2">
      <c r="A47" s="129" t="s">
        <v>1015</v>
      </c>
      <c r="B47" s="188"/>
      <c r="C47" s="188"/>
      <c r="D47" s="190"/>
      <c r="E47" s="287"/>
      <c r="F47" s="136">
        <f>Q47/23</f>
        <v>262741.69565217389</v>
      </c>
      <c r="G47" s="190">
        <f t="shared" ref="G47" si="57">F47/F46-1</f>
        <v>0.71768373573872424</v>
      </c>
      <c r="H47" s="190">
        <f t="shared" ref="H47" si="58">F47/F35-1</f>
        <v>-0.34850726283869105</v>
      </c>
      <c r="I47" s="130">
        <f t="shared" si="0"/>
        <v>177.38731553645857</v>
      </c>
      <c r="J47" s="130">
        <f t="shared" si="4"/>
        <v>0.19042345537659888</v>
      </c>
      <c r="K47" s="136"/>
      <c r="L47" s="190"/>
      <c r="M47" s="190"/>
      <c r="N47" s="191"/>
      <c r="O47" s="192"/>
      <c r="P47" s="129" t="s">
        <v>991</v>
      </c>
      <c r="Q47" s="116">
        <v>6043059</v>
      </c>
      <c r="R47" s="116">
        <v>8296421976</v>
      </c>
      <c r="S47" s="116">
        <v>34067.03</v>
      </c>
      <c r="T47" s="130">
        <f t="shared" ref="T47" si="59">Q47/S47</f>
        <v>177.38731553645857</v>
      </c>
      <c r="U47" s="85">
        <f t="shared" si="56"/>
        <v>10844643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101921.35</v>
      </c>
      <c r="G48" s="190">
        <f t="shared" ref="G48" si="60">F48/F47-1</f>
        <v>-0.61208536107292677</v>
      </c>
      <c r="H48" s="190">
        <f t="shared" ref="H48" si="61">F48/F36-1</f>
        <v>-0.68406799432950061</v>
      </c>
      <c r="I48" s="130">
        <f t="shared" si="0"/>
        <v>171.29940948537745</v>
      </c>
      <c r="J48" s="130">
        <f t="shared" si="4"/>
        <v>-5.7545173921869641E-2</v>
      </c>
      <c r="K48" s="136"/>
      <c r="L48" s="190"/>
      <c r="M48" s="190"/>
      <c r="N48" s="191"/>
      <c r="O48" s="192"/>
      <c r="P48" s="129" t="s">
        <v>1070</v>
      </c>
      <c r="Q48" s="116">
        <v>2038427</v>
      </c>
      <c r="R48" s="116">
        <v>2826656225</v>
      </c>
      <c r="S48" s="116">
        <v>11899.79</v>
      </c>
      <c r="T48" s="130">
        <f t="shared" ref="T48" si="62">Q48/S48</f>
        <v>171.29940948537745</v>
      </c>
      <c r="U48" s="85">
        <f t="shared" si="56"/>
        <v>10987779</v>
      </c>
    </row>
    <row r="49" spans="1:26" ht="13.2">
      <c r="A49" s="129" t="s">
        <v>1158</v>
      </c>
      <c r="B49" s="188">
        <f>SUM(F47:F49)</f>
        <v>498824.95474308298</v>
      </c>
      <c r="C49" s="188">
        <f>AVERAGE(F47:F49)</f>
        <v>166274.984914361</v>
      </c>
      <c r="D49" s="190">
        <f>C49/C46-1</f>
        <v>6.4359464434779357E-2</v>
      </c>
      <c r="E49" s="287">
        <f>C49/C37-1</f>
        <v>-0.53356789634994706</v>
      </c>
      <c r="F49" s="136">
        <f>Q49/22</f>
        <v>134161.90909090909</v>
      </c>
      <c r="G49" s="190">
        <f t="shared" ref="G49" si="63">F49/F48-1</f>
        <v>0.31632782622001265</v>
      </c>
      <c r="H49" s="190">
        <f t="shared" ref="H49" si="64">F49/F37-1</f>
        <v>-0.60948473708151307</v>
      </c>
      <c r="I49" s="130">
        <f t="shared" si="0"/>
        <v>183.09551783647242</v>
      </c>
      <c r="J49" s="130">
        <f t="shared" si="4"/>
        <v>-2.0548568906452958E-2</v>
      </c>
      <c r="K49" s="136">
        <f>R47+R48+R49</f>
        <v>15226446113</v>
      </c>
      <c r="L49" s="190">
        <f>U49/U46-1</f>
        <v>0.14188344642584161</v>
      </c>
      <c r="M49" s="190">
        <f>K49/K37-1</f>
        <v>-0.49818164952346866</v>
      </c>
      <c r="N49" s="191">
        <f>AVERAGE(T47:T49)</f>
        <v>177.26074761943616</v>
      </c>
      <c r="O49" s="192">
        <f>N49/N46-1</f>
        <v>0.21440716053123321</v>
      </c>
      <c r="P49" s="129" t="s">
        <v>1158</v>
      </c>
      <c r="Q49" s="116">
        <v>2951562</v>
      </c>
      <c r="R49" s="116">
        <v>4103367912</v>
      </c>
      <c r="S49" s="116">
        <v>16120.34</v>
      </c>
      <c r="T49" s="130">
        <f t="shared" ref="T49" si="65">Q49/S49</f>
        <v>183.09551783647242</v>
      </c>
      <c r="U49" s="85">
        <f t="shared" si="56"/>
        <v>11033048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281242.66666666669</v>
      </c>
      <c r="G50" s="190">
        <f t="shared" ref="G50" si="66">F50/F49-1</f>
        <v>1.0962929684914857</v>
      </c>
      <c r="H50" s="190">
        <f t="shared" ref="H50" si="67">F50/F38-1</f>
        <v>-0.11360572164960092</v>
      </c>
      <c r="I50" s="130">
        <f t="shared" ref="I50" si="68">T50</f>
        <v>152.02954600466447</v>
      </c>
      <c r="J50" s="130">
        <f t="shared" ref="J50" si="69">I50/I38-1</f>
        <v>-2.9569138964658181E-2</v>
      </c>
      <c r="K50" s="136"/>
      <c r="L50" s="190"/>
      <c r="M50" s="190"/>
      <c r="N50" s="191"/>
      <c r="O50" s="192"/>
      <c r="P50" s="129" t="s">
        <v>1366</v>
      </c>
      <c r="Q50" s="116">
        <v>5062368</v>
      </c>
      <c r="R50" s="116">
        <v>7169993245</v>
      </c>
      <c r="S50" s="116">
        <v>33298.58</v>
      </c>
      <c r="T50" s="130">
        <f t="shared" ref="T50" si="70">Q50/S50</f>
        <v>152.02954600466447</v>
      </c>
      <c r="U50" s="85">
        <f t="shared" si="56"/>
        <v>10052357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197883.6</v>
      </c>
      <c r="G51" s="190">
        <f t="shared" ref="G51:G52" si="71">F51/F50-1</f>
        <v>-0.29639552083135801</v>
      </c>
      <c r="H51" s="190">
        <f t="shared" ref="H51:H52" si="72">F51/F39-1</f>
        <v>7.9993731416130753E-2</v>
      </c>
      <c r="I51" s="130">
        <f t="shared" ref="I51:I52" si="73">T51</f>
        <v>132.13218186073422</v>
      </c>
      <c r="J51" s="130">
        <f t="shared" ref="J51:J52" si="74">I51/I39-1</f>
        <v>-4.787992543338504E-2</v>
      </c>
      <c r="K51" s="136"/>
      <c r="L51" s="190"/>
      <c r="M51" s="190"/>
      <c r="N51" s="191"/>
      <c r="O51" s="192"/>
      <c r="P51" s="129" t="s">
        <v>1402</v>
      </c>
      <c r="Q51" s="116">
        <v>3957672</v>
      </c>
      <c r="R51" s="116">
        <v>5744279635</v>
      </c>
      <c r="S51" s="116">
        <v>29952.37</v>
      </c>
      <c r="T51" s="130">
        <f t="shared" ref="T51:T52" si="75">Q51/S51</f>
        <v>132.13218186073422</v>
      </c>
      <c r="U51" s="85">
        <f t="shared" si="56"/>
        <v>11971602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581199.53939393943</v>
      </c>
      <c r="C52" s="188">
        <f>AVERAGE(F50:F52)</f>
        <v>193733.1797979798</v>
      </c>
      <c r="D52" s="190">
        <f>C52/C49-1</f>
        <v>0.16513725680240476</v>
      </c>
      <c r="E52" s="287">
        <f>C52/C40-1</f>
        <v>-3.9214331619702336E-2</v>
      </c>
      <c r="F52" s="136">
        <f>Q52/22</f>
        <v>102073.27272727272</v>
      </c>
      <c r="G52" s="190">
        <f t="shared" si="71"/>
        <v>-0.48417517809827237</v>
      </c>
      <c r="H52" s="190">
        <f t="shared" si="72"/>
        <v>-2.2343292797430969E-2</v>
      </c>
      <c r="I52" s="130">
        <f t="shared" si="73"/>
        <v>138.15894469180495</v>
      </c>
      <c r="J52" s="130">
        <f t="shared" si="74"/>
        <v>-0.30954208405092953</v>
      </c>
      <c r="K52" s="136">
        <f>R50+R51+R52</f>
        <v>16221338769</v>
      </c>
      <c r="L52" s="190">
        <f>U52/U49-1</f>
        <v>2.108247874929936E-2</v>
      </c>
      <c r="M52" s="190">
        <f>K52/K40-1</f>
        <v>-4.3501358712970006E-2</v>
      </c>
      <c r="N52" s="191">
        <f>AVERAGE(T50:T52)</f>
        <v>140.77355751906788</v>
      </c>
      <c r="O52" s="192">
        <f>N52/N49-1</f>
        <v>-0.20583908502238291</v>
      </c>
      <c r="P52" s="129" t="s">
        <v>1403</v>
      </c>
      <c r="Q52" s="116">
        <v>2245612</v>
      </c>
      <c r="R52" s="116">
        <v>3307065889</v>
      </c>
      <c r="S52" s="116">
        <v>16253.83</v>
      </c>
      <c r="T52" s="130">
        <f t="shared" si="75"/>
        <v>138.15894469180495</v>
      </c>
      <c r="U52" s="85">
        <f t="shared" ref="U52" si="76">Q50+Q51+Q52</f>
        <v>11265652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155947.23809523811</v>
      </c>
      <c r="G53" s="190">
        <f t="shared" ref="G53" si="77">F53/F52-1</f>
        <v>0.52779698278030152</v>
      </c>
      <c r="H53" s="190">
        <f t="shared" ref="H53" si="78">F53/F41-1</f>
        <v>-0.76069069500636954</v>
      </c>
      <c r="I53" s="130">
        <f t="shared" ref="I53" si="79">T53</f>
        <v>180.60597370510899</v>
      </c>
      <c r="J53" s="130">
        <f t="shared" ref="J53" si="80">I53/I41-1</f>
        <v>0.10243334917349567</v>
      </c>
      <c r="K53" s="136"/>
      <c r="L53" s="190"/>
      <c r="M53" s="190"/>
      <c r="N53" s="191"/>
      <c r="O53" s="192"/>
      <c r="P53" s="129" t="s">
        <v>1414</v>
      </c>
      <c r="Q53" s="116">
        <v>3274892</v>
      </c>
      <c r="R53" s="116">
        <v>4778510639</v>
      </c>
      <c r="S53" s="116">
        <v>18132.8</v>
      </c>
      <c r="T53" s="130">
        <f t="shared" ref="T53" si="81">Q53/S53</f>
        <v>180.60597370510899</v>
      </c>
      <c r="U53" s="85">
        <f t="shared" ref="U53" si="82">Q51+Q52+Q53</f>
        <v>9478176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248473.64705882352</v>
      </c>
      <c r="G54" s="190">
        <f t="shared" ref="G54" si="83">F54/F53-1</f>
        <v>0.59331867684042505</v>
      </c>
      <c r="H54" s="190">
        <f t="shared" ref="H54" si="84">F54/F42-1</f>
        <v>6.6831282633895261E-2</v>
      </c>
      <c r="I54" s="130">
        <f t="shared" ref="I54" si="85">T54</f>
        <v>138.49904815864767</v>
      </c>
      <c r="J54" s="130">
        <f t="shared" ref="J54" si="86">I54/I42-1</f>
        <v>-0.15809600487156705</v>
      </c>
      <c r="K54" s="136"/>
      <c r="L54" s="190"/>
      <c r="M54" s="190"/>
      <c r="N54" s="191"/>
      <c r="O54" s="192"/>
      <c r="P54" s="129" t="s">
        <v>1417</v>
      </c>
      <c r="Q54" s="116">
        <v>4224052</v>
      </c>
      <c r="R54" s="116">
        <v>6132736364</v>
      </c>
      <c r="S54" s="116">
        <v>30498.78</v>
      </c>
      <c r="T54" s="130">
        <f t="shared" ref="T54" si="87">Q54/S54</f>
        <v>138.49904815864767</v>
      </c>
      <c r="U54" s="85">
        <f t="shared" ref="U54" si="88">Q52+Q53+Q54</f>
        <v>9744556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695742.5994397758</v>
      </c>
      <c r="C55" s="188">
        <f>AVERAGE(F53:F55)</f>
        <v>231914.1998132586</v>
      </c>
      <c r="D55" s="190">
        <f>C55/C52-1</f>
        <v>0.19708043844163936</v>
      </c>
      <c r="E55" s="287">
        <f>C55/C43-1</f>
        <v>-0.32184405632293178</v>
      </c>
      <c r="F55" s="136">
        <f>Q55/21</f>
        <v>291321.71428571426</v>
      </c>
      <c r="G55" s="190">
        <f t="shared" ref="G55" si="89">F55/F54-1</f>
        <v>0.17244511735583323</v>
      </c>
      <c r="H55" s="190">
        <f t="shared" ref="H55" si="90">F55/F43-1</f>
        <v>1.0607126739288297</v>
      </c>
      <c r="I55" s="130">
        <f>T55</f>
        <v>165.63246482471035</v>
      </c>
      <c r="J55" s="130">
        <f t="shared" ref="J55" si="91">I55/I43-1</f>
        <v>-4.1805621725368391E-2</v>
      </c>
      <c r="K55" s="136">
        <f>R53+R54+R55</f>
        <v>19909989887</v>
      </c>
      <c r="L55" s="190">
        <f>U55/U52-1</f>
        <v>0.20869169400936571</v>
      </c>
      <c r="M55" s="190">
        <f>K55/K43-1</f>
        <v>-0.28965216698704233</v>
      </c>
      <c r="N55" s="191">
        <f>AVERAGE(T53:T55)</f>
        <v>161.57916222948901</v>
      </c>
      <c r="O55" s="192">
        <f>N55/N52-1</f>
        <v>0.1477948350321614</v>
      </c>
      <c r="P55" s="129" t="s">
        <v>1418</v>
      </c>
      <c r="Q55" s="116">
        <v>6117756</v>
      </c>
      <c r="R55" s="116">
        <v>8998742884</v>
      </c>
      <c r="S55" s="116">
        <v>36935.730000000003</v>
      </c>
      <c r="T55" s="130">
        <f t="shared" ref="T55" si="92">Q55/S55</f>
        <v>165.63246482471035</v>
      </c>
      <c r="U55" s="85">
        <f t="shared" ref="U55" si="93">Q53+Q54+Q55</f>
        <v>13616700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401958.63636363635</v>
      </c>
      <c r="G56" s="190">
        <f t="shared" ref="G56" si="94">F56/F55-1</f>
        <v>0.37977574843396233</v>
      </c>
      <c r="H56" s="190">
        <f t="shared" ref="H56" si="95">F56/F44-1</f>
        <v>0.81935433432121574</v>
      </c>
      <c r="I56" s="291">
        <f>T56</f>
        <v>172.51884509728984</v>
      </c>
      <c r="J56" s="130">
        <f t="shared" ref="J56" si="96">I56/I44-1</f>
        <v>0.19352871975520913</v>
      </c>
      <c r="K56" s="136"/>
      <c r="L56" s="190"/>
      <c r="M56" s="190"/>
      <c r="N56" s="191"/>
      <c r="O56" s="192"/>
      <c r="P56" s="129" t="s">
        <v>1420</v>
      </c>
      <c r="Q56" s="116">
        <v>8843090</v>
      </c>
      <c r="R56" s="116">
        <v>13225225171</v>
      </c>
      <c r="S56" s="116">
        <v>51258.69</v>
      </c>
      <c r="T56" s="130">
        <f t="shared" ref="T56" si="97">Q56/S56</f>
        <v>172.51884509728984</v>
      </c>
      <c r="U56" s="85">
        <f t="shared" ref="U56" si="98">Q54+Q55+Q56</f>
        <v>19184898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486105.08333333331</v>
      </c>
      <c r="G57" s="254">
        <f t="shared" ref="G57" si="99">F57/F56-1</f>
        <v>0.20934105989346863</v>
      </c>
      <c r="H57" s="254">
        <f t="shared" ref="H57" si="100">F57/F45-1</f>
        <v>4.1296089448357352</v>
      </c>
      <c r="I57" s="282">
        <f>T57</f>
        <v>173.83566901834476</v>
      </c>
      <c r="J57" s="277">
        <f t="shared" ref="J57" si="101">I57/I45-1</f>
        <v>0.2037239409145748</v>
      </c>
      <c r="K57" s="204"/>
      <c r="L57" s="254"/>
      <c r="M57" s="254"/>
      <c r="N57" s="257"/>
      <c r="O57" s="258"/>
      <c r="P57" s="129" t="s">
        <v>1436</v>
      </c>
      <c r="Q57" s="116">
        <v>5833261</v>
      </c>
      <c r="R57" s="116">
        <v>8617304331</v>
      </c>
      <c r="S57" s="116">
        <v>33556.18</v>
      </c>
      <c r="T57" s="130">
        <f t="shared" ref="T57" si="102">Q57/S57</f>
        <v>173.83566901834476</v>
      </c>
      <c r="U57" s="85">
        <f t="shared" ref="U57" si="103">Q55+Q56+Q57</f>
        <v>20794107</v>
      </c>
      <c r="V57" s="79"/>
      <c r="W57" s="79"/>
      <c r="X57" s="79"/>
      <c r="Y57" s="79"/>
      <c r="Z57" s="79"/>
    </row>
    <row r="58" spans="1:26">
      <c r="B58" s="196">
        <f>SUM(F56:F58)</f>
        <v>888063.71969696973</v>
      </c>
      <c r="C58" s="196">
        <f>AVERAGE(F56:F58)</f>
        <v>444031.85984848486</v>
      </c>
      <c r="D58" s="197">
        <f>C58/C55-1</f>
        <v>0.91463851806412522</v>
      </c>
      <c r="E58" s="233">
        <f>C58/C46-1</f>
        <v>1.8423368240491929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28293051</v>
      </c>
      <c r="R67" s="212">
        <v>41752519389</v>
      </c>
      <c r="S67" s="213">
        <v>170382.18</v>
      </c>
    </row>
    <row r="68" spans="16:19" ht="18" thickBot="1">
      <c r="P68" s="180" t="s">
        <v>976</v>
      </c>
      <c r="Q68" s="181">
        <v>3274892</v>
      </c>
      <c r="R68" s="181">
        <v>4778510639</v>
      </c>
      <c r="S68" s="182">
        <v>18132.8</v>
      </c>
    </row>
    <row r="69" spans="16:19" ht="18" thickBot="1">
      <c r="P69" s="180" t="s">
        <v>977</v>
      </c>
      <c r="Q69" s="181">
        <v>4224052</v>
      </c>
      <c r="R69" s="181">
        <v>6132736364</v>
      </c>
      <c r="S69" s="182">
        <v>30498.78</v>
      </c>
    </row>
    <row r="70" spans="16:19" ht="18" thickBot="1">
      <c r="P70" s="180" t="s">
        <v>978</v>
      </c>
      <c r="Q70" s="181">
        <v>6117756</v>
      </c>
      <c r="R70" s="181">
        <v>8998742884</v>
      </c>
      <c r="S70" s="182">
        <v>36935.730000000003</v>
      </c>
    </row>
    <row r="71" spans="16:19" ht="18" thickBot="1">
      <c r="P71" s="180" t="s">
        <v>979</v>
      </c>
      <c r="Q71" s="181">
        <v>8843090</v>
      </c>
      <c r="R71" s="181">
        <v>13225225171</v>
      </c>
      <c r="S71" s="182">
        <v>51258.69</v>
      </c>
    </row>
    <row r="72" spans="16:19" ht="18" thickBot="1">
      <c r="P72" s="180" t="s">
        <v>980</v>
      </c>
      <c r="Q72" s="181">
        <v>5833261</v>
      </c>
      <c r="R72" s="181">
        <v>8617304331</v>
      </c>
      <c r="S72" s="182">
        <v>33556.18</v>
      </c>
    </row>
    <row r="73" spans="16:19" ht="18" thickBot="1">
      <c r="P73" s="180" t="s">
        <v>975</v>
      </c>
      <c r="Q73" s="181">
        <v>51176199</v>
      </c>
      <c r="R73" s="181">
        <v>73163874427</v>
      </c>
      <c r="S73" s="182">
        <v>324128.55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15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8"/>
  <sheetViews>
    <sheetView zoomScale="90" zoomScaleNormal="90" workbookViewId="0">
      <selection activeCell="D71" sqref="D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367582</v>
      </c>
      <c r="G5" s="90"/>
      <c r="H5" s="90"/>
      <c r="I5" s="130">
        <f t="shared" ref="I5:I49" si="0">T5</f>
        <v>2.7360330970818802</v>
      </c>
      <c r="J5" s="130"/>
      <c r="K5" s="86"/>
      <c r="L5" s="80"/>
      <c r="M5" s="80"/>
      <c r="N5" s="79"/>
      <c r="O5" s="79"/>
      <c r="P5" s="129" t="s">
        <v>0</v>
      </c>
      <c r="Q5" s="116">
        <f>우유!Q5+메로나!Q5</f>
        <v>7351640</v>
      </c>
      <c r="R5" s="116">
        <f>우유!R5+메로나!R5</f>
        <v>8672350812</v>
      </c>
      <c r="S5" s="116">
        <f>우유!S5+메로나!S5</f>
        <v>2686970.42</v>
      </c>
      <c r="T5" s="130">
        <f t="shared" ref="T5:T33" si="1">Q5/S5</f>
        <v>2.7360330970818802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510348.5</v>
      </c>
      <c r="G6" s="90">
        <f t="shared" ref="G6:G33" si="2">F6/F5-1</f>
        <v>0.38839361013324925</v>
      </c>
      <c r="H6" s="90"/>
      <c r="I6" s="130">
        <f t="shared" si="0"/>
        <v>2.8565956768696346</v>
      </c>
      <c r="J6" s="130"/>
      <c r="K6" s="78"/>
      <c r="L6" s="87"/>
      <c r="M6" s="87"/>
      <c r="N6" s="79"/>
      <c r="O6" s="79"/>
      <c r="P6" s="129" t="s">
        <v>1</v>
      </c>
      <c r="Q6" s="116">
        <f>우유!Q6+메로나!Q6</f>
        <v>9186273</v>
      </c>
      <c r="R6" s="116">
        <f>우유!R6+메로나!R6</f>
        <v>10911579302</v>
      </c>
      <c r="S6" s="116">
        <f>우유!S6+메로나!S6</f>
        <v>3215811.42</v>
      </c>
      <c r="T6" s="130">
        <f t="shared" si="1"/>
        <v>2.8565956768696346</v>
      </c>
      <c r="U6" s="85"/>
    </row>
    <row r="7" spans="1:21" ht="15" hidden="1" customHeight="1">
      <c r="A7" s="129" t="s">
        <v>2</v>
      </c>
      <c r="B7" s="131">
        <f>F5+F6+F7</f>
        <v>1417632.0454545454</v>
      </c>
      <c r="C7" s="131">
        <f>AVERAGE(F5:F7)</f>
        <v>472544.01515151514</v>
      </c>
      <c r="D7" s="117"/>
      <c r="F7" s="78">
        <f>Q7/22</f>
        <v>539701.54545454541</v>
      </c>
      <c r="G7" s="90">
        <f t="shared" si="2"/>
        <v>5.7515688700065626E-2</v>
      </c>
      <c r="H7" s="90"/>
      <c r="I7" s="130">
        <f t="shared" si="0"/>
        <v>2.7482819681820949</v>
      </c>
      <c r="J7" s="130"/>
      <c r="K7" s="85">
        <f>R5+R6+R7</f>
        <v>33896886921</v>
      </c>
      <c r="L7" s="87"/>
      <c r="M7" s="87"/>
      <c r="N7" s="88">
        <f>AVERAGE(T5:T7)</f>
        <v>2.7803035807112031</v>
      </c>
      <c r="O7" s="79"/>
      <c r="P7" s="129" t="s">
        <v>2</v>
      </c>
      <c r="Q7" s="116">
        <f>우유!Q7+메로나!Q7</f>
        <v>11873434</v>
      </c>
      <c r="R7" s="116">
        <f>우유!R7+메로나!R7</f>
        <v>14312956807</v>
      </c>
      <c r="S7" s="116">
        <f>우유!S7+메로나!S7</f>
        <v>4320311.43</v>
      </c>
      <c r="T7" s="130">
        <f t="shared" si="1"/>
        <v>2.7482819681820949</v>
      </c>
      <c r="U7" s="85">
        <f>Q5+Q6+Q7</f>
        <v>28411347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615197.95238095243</v>
      </c>
      <c r="G8" s="90">
        <f t="shared" si="2"/>
        <v>0.13988547478184943</v>
      </c>
      <c r="H8" s="90"/>
      <c r="I8" s="130">
        <f t="shared" si="0"/>
        <v>2.8708060364528691</v>
      </c>
      <c r="J8" s="130"/>
      <c r="K8" s="78"/>
      <c r="L8" s="87"/>
      <c r="M8" s="87"/>
      <c r="N8" s="79"/>
      <c r="O8" s="79"/>
      <c r="P8" s="129" t="s">
        <v>3</v>
      </c>
      <c r="Q8" s="116">
        <f>우유!Q8+메로나!Q8</f>
        <v>12919157</v>
      </c>
      <c r="R8" s="116">
        <f>우유!R8+메로나!R8</f>
        <v>15655468722</v>
      </c>
      <c r="S8" s="116">
        <f>우유!S8+메로나!S8</f>
        <v>4500184.5600000005</v>
      </c>
      <c r="T8" s="130">
        <f t="shared" si="1"/>
        <v>2.8708060364528691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531768.38095238095</v>
      </c>
      <c r="G9" s="90">
        <f t="shared" si="2"/>
        <v>-0.13561418906821865</v>
      </c>
      <c r="H9" s="90"/>
      <c r="I9" s="130">
        <f t="shared" si="0"/>
        <v>2.8893063378728017</v>
      </c>
      <c r="J9" s="130"/>
      <c r="K9" s="78"/>
      <c r="L9" s="87"/>
      <c r="M9" s="87"/>
      <c r="N9" s="79"/>
      <c r="O9" s="79"/>
      <c r="P9" s="129" t="s">
        <v>4</v>
      </c>
      <c r="Q9" s="116">
        <f>우유!Q9+메로나!Q9</f>
        <v>11167136</v>
      </c>
      <c r="R9" s="116">
        <f>우유!R9+메로나!R9</f>
        <v>14023249467</v>
      </c>
      <c r="S9" s="116">
        <f>우유!S9+메로나!S9</f>
        <v>3864988.58</v>
      </c>
      <c r="T9" s="130">
        <f t="shared" si="1"/>
        <v>2.8893063378728017</v>
      </c>
      <c r="U9" s="85"/>
    </row>
    <row r="10" spans="1:21" ht="15" hidden="1" customHeight="1">
      <c r="A10" s="129" t="s">
        <v>5</v>
      </c>
      <c r="B10" s="131">
        <f>F8+F9+F10</f>
        <v>1557670.8095238097</v>
      </c>
      <c r="C10" s="131">
        <f>AVERAGE(F8:F10)</f>
        <v>519223.60317460325</v>
      </c>
      <c r="D10" s="90">
        <f>C10/C7-1</f>
        <v>9.8783576823253005E-2</v>
      </c>
      <c r="E10" s="286"/>
      <c r="F10" s="78">
        <f>Q10/21</f>
        <v>410704.47619047621</v>
      </c>
      <c r="G10" s="90">
        <f t="shared" si="2"/>
        <v>-0.22766284927487224</v>
      </c>
      <c r="H10" s="90"/>
      <c r="I10" s="130">
        <f t="shared" si="0"/>
        <v>2.8263500224391338</v>
      </c>
      <c r="J10" s="130"/>
      <c r="K10" s="85">
        <f>R8+R9+R10</f>
        <v>40551739648</v>
      </c>
      <c r="L10" s="87">
        <f>U10/U7-1</f>
        <v>0.1513388295176572</v>
      </c>
      <c r="M10" s="87"/>
      <c r="N10" s="88">
        <f>AVERAGE(T8:T10)</f>
        <v>2.8621541322549349</v>
      </c>
      <c r="O10" s="89">
        <f>N10/N7-1</f>
        <v>2.9439429604588119E-2</v>
      </c>
      <c r="P10" s="129" t="s">
        <v>5</v>
      </c>
      <c r="Q10" s="116">
        <f>우유!Q10+메로나!Q10</f>
        <v>8624794</v>
      </c>
      <c r="R10" s="116">
        <f>우유!R10+메로나!R10</f>
        <v>10873021459</v>
      </c>
      <c r="S10" s="116">
        <f>우유!S10+메로나!S10</f>
        <v>3051566.13</v>
      </c>
      <c r="T10" s="130">
        <f t="shared" si="1"/>
        <v>2.8263500224391338</v>
      </c>
      <c r="U10" s="85">
        <f>Q8+Q9+Q10</f>
        <v>32711087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373499.33333333331</v>
      </c>
      <c r="G11" s="90">
        <f t="shared" si="2"/>
        <v>-9.0588598405944687E-2</v>
      </c>
      <c r="H11" s="90"/>
      <c r="I11" s="130">
        <f t="shared" si="0"/>
        <v>2.8767195384711819</v>
      </c>
      <c r="J11" s="130"/>
      <c r="K11" s="78"/>
      <c r="L11" s="87"/>
      <c r="M11" s="87"/>
      <c r="N11" s="79"/>
      <c r="O11" s="89"/>
      <c r="P11" s="129" t="s">
        <v>6</v>
      </c>
      <c r="Q11" s="116">
        <f>우유!Q11+메로나!Q11</f>
        <v>7843486</v>
      </c>
      <c r="R11" s="116">
        <f>우유!R11+메로나!R11</f>
        <v>10119370621</v>
      </c>
      <c r="S11" s="116">
        <f>우유!S11+메로나!S11</f>
        <v>2726538.3</v>
      </c>
      <c r="T11" s="130">
        <f t="shared" si="1"/>
        <v>2.8767195384711819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364491.36363636365</v>
      </c>
      <c r="G12" s="90">
        <f t="shared" si="2"/>
        <v>-2.4117766467150359E-2</v>
      </c>
      <c r="H12" s="90"/>
      <c r="I12" s="130">
        <f t="shared" si="0"/>
        <v>2.878110992172612</v>
      </c>
      <c r="J12" s="130"/>
      <c r="K12" s="78"/>
      <c r="L12" s="87"/>
      <c r="M12" s="87"/>
      <c r="N12" s="79"/>
      <c r="O12" s="89"/>
      <c r="P12" s="129" t="s">
        <v>7</v>
      </c>
      <c r="Q12" s="116">
        <f>우유!Q12+메로나!Q12</f>
        <v>8018810</v>
      </c>
      <c r="R12" s="116">
        <f>우유!R12+메로나!R12</f>
        <v>10415269434</v>
      </c>
      <c r="S12" s="116">
        <f>우유!S12+메로나!S12</f>
        <v>2786136.47</v>
      </c>
      <c r="T12" s="130">
        <f t="shared" si="1"/>
        <v>2.878110992172612</v>
      </c>
      <c r="U12" s="85"/>
    </row>
    <row r="13" spans="1:21" ht="15" hidden="1" customHeight="1">
      <c r="A13" s="129" t="s">
        <v>96</v>
      </c>
      <c r="B13" s="131">
        <f>F11+F12+F13</f>
        <v>1020897.046969697</v>
      </c>
      <c r="C13" s="131">
        <f>AVERAGE(F11:F13)</f>
        <v>340299.01565656567</v>
      </c>
      <c r="D13" s="90">
        <f>C13/C10-1</f>
        <v>-0.34460025781583981</v>
      </c>
      <c r="E13" s="286"/>
      <c r="F13" s="78">
        <f>Q13/20</f>
        <v>282906.34999999998</v>
      </c>
      <c r="G13" s="90">
        <f t="shared" si="2"/>
        <v>-0.22383250133124499</v>
      </c>
      <c r="H13" s="90"/>
      <c r="I13" s="130">
        <f t="shared" si="0"/>
        <v>3.043020066701847</v>
      </c>
      <c r="J13" s="130"/>
      <c r="K13" s="78">
        <f>R11+R12+R13</f>
        <v>28294074828</v>
      </c>
      <c r="L13" s="87">
        <f>U13/U10-1</f>
        <v>-0.34210614890296986</v>
      </c>
      <c r="M13" s="87"/>
      <c r="N13" s="88">
        <f>AVERAGE(T11:T13)</f>
        <v>2.9326168657818799</v>
      </c>
      <c r="O13" s="89">
        <f>N13/N10-1</f>
        <v>2.4618776722353353E-2</v>
      </c>
      <c r="P13" s="129" t="s">
        <v>96</v>
      </c>
      <c r="Q13" s="116">
        <f>우유!Q13+메로나!Q13</f>
        <v>5658127</v>
      </c>
      <c r="R13" s="116">
        <f>우유!R13+메로나!R13</f>
        <v>7759434773</v>
      </c>
      <c r="S13" s="116">
        <f>우유!S13+메로나!S13</f>
        <v>1859378.8</v>
      </c>
      <c r="T13" s="130">
        <f t="shared" si="1"/>
        <v>3.043020066701847</v>
      </c>
      <c r="U13" s="85">
        <f>Q11+Q12+Q13</f>
        <v>21520423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297589.65000000002</v>
      </c>
      <c r="G14" s="90">
        <f t="shared" si="2"/>
        <v>5.1901627517374704E-2</v>
      </c>
      <c r="H14" s="90"/>
      <c r="I14" s="130">
        <f t="shared" si="0"/>
        <v>2.6737724581112832</v>
      </c>
      <c r="J14" s="130"/>
      <c r="K14" s="78"/>
      <c r="L14" s="87"/>
      <c r="M14" s="87"/>
      <c r="N14" s="79"/>
      <c r="O14" s="89"/>
      <c r="P14" s="129" t="s">
        <v>97</v>
      </c>
      <c r="Q14" s="116">
        <f>우유!Q14+메로나!Q14</f>
        <v>5951793</v>
      </c>
      <c r="R14" s="116">
        <f>우유!R14+메로나!R14</f>
        <v>8487255486</v>
      </c>
      <c r="S14" s="116">
        <f>우유!S14+메로나!S14</f>
        <v>2225990.84</v>
      </c>
      <c r="T14" s="130">
        <f t="shared" si="1"/>
        <v>2.6737724581112832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245461.13636363635</v>
      </c>
      <c r="G15" s="90">
        <f t="shared" si="2"/>
        <v>-0.17516910832202548</v>
      </c>
      <c r="H15" s="90"/>
      <c r="I15" s="130">
        <f t="shared" si="0"/>
        <v>2.620201474885393</v>
      </c>
      <c r="J15" s="130"/>
      <c r="K15" s="78"/>
      <c r="L15" s="87"/>
      <c r="M15" s="87"/>
      <c r="N15" s="79"/>
      <c r="O15" s="89"/>
      <c r="P15" s="129" t="s">
        <v>98</v>
      </c>
      <c r="Q15" s="116">
        <f>우유!Q15+메로나!Q15</f>
        <v>5400145</v>
      </c>
      <c r="R15" s="116">
        <f>우유!R15+메로나!R15</f>
        <v>7532926721</v>
      </c>
      <c r="S15" s="116">
        <f>우유!S15+메로나!S15</f>
        <v>2060965.56</v>
      </c>
      <c r="T15" s="130">
        <f t="shared" si="1"/>
        <v>2.620201474885393</v>
      </c>
      <c r="U15" s="78"/>
    </row>
    <row r="16" spans="1:21" ht="15" hidden="1" customHeight="1">
      <c r="A16" s="129" t="s">
        <v>99</v>
      </c>
      <c r="B16" s="131">
        <f>F14+F15+F16</f>
        <v>823929.15</v>
      </c>
      <c r="C16" s="131">
        <f>AVERAGE(F14:F16)</f>
        <v>274643.05</v>
      </c>
      <c r="D16" s="90">
        <f>C16/C13-1</f>
        <v>-0.19293610218028534</v>
      </c>
      <c r="E16" s="286"/>
      <c r="F16" s="78">
        <f>Q16/22</f>
        <v>280878.36363636365</v>
      </c>
      <c r="G16" s="90">
        <f t="shared" si="2"/>
        <v>0.14428853299309563</v>
      </c>
      <c r="H16" s="90"/>
      <c r="I16" s="130">
        <f t="shared" si="0"/>
        <v>2.6036459353763624</v>
      </c>
      <c r="J16" s="130"/>
      <c r="K16" s="78">
        <f>R14+R15+R16</f>
        <v>24105102745</v>
      </c>
      <c r="L16" s="87">
        <f>U16/U13-1</f>
        <v>-0.18536629135960758</v>
      </c>
      <c r="M16" s="87"/>
      <c r="N16" s="88">
        <f>AVERAGE(T14:T16)</f>
        <v>2.6325399561243463</v>
      </c>
      <c r="O16" s="89">
        <f>N16/N13-1</f>
        <v>-0.10232393912715509</v>
      </c>
      <c r="P16" s="129" t="s">
        <v>99</v>
      </c>
      <c r="Q16" s="116">
        <f>우유!Q16+메로나!Q16</f>
        <v>6179324</v>
      </c>
      <c r="R16" s="116">
        <f>우유!R16+메로나!R16</f>
        <v>8084920538</v>
      </c>
      <c r="S16" s="116">
        <f>우유!S16+메로나!S16</f>
        <v>2373334.9900000002</v>
      </c>
      <c r="T16" s="130">
        <f t="shared" si="1"/>
        <v>2.6036459353763624</v>
      </c>
      <c r="U16" s="85">
        <f>Q14+Q15+Q16</f>
        <v>17531262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417621.2</v>
      </c>
      <c r="G17" s="90">
        <f t="shared" si="2"/>
        <v>0.486840049170427</v>
      </c>
      <c r="H17" s="90">
        <f t="shared" ref="H17:H32" si="3">F17/F5-1</f>
        <v>0.13613071369109475</v>
      </c>
      <c r="I17" s="130">
        <f t="shared" si="0"/>
        <v>2.7914921789932503</v>
      </c>
      <c r="J17" s="130">
        <f t="shared" ref="J17:J49" si="4">I17/I5-1</f>
        <v>2.0269887075021087E-2</v>
      </c>
      <c r="K17" s="78"/>
      <c r="L17" s="87"/>
      <c r="M17" s="87"/>
      <c r="N17" s="79"/>
      <c r="O17" s="89"/>
      <c r="P17" s="129" t="s">
        <v>100</v>
      </c>
      <c r="Q17" s="116">
        <f>우유!Q17+메로나!Q17</f>
        <v>8352424</v>
      </c>
      <c r="R17" s="116">
        <f>우유!R17+메로나!R17</f>
        <v>10500750825</v>
      </c>
      <c r="S17" s="116">
        <f>우유!S17+메로나!S17</f>
        <v>2992100.09</v>
      </c>
      <c r="T17" s="130">
        <f t="shared" si="1"/>
        <v>2.7914921789932503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676344.9</v>
      </c>
      <c r="G18" s="90">
        <f t="shared" si="2"/>
        <v>0.61951763943018223</v>
      </c>
      <c r="H18" s="90">
        <f t="shared" si="3"/>
        <v>0.32526087565653672</v>
      </c>
      <c r="I18" s="130">
        <f t="shared" si="0"/>
        <v>2.880864892125417</v>
      </c>
      <c r="J18" s="130">
        <f t="shared" si="4"/>
        <v>8.4958524065181784E-3</v>
      </c>
      <c r="K18" s="78"/>
      <c r="L18" s="87"/>
      <c r="M18" s="87"/>
      <c r="N18" s="79"/>
      <c r="O18" s="89"/>
      <c r="P18" s="129" t="s">
        <v>106</v>
      </c>
      <c r="Q18" s="116">
        <f>우유!Q18+메로나!Q18</f>
        <v>13526898</v>
      </c>
      <c r="R18" s="116">
        <f>우유!R18+메로나!R18</f>
        <v>16984236621</v>
      </c>
      <c r="S18" s="116">
        <f>우유!S18+메로나!S18</f>
        <v>4695429.5</v>
      </c>
      <c r="T18" s="130">
        <f t="shared" si="1"/>
        <v>2.880864892125417</v>
      </c>
      <c r="U18" s="78"/>
    </row>
    <row r="19" spans="1:21" hidden="1">
      <c r="A19" s="129" t="s">
        <v>114</v>
      </c>
      <c r="B19" s="131">
        <f>SUM(F17:F19)</f>
        <v>1746508.5090909093</v>
      </c>
      <c r="C19" s="131">
        <f>AVERAGE(F17:F19)</f>
        <v>582169.50303030305</v>
      </c>
      <c r="D19" s="90">
        <f>C19/C16-1</f>
        <v>1.1197314224055663</v>
      </c>
      <c r="E19" s="286">
        <f>C19/C7-1</f>
        <v>0.23199000381718493</v>
      </c>
      <c r="F19" s="78">
        <f>Q19/22</f>
        <v>652542.40909090906</v>
      </c>
      <c r="G19" s="90">
        <f t="shared" si="2"/>
        <v>-3.5192829736856113E-2</v>
      </c>
      <c r="H19" s="90">
        <f t="shared" si="3"/>
        <v>0.20908011953407923</v>
      </c>
      <c r="I19" s="130">
        <f t="shared" si="0"/>
        <v>2.9893878941511027</v>
      </c>
      <c r="J19" s="130">
        <f t="shared" si="4"/>
        <v>8.7729690315761832E-2</v>
      </c>
      <c r="K19" s="78">
        <f>R17+R18+R19</f>
        <v>46253330009</v>
      </c>
      <c r="L19" s="87">
        <f>U19/U16-1</f>
        <v>1.0668937010923685</v>
      </c>
      <c r="M19" s="87">
        <f>U19/U7-1</f>
        <v>0.27537969248694893</v>
      </c>
      <c r="N19" s="88">
        <f>AVERAGE(T17:T19)</f>
        <v>2.8872483217565903</v>
      </c>
      <c r="O19" s="89">
        <f>N19/N16-1</f>
        <v>9.6753846048828196E-2</v>
      </c>
      <c r="P19" s="129" t="s">
        <v>114</v>
      </c>
      <c r="Q19" s="116">
        <f>우유!Q19+메로나!Q19</f>
        <v>14355933</v>
      </c>
      <c r="R19" s="116">
        <f>우유!R19+메로나!R19</f>
        <v>18768342563</v>
      </c>
      <c r="S19" s="116">
        <f>우유!S19+메로나!S19</f>
        <v>4802298.5</v>
      </c>
      <c r="T19" s="130">
        <f t="shared" si="1"/>
        <v>2.9893878941511027</v>
      </c>
      <c r="U19" s="85">
        <f>Q17+Q18+Q19</f>
        <v>36235255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663451.55000000005</v>
      </c>
      <c r="G20" s="90">
        <f t="shared" si="2"/>
        <v>1.6717903322619465E-2</v>
      </c>
      <c r="H20" s="90">
        <f t="shared" si="3"/>
        <v>7.8435887883396616E-2</v>
      </c>
      <c r="I20" s="130">
        <f t="shared" si="0"/>
        <v>2.9450605356566752</v>
      </c>
      <c r="J20" s="130">
        <f t="shared" si="4"/>
        <v>2.5865383540698561E-2</v>
      </c>
      <c r="K20" s="78"/>
      <c r="L20" s="87"/>
      <c r="M20" s="87"/>
      <c r="N20" s="79"/>
      <c r="O20" s="89"/>
      <c r="P20" s="129" t="s">
        <v>131</v>
      </c>
      <c r="Q20" s="116">
        <f>우유!Q20+메로나!Q20</f>
        <v>13269031</v>
      </c>
      <c r="R20" s="116">
        <f>우유!R20+메로나!R20</f>
        <v>17399397053</v>
      </c>
      <c r="S20" s="116">
        <f>우유!S20+메로나!S20</f>
        <v>4505520.63</v>
      </c>
      <c r="T20" s="130">
        <f t="shared" si="1"/>
        <v>2.9450605356566752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597521.38095238095</v>
      </c>
      <c r="G21" s="90">
        <f t="shared" si="2"/>
        <v>-9.9374504509966211E-2</v>
      </c>
      <c r="H21" s="90">
        <f t="shared" si="3"/>
        <v>0.12364969854401342</v>
      </c>
      <c r="I21" s="130">
        <f t="shared" si="0"/>
        <v>2.8830311682439476</v>
      </c>
      <c r="J21" s="130">
        <f t="shared" si="4"/>
        <v>-2.1718602650745433E-3</v>
      </c>
      <c r="K21" s="78"/>
      <c r="L21" s="87"/>
      <c r="M21" s="87"/>
      <c r="N21" s="79"/>
      <c r="O21" s="89"/>
      <c r="P21" s="129" t="s">
        <v>141</v>
      </c>
      <c r="Q21" s="116">
        <f>우유!Q21+메로나!Q21</f>
        <v>12547949</v>
      </c>
      <c r="R21" s="116">
        <f>우유!R21+메로나!R21</f>
        <v>16709895130</v>
      </c>
      <c r="S21" s="116">
        <f>우유!S21+메로나!S21</f>
        <v>4352345.9399999995</v>
      </c>
      <c r="T21" s="130">
        <f t="shared" si="1"/>
        <v>2.8830311682439476</v>
      </c>
      <c r="U21" s="78"/>
    </row>
    <row r="22" spans="1:21" hidden="1">
      <c r="A22" s="129" t="s">
        <v>155</v>
      </c>
      <c r="B22" s="131">
        <f>SUM(F20:F22)</f>
        <v>1893341.1214285714</v>
      </c>
      <c r="C22" s="131">
        <f>AVERAGE(F20:F22)</f>
        <v>631113.70714285714</v>
      </c>
      <c r="D22" s="90">
        <f>C22/C19-1</f>
        <v>8.4072085290950893E-2</v>
      </c>
      <c r="E22" s="286">
        <f>C22/C10-1</f>
        <v>0.21549502619708094</v>
      </c>
      <c r="F22" s="78">
        <f>Q22/21</f>
        <v>632368.19047619053</v>
      </c>
      <c r="G22" s="90">
        <f t="shared" si="2"/>
        <v>5.8318933237615278E-2</v>
      </c>
      <c r="H22" s="90">
        <f t="shared" si="3"/>
        <v>0.53971584712631993</v>
      </c>
      <c r="I22" s="130">
        <f t="shared" si="0"/>
        <v>2.9076433671122266</v>
      </c>
      <c r="J22" s="130">
        <f t="shared" si="4"/>
        <v>2.876265997759786E-2</v>
      </c>
      <c r="K22" s="78">
        <f>R20+R21+R22</f>
        <v>51396612917</v>
      </c>
      <c r="L22" s="87">
        <f>U22/U19-1</f>
        <v>7.8968866094636381E-2</v>
      </c>
      <c r="M22" s="87">
        <f>U22/U10-1</f>
        <v>0.19521286467796073</v>
      </c>
      <c r="N22" s="88">
        <f>AVERAGE(T20:T22)</f>
        <v>2.9119116903376163</v>
      </c>
      <c r="O22" s="89">
        <f>N22/N19-1</f>
        <v>8.5421708950967901E-3</v>
      </c>
      <c r="P22" s="129" t="s">
        <v>155</v>
      </c>
      <c r="Q22" s="116">
        <f>우유!Q22+메로나!Q22</f>
        <v>13279732</v>
      </c>
      <c r="R22" s="116">
        <f>우유!R22+메로나!R22</f>
        <v>17287320734</v>
      </c>
      <c r="S22" s="116">
        <f>우유!S22+메로나!S22</f>
        <v>4567180.47</v>
      </c>
      <c r="T22" s="130">
        <f t="shared" si="1"/>
        <v>2.9076433671122266</v>
      </c>
      <c r="U22" s="85">
        <f>Q20+Q21+Q22</f>
        <v>39096712</v>
      </c>
    </row>
    <row r="23" spans="1:21" hidden="1">
      <c r="A23" s="129" t="s">
        <v>189</v>
      </c>
      <c r="B23" s="131"/>
      <c r="C23" s="131"/>
      <c r="D23" s="117"/>
      <c r="F23" s="78">
        <f>Q23/21</f>
        <v>459764.85714285716</v>
      </c>
      <c r="G23" s="90">
        <f t="shared" si="2"/>
        <v>-0.27294752635068242</v>
      </c>
      <c r="H23" s="90">
        <f t="shared" si="3"/>
        <v>0.23096567011147862</v>
      </c>
      <c r="I23" s="130">
        <f t="shared" si="0"/>
        <v>2.9876521423847135</v>
      </c>
      <c r="J23" s="130">
        <f t="shared" si="4"/>
        <v>3.856218947658907E-2</v>
      </c>
      <c r="K23" s="78"/>
      <c r="L23" s="87"/>
      <c r="M23" s="87"/>
      <c r="N23" s="79"/>
      <c r="O23" s="89"/>
      <c r="P23" s="129" t="s">
        <v>189</v>
      </c>
      <c r="Q23" s="116">
        <f>우유!Q23+메로나!Q23</f>
        <v>9655062</v>
      </c>
      <c r="R23" s="116">
        <f>우유!R23+메로나!R23</f>
        <v>12503254096</v>
      </c>
      <c r="S23" s="116">
        <f>우유!S23+메로나!S23</f>
        <v>3231655.34</v>
      </c>
      <c r="T23" s="130">
        <f t="shared" si="1"/>
        <v>2.9876521423847135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457389.13636363635</v>
      </c>
      <c r="G24" s="90">
        <f t="shared" si="2"/>
        <v>-5.1672517860202882E-3</v>
      </c>
      <c r="H24" s="90">
        <f t="shared" si="3"/>
        <v>0.25486961282285026</v>
      </c>
      <c r="I24" s="130">
        <f t="shared" si="0"/>
        <v>2.93996344708997</v>
      </c>
      <c r="J24" s="130">
        <f t="shared" si="4"/>
        <v>2.1490642676941007E-2</v>
      </c>
      <c r="K24" s="78"/>
      <c r="L24" s="87"/>
      <c r="M24" s="87"/>
      <c r="N24" s="79"/>
      <c r="O24" s="89"/>
      <c r="P24" s="129" t="s">
        <v>204</v>
      </c>
      <c r="Q24" s="116">
        <f>우유!Q24+메로나!Q24</f>
        <v>10062561</v>
      </c>
      <c r="R24" s="116">
        <f>우유!R24+메로나!R24</f>
        <v>13196699741</v>
      </c>
      <c r="S24" s="116">
        <f>우유!S24+메로나!S24</f>
        <v>3422682.35</v>
      </c>
      <c r="T24" s="130">
        <f t="shared" si="1"/>
        <v>2.93996344708997</v>
      </c>
      <c r="U24" s="78"/>
    </row>
    <row r="25" spans="1:21" s="92" customFormat="1" ht="13.2" hidden="1">
      <c r="A25" s="129" t="s">
        <v>219</v>
      </c>
      <c r="B25" s="131">
        <f>SUM(F23:F25)</f>
        <v>1309462.0461380724</v>
      </c>
      <c r="C25" s="131">
        <f>AVERAGE(F23:F25)</f>
        <v>436487.34871269081</v>
      </c>
      <c r="D25" s="90">
        <f>C25/C22-1</f>
        <v>-0.30838556701813358</v>
      </c>
      <c r="E25" s="286">
        <f>C25/C13-1</f>
        <v>0.28265827590050896</v>
      </c>
      <c r="F25" s="78">
        <f>Q25/19</f>
        <v>392308.05263157893</v>
      </c>
      <c r="G25" s="90">
        <f t="shared" si="2"/>
        <v>-0.14228821490923271</v>
      </c>
      <c r="H25" s="90">
        <f t="shared" si="3"/>
        <v>0.38670642292609902</v>
      </c>
      <c r="I25" s="130">
        <f t="shared" si="0"/>
        <v>3.0217165900523031</v>
      </c>
      <c r="J25" s="130">
        <f t="shared" si="4"/>
        <v>-7.0007677184441564E-3</v>
      </c>
      <c r="K25" s="78">
        <f>R23+R24+R25</f>
        <v>35596980719</v>
      </c>
      <c r="L25" s="90">
        <f>U25/U22-1</f>
        <v>-0.30501889775283408</v>
      </c>
      <c r="M25" s="90">
        <f>U25/U13-1</f>
        <v>0.26259023811939008</v>
      </c>
      <c r="N25" s="88">
        <f>AVERAGE(T23:T25)</f>
        <v>2.9831107265089956</v>
      </c>
      <c r="O25" s="91">
        <f>N25/N22-1</f>
        <v>2.4450959968200126E-2</v>
      </c>
      <c r="P25" s="129" t="s">
        <v>219</v>
      </c>
      <c r="Q25" s="116">
        <f>우유!Q25+메로나!Q25</f>
        <v>7453853</v>
      </c>
      <c r="R25" s="116">
        <f>우유!R25+메로나!R25</f>
        <v>9897026882</v>
      </c>
      <c r="S25" s="116">
        <f>우유!S25+메로나!S25</f>
        <v>2466761.12</v>
      </c>
      <c r="T25" s="130">
        <f t="shared" si="1"/>
        <v>3.0217165900523031</v>
      </c>
      <c r="U25" s="85">
        <f>Q23+Q24+Q25</f>
        <v>27171476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328193.31578947371</v>
      </c>
      <c r="G26" s="90">
        <f t="shared" si="2"/>
        <v>-0.16342957125663726</v>
      </c>
      <c r="H26" s="90">
        <f t="shared" si="3"/>
        <v>0.10283847502584065</v>
      </c>
      <c r="I26" s="130">
        <f t="shared" si="0"/>
        <v>2.7450736803249973</v>
      </c>
      <c r="J26" s="130">
        <f t="shared" si="4"/>
        <v>2.6666899794487442E-2</v>
      </c>
      <c r="K26" s="78"/>
      <c r="L26" s="90"/>
      <c r="M26" s="90"/>
      <c r="N26" s="79"/>
      <c r="O26" s="79"/>
      <c r="P26" s="129" t="s">
        <v>312</v>
      </c>
      <c r="Q26" s="116">
        <f>우유!Q26+메로나!Q26</f>
        <v>6235673</v>
      </c>
      <c r="R26" s="116">
        <f>우유!R26+메로나!R26</f>
        <v>8404443616</v>
      </c>
      <c r="S26" s="116">
        <f>우유!S26+메로나!S26</f>
        <v>2271586.75</v>
      </c>
      <c r="T26" s="130">
        <f t="shared" si="1"/>
        <v>2.7450736803249973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341778.90909090912</v>
      </c>
      <c r="G27" s="90">
        <f t="shared" si="2"/>
        <v>4.1395094439248714E-2</v>
      </c>
      <c r="H27" s="90">
        <f t="shared" si="3"/>
        <v>0.39239520420285023</v>
      </c>
      <c r="I27" s="130">
        <f t="shared" si="0"/>
        <v>2.8507734951893298</v>
      </c>
      <c r="J27" s="130">
        <f t="shared" si="4"/>
        <v>8.7997820974443197E-2</v>
      </c>
      <c r="K27" s="78"/>
      <c r="L27" s="90"/>
      <c r="M27" s="90"/>
      <c r="N27" s="79"/>
      <c r="O27" s="79"/>
      <c r="P27" s="129" t="s">
        <v>373</v>
      </c>
      <c r="Q27" s="116">
        <f>우유!Q27+메로나!Q27</f>
        <v>7519136</v>
      </c>
      <c r="R27" s="116">
        <f>우유!R27+메로나!R27</f>
        <v>9935006547</v>
      </c>
      <c r="S27" s="116">
        <f>우유!S27+메로나!S27</f>
        <v>2637577.4900000002</v>
      </c>
      <c r="T27" s="130">
        <f t="shared" si="1"/>
        <v>2.8507734951893298</v>
      </c>
      <c r="U27" s="78"/>
    </row>
    <row r="28" spans="1:21" s="92" customFormat="1" ht="13.2" hidden="1">
      <c r="A28" s="123" t="s">
        <v>413</v>
      </c>
      <c r="B28" s="131">
        <f>SUM(F26:F28)</f>
        <v>1019626.6459330145</v>
      </c>
      <c r="C28" s="131">
        <f>AVERAGE(F26:F28)</f>
        <v>339875.54864433815</v>
      </c>
      <c r="D28" s="90">
        <f>C28/C25-1</f>
        <v>-0.22133929048180834</v>
      </c>
      <c r="E28" s="286">
        <f>C28/C16-1</f>
        <v>0.23751738354325069</v>
      </c>
      <c r="F28" s="78">
        <f>Q28/19</f>
        <v>349654.42105263157</v>
      </c>
      <c r="G28" s="90">
        <f t="shared" si="2"/>
        <v>2.3042709050334231E-2</v>
      </c>
      <c r="H28" s="90">
        <f t="shared" si="3"/>
        <v>0.24486064546184894</v>
      </c>
      <c r="I28" s="130">
        <f t="shared" si="0"/>
        <v>2.7853411291292698</v>
      </c>
      <c r="J28" s="130">
        <f t="shared" si="4"/>
        <v>6.9784908648357735E-2</v>
      </c>
      <c r="K28" s="78">
        <f>R26+R27+R28</f>
        <v>27005632576</v>
      </c>
      <c r="L28" s="90">
        <f>U28/U25-1</f>
        <v>-0.24927733038867672</v>
      </c>
      <c r="M28" s="90">
        <f>U28/U16-1</f>
        <v>0.16353534617188425</v>
      </c>
      <c r="N28" s="88">
        <f>AVERAGE(T26:T28)</f>
        <v>2.793729434881199</v>
      </c>
      <c r="O28" s="91">
        <f>N28/N25-1</f>
        <v>-6.3484499567812325E-2</v>
      </c>
      <c r="P28" s="129" t="s">
        <v>413</v>
      </c>
      <c r="Q28" s="116">
        <f>우유!Q28+메로나!Q28</f>
        <v>6643434</v>
      </c>
      <c r="R28" s="116">
        <f>우유!R28+메로나!R28</f>
        <v>8666182413</v>
      </c>
      <c r="S28" s="116">
        <f>우유!S28+메로나!S28</f>
        <v>2385141.96</v>
      </c>
      <c r="T28" s="130">
        <f t="shared" si="1"/>
        <v>2.7853411291292698</v>
      </c>
      <c r="U28" s="85">
        <f>Q26+Q27+Q28</f>
        <v>20398243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446573.95454545453</v>
      </c>
      <c r="G29" s="190">
        <f t="shared" si="2"/>
        <v>0.27718663816990374</v>
      </c>
      <c r="H29" s="190">
        <f t="shared" si="3"/>
        <v>6.9327789263223583E-2</v>
      </c>
      <c r="I29" s="130">
        <f t="shared" si="0"/>
        <v>2.7494766672706699</v>
      </c>
      <c r="J29" s="130">
        <f t="shared" si="4"/>
        <v>-1.5051273307788104E-2</v>
      </c>
      <c r="K29" s="136"/>
      <c r="L29" s="190"/>
      <c r="M29" s="190"/>
      <c r="N29" s="191"/>
      <c r="O29" s="192"/>
      <c r="P29" s="129" t="s">
        <v>426</v>
      </c>
      <c r="Q29" s="116">
        <f>우유!Q29+메로나!Q29</f>
        <v>9824627</v>
      </c>
      <c r="R29" s="116">
        <f>우유!R29+메로나!R29</f>
        <v>12899389312</v>
      </c>
      <c r="S29" s="116">
        <f>우유!S29+메로나!S29</f>
        <v>3573271.6399999997</v>
      </c>
      <c r="T29" s="130">
        <f t="shared" si="1"/>
        <v>2.7494766672706699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637806.21052631584</v>
      </c>
      <c r="G30" s="190">
        <f t="shared" si="2"/>
        <v>0.4282207997900529</v>
      </c>
      <c r="H30" s="190">
        <f t="shared" si="3"/>
        <v>-5.6980823650306434E-2</v>
      </c>
      <c r="I30" s="130">
        <f t="shared" si="0"/>
        <v>2.8063148634562523</v>
      </c>
      <c r="J30" s="130">
        <f t="shared" si="4"/>
        <v>-2.5877655308633396E-2</v>
      </c>
      <c r="K30" s="136"/>
      <c r="L30" s="190"/>
      <c r="M30" s="190"/>
      <c r="N30" s="191"/>
      <c r="O30" s="192"/>
      <c r="P30" s="129" t="s">
        <v>478</v>
      </c>
      <c r="Q30" s="116">
        <f>우유!Q30+메로나!Q30</f>
        <v>12118318</v>
      </c>
      <c r="R30" s="116">
        <f>우유!R30+메로나!R30</f>
        <v>16147350570</v>
      </c>
      <c r="S30" s="116">
        <f>우유!S30+메로나!S30</f>
        <v>4318231.7699999996</v>
      </c>
      <c r="T30" s="130">
        <f t="shared" si="1"/>
        <v>2.8063148634562523</v>
      </c>
      <c r="U30" s="85"/>
    </row>
    <row r="31" spans="1:21" s="92" customFormat="1" ht="13.2" hidden="1">
      <c r="A31" s="129" t="s">
        <v>505</v>
      </c>
      <c r="B31" s="188">
        <f>SUM(F29:F31)</f>
        <v>1845091.5150717702</v>
      </c>
      <c r="C31" s="188">
        <f>AVERAGE(F29:F31)</f>
        <v>615030.50502392335</v>
      </c>
      <c r="D31" s="190">
        <f>C31/C28-1</f>
        <v>0.80957561518354582</v>
      </c>
      <c r="E31" s="287">
        <f>C31/C19-1</f>
        <v>5.6445763343102806E-2</v>
      </c>
      <c r="F31" s="136">
        <f>Q31/20</f>
        <v>760711.35</v>
      </c>
      <c r="G31" s="190">
        <f t="shared" si="2"/>
        <v>0.19269981609659026</v>
      </c>
      <c r="H31" s="190">
        <f t="shared" si="3"/>
        <v>0.16576538076626579</v>
      </c>
      <c r="I31" s="130">
        <f t="shared" si="0"/>
        <v>2.8468928911527329</v>
      </c>
      <c r="J31" s="130">
        <f t="shared" si="4"/>
        <v>-4.7666949905420086E-2</v>
      </c>
      <c r="K31" s="136">
        <f>R29+R30+R31</f>
        <v>49257300915</v>
      </c>
      <c r="L31" s="190">
        <f>U31/U28-1</f>
        <v>0.82158688863545737</v>
      </c>
      <c r="M31" s="190">
        <f>U31/U19-1</f>
        <v>2.5442542076770325E-2</v>
      </c>
      <c r="N31" s="191">
        <f>AVERAGE(T29:T31)</f>
        <v>2.8008948072932185</v>
      </c>
      <c r="O31" s="192">
        <f>N31/N28-1</f>
        <v>2.5648054255205111E-3</v>
      </c>
      <c r="P31" s="129" t="s">
        <v>505</v>
      </c>
      <c r="Q31" s="116">
        <f>우유!Q31+메로나!Q31</f>
        <v>15214227</v>
      </c>
      <c r="R31" s="116">
        <f>우유!R31+메로나!R31</f>
        <v>20210561033</v>
      </c>
      <c r="S31" s="116">
        <f>우유!S31+메로나!S31</f>
        <v>5344151.5299999993</v>
      </c>
      <c r="T31" s="130">
        <f t="shared" si="1"/>
        <v>2.8468928911527329</v>
      </c>
      <c r="U31" s="85">
        <f>Q29+Q30+Q31</f>
        <v>37157172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686964.09523809527</v>
      </c>
      <c r="G32" s="190">
        <f t="shared" si="2"/>
        <v>-9.6945122170064568E-2</v>
      </c>
      <c r="H32" s="190">
        <f t="shared" si="3"/>
        <v>3.5439732167473537E-2</v>
      </c>
      <c r="I32" s="130">
        <f t="shared" si="0"/>
        <v>2.9065506879904346</v>
      </c>
      <c r="J32" s="130">
        <f t="shared" si="4"/>
        <v>-1.3076080168808457E-2</v>
      </c>
      <c r="K32" s="136"/>
      <c r="L32" s="190"/>
      <c r="M32" s="190"/>
      <c r="N32" s="191"/>
      <c r="O32" s="192"/>
      <c r="P32" s="129" t="s">
        <v>561</v>
      </c>
      <c r="Q32" s="116">
        <f>우유!Q32+메로나!Q32</f>
        <v>14426246</v>
      </c>
      <c r="R32" s="116">
        <f>우유!R32+메로나!R32</f>
        <v>19628337977</v>
      </c>
      <c r="S32" s="116">
        <f>우유!S32+메로나!S32</f>
        <v>4963356.07</v>
      </c>
      <c r="T32" s="130">
        <f t="shared" si="1"/>
        <v>2.9065506879904346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568333.80952380947</v>
      </c>
      <c r="G33" s="190">
        <f t="shared" si="2"/>
        <v>-0.17268775258650115</v>
      </c>
      <c r="H33" s="190">
        <f t="shared" ref="H33:H38" si="5">F33/F21-1</f>
        <v>-4.8847743961981438E-2</v>
      </c>
      <c r="I33" s="130">
        <f t="shared" si="0"/>
        <v>2.9075768646473357</v>
      </c>
      <c r="J33" s="130">
        <f t="shared" si="4"/>
        <v>8.5138505173840695E-3</v>
      </c>
      <c r="K33" s="136"/>
      <c r="L33" s="190"/>
      <c r="M33" s="190"/>
      <c r="N33" s="191"/>
      <c r="O33" s="192"/>
      <c r="P33" s="129" t="s">
        <v>606</v>
      </c>
      <c r="Q33" s="116">
        <f>우유!Q33+메로나!Q33</f>
        <v>11935010</v>
      </c>
      <c r="R33" s="116">
        <f>우유!R33+메로나!R33</f>
        <v>16317868161</v>
      </c>
      <c r="S33" s="116">
        <f>우유!S33+메로나!S33</f>
        <v>4104796.04</v>
      </c>
      <c r="T33" s="130">
        <f t="shared" si="1"/>
        <v>2.9075768646473357</v>
      </c>
      <c r="U33" s="85"/>
    </row>
    <row r="34" spans="1:21" s="92" customFormat="1" ht="13.2" hidden="1">
      <c r="A34" s="129" t="s">
        <v>652</v>
      </c>
      <c r="B34" s="188">
        <f>SUM(F32:F34)</f>
        <v>1882717.852130326</v>
      </c>
      <c r="C34" s="188">
        <f>AVERAGE(F32:F34)</f>
        <v>627572.61737677536</v>
      </c>
      <c r="D34" s="190">
        <f>C34/C31-1</f>
        <v>2.0392667112282714E-2</v>
      </c>
      <c r="E34" s="287">
        <f>C34/C22-1</f>
        <v>-5.6108585917311604E-3</v>
      </c>
      <c r="F34" s="136">
        <f>Q34/19</f>
        <v>627419.94736842101</v>
      </c>
      <c r="G34" s="190">
        <f t="shared" ref="G34" si="6">F34/F33-1</f>
        <v>0.10396379179714499</v>
      </c>
      <c r="H34" s="190">
        <f t="shared" si="5"/>
        <v>-7.8249399357728233E-3</v>
      </c>
      <c r="I34" s="130">
        <f t="shared" si="0"/>
        <v>2.8656266820126644</v>
      </c>
      <c r="J34" s="130">
        <f t="shared" si="4"/>
        <v>-1.4450425927335031E-2</v>
      </c>
      <c r="K34" s="136">
        <f>R32+R33+R34</f>
        <v>52340770992</v>
      </c>
      <c r="L34" s="190">
        <f>U34/U31-1</f>
        <v>3.0278488362892597E-2</v>
      </c>
      <c r="M34" s="190">
        <f>U34/U22-1</f>
        <v>-2.0832365647525553E-2</v>
      </c>
      <c r="N34" s="191">
        <f>AVERAGE(T32:T34)</f>
        <v>2.8932514115501449</v>
      </c>
      <c r="O34" s="192">
        <f>N34/N31-1</f>
        <v>3.2973963897694469E-2</v>
      </c>
      <c r="P34" s="129" t="s">
        <v>652</v>
      </c>
      <c r="Q34" s="116">
        <f>우유!Q34+메로나!Q34</f>
        <v>11920979</v>
      </c>
      <c r="R34" s="116">
        <f>우유!R34+메로나!R34</f>
        <v>16394564854</v>
      </c>
      <c r="S34" s="116">
        <f>우유!S34+메로나!S34</f>
        <v>4159990.23</v>
      </c>
      <c r="T34" s="130">
        <f t="shared" ref="T34" si="7">Q34/S34</f>
        <v>2.8656266820126644</v>
      </c>
      <c r="U34" s="85">
        <f>Q32+Q33+Q34</f>
        <v>38282235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486938.21739130432</v>
      </c>
      <c r="G35" s="190">
        <f t="shared" ref="G35" si="8">F35/F34-1</f>
        <v>-0.22390383118410129</v>
      </c>
      <c r="H35" s="190">
        <f t="shared" si="5"/>
        <v>5.9102734422356917E-2</v>
      </c>
      <c r="I35" s="130">
        <f t="shared" si="0"/>
        <v>2.7935534883397244</v>
      </c>
      <c r="J35" s="130">
        <f t="shared" si="4"/>
        <v>-6.4966952240317233E-2</v>
      </c>
      <c r="K35" s="136"/>
      <c r="L35" s="190"/>
      <c r="M35" s="190"/>
      <c r="N35" s="191"/>
      <c r="O35" s="192"/>
      <c r="P35" s="129" t="s">
        <v>660</v>
      </c>
      <c r="Q35" s="116">
        <f>우유!Q35+메로나!Q35</f>
        <v>11199579</v>
      </c>
      <c r="R35" s="116">
        <f>우유!R35+메로나!R35</f>
        <v>15500984160</v>
      </c>
      <c r="S35" s="116">
        <f>우유!S35+메로나!S35</f>
        <v>4009079.85</v>
      </c>
      <c r="T35" s="130">
        <f t="shared" ref="T35" si="9">Q35/S35</f>
        <v>2.7935534883397244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525068.14285714284</v>
      </c>
      <c r="G36" s="190">
        <f t="shared" ref="G36" si="10">F36/F35-1</f>
        <v>7.8305468956849644E-2</v>
      </c>
      <c r="H36" s="190">
        <f t="shared" si="5"/>
        <v>0.14796811098657114</v>
      </c>
      <c r="I36" s="130">
        <f t="shared" si="0"/>
        <v>2.9867456896289024</v>
      </c>
      <c r="J36" s="130">
        <f t="shared" si="4"/>
        <v>1.5912525234025754E-2</v>
      </c>
      <c r="K36" s="136"/>
      <c r="L36" s="190"/>
      <c r="M36" s="190"/>
      <c r="N36" s="191"/>
      <c r="O36" s="192"/>
      <c r="P36" s="129" t="s">
        <v>664</v>
      </c>
      <c r="Q36" s="116">
        <f>우유!Q36+메로나!Q36</f>
        <v>11026431</v>
      </c>
      <c r="R36" s="116">
        <f>우유!R36+메로나!R36</f>
        <v>15046133110</v>
      </c>
      <c r="S36" s="116">
        <f>우유!S36+메로나!S36</f>
        <v>3691787.7</v>
      </c>
      <c r="T36" s="130">
        <f t="shared" ref="T36" si="11">Q36/S36</f>
        <v>2.9867456896289024</v>
      </c>
      <c r="U36" s="85"/>
    </row>
    <row r="37" spans="1:21" s="92" customFormat="1" ht="13.2" hidden="1">
      <c r="A37" s="129" t="s">
        <v>702</v>
      </c>
      <c r="B37" s="188">
        <f>SUM(F35:F37)</f>
        <v>1530844.6380262249</v>
      </c>
      <c r="C37" s="188">
        <f>AVERAGE(F35:F37)</f>
        <v>510281.54600874166</v>
      </c>
      <c r="D37" s="190">
        <f>C37/C34-1</f>
        <v>-0.18689641345141061</v>
      </c>
      <c r="E37" s="287">
        <f>C37/C25-1</f>
        <v>0.16906377129529226</v>
      </c>
      <c r="F37" s="136">
        <f>Q37/18</f>
        <v>518838.27777777775</v>
      </c>
      <c r="G37" s="190">
        <f t="shared" ref="G37" si="12">F37/F36-1</f>
        <v>-1.1864869663326894E-2</v>
      </c>
      <c r="H37" s="190">
        <f t="shared" si="5"/>
        <v>0.32252772864956936</v>
      </c>
      <c r="I37" s="130">
        <f t="shared" si="0"/>
        <v>2.9070670297215031</v>
      </c>
      <c r="J37" s="130">
        <f t="shared" si="4"/>
        <v>-3.7941864140480286E-2</v>
      </c>
      <c r="K37" s="136">
        <f>R35+R36+R37</f>
        <v>43011231376</v>
      </c>
      <c r="L37" s="190">
        <f>U37/U34-1</f>
        <v>-0.17546352766498607</v>
      </c>
      <c r="M37" s="190">
        <f>U37/U25-1</f>
        <v>0.16169982815802864</v>
      </c>
      <c r="N37" s="191">
        <f>AVERAGE(T35:T37)</f>
        <v>2.8957887358967098</v>
      </c>
      <c r="O37" s="192">
        <f>N37/N34-1</f>
        <v>8.769802501211732E-4</v>
      </c>
      <c r="P37" s="129" t="s">
        <v>702</v>
      </c>
      <c r="Q37" s="116">
        <f>우유!Q37+메로나!Q37</f>
        <v>9339089</v>
      </c>
      <c r="R37" s="116">
        <f>우유!R37+메로나!R37</f>
        <v>12464114106</v>
      </c>
      <c r="S37" s="116">
        <f>우유!S37+메로나!S37</f>
        <v>3212546.84</v>
      </c>
      <c r="T37" s="130">
        <f t="shared" ref="T37" si="13">Q37/S37</f>
        <v>2.9070670297215031</v>
      </c>
      <c r="U37" s="85">
        <f>Q35+Q36+Q37</f>
        <v>31565099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494146.55</v>
      </c>
      <c r="G38" s="190">
        <f t="shared" ref="G38" si="14">F38/F37-1</f>
        <v>-4.7590412726551734E-2</v>
      </c>
      <c r="H38" s="190">
        <f t="shared" si="5"/>
        <v>0.50565695956154189</v>
      </c>
      <c r="I38" s="130">
        <f t="shared" si="0"/>
        <v>2.7470217946806428</v>
      </c>
      <c r="J38" s="130">
        <f t="shared" si="4"/>
        <v>7.0967652693920691E-4</v>
      </c>
      <c r="K38" s="136"/>
      <c r="L38" s="190"/>
      <c r="M38" s="190"/>
      <c r="N38" s="191"/>
      <c r="O38" s="192"/>
      <c r="P38" s="129" t="s">
        <v>753</v>
      </c>
      <c r="Q38" s="116">
        <f>우유!Q38+메로나!Q38</f>
        <v>9882931</v>
      </c>
      <c r="R38" s="116">
        <f>우유!R38+메로나!R38</f>
        <v>13290529824</v>
      </c>
      <c r="S38" s="116">
        <f>우유!S38+메로나!S38</f>
        <v>3597689.33</v>
      </c>
      <c r="T38" s="130">
        <f t="shared" ref="T38" si="15">Q38/S38</f>
        <v>2.7470217946806428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411738.95238095237</v>
      </c>
      <c r="G39" s="190">
        <f t="shared" ref="G39" si="16">F39/F38-1</f>
        <v>-0.1667675259880852</v>
      </c>
      <c r="H39" s="190">
        <f t="shared" ref="H39" si="17">F39/F27-1</f>
        <v>0.20469385743002277</v>
      </c>
      <c r="I39" s="130">
        <f t="shared" si="0"/>
        <v>2.9092391219463898</v>
      </c>
      <c r="J39" s="130">
        <f t="shared" si="4"/>
        <v>2.0508688906965222E-2</v>
      </c>
      <c r="K39" s="136"/>
      <c r="L39" s="190"/>
      <c r="M39" s="190"/>
      <c r="N39" s="191"/>
      <c r="O39" s="192"/>
      <c r="P39" s="129" t="s">
        <v>762</v>
      </c>
      <c r="Q39" s="116">
        <f>우유!Q39+메로나!Q39</f>
        <v>8646518</v>
      </c>
      <c r="R39" s="116">
        <f>우유!R39+메로나!R39</f>
        <v>12023923822</v>
      </c>
      <c r="S39" s="116">
        <f>우유!S39+메로나!S39</f>
        <v>2972089.1399999997</v>
      </c>
      <c r="T39" s="130">
        <f t="shared" ref="T39:T44" si="18">Q39/S39</f>
        <v>2.9092391219463898</v>
      </c>
      <c r="U39" s="85"/>
    </row>
    <row r="40" spans="1:21" s="92" customFormat="1" ht="13.2" hidden="1">
      <c r="A40" s="129" t="s">
        <v>778</v>
      </c>
      <c r="B40" s="188">
        <f>SUM(F38:F40)</f>
        <v>1290299.4071428571</v>
      </c>
      <c r="C40" s="188">
        <f>AVERAGE(F38:F40)</f>
        <v>430099.80238095234</v>
      </c>
      <c r="D40" s="190">
        <f>C40/C37-1</f>
        <v>-0.15713236007640319</v>
      </c>
      <c r="E40" s="287">
        <f>C40/C28-1</f>
        <v>0.2654626203517485</v>
      </c>
      <c r="F40" s="136">
        <f>Q40/21</f>
        <v>384413.90476190473</v>
      </c>
      <c r="G40" s="190">
        <f t="shared" ref="G40" si="19">F40/F39-1</f>
        <v>-6.6364980677771079E-2</v>
      </c>
      <c r="H40" s="190">
        <f t="shared" ref="H40" si="20">F40/F28-1</f>
        <v>9.9410965846306265E-2</v>
      </c>
      <c r="I40" s="130">
        <f t="shared" si="0"/>
        <v>2.6366008023143008</v>
      </c>
      <c r="J40" s="130">
        <f t="shared" si="4"/>
        <v>-5.340111674632364E-2</v>
      </c>
      <c r="K40" s="136">
        <f>R38+R39+R40</f>
        <v>36779551768</v>
      </c>
      <c r="L40" s="190">
        <f>U40/U37-1</f>
        <v>-0.15722928668780667</v>
      </c>
      <c r="M40" s="190">
        <f>U40/U28-1</f>
        <v>0.30413884176200856</v>
      </c>
      <c r="N40" s="191">
        <f>AVERAGE(T38:T40)</f>
        <v>2.764287239647111</v>
      </c>
      <c r="O40" s="192">
        <f>N40/N37-1</f>
        <v>-4.541128799193217E-2</v>
      </c>
      <c r="P40" s="129" t="s">
        <v>778</v>
      </c>
      <c r="Q40" s="116">
        <f>우유!Q40+메로나!Q40</f>
        <v>8072692</v>
      </c>
      <c r="R40" s="116">
        <f>우유!R40+메로나!R40</f>
        <v>11465098122</v>
      </c>
      <c r="S40" s="116">
        <f>우유!S40+메로나!S40</f>
        <v>3061780.15</v>
      </c>
      <c r="T40" s="130">
        <f t="shared" si="18"/>
        <v>2.6366008023143008</v>
      </c>
      <c r="U40" s="85">
        <f>Q38+Q39+Q40</f>
        <v>26602141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520312.33333333331</v>
      </c>
      <c r="G41" s="190">
        <f t="shared" ref="G41" si="21">F41/F40-1</f>
        <v>0.35352110547510063</v>
      </c>
      <c r="H41" s="190">
        <f t="shared" ref="H41" si="22">F41/F29-1</f>
        <v>0.16512019574212156</v>
      </c>
      <c r="I41" s="130">
        <f t="shared" si="0"/>
        <v>2.5274825297922767</v>
      </c>
      <c r="J41" s="130">
        <f t="shared" si="4"/>
        <v>-8.0740506046469096E-2</v>
      </c>
      <c r="K41" s="194"/>
      <c r="L41" s="202"/>
      <c r="M41" s="202"/>
      <c r="N41" s="194"/>
      <c r="O41" s="194"/>
      <c r="P41" s="129" t="s">
        <v>799</v>
      </c>
      <c r="Q41" s="116">
        <f>우유!Q41+메로나!Q41</f>
        <v>9365622</v>
      </c>
      <c r="R41" s="116">
        <f>우유!R41+메로나!R41</f>
        <v>13690503792</v>
      </c>
      <c r="S41" s="116">
        <f>우유!S41+메로나!S41</f>
        <v>3705514.04</v>
      </c>
      <c r="T41" s="130">
        <f t="shared" si="18"/>
        <v>2.5274825297922767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673284.5</v>
      </c>
      <c r="G42" s="190">
        <f t="shared" ref="G42" si="23">F42/F41-1</f>
        <v>0.29400065473494452</v>
      </c>
      <c r="H42" s="190">
        <f t="shared" ref="H42" si="24">F42/F30-1</f>
        <v>5.5625500172548525E-2</v>
      </c>
      <c r="I42" s="130">
        <f t="shared" si="0"/>
        <v>2.8818807015430425</v>
      </c>
      <c r="J42" s="130">
        <f t="shared" si="4"/>
        <v>2.6927070469107584E-2</v>
      </c>
      <c r="K42" s="194"/>
      <c r="L42" s="202"/>
      <c r="M42" s="202"/>
      <c r="N42" s="194"/>
      <c r="O42" s="194"/>
      <c r="P42" s="129" t="s">
        <v>826</v>
      </c>
      <c r="Q42" s="116">
        <f>우유!Q42+메로나!Q42</f>
        <v>13465690</v>
      </c>
      <c r="R42" s="116">
        <f>우유!R42+메로나!R42</f>
        <v>19473105389</v>
      </c>
      <c r="S42" s="116">
        <f>우유!S42+메로나!S42</f>
        <v>4672535.54</v>
      </c>
      <c r="T42" s="130">
        <f t="shared" si="18"/>
        <v>2.8818807015430425</v>
      </c>
      <c r="U42" s="175"/>
    </row>
    <row r="43" spans="1:21" s="92" customFormat="1" ht="13.2">
      <c r="A43" s="129" t="s">
        <v>835</v>
      </c>
      <c r="B43" s="188">
        <f>SUM(F41:F43)</f>
        <v>1954353.8833333333</v>
      </c>
      <c r="C43" s="188">
        <f>AVERAGE(F41:F43)</f>
        <v>651451.29444444447</v>
      </c>
      <c r="D43" s="190">
        <f>C43/C40-1</f>
        <v>0.51465146191216915</v>
      </c>
      <c r="E43" s="287">
        <f>C43/C31-1</f>
        <v>5.9217858501350973E-2</v>
      </c>
      <c r="F43" s="136">
        <f>Q43/20</f>
        <v>760757.05</v>
      </c>
      <c r="G43" s="190">
        <f t="shared" ref="G43" si="25">F43/F42-1</f>
        <v>0.12991915007697341</v>
      </c>
      <c r="H43" s="190">
        <f t="shared" ref="H43" si="26">F43/F31-1</f>
        <v>6.007534921104174E-5</v>
      </c>
      <c r="I43" s="130">
        <f t="shared" si="0"/>
        <v>2.991238424378277</v>
      </c>
      <c r="J43" s="130">
        <f t="shared" si="4"/>
        <v>5.070283243676843E-2</v>
      </c>
      <c r="K43" s="136">
        <f>R41+R42+R43</f>
        <v>55237784196</v>
      </c>
      <c r="L43" s="190">
        <f>U43/U40-1</f>
        <v>0.43020266677031738</v>
      </c>
      <c r="M43" s="190">
        <f>K43/K31-1</f>
        <v>0.12141313409194132</v>
      </c>
      <c r="N43" s="191">
        <f>AVERAGE(T41:T43)</f>
        <v>2.8002005519045325</v>
      </c>
      <c r="O43" s="192">
        <f>N43/N40-1</f>
        <v>1.2991888738019153E-2</v>
      </c>
      <c r="P43" s="129" t="s">
        <v>835</v>
      </c>
      <c r="Q43" s="116">
        <f>우유!Q43+메로나!Q43</f>
        <v>15215141</v>
      </c>
      <c r="R43" s="116">
        <f>우유!R43+메로나!R43</f>
        <v>22074175015</v>
      </c>
      <c r="S43" s="116">
        <f>우유!S43+메로나!S43</f>
        <v>5086569.12</v>
      </c>
      <c r="T43" s="130">
        <f t="shared" si="18"/>
        <v>2.991238424378277</v>
      </c>
      <c r="U43" s="85">
        <f>Q41+Q42+Q43</f>
        <v>38046453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870788.68181818177</v>
      </c>
      <c r="G44" s="190">
        <f t="shared" ref="G44" si="27">F44/F43-1</f>
        <v>0.14463438993852473</v>
      </c>
      <c r="H44" s="190">
        <f t="shared" ref="H44" si="28">F44/F32-1</f>
        <v>0.26758980251562448</v>
      </c>
      <c r="I44" s="130">
        <f t="shared" si="0"/>
        <v>2.9073179807690592</v>
      </c>
      <c r="J44" s="130">
        <f t="shared" si="4"/>
        <v>2.6398740672073373E-4</v>
      </c>
      <c r="K44" s="136"/>
      <c r="L44" s="190"/>
      <c r="M44" s="190"/>
      <c r="N44" s="191"/>
      <c r="O44" s="192"/>
      <c r="P44" s="129" t="s">
        <v>843</v>
      </c>
      <c r="Q44" s="116">
        <f>우유!Q44+메로나!Q44</f>
        <v>19157351</v>
      </c>
      <c r="R44" s="116">
        <f>우유!R44+메로나!R44</f>
        <v>27773562626</v>
      </c>
      <c r="S44" s="116">
        <f>우유!S44+메로나!S44</f>
        <v>6589355.25</v>
      </c>
      <c r="T44" s="130">
        <f t="shared" si="18"/>
        <v>2.9073179807690592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886515.8</v>
      </c>
      <c r="G45" s="190">
        <f t="shared" ref="G45" si="29">F45/F44-1</f>
        <v>1.8060774686437631E-2</v>
      </c>
      <c r="H45" s="190">
        <f t="shared" ref="H45" si="30">F45/F33-1</f>
        <v>0.55985054055254269</v>
      </c>
      <c r="I45" s="130">
        <f t="shared" si="0"/>
        <v>3.0056120251997211</v>
      </c>
      <c r="J45" s="130">
        <f t="shared" si="4"/>
        <v>3.371713461624215E-2</v>
      </c>
      <c r="K45" s="136"/>
      <c r="L45" s="190"/>
      <c r="M45" s="190"/>
      <c r="N45" s="191"/>
      <c r="O45" s="192"/>
      <c r="P45" s="129" t="s">
        <v>882</v>
      </c>
      <c r="Q45" s="116">
        <f>우유!Q45+메로나!Q45</f>
        <v>17730316</v>
      </c>
      <c r="R45" s="116">
        <f>우유!R45+메로나!R45</f>
        <v>24971123495</v>
      </c>
      <c r="S45" s="116">
        <f>우유!S45+메로나!S45</f>
        <v>5899070.0899999999</v>
      </c>
      <c r="T45" s="130">
        <f t="shared" ref="T45" si="31">Q45/S45</f>
        <v>3.0056120251997211</v>
      </c>
      <c r="U45" s="85"/>
    </row>
    <row r="46" spans="1:21" s="92" customFormat="1" ht="13.2">
      <c r="A46" s="129" t="s">
        <v>888</v>
      </c>
      <c r="B46" s="188">
        <f>SUM(F44:F46)</f>
        <v>2485225.6397129185</v>
      </c>
      <c r="C46" s="188">
        <f>AVERAGE(F44:F46)</f>
        <v>828408.54657097289</v>
      </c>
      <c r="D46" s="190">
        <f>C46/C43-1</f>
        <v>0.27163542944133212</v>
      </c>
      <c r="E46" s="287">
        <f>C46/C34-1</f>
        <v>0.32002022337061553</v>
      </c>
      <c r="F46" s="136">
        <f>Q46/19</f>
        <v>727921.15789473685</v>
      </c>
      <c r="G46" s="190">
        <f t="shared" ref="G46" si="32">F46/F45-1</f>
        <v>-0.17889657703253925</v>
      </c>
      <c r="H46" s="190">
        <f t="shared" ref="H46" si="33">F46/F34-1</f>
        <v>0.16018172668536712</v>
      </c>
      <c r="I46" s="130">
        <f t="shared" si="0"/>
        <v>3.0893269056907475</v>
      </c>
      <c r="J46" s="130">
        <f t="shared" si="4"/>
        <v>7.8063281962801989E-2</v>
      </c>
      <c r="K46" s="136">
        <f>R44+R45+R46</f>
        <v>71677703088</v>
      </c>
      <c r="L46" s="190">
        <f>U46/U43-1</f>
        <v>0.33305906335079394</v>
      </c>
      <c r="M46" s="190">
        <f>K46/K34-1</f>
        <v>0.36944301219704134</v>
      </c>
      <c r="N46" s="191">
        <f>AVERAGE(T44:T46)</f>
        <v>3.0007523038865092</v>
      </c>
      <c r="O46" s="192">
        <f>N46/N43-1</f>
        <v>7.1620495841118625E-2</v>
      </c>
      <c r="P46" s="129" t="s">
        <v>928</v>
      </c>
      <c r="Q46" s="116">
        <f>우유!Q46+메로나!Q46</f>
        <v>13830502</v>
      </c>
      <c r="R46" s="116">
        <f>우유!R46+메로나!R46</f>
        <v>18933016967</v>
      </c>
      <c r="S46" s="116">
        <f>우유!S46+메로나!S46</f>
        <v>4476865.8099999996</v>
      </c>
      <c r="T46" s="130">
        <f t="shared" ref="T46" si="34">Q46/S46</f>
        <v>3.0893269056907475</v>
      </c>
      <c r="U46" s="85">
        <f t="shared" ref="U46:U51" si="35">Q44+Q45+Q46</f>
        <v>50718169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691084.65217391308</v>
      </c>
      <c r="G47" s="190">
        <f t="shared" ref="G47" si="36">F47/F46-1</f>
        <v>-5.0605076279635508E-2</v>
      </c>
      <c r="H47" s="190">
        <f t="shared" ref="H47" si="37">F47/F35-1</f>
        <v>0.41924504483606051</v>
      </c>
      <c r="I47" s="130">
        <f t="shared" si="0"/>
        <v>3.0727201539466731</v>
      </c>
      <c r="J47" s="130">
        <f t="shared" si="4"/>
        <v>9.9932457628675753E-2</v>
      </c>
      <c r="K47" s="136"/>
      <c r="L47" s="190"/>
      <c r="M47" s="190"/>
      <c r="N47" s="191"/>
      <c r="O47" s="192"/>
      <c r="P47" s="129" t="s">
        <v>991</v>
      </c>
      <c r="Q47" s="116">
        <f>우유!Q47+메로나!Q47</f>
        <v>15894947</v>
      </c>
      <c r="R47" s="116">
        <f>우유!R47+메로나!R47</f>
        <v>21782678736</v>
      </c>
      <c r="S47" s="116">
        <f>우유!S47+메로나!S47</f>
        <v>5172923.7300000004</v>
      </c>
      <c r="T47" s="130">
        <f t="shared" ref="T47" si="38">Q47/S47</f>
        <v>3.0727201539466731</v>
      </c>
      <c r="U47" s="85">
        <f t="shared" si="35"/>
        <v>47455765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563772.80000000005</v>
      </c>
      <c r="G48" s="190">
        <f t="shared" ref="G48" si="39">F48/F47-1</f>
        <v>-0.18422034373565388</v>
      </c>
      <c r="H48" s="190">
        <f t="shared" ref="H48" si="40">F48/F36-1</f>
        <v>7.3713588739638514E-2</v>
      </c>
      <c r="I48" s="130">
        <f t="shared" si="0"/>
        <v>3.1876252025219238</v>
      </c>
      <c r="J48" s="130">
        <f t="shared" si="4"/>
        <v>6.7256985953156434E-2</v>
      </c>
      <c r="K48" s="136"/>
      <c r="L48" s="190"/>
      <c r="M48" s="190"/>
      <c r="N48" s="191"/>
      <c r="O48" s="192"/>
      <c r="P48" s="129" t="s">
        <v>1070</v>
      </c>
      <c r="Q48" s="116">
        <f>우유!Q48+메로나!Q48</f>
        <v>11275456</v>
      </c>
      <c r="R48" s="116">
        <f>우유!R48+메로나!R48</f>
        <v>15642598738</v>
      </c>
      <c r="S48" s="116">
        <f>우유!S48+메로나!S48</f>
        <v>3537259.0199999996</v>
      </c>
      <c r="T48" s="130">
        <f t="shared" ref="T48" si="41">Q48/S48</f>
        <v>3.1876252025219238</v>
      </c>
      <c r="U48" s="85">
        <f t="shared" si="35"/>
        <v>41000905</v>
      </c>
    </row>
    <row r="49" spans="1:26" ht="13.2">
      <c r="A49" s="129" t="s">
        <v>1238</v>
      </c>
      <c r="B49" s="188">
        <f>SUM(F47:F49)</f>
        <v>1771476.543083004</v>
      </c>
      <c r="C49" s="188">
        <f>AVERAGE(F47:F49)</f>
        <v>590492.18102766795</v>
      </c>
      <c r="D49" s="190">
        <f>C49/C46-1</f>
        <v>-0.28719689883465216</v>
      </c>
      <c r="E49" s="287">
        <f>C49/C37-1</f>
        <v>0.15718897860663028</v>
      </c>
      <c r="F49" s="136">
        <f>Q49/22</f>
        <v>516619.09090909088</v>
      </c>
      <c r="G49" s="190">
        <f t="shared" ref="G49" si="42">F49/F48-1</f>
        <v>-8.3639560281924097E-2</v>
      </c>
      <c r="H49" s="190">
        <f t="shared" ref="H49" si="43">F49/F37-1</f>
        <v>-4.2772227180150058E-3</v>
      </c>
      <c r="I49" s="130">
        <f t="shared" si="0"/>
        <v>3.0608276704108417</v>
      </c>
      <c r="J49" s="130">
        <f t="shared" si="4"/>
        <v>5.2892017664989632E-2</v>
      </c>
      <c r="K49" s="136">
        <f>R47+R48+R49</f>
        <v>53221855359</v>
      </c>
      <c r="L49" s="190">
        <f>U49/U46-1</f>
        <v>-0.2401929375644456</v>
      </c>
      <c r="M49" s="190">
        <f>K49/K37-1</f>
        <v>0.23739436552605797</v>
      </c>
      <c r="N49" s="191">
        <f>AVERAGE(T47:T49)</f>
        <v>3.1070576756264798</v>
      </c>
      <c r="O49" s="192">
        <f>N49/N46-1</f>
        <v>3.5426240147274468E-2</v>
      </c>
      <c r="P49" s="129" t="s">
        <v>1158</v>
      </c>
      <c r="Q49" s="116">
        <f>우유!Q49+메로나!Q49</f>
        <v>11365620</v>
      </c>
      <c r="R49" s="116">
        <f>우유!R49+메로나!R49</f>
        <v>15796577885</v>
      </c>
      <c r="S49" s="116">
        <f>우유!S49+메로나!S49</f>
        <v>3713250.54</v>
      </c>
      <c r="T49" s="130">
        <f t="shared" ref="T49" si="44">Q49/S49</f>
        <v>3.0608276704108417</v>
      </c>
      <c r="U49" s="85">
        <f t="shared" si="35"/>
        <v>38536023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525136.61111111112</v>
      </c>
      <c r="G50" s="190">
        <f t="shared" ref="G50" si="45">F50/F49-1</f>
        <v>1.6487041133210978E-2</v>
      </c>
      <c r="H50" s="190">
        <f t="shared" ref="H50" si="46">F50/F38-1</f>
        <v>6.2714312406129569E-2</v>
      </c>
      <c r="I50" s="130">
        <f t="shared" ref="I50" si="47">T50</f>
        <v>2.9941834222642134</v>
      </c>
      <c r="J50" s="130">
        <f t="shared" ref="J50" si="48">I50/I38-1</f>
        <v>8.9974396294261849E-2</v>
      </c>
      <c r="K50" s="136"/>
      <c r="L50" s="190"/>
      <c r="M50" s="190"/>
      <c r="N50" s="191"/>
      <c r="O50" s="192"/>
      <c r="P50" s="129" t="s">
        <v>1291</v>
      </c>
      <c r="Q50" s="116">
        <f>우유!Q50+메로나!Q50</f>
        <v>9452459</v>
      </c>
      <c r="R50" s="116">
        <f>우유!R50+메로나!R50</f>
        <v>13367600077</v>
      </c>
      <c r="S50" s="116">
        <f>우유!S50+메로나!S50</f>
        <v>3156940.5300000003</v>
      </c>
      <c r="T50" s="130">
        <f t="shared" ref="T50" si="49">Q50/S50</f>
        <v>2.9941834222642134</v>
      </c>
      <c r="U50" s="85">
        <f t="shared" si="35"/>
        <v>32093535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444650.15</v>
      </c>
      <c r="G51" s="190">
        <f t="shared" ref="G51:G52" si="50">F51/F50-1</f>
        <v>-0.15326766294357896</v>
      </c>
      <c r="H51" s="190">
        <f t="shared" ref="H51:H52" si="51">F51/F39-1</f>
        <v>7.9932193514198557E-2</v>
      </c>
      <c r="I51" s="130">
        <f t="shared" ref="I51:I52" si="52">T51</f>
        <v>2.922175705072243</v>
      </c>
      <c r="J51" s="130">
        <f t="shared" ref="J51:J52" si="53">I51/I39-1</f>
        <v>4.4467238970711254E-3</v>
      </c>
      <c r="K51" s="136"/>
      <c r="L51" s="190"/>
      <c r="M51" s="190"/>
      <c r="N51" s="191"/>
      <c r="O51" s="192"/>
      <c r="P51" s="129" t="s">
        <v>1402</v>
      </c>
      <c r="Q51" s="116">
        <f>우유!Q51+메로나!Q51</f>
        <v>8893003</v>
      </c>
      <c r="R51" s="116">
        <f>우유!R51+메로나!R51</f>
        <v>12914846422</v>
      </c>
      <c r="S51" s="116">
        <f>우유!S51+메로나!S51</f>
        <v>3043281.41</v>
      </c>
      <c r="T51" s="130">
        <f t="shared" ref="T51:T52" si="54">Q51/S51</f>
        <v>2.922175705072243</v>
      </c>
      <c r="U51" s="85">
        <f t="shared" si="35"/>
        <v>29711082</v>
      </c>
    </row>
    <row r="52" spans="1:26" s="79" customFormat="1" ht="13.2">
      <c r="A52" s="129" t="s">
        <v>1403</v>
      </c>
      <c r="B52" s="188">
        <f>SUM(F50:F52)</f>
        <v>1467603.0338383839</v>
      </c>
      <c r="C52" s="188">
        <f>AVERAGE(F50:F52)</f>
        <v>489201.01127946127</v>
      </c>
      <c r="D52" s="190">
        <f>C52/C49-1</f>
        <v>-0.1715368518037339</v>
      </c>
      <c r="E52" s="287">
        <f>C52/C40-1</f>
        <v>0.13741277854892209</v>
      </c>
      <c r="F52" s="136">
        <f>Q52/22</f>
        <v>497816.27272727271</v>
      </c>
      <c r="G52" s="190">
        <f t="shared" si="50"/>
        <v>0.11956843538065298</v>
      </c>
      <c r="H52" s="190">
        <f t="shared" si="51"/>
        <v>0.29500069212014135</v>
      </c>
      <c r="I52" s="130">
        <f t="shared" si="52"/>
        <v>2.8593590479308766</v>
      </c>
      <c r="J52" s="130">
        <f t="shared" si="53"/>
        <v>8.4486906558265407E-2</v>
      </c>
      <c r="K52" s="136">
        <f>R50+R51+R52</f>
        <v>42394999234</v>
      </c>
      <c r="L52" s="190">
        <f>U52/U49-1</f>
        <v>-0.23973939915906739</v>
      </c>
      <c r="M52" s="190">
        <f>K52/K40-1</f>
        <v>0.1526785182544208</v>
      </c>
      <c r="N52" s="191">
        <f>AVERAGE(T50:T52)</f>
        <v>2.9252393917557775</v>
      </c>
      <c r="O52" s="192">
        <f>N52/N49-1</f>
        <v>-5.8517833542965025E-2</v>
      </c>
      <c r="P52" s="129" t="s">
        <v>1403</v>
      </c>
      <c r="Q52" s="116">
        <f>우유!Q52+메로나!Q52</f>
        <v>10951958</v>
      </c>
      <c r="R52" s="116">
        <f>우유!R52+메로나!R52</f>
        <v>16112552735</v>
      </c>
      <c r="S52" s="116">
        <f>우유!S52+메로나!S52</f>
        <v>3830214.33</v>
      </c>
      <c r="T52" s="130">
        <f t="shared" si="54"/>
        <v>2.8593590479308766</v>
      </c>
      <c r="U52" s="85">
        <f t="shared" ref="U52" si="55">Q50+Q51+Q52</f>
        <v>29297420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523329.19047619047</v>
      </c>
      <c r="G53" s="190">
        <f t="shared" ref="G53" si="56">F53/F52-1</f>
        <v>5.1249666084931089E-2</v>
      </c>
      <c r="H53" s="190">
        <f t="shared" ref="H53" si="57">F53/F41-1</f>
        <v>5.7981657354342353E-3</v>
      </c>
      <c r="I53" s="130">
        <f t="shared" ref="I53" si="58">T53</f>
        <v>2.7667381854428776</v>
      </c>
      <c r="J53" s="130">
        <f t="shared" ref="J53" si="59">I53/I41-1</f>
        <v>9.4661645661409999E-2</v>
      </c>
      <c r="K53" s="136"/>
      <c r="L53" s="190"/>
      <c r="M53" s="190"/>
      <c r="N53" s="191"/>
      <c r="O53" s="192"/>
      <c r="P53" s="129" t="s">
        <v>1414</v>
      </c>
      <c r="Q53" s="116">
        <f>우유!Q53+메로나!Q53</f>
        <v>10989913</v>
      </c>
      <c r="R53" s="116">
        <f>우유!R53+메로나!R53</f>
        <v>16036186613</v>
      </c>
      <c r="S53" s="116">
        <f>우유!S53+메로나!S53</f>
        <v>3972155.0300000003</v>
      </c>
      <c r="T53" s="130">
        <f t="shared" ref="T53" si="60">Q53/S53</f>
        <v>2.7667381854428776</v>
      </c>
      <c r="U53" s="85">
        <f t="shared" ref="U53" si="61">Q51+Q52+Q53</f>
        <v>30834874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801671.3529411765</v>
      </c>
      <c r="G54" s="190">
        <f t="shared" ref="G54" si="62">F54/F53-1</f>
        <v>0.53186821513188565</v>
      </c>
      <c r="H54" s="190">
        <f t="shared" ref="H54" si="63">F54/F42-1</f>
        <v>0.19068737352660947</v>
      </c>
      <c r="I54" s="130">
        <f t="shared" ref="I54" si="64">T54</f>
        <v>2.9542333986137419</v>
      </c>
      <c r="J54" s="130">
        <f t="shared" ref="J54" si="65">I54/I42-1</f>
        <v>2.5106069460807179E-2</v>
      </c>
      <c r="K54" s="136"/>
      <c r="L54" s="190"/>
      <c r="M54" s="190"/>
      <c r="N54" s="191"/>
      <c r="O54" s="192"/>
      <c r="P54" s="129" t="s">
        <v>1417</v>
      </c>
      <c r="Q54" s="116">
        <f>우유!Q54+메로나!Q54</f>
        <v>13628413</v>
      </c>
      <c r="R54" s="116">
        <f>우유!R54+메로나!R54</f>
        <v>19742311519</v>
      </c>
      <c r="S54" s="116">
        <f>우유!S54+메로나!S54</f>
        <v>4613180.87</v>
      </c>
      <c r="T54" s="130">
        <f t="shared" ref="T54" si="66">Q54/S54</f>
        <v>2.9542333986137419</v>
      </c>
      <c r="U54" s="85">
        <f t="shared" ref="U54" si="67">Q52+Q53+Q54</f>
        <v>35570284</v>
      </c>
    </row>
    <row r="55" spans="1:26" s="79" customFormat="1" ht="13.2">
      <c r="A55" s="129" t="s">
        <v>1418</v>
      </c>
      <c r="B55" s="188">
        <f>SUM(F53:F55)</f>
        <v>2190007.6862745099</v>
      </c>
      <c r="C55" s="188">
        <f>AVERAGE(F53:F55)</f>
        <v>730002.56209150329</v>
      </c>
      <c r="D55" s="190">
        <f>C55/C52-1</f>
        <v>0.49223436840869805</v>
      </c>
      <c r="E55" s="287">
        <f>C55/C43-1</f>
        <v>0.1205788802891965</v>
      </c>
      <c r="F55" s="136">
        <f>Q55/21</f>
        <v>865007.14285714284</v>
      </c>
      <c r="G55" s="190">
        <f t="shared" ref="G55" si="68">F55/F54-1</f>
        <v>7.9004681511444241E-2</v>
      </c>
      <c r="H55" s="190">
        <f t="shared" ref="H55" si="69">F55/F43-1</f>
        <v>0.13703467205087727</v>
      </c>
      <c r="I55" s="130">
        <f>T55</f>
        <v>3.0217994455006378</v>
      </c>
      <c r="J55" s="130">
        <f t="shared" ref="J55" si="70">I55/I43-1</f>
        <v>1.0216845595888202E-2</v>
      </c>
      <c r="K55" s="136">
        <f>R53+R54+R55</f>
        <v>62513006605</v>
      </c>
      <c r="L55" s="190">
        <f>U55/U52-1</f>
        <v>0.46031548170453229</v>
      </c>
      <c r="M55" s="190">
        <f>K55/K43-1</f>
        <v>0.1317073542122067</v>
      </c>
      <c r="N55" s="191">
        <f>AVERAGE(T53:T55)</f>
        <v>2.914257009852419</v>
      </c>
      <c r="O55" s="192">
        <f>N55/N52-1</f>
        <v>-3.7543532109919342E-3</v>
      </c>
      <c r="P55" s="129" t="s">
        <v>1418</v>
      </c>
      <c r="Q55" s="116">
        <f>우유!Q55+메로나!Q55</f>
        <v>18165150</v>
      </c>
      <c r="R55" s="116">
        <f>우유!R55+메로나!R55</f>
        <v>26734508473</v>
      </c>
      <c r="S55" s="116">
        <f>우유!S55+메로나!S55</f>
        <v>6011368.5</v>
      </c>
      <c r="T55" s="130">
        <f t="shared" ref="T55" si="71">Q55/S55</f>
        <v>3.0217994455006378</v>
      </c>
      <c r="U55" s="85">
        <f t="shared" ref="U55" si="72">Q53+Q54+Q55</f>
        <v>42783476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862504.09090909094</v>
      </c>
      <c r="G56" s="190">
        <f t="shared" ref="G56" si="73">F56/F55-1</f>
        <v>-2.8936777791039869E-3</v>
      </c>
      <c r="H56" s="190">
        <f t="shared" ref="H56" si="74">F56/F44-1</f>
        <v>-9.5138936484484571E-3</v>
      </c>
      <c r="I56" s="291">
        <f>T56</f>
        <v>3.1293704914952625</v>
      </c>
      <c r="J56" s="130">
        <f t="shared" ref="J56" si="75">I56/I44-1</f>
        <v>7.6377098134777999E-2</v>
      </c>
      <c r="K56" s="136"/>
      <c r="L56" s="190"/>
      <c r="M56" s="190"/>
      <c r="N56" s="191"/>
      <c r="O56" s="192"/>
      <c r="P56" s="129" t="s">
        <v>1420</v>
      </c>
      <c r="Q56" s="116">
        <f>우유!Q56+메로나!Q56</f>
        <v>18975090</v>
      </c>
      <c r="R56" s="116">
        <f>우유!R56+메로나!R56</f>
        <v>28306456459</v>
      </c>
      <c r="S56" s="116">
        <f>우유!S56+메로나!S56</f>
        <v>6063548.5800000001</v>
      </c>
      <c r="T56" s="130">
        <f t="shared" ref="T56" si="76">Q56/S56</f>
        <v>3.1293704914952625</v>
      </c>
      <c r="U56" s="85">
        <f t="shared" ref="U56" si="77">Q54+Q55+Q56</f>
        <v>50768653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821438.58333333337</v>
      </c>
      <c r="G57" s="254">
        <f t="shared" ref="G57" si="78">F57/F56-1</f>
        <v>-4.7611956869067051E-2</v>
      </c>
      <c r="H57" s="254">
        <f t="shared" ref="H57" si="79">F57/F45-1</f>
        <v>-7.3407847515708835E-2</v>
      </c>
      <c r="I57" s="282">
        <f>T57</f>
        <v>3.0066084570427534</v>
      </c>
      <c r="J57" s="277">
        <f t="shared" ref="J57" si="80">I57/I45-1</f>
        <v>3.3152377441858505E-4</v>
      </c>
      <c r="K57" s="204"/>
      <c r="L57" s="254"/>
      <c r="M57" s="254"/>
      <c r="N57" s="257"/>
      <c r="O57" s="258"/>
      <c r="P57" s="129" t="s">
        <v>1436</v>
      </c>
      <c r="Q57" s="116">
        <f>우유!Q57+메로나!Q57</f>
        <v>9857263</v>
      </c>
      <c r="R57" s="116">
        <f>우유!R57+메로나!R57</f>
        <v>14521993570</v>
      </c>
      <c r="S57" s="116">
        <f>우유!S57+메로나!S57</f>
        <v>3278532.3200000003</v>
      </c>
      <c r="T57" s="130">
        <f t="shared" ref="T57" si="81">Q57/S57</f>
        <v>3.0066084570427534</v>
      </c>
      <c r="U57" s="85">
        <f t="shared" ref="U57" si="82">Q55+Q56+Q57</f>
        <v>46997503</v>
      </c>
    </row>
    <row r="58" spans="1:26">
      <c r="B58" s="196">
        <f>SUM(F56:F58)</f>
        <v>1683942.6742424243</v>
      </c>
      <c r="C58" s="196">
        <f>AVERAGE(F56:F58)</f>
        <v>841971.33712121216</v>
      </c>
      <c r="D58" s="197">
        <f>C58/C55-1</f>
        <v>0.15338134527762648</v>
      </c>
      <c r="E58" s="233">
        <f>C58/C46-1</f>
        <v>1.6372103603203625E-2</v>
      </c>
    </row>
  </sheetData>
  <phoneticPr fontId="1" type="noConversion"/>
  <conditionalFormatting sqref="C29:C30">
    <cfRule type="cellIs" dxfId="15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74"/>
  <sheetViews>
    <sheetView zoomScale="90" zoomScaleNormal="90" workbookViewId="0">
      <selection activeCell="H66" sqref="H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41" t="s">
        <v>1065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101796.55</v>
      </c>
      <c r="G5" s="90"/>
      <c r="H5" s="90"/>
      <c r="I5" s="130">
        <f t="shared" ref="I5:I49" si="0">T5</f>
        <v>1.8645788341937504</v>
      </c>
      <c r="J5" s="130"/>
      <c r="K5" s="86"/>
      <c r="L5" s="80"/>
      <c r="M5" s="80"/>
      <c r="N5" s="79"/>
      <c r="O5" s="79"/>
      <c r="P5" s="129" t="s">
        <v>0</v>
      </c>
      <c r="Q5" s="116">
        <v>2035931</v>
      </c>
      <c r="R5" s="116">
        <v>2400112471</v>
      </c>
      <c r="S5" s="116">
        <v>1091898.5900000001</v>
      </c>
      <c r="T5" s="130">
        <f t="shared" ref="T5:T33" si="1">Q5/S5</f>
        <v>1.8645788341937504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115531.61111111111</v>
      </c>
      <c r="G6" s="90">
        <f t="shared" ref="G6:G33" si="2">F6/F5-1</f>
        <v>0.13492658750332009</v>
      </c>
      <c r="H6" s="90"/>
      <c r="I6" s="130">
        <f t="shared" si="0"/>
        <v>1.9441758546923968</v>
      </c>
      <c r="J6" s="130"/>
      <c r="K6" s="78"/>
      <c r="L6" s="87"/>
      <c r="M6" s="87"/>
      <c r="N6" s="79"/>
      <c r="O6" s="79"/>
      <c r="P6" s="129" t="s">
        <v>1</v>
      </c>
      <c r="Q6" s="116">
        <v>2079569</v>
      </c>
      <c r="R6" s="116">
        <v>2470850612</v>
      </c>
      <c r="S6" s="116">
        <v>1069640.3799999999</v>
      </c>
      <c r="T6" s="130">
        <f t="shared" si="1"/>
        <v>1.9441758546923968</v>
      </c>
      <c r="U6" s="85"/>
    </row>
    <row r="7" spans="1:21" ht="15" hidden="1" customHeight="1">
      <c r="A7" s="129" t="s">
        <v>2</v>
      </c>
      <c r="B7" s="131">
        <f>F5+F6+F7</f>
        <v>311265.34292929294</v>
      </c>
      <c r="C7" s="131">
        <f>AVERAGE(F5:F7)</f>
        <v>103755.11430976431</v>
      </c>
      <c r="D7" s="117"/>
      <c r="F7" s="78">
        <f>Q7/22</f>
        <v>93937.181818181823</v>
      </c>
      <c r="G7" s="90">
        <f t="shared" si="2"/>
        <v>-0.18691359953563802</v>
      </c>
      <c r="H7" s="90"/>
      <c r="I7" s="130">
        <f t="shared" si="0"/>
        <v>1.8643008468584554</v>
      </c>
      <c r="J7" s="130"/>
      <c r="K7" s="85">
        <f>R5+R6+R7</f>
        <v>7360752662</v>
      </c>
      <c r="L7" s="87"/>
      <c r="M7" s="87"/>
      <c r="N7" s="88">
        <f>AVERAGE(T5:T7)</f>
        <v>1.8910185119148675</v>
      </c>
      <c r="O7" s="79"/>
      <c r="P7" s="129" t="s">
        <v>2</v>
      </c>
      <c r="Q7" s="116">
        <v>2066618</v>
      </c>
      <c r="R7" s="116">
        <v>2489789579</v>
      </c>
      <c r="S7" s="116">
        <v>1108521.73</v>
      </c>
      <c r="T7" s="130">
        <f t="shared" si="1"/>
        <v>1.8643008468584554</v>
      </c>
      <c r="U7" s="85">
        <f>Q5+Q6+Q7</f>
        <v>6182118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93853.095238095237</v>
      </c>
      <c r="G8" s="90">
        <f t="shared" si="2"/>
        <v>-8.9513628638915321E-4</v>
      </c>
      <c r="H8" s="90"/>
      <c r="I8" s="130">
        <f t="shared" si="0"/>
        <v>1.8262800148073126</v>
      </c>
      <c r="J8" s="130"/>
      <c r="K8" s="78"/>
      <c r="L8" s="87"/>
      <c r="M8" s="87"/>
      <c r="N8" s="79"/>
      <c r="O8" s="79"/>
      <c r="P8" s="129" t="s">
        <v>3</v>
      </c>
      <c r="Q8" s="116">
        <v>1970915</v>
      </c>
      <c r="R8" s="116">
        <v>2390436598</v>
      </c>
      <c r="S8" s="116">
        <v>1079196.5</v>
      </c>
      <c r="T8" s="130">
        <f t="shared" si="1"/>
        <v>1.8262800148073126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91100.809523809527</v>
      </c>
      <c r="G9" s="90">
        <f t="shared" si="2"/>
        <v>-2.9325465583244337E-2</v>
      </c>
      <c r="H9" s="90"/>
      <c r="I9" s="130">
        <f t="shared" si="0"/>
        <v>1.8750004165323799</v>
      </c>
      <c r="J9" s="130"/>
      <c r="K9" s="78"/>
      <c r="L9" s="87"/>
      <c r="M9" s="87"/>
      <c r="N9" s="79"/>
      <c r="O9" s="79"/>
      <c r="P9" s="129" t="s">
        <v>4</v>
      </c>
      <c r="Q9" s="116">
        <v>1913117</v>
      </c>
      <c r="R9" s="116">
        <v>2401772844</v>
      </c>
      <c r="S9" s="116">
        <v>1020328.84</v>
      </c>
      <c r="T9" s="130">
        <f t="shared" si="1"/>
        <v>1.8750004165323799</v>
      </c>
      <c r="U9" s="85"/>
    </row>
    <row r="10" spans="1:21" ht="15" hidden="1" customHeight="1">
      <c r="A10" s="129" t="s">
        <v>5</v>
      </c>
      <c r="B10" s="131">
        <f>F8+F9+F10</f>
        <v>252969.09523809524</v>
      </c>
      <c r="C10" s="131">
        <f>AVERAGE(F8:F10)</f>
        <v>84323.031746031746</v>
      </c>
      <c r="D10" s="90">
        <f>C10/C7-1</f>
        <v>-0.18728794906164759</v>
      </c>
      <c r="E10" s="286"/>
      <c r="F10" s="78">
        <f>Q10/21</f>
        <v>68015.190476190473</v>
      </c>
      <c r="G10" s="90">
        <f t="shared" si="2"/>
        <v>-0.25340739745661145</v>
      </c>
      <c r="H10" s="90"/>
      <c r="I10" s="130">
        <f t="shared" si="0"/>
        <v>1.9615856784588677</v>
      </c>
      <c r="J10" s="130"/>
      <c r="K10" s="85">
        <f>R8+R9+R10</f>
        <v>6590017199</v>
      </c>
      <c r="L10" s="87">
        <f>U10/U7-1</f>
        <v>-0.14069077943837371</v>
      </c>
      <c r="M10" s="87"/>
      <c r="N10" s="88">
        <f>AVERAGE(T8:T10)</f>
        <v>1.8876220365995202</v>
      </c>
      <c r="O10" s="89">
        <f>N10/N7-1</f>
        <v>-1.7961089719359391E-3</v>
      </c>
      <c r="P10" s="129" t="s">
        <v>5</v>
      </c>
      <c r="Q10" s="116">
        <v>1428319</v>
      </c>
      <c r="R10" s="116">
        <v>1797807757</v>
      </c>
      <c r="S10" s="116">
        <v>728145.1</v>
      </c>
      <c r="T10" s="130">
        <f t="shared" si="1"/>
        <v>1.9615856784588677</v>
      </c>
      <c r="U10" s="85">
        <f>Q8+Q9+Q10</f>
        <v>5312351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90455.190476190473</v>
      </c>
      <c r="G11" s="90">
        <f t="shared" si="2"/>
        <v>0.32992629797685247</v>
      </c>
      <c r="H11" s="90"/>
      <c r="I11" s="130">
        <f t="shared" si="0"/>
        <v>2.0180987074912187</v>
      </c>
      <c r="J11" s="130"/>
      <c r="K11" s="78"/>
      <c r="L11" s="87"/>
      <c r="M11" s="87"/>
      <c r="N11" s="79"/>
      <c r="O11" s="89"/>
      <c r="P11" s="129" t="s">
        <v>6</v>
      </c>
      <c r="Q11" s="116">
        <v>1899559</v>
      </c>
      <c r="R11" s="116">
        <v>2450350957</v>
      </c>
      <c r="S11" s="116">
        <v>941261.69</v>
      </c>
      <c r="T11" s="130">
        <f t="shared" si="1"/>
        <v>2.0180987074912187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78219.818181818177</v>
      </c>
      <c r="G12" s="90">
        <f t="shared" si="2"/>
        <v>-0.13526445779352902</v>
      </c>
      <c r="H12" s="90"/>
      <c r="I12" s="130">
        <f t="shared" si="0"/>
        <v>1.8418518752443751</v>
      </c>
      <c r="J12" s="130"/>
      <c r="K12" s="78"/>
      <c r="L12" s="87"/>
      <c r="M12" s="87"/>
      <c r="N12" s="79"/>
      <c r="O12" s="89"/>
      <c r="P12" s="129" t="s">
        <v>7</v>
      </c>
      <c r="Q12" s="116">
        <v>1720836</v>
      </c>
      <c r="R12" s="116">
        <v>2237340229</v>
      </c>
      <c r="S12" s="116">
        <v>934296.63</v>
      </c>
      <c r="T12" s="130">
        <f t="shared" si="1"/>
        <v>1.8418518752443751</v>
      </c>
      <c r="U12" s="85"/>
    </row>
    <row r="13" spans="1:21" ht="15" hidden="1" customHeight="1">
      <c r="A13" s="129" t="s">
        <v>96</v>
      </c>
      <c r="B13" s="131">
        <f>F11+F12+F13</f>
        <v>211606.40865800864</v>
      </c>
      <c r="C13" s="131">
        <f>AVERAGE(F11:F13)</f>
        <v>70535.469552669543</v>
      </c>
      <c r="D13" s="90">
        <f>C13/C10-1</f>
        <v>-0.16350885289428707</v>
      </c>
      <c r="E13" s="286"/>
      <c r="F13" s="78">
        <f>Q13/20</f>
        <v>42931.4</v>
      </c>
      <c r="G13" s="90">
        <f t="shared" si="2"/>
        <v>-0.45114421130194848</v>
      </c>
      <c r="H13" s="90"/>
      <c r="I13" s="130">
        <f t="shared" si="0"/>
        <v>1.9428344251521199</v>
      </c>
      <c r="J13" s="130"/>
      <c r="K13" s="78">
        <f>R11+R12+R13</f>
        <v>5861764690</v>
      </c>
      <c r="L13" s="87">
        <f>U13/U10-1</f>
        <v>-0.15686614081034933</v>
      </c>
      <c r="M13" s="87"/>
      <c r="N13" s="88">
        <f>AVERAGE(T11:T13)</f>
        <v>1.9342616692959045</v>
      </c>
      <c r="O13" s="89">
        <f>N13/N10-1</f>
        <v>2.4708141668235539E-2</v>
      </c>
      <c r="P13" s="129" t="s">
        <v>96</v>
      </c>
      <c r="Q13" s="116">
        <v>858628</v>
      </c>
      <c r="R13" s="116">
        <v>1174073504</v>
      </c>
      <c r="S13" s="116">
        <v>441946.05</v>
      </c>
      <c r="T13" s="130">
        <f t="shared" si="1"/>
        <v>1.9428344251521199</v>
      </c>
      <c r="U13" s="85">
        <f>Q11+Q12+Q13</f>
        <v>4479023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103789.1</v>
      </c>
      <c r="G14" s="90">
        <f t="shared" si="2"/>
        <v>1.4175568465039574</v>
      </c>
      <c r="H14" s="90"/>
      <c r="I14" s="130">
        <f t="shared" si="0"/>
        <v>1.9467625142122256</v>
      </c>
      <c r="J14" s="130"/>
      <c r="K14" s="78"/>
      <c r="L14" s="87"/>
      <c r="M14" s="87"/>
      <c r="N14" s="79"/>
      <c r="O14" s="89"/>
      <c r="P14" s="129" t="s">
        <v>97</v>
      </c>
      <c r="Q14" s="116">
        <v>2075782</v>
      </c>
      <c r="R14" s="116">
        <v>2960399396</v>
      </c>
      <c r="S14" s="116">
        <v>1066273.8700000001</v>
      </c>
      <c r="T14" s="130">
        <f t="shared" si="1"/>
        <v>1.9467625142122256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90025.454545454544</v>
      </c>
      <c r="G15" s="90">
        <f t="shared" si="2"/>
        <v>-0.13261166591236906</v>
      </c>
      <c r="H15" s="90"/>
      <c r="I15" s="130">
        <f t="shared" si="0"/>
        <v>1.8848877174377665</v>
      </c>
      <c r="J15" s="130"/>
      <c r="K15" s="78"/>
      <c r="L15" s="87"/>
      <c r="M15" s="87"/>
      <c r="N15" s="79"/>
      <c r="O15" s="89"/>
      <c r="P15" s="129" t="s">
        <v>98</v>
      </c>
      <c r="Q15" s="116">
        <v>1980560</v>
      </c>
      <c r="R15" s="116">
        <v>2777137183</v>
      </c>
      <c r="S15" s="116">
        <v>1050757.55</v>
      </c>
      <c r="T15" s="130">
        <f t="shared" si="1"/>
        <v>1.8848877174377665</v>
      </c>
      <c r="U15" s="78"/>
    </row>
    <row r="16" spans="1:21" ht="15" hidden="1" customHeight="1">
      <c r="A16" s="129" t="s">
        <v>99</v>
      </c>
      <c r="B16" s="131">
        <f>F14+F15+F16</f>
        <v>309219.60000000003</v>
      </c>
      <c r="C16" s="131">
        <f>AVERAGE(F14:F16)</f>
        <v>103073.20000000001</v>
      </c>
      <c r="D16" s="90">
        <f>C16/C13-1</f>
        <v>0.46129600686976668</v>
      </c>
      <c r="E16" s="286"/>
      <c r="F16" s="78">
        <f>Q16/22</f>
        <v>115405.04545454546</v>
      </c>
      <c r="G16" s="90">
        <f t="shared" si="2"/>
        <v>0.28191572080623661</v>
      </c>
      <c r="H16" s="90"/>
      <c r="I16" s="130">
        <f t="shared" si="0"/>
        <v>1.9601319428894342</v>
      </c>
      <c r="J16" s="130"/>
      <c r="K16" s="78">
        <f>R14+R15+R16</f>
        <v>9062935465</v>
      </c>
      <c r="L16" s="87">
        <f>U16/U13-1</f>
        <v>0.47247580554955837</v>
      </c>
      <c r="M16" s="87"/>
      <c r="N16" s="88">
        <f>AVERAGE(T14:T16)</f>
        <v>1.9305940581798087</v>
      </c>
      <c r="O16" s="89">
        <f>N16/N13-1</f>
        <v>-1.8961297606806538E-3</v>
      </c>
      <c r="P16" s="129" t="s">
        <v>99</v>
      </c>
      <c r="Q16" s="116">
        <v>2538911</v>
      </c>
      <c r="R16" s="116">
        <v>3325398886</v>
      </c>
      <c r="S16" s="116">
        <v>1295275.56</v>
      </c>
      <c r="T16" s="130">
        <f t="shared" si="1"/>
        <v>1.9601319428894342</v>
      </c>
      <c r="U16" s="85">
        <f>Q14+Q15+Q16</f>
        <v>6595253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141899.5</v>
      </c>
      <c r="G17" s="90">
        <f t="shared" si="2"/>
        <v>0.22957795684842841</v>
      </c>
      <c r="H17" s="90">
        <f t="shared" ref="H17:H32" si="3">F17/F5-1</f>
        <v>0.39395195613210854</v>
      </c>
      <c r="I17" s="130">
        <f t="shared" si="0"/>
        <v>1.9982739021016396</v>
      </c>
      <c r="J17" s="130">
        <f t="shared" ref="J17:J49" si="4">I17/I5-1</f>
        <v>7.1702555803010215E-2</v>
      </c>
      <c r="K17" s="78"/>
      <c r="L17" s="87"/>
      <c r="M17" s="87"/>
      <c r="N17" s="79"/>
      <c r="O17" s="89"/>
      <c r="P17" s="129" t="s">
        <v>100</v>
      </c>
      <c r="Q17" s="116">
        <v>2837990</v>
      </c>
      <c r="R17" s="116">
        <v>3588302160</v>
      </c>
      <c r="S17" s="116">
        <v>1420220.72</v>
      </c>
      <c r="T17" s="130">
        <f t="shared" si="1"/>
        <v>1.9982739021016396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132459.25</v>
      </c>
      <c r="G18" s="90">
        <f t="shared" si="2"/>
        <v>-6.6527718561376181E-2</v>
      </c>
      <c r="H18" s="90">
        <f t="shared" si="3"/>
        <v>0.14651954323227545</v>
      </c>
      <c r="I18" s="130">
        <f t="shared" si="0"/>
        <v>1.9293360994687194</v>
      </c>
      <c r="J18" s="130">
        <f t="shared" si="4"/>
        <v>-7.6329284657356E-3</v>
      </c>
      <c r="K18" s="78"/>
      <c r="L18" s="87"/>
      <c r="M18" s="87"/>
      <c r="N18" s="79"/>
      <c r="O18" s="89"/>
      <c r="P18" s="129" t="s">
        <v>106</v>
      </c>
      <c r="Q18" s="116">
        <v>2649185</v>
      </c>
      <c r="R18" s="116">
        <v>3325119833</v>
      </c>
      <c r="S18" s="116">
        <v>1373107.05</v>
      </c>
      <c r="T18" s="130">
        <f t="shared" si="1"/>
        <v>1.9293360994687194</v>
      </c>
      <c r="U18" s="78"/>
    </row>
    <row r="19" spans="1:21" hidden="1">
      <c r="A19" s="129" t="s">
        <v>114</v>
      </c>
      <c r="B19" s="131">
        <f>SUM(F17:F19)</f>
        <v>385535.43181818182</v>
      </c>
      <c r="C19" s="131">
        <f>AVERAGE(F17:F19)</f>
        <v>128511.81060606061</v>
      </c>
      <c r="D19" s="90">
        <f>C19/C16-1</f>
        <v>0.24680140527373351</v>
      </c>
      <c r="E19" s="286">
        <f>C19/C7-1</f>
        <v>0.23860699745734326</v>
      </c>
      <c r="F19" s="78">
        <f>Q19/22</f>
        <v>111176.68181818182</v>
      </c>
      <c r="G19" s="90">
        <f t="shared" si="2"/>
        <v>-0.16067257048351224</v>
      </c>
      <c r="H19" s="90">
        <f t="shared" si="3"/>
        <v>0.18352157970171556</v>
      </c>
      <c r="I19" s="130">
        <f t="shared" si="0"/>
        <v>2.2585634211839358</v>
      </c>
      <c r="J19" s="130">
        <f t="shared" si="4"/>
        <v>0.21148012403140548</v>
      </c>
      <c r="K19" s="78">
        <f>R17+R18+R19</f>
        <v>10113195279</v>
      </c>
      <c r="L19" s="87">
        <f>U19/U16-1</f>
        <v>0.20284422750726927</v>
      </c>
      <c r="M19" s="87">
        <f>U19/U7-1</f>
        <v>0.28322720465704476</v>
      </c>
      <c r="N19" s="88">
        <f>AVERAGE(T17:T19)</f>
        <v>2.0620578075847651</v>
      </c>
      <c r="O19" s="89">
        <f>N19/N16-1</f>
        <v>6.8094972554148647E-2</v>
      </c>
      <c r="P19" s="129" t="s">
        <v>114</v>
      </c>
      <c r="Q19" s="116">
        <v>2445887</v>
      </c>
      <c r="R19" s="116">
        <v>3199773286</v>
      </c>
      <c r="S19" s="116">
        <v>1082939.26</v>
      </c>
      <c r="T19" s="130">
        <f t="shared" si="1"/>
        <v>2.2585634211839358</v>
      </c>
      <c r="U19" s="85">
        <f>Q17+Q18+Q19</f>
        <v>7933062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109110.6</v>
      </c>
      <c r="G20" s="90">
        <f t="shared" si="2"/>
        <v>-1.8583769405536743E-2</v>
      </c>
      <c r="H20" s="90">
        <f t="shared" si="3"/>
        <v>0.16256794433042532</v>
      </c>
      <c r="I20" s="130">
        <f t="shared" si="0"/>
        <v>1.9535702064617468</v>
      </c>
      <c r="J20" s="130">
        <f t="shared" si="4"/>
        <v>6.9699164762455412E-2</v>
      </c>
      <c r="K20" s="78"/>
      <c r="L20" s="87"/>
      <c r="M20" s="87"/>
      <c r="N20" s="79"/>
      <c r="O20" s="89"/>
      <c r="P20" s="129" t="s">
        <v>131</v>
      </c>
      <c r="Q20" s="116">
        <v>2182212</v>
      </c>
      <c r="R20" s="116">
        <v>2865558894</v>
      </c>
      <c r="S20" s="116">
        <v>1117037.92</v>
      </c>
      <c r="T20" s="130">
        <f t="shared" si="1"/>
        <v>1.9535702064617468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127873.85714285714</v>
      </c>
      <c r="G21" s="90">
        <f t="shared" si="2"/>
        <v>0.1719654840396545</v>
      </c>
      <c r="H21" s="90">
        <f t="shared" si="3"/>
        <v>0.40365225963702156</v>
      </c>
      <c r="I21" s="130">
        <f t="shared" si="0"/>
        <v>1.9197888379621544</v>
      </c>
      <c r="J21" s="130">
        <f t="shared" si="4"/>
        <v>2.3887152789334287E-2</v>
      </c>
      <c r="K21" s="78"/>
      <c r="L21" s="87"/>
      <c r="M21" s="87"/>
      <c r="N21" s="79"/>
      <c r="O21" s="89"/>
      <c r="P21" s="129" t="s">
        <v>141</v>
      </c>
      <c r="Q21" s="116">
        <v>2685351</v>
      </c>
      <c r="R21" s="116">
        <v>3571910565</v>
      </c>
      <c r="S21" s="116">
        <v>1398774.15</v>
      </c>
      <c r="T21" s="130">
        <f t="shared" si="1"/>
        <v>1.9197888379621544</v>
      </c>
      <c r="U21" s="78"/>
    </row>
    <row r="22" spans="1:21" hidden="1">
      <c r="A22" s="129" t="s">
        <v>155</v>
      </c>
      <c r="B22" s="131">
        <f>SUM(F20:F22)</f>
        <v>383116.79047619051</v>
      </c>
      <c r="C22" s="131">
        <f>AVERAGE(F20:F22)</f>
        <v>127705.59682539683</v>
      </c>
      <c r="D22" s="90">
        <f>C22/C19-1</f>
        <v>-6.2734606014939187E-3</v>
      </c>
      <c r="E22" s="286">
        <f>C22/C10-1</f>
        <v>0.51448061319743377</v>
      </c>
      <c r="F22" s="78">
        <f>Q22/21</f>
        <v>146132.33333333334</v>
      </c>
      <c r="G22" s="90">
        <f t="shared" si="2"/>
        <v>0.14278505863851687</v>
      </c>
      <c r="H22" s="90">
        <f t="shared" si="3"/>
        <v>1.1485249443576682</v>
      </c>
      <c r="I22" s="130">
        <f t="shared" si="0"/>
        <v>1.9731649784121235</v>
      </c>
      <c r="J22" s="130">
        <f t="shared" si="4"/>
        <v>5.9030304311527004E-3</v>
      </c>
      <c r="K22" s="78">
        <f>R20+R21+R22</f>
        <v>10437506340</v>
      </c>
      <c r="L22" s="87">
        <f>U22/U19-1</f>
        <v>4.134595191616075E-4</v>
      </c>
      <c r="M22" s="87">
        <f>U22/U10-1</f>
        <v>0.4939415712553632</v>
      </c>
      <c r="N22" s="88">
        <f>AVERAGE(T20:T22)</f>
        <v>1.9488413409453418</v>
      </c>
      <c r="O22" s="89">
        <f>N22/N19-1</f>
        <v>-5.4904603655137496E-2</v>
      </c>
      <c r="P22" s="129" t="s">
        <v>155</v>
      </c>
      <c r="Q22" s="116">
        <v>3068779</v>
      </c>
      <c r="R22" s="116">
        <v>4000036881</v>
      </c>
      <c r="S22" s="116">
        <v>1555257.18</v>
      </c>
      <c r="T22" s="130">
        <f t="shared" si="1"/>
        <v>1.9731649784121235</v>
      </c>
      <c r="U22" s="85">
        <f>Q20+Q21+Q22</f>
        <v>7936342</v>
      </c>
    </row>
    <row r="23" spans="1:21" hidden="1">
      <c r="A23" s="129" t="s">
        <v>189</v>
      </c>
      <c r="B23" s="131"/>
      <c r="C23" s="131"/>
      <c r="D23" s="117"/>
      <c r="F23" s="78">
        <f>Q23/21</f>
        <v>110750.90476190476</v>
      </c>
      <c r="G23" s="90">
        <f t="shared" si="2"/>
        <v>-0.24211909687859579</v>
      </c>
      <c r="H23" s="90">
        <f t="shared" si="3"/>
        <v>0.22437313081615273</v>
      </c>
      <c r="I23" s="130">
        <f t="shared" si="0"/>
        <v>2.0251147529529949</v>
      </c>
      <c r="J23" s="130">
        <f t="shared" si="4"/>
        <v>3.4765620907106776E-3</v>
      </c>
      <c r="K23" s="78"/>
      <c r="L23" s="87"/>
      <c r="M23" s="87"/>
      <c r="N23" s="79"/>
      <c r="O23" s="89"/>
      <c r="P23" s="129" t="s">
        <v>189</v>
      </c>
      <c r="Q23" s="116">
        <v>2325769</v>
      </c>
      <c r="R23" s="116">
        <v>3013337239</v>
      </c>
      <c r="S23" s="116">
        <v>1148462.82</v>
      </c>
      <c r="T23" s="130">
        <f t="shared" si="1"/>
        <v>2.0251147529529949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129484.81818181818</v>
      </c>
      <c r="G24" s="90">
        <f t="shared" si="2"/>
        <v>0.16915359256150619</v>
      </c>
      <c r="H24" s="90">
        <f t="shared" si="3"/>
        <v>0.65539656306585869</v>
      </c>
      <c r="I24" s="130">
        <f t="shared" si="0"/>
        <v>1.9486827791759112</v>
      </c>
      <c r="J24" s="130">
        <f t="shared" si="4"/>
        <v>5.8001897637594668E-2</v>
      </c>
      <c r="K24" s="78"/>
      <c r="L24" s="87"/>
      <c r="M24" s="87"/>
      <c r="N24" s="79"/>
      <c r="O24" s="89"/>
      <c r="P24" s="129" t="s">
        <v>204</v>
      </c>
      <c r="Q24" s="116">
        <v>2848666</v>
      </c>
      <c r="R24" s="116">
        <v>3729838004</v>
      </c>
      <c r="S24" s="116">
        <v>1461841.83</v>
      </c>
      <c r="T24" s="130">
        <f t="shared" si="1"/>
        <v>1.9486827791759112</v>
      </c>
      <c r="U24" s="78"/>
    </row>
    <row r="25" spans="1:21" s="92" customFormat="1" ht="13.2" hidden="1">
      <c r="A25" s="129" t="s">
        <v>219</v>
      </c>
      <c r="B25" s="131">
        <f>SUM(F23:F25)</f>
        <v>346943.40715424926</v>
      </c>
      <c r="C25" s="131">
        <f>AVERAGE(F23:F25)</f>
        <v>115647.80238474975</v>
      </c>
      <c r="D25" s="90">
        <f>C25/C22-1</f>
        <v>-9.441868438337031E-2</v>
      </c>
      <c r="E25" s="286">
        <f>C25/C13-1</f>
        <v>0.63956946934895464</v>
      </c>
      <c r="F25" s="78">
        <f>Q25/19</f>
        <v>106707.68421052632</v>
      </c>
      <c r="G25" s="90">
        <f t="shared" si="2"/>
        <v>-0.17590582657581511</v>
      </c>
      <c r="H25" s="90">
        <f t="shared" si="3"/>
        <v>1.4855393537253927</v>
      </c>
      <c r="I25" s="130">
        <f t="shared" si="0"/>
        <v>1.9393422813541867</v>
      </c>
      <c r="J25" s="130">
        <f t="shared" si="4"/>
        <v>-1.797447972263333E-3</v>
      </c>
      <c r="K25" s="78">
        <f>R23+R24+R25</f>
        <v>9435422699</v>
      </c>
      <c r="L25" s="90">
        <f>U25/U22-1</f>
        <v>-9.2544020910389158E-2</v>
      </c>
      <c r="M25" s="90">
        <f>U25/U13-1</f>
        <v>0.60791337753791397</v>
      </c>
      <c r="N25" s="88">
        <f>AVERAGE(T23:T25)</f>
        <v>1.9710466044943642</v>
      </c>
      <c r="O25" s="91">
        <f>N25/N22-1</f>
        <v>1.1394084824909889E-2</v>
      </c>
      <c r="P25" s="129" t="s">
        <v>219</v>
      </c>
      <c r="Q25" s="116">
        <v>2027446</v>
      </c>
      <c r="R25" s="116">
        <v>2692247456</v>
      </c>
      <c r="S25" s="116">
        <v>1045429.69</v>
      </c>
      <c r="T25" s="130">
        <f t="shared" si="1"/>
        <v>1.9393422813541867</v>
      </c>
      <c r="U25" s="85">
        <f>Q23+Q24+Q25</f>
        <v>7201881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98691.421052631573</v>
      </c>
      <c r="G26" s="90">
        <f t="shared" si="2"/>
        <v>-7.5123579123685724E-2</v>
      </c>
      <c r="H26" s="90">
        <f t="shared" si="3"/>
        <v>-4.911574478792502E-2</v>
      </c>
      <c r="I26" s="130">
        <f t="shared" si="0"/>
        <v>1.9843264269074221</v>
      </c>
      <c r="J26" s="130">
        <f t="shared" si="4"/>
        <v>1.9295580442382443E-2</v>
      </c>
      <c r="K26" s="78"/>
      <c r="L26" s="90"/>
      <c r="M26" s="90"/>
      <c r="N26" s="79"/>
      <c r="O26" s="79"/>
      <c r="P26" s="129" t="s">
        <v>312</v>
      </c>
      <c r="Q26" s="116">
        <v>1875137</v>
      </c>
      <c r="R26" s="116">
        <v>2528552917</v>
      </c>
      <c r="S26" s="116">
        <v>944974.06</v>
      </c>
      <c r="T26" s="130">
        <f t="shared" si="1"/>
        <v>1.9843264269074221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105130.59090909091</v>
      </c>
      <c r="G27" s="90">
        <f t="shared" si="2"/>
        <v>6.5245487275184422E-2</v>
      </c>
      <c r="H27" s="90">
        <f t="shared" si="3"/>
        <v>0.16778739346447469</v>
      </c>
      <c r="I27" s="130">
        <f t="shared" si="0"/>
        <v>1.8925876657634311</v>
      </c>
      <c r="J27" s="130">
        <f t="shared" si="4"/>
        <v>4.0850965574392717E-3</v>
      </c>
      <c r="K27" s="78"/>
      <c r="L27" s="90"/>
      <c r="M27" s="90"/>
      <c r="N27" s="79"/>
      <c r="O27" s="79"/>
      <c r="P27" s="129" t="s">
        <v>373</v>
      </c>
      <c r="Q27" s="116">
        <v>2312873</v>
      </c>
      <c r="R27" s="116">
        <v>3058005131</v>
      </c>
      <c r="S27" s="116">
        <v>1222069.1499999999</v>
      </c>
      <c r="T27" s="130">
        <f t="shared" si="1"/>
        <v>1.8925876657634311</v>
      </c>
      <c r="U27" s="78"/>
    </row>
    <row r="28" spans="1:21" s="92" customFormat="1" ht="13.2" hidden="1">
      <c r="A28" s="123" t="s">
        <v>413</v>
      </c>
      <c r="B28" s="131">
        <f>SUM(F26:F28)</f>
        <v>337833.48564593302</v>
      </c>
      <c r="C28" s="131">
        <f>AVERAGE(F26:F28)</f>
        <v>112611.16188197768</v>
      </c>
      <c r="D28" s="90">
        <f>C28/C25-1</f>
        <v>-2.6257658512778725E-2</v>
      </c>
      <c r="E28" s="286">
        <f>C28/C16-1</f>
        <v>9.2535808357338878E-2</v>
      </c>
      <c r="F28" s="78">
        <f>Q28/19</f>
        <v>134011.47368421053</v>
      </c>
      <c r="G28" s="90">
        <f t="shared" si="2"/>
        <v>0.27471435787984544</v>
      </c>
      <c r="H28" s="90">
        <f t="shared" si="3"/>
        <v>0.16122716434433171</v>
      </c>
      <c r="I28" s="130">
        <f t="shared" si="0"/>
        <v>2.0499879861344437</v>
      </c>
      <c r="J28" s="130">
        <f t="shared" si="4"/>
        <v>4.5841834051514097E-2</v>
      </c>
      <c r="K28" s="78">
        <f>R26+R27+R28</f>
        <v>8902128541</v>
      </c>
      <c r="L28" s="90">
        <f>U28/U25-1</f>
        <v>-6.4934841328258552E-2</v>
      </c>
      <c r="M28" s="90">
        <f>U28/U16-1</f>
        <v>2.107197403951E-2</v>
      </c>
      <c r="N28" s="88">
        <f>AVERAGE(T26:T28)</f>
        <v>1.9756340262684322</v>
      </c>
      <c r="O28" s="91">
        <f>N28/N25-1</f>
        <v>2.3274040114564798E-3</v>
      </c>
      <c r="P28" s="129" t="s">
        <v>413</v>
      </c>
      <c r="Q28" s="116">
        <v>2546218</v>
      </c>
      <c r="R28" s="116">
        <v>3315570493</v>
      </c>
      <c r="S28" s="116">
        <v>1242064.8400000001</v>
      </c>
      <c r="T28" s="130">
        <f t="shared" si="1"/>
        <v>2.0499879861344437</v>
      </c>
      <c r="U28" s="85">
        <f>Q26+Q27+Q28</f>
        <v>6734228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167104.86363636365</v>
      </c>
      <c r="G29" s="190">
        <f t="shared" si="2"/>
        <v>0.2469444521603843</v>
      </c>
      <c r="H29" s="190">
        <f t="shared" si="3"/>
        <v>0.17762827660677916</v>
      </c>
      <c r="I29" s="130">
        <f t="shared" si="0"/>
        <v>2.0081530541937989</v>
      </c>
      <c r="J29" s="130">
        <f t="shared" si="4"/>
        <v>4.9438428244341637E-3</v>
      </c>
      <c r="K29" s="136"/>
      <c r="L29" s="190"/>
      <c r="M29" s="190"/>
      <c r="N29" s="191"/>
      <c r="O29" s="192"/>
      <c r="P29" s="129" t="s">
        <v>426</v>
      </c>
      <c r="Q29" s="116">
        <v>3676307</v>
      </c>
      <c r="R29" s="116">
        <v>4823143975</v>
      </c>
      <c r="S29" s="116">
        <v>1830690.64</v>
      </c>
      <c r="T29" s="130">
        <f t="shared" si="1"/>
        <v>2.0081530541937989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158535.68421052632</v>
      </c>
      <c r="G30" s="190">
        <f t="shared" si="2"/>
        <v>-5.1280251450279035E-2</v>
      </c>
      <c r="H30" s="190">
        <f t="shared" si="3"/>
        <v>0.1968638219718617</v>
      </c>
      <c r="I30" s="130">
        <f t="shared" si="0"/>
        <v>1.9607601904944318</v>
      </c>
      <c r="J30" s="130">
        <f t="shared" si="4"/>
        <v>1.6287515189481905E-2</v>
      </c>
      <c r="K30" s="136"/>
      <c r="L30" s="190"/>
      <c r="M30" s="190"/>
      <c r="N30" s="191"/>
      <c r="O30" s="192"/>
      <c r="P30" s="129" t="s">
        <v>478</v>
      </c>
      <c r="Q30" s="116">
        <v>3012178</v>
      </c>
      <c r="R30" s="116">
        <v>4013190879</v>
      </c>
      <c r="S30" s="116">
        <v>1536229.68</v>
      </c>
      <c r="T30" s="130">
        <f t="shared" si="1"/>
        <v>1.9607601904944318</v>
      </c>
      <c r="U30" s="85"/>
    </row>
    <row r="31" spans="1:21" s="92" customFormat="1" ht="13.2" hidden="1">
      <c r="A31" s="129" t="s">
        <v>505</v>
      </c>
      <c r="B31" s="188">
        <f>SUM(F29:F31)</f>
        <v>473889.14784688991</v>
      </c>
      <c r="C31" s="188">
        <f>AVERAGE(F29:F31)</f>
        <v>157963.04928229665</v>
      </c>
      <c r="D31" s="190">
        <f>C31/C28-1</f>
        <v>0.40272994827857378</v>
      </c>
      <c r="E31" s="287">
        <f>C31/C19-1</f>
        <v>0.22917145542767048</v>
      </c>
      <c r="F31" s="136">
        <f>Q31/20</f>
        <v>148248.6</v>
      </c>
      <c r="G31" s="190">
        <f t="shared" si="2"/>
        <v>-6.4888130781115883E-2</v>
      </c>
      <c r="H31" s="190">
        <f t="shared" si="3"/>
        <v>0.33345048238123831</v>
      </c>
      <c r="I31" s="130">
        <f t="shared" si="0"/>
        <v>1.8732935019566974</v>
      </c>
      <c r="J31" s="130">
        <f t="shared" si="4"/>
        <v>-0.17058184667901888</v>
      </c>
      <c r="K31" s="136">
        <f>R29+R30+R31</f>
        <v>12780273604</v>
      </c>
      <c r="L31" s="190">
        <f>U31/U28-1</f>
        <v>0.43349126284408546</v>
      </c>
      <c r="M31" s="190">
        <f>U31/U19-1</f>
        <v>0.21686392971591539</v>
      </c>
      <c r="N31" s="191">
        <f>AVERAGE(T29:T31)</f>
        <v>1.9474022488816427</v>
      </c>
      <c r="O31" s="192">
        <f>N31/N28-1</f>
        <v>-1.4289983373142023E-2</v>
      </c>
      <c r="P31" s="129" t="s">
        <v>505</v>
      </c>
      <c r="Q31" s="116">
        <v>2964972</v>
      </c>
      <c r="R31" s="116">
        <v>3943938750</v>
      </c>
      <c r="S31" s="116">
        <v>1582758.92</v>
      </c>
      <c r="T31" s="130">
        <f t="shared" si="1"/>
        <v>1.8732935019566974</v>
      </c>
      <c r="U31" s="85">
        <f>Q29+Q30+Q31</f>
        <v>9653457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130098.76190476191</v>
      </c>
      <c r="G32" s="190">
        <f t="shared" si="2"/>
        <v>-0.12242839456991905</v>
      </c>
      <c r="H32" s="190">
        <f t="shared" si="3"/>
        <v>0.19235676373113053</v>
      </c>
      <c r="I32" s="130">
        <f t="shared" si="0"/>
        <v>1.9505218414869114</v>
      </c>
      <c r="J32" s="130">
        <f t="shared" si="4"/>
        <v>-1.5604071789958596E-3</v>
      </c>
      <c r="K32" s="136"/>
      <c r="L32" s="190"/>
      <c r="M32" s="190"/>
      <c r="N32" s="191"/>
      <c r="O32" s="192"/>
      <c r="P32" s="129" t="s">
        <v>561</v>
      </c>
      <c r="Q32" s="116">
        <v>2732074</v>
      </c>
      <c r="R32" s="116">
        <v>3720642618</v>
      </c>
      <c r="S32" s="116">
        <v>1400688.75</v>
      </c>
      <c r="T32" s="130">
        <f t="shared" si="1"/>
        <v>1.9505218414869114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154017.95238095237</v>
      </c>
      <c r="G33" s="190">
        <f t="shared" si="2"/>
        <v>0.18385409765621263</v>
      </c>
      <c r="H33" s="190">
        <f t="shared" ref="H33:H38" si="5">F33/F21-1</f>
        <v>0.20445222989471379</v>
      </c>
      <c r="I33" s="130">
        <f t="shared" si="0"/>
        <v>1.941552339881647</v>
      </c>
      <c r="J33" s="130">
        <f t="shared" si="4"/>
        <v>1.1336404030036107E-2</v>
      </c>
      <c r="K33" s="136"/>
      <c r="L33" s="190"/>
      <c r="M33" s="190"/>
      <c r="N33" s="191"/>
      <c r="O33" s="192"/>
      <c r="P33" s="129" t="s">
        <v>606</v>
      </c>
      <c r="Q33" s="116">
        <v>3234377</v>
      </c>
      <c r="R33" s="116">
        <v>4423586658</v>
      </c>
      <c r="S33" s="116">
        <v>1665871.65</v>
      </c>
      <c r="T33" s="130">
        <f t="shared" si="1"/>
        <v>1.941552339881647</v>
      </c>
      <c r="U33" s="85"/>
    </row>
    <row r="34" spans="1:21" s="92" customFormat="1" ht="13.2" hidden="1">
      <c r="A34" s="129" t="s">
        <v>652</v>
      </c>
      <c r="B34" s="188">
        <f>SUM(F32:F34)</f>
        <v>439288.03007518791</v>
      </c>
      <c r="C34" s="188">
        <f>AVERAGE(F32:F34)</f>
        <v>146429.34335839597</v>
      </c>
      <c r="D34" s="190">
        <f>C34/C31-1</f>
        <v>-7.3015214484045132E-2</v>
      </c>
      <c r="E34" s="287">
        <f>C34/C22-1</f>
        <v>0.14661649135549504</v>
      </c>
      <c r="F34" s="136">
        <f>Q34/19</f>
        <v>155171.31578947368</v>
      </c>
      <c r="G34" s="190">
        <f t="shared" ref="G34" si="6">F34/F33-1</f>
        <v>7.4884998189597152E-3</v>
      </c>
      <c r="H34" s="190">
        <f t="shared" si="5"/>
        <v>6.1854774025417614E-2</v>
      </c>
      <c r="I34" s="130">
        <f t="shared" si="0"/>
        <v>1.9205413728076155</v>
      </c>
      <c r="J34" s="130">
        <f t="shared" si="4"/>
        <v>-2.6669643025417966E-2</v>
      </c>
      <c r="K34" s="136">
        <f>R32+R33+R34</f>
        <v>12196768156</v>
      </c>
      <c r="L34" s="190">
        <f>U34/U31-1</f>
        <v>-7.6527092833168497E-2</v>
      </c>
      <c r="M34" s="190">
        <f>U34/U22-1</f>
        <v>0.12327644146383809</v>
      </c>
      <c r="N34" s="191">
        <f>AVERAGE(T32:T34)</f>
        <v>1.9375385180587248</v>
      </c>
      <c r="O34" s="192">
        <f>N34/N31-1</f>
        <v>-5.0650710856385839E-3</v>
      </c>
      <c r="P34" s="129" t="s">
        <v>652</v>
      </c>
      <c r="Q34" s="116">
        <v>2948255</v>
      </c>
      <c r="R34" s="116">
        <v>4052538880</v>
      </c>
      <c r="S34" s="116">
        <v>1535116.63</v>
      </c>
      <c r="T34" s="130">
        <f t="shared" ref="T34" si="7">Q34/S34</f>
        <v>1.9205413728076155</v>
      </c>
      <c r="U34" s="85">
        <f>Q32+Q33+Q34</f>
        <v>8914706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112416.78260869565</v>
      </c>
      <c r="G35" s="190">
        <f t="shared" ref="G35" si="8">F35/F34-1</f>
        <v>-0.27553116349663875</v>
      </c>
      <c r="H35" s="190">
        <f t="shared" si="5"/>
        <v>1.5041663545523498E-2</v>
      </c>
      <c r="I35" s="130">
        <f t="shared" si="0"/>
        <v>1.8975756981472065</v>
      </c>
      <c r="J35" s="130">
        <f t="shared" si="4"/>
        <v>-6.2978680403079745E-2</v>
      </c>
      <c r="K35" s="136"/>
      <c r="L35" s="190"/>
      <c r="M35" s="190"/>
      <c r="N35" s="191"/>
      <c r="O35" s="192"/>
      <c r="P35" s="129" t="s">
        <v>660</v>
      </c>
      <c r="Q35" s="116">
        <v>2585586</v>
      </c>
      <c r="R35" s="116">
        <v>3578778622</v>
      </c>
      <c r="S35" s="116">
        <v>1362573.31</v>
      </c>
      <c r="T35" s="130">
        <f t="shared" ref="T35" si="9">Q35/S35</f>
        <v>1.8975756981472065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118365</v>
      </c>
      <c r="G36" s="190">
        <f t="shared" ref="G36" si="10">F36/F35-1</f>
        <v>5.2912183156932358E-2</v>
      </c>
      <c r="H36" s="190">
        <f t="shared" si="5"/>
        <v>-8.5877389627285194E-2</v>
      </c>
      <c r="I36" s="130">
        <f t="shared" si="0"/>
        <v>1.964039779741575</v>
      </c>
      <c r="J36" s="130">
        <f t="shared" si="4"/>
        <v>7.8807083070535633E-3</v>
      </c>
      <c r="K36" s="136"/>
      <c r="L36" s="190"/>
      <c r="M36" s="190"/>
      <c r="N36" s="191"/>
      <c r="O36" s="192"/>
      <c r="P36" s="129" t="s">
        <v>664</v>
      </c>
      <c r="Q36" s="116">
        <v>2485665</v>
      </c>
      <c r="R36" s="116">
        <v>3395682881</v>
      </c>
      <c r="S36" s="116">
        <v>1265587.9099999999</v>
      </c>
      <c r="T36" s="130">
        <f t="shared" ref="T36" si="11">Q36/S36</f>
        <v>1.964039779741575</v>
      </c>
      <c r="U36" s="85"/>
    </row>
    <row r="37" spans="1:21" s="92" customFormat="1" ht="13.2" hidden="1">
      <c r="A37" s="129" t="s">
        <v>702</v>
      </c>
      <c r="B37" s="188">
        <f>SUM(F35:F37)</f>
        <v>372418.17149758455</v>
      </c>
      <c r="C37" s="188">
        <f>AVERAGE(F35:F37)</f>
        <v>124139.39049919485</v>
      </c>
      <c r="D37" s="190">
        <f>C37/C34-1</f>
        <v>-0.15222326582893231</v>
      </c>
      <c r="E37" s="287">
        <f>C37/C25-1</f>
        <v>7.3426281687518413E-2</v>
      </c>
      <c r="F37" s="136">
        <f>Q37/18</f>
        <v>141636.38888888888</v>
      </c>
      <c r="G37" s="190">
        <f t="shared" ref="G37" si="12">F37/F36-1</f>
        <v>0.19660701126928459</v>
      </c>
      <c r="H37" s="190">
        <f t="shared" si="5"/>
        <v>0.32733073477117935</v>
      </c>
      <c r="I37" s="130">
        <f t="shared" si="0"/>
        <v>2.0307751301606851</v>
      </c>
      <c r="J37" s="130">
        <f t="shared" si="4"/>
        <v>4.7146318463522352E-2</v>
      </c>
      <c r="K37" s="136">
        <f>R35+R36+R37</f>
        <v>10375868216</v>
      </c>
      <c r="L37" s="190">
        <f>U37/U34-1</f>
        <v>-0.14515341279903116</v>
      </c>
      <c r="M37" s="190">
        <f>U37/U25-1</f>
        <v>5.8154945909270062E-2</v>
      </c>
      <c r="N37" s="191">
        <f>AVERAGE(T35:T37)</f>
        <v>1.9641302026831555</v>
      </c>
      <c r="O37" s="192">
        <f>N37/N34-1</f>
        <v>1.3724467604945279E-2</v>
      </c>
      <c r="P37" s="129" t="s">
        <v>702</v>
      </c>
      <c r="Q37" s="116">
        <v>2549455</v>
      </c>
      <c r="R37" s="116">
        <v>3401406713</v>
      </c>
      <c r="S37" s="116">
        <v>1255409.8</v>
      </c>
      <c r="T37" s="130">
        <f t="shared" ref="T37" si="13">Q37/S37</f>
        <v>2.0307751301606851</v>
      </c>
      <c r="U37" s="85">
        <f>Q35+Q36+Q37</f>
        <v>7620706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165910.75</v>
      </c>
      <c r="G38" s="190">
        <f t="shared" ref="G38" si="14">F38/F37-1</f>
        <v>0.17138506072866555</v>
      </c>
      <c r="H38" s="190">
        <f t="shared" si="5"/>
        <v>0.6811061005142558</v>
      </c>
      <c r="I38" s="130">
        <f t="shared" si="0"/>
        <v>1.9799495776870535</v>
      </c>
      <c r="J38" s="130">
        <f t="shared" si="4"/>
        <v>-2.2057102909172066E-3</v>
      </c>
      <c r="K38" s="136"/>
      <c r="L38" s="190"/>
      <c r="M38" s="190"/>
      <c r="N38" s="191"/>
      <c r="O38" s="192"/>
      <c r="P38" s="129" t="s">
        <v>727</v>
      </c>
      <c r="Q38" s="116">
        <v>3318215</v>
      </c>
      <c r="R38" s="116">
        <v>4461633122</v>
      </c>
      <c r="S38" s="116">
        <v>1675908.84</v>
      </c>
      <c r="T38" s="130">
        <f t="shared" ref="T38" si="15">Q38/S38</f>
        <v>1.9799495776870535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111730.28571428571</v>
      </c>
      <c r="G39" s="190">
        <f t="shared" ref="G39" si="16">F39/F38-1</f>
        <v>-0.32656391635692261</v>
      </c>
      <c r="H39" s="190">
        <f t="shared" ref="H39" si="17">F39/F27-1</f>
        <v>6.2776160089328625E-2</v>
      </c>
      <c r="I39" s="130">
        <f t="shared" si="0"/>
        <v>1.9674891720786185</v>
      </c>
      <c r="J39" s="130">
        <f t="shared" si="4"/>
        <v>3.957624139168936E-2</v>
      </c>
      <c r="K39" s="136"/>
      <c r="L39" s="190"/>
      <c r="M39" s="190"/>
      <c r="N39" s="191"/>
      <c r="O39" s="192"/>
      <c r="P39" s="129" t="s">
        <v>762</v>
      </c>
      <c r="Q39" s="116">
        <v>2346336</v>
      </c>
      <c r="R39" s="116">
        <v>3259172696</v>
      </c>
      <c r="S39" s="116">
        <v>1192553.45</v>
      </c>
      <c r="T39" s="130">
        <f t="shared" ref="T39" si="18">Q39/S39</f>
        <v>1.9674891720786185</v>
      </c>
      <c r="U39" s="85"/>
    </row>
    <row r="40" spans="1:21" s="92" customFormat="1" ht="13.2" hidden="1">
      <c r="A40" s="129" t="s">
        <v>778</v>
      </c>
      <c r="B40" s="188">
        <f>SUM(F38:F40)</f>
        <v>436717.55952380947</v>
      </c>
      <c r="C40" s="188">
        <f>AVERAGE(F38:F40)</f>
        <v>145572.51984126982</v>
      </c>
      <c r="D40" s="190">
        <f>C40/C37-1</f>
        <v>0.17265373428923025</v>
      </c>
      <c r="E40" s="287">
        <f>C40/C28-1</f>
        <v>0.29270062939087116</v>
      </c>
      <c r="F40" s="136">
        <f>Q40/21</f>
        <v>159076.52380952382</v>
      </c>
      <c r="G40" s="190">
        <f t="shared" ref="G40" si="19">F40/F39-1</f>
        <v>0.42375473930417473</v>
      </c>
      <c r="H40" s="190">
        <f t="shared" ref="H40" si="20">F40/F28-1</f>
        <v>0.18703659795860061</v>
      </c>
      <c r="I40" s="130">
        <f t="shared" si="0"/>
        <v>1.9500980151907099</v>
      </c>
      <c r="J40" s="130">
        <f t="shared" si="4"/>
        <v>-4.8727100655887812E-2</v>
      </c>
      <c r="K40" s="136">
        <f>R38+R39+R40</f>
        <v>12466908733</v>
      </c>
      <c r="L40" s="190">
        <f>U40/U37-1</f>
        <v>0.18166978230100983</v>
      </c>
      <c r="M40" s="190">
        <f>U40/U28-1</f>
        <v>0.33722202455871697</v>
      </c>
      <c r="N40" s="191">
        <f>AVERAGE(T38:T40)</f>
        <v>1.9658455883187937</v>
      </c>
      <c r="O40" s="192">
        <f>N40/N37-1</f>
        <v>8.7335637591379189E-4</v>
      </c>
      <c r="P40" s="129" t="s">
        <v>778</v>
      </c>
      <c r="Q40" s="116">
        <v>3340607</v>
      </c>
      <c r="R40" s="116">
        <v>4746102915</v>
      </c>
      <c r="S40" s="116">
        <v>1713045.69</v>
      </c>
      <c r="T40" s="130">
        <f t="shared" ref="T40" si="21">Q40/S40</f>
        <v>1.9500980151907099</v>
      </c>
      <c r="U40" s="85">
        <f>Q38+Q39+Q40</f>
        <v>9005158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226834.27777777778</v>
      </c>
      <c r="G41" s="190">
        <f t="shared" ref="G41" si="22">F41/F40-1</f>
        <v>0.42594439673189122</v>
      </c>
      <c r="H41" s="190">
        <f t="shared" ref="H41" si="23">F41/F29-1</f>
        <v>0.35743671872645866</v>
      </c>
      <c r="I41" s="130">
        <f t="shared" si="0"/>
        <v>1.9460883531968169</v>
      </c>
      <c r="J41" s="130">
        <f t="shared" si="4"/>
        <v>-3.0906359884953383E-2</v>
      </c>
      <c r="K41" s="194"/>
      <c r="L41" s="202"/>
      <c r="M41" s="202"/>
      <c r="N41" s="194"/>
      <c r="O41" s="194"/>
      <c r="P41" s="129" t="s">
        <v>793</v>
      </c>
      <c r="Q41" s="116">
        <v>4083017</v>
      </c>
      <c r="R41" s="116">
        <v>5966474533</v>
      </c>
      <c r="S41" s="116">
        <v>2098063.5299999998</v>
      </c>
      <c r="T41" s="130">
        <f t="shared" ref="T41" si="24">Q41/S41</f>
        <v>1.9460883531968169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145692.5</v>
      </c>
      <c r="G42" s="190">
        <f t="shared" ref="G42" si="25">F42/F41-1</f>
        <v>-0.35771391595969348</v>
      </c>
      <c r="H42" s="190">
        <f t="shared" ref="H42" si="26">F42/F30-1</f>
        <v>-8.1011314736380124E-2</v>
      </c>
      <c r="I42" s="130">
        <f t="shared" si="0"/>
        <v>1.9290433398180729</v>
      </c>
      <c r="J42" s="130">
        <f t="shared" si="4"/>
        <v>-1.6175792853261206E-2</v>
      </c>
      <c r="K42" s="194"/>
      <c r="L42" s="202"/>
      <c r="M42" s="202"/>
      <c r="N42" s="194"/>
      <c r="O42" s="194"/>
      <c r="P42" s="129" t="s">
        <v>826</v>
      </c>
      <c r="Q42" s="116">
        <v>2913850</v>
      </c>
      <c r="R42" s="116">
        <v>4217484157</v>
      </c>
      <c r="S42" s="116">
        <v>1510515.57</v>
      </c>
      <c r="T42" s="130">
        <f t="shared" ref="T42" si="27">Q42/S42</f>
        <v>1.9290433398180729</v>
      </c>
      <c r="U42" s="175"/>
    </row>
    <row r="43" spans="1:21" s="92" customFormat="1" ht="13.2">
      <c r="A43" s="129" t="s">
        <v>835</v>
      </c>
      <c r="B43" s="188">
        <f>SUM(F41:F43)</f>
        <v>518829.52777777775</v>
      </c>
      <c r="C43" s="188">
        <f>AVERAGE(F41:F43)</f>
        <v>172943.17592592593</v>
      </c>
      <c r="D43" s="190">
        <f>C43/C40-1</f>
        <v>0.1880207618477765</v>
      </c>
      <c r="E43" s="287">
        <f>C43/C31-1</f>
        <v>9.4833106297272263E-2</v>
      </c>
      <c r="F43" s="136">
        <f>Q43/20</f>
        <v>146302.75</v>
      </c>
      <c r="G43" s="190">
        <f t="shared" ref="G43" si="28">F43/F42-1</f>
        <v>4.1886164353004407E-3</v>
      </c>
      <c r="H43" s="190">
        <f t="shared" ref="H43" si="29">F43/F31-1</f>
        <v>-1.3125587695263286E-2</v>
      </c>
      <c r="I43" s="130">
        <f t="shared" si="0"/>
        <v>1.9425793757303249</v>
      </c>
      <c r="J43" s="130">
        <f t="shared" si="4"/>
        <v>3.698612828222414E-2</v>
      </c>
      <c r="K43" s="136">
        <f>R41+R42+R43</f>
        <v>14425858705</v>
      </c>
      <c r="L43" s="190">
        <f>U43/U40-1</f>
        <v>0.10191536894744102</v>
      </c>
      <c r="M43" s="190">
        <f>K43/K31-1</f>
        <v>0.12875977087728074</v>
      </c>
      <c r="N43" s="191">
        <f>AVERAGE(T41:T43)</f>
        <v>1.9392370229150717</v>
      </c>
      <c r="O43" s="192">
        <f>N43/N40-1</f>
        <v>-1.3535430026565765E-2</v>
      </c>
      <c r="P43" s="129" t="s">
        <v>835</v>
      </c>
      <c r="Q43" s="116">
        <v>2926055</v>
      </c>
      <c r="R43" s="116">
        <v>4241900015</v>
      </c>
      <c r="S43" s="116">
        <v>1506273.07</v>
      </c>
      <c r="T43" s="130">
        <f t="shared" ref="T43" si="30">Q43/S43</f>
        <v>1.9425793757303249</v>
      </c>
      <c r="U43" s="85">
        <f>Q41+Q42+Q43</f>
        <v>9922922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166729.90909090909</v>
      </c>
      <c r="G44" s="190">
        <f t="shared" ref="G44" si="31">F44/F43-1</f>
        <v>0.13962252309617607</v>
      </c>
      <c r="H44" s="190">
        <f t="shared" ref="H44" si="32">F44/F32-1</f>
        <v>0.28156414903442983</v>
      </c>
      <c r="I44" s="130">
        <f t="shared" si="0"/>
        <v>1.9250821718408448</v>
      </c>
      <c r="J44" s="130">
        <f t="shared" si="4"/>
        <v>-1.3042494118739811E-2</v>
      </c>
      <c r="K44" s="136"/>
      <c r="L44" s="190"/>
      <c r="M44" s="190"/>
      <c r="N44" s="191"/>
      <c r="O44" s="192"/>
      <c r="P44" s="129" t="s">
        <v>843</v>
      </c>
      <c r="Q44" s="116">
        <v>3668058</v>
      </c>
      <c r="R44" s="116">
        <v>5328373085</v>
      </c>
      <c r="S44" s="116">
        <v>1905403.34</v>
      </c>
      <c r="T44" s="130">
        <f t="shared" ref="T44" si="33">Q44/S44</f>
        <v>1.9250821718408448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174275.75</v>
      </c>
      <c r="G45" s="190">
        <f t="shared" ref="G45" si="34">F45/F44-1</f>
        <v>4.525787214924093E-2</v>
      </c>
      <c r="H45" s="190">
        <f t="shared" ref="H45" si="35">F45/F33-1</f>
        <v>0.13152880755706597</v>
      </c>
      <c r="I45" s="130">
        <f t="shared" si="0"/>
        <v>1.9586930359318624</v>
      </c>
      <c r="J45" s="130">
        <f t="shared" si="4"/>
        <v>8.8283461115759021E-3</v>
      </c>
      <c r="K45" s="136"/>
      <c r="L45" s="190"/>
      <c r="M45" s="190"/>
      <c r="N45" s="191"/>
      <c r="O45" s="192"/>
      <c r="P45" s="129" t="s">
        <v>849</v>
      </c>
      <c r="Q45" s="116">
        <v>3485515</v>
      </c>
      <c r="R45" s="116">
        <v>4906890842</v>
      </c>
      <c r="S45" s="116">
        <v>1779510.59</v>
      </c>
      <c r="T45" s="130">
        <f t="shared" ref="T45" si="36">Q45/S45</f>
        <v>1.9586930359318624</v>
      </c>
      <c r="U45" s="85"/>
    </row>
    <row r="46" spans="1:21" s="92" customFormat="1" ht="13.2">
      <c r="A46" s="129" t="s">
        <v>888</v>
      </c>
      <c r="B46" s="188">
        <f>SUM(F44:F46)</f>
        <v>460615.08014354063</v>
      </c>
      <c r="C46" s="188">
        <f>AVERAGE(F44:F46)</f>
        <v>153538.36004784689</v>
      </c>
      <c r="D46" s="190">
        <f>C46/C43-1</f>
        <v>-0.11220342042515974</v>
      </c>
      <c r="E46" s="287">
        <f>C46/C34-1</f>
        <v>4.854912633222086E-2</v>
      </c>
      <c r="F46" s="136">
        <f>Q46/19</f>
        <v>119609.42105263157</v>
      </c>
      <c r="G46" s="190">
        <f t="shared" ref="G46" si="37">F46/F45-1</f>
        <v>-0.31367719804601857</v>
      </c>
      <c r="H46" s="190">
        <f t="shared" ref="H46" si="38">F46/F34-1</f>
        <v>-0.22917827664160662</v>
      </c>
      <c r="I46" s="130">
        <f t="shared" si="0"/>
        <v>2.0123122843546968</v>
      </c>
      <c r="J46" s="130">
        <f t="shared" si="4"/>
        <v>4.7783876383211021E-2</v>
      </c>
      <c r="K46" s="136">
        <f>R44+R45+R46</f>
        <v>13344811785</v>
      </c>
      <c r="L46" s="190">
        <f>U46/U43-1</f>
        <v>-5.0062874625034892E-2</v>
      </c>
      <c r="M46" s="190">
        <f>K46/K34-1</f>
        <v>9.4126871505320731E-2</v>
      </c>
      <c r="N46" s="191">
        <f>AVERAGE(T44:T46)</f>
        <v>1.9653624973758015</v>
      </c>
      <c r="O46" s="192">
        <f>N46/N43-1</f>
        <v>1.3472037792191971E-2</v>
      </c>
      <c r="P46" s="129" t="s">
        <v>888</v>
      </c>
      <c r="Q46" s="116">
        <v>2272579</v>
      </c>
      <c r="R46" s="116">
        <v>3109547858</v>
      </c>
      <c r="S46" s="116">
        <v>1129337.1399999999</v>
      </c>
      <c r="T46" s="130">
        <f t="shared" ref="T46" si="39">Q46/S46</f>
        <v>2.0123122843546968</v>
      </c>
      <c r="U46" s="85">
        <f t="shared" ref="U46:U51" si="40">Q44+Q45+Q46</f>
        <v>9426152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133504.95652173914</v>
      </c>
      <c r="G47" s="190">
        <f t="shared" ref="G47" si="41">F47/F46-1</f>
        <v>0.11617425573018303</v>
      </c>
      <c r="H47" s="190">
        <f t="shared" ref="H47" si="42">F47/F35-1</f>
        <v>0.18758919641427529</v>
      </c>
      <c r="I47" s="130">
        <f t="shared" si="0"/>
        <v>1.981992224617859</v>
      </c>
      <c r="J47" s="130">
        <f t="shared" si="4"/>
        <v>4.4486513266942085E-2</v>
      </c>
      <c r="K47" s="136"/>
      <c r="L47" s="190"/>
      <c r="M47" s="190"/>
      <c r="N47" s="191"/>
      <c r="O47" s="192"/>
      <c r="P47" s="129" t="s">
        <v>991</v>
      </c>
      <c r="Q47" s="116">
        <v>3070614</v>
      </c>
      <c r="R47" s="116">
        <v>4207988607</v>
      </c>
      <c r="S47" s="116">
        <v>1549256.33</v>
      </c>
      <c r="T47" s="130">
        <f t="shared" ref="T47" si="43">Q47/S47</f>
        <v>1.981992224617859</v>
      </c>
      <c r="U47" s="85">
        <f t="shared" si="40"/>
        <v>8828708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126549.05</v>
      </c>
      <c r="G48" s="190">
        <f t="shared" ref="G48" si="44">F48/F47-1</f>
        <v>-5.2102234276271808E-2</v>
      </c>
      <c r="H48" s="190">
        <f t="shared" ref="H48" si="45">F48/F36-1</f>
        <v>6.9142482997507804E-2</v>
      </c>
      <c r="I48" s="130">
        <f t="shared" si="0"/>
        <v>2.0065644404128222</v>
      </c>
      <c r="J48" s="130">
        <f t="shared" si="4"/>
        <v>2.1651629009694862E-2</v>
      </c>
      <c r="K48" s="136"/>
      <c r="L48" s="190"/>
      <c r="M48" s="190"/>
      <c r="N48" s="191"/>
      <c r="O48" s="192"/>
      <c r="P48" s="129" t="s">
        <v>1070</v>
      </c>
      <c r="Q48" s="116">
        <v>2530981</v>
      </c>
      <c r="R48" s="116">
        <v>3510919890</v>
      </c>
      <c r="S48" s="116">
        <v>1261350.47</v>
      </c>
      <c r="T48" s="130">
        <f t="shared" ref="T48" si="46">Q48/S48</f>
        <v>2.0065644404128222</v>
      </c>
      <c r="U48" s="85">
        <f t="shared" si="40"/>
        <v>7874174</v>
      </c>
    </row>
    <row r="49" spans="1:26" ht="13.2">
      <c r="A49" s="129" t="s">
        <v>1158</v>
      </c>
      <c r="B49" s="188">
        <f>SUM(F47:F49)</f>
        <v>391144.96106719365</v>
      </c>
      <c r="C49" s="188">
        <f>AVERAGE(F47:F49)</f>
        <v>130381.65368906455</v>
      </c>
      <c r="D49" s="190">
        <f>C49/C46-1</f>
        <v>-0.1508203314895773</v>
      </c>
      <c r="E49" s="287">
        <f>C49/C37-1</f>
        <v>5.0284306735904227E-2</v>
      </c>
      <c r="F49" s="136">
        <f>Q49/22</f>
        <v>131090.95454545456</v>
      </c>
      <c r="G49" s="190">
        <f t="shared" ref="G49" si="47">F49/F48-1</f>
        <v>3.5890467336219034E-2</v>
      </c>
      <c r="H49" s="190">
        <f t="shared" ref="H49" si="48">F49/F37-1</f>
        <v>-7.4454272847262581E-2</v>
      </c>
      <c r="I49" s="130">
        <f t="shared" si="0"/>
        <v>2.0110247911017343</v>
      </c>
      <c r="J49" s="130">
        <f t="shared" si="4"/>
        <v>-9.7255174960647617E-3</v>
      </c>
      <c r="K49" s="136">
        <f>R47+R48+R49</f>
        <v>11727456030</v>
      </c>
      <c r="L49" s="190">
        <f>U49/U46-1</f>
        <v>-9.9781543942851769E-2</v>
      </c>
      <c r="M49" s="190">
        <f>K49/K37-1</f>
        <v>0.13026262341264117</v>
      </c>
      <c r="N49" s="191">
        <f>AVERAGE(T47:T49)</f>
        <v>1.9998604853774717</v>
      </c>
      <c r="O49" s="192">
        <f>N49/N46-1</f>
        <v>1.7552989867127611E-2</v>
      </c>
      <c r="P49" s="129" t="s">
        <v>1165</v>
      </c>
      <c r="Q49" s="116">
        <v>2884001</v>
      </c>
      <c r="R49" s="116">
        <v>4008547533</v>
      </c>
      <c r="S49" s="116">
        <v>1434095.2</v>
      </c>
      <c r="T49" s="130">
        <f t="shared" ref="T49" si="49">Q49/S49</f>
        <v>2.0110247911017343</v>
      </c>
      <c r="U49" s="85">
        <f t="shared" si="40"/>
        <v>8485596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146787.77777777778</v>
      </c>
      <c r="G50" s="190">
        <f t="shared" ref="G50" si="50">F50/F49-1</f>
        <v>0.11973994152953171</v>
      </c>
      <c r="H50" s="190">
        <f t="shared" ref="H50" si="51">F50/F38-1</f>
        <v>-0.11526059777453979</v>
      </c>
      <c r="I50" s="130">
        <f t="shared" ref="I50" si="52">T50</f>
        <v>1.9796482200971899</v>
      </c>
      <c r="J50" s="130">
        <f t="shared" ref="J50" si="53">I50/I38-1</f>
        <v>-1.5220467897758549E-4</v>
      </c>
      <c r="K50" s="136"/>
      <c r="L50" s="190"/>
      <c r="M50" s="190"/>
      <c r="N50" s="191"/>
      <c r="O50" s="192"/>
      <c r="P50" s="129" t="s">
        <v>1364</v>
      </c>
      <c r="Q50" s="116">
        <v>2642180</v>
      </c>
      <c r="R50" s="116">
        <v>3739655042</v>
      </c>
      <c r="S50" s="116">
        <v>1334671.47</v>
      </c>
      <c r="T50" s="130">
        <f t="shared" ref="T50" si="54">Q50/S50</f>
        <v>1.9796482200971899</v>
      </c>
      <c r="U50" s="85">
        <f t="shared" si="40"/>
        <v>8057162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145877.70000000001</v>
      </c>
      <c r="G51" s="190">
        <f t="shared" ref="G51:G52" si="55">F51/F50-1</f>
        <v>-6.1999560968593048E-3</v>
      </c>
      <c r="H51" s="190">
        <f t="shared" ref="H51:H52" si="56">F51/F39-1</f>
        <v>0.30562361912360392</v>
      </c>
      <c r="I51" s="130">
        <f t="shared" ref="I51:I52" si="57">T51</f>
        <v>1.9825934708924886</v>
      </c>
      <c r="J51" s="130">
        <f t="shared" ref="J51:J52" si="58">I51/I39-1</f>
        <v>7.6769412651520597E-3</v>
      </c>
      <c r="K51" s="136"/>
      <c r="L51" s="190"/>
      <c r="M51" s="190"/>
      <c r="N51" s="191"/>
      <c r="O51" s="192"/>
      <c r="P51" s="129" t="s">
        <v>1402</v>
      </c>
      <c r="Q51" s="116">
        <v>2917554</v>
      </c>
      <c r="R51" s="116">
        <v>4236194327</v>
      </c>
      <c r="S51" s="116">
        <v>1471584.59</v>
      </c>
      <c r="T51" s="130">
        <f t="shared" ref="T51:T52" si="59">Q51/S51</f>
        <v>1.9825934708924886</v>
      </c>
      <c r="U51" s="85">
        <f t="shared" si="40"/>
        <v>8443735</v>
      </c>
    </row>
    <row r="52" spans="1:26" s="79" customFormat="1" ht="13.2">
      <c r="A52" s="129" t="s">
        <v>1403</v>
      </c>
      <c r="B52" s="188">
        <f>SUM(F50:F52)</f>
        <v>496645.11414141417</v>
      </c>
      <c r="C52" s="188">
        <f>AVERAGE(F50:F52)</f>
        <v>165548.37138047139</v>
      </c>
      <c r="D52" s="190">
        <f>C52/C49-1</f>
        <v>0.26972136567060856</v>
      </c>
      <c r="E52" s="287">
        <f>C52/C40-1</f>
        <v>0.13722268159528284</v>
      </c>
      <c r="F52" s="136">
        <f>Q52/22</f>
        <v>203979.63636363635</v>
      </c>
      <c r="G52" s="190">
        <f t="shared" si="55"/>
        <v>0.39829210608363264</v>
      </c>
      <c r="H52" s="190">
        <f t="shared" si="56"/>
        <v>0.28227365973799468</v>
      </c>
      <c r="I52" s="130">
        <f t="shared" si="57"/>
        <v>1.9757439569406841</v>
      </c>
      <c r="J52" s="130">
        <f t="shared" si="58"/>
        <v>1.3151103970261868E-2</v>
      </c>
      <c r="K52" s="136">
        <f>R50+R51+R52</f>
        <v>14580137989</v>
      </c>
      <c r="L52" s="190">
        <f>U52/U49-1</f>
        <v>0.18404010749510102</v>
      </c>
      <c r="M52" s="190">
        <f>K52/K40-1</f>
        <v>0.16950707679492893</v>
      </c>
      <c r="N52" s="191">
        <f>AVERAGE(T50:T52)</f>
        <v>1.9793285493101209</v>
      </c>
      <c r="O52" s="192">
        <f>N52/N49-1</f>
        <v>-1.0266684209961463E-2</v>
      </c>
      <c r="P52" s="129" t="s">
        <v>1403</v>
      </c>
      <c r="Q52" s="116">
        <v>4487552</v>
      </c>
      <c r="R52" s="116">
        <v>6604288620</v>
      </c>
      <c r="S52" s="116">
        <v>2271322.65</v>
      </c>
      <c r="T52" s="130">
        <f t="shared" si="59"/>
        <v>1.9757439569406841</v>
      </c>
      <c r="U52" s="85">
        <f t="shared" ref="U52" si="60">Q50+Q51+Q52</f>
        <v>10047286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167303.71428571429</v>
      </c>
      <c r="G53" s="190">
        <f t="shared" ref="G53" si="61">F53/F52-1</f>
        <v>-0.17980187989226315</v>
      </c>
      <c r="H53" s="190">
        <f t="shared" ref="H53" si="62">F53/F41-1</f>
        <v>-0.26244077427479306</v>
      </c>
      <c r="I53" s="130">
        <f t="shared" ref="I53" si="63">T53</f>
        <v>1.9624843634669142</v>
      </c>
      <c r="J53" s="130">
        <f t="shared" ref="J53" si="64">I53/I41-1</f>
        <v>8.4251109376221045E-3</v>
      </c>
      <c r="K53" s="136"/>
      <c r="L53" s="190"/>
      <c r="M53" s="190"/>
      <c r="N53" s="191"/>
      <c r="O53" s="192"/>
      <c r="P53" s="129" t="s">
        <v>1414</v>
      </c>
      <c r="Q53" s="116">
        <v>3513378</v>
      </c>
      <c r="R53" s="116">
        <v>5116682812</v>
      </c>
      <c r="S53" s="116">
        <v>1790270.57</v>
      </c>
      <c r="T53" s="130">
        <f t="shared" ref="T53" si="65">Q53/S53</f>
        <v>1.9624843634669142</v>
      </c>
      <c r="U53" s="85">
        <f t="shared" ref="U53" si="66">Q51+Q52+Q53</f>
        <v>10918484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154738.35294117648</v>
      </c>
      <c r="G54" s="190">
        <f t="shared" ref="G54" si="67">F54/F53-1</f>
        <v>-7.5105094935783767E-2</v>
      </c>
      <c r="H54" s="190">
        <f t="shared" ref="H54" si="68">F54/F42-1</f>
        <v>6.2088665793891051E-2</v>
      </c>
      <c r="I54" s="130">
        <f t="shared" ref="I54" si="69">T54</f>
        <v>1.9610777631768197</v>
      </c>
      <c r="J54" s="130">
        <f t="shared" ref="J54" si="70">I54/I42-1</f>
        <v>1.6606378248488651E-2</v>
      </c>
      <c r="K54" s="136"/>
      <c r="L54" s="190"/>
      <c r="M54" s="190"/>
      <c r="N54" s="191"/>
      <c r="O54" s="192"/>
      <c r="P54" s="129" t="s">
        <v>1417</v>
      </c>
      <c r="Q54" s="116">
        <v>2630552</v>
      </c>
      <c r="R54" s="116">
        <v>3811401996</v>
      </c>
      <c r="S54" s="116">
        <v>1341380.77</v>
      </c>
      <c r="T54" s="130">
        <f t="shared" ref="T54" si="71">Q54/S54</f>
        <v>1.9610777631768197</v>
      </c>
      <c r="U54" s="85">
        <f t="shared" ref="U54" si="72">Q52+Q53+Q54</f>
        <v>10631482</v>
      </c>
    </row>
    <row r="55" spans="1:26" s="79" customFormat="1" ht="13.2">
      <c r="A55" s="129" t="s">
        <v>1418</v>
      </c>
      <c r="B55" s="188">
        <f>SUM(F53:F55)</f>
        <v>466936.82913165266</v>
      </c>
      <c r="C55" s="188">
        <f>AVERAGE(F53:F55)</f>
        <v>155645.6097105509</v>
      </c>
      <c r="D55" s="190">
        <f>C55/C52-1</f>
        <v>-5.9817934705992837E-2</v>
      </c>
      <c r="E55" s="287">
        <f>C55/C43-1</f>
        <v>-0.10001878433632927</v>
      </c>
      <c r="F55" s="136">
        <f>Q55/21</f>
        <v>144894.76190476189</v>
      </c>
      <c r="G55" s="190">
        <f t="shared" ref="G55" si="73">F55/F54-1</f>
        <v>-6.3614422987664954E-2</v>
      </c>
      <c r="H55" s="190">
        <f t="shared" ref="H55" si="74">F55/F43-1</f>
        <v>-9.6237978796578361E-3</v>
      </c>
      <c r="I55" s="130">
        <f>T55</f>
        <v>1.9707162060114269</v>
      </c>
      <c r="J55" s="130">
        <f t="shared" ref="J55" si="75">I55/I43-1</f>
        <v>1.4484262847958895E-2</v>
      </c>
      <c r="K55" s="136">
        <f>R53+R54+R55</f>
        <v>13404757658</v>
      </c>
      <c r="L55" s="190">
        <f>U55/U52-1</f>
        <v>-8.5651587901449222E-2</v>
      </c>
      <c r="M55" s="190">
        <f>K55/K43-1</f>
        <v>-7.0782687386650056E-2</v>
      </c>
      <c r="N55" s="191">
        <f>AVERAGE(T53:T55)</f>
        <v>1.9647594442183871</v>
      </c>
      <c r="O55" s="192">
        <f>N55/N52-1</f>
        <v>-7.3606299958699495E-3</v>
      </c>
      <c r="P55" s="129" t="s">
        <v>1418</v>
      </c>
      <c r="Q55" s="116">
        <v>3042790</v>
      </c>
      <c r="R55" s="116">
        <v>4476672850</v>
      </c>
      <c r="S55" s="116">
        <v>1544002.12</v>
      </c>
      <c r="T55" s="130">
        <f t="shared" ref="T55" si="76">Q55/S55</f>
        <v>1.9707162060114269</v>
      </c>
      <c r="U55" s="85">
        <f t="shared" ref="U55" si="77">Q53+Q54+Q55</f>
        <v>9186720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127098.31818181818</v>
      </c>
      <c r="G56" s="190">
        <f t="shared" ref="G56" si="78">F56/F55-1</f>
        <v>-0.12282323728611511</v>
      </c>
      <c r="H56" s="190">
        <f t="shared" ref="H56" si="79">F56/F44-1</f>
        <v>-0.2376993493559808</v>
      </c>
      <c r="I56" s="291">
        <f>T56</f>
        <v>1.9484862259531375</v>
      </c>
      <c r="J56" s="130">
        <f t="shared" ref="J56" si="80">I56/I44-1</f>
        <v>1.2157431227942217E-2</v>
      </c>
      <c r="K56" s="136"/>
      <c r="L56" s="190"/>
      <c r="M56" s="190"/>
      <c r="N56" s="191"/>
      <c r="O56" s="192"/>
      <c r="P56" s="129" t="s">
        <v>1420</v>
      </c>
      <c r="Q56" s="116">
        <v>2796163</v>
      </c>
      <c r="R56" s="116">
        <v>4165682277</v>
      </c>
      <c r="S56" s="116">
        <v>1435043.76</v>
      </c>
      <c r="T56" s="130">
        <f t="shared" ref="T56" si="81">Q56/S56</f>
        <v>1.9484862259531375</v>
      </c>
      <c r="U56" s="85">
        <f t="shared" ref="U56" si="82">Q54+Q55+Q56</f>
        <v>8469505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121735.41666666667</v>
      </c>
      <c r="G57" s="254">
        <f t="shared" ref="G57" si="83">F57/F56-1</f>
        <v>-4.2194905423372342E-2</v>
      </c>
      <c r="H57" s="254">
        <f t="shared" ref="H57" si="84">F57/F45-1</f>
        <v>-0.3014781651109425</v>
      </c>
      <c r="I57" s="282">
        <f>T57</f>
        <v>1.9633668466397769</v>
      </c>
      <c r="J57" s="277">
        <f t="shared" ref="J57" si="85">I57/I45-1</f>
        <v>2.3861884543285861E-3</v>
      </c>
      <c r="K57" s="204"/>
      <c r="L57" s="254"/>
      <c r="M57" s="254"/>
      <c r="N57" s="257"/>
      <c r="O57" s="258"/>
      <c r="P57" s="129" t="s">
        <v>1436</v>
      </c>
      <c r="Q57" s="116">
        <v>1460825</v>
      </c>
      <c r="R57" s="116">
        <v>2149027743</v>
      </c>
      <c r="S57" s="116">
        <v>744040.78</v>
      </c>
      <c r="T57" s="130">
        <f t="shared" ref="T57" si="86">Q57/S57</f>
        <v>1.9633668466397769</v>
      </c>
      <c r="U57" s="85">
        <f t="shared" ref="U57" si="87">Q55+Q56+Q57</f>
        <v>7299778</v>
      </c>
    </row>
    <row r="58" spans="1:26">
      <c r="B58" s="196">
        <f>SUM(F56:F58)</f>
        <v>248833.73484848486</v>
      </c>
      <c r="C58" s="196">
        <f>AVERAGE(F56:F58)</f>
        <v>124416.86742424243</v>
      </c>
      <c r="D58" s="197">
        <f>C58/C55-1</f>
        <v>-0.20064004596328511</v>
      </c>
      <c r="E58" s="233">
        <f>C58/C46-1</f>
        <v>-0.18966916550710444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13443708</v>
      </c>
      <c r="R65" s="212">
        <v>19719467678</v>
      </c>
      <c r="S65" s="213">
        <v>6854738.0199999996</v>
      </c>
      <c r="T65" s="214">
        <v>47</v>
      </c>
      <c r="U65" s="214">
        <v>80</v>
      </c>
    </row>
    <row r="66" spans="16:21" ht="18" thickBot="1">
      <c r="P66" s="180" t="s">
        <v>976</v>
      </c>
      <c r="Q66" s="181">
        <v>3513378</v>
      </c>
      <c r="R66" s="181">
        <v>5116682812</v>
      </c>
      <c r="S66" s="182">
        <v>1790270.57</v>
      </c>
      <c r="T66" s="210">
        <v>29</v>
      </c>
      <c r="U66" s="210">
        <v>49</v>
      </c>
    </row>
    <row r="67" spans="16:21" ht="18" thickBot="1">
      <c r="P67" s="180" t="s">
        <v>977</v>
      </c>
      <c r="Q67" s="181">
        <v>2630552</v>
      </c>
      <c r="R67" s="181">
        <v>3811401996</v>
      </c>
      <c r="S67" s="182">
        <v>1341380.77</v>
      </c>
      <c r="T67" s="210">
        <v>24</v>
      </c>
      <c r="U67" s="210">
        <v>36</v>
      </c>
    </row>
    <row r="68" spans="16:21" ht="18" thickBot="1">
      <c r="P68" s="180" t="s">
        <v>978</v>
      </c>
      <c r="Q68" s="181">
        <v>3042790</v>
      </c>
      <c r="R68" s="181">
        <v>4476672850</v>
      </c>
      <c r="S68" s="182">
        <v>1544002.12</v>
      </c>
      <c r="T68" s="210">
        <v>24</v>
      </c>
      <c r="U68" s="210">
        <v>40</v>
      </c>
    </row>
    <row r="69" spans="16:21" ht="18" thickBot="1">
      <c r="P69" s="180" t="s">
        <v>979</v>
      </c>
      <c r="Q69" s="181">
        <v>2796163</v>
      </c>
      <c r="R69" s="181">
        <v>4165682277</v>
      </c>
      <c r="S69" s="182">
        <v>1435043.76</v>
      </c>
      <c r="T69" s="210">
        <v>24</v>
      </c>
      <c r="U69" s="210">
        <v>38</v>
      </c>
    </row>
    <row r="70" spans="16:21" ht="18" thickBot="1">
      <c r="P70" s="180" t="s">
        <v>980</v>
      </c>
      <c r="Q70" s="181">
        <v>1460825</v>
      </c>
      <c r="R70" s="181">
        <v>2149027743</v>
      </c>
      <c r="S70" s="182">
        <v>744040.78</v>
      </c>
      <c r="T70" s="210">
        <v>16</v>
      </c>
      <c r="U70" s="210">
        <v>27</v>
      </c>
    </row>
    <row r="71" spans="16:21" ht="18" thickBot="1">
      <c r="P71" s="180" t="s">
        <v>975</v>
      </c>
      <c r="Q71" s="181">
        <v>37851303</v>
      </c>
      <c r="R71" s="181">
        <v>54033190850</v>
      </c>
      <c r="S71" s="182">
        <v>19241850.609999999</v>
      </c>
      <c r="T71" s="210">
        <v>87</v>
      </c>
      <c r="U71" s="210">
        <v>142</v>
      </c>
    </row>
    <row r="72" spans="16:21" ht="18" thickBot="1">
      <c r="P72" s="180" t="s">
        <v>982</v>
      </c>
      <c r="Q72" s="181">
        <v>35194027</v>
      </c>
      <c r="R72" s="181">
        <v>47819818709</v>
      </c>
      <c r="S72" s="182">
        <v>18016435.309999999</v>
      </c>
      <c r="T72" s="210">
        <v>76</v>
      </c>
      <c r="U72" s="210">
        <v>132</v>
      </c>
    </row>
    <row r="73" spans="16:21" ht="18" thickBot="1">
      <c r="P73" s="215" t="s">
        <v>1386</v>
      </c>
      <c r="Q73" s="216">
        <v>29805513</v>
      </c>
      <c r="R73" s="216">
        <v>38888252859</v>
      </c>
      <c r="S73" s="272">
        <v>15012178.720000001</v>
      </c>
      <c r="T73" s="217">
        <v>72</v>
      </c>
      <c r="U73" s="217">
        <v>129</v>
      </c>
    </row>
    <row r="74" spans="16:21" ht="18" thickBot="1">
      <c r="P74" s="180" t="s">
        <v>1387</v>
      </c>
      <c r="Q74" s="181">
        <v>22568745</v>
      </c>
      <c r="R74"/>
      <c r="S74"/>
      <c r="T74"/>
      <c r="U74"/>
    </row>
  </sheetData>
  <phoneticPr fontId="1" type="noConversion"/>
  <conditionalFormatting sqref="C29:C30">
    <cfRule type="cellIs" dxfId="14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72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265785.45</v>
      </c>
      <c r="G5" s="90"/>
      <c r="H5" s="90"/>
      <c r="I5" s="130">
        <f t="shared" ref="I5:I49" si="0">T5</f>
        <v>3.3325828342163124</v>
      </c>
      <c r="J5" s="130"/>
      <c r="K5" s="86"/>
      <c r="L5" s="80"/>
      <c r="M5" s="80"/>
      <c r="N5" s="79"/>
      <c r="O5" s="79"/>
      <c r="P5" s="129" t="s">
        <v>0</v>
      </c>
      <c r="Q5" s="116">
        <v>5315709</v>
      </c>
      <c r="R5" s="116">
        <v>6272238341</v>
      </c>
      <c r="S5" s="116">
        <v>1595071.83</v>
      </c>
      <c r="T5" s="130">
        <f t="shared" ref="T5:T33" si="1">Q5/S5</f>
        <v>3.3325828342163124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394816.88888888888</v>
      </c>
      <c r="G6" s="90">
        <f t="shared" ref="G6:G33" si="2">F6/F5-1</f>
        <v>0.48547216895766443</v>
      </c>
      <c r="H6" s="90"/>
      <c r="I6" s="130">
        <f t="shared" si="0"/>
        <v>3.3113409264901832</v>
      </c>
      <c r="J6" s="130"/>
      <c r="K6" s="78"/>
      <c r="L6" s="87"/>
      <c r="M6" s="87"/>
      <c r="N6" s="79"/>
      <c r="O6" s="79"/>
      <c r="P6" s="129" t="s">
        <v>1</v>
      </c>
      <c r="Q6" s="116">
        <v>7106704</v>
      </c>
      <c r="R6" s="116">
        <v>8440728690</v>
      </c>
      <c r="S6" s="116">
        <v>2146171.04</v>
      </c>
      <c r="T6" s="130">
        <f t="shared" si="1"/>
        <v>3.3113409264901832</v>
      </c>
      <c r="U6" s="85"/>
    </row>
    <row r="7" spans="1:21" ht="15" hidden="1" customHeight="1">
      <c r="A7" s="129" t="s">
        <v>2</v>
      </c>
      <c r="B7" s="131">
        <f>F5+F6+F7</f>
        <v>1106366.7025252525</v>
      </c>
      <c r="C7" s="131">
        <f>AVERAGE(F5:F7)</f>
        <v>368788.90084175084</v>
      </c>
      <c r="D7" s="117"/>
      <c r="F7" s="78">
        <f>Q7/22</f>
        <v>445764.36363636365</v>
      </c>
      <c r="G7" s="90">
        <f t="shared" si="2"/>
        <v>0.12904076847080526</v>
      </c>
      <c r="H7" s="90"/>
      <c r="I7" s="130">
        <f t="shared" si="0"/>
        <v>3.0533804875207116</v>
      </c>
      <c r="J7" s="130"/>
      <c r="K7" s="85">
        <f>R5+R6+R7</f>
        <v>26536134259</v>
      </c>
      <c r="L7" s="87"/>
      <c r="M7" s="87"/>
      <c r="N7" s="88">
        <f>AVERAGE(T5:T7)</f>
        <v>3.2324347494090695</v>
      </c>
      <c r="O7" s="79"/>
      <c r="P7" s="129" t="s">
        <v>2</v>
      </c>
      <c r="Q7" s="116">
        <v>9806816</v>
      </c>
      <c r="R7" s="116">
        <v>11823167228</v>
      </c>
      <c r="S7" s="116">
        <v>3211789.7</v>
      </c>
      <c r="T7" s="130">
        <f t="shared" si="1"/>
        <v>3.0533804875207116</v>
      </c>
      <c r="U7" s="85">
        <f>Q5+Q6+Q7</f>
        <v>22229229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521344.85714285716</v>
      </c>
      <c r="G8" s="90">
        <f t="shared" si="2"/>
        <v>0.16955257008420044</v>
      </c>
      <c r="H8" s="90"/>
      <c r="I8" s="130">
        <f t="shared" si="0"/>
        <v>3.2003157590675717</v>
      </c>
      <c r="J8" s="130"/>
      <c r="K8" s="78"/>
      <c r="L8" s="87"/>
      <c r="M8" s="87"/>
      <c r="N8" s="79"/>
      <c r="O8" s="79"/>
      <c r="P8" s="129" t="s">
        <v>3</v>
      </c>
      <c r="Q8" s="116">
        <v>10948242</v>
      </c>
      <c r="R8" s="116">
        <v>13265032124</v>
      </c>
      <c r="S8" s="116">
        <v>3420988.06</v>
      </c>
      <c r="T8" s="130">
        <f t="shared" si="1"/>
        <v>3.2003157590675717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440667.57142857142</v>
      </c>
      <c r="G9" s="90">
        <f t="shared" si="2"/>
        <v>-0.1547484061824721</v>
      </c>
      <c r="H9" s="90"/>
      <c r="I9" s="130">
        <f t="shared" si="0"/>
        <v>3.2531198265561279</v>
      </c>
      <c r="J9" s="130"/>
      <c r="K9" s="78"/>
      <c r="L9" s="87"/>
      <c r="M9" s="87"/>
      <c r="N9" s="79"/>
      <c r="O9" s="79"/>
      <c r="P9" s="129" t="s">
        <v>4</v>
      </c>
      <c r="Q9" s="116">
        <v>9254019</v>
      </c>
      <c r="R9" s="116">
        <v>11621476623</v>
      </c>
      <c r="S9" s="116">
        <v>2844659.74</v>
      </c>
      <c r="T9" s="130">
        <f t="shared" si="1"/>
        <v>3.2531198265561279</v>
      </c>
      <c r="U9" s="85"/>
    </row>
    <row r="10" spans="1:21" ht="15" hidden="1" customHeight="1">
      <c r="A10" s="129" t="s">
        <v>5</v>
      </c>
      <c r="B10" s="131">
        <f>F8+F9+F10</f>
        <v>1304701.7142857143</v>
      </c>
      <c r="C10" s="131">
        <f>AVERAGE(F8:F10)</f>
        <v>434900.57142857142</v>
      </c>
      <c r="D10" s="90">
        <f>C10/C7-1</f>
        <v>0.17926697478129761</v>
      </c>
      <c r="E10" s="286"/>
      <c r="F10" s="78">
        <f>Q10/21</f>
        <v>342689.28571428574</v>
      </c>
      <c r="G10" s="90">
        <f t="shared" si="2"/>
        <v>-0.22234058520951805</v>
      </c>
      <c r="H10" s="90"/>
      <c r="I10" s="130">
        <f t="shared" si="0"/>
        <v>3.0973615660180198</v>
      </c>
      <c r="J10" s="130"/>
      <c r="K10" s="85">
        <f>R8+R9+R10</f>
        <v>33961722449</v>
      </c>
      <c r="L10" s="87">
        <f>U10/U7-1</f>
        <v>0.23255448940671752</v>
      </c>
      <c r="M10" s="87"/>
      <c r="N10" s="88">
        <f>AVERAGE(T8:T10)</f>
        <v>3.1835990505472398</v>
      </c>
      <c r="O10" s="89">
        <f>N10/N7-1</f>
        <v>-1.5108023099540513E-2</v>
      </c>
      <c r="P10" s="129" t="s">
        <v>5</v>
      </c>
      <c r="Q10" s="116">
        <v>7196475</v>
      </c>
      <c r="R10" s="116">
        <v>9075213702</v>
      </c>
      <c r="S10" s="116">
        <v>2323421.0299999998</v>
      </c>
      <c r="T10" s="130">
        <f t="shared" si="1"/>
        <v>3.0973615660180198</v>
      </c>
      <c r="U10" s="85">
        <f>Q8+Q9+Q10</f>
        <v>27398736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283044.14285714284</v>
      </c>
      <c r="G11" s="90">
        <f t="shared" si="2"/>
        <v>-0.17405021208299909</v>
      </c>
      <c r="H11" s="90"/>
      <c r="I11" s="130">
        <f t="shared" si="0"/>
        <v>3.3294151543272612</v>
      </c>
      <c r="J11" s="130"/>
      <c r="K11" s="78"/>
      <c r="L11" s="87"/>
      <c r="M11" s="87"/>
      <c r="N11" s="79"/>
      <c r="O11" s="89"/>
      <c r="P11" s="129" t="s">
        <v>6</v>
      </c>
      <c r="Q11" s="116">
        <v>5943927</v>
      </c>
      <c r="R11" s="116">
        <v>7669019664</v>
      </c>
      <c r="S11" s="116">
        <v>1785276.61</v>
      </c>
      <c r="T11" s="130">
        <f t="shared" si="1"/>
        <v>3.3294151543272612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286271.54545454547</v>
      </c>
      <c r="G12" s="90">
        <f t="shared" si="2"/>
        <v>1.1402470882541982E-2</v>
      </c>
      <c r="H12" s="90"/>
      <c r="I12" s="130">
        <f t="shared" si="0"/>
        <v>3.4009280197795073</v>
      </c>
      <c r="J12" s="130"/>
      <c r="K12" s="78"/>
      <c r="L12" s="87"/>
      <c r="M12" s="87"/>
      <c r="N12" s="79"/>
      <c r="O12" s="89"/>
      <c r="P12" s="129" t="s">
        <v>7</v>
      </c>
      <c r="Q12" s="116">
        <v>6297974</v>
      </c>
      <c r="R12" s="116">
        <v>8177929205</v>
      </c>
      <c r="S12" s="116">
        <v>1851839.84</v>
      </c>
      <c r="T12" s="130">
        <f t="shared" si="1"/>
        <v>3.4009280197795073</v>
      </c>
      <c r="U12" s="85"/>
    </row>
    <row r="13" spans="1:21" ht="15" hidden="1" customHeight="1">
      <c r="A13" s="129" t="s">
        <v>96</v>
      </c>
      <c r="B13" s="131">
        <f>F11+F12+F13</f>
        <v>809290.63831168832</v>
      </c>
      <c r="C13" s="131">
        <f>AVERAGE(F11:F13)</f>
        <v>269763.54610389611</v>
      </c>
      <c r="D13" s="90">
        <f>C13/C10-1</f>
        <v>-0.37971213691954786</v>
      </c>
      <c r="E13" s="286"/>
      <c r="F13" s="78">
        <f>Q13/20</f>
        <v>239974.95</v>
      </c>
      <c r="G13" s="90">
        <f t="shared" si="2"/>
        <v>-0.1617226587470828</v>
      </c>
      <c r="H13" s="90"/>
      <c r="I13" s="130">
        <f t="shared" si="0"/>
        <v>3.3860505904071991</v>
      </c>
      <c r="J13" s="130"/>
      <c r="K13" s="78">
        <f>R11+R12+R13</f>
        <v>22432310138</v>
      </c>
      <c r="L13" s="87">
        <f>U13/U10-1</f>
        <v>-0.37802240220132788</v>
      </c>
      <c r="M13" s="87"/>
      <c r="N13" s="88">
        <f>AVERAGE(T11:T13)</f>
        <v>3.3721312548379889</v>
      </c>
      <c r="O13" s="89">
        <f>N13/N10-1</f>
        <v>5.9219833056031845E-2</v>
      </c>
      <c r="P13" s="129" t="s">
        <v>96</v>
      </c>
      <c r="Q13" s="116">
        <v>4799499</v>
      </c>
      <c r="R13" s="116">
        <v>6585361269</v>
      </c>
      <c r="S13" s="116">
        <v>1417432.75</v>
      </c>
      <c r="T13" s="130">
        <f t="shared" si="1"/>
        <v>3.3860505904071991</v>
      </c>
      <c r="U13" s="85">
        <f>Q11+Q12+Q13</f>
        <v>17041400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193800.55</v>
      </c>
      <c r="G14" s="90">
        <f t="shared" si="2"/>
        <v>-0.19241341648367893</v>
      </c>
      <c r="H14" s="90"/>
      <c r="I14" s="130">
        <f t="shared" si="0"/>
        <v>3.3422042621313026</v>
      </c>
      <c r="J14" s="130"/>
      <c r="K14" s="78"/>
      <c r="L14" s="87"/>
      <c r="M14" s="87"/>
      <c r="N14" s="79"/>
      <c r="O14" s="89"/>
      <c r="P14" s="129" t="s">
        <v>97</v>
      </c>
      <c r="Q14" s="116">
        <v>3876011</v>
      </c>
      <c r="R14" s="116">
        <v>5526856090</v>
      </c>
      <c r="S14" s="116">
        <v>1159716.97</v>
      </c>
      <c r="T14" s="130">
        <f t="shared" si="1"/>
        <v>3.3422042621313026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155435.68181818182</v>
      </c>
      <c r="G15" s="90">
        <f t="shared" si="2"/>
        <v>-0.19796057432147729</v>
      </c>
      <c r="H15" s="90"/>
      <c r="I15" s="130">
        <f t="shared" si="0"/>
        <v>3.3850305740497939</v>
      </c>
      <c r="J15" s="130"/>
      <c r="K15" s="78"/>
      <c r="L15" s="87"/>
      <c r="M15" s="87"/>
      <c r="N15" s="79"/>
      <c r="O15" s="89"/>
      <c r="P15" s="129" t="s">
        <v>98</v>
      </c>
      <c r="Q15" s="116">
        <v>3419585</v>
      </c>
      <c r="R15" s="116">
        <v>4755789538</v>
      </c>
      <c r="S15" s="116">
        <v>1010208.01</v>
      </c>
      <c r="T15" s="130">
        <f t="shared" si="1"/>
        <v>3.3850305740497939</v>
      </c>
      <c r="U15" s="78"/>
    </row>
    <row r="16" spans="1:21" ht="15" hidden="1" customHeight="1">
      <c r="A16" s="129" t="s">
        <v>99</v>
      </c>
      <c r="B16" s="131">
        <f>F14+F15+F16</f>
        <v>514709.55</v>
      </c>
      <c r="C16" s="131">
        <f>AVERAGE(F14:F16)</f>
        <v>171569.85</v>
      </c>
      <c r="D16" s="90">
        <f>C16/C13-1</f>
        <v>-0.36399913006065698</v>
      </c>
      <c r="E16" s="286"/>
      <c r="F16" s="78">
        <f>Q16/22</f>
        <v>165473.31818181818</v>
      </c>
      <c r="G16" s="90">
        <f t="shared" si="2"/>
        <v>6.4577426793017256E-2</v>
      </c>
      <c r="H16" s="90"/>
      <c r="I16" s="130">
        <f t="shared" si="0"/>
        <v>3.3768203298402577</v>
      </c>
      <c r="J16" s="130"/>
      <c r="K16" s="78">
        <f>R14+R15+R16</f>
        <v>15042167280</v>
      </c>
      <c r="L16" s="87">
        <f>U16/U13-1</f>
        <v>-0.35826815871935402</v>
      </c>
      <c r="M16" s="87"/>
      <c r="N16" s="88">
        <f>AVERAGE(T14:T16)</f>
        <v>3.3680183886737844</v>
      </c>
      <c r="O16" s="89">
        <f>N16/N13-1</f>
        <v>-1.2196637240332597E-3</v>
      </c>
      <c r="P16" s="129" t="s">
        <v>99</v>
      </c>
      <c r="Q16" s="116">
        <v>3640413</v>
      </c>
      <c r="R16" s="116">
        <v>4759521652</v>
      </c>
      <c r="S16" s="116">
        <v>1078059.43</v>
      </c>
      <c r="T16" s="130">
        <f t="shared" si="1"/>
        <v>3.3768203298402577</v>
      </c>
      <c r="U16" s="85">
        <f>Q14+Q15+Q16</f>
        <v>10936009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275721.7</v>
      </c>
      <c r="G17" s="90">
        <f t="shared" si="2"/>
        <v>0.66626077865341116</v>
      </c>
      <c r="H17" s="90">
        <f t="shared" ref="H17:H32" si="3">F17/F5-1</f>
        <v>3.7384476840248482E-2</v>
      </c>
      <c r="I17" s="130">
        <f t="shared" si="0"/>
        <v>3.5081788750748726</v>
      </c>
      <c r="J17" s="130">
        <f t="shared" ref="J17:J49" si="4">I17/I5-1</f>
        <v>5.2690675549210475E-2</v>
      </c>
      <c r="K17" s="78"/>
      <c r="L17" s="87"/>
      <c r="M17" s="87"/>
      <c r="N17" s="79"/>
      <c r="O17" s="89"/>
      <c r="P17" s="129" t="s">
        <v>100</v>
      </c>
      <c r="Q17" s="116">
        <v>5514434</v>
      </c>
      <c r="R17" s="116">
        <v>6912448665</v>
      </c>
      <c r="S17" s="116">
        <v>1571879.37</v>
      </c>
      <c r="T17" s="130">
        <f t="shared" si="1"/>
        <v>3.5081788750748726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543885.65</v>
      </c>
      <c r="G18" s="90">
        <f t="shared" si="2"/>
        <v>0.97258920861143672</v>
      </c>
      <c r="H18" s="90">
        <f t="shared" si="3"/>
        <v>0.37756429703558791</v>
      </c>
      <c r="I18" s="130">
        <f t="shared" si="0"/>
        <v>3.2741292164461639</v>
      </c>
      <c r="J18" s="130">
        <f t="shared" si="4"/>
        <v>-1.1237655943648561E-2</v>
      </c>
      <c r="K18" s="78"/>
      <c r="L18" s="87"/>
      <c r="M18" s="87"/>
      <c r="N18" s="79"/>
      <c r="O18" s="89"/>
      <c r="P18" s="129" t="s">
        <v>106</v>
      </c>
      <c r="Q18" s="116">
        <v>10877713</v>
      </c>
      <c r="R18" s="116">
        <v>13659116788</v>
      </c>
      <c r="S18" s="116">
        <v>3322322.45</v>
      </c>
      <c r="T18" s="130">
        <f t="shared" si="1"/>
        <v>3.2741292164461639</v>
      </c>
      <c r="U18" s="78"/>
    </row>
    <row r="19" spans="1:21" hidden="1">
      <c r="A19" s="129" t="s">
        <v>114</v>
      </c>
      <c r="B19" s="131">
        <f>SUM(F17:F19)</f>
        <v>1360973.0772727274</v>
      </c>
      <c r="C19" s="131">
        <f>AVERAGE(F17:F19)</f>
        <v>453657.69242424244</v>
      </c>
      <c r="D19" s="90">
        <f>C19/C16-1</f>
        <v>1.6441574229052622</v>
      </c>
      <c r="E19" s="286">
        <f>C19/C7-1</f>
        <v>0.2301283780200023</v>
      </c>
      <c r="F19" s="78">
        <f>Q19/22</f>
        <v>541365.72727272729</v>
      </c>
      <c r="G19" s="90">
        <f t="shared" si="2"/>
        <v>-4.6331848013874133E-3</v>
      </c>
      <c r="H19" s="90">
        <f t="shared" si="3"/>
        <v>0.21446614273174913</v>
      </c>
      <c r="I19" s="130">
        <f t="shared" si="0"/>
        <v>3.2021768351690598</v>
      </c>
      <c r="J19" s="130">
        <f t="shared" si="4"/>
        <v>4.8731675680933062E-2</v>
      </c>
      <c r="K19" s="78">
        <f>R17+R18+R19</f>
        <v>36140134730</v>
      </c>
      <c r="L19" s="87">
        <f>U19/U16-1</f>
        <v>1.5879818679739564</v>
      </c>
      <c r="M19" s="87">
        <f>U19/U7-1</f>
        <v>0.27319723954438535</v>
      </c>
      <c r="N19" s="88">
        <f>AVERAGE(T17:T19)</f>
        <v>3.3281616422300324</v>
      </c>
      <c r="O19" s="89">
        <f>N19/N16-1</f>
        <v>-1.1833886233455604E-2</v>
      </c>
      <c r="P19" s="129" t="s">
        <v>114</v>
      </c>
      <c r="Q19" s="116">
        <v>11910046</v>
      </c>
      <c r="R19" s="116">
        <v>15568569277</v>
      </c>
      <c r="S19" s="116">
        <v>3719359.24</v>
      </c>
      <c r="T19" s="130">
        <f t="shared" si="1"/>
        <v>3.2021768351690598</v>
      </c>
      <c r="U19" s="85">
        <f>Q17+Q18+Q19</f>
        <v>28302193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554340.94999999995</v>
      </c>
      <c r="G20" s="90">
        <f t="shared" si="2"/>
        <v>2.3967573257063668E-2</v>
      </c>
      <c r="H20" s="90">
        <f t="shared" si="3"/>
        <v>6.3290339216104163E-2</v>
      </c>
      <c r="I20" s="130">
        <f t="shared" si="0"/>
        <v>3.2719125192171927</v>
      </c>
      <c r="J20" s="130">
        <f t="shared" si="4"/>
        <v>2.2371780017881981E-2</v>
      </c>
      <c r="K20" s="78"/>
      <c r="L20" s="87"/>
      <c r="M20" s="87"/>
      <c r="N20" s="79"/>
      <c r="O20" s="89"/>
      <c r="P20" s="129" t="s">
        <v>131</v>
      </c>
      <c r="Q20" s="116">
        <v>11086819</v>
      </c>
      <c r="R20" s="116">
        <v>14533838159</v>
      </c>
      <c r="S20" s="116">
        <v>3388482.71</v>
      </c>
      <c r="T20" s="130">
        <f t="shared" si="1"/>
        <v>3.2719125192171927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469647.52380952379</v>
      </c>
      <c r="G21" s="90">
        <f t="shared" si="2"/>
        <v>-0.1527821933243001</v>
      </c>
      <c r="H21" s="90">
        <f t="shared" si="3"/>
        <v>6.5763750863273573E-2</v>
      </c>
      <c r="I21" s="130">
        <f t="shared" si="0"/>
        <v>3.3392105224569471</v>
      </c>
      <c r="J21" s="130">
        <f t="shared" si="4"/>
        <v>2.6464040825682655E-2</v>
      </c>
      <c r="K21" s="78"/>
      <c r="L21" s="87"/>
      <c r="M21" s="87"/>
      <c r="N21" s="79"/>
      <c r="O21" s="89"/>
      <c r="P21" s="129" t="s">
        <v>141</v>
      </c>
      <c r="Q21" s="116">
        <v>9862598</v>
      </c>
      <c r="R21" s="116">
        <v>13137984565</v>
      </c>
      <c r="S21" s="116">
        <v>2953571.79</v>
      </c>
      <c r="T21" s="130">
        <f t="shared" si="1"/>
        <v>3.3392105224569471</v>
      </c>
      <c r="U21" s="78"/>
    </row>
    <row r="22" spans="1:21" hidden="1">
      <c r="A22" s="129" t="s">
        <v>155</v>
      </c>
      <c r="B22" s="131">
        <f>SUM(F20:F22)</f>
        <v>1510224.3309523808</v>
      </c>
      <c r="C22" s="131">
        <f>AVERAGE(F20:F22)</f>
        <v>503408.11031746026</v>
      </c>
      <c r="D22" s="90">
        <f>C22/C19-1</f>
        <v>0.10966510372030291</v>
      </c>
      <c r="E22" s="286">
        <f>C22/C10-1</f>
        <v>0.15752460076990404</v>
      </c>
      <c r="F22" s="78">
        <f>Q22/21</f>
        <v>486235.85714285716</v>
      </c>
      <c r="G22" s="90">
        <f t="shared" si="2"/>
        <v>3.5320815063130562E-2</v>
      </c>
      <c r="H22" s="90">
        <f t="shared" si="3"/>
        <v>0.41888257792877748</v>
      </c>
      <c r="I22" s="130">
        <f t="shared" si="0"/>
        <v>3.3901769789097118</v>
      </c>
      <c r="J22" s="130">
        <f t="shared" si="4"/>
        <v>9.4537046014985249E-2</v>
      </c>
      <c r="K22" s="78">
        <f>R20+R21+R22</f>
        <v>40959106577</v>
      </c>
      <c r="L22" s="87">
        <f>U22/U19-1</f>
        <v>0.1009878280456924</v>
      </c>
      <c r="M22" s="87">
        <f>U22/U10-1</f>
        <v>0.13729224589046729</v>
      </c>
      <c r="N22" s="88">
        <f>AVERAGE(T20:T22)</f>
        <v>3.3337666735279505</v>
      </c>
      <c r="O22" s="89">
        <f>N22/N19-1</f>
        <v>1.6841223174972608E-3</v>
      </c>
      <c r="P22" s="129" t="s">
        <v>155</v>
      </c>
      <c r="Q22" s="116">
        <v>10210953</v>
      </c>
      <c r="R22" s="116">
        <v>13287283853</v>
      </c>
      <c r="S22" s="116">
        <v>3011923.29</v>
      </c>
      <c r="T22" s="130">
        <f t="shared" si="1"/>
        <v>3.3901769789097118</v>
      </c>
      <c r="U22" s="85">
        <f>Q20+Q21+Q22</f>
        <v>31160370</v>
      </c>
    </row>
    <row r="23" spans="1:21" hidden="1">
      <c r="A23" s="129" t="s">
        <v>189</v>
      </c>
      <c r="B23" s="131"/>
      <c r="C23" s="131"/>
      <c r="D23" s="117"/>
      <c r="F23" s="78">
        <f>Q23/21</f>
        <v>349013.95238095237</v>
      </c>
      <c r="G23" s="90">
        <f t="shared" si="2"/>
        <v>-0.28221263970170074</v>
      </c>
      <c r="H23" s="90">
        <f t="shared" si="3"/>
        <v>0.23307251249889172</v>
      </c>
      <c r="I23" s="130">
        <f t="shared" si="0"/>
        <v>3.5182984431990953</v>
      </c>
      <c r="J23" s="130">
        <f t="shared" si="4"/>
        <v>5.6731672115549081E-2</v>
      </c>
      <c r="K23" s="78"/>
      <c r="L23" s="87"/>
      <c r="M23" s="87"/>
      <c r="N23" s="79"/>
      <c r="O23" s="89"/>
      <c r="P23" s="129" t="s">
        <v>189</v>
      </c>
      <c r="Q23" s="116">
        <v>7329293</v>
      </c>
      <c r="R23" s="116">
        <v>9489916857</v>
      </c>
      <c r="S23" s="116">
        <v>2083192.52</v>
      </c>
      <c r="T23" s="130">
        <f t="shared" si="1"/>
        <v>3.5182984431990953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327904.31818181818</v>
      </c>
      <c r="G24" s="90">
        <f t="shared" si="2"/>
        <v>-6.0483639852004556E-2</v>
      </c>
      <c r="H24" s="90">
        <f t="shared" si="3"/>
        <v>0.14543105449466753</v>
      </c>
      <c r="I24" s="130">
        <f t="shared" si="0"/>
        <v>3.6789809912740887</v>
      </c>
      <c r="J24" s="130">
        <f t="shared" si="4"/>
        <v>8.1757970141516978E-2</v>
      </c>
      <c r="K24" s="78"/>
      <c r="L24" s="87"/>
      <c r="M24" s="87"/>
      <c r="N24" s="79"/>
      <c r="O24" s="89"/>
      <c r="P24" s="129" t="s">
        <v>204</v>
      </c>
      <c r="Q24" s="116">
        <v>7213895</v>
      </c>
      <c r="R24" s="116">
        <v>9466861737</v>
      </c>
      <c r="S24" s="116">
        <v>1960840.52</v>
      </c>
      <c r="T24" s="130">
        <f t="shared" si="1"/>
        <v>3.6789809912740887</v>
      </c>
      <c r="U24" s="78"/>
    </row>
    <row r="25" spans="1:21" s="92" customFormat="1" ht="13.2" hidden="1">
      <c r="A25" s="129" t="s">
        <v>219</v>
      </c>
      <c r="B25" s="131">
        <f>SUM(F23:F25)</f>
        <v>962518.63898382313</v>
      </c>
      <c r="C25" s="131">
        <f>AVERAGE(F23:F25)</f>
        <v>320839.54632794106</v>
      </c>
      <c r="D25" s="90">
        <f>C25/C22-1</f>
        <v>-0.36266512248757266</v>
      </c>
      <c r="E25" s="286">
        <f>C25/C13-1</f>
        <v>0.18933618334173907</v>
      </c>
      <c r="F25" s="78">
        <f>Q25/19</f>
        <v>285600.36842105264</v>
      </c>
      <c r="G25" s="90">
        <f t="shared" si="2"/>
        <v>-0.12901309136559957</v>
      </c>
      <c r="H25" s="90">
        <f t="shared" si="3"/>
        <v>0.19012575446334146</v>
      </c>
      <c r="I25" s="130">
        <f t="shared" si="0"/>
        <v>3.8178336772585126</v>
      </c>
      <c r="J25" s="130">
        <f t="shared" si="4"/>
        <v>0.12751820308726924</v>
      </c>
      <c r="K25" s="78">
        <f>R23+R24+R25</f>
        <v>26161558020</v>
      </c>
      <c r="L25" s="90">
        <f>U25/U22-1</f>
        <v>-0.35913485622924246</v>
      </c>
      <c r="M25" s="90">
        <f>U25/U13-1</f>
        <v>0.17182831222786854</v>
      </c>
      <c r="N25" s="88">
        <f>AVERAGE(T23:T25)</f>
        <v>3.6717043705772325</v>
      </c>
      <c r="O25" s="91">
        <f>N25/N22-1</f>
        <v>0.10136813104909348</v>
      </c>
      <c r="P25" s="129" t="s">
        <v>219</v>
      </c>
      <c r="Q25" s="116">
        <v>5426407</v>
      </c>
      <c r="R25" s="116">
        <v>7204779426</v>
      </c>
      <c r="S25" s="116">
        <v>1421331.43</v>
      </c>
      <c r="T25" s="130">
        <f t="shared" si="1"/>
        <v>3.8178336772585126</v>
      </c>
      <c r="U25" s="85">
        <f>Q23+Q24+Q25</f>
        <v>19969595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229501.89473684211</v>
      </c>
      <c r="G26" s="90">
        <f t="shared" si="2"/>
        <v>-0.19642297380200202</v>
      </c>
      <c r="H26" s="90">
        <f t="shared" si="3"/>
        <v>0.18421694229888463</v>
      </c>
      <c r="I26" s="130">
        <f t="shared" si="0"/>
        <v>3.286969914331213</v>
      </c>
      <c r="J26" s="130">
        <f t="shared" si="4"/>
        <v>-1.6526323189135939E-2</v>
      </c>
      <c r="K26" s="78"/>
      <c r="L26" s="90"/>
      <c r="M26" s="90"/>
      <c r="N26" s="79"/>
      <c r="O26" s="79"/>
      <c r="P26" s="129" t="s">
        <v>312</v>
      </c>
      <c r="Q26" s="116">
        <v>4360536</v>
      </c>
      <c r="R26" s="116">
        <v>5875890699</v>
      </c>
      <c r="S26" s="116">
        <v>1326612.69</v>
      </c>
      <c r="T26" s="130">
        <f t="shared" si="1"/>
        <v>3.286969914331213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236648.31818181818</v>
      </c>
      <c r="G27" s="90">
        <f t="shared" si="2"/>
        <v>3.1138842897878938E-2</v>
      </c>
      <c r="H27" s="90">
        <f t="shared" si="3"/>
        <v>0.5224838686565767</v>
      </c>
      <c r="I27" s="130">
        <f t="shared" si="0"/>
        <v>3.6780164785182401</v>
      </c>
      <c r="J27" s="130">
        <f t="shared" si="4"/>
        <v>8.6553399757900218E-2</v>
      </c>
      <c r="K27" s="78"/>
      <c r="L27" s="90"/>
      <c r="M27" s="90"/>
      <c r="N27" s="79"/>
      <c r="O27" s="79"/>
      <c r="P27" s="129" t="s">
        <v>373</v>
      </c>
      <c r="Q27" s="116">
        <v>5206263</v>
      </c>
      <c r="R27" s="116">
        <v>6877001416</v>
      </c>
      <c r="S27" s="116">
        <v>1415508.34</v>
      </c>
      <c r="T27" s="130">
        <f t="shared" si="1"/>
        <v>3.6780164785182401</v>
      </c>
      <c r="U27" s="78"/>
    </row>
    <row r="28" spans="1:21" s="92" customFormat="1" ht="13.2" hidden="1">
      <c r="A28" s="123" t="s">
        <v>413</v>
      </c>
      <c r="B28" s="131">
        <f>SUM(F26:F28)</f>
        <v>681793.16028708126</v>
      </c>
      <c r="C28" s="131">
        <f>AVERAGE(F26:F28)</f>
        <v>227264.38676236043</v>
      </c>
      <c r="D28" s="90">
        <f>C28/C25-1</f>
        <v>-0.29165718701626098</v>
      </c>
      <c r="E28" s="286">
        <f>C28/C16-1</f>
        <v>0.32461727257067841</v>
      </c>
      <c r="F28" s="78">
        <f>Q28/19</f>
        <v>215642.94736842104</v>
      </c>
      <c r="G28" s="90">
        <f t="shared" si="2"/>
        <v>-8.8761969553735054E-2</v>
      </c>
      <c r="H28" s="90">
        <f t="shared" si="3"/>
        <v>0.30318863329662404</v>
      </c>
      <c r="I28" s="130">
        <f t="shared" si="0"/>
        <v>3.5843740796771435</v>
      </c>
      <c r="J28" s="130">
        <f t="shared" si="4"/>
        <v>6.1464256182887977E-2</v>
      </c>
      <c r="K28" s="78">
        <f>R26+R27+R28</f>
        <v>18103504035</v>
      </c>
      <c r="L28" s="90">
        <f>U28/U25-1</f>
        <v>-0.31575903266941563</v>
      </c>
      <c r="M28" s="90">
        <f>U28/U16-1</f>
        <v>0.24945169668386336</v>
      </c>
      <c r="N28" s="88">
        <f>AVERAGE(T26:T28)</f>
        <v>3.5164534908421992</v>
      </c>
      <c r="O28" s="91">
        <f>N28/N25-1</f>
        <v>-4.2283055514795276E-2</v>
      </c>
      <c r="P28" s="129" t="s">
        <v>413</v>
      </c>
      <c r="Q28" s="116">
        <v>4097216</v>
      </c>
      <c r="R28" s="116">
        <v>5350611920</v>
      </c>
      <c r="S28" s="116">
        <v>1143077.1200000001</v>
      </c>
      <c r="T28" s="130">
        <f t="shared" si="1"/>
        <v>3.5843740796771435</v>
      </c>
      <c r="U28" s="85">
        <f>Q26+Q27+Q28</f>
        <v>13664015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279469.09090909088</v>
      </c>
      <c r="G29" s="190">
        <f t="shared" si="2"/>
        <v>0.2959806676711032</v>
      </c>
      <c r="H29" s="190">
        <f t="shared" si="3"/>
        <v>1.3591207761633806E-2</v>
      </c>
      <c r="I29" s="130">
        <f t="shared" si="0"/>
        <v>3.5282836206753085</v>
      </c>
      <c r="J29" s="130">
        <f t="shared" si="4"/>
        <v>5.7308211229698536E-3</v>
      </c>
      <c r="K29" s="136"/>
      <c r="L29" s="190"/>
      <c r="M29" s="190"/>
      <c r="N29" s="191"/>
      <c r="O29" s="192"/>
      <c r="P29" s="129" t="s">
        <v>426</v>
      </c>
      <c r="Q29" s="116">
        <v>6148320</v>
      </c>
      <c r="R29" s="116">
        <v>8076245337</v>
      </c>
      <c r="S29" s="116">
        <v>1742581</v>
      </c>
      <c r="T29" s="130">
        <f t="shared" si="1"/>
        <v>3.5282836206753085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87"/>
      <c r="F30" s="136">
        <f>Q30/19</f>
        <v>479270.5263157895</v>
      </c>
      <c r="G30" s="190">
        <f t="shared" si="2"/>
        <v>0.71493214064124344</v>
      </c>
      <c r="H30" s="190">
        <f t="shared" si="3"/>
        <v>-0.11880277349514645</v>
      </c>
      <c r="I30" s="130">
        <f t="shared" si="0"/>
        <v>3.2732326236318539</v>
      </c>
      <c r="J30" s="130">
        <f t="shared" si="4"/>
        <v>-2.7384160949006642E-4</v>
      </c>
      <c r="K30" s="136"/>
      <c r="L30" s="190"/>
      <c r="M30" s="190"/>
      <c r="N30" s="191"/>
      <c r="O30" s="192"/>
      <c r="P30" s="129" t="s">
        <v>478</v>
      </c>
      <c r="Q30" s="116">
        <v>9106140</v>
      </c>
      <c r="R30" s="116">
        <v>12134159691</v>
      </c>
      <c r="S30" s="116">
        <v>2782002.09</v>
      </c>
      <c r="T30" s="130">
        <f t="shared" si="1"/>
        <v>3.2732326236318539</v>
      </c>
      <c r="U30" s="85"/>
    </row>
    <row r="31" spans="1:21" s="92" customFormat="1" ht="13.2" hidden="1">
      <c r="A31" s="129" t="s">
        <v>505</v>
      </c>
      <c r="B31" s="188">
        <f>SUM(F29:F31)</f>
        <v>1371202.3672248805</v>
      </c>
      <c r="C31" s="188">
        <f>AVERAGE(F29:F31)</f>
        <v>457067.45574162685</v>
      </c>
      <c r="D31" s="190">
        <f>C31/C28-1</f>
        <v>1.011170611696238</v>
      </c>
      <c r="E31" s="287">
        <f>C31/C19-1</f>
        <v>7.5161589328804901E-3</v>
      </c>
      <c r="F31" s="136">
        <f>Q31/20</f>
        <v>612462.75</v>
      </c>
      <c r="G31" s="190">
        <f t="shared" si="2"/>
        <v>0.27790614354710108</v>
      </c>
      <c r="H31" s="190">
        <f t="shared" si="3"/>
        <v>0.13132900578217743</v>
      </c>
      <c r="I31" s="130">
        <f t="shared" si="0"/>
        <v>3.2565744313513711</v>
      </c>
      <c r="J31" s="130">
        <f t="shared" si="4"/>
        <v>1.6987692742284066E-2</v>
      </c>
      <c r="K31" s="136">
        <f>R29+R30+R31</f>
        <v>36477027311</v>
      </c>
      <c r="L31" s="190">
        <f>U31/U28-1</f>
        <v>1.0128574946675628</v>
      </c>
      <c r="M31" s="190">
        <f>U31/U19-1</f>
        <v>-2.8212584091981796E-2</v>
      </c>
      <c r="N31" s="191">
        <f>AVERAGE(T29:T31)</f>
        <v>3.3526968918861777</v>
      </c>
      <c r="O31" s="192">
        <f>N31/N28-1</f>
        <v>-4.6568680456740896E-2</v>
      </c>
      <c r="P31" s="129" t="s">
        <v>505</v>
      </c>
      <c r="Q31" s="116">
        <v>12249255</v>
      </c>
      <c r="R31" s="116">
        <v>16266622283</v>
      </c>
      <c r="S31" s="116">
        <v>3761392.61</v>
      </c>
      <c r="T31" s="130">
        <f t="shared" si="1"/>
        <v>3.2565744313513711</v>
      </c>
      <c r="U31" s="85">
        <f>Q29+Q30+Q31</f>
        <v>27503715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556865.33333333337</v>
      </c>
      <c r="G32" s="190">
        <f t="shared" si="2"/>
        <v>-9.0776813229321518E-2</v>
      </c>
      <c r="H32" s="190">
        <f t="shared" si="3"/>
        <v>4.5538460280327708E-3</v>
      </c>
      <c r="I32" s="130">
        <f t="shared" si="0"/>
        <v>3.2824204309932594</v>
      </c>
      <c r="J32" s="130">
        <f t="shared" si="4"/>
        <v>3.211550343827918E-3</v>
      </c>
      <c r="K32" s="136"/>
      <c r="L32" s="190"/>
      <c r="M32" s="190"/>
      <c r="N32" s="191"/>
      <c r="O32" s="192"/>
      <c r="P32" s="129" t="s">
        <v>561</v>
      </c>
      <c r="Q32" s="116">
        <v>11694172</v>
      </c>
      <c r="R32" s="116">
        <v>15907695359</v>
      </c>
      <c r="S32" s="116">
        <v>3562667.32</v>
      </c>
      <c r="T32" s="130">
        <f t="shared" si="1"/>
        <v>3.2824204309932594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414315.85714285716</v>
      </c>
      <c r="G33" s="190">
        <f t="shared" si="2"/>
        <v>-0.25598554562050224</v>
      </c>
      <c r="H33" s="190">
        <f t="shared" ref="H33:H38" si="5">F33/F21-1</f>
        <v>-0.11781530586565525</v>
      </c>
      <c r="I33" s="130">
        <f t="shared" si="0"/>
        <v>3.5674057939942942</v>
      </c>
      <c r="J33" s="130">
        <f t="shared" si="4"/>
        <v>6.8338090696193676E-2</v>
      </c>
      <c r="K33" s="136"/>
      <c r="L33" s="190"/>
      <c r="M33" s="190"/>
      <c r="N33" s="191"/>
      <c r="O33" s="192"/>
      <c r="P33" s="129" t="s">
        <v>606</v>
      </c>
      <c r="Q33" s="116">
        <v>8700633</v>
      </c>
      <c r="R33" s="116">
        <v>11894281503</v>
      </c>
      <c r="S33" s="116">
        <v>2438924.39</v>
      </c>
      <c r="T33" s="130">
        <f t="shared" si="1"/>
        <v>3.5674057939942942</v>
      </c>
      <c r="U33" s="85"/>
    </row>
    <row r="34" spans="1:21" s="92" customFormat="1" ht="13.2" hidden="1">
      <c r="A34" s="129" t="s">
        <v>652</v>
      </c>
      <c r="B34" s="188">
        <f>SUM(F32:F34)</f>
        <v>1443429.8220551379</v>
      </c>
      <c r="C34" s="188">
        <f>AVERAGE(F32:F34)</f>
        <v>481143.27401837934</v>
      </c>
      <c r="D34" s="190">
        <f>C34/C31-1</f>
        <v>5.267454064890198E-2</v>
      </c>
      <c r="E34" s="287">
        <f>C34/C22-1</f>
        <v>-4.4228203405464073E-2</v>
      </c>
      <c r="F34" s="136">
        <f>Q34/19</f>
        <v>472248.63157894736</v>
      </c>
      <c r="G34" s="190">
        <f t="shared" ref="G34" si="6">F34/F33-1</f>
        <v>0.13982755773722366</v>
      </c>
      <c r="H34" s="190">
        <f t="shared" si="5"/>
        <v>-2.8766339130353979E-2</v>
      </c>
      <c r="I34" s="130">
        <f t="shared" si="0"/>
        <v>3.4183451728875629</v>
      </c>
      <c r="J34" s="130">
        <f t="shared" si="4"/>
        <v>8.3087679944395809E-3</v>
      </c>
      <c r="K34" s="136">
        <f>R32+R33+R34</f>
        <v>40144002836</v>
      </c>
      <c r="L34" s="190">
        <f>U34/U31-1</f>
        <v>6.7765899988419642E-2</v>
      </c>
      <c r="M34" s="190">
        <f>U34/U22-1</f>
        <v>-5.7535934265222188E-2</v>
      </c>
      <c r="N34" s="191">
        <f>AVERAGE(T32:T34)</f>
        <v>3.4227237992917057</v>
      </c>
      <c r="O34" s="192">
        <f>N34/N31-1</f>
        <v>2.0886739739282456E-2</v>
      </c>
      <c r="P34" s="129" t="s">
        <v>652</v>
      </c>
      <c r="Q34" s="116">
        <v>8972724</v>
      </c>
      <c r="R34" s="116">
        <v>12342025974</v>
      </c>
      <c r="S34" s="116">
        <v>2624873.6</v>
      </c>
      <c r="T34" s="130">
        <f t="shared" ref="T34" si="7">Q34/S34</f>
        <v>3.4183451728875629</v>
      </c>
      <c r="U34" s="85">
        <f>Q32+Q33+Q34</f>
        <v>29367529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374521.4347826087</v>
      </c>
      <c r="G35" s="190">
        <f t="shared" ref="G35" si="8">F35/F34-1</f>
        <v>-0.20694013759148666</v>
      </c>
      <c r="H35" s="190">
        <f t="shared" si="5"/>
        <v>7.3084420343787926E-2</v>
      </c>
      <c r="I35" s="130">
        <f t="shared" si="0"/>
        <v>3.2548542275659744</v>
      </c>
      <c r="J35" s="130">
        <f t="shared" si="4"/>
        <v>-7.4878302647224615E-2</v>
      </c>
      <c r="K35" s="136"/>
      <c r="L35" s="190"/>
      <c r="M35" s="190"/>
      <c r="N35" s="191"/>
      <c r="O35" s="192"/>
      <c r="P35" s="129" t="s">
        <v>660</v>
      </c>
      <c r="Q35" s="116">
        <v>8613993</v>
      </c>
      <c r="R35" s="116">
        <v>11922205538</v>
      </c>
      <c r="S35" s="116">
        <v>2646506.54</v>
      </c>
      <c r="T35" s="130">
        <f t="shared" ref="T35" si="9">Q35/S35</f>
        <v>3.2548542275659744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406703.14285714284</v>
      </c>
      <c r="G36" s="190">
        <f t="shared" ref="G36" si="10">F36/F35-1</f>
        <v>8.5927546692258217E-2</v>
      </c>
      <c r="H36" s="190">
        <f t="shared" si="5"/>
        <v>0.24031042077229325</v>
      </c>
      <c r="I36" s="130">
        <f t="shared" si="0"/>
        <v>3.5202236993021914</v>
      </c>
      <c r="J36" s="130">
        <f t="shared" si="4"/>
        <v>-4.3152517598879281E-2</v>
      </c>
      <c r="K36" s="136"/>
      <c r="L36" s="190"/>
      <c r="M36" s="190"/>
      <c r="N36" s="191"/>
      <c r="O36" s="192"/>
      <c r="P36" s="129" t="s">
        <v>664</v>
      </c>
      <c r="Q36" s="116">
        <v>8540766</v>
      </c>
      <c r="R36" s="116">
        <v>11650450229</v>
      </c>
      <c r="S36" s="116">
        <v>2426199.79</v>
      </c>
      <c r="T36" s="130">
        <f t="shared" ref="T36" si="11">Q36/S36</f>
        <v>3.5202236993021914</v>
      </c>
      <c r="U36" s="85"/>
    </row>
    <row r="37" spans="1:21" s="92" customFormat="1" ht="13.2" hidden="1">
      <c r="A37" s="129" t="s">
        <v>702</v>
      </c>
      <c r="B37" s="188">
        <f>SUM(F35:F37)</f>
        <v>1158426.4665286406</v>
      </c>
      <c r="C37" s="188">
        <f>AVERAGE(F35:F37)</f>
        <v>386142.15550954686</v>
      </c>
      <c r="D37" s="190">
        <f>C37/C34-1</f>
        <v>-0.19744870943619075</v>
      </c>
      <c r="E37" s="287">
        <f>C37/C25-1</f>
        <v>0.20353665852294212</v>
      </c>
      <c r="F37" s="136">
        <f>Q37/18</f>
        <v>377201.88888888888</v>
      </c>
      <c r="G37" s="190">
        <f t="shared" ref="G37" si="12">F37/F36-1</f>
        <v>-7.2537560838610182E-2</v>
      </c>
      <c r="H37" s="190">
        <f t="shared" si="5"/>
        <v>0.3207332013409403</v>
      </c>
      <c r="I37" s="130">
        <f t="shared" si="0"/>
        <v>3.4691663696682169</v>
      </c>
      <c r="J37" s="130">
        <f t="shared" si="4"/>
        <v>-9.1325955257606894E-2</v>
      </c>
      <c r="K37" s="136">
        <f>R35+R36+R37</f>
        <v>32635363160</v>
      </c>
      <c r="L37" s="190">
        <f>U37/U34-1</f>
        <v>-0.18466436178542633</v>
      </c>
      <c r="M37" s="190">
        <f>U37/U25-1</f>
        <v>0.19904249435203858</v>
      </c>
      <c r="N37" s="191">
        <f>AVERAGE(T35:T37)</f>
        <v>3.414748098845461</v>
      </c>
      <c r="O37" s="192">
        <f>N37/N34-1</f>
        <v>-2.3302202906045899E-3</v>
      </c>
      <c r="P37" s="129" t="s">
        <v>702</v>
      </c>
      <c r="Q37" s="116">
        <v>6789634</v>
      </c>
      <c r="R37" s="116">
        <v>9062707393</v>
      </c>
      <c r="S37" s="116">
        <v>1957137.04</v>
      </c>
      <c r="T37" s="130">
        <f t="shared" ref="T37" si="13">Q37/S37</f>
        <v>3.4691663696682169</v>
      </c>
      <c r="U37" s="85">
        <f>Q35+Q36+Q37</f>
        <v>23944393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328235.8</v>
      </c>
      <c r="G38" s="190">
        <f t="shared" ref="G38" si="14">F38/F37-1</f>
        <v>-0.12981400764754036</v>
      </c>
      <c r="H38" s="190">
        <f t="shared" si="5"/>
        <v>0.43020954304700143</v>
      </c>
      <c r="I38" s="130">
        <f t="shared" si="0"/>
        <v>3.4159551697811232</v>
      </c>
      <c r="J38" s="130">
        <f t="shared" si="4"/>
        <v>3.9241386082523366E-2</v>
      </c>
      <c r="K38" s="136"/>
      <c r="L38" s="190"/>
      <c r="M38" s="190"/>
      <c r="N38" s="191"/>
      <c r="O38" s="192"/>
      <c r="P38" s="129" t="s">
        <v>727</v>
      </c>
      <c r="Q38" s="116">
        <v>6564716</v>
      </c>
      <c r="R38" s="116">
        <v>8828896702</v>
      </c>
      <c r="S38" s="116">
        <v>1921780.49</v>
      </c>
      <c r="T38" s="130">
        <f t="shared" ref="T38" si="15">Q38/S38</f>
        <v>3.4159551697811232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300008.66666666669</v>
      </c>
      <c r="G39" s="190">
        <f t="shared" ref="G39" si="16">F39/F38-1</f>
        <v>-8.5996510232379642E-2</v>
      </c>
      <c r="H39" s="190">
        <f t="shared" ref="H39" si="17">F39/F27-1</f>
        <v>0.26774053993558677</v>
      </c>
      <c r="I39" s="130">
        <f t="shared" si="0"/>
        <v>3.5403515846316069</v>
      </c>
      <c r="J39" s="130">
        <f t="shared" si="4"/>
        <v>-3.7429112863054392E-2</v>
      </c>
      <c r="K39" s="136"/>
      <c r="L39" s="190"/>
      <c r="M39" s="190"/>
      <c r="N39" s="191"/>
      <c r="O39" s="192"/>
      <c r="P39" s="129" t="s">
        <v>762</v>
      </c>
      <c r="Q39" s="116">
        <v>6300182</v>
      </c>
      <c r="R39" s="116">
        <v>8764751126</v>
      </c>
      <c r="S39" s="116">
        <v>1779535.69</v>
      </c>
      <c r="T39" s="130">
        <f t="shared" ref="T39" si="18">Q39/S39</f>
        <v>3.5403515846316069</v>
      </c>
      <c r="U39" s="85"/>
    </row>
    <row r="40" spans="1:21" s="92" customFormat="1" ht="13.2" hidden="1">
      <c r="A40" s="129" t="s">
        <v>778</v>
      </c>
      <c r="B40" s="188">
        <f>SUM(F38:F40)</f>
        <v>853581.84761904762</v>
      </c>
      <c r="C40" s="188">
        <f>AVERAGE(F38:F40)</f>
        <v>284527.28253968252</v>
      </c>
      <c r="D40" s="190">
        <f>C40/C37-1</f>
        <v>-0.26315405225771071</v>
      </c>
      <c r="E40" s="287">
        <f>C40/C28-1</f>
        <v>0.25196598812993609</v>
      </c>
      <c r="F40" s="136">
        <f>Q40/21</f>
        <v>225337.38095238095</v>
      </c>
      <c r="G40" s="190">
        <f t="shared" ref="G40" si="19">F40/F39-1</f>
        <v>-0.24889709535375337</v>
      </c>
      <c r="H40" s="190">
        <f t="shared" ref="H40" si="20">F40/F28-1</f>
        <v>4.4955950112280707E-2</v>
      </c>
      <c r="I40" s="130">
        <f t="shared" si="0"/>
        <v>3.5085371808472958</v>
      </c>
      <c r="J40" s="130">
        <f t="shared" si="4"/>
        <v>-2.115764067702397E-2</v>
      </c>
      <c r="K40" s="136">
        <f>R38+R39+R40</f>
        <v>24312643035</v>
      </c>
      <c r="L40" s="190">
        <f>U40/U37-1</f>
        <v>-0.26508961826679001</v>
      </c>
      <c r="M40" s="190">
        <f>U40/U28-1</f>
        <v>0.28783399315647706</v>
      </c>
      <c r="N40" s="191">
        <f>AVERAGE(T38:T40)</f>
        <v>3.488281311753342</v>
      </c>
      <c r="O40" s="192">
        <f>N40/N37-1</f>
        <v>2.1534008008597505E-2</v>
      </c>
      <c r="P40" s="129" t="s">
        <v>778</v>
      </c>
      <c r="Q40" s="116">
        <v>4732085</v>
      </c>
      <c r="R40" s="116">
        <v>6718995207</v>
      </c>
      <c r="S40" s="116">
        <v>1348734.46</v>
      </c>
      <c r="T40" s="130">
        <f t="shared" ref="T40" si="21">Q40/S40</f>
        <v>3.5085371808472958</v>
      </c>
      <c r="U40" s="85">
        <f>Q38+Q39+Q40</f>
        <v>17596983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293478.05555555556</v>
      </c>
      <c r="G41" s="190">
        <f t="shared" ref="G41" si="22">F41/F40-1</f>
        <v>0.30239401166011737</v>
      </c>
      <c r="H41" s="190">
        <f t="shared" ref="H41" si="23">F41/F29-1</f>
        <v>5.0127062713427817E-2</v>
      </c>
      <c r="I41" s="130">
        <f t="shared" si="0"/>
        <v>3.2863251261153912</v>
      </c>
      <c r="J41" s="130">
        <f t="shared" si="4"/>
        <v>-6.8576826744332631E-2</v>
      </c>
      <c r="K41" s="194"/>
      <c r="L41" s="202"/>
      <c r="M41" s="202"/>
      <c r="N41" s="194"/>
      <c r="O41" s="194"/>
      <c r="P41" s="129" t="s">
        <v>793</v>
      </c>
      <c r="Q41" s="116">
        <v>5282605</v>
      </c>
      <c r="R41" s="116">
        <v>7724029259</v>
      </c>
      <c r="S41" s="116">
        <v>1607450.51</v>
      </c>
      <c r="T41" s="130">
        <f t="shared" ref="T41" si="24">Q41/S41</f>
        <v>3.2863251261153912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527592</v>
      </c>
      <c r="G42" s="190">
        <f t="shared" ref="G42" si="25">F42/F41-1</f>
        <v>0.79772214655458806</v>
      </c>
      <c r="H42" s="190">
        <f t="shared" ref="H42" si="26">F42/F30-1</f>
        <v>0.10082296121078738</v>
      </c>
      <c r="I42" s="130">
        <f t="shared" si="0"/>
        <v>3.3370567232692081</v>
      </c>
      <c r="J42" s="130">
        <f t="shared" si="4"/>
        <v>1.9498797359088327E-2</v>
      </c>
      <c r="K42" s="194"/>
      <c r="L42" s="202"/>
      <c r="M42" s="202"/>
      <c r="N42" s="194"/>
      <c r="O42" s="194"/>
      <c r="P42" s="129" t="s">
        <v>826</v>
      </c>
      <c r="Q42" s="116">
        <v>10551840</v>
      </c>
      <c r="R42" s="116">
        <v>15255621232</v>
      </c>
      <c r="S42" s="116">
        <v>3162019.97</v>
      </c>
      <c r="T42" s="130">
        <f t="shared" ref="T42" si="27">Q42/S42</f>
        <v>3.3370567232692081</v>
      </c>
      <c r="U42" s="175"/>
    </row>
    <row r="43" spans="1:21" s="92" customFormat="1" ht="13.2">
      <c r="A43" s="129" t="s">
        <v>835</v>
      </c>
      <c r="B43" s="188">
        <f>SUM(F41:F43)</f>
        <v>1435524.3555555556</v>
      </c>
      <c r="C43" s="188">
        <f>AVERAGE(F41:F43)</f>
        <v>478508.11851851852</v>
      </c>
      <c r="D43" s="190">
        <f>C43/C40-1</f>
        <v>0.6817653275544211</v>
      </c>
      <c r="E43" s="287">
        <f>C43/C31-1</f>
        <v>4.6909187052275536E-2</v>
      </c>
      <c r="F43" s="136">
        <f>Q43/20</f>
        <v>614454.30000000005</v>
      </c>
      <c r="G43" s="190">
        <f t="shared" ref="G43" si="28">F43/F42-1</f>
        <v>0.16463915298184961</v>
      </c>
      <c r="H43" s="190">
        <f t="shared" ref="H43" si="29">F43/F31-1</f>
        <v>3.2517079610148159E-3</v>
      </c>
      <c r="I43" s="130">
        <f t="shared" si="0"/>
        <v>3.4324217406546591</v>
      </c>
      <c r="J43" s="130">
        <f t="shared" si="4"/>
        <v>5.3997632484732438E-2</v>
      </c>
      <c r="K43" s="136">
        <f>R41+R42+R43</f>
        <v>40811925491</v>
      </c>
      <c r="L43" s="190">
        <f>U43/U40-1</f>
        <v>0.59820186221694938</v>
      </c>
      <c r="M43" s="190">
        <f>K43/K31-1</f>
        <v>0.11883912970870769</v>
      </c>
      <c r="N43" s="191">
        <f>AVERAGE(T41:T43)</f>
        <v>3.3519345300130858</v>
      </c>
      <c r="O43" s="192">
        <f>N43/N40-1</f>
        <v>-3.9087094633352026E-2</v>
      </c>
      <c r="P43" s="129" t="s">
        <v>835</v>
      </c>
      <c r="Q43" s="116">
        <v>12289086</v>
      </c>
      <c r="R43" s="116">
        <v>17832275000</v>
      </c>
      <c r="S43" s="116">
        <v>3580296.05</v>
      </c>
      <c r="T43" s="130">
        <f t="shared" ref="T43" si="30">Q43/S43</f>
        <v>3.4324217406546591</v>
      </c>
      <c r="U43" s="85">
        <f>Q41+Q42+Q43</f>
        <v>28123531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704058.77272727271</v>
      </c>
      <c r="G44" s="190">
        <f t="shared" ref="G44" si="31">F44/F43-1</f>
        <v>0.14582772506803621</v>
      </c>
      <c r="H44" s="190">
        <f t="shared" ref="H44" si="32">F44/F32-1</f>
        <v>0.26432501824607391</v>
      </c>
      <c r="I44" s="130">
        <f t="shared" si="0"/>
        <v>3.3068855738956549</v>
      </c>
      <c r="J44" s="130">
        <f t="shared" si="4"/>
        <v>7.4533849080973269E-3</v>
      </c>
      <c r="K44" s="136"/>
      <c r="L44" s="190"/>
      <c r="M44" s="190"/>
      <c r="N44" s="191"/>
      <c r="O44" s="192"/>
      <c r="P44" s="129" t="s">
        <v>843</v>
      </c>
      <c r="Q44" s="116">
        <v>15489293</v>
      </c>
      <c r="R44" s="116">
        <v>22445189541</v>
      </c>
      <c r="S44" s="116">
        <v>4683951.91</v>
      </c>
      <c r="T44" s="130">
        <f t="shared" ref="T44" si="33">Q44/S44</f>
        <v>3.3068855738956549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712240.05</v>
      </c>
      <c r="G45" s="190">
        <f t="shared" ref="G45" si="34">F45/F44-1</f>
        <v>1.1620162392176336E-2</v>
      </c>
      <c r="H45" s="190">
        <f t="shared" ref="H45" si="35">F45/F33-1</f>
        <v>0.71907504316065274</v>
      </c>
      <c r="I45" s="130">
        <f t="shared" si="0"/>
        <v>3.4578456750048154</v>
      </c>
      <c r="J45" s="130">
        <f t="shared" si="4"/>
        <v>-3.071142598185006E-2</v>
      </c>
      <c r="K45" s="136"/>
      <c r="L45" s="190"/>
      <c r="M45" s="190"/>
      <c r="N45" s="191"/>
      <c r="O45" s="192"/>
      <c r="P45" s="129" t="s">
        <v>849</v>
      </c>
      <c r="Q45" s="116">
        <v>14244801</v>
      </c>
      <c r="R45" s="116">
        <v>20064232653</v>
      </c>
      <c r="S45" s="116">
        <v>4119559.5</v>
      </c>
      <c r="T45" s="130">
        <f t="shared" ref="T45" si="36">Q45/S45</f>
        <v>3.4578456750048154</v>
      </c>
      <c r="U45" s="85"/>
    </row>
    <row r="46" spans="1:21" s="92" customFormat="1" ht="13.2">
      <c r="A46" s="129" t="s">
        <v>888</v>
      </c>
      <c r="B46" s="188">
        <f>SUM(F44:F46)</f>
        <v>2024610.5595693779</v>
      </c>
      <c r="C46" s="188">
        <f>AVERAGE(F44:F46)</f>
        <v>674870.18652312597</v>
      </c>
      <c r="D46" s="190">
        <f>C46/C43-1</f>
        <v>0.41036308560981749</v>
      </c>
      <c r="E46" s="287">
        <f>C46/C34-1</f>
        <v>0.40263872107530774</v>
      </c>
      <c r="F46" s="136">
        <f>Q46/19</f>
        <v>608311.73684210528</v>
      </c>
      <c r="G46" s="190">
        <f t="shared" ref="G46" si="37">F46/F45-1</f>
        <v>-0.14591753603001512</v>
      </c>
      <c r="H46" s="190">
        <f t="shared" ref="H46" si="38">F46/F34-1</f>
        <v>0.28811752150183167</v>
      </c>
      <c r="I46" s="130">
        <f t="shared" si="0"/>
        <v>3.4526733418537083</v>
      </c>
      <c r="J46" s="130">
        <f t="shared" si="4"/>
        <v>1.0042335466417418E-2</v>
      </c>
      <c r="K46" s="136">
        <f>R44+R45+R46</f>
        <v>58332891303</v>
      </c>
      <c r="L46" s="190">
        <f>U46/U43-1</f>
        <v>0.46823729210958609</v>
      </c>
      <c r="M46" s="190">
        <f>K46/K34-1</f>
        <v>0.45309105176449216</v>
      </c>
      <c r="N46" s="191">
        <f>AVERAGE(T44:T46)</f>
        <v>3.4058015302513929</v>
      </c>
      <c r="O46" s="192">
        <f>N46/N43-1</f>
        <v>1.6070421351009223E-2</v>
      </c>
      <c r="P46" s="129" t="s">
        <v>888</v>
      </c>
      <c r="Q46" s="116">
        <v>11557923</v>
      </c>
      <c r="R46" s="116">
        <v>15823469109</v>
      </c>
      <c r="S46" s="116">
        <v>3347528.67</v>
      </c>
      <c r="T46" s="130">
        <f t="shared" ref="T46" si="39">Q46/S46</f>
        <v>3.4526733418537083</v>
      </c>
      <c r="U46" s="85">
        <f t="shared" ref="U46:U51" si="40">Q44+Q45+Q46</f>
        <v>41292017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557579.69565217395</v>
      </c>
      <c r="G47" s="190">
        <f t="shared" ref="G47" si="41">F47/F46-1</f>
        <v>-8.3398096925260345E-2</v>
      </c>
      <c r="H47" s="190">
        <f t="shared" ref="H47" si="42">F47/F35-1</f>
        <v>0.48877912949313984</v>
      </c>
      <c r="I47" s="130">
        <f t="shared" si="0"/>
        <v>3.5390480373557462</v>
      </c>
      <c r="J47" s="130">
        <f t="shared" si="4"/>
        <v>8.7313836479336215E-2</v>
      </c>
      <c r="K47" s="136"/>
      <c r="L47" s="190"/>
      <c r="M47" s="190"/>
      <c r="N47" s="191"/>
      <c r="O47" s="192"/>
      <c r="P47" s="129" t="s">
        <v>1052</v>
      </c>
      <c r="Q47" s="116">
        <v>12824333</v>
      </c>
      <c r="R47" s="116">
        <v>17574690129</v>
      </c>
      <c r="S47" s="116">
        <v>3623667.4</v>
      </c>
      <c r="T47" s="130">
        <f t="shared" ref="T47" si="43">Q47/S47</f>
        <v>3.5390480373557462</v>
      </c>
      <c r="U47" s="85">
        <f t="shared" si="40"/>
        <v>38627057</v>
      </c>
    </row>
    <row r="48" spans="1:21" s="92" customFormat="1" ht="13.2">
      <c r="A48" s="129" t="s">
        <v>1101</v>
      </c>
      <c r="B48" s="188"/>
      <c r="C48" s="188"/>
      <c r="D48" s="190"/>
      <c r="E48" s="287"/>
      <c r="F48" s="136">
        <f>Q48/20</f>
        <v>437223.75</v>
      </c>
      <c r="G48" s="190">
        <f t="shared" ref="G48" si="44">F48/F47-1</f>
        <v>-0.21585424754644167</v>
      </c>
      <c r="H48" s="190">
        <f t="shared" ref="H48" si="45">F48/F36-1</f>
        <v>7.5043942194412017E-2</v>
      </c>
      <c r="I48" s="130">
        <f t="shared" si="0"/>
        <v>3.8421908472552646</v>
      </c>
      <c r="J48" s="130">
        <f t="shared" si="4"/>
        <v>9.1462127255406145E-2</v>
      </c>
      <c r="K48" s="136"/>
      <c r="L48" s="190"/>
      <c r="M48" s="190"/>
      <c r="N48" s="191"/>
      <c r="O48" s="192"/>
      <c r="P48" s="129" t="s">
        <v>1070</v>
      </c>
      <c r="Q48" s="116">
        <v>8744475</v>
      </c>
      <c r="R48" s="116">
        <v>12131678848</v>
      </c>
      <c r="S48" s="116">
        <v>2275908.5499999998</v>
      </c>
      <c r="T48" s="130">
        <f t="shared" ref="T48" si="46">Q48/S48</f>
        <v>3.8421908472552646</v>
      </c>
      <c r="U48" s="85">
        <f t="shared" si="40"/>
        <v>33126731</v>
      </c>
    </row>
    <row r="49" spans="1:26" ht="13.2">
      <c r="A49" s="129" t="s">
        <v>1207</v>
      </c>
      <c r="B49" s="188">
        <f>SUM(F47:F49)</f>
        <v>1380331.5820158103</v>
      </c>
      <c r="C49" s="188">
        <f>AVERAGE(F47:F49)</f>
        <v>460110.52733860345</v>
      </c>
      <c r="D49" s="190">
        <f>C49/C46-1</f>
        <v>-0.31822365763547222</v>
      </c>
      <c r="E49" s="287">
        <f>C49/C37-1</f>
        <v>0.19155735983150857</v>
      </c>
      <c r="F49" s="136">
        <f>Q49/22</f>
        <v>385528.13636363635</v>
      </c>
      <c r="G49" s="190">
        <f t="shared" ref="G49" si="47">F49/F48-1</f>
        <v>-0.11823606022400124</v>
      </c>
      <c r="H49" s="190">
        <f t="shared" ref="H49" si="48">F49/F37-1</f>
        <v>2.2073716277704269E-2</v>
      </c>
      <c r="I49" s="130">
        <f t="shared" si="0"/>
        <v>3.7213869766331946</v>
      </c>
      <c r="J49" s="130">
        <f t="shared" si="4"/>
        <v>7.2703520122357146E-2</v>
      </c>
      <c r="K49" s="136">
        <f>R47+R48+R49</f>
        <v>41494399329</v>
      </c>
      <c r="L49" s="190">
        <f>U49/U46-1</f>
        <v>-0.27224608572644926</v>
      </c>
      <c r="M49" s="190">
        <f>K49/K37-1</f>
        <v>0.271455112221892</v>
      </c>
      <c r="N49" s="191">
        <f>AVERAGE(T47:T49)</f>
        <v>3.7008752870814021</v>
      </c>
      <c r="O49" s="192">
        <f>N49/N46-1</f>
        <v>8.6638564874985224E-2</v>
      </c>
      <c r="P49" s="129" t="s">
        <v>1158</v>
      </c>
      <c r="Q49" s="116">
        <v>8481619</v>
      </c>
      <c r="R49" s="116">
        <v>11788030352</v>
      </c>
      <c r="S49" s="116">
        <v>2279155.34</v>
      </c>
      <c r="T49" s="130">
        <f t="shared" ref="T49" si="49">Q49/S49</f>
        <v>3.7213869766331946</v>
      </c>
      <c r="U49" s="85">
        <f t="shared" si="40"/>
        <v>30050427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378348.83333333331</v>
      </c>
      <c r="G50" s="190">
        <f t="shared" ref="G50" si="50">F50/F49-1</f>
        <v>-1.8621995006692371E-2</v>
      </c>
      <c r="H50" s="190">
        <f t="shared" ref="H50" si="51">F50/F38-1</f>
        <v>0.15267388058625331</v>
      </c>
      <c r="I50" s="130">
        <f t="shared" ref="I50" si="52">T50</f>
        <v>3.7372521706536572</v>
      </c>
      <c r="J50" s="130">
        <f t="shared" ref="J50" si="53">I50/I38-1</f>
        <v>9.4057733460571447E-2</v>
      </c>
      <c r="K50" s="136"/>
      <c r="L50" s="190"/>
      <c r="M50" s="190"/>
      <c r="N50" s="191"/>
      <c r="O50" s="192"/>
      <c r="P50" s="129" t="s">
        <v>1366</v>
      </c>
      <c r="Q50" s="116">
        <v>6810279</v>
      </c>
      <c r="R50" s="116">
        <v>9627945035</v>
      </c>
      <c r="S50" s="116">
        <v>1822269.06</v>
      </c>
      <c r="T50" s="130">
        <f t="shared" ref="T50" si="54">Q50/S50</f>
        <v>3.7372521706536572</v>
      </c>
      <c r="U50" s="85">
        <f t="shared" si="40"/>
        <v>24036373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298772.45</v>
      </c>
      <c r="G51" s="190">
        <f t="shared" ref="G51:G52" si="55">F51/F50-1</f>
        <v>-0.21032543600636622</v>
      </c>
      <c r="H51" s="190">
        <f t="shared" ref="H51:H52" si="56">F51/F39-1</f>
        <v>-4.1206031825747891E-3</v>
      </c>
      <c r="I51" s="130">
        <f t="shared" ref="I51:I52" si="57">T51</f>
        <v>3.801909454776399</v>
      </c>
      <c r="J51" s="130">
        <f t="shared" ref="J51:J52" si="58">I51/I39-1</f>
        <v>7.3879066497292145E-2</v>
      </c>
      <c r="K51" s="136"/>
      <c r="L51" s="190"/>
      <c r="M51" s="190"/>
      <c r="N51" s="191"/>
      <c r="O51" s="192"/>
      <c r="P51" s="129" t="s">
        <v>1402</v>
      </c>
      <c r="Q51" s="116">
        <v>5975449</v>
      </c>
      <c r="R51" s="116">
        <v>8678652095</v>
      </c>
      <c r="S51" s="116">
        <v>1571696.82</v>
      </c>
      <c r="T51" s="130">
        <f t="shared" ref="T51:T52" si="59">Q51/S51</f>
        <v>3.801909454776399</v>
      </c>
      <c r="U51" s="85">
        <f t="shared" si="40"/>
        <v>21267347</v>
      </c>
    </row>
    <row r="52" spans="1:26" s="79" customFormat="1" ht="13.2">
      <c r="A52" s="129" t="s">
        <v>1403</v>
      </c>
      <c r="B52" s="188">
        <f>SUM(F50:F52)</f>
        <v>970957.91969696968</v>
      </c>
      <c r="C52" s="188">
        <f>AVERAGE(F50:F52)</f>
        <v>323652.63989898987</v>
      </c>
      <c r="D52" s="190">
        <f>C52/C49-1</f>
        <v>-0.29657632097426845</v>
      </c>
      <c r="E52" s="287">
        <f>C52/C40-1</f>
        <v>0.13751003773724446</v>
      </c>
      <c r="F52" s="136">
        <f>Q52/22</f>
        <v>293836.63636363635</v>
      </c>
      <c r="G52" s="190">
        <f t="shared" si="55"/>
        <v>-1.6520310478304379E-2</v>
      </c>
      <c r="H52" s="190">
        <f t="shared" si="56"/>
        <v>0.3039853180228933</v>
      </c>
      <c r="I52" s="130">
        <f t="shared" si="57"/>
        <v>4.1467961391647172</v>
      </c>
      <c r="J52" s="130">
        <f t="shared" si="58"/>
        <v>0.18191597392828096</v>
      </c>
      <c r="K52" s="136">
        <f>R50+R51+R52</f>
        <v>27814861245</v>
      </c>
      <c r="L52" s="190">
        <f>U52/U49-1</f>
        <v>-0.35940564172349365</v>
      </c>
      <c r="M52" s="190">
        <f>K52/K40-1</f>
        <v>0.14404925885508524</v>
      </c>
      <c r="N52" s="191">
        <f>AVERAGE(T50:T52)</f>
        <v>3.8953192548649245</v>
      </c>
      <c r="O52" s="192">
        <f>N52/N49-1</f>
        <v>5.2539994649986044E-2</v>
      </c>
      <c r="P52" s="129" t="s">
        <v>1403</v>
      </c>
      <c r="Q52" s="116">
        <v>6464406</v>
      </c>
      <c r="R52" s="116">
        <v>9508264115</v>
      </c>
      <c r="S52" s="116">
        <v>1558891.68</v>
      </c>
      <c r="T52" s="130">
        <f t="shared" si="59"/>
        <v>4.1467961391647172</v>
      </c>
      <c r="U52" s="85">
        <f t="shared" ref="U52" si="60">Q50+Q51+Q52</f>
        <v>19250134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356025.47619047621</v>
      </c>
      <c r="G53" s="190">
        <f t="shared" ref="G53" si="61">F53/F52-1</f>
        <v>0.21164426804109726</v>
      </c>
      <c r="H53" s="190">
        <f t="shared" ref="H53" si="62">F53/F41-1</f>
        <v>0.21312469348523533</v>
      </c>
      <c r="I53" s="130">
        <f t="shared" ref="I53" si="63">T53</f>
        <v>3.426641115542846</v>
      </c>
      <c r="J53" s="130">
        <f t="shared" ref="J53" si="64">I53/I41-1</f>
        <v>4.2696928649088361E-2</v>
      </c>
      <c r="K53" s="136"/>
      <c r="L53" s="190"/>
      <c r="M53" s="190"/>
      <c r="N53" s="191"/>
      <c r="O53" s="192"/>
      <c r="P53" s="129" t="s">
        <v>1414</v>
      </c>
      <c r="Q53" s="116">
        <v>7476535</v>
      </c>
      <c r="R53" s="116">
        <v>10919503801</v>
      </c>
      <c r="S53" s="116">
        <v>2181884.46</v>
      </c>
      <c r="T53" s="130">
        <f t="shared" ref="T53" si="65">Q53/S53</f>
        <v>3.426641115542846</v>
      </c>
      <c r="U53" s="85">
        <f t="shared" ref="U53" si="66">Q51+Q52+Q53</f>
        <v>19916390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646933</v>
      </c>
      <c r="G54" s="190">
        <f t="shared" ref="G54" si="67">F54/F53-1</f>
        <v>0.81709749235441276</v>
      </c>
      <c r="H54" s="190">
        <f t="shared" ref="H54" si="68">F54/F42-1</f>
        <v>0.22619941166659085</v>
      </c>
      <c r="I54" s="130">
        <f t="shared" ref="I54" si="69">T54</f>
        <v>3.3614098245183133</v>
      </c>
      <c r="J54" s="130">
        <f t="shared" ref="J54" si="70">I54/I42-1</f>
        <v>7.2977786320775895E-3</v>
      </c>
      <c r="K54" s="136"/>
      <c r="L54" s="190"/>
      <c r="M54" s="190"/>
      <c r="N54" s="191"/>
      <c r="O54" s="192"/>
      <c r="P54" s="129" t="s">
        <v>1417</v>
      </c>
      <c r="Q54" s="116">
        <v>10997861</v>
      </c>
      <c r="R54" s="116">
        <v>15930909523</v>
      </c>
      <c r="S54" s="116">
        <v>3271800.1</v>
      </c>
      <c r="T54" s="130">
        <f t="shared" ref="T54" si="71">Q54/S54</f>
        <v>3.3614098245183133</v>
      </c>
      <c r="U54" s="85">
        <f t="shared" ref="U54" si="72">Q52+Q53+Q54</f>
        <v>24938802</v>
      </c>
    </row>
    <row r="55" spans="1:26" s="79" customFormat="1" ht="13.2">
      <c r="A55" s="129" t="s">
        <v>1418</v>
      </c>
      <c r="B55" s="188">
        <f>SUM(F53:F55)</f>
        <v>1723070.8571428573</v>
      </c>
      <c r="C55" s="188">
        <f>AVERAGE(F53:F55)</f>
        <v>574356.95238095243</v>
      </c>
      <c r="D55" s="190">
        <f>C55/C52-1</f>
        <v>0.77460920003682321</v>
      </c>
      <c r="E55" s="287">
        <f>C55/C43-1</f>
        <v>0.20030764401487278</v>
      </c>
      <c r="F55" s="136">
        <f>Q55/21</f>
        <v>720112.38095238095</v>
      </c>
      <c r="G55" s="190">
        <f t="shared" ref="G55" si="73">F55/F54-1</f>
        <v>0.1131174031196136</v>
      </c>
      <c r="H55" s="190">
        <f t="shared" ref="H55" si="74">F55/F43-1</f>
        <v>0.1719543356639881</v>
      </c>
      <c r="I55" s="130">
        <f>T55</f>
        <v>3.3850727058567336</v>
      </c>
      <c r="J55" s="130">
        <f t="shared" ref="J55" si="75">I55/I43-1</f>
        <v>-1.3794643658472716E-2</v>
      </c>
      <c r="K55" s="136">
        <f>R53+R54+R55</f>
        <v>49108248947</v>
      </c>
      <c r="L55" s="190">
        <f>U55/U52-1</f>
        <v>0.74527387705457016</v>
      </c>
      <c r="M55" s="190">
        <f>K55/K43-1</f>
        <v>0.20328184363243373</v>
      </c>
      <c r="N55" s="191">
        <f>AVERAGE(T53:T55)</f>
        <v>3.3910412153059646</v>
      </c>
      <c r="O55" s="192">
        <f>N55/N52-1</f>
        <v>-0.12945743508164553</v>
      </c>
      <c r="P55" s="129" t="s">
        <v>1418</v>
      </c>
      <c r="Q55" s="116">
        <v>15122360</v>
      </c>
      <c r="R55" s="116">
        <v>22257835623</v>
      </c>
      <c r="S55" s="116">
        <v>4467366.38</v>
      </c>
      <c r="T55" s="130">
        <f t="shared" ref="T55" si="76">Q55/S55</f>
        <v>3.3850727058567336</v>
      </c>
      <c r="U55" s="85">
        <f t="shared" ref="U55" si="77">Q53+Q54+Q55</f>
        <v>33596756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735405.77272727271</v>
      </c>
      <c r="G56" s="190">
        <f t="shared" ref="G56" si="78">F56/F55-1</f>
        <v>2.1237507060586136E-2</v>
      </c>
      <c r="H56" s="190">
        <f t="shared" ref="H56" si="79">F56/F44-1</f>
        <v>4.452327165610459E-2</v>
      </c>
      <c r="I56" s="291">
        <f>T56</f>
        <v>3.4954974941562229</v>
      </c>
      <c r="J56" s="130">
        <f t="shared" ref="J56" si="80">I56/I44-1</f>
        <v>5.7036119347297243E-2</v>
      </c>
      <c r="K56" s="136"/>
      <c r="L56" s="190"/>
      <c r="M56" s="190"/>
      <c r="N56" s="191"/>
      <c r="O56" s="192"/>
      <c r="P56" s="129" t="s">
        <v>1420</v>
      </c>
      <c r="Q56" s="116">
        <v>16178927</v>
      </c>
      <c r="R56" s="116">
        <v>24140774182</v>
      </c>
      <c r="S56" s="116">
        <v>4628504.82</v>
      </c>
      <c r="T56" s="130">
        <f t="shared" ref="T56" si="81">Q56/S56</f>
        <v>3.4954974941562229</v>
      </c>
      <c r="U56" s="85">
        <f t="shared" ref="U56" si="82">Q54+Q55+Q56</f>
        <v>42299148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699703.16666666663</v>
      </c>
      <c r="G57" s="254">
        <f t="shared" ref="G57" si="83">F57/F56-1</f>
        <v>-4.854817215834728E-2</v>
      </c>
      <c r="H57" s="254">
        <f t="shared" ref="H57" si="84">F57/F45-1</f>
        <v>-1.760204769913376E-2</v>
      </c>
      <c r="I57" s="282">
        <f>T57</f>
        <v>3.3128688210180415</v>
      </c>
      <c r="J57" s="277">
        <f t="shared" ref="J57" si="85">I57/I45-1</f>
        <v>-4.1926930121475747E-2</v>
      </c>
      <c r="K57" s="204"/>
      <c r="L57" s="254"/>
      <c r="M57" s="254"/>
      <c r="N57" s="257"/>
      <c r="O57" s="258"/>
      <c r="P57" s="129" t="s">
        <v>1436</v>
      </c>
      <c r="Q57" s="116">
        <v>8396438</v>
      </c>
      <c r="R57" s="116">
        <v>12372965827</v>
      </c>
      <c r="S57" s="116">
        <v>2534491.54</v>
      </c>
      <c r="T57" s="130">
        <f t="shared" ref="T57" si="86">Q57/S57</f>
        <v>3.3128688210180415</v>
      </c>
      <c r="U57" s="85">
        <f t="shared" ref="U57" si="87">Q55+Q56+Q57</f>
        <v>39697725</v>
      </c>
    </row>
    <row r="58" spans="1:26">
      <c r="B58" s="196">
        <f>SUM(F56:F58)</f>
        <v>1435108.9393939395</v>
      </c>
      <c r="C58" s="196">
        <f>AVERAGE(F56:F58)</f>
        <v>717554.46969696973</v>
      </c>
      <c r="D58" s="197">
        <f>C58/C55-1</f>
        <v>0.24931798374234537</v>
      </c>
      <c r="E58" s="233">
        <f>C58/C46-1</f>
        <v>6.3248138717979963E-2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58172121</v>
      </c>
      <c r="R66" s="212">
        <v>85621988956</v>
      </c>
      <c r="S66" s="213">
        <v>17084047.32</v>
      </c>
      <c r="T66" s="214">
        <v>116</v>
      </c>
      <c r="U66" s="214">
        <v>251</v>
      </c>
    </row>
    <row r="67" spans="16:21" ht="18" thickBot="1">
      <c r="P67" s="180" t="s">
        <v>976</v>
      </c>
      <c r="Q67" s="181">
        <v>7476535</v>
      </c>
      <c r="R67" s="181">
        <v>10919503801</v>
      </c>
      <c r="S67" s="182">
        <v>2181884.46</v>
      </c>
      <c r="T67" s="210">
        <v>48</v>
      </c>
      <c r="U67" s="210">
        <v>96</v>
      </c>
    </row>
    <row r="68" spans="16:21" ht="18" thickBot="1">
      <c r="P68" s="180" t="s">
        <v>977</v>
      </c>
      <c r="Q68" s="181">
        <v>10997861</v>
      </c>
      <c r="R68" s="181">
        <v>15930909523</v>
      </c>
      <c r="S68" s="182">
        <v>3271800.1</v>
      </c>
      <c r="T68" s="210">
        <v>45</v>
      </c>
      <c r="U68" s="210">
        <v>103</v>
      </c>
    </row>
    <row r="69" spans="16:21" ht="18" thickBot="1">
      <c r="P69" s="180" t="s">
        <v>978</v>
      </c>
      <c r="Q69" s="181">
        <v>15122360</v>
      </c>
      <c r="R69" s="181">
        <v>22257835623</v>
      </c>
      <c r="S69" s="182">
        <v>4467366.38</v>
      </c>
      <c r="T69" s="210">
        <v>61</v>
      </c>
      <c r="U69" s="210">
        <v>128</v>
      </c>
    </row>
    <row r="70" spans="16:21" ht="18" thickBot="1">
      <c r="P70" s="180" t="s">
        <v>979</v>
      </c>
      <c r="Q70" s="181">
        <v>16178927</v>
      </c>
      <c r="R70" s="181">
        <v>24140774182</v>
      </c>
      <c r="S70" s="182">
        <v>4628504.82</v>
      </c>
      <c r="T70" s="210">
        <v>59</v>
      </c>
      <c r="U70" s="210">
        <v>119</v>
      </c>
    </row>
    <row r="71" spans="16:21" ht="18" thickBot="1">
      <c r="P71" s="180" t="s">
        <v>980</v>
      </c>
      <c r="Q71" s="181">
        <v>8396438</v>
      </c>
      <c r="R71" s="181">
        <v>12372965827</v>
      </c>
      <c r="S71" s="182">
        <v>2534491.54</v>
      </c>
      <c r="T71" s="210">
        <v>35</v>
      </c>
      <c r="U71" s="210">
        <v>73</v>
      </c>
    </row>
    <row r="72" spans="16:21" ht="18" thickBot="1">
      <c r="P72" s="215" t="s">
        <v>975</v>
      </c>
      <c r="Q72" s="217">
        <v>11</v>
      </c>
      <c r="R72"/>
      <c r="S72"/>
      <c r="T72"/>
      <c r="U72"/>
    </row>
  </sheetData>
  <phoneticPr fontId="1" type="noConversion"/>
  <conditionalFormatting sqref="C29:C30">
    <cfRule type="cellIs" dxfId="1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71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88606.75</v>
      </c>
      <c r="G5" s="90"/>
      <c r="H5" s="90"/>
      <c r="I5" s="130">
        <f t="shared" ref="I5:I49" si="0">T5</f>
        <v>3.1205711999348038</v>
      </c>
      <c r="J5" s="130"/>
      <c r="K5" s="86"/>
      <c r="L5" s="80"/>
      <c r="M5" s="80"/>
      <c r="N5" s="79"/>
      <c r="O5" s="79"/>
      <c r="P5" s="129" t="s">
        <v>0</v>
      </c>
      <c r="Q5" s="116">
        <v>1772135</v>
      </c>
      <c r="R5" s="116">
        <v>2091571058</v>
      </c>
      <c r="S5" s="116">
        <v>567888.02</v>
      </c>
      <c r="T5" s="130">
        <f t="shared" ref="T5:T46" si="1">Q5/S5</f>
        <v>3.1205711999348038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164754.88888888888</v>
      </c>
      <c r="G6" s="90">
        <f t="shared" ref="G6:G46" si="2">F6/F5-1</f>
        <v>0.8593943338277148</v>
      </c>
      <c r="H6" s="90"/>
      <c r="I6" s="130">
        <f t="shared" si="0"/>
        <v>2.9585232830818629</v>
      </c>
      <c r="J6" s="130"/>
      <c r="K6" s="78"/>
      <c r="L6" s="87"/>
      <c r="M6" s="87"/>
      <c r="N6" s="79"/>
      <c r="O6" s="79"/>
      <c r="P6" s="129" t="s">
        <v>1</v>
      </c>
      <c r="Q6" s="116">
        <v>2965588</v>
      </c>
      <c r="R6" s="116">
        <v>3522741222</v>
      </c>
      <c r="S6" s="116">
        <v>1002387.92</v>
      </c>
      <c r="T6" s="130">
        <f t="shared" si="1"/>
        <v>2.9585232830818629</v>
      </c>
      <c r="U6" s="85"/>
    </row>
    <row r="7" spans="1:21" ht="15" hidden="1" customHeight="1">
      <c r="A7" s="129" t="s">
        <v>2</v>
      </c>
      <c r="B7" s="131">
        <f>F5+F6+F7</f>
        <v>461868.8207070707</v>
      </c>
      <c r="C7" s="131">
        <f>AVERAGE(F5:F7)</f>
        <v>153956.27356902356</v>
      </c>
      <c r="D7" s="117"/>
      <c r="F7" s="78">
        <f>Q7/22</f>
        <v>208507.18181818182</v>
      </c>
      <c r="G7" s="90">
        <f t="shared" si="2"/>
        <v>0.26555990674607299</v>
      </c>
      <c r="H7" s="90"/>
      <c r="I7" s="130">
        <f t="shared" si="0"/>
        <v>2.8456457771823076</v>
      </c>
      <c r="J7" s="130"/>
      <c r="K7" s="85">
        <f>R5+R6+R7</f>
        <v>11149151260</v>
      </c>
      <c r="L7" s="87"/>
      <c r="M7" s="87"/>
      <c r="N7" s="88">
        <f>AVERAGE(T5:T7)</f>
        <v>2.9749134200663243</v>
      </c>
      <c r="O7" s="79"/>
      <c r="P7" s="129" t="s">
        <v>2</v>
      </c>
      <c r="Q7" s="116">
        <v>4587158</v>
      </c>
      <c r="R7" s="116">
        <v>5534838980</v>
      </c>
      <c r="S7" s="116">
        <v>1611991.92</v>
      </c>
      <c r="T7" s="130">
        <f t="shared" si="1"/>
        <v>2.8456457771823076</v>
      </c>
      <c r="U7" s="85">
        <f>Q5+Q6+Q7</f>
        <v>9324881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234939.19047619047</v>
      </c>
      <c r="G8" s="90">
        <f t="shared" si="2"/>
        <v>0.12676785723888084</v>
      </c>
      <c r="H8" s="90"/>
      <c r="I8" s="130">
        <f t="shared" si="0"/>
        <v>2.9306796540962319</v>
      </c>
      <c r="J8" s="130"/>
      <c r="K8" s="78"/>
      <c r="L8" s="87"/>
      <c r="M8" s="87"/>
      <c r="N8" s="79"/>
      <c r="O8" s="79"/>
      <c r="P8" s="129" t="s">
        <v>3</v>
      </c>
      <c r="Q8" s="116">
        <v>4933723</v>
      </c>
      <c r="R8" s="116">
        <v>5975237061</v>
      </c>
      <c r="S8" s="116">
        <v>1683474</v>
      </c>
      <c r="T8" s="130">
        <f t="shared" si="1"/>
        <v>2.9306796540962319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121142.85714285714</v>
      </c>
      <c r="G9" s="90">
        <f t="shared" si="2"/>
        <v>-0.48436505251713557</v>
      </c>
      <c r="H9" s="90"/>
      <c r="I9" s="130">
        <f t="shared" si="0"/>
        <v>3.0292620281885694</v>
      </c>
      <c r="J9" s="130"/>
      <c r="K9" s="78"/>
      <c r="L9" s="87"/>
      <c r="M9" s="87"/>
      <c r="N9" s="79"/>
      <c r="O9" s="79"/>
      <c r="P9" s="129" t="s">
        <v>4</v>
      </c>
      <c r="Q9" s="116">
        <v>2544000</v>
      </c>
      <c r="R9" s="116">
        <v>3186842419</v>
      </c>
      <c r="S9" s="116">
        <v>839808.5</v>
      </c>
      <c r="T9" s="130">
        <f t="shared" si="1"/>
        <v>3.0292620281885694</v>
      </c>
      <c r="U9" s="85"/>
    </row>
    <row r="10" spans="1:21" ht="15" hidden="1" customHeight="1">
      <c r="A10" s="129" t="s">
        <v>5</v>
      </c>
      <c r="B10" s="131">
        <f>F8+F9+F10</f>
        <v>400598.85714285716</v>
      </c>
      <c r="C10" s="131">
        <f>AVERAGE(F8:F10)</f>
        <v>133532.9523809524</v>
      </c>
      <c r="D10" s="90">
        <f>C10/C7-1</f>
        <v>-0.13265663499522629</v>
      </c>
      <c r="E10" s="286"/>
      <c r="F10" s="78">
        <f>Q10/21</f>
        <v>44516.809523809527</v>
      </c>
      <c r="G10" s="90">
        <f t="shared" si="2"/>
        <v>-0.63252633647798739</v>
      </c>
      <c r="H10" s="90"/>
      <c r="I10" s="130">
        <f t="shared" si="0"/>
        <v>2.8737647439243594</v>
      </c>
      <c r="J10" s="130"/>
      <c r="K10" s="85">
        <f>R8+R9+R10</f>
        <v>10343389718</v>
      </c>
      <c r="L10" s="87">
        <f>U10/U7-1</f>
        <v>-9.7835564872087888E-2</v>
      </c>
      <c r="M10" s="87"/>
      <c r="N10" s="88">
        <f>AVERAGE(T8:T10)</f>
        <v>2.944568808736387</v>
      </c>
      <c r="O10" s="89">
        <f>N10/N7-1</f>
        <v>-1.0200166204924588E-2</v>
      </c>
      <c r="P10" s="129" t="s">
        <v>5</v>
      </c>
      <c r="Q10" s="116">
        <v>934853</v>
      </c>
      <c r="R10" s="116">
        <v>1181310238</v>
      </c>
      <c r="S10" s="116">
        <v>325306.03000000003</v>
      </c>
      <c r="T10" s="130">
        <f t="shared" si="1"/>
        <v>2.8737647439243594</v>
      </c>
      <c r="U10" s="85">
        <f>Q8+Q9+Q10</f>
        <v>8412576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37901.952380952382</v>
      </c>
      <c r="G11" s="90">
        <f t="shared" si="2"/>
        <v>-0.14859234553453859</v>
      </c>
      <c r="H11" s="90"/>
      <c r="I11" s="130">
        <f t="shared" si="0"/>
        <v>2.9480866425404435</v>
      </c>
      <c r="J11" s="130"/>
      <c r="K11" s="78"/>
      <c r="L11" s="87"/>
      <c r="M11" s="87"/>
      <c r="N11" s="79"/>
      <c r="O11" s="89"/>
      <c r="P11" s="129" t="s">
        <v>6</v>
      </c>
      <c r="Q11" s="116">
        <v>795941</v>
      </c>
      <c r="R11" s="116">
        <v>1025937755</v>
      </c>
      <c r="S11" s="116">
        <v>269985.62</v>
      </c>
      <c r="T11" s="130">
        <f t="shared" si="1"/>
        <v>2.9480866425404435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35338.36363636364</v>
      </c>
      <c r="G12" s="90">
        <f t="shared" si="2"/>
        <v>-6.7637379700710931E-2</v>
      </c>
      <c r="H12" s="90"/>
      <c r="I12" s="130">
        <f t="shared" si="0"/>
        <v>2.8920480470927039</v>
      </c>
      <c r="J12" s="130"/>
      <c r="K12" s="78"/>
      <c r="L12" s="87"/>
      <c r="M12" s="87"/>
      <c r="N12" s="79"/>
      <c r="O12" s="89"/>
      <c r="P12" s="129" t="s">
        <v>7</v>
      </c>
      <c r="Q12" s="116">
        <v>777444</v>
      </c>
      <c r="R12" s="116">
        <v>1010407950</v>
      </c>
      <c r="S12" s="116">
        <v>268821.26</v>
      </c>
      <c r="T12" s="130">
        <f t="shared" si="1"/>
        <v>2.8920480470927039</v>
      </c>
      <c r="U12" s="85"/>
    </row>
    <row r="13" spans="1:21" ht="15" hidden="1" customHeight="1">
      <c r="A13" s="129" t="s">
        <v>96</v>
      </c>
      <c r="B13" s="131">
        <f>F11+F12+F13</f>
        <v>95218.766017316011</v>
      </c>
      <c r="C13" s="131">
        <f>AVERAGE(F11:F13)</f>
        <v>31739.588672438669</v>
      </c>
      <c r="D13" s="90">
        <f>C13/C10-1</f>
        <v>-0.76230894242576397</v>
      </c>
      <c r="E13" s="286"/>
      <c r="F13" s="78">
        <f>Q13/20</f>
        <v>21978.45</v>
      </c>
      <c r="G13" s="90">
        <f t="shared" si="2"/>
        <v>-0.37805694043558125</v>
      </c>
      <c r="H13" s="90"/>
      <c r="I13" s="130">
        <f t="shared" si="0"/>
        <v>2.9773787248984398</v>
      </c>
      <c r="J13" s="130"/>
      <c r="K13" s="78">
        <f>R11+R12+R13</f>
        <v>2636649338</v>
      </c>
      <c r="L13" s="87">
        <f>U13/U10-1</f>
        <v>-0.76072085411174895</v>
      </c>
      <c r="M13" s="87"/>
      <c r="N13" s="88">
        <f>AVERAGE(T11:T13)</f>
        <v>2.9391711381771959</v>
      </c>
      <c r="O13" s="89">
        <f>N13/N10-1</f>
        <v>-1.8330937090607069E-3</v>
      </c>
      <c r="P13" s="129" t="s">
        <v>96</v>
      </c>
      <c r="Q13" s="116">
        <v>439569</v>
      </c>
      <c r="R13" s="116">
        <v>600303633</v>
      </c>
      <c r="S13" s="116">
        <v>147636.24</v>
      </c>
      <c r="T13" s="130">
        <f t="shared" si="1"/>
        <v>2.9773787248984398</v>
      </c>
      <c r="U13" s="85">
        <f>Q11+Q12+Q13</f>
        <v>2012954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42422</v>
      </c>
      <c r="G14" s="90">
        <f t="shared" si="2"/>
        <v>0.93016341006758885</v>
      </c>
      <c r="H14" s="90"/>
      <c r="I14" s="130">
        <f t="shared" si="0"/>
        <v>2.8768444470907335</v>
      </c>
      <c r="J14" s="130"/>
      <c r="K14" s="78"/>
      <c r="L14" s="87"/>
      <c r="M14" s="87"/>
      <c r="N14" s="79"/>
      <c r="O14" s="89"/>
      <c r="P14" s="129" t="s">
        <v>97</v>
      </c>
      <c r="Q14" s="116">
        <v>848440</v>
      </c>
      <c r="R14" s="116">
        <v>1209229554</v>
      </c>
      <c r="S14" s="116">
        <v>294920.36</v>
      </c>
      <c r="T14" s="130">
        <f t="shared" si="1"/>
        <v>2.8768444470907335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22135.772727272728</v>
      </c>
      <c r="G15" s="90">
        <f t="shared" si="2"/>
        <v>-0.47820063346205444</v>
      </c>
      <c r="H15" s="90"/>
      <c r="I15" s="130">
        <f t="shared" si="0"/>
        <v>3.0212938034153565</v>
      </c>
      <c r="J15" s="130"/>
      <c r="K15" s="78"/>
      <c r="L15" s="87"/>
      <c r="M15" s="87"/>
      <c r="N15" s="79"/>
      <c r="O15" s="89"/>
      <c r="P15" s="129" t="s">
        <v>98</v>
      </c>
      <c r="Q15" s="116">
        <v>486987</v>
      </c>
      <c r="R15" s="116">
        <v>677246508</v>
      </c>
      <c r="S15" s="116">
        <v>161184.92000000001</v>
      </c>
      <c r="T15" s="130">
        <f t="shared" si="1"/>
        <v>3.0212938034153565</v>
      </c>
      <c r="U15" s="78"/>
    </row>
    <row r="16" spans="1:21" ht="15" hidden="1" customHeight="1">
      <c r="A16" s="129" t="s">
        <v>99</v>
      </c>
      <c r="B16" s="131">
        <f>F14+F15+F16</f>
        <v>93759.363636363632</v>
      </c>
      <c r="C16" s="131">
        <f>AVERAGE(F14:F16)</f>
        <v>31253.121212121212</v>
      </c>
      <c r="D16" s="90">
        <f>C16/C13-1</f>
        <v>-1.5326835685803508E-2</v>
      </c>
      <c r="E16" s="286"/>
      <c r="F16" s="78">
        <f>Q16/22</f>
        <v>29201.590909090908</v>
      </c>
      <c r="G16" s="90">
        <f t="shared" si="2"/>
        <v>0.31920359270370668</v>
      </c>
      <c r="H16" s="90"/>
      <c r="I16" s="130">
        <f t="shared" si="0"/>
        <v>2.9463354060511424</v>
      </c>
      <c r="J16" s="130"/>
      <c r="K16" s="78">
        <f>R14+R15+R16</f>
        <v>2726068810</v>
      </c>
      <c r="L16" s="87">
        <f>U16/U13-1</f>
        <v>-1.7433085902608836E-2</v>
      </c>
      <c r="M16" s="87"/>
      <c r="N16" s="88">
        <f>AVERAGE(T14:T16)</f>
        <v>2.9481578855190773</v>
      </c>
      <c r="O16" s="89">
        <f>N16/N13-1</f>
        <v>3.0575787932698439E-3</v>
      </c>
      <c r="P16" s="129" t="s">
        <v>99</v>
      </c>
      <c r="Q16" s="116">
        <v>642435</v>
      </c>
      <c r="R16" s="116">
        <v>839592748</v>
      </c>
      <c r="S16" s="116">
        <v>218045.44</v>
      </c>
      <c r="T16" s="130">
        <f t="shared" si="1"/>
        <v>2.9463354060511424</v>
      </c>
      <c r="U16" s="85">
        <f>Q14+Q15+Q16</f>
        <v>1977862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74016.25</v>
      </c>
      <c r="G17" s="90">
        <f t="shared" si="2"/>
        <v>1.5346649855627419</v>
      </c>
      <c r="H17" s="90">
        <f t="shared" ref="H17:H46" si="3">F17/F5-1</f>
        <v>-0.16466578449158786</v>
      </c>
      <c r="I17" s="130">
        <f t="shared" si="0"/>
        <v>3.0307476781277889</v>
      </c>
      <c r="J17" s="130">
        <f t="shared" ref="J17:J49" si="4">I17/I5-1</f>
        <v>-2.8784320578518319E-2</v>
      </c>
      <c r="K17" s="78"/>
      <c r="L17" s="87"/>
      <c r="M17" s="87"/>
      <c r="N17" s="79"/>
      <c r="O17" s="89"/>
      <c r="P17" s="129" t="s">
        <v>100</v>
      </c>
      <c r="Q17" s="116">
        <v>1480325</v>
      </c>
      <c r="R17" s="116">
        <v>1852258968</v>
      </c>
      <c r="S17" s="116">
        <v>488435.58</v>
      </c>
      <c r="T17" s="130">
        <f t="shared" si="1"/>
        <v>3.0307476781277889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236285.35</v>
      </c>
      <c r="G18" s="90">
        <f t="shared" si="2"/>
        <v>2.1923442487291642</v>
      </c>
      <c r="H18" s="90">
        <f t="shared" si="3"/>
        <v>0.43416290462464802</v>
      </c>
      <c r="I18" s="130">
        <f t="shared" si="0"/>
        <v>2.9902944186231339</v>
      </c>
      <c r="J18" s="130">
        <f t="shared" si="4"/>
        <v>1.0738849250554239E-2</v>
      </c>
      <c r="K18" s="78"/>
      <c r="L18" s="87"/>
      <c r="M18" s="87"/>
      <c r="N18" s="79"/>
      <c r="O18" s="89"/>
      <c r="P18" s="129" t="s">
        <v>106</v>
      </c>
      <c r="Q18" s="116">
        <v>4725707</v>
      </c>
      <c r="R18" s="116">
        <v>5925536327</v>
      </c>
      <c r="S18" s="116">
        <v>1580348.4</v>
      </c>
      <c r="T18" s="130">
        <f t="shared" si="1"/>
        <v>2.9902944186231339</v>
      </c>
      <c r="U18" s="78"/>
    </row>
    <row r="19" spans="1:21" hidden="1">
      <c r="A19" s="129" t="s">
        <v>114</v>
      </c>
      <c r="B19" s="131">
        <f>SUM(F17:F19)</f>
        <v>491273.37272727268</v>
      </c>
      <c r="C19" s="131">
        <f>AVERAGE(F17:F19)</f>
        <v>163757.79090909089</v>
      </c>
      <c r="D19" s="90">
        <f>C19/C16-1</f>
        <v>4.2397259716120468</v>
      </c>
      <c r="E19" s="286">
        <f>C19/C7-1</f>
        <v>6.3664293197334354E-2</v>
      </c>
      <c r="F19" s="78">
        <f>Q19/22</f>
        <v>180971.77272727274</v>
      </c>
      <c r="G19" s="90">
        <f t="shared" si="2"/>
        <v>-0.23409651623652195</v>
      </c>
      <c r="H19" s="90">
        <f t="shared" si="3"/>
        <v>-0.1320597633654651</v>
      </c>
      <c r="I19" s="130">
        <f t="shared" si="0"/>
        <v>2.9563047258318087</v>
      </c>
      <c r="J19" s="130">
        <f t="shared" si="4"/>
        <v>3.8887112913636335E-2</v>
      </c>
      <c r="K19" s="78">
        <f>R17+R18+R19</f>
        <v>12983235367</v>
      </c>
      <c r="L19" s="87">
        <f>U19/U16-1</f>
        <v>4.1507188064688032</v>
      </c>
      <c r="M19" s="87">
        <f>U19/U7-1</f>
        <v>9.2497695144849512E-2</v>
      </c>
      <c r="N19" s="88">
        <f>AVERAGE(T17:T19)</f>
        <v>2.9924489408609105</v>
      </c>
      <c r="O19" s="89">
        <f>N19/N16-1</f>
        <v>1.5023298297348386E-2</v>
      </c>
      <c r="P19" s="129" t="s">
        <v>114</v>
      </c>
      <c r="Q19" s="116">
        <v>3981379</v>
      </c>
      <c r="R19" s="116">
        <v>5205440072</v>
      </c>
      <c r="S19" s="116">
        <v>1346741.75</v>
      </c>
      <c r="T19" s="130">
        <f t="shared" si="1"/>
        <v>2.9563047258318087</v>
      </c>
      <c r="U19" s="85">
        <f>Q17+Q18+Q19</f>
        <v>10187411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195614.5</v>
      </c>
      <c r="G20" s="90">
        <f t="shared" si="2"/>
        <v>8.0911664023947338E-2</v>
      </c>
      <c r="H20" s="90">
        <f t="shared" si="3"/>
        <v>-0.16738242094256206</v>
      </c>
      <c r="I20" s="130">
        <f t="shared" si="0"/>
        <v>3.0459715776483618</v>
      </c>
      <c r="J20" s="130">
        <f t="shared" si="4"/>
        <v>3.9339653991518952E-2</v>
      </c>
      <c r="K20" s="78"/>
      <c r="L20" s="87"/>
      <c r="M20" s="87"/>
      <c r="N20" s="79"/>
      <c r="O20" s="89"/>
      <c r="P20" s="129" t="s">
        <v>131</v>
      </c>
      <c r="Q20" s="116">
        <v>3912290</v>
      </c>
      <c r="R20" s="116">
        <v>5122630474</v>
      </c>
      <c r="S20" s="116">
        <v>1284414.48</v>
      </c>
      <c r="T20" s="130">
        <f t="shared" si="1"/>
        <v>3.0459715776483618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114337.09523809524</v>
      </c>
      <c r="G21" s="90">
        <f t="shared" si="2"/>
        <v>-0.41549785298075936</v>
      </c>
      <c r="H21" s="90">
        <f t="shared" si="3"/>
        <v>-5.6179638364779905E-2</v>
      </c>
      <c r="I21" s="130">
        <f t="shared" si="0"/>
        <v>3.3141574935204208</v>
      </c>
      <c r="J21" s="130">
        <f t="shared" si="4"/>
        <v>9.4047811869946596E-2</v>
      </c>
      <c r="K21" s="78"/>
      <c r="L21" s="87"/>
      <c r="M21" s="87"/>
      <c r="N21" s="79"/>
      <c r="O21" s="89"/>
      <c r="P21" s="129" t="s">
        <v>141</v>
      </c>
      <c r="Q21" s="116">
        <v>2401079</v>
      </c>
      <c r="R21" s="116">
        <v>3195307877</v>
      </c>
      <c r="S21" s="116">
        <v>724491.52</v>
      </c>
      <c r="T21" s="130">
        <f t="shared" si="1"/>
        <v>3.3141574935204208</v>
      </c>
      <c r="U21" s="78"/>
    </row>
    <row r="22" spans="1:21" hidden="1">
      <c r="A22" s="129" t="s">
        <v>155</v>
      </c>
      <c r="B22" s="131">
        <f>SUM(F20:F22)</f>
        <v>418742.40476190479</v>
      </c>
      <c r="C22" s="131">
        <f>AVERAGE(F20:F22)</f>
        <v>139580.8015873016</v>
      </c>
      <c r="D22" s="90">
        <f>C22/C19-1</f>
        <v>-0.14763871195118283</v>
      </c>
      <c r="E22" s="286">
        <f>C22/C10-1</f>
        <v>4.5291061857866133E-2</v>
      </c>
      <c r="F22" s="78">
        <f>Q22/21</f>
        <v>108790.80952380953</v>
      </c>
      <c r="G22" s="90">
        <f t="shared" si="2"/>
        <v>-4.8508191525559963E-2</v>
      </c>
      <c r="H22" s="90">
        <f t="shared" si="3"/>
        <v>1.4438141611568875</v>
      </c>
      <c r="I22" s="130">
        <f t="shared" si="0"/>
        <v>3.0074483549402684</v>
      </c>
      <c r="J22" s="130">
        <f t="shared" si="4"/>
        <v>4.651863424051661E-2</v>
      </c>
      <c r="K22" s="78">
        <f>R20+R21+R22</f>
        <v>11291096962</v>
      </c>
      <c r="L22" s="87">
        <f>U22/U19-1</f>
        <v>-0.15601952252638085</v>
      </c>
      <c r="M22" s="87">
        <f>U22/U10-1</f>
        <v>2.2038433887551223E-2</v>
      </c>
      <c r="N22" s="88">
        <f>AVERAGE(T20:T22)</f>
        <v>3.122525808703017</v>
      </c>
      <c r="O22" s="89">
        <f>N22/N19-1</f>
        <v>4.3468366683203641E-2</v>
      </c>
      <c r="P22" s="129" t="s">
        <v>155</v>
      </c>
      <c r="Q22" s="116">
        <v>2284607</v>
      </c>
      <c r="R22" s="116">
        <v>2973158611</v>
      </c>
      <c r="S22" s="116">
        <v>759649.62</v>
      </c>
      <c r="T22" s="130">
        <f t="shared" si="1"/>
        <v>3.0074483549402684</v>
      </c>
      <c r="U22" s="85">
        <f>Q20+Q21+Q22</f>
        <v>8597976</v>
      </c>
    </row>
    <row r="23" spans="1:21" hidden="1">
      <c r="A23" s="129" t="s">
        <v>189</v>
      </c>
      <c r="B23" s="131"/>
      <c r="C23" s="131"/>
      <c r="D23" s="117"/>
      <c r="F23" s="78">
        <f>Q23/21</f>
        <v>46722.285714285717</v>
      </c>
      <c r="G23" s="90">
        <f t="shared" si="2"/>
        <v>-0.57053094908664814</v>
      </c>
      <c r="H23" s="90">
        <f t="shared" si="3"/>
        <v>0.23271448511887183</v>
      </c>
      <c r="I23" s="130">
        <f t="shared" si="0"/>
        <v>3.1424778406770706</v>
      </c>
      <c r="J23" s="130">
        <f t="shared" si="4"/>
        <v>6.5938088566187769E-2</v>
      </c>
      <c r="K23" s="78"/>
      <c r="L23" s="87"/>
      <c r="M23" s="87"/>
      <c r="N23" s="79"/>
      <c r="O23" s="89"/>
      <c r="P23" s="129" t="s">
        <v>189</v>
      </c>
      <c r="Q23" s="116">
        <v>981168</v>
      </c>
      <c r="R23" s="116">
        <v>1266175790</v>
      </c>
      <c r="S23" s="116">
        <v>312227.5</v>
      </c>
      <c r="T23" s="130">
        <f t="shared" si="1"/>
        <v>3.1424778406770706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39417.045454545456</v>
      </c>
      <c r="G24" s="90">
        <f t="shared" si="2"/>
        <v>-0.15635451365570985</v>
      </c>
      <c r="H24" s="90">
        <f t="shared" si="3"/>
        <v>0.11541795936427568</v>
      </c>
      <c r="I24" s="130">
        <f t="shared" si="0"/>
        <v>2.9753723199775801</v>
      </c>
      <c r="J24" s="130">
        <f t="shared" si="4"/>
        <v>2.8811510572460897E-2</v>
      </c>
      <c r="K24" s="78"/>
      <c r="L24" s="87"/>
      <c r="M24" s="87"/>
      <c r="N24" s="79"/>
      <c r="O24" s="89"/>
      <c r="P24" s="129" t="s">
        <v>204</v>
      </c>
      <c r="Q24" s="116">
        <v>867175</v>
      </c>
      <c r="R24" s="116">
        <v>1138321375</v>
      </c>
      <c r="S24" s="116">
        <v>291450.92</v>
      </c>
      <c r="T24" s="130">
        <f t="shared" si="1"/>
        <v>2.9753723199775801</v>
      </c>
      <c r="U24" s="78"/>
    </row>
    <row r="25" spans="1:21" s="92" customFormat="1" ht="13.2" hidden="1">
      <c r="A25" s="129" t="s">
        <v>217</v>
      </c>
      <c r="B25" s="131">
        <f>SUM(F23:F25)</f>
        <v>134036.64695830486</v>
      </c>
      <c r="C25" s="131">
        <f>AVERAGE(F23:F25)</f>
        <v>44678.882319434953</v>
      </c>
      <c r="D25" s="90">
        <f>C25/C22-1</f>
        <v>-0.67990667906079982</v>
      </c>
      <c r="E25" s="286">
        <f>C25/C13-1</f>
        <v>0.40767048938577544</v>
      </c>
      <c r="F25" s="78">
        <f>Q25/19</f>
        <v>47897.315789473687</v>
      </c>
      <c r="G25" s="90">
        <f t="shared" si="2"/>
        <v>0.21514221162789648</v>
      </c>
      <c r="H25" s="90">
        <f t="shared" si="3"/>
        <v>1.1792854268373651</v>
      </c>
      <c r="I25" s="130">
        <f t="shared" si="0"/>
        <v>3.0580350534772811</v>
      </c>
      <c r="J25" s="130">
        <f t="shared" si="4"/>
        <v>2.7089710793037458E-2</v>
      </c>
      <c r="K25" s="78">
        <f>R23+R24+R25</f>
        <v>3613213012</v>
      </c>
      <c r="L25" s="90">
        <f>U25/U22-1</f>
        <v>-0.67918123986389356</v>
      </c>
      <c r="M25" s="90">
        <f>U25/U13-1</f>
        <v>0.37032043454544916</v>
      </c>
      <c r="N25" s="88">
        <f>AVERAGE(T23:T25)</f>
        <v>3.0586284047106442</v>
      </c>
      <c r="O25" s="91">
        <f>N25/N22-1</f>
        <v>-2.0463370971756212E-2</v>
      </c>
      <c r="P25" s="129" t="s">
        <v>217</v>
      </c>
      <c r="Q25" s="116">
        <v>910049</v>
      </c>
      <c r="R25" s="116">
        <v>1208715847</v>
      </c>
      <c r="S25" s="116">
        <v>297592.73</v>
      </c>
      <c r="T25" s="130">
        <f t="shared" si="1"/>
        <v>3.0580350534772811</v>
      </c>
      <c r="U25" s="85">
        <f>Q23+Q24+Q25</f>
        <v>2758392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21440.526315789473</v>
      </c>
      <c r="G26" s="90">
        <f t="shared" si="2"/>
        <v>-0.55236476277650981</v>
      </c>
      <c r="H26" s="90">
        <f t="shared" si="3"/>
        <v>-0.4945894508559362</v>
      </c>
      <c r="I26" s="130">
        <f t="shared" si="0"/>
        <v>3.2169863068220135</v>
      </c>
      <c r="J26" s="130">
        <f t="shared" si="4"/>
        <v>0.11823435920397274</v>
      </c>
      <c r="K26" s="78"/>
      <c r="L26" s="90"/>
      <c r="M26" s="90"/>
      <c r="N26" s="79"/>
      <c r="O26" s="79"/>
      <c r="P26" s="129" t="s">
        <v>312</v>
      </c>
      <c r="Q26" s="116">
        <v>407370</v>
      </c>
      <c r="R26" s="116">
        <v>548819739</v>
      </c>
      <c r="S26" s="116">
        <v>126630.94</v>
      </c>
      <c r="T26" s="130">
        <f t="shared" si="1"/>
        <v>3.2169863068220135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26337.68181818182</v>
      </c>
      <c r="G27" s="90">
        <f t="shared" si="2"/>
        <v>0.22840649666262758</v>
      </c>
      <c r="H27" s="90">
        <f t="shared" si="3"/>
        <v>0.18982436902833144</v>
      </c>
      <c r="I27" s="130">
        <f t="shared" si="0"/>
        <v>3.402693360675666</v>
      </c>
      <c r="J27" s="130">
        <f t="shared" si="4"/>
        <v>0.12623716264507756</v>
      </c>
      <c r="K27" s="78"/>
      <c r="L27" s="90"/>
      <c r="M27" s="90"/>
      <c r="N27" s="79"/>
      <c r="O27" s="79"/>
      <c r="P27" s="129" t="s">
        <v>373</v>
      </c>
      <c r="Q27" s="116">
        <v>579429</v>
      </c>
      <c r="R27" s="116">
        <v>767771351</v>
      </c>
      <c r="S27" s="116">
        <v>170285.4</v>
      </c>
      <c r="T27" s="130">
        <f t="shared" si="1"/>
        <v>3.402693360675666</v>
      </c>
      <c r="U27" s="78"/>
    </row>
    <row r="28" spans="1:21" s="92" customFormat="1" ht="13.2" hidden="1">
      <c r="A28" s="123" t="s">
        <v>413</v>
      </c>
      <c r="B28" s="131">
        <f>SUM(F26:F28)</f>
        <v>73189.523923444969</v>
      </c>
      <c r="C28" s="131">
        <f>AVERAGE(F26:F28)</f>
        <v>24396.507974481658</v>
      </c>
      <c r="D28" s="90">
        <f>C28/C25-1</f>
        <v>-0.45395885689223314</v>
      </c>
      <c r="E28" s="286">
        <f>C28/C16-1</f>
        <v>-0.21938971122603546</v>
      </c>
      <c r="F28" s="78">
        <f>Q28/19</f>
        <v>25411.315789473683</v>
      </c>
      <c r="G28" s="90">
        <f t="shared" si="2"/>
        <v>-3.5172648644750226E-2</v>
      </c>
      <c r="H28" s="90">
        <f t="shared" si="3"/>
        <v>-0.12979687070533041</v>
      </c>
      <c r="I28" s="130">
        <f t="shared" si="0"/>
        <v>3.2053884437652056</v>
      </c>
      <c r="J28" s="130">
        <f t="shared" si="4"/>
        <v>8.7923811111940475E-2</v>
      </c>
      <c r="K28" s="78">
        <f>R26+R27+R28</f>
        <v>1948185700</v>
      </c>
      <c r="L28" s="90">
        <f>U28/U25-1</f>
        <v>-0.46722075760080506</v>
      </c>
      <c r="M28" s="90">
        <f>U28/U16-1</f>
        <v>-0.25696838303177871</v>
      </c>
      <c r="N28" s="88">
        <f>AVERAGE(T26:T28)</f>
        <v>3.2750227037542952</v>
      </c>
      <c r="O28" s="91">
        <f>N28/N25-1</f>
        <v>7.0748803192430376E-2</v>
      </c>
      <c r="P28" s="129" t="s">
        <v>413</v>
      </c>
      <c r="Q28" s="116">
        <v>482815</v>
      </c>
      <c r="R28" s="116">
        <v>631594610</v>
      </c>
      <c r="S28" s="116">
        <v>150626.04999999999</v>
      </c>
      <c r="T28" s="130">
        <f t="shared" si="1"/>
        <v>3.2053884437652056</v>
      </c>
      <c r="U28" s="85">
        <f>Q26+Q27+Q28</f>
        <v>1469614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48058.13636363636</v>
      </c>
      <c r="G29" s="190">
        <f t="shared" si="2"/>
        <v>0.89121007199256619</v>
      </c>
      <c r="H29" s="190">
        <f t="shared" si="3"/>
        <v>-0.35070830576209466</v>
      </c>
      <c r="I29" s="130">
        <f t="shared" si="0"/>
        <v>3.4241534144471899</v>
      </c>
      <c r="J29" s="130">
        <f t="shared" si="4"/>
        <v>0.12980484622937105</v>
      </c>
      <c r="K29" s="136"/>
      <c r="L29" s="190"/>
      <c r="M29" s="190"/>
      <c r="N29" s="191"/>
      <c r="O29" s="192"/>
      <c r="P29" s="129" t="s">
        <v>426</v>
      </c>
      <c r="Q29" s="116">
        <v>1057279</v>
      </c>
      <c r="R29" s="116">
        <v>1392565224</v>
      </c>
      <c r="S29" s="116">
        <v>308770.92</v>
      </c>
      <c r="T29" s="130">
        <f t="shared" si="1"/>
        <v>3.4241534144471899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228588.26315789475</v>
      </c>
      <c r="G30" s="190">
        <f t="shared" si="2"/>
        <v>3.7564945387865309</v>
      </c>
      <c r="H30" s="190">
        <f t="shared" si="3"/>
        <v>-3.2575387522354893E-2</v>
      </c>
      <c r="I30" s="130">
        <f t="shared" si="0"/>
        <v>3.0546078467462103</v>
      </c>
      <c r="J30" s="130">
        <f t="shared" si="4"/>
        <v>2.1507389948809408E-2</v>
      </c>
      <c r="K30" s="136"/>
      <c r="L30" s="190"/>
      <c r="M30" s="190"/>
      <c r="N30" s="191"/>
      <c r="O30" s="192"/>
      <c r="P30" s="129" t="s">
        <v>466</v>
      </c>
      <c r="Q30" s="116">
        <v>4343177</v>
      </c>
      <c r="R30" s="116">
        <v>5786526227</v>
      </c>
      <c r="S30" s="116">
        <v>1421844.38</v>
      </c>
      <c r="T30" s="130">
        <f t="shared" si="1"/>
        <v>3.0546078467462103</v>
      </c>
      <c r="U30" s="85"/>
    </row>
    <row r="31" spans="1:21" s="92" customFormat="1" ht="13.2" hidden="1">
      <c r="A31" s="129" t="s">
        <v>505</v>
      </c>
      <c r="B31" s="188">
        <f>SUM(F29:F31)</f>
        <v>557012.74952153116</v>
      </c>
      <c r="C31" s="188">
        <f>AVERAGE(F29:F31)</f>
        <v>185670.91650717705</v>
      </c>
      <c r="D31" s="190">
        <f>C31/C28-1</f>
        <v>6.6105529816556432</v>
      </c>
      <c r="E31" s="287">
        <f>C31/C19-1</f>
        <v>0.13381424771570782</v>
      </c>
      <c r="F31" s="136">
        <f>Q31/20</f>
        <v>280366.34999999998</v>
      </c>
      <c r="G31" s="190">
        <f t="shared" si="2"/>
        <v>0.22651244699444661</v>
      </c>
      <c r="H31" s="190">
        <f t="shared" si="3"/>
        <v>0.54922696382333847</v>
      </c>
      <c r="I31" s="130">
        <f t="shared" si="0"/>
        <v>3.1684478696041229</v>
      </c>
      <c r="J31" s="130">
        <f t="shared" si="4"/>
        <v>7.1759565892729249E-2</v>
      </c>
      <c r="K31" s="136">
        <f>R29+R30+R31</f>
        <v>14622305209</v>
      </c>
      <c r="L31" s="190">
        <f>U31/U28-1</f>
        <v>6.4902545838567134</v>
      </c>
      <c r="M31" s="190">
        <f>U31/U19-1</f>
        <v>8.0528016391995916E-2</v>
      </c>
      <c r="N31" s="191">
        <f>AVERAGE(T29:T31)</f>
        <v>3.2157363769325076</v>
      </c>
      <c r="O31" s="192">
        <f>N31/N28-1</f>
        <v>-1.8102569717707628E-2</v>
      </c>
      <c r="P31" s="129" t="s">
        <v>505</v>
      </c>
      <c r="Q31" s="116">
        <v>5607327</v>
      </c>
      <c r="R31" s="116">
        <v>7443213758</v>
      </c>
      <c r="S31" s="116">
        <v>1769739.39</v>
      </c>
      <c r="T31" s="130">
        <f t="shared" si="1"/>
        <v>3.1684478696041229</v>
      </c>
      <c r="U31" s="85">
        <f>Q29+Q30+Q31</f>
        <v>11007783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238851.71428571429</v>
      </c>
      <c r="G32" s="190">
        <f t="shared" si="2"/>
        <v>-0.14807281870411937</v>
      </c>
      <c r="H32" s="190">
        <f t="shared" si="3"/>
        <v>0.22103276743653599</v>
      </c>
      <c r="I32" s="130">
        <f t="shared" si="0"/>
        <v>3.1611847802459323</v>
      </c>
      <c r="J32" s="130">
        <f t="shared" si="4"/>
        <v>3.7824779273390563E-2</v>
      </c>
      <c r="K32" s="136"/>
      <c r="L32" s="190"/>
      <c r="M32" s="190"/>
      <c r="N32" s="191"/>
      <c r="O32" s="192"/>
      <c r="P32" s="129" t="s">
        <v>561</v>
      </c>
      <c r="Q32" s="116">
        <v>5015886</v>
      </c>
      <c r="R32" s="116">
        <v>6814162893</v>
      </c>
      <c r="S32" s="116">
        <v>1586710.79</v>
      </c>
      <c r="T32" s="130">
        <f t="shared" si="1"/>
        <v>3.1611847802459323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116750.38095238095</v>
      </c>
      <c r="G33" s="190">
        <f t="shared" si="2"/>
        <v>-0.51120141087736048</v>
      </c>
      <c r="H33" s="190">
        <f t="shared" si="3"/>
        <v>2.1106760752145126E-2</v>
      </c>
      <c r="I33" s="130">
        <f t="shared" si="0"/>
        <v>3.4532638409475882</v>
      </c>
      <c r="J33" s="130">
        <f t="shared" si="4"/>
        <v>4.1973366594417083E-2</v>
      </c>
      <c r="K33" s="136"/>
      <c r="L33" s="190"/>
      <c r="M33" s="190"/>
      <c r="N33" s="191"/>
      <c r="O33" s="192"/>
      <c r="P33" s="129" t="s">
        <v>606</v>
      </c>
      <c r="Q33" s="116">
        <v>2451758</v>
      </c>
      <c r="R33" s="116">
        <v>3354447643</v>
      </c>
      <c r="S33" s="116">
        <v>709982.82</v>
      </c>
      <c r="T33" s="130">
        <f t="shared" si="1"/>
        <v>3.4532638409475882</v>
      </c>
      <c r="U33" s="85"/>
    </row>
    <row r="34" spans="1:21" s="92" customFormat="1" ht="13.2" hidden="1">
      <c r="A34" s="129" t="s">
        <v>652</v>
      </c>
      <c r="B34" s="188">
        <f>SUM(F32:F34)</f>
        <v>480160.25313283212</v>
      </c>
      <c r="C34" s="188">
        <f>AVERAGE(F32:F34)</f>
        <v>160053.41771094405</v>
      </c>
      <c r="D34" s="190">
        <f>C34/C31-1</f>
        <v>-0.1379725983915352</v>
      </c>
      <c r="E34" s="287">
        <f>C34/C22-1</f>
        <v>0.14667214896912406</v>
      </c>
      <c r="F34" s="136">
        <f>Q34/19</f>
        <v>124558.15789473684</v>
      </c>
      <c r="G34" s="190">
        <f t="shared" si="2"/>
        <v>6.687581555335953E-2</v>
      </c>
      <c r="H34" s="190">
        <f t="shared" si="3"/>
        <v>0.14493272400437962</v>
      </c>
      <c r="I34" s="130">
        <f t="shared" si="0"/>
        <v>3.3197927615400538</v>
      </c>
      <c r="J34" s="130">
        <f t="shared" si="4"/>
        <v>0.10385694773002641</v>
      </c>
      <c r="K34" s="136">
        <f>R32+R33+R34</f>
        <v>13425779198</v>
      </c>
      <c r="L34" s="190">
        <f>U34/U31-1</f>
        <v>-0.10660947803931087</v>
      </c>
      <c r="M34" s="190">
        <f>U34/U22-1</f>
        <v>0.14378651440757695</v>
      </c>
      <c r="N34" s="191">
        <f>AVERAGE(T32:T34)</f>
        <v>3.3114137942445248</v>
      </c>
      <c r="O34" s="192">
        <f>N34/N31-1</f>
        <v>2.9752879619841188E-2</v>
      </c>
      <c r="P34" s="129" t="s">
        <v>652</v>
      </c>
      <c r="Q34" s="116">
        <v>2366605</v>
      </c>
      <c r="R34" s="116">
        <v>3257168662</v>
      </c>
      <c r="S34" s="116">
        <v>712877.33</v>
      </c>
      <c r="T34" s="130">
        <f t="shared" si="1"/>
        <v>3.3197927615400538</v>
      </c>
      <c r="U34" s="85">
        <f>Q32+Q33+Q34</f>
        <v>9834249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113538.56521739131</v>
      </c>
      <c r="G35" s="190">
        <f t="shared" si="2"/>
        <v>-8.8469457670192098E-2</v>
      </c>
      <c r="H35" s="190">
        <f t="shared" si="3"/>
        <v>1.4300730043837726</v>
      </c>
      <c r="I35" s="130">
        <f t="shared" si="0"/>
        <v>3.2857837682052597</v>
      </c>
      <c r="J35" s="130">
        <f t="shared" si="4"/>
        <v>4.560284425022787E-2</v>
      </c>
      <c r="K35" s="136"/>
      <c r="L35" s="190"/>
      <c r="M35" s="190"/>
      <c r="N35" s="191"/>
      <c r="O35" s="192"/>
      <c r="P35" s="129" t="s">
        <v>659</v>
      </c>
      <c r="Q35" s="116">
        <v>2611387</v>
      </c>
      <c r="R35" s="116">
        <v>3613077732</v>
      </c>
      <c r="S35" s="116">
        <v>794753.15</v>
      </c>
      <c r="T35" s="130">
        <f t="shared" si="1"/>
        <v>3.2857837682052597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117832.33333333333</v>
      </c>
      <c r="G36" s="190">
        <f t="shared" si="2"/>
        <v>3.781770632490189E-2</v>
      </c>
      <c r="H36" s="190">
        <f t="shared" si="3"/>
        <v>1.9893750780792034</v>
      </c>
      <c r="I36" s="130">
        <f t="shared" si="0"/>
        <v>3.3161202294284187</v>
      </c>
      <c r="J36" s="130">
        <f t="shared" si="4"/>
        <v>0.11452277994352178</v>
      </c>
      <c r="K36" s="136"/>
      <c r="L36" s="190"/>
      <c r="M36" s="190"/>
      <c r="N36" s="191"/>
      <c r="O36" s="192"/>
      <c r="P36" s="129" t="s">
        <v>664</v>
      </c>
      <c r="Q36" s="116">
        <v>2474479</v>
      </c>
      <c r="R36" s="116">
        <v>3373816464</v>
      </c>
      <c r="S36" s="116">
        <v>746197.01</v>
      </c>
      <c r="T36" s="130">
        <f t="shared" si="1"/>
        <v>3.3161202294284187</v>
      </c>
      <c r="U36" s="85"/>
    </row>
    <row r="37" spans="1:21" s="92" customFormat="1" ht="13.2" hidden="1">
      <c r="A37" s="129" t="s">
        <v>702</v>
      </c>
      <c r="B37" s="188">
        <f>SUM(F35:F37)</f>
        <v>312078.62077294686</v>
      </c>
      <c r="C37" s="188">
        <f>AVERAGE(F35:F37)</f>
        <v>104026.20692431561</v>
      </c>
      <c r="D37" s="190">
        <f>C37/C34-1</f>
        <v>-0.35005319841287863</v>
      </c>
      <c r="E37" s="287">
        <f>C37/C25-1</f>
        <v>1.3283081743310543</v>
      </c>
      <c r="F37" s="136">
        <f>Q37/18</f>
        <v>80707.722222222219</v>
      </c>
      <c r="G37" s="190">
        <f t="shared" si="2"/>
        <v>-0.31506302269420483</v>
      </c>
      <c r="H37" s="190">
        <f t="shared" si="3"/>
        <v>0.68501555654939694</v>
      </c>
      <c r="I37" s="130">
        <f t="shared" si="0"/>
        <v>3.1831229728321491</v>
      </c>
      <c r="J37" s="130">
        <f t="shared" si="4"/>
        <v>4.0904671518604996E-2</v>
      </c>
      <c r="K37" s="136">
        <f>R35+R36+R37</f>
        <v>8925522677</v>
      </c>
      <c r="L37" s="190">
        <f>U37/U34-1</f>
        <v>-0.33511903145832489</v>
      </c>
      <c r="M37" s="190">
        <f>U37/U25-1</f>
        <v>1.3704408220441473</v>
      </c>
      <c r="N37" s="191">
        <f>AVERAGE(T35:T37)</f>
        <v>3.2616756568219429</v>
      </c>
      <c r="O37" s="192">
        <f>N37/N34-1</f>
        <v>-1.5020212064414951E-2</v>
      </c>
      <c r="P37" s="129" t="s">
        <v>702</v>
      </c>
      <c r="Q37" s="116">
        <v>1452739</v>
      </c>
      <c r="R37" s="116">
        <v>1938628481</v>
      </c>
      <c r="S37" s="116">
        <v>456387.96</v>
      </c>
      <c r="T37" s="130">
        <f t="shared" si="1"/>
        <v>3.1831229728321491</v>
      </c>
      <c r="U37" s="85">
        <f>Q35+Q36+Q37</f>
        <v>6538605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75865.55</v>
      </c>
      <c r="G38" s="190">
        <f t="shared" si="2"/>
        <v>-5.9996393020356642E-2</v>
      </c>
      <c r="H38" s="190">
        <f t="shared" si="3"/>
        <v>2.5384182684046448</v>
      </c>
      <c r="I38" s="130">
        <f t="shared" si="0"/>
        <v>3.1721237964341267</v>
      </c>
      <c r="J38" s="130">
        <f t="shared" si="4"/>
        <v>-1.3945508655958672E-2</v>
      </c>
      <c r="K38" s="136"/>
      <c r="L38" s="190"/>
      <c r="M38" s="190"/>
      <c r="N38" s="191"/>
      <c r="O38" s="192"/>
      <c r="P38" s="129" t="s">
        <v>725</v>
      </c>
      <c r="Q38" s="116">
        <v>1517311</v>
      </c>
      <c r="R38" s="116">
        <v>2031902901</v>
      </c>
      <c r="S38" s="116">
        <v>478326.54</v>
      </c>
      <c r="T38" s="130">
        <f t="shared" si="1"/>
        <v>3.1721237964341267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47958.761904761908</v>
      </c>
      <c r="G39" s="190">
        <f t="shared" si="2"/>
        <v>-0.36784532762549138</v>
      </c>
      <c r="H39" s="190">
        <f t="shared" si="3"/>
        <v>0.8209181140480748</v>
      </c>
      <c r="I39" s="130">
        <f t="shared" si="0"/>
        <v>3.2817089596167262</v>
      </c>
      <c r="J39" s="130">
        <f t="shared" si="4"/>
        <v>-3.5555481565613722E-2</v>
      </c>
      <c r="K39" s="136"/>
      <c r="L39" s="190"/>
      <c r="M39" s="190"/>
      <c r="N39" s="191"/>
      <c r="O39" s="192"/>
      <c r="P39" s="129" t="s">
        <v>762</v>
      </c>
      <c r="Q39" s="116">
        <v>1007134</v>
      </c>
      <c r="R39" s="116">
        <v>1399282140</v>
      </c>
      <c r="S39" s="116">
        <v>306893.15000000002</v>
      </c>
      <c r="T39" s="130">
        <f t="shared" si="1"/>
        <v>3.2817089596167262</v>
      </c>
      <c r="U39" s="85"/>
    </row>
    <row r="40" spans="1:21" s="92" customFormat="1" ht="13.2" hidden="1">
      <c r="A40" s="129" t="s">
        <v>777</v>
      </c>
      <c r="B40" s="188">
        <f>SUM(F38:F40)</f>
        <v>162527.35952380951</v>
      </c>
      <c r="C40" s="188">
        <f>AVERAGE(F38:F40)</f>
        <v>54175.786507936507</v>
      </c>
      <c r="D40" s="190">
        <f>C40/C37-1</f>
        <v>-0.4792102095258346</v>
      </c>
      <c r="E40" s="287">
        <f>C40/C28-1</f>
        <v>1.2206369274079503</v>
      </c>
      <c r="F40" s="136">
        <f>Q40/21</f>
        <v>38703.047619047618</v>
      </c>
      <c r="G40" s="190">
        <f t="shared" si="2"/>
        <v>-0.19299318660674758</v>
      </c>
      <c r="H40" s="190">
        <f t="shared" si="3"/>
        <v>0.52306350209066577</v>
      </c>
      <c r="I40" s="130">
        <f t="shared" si="0"/>
        <v>3.2498601814476347</v>
      </c>
      <c r="J40" s="130">
        <f t="shared" si="4"/>
        <v>1.3874055660533458E-2</v>
      </c>
      <c r="K40" s="136">
        <f>R38+R39+R40</f>
        <v>4590086294</v>
      </c>
      <c r="L40" s="190">
        <f>U40/U37-1</f>
        <v>-0.48961452786947679</v>
      </c>
      <c r="M40" s="190">
        <f>U40/U28-1</f>
        <v>1.2708064838794404</v>
      </c>
      <c r="N40" s="191">
        <f>AVERAGE(T38:T40)</f>
        <v>3.2345643124994958</v>
      </c>
      <c r="O40" s="192">
        <f>N40/N37-1</f>
        <v>-8.3120908315155173E-3</v>
      </c>
      <c r="P40" s="129" t="s">
        <v>777</v>
      </c>
      <c r="Q40" s="116">
        <v>812764</v>
      </c>
      <c r="R40" s="116">
        <v>1158901253</v>
      </c>
      <c r="S40" s="116">
        <v>250091.99</v>
      </c>
      <c r="T40" s="130">
        <f t="shared" si="1"/>
        <v>3.2498601814476347</v>
      </c>
      <c r="U40" s="85">
        <f>Q38+Q39+Q40</f>
        <v>3337209</v>
      </c>
    </row>
    <row r="41" spans="1:21" s="92" customFormat="1" ht="13.2">
      <c r="A41" s="129" t="s">
        <v>787</v>
      </c>
      <c r="B41" s="194"/>
      <c r="C41" s="194"/>
      <c r="D41" s="201"/>
      <c r="E41" s="288"/>
      <c r="F41" s="136">
        <f>Q41/18</f>
        <v>58452.444444444445</v>
      </c>
      <c r="G41" s="190">
        <f t="shared" si="2"/>
        <v>0.510280146922518</v>
      </c>
      <c r="H41" s="190">
        <f t="shared" si="3"/>
        <v>0.21628612483344312</v>
      </c>
      <c r="I41" s="130">
        <f t="shared" si="0"/>
        <v>3.2403338010950646</v>
      </c>
      <c r="J41" s="130">
        <f t="shared" si="4"/>
        <v>-5.368322943024495E-2</v>
      </c>
      <c r="K41" s="194"/>
      <c r="L41" s="202"/>
      <c r="M41" s="202"/>
      <c r="N41" s="194"/>
      <c r="O41" s="194"/>
      <c r="P41" s="129" t="s">
        <v>787</v>
      </c>
      <c r="Q41" s="116">
        <v>1052144</v>
      </c>
      <c r="R41" s="116">
        <v>1538819525</v>
      </c>
      <c r="S41" s="116">
        <v>324702.34999999998</v>
      </c>
      <c r="T41" s="130">
        <f t="shared" si="1"/>
        <v>3.2403338010950646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224561.05</v>
      </c>
      <c r="G42" s="190">
        <f t="shared" si="2"/>
        <v>2.8417734644687416</v>
      </c>
      <c r="H42" s="190">
        <f t="shared" si="3"/>
        <v>-1.7617759994584703E-2</v>
      </c>
      <c r="I42" s="130">
        <f t="shared" si="0"/>
        <v>3.0827364443232583</v>
      </c>
      <c r="J42" s="130">
        <f t="shared" si="4"/>
        <v>9.2085789693137077E-3</v>
      </c>
      <c r="K42" s="194"/>
      <c r="L42" s="202"/>
      <c r="M42" s="202"/>
      <c r="N42" s="194"/>
      <c r="O42" s="194"/>
      <c r="P42" s="129" t="s">
        <v>826</v>
      </c>
      <c r="Q42" s="116">
        <v>4491221</v>
      </c>
      <c r="R42" s="116">
        <v>6493984520</v>
      </c>
      <c r="S42" s="116">
        <v>1456894.25</v>
      </c>
      <c r="T42" s="130">
        <f t="shared" si="1"/>
        <v>3.0827364443232583</v>
      </c>
      <c r="U42" s="175"/>
    </row>
    <row r="43" spans="1:21" s="92" customFormat="1" ht="13.2">
      <c r="A43" s="129" t="s">
        <v>834</v>
      </c>
      <c r="B43" s="188">
        <f>SUM(F41:F43)</f>
        <v>544061.4444444445</v>
      </c>
      <c r="C43" s="188">
        <f>AVERAGE(F41:F43)</f>
        <v>181353.81481481483</v>
      </c>
      <c r="D43" s="190">
        <f>C43/C40-1</f>
        <v>2.3475068200116915</v>
      </c>
      <c r="E43" s="287">
        <f>C43/C31-1</f>
        <v>-2.325136199882627E-2</v>
      </c>
      <c r="F43" s="136">
        <f>Q43/20</f>
        <v>261047.95</v>
      </c>
      <c r="G43" s="190">
        <f t="shared" si="2"/>
        <v>0.16248098234310904</v>
      </c>
      <c r="H43" s="190">
        <f t="shared" si="3"/>
        <v>-6.8904132040096711E-2</v>
      </c>
      <c r="I43" s="130">
        <f t="shared" si="0"/>
        <v>3.1676822329994372</v>
      </c>
      <c r="J43" s="130">
        <f t="shared" si="4"/>
        <v>-2.416440592349911E-4</v>
      </c>
      <c r="K43" s="136">
        <f>R41+R42+R43</f>
        <v>15608354246</v>
      </c>
      <c r="L43" s="190">
        <f>U43/U40-1</f>
        <v>2.2255468566697503</v>
      </c>
      <c r="M43" s="190">
        <f>K43/K31-1</f>
        <v>6.7434581819088901E-2</v>
      </c>
      <c r="N43" s="191">
        <f>AVERAGE(T41:T43)</f>
        <v>3.1635841594725869</v>
      </c>
      <c r="O43" s="192">
        <f>N43/N40-1</f>
        <v>-2.194427013017386E-2</v>
      </c>
      <c r="P43" s="129" t="s">
        <v>834</v>
      </c>
      <c r="Q43" s="116">
        <v>5220959</v>
      </c>
      <c r="R43" s="116">
        <v>7575550201</v>
      </c>
      <c r="S43" s="116">
        <v>1648195.31</v>
      </c>
      <c r="T43" s="130">
        <f t="shared" si="1"/>
        <v>3.1676822329994372</v>
      </c>
      <c r="U43" s="85">
        <f>Q41+Q42+Q43</f>
        <v>10764324</v>
      </c>
    </row>
    <row r="44" spans="1:21" s="92" customFormat="1" ht="13.2">
      <c r="A44" s="129" t="s">
        <v>838</v>
      </c>
      <c r="B44" s="188"/>
      <c r="C44" s="188"/>
      <c r="D44" s="190"/>
      <c r="E44" s="287"/>
      <c r="F44" s="136">
        <f>Q44/22</f>
        <v>323490.95454545453</v>
      </c>
      <c r="G44" s="190">
        <f t="shared" si="2"/>
        <v>0.23920128292696607</v>
      </c>
      <c r="H44" s="190">
        <f t="shared" si="3"/>
        <v>0.35435893986716316</v>
      </c>
      <c r="I44" s="130">
        <f t="shared" si="0"/>
        <v>3.1399921915824529</v>
      </c>
      <c r="J44" s="130">
        <f t="shared" si="4"/>
        <v>-6.7040018653482525E-3</v>
      </c>
      <c r="K44" s="136"/>
      <c r="L44" s="190"/>
      <c r="M44" s="190"/>
      <c r="N44" s="191"/>
      <c r="O44" s="192"/>
      <c r="P44" s="129" t="s">
        <v>838</v>
      </c>
      <c r="Q44" s="116">
        <v>7116801</v>
      </c>
      <c r="R44" s="116">
        <v>10331963152</v>
      </c>
      <c r="S44" s="116">
        <v>2266502.77</v>
      </c>
      <c r="T44" s="130">
        <f t="shared" si="1"/>
        <v>3.1399921915824529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221659.2</v>
      </c>
      <c r="G45" s="190">
        <f t="shared" si="2"/>
        <v>-0.31479011426622716</v>
      </c>
      <c r="H45" s="190">
        <f t="shared" si="3"/>
        <v>0.89857367652109232</v>
      </c>
      <c r="I45" s="130">
        <f t="shared" si="0"/>
        <v>3.2292278017412763</v>
      </c>
      <c r="J45" s="130">
        <f t="shared" si="4"/>
        <v>-6.4876606458438291E-2</v>
      </c>
      <c r="K45" s="136"/>
      <c r="L45" s="190"/>
      <c r="M45" s="190"/>
      <c r="N45" s="191"/>
      <c r="O45" s="192"/>
      <c r="P45" s="129" t="s">
        <v>847</v>
      </c>
      <c r="Q45" s="116">
        <v>4433184</v>
      </c>
      <c r="R45" s="116">
        <v>6252382882</v>
      </c>
      <c r="S45" s="116">
        <v>1372830.99</v>
      </c>
      <c r="T45" s="130">
        <f t="shared" si="1"/>
        <v>3.2292278017412763</v>
      </c>
      <c r="U45" s="85"/>
    </row>
    <row r="46" spans="1:21" s="92" customFormat="1" ht="13.2">
      <c r="A46" s="129" t="s">
        <v>888</v>
      </c>
      <c r="B46" s="188">
        <f>SUM(F44:F46)</f>
        <v>707826.47033492825</v>
      </c>
      <c r="C46" s="188">
        <f>AVERAGE(F44:F46)</f>
        <v>235942.15677830941</v>
      </c>
      <c r="D46" s="190">
        <f>C46/C43-1</f>
        <v>0.30100465225524031</v>
      </c>
      <c r="E46" s="287">
        <f>C46/C34-1</f>
        <v>0.47414632035174775</v>
      </c>
      <c r="F46" s="136">
        <f>Q46/19</f>
        <v>162676.31578947368</v>
      </c>
      <c r="G46" s="190">
        <f t="shared" si="2"/>
        <v>-0.26609716271883288</v>
      </c>
      <c r="H46" s="190">
        <f t="shared" si="3"/>
        <v>0.30602698802715289</v>
      </c>
      <c r="I46" s="130">
        <f t="shared" si="0"/>
        <v>3.3184825731270262</v>
      </c>
      <c r="J46" s="130">
        <f t="shared" si="4"/>
        <v>-3.9465969930596589E-4</v>
      </c>
      <c r="K46" s="136">
        <f>R44+R45+R46</f>
        <v>20813574114</v>
      </c>
      <c r="L46" s="190">
        <f>U46/U43-1</f>
        <v>0.36012581932688015</v>
      </c>
      <c r="M46" s="190">
        <f>K46/K34-1</f>
        <v>0.5502693591967116</v>
      </c>
      <c r="N46" s="191">
        <f>AVERAGE(T44:T46)</f>
        <v>3.2292341888169189</v>
      </c>
      <c r="O46" s="192">
        <f>N46/N43-1</f>
        <v>2.0751788488938772E-2</v>
      </c>
      <c r="P46" s="129" t="s">
        <v>888</v>
      </c>
      <c r="Q46" s="116">
        <v>3090850</v>
      </c>
      <c r="R46" s="116">
        <v>4229228080</v>
      </c>
      <c r="S46" s="116">
        <v>931404.62</v>
      </c>
      <c r="T46" s="130">
        <f t="shared" si="1"/>
        <v>3.3184825731270262</v>
      </c>
      <c r="U46" s="85">
        <f t="shared" ref="U46:U51" si="5">Q44+Q45+Q46</f>
        <v>14640835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115139.08695652174</v>
      </c>
      <c r="G47" s="190">
        <f t="shared" ref="G47" si="6">F47/F46-1</f>
        <v>-0.29221972849736699</v>
      </c>
      <c r="H47" s="190">
        <f t="shared" ref="H47" si="7">F47/F35-1</f>
        <v>1.4096723312170933E-2</v>
      </c>
      <c r="I47" s="130">
        <f t="shared" si="0"/>
        <v>3.5291574455255246</v>
      </c>
      <c r="J47" s="130">
        <f t="shared" si="4"/>
        <v>7.4068683300239968E-2</v>
      </c>
      <c r="K47" s="136"/>
      <c r="L47" s="190"/>
      <c r="M47" s="190"/>
      <c r="N47" s="191"/>
      <c r="O47" s="192"/>
      <c r="P47" s="129" t="s">
        <v>1029</v>
      </c>
      <c r="Q47" s="116">
        <v>2648199</v>
      </c>
      <c r="R47" s="116">
        <v>3633034644</v>
      </c>
      <c r="S47" s="116">
        <v>750377.12</v>
      </c>
      <c r="T47" s="130">
        <f t="shared" ref="T47" si="8">Q47/S47</f>
        <v>3.5291574455255246</v>
      </c>
      <c r="U47" s="85">
        <f t="shared" si="5"/>
        <v>10172233</v>
      </c>
    </row>
    <row r="48" spans="1:21" s="92" customFormat="1" ht="13.2">
      <c r="A48" s="129" t="s">
        <v>1100</v>
      </c>
      <c r="B48" s="188"/>
      <c r="C48" s="188"/>
      <c r="D48" s="190"/>
      <c r="E48" s="287"/>
      <c r="F48" s="136">
        <f>Q48/20</f>
        <v>76588.5</v>
      </c>
      <c r="G48" s="190">
        <f t="shared" ref="G48" si="9">F48/F47-1</f>
        <v>-0.33481754958747434</v>
      </c>
      <c r="H48" s="190">
        <f t="shared" ref="H48" si="10">F48/F36-1</f>
        <v>-0.35002135803132695</v>
      </c>
      <c r="I48" s="130">
        <f t="shared" si="0"/>
        <v>3.9375989142522845</v>
      </c>
      <c r="J48" s="130">
        <f t="shared" si="4"/>
        <v>0.18741138493973919</v>
      </c>
      <c r="K48" s="136"/>
      <c r="L48" s="190"/>
      <c r="M48" s="190"/>
      <c r="N48" s="191"/>
      <c r="O48" s="192"/>
      <c r="P48" s="129" t="s">
        <v>1070</v>
      </c>
      <c r="Q48" s="116">
        <v>1531770</v>
      </c>
      <c r="R48" s="116">
        <v>2124097401</v>
      </c>
      <c r="S48" s="116">
        <v>389011.18</v>
      </c>
      <c r="T48" s="130">
        <f t="shared" ref="T48" si="11">Q48/S48</f>
        <v>3.9375989142522845</v>
      </c>
      <c r="U48" s="85">
        <f t="shared" si="5"/>
        <v>7270819</v>
      </c>
    </row>
    <row r="49" spans="1:26" ht="13.2">
      <c r="A49" s="129" t="s">
        <v>1237</v>
      </c>
      <c r="B49" s="188">
        <f>SUM(F47:F49)</f>
        <v>252503.58695652173</v>
      </c>
      <c r="C49" s="188">
        <f>AVERAGE(F47:F49)</f>
        <v>84167.862318840576</v>
      </c>
      <c r="D49" s="190">
        <f>C49/C46-1</f>
        <v>-0.64326908142183137</v>
      </c>
      <c r="E49" s="287">
        <f>C49/C37-1</f>
        <v>-0.19089751700668078</v>
      </c>
      <c r="F49" s="136">
        <f>Q49/22</f>
        <v>60776</v>
      </c>
      <c r="G49" s="190">
        <f t="shared" ref="G49" si="12">F49/F48-1</f>
        <v>-0.20646049994450866</v>
      </c>
      <c r="H49" s="190">
        <f t="shared" ref="H49" si="13">F49/F37-1</f>
        <v>-0.24696177358768501</v>
      </c>
      <c r="I49" s="130">
        <f t="shared" si="0"/>
        <v>3.3579646154383216</v>
      </c>
      <c r="J49" s="130">
        <f t="shared" si="4"/>
        <v>5.4927705934844528E-2</v>
      </c>
      <c r="K49" s="136">
        <f>R47+R48+R49</f>
        <v>7614987078</v>
      </c>
      <c r="L49" s="190">
        <f>U49/U46-1</f>
        <v>-0.62317442960049751</v>
      </c>
      <c r="M49" s="190">
        <f>K49/K37-1</f>
        <v>-0.14683012372789017</v>
      </c>
      <c r="N49" s="191">
        <f>AVERAGE(T47:T49)</f>
        <v>3.6082403250720438</v>
      </c>
      <c r="O49" s="192">
        <f>N49/N46-1</f>
        <v>0.11736718803722934</v>
      </c>
      <c r="P49" s="129" t="s">
        <v>1158</v>
      </c>
      <c r="Q49" s="116">
        <v>1337072</v>
      </c>
      <c r="R49" s="116">
        <v>1857855033</v>
      </c>
      <c r="S49" s="116">
        <v>398179.3</v>
      </c>
      <c r="T49" s="130">
        <f t="shared" ref="T49" si="14">Q49/S49</f>
        <v>3.3579646154383216</v>
      </c>
      <c r="U49" s="85">
        <f t="shared" si="5"/>
        <v>5517041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72105.5</v>
      </c>
      <c r="G50" s="190">
        <f t="shared" ref="G50" si="15">F50/F49-1</f>
        <v>0.18641404501777026</v>
      </c>
      <c r="H50" s="190">
        <f t="shared" ref="H50" si="16">F50/F38-1</f>
        <v>-4.9562021233616638E-2</v>
      </c>
      <c r="I50" s="130">
        <f t="shared" ref="I50" si="17">T50</f>
        <v>3.2907071615720964</v>
      </c>
      <c r="J50" s="130">
        <f t="shared" ref="J50" si="18">I50/I38-1</f>
        <v>3.7382956261439837E-2</v>
      </c>
      <c r="K50" s="136"/>
      <c r="L50" s="190"/>
      <c r="M50" s="190"/>
      <c r="N50" s="191"/>
      <c r="O50" s="192"/>
      <c r="P50" s="129" t="s">
        <v>1293</v>
      </c>
      <c r="Q50" s="116">
        <v>1297899</v>
      </c>
      <c r="R50" s="116">
        <v>1833719700</v>
      </c>
      <c r="S50" s="116">
        <v>394413.4</v>
      </c>
      <c r="T50" s="130">
        <f t="shared" ref="T50" si="19">Q50/S50</f>
        <v>3.2907071615720964</v>
      </c>
      <c r="U50" s="85">
        <f t="shared" si="5"/>
        <v>4166741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94526.9</v>
      </c>
      <c r="G51" s="190">
        <f t="shared" ref="G51:G52" si="20">F51/F50-1</f>
        <v>0.31095270125025132</v>
      </c>
      <c r="H51" s="190">
        <f t="shared" ref="H51:H52" si="21">F51/F39-1</f>
        <v>0.97100375918199533</v>
      </c>
      <c r="I51" s="130">
        <f t="shared" ref="I51:I52" si="22">T51</f>
        <v>3.7580076205416102</v>
      </c>
      <c r="J51" s="130">
        <f t="shared" ref="J51:J52" si="23">I51/I39-1</f>
        <v>0.14513738627831008</v>
      </c>
      <c r="K51" s="136"/>
      <c r="L51" s="190"/>
      <c r="M51" s="190"/>
      <c r="N51" s="191"/>
      <c r="O51" s="192"/>
      <c r="P51" s="129" t="s">
        <v>1402</v>
      </c>
      <c r="Q51" s="116">
        <v>1890538</v>
      </c>
      <c r="R51" s="116">
        <v>2750437207</v>
      </c>
      <c r="S51" s="116">
        <v>503069.23</v>
      </c>
      <c r="T51" s="130">
        <f t="shared" ref="T51:T52" si="24">Q51/S51</f>
        <v>3.7580076205416102</v>
      </c>
      <c r="U51" s="85">
        <f t="shared" si="5"/>
        <v>4525509</v>
      </c>
    </row>
    <row r="52" spans="1:26" s="79" customFormat="1" ht="13.2">
      <c r="A52" s="129" t="s">
        <v>1403</v>
      </c>
      <c r="B52" s="188">
        <f>SUM(F50:F52)</f>
        <v>281889.58181818179</v>
      </c>
      <c r="C52" s="188">
        <f>AVERAGE(F50:F52)</f>
        <v>93963.193939393925</v>
      </c>
      <c r="D52" s="190">
        <f>C52/C49-1</f>
        <v>0.11637852442357577</v>
      </c>
      <c r="E52" s="287">
        <f>C52/C40-1</f>
        <v>0.73441310216380051</v>
      </c>
      <c r="F52" s="136">
        <f>Q52/22</f>
        <v>115257.18181818182</v>
      </c>
      <c r="G52" s="190">
        <f t="shared" si="20"/>
        <v>0.21930563488469246</v>
      </c>
      <c r="H52" s="190">
        <f t="shared" si="21"/>
        <v>1.9779872363709741</v>
      </c>
      <c r="I52" s="130">
        <f t="shared" si="22"/>
        <v>3.8687664960645174</v>
      </c>
      <c r="J52" s="130">
        <f t="shared" si="23"/>
        <v>0.190440905165709</v>
      </c>
      <c r="K52" s="136">
        <f>R50+R51+R52</f>
        <v>8313586681</v>
      </c>
      <c r="L52" s="190">
        <f>U52/U49-1</f>
        <v>3.7529900539075234E-2</v>
      </c>
      <c r="M52" s="190">
        <f>K52/K40-1</f>
        <v>0.81120487688155873</v>
      </c>
      <c r="N52" s="191">
        <f>AVERAGE(T50:T52)</f>
        <v>3.6391604260594081</v>
      </c>
      <c r="O52" s="192">
        <f>N52/N49-1</f>
        <v>8.5693019870418663E-3</v>
      </c>
      <c r="P52" s="129" t="s">
        <v>1403</v>
      </c>
      <c r="Q52" s="116">
        <v>2535658</v>
      </c>
      <c r="R52" s="116">
        <v>3729429774</v>
      </c>
      <c r="S52" s="116">
        <v>655417.68999999994</v>
      </c>
      <c r="T52" s="130">
        <f t="shared" si="24"/>
        <v>3.8687664960645174</v>
      </c>
      <c r="U52" s="85">
        <f t="shared" ref="U52" si="25">Q50+Q51+Q52</f>
        <v>5724095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78362.333333333328</v>
      </c>
      <c r="G53" s="190">
        <f t="shared" ref="G53" si="26">F53/F52-1</f>
        <v>-0.32010888955319161</v>
      </c>
      <c r="H53" s="190">
        <f t="shared" ref="H53" si="27">F53/F41-1</f>
        <v>0.34061687373591432</v>
      </c>
      <c r="I53" s="130">
        <f t="shared" ref="I53" si="28">T53</f>
        <v>3.513984518480199</v>
      </c>
      <c r="J53" s="130">
        <f t="shared" ref="J53" si="29">I53/I41-1</f>
        <v>8.4451397350684854E-2</v>
      </c>
      <c r="K53" s="136"/>
      <c r="L53" s="190"/>
      <c r="M53" s="190"/>
      <c r="N53" s="191"/>
      <c r="O53" s="192"/>
      <c r="P53" s="129" t="s">
        <v>1414</v>
      </c>
      <c r="Q53" s="116">
        <v>1645609</v>
      </c>
      <c r="R53" s="116">
        <v>2397986326</v>
      </c>
      <c r="S53" s="116">
        <v>468302.86</v>
      </c>
      <c r="T53" s="130">
        <f t="shared" ref="T53" si="30">Q53/S53</f>
        <v>3.513984518480199</v>
      </c>
      <c r="U53" s="85">
        <f t="shared" ref="U53" si="31">Q51+Q52+Q53</f>
        <v>6071805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291494.5294117647</v>
      </c>
      <c r="G54" s="190">
        <f t="shared" ref="G54" si="32">F54/F53-1</f>
        <v>2.7198296300318359</v>
      </c>
      <c r="H54" s="190">
        <f t="shared" ref="H54" si="33">F54/F42-1</f>
        <v>0.29806361972285367</v>
      </c>
      <c r="I54" s="130">
        <f t="shared" ref="I54" si="34">T54</f>
        <v>3.133382156122654</v>
      </c>
      <c r="J54" s="130">
        <f t="shared" ref="J54" si="35">I54/I42-1</f>
        <v>1.6428816641999244E-2</v>
      </c>
      <c r="K54" s="136"/>
      <c r="L54" s="190"/>
      <c r="M54" s="190"/>
      <c r="N54" s="191"/>
      <c r="O54" s="192"/>
      <c r="P54" s="129" t="s">
        <v>1417</v>
      </c>
      <c r="Q54" s="116">
        <v>4955407</v>
      </c>
      <c r="R54" s="116">
        <v>7175003480</v>
      </c>
      <c r="S54" s="116">
        <v>1581488.23</v>
      </c>
      <c r="T54" s="130">
        <f t="shared" ref="T54" si="36">Q54/S54</f>
        <v>3.133382156122654</v>
      </c>
      <c r="U54" s="85">
        <f t="shared" ref="U54" si="37">Q52+Q53+Q54</f>
        <v>9136674</v>
      </c>
    </row>
    <row r="55" spans="1:26" s="79" customFormat="1" ht="13.2">
      <c r="A55" s="129" t="s">
        <v>1418</v>
      </c>
      <c r="B55" s="188">
        <f>SUM(F53:F55)</f>
        <v>711480.86274509807</v>
      </c>
      <c r="C55" s="188">
        <f>AVERAGE(F53:F55)</f>
        <v>237160.28758169935</v>
      </c>
      <c r="D55" s="190">
        <f>C55/C52-1</f>
        <v>1.5239700529408062</v>
      </c>
      <c r="E55" s="287">
        <f>C55/C43-1</f>
        <v>0.30772152669559216</v>
      </c>
      <c r="F55" s="136">
        <f>Q55/21</f>
        <v>341624</v>
      </c>
      <c r="G55" s="190">
        <f t="shared" ref="G55" si="38">F55/F54-1</f>
        <v>0.17197396702228507</v>
      </c>
      <c r="H55" s="190">
        <f t="shared" ref="H55" si="39">F55/F43-1</f>
        <v>0.30866379146053435</v>
      </c>
      <c r="I55" s="130">
        <f>T55</f>
        <v>3.2090346354174621</v>
      </c>
      <c r="J55" s="130">
        <f t="shared" ref="J55" si="40">I55/I43-1</f>
        <v>1.3054466760344496E-2</v>
      </c>
      <c r="K55" s="136">
        <f>R53+R54+R55</f>
        <v>20124918195</v>
      </c>
      <c r="L55" s="190">
        <f>U55/U52-1</f>
        <v>1.4065149163317519</v>
      </c>
      <c r="M55" s="190">
        <f>K55/K43-1</f>
        <v>0.28936836503166075</v>
      </c>
      <c r="N55" s="191">
        <f>AVERAGE(T53:T55)</f>
        <v>3.2854671033401051</v>
      </c>
      <c r="O55" s="192">
        <f>N55/N52-1</f>
        <v>-9.7190912548555275E-2</v>
      </c>
      <c r="P55" s="129" t="s">
        <v>1418</v>
      </c>
      <c r="Q55" s="116">
        <v>7174104</v>
      </c>
      <c r="R55" s="116">
        <v>10551928389</v>
      </c>
      <c r="S55" s="116">
        <v>2235595.69</v>
      </c>
      <c r="T55" s="130">
        <f t="shared" ref="T55" si="41">Q55/S55</f>
        <v>3.2090346354174621</v>
      </c>
      <c r="U55" s="85">
        <f t="shared" ref="U55" si="42">Q53+Q54+Q55</f>
        <v>13775120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286042.63636363635</v>
      </c>
      <c r="G56" s="190">
        <f t="shared" ref="G56" si="43">F56/F55-1</f>
        <v>-0.16269747920627253</v>
      </c>
      <c r="H56" s="190">
        <f t="shared" ref="H56" si="44">F56/F44-1</f>
        <v>-0.11576310760972519</v>
      </c>
      <c r="I56" s="291">
        <f>T56</f>
        <v>3.5465954960002684</v>
      </c>
      <c r="J56" s="130">
        <f t="shared" ref="J56" si="45">I56/I44-1</f>
        <v>0.12949182023694794</v>
      </c>
      <c r="K56" s="136"/>
      <c r="L56" s="190"/>
      <c r="M56" s="190"/>
      <c r="N56" s="191"/>
      <c r="O56" s="192"/>
      <c r="P56" s="129" t="s">
        <v>1420</v>
      </c>
      <c r="Q56" s="116">
        <v>6292938</v>
      </c>
      <c r="R56" s="116">
        <v>9389569600</v>
      </c>
      <c r="S56" s="116">
        <v>1774360.23</v>
      </c>
      <c r="T56" s="130">
        <f t="shared" ref="T56" si="46">Q56/S56</f>
        <v>3.5465954960002684</v>
      </c>
      <c r="U56" s="85">
        <f t="shared" ref="U56" si="47">Q54+Q55+Q56</f>
        <v>18422449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279787</v>
      </c>
      <c r="G57" s="254">
        <f t="shared" ref="G57" si="48">F57/F56-1</f>
        <v>-2.18695941386996E-2</v>
      </c>
      <c r="H57" s="254">
        <f t="shared" ref="H57" si="49">F57/F45-1</f>
        <v>0.26223951002259316</v>
      </c>
      <c r="I57" s="282">
        <f>T57</f>
        <v>3.3934915677883257</v>
      </c>
      <c r="J57" s="277">
        <f t="shared" ref="J57" si="50">I57/I45-1</f>
        <v>5.0867816125723442E-2</v>
      </c>
      <c r="K57" s="204"/>
      <c r="L57" s="254"/>
      <c r="M57" s="254"/>
      <c r="N57" s="257"/>
      <c r="O57" s="258"/>
      <c r="P57" s="129" t="s">
        <v>1436</v>
      </c>
      <c r="Q57" s="116">
        <v>3357444</v>
      </c>
      <c r="R57" s="116">
        <v>4948239015</v>
      </c>
      <c r="S57" s="116">
        <v>989377.44</v>
      </c>
      <c r="T57" s="130">
        <f t="shared" ref="T57" si="51">Q57/S57</f>
        <v>3.3934915677883257</v>
      </c>
      <c r="U57" s="85">
        <f t="shared" ref="U57" si="52">Q55+Q56+Q57</f>
        <v>16824486</v>
      </c>
    </row>
    <row r="58" spans="1:26">
      <c r="B58" s="196">
        <f>SUM(F56:F58)</f>
        <v>565829.63636363635</v>
      </c>
      <c r="C58" s="196">
        <f>AVERAGE(F56:F58)</f>
        <v>282914.81818181818</v>
      </c>
      <c r="D58" s="197">
        <f>C58/C55-1</f>
        <v>0.19292661122430488</v>
      </c>
      <c r="E58" s="233">
        <f>C58/C46-1</f>
        <v>0.19908549639835726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23425502</v>
      </c>
      <c r="R64" s="212">
        <v>34462726810</v>
      </c>
      <c r="S64" s="213">
        <v>7049124.4400000004</v>
      </c>
      <c r="T64" s="214">
        <v>111</v>
      </c>
      <c r="U64" s="214">
        <v>211</v>
      </c>
    </row>
    <row r="65" spans="16:21" ht="18" thickBot="1">
      <c r="P65" s="180" t="s">
        <v>976</v>
      </c>
      <c r="Q65" s="181">
        <v>1645609</v>
      </c>
      <c r="R65" s="181">
        <v>2397986326</v>
      </c>
      <c r="S65" s="182">
        <v>468302.86</v>
      </c>
      <c r="T65" s="210">
        <v>48</v>
      </c>
      <c r="U65" s="210">
        <v>96</v>
      </c>
    </row>
    <row r="66" spans="16:21" ht="18" thickBot="1">
      <c r="P66" s="180" t="s">
        <v>977</v>
      </c>
      <c r="Q66" s="181">
        <v>4955407</v>
      </c>
      <c r="R66" s="181">
        <v>7175003480</v>
      </c>
      <c r="S66" s="182">
        <v>1581488.23</v>
      </c>
      <c r="T66" s="210">
        <v>45</v>
      </c>
      <c r="U66" s="210">
        <v>103</v>
      </c>
    </row>
    <row r="67" spans="16:21" ht="18" thickBot="1">
      <c r="P67" s="180" t="s">
        <v>978</v>
      </c>
      <c r="Q67" s="181">
        <v>7174104</v>
      </c>
      <c r="R67" s="181">
        <v>10551928389</v>
      </c>
      <c r="S67" s="182">
        <v>2235595.69</v>
      </c>
      <c r="T67" s="210">
        <v>61</v>
      </c>
      <c r="U67" s="210">
        <v>128</v>
      </c>
    </row>
    <row r="68" spans="16:21" ht="18" thickBot="1">
      <c r="P68" s="180" t="s">
        <v>979</v>
      </c>
      <c r="Q68" s="181">
        <v>6292938</v>
      </c>
      <c r="R68" s="181">
        <v>9389569600</v>
      </c>
      <c r="S68" s="182">
        <v>1774360.23</v>
      </c>
      <c r="T68" s="210">
        <v>59</v>
      </c>
      <c r="U68" s="210">
        <v>119</v>
      </c>
    </row>
    <row r="69" spans="16:21" ht="18" thickBot="1">
      <c r="P69" s="180" t="s">
        <v>980</v>
      </c>
      <c r="Q69" s="181">
        <v>3357444</v>
      </c>
      <c r="R69" s="181">
        <v>4948239015</v>
      </c>
      <c r="S69" s="182">
        <v>989377.44</v>
      </c>
      <c r="T69" s="210">
        <v>12</v>
      </c>
      <c r="U69" s="210">
        <v>30</v>
      </c>
    </row>
    <row r="70" spans="16:21" ht="18" thickBot="1">
      <c r="P70" s="180" t="s">
        <v>975</v>
      </c>
      <c r="Q70" s="181">
        <v>36645374</v>
      </c>
      <c r="R70" s="181">
        <v>52349143183</v>
      </c>
      <c r="S70" s="182">
        <v>11090658.470000001</v>
      </c>
      <c r="T70"/>
      <c r="U70"/>
    </row>
    <row r="71" spans="16:21" ht="18" thickBot="1">
      <c r="P71" s="215" t="s">
        <v>982</v>
      </c>
      <c r="Q71" s="217"/>
      <c r="R71"/>
      <c r="S71"/>
    </row>
  </sheetData>
  <phoneticPr fontId="1" type="noConversion"/>
  <conditionalFormatting sqref="C29:C30">
    <cfRule type="cellIs" dxfId="1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190590</v>
      </c>
      <c r="L2" s="96" t="s">
        <v>783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151090.4</v>
      </c>
      <c r="G5" s="90"/>
      <c r="H5" s="90"/>
      <c r="I5" s="130">
        <f t="shared" ref="I5:I49" si="0">T5</f>
        <v>6.3360694507528432</v>
      </c>
      <c r="J5" s="130"/>
      <c r="L5" s="80"/>
      <c r="M5" s="80"/>
      <c r="P5" s="129" t="s">
        <v>0</v>
      </c>
      <c r="Q5" s="116">
        <v>3021808</v>
      </c>
      <c r="R5" s="116">
        <v>3567518961</v>
      </c>
      <c r="S5" s="116">
        <v>476921.54</v>
      </c>
      <c r="T5" s="130">
        <f t="shared" ref="T5:T40" si="1">Q5/S5</f>
        <v>6.3360694507528432</v>
      </c>
      <c r="U5" s="85"/>
    </row>
    <row r="6" spans="1:21" ht="15" hidden="1" customHeight="1">
      <c r="A6" s="129" t="s">
        <v>1</v>
      </c>
      <c r="C6" s="79"/>
      <c r="F6" s="78">
        <f>Q6/18</f>
        <v>155398.38888888888</v>
      </c>
      <c r="G6" s="90">
        <f t="shared" ref="G6:G40" si="2">F6/F5-1</f>
        <v>2.8512657911349049E-2</v>
      </c>
      <c r="H6" s="90"/>
      <c r="I6" s="130">
        <f t="shared" si="0"/>
        <v>6.2392036256099974</v>
      </c>
      <c r="J6" s="130"/>
      <c r="P6" s="129" t="s">
        <v>1</v>
      </c>
      <c r="Q6" s="116">
        <v>2797171</v>
      </c>
      <c r="R6" s="116">
        <v>3323395621</v>
      </c>
      <c r="S6" s="116">
        <v>448321.8</v>
      </c>
      <c r="T6" s="130">
        <f t="shared" si="1"/>
        <v>6.2392036256099974</v>
      </c>
      <c r="U6" s="85"/>
    </row>
    <row r="7" spans="1:21" ht="15" hidden="1" customHeight="1">
      <c r="A7" s="129" t="s">
        <v>2</v>
      </c>
      <c r="B7" s="131">
        <f>F5+F6+F7</f>
        <v>461455.37979797984</v>
      </c>
      <c r="C7" s="131">
        <f>AVERAGE(F5:F7)</f>
        <v>153818.45993265996</v>
      </c>
      <c r="F7" s="78">
        <f>Q7/22</f>
        <v>154966.59090909091</v>
      </c>
      <c r="G7" s="90">
        <f t="shared" si="2"/>
        <v>-2.7786515863218453E-3</v>
      </c>
      <c r="H7" s="90"/>
      <c r="I7" s="130">
        <f t="shared" si="0"/>
        <v>6.4132979451144507</v>
      </c>
      <c r="J7" s="130"/>
      <c r="K7" s="79">
        <f>R5+R6+R7</f>
        <v>11007331599</v>
      </c>
      <c r="N7" s="88">
        <f>AVERAGE(T5:T7)</f>
        <v>6.3295236738257641</v>
      </c>
      <c r="P7" s="129" t="s">
        <v>2</v>
      </c>
      <c r="Q7" s="116">
        <v>3409265</v>
      </c>
      <c r="R7" s="116">
        <v>4116417017</v>
      </c>
      <c r="S7" s="116">
        <v>531593.11</v>
      </c>
      <c r="T7" s="130">
        <f t="shared" si="1"/>
        <v>6.4132979451144507</v>
      </c>
      <c r="U7" s="85">
        <f>Q5+Q6+Q7</f>
        <v>9228244</v>
      </c>
    </row>
    <row r="8" spans="1:21" ht="15" hidden="1" customHeight="1">
      <c r="A8" s="129" t="s">
        <v>3</v>
      </c>
      <c r="C8" s="79"/>
      <c r="F8" s="78">
        <f>Q8/21</f>
        <v>113677.33333333333</v>
      </c>
      <c r="G8" s="90">
        <f t="shared" si="2"/>
        <v>-0.2664397360330355</v>
      </c>
      <c r="H8" s="90"/>
      <c r="I8" s="130">
        <f t="shared" si="0"/>
        <v>6.0084616471732994</v>
      </c>
      <c r="J8" s="130"/>
      <c r="K8" s="78"/>
      <c r="P8" s="129" t="s">
        <v>3</v>
      </c>
      <c r="Q8" s="116">
        <v>2387224</v>
      </c>
      <c r="R8" s="116">
        <v>2896250407</v>
      </c>
      <c r="S8" s="116">
        <v>397310.35</v>
      </c>
      <c r="T8" s="130">
        <f t="shared" si="1"/>
        <v>6.0084616471732994</v>
      </c>
      <c r="U8" s="85"/>
    </row>
    <row r="9" spans="1:21" ht="15" hidden="1" customHeight="1">
      <c r="A9" s="129" t="s">
        <v>4</v>
      </c>
      <c r="C9" s="79"/>
      <c r="F9" s="78">
        <f>Q9/21</f>
        <v>143600.57142857142</v>
      </c>
      <c r="G9" s="90">
        <f t="shared" si="2"/>
        <v>0.26322959219578879</v>
      </c>
      <c r="H9" s="90"/>
      <c r="I9" s="130">
        <f t="shared" si="0"/>
        <v>6.3386912184946116</v>
      </c>
      <c r="J9" s="130"/>
      <c r="K9" s="78"/>
      <c r="P9" s="129" t="s">
        <v>4</v>
      </c>
      <c r="Q9" s="116">
        <v>3015612</v>
      </c>
      <c r="R9" s="116">
        <v>3791110341</v>
      </c>
      <c r="S9" s="116">
        <v>475746.79</v>
      </c>
      <c r="T9" s="130">
        <f t="shared" si="1"/>
        <v>6.3386912184946116</v>
      </c>
      <c r="U9" s="85"/>
    </row>
    <row r="10" spans="1:21" ht="15" hidden="1" customHeight="1">
      <c r="A10" s="129" t="s">
        <v>5</v>
      </c>
      <c r="B10" s="131">
        <f>F8+F9+F10</f>
        <v>410556.47619047615</v>
      </c>
      <c r="C10" s="131">
        <f>AVERAGE(F8:F10)</f>
        <v>136852.15873015873</v>
      </c>
      <c r="D10" s="90">
        <f>C10/C7-1</f>
        <v>-0.11030081311390638</v>
      </c>
      <c r="E10" s="286"/>
      <c r="F10" s="78">
        <f>Q10/21</f>
        <v>153278.57142857142</v>
      </c>
      <c r="G10" s="90">
        <f t="shared" si="2"/>
        <v>6.7395274988957476E-2</v>
      </c>
      <c r="H10" s="90"/>
      <c r="I10" s="130">
        <f t="shared" si="0"/>
        <v>6.4116337594164428</v>
      </c>
      <c r="J10" s="130"/>
      <c r="K10" s="79">
        <f>R8+R9+R10</f>
        <v>10749421214</v>
      </c>
      <c r="L10" s="87">
        <f>U10/U7-1</f>
        <v>-6.5728431107803353E-2</v>
      </c>
      <c r="N10" s="88">
        <f>AVERAGE(T8:T10)</f>
        <v>6.2529288750281182</v>
      </c>
      <c r="O10" s="89">
        <f>N10/N7-1</f>
        <v>-1.2101194773057822E-2</v>
      </c>
      <c r="P10" s="129" t="s">
        <v>5</v>
      </c>
      <c r="Q10" s="116">
        <v>3218850</v>
      </c>
      <c r="R10" s="116">
        <v>4062060466</v>
      </c>
      <c r="S10" s="116">
        <v>502032.73</v>
      </c>
      <c r="T10" s="130">
        <f t="shared" si="1"/>
        <v>6.4116337594164428</v>
      </c>
      <c r="U10" s="85">
        <f>Q8+Q9+Q10</f>
        <v>8621686</v>
      </c>
    </row>
    <row r="11" spans="1:21" ht="15" hidden="1" customHeight="1">
      <c r="A11" s="129" t="s">
        <v>6</v>
      </c>
      <c r="C11" s="79"/>
      <c r="F11" s="78">
        <f>Q11/21</f>
        <v>175342.19047619047</v>
      </c>
      <c r="G11" s="90">
        <f t="shared" si="2"/>
        <v>0.14394457647917736</v>
      </c>
      <c r="H11" s="90"/>
      <c r="I11" s="130">
        <f t="shared" si="0"/>
        <v>6.3907420632233922</v>
      </c>
      <c r="J11" s="130"/>
      <c r="K11" s="78"/>
      <c r="O11" s="89"/>
      <c r="P11" s="129" t="s">
        <v>6</v>
      </c>
      <c r="Q11" s="116">
        <v>3682186</v>
      </c>
      <c r="R11" s="116">
        <v>4752364269</v>
      </c>
      <c r="S11" s="116">
        <v>576175.03</v>
      </c>
      <c r="T11" s="130">
        <f t="shared" si="1"/>
        <v>6.3907420632233922</v>
      </c>
      <c r="U11" s="85"/>
    </row>
    <row r="12" spans="1:21" ht="15" hidden="1" customHeight="1">
      <c r="A12" s="129" t="s">
        <v>7</v>
      </c>
      <c r="C12" s="79"/>
      <c r="F12" s="78">
        <f>Q12/22</f>
        <v>153523.68181818182</v>
      </c>
      <c r="G12" s="90">
        <f t="shared" si="2"/>
        <v>-0.1244338775439866</v>
      </c>
      <c r="H12" s="90"/>
      <c r="I12" s="130">
        <f t="shared" si="0"/>
        <v>5.8497017883003055</v>
      </c>
      <c r="J12" s="130"/>
      <c r="K12" s="78"/>
      <c r="O12" s="89"/>
      <c r="P12" s="129" t="s">
        <v>7</v>
      </c>
      <c r="Q12" s="116">
        <v>3377521</v>
      </c>
      <c r="R12" s="116">
        <v>4386911956</v>
      </c>
      <c r="S12" s="116">
        <v>577383.44999999995</v>
      </c>
      <c r="T12" s="130">
        <f t="shared" si="1"/>
        <v>5.8497017883003055</v>
      </c>
      <c r="U12" s="85"/>
    </row>
    <row r="13" spans="1:21" ht="15" hidden="1" customHeight="1">
      <c r="A13" s="129" t="s">
        <v>96</v>
      </c>
      <c r="B13" s="131">
        <f>F11+F12+F13</f>
        <v>513706.72229437227</v>
      </c>
      <c r="C13" s="131">
        <f>AVERAGE(F11:F13)</f>
        <v>171235.57409812408</v>
      </c>
      <c r="D13" s="90">
        <f>C13/C10-1</f>
        <v>0.25124496162140653</v>
      </c>
      <c r="E13" s="286"/>
      <c r="F13" s="78">
        <f>Q13/20</f>
        <v>184840.85</v>
      </c>
      <c r="G13" s="90">
        <f t="shared" si="2"/>
        <v>0.20398916838711001</v>
      </c>
      <c r="H13" s="90"/>
      <c r="I13" s="130">
        <f t="shared" si="0"/>
        <v>5.561810038882542</v>
      </c>
      <c r="J13" s="130"/>
      <c r="K13" s="78">
        <f>R11+R12+R13</f>
        <v>14195329506</v>
      </c>
      <c r="L13" s="87">
        <f>U13/U10-1</f>
        <v>0.2476125899273065</v>
      </c>
      <c r="N13" s="88">
        <f>AVERAGE(T11:T13)</f>
        <v>5.9340846301354127</v>
      </c>
      <c r="O13" s="89">
        <f>N13/N10-1</f>
        <v>-5.0991183694100717E-2</v>
      </c>
      <c r="P13" s="129" t="s">
        <v>96</v>
      </c>
      <c r="Q13" s="116">
        <v>3696817</v>
      </c>
      <c r="R13" s="116">
        <v>5056053281</v>
      </c>
      <c r="S13" s="116">
        <v>664678.76</v>
      </c>
      <c r="T13" s="130">
        <f t="shared" si="1"/>
        <v>5.561810038882542</v>
      </c>
      <c r="U13" s="85">
        <f>Q11+Q12+Q13</f>
        <v>10756524</v>
      </c>
    </row>
    <row r="14" spans="1:21" ht="15" hidden="1" customHeight="1">
      <c r="A14" s="129" t="s">
        <v>97</v>
      </c>
      <c r="C14" s="79"/>
      <c r="F14" s="78">
        <f>Q14/20</f>
        <v>204957.75</v>
      </c>
      <c r="G14" s="90">
        <f t="shared" si="2"/>
        <v>0.10883362633313998</v>
      </c>
      <c r="H14" s="90"/>
      <c r="I14" s="130">
        <f t="shared" si="0"/>
        <v>6.2030320436306505</v>
      </c>
      <c r="J14" s="130"/>
      <c r="O14" s="89"/>
      <c r="P14" s="129" t="s">
        <v>97</v>
      </c>
      <c r="Q14" s="116">
        <v>4099155</v>
      </c>
      <c r="R14" s="116">
        <v>5845410833</v>
      </c>
      <c r="S14" s="116">
        <v>660830.86</v>
      </c>
      <c r="T14" s="130">
        <f t="shared" si="1"/>
        <v>6.2030320436306505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134593.77272727274</v>
      </c>
      <c r="G15" s="90">
        <f t="shared" si="2"/>
        <v>-0.34330966881090008</v>
      </c>
      <c r="H15" s="90"/>
      <c r="I15" s="130">
        <f t="shared" si="0"/>
        <v>5.7909514524418109</v>
      </c>
      <c r="J15" s="130"/>
      <c r="O15" s="89"/>
      <c r="P15" s="129" t="s">
        <v>98</v>
      </c>
      <c r="Q15" s="116">
        <v>2961063</v>
      </c>
      <c r="R15" s="116">
        <v>4117074350</v>
      </c>
      <c r="S15" s="116">
        <v>511325.82</v>
      </c>
      <c r="T15" s="130">
        <f t="shared" si="1"/>
        <v>5.7909514524418109</v>
      </c>
      <c r="U15" s="78"/>
    </row>
    <row r="16" spans="1:21" ht="15" hidden="1" customHeight="1">
      <c r="A16" s="129" t="s">
        <v>99</v>
      </c>
      <c r="B16" s="131">
        <f>F14+F15+F16</f>
        <v>476390.11363636365</v>
      </c>
      <c r="C16" s="131">
        <f>AVERAGE(F14:F16)</f>
        <v>158796.70454545456</v>
      </c>
      <c r="D16" s="90">
        <f>C16/C13-1</f>
        <v>-7.2641853879857998E-2</v>
      </c>
      <c r="E16" s="286"/>
      <c r="F16" s="78">
        <f>Q16/22</f>
        <v>136838.59090909091</v>
      </c>
      <c r="G16" s="90">
        <f t="shared" si="2"/>
        <v>1.6678469860317069E-2</v>
      </c>
      <c r="H16" s="90"/>
      <c r="I16" s="130">
        <f t="shared" si="0"/>
        <v>6.1055749985397485</v>
      </c>
      <c r="J16" s="130"/>
      <c r="K16" s="78">
        <f>R14+R15+R16</f>
        <v>13912836100</v>
      </c>
      <c r="L16" s="87">
        <f>U16/U13-1</f>
        <v>-6.3761955070243848E-2</v>
      </c>
      <c r="N16" s="88">
        <f>AVERAGE(T14:T16)</f>
        <v>6.0331861648707372</v>
      </c>
      <c r="O16" s="89">
        <f>N16/N13-1</f>
        <v>1.6700391199689246E-2</v>
      </c>
      <c r="P16" s="129" t="s">
        <v>99</v>
      </c>
      <c r="Q16" s="116">
        <v>3010449</v>
      </c>
      <c r="R16" s="116">
        <v>3950350917</v>
      </c>
      <c r="S16" s="116">
        <v>493065.6</v>
      </c>
      <c r="T16" s="130">
        <f t="shared" si="1"/>
        <v>6.1055749985397485</v>
      </c>
      <c r="U16" s="85">
        <f>Q14+Q15+Q16</f>
        <v>10070667</v>
      </c>
    </row>
    <row r="17" spans="1:21" ht="15" hidden="1" customHeight="1">
      <c r="A17" s="129" t="s">
        <v>100</v>
      </c>
      <c r="C17" s="79"/>
      <c r="F17" s="78">
        <f>Q17/20</f>
        <v>122388.85</v>
      </c>
      <c r="G17" s="90">
        <f t="shared" si="2"/>
        <v>-0.10559697241175647</v>
      </c>
      <c r="H17" s="90">
        <f t="shared" ref="H17:H40" si="3">F17/F5-1</f>
        <v>-0.18996276401412659</v>
      </c>
      <c r="I17" s="130">
        <f t="shared" si="0"/>
        <v>6.9235590097808988</v>
      </c>
      <c r="J17" s="130">
        <f t="shared" ref="J17:J49" si="4">I17/I5-1</f>
        <v>9.2721451933935217E-2</v>
      </c>
      <c r="O17" s="89"/>
      <c r="P17" s="129" t="s">
        <v>100</v>
      </c>
      <c r="Q17" s="116">
        <v>2447777</v>
      </c>
      <c r="R17" s="116">
        <v>3066172318</v>
      </c>
      <c r="S17" s="116">
        <v>353543.17</v>
      </c>
      <c r="T17" s="130">
        <f t="shared" si="1"/>
        <v>6.9235590097808988</v>
      </c>
      <c r="U17" s="78"/>
    </row>
    <row r="18" spans="1:21" ht="15" hidden="1" customHeight="1">
      <c r="A18" s="129" t="s">
        <v>106</v>
      </c>
      <c r="C18" s="79"/>
      <c r="F18" s="78">
        <f>Q18/20</f>
        <v>199646.2</v>
      </c>
      <c r="G18" s="90">
        <f t="shared" si="2"/>
        <v>0.63124500311915677</v>
      </c>
      <c r="H18" s="90">
        <f t="shared" si="3"/>
        <v>0.28473790125809284</v>
      </c>
      <c r="I18" s="130">
        <f t="shared" si="0"/>
        <v>6.4673348507968944</v>
      </c>
      <c r="J18" s="130">
        <f t="shared" si="4"/>
        <v>3.6564157683600662E-2</v>
      </c>
      <c r="O18" s="89"/>
      <c r="P18" s="129" t="s">
        <v>106</v>
      </c>
      <c r="Q18" s="116">
        <v>3992924</v>
      </c>
      <c r="R18" s="116">
        <v>5020641257</v>
      </c>
      <c r="S18" s="116">
        <v>617398.68000000005</v>
      </c>
      <c r="T18" s="130">
        <f t="shared" si="1"/>
        <v>6.4673348507968944</v>
      </c>
      <c r="U18" s="78"/>
    </row>
    <row r="19" spans="1:21" hidden="1">
      <c r="A19" s="129" t="s">
        <v>114</v>
      </c>
      <c r="B19" s="131">
        <f>SUM(F17:F19)</f>
        <v>536062.95909090911</v>
      </c>
      <c r="C19" s="131">
        <f>AVERAGE(F17:F19)</f>
        <v>178687.65303030304</v>
      </c>
      <c r="D19" s="90">
        <f>C19/C16-1</f>
        <v>0.12526046142950542</v>
      </c>
      <c r="E19" s="286">
        <f>C19/C7-1</f>
        <v>0.1616788590168603</v>
      </c>
      <c r="F19" s="78">
        <f>Q19/22</f>
        <v>214027.90909090909</v>
      </c>
      <c r="G19" s="90">
        <f t="shared" si="2"/>
        <v>7.2035977098031889E-2</v>
      </c>
      <c r="H19" s="90">
        <f t="shared" si="3"/>
        <v>0.38112291065669579</v>
      </c>
      <c r="I19" s="130">
        <f t="shared" si="0"/>
        <v>6.6164110760072674</v>
      </c>
      <c r="J19" s="130">
        <f t="shared" si="4"/>
        <v>3.1670621360659679E-2</v>
      </c>
      <c r="K19" s="78">
        <f>R17+R18+R19</f>
        <v>14243085668</v>
      </c>
      <c r="L19" s="87">
        <f>U19/U16-1</f>
        <v>0.10710790059883823</v>
      </c>
      <c r="M19" s="87">
        <f>U19/U7-1</f>
        <v>0.20817297418663827</v>
      </c>
      <c r="N19" s="88">
        <f>AVERAGE(T17:T19)</f>
        <v>6.6691016455283538</v>
      </c>
      <c r="O19" s="89">
        <f>N19/N16-1</f>
        <v>0.10540292695762377</v>
      </c>
      <c r="P19" s="129" t="s">
        <v>115</v>
      </c>
      <c r="Q19" s="116">
        <v>4708614</v>
      </c>
      <c r="R19" s="116">
        <v>6156272093</v>
      </c>
      <c r="S19" s="116">
        <v>711656.81</v>
      </c>
      <c r="T19" s="130">
        <f t="shared" si="1"/>
        <v>6.6164110760072674</v>
      </c>
      <c r="U19" s="85">
        <f>Q17+Q18+Q19</f>
        <v>11149315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213858.05</v>
      </c>
      <c r="G20" s="90">
        <f t="shared" si="2"/>
        <v>-7.936305672965327E-4</v>
      </c>
      <c r="H20" s="90">
        <f t="shared" si="3"/>
        <v>0.88127257852635532</v>
      </c>
      <c r="I20" s="130">
        <f t="shared" si="0"/>
        <v>6.9004528007677104</v>
      </c>
      <c r="J20" s="130">
        <f t="shared" si="4"/>
        <v>0.14845582879172592</v>
      </c>
      <c r="O20" s="89"/>
      <c r="P20" s="129" t="s">
        <v>131</v>
      </c>
      <c r="Q20" s="116">
        <v>4277161</v>
      </c>
      <c r="R20" s="116">
        <v>5612597338</v>
      </c>
      <c r="S20" s="116">
        <v>619837.73</v>
      </c>
      <c r="T20" s="130">
        <f t="shared" si="1"/>
        <v>6.9004528007677104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198124.71428571429</v>
      </c>
      <c r="G21" s="90">
        <f t="shared" si="2"/>
        <v>-7.3569060011001275E-2</v>
      </c>
      <c r="H21" s="90">
        <f t="shared" si="3"/>
        <v>0.37969307722611534</v>
      </c>
      <c r="I21" s="130">
        <f t="shared" si="0"/>
        <v>6.7652956390286532</v>
      </c>
      <c r="J21" s="130">
        <f t="shared" si="4"/>
        <v>6.7301656734646276E-2</v>
      </c>
      <c r="O21" s="89"/>
      <c r="P21" s="129" t="s">
        <v>141</v>
      </c>
      <c r="Q21" s="116">
        <v>4160619</v>
      </c>
      <c r="R21" s="116">
        <v>5543649260</v>
      </c>
      <c r="S21" s="116">
        <v>614994.41</v>
      </c>
      <c r="T21" s="130">
        <f t="shared" si="1"/>
        <v>6.7652956390286532</v>
      </c>
      <c r="U21" s="78"/>
    </row>
    <row r="22" spans="1:21" hidden="1">
      <c r="A22" s="129" t="s">
        <v>155</v>
      </c>
      <c r="B22" s="131">
        <f>SUM(F20:F22)</f>
        <v>569504.76428571425</v>
      </c>
      <c r="C22" s="131">
        <f>AVERAGE(F20:F22)</f>
        <v>189834.92142857143</v>
      </c>
      <c r="D22" s="90">
        <f>C22/C19-1</f>
        <v>6.2384099904082113E-2</v>
      </c>
      <c r="E22" s="286">
        <f>C22/C10-1</f>
        <v>0.38715328417202843</v>
      </c>
      <c r="F22" s="78">
        <f>Q22/21</f>
        <v>157522</v>
      </c>
      <c r="G22" s="90">
        <f t="shared" si="2"/>
        <v>-0.20493513104660632</v>
      </c>
      <c r="H22" s="90">
        <f t="shared" si="3"/>
        <v>2.7684421454867492E-2</v>
      </c>
      <c r="I22" s="130">
        <f t="shared" si="0"/>
        <v>6.7440362758294405</v>
      </c>
      <c r="J22" s="130">
        <f t="shared" si="4"/>
        <v>5.1843653097748188E-2</v>
      </c>
      <c r="K22" s="78">
        <f>R20+R21+R22</f>
        <v>15461927144</v>
      </c>
      <c r="L22" s="87">
        <f>U22/U19-1</f>
        <v>5.3494497195567536E-2</v>
      </c>
      <c r="M22" s="87">
        <f>U22/U10-1</f>
        <v>0.36234861719621891</v>
      </c>
      <c r="N22" s="88">
        <f>AVERAGE(T20:T22)</f>
        <v>6.803261571875268</v>
      </c>
      <c r="O22" s="89">
        <f>N22/N19-1</f>
        <v>2.0116641412545988E-2</v>
      </c>
      <c r="P22" s="129" t="s">
        <v>155</v>
      </c>
      <c r="Q22" s="116">
        <v>3307962</v>
      </c>
      <c r="R22" s="116">
        <v>4305680546</v>
      </c>
      <c r="S22" s="116">
        <v>490501.81</v>
      </c>
      <c r="T22" s="130">
        <f t="shared" si="1"/>
        <v>6.7440362758294405</v>
      </c>
      <c r="U22" s="85">
        <f>Q20+Q21+Q22</f>
        <v>11745742</v>
      </c>
    </row>
    <row r="23" spans="1:21" hidden="1">
      <c r="A23" s="129" t="s">
        <v>189</v>
      </c>
      <c r="B23" s="131"/>
      <c r="C23" s="131"/>
      <c r="F23" s="78">
        <f>Q23/21</f>
        <v>147232.04761904763</v>
      </c>
      <c r="G23" s="90">
        <f t="shared" si="2"/>
        <v>-6.5323906381028474E-2</v>
      </c>
      <c r="H23" s="90">
        <f t="shared" si="3"/>
        <v>-0.16031591016857916</v>
      </c>
      <c r="I23" s="130">
        <f t="shared" si="0"/>
        <v>6.9046601894482551</v>
      </c>
      <c r="J23" s="130">
        <f t="shared" si="4"/>
        <v>8.0416033246325513E-2</v>
      </c>
      <c r="O23" s="89"/>
      <c r="P23" s="129" t="s">
        <v>189</v>
      </c>
      <c r="Q23" s="116">
        <v>3091873</v>
      </c>
      <c r="R23" s="116">
        <v>3980760382</v>
      </c>
      <c r="S23" s="116">
        <v>447795.1</v>
      </c>
      <c r="T23" s="130">
        <f t="shared" si="1"/>
        <v>6.9046601894482551</v>
      </c>
      <c r="U23" s="78"/>
    </row>
    <row r="24" spans="1:21" hidden="1">
      <c r="A24" s="129" t="s">
        <v>204</v>
      </c>
      <c r="B24" s="131"/>
      <c r="C24" s="131"/>
      <c r="F24" s="78">
        <f>Q24/22</f>
        <v>156951.5</v>
      </c>
      <c r="G24" s="90">
        <f t="shared" si="2"/>
        <v>6.6014516120163957E-2</v>
      </c>
      <c r="H24" s="90">
        <f t="shared" si="3"/>
        <v>2.2327618392306015E-2</v>
      </c>
      <c r="I24" s="130">
        <f t="shared" si="0"/>
        <v>6.5595259177349954</v>
      </c>
      <c r="J24" s="130">
        <f t="shared" si="4"/>
        <v>0.12134364368015715</v>
      </c>
      <c r="O24" s="89"/>
      <c r="P24" s="129" t="s">
        <v>204</v>
      </c>
      <c r="Q24" s="116">
        <v>3452933</v>
      </c>
      <c r="R24" s="116">
        <v>4540554886</v>
      </c>
      <c r="S24" s="116">
        <v>526399.78</v>
      </c>
      <c r="T24" s="130">
        <f t="shared" si="1"/>
        <v>6.5595259177349954</v>
      </c>
      <c r="U24" s="78"/>
    </row>
    <row r="25" spans="1:21" s="79" customFormat="1" ht="13.2" hidden="1">
      <c r="A25" s="129" t="s">
        <v>218</v>
      </c>
      <c r="B25" s="131">
        <f>SUM(F23:F25)</f>
        <v>491206.23182957398</v>
      </c>
      <c r="C25" s="131">
        <f>AVERAGE(F23:F25)</f>
        <v>163735.41060985799</v>
      </c>
      <c r="D25" s="90">
        <f>C25/C22-1</f>
        <v>-0.13748529839665891</v>
      </c>
      <c r="E25" s="286">
        <f>C25/C13-1</f>
        <v>-4.3800264797595356E-2</v>
      </c>
      <c r="F25" s="78">
        <f>Q25/19</f>
        <v>187022.68421052632</v>
      </c>
      <c r="G25" s="90">
        <f t="shared" si="2"/>
        <v>0.19159539227421418</v>
      </c>
      <c r="H25" s="90">
        <f t="shared" si="3"/>
        <v>1.1803852939035409E-2</v>
      </c>
      <c r="I25" s="130">
        <f t="shared" si="0"/>
        <v>6.3267145729419454</v>
      </c>
      <c r="J25" s="130">
        <f t="shared" si="4"/>
        <v>0.13752798616133344</v>
      </c>
      <c r="K25" s="78">
        <f>R23+R24+R25</f>
        <v>13238137547</v>
      </c>
      <c r="L25" s="90">
        <f>U25/U22-1</f>
        <v>-0.1402640207830208</v>
      </c>
      <c r="M25" s="90">
        <f>U25/U13-1</f>
        <v>-6.1198859408485462E-2</v>
      </c>
      <c r="N25" s="88">
        <f>AVERAGE(T23:T25)</f>
        <v>6.5969668933750656</v>
      </c>
      <c r="O25" s="91">
        <f>N25/N22-1</f>
        <v>-3.0322908552131267E-2</v>
      </c>
      <c r="P25" s="129" t="s">
        <v>220</v>
      </c>
      <c r="Q25" s="116">
        <v>3553431</v>
      </c>
      <c r="R25" s="116">
        <v>4716822279</v>
      </c>
      <c r="S25" s="116">
        <v>561655.02</v>
      </c>
      <c r="T25" s="130">
        <f t="shared" si="1"/>
        <v>6.3267145729419454</v>
      </c>
      <c r="U25" s="85">
        <f>Q23+Q24+Q25</f>
        <v>10098237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172337.84210526315</v>
      </c>
      <c r="G26" s="90">
        <f t="shared" si="2"/>
        <v>-7.8519042581662757E-2</v>
      </c>
      <c r="H26" s="90">
        <f t="shared" si="3"/>
        <v>-0.15915430323926205</v>
      </c>
      <c r="I26" s="130">
        <f t="shared" si="0"/>
        <v>7.0008688390429326</v>
      </c>
      <c r="J26" s="130">
        <f t="shared" si="4"/>
        <v>0.12862045364274888</v>
      </c>
      <c r="L26" s="90"/>
      <c r="M26" s="90"/>
      <c r="P26" s="129" t="s">
        <v>312</v>
      </c>
      <c r="Q26" s="116">
        <v>3274419</v>
      </c>
      <c r="R26" s="116">
        <v>4417358539</v>
      </c>
      <c r="S26" s="116">
        <v>467716.09</v>
      </c>
      <c r="T26" s="130">
        <f t="shared" si="1"/>
        <v>7.0008688390429326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111717</v>
      </c>
      <c r="G27" s="90">
        <f t="shared" si="2"/>
        <v>-0.35175583821129786</v>
      </c>
      <c r="H27" s="90">
        <f t="shared" si="3"/>
        <v>-0.16996902801460156</v>
      </c>
      <c r="I27" s="130">
        <f t="shared" si="0"/>
        <v>6.2837805032666516</v>
      </c>
      <c r="J27" s="130">
        <f t="shared" si="4"/>
        <v>8.5103295179073557E-2</v>
      </c>
      <c r="L27" s="90"/>
      <c r="M27" s="90"/>
      <c r="P27" s="129" t="s">
        <v>373</v>
      </c>
      <c r="Q27" s="116">
        <v>2457774</v>
      </c>
      <c r="R27" s="116">
        <v>3246873604</v>
      </c>
      <c r="S27" s="116">
        <v>391129.83</v>
      </c>
      <c r="T27" s="130">
        <f t="shared" si="1"/>
        <v>6.2837805032666516</v>
      </c>
      <c r="U27" s="78"/>
    </row>
    <row r="28" spans="1:21" s="79" customFormat="1" ht="13.2" hidden="1">
      <c r="A28" s="123" t="s">
        <v>413</v>
      </c>
      <c r="B28" s="131">
        <f>SUM(F26:F28)</f>
        <v>387579.10526315786</v>
      </c>
      <c r="C28" s="131">
        <f>AVERAGE(F26:F28)</f>
        <v>129193.03508771928</v>
      </c>
      <c r="D28" s="90">
        <f>C28/C25-1</f>
        <v>-0.21096460071453249</v>
      </c>
      <c r="E28" s="286">
        <f>C28/C16-1</f>
        <v>-0.18642496103728279</v>
      </c>
      <c r="F28" s="78">
        <f>Q28/19</f>
        <v>103524.26315789473</v>
      </c>
      <c r="G28" s="90">
        <f t="shared" si="2"/>
        <v>-7.3334737256686711E-2</v>
      </c>
      <c r="H28" s="90">
        <f t="shared" si="3"/>
        <v>-0.24345710906456675</v>
      </c>
      <c r="I28" s="130">
        <f t="shared" si="0"/>
        <v>8.058827575896343</v>
      </c>
      <c r="J28" s="130">
        <f t="shared" si="4"/>
        <v>0.3199129611582443</v>
      </c>
      <c r="K28" s="78">
        <f>R26+R27+R28</f>
        <v>10226352210</v>
      </c>
      <c r="L28" s="90">
        <f>U28/U25-1</f>
        <v>-0.23757443997402716</v>
      </c>
      <c r="M28" s="90">
        <f>U28/U16-1</f>
        <v>-0.23548718272583136</v>
      </c>
      <c r="N28" s="88">
        <f>AVERAGE(T26:T28)</f>
        <v>7.1144923060686436</v>
      </c>
      <c r="O28" s="91">
        <f>N28/N25-1</f>
        <v>7.844899346293488E-2</v>
      </c>
      <c r="P28" s="129" t="s">
        <v>413</v>
      </c>
      <c r="Q28" s="116">
        <v>1966961</v>
      </c>
      <c r="R28" s="116">
        <v>2562120067</v>
      </c>
      <c r="S28" s="116">
        <v>244075.33</v>
      </c>
      <c r="T28" s="130">
        <f t="shared" si="1"/>
        <v>8.058827575896343</v>
      </c>
      <c r="U28" s="85">
        <f>Q26+Q27+Q28</f>
        <v>7699154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106017.68181818182</v>
      </c>
      <c r="G29" s="190">
        <f t="shared" si="2"/>
        <v>2.4085355299598987E-2</v>
      </c>
      <c r="H29" s="190">
        <f t="shared" si="3"/>
        <v>-0.13376355919528771</v>
      </c>
      <c r="I29" s="130">
        <f t="shared" si="0"/>
        <v>6.6546068704831756</v>
      </c>
      <c r="J29" s="130">
        <f t="shared" si="4"/>
        <v>-3.8845937316021262E-2</v>
      </c>
      <c r="K29" s="136"/>
      <c r="L29" s="190"/>
      <c r="M29" s="190"/>
      <c r="N29" s="191"/>
      <c r="O29" s="192"/>
      <c r="P29" s="129" t="s">
        <v>426</v>
      </c>
      <c r="Q29" s="116">
        <v>2332389</v>
      </c>
      <c r="R29" s="116">
        <v>3063381617</v>
      </c>
      <c r="S29" s="116">
        <v>350492.38</v>
      </c>
      <c r="T29" s="130">
        <f t="shared" si="1"/>
        <v>6.6546068704831756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120166.89473684211</v>
      </c>
      <c r="G30" s="190">
        <f t="shared" si="2"/>
        <v>0.1334608781856399</v>
      </c>
      <c r="H30" s="190">
        <f t="shared" si="3"/>
        <v>-0.39810076657185511</v>
      </c>
      <c r="I30" s="130">
        <f t="shared" si="0"/>
        <v>6.7103769573920333</v>
      </c>
      <c r="J30" s="130">
        <f t="shared" si="4"/>
        <v>3.7579947876858588E-2</v>
      </c>
      <c r="K30" s="136"/>
      <c r="L30" s="190"/>
      <c r="M30" s="190"/>
      <c r="N30" s="191"/>
      <c r="O30" s="192"/>
      <c r="P30" s="129" t="s">
        <v>466</v>
      </c>
      <c r="Q30" s="116">
        <v>2283171</v>
      </c>
      <c r="R30" s="116">
        <v>3042097199</v>
      </c>
      <c r="S30" s="116">
        <v>340244.82</v>
      </c>
      <c r="T30" s="130">
        <f t="shared" si="1"/>
        <v>6.7103769573920333</v>
      </c>
      <c r="U30" s="85"/>
    </row>
    <row r="31" spans="1:21" s="79" customFormat="1" ht="13.2" hidden="1">
      <c r="A31" s="129" t="s">
        <v>505</v>
      </c>
      <c r="B31" s="188">
        <f>SUM(F29:F31)</f>
        <v>379958.92655502394</v>
      </c>
      <c r="C31" s="188">
        <f>AVERAGE(F29:F31)</f>
        <v>126652.97551834131</v>
      </c>
      <c r="D31" s="190">
        <f>C31/C28-1</f>
        <v>-1.9660963670784071E-2</v>
      </c>
      <c r="E31" s="287">
        <f>C31/C19-1</f>
        <v>-0.29120466148345092</v>
      </c>
      <c r="F31" s="136">
        <f>Q31/20</f>
        <v>153774.35</v>
      </c>
      <c r="G31" s="190">
        <f t="shared" si="2"/>
        <v>0.27967316070500203</v>
      </c>
      <c r="H31" s="190">
        <f t="shared" si="3"/>
        <v>-0.28152197228313891</v>
      </c>
      <c r="I31" s="130">
        <f t="shared" si="0"/>
        <v>6.9093745928046042</v>
      </c>
      <c r="J31" s="130">
        <f t="shared" si="4"/>
        <v>4.4278312431295985E-2</v>
      </c>
      <c r="K31" s="136">
        <f>R29+R30+R31</f>
        <v>10189851708</v>
      </c>
      <c r="L31" s="190">
        <f>U31/U28-1</f>
        <v>-1.0529728331191146E-3</v>
      </c>
      <c r="M31" s="190">
        <f>U31/U19-1</f>
        <v>-0.31017762077759936</v>
      </c>
      <c r="N31" s="191">
        <f>AVERAGE(T29:T31)</f>
        <v>6.7581194735599377</v>
      </c>
      <c r="O31" s="192">
        <f>N31/N28-1</f>
        <v>-5.0091112222402812E-2</v>
      </c>
      <c r="P31" s="129" t="s">
        <v>506</v>
      </c>
      <c r="Q31" s="116">
        <v>3075487</v>
      </c>
      <c r="R31" s="116">
        <v>4084372892</v>
      </c>
      <c r="S31" s="116">
        <v>445118</v>
      </c>
      <c r="T31" s="130">
        <f t="shared" si="1"/>
        <v>6.9093745928046042</v>
      </c>
      <c r="U31" s="85">
        <f>Q29+Q30+Q31</f>
        <v>7691047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137837.90476190476</v>
      </c>
      <c r="G32" s="190">
        <f t="shared" si="2"/>
        <v>-0.10363526321584349</v>
      </c>
      <c r="H32" s="190">
        <f t="shared" si="3"/>
        <v>-0.35547011318065991</v>
      </c>
      <c r="I32" s="130">
        <f t="shared" si="0"/>
        <v>6.9467680900369198</v>
      </c>
      <c r="J32" s="130">
        <f t="shared" si="4"/>
        <v>6.711920305295882E-3</v>
      </c>
      <c r="K32" s="136"/>
      <c r="L32" s="190"/>
      <c r="M32" s="190"/>
      <c r="N32" s="191"/>
      <c r="O32" s="192"/>
      <c r="P32" s="129" t="s">
        <v>561</v>
      </c>
      <c r="Q32" s="116">
        <v>2894596</v>
      </c>
      <c r="R32" s="116">
        <v>3939118411</v>
      </c>
      <c r="S32" s="116">
        <v>416682.4</v>
      </c>
      <c r="T32" s="130">
        <f t="shared" si="1"/>
        <v>6.9467680900369198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155039.33333333334</v>
      </c>
      <c r="G33" s="190">
        <f t="shared" si="2"/>
        <v>0.12479461727992436</v>
      </c>
      <c r="H33" s="190">
        <f t="shared" si="3"/>
        <v>-0.21746595879122788</v>
      </c>
      <c r="I33" s="130">
        <f t="shared" si="0"/>
        <v>7.7934853464950695</v>
      </c>
      <c r="J33" s="130">
        <f t="shared" si="4"/>
        <v>0.15198001127028959</v>
      </c>
      <c r="K33" s="136"/>
      <c r="L33" s="190"/>
      <c r="M33" s="190"/>
      <c r="N33" s="191"/>
      <c r="O33" s="192"/>
      <c r="P33" s="129" t="s">
        <v>606</v>
      </c>
      <c r="Q33" s="116">
        <v>3255826</v>
      </c>
      <c r="R33" s="116">
        <v>4447893653</v>
      </c>
      <c r="S33" s="116">
        <v>417762.51</v>
      </c>
      <c r="T33" s="130">
        <f t="shared" si="1"/>
        <v>7.7934853464950695</v>
      </c>
      <c r="U33" s="85"/>
    </row>
    <row r="34" spans="1:21" s="79" customFormat="1" ht="13.2" hidden="1">
      <c r="A34" s="129" t="s">
        <v>652</v>
      </c>
      <c r="B34" s="188">
        <f>SUM(F32:F34)</f>
        <v>448269.18546365912</v>
      </c>
      <c r="C34" s="188">
        <f>AVERAGE(F32:F34)</f>
        <v>149423.06182121972</v>
      </c>
      <c r="D34" s="190">
        <f>C34/C31-1</f>
        <v>0.17978327164987085</v>
      </c>
      <c r="E34" s="287">
        <f>C34/C22-1</f>
        <v>-0.21287895453185812</v>
      </c>
      <c r="F34" s="136">
        <f>Q34/19</f>
        <v>155391.94736842104</v>
      </c>
      <c r="G34" s="190">
        <f t="shared" si="2"/>
        <v>2.2743521112127407E-3</v>
      </c>
      <c r="H34" s="190">
        <f t="shared" si="3"/>
        <v>-1.3522254869662409E-2</v>
      </c>
      <c r="I34" s="130">
        <f t="shared" si="0"/>
        <v>7.6907257377798102</v>
      </c>
      <c r="J34" s="130">
        <f t="shared" si="4"/>
        <v>0.14037431342759765</v>
      </c>
      <c r="K34" s="136">
        <f>R32+R33+R34</f>
        <v>12450639607</v>
      </c>
      <c r="L34" s="190">
        <f>U34/U31-1</f>
        <v>0.18356694478658109</v>
      </c>
      <c r="M34" s="190">
        <f>U34/U22-1</f>
        <v>-0.22500690037291815</v>
      </c>
      <c r="N34" s="191">
        <f>AVERAGE(T32:T34)</f>
        <v>7.4769930581039334</v>
      </c>
      <c r="O34" s="192">
        <f>N34/N31-1</f>
        <v>0.10637183721839683</v>
      </c>
      <c r="P34" s="129" t="s">
        <v>652</v>
      </c>
      <c r="Q34" s="116">
        <v>2952447</v>
      </c>
      <c r="R34" s="116">
        <v>4063627543</v>
      </c>
      <c r="S34" s="116">
        <v>383897.06</v>
      </c>
      <c r="T34" s="130">
        <f t="shared" si="1"/>
        <v>7.6907257377798102</v>
      </c>
      <c r="U34" s="85">
        <f>Q32+Q33+Q34</f>
        <v>9102869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168935.65217391305</v>
      </c>
      <c r="G35" s="190">
        <f t="shared" si="2"/>
        <v>8.7158344012389755E-2</v>
      </c>
      <c r="H35" s="190">
        <f t="shared" si="3"/>
        <v>0.14741087219694138</v>
      </c>
      <c r="I35" s="130">
        <f t="shared" si="0"/>
        <v>7.2516179208532394</v>
      </c>
      <c r="J35" s="130">
        <f t="shared" si="4"/>
        <v>5.0249790994089327E-2</v>
      </c>
      <c r="K35" s="136"/>
      <c r="L35" s="190"/>
      <c r="M35" s="190"/>
      <c r="N35" s="191"/>
      <c r="O35" s="192"/>
      <c r="P35" s="129" t="s">
        <v>659</v>
      </c>
      <c r="Q35" s="116">
        <v>3885520</v>
      </c>
      <c r="R35" s="116">
        <v>5374312204</v>
      </c>
      <c r="S35" s="116">
        <v>535814.22</v>
      </c>
      <c r="T35" s="130">
        <f t="shared" si="1"/>
        <v>7.2516179208532394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176236.71428571429</v>
      </c>
      <c r="G36" s="190">
        <f t="shared" si="2"/>
        <v>4.3218006488559668E-2</v>
      </c>
      <c r="H36" s="190">
        <f t="shared" si="3"/>
        <v>0.122873717586097</v>
      </c>
      <c r="I36" s="130">
        <f t="shared" si="0"/>
        <v>6.9831185700936631</v>
      </c>
      <c r="J36" s="130">
        <f t="shared" si="4"/>
        <v>6.4576717535851147E-2</v>
      </c>
      <c r="K36" s="136"/>
      <c r="L36" s="190"/>
      <c r="M36" s="190"/>
      <c r="N36" s="191"/>
      <c r="O36" s="192"/>
      <c r="P36" s="129" t="s">
        <v>664</v>
      </c>
      <c r="Q36" s="116">
        <v>3700971</v>
      </c>
      <c r="R36" s="116">
        <v>5053400404</v>
      </c>
      <c r="S36" s="116">
        <v>529988.28</v>
      </c>
      <c r="T36" s="130">
        <f t="shared" si="1"/>
        <v>6.9831185700936631</v>
      </c>
      <c r="U36" s="85"/>
    </row>
    <row r="37" spans="1:21" s="79" customFormat="1" ht="13.2" hidden="1">
      <c r="A37" s="129" t="s">
        <v>702</v>
      </c>
      <c r="B37" s="188">
        <f>SUM(F35:F37)</f>
        <v>524828.19979296066</v>
      </c>
      <c r="C37" s="188">
        <f>AVERAGE(F35:F37)</f>
        <v>174942.73326432021</v>
      </c>
      <c r="D37" s="190">
        <f>C37/C34-1</f>
        <v>0.17078803721499192</v>
      </c>
      <c r="E37" s="287">
        <f>C37/C25-1</f>
        <v>6.8447763453969968E-2</v>
      </c>
      <c r="F37" s="136">
        <f>Q37/18</f>
        <v>179655.83333333334</v>
      </c>
      <c r="G37" s="190">
        <f t="shared" si="2"/>
        <v>1.940071943281918E-2</v>
      </c>
      <c r="H37" s="190">
        <f t="shared" si="3"/>
        <v>-3.9390146218307498E-2</v>
      </c>
      <c r="I37" s="130">
        <f t="shared" si="0"/>
        <v>7.0580976485361351</v>
      </c>
      <c r="J37" s="130">
        <f t="shared" si="4"/>
        <v>0.11560235050308165</v>
      </c>
      <c r="K37" s="136">
        <f>R35+R36+R37</f>
        <v>14742684911</v>
      </c>
      <c r="L37" s="190">
        <f>U37/U34-1</f>
        <v>0.188668759266996</v>
      </c>
      <c r="M37" s="190">
        <f>U37/U25-1</f>
        <v>7.1503471348513647E-2</v>
      </c>
      <c r="N37" s="191">
        <f>AVERAGE(T35:T37)</f>
        <v>7.0976113798276792</v>
      </c>
      <c r="O37" s="192">
        <f>N37/N34-1</f>
        <v>-5.0739873011525938E-2</v>
      </c>
      <c r="P37" s="129" t="s">
        <v>702</v>
      </c>
      <c r="Q37" s="116">
        <v>3233805</v>
      </c>
      <c r="R37" s="116">
        <v>4314972303</v>
      </c>
      <c r="S37" s="116">
        <v>458169.49</v>
      </c>
      <c r="T37" s="130">
        <f t="shared" si="1"/>
        <v>7.0580976485361351</v>
      </c>
      <c r="U37" s="85">
        <f>Q35+Q36+Q37</f>
        <v>10820296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232179.85</v>
      </c>
      <c r="G38" s="190">
        <f t="shared" si="2"/>
        <v>0.29235909400845128</v>
      </c>
      <c r="H38" s="190">
        <f t="shared" si="3"/>
        <v>0.3472366089984209</v>
      </c>
      <c r="I38" s="130">
        <f t="shared" si="0"/>
        <v>6.7900879566710337</v>
      </c>
      <c r="J38" s="130">
        <f t="shared" si="4"/>
        <v>-3.0107817646347179E-2</v>
      </c>
      <c r="K38" s="136"/>
      <c r="L38" s="190"/>
      <c r="M38" s="190"/>
      <c r="N38" s="191"/>
      <c r="O38" s="192"/>
      <c r="P38" s="129" t="s">
        <v>725</v>
      </c>
      <c r="Q38" s="116">
        <v>4643597</v>
      </c>
      <c r="R38" s="116">
        <v>6228218133</v>
      </c>
      <c r="S38" s="116">
        <v>683878.77</v>
      </c>
      <c r="T38" s="130">
        <f t="shared" si="1"/>
        <v>6.7900879566710337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186608.90476190476</v>
      </c>
      <c r="G39" s="190">
        <f>F39/F38-1</f>
        <v>-0.19627433318651577</v>
      </c>
      <c r="H39" s="190">
        <f t="shared" si="3"/>
        <v>0.67037160648696936</v>
      </c>
      <c r="I39" s="130">
        <f t="shared" si="0"/>
        <v>6.5450193369987657</v>
      </c>
      <c r="J39" s="130">
        <f t="shared" si="4"/>
        <v>4.1573513523635697E-2</v>
      </c>
      <c r="K39" s="136"/>
      <c r="L39" s="190"/>
      <c r="M39" s="190"/>
      <c r="N39" s="191"/>
      <c r="O39" s="192"/>
      <c r="P39" s="129" t="s">
        <v>762</v>
      </c>
      <c r="Q39" s="116">
        <v>3918787</v>
      </c>
      <c r="R39" s="116">
        <v>5453560224</v>
      </c>
      <c r="S39" s="116">
        <v>598743.38</v>
      </c>
      <c r="T39" s="130">
        <f t="shared" si="1"/>
        <v>6.5450193369987657</v>
      </c>
      <c r="U39" s="85"/>
    </row>
    <row r="40" spans="1:21" s="79" customFormat="1" ht="13.2" hidden="1">
      <c r="A40" s="129" t="s">
        <v>777</v>
      </c>
      <c r="B40" s="188">
        <f>SUM(F38:F40)</f>
        <v>652577.37380952388</v>
      </c>
      <c r="C40" s="188">
        <f>AVERAGE(F38:F40)</f>
        <v>217525.79126984128</v>
      </c>
      <c r="D40" s="190">
        <f>C40/C37-1</f>
        <v>0.24341141361489149</v>
      </c>
      <c r="E40" s="287">
        <f>C40/C28-1</f>
        <v>0.68372692167302951</v>
      </c>
      <c r="F40" s="136">
        <f>Q40/21</f>
        <v>233788.61904761905</v>
      </c>
      <c r="G40" s="190">
        <f t="shared" si="2"/>
        <v>0.25282670377338712</v>
      </c>
      <c r="H40" s="190">
        <f t="shared" si="3"/>
        <v>1.2582978319879055</v>
      </c>
      <c r="I40" s="130">
        <f t="shared" si="0"/>
        <v>6.5311939556656178</v>
      </c>
      <c r="J40" s="130">
        <f t="shared" si="4"/>
        <v>-0.18956028105128109</v>
      </c>
      <c r="K40" s="136">
        <f>R38+R39+R40</f>
        <v>18657503606</v>
      </c>
      <c r="L40" s="190">
        <f>U40/U37-1</f>
        <v>0.2450625195466003</v>
      </c>
      <c r="M40" s="190">
        <f>U40/U28-1</f>
        <v>0.74979549701174952</v>
      </c>
      <c r="N40" s="191">
        <f>AVERAGE(T38:T40)</f>
        <v>6.6221004164451394</v>
      </c>
      <c r="O40" s="192">
        <f>N40/N37-1</f>
        <v>-6.6995914249969091E-2</v>
      </c>
      <c r="P40" s="129" t="s">
        <v>777</v>
      </c>
      <c r="Q40" s="116">
        <v>4909561</v>
      </c>
      <c r="R40" s="116">
        <v>6975725249</v>
      </c>
      <c r="S40" s="116">
        <v>751709.57</v>
      </c>
      <c r="T40" s="130">
        <f t="shared" si="1"/>
        <v>6.5311939556656178</v>
      </c>
      <c r="U40" s="85">
        <f>Q38+Q39+Q40</f>
        <v>13471945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173120</v>
      </c>
      <c r="G41" s="190">
        <f t="shared" ref="G41" si="5">F41/F40-1</f>
        <v>-0.25950202064909678</v>
      </c>
      <c r="H41" s="190">
        <f t="shared" ref="H41" si="6">F41/F29-1</f>
        <v>0.63293515790033306</v>
      </c>
      <c r="I41" s="130">
        <f t="shared" si="0"/>
        <v>6.2482824872702292</v>
      </c>
      <c r="J41" s="130">
        <f t="shared" si="4"/>
        <v>-6.105911154800403E-2</v>
      </c>
      <c r="K41" s="193"/>
      <c r="L41" s="190"/>
      <c r="M41" s="190"/>
      <c r="N41" s="193"/>
      <c r="O41" s="193"/>
      <c r="P41" s="129" t="s">
        <v>792</v>
      </c>
      <c r="Q41" s="116">
        <v>3116160</v>
      </c>
      <c r="R41" s="116">
        <v>4559979785</v>
      </c>
      <c r="S41" s="116">
        <v>498722.65</v>
      </c>
      <c r="T41" s="130">
        <f t="shared" ref="T41" si="7">Q41/S41</f>
        <v>6.2482824872702292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186444.65</v>
      </c>
      <c r="G42" s="190">
        <f t="shared" ref="G42" si="8">F42/F41-1</f>
        <v>7.696771025878002E-2</v>
      </c>
      <c r="H42" s="190">
        <f t="shared" ref="H42" si="9">F42/F30-1</f>
        <v>0.55154754067916945</v>
      </c>
      <c r="I42" s="130">
        <f t="shared" si="0"/>
        <v>6.1040263650432669</v>
      </c>
      <c r="J42" s="130">
        <f t="shared" si="4"/>
        <v>-9.0360138662675449E-2</v>
      </c>
      <c r="K42" s="193"/>
      <c r="L42" s="190"/>
      <c r="M42" s="190"/>
      <c r="N42" s="193"/>
      <c r="O42" s="193"/>
      <c r="P42" s="129" t="s">
        <v>826</v>
      </c>
      <c r="Q42" s="116">
        <v>3728893</v>
      </c>
      <c r="R42" s="116">
        <v>5390646922</v>
      </c>
      <c r="S42" s="116">
        <v>610890.71</v>
      </c>
      <c r="T42" s="130">
        <f t="shared" ref="T42" si="10">Q42/S42</f>
        <v>6.1040263650432669</v>
      </c>
      <c r="U42" s="78"/>
    </row>
    <row r="43" spans="1:21" s="79" customFormat="1" ht="13.2">
      <c r="A43" s="129" t="s">
        <v>835</v>
      </c>
      <c r="B43" s="188">
        <f>SUM(F41:F43)</f>
        <v>574064.75</v>
      </c>
      <c r="C43" s="188">
        <f>AVERAGE(F41:F43)</f>
        <v>191354.91666666666</v>
      </c>
      <c r="D43" s="190">
        <f>C43/C40-1</f>
        <v>-0.12031159362941746</v>
      </c>
      <c r="E43" s="287">
        <f>C43/C31-1</f>
        <v>0.51086001638355127</v>
      </c>
      <c r="F43" s="136">
        <f>Q43/20</f>
        <v>214500.1</v>
      </c>
      <c r="G43" s="190">
        <f t="shared" ref="G43" si="11">F43/F42-1</f>
        <v>0.15047602599484633</v>
      </c>
      <c r="H43" s="190">
        <f t="shared" ref="H43" si="12">F43/F31-1</f>
        <v>0.39490168548915983</v>
      </c>
      <c r="I43" s="130">
        <f t="shared" si="0"/>
        <v>5.9990610704691614</v>
      </c>
      <c r="J43" s="130">
        <f t="shared" si="4"/>
        <v>-0.13175049494109636</v>
      </c>
      <c r="K43" s="136">
        <f>R41+R42+R43</f>
        <v>16169974488</v>
      </c>
      <c r="L43" s="190">
        <f>U43/U40-1</f>
        <v>-0.17346344570141881</v>
      </c>
      <c r="M43" s="190">
        <f>K43/K31-1</f>
        <v>0.58687044241331177</v>
      </c>
      <c r="N43" s="191">
        <f>AVERAGE(T41:T43)</f>
        <v>6.1171233075942189</v>
      </c>
      <c r="O43" s="192">
        <f>N43/N40-1</f>
        <v>-7.6256335164727296E-2</v>
      </c>
      <c r="P43" s="129" t="s">
        <v>835</v>
      </c>
      <c r="Q43" s="116">
        <v>4290002</v>
      </c>
      <c r="R43" s="116">
        <v>6219347781</v>
      </c>
      <c r="S43" s="116">
        <v>715112.24</v>
      </c>
      <c r="T43" s="130">
        <f t="shared" ref="T43" si="13">Q43/S43</f>
        <v>5.9990610704691614</v>
      </c>
      <c r="U43" s="85">
        <f>Q41+Q42+Q43</f>
        <v>11135055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306120.59090909088</v>
      </c>
      <c r="G44" s="190">
        <f t="shared" ref="G44" si="14">F44/F43-1</f>
        <v>0.42713495662282153</v>
      </c>
      <c r="H44" s="190">
        <f t="shared" ref="H44" si="15">F44/F32-1</f>
        <v>1.2208737969274153</v>
      </c>
      <c r="I44" s="130">
        <f t="shared" si="0"/>
        <v>6.0646924311737438</v>
      </c>
      <c r="J44" s="130">
        <f t="shared" si="4"/>
        <v>-0.12697640793972265</v>
      </c>
      <c r="K44" s="136"/>
      <c r="L44" s="190"/>
      <c r="M44" s="190"/>
      <c r="N44" s="191"/>
      <c r="O44" s="192"/>
      <c r="P44" s="129" t="s">
        <v>843</v>
      </c>
      <c r="Q44" s="116">
        <v>6734653</v>
      </c>
      <c r="R44" s="116">
        <v>9758591549</v>
      </c>
      <c r="S44" s="116">
        <v>1110469.01</v>
      </c>
      <c r="T44" s="130">
        <f t="shared" ref="T44" si="16">Q44/S44</f>
        <v>6.0646924311737438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249273.45</v>
      </c>
      <c r="G45" s="190">
        <f t="shared" ref="G45" si="17">F45/F44-1</f>
        <v>-0.18570178745660681</v>
      </c>
      <c r="H45" s="190">
        <f t="shared" ref="H45" si="18">F45/F33-1</f>
        <v>0.60780780361112652</v>
      </c>
      <c r="I45" s="130">
        <f t="shared" si="0"/>
        <v>6.5472028154552353</v>
      </c>
      <c r="J45" s="130">
        <f t="shared" si="4"/>
        <v>-0.1599133732381135</v>
      </c>
      <c r="K45" s="136"/>
      <c r="L45" s="190"/>
      <c r="M45" s="190"/>
      <c r="N45" s="191"/>
      <c r="O45" s="192"/>
      <c r="P45" s="129" t="s">
        <v>849</v>
      </c>
      <c r="Q45" s="116">
        <v>4985469</v>
      </c>
      <c r="R45" s="116">
        <v>7010353655</v>
      </c>
      <c r="S45" s="116">
        <v>761465.49</v>
      </c>
      <c r="T45" s="130">
        <f t="shared" ref="T45" si="19">Q45/S45</f>
        <v>6.5472028154552353</v>
      </c>
      <c r="U45" s="85"/>
    </row>
    <row r="46" spans="1:21" s="79" customFormat="1" ht="13.2">
      <c r="A46" s="129" t="s">
        <v>888</v>
      </c>
      <c r="B46" s="188">
        <f>SUM(F44:F46)</f>
        <v>813534.04090909089</v>
      </c>
      <c r="C46" s="188">
        <f>AVERAGE(F44:F46)</f>
        <v>271178.01363636361</v>
      </c>
      <c r="D46" s="190">
        <f>C46/C43-1</f>
        <v>0.41714683040387146</v>
      </c>
      <c r="E46" s="287">
        <f>C46/C34-1</f>
        <v>0.81483373671475223</v>
      </c>
      <c r="F46" s="136">
        <f>Q46/19</f>
        <v>258140</v>
      </c>
      <c r="G46" s="190">
        <f t="shared" ref="G46" si="20">F46/F45-1</f>
        <v>3.5569572290992113E-2</v>
      </c>
      <c r="H46" s="190">
        <f t="shared" ref="H46" si="21">F46/F34-1</f>
        <v>0.66121864338292968</v>
      </c>
      <c r="I46" s="130">
        <f t="shared" si="0"/>
        <v>7.0330250589929602</v>
      </c>
      <c r="J46" s="130">
        <f t="shared" si="4"/>
        <v>-8.5518675507562425E-2</v>
      </c>
      <c r="K46" s="136">
        <f>R44+R45+R46</f>
        <v>23483049514</v>
      </c>
      <c r="L46" s="190">
        <f>U46/U43-1</f>
        <v>0.49301301161062971</v>
      </c>
      <c r="M46" s="190">
        <f>K46/K34-1</f>
        <v>0.88609181979674023</v>
      </c>
      <c r="N46" s="191">
        <f>AVERAGE(T44:T46)</f>
        <v>6.5483067685406455</v>
      </c>
      <c r="O46" s="192">
        <f>N46/N43-1</f>
        <v>7.0487946582852956E-2</v>
      </c>
      <c r="P46" s="129" t="s">
        <v>958</v>
      </c>
      <c r="Q46" s="116">
        <v>4904660</v>
      </c>
      <c r="R46" s="116">
        <v>6714104310</v>
      </c>
      <c r="S46" s="116">
        <v>697375.59</v>
      </c>
      <c r="T46" s="130">
        <f t="shared" ref="T46" si="22">Q46/S46</f>
        <v>7.0330250589929602</v>
      </c>
      <c r="U46" s="85">
        <f t="shared" ref="U46:U51" si="23">Q44+Q45+Q46</f>
        <v>16624782</v>
      </c>
    </row>
    <row r="47" spans="1:21" s="79" customFormat="1" ht="13.2">
      <c r="A47" s="129" t="s">
        <v>1013</v>
      </c>
      <c r="B47" s="188"/>
      <c r="C47" s="188"/>
      <c r="D47" s="190"/>
      <c r="E47" s="287"/>
      <c r="F47" s="136">
        <f>Q47/23</f>
        <v>233864.86956521738</v>
      </c>
      <c r="G47" s="190">
        <f t="shared" ref="G47" si="24">F47/F46-1</f>
        <v>-9.4038624137222526E-2</v>
      </c>
      <c r="H47" s="190">
        <f t="shared" ref="H47" si="25">F47/F35-1</f>
        <v>0.38434289361526885</v>
      </c>
      <c r="I47" s="130">
        <f t="shared" si="0"/>
        <v>6.4907653644502785</v>
      </c>
      <c r="J47" s="130">
        <f t="shared" si="4"/>
        <v>-0.10492176569521161</v>
      </c>
      <c r="K47" s="136"/>
      <c r="L47" s="190"/>
      <c r="M47" s="190"/>
      <c r="N47" s="191"/>
      <c r="O47" s="192"/>
      <c r="P47" s="129" t="s">
        <v>991</v>
      </c>
      <c r="Q47" s="116">
        <v>5378892</v>
      </c>
      <c r="R47" s="116">
        <v>7373231364</v>
      </c>
      <c r="S47" s="116">
        <v>828699.19</v>
      </c>
      <c r="T47" s="130">
        <f t="shared" ref="T47" si="26">Q47/S47</f>
        <v>6.4907653644502785</v>
      </c>
      <c r="U47" s="85">
        <f t="shared" si="23"/>
        <v>15269021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308363.75</v>
      </c>
      <c r="G48" s="190">
        <f t="shared" ref="G48" si="27">F48/F47-1</f>
        <v>0.31855524334751473</v>
      </c>
      <c r="H48" s="190">
        <f t="shared" ref="H48" si="28">F48/F36-1</f>
        <v>0.749713453577453</v>
      </c>
      <c r="I48" s="130">
        <f t="shared" si="0"/>
        <v>6.5436764293640195</v>
      </c>
      <c r="J48" s="130">
        <f t="shared" si="4"/>
        <v>-6.2929210827326609E-2</v>
      </c>
      <c r="K48" s="136"/>
      <c r="L48" s="190"/>
      <c r="M48" s="190"/>
      <c r="N48" s="191"/>
      <c r="O48" s="192"/>
      <c r="P48" s="129" t="s">
        <v>1070</v>
      </c>
      <c r="Q48" s="116">
        <v>6167275</v>
      </c>
      <c r="R48" s="116">
        <v>8558196146</v>
      </c>
      <c r="S48" s="116">
        <v>942478.6</v>
      </c>
      <c r="T48" s="130">
        <f t="shared" ref="T48" si="29">Q48/S48</f>
        <v>6.5436764293640195</v>
      </c>
      <c r="U48" s="85">
        <f t="shared" si="23"/>
        <v>16450827</v>
      </c>
    </row>
    <row r="49" spans="1:26" ht="13.2">
      <c r="A49" s="129" t="s">
        <v>1158</v>
      </c>
      <c r="B49" s="188">
        <f>SUM(F47:F49)</f>
        <v>870781.93774703564</v>
      </c>
      <c r="C49" s="188">
        <f>AVERAGE(F47:F49)</f>
        <v>290260.64591567853</v>
      </c>
      <c r="D49" s="190">
        <f>C49/C46-1</f>
        <v>7.0369393238877365E-2</v>
      </c>
      <c r="E49" s="287">
        <f>C49/C37-1</f>
        <v>0.65917520836447085</v>
      </c>
      <c r="F49" s="136">
        <f>Q49/22</f>
        <v>328553.31818181818</v>
      </c>
      <c r="G49" s="190">
        <f t="shared" ref="G49" si="30">F49/F48-1</f>
        <v>6.5473221744832832E-2</v>
      </c>
      <c r="H49" s="190">
        <f t="shared" ref="H49" si="31">F49/F37-1</f>
        <v>0.82879293194015302</v>
      </c>
      <c r="I49" s="130">
        <f t="shared" si="0"/>
        <v>6.9195872264413651</v>
      </c>
      <c r="J49" s="130">
        <f t="shared" si="4"/>
        <v>-1.9624327827696963E-2</v>
      </c>
      <c r="K49" s="136">
        <f>R47+R48+R49</f>
        <v>25976887945</v>
      </c>
      <c r="L49" s="190">
        <f>U49/U46-1</f>
        <v>0.12929841726646396</v>
      </c>
      <c r="M49" s="190">
        <f>K49/K37-1</f>
        <v>0.76201879792043803</v>
      </c>
      <c r="N49" s="191">
        <f>AVERAGE(T47:T49)</f>
        <v>6.6513430067518877</v>
      </c>
      <c r="O49" s="192">
        <f>N49/N46-1</f>
        <v>1.573479097012509E-2</v>
      </c>
      <c r="P49" s="129" t="s">
        <v>1158</v>
      </c>
      <c r="Q49" s="116">
        <v>7228173</v>
      </c>
      <c r="R49" s="116">
        <v>10045460435</v>
      </c>
      <c r="S49" s="116">
        <v>1044595.98</v>
      </c>
      <c r="T49" s="130">
        <f t="shared" ref="T49" si="32">Q49/S49</f>
        <v>6.9195872264413651</v>
      </c>
      <c r="U49" s="85">
        <f t="shared" si="23"/>
        <v>18774340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252866.33333333334</v>
      </c>
      <c r="G50" s="190">
        <f t="shared" ref="G50" si="33">F50/F49-1</f>
        <v>-0.23036439037453393</v>
      </c>
      <c r="H50" s="190">
        <f t="shared" ref="H50" si="34">F50/F38-1</f>
        <v>8.9096807209296358E-2</v>
      </c>
      <c r="I50" s="130">
        <f t="shared" ref="I50" si="35">T50</f>
        <v>6.5577328921049229</v>
      </c>
      <c r="J50" s="130">
        <f t="shared" ref="J50" si="36">I50/I38-1</f>
        <v>-3.4219742961919875E-2</v>
      </c>
      <c r="K50" s="136"/>
      <c r="L50" s="190"/>
      <c r="M50" s="190"/>
      <c r="N50" s="191"/>
      <c r="O50" s="192"/>
      <c r="P50" s="129" t="s">
        <v>1291</v>
      </c>
      <c r="Q50" s="116">
        <v>4551594</v>
      </c>
      <c r="R50" s="116">
        <v>6439717679</v>
      </c>
      <c r="S50" s="116">
        <v>694080.42</v>
      </c>
      <c r="T50" s="130">
        <f t="shared" ref="T50" si="37">Q50/S50</f>
        <v>6.5577328921049229</v>
      </c>
      <c r="U50" s="85">
        <f t="shared" si="23"/>
        <v>17947042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194237.4</v>
      </c>
      <c r="G51" s="190">
        <f t="shared" ref="G51:G52" si="38">F51/F50-1</f>
        <v>-0.23185741083233702</v>
      </c>
      <c r="H51" s="190">
        <f t="shared" ref="H51:H52" si="39">F51/F39-1</f>
        <v>4.0879588505320585E-2</v>
      </c>
      <c r="I51" s="130">
        <f t="shared" ref="I51:I52" si="40">T51</f>
        <v>6.8109809321890511</v>
      </c>
      <c r="J51" s="130">
        <f t="shared" ref="J51:J52" si="41">I51/I39-1</f>
        <v>4.063572336399579E-2</v>
      </c>
      <c r="K51" s="136"/>
      <c r="L51" s="190"/>
      <c r="M51" s="190"/>
      <c r="N51" s="191"/>
      <c r="O51" s="192"/>
      <c r="P51" s="129" t="s">
        <v>1402</v>
      </c>
      <c r="Q51" s="116">
        <v>3884748</v>
      </c>
      <c r="R51" s="116">
        <v>5620317335</v>
      </c>
      <c r="S51" s="116">
        <v>570365.42000000004</v>
      </c>
      <c r="T51" s="130">
        <f t="shared" ref="T51:T52" si="42">Q51/S51</f>
        <v>6.8109809321890511</v>
      </c>
      <c r="U51" s="85">
        <f t="shared" si="23"/>
        <v>15664515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710458.09696969693</v>
      </c>
      <c r="C52" s="188">
        <f>AVERAGE(F50:F52)</f>
        <v>236819.36565656564</v>
      </c>
      <c r="D52" s="190">
        <f>C52/C49-1</f>
        <v>-0.18411479823771115</v>
      </c>
      <c r="E52" s="287">
        <f>C52/C40-1</f>
        <v>8.8695571564618048E-2</v>
      </c>
      <c r="F52" s="136">
        <f>Q52/22</f>
        <v>263354.36363636365</v>
      </c>
      <c r="G52" s="190">
        <f t="shared" si="38"/>
        <v>0.35583756597011518</v>
      </c>
      <c r="H52" s="190">
        <f t="shared" si="39"/>
        <v>0.12646357512690787</v>
      </c>
      <c r="I52" s="130">
        <f t="shared" si="40"/>
        <v>6.8164262597655743</v>
      </c>
      <c r="J52" s="130">
        <f t="shared" si="41"/>
        <v>4.3672306478132583E-2</v>
      </c>
      <c r="K52" s="136">
        <f>R50+R51+R52</f>
        <v>20584559949</v>
      </c>
      <c r="L52" s="190">
        <f>U52/U49-1</f>
        <v>-0.24204323560774976</v>
      </c>
      <c r="M52" s="190">
        <f>K52/K40-1</f>
        <v>0.10328586201533874</v>
      </c>
      <c r="N52" s="191">
        <f>AVERAGE(T50:T52)</f>
        <v>6.7283800280198491</v>
      </c>
      <c r="O52" s="192">
        <f>N52/N49-1</f>
        <v>1.1582175387701454E-2</v>
      </c>
      <c r="P52" s="129" t="s">
        <v>1403</v>
      </c>
      <c r="Q52" s="116">
        <v>5793796</v>
      </c>
      <c r="R52" s="116">
        <v>8524524935</v>
      </c>
      <c r="S52" s="116">
        <v>849975.6</v>
      </c>
      <c r="T52" s="130">
        <f t="shared" si="42"/>
        <v>6.8164262597655743</v>
      </c>
      <c r="U52" s="85">
        <f t="shared" ref="U52" si="43">Q50+Q51+Q52</f>
        <v>14230138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297284</v>
      </c>
      <c r="G53" s="190">
        <f t="shared" ref="G53" si="44">F53/F52-1</f>
        <v>0.12883643124473143</v>
      </c>
      <c r="H53" s="190">
        <f t="shared" ref="H53" si="45">F53/F41-1</f>
        <v>0.71721349353049901</v>
      </c>
      <c r="I53" s="130">
        <f t="shared" ref="I53" si="46">T53</f>
        <v>6.6581835039656898</v>
      </c>
      <c r="J53" s="130">
        <f t="shared" ref="J53" si="47">I53/I41-1</f>
        <v>6.5602190286780715E-2</v>
      </c>
      <c r="K53" s="136"/>
      <c r="L53" s="190"/>
      <c r="M53" s="190"/>
      <c r="N53" s="191"/>
      <c r="O53" s="192"/>
      <c r="P53" s="129" t="s">
        <v>1414</v>
      </c>
      <c r="Q53" s="116">
        <v>6242964</v>
      </c>
      <c r="R53" s="116">
        <v>9109680023</v>
      </c>
      <c r="S53" s="116">
        <v>937637.72</v>
      </c>
      <c r="T53" s="130">
        <f t="shared" ref="T53" si="48">Q53/S53</f>
        <v>6.6581835039656898</v>
      </c>
      <c r="U53" s="85">
        <f t="shared" ref="U53" si="49">Q51+Q52+Q53</f>
        <v>15921508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246643.76470588235</v>
      </c>
      <c r="G54" s="190">
        <f t="shared" ref="G54" si="50">F54/F53-1</f>
        <v>-0.17034295587424031</v>
      </c>
      <c r="H54" s="190">
        <f t="shared" ref="H54" si="51">F54/F42-1</f>
        <v>0.32287928189884973</v>
      </c>
      <c r="I54" s="130">
        <f t="shared" ref="I54" si="52">T54</f>
        <v>6.7425655227163723</v>
      </c>
      <c r="J54" s="130">
        <f t="shared" ref="J54" si="53">I54/I42-1</f>
        <v>0.10460950190679252</v>
      </c>
      <c r="K54" s="136"/>
      <c r="L54" s="190"/>
      <c r="M54" s="190"/>
      <c r="N54" s="191"/>
      <c r="O54" s="192"/>
      <c r="P54" s="129" t="s">
        <v>1417</v>
      </c>
      <c r="Q54" s="116">
        <v>4192944</v>
      </c>
      <c r="R54" s="116">
        <v>6067677922</v>
      </c>
      <c r="S54" s="116">
        <v>621861.81000000006</v>
      </c>
      <c r="T54" s="130">
        <f t="shared" ref="T54" si="54">Q54/S54</f>
        <v>6.7425655227163723</v>
      </c>
      <c r="U54" s="85">
        <f t="shared" ref="U54" si="55">Q52+Q53+Q54</f>
        <v>16229704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758901.90756302525</v>
      </c>
      <c r="C55" s="188">
        <f>AVERAGE(F53:F55)</f>
        <v>252967.30252100842</v>
      </c>
      <c r="D55" s="190">
        <f>C55/C52-1</f>
        <v>6.8186724593547021E-2</v>
      </c>
      <c r="E55" s="287">
        <f>C55/C43-1</f>
        <v>0.3219796330693101</v>
      </c>
      <c r="F55" s="136">
        <f>Q55/21</f>
        <v>214974.14285714287</v>
      </c>
      <c r="G55" s="190">
        <f t="shared" ref="G55" si="56">F55/F54-1</f>
        <v>-0.12840228045701807</v>
      </c>
      <c r="H55" s="190">
        <f t="shared" ref="H55" si="57">F55/F43-1</f>
        <v>2.2099889796920458E-3</v>
      </c>
      <c r="I55" s="130">
        <f>T55</f>
        <v>7.1733579662547537</v>
      </c>
      <c r="J55" s="130">
        <f t="shared" ref="J55" si="58">I55/I43-1</f>
        <v>0.19574678136986456</v>
      </c>
      <c r="K55" s="136">
        <f>R53+R54+R55</f>
        <v>21809113195</v>
      </c>
      <c r="L55" s="190">
        <f>U55/U52-1</f>
        <v>5.0612790965203658E-2</v>
      </c>
      <c r="M55" s="190">
        <f>K55/K43-1</f>
        <v>0.34874134842852689</v>
      </c>
      <c r="N55" s="191">
        <f>AVERAGE(T53:T55)</f>
        <v>6.858035664312272</v>
      </c>
      <c r="O55" s="192">
        <f>N55/N52-1</f>
        <v>1.9269963312488425E-2</v>
      </c>
      <c r="P55" s="129" t="s">
        <v>1418</v>
      </c>
      <c r="Q55" s="116">
        <v>4514457</v>
      </c>
      <c r="R55" s="116">
        <v>6631755250</v>
      </c>
      <c r="S55" s="116">
        <v>629336.64</v>
      </c>
      <c r="T55" s="130">
        <f t="shared" ref="T55" si="59">Q55/S55</f>
        <v>7.1733579662547537</v>
      </c>
      <c r="U55" s="85">
        <f t="shared" ref="U55" si="60">Q53+Q54+Q55</f>
        <v>14950365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213221.59090909091</v>
      </c>
      <c r="G56" s="190">
        <f t="shared" ref="G56" si="61">F56/F55-1</f>
        <v>-8.1523848624742712E-3</v>
      </c>
      <c r="H56" s="190">
        <f t="shared" ref="H56" si="62">F56/F44-1</f>
        <v>-0.30347190864919094</v>
      </c>
      <c r="I56" s="291">
        <f>T56</f>
        <v>7.1355733921418008</v>
      </c>
      <c r="J56" s="130">
        <f t="shared" ref="J56" si="63">I56/I44-1</f>
        <v>0.17657630178630535</v>
      </c>
      <c r="K56" s="136"/>
      <c r="L56" s="190"/>
      <c r="M56" s="190"/>
      <c r="N56" s="191"/>
      <c r="O56" s="192"/>
      <c r="P56" s="129" t="s">
        <v>1420</v>
      </c>
      <c r="Q56" s="116">
        <v>4690875</v>
      </c>
      <c r="R56" s="116">
        <v>6996711822</v>
      </c>
      <c r="S56" s="116">
        <v>657392.86</v>
      </c>
      <c r="T56" s="130">
        <f t="shared" ref="T56" si="64">Q56/S56</f>
        <v>7.1355733921418008</v>
      </c>
      <c r="U56" s="85">
        <f t="shared" ref="U56" si="65">Q54+Q55+Q56</f>
        <v>13398276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254759.58333333334</v>
      </c>
      <c r="G57" s="254">
        <f t="shared" ref="G57" si="66">F57/F56-1</f>
        <v>0.19481138025066391</v>
      </c>
      <c r="H57" s="254">
        <f t="shared" ref="H57" si="67">F57/F45-1</f>
        <v>2.2008494419816227E-2</v>
      </c>
      <c r="I57" s="282">
        <f>T57</f>
        <v>7.6225739583771759</v>
      </c>
      <c r="J57" s="277">
        <f t="shared" ref="J57" si="68">I57/I45-1</f>
        <v>0.16424894313391891</v>
      </c>
      <c r="K57" s="204"/>
      <c r="L57" s="254"/>
      <c r="M57" s="254"/>
      <c r="N57" s="257"/>
      <c r="O57" s="258"/>
      <c r="P57" s="129" t="s">
        <v>1436</v>
      </c>
      <c r="Q57" s="116">
        <v>3057115</v>
      </c>
      <c r="R57" s="116">
        <v>4507118624</v>
      </c>
      <c r="S57" s="116">
        <v>401060.72</v>
      </c>
      <c r="T57" s="130">
        <f t="shared" ref="T57" si="69">Q57/S57</f>
        <v>7.6225739583771759</v>
      </c>
      <c r="U57" s="85">
        <f t="shared" ref="U57" si="70">Q55+Q56+Q57</f>
        <v>12262447</v>
      </c>
      <c r="V57" s="79"/>
      <c r="W57" s="79"/>
      <c r="X57" s="79"/>
      <c r="Y57" s="79"/>
      <c r="Z57" s="79"/>
    </row>
    <row r="58" spans="1:26">
      <c r="B58" s="196">
        <f>SUM(F56:F58)</f>
        <v>467981.17424242425</v>
      </c>
      <c r="C58" s="196">
        <f>AVERAGE(F56:F58)</f>
        <v>233990.58712121213</v>
      </c>
      <c r="D58" s="197">
        <f>C58/C55-1</f>
        <v>-7.5016475294155116E-2</v>
      </c>
      <c r="E58" s="233">
        <f>C58/C46-1</f>
        <v>-0.13713289664042605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22698355</v>
      </c>
      <c r="R65" s="212">
        <v>33312943641</v>
      </c>
      <c r="S65" s="213">
        <v>3247289.76</v>
      </c>
    </row>
    <row r="66" spans="16:19" ht="18" thickBot="1">
      <c r="P66" s="180" t="s">
        <v>976</v>
      </c>
      <c r="Q66" s="181">
        <v>6242964</v>
      </c>
      <c r="R66" s="181">
        <v>9109680023</v>
      </c>
      <c r="S66" s="182">
        <v>937637.72</v>
      </c>
    </row>
    <row r="67" spans="16:19" ht="18" thickBot="1">
      <c r="P67" s="180" t="s">
        <v>977</v>
      </c>
      <c r="Q67" s="181">
        <v>4192944</v>
      </c>
      <c r="R67" s="181">
        <v>6067677922</v>
      </c>
      <c r="S67" s="182">
        <v>621861.81000000006</v>
      </c>
    </row>
    <row r="68" spans="16:19" ht="18" thickBot="1">
      <c r="P68" s="180" t="s">
        <v>978</v>
      </c>
      <c r="Q68" s="181">
        <v>4514457</v>
      </c>
      <c r="R68" s="181">
        <v>6631755250</v>
      </c>
      <c r="S68" s="182">
        <v>629336.64</v>
      </c>
    </row>
    <row r="69" spans="16:19" ht="18" thickBot="1">
      <c r="P69" s="180" t="s">
        <v>979</v>
      </c>
      <c r="Q69" s="181">
        <v>4690875</v>
      </c>
      <c r="R69" s="181">
        <v>6996711822</v>
      </c>
      <c r="S69" s="182">
        <v>657392.86</v>
      </c>
    </row>
    <row r="70" spans="16:19" ht="18" thickBot="1">
      <c r="P70" s="180" t="s">
        <v>980</v>
      </c>
      <c r="Q70" s="181">
        <v>3057115</v>
      </c>
      <c r="R70" s="181">
        <v>4507118624</v>
      </c>
      <c r="S70" s="182">
        <v>401060.72</v>
      </c>
    </row>
    <row r="71" spans="16:19" ht="18" thickBot="1">
      <c r="P71" s="180" t="s">
        <v>975</v>
      </c>
      <c r="Q71" s="181">
        <v>60764299</v>
      </c>
      <c r="R71" s="181">
        <v>86214449001</v>
      </c>
      <c r="S71" s="182">
        <v>9324230.9299999997</v>
      </c>
    </row>
    <row r="72" spans="16:19" ht="18" thickBot="1">
      <c r="P72" s="215" t="s">
        <v>982</v>
      </c>
      <c r="Q72" s="217">
        <v>41</v>
      </c>
      <c r="R72"/>
      <c r="S72"/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08"/>
  <dimension ref="A1:Z58"/>
  <sheetViews>
    <sheetView topLeftCell="B1" zoomScale="90" zoomScaleNormal="90" workbookViewId="0">
      <selection activeCell="G75" sqref="G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5.898437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248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309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114245.3</v>
      </c>
      <c r="G5" s="90"/>
      <c r="H5" s="90"/>
      <c r="I5" s="130">
        <f t="shared" ref="I5:I49" si="0">T5</f>
        <v>4.9158589768138325</v>
      </c>
      <c r="J5" s="130"/>
      <c r="K5" s="86"/>
      <c r="L5" s="80"/>
      <c r="M5" s="80"/>
      <c r="N5" s="79"/>
      <c r="O5" s="79"/>
      <c r="P5" s="129" t="s">
        <v>0</v>
      </c>
      <c r="Q5" s="116">
        <f>소형변압기!Q5+'소형변압기 (2)'!Q5</f>
        <v>2284906</v>
      </c>
      <c r="R5" s="116">
        <f>소형변압기!R5+'소형변압기 (2)'!R5</f>
        <v>2697702387</v>
      </c>
      <c r="S5" s="116">
        <f>소형변압기!S5+'소형변압기 (2)'!S5</f>
        <v>464803</v>
      </c>
      <c r="T5" s="130">
        <f t="shared" ref="T5:T17" si="1">Q5/S5</f>
        <v>4.9158589768138325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147698.55555555556</v>
      </c>
      <c r="G6" s="90">
        <f t="shared" ref="G6:G16" si="2">F6/F5-1</f>
        <v>0.29281953441897013</v>
      </c>
      <c r="H6" s="90"/>
      <c r="I6" s="130">
        <f t="shared" si="0"/>
        <v>4.9299161049358098</v>
      </c>
      <c r="J6" s="130"/>
      <c r="K6" s="78"/>
      <c r="L6" s="87"/>
      <c r="M6" s="87"/>
      <c r="N6" s="79"/>
      <c r="O6" s="79"/>
      <c r="P6" s="129" t="s">
        <v>1</v>
      </c>
      <c r="Q6" s="116">
        <f>소형변압기!Q6+'소형변압기 (2)'!Q6</f>
        <v>2658574</v>
      </c>
      <c r="R6" s="116">
        <f>소형변압기!R6+'소형변압기 (2)'!R6</f>
        <v>3155429041</v>
      </c>
      <c r="S6" s="116">
        <f>소형변압기!S6+'소형변압기 (2)'!S6</f>
        <v>539273.67999999993</v>
      </c>
      <c r="T6" s="130">
        <f t="shared" si="1"/>
        <v>4.9299161049358098</v>
      </c>
      <c r="U6" s="85"/>
    </row>
    <row r="7" spans="1:21" ht="15" hidden="1" customHeight="1">
      <c r="A7" s="129" t="s">
        <v>2</v>
      </c>
      <c r="B7" s="131">
        <f>F5+F6+F7</f>
        <v>452345.7191919192</v>
      </c>
      <c r="C7" s="131">
        <f>AVERAGE(F5:F7)</f>
        <v>150781.90639730639</v>
      </c>
      <c r="D7" s="117"/>
      <c r="F7" s="78">
        <f>Q7/22</f>
        <v>190401.86363636365</v>
      </c>
      <c r="G7" s="90">
        <f t="shared" si="2"/>
        <v>0.28912475088319733</v>
      </c>
      <c r="H7" s="90"/>
      <c r="I7" s="130">
        <f t="shared" si="0"/>
        <v>5.4620504134181944</v>
      </c>
      <c r="J7" s="130"/>
      <c r="K7" s="85">
        <f>R5+R6+R7</f>
        <v>10938330240</v>
      </c>
      <c r="L7" s="87"/>
      <c r="M7" s="87"/>
      <c r="N7" s="88">
        <f>AVERAGE(T5:T7)</f>
        <v>5.1026084983892792</v>
      </c>
      <c r="O7" s="79"/>
      <c r="P7" s="129" t="s">
        <v>2</v>
      </c>
      <c r="Q7" s="116">
        <f>소형변압기!Q7+'소형변압기 (2)'!Q7</f>
        <v>4188841</v>
      </c>
      <c r="R7" s="116">
        <f>소형변압기!R7+'소형변압기 (2)'!R7</f>
        <v>5085198812</v>
      </c>
      <c r="S7" s="116">
        <f>소형변압기!S7+'소형변압기 (2)'!S7</f>
        <v>766899</v>
      </c>
      <c r="T7" s="130">
        <f t="shared" si="1"/>
        <v>5.4620504134181944</v>
      </c>
      <c r="U7" s="85">
        <f>Q5+Q6+Q7</f>
        <v>9132321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137340</v>
      </c>
      <c r="G8" s="90">
        <f t="shared" si="2"/>
        <v>-0.27868353083824382</v>
      </c>
      <c r="H8" s="90"/>
      <c r="I8" s="130">
        <f t="shared" si="0"/>
        <v>5.1094315723273223</v>
      </c>
      <c r="J8" s="130"/>
      <c r="K8" s="78"/>
      <c r="L8" s="87"/>
      <c r="M8" s="87"/>
      <c r="N8" s="79"/>
      <c r="O8" s="79"/>
      <c r="P8" s="129" t="s">
        <v>3</v>
      </c>
      <c r="Q8" s="116">
        <f>소형변압기!Q8+'소형변압기 (2)'!Q8</f>
        <v>2884140</v>
      </c>
      <c r="R8" s="116">
        <f>소형변압기!R8+'소형변압기 (2)'!R8</f>
        <v>3495033582</v>
      </c>
      <c r="S8" s="116">
        <f>소형변압기!S8+'소형변압기 (2)'!S8</f>
        <v>564473.75</v>
      </c>
      <c r="T8" s="130">
        <f t="shared" si="1"/>
        <v>5.1094315723273223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320193.90476190473</v>
      </c>
      <c r="G9" s="90">
        <f t="shared" si="2"/>
        <v>1.3313958407012141</v>
      </c>
      <c r="H9" s="90"/>
      <c r="I9" s="130">
        <f t="shared" si="0"/>
        <v>7.4009492771510592</v>
      </c>
      <c r="J9" s="130"/>
      <c r="K9" s="78"/>
      <c r="L9" s="87"/>
      <c r="M9" s="87"/>
      <c r="N9" s="79"/>
      <c r="O9" s="79"/>
      <c r="P9" s="129" t="s">
        <v>4</v>
      </c>
      <c r="Q9" s="116">
        <f>소형변압기!Q9+'소형변압기 (2)'!Q9</f>
        <v>6724072</v>
      </c>
      <c r="R9" s="116">
        <f>소형변압기!R9+'소형변압기 (2)'!R9</f>
        <v>8450178608</v>
      </c>
      <c r="S9" s="116">
        <f>소형변압기!S9+'소형변압기 (2)'!S9</f>
        <v>908541.83</v>
      </c>
      <c r="T9" s="130">
        <f t="shared" si="1"/>
        <v>7.4009492771510592</v>
      </c>
      <c r="U9" s="85"/>
    </row>
    <row r="10" spans="1:21" ht="15" hidden="1" customHeight="1">
      <c r="A10" s="129" t="s">
        <v>5</v>
      </c>
      <c r="B10" s="131">
        <f>F8+F9+F10</f>
        <v>777843.38095238095</v>
      </c>
      <c r="C10" s="131">
        <f>AVERAGE(F8:F10)</f>
        <v>259281.12698412698</v>
      </c>
      <c r="D10" s="90">
        <f>C10/C7-1</f>
        <v>0.7195771905213082</v>
      </c>
      <c r="E10" s="286"/>
      <c r="F10" s="78">
        <f>Q10/21</f>
        <v>320309.47619047621</v>
      </c>
      <c r="G10" s="90">
        <f t="shared" si="2"/>
        <v>3.6094200062120052E-4</v>
      </c>
      <c r="H10" s="90"/>
      <c r="I10" s="130">
        <f t="shared" si="0"/>
        <v>7.4901598170844013</v>
      </c>
      <c r="J10" s="130"/>
      <c r="K10" s="85">
        <f>R8+R9+R10</f>
        <v>20392219045</v>
      </c>
      <c r="L10" s="87">
        <f>U10/U7-1</f>
        <v>0.78867026246668281</v>
      </c>
      <c r="M10" s="87"/>
      <c r="N10" s="88">
        <f>AVERAGE(T8:T10)</f>
        <v>6.66684688885426</v>
      </c>
      <c r="O10" s="89">
        <f>N10/N7-1</f>
        <v>0.30655661529955869</v>
      </c>
      <c r="P10" s="129" t="s">
        <v>5</v>
      </c>
      <c r="Q10" s="116">
        <f>소형변압기!Q10+'소형변압기 (2)'!Q10</f>
        <v>6726499</v>
      </c>
      <c r="R10" s="116">
        <f>소형변압기!R10+'소형변압기 (2)'!R10</f>
        <v>8447006855</v>
      </c>
      <c r="S10" s="116">
        <f>소형변압기!S10+'소형변압기 (2)'!S10</f>
        <v>898044.79</v>
      </c>
      <c r="T10" s="130">
        <f t="shared" si="1"/>
        <v>7.4901598170844013</v>
      </c>
      <c r="U10" s="85">
        <f>Q8+Q9+Q10</f>
        <v>16334711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354301.38095238095</v>
      </c>
      <c r="G11" s="90">
        <f t="shared" si="2"/>
        <v>0.10612207033703558</v>
      </c>
      <c r="H11" s="90"/>
      <c r="I11" s="130">
        <f t="shared" si="0"/>
        <v>7.1692716711115629</v>
      </c>
      <c r="J11" s="130"/>
      <c r="K11" s="78"/>
      <c r="L11" s="87"/>
      <c r="M11" s="87"/>
      <c r="N11" s="79"/>
      <c r="O11" s="89"/>
      <c r="P11" s="129" t="s">
        <v>6</v>
      </c>
      <c r="Q11" s="116">
        <f>소형변압기!Q11+'소형변압기 (2)'!Q11</f>
        <v>7440329</v>
      </c>
      <c r="R11" s="116">
        <f>소형변압기!R11+'소형변압기 (2)'!R11</f>
        <v>9590558879</v>
      </c>
      <c r="S11" s="116">
        <f>소형변압기!S11+'소형변압기 (2)'!S11</f>
        <v>1037808.21</v>
      </c>
      <c r="T11" s="130">
        <f t="shared" si="1"/>
        <v>7.1692716711115629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439785.95454545453</v>
      </c>
      <c r="G12" s="90">
        <f t="shared" si="2"/>
        <v>0.24127643353600958</v>
      </c>
      <c r="H12" s="90"/>
      <c r="I12" s="130">
        <f t="shared" si="0"/>
        <v>7.9653014407920146</v>
      </c>
      <c r="J12" s="130"/>
      <c r="K12" s="78"/>
      <c r="L12" s="87"/>
      <c r="M12" s="87"/>
      <c r="N12" s="79"/>
      <c r="O12" s="89"/>
      <c r="P12" s="129" t="s">
        <v>7</v>
      </c>
      <c r="Q12" s="116">
        <f>소형변압기!Q12+'소형변압기 (2)'!Q12</f>
        <v>9675291</v>
      </c>
      <c r="R12" s="116">
        <f>소형변압기!R12+'소형변압기 (2)'!R12</f>
        <v>12566374668</v>
      </c>
      <c r="S12" s="116">
        <f>소형변압기!S12+'소형변압기 (2)'!S12</f>
        <v>1214679.83</v>
      </c>
      <c r="T12" s="130">
        <f t="shared" si="1"/>
        <v>7.9653014407920146</v>
      </c>
      <c r="U12" s="85"/>
    </row>
    <row r="13" spans="1:21" ht="15" hidden="1" customHeight="1">
      <c r="A13" s="129" t="s">
        <v>35</v>
      </c>
      <c r="B13" s="131">
        <f>F11+F12+F13</f>
        <v>1182505.6854978353</v>
      </c>
      <c r="C13" s="131">
        <f>AVERAGE(F11:F13)</f>
        <v>394168.56183261174</v>
      </c>
      <c r="D13" s="90">
        <f>C13/C10-1</f>
        <v>0.5202362255110935</v>
      </c>
      <c r="E13" s="286"/>
      <c r="F13" s="78">
        <f>Q13/20</f>
        <v>388418.35</v>
      </c>
      <c r="G13" s="90">
        <f t="shared" si="2"/>
        <v>-0.1168013757932449</v>
      </c>
      <c r="H13" s="90"/>
      <c r="I13" s="130">
        <f t="shared" si="0"/>
        <v>7.752563090038433</v>
      </c>
      <c r="J13" s="130"/>
      <c r="K13" s="78">
        <f>R11+R12+R13</f>
        <v>32775708270</v>
      </c>
      <c r="L13" s="87">
        <f>U13/U10-1</f>
        <v>0.52338091564644151</v>
      </c>
      <c r="M13" s="87"/>
      <c r="N13" s="88">
        <f>AVERAGE(T11:T13)</f>
        <v>7.6290454006473363</v>
      </c>
      <c r="O13" s="89">
        <f>N13/N10-1</f>
        <v>0.14432587516021922</v>
      </c>
      <c r="P13" s="129" t="s">
        <v>35</v>
      </c>
      <c r="Q13" s="116">
        <f>소형변압기!Q13+'소형변압기 (2)'!Q13</f>
        <v>7768367</v>
      </c>
      <c r="R13" s="116">
        <f>소형변압기!R13+'소형변압기 (2)'!R13</f>
        <v>10618774723</v>
      </c>
      <c r="S13" s="116">
        <f>소형변압기!S13+'소형변압기 (2)'!S13</f>
        <v>1002038.54</v>
      </c>
      <c r="T13" s="130">
        <f t="shared" si="1"/>
        <v>7.752563090038433</v>
      </c>
      <c r="U13" s="85">
        <f>Q11+Q12+Q13</f>
        <v>24883987</v>
      </c>
    </row>
    <row r="14" spans="1:21" ht="15" hidden="1" customHeight="1">
      <c r="A14" s="129" t="s">
        <v>36</v>
      </c>
      <c r="B14" s="79"/>
      <c r="C14" s="79"/>
      <c r="D14" s="117"/>
      <c r="F14" s="78">
        <f>Q14/20</f>
        <v>400159.15</v>
      </c>
      <c r="G14" s="90">
        <f t="shared" si="2"/>
        <v>3.02272021906278E-2</v>
      </c>
      <c r="H14" s="90"/>
      <c r="I14" s="130">
        <f t="shared" si="0"/>
        <v>8.1956848857330744</v>
      </c>
      <c r="J14" s="130"/>
      <c r="K14" s="78"/>
      <c r="L14" s="87"/>
      <c r="M14" s="87"/>
      <c r="N14" s="79"/>
      <c r="O14" s="89"/>
      <c r="P14" s="129" t="s">
        <v>36</v>
      </c>
      <c r="Q14" s="116">
        <f>소형변압기!Q14+'소형변압기 (2)'!Q14</f>
        <v>8003183</v>
      </c>
      <c r="R14" s="116">
        <f>소형변압기!R14+'소형변압기 (2)'!R14</f>
        <v>11410999499</v>
      </c>
      <c r="S14" s="116">
        <f>소형변압기!S14+'소형변압기 (2)'!S14</f>
        <v>976511.8</v>
      </c>
      <c r="T14" s="130">
        <f t="shared" si="1"/>
        <v>8.1956848857330744</v>
      </c>
      <c r="U14" s="85"/>
    </row>
    <row r="15" spans="1:21" ht="15" hidden="1" customHeight="1">
      <c r="A15" s="129" t="s">
        <v>37</v>
      </c>
      <c r="B15" s="131"/>
      <c r="C15" s="131"/>
      <c r="D15" s="117"/>
      <c r="F15" s="78">
        <f>Q15/22</f>
        <v>434424.90909090912</v>
      </c>
      <c r="G15" s="90">
        <f t="shared" si="2"/>
        <v>8.5630327560694441E-2</v>
      </c>
      <c r="H15" s="90"/>
      <c r="I15" s="130">
        <f t="shared" si="0"/>
        <v>7.326963913613266</v>
      </c>
      <c r="J15" s="130"/>
      <c r="K15" s="78"/>
      <c r="L15" s="87"/>
      <c r="M15" s="87"/>
      <c r="N15" s="79"/>
      <c r="O15" s="89"/>
      <c r="P15" s="129" t="s">
        <v>37</v>
      </c>
      <c r="Q15" s="116">
        <f>소형변압기!Q15+'소형변압기 (2)'!Q15</f>
        <v>9557348</v>
      </c>
      <c r="R15" s="116">
        <f>소형변압기!R15+'소형변압기 (2)'!R15</f>
        <v>13181347250</v>
      </c>
      <c r="S15" s="116">
        <f>소형변압기!S15+'소형변압기 (2)'!S15</f>
        <v>1304407.68</v>
      </c>
      <c r="T15" s="130">
        <f t="shared" si="1"/>
        <v>7.326963913613266</v>
      </c>
      <c r="U15" s="78"/>
    </row>
    <row r="16" spans="1:21" ht="15" hidden="1" customHeight="1">
      <c r="A16" s="129" t="s">
        <v>38</v>
      </c>
      <c r="B16" s="131">
        <f>F14+F15+F16</f>
        <v>1369123.1954545453</v>
      </c>
      <c r="C16" s="131">
        <f>AVERAGE(F14:F16)</f>
        <v>456374.39848484844</v>
      </c>
      <c r="D16" s="90">
        <f>C16/C13-1</f>
        <v>0.15781531729223275</v>
      </c>
      <c r="E16" s="286"/>
      <c r="F16" s="78">
        <f>Q16/22</f>
        <v>534539.13636363635</v>
      </c>
      <c r="G16" s="90">
        <f t="shared" si="2"/>
        <v>0.23045231794426635</v>
      </c>
      <c r="H16" s="90"/>
      <c r="I16" s="130">
        <f t="shared" si="0"/>
        <v>8.4767992092840494</v>
      </c>
      <c r="J16" s="130"/>
      <c r="K16" s="78">
        <f>R14+R15+R16</f>
        <v>39973360494</v>
      </c>
      <c r="L16" s="87">
        <f>U16/U13-1</f>
        <v>0.17828352827864768</v>
      </c>
      <c r="M16" s="87"/>
      <c r="N16" s="88">
        <f>AVERAGE(T14:T16)</f>
        <v>7.9998160028767957</v>
      </c>
      <c r="O16" s="89">
        <f>N16/N13-1</f>
        <v>4.8599868365968746E-2</v>
      </c>
      <c r="P16" s="129" t="s">
        <v>38</v>
      </c>
      <c r="Q16" s="116">
        <f>소형변압기!Q16+'소형변압기 (2)'!Q16</f>
        <v>11759861</v>
      </c>
      <c r="R16" s="116">
        <f>소형변압기!R16+'소형변압기 (2)'!R16</f>
        <v>15381013745</v>
      </c>
      <c r="S16" s="116">
        <f>소형변압기!S16+'소형변압기 (2)'!S16</f>
        <v>1387299.7000000002</v>
      </c>
      <c r="T16" s="130">
        <f t="shared" si="1"/>
        <v>8.4767992092840494</v>
      </c>
      <c r="U16" s="85">
        <f>Q14+Q15+Q16</f>
        <v>29320392</v>
      </c>
    </row>
    <row r="17" spans="1:21" ht="15" hidden="1" customHeight="1">
      <c r="A17" s="129" t="s">
        <v>85</v>
      </c>
      <c r="B17" s="79"/>
      <c r="C17" s="79"/>
      <c r="D17" s="117"/>
      <c r="F17" s="78">
        <f>Q17/20</f>
        <v>460747.35</v>
      </c>
      <c r="G17" s="90">
        <f t="shared" ref="G17:G22" si="3">F17/F16-1</f>
        <v>-0.13804749052731158</v>
      </c>
      <c r="H17" s="90">
        <f t="shared" ref="H17:H22" si="4">F17/F5-1</f>
        <v>3.0329654699142985</v>
      </c>
      <c r="I17" s="130">
        <f t="shared" si="0"/>
        <v>9.1574421096769161</v>
      </c>
      <c r="J17" s="130">
        <f t="shared" ref="J17:J49" si="5">I17/I5-1</f>
        <v>0.86283661774451992</v>
      </c>
      <c r="K17" s="78"/>
      <c r="L17" s="87"/>
      <c r="M17" s="87"/>
      <c r="N17" s="79"/>
      <c r="O17" s="89"/>
      <c r="P17" s="129" t="s">
        <v>85</v>
      </c>
      <c r="Q17" s="116">
        <f>소형변압기!Q17+'소형변압기 (2)'!Q17</f>
        <v>9214947</v>
      </c>
      <c r="R17" s="116">
        <f>소형변압기!R17+'소형변압기 (2)'!R17</f>
        <v>11561589437</v>
      </c>
      <c r="S17" s="116">
        <f>소형변압기!S17+'소형변압기 (2)'!S17</f>
        <v>1006279.58</v>
      </c>
      <c r="T17" s="130">
        <f t="shared" si="1"/>
        <v>9.1574421096769161</v>
      </c>
      <c r="U17" s="78"/>
    </row>
    <row r="18" spans="1:21" hidden="1">
      <c r="A18" s="129" t="s">
        <v>107</v>
      </c>
      <c r="B18" s="79"/>
      <c r="C18" s="79"/>
      <c r="D18" s="117"/>
      <c r="F18" s="78">
        <f>Q18/20</f>
        <v>680202.15</v>
      </c>
      <c r="G18" s="90">
        <f t="shared" si="3"/>
        <v>0.47630181703703789</v>
      </c>
      <c r="H18" s="90">
        <f t="shared" si="4"/>
        <v>3.6053405697941825</v>
      </c>
      <c r="I18" s="130">
        <f t="shared" si="0"/>
        <v>9.1931625819381768</v>
      </c>
      <c r="J18" s="130">
        <f t="shared" si="5"/>
        <v>0.86477059370929732</v>
      </c>
      <c r="K18" s="78"/>
      <c r="L18" s="87"/>
      <c r="M18" s="87"/>
      <c r="N18" s="79"/>
      <c r="O18" s="89"/>
      <c r="P18" s="129" t="s">
        <v>113</v>
      </c>
      <c r="Q18" s="116">
        <f>소형변압기!Q18+'소형변압기 (2)'!Q18</f>
        <v>13604043</v>
      </c>
      <c r="R18" s="116">
        <f>소형변압기!R18+'소형변압기 (2)'!R18</f>
        <v>17115339996</v>
      </c>
      <c r="S18" s="116">
        <f>소형변압기!S18+'소형변압기 (2)'!S18</f>
        <v>1479800.11</v>
      </c>
      <c r="T18" s="130">
        <f t="shared" ref="T18" si="6">Q18/S18</f>
        <v>9.1931625819381768</v>
      </c>
      <c r="U18" s="78"/>
    </row>
    <row r="19" spans="1:21" hidden="1">
      <c r="A19" s="129" t="s">
        <v>114</v>
      </c>
      <c r="B19" s="131">
        <f>SUM(F17:F19)</f>
        <v>1986072.2727272727</v>
      </c>
      <c r="C19" s="131">
        <f>AVERAGE(F17:F19)</f>
        <v>662024.09090909094</v>
      </c>
      <c r="D19" s="90">
        <f>C19/C16-1</f>
        <v>0.45061618948607607</v>
      </c>
      <c r="E19" s="286">
        <f>C19/C7-1</f>
        <v>3.390606981481417</v>
      </c>
      <c r="F19" s="78">
        <f>Q19/22</f>
        <v>845122.77272727271</v>
      </c>
      <c r="G19" s="90">
        <f t="shared" si="3"/>
        <v>0.24245824969426022</v>
      </c>
      <c r="H19" s="90">
        <f t="shared" si="4"/>
        <v>3.4386265795240254</v>
      </c>
      <c r="I19" s="130">
        <f t="shared" si="0"/>
        <v>9.5446155426016901</v>
      </c>
      <c r="J19" s="130">
        <f t="shared" si="5"/>
        <v>0.74744186160460457</v>
      </c>
      <c r="K19" s="78">
        <f>R17+R18+R19</f>
        <v>52996498771</v>
      </c>
      <c r="L19" s="87">
        <f>U19/U16-1</f>
        <v>0.41238531190169625</v>
      </c>
      <c r="M19" s="87">
        <f>U19/U7-1</f>
        <v>3.5346293674959517</v>
      </c>
      <c r="N19" s="88">
        <f>AVERAGE(T17:T19)</f>
        <v>9.2984067447389283</v>
      </c>
      <c r="O19" s="89">
        <f>N19/N16-1</f>
        <v>0.16232757620864646</v>
      </c>
      <c r="P19" s="129" t="s">
        <v>115</v>
      </c>
      <c r="Q19" s="116">
        <f>소형변압기!Q19+'소형변압기 (2)'!Q19</f>
        <v>18592701</v>
      </c>
      <c r="R19" s="116">
        <f>소형변압기!R19+'소형변압기 (2)'!R19</f>
        <v>24319569338</v>
      </c>
      <c r="S19" s="116">
        <f>소형변압기!S19+'소형변압기 (2)'!S19</f>
        <v>1947977.99</v>
      </c>
      <c r="T19" s="130">
        <f t="shared" ref="T19" si="7">Q19/S19</f>
        <v>9.5446155426016901</v>
      </c>
      <c r="U19" s="85">
        <f>Q17+Q18+Q19</f>
        <v>41411691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895790.85</v>
      </c>
      <c r="G20" s="90">
        <f t="shared" si="3"/>
        <v>5.9953510788991915E-2</v>
      </c>
      <c r="H20" s="90">
        <f t="shared" si="4"/>
        <v>5.5224322848405416</v>
      </c>
      <c r="I20" s="130">
        <f t="shared" si="0"/>
        <v>11.100968165994257</v>
      </c>
      <c r="J20" s="130">
        <f t="shared" si="5"/>
        <v>1.1726424963037165</v>
      </c>
      <c r="K20" s="78"/>
      <c r="L20" s="87"/>
      <c r="M20" s="87"/>
      <c r="N20" s="79"/>
      <c r="O20" s="89"/>
      <c r="P20" s="129" t="s">
        <v>132</v>
      </c>
      <c r="Q20" s="116">
        <f>소형변압기!Q20+'소형변압기 (2)'!Q20</f>
        <v>17915817</v>
      </c>
      <c r="R20" s="116">
        <f>소형변압기!R20+'소형변압기 (2)'!R20</f>
        <v>23527054736</v>
      </c>
      <c r="S20" s="116">
        <f>소형변압기!S20+'소형변압기 (2)'!S20</f>
        <v>1613896.8</v>
      </c>
      <c r="T20" s="130">
        <f t="shared" ref="T20" si="8">Q20/S20</f>
        <v>11.100968165994257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1017125.3809523809</v>
      </c>
      <c r="G21" s="90">
        <f t="shared" si="3"/>
        <v>0.13544962080420997</v>
      </c>
      <c r="H21" s="90">
        <f t="shared" si="4"/>
        <v>2.1765919520195505</v>
      </c>
      <c r="I21" s="130">
        <f t="shared" si="0"/>
        <v>9.5509841973166001</v>
      </c>
      <c r="J21" s="130">
        <f t="shared" si="5"/>
        <v>0.29050799291427931</v>
      </c>
      <c r="K21" s="78"/>
      <c r="L21" s="87"/>
      <c r="M21" s="87"/>
      <c r="N21" s="79"/>
      <c r="O21" s="89"/>
      <c r="P21" s="129" t="s">
        <v>141</v>
      </c>
      <c r="Q21" s="116">
        <f>소형변압기!Q21+'소형변압기 (2)'!Q21</f>
        <v>21359633</v>
      </c>
      <c r="R21" s="116">
        <f>소형변압기!R21+'소형변압기 (2)'!R21</f>
        <v>28435746366</v>
      </c>
      <c r="S21" s="116">
        <f>소형변압기!S21+'소형변압기 (2)'!S21</f>
        <v>2236380.31</v>
      </c>
      <c r="T21" s="130">
        <f t="shared" ref="T21" si="9">Q21/S21</f>
        <v>9.5509841973166001</v>
      </c>
      <c r="U21" s="78"/>
    </row>
    <row r="22" spans="1:21" hidden="1">
      <c r="A22" s="129" t="s">
        <v>156</v>
      </c>
      <c r="B22" s="131">
        <f>SUM(F20:F22)</f>
        <v>2820129.0404761904</v>
      </c>
      <c r="C22" s="131">
        <f>AVERAGE(F20:F22)</f>
        <v>940043.0134920635</v>
      </c>
      <c r="D22" s="90">
        <f>C22/C19-1</f>
        <v>0.41995287845370877</v>
      </c>
      <c r="E22" s="286">
        <f>C22/C10-1</f>
        <v>2.6255743887969611</v>
      </c>
      <c r="F22" s="78">
        <f>Q22/21</f>
        <v>907212.80952380947</v>
      </c>
      <c r="G22" s="90">
        <f t="shared" si="3"/>
        <v>-0.1080619690422584</v>
      </c>
      <c r="H22" s="90">
        <f t="shared" si="4"/>
        <v>1.8323008744965246</v>
      </c>
      <c r="I22" s="130">
        <f t="shared" si="0"/>
        <v>10.129198626520648</v>
      </c>
      <c r="J22" s="130">
        <f t="shared" si="5"/>
        <v>0.35233411220636834</v>
      </c>
      <c r="K22" s="78">
        <f>R20+R21+R22</f>
        <v>76685343525</v>
      </c>
      <c r="L22" s="87">
        <f>U22/U19-1</f>
        <v>0.4084650394981455</v>
      </c>
      <c r="M22" s="87">
        <f>U22/U10-1</f>
        <v>2.5707346766037062</v>
      </c>
      <c r="N22" s="88">
        <f>AVERAGE(T20:T22)</f>
        <v>10.260383663277167</v>
      </c>
      <c r="O22" s="89">
        <f>N22/N19-1</f>
        <v>0.10345610220616863</v>
      </c>
      <c r="P22" s="129" t="s">
        <v>156</v>
      </c>
      <c r="Q22" s="116">
        <f>소형변압기!Q22+'소형변압기 (2)'!Q22</f>
        <v>19051469</v>
      </c>
      <c r="R22" s="116">
        <f>소형변압기!R22+'소형변압기 (2)'!R22</f>
        <v>24722542423</v>
      </c>
      <c r="S22" s="116">
        <f>소형변압기!S22+'소형변압기 (2)'!S22</f>
        <v>1880846.6199999999</v>
      </c>
      <c r="T22" s="130">
        <f t="shared" ref="T22:T23" si="10">Q22/S22</f>
        <v>10.129198626520648</v>
      </c>
      <c r="U22" s="85">
        <f>Q20+Q21+Q22</f>
        <v>58326919</v>
      </c>
    </row>
    <row r="23" spans="1:21" hidden="1">
      <c r="A23" s="129" t="s">
        <v>189</v>
      </c>
      <c r="B23" s="131"/>
      <c r="C23" s="131"/>
      <c r="D23" s="117"/>
      <c r="F23" s="78">
        <f>Q23/21</f>
        <v>937935.09523809527</v>
      </c>
      <c r="G23" s="90">
        <f t="shared" ref="G23" si="11">F23/F22-1</f>
        <v>3.3864475227605828E-2</v>
      </c>
      <c r="H23" s="90">
        <f t="shared" ref="H23" si="12">F23/F11-1</f>
        <v>1.647280382359436</v>
      </c>
      <c r="I23" s="130">
        <f t="shared" si="0"/>
        <v>10.345289662944388</v>
      </c>
      <c r="J23" s="130">
        <f t="shared" si="5"/>
        <v>0.44300427400882669</v>
      </c>
      <c r="K23" s="78"/>
      <c r="L23" s="87"/>
      <c r="M23" s="87"/>
      <c r="N23" s="79"/>
      <c r="O23" s="89"/>
      <c r="P23" s="129" t="s">
        <v>189</v>
      </c>
      <c r="Q23" s="116">
        <f>소형변압기!Q23+'소형변압기 (2)'!Q23</f>
        <v>19696637</v>
      </c>
      <c r="R23" s="116">
        <f>소형변압기!R23+'소형변압기 (2)'!R23</f>
        <v>25460891314</v>
      </c>
      <c r="S23" s="116">
        <f>소형변압기!S23+'소형변압기 (2)'!S23</f>
        <v>1903923.2</v>
      </c>
      <c r="T23" s="130">
        <f t="shared" si="10"/>
        <v>10.345289662944388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1203961.5</v>
      </c>
      <c r="G24" s="90">
        <f t="shared" ref="G24" si="13">F24/F23-1</f>
        <v>0.28362986534198709</v>
      </c>
      <c r="H24" s="90">
        <f t="shared" ref="H24" si="14">F24/F12-1</f>
        <v>1.7376078921037106</v>
      </c>
      <c r="I24" s="130">
        <f t="shared" si="0"/>
        <v>10.66118219692115</v>
      </c>
      <c r="J24" s="130">
        <f t="shared" si="5"/>
        <v>0.33845307376855227</v>
      </c>
      <c r="K24" s="78"/>
      <c r="L24" s="87"/>
      <c r="M24" s="87"/>
      <c r="N24" s="79"/>
      <c r="O24" s="89"/>
      <c r="P24" s="129" t="s">
        <v>204</v>
      </c>
      <c r="Q24" s="116">
        <f>소형변압기!Q24+'소형변압기 (2)'!Q24</f>
        <v>26487153</v>
      </c>
      <c r="R24" s="116">
        <f>소형변압기!R24+'소형변압기 (2)'!R24</f>
        <v>34733078921</v>
      </c>
      <c r="S24" s="116">
        <f>소형변압기!S24+'소형변압기 (2)'!S24</f>
        <v>2484448.02</v>
      </c>
      <c r="T24" s="130">
        <f t="shared" ref="T24" si="15">Q24/S24</f>
        <v>10.66118219692115</v>
      </c>
      <c r="U24" s="78"/>
    </row>
    <row r="25" spans="1:21" s="92" customFormat="1" ht="13.2" hidden="1">
      <c r="A25" s="129" t="s">
        <v>219</v>
      </c>
      <c r="B25" s="131">
        <f>SUM(F23:F25)</f>
        <v>3950077.1741854632</v>
      </c>
      <c r="C25" s="131">
        <f>AVERAGE(F23:F25)</f>
        <v>1316692.3913951544</v>
      </c>
      <c r="D25" s="90">
        <f>C25/C22-1</f>
        <v>0.40067249317019771</v>
      </c>
      <c r="E25" s="286">
        <f>C25/C13-1</f>
        <v>2.3404297523715325</v>
      </c>
      <c r="F25" s="78">
        <f>Q25/19</f>
        <v>1808180.5789473683</v>
      </c>
      <c r="G25" s="90">
        <f t="shared" ref="G25" si="16">F25/F24-1</f>
        <v>0.5018591366479479</v>
      </c>
      <c r="H25" s="90">
        <f t="shared" ref="H25" si="17">F25/F13-1</f>
        <v>3.6552398437081264</v>
      </c>
      <c r="I25" s="130">
        <f t="shared" si="0"/>
        <v>10.746791305818206</v>
      </c>
      <c r="J25" s="130">
        <f t="shared" si="5"/>
        <v>0.38622429524335922</v>
      </c>
      <c r="K25" s="78">
        <f>R23+R24+R25</f>
        <v>105792726121</v>
      </c>
      <c r="L25" s="90">
        <f>U25/U22-1</f>
        <v>0.38082419542852941</v>
      </c>
      <c r="M25" s="90">
        <f>U25/U13-1</f>
        <v>2.236588292704059</v>
      </c>
      <c r="N25" s="88">
        <f>AVERAGE(T23:T25)</f>
        <v>10.584421055227915</v>
      </c>
      <c r="O25" s="91">
        <f>N25/N22-1</f>
        <v>3.1581410850210823E-2</v>
      </c>
      <c r="P25" s="129" t="s">
        <v>219</v>
      </c>
      <c r="Q25" s="116">
        <f>소형변압기!Q25+'소형변압기 (2)'!Q25</f>
        <v>34355431</v>
      </c>
      <c r="R25" s="116">
        <f>소형변압기!R25+'소형변압기 (2)'!R25</f>
        <v>45598755886</v>
      </c>
      <c r="S25" s="116">
        <f>소형변압기!S25+'소형변압기 (2)'!S25</f>
        <v>3196808.2399999998</v>
      </c>
      <c r="T25" s="130">
        <f t="shared" ref="T25" si="18">Q25/S25</f>
        <v>10.746791305818206</v>
      </c>
      <c r="U25" s="85">
        <f>Q23+Q24+Q25</f>
        <v>80539221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1597149.4736842106</v>
      </c>
      <c r="G26" s="90">
        <f t="shared" ref="G26" si="19">F26/F25-1</f>
        <v>-0.1167090874220148</v>
      </c>
      <c r="H26" s="90">
        <f t="shared" ref="H26" si="20">F26/F14-1</f>
        <v>2.9912856514319626</v>
      </c>
      <c r="I26" s="130">
        <f t="shared" si="0"/>
        <v>10.782553316047212</v>
      </c>
      <c r="J26" s="130">
        <f t="shared" si="5"/>
        <v>0.31563785899300734</v>
      </c>
      <c r="K26" s="78"/>
      <c r="L26" s="90"/>
      <c r="M26" s="90"/>
      <c r="N26" s="79"/>
      <c r="O26" s="79"/>
      <c r="P26" s="129" t="s">
        <v>312</v>
      </c>
      <c r="Q26" s="116">
        <f>소형변압기!Q26+'소형변압기 (2)'!Q26</f>
        <v>30345840</v>
      </c>
      <c r="R26" s="116">
        <f>소형변압기!R26+'소형변압기 (2)'!R26</f>
        <v>40929035430</v>
      </c>
      <c r="S26" s="116">
        <f>소형변압기!S26+'소형변압기 (2)'!S26</f>
        <v>2814346.39</v>
      </c>
      <c r="T26" s="130">
        <f t="shared" ref="T26" si="21">Q26/S26</f>
        <v>10.782553316047212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1531828.4545454546</v>
      </c>
      <c r="G27" s="90">
        <f t="shared" ref="G27" si="22">F27/F26-1</f>
        <v>-4.089850086985114E-2</v>
      </c>
      <c r="H27" s="90">
        <f t="shared" ref="H27" si="23">F27/F15-1</f>
        <v>2.5261064052496569</v>
      </c>
      <c r="I27" s="130">
        <f t="shared" si="0"/>
        <v>10.049834948373228</v>
      </c>
      <c r="J27" s="130">
        <f t="shared" si="5"/>
        <v>0.37162337181720706</v>
      </c>
      <c r="K27" s="78"/>
      <c r="L27" s="90"/>
      <c r="M27" s="90"/>
      <c r="N27" s="79"/>
      <c r="O27" s="79"/>
      <c r="P27" s="129" t="s">
        <v>375</v>
      </c>
      <c r="Q27" s="116">
        <f>소형변압기!Q27+'소형변압기 (2)'!Q27</f>
        <v>33700226</v>
      </c>
      <c r="R27" s="116">
        <f>소형변압기!R27+'소형변압기 (2)'!R27</f>
        <v>44598808839</v>
      </c>
      <c r="S27" s="116">
        <f>소형변압기!S27+'소형변압기 (2)'!S27</f>
        <v>3353311.3899999997</v>
      </c>
      <c r="T27" s="130">
        <f t="shared" ref="T27" si="24">Q27/S27</f>
        <v>10.049834948373228</v>
      </c>
      <c r="U27" s="78"/>
    </row>
    <row r="28" spans="1:21" s="92" customFormat="1" ht="13.2" hidden="1">
      <c r="A28" s="123" t="s">
        <v>413</v>
      </c>
      <c r="B28" s="131">
        <f>SUM(F26:F28)</f>
        <v>5090300.6124401912</v>
      </c>
      <c r="C28" s="131">
        <f>AVERAGE(F26:F28)</f>
        <v>1696766.870813397</v>
      </c>
      <c r="D28" s="90">
        <f>C28/C25-1</f>
        <v>0.28865852184010832</v>
      </c>
      <c r="E28" s="286">
        <f>C28/C16-1</f>
        <v>2.717927378149652</v>
      </c>
      <c r="F28" s="78">
        <f>Q28/19</f>
        <v>1961322.6842105263</v>
      </c>
      <c r="G28" s="90">
        <f t="shared" ref="G28" si="25">F28/F27-1</f>
        <v>0.28038010939842284</v>
      </c>
      <c r="H28" s="90">
        <f t="shared" ref="H28" si="26">F28/F16-1</f>
        <v>2.6691844446657642</v>
      </c>
      <c r="I28" s="130">
        <f t="shared" si="0"/>
        <v>9.7192171969422319</v>
      </c>
      <c r="J28" s="130">
        <f t="shared" si="5"/>
        <v>0.14656687707046889</v>
      </c>
      <c r="K28" s="78">
        <f>R26+R27+R28</f>
        <v>134162730895</v>
      </c>
      <c r="L28" s="90">
        <f>U28/U25-1</f>
        <v>0.25791131006842005</v>
      </c>
      <c r="M28" s="90">
        <f>U28/U16-1</f>
        <v>2.4553152290733355</v>
      </c>
      <c r="N28" s="88">
        <f>AVERAGE(T26:T28)</f>
        <v>10.18386848712089</v>
      </c>
      <c r="O28" s="91">
        <f>N28/N25-1</f>
        <v>-3.784359730371667E-2</v>
      </c>
      <c r="P28" s="129" t="s">
        <v>413</v>
      </c>
      <c r="Q28" s="116">
        <f>소형변압기!Q28+'소형변압기 (2)'!Q28</f>
        <v>37265131</v>
      </c>
      <c r="R28" s="116">
        <f>소형변압기!R28+'소형변압기 (2)'!R28</f>
        <v>48634886626</v>
      </c>
      <c r="S28" s="116">
        <f>소형변압기!S28+'소형변압기 (2)'!S28</f>
        <v>3834170</v>
      </c>
      <c r="T28" s="130">
        <f t="shared" ref="T28" si="27">Q28/S28</f>
        <v>9.7192171969422319</v>
      </c>
      <c r="U28" s="85">
        <f>Q26+Q27+Q28</f>
        <v>101311197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1279338.0454545454</v>
      </c>
      <c r="G29" s="190">
        <f t="shared" ref="G29" si="28">F29/F28-1</f>
        <v>-0.34771669355901735</v>
      </c>
      <c r="H29" s="190">
        <f t="shared" ref="H29" si="29">F29/F17-1</f>
        <v>1.7766584994022114</v>
      </c>
      <c r="I29" s="130">
        <f t="shared" si="0"/>
        <v>10.143209881063601</v>
      </c>
      <c r="J29" s="130">
        <f t="shared" si="5"/>
        <v>0.10764662878348941</v>
      </c>
      <c r="K29" s="136"/>
      <c r="L29" s="190"/>
      <c r="M29" s="190"/>
      <c r="N29" s="191"/>
      <c r="O29" s="192"/>
      <c r="P29" s="129" t="s">
        <v>430</v>
      </c>
      <c r="Q29" s="116">
        <f>소형변압기!Q29+'소형변압기 (2)'!Q29</f>
        <v>28145437</v>
      </c>
      <c r="R29" s="116">
        <f>소형변압기!R29+'소형변압기 (2)'!R29</f>
        <v>37098707344</v>
      </c>
      <c r="S29" s="116">
        <f>소형변압기!S29+'소형변압기 (2)'!S29</f>
        <v>2774805.74</v>
      </c>
      <c r="T29" s="130">
        <f t="shared" ref="T29" si="30">Q29/S29</f>
        <v>10.143209881063601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1844405.1578947369</v>
      </c>
      <c r="G30" s="190">
        <f t="shared" ref="G30" si="31">F30/F29-1</f>
        <v>0.4416871009565142</v>
      </c>
      <c r="H30" s="190">
        <f t="shared" ref="H30" si="32">F30/F18-1</f>
        <v>1.7115544370077878</v>
      </c>
      <c r="I30" s="130">
        <f t="shared" si="0"/>
        <v>10.040002092133978</v>
      </c>
      <c r="J30" s="130">
        <f t="shared" si="5"/>
        <v>9.2116233412382842E-2</v>
      </c>
      <c r="K30" s="136"/>
      <c r="L30" s="190"/>
      <c r="M30" s="190"/>
      <c r="N30" s="191"/>
      <c r="O30" s="192"/>
      <c r="P30" s="129" t="s">
        <v>466</v>
      </c>
      <c r="Q30" s="116">
        <f>소형변압기!Q30+'소형변압기 (2)'!Q30</f>
        <v>35043698</v>
      </c>
      <c r="R30" s="116">
        <f>소형변압기!R30+'소형변압기 (2)'!R30</f>
        <v>46700402321</v>
      </c>
      <c r="S30" s="116">
        <f>소형변압기!S30+'소형변압기 (2)'!S30</f>
        <v>3490407.44</v>
      </c>
      <c r="T30" s="130">
        <f t="shared" ref="T30" si="33">Q30/S30</f>
        <v>10.040002092133978</v>
      </c>
      <c r="U30" s="85"/>
    </row>
    <row r="31" spans="1:21" s="92" customFormat="1" ht="13.2" hidden="1">
      <c r="A31" s="129" t="s">
        <v>505</v>
      </c>
      <c r="B31" s="188">
        <f>SUM(F29:F31)</f>
        <v>4678106.3533492815</v>
      </c>
      <c r="C31" s="188">
        <f>AVERAGE(F29:F31)</f>
        <v>1559368.7844497606</v>
      </c>
      <c r="D31" s="190">
        <f>C31/C28-1</f>
        <v>-8.0976407971573905E-2</v>
      </c>
      <c r="E31" s="287">
        <f>C31/C19-1</f>
        <v>1.3554562528207041</v>
      </c>
      <c r="F31" s="136">
        <f>Q31/20</f>
        <v>1554363.15</v>
      </c>
      <c r="G31" s="190">
        <f t="shared" ref="G31" si="34">F31/F30-1</f>
        <v>-0.15725504054965889</v>
      </c>
      <c r="H31" s="190">
        <f t="shared" ref="H31" si="35">F31/F19-1</f>
        <v>0.83921579226170517</v>
      </c>
      <c r="I31" s="130">
        <f t="shared" si="0"/>
        <v>9.8176795246852055</v>
      </c>
      <c r="J31" s="130">
        <f t="shared" si="5"/>
        <v>2.8609217507474805E-2</v>
      </c>
      <c r="K31" s="136">
        <f>R29+R30+R31</f>
        <v>125094183084</v>
      </c>
      <c r="L31" s="190">
        <f>U31/U28-1</f>
        <v>-6.9437527226136719E-2</v>
      </c>
      <c r="M31" s="190">
        <f>U31/U19-1</f>
        <v>1.2765647990563824</v>
      </c>
      <c r="N31" s="191">
        <f>AVERAGE(T29:T31)</f>
        <v>10.000297165960928</v>
      </c>
      <c r="O31" s="192">
        <f>N31/N28-1</f>
        <v>-1.8025696364020849E-2</v>
      </c>
      <c r="P31" s="129" t="s">
        <v>505</v>
      </c>
      <c r="Q31" s="116">
        <f>소형변압기!Q31+'소형변압기 (2)'!Q31</f>
        <v>31087263</v>
      </c>
      <c r="R31" s="116">
        <f>소형변압기!R31+'소형변압기 (2)'!R31</f>
        <v>41295073419</v>
      </c>
      <c r="S31" s="116">
        <f>소형변압기!S31+'소형변압기 (2)'!S31</f>
        <v>3166457.3</v>
      </c>
      <c r="T31" s="130">
        <f t="shared" ref="T31" si="36">Q31/S31</f>
        <v>9.8176795246852055</v>
      </c>
      <c r="U31" s="85">
        <f>Q29+Q30+Q31</f>
        <v>94276398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2249079.6190476189</v>
      </c>
      <c r="G32" s="190">
        <f t="shared" ref="G32" si="37">F32/F31-1</f>
        <v>0.446946049285599</v>
      </c>
      <c r="H32" s="190">
        <f t="shared" ref="H32" si="38">F32/F20-1</f>
        <v>1.5107195714799042</v>
      </c>
      <c r="I32" s="130">
        <f t="shared" si="0"/>
        <v>10.46347415643616</v>
      </c>
      <c r="J32" s="130">
        <f t="shared" si="5"/>
        <v>-5.7426883856035227E-2</v>
      </c>
      <c r="K32" s="136"/>
      <c r="L32" s="190"/>
      <c r="M32" s="190"/>
      <c r="N32" s="191"/>
      <c r="O32" s="192"/>
      <c r="P32" s="129" t="s">
        <v>562</v>
      </c>
      <c r="Q32" s="116">
        <f>소형변압기!Q32+'소형변압기 (2)'!Q32</f>
        <v>47230672</v>
      </c>
      <c r="R32" s="116">
        <f>소형변압기!R32+'소형변압기 (2)'!R32</f>
        <v>64304672918</v>
      </c>
      <c r="S32" s="116">
        <f>소형변압기!S32+'소형변압기 (2)'!S32</f>
        <v>4513861.3899999997</v>
      </c>
      <c r="T32" s="130">
        <f t="shared" ref="T32" si="39">Q32/S32</f>
        <v>10.46347415643616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2155928.6666666665</v>
      </c>
      <c r="G33" s="190">
        <f t="shared" ref="G33" si="40">F33/F32-1</f>
        <v>-4.1417365393403682E-2</v>
      </c>
      <c r="H33" s="190">
        <f t="shared" ref="H33" si="41">F33/F21-1</f>
        <v>1.1196292089850046</v>
      </c>
      <c r="I33" s="130">
        <f t="shared" si="0"/>
        <v>10.381454370506798</v>
      </c>
      <c r="J33" s="130">
        <f t="shared" si="5"/>
        <v>8.6951266595491017E-2</v>
      </c>
      <c r="K33" s="136"/>
      <c r="L33" s="190"/>
      <c r="M33" s="190"/>
      <c r="N33" s="191"/>
      <c r="O33" s="192"/>
      <c r="P33" s="129" t="s">
        <v>641</v>
      </c>
      <c r="Q33" s="116">
        <f>소형변압기!Q33+'소형변압기 (2)'!Q33</f>
        <v>45274502</v>
      </c>
      <c r="R33" s="116">
        <f>소형변압기!R33+'소형변압기 (2)'!R33</f>
        <v>61855593941</v>
      </c>
      <c r="S33" s="116">
        <f>소형변압기!S33+'소형변압기 (2)'!S33</f>
        <v>4361094.3499999996</v>
      </c>
      <c r="T33" s="130">
        <f t="shared" ref="T33" si="42">Q33/S33</f>
        <v>10.381454370506798</v>
      </c>
      <c r="U33" s="85"/>
    </row>
    <row r="34" spans="1:21" s="92" customFormat="1" ht="13.2" hidden="1">
      <c r="A34" s="129" t="s">
        <v>652</v>
      </c>
      <c r="B34" s="188">
        <f>SUM(F32:F34)</f>
        <v>7375607.9699248113</v>
      </c>
      <c r="C34" s="188">
        <f>AVERAGE(F32:F34)</f>
        <v>2458535.9899749369</v>
      </c>
      <c r="D34" s="190">
        <f>C34/C31-1</f>
        <v>0.57662255041385668</v>
      </c>
      <c r="E34" s="287">
        <f>C34/C22-1</f>
        <v>1.6153441435004012</v>
      </c>
      <c r="F34" s="136">
        <f>Q34/19</f>
        <v>2970599.6842105263</v>
      </c>
      <c r="G34" s="190">
        <f t="shared" ref="G34" si="43">F34/F33-1</f>
        <v>0.37787475538485338</v>
      </c>
      <c r="H34" s="190">
        <f t="shared" ref="H34" si="44">F34/F22-1</f>
        <v>2.2744243170130898</v>
      </c>
      <c r="I34" s="130">
        <f t="shared" si="0"/>
        <v>10.728984070292926</v>
      </c>
      <c r="J34" s="130">
        <f t="shared" si="5"/>
        <v>5.9213513910359783E-2</v>
      </c>
      <c r="K34" s="136">
        <f>R32+R33+R34</f>
        <v>203732354827</v>
      </c>
      <c r="L34" s="190">
        <f>U34/U31-1</f>
        <v>0.57989243500796461</v>
      </c>
      <c r="M34" s="190">
        <f>U34/U22-1</f>
        <v>1.5536505365558568</v>
      </c>
      <c r="N34" s="191">
        <f>AVERAGE(T32:T34)</f>
        <v>10.52463753241196</v>
      </c>
      <c r="O34" s="192">
        <f>N34/N31-1</f>
        <v>5.2432478530316518E-2</v>
      </c>
      <c r="P34" s="129" t="s">
        <v>652</v>
      </c>
      <c r="Q34" s="116">
        <f>소형변압기!Q34+'소형변압기 (2)'!Q34</f>
        <v>56441394</v>
      </c>
      <c r="R34" s="116">
        <f>소형변압기!R34+'소형변압기 (2)'!R34</f>
        <v>77572087968</v>
      </c>
      <c r="S34" s="116">
        <f>소형변압기!S34+'소형변압기 (2)'!S34</f>
        <v>5260646.6399999997</v>
      </c>
      <c r="T34" s="130">
        <f t="shared" ref="T34" si="45">Q34/S34</f>
        <v>10.728984070292926</v>
      </c>
      <c r="U34" s="85">
        <f>Q32+Q33+Q34</f>
        <v>148946568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2220905.913043478</v>
      </c>
      <c r="G35" s="190">
        <f t="shared" ref="G35" si="46">F35/F34-1</f>
        <v>-0.25237118792944624</v>
      </c>
      <c r="H35" s="190">
        <f t="shared" ref="H35" si="47">F35/F23-1</f>
        <v>1.3678673762385447</v>
      </c>
      <c r="I35" s="130">
        <f t="shared" si="0"/>
        <v>10.299678434703557</v>
      </c>
      <c r="J35" s="130">
        <f t="shared" si="5"/>
        <v>-4.4088884629500669E-3</v>
      </c>
      <c r="K35" s="136"/>
      <c r="L35" s="190"/>
      <c r="M35" s="190"/>
      <c r="N35" s="191"/>
      <c r="O35" s="192"/>
      <c r="P35" s="129" t="s">
        <v>660</v>
      </c>
      <c r="Q35" s="116">
        <f>소형변압기!Q35+'소형변압기 (2)'!Q35</f>
        <v>51080836</v>
      </c>
      <c r="R35" s="116">
        <f>소형변압기!R35+'소형변압기 (2)'!R35</f>
        <v>70715027444</v>
      </c>
      <c r="S35" s="116">
        <f>소형변압기!S35+'소형변압기 (2)'!S35</f>
        <v>4959459.3</v>
      </c>
      <c r="T35" s="130">
        <f t="shared" ref="T35" si="48">Q35/S35</f>
        <v>10.299678434703557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1771023.1904761905</v>
      </c>
      <c r="G36" s="190">
        <f t="shared" ref="G36" si="49">F36/F35-1</f>
        <v>-0.202567213642463</v>
      </c>
      <c r="H36" s="190">
        <f t="shared" ref="H36" si="50">F36/F24-1</f>
        <v>0.47099653143077291</v>
      </c>
      <c r="I36" s="130">
        <f t="shared" si="0"/>
        <v>10.59945114822079</v>
      </c>
      <c r="J36" s="130">
        <f t="shared" si="5"/>
        <v>-5.7902629896134927E-3</v>
      </c>
      <c r="K36" s="136"/>
      <c r="L36" s="190"/>
      <c r="M36" s="190"/>
      <c r="N36" s="191"/>
      <c r="O36" s="192"/>
      <c r="P36" s="129" t="s">
        <v>664</v>
      </c>
      <c r="Q36" s="116">
        <f>소형변압기!Q36+'소형변압기 (2)'!Q36</f>
        <v>37191487</v>
      </c>
      <c r="R36" s="116">
        <f>소형변압기!R36+'소형변압기 (2)'!R36</f>
        <v>50680012900</v>
      </c>
      <c r="S36" s="116">
        <f>소형변압기!S36+'소형변압기 (2)'!S36</f>
        <v>3508812.5300000003</v>
      </c>
      <c r="T36" s="130">
        <f t="shared" ref="T36" si="51">Q36/S36</f>
        <v>10.59945114822079</v>
      </c>
      <c r="U36" s="85"/>
    </row>
    <row r="37" spans="1:21" s="92" customFormat="1" ht="13.2" hidden="1">
      <c r="A37" s="129" t="s">
        <v>702</v>
      </c>
      <c r="B37" s="188">
        <f>SUM(F35:F37)</f>
        <v>6444415.9924085578</v>
      </c>
      <c r="C37" s="188">
        <f>AVERAGE(F35:F37)</f>
        <v>2148138.6641361858</v>
      </c>
      <c r="D37" s="190">
        <f>C37/C34-1</f>
        <v>-0.12625291112452475</v>
      </c>
      <c r="E37" s="287">
        <f>C37/C25-1</f>
        <v>0.63146584439516573</v>
      </c>
      <c r="F37" s="136">
        <f>Q37/18</f>
        <v>2452486.888888889</v>
      </c>
      <c r="G37" s="190">
        <f t="shared" ref="G37" si="52">F37/F36-1</f>
        <v>0.38478530494536733</v>
      </c>
      <c r="H37" s="190">
        <f t="shared" ref="H37" si="53">F37/F25-1</f>
        <v>0.35632852019492622</v>
      </c>
      <c r="I37" s="130">
        <f t="shared" si="0"/>
        <v>10.430779927608182</v>
      </c>
      <c r="J37" s="130">
        <f t="shared" si="5"/>
        <v>-2.9405184228239345E-2</v>
      </c>
      <c r="K37" s="136">
        <f>R35+R36+R37</f>
        <v>180293662958</v>
      </c>
      <c r="L37" s="190">
        <f>U37/U34-1</f>
        <v>-0.11097591050234878</v>
      </c>
      <c r="M37" s="190">
        <f>U37/U25-1</f>
        <v>0.64413170820214405</v>
      </c>
      <c r="N37" s="191">
        <f>AVERAGE(T35:T37)</f>
        <v>10.44330317017751</v>
      </c>
      <c r="O37" s="192">
        <f>N37/N34-1</f>
        <v>-7.7279965209225976E-3</v>
      </c>
      <c r="P37" s="129" t="s">
        <v>702</v>
      </c>
      <c r="Q37" s="116">
        <f>소형변압기!Q37+'소형변압기 (2)'!Q37</f>
        <v>44144764</v>
      </c>
      <c r="R37" s="116">
        <f>소형변압기!R37+'소형변압기 (2)'!R37</f>
        <v>58898622614</v>
      </c>
      <c r="S37" s="116">
        <f>소형변압기!S37+'소형변압기 (2)'!S37</f>
        <v>4232163.3</v>
      </c>
      <c r="T37" s="130">
        <f t="shared" ref="T37" si="54">Q37/S37</f>
        <v>10.430779927608182</v>
      </c>
      <c r="U37" s="85">
        <f>Q35+Q36+Q37</f>
        <v>132417087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2332138</v>
      </c>
      <c r="G38" s="190">
        <f t="shared" ref="G38" si="55">F38/F37-1</f>
        <v>-4.9072184415800746E-2</v>
      </c>
      <c r="H38" s="190">
        <f t="shared" ref="H38" si="56">F38/F26-1</f>
        <v>0.46018768964708179</v>
      </c>
      <c r="I38" s="130">
        <f t="shared" si="0"/>
        <v>10.243508803113793</v>
      </c>
      <c r="J38" s="130">
        <f t="shared" si="5"/>
        <v>-4.9992288202385438E-2</v>
      </c>
      <c r="K38" s="136"/>
      <c r="L38" s="190"/>
      <c r="M38" s="190"/>
      <c r="N38" s="191"/>
      <c r="O38" s="192"/>
      <c r="P38" s="129" t="s">
        <v>728</v>
      </c>
      <c r="Q38" s="116">
        <f>소형변압기!Q38+'소형변압기 (2)'!Q38</f>
        <v>46642760</v>
      </c>
      <c r="R38" s="116">
        <f>소형변압기!R38+'소형변압기 (2)'!R38</f>
        <v>62808169509</v>
      </c>
      <c r="S38" s="116">
        <f>소형변압기!S38+'소형변압기 (2)'!S38</f>
        <v>4553396.78</v>
      </c>
      <c r="T38" s="130">
        <f t="shared" ref="T38" si="57">Q38/S38</f>
        <v>10.243508803113793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2062505.3809523811</v>
      </c>
      <c r="G39" s="190">
        <f t="shared" ref="G39" si="58">F39/F38-1</f>
        <v>-0.1156160651932342</v>
      </c>
      <c r="H39" s="190">
        <f t="shared" ref="H39" si="59">F39/F27-1</f>
        <v>0.3464336524316598</v>
      </c>
      <c r="I39" s="130">
        <f t="shared" si="0"/>
        <v>10.710030820674465</v>
      </c>
      <c r="J39" s="130">
        <f t="shared" si="5"/>
        <v>6.5692210438550891E-2</v>
      </c>
      <c r="K39" s="136"/>
      <c r="L39" s="190"/>
      <c r="M39" s="190"/>
      <c r="N39" s="191"/>
      <c r="O39" s="192"/>
      <c r="P39" s="129" t="s">
        <v>762</v>
      </c>
      <c r="Q39" s="116">
        <f>소형변압기!Q39+'소형변압기 (2)'!Q39</f>
        <v>43312613</v>
      </c>
      <c r="R39" s="116">
        <f>소형변압기!R39+'소형변압기 (2)'!R39</f>
        <v>60187370377</v>
      </c>
      <c r="S39" s="116">
        <f>소형변압기!S39+'소형변압기 (2)'!S39</f>
        <v>4044116.5600000005</v>
      </c>
      <c r="T39" s="130">
        <f t="shared" ref="T39:T44" si="60">Q39/S39</f>
        <v>10.710030820674465</v>
      </c>
      <c r="U39" s="85"/>
    </row>
    <row r="40" spans="1:21" s="92" customFormat="1" ht="13.2" hidden="1">
      <c r="A40" s="129" t="s">
        <v>778</v>
      </c>
      <c r="B40" s="188">
        <f>SUM(F38:F40)</f>
        <v>7442436.7619047612</v>
      </c>
      <c r="C40" s="188">
        <f>AVERAGE(F38:F40)</f>
        <v>2480812.2539682537</v>
      </c>
      <c r="D40" s="190">
        <f>C40/C37-1</f>
        <v>0.15486597554718062</v>
      </c>
      <c r="E40" s="287">
        <f>C40/C28-1</f>
        <v>0.46208197286348507</v>
      </c>
      <c r="F40" s="136">
        <f>Q40/21</f>
        <v>3047793.3809523811</v>
      </c>
      <c r="G40" s="190">
        <f t="shared" ref="G40" si="61">F40/F39-1</f>
        <v>0.47771414760868836</v>
      </c>
      <c r="H40" s="190">
        <f t="shared" ref="H40" si="62">F40/F28-1</f>
        <v>0.55394795843050271</v>
      </c>
      <c r="I40" s="130">
        <f t="shared" si="0"/>
        <v>11.267177631994041</v>
      </c>
      <c r="J40" s="130">
        <f t="shared" si="5"/>
        <v>0.1592680154877919</v>
      </c>
      <c r="K40" s="136">
        <f>R38+R39+R40</f>
        <v>213859275197</v>
      </c>
      <c r="L40" s="190">
        <f>U40/U37-1</f>
        <v>0.16268253205116956</v>
      </c>
      <c r="M40" s="190">
        <f>U40/U28-1</f>
        <v>0.51966454408785645</v>
      </c>
      <c r="N40" s="191">
        <f>AVERAGE(T38:T40)</f>
        <v>10.740239085260768</v>
      </c>
      <c r="O40" s="192">
        <f>N40/N37-1</f>
        <v>2.8433141338959356E-2</v>
      </c>
      <c r="P40" s="129" t="s">
        <v>778</v>
      </c>
      <c r="Q40" s="116">
        <f>소형변압기!Q40+'소형변압기 (2)'!Q40</f>
        <v>64003661</v>
      </c>
      <c r="R40" s="116">
        <f>소형변압기!R40+'소형변압기 (2)'!R40</f>
        <v>90863735311</v>
      </c>
      <c r="S40" s="116">
        <f>소형변압기!S40+'소형변압기 (2)'!S40</f>
        <v>5680540.6900000004</v>
      </c>
      <c r="T40" s="130">
        <f t="shared" si="60"/>
        <v>11.267177631994041</v>
      </c>
      <c r="U40" s="85">
        <f>Q38+Q39+Q40</f>
        <v>153959034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1841626.0555555555</v>
      </c>
      <c r="G41" s="190">
        <f t="shared" ref="G41" si="63">F41/F40-1</f>
        <v>-0.39575101545102764</v>
      </c>
      <c r="H41" s="190">
        <f t="shared" ref="H41" si="64">F41/F29-1</f>
        <v>0.43951480384625841</v>
      </c>
      <c r="I41" s="130">
        <f t="shared" si="0"/>
        <v>11.078773524585722</v>
      </c>
      <c r="J41" s="130">
        <f t="shared" si="5"/>
        <v>9.2235461406426023E-2</v>
      </c>
      <c r="K41" s="194"/>
      <c r="L41" s="202"/>
      <c r="M41" s="202"/>
      <c r="N41" s="194"/>
      <c r="O41" s="194"/>
      <c r="P41" s="129" t="s">
        <v>792</v>
      </c>
      <c r="Q41" s="116">
        <f>소형변압기!Q41+'소형변압기 (2)'!Q41</f>
        <v>33149269</v>
      </c>
      <c r="R41" s="116">
        <f>소형변압기!R41+'소형변압기 (2)'!R41</f>
        <v>48495110789</v>
      </c>
      <c r="S41" s="116">
        <f>소형변압기!S41+'소형변압기 (2)'!S41</f>
        <v>2992142.49</v>
      </c>
      <c r="T41" s="130">
        <f t="shared" si="60"/>
        <v>11.078773524585722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1648499.45</v>
      </c>
      <c r="G42" s="190">
        <f t="shared" ref="G42" si="65">F42/F41-1</f>
        <v>-0.10486743764998252</v>
      </c>
      <c r="H42" s="190">
        <f t="shared" ref="H42" si="66">F42/F30-1</f>
        <v>-0.10621620041355229</v>
      </c>
      <c r="I42" s="130">
        <f t="shared" si="0"/>
        <v>10.885698676318079</v>
      </c>
      <c r="J42" s="130">
        <f t="shared" si="5"/>
        <v>8.4232709955974761E-2</v>
      </c>
      <c r="K42" s="194"/>
      <c r="L42" s="202"/>
      <c r="M42" s="202"/>
      <c r="N42" s="194"/>
      <c r="O42" s="194"/>
      <c r="P42" s="129" t="s">
        <v>826</v>
      </c>
      <c r="Q42" s="116">
        <f>소형변압기!Q42+'소형변압기 (2)'!Q42</f>
        <v>32969989</v>
      </c>
      <c r="R42" s="116">
        <f>소형변압기!R42+'소형변압기 (2)'!R42</f>
        <v>47594670404</v>
      </c>
      <c r="S42" s="116">
        <f>소형변압기!S42+'소형변압기 (2)'!S42</f>
        <v>3028743.49</v>
      </c>
      <c r="T42" s="130">
        <f t="shared" si="60"/>
        <v>10.885698676318079</v>
      </c>
      <c r="U42" s="175"/>
    </row>
    <row r="43" spans="1:21" s="92" customFormat="1" ht="13.2">
      <c r="A43" s="129" t="s">
        <v>835</v>
      </c>
      <c r="B43" s="188">
        <f>SUM(F41:F43)</f>
        <v>5317363.5055555552</v>
      </c>
      <c r="C43" s="188">
        <f>AVERAGE(F41:F43)</f>
        <v>1772454.5018518518</v>
      </c>
      <c r="D43" s="190">
        <f>C43/C40-1</f>
        <v>-0.28553460705594635</v>
      </c>
      <c r="E43" s="287">
        <f>C43/C31-1</f>
        <v>0.13664870011956842</v>
      </c>
      <c r="F43" s="136">
        <f>Q43/20</f>
        <v>1827238</v>
      </c>
      <c r="G43" s="190">
        <f t="shared" ref="G43" si="67">F43/F42-1</f>
        <v>0.1084249982612977</v>
      </c>
      <c r="H43" s="190">
        <f t="shared" ref="H43" si="68">F43/F31-1</f>
        <v>0.17555411680983313</v>
      </c>
      <c r="I43" s="130">
        <f t="shared" si="0"/>
        <v>10.535673270081034</v>
      </c>
      <c r="J43" s="130">
        <f t="shared" si="5"/>
        <v>7.3132734022385959E-2</v>
      </c>
      <c r="K43" s="136">
        <f>R41+R42+R43</f>
        <v>149056988845</v>
      </c>
      <c r="L43" s="190">
        <f>U43/U40-1</f>
        <v>-0.33317314786477548</v>
      </c>
      <c r="M43" s="190">
        <f>K43/K31-1</f>
        <v>0.19155811381660426</v>
      </c>
      <c r="N43" s="191">
        <f>AVERAGE(T41:T43)</f>
        <v>10.833381823661611</v>
      </c>
      <c r="O43" s="192">
        <f>N43/N40-1</f>
        <v>8.6723151748704375E-3</v>
      </c>
      <c r="P43" s="129" t="s">
        <v>835</v>
      </c>
      <c r="Q43" s="116">
        <f>소형변압기!Q43+'소형변압기 (2)'!Q43</f>
        <v>36544760</v>
      </c>
      <c r="R43" s="116">
        <f>소형변압기!R43+'소형변압기 (2)'!R43</f>
        <v>52967207652</v>
      </c>
      <c r="S43" s="116">
        <f>소형변압기!S43+'소형변압기 (2)'!S43</f>
        <v>3468668.6900000004</v>
      </c>
      <c r="T43" s="130">
        <f t="shared" si="60"/>
        <v>10.535673270081034</v>
      </c>
      <c r="U43" s="85">
        <f>Q41+Q42+Q43</f>
        <v>102664018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1339132.7727272727</v>
      </c>
      <c r="G44" s="190">
        <f t="shared" ref="G44" si="69">F44/F43-1</f>
        <v>-0.26712734043005193</v>
      </c>
      <c r="H44" s="190">
        <f t="shared" ref="H44" si="70">F44/F32-1</f>
        <v>-0.40458631993902761</v>
      </c>
      <c r="I44" s="130">
        <f t="shared" si="0"/>
        <v>10.615660715381569</v>
      </c>
      <c r="J44" s="130">
        <f t="shared" si="5"/>
        <v>1.4544553431309337E-2</v>
      </c>
      <c r="K44" s="136"/>
      <c r="L44" s="190"/>
      <c r="M44" s="190"/>
      <c r="N44" s="191"/>
      <c r="O44" s="192"/>
      <c r="P44" s="129" t="s">
        <v>843</v>
      </c>
      <c r="Q44" s="116">
        <f>소형변압기!Q44+'소형변압기 (2)'!Q44</f>
        <v>29460921</v>
      </c>
      <c r="R44" s="116">
        <f>소형변압기!R44+'소형변압기 (2)'!R44</f>
        <v>42604640567</v>
      </c>
      <c r="S44" s="116">
        <f>소형변압기!S44+'소형변압기 (2)'!S44</f>
        <v>2775231.9699999997</v>
      </c>
      <c r="T44" s="130">
        <f t="shared" si="60"/>
        <v>10.615660715381569</v>
      </c>
      <c r="U44" s="85"/>
    </row>
    <row r="45" spans="1:21" s="92" customFormat="1" ht="13.2">
      <c r="A45" s="129" t="s">
        <v>880</v>
      </c>
      <c r="B45" s="188"/>
      <c r="C45" s="188"/>
      <c r="D45" s="190"/>
      <c r="E45" s="287"/>
      <c r="F45" s="136">
        <f>Q45/20</f>
        <v>1436532.6</v>
      </c>
      <c r="G45" s="190">
        <f t="shared" ref="G45" si="71">F45/F44-1</f>
        <v>7.2733510266023371E-2</v>
      </c>
      <c r="H45" s="190">
        <f t="shared" ref="H45" si="72">F45/F33-1</f>
        <v>-0.33368268523417433</v>
      </c>
      <c r="I45" s="130">
        <f t="shared" si="0"/>
        <v>9.7472924040751803</v>
      </c>
      <c r="J45" s="130">
        <f t="shared" si="5"/>
        <v>-6.1086042841284494E-2</v>
      </c>
      <c r="K45" s="136"/>
      <c r="L45" s="190"/>
      <c r="M45" s="190"/>
      <c r="N45" s="191"/>
      <c r="O45" s="192"/>
      <c r="P45" s="129" t="s">
        <v>880</v>
      </c>
      <c r="Q45" s="116">
        <f>소형변압기!Q45+'소형변압기 (2)'!Q45</f>
        <v>28730652</v>
      </c>
      <c r="R45" s="116">
        <f>소형변압기!R45+'소형변압기 (2)'!R45</f>
        <v>40285582129</v>
      </c>
      <c r="S45" s="116">
        <f>소형변압기!S45+'소형변압기 (2)'!S45</f>
        <v>2947552.08</v>
      </c>
      <c r="T45" s="130">
        <f t="shared" ref="T45" si="73">Q45/S45</f>
        <v>9.7472924040751803</v>
      </c>
      <c r="U45" s="85"/>
    </row>
    <row r="46" spans="1:21" s="92" customFormat="1" ht="13.2">
      <c r="A46" s="129" t="s">
        <v>888</v>
      </c>
      <c r="B46" s="188">
        <f>SUM(F44:F46)</f>
        <v>4455027.1095693782</v>
      </c>
      <c r="C46" s="188">
        <f>AVERAGE(F44:F46)</f>
        <v>1485009.0365231261</v>
      </c>
      <c r="D46" s="190">
        <f>C46/C43-1</f>
        <v>-0.16217367781706338</v>
      </c>
      <c r="E46" s="287">
        <f>C46/C34-1</f>
        <v>-0.39597832100954333</v>
      </c>
      <c r="F46" s="136">
        <f>Q46/19</f>
        <v>1679361.7368421052</v>
      </c>
      <c r="G46" s="190">
        <f t="shared" ref="G46" si="74">F46/F45-1</f>
        <v>0.16903837535055244</v>
      </c>
      <c r="H46" s="190">
        <f t="shared" ref="H46" si="75">F46/F34-1</f>
        <v>-0.43467248523308977</v>
      </c>
      <c r="I46" s="130">
        <f t="shared" si="0"/>
        <v>10.597622603818603</v>
      </c>
      <c r="J46" s="130">
        <f t="shared" si="5"/>
        <v>-1.2243607187193417E-2</v>
      </c>
      <c r="K46" s="136">
        <f>R44+R45+R46</f>
        <v>126588740871</v>
      </c>
      <c r="L46" s="190">
        <f>U46/U43-1</f>
        <v>-0.12238535218833924</v>
      </c>
      <c r="M46" s="190">
        <f>K46/K34-1</f>
        <v>-0.37865175622942537</v>
      </c>
      <c r="N46" s="191">
        <f>AVERAGE(T44:T46)</f>
        <v>10.320191907758451</v>
      </c>
      <c r="O46" s="192">
        <f>N46/N43-1</f>
        <v>-4.7371164817830214E-2</v>
      </c>
      <c r="P46" s="129" t="s">
        <v>888</v>
      </c>
      <c r="Q46" s="116">
        <f>소형변압기!Q46+'소형변압기 (2)'!Q46</f>
        <v>31907873</v>
      </c>
      <c r="R46" s="116">
        <f>소형변압기!R46+'소형변압기 (2)'!R46</f>
        <v>43698518175</v>
      </c>
      <c r="S46" s="116">
        <f>소형변압기!S46+'소형변압기 (2)'!S46</f>
        <v>3010851.98</v>
      </c>
      <c r="T46" s="130">
        <f t="shared" ref="T46" si="76">Q46/S46</f>
        <v>10.597622603818603</v>
      </c>
      <c r="U46" s="85">
        <f t="shared" ref="U46:U51" si="77">Q44+Q45+Q46</f>
        <v>90099446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1324744.5652173914</v>
      </c>
      <c r="G47" s="190">
        <f t="shared" ref="G47" si="78">F47/F46-1</f>
        <v>-0.21116187408886711</v>
      </c>
      <c r="H47" s="190">
        <f t="shared" ref="H47" si="79">F47/F35-1</f>
        <v>-0.40351162224518011</v>
      </c>
      <c r="I47" s="130">
        <f t="shared" si="0"/>
        <v>9.9630591399028905</v>
      </c>
      <c r="J47" s="130">
        <f t="shared" si="5"/>
        <v>-3.2682505277685903E-2</v>
      </c>
      <c r="K47" s="136"/>
      <c r="L47" s="190"/>
      <c r="M47" s="190"/>
      <c r="N47" s="191"/>
      <c r="O47" s="192"/>
      <c r="P47" s="129" t="s">
        <v>991</v>
      </c>
      <c r="Q47" s="116">
        <f>소형변압기!Q47+'소형변압기 (2)'!Q47</f>
        <v>30469125</v>
      </c>
      <c r="R47" s="116">
        <f>소형변압기!R47+'소형변압기 (2)'!R47</f>
        <v>41742583193</v>
      </c>
      <c r="S47" s="116">
        <f>소형변압기!S47+'소형변압기 (2)'!S47</f>
        <v>3058209.79</v>
      </c>
      <c r="T47" s="130">
        <f t="shared" ref="T47" si="80">Q47/S47</f>
        <v>9.9630591399028905</v>
      </c>
      <c r="U47" s="85">
        <f t="shared" si="77"/>
        <v>91107650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1082762.1000000001</v>
      </c>
      <c r="G48" s="190">
        <f t="shared" ref="G48" si="81">F48/F47-1</f>
        <v>-0.18266348968012702</v>
      </c>
      <c r="H48" s="190">
        <f t="shared" ref="H48" si="82">F48/F36-1</f>
        <v>-0.38862342073066336</v>
      </c>
      <c r="I48" s="130">
        <f t="shared" si="0"/>
        <v>10.510260479201078</v>
      </c>
      <c r="J48" s="130">
        <f t="shared" si="5"/>
        <v>-8.414649756151249E-3</v>
      </c>
      <c r="K48" s="136"/>
      <c r="L48" s="190"/>
      <c r="M48" s="190"/>
      <c r="N48" s="191"/>
      <c r="O48" s="192"/>
      <c r="P48" s="129" t="s">
        <v>1141</v>
      </c>
      <c r="Q48" s="116">
        <f>소형변압기!Q48+'소형변압기 (2)'!Q48</f>
        <v>21655242</v>
      </c>
      <c r="R48" s="116">
        <f>소형변압기!R48+'소형변압기 (2)'!R48</f>
        <v>30055874493</v>
      </c>
      <c r="S48" s="116">
        <f>소형변압기!S48+'소형변압기 (2)'!S48</f>
        <v>2060390.61</v>
      </c>
      <c r="T48" s="130">
        <f t="shared" ref="T48" si="83">Q48/S48</f>
        <v>10.510260479201078</v>
      </c>
      <c r="U48" s="85">
        <f t="shared" si="77"/>
        <v>84032240</v>
      </c>
    </row>
    <row r="49" spans="1:26" ht="13.2">
      <c r="A49" s="129" t="s">
        <v>1158</v>
      </c>
      <c r="B49" s="188">
        <f>SUM(F47:F49)</f>
        <v>3852549.5288537545</v>
      </c>
      <c r="C49" s="188">
        <f>AVERAGE(F47:F49)</f>
        <v>1284183.1762845849</v>
      </c>
      <c r="D49" s="190">
        <f>C49/C46-1</f>
        <v>-0.13523544658606101</v>
      </c>
      <c r="E49" s="287">
        <f>C49/C37-1</f>
        <v>-0.40218795102736837</v>
      </c>
      <c r="F49" s="136">
        <f>Q49/22</f>
        <v>1445042.8636363635</v>
      </c>
      <c r="G49" s="190">
        <f t="shared" ref="G49" si="84">F49/F48-1</f>
        <v>0.33458943902484517</v>
      </c>
      <c r="H49" s="190">
        <f t="shared" ref="H49" si="85">F49/F37-1</f>
        <v>-0.41078467322977319</v>
      </c>
      <c r="I49" s="130">
        <f t="shared" si="0"/>
        <v>9.8046582039010879</v>
      </c>
      <c r="J49" s="130">
        <f t="shared" si="5"/>
        <v>-6.002635738195139E-2</v>
      </c>
      <c r="K49" s="136">
        <f>R47+R48+R49</f>
        <v>115997833268</v>
      </c>
      <c r="L49" s="190">
        <f>U49/U46-1</f>
        <v>-6.863678162904574E-2</v>
      </c>
      <c r="M49" s="190">
        <f>K49/K37-1</f>
        <v>-0.35661724674692485</v>
      </c>
      <c r="N49" s="191">
        <f>AVERAGE(T47:T49)</f>
        <v>10.092659274335018</v>
      </c>
      <c r="O49" s="192">
        <f>N49/N46-1</f>
        <v>-2.2047325811100471E-2</v>
      </c>
      <c r="P49" s="129" t="s">
        <v>1158</v>
      </c>
      <c r="Q49" s="116">
        <f>소형변압기!Q49+'소형변압기 (2)'!Q49</f>
        <v>31790943</v>
      </c>
      <c r="R49" s="116">
        <f>소형변압기!R49+'소형변압기 (2)'!R49</f>
        <v>44199375582</v>
      </c>
      <c r="S49" s="116">
        <f>소형변압기!S49+'소형변압기 (2)'!S49</f>
        <v>3242432.5599999996</v>
      </c>
      <c r="T49" s="130">
        <f t="shared" ref="T49" si="86">Q49/S49</f>
        <v>9.8046582039010879</v>
      </c>
      <c r="U49" s="85">
        <f t="shared" si="77"/>
        <v>83915310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1251548.8333333333</v>
      </c>
      <c r="G50" s="190">
        <f t="shared" ref="G50" si="87">F50/F49-1</f>
        <v>-0.13390193133518147</v>
      </c>
      <c r="H50" s="190">
        <f t="shared" ref="H50" si="88">F50/F38-1</f>
        <v>-0.46334700891056479</v>
      </c>
      <c r="I50" s="130">
        <f t="shared" ref="I50" si="89">T50</f>
        <v>10.457634348967822</v>
      </c>
      <c r="J50" s="130">
        <f t="shared" ref="J50" si="90">I50/I38-1</f>
        <v>2.0903535104000781E-2</v>
      </c>
      <c r="K50" s="136"/>
      <c r="L50" s="190"/>
      <c r="M50" s="190"/>
      <c r="N50" s="191"/>
      <c r="O50" s="192"/>
      <c r="P50" s="129" t="s">
        <v>1365</v>
      </c>
      <c r="Q50" s="116">
        <f>소형변압기!Q50+'소형변압기 (2)'!Q50</f>
        <v>22527879</v>
      </c>
      <c r="R50" s="116">
        <f>소형변압기!R50+'소형변압기 (2)'!R50</f>
        <v>31962770110</v>
      </c>
      <c r="S50" s="116">
        <f>소형변압기!S50+'소형변압기 (2)'!S50</f>
        <v>2154204.12</v>
      </c>
      <c r="T50" s="130">
        <f t="shared" ref="T50" si="91">Q50/S50</f>
        <v>10.457634348967822</v>
      </c>
      <c r="U50" s="85">
        <f t="shared" si="77"/>
        <v>75974064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1213733.95</v>
      </c>
      <c r="G51" s="190">
        <f t="shared" ref="G51:G52" si="92">F51/F50-1</f>
        <v>-3.0214468925370164E-2</v>
      </c>
      <c r="H51" s="190">
        <f t="shared" ref="H51:H52" si="93">F51/F39-1</f>
        <v>-0.41152446863457537</v>
      </c>
      <c r="I51" s="130">
        <f t="shared" ref="I51:I52" si="94">T51</f>
        <v>10.749057548695557</v>
      </c>
      <c r="J51" s="130">
        <f t="shared" ref="J51:J52" si="95">I51/I39-1</f>
        <v>3.6439417098366178E-3</v>
      </c>
      <c r="K51" s="136"/>
      <c r="L51" s="190"/>
      <c r="M51" s="190"/>
      <c r="N51" s="191"/>
      <c r="O51" s="192"/>
      <c r="P51" s="129" t="s">
        <v>1402</v>
      </c>
      <c r="Q51" s="116">
        <f>소형변압기!Q51+'소형변압기 (2)'!Q51</f>
        <v>24274679</v>
      </c>
      <c r="R51" s="116">
        <f>소형변압기!R51+'소형변압기 (2)'!R51</f>
        <v>35256568642</v>
      </c>
      <c r="S51" s="116">
        <f>소형변압기!S51+'소형변압기 (2)'!S51</f>
        <v>2258307.66</v>
      </c>
      <c r="T51" s="130">
        <f t="shared" ref="T51:T52" si="96">Q51/S51</f>
        <v>10.749057548695557</v>
      </c>
      <c r="U51" s="85">
        <f t="shared" si="77"/>
        <v>78593501</v>
      </c>
    </row>
    <row r="52" spans="1:26" s="79" customFormat="1" ht="13.2">
      <c r="A52" s="129" t="s">
        <v>1403</v>
      </c>
      <c r="B52" s="188">
        <f>SUM(F50:F52)</f>
        <v>3567576.374242424</v>
      </c>
      <c r="C52" s="188">
        <f>AVERAGE(F50:F52)</f>
        <v>1189192.1247474747</v>
      </c>
      <c r="D52" s="190">
        <f>C52/C49-1</f>
        <v>-7.3970017121653631E-2</v>
      </c>
      <c r="E52" s="287">
        <f>C52/C40-1</f>
        <v>-0.52064404597918745</v>
      </c>
      <c r="F52" s="136">
        <f>Q52/22</f>
        <v>1102293.5909090908</v>
      </c>
      <c r="G52" s="190">
        <f t="shared" si="92"/>
        <v>-9.1816134080215162E-2</v>
      </c>
      <c r="H52" s="190">
        <f t="shared" si="93"/>
        <v>-0.63833060410261677</v>
      </c>
      <c r="I52" s="130">
        <f t="shared" si="94"/>
        <v>10.092654306521919</v>
      </c>
      <c r="J52" s="130">
        <f t="shared" si="95"/>
        <v>-0.10424290481912446</v>
      </c>
      <c r="K52" s="136">
        <f>R50+R51+R52</f>
        <v>102875516574</v>
      </c>
      <c r="L52" s="190">
        <f>U52/U49-1</f>
        <v>-0.15327707184779515</v>
      </c>
      <c r="M52" s="190">
        <f>K52/K40-1</f>
        <v>-0.5189569567219634</v>
      </c>
      <c r="N52" s="191">
        <f>AVERAGE(T50:T52)</f>
        <v>10.433115401395099</v>
      </c>
      <c r="O52" s="192">
        <f>N52/N49-1</f>
        <v>3.3733044761140363E-2</v>
      </c>
      <c r="P52" s="129" t="s">
        <v>1403</v>
      </c>
      <c r="Q52" s="116">
        <f>소형변압기!Q52+'소형변압기 (2)'!Q52</f>
        <v>24250459</v>
      </c>
      <c r="R52" s="116">
        <f>소형변압기!R52+'소형변압기 (2)'!R52</f>
        <v>35656177822</v>
      </c>
      <c r="S52" s="116">
        <f>소형변압기!S52+'소형변압기 (2)'!S52</f>
        <v>2402783.08</v>
      </c>
      <c r="T52" s="130">
        <f t="shared" si="96"/>
        <v>10.092654306521919</v>
      </c>
      <c r="U52" s="85">
        <f t="shared" ref="U52" si="97">Q50+Q51+Q52</f>
        <v>71053017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979358.09523809527</v>
      </c>
      <c r="G53" s="190">
        <f t="shared" ref="G53" si="98">F53/F52-1</f>
        <v>-0.11152699851008607</v>
      </c>
      <c r="H53" s="190">
        <f t="shared" ref="H53" si="99">F53/F41-1</f>
        <v>-0.46821012209090596</v>
      </c>
      <c r="I53" s="130">
        <f t="shared" ref="I53" si="100">T53</f>
        <v>10.133229082191866</v>
      </c>
      <c r="J53" s="130">
        <f t="shared" ref="J53" si="101">I53/I41-1</f>
        <v>-8.5347393400138527E-2</v>
      </c>
      <c r="K53" s="136"/>
      <c r="L53" s="190"/>
      <c r="M53" s="190"/>
      <c r="N53" s="191"/>
      <c r="O53" s="192"/>
      <c r="P53" s="129" t="s">
        <v>1414</v>
      </c>
      <c r="Q53" s="116">
        <f>소형변압기!Q53+'소형변압기 (2)'!Q53</f>
        <v>20566520</v>
      </c>
      <c r="R53" s="116">
        <f>소형변압기!R53+'소형변압기 (2)'!R53</f>
        <v>29971270968</v>
      </c>
      <c r="S53" s="116">
        <f>소형변압기!S53+'소형변압기 (2)'!S53</f>
        <v>2029611.67</v>
      </c>
      <c r="T53" s="130">
        <f t="shared" ref="T53" si="102">Q53/S53</f>
        <v>10.133229082191866</v>
      </c>
      <c r="U53" s="85">
        <f t="shared" ref="U53" si="103">Q51+Q52+Q53</f>
        <v>69091658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914942.5882352941</v>
      </c>
      <c r="G54" s="190">
        <f t="shared" ref="G54" si="104">F54/F53-1</f>
        <v>-6.5773190946199156E-2</v>
      </c>
      <c r="H54" s="190">
        <f t="shared" ref="H54" si="105">F54/F42-1</f>
        <v>-0.44498459600014173</v>
      </c>
      <c r="I54" s="130">
        <f t="shared" ref="I54" si="106">T54</f>
        <v>9.3648200487037325</v>
      </c>
      <c r="J54" s="130">
        <f t="shared" ref="J54" si="107">I54/I42-1</f>
        <v>-0.13971346009448427</v>
      </c>
      <c r="K54" s="136"/>
      <c r="L54" s="190"/>
      <c r="M54" s="190"/>
      <c r="N54" s="191"/>
      <c r="O54" s="192"/>
      <c r="P54" s="129" t="s">
        <v>1417</v>
      </c>
      <c r="Q54" s="116">
        <f>소형변압기!Q54+'소형변압기 (2)'!Q54</f>
        <v>15554024</v>
      </c>
      <c r="R54" s="116">
        <f>소형변압기!R54+'소형변압기 (2)'!R54</f>
        <v>22518059960</v>
      </c>
      <c r="S54" s="116">
        <f>소형변압기!S54+'소형변압기 (2)'!S54</f>
        <v>1660899.4</v>
      </c>
      <c r="T54" s="130">
        <f t="shared" ref="T54" si="108">Q54/S54</f>
        <v>9.3648200487037325</v>
      </c>
      <c r="U54" s="85">
        <f t="shared" ref="U54" si="109">Q52+Q53+Q54</f>
        <v>60371003</v>
      </c>
    </row>
    <row r="55" spans="1:26" s="79" customFormat="1" ht="13.2">
      <c r="A55" s="129" t="s">
        <v>1418</v>
      </c>
      <c r="B55" s="188">
        <f>SUM(F53:F55)</f>
        <v>2947602.3501400561</v>
      </c>
      <c r="C55" s="188">
        <f>AVERAGE(F53:F55)</f>
        <v>982534.11671335204</v>
      </c>
      <c r="D55" s="190">
        <f>C55/C52-1</f>
        <v>-0.17378016868216861</v>
      </c>
      <c r="E55" s="287">
        <f>C55/C43-1</f>
        <v>-0.44566468945363324</v>
      </c>
      <c r="F55" s="136">
        <f>Q55/21</f>
        <v>1053301.6666666667</v>
      </c>
      <c r="G55" s="190">
        <f t="shared" ref="G55" si="110">F55/F54-1</f>
        <v>0.15122159598913654</v>
      </c>
      <c r="H55" s="190">
        <f t="shared" ref="H55" si="111">F55/F43-1</f>
        <v>-0.42355529675572268</v>
      </c>
      <c r="I55" s="130">
        <f>T55</f>
        <v>9.3031012706874847</v>
      </c>
      <c r="J55" s="130">
        <f t="shared" ref="J55" si="112">I55/I43-1</f>
        <v>-0.11699034013267851</v>
      </c>
      <c r="K55" s="136">
        <f>R53+R54+R55</f>
        <v>84978860158</v>
      </c>
      <c r="L55" s="190">
        <f>U55/U52-1</f>
        <v>-0.18033207513201022</v>
      </c>
      <c r="M55" s="190">
        <f>K55/K43-1</f>
        <v>-0.4298901325159129</v>
      </c>
      <c r="N55" s="191">
        <f>AVERAGE(T53:T55)</f>
        <v>9.6003834671943604</v>
      </c>
      <c r="O55" s="192">
        <f>N55/N52-1</f>
        <v>-7.9816229588468568E-2</v>
      </c>
      <c r="P55" s="129" t="s">
        <v>1418</v>
      </c>
      <c r="Q55" s="116">
        <f>소형변압기!Q55+'소형변압기 (2)'!Q55</f>
        <v>22119335</v>
      </c>
      <c r="R55" s="116">
        <f>소형변압기!R55+'소형변압기 (2)'!R55</f>
        <v>32489529230</v>
      </c>
      <c r="S55" s="116">
        <f>소형변압기!S55+'소형변압기 (2)'!S55</f>
        <v>2377630.25</v>
      </c>
      <c r="T55" s="130">
        <f t="shared" ref="T55" si="113">Q55/S55</f>
        <v>9.3031012706874847</v>
      </c>
      <c r="U55" s="85">
        <f t="shared" ref="U55" si="114">Q53+Q54+Q55</f>
        <v>58239879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1011711.9545454546</v>
      </c>
      <c r="G56" s="190">
        <f t="shared" ref="G56" si="115">F56/F55-1</f>
        <v>-3.9485090964328506E-2</v>
      </c>
      <c r="H56" s="190">
        <f t="shared" ref="H56" si="116">F56/F44-1</f>
        <v>-0.24450213216348526</v>
      </c>
      <c r="I56" s="291">
        <f>T56</f>
        <v>9.6965972091596182</v>
      </c>
      <c r="J56" s="130">
        <f t="shared" ref="J56" si="117">I56/I44-1</f>
        <v>-8.6576194441696286E-2</v>
      </c>
      <c r="K56" s="136"/>
      <c r="L56" s="190"/>
      <c r="M56" s="190"/>
      <c r="N56" s="191"/>
      <c r="O56" s="192"/>
      <c r="P56" s="129" t="s">
        <v>1420</v>
      </c>
      <c r="Q56" s="116">
        <f>소형변압기!Q56+'소형변압기 (2)'!Q56</f>
        <v>22257663</v>
      </c>
      <c r="R56" s="116">
        <f>소형변압기!R56+'소형변압기 (2)'!R56</f>
        <v>33324169574</v>
      </c>
      <c r="S56" s="116">
        <f>소형변압기!S56+'소형변압기 (2)'!S56</f>
        <v>2295409.67</v>
      </c>
      <c r="T56" s="130">
        <f t="shared" ref="T56" si="118">Q56/S56</f>
        <v>9.6965972091596182</v>
      </c>
      <c r="U56" s="85">
        <f t="shared" ref="U56" si="119">Q54+Q55+Q56</f>
        <v>59931022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1001108.3333333334</v>
      </c>
      <c r="G57" s="254">
        <f t="shared" ref="G57" si="120">F57/F56-1</f>
        <v>-1.0480869742104826E-2</v>
      </c>
      <c r="H57" s="254">
        <f t="shared" ref="H57" si="121">F57/F45-1</f>
        <v>-0.30310782133775915</v>
      </c>
      <c r="I57" s="282">
        <f>T57</f>
        <v>9.5282600357999208</v>
      </c>
      <c r="J57" s="277">
        <f t="shared" ref="J57" si="122">I57/I45-1</f>
        <v>-2.2471098556937297E-2</v>
      </c>
      <c r="K57" s="204"/>
      <c r="L57" s="254"/>
      <c r="M57" s="254"/>
      <c r="N57" s="257"/>
      <c r="O57" s="258"/>
      <c r="P57" s="129" t="s">
        <v>1436</v>
      </c>
      <c r="Q57" s="116">
        <f>소형변압기!Q57+'소형변압기 (2)'!Q57</f>
        <v>12013300</v>
      </c>
      <c r="R57" s="116">
        <f>소형변압기!R57+'소형변압기 (2)'!R57</f>
        <v>17673397099</v>
      </c>
      <c r="S57" s="116">
        <f>소형변압기!S57+'소형변압기 (2)'!S57</f>
        <v>1260807.3199999998</v>
      </c>
      <c r="T57" s="130">
        <f t="shared" ref="T57" si="123">Q57/S57</f>
        <v>9.5282600357999208</v>
      </c>
      <c r="U57" s="85">
        <f t="shared" ref="U57" si="124">Q55+Q56+Q57</f>
        <v>56390298</v>
      </c>
    </row>
    <row r="58" spans="1:26">
      <c r="B58" s="196">
        <f>SUM(F56:F58)</f>
        <v>2012820.2878787881</v>
      </c>
      <c r="C58" s="196">
        <f>AVERAGE(F56:F58)</f>
        <v>1006410.143939394</v>
      </c>
      <c r="D58" s="197">
        <f>C58/C55-1</f>
        <v>2.4300456157094086E-2</v>
      </c>
      <c r="E58" s="233">
        <f>C58/C46-1</f>
        <v>-0.32228685537448498</v>
      </c>
    </row>
  </sheetData>
  <phoneticPr fontId="1" type="noConversion"/>
  <conditionalFormatting sqref="C29:C30">
    <cfRule type="cellIs" dxfId="1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3"/>
  <dimension ref="A1:Z72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352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97984.15</v>
      </c>
      <c r="G5" s="90"/>
      <c r="H5" s="90"/>
      <c r="I5" s="130">
        <f t="shared" ref="I5:I49" si="0">T5</f>
        <v>4.9426930664640976</v>
      </c>
      <c r="J5" s="130"/>
      <c r="K5" s="86"/>
      <c r="L5" s="80"/>
      <c r="M5" s="80"/>
      <c r="N5" s="79"/>
      <c r="O5" s="79"/>
      <c r="P5" s="129" t="s">
        <v>0</v>
      </c>
      <c r="Q5" s="116">
        <v>1959683</v>
      </c>
      <c r="R5" s="116">
        <v>2313251110</v>
      </c>
      <c r="S5" s="116">
        <v>396480.82</v>
      </c>
      <c r="T5" s="130">
        <f t="shared" ref="T5:T17" si="1">Q5/S5</f>
        <v>4.9426930664640976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137544.55555555556</v>
      </c>
      <c r="G6" s="90">
        <f t="shared" ref="G6:G16" si="2">F6/F5-1</f>
        <v>0.40374290694521076</v>
      </c>
      <c r="H6" s="90"/>
      <c r="I6" s="130">
        <f t="shared" si="0"/>
        <v>4.8054528783393389</v>
      </c>
      <c r="J6" s="130"/>
      <c r="K6" s="78"/>
      <c r="L6" s="87"/>
      <c r="M6" s="87"/>
      <c r="N6" s="79"/>
      <c r="O6" s="79"/>
      <c r="P6" s="129" t="s">
        <v>1</v>
      </c>
      <c r="Q6" s="116">
        <v>2475802</v>
      </c>
      <c r="R6" s="116">
        <v>2938626214</v>
      </c>
      <c r="S6" s="116">
        <v>515206.8</v>
      </c>
      <c r="T6" s="130">
        <f t="shared" si="1"/>
        <v>4.8054528783393389</v>
      </c>
      <c r="U6" s="85"/>
    </row>
    <row r="7" spans="1:21" ht="15" hidden="1" customHeight="1">
      <c r="A7" s="129" t="s">
        <v>2</v>
      </c>
      <c r="B7" s="131">
        <f>F5+F6+F7</f>
        <v>405616.47828282829</v>
      </c>
      <c r="C7" s="131">
        <f>AVERAGE(F5:F7)</f>
        <v>135205.49276094275</v>
      </c>
      <c r="D7" s="117"/>
      <c r="F7" s="78">
        <f>Q7/22</f>
        <v>170087.77272727274</v>
      </c>
      <c r="G7" s="90">
        <f t="shared" si="2"/>
        <v>0.23660127469438552</v>
      </c>
      <c r="H7" s="90"/>
      <c r="I7" s="130">
        <f t="shared" si="0"/>
        <v>5.2679658969644585</v>
      </c>
      <c r="J7" s="130"/>
      <c r="K7" s="85">
        <f>R5+R6+R7</f>
        <v>9793481012</v>
      </c>
      <c r="L7" s="87"/>
      <c r="M7" s="87"/>
      <c r="N7" s="88">
        <f>AVERAGE(T5:T7)</f>
        <v>5.0053706139226319</v>
      </c>
      <c r="O7" s="79"/>
      <c r="P7" s="129" t="s">
        <v>2</v>
      </c>
      <c r="Q7" s="116">
        <v>3741931</v>
      </c>
      <c r="R7" s="116">
        <v>4541603688</v>
      </c>
      <c r="S7" s="116">
        <v>710318</v>
      </c>
      <c r="T7" s="130">
        <f t="shared" si="1"/>
        <v>5.2679658969644585</v>
      </c>
      <c r="U7" s="85">
        <f>Q5+Q6+Q7</f>
        <v>8177416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124923.33333333333</v>
      </c>
      <c r="G8" s="90">
        <f t="shared" si="2"/>
        <v>-0.26553607393259437</v>
      </c>
      <c r="H8" s="90"/>
      <c r="I8" s="130">
        <f t="shared" si="0"/>
        <v>5.1342902673866915</v>
      </c>
      <c r="J8" s="130"/>
      <c r="K8" s="78"/>
      <c r="L8" s="87"/>
      <c r="M8" s="87"/>
      <c r="N8" s="79"/>
      <c r="O8" s="79"/>
      <c r="P8" s="129" t="s">
        <v>3</v>
      </c>
      <c r="Q8" s="116">
        <v>2623390</v>
      </c>
      <c r="R8" s="116">
        <v>3177888040</v>
      </c>
      <c r="S8" s="116">
        <v>510954.75</v>
      </c>
      <c r="T8" s="130">
        <f t="shared" si="1"/>
        <v>5.1342902673866915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269067.42857142858</v>
      </c>
      <c r="G9" s="90">
        <f t="shared" si="2"/>
        <v>1.1538604629887286</v>
      </c>
      <c r="H9" s="90"/>
      <c r="I9" s="130">
        <f t="shared" si="0"/>
        <v>7.4292414874260739</v>
      </c>
      <c r="J9" s="130"/>
      <c r="K9" s="78"/>
      <c r="L9" s="87"/>
      <c r="M9" s="87"/>
      <c r="N9" s="79"/>
      <c r="O9" s="79"/>
      <c r="P9" s="129" t="s">
        <v>4</v>
      </c>
      <c r="Q9" s="116">
        <v>5650416</v>
      </c>
      <c r="R9" s="116">
        <v>7094442382</v>
      </c>
      <c r="S9" s="116">
        <v>760564.32</v>
      </c>
      <c r="T9" s="130">
        <f t="shared" si="1"/>
        <v>7.4292414874260739</v>
      </c>
      <c r="U9" s="85"/>
    </row>
    <row r="10" spans="1:21" ht="15" hidden="1" customHeight="1">
      <c r="A10" s="129" t="s">
        <v>5</v>
      </c>
      <c r="B10" s="131">
        <f>F8+F9+F10</f>
        <v>686734.85714285716</v>
      </c>
      <c r="C10" s="131">
        <f>AVERAGE(F8:F10)</f>
        <v>228911.61904761905</v>
      </c>
      <c r="D10" s="90">
        <f>C10/C7-1</f>
        <v>0.69306449296670514</v>
      </c>
      <c r="E10" s="286"/>
      <c r="F10" s="78">
        <f>Q10/21</f>
        <v>292744.09523809527</v>
      </c>
      <c r="G10" s="90">
        <f t="shared" si="2"/>
        <v>8.7995290966187412E-2</v>
      </c>
      <c r="H10" s="90"/>
      <c r="I10" s="130">
        <f t="shared" si="0"/>
        <v>7.4478285006266285</v>
      </c>
      <c r="J10" s="130"/>
      <c r="K10" s="85">
        <f>R8+R9+R10</f>
        <v>17987045602</v>
      </c>
      <c r="L10" s="87">
        <f>U10/U7-1</f>
        <v>0.76356834481699343</v>
      </c>
      <c r="M10" s="87"/>
      <c r="N10" s="88">
        <f>AVERAGE(T8:T10)</f>
        <v>6.6704534184797977</v>
      </c>
      <c r="O10" s="89">
        <f>N10/N7-1</f>
        <v>0.33265924403792879</v>
      </c>
      <c r="P10" s="129" t="s">
        <v>5</v>
      </c>
      <c r="Q10" s="116">
        <v>6147626</v>
      </c>
      <c r="R10" s="116">
        <v>7714715180</v>
      </c>
      <c r="S10" s="116">
        <v>825425.29</v>
      </c>
      <c r="T10" s="130">
        <f t="shared" si="1"/>
        <v>7.4478285006266285</v>
      </c>
      <c r="U10" s="85">
        <f>Q8+Q9+Q10</f>
        <v>14421432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334634.33333333331</v>
      </c>
      <c r="G11" s="90">
        <f t="shared" si="2"/>
        <v>0.14309507442385061</v>
      </c>
      <c r="H11" s="90"/>
      <c r="I11" s="130">
        <f t="shared" si="0"/>
        <v>7.2545463782033464</v>
      </c>
      <c r="J11" s="130"/>
      <c r="K11" s="78"/>
      <c r="L11" s="87"/>
      <c r="M11" s="87"/>
      <c r="N11" s="79"/>
      <c r="O11" s="89"/>
      <c r="P11" s="129" t="s">
        <v>6</v>
      </c>
      <c r="Q11" s="116">
        <v>7027321</v>
      </c>
      <c r="R11" s="116">
        <v>9056055095</v>
      </c>
      <c r="S11" s="116">
        <v>968678.21</v>
      </c>
      <c r="T11" s="130">
        <f t="shared" si="1"/>
        <v>7.2545463782033464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412030.22727272729</v>
      </c>
      <c r="G12" s="90">
        <f t="shared" si="2"/>
        <v>0.23128497655468894</v>
      </c>
      <c r="H12" s="90"/>
      <c r="I12" s="130">
        <f t="shared" si="0"/>
        <v>7.9512789721125925</v>
      </c>
      <c r="J12" s="130"/>
      <c r="K12" s="78"/>
      <c r="L12" s="87"/>
      <c r="M12" s="87"/>
      <c r="N12" s="79"/>
      <c r="O12" s="89"/>
      <c r="P12" s="129" t="s">
        <v>7</v>
      </c>
      <c r="Q12" s="116">
        <v>9064665</v>
      </c>
      <c r="R12" s="116">
        <v>11776787130</v>
      </c>
      <c r="S12" s="116">
        <v>1140026.03</v>
      </c>
      <c r="T12" s="130">
        <f t="shared" si="1"/>
        <v>7.9512789721125925</v>
      </c>
      <c r="U12" s="85"/>
    </row>
    <row r="13" spans="1:21" ht="15" hidden="1" customHeight="1">
      <c r="A13" s="129" t="s">
        <v>96</v>
      </c>
      <c r="B13" s="131">
        <f>F11+F12+F13</f>
        <v>1095166.5606060605</v>
      </c>
      <c r="C13" s="131">
        <f>AVERAGE(F11:F13)</f>
        <v>365055.52020202018</v>
      </c>
      <c r="D13" s="90">
        <f>C13/C10-1</f>
        <v>0.59474438965057508</v>
      </c>
      <c r="E13" s="286"/>
      <c r="F13" s="78">
        <f>Q13/20</f>
        <v>348502</v>
      </c>
      <c r="G13" s="90">
        <f t="shared" si="2"/>
        <v>-0.1541834143898313</v>
      </c>
      <c r="H13" s="90"/>
      <c r="I13" s="130">
        <f t="shared" si="0"/>
        <v>7.7004462719967171</v>
      </c>
      <c r="J13" s="130"/>
      <c r="K13" s="78">
        <f>R11+R12+R13</f>
        <v>30342374812</v>
      </c>
      <c r="L13" s="87">
        <f>U13/U10-1</f>
        <v>0.59914951580397835</v>
      </c>
      <c r="M13" s="87"/>
      <c r="N13" s="88">
        <f>AVERAGE(T11:T13)</f>
        <v>7.6354238741042186</v>
      </c>
      <c r="O13" s="89">
        <f>N13/N10-1</f>
        <v>0.14466339768614089</v>
      </c>
      <c r="P13" s="129" t="s">
        <v>96</v>
      </c>
      <c r="Q13" s="116">
        <v>6970040</v>
      </c>
      <c r="R13" s="116">
        <v>9509532587</v>
      </c>
      <c r="S13" s="116">
        <v>905147.54</v>
      </c>
      <c r="T13" s="130">
        <f t="shared" si="1"/>
        <v>7.7004462719967171</v>
      </c>
      <c r="U13" s="85">
        <f>Q11+Q12+Q13</f>
        <v>23062026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358215.95</v>
      </c>
      <c r="G14" s="90">
        <f t="shared" si="2"/>
        <v>2.7873441185416459E-2</v>
      </c>
      <c r="H14" s="90"/>
      <c r="I14" s="130">
        <f t="shared" si="0"/>
        <v>7.7037650561227728</v>
      </c>
      <c r="J14" s="130"/>
      <c r="K14" s="78"/>
      <c r="L14" s="87"/>
      <c r="M14" s="87"/>
      <c r="N14" s="79"/>
      <c r="O14" s="89"/>
      <c r="P14" s="129" t="s">
        <v>97</v>
      </c>
      <c r="Q14" s="116">
        <v>7164319</v>
      </c>
      <c r="R14" s="116">
        <v>10216672232</v>
      </c>
      <c r="S14" s="116">
        <v>929976.31</v>
      </c>
      <c r="T14" s="130">
        <f t="shared" si="1"/>
        <v>7.7037650561227728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419790.13636363635</v>
      </c>
      <c r="G15" s="90">
        <f t="shared" si="2"/>
        <v>0.17189124706377901</v>
      </c>
      <c r="H15" s="90"/>
      <c r="I15" s="130">
        <f t="shared" si="0"/>
        <v>7.2831008430263502</v>
      </c>
      <c r="J15" s="130"/>
      <c r="K15" s="78"/>
      <c r="L15" s="87"/>
      <c r="M15" s="87"/>
      <c r="N15" s="79"/>
      <c r="O15" s="89"/>
      <c r="P15" s="129" t="s">
        <v>98</v>
      </c>
      <c r="Q15" s="116">
        <v>9235383</v>
      </c>
      <c r="R15" s="116">
        <v>12736827828</v>
      </c>
      <c r="S15" s="116">
        <v>1268056.45</v>
      </c>
      <c r="T15" s="130">
        <f t="shared" si="1"/>
        <v>7.2831008430263502</v>
      </c>
      <c r="U15" s="78"/>
    </row>
    <row r="16" spans="1:21" ht="15" hidden="1" customHeight="1">
      <c r="A16" s="129" t="s">
        <v>99</v>
      </c>
      <c r="B16" s="131">
        <f>F14+F15+F16</f>
        <v>1007974.0863636364</v>
      </c>
      <c r="C16" s="131">
        <f>AVERAGE(F14:F16)</f>
        <v>335991.36212121212</v>
      </c>
      <c r="D16" s="90">
        <f>C16/C13-1</f>
        <v>-7.9615719999862167E-2</v>
      </c>
      <c r="E16" s="286"/>
      <c r="F16" s="78">
        <f>Q16/22</f>
        <v>229968</v>
      </c>
      <c r="G16" s="90">
        <f t="shared" si="2"/>
        <v>-0.45218341242588422</v>
      </c>
      <c r="H16" s="90"/>
      <c r="I16" s="130">
        <f t="shared" si="0"/>
        <v>6.8298888961292183</v>
      </c>
      <c r="J16" s="130"/>
      <c r="K16" s="78">
        <f>R14+R15+R16</f>
        <v>29579966970</v>
      </c>
      <c r="L16" s="87">
        <f>U16/U13-1</f>
        <v>-6.9509417776217886E-2</v>
      </c>
      <c r="M16" s="87"/>
      <c r="N16" s="88">
        <f>AVERAGE(T14:T16)</f>
        <v>7.2722515984261138</v>
      </c>
      <c r="O16" s="89">
        <f>N16/N13-1</f>
        <v>-4.7564127632758524E-2</v>
      </c>
      <c r="P16" s="129" t="s">
        <v>99</v>
      </c>
      <c r="Q16" s="116">
        <v>5059296</v>
      </c>
      <c r="R16" s="116">
        <v>6626466910</v>
      </c>
      <c r="S16" s="116">
        <v>740758.17</v>
      </c>
      <c r="T16" s="130">
        <f t="shared" si="1"/>
        <v>6.8298888961292183</v>
      </c>
      <c r="U16" s="85">
        <f>Q14+Q15+Q16</f>
        <v>21458998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367135.05</v>
      </c>
      <c r="G17" s="90">
        <f t="shared" ref="G17:G22" si="3">F17/F16-1</f>
        <v>0.59646146420371515</v>
      </c>
      <c r="H17" s="90">
        <f t="shared" ref="H17:H22" si="4">F17/F5-1</f>
        <v>2.7468820212248617</v>
      </c>
      <c r="I17" s="130">
        <f t="shared" si="0"/>
        <v>8.7228050756319266</v>
      </c>
      <c r="J17" s="130">
        <f t="shared" ref="J17:J49" si="5">I17/I5-1</f>
        <v>0.76478793207202811</v>
      </c>
      <c r="K17" s="78"/>
      <c r="L17" s="87"/>
      <c r="M17" s="87"/>
      <c r="N17" s="79"/>
      <c r="O17" s="89"/>
      <c r="P17" s="129" t="s">
        <v>100</v>
      </c>
      <c r="Q17" s="116">
        <v>7342701</v>
      </c>
      <c r="R17" s="116">
        <v>9193377455</v>
      </c>
      <c r="S17" s="116">
        <v>841782.08</v>
      </c>
      <c r="T17" s="130">
        <f t="shared" si="1"/>
        <v>8.7228050756319266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619291.35</v>
      </c>
      <c r="G18" s="90">
        <f t="shared" si="3"/>
        <v>0.68682164778328847</v>
      </c>
      <c r="H18" s="90">
        <f t="shared" si="4"/>
        <v>3.5024781060844115</v>
      </c>
      <c r="I18" s="130">
        <f t="shared" si="0"/>
        <v>9.0669437708622311</v>
      </c>
      <c r="J18" s="130">
        <f t="shared" si="5"/>
        <v>0.88680317972352518</v>
      </c>
      <c r="K18" s="78"/>
      <c r="L18" s="87"/>
      <c r="M18" s="87"/>
      <c r="N18" s="79"/>
      <c r="O18" s="89"/>
      <c r="P18" s="129" t="s">
        <v>106</v>
      </c>
      <c r="Q18" s="116">
        <v>12385827</v>
      </c>
      <c r="R18" s="116">
        <v>15567105899</v>
      </c>
      <c r="S18" s="116">
        <v>1366042.11</v>
      </c>
      <c r="T18" s="130">
        <f t="shared" ref="T18" si="6">Q18/S18</f>
        <v>9.0669437708622311</v>
      </c>
      <c r="U18" s="78"/>
    </row>
    <row r="19" spans="1:21" hidden="1">
      <c r="A19" s="129" t="s">
        <v>114</v>
      </c>
      <c r="B19" s="131">
        <f>SUM(F17:F19)</f>
        <v>1684732.8090909091</v>
      </c>
      <c r="C19" s="131">
        <f>AVERAGE(F17:F19)</f>
        <v>561577.60303030303</v>
      </c>
      <c r="D19" s="90">
        <f>C19/C16-1</f>
        <v>0.67140488221155081</v>
      </c>
      <c r="E19" s="286">
        <f>C19/C7-1</f>
        <v>3.1535117513548814</v>
      </c>
      <c r="F19" s="78">
        <f>Q19/22</f>
        <v>698306.40909090906</v>
      </c>
      <c r="G19" s="90">
        <f t="shared" si="3"/>
        <v>0.12758947640865492</v>
      </c>
      <c r="H19" s="90">
        <f t="shared" si="4"/>
        <v>3.105565014427043</v>
      </c>
      <c r="I19" s="130">
        <f t="shared" si="0"/>
        <v>9.5680192852867432</v>
      </c>
      <c r="J19" s="130">
        <f t="shared" si="5"/>
        <v>0.81626446951755893</v>
      </c>
      <c r="K19" s="78">
        <f>R17+R18+R19</f>
        <v>44854125612</v>
      </c>
      <c r="L19" s="87">
        <f>U19/U16-1</f>
        <v>0.63527062167581172</v>
      </c>
      <c r="M19" s="87">
        <f>U19/U7-1</f>
        <v>3.2912417565646654</v>
      </c>
      <c r="N19" s="88">
        <f>AVERAGE(T17:T19)</f>
        <v>9.119256043926967</v>
      </c>
      <c r="O19" s="89">
        <f>N19/N16-1</f>
        <v>0.25397972285510417</v>
      </c>
      <c r="P19" s="129" t="s">
        <v>115</v>
      </c>
      <c r="Q19" s="116">
        <v>15362741</v>
      </c>
      <c r="R19" s="116">
        <v>20093642258</v>
      </c>
      <c r="S19" s="116">
        <v>1605634.41</v>
      </c>
      <c r="T19" s="130">
        <f t="shared" ref="T19" si="7">Q19/S19</f>
        <v>9.5680192852867432</v>
      </c>
      <c r="U19" s="85">
        <f>Q17+Q18+Q19</f>
        <v>35091269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635530.35</v>
      </c>
      <c r="G20" s="90">
        <f t="shared" si="3"/>
        <v>-8.9897584031391253E-2</v>
      </c>
      <c r="H20" s="90">
        <f t="shared" si="4"/>
        <v>4.0873630493369264</v>
      </c>
      <c r="I20" s="130">
        <f t="shared" si="0"/>
        <v>10.721395695417584</v>
      </c>
      <c r="J20" s="130">
        <f t="shared" si="5"/>
        <v>1.0881943047748019</v>
      </c>
      <c r="K20" s="78"/>
      <c r="L20" s="87"/>
      <c r="M20" s="87"/>
      <c r="N20" s="79"/>
      <c r="O20" s="89"/>
      <c r="P20" s="129" t="s">
        <v>132</v>
      </c>
      <c r="Q20" s="116">
        <v>12710607</v>
      </c>
      <c r="R20" s="116">
        <v>16695233437</v>
      </c>
      <c r="S20" s="116">
        <v>1185536.6000000001</v>
      </c>
      <c r="T20" s="130">
        <f t="shared" ref="T20" si="8">Q20/S20</f>
        <v>10.721395695417584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868308.14285714284</v>
      </c>
      <c r="G21" s="90">
        <f t="shared" si="3"/>
        <v>0.36627329105076245</v>
      </c>
      <c r="H21" s="90">
        <f t="shared" si="4"/>
        <v>2.2271023938768399</v>
      </c>
      <c r="I21" s="130">
        <f t="shared" si="0"/>
        <v>9.578348348261116</v>
      </c>
      <c r="J21" s="130">
        <f t="shared" si="5"/>
        <v>0.28927675382101747</v>
      </c>
      <c r="K21" s="78"/>
      <c r="L21" s="87"/>
      <c r="M21" s="87"/>
      <c r="N21" s="79"/>
      <c r="O21" s="89"/>
      <c r="P21" s="129" t="s">
        <v>141</v>
      </c>
      <c r="Q21" s="116">
        <v>18234471</v>
      </c>
      <c r="R21" s="116">
        <v>24281643697</v>
      </c>
      <c r="S21" s="116">
        <v>1903717.67</v>
      </c>
      <c r="T21" s="130">
        <f t="shared" ref="T21" si="9">Q21/S21</f>
        <v>9.578348348261116</v>
      </c>
      <c r="U21" s="78"/>
    </row>
    <row r="22" spans="1:21" hidden="1">
      <c r="A22" s="129" t="s">
        <v>156</v>
      </c>
      <c r="B22" s="131">
        <f>SUM(F20:F22)</f>
        <v>2293744.7309523812</v>
      </c>
      <c r="C22" s="131">
        <f>AVERAGE(F20:F22)</f>
        <v>764581.57698412705</v>
      </c>
      <c r="D22" s="90">
        <f>C22/C19-1</f>
        <v>0.36148872899916884</v>
      </c>
      <c r="E22" s="286">
        <f>C22/C10-1</f>
        <v>2.3400732569414746</v>
      </c>
      <c r="F22" s="78">
        <f>Q22/21</f>
        <v>789906.23809523811</v>
      </c>
      <c r="G22" s="90">
        <f t="shared" si="3"/>
        <v>-9.0292720858203057E-2</v>
      </c>
      <c r="H22" s="90">
        <f t="shared" si="4"/>
        <v>1.6982823938866805</v>
      </c>
      <c r="I22" s="130">
        <f t="shared" si="0"/>
        <v>10.265829087645082</v>
      </c>
      <c r="J22" s="130">
        <f t="shared" si="5"/>
        <v>0.37836539694507731</v>
      </c>
      <c r="K22" s="78">
        <f>R20+R21+R22</f>
        <v>62493920958</v>
      </c>
      <c r="L22" s="87">
        <f>U22/U19-1</f>
        <v>0.35455657075268499</v>
      </c>
      <c r="M22" s="87">
        <f>U22/U10-1</f>
        <v>2.2960047934213468</v>
      </c>
      <c r="N22" s="88">
        <f>AVERAGE(T20:T22)</f>
        <v>10.188524377107926</v>
      </c>
      <c r="O22" s="89">
        <f>N22/N19-1</f>
        <v>0.1172538996635637</v>
      </c>
      <c r="P22" s="129" t="s">
        <v>156</v>
      </c>
      <c r="Q22" s="116">
        <v>16588031</v>
      </c>
      <c r="R22" s="116">
        <v>21517043824</v>
      </c>
      <c r="S22" s="116">
        <v>1615849.13</v>
      </c>
      <c r="T22" s="130">
        <f t="shared" ref="T22:T23" si="10">Q22/S22</f>
        <v>10.265829087645082</v>
      </c>
      <c r="U22" s="85">
        <f>Q20+Q21+Q22</f>
        <v>47533109</v>
      </c>
    </row>
    <row r="23" spans="1:21" hidden="1">
      <c r="A23" s="129" t="s">
        <v>189</v>
      </c>
      <c r="B23" s="131"/>
      <c r="C23" s="131"/>
      <c r="D23" s="117"/>
      <c r="F23" s="78">
        <f>Q23/21</f>
        <v>799639.80952380947</v>
      </c>
      <c r="G23" s="90">
        <f t="shared" ref="G23" si="11">F23/F22-1</f>
        <v>1.2322438992307116E-2</v>
      </c>
      <c r="H23" s="90">
        <f t="shared" ref="H23" si="12">F23/F11-1</f>
        <v>1.3895928476869064</v>
      </c>
      <c r="I23" s="130">
        <f t="shared" si="0"/>
        <v>10.310786748109452</v>
      </c>
      <c r="J23" s="130">
        <f t="shared" si="5"/>
        <v>0.42128621288971768</v>
      </c>
      <c r="K23" s="98"/>
      <c r="L23" s="87"/>
      <c r="M23" s="87"/>
      <c r="N23" s="79"/>
      <c r="O23" s="89"/>
      <c r="P23" s="129" t="s">
        <v>189</v>
      </c>
      <c r="Q23" s="116">
        <v>16792436</v>
      </c>
      <c r="R23" s="116">
        <v>21719143780</v>
      </c>
      <c r="S23" s="116">
        <v>1628628</v>
      </c>
      <c r="T23" s="130">
        <f t="shared" si="10"/>
        <v>10.310786748109452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972295.90909090906</v>
      </c>
      <c r="G24" s="90">
        <f t="shared" ref="G24" si="13">F24/F23-1</f>
        <v>0.21591733867016627</v>
      </c>
      <c r="H24" s="90">
        <f t="shared" ref="H24" si="14">F24/F12-1</f>
        <v>1.3597683973980281</v>
      </c>
      <c r="I24" s="130">
        <f t="shared" si="0"/>
        <v>10.734441454234133</v>
      </c>
      <c r="J24" s="130">
        <f t="shared" si="5"/>
        <v>0.35002701978925499</v>
      </c>
      <c r="K24" s="98"/>
      <c r="L24" s="87"/>
      <c r="M24" s="87"/>
      <c r="N24" s="79"/>
      <c r="O24" s="89"/>
      <c r="P24" s="129" t="s">
        <v>204</v>
      </c>
      <c r="Q24" s="116">
        <v>21390510</v>
      </c>
      <c r="R24" s="116">
        <v>28007094813</v>
      </c>
      <c r="S24" s="116">
        <v>1992698.93</v>
      </c>
      <c r="T24" s="130">
        <f t="shared" ref="T24" si="15">Q24/S24</f>
        <v>10.734441454234133</v>
      </c>
      <c r="U24" s="78"/>
    </row>
    <row r="25" spans="1:21" s="92" customFormat="1" ht="13.2" hidden="1">
      <c r="A25" s="129" t="s">
        <v>219</v>
      </c>
      <c r="B25" s="131">
        <f>SUM(F23:F25)</f>
        <v>3319500.6659831395</v>
      </c>
      <c r="C25" s="131">
        <f>AVERAGE(F23:F25)</f>
        <v>1106500.2219943798</v>
      </c>
      <c r="D25" s="90">
        <f>C25/C22-1</f>
        <v>0.44719707524073793</v>
      </c>
      <c r="E25" s="286">
        <f>C25/C13-1</f>
        <v>2.0310464046182544</v>
      </c>
      <c r="F25" s="78">
        <f>Q25/19</f>
        <v>1547564.9473684211</v>
      </c>
      <c r="G25" s="90">
        <f t="shared" ref="G25" si="16">F25/F24-1</f>
        <v>0.59166045326199646</v>
      </c>
      <c r="H25" s="90">
        <f t="shared" ref="H25" si="17">F25/F13-1</f>
        <v>3.4406199888907985</v>
      </c>
      <c r="I25" s="130">
        <f t="shared" si="0"/>
        <v>10.869714725297747</v>
      </c>
      <c r="J25" s="130">
        <f t="shared" si="5"/>
        <v>0.41156945212725216</v>
      </c>
      <c r="K25" s="78">
        <f>R23+R24+R25</f>
        <v>88751057932</v>
      </c>
      <c r="L25" s="90">
        <f>U25/U22-1</f>
        <v>0.4218863739798715</v>
      </c>
      <c r="M25" s="90">
        <f>U25/U13-1</f>
        <v>1.9306479838328165</v>
      </c>
      <c r="N25" s="88">
        <f>AVERAGE(T23:T25)</f>
        <v>10.638314309213778</v>
      </c>
      <c r="O25" s="91">
        <f>N25/N22-1</f>
        <v>4.4146719923099154E-2</v>
      </c>
      <c r="P25" s="129" t="s">
        <v>219</v>
      </c>
      <c r="Q25" s="116">
        <v>29403734</v>
      </c>
      <c r="R25" s="116">
        <v>39024819339</v>
      </c>
      <c r="S25" s="116">
        <v>2705106.32</v>
      </c>
      <c r="T25" s="130">
        <f t="shared" ref="T25" si="18">Q25/S25</f>
        <v>10.869714725297747</v>
      </c>
      <c r="U25" s="85">
        <f>Q23+Q24+Q25</f>
        <v>67586680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1304222</v>
      </c>
      <c r="G26" s="90">
        <f t="shared" ref="G26" si="19">F26/F25-1</f>
        <v>-0.15724247811519454</v>
      </c>
      <c r="H26" s="90">
        <f t="shared" ref="H26" si="20">F26/F14-1</f>
        <v>2.6408819875273561</v>
      </c>
      <c r="I26" s="130">
        <f t="shared" si="0"/>
        <v>10.971164857962673</v>
      </c>
      <c r="J26" s="130">
        <f t="shared" si="5"/>
        <v>0.42413025034337548</v>
      </c>
      <c r="K26" s="78"/>
      <c r="L26" s="90"/>
      <c r="M26" s="90"/>
      <c r="N26" s="79"/>
      <c r="O26" s="79"/>
      <c r="P26" s="129" t="s">
        <v>312</v>
      </c>
      <c r="Q26" s="116">
        <v>24780218</v>
      </c>
      <c r="R26" s="116">
        <v>33413848647</v>
      </c>
      <c r="S26" s="116">
        <v>2258667.91</v>
      </c>
      <c r="T26" s="130">
        <f t="shared" ref="T26" si="21">Q26/S26</f>
        <v>10.971164857962673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1242151.1818181819</v>
      </c>
      <c r="G27" s="90">
        <f t="shared" ref="G27" si="22">F27/F26-1</f>
        <v>-4.7592218335389291E-2</v>
      </c>
      <c r="H27" s="90">
        <f t="shared" ref="H27" si="23">F27/F15-1</f>
        <v>1.958981343816494</v>
      </c>
      <c r="I27" s="130">
        <f t="shared" si="0"/>
        <v>10.178104422902535</v>
      </c>
      <c r="J27" s="130">
        <f t="shared" si="5"/>
        <v>0.39749601746187313</v>
      </c>
      <c r="K27" s="78"/>
      <c r="L27" s="90"/>
      <c r="M27" s="90"/>
      <c r="N27" s="79"/>
      <c r="O27" s="79"/>
      <c r="P27" s="129" t="s">
        <v>375</v>
      </c>
      <c r="Q27" s="116">
        <v>27327326</v>
      </c>
      <c r="R27" s="116">
        <v>36159874075</v>
      </c>
      <c r="S27" s="116">
        <v>2684913.11</v>
      </c>
      <c r="T27" s="130">
        <f t="shared" ref="T27" si="24">Q27/S27</f>
        <v>10.178104422902535</v>
      </c>
      <c r="U27" s="78"/>
    </row>
    <row r="28" spans="1:21" s="92" customFormat="1" ht="13.2" hidden="1">
      <c r="A28" s="123" t="s">
        <v>413</v>
      </c>
      <c r="B28" s="131">
        <f>SUM(F26:F28)</f>
        <v>4231264.4449760765</v>
      </c>
      <c r="C28" s="131">
        <f>AVERAGE(F26:F28)</f>
        <v>1410421.4816586922</v>
      </c>
      <c r="D28" s="90">
        <f>C28/C25-1</f>
        <v>0.27466895498359523</v>
      </c>
      <c r="E28" s="286">
        <f>C28/C16-1</f>
        <v>3.1977908978203704</v>
      </c>
      <c r="F28" s="78">
        <f>Q28/19</f>
        <v>1684891.2631578948</v>
      </c>
      <c r="G28" s="90">
        <f t="shared" ref="G28" si="25">F28/F27-1</f>
        <v>0.35643010916888418</v>
      </c>
      <c r="H28" s="90">
        <f t="shared" ref="H28" si="26">F28/F16-1</f>
        <v>6.3266335453536788</v>
      </c>
      <c r="I28" s="130">
        <f t="shared" si="0"/>
        <v>9.9737078089021676</v>
      </c>
      <c r="J28" s="130">
        <f t="shared" si="5"/>
        <v>0.46030308261012598</v>
      </c>
      <c r="K28" s="78">
        <f>R26+R27+R28</f>
        <v>111348308198</v>
      </c>
      <c r="L28" s="90">
        <f>U28/U25-1</f>
        <v>0.24463101309311241</v>
      </c>
      <c r="M28" s="90">
        <f>U28/U16-1</f>
        <v>2.9200561927448803</v>
      </c>
      <c r="N28" s="88">
        <f>AVERAGE(T26:T28)</f>
        <v>10.374325696589125</v>
      </c>
      <c r="O28" s="91">
        <f>N28/N25-1</f>
        <v>-2.4814891246070281E-2</v>
      </c>
      <c r="P28" s="129" t="s">
        <v>413</v>
      </c>
      <c r="Q28" s="116">
        <v>32012934</v>
      </c>
      <c r="R28" s="116">
        <v>41774585476</v>
      </c>
      <c r="S28" s="116">
        <v>3209732.49</v>
      </c>
      <c r="T28" s="130">
        <f t="shared" ref="T28" si="27">Q28/S28</f>
        <v>9.9737078089021676</v>
      </c>
      <c r="U28" s="85">
        <f>Q26+Q27+Q28</f>
        <v>84120478</v>
      </c>
    </row>
    <row r="29" spans="1:21" s="92" customFormat="1" ht="13.2" hidden="1">
      <c r="A29" s="129" t="s">
        <v>427</v>
      </c>
      <c r="B29" s="188"/>
      <c r="C29" s="188"/>
      <c r="D29" s="189"/>
      <c r="E29" s="287"/>
      <c r="F29" s="136">
        <f>Q29/22</f>
        <v>1080188.8636363635</v>
      </c>
      <c r="G29" s="190">
        <f t="shared" ref="G29" si="28">F29/F28-1</f>
        <v>-0.35889698803955594</v>
      </c>
      <c r="H29" s="190">
        <f t="shared" ref="H29" si="29">F29/F17-1</f>
        <v>1.9422112207384274</v>
      </c>
      <c r="I29" s="130">
        <f t="shared" si="0"/>
        <v>10.196112693460956</v>
      </c>
      <c r="J29" s="130">
        <f t="shared" si="5"/>
        <v>0.16890296241341773</v>
      </c>
      <c r="K29" s="136"/>
      <c r="L29" s="190"/>
      <c r="M29" s="190"/>
      <c r="N29" s="191"/>
      <c r="O29" s="192"/>
      <c r="P29" s="129" t="s">
        <v>427</v>
      </c>
      <c r="Q29" s="116">
        <v>23764155</v>
      </c>
      <c r="R29" s="116">
        <v>31321946605</v>
      </c>
      <c r="S29" s="116">
        <v>2330707.37</v>
      </c>
      <c r="T29" s="130">
        <f t="shared" ref="T29" si="30">Q29/S29</f>
        <v>10.196112693460956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1519335.3157894737</v>
      </c>
      <c r="G30" s="190">
        <f t="shared" ref="G30" si="31">F30/F29-1</f>
        <v>0.40654599111007417</v>
      </c>
      <c r="H30" s="190">
        <f t="shared" ref="H30" si="32">F30/F18-1</f>
        <v>1.453344965644157</v>
      </c>
      <c r="I30" s="130">
        <f t="shared" si="0"/>
        <v>10.268841006309296</v>
      </c>
      <c r="J30" s="130">
        <f t="shared" si="5"/>
        <v>0.13255814371646535</v>
      </c>
      <c r="K30" s="136"/>
      <c r="L30" s="190"/>
      <c r="M30" s="190"/>
      <c r="N30" s="191"/>
      <c r="O30" s="192"/>
      <c r="P30" s="129" t="s">
        <v>466</v>
      </c>
      <c r="Q30" s="116">
        <v>28867371</v>
      </c>
      <c r="R30" s="116">
        <v>38471145523</v>
      </c>
      <c r="S30" s="116">
        <v>2811161.55</v>
      </c>
      <c r="T30" s="130">
        <f t="shared" ref="T30" si="33">Q30/S30</f>
        <v>10.268841006309296</v>
      </c>
      <c r="U30" s="85"/>
    </row>
    <row r="31" spans="1:21" s="92" customFormat="1" ht="13.2" hidden="1">
      <c r="A31" s="129" t="s">
        <v>505</v>
      </c>
      <c r="B31" s="188">
        <f>SUM(F29:F31)</f>
        <v>3907837.5794258374</v>
      </c>
      <c r="C31" s="188">
        <f>AVERAGE(F29:F31)</f>
        <v>1302612.5264752791</v>
      </c>
      <c r="D31" s="190">
        <f>C31/C28-1</f>
        <v>-7.6437402992917347E-2</v>
      </c>
      <c r="E31" s="287">
        <f>C31/C19-1</f>
        <v>1.319559254938786</v>
      </c>
      <c r="F31" s="136">
        <f>Q31/20</f>
        <v>1308313.3999999999</v>
      </c>
      <c r="G31" s="190">
        <f t="shared" ref="G31" si="34">F31/F30-1</f>
        <v>-0.1388909436886373</v>
      </c>
      <c r="H31" s="190">
        <f t="shared" ref="H31" si="35">F31/F19-1</f>
        <v>0.87355204387029617</v>
      </c>
      <c r="I31" s="130">
        <f t="shared" si="0"/>
        <v>10.361127241718149</v>
      </c>
      <c r="J31" s="130">
        <f t="shared" si="5"/>
        <v>8.2891550778018575E-2</v>
      </c>
      <c r="K31" s="136">
        <f>R29+R30+R31</f>
        <v>104551230414</v>
      </c>
      <c r="L31" s="190">
        <f>U31/U28-1</f>
        <v>-6.327453346140044E-2</v>
      </c>
      <c r="M31" s="190">
        <f>U31/U19-1</f>
        <v>1.2455099586167715</v>
      </c>
      <c r="N31" s="191">
        <f>AVERAGE(T29:T31)</f>
        <v>10.275360313829466</v>
      </c>
      <c r="O31" s="192">
        <f>N31/N28-1</f>
        <v>-9.5394520717810849E-3</v>
      </c>
      <c r="P31" s="129" t="s">
        <v>506</v>
      </c>
      <c r="Q31" s="116">
        <v>26166268</v>
      </c>
      <c r="R31" s="116">
        <v>34758138286</v>
      </c>
      <c r="S31" s="116">
        <v>2525426.7599999998</v>
      </c>
      <c r="T31" s="130">
        <f t="shared" ref="T31" si="36">Q31/S31</f>
        <v>10.361127241718149</v>
      </c>
      <c r="U31" s="85">
        <f>Q29+Q30+Q31</f>
        <v>78797794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1859001.0476190476</v>
      </c>
      <c r="G32" s="190">
        <f t="shared" ref="G32" si="37">F32/F31-1</f>
        <v>0.4209141690508158</v>
      </c>
      <c r="H32" s="190">
        <f t="shared" ref="H32" si="38">F32/F20-1</f>
        <v>1.9251176558586818</v>
      </c>
      <c r="I32" s="130">
        <f t="shared" si="0"/>
        <v>10.601560828910534</v>
      </c>
      <c r="J32" s="130">
        <f t="shared" si="5"/>
        <v>-1.117717039007049E-2</v>
      </c>
      <c r="K32" s="136"/>
      <c r="L32" s="190"/>
      <c r="M32" s="190"/>
      <c r="N32" s="191"/>
      <c r="O32" s="192"/>
      <c r="P32" s="129" t="s">
        <v>562</v>
      </c>
      <c r="Q32" s="116">
        <v>39039022</v>
      </c>
      <c r="R32" s="116">
        <v>53164849300</v>
      </c>
      <c r="S32" s="116">
        <v>3682384.38</v>
      </c>
      <c r="T32" s="130">
        <f t="shared" ref="T32" si="39">Q32/S32</f>
        <v>10.601560828910534</v>
      </c>
      <c r="U32" s="85"/>
    </row>
    <row r="33" spans="1:21" s="92" customFormat="1" ht="13.2" hidden="1">
      <c r="A33" s="129" t="s">
        <v>640</v>
      </c>
      <c r="B33" s="188"/>
      <c r="C33" s="188"/>
      <c r="D33" s="190"/>
      <c r="E33" s="287"/>
      <c r="F33" s="136">
        <f>Q33/21</f>
        <v>1759391.9047619049</v>
      </c>
      <c r="G33" s="190">
        <f t="shared" ref="G33" si="40">F33/F32-1</f>
        <v>-5.3582080001901566E-2</v>
      </c>
      <c r="H33" s="190">
        <f t="shared" ref="H33" si="41">F33/F21-1</f>
        <v>1.0262298807571661</v>
      </c>
      <c r="I33" s="130">
        <f t="shared" si="0"/>
        <v>10.618163032042684</v>
      </c>
      <c r="J33" s="130">
        <f t="shared" si="5"/>
        <v>0.10855887110958329</v>
      </c>
      <c r="K33" s="136"/>
      <c r="L33" s="190"/>
      <c r="M33" s="190"/>
      <c r="N33" s="191"/>
      <c r="O33" s="192"/>
      <c r="P33" s="129" t="s">
        <v>640</v>
      </c>
      <c r="Q33" s="116">
        <v>36947230</v>
      </c>
      <c r="R33" s="116">
        <v>50472589279</v>
      </c>
      <c r="S33" s="116">
        <v>3479625.42</v>
      </c>
      <c r="T33" s="130">
        <f t="shared" ref="T33" si="42">Q33/S33</f>
        <v>10.618163032042684</v>
      </c>
      <c r="U33" s="85"/>
    </row>
    <row r="34" spans="1:21" s="92" customFormat="1" ht="13.2" hidden="1">
      <c r="A34" s="129" t="s">
        <v>652</v>
      </c>
      <c r="B34" s="188">
        <f>SUM(F32:F34)</f>
        <v>6162726.4786967421</v>
      </c>
      <c r="C34" s="188">
        <f>AVERAGE(F32:F34)</f>
        <v>2054242.1595655808</v>
      </c>
      <c r="D34" s="190">
        <f>C34/C31-1</f>
        <v>0.57701704675305532</v>
      </c>
      <c r="E34" s="287">
        <f>C34/C22-1</f>
        <v>1.686753410497396</v>
      </c>
      <c r="F34" s="136">
        <f>Q34/19</f>
        <v>2544333.5263157897</v>
      </c>
      <c r="G34" s="190">
        <f t="shared" ref="G34" si="43">F34/F33-1</f>
        <v>0.44614370421359273</v>
      </c>
      <c r="H34" s="190">
        <f t="shared" ref="H34" si="44">F34/F22-1</f>
        <v>2.2210576440706906</v>
      </c>
      <c r="I34" s="130">
        <f t="shared" si="0"/>
        <v>10.994734843275642</v>
      </c>
      <c r="J34" s="130">
        <f t="shared" si="5"/>
        <v>7.1003106461980492E-2</v>
      </c>
      <c r="K34" s="136">
        <f>R32+R33+R34</f>
        <v>170092132959</v>
      </c>
      <c r="L34" s="190">
        <f>U34/U31-1</f>
        <v>0.57781814297999246</v>
      </c>
      <c r="M34" s="190">
        <f>U34/U22-1</f>
        <v>1.6156208086451911</v>
      </c>
      <c r="N34" s="191">
        <f>AVERAGE(T32:T34)</f>
        <v>10.73815290140962</v>
      </c>
      <c r="O34" s="192">
        <f>N34/N31-1</f>
        <v>4.5039061740471231E-2</v>
      </c>
      <c r="P34" s="129" t="s">
        <v>652</v>
      </c>
      <c r="Q34" s="116">
        <v>48342337</v>
      </c>
      <c r="R34" s="116">
        <v>66454694380</v>
      </c>
      <c r="S34" s="116">
        <v>4396862.47</v>
      </c>
      <c r="T34" s="130">
        <f t="shared" ref="T34" si="45">Q34/S34</f>
        <v>10.994734843275642</v>
      </c>
      <c r="U34" s="85">
        <f>Q32+Q33+Q34</f>
        <v>124328589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1768028.6521739131</v>
      </c>
      <c r="G35" s="190">
        <f t="shared" ref="G35" si="46">F35/F34-1</f>
        <v>-0.30511128596649462</v>
      </c>
      <c r="H35" s="190">
        <f t="shared" ref="H35" si="47">F35/F23-1</f>
        <v>1.2110313057410003</v>
      </c>
      <c r="I35" s="130">
        <f t="shared" si="0"/>
        <v>10.542871976817777</v>
      </c>
      <c r="J35" s="130">
        <f t="shared" si="5"/>
        <v>2.2508973793961884E-2</v>
      </c>
      <c r="K35" s="136"/>
      <c r="L35" s="190"/>
      <c r="M35" s="190"/>
      <c r="N35" s="191"/>
      <c r="O35" s="192"/>
      <c r="P35" s="129" t="s">
        <v>660</v>
      </c>
      <c r="Q35" s="116">
        <v>40664659</v>
      </c>
      <c r="R35" s="116">
        <v>56296778761</v>
      </c>
      <c r="S35" s="116">
        <v>3857076.05</v>
      </c>
      <c r="T35" s="130">
        <f t="shared" ref="T35" si="48">Q35/S35</f>
        <v>10.542871976817777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1215466.1904761905</v>
      </c>
      <c r="G36" s="190">
        <f t="shared" ref="G36" si="49">F36/F35-1</f>
        <v>-0.31253026415511365</v>
      </c>
      <c r="H36" s="190">
        <f t="shared" ref="H36" si="50">F36/F24-1</f>
        <v>0.25009904815154904</v>
      </c>
      <c r="I36" s="130">
        <f t="shared" si="0"/>
        <v>10.765056076471403</v>
      </c>
      <c r="J36" s="130">
        <f t="shared" si="5"/>
        <v>2.8519995537534815E-3</v>
      </c>
      <c r="K36" s="136"/>
      <c r="L36" s="190"/>
      <c r="M36" s="190"/>
      <c r="N36" s="191"/>
      <c r="O36" s="192"/>
      <c r="P36" s="129" t="s">
        <v>693</v>
      </c>
      <c r="Q36" s="116">
        <v>25524790</v>
      </c>
      <c r="R36" s="116">
        <v>34805029193</v>
      </c>
      <c r="S36" s="116">
        <v>2371078.2200000002</v>
      </c>
      <c r="T36" s="130">
        <f t="shared" ref="T36" si="51">Q36/S36</f>
        <v>10.765056076471403</v>
      </c>
      <c r="U36" s="85"/>
    </row>
    <row r="37" spans="1:21" s="92" customFormat="1" ht="13.2" hidden="1">
      <c r="A37" s="129" t="s">
        <v>702</v>
      </c>
      <c r="B37" s="188">
        <f>SUM(F35:F37)</f>
        <v>4636422.9537612144</v>
      </c>
      <c r="C37" s="188">
        <f>AVERAGE(F35:F37)</f>
        <v>1545474.3179204047</v>
      </c>
      <c r="D37" s="190">
        <f>C37/C34-1</f>
        <v>-0.24766692635339904</v>
      </c>
      <c r="E37" s="287">
        <f>C37/C25-1</f>
        <v>0.39672300755151113</v>
      </c>
      <c r="F37" s="136">
        <f>Q37/18</f>
        <v>1652928.111111111</v>
      </c>
      <c r="G37" s="190">
        <f t="shared" ref="G37" si="52">F37/F36-1</f>
        <v>0.3599128664068667</v>
      </c>
      <c r="H37" s="190">
        <f t="shared" ref="H37" si="53">F37/F25-1</f>
        <v>6.8083193485259708E-2</v>
      </c>
      <c r="I37" s="130">
        <f t="shared" si="0"/>
        <v>10.562121197351187</v>
      </c>
      <c r="J37" s="130">
        <f t="shared" si="5"/>
        <v>-2.8298215336845844E-2</v>
      </c>
      <c r="K37" s="136">
        <f>R35+R36+R37</f>
        <v>130799431007</v>
      </c>
      <c r="L37" s="190">
        <f>U37/U34-1</f>
        <v>-0.2283178328356964</v>
      </c>
      <c r="M37" s="190">
        <f>U37/U25-1</f>
        <v>0.41954235657085093</v>
      </c>
      <c r="N37" s="191">
        <f>AVERAGE(T35:T37)</f>
        <v>10.623349750213457</v>
      </c>
      <c r="O37" s="192">
        <f>N37/N34-1</f>
        <v>-1.0691145139225311E-2</v>
      </c>
      <c r="P37" s="129" t="s">
        <v>702</v>
      </c>
      <c r="Q37" s="116">
        <v>29752706</v>
      </c>
      <c r="R37" s="116">
        <v>39697623053</v>
      </c>
      <c r="S37" s="116">
        <v>2816925.26</v>
      </c>
      <c r="T37" s="130">
        <f t="shared" ref="T37" si="54">Q37/S37</f>
        <v>10.562121197351187</v>
      </c>
      <c r="U37" s="85">
        <f>Q35+Q36+Q37</f>
        <v>95942155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1556530.2</v>
      </c>
      <c r="G38" s="190">
        <f t="shared" ref="G38" si="55">F38/F37-1</f>
        <v>-5.8319481932164408E-2</v>
      </c>
      <c r="H38" s="190">
        <f t="shared" ref="H38" si="56">F38/F26-1</f>
        <v>0.19345494862071022</v>
      </c>
      <c r="I38" s="130">
        <f t="shared" si="0"/>
        <v>10.422392384592357</v>
      </c>
      <c r="J38" s="130">
        <f t="shared" si="5"/>
        <v>-5.0019526684263349E-2</v>
      </c>
      <c r="K38" s="136"/>
      <c r="L38" s="190"/>
      <c r="M38" s="190"/>
      <c r="N38" s="191"/>
      <c r="O38" s="192"/>
      <c r="P38" s="129" t="s">
        <v>727</v>
      </c>
      <c r="Q38" s="116">
        <v>31130604</v>
      </c>
      <c r="R38" s="116">
        <v>41956381333</v>
      </c>
      <c r="S38" s="116">
        <v>2986896.18</v>
      </c>
      <c r="T38" s="130">
        <f t="shared" ref="T38" si="57">Q38/S38</f>
        <v>10.422392384592357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1234569.857142857</v>
      </c>
      <c r="G39" s="190">
        <f t="shared" ref="G39" si="58">F39/F38-1</f>
        <v>-0.20684490596915039</v>
      </c>
      <c r="H39" s="190">
        <f t="shared" ref="H39" si="59">F39/F27-1</f>
        <v>-6.1033832163873702E-3</v>
      </c>
      <c r="I39" s="130">
        <f t="shared" si="0"/>
        <v>10.556459214931913</v>
      </c>
      <c r="J39" s="130">
        <f t="shared" si="5"/>
        <v>3.7173404428629375E-2</v>
      </c>
      <c r="K39" s="136"/>
      <c r="L39" s="190"/>
      <c r="M39" s="190"/>
      <c r="N39" s="191"/>
      <c r="O39" s="192"/>
      <c r="P39" s="129" t="s">
        <v>762</v>
      </c>
      <c r="Q39" s="116">
        <v>25925967</v>
      </c>
      <c r="R39" s="116">
        <v>36011826217</v>
      </c>
      <c r="S39" s="116">
        <v>2455933.9900000002</v>
      </c>
      <c r="T39" s="130">
        <f t="shared" ref="T39" si="60">Q39/S39</f>
        <v>10.556459214931913</v>
      </c>
      <c r="U39" s="85"/>
    </row>
    <row r="40" spans="1:21" s="92" customFormat="1" ht="13.2" hidden="1">
      <c r="A40" s="129" t="s">
        <v>778</v>
      </c>
      <c r="B40" s="188">
        <f>SUM(F38:F40)</f>
        <v>5079619.6761904759</v>
      </c>
      <c r="C40" s="188">
        <f>AVERAGE(F38:F40)</f>
        <v>1693206.5587301587</v>
      </c>
      <c r="D40" s="190">
        <f>C40/C37-1</f>
        <v>9.5590226959282543E-2</v>
      </c>
      <c r="E40" s="287">
        <f>C40/C28-1</f>
        <v>0.20049685909413673</v>
      </c>
      <c r="F40" s="136">
        <f>Q40/21</f>
        <v>2288519.6190476189</v>
      </c>
      <c r="G40" s="190">
        <f t="shared" ref="G40" si="61">F40/F39-1</f>
        <v>0.85369795464138343</v>
      </c>
      <c r="H40" s="190">
        <f t="shared" ref="H40" si="62">F40/F28-1</f>
        <v>0.35825953228481833</v>
      </c>
      <c r="I40" s="130">
        <f t="shared" si="0"/>
        <v>11.296513492403047</v>
      </c>
      <c r="J40" s="130">
        <f t="shared" si="5"/>
        <v>0.13262927978702077</v>
      </c>
      <c r="K40" s="136">
        <f>R38+R39+R40</f>
        <v>146208427092</v>
      </c>
      <c r="L40" s="190">
        <f>U40/U37-1</f>
        <v>9.5613111879757184E-2</v>
      </c>
      <c r="M40" s="190">
        <f>U40/U28-1</f>
        <v>0.24958256894355735</v>
      </c>
      <c r="N40" s="191">
        <f>AVERAGE(T38:T40)</f>
        <v>10.758455030642438</v>
      </c>
      <c r="O40" s="192">
        <f>N40/N37-1</f>
        <v>1.2717766392494667E-2</v>
      </c>
      <c r="P40" s="129" t="s">
        <v>778</v>
      </c>
      <c r="Q40" s="116">
        <v>48058912</v>
      </c>
      <c r="R40" s="116">
        <v>68240219542</v>
      </c>
      <c r="S40" s="116">
        <v>4254313.6900000004</v>
      </c>
      <c r="T40" s="130">
        <f t="shared" ref="T40" si="63">Q40/S40</f>
        <v>11.296513492403047</v>
      </c>
      <c r="U40" s="85">
        <f>Q38+Q39+Q40</f>
        <v>105115483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1287209.9444444445</v>
      </c>
      <c r="G41" s="190">
        <f t="shared" ref="G41" si="64">F41/F40-1</f>
        <v>-0.4375359801459231</v>
      </c>
      <c r="H41" s="190">
        <f t="shared" ref="H41" si="65">F41/F29-1</f>
        <v>0.19165267091456784</v>
      </c>
      <c r="I41" s="130">
        <f t="shared" si="0"/>
        <v>11.447062404297915</v>
      </c>
      <c r="J41" s="130">
        <f t="shared" si="5"/>
        <v>0.1226888862889115</v>
      </c>
      <c r="K41" s="194"/>
      <c r="L41" s="202"/>
      <c r="M41" s="202"/>
      <c r="N41" s="194"/>
      <c r="O41" s="194"/>
      <c r="P41" s="129" t="s">
        <v>823</v>
      </c>
      <c r="Q41" s="116">
        <v>23169779</v>
      </c>
      <c r="R41" s="116">
        <v>33889003402</v>
      </c>
      <c r="S41" s="116">
        <v>2024080.78</v>
      </c>
      <c r="T41" s="130">
        <f t="shared" ref="T41" si="66">Q41/S41</f>
        <v>11.447062404297915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1189706</v>
      </c>
      <c r="G42" s="190">
        <f t="shared" ref="G42" si="67">F42/F41-1</f>
        <v>-7.5748284003917421E-2</v>
      </c>
      <c r="H42" s="190">
        <f t="shared" ref="H42" si="68">F42/F30-1</f>
        <v>-0.21695626525879341</v>
      </c>
      <c r="I42" s="130">
        <f t="shared" si="0"/>
        <v>10.939556249717793</v>
      </c>
      <c r="J42" s="130">
        <f t="shared" si="5"/>
        <v>6.5315573879895616E-2</v>
      </c>
      <c r="K42" s="194"/>
      <c r="L42" s="202"/>
      <c r="M42" s="202"/>
      <c r="N42" s="194"/>
      <c r="O42" s="194"/>
      <c r="P42" s="129" t="s">
        <v>826</v>
      </c>
      <c r="Q42" s="116">
        <v>23794120</v>
      </c>
      <c r="R42" s="116">
        <v>34353860965</v>
      </c>
      <c r="S42" s="116">
        <v>2175053.4900000002</v>
      </c>
      <c r="T42" s="130">
        <f t="shared" ref="T42" si="69">Q42/S42</f>
        <v>10.939556249717793</v>
      </c>
      <c r="U42" s="175"/>
    </row>
    <row r="43" spans="1:21" s="92" customFormat="1" ht="13.2">
      <c r="A43" s="129" t="s">
        <v>835</v>
      </c>
      <c r="B43" s="188">
        <f>SUM(F41:F43)</f>
        <v>3633182.8444444444</v>
      </c>
      <c r="C43" s="188">
        <f>AVERAGE(F41:F43)</f>
        <v>1211060.9481481481</v>
      </c>
      <c r="D43" s="190">
        <f>C43/C40-1</f>
        <v>-0.28475297836290081</v>
      </c>
      <c r="E43" s="287">
        <f>C43/C31-1</f>
        <v>-7.0283047695586909E-2</v>
      </c>
      <c r="F43" s="136">
        <f>Q43/20</f>
        <v>1156266.8999999999</v>
      </c>
      <c r="G43" s="190">
        <f t="shared" ref="G43" si="70">F43/F42-1</f>
        <v>-2.8107028122914435E-2</v>
      </c>
      <c r="H43" s="190">
        <f t="shared" ref="H43" si="71">F43/F31-1</f>
        <v>-0.11621565597356109</v>
      </c>
      <c r="I43" s="130">
        <f t="shared" si="0"/>
        <v>10.302522043254697</v>
      </c>
      <c r="J43" s="130">
        <f t="shared" si="5"/>
        <v>-5.6562569975477928E-3</v>
      </c>
      <c r="K43" s="136">
        <f>R41+R42+R43</f>
        <v>101744760386</v>
      </c>
      <c r="L43" s="190">
        <f>U43/U40-1</f>
        <v>-0.3332168106957184</v>
      </c>
      <c r="M43" s="190">
        <f>K43/K31-1</f>
        <v>-2.6843012912301401E-2</v>
      </c>
      <c r="N43" s="191">
        <f>AVERAGE(T41:T43)</f>
        <v>10.896380232423468</v>
      </c>
      <c r="O43" s="192">
        <f>N43/N40-1</f>
        <v>1.2820168080657446E-2</v>
      </c>
      <c r="P43" s="129" t="s">
        <v>835</v>
      </c>
      <c r="Q43" s="116">
        <v>23125338</v>
      </c>
      <c r="R43" s="116">
        <v>33501896019</v>
      </c>
      <c r="S43" s="116">
        <v>2244628.83</v>
      </c>
      <c r="T43" s="130">
        <f t="shared" ref="T43" si="72">Q43/S43</f>
        <v>10.302522043254697</v>
      </c>
      <c r="U43" s="85">
        <f>Q41+Q42+Q43</f>
        <v>70089237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552798.31818181823</v>
      </c>
      <c r="G44" s="190">
        <f t="shared" ref="G44" si="73">F44/F43-1</f>
        <v>-0.521911145098231</v>
      </c>
      <c r="H44" s="190">
        <f t="shared" ref="H44" si="74">F44/F32-1</f>
        <v>-0.70263689797817719</v>
      </c>
      <c r="I44" s="130">
        <f t="shared" si="0"/>
        <v>10.375722312556379</v>
      </c>
      <c r="J44" s="130">
        <f t="shared" si="5"/>
        <v>-2.1302383677155534E-2</v>
      </c>
      <c r="K44" s="136"/>
      <c r="L44" s="190"/>
      <c r="M44" s="190"/>
      <c r="N44" s="191"/>
      <c r="O44" s="192"/>
      <c r="P44" s="129" t="s">
        <v>843</v>
      </c>
      <c r="Q44" s="116">
        <v>12161563</v>
      </c>
      <c r="R44" s="116">
        <v>17603908072</v>
      </c>
      <c r="S44" s="116">
        <v>1172117.24</v>
      </c>
      <c r="T44" s="130">
        <f t="shared" ref="T44" si="75">Q44/S44</f>
        <v>10.375722312556379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964381.75</v>
      </c>
      <c r="G45" s="190">
        <f t="shared" ref="G45" si="76">F45/F44-1</f>
        <v>0.7445453762809926</v>
      </c>
      <c r="H45" s="190">
        <f t="shared" ref="H45" si="77">F45/F33-1</f>
        <v>-0.45186643897255629</v>
      </c>
      <c r="I45" s="130">
        <f t="shared" si="0"/>
        <v>9.7926530469006625</v>
      </c>
      <c r="J45" s="130">
        <f t="shared" si="5"/>
        <v>-7.7745084780753593E-2</v>
      </c>
      <c r="K45" s="136"/>
      <c r="L45" s="190"/>
      <c r="M45" s="190"/>
      <c r="N45" s="191"/>
      <c r="O45" s="192"/>
      <c r="P45" s="129" t="s">
        <v>849</v>
      </c>
      <c r="Q45" s="116">
        <v>19287635</v>
      </c>
      <c r="R45" s="116">
        <v>27052319597</v>
      </c>
      <c r="S45" s="116">
        <v>1969602.61</v>
      </c>
      <c r="T45" s="130">
        <f t="shared" ref="T45" si="78">Q45/S45</f>
        <v>9.7926530469006625</v>
      </c>
      <c r="U45" s="85"/>
    </row>
    <row r="46" spans="1:21" s="92" customFormat="1" ht="13.2">
      <c r="A46" s="129" t="s">
        <v>893</v>
      </c>
      <c r="B46" s="188">
        <f>SUM(F44:F46)</f>
        <v>2717608.3313397132</v>
      </c>
      <c r="C46" s="188">
        <f>AVERAGE(F44:F46)</f>
        <v>905869.4437799044</v>
      </c>
      <c r="D46" s="190">
        <f>C46/C43-1</f>
        <v>-0.25200342297794076</v>
      </c>
      <c r="E46" s="287">
        <f>C46/C34-1</f>
        <v>-0.55902499636582648</v>
      </c>
      <c r="F46" s="136">
        <f>Q46/19</f>
        <v>1200428.2631578948</v>
      </c>
      <c r="G46" s="190">
        <f t="shared" ref="G46" si="79">F46/F45-1</f>
        <v>0.24476459986711152</v>
      </c>
      <c r="H46" s="190">
        <f t="shared" ref="H46" si="80">F46/F34-1</f>
        <v>-0.52819539940735594</v>
      </c>
      <c r="I46" s="130">
        <f t="shared" si="0"/>
        <v>10.677331818966458</v>
      </c>
      <c r="J46" s="130">
        <f t="shared" si="5"/>
        <v>-2.8868638383153677E-2</v>
      </c>
      <c r="K46" s="136">
        <f>R44+R45+R46</f>
        <v>75880645977</v>
      </c>
      <c r="L46" s="190">
        <f>U46/U43-1</f>
        <v>-0.22588207088058332</v>
      </c>
      <c r="M46" s="190">
        <f>K46/K34-1</f>
        <v>-0.55388503479293361</v>
      </c>
      <c r="N46" s="191">
        <f>AVERAGE(T44:T46)</f>
        <v>10.281902392807833</v>
      </c>
      <c r="O46" s="192">
        <f>N46/N43-1</f>
        <v>-5.6392841155375906E-2</v>
      </c>
      <c r="P46" s="129" t="s">
        <v>957</v>
      </c>
      <c r="Q46" s="116">
        <v>22808137</v>
      </c>
      <c r="R46" s="116">
        <v>31224418308</v>
      </c>
      <c r="S46" s="116">
        <v>2136127.02</v>
      </c>
      <c r="T46" s="130">
        <f t="shared" ref="T46" si="81">Q46/S46</f>
        <v>10.677331818966458</v>
      </c>
      <c r="U46" s="85">
        <f t="shared" ref="U46:U51" si="82">Q44+Q45+Q46</f>
        <v>54257335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846462.82608695654</v>
      </c>
      <c r="G47" s="190">
        <f t="shared" ref="G47" si="83">F47/F46-1</f>
        <v>-0.29486596403502074</v>
      </c>
      <c r="H47" s="190">
        <f t="shared" ref="H47" si="84">F47/F35-1</f>
        <v>-0.52123919199715907</v>
      </c>
      <c r="I47" s="130">
        <f t="shared" si="0"/>
        <v>9.5917267584352857</v>
      </c>
      <c r="J47" s="130">
        <f t="shared" si="5"/>
        <v>-9.0216899197288924E-2</v>
      </c>
      <c r="K47" s="136"/>
      <c r="L47" s="190"/>
      <c r="M47" s="190"/>
      <c r="N47" s="191"/>
      <c r="O47" s="192"/>
      <c r="P47" s="129" t="s">
        <v>991</v>
      </c>
      <c r="Q47" s="116">
        <v>19468645</v>
      </c>
      <c r="R47" s="116">
        <v>26666840272</v>
      </c>
      <c r="S47" s="116">
        <v>2029733.07</v>
      </c>
      <c r="T47" s="130">
        <f t="shared" ref="T47" si="85">Q47/S47</f>
        <v>9.5917267584352857</v>
      </c>
      <c r="U47" s="85">
        <f t="shared" si="82"/>
        <v>61564417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664658.9</v>
      </c>
      <c r="G48" s="190">
        <f t="shared" ref="G48" si="86">F48/F47-1</f>
        <v>-0.21478075644196093</v>
      </c>
      <c r="H48" s="190">
        <f t="shared" ref="H48" si="87">F48/F36-1</f>
        <v>-0.45316545601354608</v>
      </c>
      <c r="I48" s="130">
        <f t="shared" si="0"/>
        <v>10.247525261183704</v>
      </c>
      <c r="J48" s="130">
        <f t="shared" si="5"/>
        <v>-4.8075069150716132E-2</v>
      </c>
      <c r="K48" s="136"/>
      <c r="L48" s="190"/>
      <c r="M48" s="190"/>
      <c r="N48" s="191"/>
      <c r="O48" s="192"/>
      <c r="P48" s="129" t="s">
        <v>1070</v>
      </c>
      <c r="Q48" s="116">
        <v>13293178</v>
      </c>
      <c r="R48" s="116">
        <v>18448919766</v>
      </c>
      <c r="S48" s="116">
        <v>1297208.6100000001</v>
      </c>
      <c r="T48" s="130">
        <f t="shared" ref="T48" si="88">Q48/S48</f>
        <v>10.247525261183704</v>
      </c>
      <c r="U48" s="85">
        <f t="shared" si="82"/>
        <v>55569960</v>
      </c>
    </row>
    <row r="49" spans="1:26" ht="13.2">
      <c r="A49" s="129" t="s">
        <v>1158</v>
      </c>
      <c r="B49" s="188">
        <f>SUM(F47:F49)</f>
        <v>2371501.3169960473</v>
      </c>
      <c r="C49" s="188">
        <f>AVERAGE(F47:F49)</f>
        <v>790500.43899868242</v>
      </c>
      <c r="D49" s="190">
        <f>C49/C46-1</f>
        <v>-0.12735720977608422</v>
      </c>
      <c r="E49" s="287">
        <f>C49/C37-1</f>
        <v>-0.48850625996659558</v>
      </c>
      <c r="F49" s="136">
        <f>Q49/22</f>
        <v>860379.59090909094</v>
      </c>
      <c r="G49" s="190">
        <f t="shared" ref="G49" si="89">F49/F48-1</f>
        <v>0.29446787052590562</v>
      </c>
      <c r="H49" s="190">
        <f t="shared" ref="H49" si="90">F49/F37-1</f>
        <v>-0.47948154240613816</v>
      </c>
      <c r="I49" s="130">
        <f t="shared" si="0"/>
        <v>9.0788109345726777</v>
      </c>
      <c r="J49" s="130">
        <f t="shared" si="5"/>
        <v>-0.14043677733507742</v>
      </c>
      <c r="K49" s="136">
        <f>R47+R48+R49</f>
        <v>71431089086</v>
      </c>
      <c r="L49" s="190">
        <f>U49/U46-1</f>
        <v>-4.7314542817114003E-2</v>
      </c>
      <c r="M49" s="190">
        <f>K49/K37-1</f>
        <v>-0.45388838058341996</v>
      </c>
      <c r="N49" s="191">
        <f>AVERAGE(T47:T49)</f>
        <v>9.639354318063889</v>
      </c>
      <c r="O49" s="192">
        <f>N49/N46-1</f>
        <v>-6.2493111702111137E-2</v>
      </c>
      <c r="P49" s="129" t="s">
        <v>1158</v>
      </c>
      <c r="Q49" s="116">
        <v>18928351</v>
      </c>
      <c r="R49" s="116">
        <v>26315329048</v>
      </c>
      <c r="S49" s="116">
        <v>2084893.18</v>
      </c>
      <c r="T49" s="130">
        <f t="shared" ref="T49" si="91">Q49/S49</f>
        <v>9.0788109345726777</v>
      </c>
      <c r="U49" s="85">
        <f t="shared" si="82"/>
        <v>51690174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503803.05555555556</v>
      </c>
      <c r="G50" s="190">
        <f t="shared" ref="G50" si="92">F50/F49-1</f>
        <v>-0.41444095039117657</v>
      </c>
      <c r="H50" s="190">
        <f t="shared" ref="H50" si="93">F50/F38-1</f>
        <v>-0.67632940526592056</v>
      </c>
      <c r="I50" s="130">
        <f t="shared" ref="I50" si="94">T50</f>
        <v>9.5780164920986124</v>
      </c>
      <c r="J50" s="130">
        <f t="shared" ref="J50" si="95">I50/I38-1</f>
        <v>-8.1015553947287877E-2</v>
      </c>
      <c r="K50" s="136"/>
      <c r="L50" s="190"/>
      <c r="M50" s="190"/>
      <c r="N50" s="191"/>
      <c r="O50" s="192"/>
      <c r="P50" s="129" t="s">
        <v>1364</v>
      </c>
      <c r="Q50" s="116">
        <v>9068455</v>
      </c>
      <c r="R50" s="116">
        <v>12865596471</v>
      </c>
      <c r="S50" s="116">
        <v>946798.85</v>
      </c>
      <c r="T50" s="130">
        <f t="shared" ref="T50" si="96">Q50/S50</f>
        <v>9.5780164920986124</v>
      </c>
      <c r="U50" s="85">
        <f t="shared" si="82"/>
        <v>41289984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531792.75</v>
      </c>
      <c r="G51" s="190">
        <f t="shared" ref="G51:G52" si="97">F51/F50-1</f>
        <v>5.5556817561536187E-2</v>
      </c>
      <c r="H51" s="190">
        <f t="shared" ref="H51:H52" si="98">F51/F39-1</f>
        <v>-0.5692485549333608</v>
      </c>
      <c r="I51" s="130">
        <f t="shared" ref="I51:I52" si="99">T51</f>
        <v>9.5967179643318801</v>
      </c>
      <c r="J51" s="130">
        <f t="shared" ref="J51:J52" si="100">I51/I39-1</f>
        <v>-9.091507209562244E-2</v>
      </c>
      <c r="K51" s="136"/>
      <c r="L51" s="190"/>
      <c r="M51" s="190"/>
      <c r="N51" s="191"/>
      <c r="O51" s="192"/>
      <c r="P51" s="129" t="s">
        <v>1402</v>
      </c>
      <c r="Q51" s="116">
        <v>10635855</v>
      </c>
      <c r="R51" s="116">
        <v>15380926134</v>
      </c>
      <c r="S51" s="116">
        <v>1108280.46</v>
      </c>
      <c r="T51" s="130">
        <f t="shared" ref="T51:T52" si="101">Q51/S51</f>
        <v>9.5967179643318801</v>
      </c>
      <c r="U51" s="85">
        <f t="shared" si="82"/>
        <v>38632661</v>
      </c>
    </row>
    <row r="52" spans="1:26" s="79" customFormat="1" ht="13.2">
      <c r="A52" s="129" t="s">
        <v>1403</v>
      </c>
      <c r="B52" s="188">
        <f>SUM(F50:F52)</f>
        <v>1535024.9873737374</v>
      </c>
      <c r="C52" s="188">
        <f>AVERAGE(F50:F52)</f>
        <v>511674.99579124578</v>
      </c>
      <c r="D52" s="190">
        <f>C52/C49-1</f>
        <v>-0.35272016238298554</v>
      </c>
      <c r="E52" s="287">
        <f>C52/C40-1</f>
        <v>-0.69780710265203383</v>
      </c>
      <c r="F52" s="136">
        <f>Q52/22</f>
        <v>499429.18181818182</v>
      </c>
      <c r="G52" s="190">
        <f t="shared" si="97"/>
        <v>-6.0857482885613212E-2</v>
      </c>
      <c r="H52" s="190">
        <f t="shared" si="98"/>
        <v>-0.78176757688185239</v>
      </c>
      <c r="I52" s="130">
        <f t="shared" si="99"/>
        <v>9.6585386393471211</v>
      </c>
      <c r="J52" s="130">
        <f t="shared" si="100"/>
        <v>-0.14499826465550381</v>
      </c>
      <c r="K52" s="136">
        <f>R50+R51+R52</f>
        <v>44406692553</v>
      </c>
      <c r="L52" s="190">
        <f>U52/U49-1</f>
        <v>-0.4062362413405689</v>
      </c>
      <c r="M52" s="190">
        <f>K52/K40-1</f>
        <v>-0.69627815963673845</v>
      </c>
      <c r="N52" s="191">
        <f>AVERAGE(T50:T52)</f>
        <v>9.6110910319258718</v>
      </c>
      <c r="O52" s="192">
        <f>N52/N49-1</f>
        <v>-2.9320725440139528E-3</v>
      </c>
      <c r="P52" s="129" t="s">
        <v>1403</v>
      </c>
      <c r="Q52" s="116">
        <v>10987442</v>
      </c>
      <c r="R52" s="116">
        <v>16160169948</v>
      </c>
      <c r="S52" s="116">
        <v>1137588.45</v>
      </c>
      <c r="T52" s="130">
        <f t="shared" si="101"/>
        <v>9.6585386393471211</v>
      </c>
      <c r="U52" s="85">
        <f t="shared" ref="U52" si="102">Q50+Q51+Q52</f>
        <v>30691752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480023.42857142858</v>
      </c>
      <c r="G53" s="190">
        <f t="shared" ref="G53" si="103">F53/F52-1</f>
        <v>-3.8855865762801867E-2</v>
      </c>
      <c r="H53" s="190">
        <f t="shared" ref="H53" si="104">F53/F41-1</f>
        <v>-0.62708225597293299</v>
      </c>
      <c r="I53" s="130">
        <f t="shared" ref="I53" si="105">T53</f>
        <v>9.5282744691939705</v>
      </c>
      <c r="J53" s="130">
        <f t="shared" ref="J53" si="106">I53/I41-1</f>
        <v>-0.16762273737439537</v>
      </c>
      <c r="K53" s="136"/>
      <c r="L53" s="190"/>
      <c r="M53" s="190"/>
      <c r="N53" s="191"/>
      <c r="O53" s="192"/>
      <c r="P53" s="129" t="s">
        <v>1414</v>
      </c>
      <c r="Q53" s="116">
        <v>10080492</v>
      </c>
      <c r="R53" s="116">
        <v>14705980472</v>
      </c>
      <c r="S53" s="116">
        <v>1057955.67</v>
      </c>
      <c r="T53" s="130">
        <f t="shared" ref="T53" si="107">Q53/S53</f>
        <v>9.5282744691939705</v>
      </c>
      <c r="U53" s="85">
        <f t="shared" ref="U53" si="108">Q51+Q52+Q53</f>
        <v>31703789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529856.70588235289</v>
      </c>
      <c r="G54" s="190">
        <f t="shared" ref="G54" si="109">F54/F53-1</f>
        <v>0.10381426060646737</v>
      </c>
      <c r="H54" s="190">
        <f t="shared" ref="H54" si="110">F54/F42-1</f>
        <v>-0.55463223192759137</v>
      </c>
      <c r="I54" s="130">
        <f t="shared" ref="I54" si="111">T54</f>
        <v>8.9189545433698036</v>
      </c>
      <c r="J54" s="130">
        <f t="shared" ref="J54" si="112">I54/I42-1</f>
        <v>-0.18470600271378601</v>
      </c>
      <c r="K54" s="136"/>
      <c r="L54" s="190"/>
      <c r="M54" s="190"/>
      <c r="N54" s="191"/>
      <c r="O54" s="192"/>
      <c r="P54" s="129" t="s">
        <v>1417</v>
      </c>
      <c r="Q54" s="116">
        <v>9007564</v>
      </c>
      <c r="R54" s="116">
        <v>13041015410</v>
      </c>
      <c r="S54" s="116">
        <v>1009934.96</v>
      </c>
      <c r="T54" s="130">
        <f t="shared" ref="T54" si="113">Q54/S54</f>
        <v>8.9189545433698036</v>
      </c>
      <c r="U54" s="85">
        <f t="shared" ref="U54" si="114">Q52+Q53+Q54</f>
        <v>30075498</v>
      </c>
    </row>
    <row r="55" spans="1:26" s="79" customFormat="1" ht="13.2">
      <c r="A55" s="129" t="s">
        <v>1418</v>
      </c>
      <c r="B55" s="188">
        <f>SUM(F53:F55)</f>
        <v>1586860.7535014004</v>
      </c>
      <c r="C55" s="188">
        <f>AVERAGE(F53:F55)</f>
        <v>528953.58450046682</v>
      </c>
      <c r="D55" s="190">
        <f>C55/C52-1</f>
        <v>3.3768679046944028E-2</v>
      </c>
      <c r="E55" s="287">
        <f>C55/C43-1</f>
        <v>-0.563231243390931</v>
      </c>
      <c r="F55" s="136">
        <f>Q55/21</f>
        <v>576980.61904761905</v>
      </c>
      <c r="G55" s="190">
        <f t="shared" ref="G55" si="115">F55/F54-1</f>
        <v>8.8937089296232008E-2</v>
      </c>
      <c r="H55" s="190">
        <f t="shared" ref="H55" si="116">F55/F43-1</f>
        <v>-0.50099702841306004</v>
      </c>
      <c r="I55" s="130">
        <f>T55</f>
        <v>9.5484567754691696</v>
      </c>
      <c r="J55" s="130">
        <f t="shared" ref="J55" si="117">I55/I43-1</f>
        <v>-7.3192298411943857E-2</v>
      </c>
      <c r="K55" s="136">
        <f>R53+R54+R55</f>
        <v>45544157616</v>
      </c>
      <c r="L55" s="190">
        <f>U55/U52-1</f>
        <v>1.6711232385821395E-2</v>
      </c>
      <c r="M55" s="190">
        <f>K55/K43-1</f>
        <v>-0.55236852056838848</v>
      </c>
      <c r="N55" s="191">
        <f>AVERAGE(T53:T55)</f>
        <v>9.3318952626776479</v>
      </c>
      <c r="O55" s="192">
        <f>N55/N52-1</f>
        <v>-2.9049331477643769E-2</v>
      </c>
      <c r="P55" s="129" t="s">
        <v>1418</v>
      </c>
      <c r="Q55" s="116">
        <v>12116593</v>
      </c>
      <c r="R55" s="116">
        <v>17797161734</v>
      </c>
      <c r="S55" s="116">
        <v>1268958.25</v>
      </c>
      <c r="T55" s="130">
        <f t="shared" ref="T55" si="118">Q55/S55</f>
        <v>9.5484567754691696</v>
      </c>
      <c r="U55" s="85">
        <f t="shared" ref="U55" si="119">Q53+Q54+Q55</f>
        <v>31204649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643941.86363636365</v>
      </c>
      <c r="G56" s="190">
        <f t="shared" ref="G56" si="120">F56/F55-1</f>
        <v>0.11605458203998742</v>
      </c>
      <c r="H56" s="190">
        <f t="shared" ref="H56" si="121">F56/F44-1</f>
        <v>0.16487666922417765</v>
      </c>
      <c r="I56" s="291">
        <f>T56</f>
        <v>9.6073020840009669</v>
      </c>
      <c r="J56" s="130">
        <f t="shared" ref="J56" si="122">I56/I44-1</f>
        <v>-7.4059444288085197E-2</v>
      </c>
      <c r="K56" s="136"/>
      <c r="L56" s="190"/>
      <c r="M56" s="190"/>
      <c r="N56" s="191"/>
      <c r="O56" s="192"/>
      <c r="P56" s="129" t="s">
        <v>1420</v>
      </c>
      <c r="Q56" s="116">
        <v>14166721</v>
      </c>
      <c r="R56" s="116">
        <v>21198178121</v>
      </c>
      <c r="S56" s="116">
        <v>1474578.49</v>
      </c>
      <c r="T56" s="130">
        <f t="shared" ref="T56" si="123">Q56/S56</f>
        <v>9.6073020840009669</v>
      </c>
      <c r="U56" s="85">
        <f t="shared" ref="U56" si="124">Q54+Q55+Q56</f>
        <v>35290878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740493.08333333337</v>
      </c>
      <c r="G57" s="254">
        <f t="shared" ref="G57" si="125">F57/F56-1</f>
        <v>0.14993778965035975</v>
      </c>
      <c r="H57" s="254">
        <f t="shared" ref="H57" si="126">F57/F45-1</f>
        <v>-0.23215771831711518</v>
      </c>
      <c r="I57" s="282">
        <f>T57</f>
        <v>9.8768481360503966</v>
      </c>
      <c r="J57" s="277">
        <f t="shared" ref="J57" si="127">I57/I45-1</f>
        <v>8.5977812903705875E-3</v>
      </c>
      <c r="K57" s="204"/>
      <c r="L57" s="254"/>
      <c r="M57" s="254"/>
      <c r="N57" s="257"/>
      <c r="O57" s="258"/>
      <c r="P57" s="129" t="s">
        <v>1436</v>
      </c>
      <c r="Q57" s="116">
        <v>8885917</v>
      </c>
      <c r="R57" s="116">
        <v>13074121624</v>
      </c>
      <c r="S57" s="116">
        <v>899671.32</v>
      </c>
      <c r="T57" s="130">
        <f t="shared" ref="T57" si="128">Q57/S57</f>
        <v>9.8768481360503966</v>
      </c>
      <c r="U57" s="85">
        <f t="shared" ref="U57" si="129">Q55+Q56+Q57</f>
        <v>35169231</v>
      </c>
    </row>
    <row r="58" spans="1:26">
      <c r="B58" s="196">
        <f>SUM(F56:F58)</f>
        <v>1384434.946969697</v>
      </c>
      <c r="C58" s="196">
        <f>AVERAGE(F56:F58)</f>
        <v>692217.47348484851</v>
      </c>
      <c r="D58" s="197">
        <f>C58/C55-1</f>
        <v>0.30865447133431356</v>
      </c>
      <c r="E58" s="233">
        <f>C58/C46-1</f>
        <v>-0.23585293859074696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54257287</v>
      </c>
      <c r="R65" s="212">
        <v>79816457361</v>
      </c>
      <c r="S65" s="213">
        <v>5711098.71</v>
      </c>
      <c r="T65" s="214">
        <v>41</v>
      </c>
      <c r="U65" s="214">
        <v>67</v>
      </c>
    </row>
    <row r="66" spans="16:21" ht="18" thickBot="1">
      <c r="P66" s="180" t="s">
        <v>976</v>
      </c>
      <c r="Q66" s="181">
        <v>10080492</v>
      </c>
      <c r="R66" s="181">
        <v>14705980472</v>
      </c>
      <c r="S66" s="182">
        <v>1057955.67</v>
      </c>
      <c r="T66" s="210">
        <v>23</v>
      </c>
      <c r="U66" s="210">
        <v>29</v>
      </c>
    </row>
    <row r="67" spans="16:21" ht="18" thickBot="1">
      <c r="P67" s="180" t="s">
        <v>977</v>
      </c>
      <c r="Q67" s="181">
        <v>9007564</v>
      </c>
      <c r="R67" s="181">
        <v>13041015410</v>
      </c>
      <c r="S67" s="182">
        <v>1009934.96</v>
      </c>
      <c r="T67" s="210">
        <v>19</v>
      </c>
      <c r="U67" s="210">
        <v>28</v>
      </c>
    </row>
    <row r="68" spans="16:21" ht="18" thickBot="1">
      <c r="P68" s="180" t="s">
        <v>978</v>
      </c>
      <c r="Q68" s="181">
        <v>12116593</v>
      </c>
      <c r="R68" s="181">
        <v>17797161734</v>
      </c>
      <c r="S68" s="182">
        <v>1268958.25</v>
      </c>
      <c r="T68" s="210">
        <v>20</v>
      </c>
      <c r="U68" s="210">
        <v>32</v>
      </c>
    </row>
    <row r="69" spans="16:21" ht="18" thickBot="1">
      <c r="P69" s="180" t="s">
        <v>979</v>
      </c>
      <c r="Q69" s="181">
        <v>14166721</v>
      </c>
      <c r="R69" s="181">
        <v>21198178121</v>
      </c>
      <c r="S69" s="182">
        <v>1474578.49</v>
      </c>
      <c r="T69" s="210">
        <v>19</v>
      </c>
      <c r="U69" s="210">
        <v>30</v>
      </c>
    </row>
    <row r="70" spans="16:21" ht="18" thickBot="1">
      <c r="P70" s="180" t="s">
        <v>980</v>
      </c>
      <c r="Q70" s="181">
        <v>8885917</v>
      </c>
      <c r="R70" s="181">
        <v>13074121624</v>
      </c>
      <c r="S70" s="182">
        <v>899671.32</v>
      </c>
      <c r="T70" s="210">
        <v>16</v>
      </c>
      <c r="U70" s="210">
        <v>24</v>
      </c>
    </row>
    <row r="71" spans="16:21" ht="18" thickBot="1">
      <c r="P71" s="180" t="s">
        <v>975</v>
      </c>
      <c r="Q71" s="181">
        <v>206523488</v>
      </c>
      <c r="R71" s="181">
        <v>293162610711</v>
      </c>
      <c r="S71" s="182">
        <v>20305860.649999999</v>
      </c>
      <c r="T71" s="210">
        <v>79</v>
      </c>
      <c r="U71" s="210">
        <v>146</v>
      </c>
    </row>
    <row r="72" spans="16:21" ht="18" thickBot="1">
      <c r="P72" s="215" t="s">
        <v>982</v>
      </c>
      <c r="Q72" s="217" t="s">
        <v>1507</v>
      </c>
      <c r="R72"/>
      <c r="S72"/>
      <c r="T72"/>
      <c r="U72"/>
    </row>
  </sheetData>
  <phoneticPr fontId="1" type="noConversion"/>
  <conditionalFormatting sqref="C29:C30">
    <cfRule type="cellIs" dxfId="14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9"/>
  <dimension ref="A1:Z72"/>
  <sheetViews>
    <sheetView zoomScale="90" zoomScaleNormal="90" workbookViewId="0">
      <selection activeCell="E66" sqref="E6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19921875" style="92" bestFit="1" customWidth="1"/>
    <col min="16" max="16" width="20.69921875" style="92" customWidth="1"/>
    <col min="17" max="17" width="20.69921875" style="93" customWidth="1"/>
    <col min="18" max="18" width="15.8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94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8504219020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16261.15</v>
      </c>
      <c r="G5" s="90"/>
      <c r="H5" s="90"/>
      <c r="I5" s="130">
        <f t="shared" ref="I5:I49" si="0">T5</f>
        <v>4.7601379229995304</v>
      </c>
      <c r="J5" s="130"/>
      <c r="K5" s="86"/>
      <c r="L5" s="80"/>
      <c r="M5" s="80"/>
      <c r="N5" s="79"/>
      <c r="O5" s="79"/>
      <c r="P5" s="129" t="s">
        <v>0</v>
      </c>
      <c r="Q5" s="116">
        <v>325223</v>
      </c>
      <c r="R5" s="116">
        <v>384451277</v>
      </c>
      <c r="S5" s="116">
        <v>68322.179999999993</v>
      </c>
      <c r="T5" s="130">
        <f t="shared" ref="T5:T17" si="1">Q5/S5</f>
        <v>4.7601379229995304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10154</v>
      </c>
      <c r="G6" s="90">
        <f t="shared" ref="G6:G16" si="2">F6/F5-1</f>
        <v>-0.37556691869886205</v>
      </c>
      <c r="H6" s="90"/>
      <c r="I6" s="130">
        <f t="shared" si="0"/>
        <v>7.5943371139092388</v>
      </c>
      <c r="J6" s="130"/>
      <c r="K6" s="78"/>
      <c r="L6" s="87"/>
      <c r="M6" s="87"/>
      <c r="N6" s="79"/>
      <c r="O6" s="79"/>
      <c r="P6" s="129" t="s">
        <v>1</v>
      </c>
      <c r="Q6" s="116">
        <v>182772</v>
      </c>
      <c r="R6" s="116">
        <v>216802827</v>
      </c>
      <c r="S6" s="116">
        <v>24066.880000000001</v>
      </c>
      <c r="T6" s="130">
        <f t="shared" si="1"/>
        <v>7.5943371139092388</v>
      </c>
      <c r="U6" s="85"/>
    </row>
    <row r="7" spans="1:21" ht="15" hidden="1" customHeight="1">
      <c r="A7" s="129" t="s">
        <v>2</v>
      </c>
      <c r="B7" s="131">
        <f>F5+F6+F7</f>
        <v>46729.240909090906</v>
      </c>
      <c r="C7" s="131">
        <f>AVERAGE(F5:F7)</f>
        <v>15576.413636363635</v>
      </c>
      <c r="D7" s="117"/>
      <c r="F7" s="78">
        <f>Q7/22</f>
        <v>20314.090909090908</v>
      </c>
      <c r="G7" s="90">
        <f t="shared" si="2"/>
        <v>1.0005998531702689</v>
      </c>
      <c r="H7" s="90"/>
      <c r="I7" s="130">
        <f t="shared" si="0"/>
        <v>7.8985878651844255</v>
      </c>
      <c r="J7" s="130"/>
      <c r="K7" s="85">
        <f>R5+R6+R7</f>
        <v>1144849228</v>
      </c>
      <c r="L7" s="87"/>
      <c r="M7" s="87"/>
      <c r="N7" s="88">
        <f>AVERAGE(T5:T7)</f>
        <v>6.7510209673643979</v>
      </c>
      <c r="O7" s="79"/>
      <c r="P7" s="129" t="s">
        <v>2</v>
      </c>
      <c r="Q7" s="116">
        <v>446910</v>
      </c>
      <c r="R7" s="116">
        <v>543595124</v>
      </c>
      <c r="S7" s="116">
        <v>56581</v>
      </c>
      <c r="T7" s="130">
        <f t="shared" si="1"/>
        <v>7.8985878651844255</v>
      </c>
      <c r="U7" s="85">
        <f>Q5+Q6+Q7</f>
        <v>954905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12416.666666666666</v>
      </c>
      <c r="G8" s="90">
        <f t="shared" si="2"/>
        <v>-0.38876582160464823</v>
      </c>
      <c r="H8" s="90"/>
      <c r="I8" s="130">
        <f t="shared" si="0"/>
        <v>4.8721014966647358</v>
      </c>
      <c r="J8" s="130"/>
      <c r="K8" s="78"/>
      <c r="L8" s="87"/>
      <c r="M8" s="87"/>
      <c r="N8" s="79"/>
      <c r="O8" s="79"/>
      <c r="P8" s="129" t="s">
        <v>3</v>
      </c>
      <c r="Q8" s="116">
        <v>260750</v>
      </c>
      <c r="R8" s="116">
        <v>317145542</v>
      </c>
      <c r="S8" s="116">
        <v>53519</v>
      </c>
      <c r="T8" s="130">
        <f t="shared" si="1"/>
        <v>4.8721014966647358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51126.476190476191</v>
      </c>
      <c r="G9" s="90">
        <f t="shared" si="2"/>
        <v>3.1175685522531165</v>
      </c>
      <c r="H9" s="90"/>
      <c r="I9" s="130">
        <f t="shared" si="0"/>
        <v>7.255534979606022</v>
      </c>
      <c r="J9" s="130"/>
      <c r="K9" s="78"/>
      <c r="L9" s="87"/>
      <c r="M9" s="87"/>
      <c r="N9" s="79"/>
      <c r="O9" s="79"/>
      <c r="P9" s="129" t="s">
        <v>4</v>
      </c>
      <c r="Q9" s="116">
        <v>1073656</v>
      </c>
      <c r="R9" s="116">
        <v>1355736226</v>
      </c>
      <c r="S9" s="116">
        <v>147977.51</v>
      </c>
      <c r="T9" s="130">
        <f t="shared" si="1"/>
        <v>7.255534979606022</v>
      </c>
      <c r="U9" s="85"/>
    </row>
    <row r="10" spans="1:21" ht="15" hidden="1" customHeight="1">
      <c r="A10" s="129" t="s">
        <v>5</v>
      </c>
      <c r="B10" s="131">
        <f>F8+F9+F10</f>
        <v>91108.523809523816</v>
      </c>
      <c r="C10" s="131">
        <f>AVERAGE(F8:F10)</f>
        <v>30369.50793650794</v>
      </c>
      <c r="D10" s="90">
        <f>C10/C7-1</f>
        <v>0.94971118804969024</v>
      </c>
      <c r="E10" s="286"/>
      <c r="F10" s="78">
        <f>Q10/21</f>
        <v>27565.380952380954</v>
      </c>
      <c r="G10" s="90">
        <f t="shared" si="2"/>
        <v>-0.46083941225122382</v>
      </c>
      <c r="H10" s="90"/>
      <c r="I10" s="130">
        <f t="shared" si="0"/>
        <v>7.9713162442594623</v>
      </c>
      <c r="J10" s="130"/>
      <c r="K10" s="85">
        <f>R8+R9+R10</f>
        <v>2405173443</v>
      </c>
      <c r="L10" s="87">
        <f>U10/U7-1</f>
        <v>1.0036328221131945</v>
      </c>
      <c r="M10" s="87"/>
      <c r="N10" s="88">
        <f>AVERAGE(T8:T10)</f>
        <v>6.6996509068434067</v>
      </c>
      <c r="O10" s="89">
        <f>N10/N7-1</f>
        <v>-7.6092284069806393E-3</v>
      </c>
      <c r="P10" s="129" t="s">
        <v>5</v>
      </c>
      <c r="Q10" s="116">
        <v>578873</v>
      </c>
      <c r="R10" s="116">
        <v>732291675</v>
      </c>
      <c r="S10" s="116">
        <v>72619.5</v>
      </c>
      <c r="T10" s="130">
        <f t="shared" si="1"/>
        <v>7.9713162442594623</v>
      </c>
      <c r="U10" s="85">
        <f>Q8+Q9+Q10</f>
        <v>1913279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19667.047619047618</v>
      </c>
      <c r="G11" s="90">
        <f t="shared" si="2"/>
        <v>-0.28653089710523727</v>
      </c>
      <c r="H11" s="90"/>
      <c r="I11" s="130">
        <f t="shared" si="0"/>
        <v>5.9743671343844929</v>
      </c>
      <c r="J11" s="130"/>
      <c r="K11" s="78"/>
      <c r="L11" s="87"/>
      <c r="M11" s="87"/>
      <c r="N11" s="79"/>
      <c r="O11" s="89"/>
      <c r="P11" s="129" t="s">
        <v>6</v>
      </c>
      <c r="Q11" s="116">
        <v>413008</v>
      </c>
      <c r="R11" s="116">
        <v>534503784</v>
      </c>
      <c r="S11" s="116">
        <v>69130</v>
      </c>
      <c r="T11" s="130">
        <f t="shared" si="1"/>
        <v>5.9743671343844929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27755.727272727272</v>
      </c>
      <c r="G12" s="90">
        <f t="shared" si="2"/>
        <v>0.41128082925094112</v>
      </c>
      <c r="H12" s="90"/>
      <c r="I12" s="130">
        <f t="shared" si="0"/>
        <v>8.1794362778585956</v>
      </c>
      <c r="J12" s="130"/>
      <c r="K12" s="78"/>
      <c r="L12" s="87"/>
      <c r="M12" s="87"/>
      <c r="N12" s="79"/>
      <c r="O12" s="89"/>
      <c r="P12" s="129" t="s">
        <v>7</v>
      </c>
      <c r="Q12" s="116">
        <v>610626</v>
      </c>
      <c r="R12" s="116">
        <v>789587538</v>
      </c>
      <c r="S12" s="116">
        <v>74653.8</v>
      </c>
      <c r="T12" s="130">
        <f t="shared" si="1"/>
        <v>8.1794362778585956</v>
      </c>
      <c r="U12" s="85"/>
    </row>
    <row r="13" spans="1:21" ht="15" hidden="1" customHeight="1">
      <c r="A13" s="129" t="s">
        <v>96</v>
      </c>
      <c r="B13" s="131">
        <f>F11+F12+F13</f>
        <v>87339.124891774889</v>
      </c>
      <c r="C13" s="131">
        <f>AVERAGE(F11:F13)</f>
        <v>29113.04163059163</v>
      </c>
      <c r="D13" s="90">
        <f>C13/C10-1</f>
        <v>-4.1372626403534229E-2</v>
      </c>
      <c r="E13" s="286"/>
      <c r="F13" s="78">
        <f>Q13/20</f>
        <v>39916.35</v>
      </c>
      <c r="G13" s="90">
        <f t="shared" si="2"/>
        <v>0.43813021391162521</v>
      </c>
      <c r="H13" s="90"/>
      <c r="I13" s="130">
        <f t="shared" si="0"/>
        <v>8.2394340031581876</v>
      </c>
      <c r="J13" s="130"/>
      <c r="K13" s="78">
        <f>R11+R12+R13</f>
        <v>2433333458</v>
      </c>
      <c r="L13" s="87">
        <f>U13/U10-1</f>
        <v>-4.7728533057646017E-2</v>
      </c>
      <c r="M13" s="87"/>
      <c r="N13" s="88">
        <f>AVERAGE(T11:T13)</f>
        <v>7.4644124718004257</v>
      </c>
      <c r="O13" s="89">
        <f>N13/N10-1</f>
        <v>0.11414946473940124</v>
      </c>
      <c r="P13" s="129" t="s">
        <v>96</v>
      </c>
      <c r="Q13" s="116">
        <v>798327</v>
      </c>
      <c r="R13" s="116">
        <v>1109242136</v>
      </c>
      <c r="S13" s="116">
        <v>96891</v>
      </c>
      <c r="T13" s="130">
        <f t="shared" si="1"/>
        <v>8.2394340031581876</v>
      </c>
      <c r="U13" s="85">
        <f>Q11+Q12+Q13</f>
        <v>1821961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41943.199999999997</v>
      </c>
      <c r="G14" s="90">
        <f t="shared" si="2"/>
        <v>5.0777438317882284E-2</v>
      </c>
      <c r="H14" s="90"/>
      <c r="I14" s="130">
        <f t="shared" si="0"/>
        <v>18.026327862884866</v>
      </c>
      <c r="J14" s="130"/>
      <c r="K14" s="78"/>
      <c r="L14" s="87"/>
      <c r="M14" s="87"/>
      <c r="N14" s="79"/>
      <c r="O14" s="89"/>
      <c r="P14" s="129" t="s">
        <v>97</v>
      </c>
      <c r="Q14" s="116">
        <v>838864</v>
      </c>
      <c r="R14" s="116">
        <v>1194327267</v>
      </c>
      <c r="S14" s="116">
        <v>46535.49</v>
      </c>
      <c r="T14" s="130">
        <f t="shared" si="1"/>
        <v>18.026327862884866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14634.772727272728</v>
      </c>
      <c r="G15" s="90">
        <f t="shared" si="2"/>
        <v>-0.65108115910868203</v>
      </c>
      <c r="H15" s="90"/>
      <c r="I15" s="130">
        <f t="shared" si="0"/>
        <v>8.8570593072091359</v>
      </c>
      <c r="J15" s="130"/>
      <c r="K15" s="78"/>
      <c r="L15" s="87"/>
      <c r="M15" s="87"/>
      <c r="N15" s="79"/>
      <c r="O15" s="89"/>
      <c r="P15" s="129" t="s">
        <v>98</v>
      </c>
      <c r="Q15" s="116">
        <v>321965</v>
      </c>
      <c r="R15" s="116">
        <v>444519422</v>
      </c>
      <c r="S15" s="116">
        <v>36351.230000000003</v>
      </c>
      <c r="T15" s="130">
        <f t="shared" si="1"/>
        <v>8.8570593072091359</v>
      </c>
      <c r="U15" s="78"/>
    </row>
    <row r="16" spans="1:21" ht="15" hidden="1" customHeight="1">
      <c r="A16" s="129" t="s">
        <v>99</v>
      </c>
      <c r="B16" s="131">
        <f>F14+F15+F16</f>
        <v>361149.10909090907</v>
      </c>
      <c r="C16" s="131">
        <f>AVERAGE(F14:F16)</f>
        <v>120383.03636363636</v>
      </c>
      <c r="D16" s="90">
        <f>C16/C13-1</f>
        <v>3.1350209260560167</v>
      </c>
      <c r="E16" s="286"/>
      <c r="F16" s="78">
        <f>Q16/22</f>
        <v>304571.13636363635</v>
      </c>
      <c r="G16" s="90">
        <f t="shared" si="2"/>
        <v>19.811470190859254</v>
      </c>
      <c r="H16" s="90"/>
      <c r="I16" s="130">
        <f t="shared" si="0"/>
        <v>10.363703937162397</v>
      </c>
      <c r="J16" s="130"/>
      <c r="K16" s="78">
        <f>R14+R15+R16</f>
        <v>10393393524</v>
      </c>
      <c r="L16" s="87">
        <f>U16/U13-1</f>
        <v>3.3147981762507541</v>
      </c>
      <c r="M16" s="87"/>
      <c r="N16" s="88">
        <f>AVERAGE(T14:T16)</f>
        <v>12.415697035752133</v>
      </c>
      <c r="O16" s="89">
        <f>N16/N13-1</f>
        <v>0.66331872503790668</v>
      </c>
      <c r="P16" s="129" t="s">
        <v>99</v>
      </c>
      <c r="Q16" s="116">
        <v>6700565</v>
      </c>
      <c r="R16" s="116">
        <v>8754546835</v>
      </c>
      <c r="S16" s="116">
        <v>646541.53</v>
      </c>
      <c r="T16" s="130">
        <f t="shared" si="1"/>
        <v>10.363703937162397</v>
      </c>
      <c r="U16" s="85">
        <f>Q14+Q15+Q16</f>
        <v>7861394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93612.3</v>
      </c>
      <c r="G17" s="90">
        <f t="shared" ref="G17:G22" si="3">F17/F16-1</f>
        <v>-0.69264224733287416</v>
      </c>
      <c r="H17" s="90">
        <f t="shared" ref="H17:H22" si="4">F17/F5-1</f>
        <v>4.7568068679029469</v>
      </c>
      <c r="I17" s="130">
        <f t="shared" si="0"/>
        <v>11.381607623216158</v>
      </c>
      <c r="J17" s="130">
        <f t="shared" ref="J17:J49" si="5">I17/I5-1</f>
        <v>1.3910247575440433</v>
      </c>
      <c r="K17" s="78"/>
      <c r="L17" s="87"/>
      <c r="M17" s="87"/>
      <c r="N17" s="79"/>
      <c r="O17" s="89"/>
      <c r="P17" s="129" t="s">
        <v>100</v>
      </c>
      <c r="Q17" s="116">
        <v>1872246</v>
      </c>
      <c r="R17" s="116">
        <v>2368211982</v>
      </c>
      <c r="S17" s="116">
        <v>164497.5</v>
      </c>
      <c r="T17" s="130">
        <f t="shared" si="1"/>
        <v>11.381607623216158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60910.8</v>
      </c>
      <c r="G18" s="90">
        <f t="shared" si="3"/>
        <v>-0.34932909457411043</v>
      </c>
      <c r="H18" s="90">
        <f t="shared" si="4"/>
        <v>4.9987000196966713</v>
      </c>
      <c r="I18" s="130">
        <f t="shared" si="0"/>
        <v>10.708838059740854</v>
      </c>
      <c r="J18" s="130">
        <f t="shared" si="5"/>
        <v>0.41010833455461437</v>
      </c>
      <c r="K18" s="78"/>
      <c r="L18" s="87"/>
      <c r="M18" s="87"/>
      <c r="N18" s="79"/>
      <c r="O18" s="89"/>
      <c r="P18" s="129" t="s">
        <v>106</v>
      </c>
      <c r="Q18" s="116">
        <v>1218216</v>
      </c>
      <c r="R18" s="116">
        <v>1548234097</v>
      </c>
      <c r="S18" s="116">
        <v>113758</v>
      </c>
      <c r="T18" s="130">
        <f t="shared" ref="T18" si="6">Q18/S18</f>
        <v>10.708838059740854</v>
      </c>
      <c r="U18" s="78"/>
    </row>
    <row r="19" spans="1:21" hidden="1">
      <c r="A19" s="129" t="s">
        <v>114</v>
      </c>
      <c r="B19" s="131">
        <f>SUM(F17:F19)</f>
        <v>301339.46363636362</v>
      </c>
      <c r="C19" s="131">
        <f>AVERAGE(F17:F19)</f>
        <v>100446.48787878787</v>
      </c>
      <c r="D19" s="90">
        <f>C19/C16-1</f>
        <v>-0.16560928422362542</v>
      </c>
      <c r="E19" s="286">
        <f>C19/C7-1</f>
        <v>5.4486274070362599</v>
      </c>
      <c r="F19" s="78">
        <f>Q19/22</f>
        <v>146816.36363636365</v>
      </c>
      <c r="G19" s="90">
        <f t="shared" si="3"/>
        <v>1.4103502767385034</v>
      </c>
      <c r="H19" s="90">
        <f t="shared" si="4"/>
        <v>6.2273164619274581</v>
      </c>
      <c r="I19" s="130">
        <f t="shared" si="0"/>
        <v>9.4348490484325715</v>
      </c>
      <c r="J19" s="130">
        <f t="shared" si="5"/>
        <v>0.19449820771377535</v>
      </c>
      <c r="K19" s="78">
        <f>R17+R18+R19</f>
        <v>8142373159</v>
      </c>
      <c r="L19" s="87">
        <f>U19/U16-1</f>
        <v>-0.19601765284884587</v>
      </c>
      <c r="M19" s="87">
        <f>U19/U7-1</f>
        <v>5.6189013566794603</v>
      </c>
      <c r="N19" s="88">
        <f>AVERAGE(T17:T19)</f>
        <v>10.50843157712986</v>
      </c>
      <c r="O19" s="89">
        <f>N19/N16-1</f>
        <v>-0.15361726797376962</v>
      </c>
      <c r="P19" s="129" t="s">
        <v>115</v>
      </c>
      <c r="Q19" s="116">
        <v>3229960</v>
      </c>
      <c r="R19" s="116">
        <v>4225927080</v>
      </c>
      <c r="S19" s="116">
        <v>342343.58</v>
      </c>
      <c r="T19" s="130">
        <f t="shared" ref="T19" si="7">Q19/S19</f>
        <v>9.4348490484325715</v>
      </c>
      <c r="U19" s="85">
        <f>Q17+Q18+Q19</f>
        <v>6320422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260260.5</v>
      </c>
      <c r="G20" s="90">
        <f t="shared" si="3"/>
        <v>0.77269408909088644</v>
      </c>
      <c r="H20" s="90">
        <f t="shared" si="4"/>
        <v>19.960577181208055</v>
      </c>
      <c r="I20" s="130">
        <f t="shared" si="0"/>
        <v>12.151479058978868</v>
      </c>
      <c r="J20" s="130">
        <f t="shared" si="5"/>
        <v>1.4940939894822245</v>
      </c>
      <c r="K20" s="78"/>
      <c r="L20" s="87"/>
      <c r="M20" s="87"/>
      <c r="N20" s="79"/>
      <c r="O20" s="89"/>
      <c r="P20" s="129" t="s">
        <v>132</v>
      </c>
      <c r="Q20" s="116">
        <v>5205210</v>
      </c>
      <c r="R20" s="116">
        <v>6831821299</v>
      </c>
      <c r="S20" s="116">
        <v>428360.2</v>
      </c>
      <c r="T20" s="130">
        <f t="shared" ref="T20" si="8">Q20/S20</f>
        <v>12.151479058978868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148817.23809523811</v>
      </c>
      <c r="G21" s="90">
        <f t="shared" si="3"/>
        <v>-0.42819890803545635</v>
      </c>
      <c r="H21" s="90">
        <f t="shared" si="4"/>
        <v>1.9107665770041802</v>
      </c>
      <c r="I21" s="130">
        <f t="shared" si="0"/>
        <v>9.3943882607316525</v>
      </c>
      <c r="J21" s="130">
        <f t="shared" si="5"/>
        <v>0.29478919020272865</v>
      </c>
      <c r="K21" s="78"/>
      <c r="L21" s="87"/>
      <c r="M21" s="87"/>
      <c r="N21" s="79"/>
      <c r="O21" s="89"/>
      <c r="P21" s="129" t="s">
        <v>141</v>
      </c>
      <c r="Q21" s="116">
        <v>3125162</v>
      </c>
      <c r="R21" s="116">
        <v>4154102669</v>
      </c>
      <c r="S21" s="116">
        <v>332662.64</v>
      </c>
      <c r="T21" s="130">
        <f t="shared" ref="T21" si="9">Q21/S21</f>
        <v>9.3943882607316525</v>
      </c>
      <c r="U21" s="78"/>
    </row>
    <row r="22" spans="1:21" hidden="1">
      <c r="A22" s="129" t="s">
        <v>156</v>
      </c>
      <c r="B22" s="131">
        <f>SUM(F20:F22)</f>
        <v>526384.30952380958</v>
      </c>
      <c r="C22" s="131">
        <f>AVERAGE(F20:F22)</f>
        <v>175461.43650793654</v>
      </c>
      <c r="D22" s="90">
        <f>C22/C19-1</f>
        <v>0.7468150476268689</v>
      </c>
      <c r="E22" s="286">
        <f>C22/C10-1</f>
        <v>4.7775528294618823</v>
      </c>
      <c r="F22" s="78">
        <f>Q22/21</f>
        <v>117306.57142857143</v>
      </c>
      <c r="G22" s="90">
        <f t="shared" si="3"/>
        <v>-0.21174070336193773</v>
      </c>
      <c r="H22" s="90">
        <f t="shared" si="4"/>
        <v>3.2555759207978259</v>
      </c>
      <c r="I22" s="130">
        <f t="shared" si="0"/>
        <v>9.2960805024983451</v>
      </c>
      <c r="J22" s="130">
        <f t="shared" si="5"/>
        <v>0.16619140649361519</v>
      </c>
      <c r="K22" s="78">
        <f>R20+R21+R22</f>
        <v>14191422567</v>
      </c>
      <c r="L22" s="87">
        <f>U22/U19-1</f>
        <v>0.7077672978165066</v>
      </c>
      <c r="M22" s="87">
        <f>U22/U10-1</f>
        <v>4.6415243150633021</v>
      </c>
      <c r="N22" s="88">
        <f>AVERAGE(T20:T22)</f>
        <v>10.280649274069622</v>
      </c>
      <c r="O22" s="89">
        <f>N22/N19-1</f>
        <v>-2.1676146567483401E-2</v>
      </c>
      <c r="P22" s="129" t="s">
        <v>156</v>
      </c>
      <c r="Q22" s="116">
        <v>2463438</v>
      </c>
      <c r="R22" s="116">
        <v>3205498599</v>
      </c>
      <c r="S22" s="116">
        <v>264997.49</v>
      </c>
      <c r="T22" s="130">
        <f t="shared" ref="T22:T23" si="10">Q22/S22</f>
        <v>9.2960805024983451</v>
      </c>
      <c r="U22" s="85">
        <f>Q20+Q21+Q22</f>
        <v>10793810</v>
      </c>
    </row>
    <row r="23" spans="1:21" hidden="1">
      <c r="A23" s="129" t="s">
        <v>189</v>
      </c>
      <c r="B23" s="131"/>
      <c r="C23" s="131"/>
      <c r="D23" s="117"/>
      <c r="F23" s="78">
        <f>Q23/21</f>
        <v>138295.28571428571</v>
      </c>
      <c r="G23" s="90">
        <f t="shared" ref="G23" si="11">F23/F22-1</f>
        <v>0.17892189695864058</v>
      </c>
      <c r="H23" s="90">
        <f t="shared" ref="H23" si="12">F23/F11-1</f>
        <v>6.0318274706543216</v>
      </c>
      <c r="I23" s="130">
        <f t="shared" si="0"/>
        <v>10.549406600623621</v>
      </c>
      <c r="J23" s="130">
        <f t="shared" si="5"/>
        <v>0.76577809219460868</v>
      </c>
      <c r="K23" s="98"/>
      <c r="L23" s="87"/>
      <c r="M23" s="87"/>
      <c r="N23" s="79"/>
      <c r="O23" s="89"/>
      <c r="P23" s="129" t="s">
        <v>189</v>
      </c>
      <c r="Q23" s="116">
        <v>2904201</v>
      </c>
      <c r="R23" s="116">
        <v>3741747534</v>
      </c>
      <c r="S23" s="116">
        <v>275295.2</v>
      </c>
      <c r="T23" s="130">
        <f t="shared" si="10"/>
        <v>10.549406600623621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231665.59090909091</v>
      </c>
      <c r="G24" s="90">
        <f t="shared" ref="G24" si="13">F24/F23-1</f>
        <v>0.67515175743376887</v>
      </c>
      <c r="H24" s="90">
        <f t="shared" ref="H24" si="14">F24/F12-1</f>
        <v>7.3465869452004995</v>
      </c>
      <c r="I24" s="130">
        <f t="shared" si="0"/>
        <v>10.364316078348004</v>
      </c>
      <c r="J24" s="130">
        <f t="shared" si="5"/>
        <v>0.26711862850546186</v>
      </c>
      <c r="K24" s="98"/>
      <c r="L24" s="87"/>
      <c r="M24" s="87"/>
      <c r="N24" s="79"/>
      <c r="O24" s="89"/>
      <c r="P24" s="129" t="s">
        <v>204</v>
      </c>
      <c r="Q24" s="116">
        <v>5096643</v>
      </c>
      <c r="R24" s="116">
        <v>6725984108</v>
      </c>
      <c r="S24" s="116">
        <v>491749.09</v>
      </c>
      <c r="T24" s="130">
        <f t="shared" ref="T24" si="15">Q24/S24</f>
        <v>10.364316078348004</v>
      </c>
      <c r="U24" s="78"/>
    </row>
    <row r="25" spans="1:21" s="92" customFormat="1" ht="13.2" hidden="1">
      <c r="A25" s="129" t="s">
        <v>219</v>
      </c>
      <c r="B25" s="131">
        <f>SUM(F23:F25)</f>
        <v>630576.50820232392</v>
      </c>
      <c r="C25" s="131">
        <f>AVERAGE(F23:F25)</f>
        <v>210192.16940077464</v>
      </c>
      <c r="D25" s="90">
        <f>C25/C22-1</f>
        <v>0.19793940813465949</v>
      </c>
      <c r="E25" s="286">
        <f>C25/C13-1</f>
        <v>6.219862907759774</v>
      </c>
      <c r="F25" s="78">
        <f>Q25/19</f>
        <v>260615.63157894736</v>
      </c>
      <c r="G25" s="90">
        <f t="shared" ref="G25" si="16">F25/F24-1</f>
        <v>0.12496478461152605</v>
      </c>
      <c r="H25" s="90">
        <f t="shared" ref="H25" si="17">F25/F13-1</f>
        <v>5.5290446541065847</v>
      </c>
      <c r="I25" s="130">
        <f t="shared" si="0"/>
        <v>10.070526061805902</v>
      </c>
      <c r="J25" s="130">
        <f t="shared" si="5"/>
        <v>0.22223517512803115</v>
      </c>
      <c r="K25" s="78">
        <f>R23+R24+R25</f>
        <v>17041668189</v>
      </c>
      <c r="L25" s="90">
        <f>U25/U22-1</f>
        <v>0.19999712798353864</v>
      </c>
      <c r="M25" s="90">
        <f>U25/U13-1</f>
        <v>6.109120886780782</v>
      </c>
      <c r="N25" s="88">
        <f>AVERAGE(T23:T25)</f>
        <v>10.328082913592509</v>
      </c>
      <c r="O25" s="91">
        <f>N25/N22-1</f>
        <v>4.6138758611797837E-3</v>
      </c>
      <c r="P25" s="129" t="s">
        <v>219</v>
      </c>
      <c r="Q25" s="116">
        <v>4951697</v>
      </c>
      <c r="R25" s="116">
        <v>6573936547</v>
      </c>
      <c r="S25" s="116">
        <v>491701.92</v>
      </c>
      <c r="T25" s="130">
        <f t="shared" ref="T25" si="18">Q25/S25</f>
        <v>10.070526061805902</v>
      </c>
      <c r="U25" s="85">
        <f>Q23+Q24+Q25</f>
        <v>12952541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292927.4736842105</v>
      </c>
      <c r="G26" s="90">
        <f t="shared" ref="G26" si="19">F26/F25-1</f>
        <v>0.12398274773274687</v>
      </c>
      <c r="H26" s="90">
        <f t="shared" ref="H26" si="20">F26/F14-1</f>
        <v>5.9839085640630785</v>
      </c>
      <c r="I26" s="130">
        <f t="shared" si="0"/>
        <v>10.015903441140999</v>
      </c>
      <c r="J26" s="130">
        <f t="shared" si="5"/>
        <v>-0.44437361190111568</v>
      </c>
      <c r="K26" s="78"/>
      <c r="L26" s="90"/>
      <c r="M26" s="90"/>
      <c r="N26" s="79"/>
      <c r="O26" s="79"/>
      <c r="P26" s="129" t="s">
        <v>312</v>
      </c>
      <c r="Q26" s="116">
        <v>5565622</v>
      </c>
      <c r="R26" s="116">
        <v>7515186783</v>
      </c>
      <c r="S26" s="116">
        <v>555678.48</v>
      </c>
      <c r="T26" s="130">
        <f t="shared" ref="T26" si="21">Q26/S26</f>
        <v>10.015903441140999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86"/>
      <c r="F27" s="78">
        <f>Q27/22</f>
        <v>289677.27272727271</v>
      </c>
      <c r="G27" s="90">
        <f t="shared" ref="G27" si="22">F27/F26-1</f>
        <v>-1.1095582521022496E-2</v>
      </c>
      <c r="H27" s="90">
        <f t="shared" ref="H27" si="23">F27/F15-1</f>
        <v>18.793766403180467</v>
      </c>
      <c r="I27" s="130">
        <f t="shared" si="0"/>
        <v>9.5345846790629079</v>
      </c>
      <c r="J27" s="130">
        <f t="shared" si="5"/>
        <v>7.6495521634624808E-2</v>
      </c>
      <c r="K27" s="78"/>
      <c r="L27" s="90"/>
      <c r="M27" s="90"/>
      <c r="N27" s="79"/>
      <c r="O27" s="79"/>
      <c r="P27" s="129" t="s">
        <v>377</v>
      </c>
      <c r="Q27" s="116">
        <v>6372900</v>
      </c>
      <c r="R27" s="116">
        <v>8438934764</v>
      </c>
      <c r="S27" s="116">
        <v>668398.28</v>
      </c>
      <c r="T27" s="130">
        <f t="shared" ref="T27" si="24">Q27/S27</f>
        <v>9.5345846790629079</v>
      </c>
      <c r="U27" s="78"/>
    </row>
    <row r="28" spans="1:21" s="92" customFormat="1" ht="13.2" hidden="1">
      <c r="A28" s="123" t="s">
        <v>413</v>
      </c>
      <c r="B28" s="131">
        <f>SUM(F26:F28)</f>
        <v>859036.16746411484</v>
      </c>
      <c r="C28" s="131">
        <f>AVERAGE(F26:F28)</f>
        <v>286345.38915470493</v>
      </c>
      <c r="D28" s="90">
        <f>C28/C25-1</f>
        <v>0.36230283921152417</v>
      </c>
      <c r="E28" s="286">
        <f>C28/C16-1</f>
        <v>1.3786190962134608</v>
      </c>
      <c r="F28" s="78">
        <f>Q28/19</f>
        <v>276431.42105263157</v>
      </c>
      <c r="G28" s="90">
        <f t="shared" ref="G28" si="25">F28/F27-1</f>
        <v>-4.5726237167083239E-2</v>
      </c>
      <c r="H28" s="90">
        <f t="shared" ref="H28" si="26">F28/F16-1</f>
        <v>-9.2391273995865331E-2</v>
      </c>
      <c r="I28" s="130">
        <f t="shared" si="0"/>
        <v>8.4110850419604031</v>
      </c>
      <c r="J28" s="130">
        <f t="shared" si="5"/>
        <v>-0.18840936667442321</v>
      </c>
      <c r="K28" s="78">
        <f>R26+R27+R28</f>
        <v>22814422697</v>
      </c>
      <c r="L28" s="90">
        <f>U28/U25-1</f>
        <v>0.32720822887184831</v>
      </c>
      <c r="M28" s="90">
        <f>U28/U16-1</f>
        <v>1.1867265525681576</v>
      </c>
      <c r="N28" s="88">
        <f>AVERAGE(T26:T28)</f>
        <v>9.3205243873881045</v>
      </c>
      <c r="O28" s="91">
        <f>N28/N25-1</f>
        <v>-9.7555232140747461E-2</v>
      </c>
      <c r="P28" s="129" t="s">
        <v>413</v>
      </c>
      <c r="Q28" s="116">
        <v>5252197</v>
      </c>
      <c r="R28" s="116">
        <v>6860301150</v>
      </c>
      <c r="S28" s="116">
        <v>624437.51</v>
      </c>
      <c r="T28" s="130">
        <f t="shared" ref="T28" si="27">Q28/S28</f>
        <v>8.4110850419604031</v>
      </c>
      <c r="U28" s="85">
        <f>Q26+Q27+Q28</f>
        <v>17190719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199149.18181818182</v>
      </c>
      <c r="G29" s="190">
        <f t="shared" ref="G29" si="28">F29/F28-1</f>
        <v>-0.27957111004300583</v>
      </c>
      <c r="H29" s="190">
        <f t="shared" ref="H29" si="29">F29/F17-1</f>
        <v>1.1273826390141233</v>
      </c>
      <c r="I29" s="130">
        <f t="shared" si="0"/>
        <v>9.8655664959995235</v>
      </c>
      <c r="J29" s="130">
        <f t="shared" si="5"/>
        <v>-0.13320096575146556</v>
      </c>
      <c r="K29" s="136"/>
      <c r="L29" s="190"/>
      <c r="M29" s="190"/>
      <c r="N29" s="191"/>
      <c r="O29" s="192"/>
      <c r="P29" s="129" t="s">
        <v>430</v>
      </c>
      <c r="Q29" s="116">
        <v>4381282</v>
      </c>
      <c r="R29" s="116">
        <v>5776760739</v>
      </c>
      <c r="S29" s="116">
        <v>444098.37</v>
      </c>
      <c r="T29" s="130">
        <f t="shared" ref="T29" si="30">Q29/S29</f>
        <v>9.8655664959995235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325069.84210526315</v>
      </c>
      <c r="G30" s="190">
        <f t="shared" ref="G30" si="31">F30/F29-1</f>
        <v>0.63229313390824626</v>
      </c>
      <c r="H30" s="190">
        <f t="shared" ref="H30" si="32">F30/F18-1</f>
        <v>4.3368178074374848</v>
      </c>
      <c r="I30" s="130">
        <f t="shared" si="0"/>
        <v>9.0929177355787907</v>
      </c>
      <c r="J30" s="130">
        <f t="shared" si="5"/>
        <v>-0.15089595296402936</v>
      </c>
      <c r="K30" s="136"/>
      <c r="L30" s="190"/>
      <c r="M30" s="190"/>
      <c r="N30" s="191"/>
      <c r="O30" s="192"/>
      <c r="P30" s="129" t="s">
        <v>466</v>
      </c>
      <c r="Q30" s="116">
        <v>6176327</v>
      </c>
      <c r="R30" s="116">
        <v>8229256798</v>
      </c>
      <c r="S30" s="116">
        <v>679245.89</v>
      </c>
      <c r="T30" s="130">
        <f t="shared" ref="T30" si="33">Q30/S30</f>
        <v>9.0929177355787907</v>
      </c>
      <c r="U30" s="85"/>
    </row>
    <row r="31" spans="1:21" s="92" customFormat="1" ht="13.2" hidden="1">
      <c r="A31" s="129" t="s">
        <v>505</v>
      </c>
      <c r="B31" s="188">
        <f>SUM(F29:F31)</f>
        <v>770268.77392344503</v>
      </c>
      <c r="C31" s="188">
        <f>AVERAGE(F29:F31)</f>
        <v>256756.25797448168</v>
      </c>
      <c r="D31" s="190">
        <f>C31/C28-1</f>
        <v>-0.10333370922287499</v>
      </c>
      <c r="E31" s="287">
        <f>C31/C19-1</f>
        <v>1.5561496812543414</v>
      </c>
      <c r="F31" s="136">
        <f>Q31/20</f>
        <v>246049.75</v>
      </c>
      <c r="G31" s="190">
        <f t="shared" ref="G31" si="34">F31/F30-1</f>
        <v>-0.24308650594439052</v>
      </c>
      <c r="H31" s="190">
        <f t="shared" ref="H31" si="35">F31/F19-1</f>
        <v>0.67590140435175661</v>
      </c>
      <c r="I31" s="130">
        <f t="shared" si="0"/>
        <v>7.676693531637353</v>
      </c>
      <c r="J31" s="130">
        <f t="shared" si="5"/>
        <v>-0.18634696832667441</v>
      </c>
      <c r="K31" s="136">
        <f>R29+R30+R31</f>
        <v>20542952670</v>
      </c>
      <c r="L31" s="190">
        <f>U31/U28-1</f>
        <v>-9.959531070224581E-2</v>
      </c>
      <c r="M31" s="190">
        <f>U31/U19-1</f>
        <v>1.4489826786882269</v>
      </c>
      <c r="N31" s="191">
        <f>AVERAGE(T29:T31)</f>
        <v>8.8783925877385546</v>
      </c>
      <c r="O31" s="192">
        <f>N31/N28-1</f>
        <v>-4.7436365302344186E-2</v>
      </c>
      <c r="P31" s="129" t="s">
        <v>505</v>
      </c>
      <c r="Q31" s="116">
        <v>4920995</v>
      </c>
      <c r="R31" s="116">
        <v>6536935133</v>
      </c>
      <c r="S31" s="116">
        <v>641030.54</v>
      </c>
      <c r="T31" s="130">
        <f t="shared" ref="T31" si="36">Q31/S31</f>
        <v>7.676693531637353</v>
      </c>
      <c r="U31" s="85">
        <f>Q29+Q30+Q31</f>
        <v>15478604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390078.57142857142</v>
      </c>
      <c r="G32" s="190">
        <f t="shared" ref="G32" si="37">F32/F31-1</f>
        <v>0.58536463226876445</v>
      </c>
      <c r="H32" s="190">
        <f t="shared" ref="H32" si="38">F32/F20-1</f>
        <v>0.49880051497853661</v>
      </c>
      <c r="I32" s="130">
        <f t="shared" si="0"/>
        <v>9.8519260322062294</v>
      </c>
      <c r="J32" s="130">
        <f t="shared" si="5"/>
        <v>-0.18924058673116606</v>
      </c>
      <c r="K32" s="136"/>
      <c r="L32" s="190"/>
      <c r="M32" s="190"/>
      <c r="N32" s="191"/>
      <c r="O32" s="192"/>
      <c r="P32" s="129" t="s">
        <v>562</v>
      </c>
      <c r="Q32" s="116">
        <v>8191650</v>
      </c>
      <c r="R32" s="116">
        <v>11139823618</v>
      </c>
      <c r="S32" s="116">
        <v>831477.01</v>
      </c>
      <c r="T32" s="130">
        <f t="shared" ref="T32" si="39">Q32/S32</f>
        <v>9.8519260322062294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396536.76190476189</v>
      </c>
      <c r="G33" s="190">
        <f t="shared" ref="G33" si="40">F33/F32-1</f>
        <v>1.6556127275945576E-2</v>
      </c>
      <c r="H33" s="190">
        <f t="shared" ref="H33" si="41">F33/F21-1</f>
        <v>1.6645889077110239</v>
      </c>
      <c r="I33" s="130">
        <f t="shared" si="0"/>
        <v>9.4470397271971898</v>
      </c>
      <c r="J33" s="130">
        <f t="shared" si="5"/>
        <v>5.604565726287758E-3</v>
      </c>
      <c r="K33" s="136"/>
      <c r="L33" s="190"/>
      <c r="M33" s="190"/>
      <c r="N33" s="191"/>
      <c r="O33" s="192"/>
      <c r="P33" s="129" t="s">
        <v>607</v>
      </c>
      <c r="Q33" s="116">
        <v>8327272</v>
      </c>
      <c r="R33" s="116">
        <v>11383004662</v>
      </c>
      <c r="S33" s="116">
        <v>881468.93</v>
      </c>
      <c r="T33" s="130">
        <f t="shared" ref="T33" si="42">Q33/S33</f>
        <v>9.4470397271971898</v>
      </c>
      <c r="U33" s="85"/>
    </row>
    <row r="34" spans="1:21" s="92" customFormat="1" ht="13.2" hidden="1">
      <c r="A34" s="129" t="s">
        <v>652</v>
      </c>
      <c r="B34" s="188">
        <f>SUM(F32:F34)</f>
        <v>1212881.4912280701</v>
      </c>
      <c r="C34" s="188">
        <f>AVERAGE(F32:F34)</f>
        <v>404293.83040935668</v>
      </c>
      <c r="D34" s="190">
        <f>C34/C31-1</f>
        <v>0.57462113523066827</v>
      </c>
      <c r="E34" s="287">
        <f>C34/C22-1</f>
        <v>1.3041748571975789</v>
      </c>
      <c r="F34" s="136">
        <f>Q34/19</f>
        <v>426266.15789473685</v>
      </c>
      <c r="G34" s="190">
        <f t="shared" ref="G34" si="43">F34/F33-1</f>
        <v>7.4972609972326465E-2</v>
      </c>
      <c r="H34" s="190">
        <f t="shared" ref="H34" si="44">F34/F22-1</f>
        <v>2.6337790176937572</v>
      </c>
      <c r="I34" s="130">
        <f t="shared" si="0"/>
        <v>9.3762507826463182</v>
      </c>
      <c r="J34" s="130">
        <f t="shared" si="5"/>
        <v>8.6240948673397266E-3</v>
      </c>
      <c r="K34" s="136">
        <f>R32+R33+R34</f>
        <v>33640221868</v>
      </c>
      <c r="L34" s="190">
        <f>U34/U31-1</f>
        <v>0.59045214930235312</v>
      </c>
      <c r="M34" s="190">
        <f>U34/U22-1</f>
        <v>1.2807497074712266</v>
      </c>
      <c r="N34" s="191">
        <f>AVERAGE(T32:T34)</f>
        <v>9.5584055140165791</v>
      </c>
      <c r="O34" s="192">
        <f>N34/N31-1</f>
        <v>7.6591896512568258E-2</v>
      </c>
      <c r="P34" s="129" t="s">
        <v>652</v>
      </c>
      <c r="Q34" s="116">
        <v>8099057</v>
      </c>
      <c r="R34" s="116">
        <v>11117393588</v>
      </c>
      <c r="S34" s="116">
        <v>863784.17</v>
      </c>
      <c r="T34" s="130">
        <f t="shared" ref="T34" si="45">Q34/S34</f>
        <v>9.3762507826463182</v>
      </c>
      <c r="U34" s="85">
        <f>Q32+Q33+Q34</f>
        <v>24617979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452877.26086956525</v>
      </c>
      <c r="G35" s="190">
        <f t="shared" ref="G35" si="46">F35/F34-1</f>
        <v>6.242837363926923E-2</v>
      </c>
      <c r="H35" s="190">
        <f t="shared" ref="H35" si="47">F35/F23-1</f>
        <v>2.2747122111248053</v>
      </c>
      <c r="I35" s="130">
        <f t="shared" si="0"/>
        <v>9.4487801769484427</v>
      </c>
      <c r="J35" s="130">
        <f t="shared" si="5"/>
        <v>-0.10433064771720102</v>
      </c>
      <c r="K35" s="136"/>
      <c r="L35" s="190"/>
      <c r="M35" s="190"/>
      <c r="N35" s="191"/>
      <c r="O35" s="192"/>
      <c r="P35" s="129" t="s">
        <v>660</v>
      </c>
      <c r="Q35" s="116">
        <v>10416177</v>
      </c>
      <c r="R35" s="116">
        <v>14418248683</v>
      </c>
      <c r="S35" s="116">
        <v>1102383.25</v>
      </c>
      <c r="T35" s="130">
        <f t="shared" ref="T35" si="48">Q35/S35</f>
        <v>9.4487801769484427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555557</v>
      </c>
      <c r="G36" s="190">
        <f t="shared" ref="G36" si="49">F36/F35-1</f>
        <v>0.22672752200735435</v>
      </c>
      <c r="H36" s="190">
        <f t="shared" ref="H36" si="50">F36/F24-1</f>
        <v>1.3980989054952446</v>
      </c>
      <c r="I36" s="130">
        <f t="shared" si="0"/>
        <v>10.254324667417299</v>
      </c>
      <c r="J36" s="130">
        <f t="shared" si="5"/>
        <v>-1.0612510280392451E-2</v>
      </c>
      <c r="K36" s="136"/>
      <c r="L36" s="190"/>
      <c r="M36" s="190"/>
      <c r="N36" s="191"/>
      <c r="O36" s="192"/>
      <c r="P36" s="129" t="s">
        <v>666</v>
      </c>
      <c r="Q36" s="116">
        <v>11666697</v>
      </c>
      <c r="R36" s="116">
        <v>15874983707</v>
      </c>
      <c r="S36" s="116">
        <v>1137734.31</v>
      </c>
      <c r="T36" s="130">
        <f t="shared" ref="T36" si="51">Q36/S36</f>
        <v>10.254324667417299</v>
      </c>
      <c r="U36" s="85"/>
    </row>
    <row r="37" spans="1:21" s="92" customFormat="1" ht="13.2" hidden="1">
      <c r="A37" s="129" t="s">
        <v>702</v>
      </c>
      <c r="B37" s="188">
        <f>SUM(F35:F37)</f>
        <v>1807993.0386473429</v>
      </c>
      <c r="C37" s="188">
        <f>AVERAGE(F35:F37)</f>
        <v>602664.34621578094</v>
      </c>
      <c r="D37" s="190">
        <f>C37/C34-1</f>
        <v>0.49065927027768286</v>
      </c>
      <c r="E37" s="287">
        <f>C37/C25-1</f>
        <v>1.8672064612772385</v>
      </c>
      <c r="F37" s="136">
        <f>Q37/18</f>
        <v>799558.77777777775</v>
      </c>
      <c r="G37" s="190">
        <f t="shared" ref="G37" si="52">F37/F36-1</f>
        <v>0.43920205807464896</v>
      </c>
      <c r="H37" s="190">
        <f t="shared" ref="H37" si="53">F37/F25-1</f>
        <v>2.0679617064165634</v>
      </c>
      <c r="I37" s="130">
        <f t="shared" si="0"/>
        <v>10.169354972962712</v>
      </c>
      <c r="J37" s="130">
        <f t="shared" si="5"/>
        <v>9.8136791017933156E-3</v>
      </c>
      <c r="K37" s="136">
        <f>R35+R36+R37</f>
        <v>49494231951</v>
      </c>
      <c r="L37" s="190">
        <f>U37/U34-1</f>
        <v>0.48163795248992614</v>
      </c>
      <c r="M37" s="190">
        <f>U37/U25-1</f>
        <v>1.8160445120382169</v>
      </c>
      <c r="N37" s="191">
        <f>AVERAGE(T35:T37)</f>
        <v>9.9574866057761504</v>
      </c>
      <c r="O37" s="192">
        <f>N37/N34-1</f>
        <v>4.1751847750584936E-2</v>
      </c>
      <c r="P37" s="129" t="s">
        <v>702</v>
      </c>
      <c r="Q37" s="116">
        <v>14392058</v>
      </c>
      <c r="R37" s="116">
        <v>19200999561</v>
      </c>
      <c r="S37" s="116">
        <v>1415238.04</v>
      </c>
      <c r="T37" s="130">
        <f t="shared" ref="T37" si="54">Q37/S37</f>
        <v>10.169354972962712</v>
      </c>
      <c r="U37" s="85">
        <f>Q35+Q36+Q37</f>
        <v>36474932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775607.8</v>
      </c>
      <c r="G38" s="190">
        <f t="shared" ref="G38" si="55">F38/F37-1</f>
        <v>-2.9955243371031393E-2</v>
      </c>
      <c r="H38" s="190">
        <f t="shared" ref="H38" si="56">F38/F26-1</f>
        <v>1.6477810027342858</v>
      </c>
      <c r="I38" s="130">
        <f t="shared" si="0"/>
        <v>9.9024258273504646</v>
      </c>
      <c r="J38" s="130">
        <f t="shared" si="5"/>
        <v>-1.1329743188659092E-2</v>
      </c>
      <c r="K38" s="136"/>
      <c r="L38" s="190"/>
      <c r="M38" s="190"/>
      <c r="N38" s="191"/>
      <c r="O38" s="192"/>
      <c r="P38" s="129" t="s">
        <v>728</v>
      </c>
      <c r="Q38" s="116">
        <v>15512156</v>
      </c>
      <c r="R38" s="116">
        <v>20851788176</v>
      </c>
      <c r="S38" s="116">
        <v>1566500.6</v>
      </c>
      <c r="T38" s="130">
        <f t="shared" ref="T38" si="57">Q38/S38</f>
        <v>9.9024258273504646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827935.52380952379</v>
      </c>
      <c r="G39" s="190">
        <f t="shared" ref="G39" si="58">F39/F38-1</f>
        <v>6.7466732296302068E-2</v>
      </c>
      <c r="H39" s="190">
        <f t="shared" ref="H39" si="59">F39/F27-1</f>
        <v>1.858130760534376</v>
      </c>
      <c r="I39" s="130">
        <f t="shared" si="0"/>
        <v>10.947510902351736</v>
      </c>
      <c r="J39" s="130">
        <f t="shared" si="5"/>
        <v>0.14818959302878576</v>
      </c>
      <c r="K39" s="136"/>
      <c r="L39" s="190"/>
      <c r="M39" s="190"/>
      <c r="N39" s="191"/>
      <c r="O39" s="192"/>
      <c r="P39" s="129" t="s">
        <v>762</v>
      </c>
      <c r="Q39" s="116">
        <v>17386646</v>
      </c>
      <c r="R39" s="116">
        <v>24175544160</v>
      </c>
      <c r="S39" s="116">
        <v>1588182.57</v>
      </c>
      <c r="T39" s="130">
        <f t="shared" ref="T39" si="60">Q39/S39</f>
        <v>10.947510902351736</v>
      </c>
      <c r="U39" s="85"/>
    </row>
    <row r="40" spans="1:21" s="92" customFormat="1" ht="13.2" hidden="1">
      <c r="A40" s="129" t="s">
        <v>778</v>
      </c>
      <c r="B40" s="188">
        <f>SUM(F38:F40)</f>
        <v>2362817.0857142857</v>
      </c>
      <c r="C40" s="188">
        <f>AVERAGE(F38:F40)</f>
        <v>787605.69523809524</v>
      </c>
      <c r="D40" s="190">
        <f>C40/C37-1</f>
        <v>0.30687288900295595</v>
      </c>
      <c r="E40" s="287">
        <f>C40/C28-1</f>
        <v>1.7505443603024893</v>
      </c>
      <c r="F40" s="136">
        <f>Q40/21</f>
        <v>759273.76190476189</v>
      </c>
      <c r="G40" s="190">
        <f t="shared" ref="G40" si="61">F40/F39-1</f>
        <v>-8.2931291060967083E-2</v>
      </c>
      <c r="H40" s="190">
        <f t="shared" ref="H40" si="62">F40/F28-1</f>
        <v>1.7466984723136769</v>
      </c>
      <c r="I40" s="130">
        <f t="shared" si="0"/>
        <v>11.179671258502328</v>
      </c>
      <c r="J40" s="130">
        <f t="shared" si="5"/>
        <v>0.32915922294570454</v>
      </c>
      <c r="K40" s="136">
        <f>R38+R39+R40</f>
        <v>67650848105</v>
      </c>
      <c r="L40" s="190">
        <f>U40/U37-1</f>
        <v>0.33909916542133645</v>
      </c>
      <c r="M40" s="190">
        <f>U40/U28-1</f>
        <v>1.8412744690899783</v>
      </c>
      <c r="N40" s="191">
        <f>AVERAGE(T38:T40)</f>
        <v>10.676535996068177</v>
      </c>
      <c r="O40" s="192">
        <f>N40/N37-1</f>
        <v>7.2211936481533234E-2</v>
      </c>
      <c r="P40" s="129" t="s">
        <v>778</v>
      </c>
      <c r="Q40" s="116">
        <v>15944749</v>
      </c>
      <c r="R40" s="116">
        <v>22623515769</v>
      </c>
      <c r="S40" s="116">
        <v>1426227</v>
      </c>
      <c r="T40" s="130">
        <f t="shared" ref="T40" si="63">Q40/S40</f>
        <v>11.179671258502328</v>
      </c>
      <c r="U40" s="85">
        <f>Q38+Q39+Q40</f>
        <v>48843551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554416.11111111112</v>
      </c>
      <c r="G41" s="190">
        <f t="shared" ref="G41" si="64">F41/F40-1</f>
        <v>-0.26980736207679823</v>
      </c>
      <c r="H41" s="190">
        <f t="shared" ref="H41" si="65">F41/F29-1</f>
        <v>1.7839236197178003</v>
      </c>
      <c r="I41" s="130">
        <f t="shared" si="0"/>
        <v>10.308733314118994</v>
      </c>
      <c r="J41" s="130">
        <f t="shared" si="5"/>
        <v>4.4920564703423205E-2</v>
      </c>
      <c r="K41" s="194"/>
      <c r="L41" s="202"/>
      <c r="M41" s="202"/>
      <c r="N41" s="194"/>
      <c r="O41" s="194"/>
      <c r="P41" s="129" t="s">
        <v>793</v>
      </c>
      <c r="Q41" s="116">
        <v>9979490</v>
      </c>
      <c r="R41" s="116">
        <v>14606107387</v>
      </c>
      <c r="S41" s="116">
        <v>968061.71</v>
      </c>
      <c r="T41" s="130">
        <f t="shared" ref="T41" si="66">Q41/S41</f>
        <v>10.308733314118994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458793.45</v>
      </c>
      <c r="G42" s="190">
        <f t="shared" ref="G42" si="67">F42/F41-1</f>
        <v>-0.17247453527184253</v>
      </c>
      <c r="H42" s="190">
        <f t="shared" ref="H42" si="68">F42/F30-1</f>
        <v>0.41136885239398757</v>
      </c>
      <c r="I42" s="130">
        <f t="shared" si="0"/>
        <v>10.748478956061334</v>
      </c>
      <c r="J42" s="130">
        <f t="shared" si="5"/>
        <v>0.18207150538761163</v>
      </c>
      <c r="K42" s="194"/>
      <c r="L42" s="202"/>
      <c r="M42" s="202"/>
      <c r="N42" s="194"/>
      <c r="O42" s="194"/>
      <c r="P42" s="129" t="s">
        <v>826</v>
      </c>
      <c r="Q42" s="116">
        <v>9175869</v>
      </c>
      <c r="R42" s="116">
        <v>13240809439</v>
      </c>
      <c r="S42" s="116">
        <v>853690</v>
      </c>
      <c r="T42" s="130">
        <f t="shared" ref="T42" si="69">Q42/S42</f>
        <v>10.748478956061334</v>
      </c>
      <c r="U42" s="175"/>
    </row>
    <row r="43" spans="1:21" s="92" customFormat="1" ht="13.2">
      <c r="A43" s="129" t="s">
        <v>835</v>
      </c>
      <c r="B43" s="188">
        <f>SUM(F41:F43)</f>
        <v>1684180.6611111113</v>
      </c>
      <c r="C43" s="188">
        <f>AVERAGE(F41:F43)</f>
        <v>561393.5537037038</v>
      </c>
      <c r="D43" s="190">
        <f>C43/C40-1</f>
        <v>-0.28721496416554848</v>
      </c>
      <c r="E43" s="287">
        <f>C43/C31-1</f>
        <v>1.1864844040510172</v>
      </c>
      <c r="F43" s="136">
        <f>Q43/20</f>
        <v>670971.1</v>
      </c>
      <c r="G43" s="190">
        <f t="shared" ref="G43" si="70">F43/F42-1</f>
        <v>0.46246878633511423</v>
      </c>
      <c r="H43" s="190">
        <f t="shared" ref="H43" si="71">F43/F31-1</f>
        <v>1.7269733051953922</v>
      </c>
      <c r="I43" s="130">
        <f t="shared" si="0"/>
        <v>10.963223044060019</v>
      </c>
      <c r="J43" s="130">
        <f t="shared" si="5"/>
        <v>0.42811784772677841</v>
      </c>
      <c r="K43" s="136">
        <f>R41+R42+R43</f>
        <v>47312228459</v>
      </c>
      <c r="L43" s="190">
        <f>U43/U40-1</f>
        <v>-0.33307918173271223</v>
      </c>
      <c r="M43" s="190">
        <f>K43/K31-1</f>
        <v>1.303088033108923</v>
      </c>
      <c r="N43" s="191">
        <f>AVERAGE(T41:T43)</f>
        <v>10.673478438080116</v>
      </c>
      <c r="O43" s="192">
        <f>N43/N40-1</f>
        <v>-2.863810873852124E-4</v>
      </c>
      <c r="P43" s="129" t="s">
        <v>835</v>
      </c>
      <c r="Q43" s="116">
        <v>13419422</v>
      </c>
      <c r="R43" s="116">
        <v>19465311633</v>
      </c>
      <c r="S43" s="116">
        <v>1224039.8600000001</v>
      </c>
      <c r="T43" s="130">
        <f t="shared" ref="T43" si="72">Q43/S43</f>
        <v>10.963223044060019</v>
      </c>
      <c r="U43" s="85">
        <f>Q41+Q42+Q43</f>
        <v>32574781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786334.45454545459</v>
      </c>
      <c r="G44" s="190">
        <f t="shared" ref="G44" si="73">F44/F43-1</f>
        <v>0.17193490829255476</v>
      </c>
      <c r="H44" s="190">
        <f t="shared" ref="H44" si="74">F44/F32-1</f>
        <v>1.0158360703221629</v>
      </c>
      <c r="I44" s="130">
        <f t="shared" si="0"/>
        <v>10.791091664412566</v>
      </c>
      <c r="J44" s="130">
        <f t="shared" si="5"/>
        <v>9.5328124585606577E-2</v>
      </c>
      <c r="K44" s="136"/>
      <c r="L44" s="190"/>
      <c r="M44" s="190"/>
      <c r="N44" s="191"/>
      <c r="O44" s="192"/>
      <c r="P44" s="129" t="s">
        <v>843</v>
      </c>
      <c r="Q44" s="116">
        <v>17299358</v>
      </c>
      <c r="R44" s="116">
        <v>25000732495</v>
      </c>
      <c r="S44" s="116">
        <v>1603114.73</v>
      </c>
      <c r="T44" s="130">
        <f t="shared" ref="T44" si="75">Q44/S44</f>
        <v>10.791091664412566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472150.85</v>
      </c>
      <c r="G45" s="190">
        <f t="shared" ref="G45" si="76">F45/F44-1</f>
        <v>-0.39955467133520217</v>
      </c>
      <c r="H45" s="190">
        <f t="shared" ref="H45" si="77">F45/F33-1</f>
        <v>0.1906861995140785</v>
      </c>
      <c r="I45" s="130">
        <f t="shared" si="0"/>
        <v>9.6559354953175642</v>
      </c>
      <c r="J45" s="130">
        <f t="shared" si="5"/>
        <v>2.2112299106669564E-2</v>
      </c>
      <c r="K45" s="136"/>
      <c r="L45" s="190"/>
      <c r="M45" s="190"/>
      <c r="N45" s="191"/>
      <c r="O45" s="192"/>
      <c r="P45" s="129" t="s">
        <v>853</v>
      </c>
      <c r="Q45" s="116">
        <v>9443017</v>
      </c>
      <c r="R45" s="116">
        <v>13233262532</v>
      </c>
      <c r="S45" s="116">
        <v>977949.47</v>
      </c>
      <c r="T45" s="130">
        <f t="shared" ref="T45" si="78">Q45/S45</f>
        <v>9.6559354953175642</v>
      </c>
      <c r="U45" s="85"/>
    </row>
    <row r="46" spans="1:21" s="92" customFormat="1" ht="13.2">
      <c r="A46" s="129" t="s">
        <v>888</v>
      </c>
      <c r="B46" s="188">
        <f>SUM(F44:F46)</f>
        <v>1737418.7782296652</v>
      </c>
      <c r="C46" s="188">
        <f>AVERAGE(F44:F46)</f>
        <v>579139.59274322179</v>
      </c>
      <c r="D46" s="190">
        <f>C46/C43-1</f>
        <v>3.161069257464999E-2</v>
      </c>
      <c r="E46" s="287">
        <f>C46/C34-1</f>
        <v>0.43247200224853732</v>
      </c>
      <c r="F46" s="136">
        <f>Q46/19</f>
        <v>478933.4736842105</v>
      </c>
      <c r="G46" s="190">
        <f t="shared" ref="G46" si="79">F46/F45-1</f>
        <v>1.436537429554674E-2</v>
      </c>
      <c r="H46" s="190">
        <f t="shared" ref="H46" si="80">F46/F34-1</f>
        <v>0.12355500152672083</v>
      </c>
      <c r="I46" s="130">
        <f t="shared" si="0"/>
        <v>10.402968265590593</v>
      </c>
      <c r="J46" s="130">
        <f t="shared" si="5"/>
        <v>0.10950192211630427</v>
      </c>
      <c r="K46" s="136">
        <f>R44+R45+R46</f>
        <v>50708094894</v>
      </c>
      <c r="L46" s="190">
        <f>U46/U43-1</f>
        <v>0.10030243948531847</v>
      </c>
      <c r="M46" s="190">
        <f>K46/K34-1</f>
        <v>0.5073650552297837</v>
      </c>
      <c r="N46" s="191">
        <f>AVERAGE(T44:T46)</f>
        <v>10.28333180844024</v>
      </c>
      <c r="O46" s="192">
        <f>N46/N43-1</f>
        <v>-3.6552903713932383E-2</v>
      </c>
      <c r="P46" s="129" t="s">
        <v>928</v>
      </c>
      <c r="Q46" s="116">
        <v>9099736</v>
      </c>
      <c r="R46" s="116">
        <v>12474099867</v>
      </c>
      <c r="S46" s="116">
        <v>874724.96</v>
      </c>
      <c r="T46" s="130">
        <f t="shared" ref="T46" si="81">Q46/S46</f>
        <v>10.402968265590593</v>
      </c>
      <c r="U46" s="85">
        <f t="shared" ref="U46:U51" si="82">Q44+Q45+Q46</f>
        <v>35842111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478281.73913043475</v>
      </c>
      <c r="G47" s="190">
        <f t="shared" ref="G47" si="83">F47/F46-1</f>
        <v>-1.3608039312063003E-3</v>
      </c>
      <c r="H47" s="190">
        <f t="shared" ref="H47" si="84">F47/F35-1</f>
        <v>5.609572494783821E-2</v>
      </c>
      <c r="I47" s="130">
        <f t="shared" si="0"/>
        <v>10.695895965442952</v>
      </c>
      <c r="J47" s="130">
        <f t="shared" si="5"/>
        <v>0.13198696182360292</v>
      </c>
      <c r="K47" s="136"/>
      <c r="L47" s="190"/>
      <c r="M47" s="190"/>
      <c r="N47" s="191"/>
      <c r="O47" s="192"/>
      <c r="P47" s="129" t="s">
        <v>1051</v>
      </c>
      <c r="Q47" s="116">
        <v>11000480</v>
      </c>
      <c r="R47" s="116">
        <v>15075742921</v>
      </c>
      <c r="S47" s="116">
        <v>1028476.72</v>
      </c>
      <c r="T47" s="130">
        <f t="shared" ref="T47" si="85">Q47/S47</f>
        <v>10.695895965442952</v>
      </c>
      <c r="U47" s="85">
        <f t="shared" si="82"/>
        <v>29543233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418103.2</v>
      </c>
      <c r="G48" s="190">
        <f t="shared" ref="G48" si="86">F48/F47-1</f>
        <v>-0.12582236411502035</v>
      </c>
      <c r="H48" s="190">
        <f t="shared" ref="H48" si="87">F48/F36-1</f>
        <v>-0.2474161967178885</v>
      </c>
      <c r="I48" s="130">
        <f t="shared" si="0"/>
        <v>10.956841225290953</v>
      </c>
      <c r="J48" s="130">
        <f t="shared" si="5"/>
        <v>6.8509295410342563E-2</v>
      </c>
      <c r="K48" s="136"/>
      <c r="L48" s="190"/>
      <c r="M48" s="190"/>
      <c r="N48" s="191"/>
      <c r="O48" s="192"/>
      <c r="P48" s="129" t="s">
        <v>1070</v>
      </c>
      <c r="Q48" s="116">
        <v>8362064</v>
      </c>
      <c r="R48" s="116">
        <v>11606954727</v>
      </c>
      <c r="S48" s="116">
        <v>763182</v>
      </c>
      <c r="T48" s="130">
        <f t="shared" ref="T48" si="88">Q48/S48</f>
        <v>10.956841225290953</v>
      </c>
      <c r="U48" s="85">
        <f t="shared" si="82"/>
        <v>28462280</v>
      </c>
    </row>
    <row r="49" spans="1:26" ht="13.2">
      <c r="A49" s="129" t="s">
        <v>1158</v>
      </c>
      <c r="B49" s="188">
        <f>SUM(F47:F49)</f>
        <v>1481048.2118577075</v>
      </c>
      <c r="C49" s="188">
        <f>AVERAGE(F47:F49)</f>
        <v>493682.73728590249</v>
      </c>
      <c r="D49" s="190">
        <f>C49/C46-1</f>
        <v>-0.14755830291715011</v>
      </c>
      <c r="E49" s="287">
        <f>C49/C37-1</f>
        <v>-0.18083301196460377</v>
      </c>
      <c r="F49" s="136">
        <f>Q49/22</f>
        <v>584663.27272727271</v>
      </c>
      <c r="G49" s="190">
        <f t="shared" ref="G49" si="89">F49/F48-1</f>
        <v>0.39837071978227545</v>
      </c>
      <c r="H49" s="190">
        <f t="shared" ref="H49" si="90">F49/F37-1</f>
        <v>-0.26876761411808447</v>
      </c>
      <c r="I49" s="130">
        <f t="shared" si="0"/>
        <v>11.112012448336747</v>
      </c>
      <c r="J49" s="130">
        <f t="shared" si="5"/>
        <v>9.2695896433970582E-2</v>
      </c>
      <c r="K49" s="136">
        <f>R47+R48+R49</f>
        <v>44566744182</v>
      </c>
      <c r="L49" s="190">
        <f>U49/U46-1</f>
        <v>-0.10091411747483292</v>
      </c>
      <c r="M49" s="190">
        <f>K49/K37-1</f>
        <v>-9.9556808435340205E-2</v>
      </c>
      <c r="N49" s="191">
        <f>AVERAGE(T47:T49)</f>
        <v>10.921583213023551</v>
      </c>
      <c r="O49" s="192">
        <f>N49/N46-1</f>
        <v>6.2066596359309667E-2</v>
      </c>
      <c r="P49" s="129" t="s">
        <v>1190</v>
      </c>
      <c r="Q49" s="116">
        <v>12862592</v>
      </c>
      <c r="R49" s="116">
        <v>17884046534</v>
      </c>
      <c r="S49" s="116">
        <v>1157539.3799999999</v>
      </c>
      <c r="T49" s="130">
        <f t="shared" ref="T49" si="91">Q49/S49</f>
        <v>11.112012448336747</v>
      </c>
      <c r="U49" s="85">
        <f t="shared" si="82"/>
        <v>32225136</v>
      </c>
      <c r="V49" s="92"/>
      <c r="W49" s="92"/>
      <c r="X49" s="92"/>
      <c r="Y49" s="92"/>
      <c r="Z49" s="92"/>
    </row>
    <row r="50" spans="1:26" s="79" customFormat="1" ht="13.2">
      <c r="A50" s="129" t="s">
        <v>1314</v>
      </c>
      <c r="B50" s="188"/>
      <c r="C50" s="188"/>
      <c r="D50" s="190"/>
      <c r="E50" s="287"/>
      <c r="F50" s="136">
        <f>Q50/18</f>
        <v>747745.77777777775</v>
      </c>
      <c r="G50" s="190">
        <f t="shared" ref="G50" si="92">F50/F49-1</f>
        <v>0.27893406796321552</v>
      </c>
      <c r="H50" s="190">
        <f t="shared" ref="H50" si="93">F50/F38-1</f>
        <v>-3.5922823651621694E-2</v>
      </c>
      <c r="I50" s="130">
        <f t="shared" ref="I50" si="94">T50</f>
        <v>11.147395439146957</v>
      </c>
      <c r="J50" s="130">
        <f t="shared" ref="J50" si="95">I50/I38-1</f>
        <v>0.12572369977848163</v>
      </c>
      <c r="K50" s="136"/>
      <c r="L50" s="190"/>
      <c r="M50" s="190"/>
      <c r="N50" s="191"/>
      <c r="O50" s="192"/>
      <c r="P50" s="129" t="s">
        <v>1291</v>
      </c>
      <c r="Q50" s="116">
        <v>13459424</v>
      </c>
      <c r="R50" s="116">
        <v>19097173639</v>
      </c>
      <c r="S50" s="116">
        <v>1207405.27</v>
      </c>
      <c r="T50" s="130">
        <f t="shared" ref="T50" si="96">Q50/S50</f>
        <v>11.147395439146957</v>
      </c>
      <c r="U50" s="85">
        <f t="shared" si="82"/>
        <v>34684080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681941.2</v>
      </c>
      <c r="G51" s="190">
        <f t="shared" ref="G51:G52" si="97">F51/F50-1</f>
        <v>-8.8003944299548054E-2</v>
      </c>
      <c r="H51" s="190">
        <f t="shared" ref="H51:H52" si="98">F51/F39-1</f>
        <v>-0.17633537831275803</v>
      </c>
      <c r="I51" s="130">
        <f t="shared" ref="I51:I52" si="99">T51</f>
        <v>11.859566451993484</v>
      </c>
      <c r="J51" s="130">
        <f t="shared" ref="J51:J52" si="100">I51/I39-1</f>
        <v>8.3311682242382723E-2</v>
      </c>
      <c r="K51" s="136"/>
      <c r="L51" s="190"/>
      <c r="M51" s="190"/>
      <c r="N51" s="191"/>
      <c r="O51" s="192"/>
      <c r="P51" s="129" t="s">
        <v>1402</v>
      </c>
      <c r="Q51" s="116">
        <v>13638824</v>
      </c>
      <c r="R51" s="116">
        <v>19875642508</v>
      </c>
      <c r="S51" s="116">
        <v>1150027.2</v>
      </c>
      <c r="T51" s="130">
        <f t="shared" ref="T51:T52" si="101">Q51/S51</f>
        <v>11.859566451993484</v>
      </c>
      <c r="U51" s="85">
        <f t="shared" si="82"/>
        <v>39960840</v>
      </c>
    </row>
    <row r="52" spans="1:26" s="79" customFormat="1" ht="13.2">
      <c r="A52" s="129" t="s">
        <v>1403</v>
      </c>
      <c r="B52" s="188">
        <f>SUM(F50:F52)</f>
        <v>2032551.3868686869</v>
      </c>
      <c r="C52" s="188">
        <f>AVERAGE(F50:F52)</f>
        <v>677517.12895622896</v>
      </c>
      <c r="D52" s="190">
        <f>C52/C49-1</f>
        <v>0.37237354638119324</v>
      </c>
      <c r="E52" s="287">
        <f>C52/C40-1</f>
        <v>-0.13977624456941773</v>
      </c>
      <c r="F52" s="136">
        <f>Q52/22</f>
        <v>602864.40909090906</v>
      </c>
      <c r="G52" s="190">
        <f t="shared" si="97"/>
        <v>-0.11595837135091835</v>
      </c>
      <c r="H52" s="190">
        <f t="shared" si="98"/>
        <v>-0.20599862745352149</v>
      </c>
      <c r="I52" s="130">
        <f t="shared" si="99"/>
        <v>10.482985530850698</v>
      </c>
      <c r="J52" s="130">
        <f t="shared" si="100"/>
        <v>-6.2317192656428877E-2</v>
      </c>
      <c r="K52" s="136">
        <f>R50+R51+R52</f>
        <v>58468824021</v>
      </c>
      <c r="L52" s="190">
        <f>U52/U49-1</f>
        <v>0.25247772422124148</v>
      </c>
      <c r="M52" s="190">
        <f>K52/K40-1</f>
        <v>-0.13572666627547225</v>
      </c>
      <c r="N52" s="191">
        <f>AVERAGE(T50:T52)</f>
        <v>11.163315807330379</v>
      </c>
      <c r="O52" s="192">
        <f>N52/N49-1</f>
        <v>2.2133475485364817E-2</v>
      </c>
      <c r="P52" s="129" t="s">
        <v>1403</v>
      </c>
      <c r="Q52" s="116">
        <v>13263017</v>
      </c>
      <c r="R52" s="116">
        <v>19496007874</v>
      </c>
      <c r="S52" s="116">
        <v>1265194.6299999999</v>
      </c>
      <c r="T52" s="130">
        <f t="shared" si="101"/>
        <v>10.482985530850698</v>
      </c>
      <c r="U52" s="85">
        <f t="shared" ref="U52" si="102">Q50+Q51+Q52</f>
        <v>40361265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499334.66666666669</v>
      </c>
      <c r="G53" s="190">
        <f t="shared" ref="G53" si="103">F53/F52-1</f>
        <v>-0.17172973037230765</v>
      </c>
      <c r="H53" s="190">
        <f t="shared" ref="H53" si="104">F53/F41-1</f>
        <v>-9.9350367603955658E-2</v>
      </c>
      <c r="I53" s="130">
        <f t="shared" ref="I53" si="105">T53</f>
        <v>10.791914010719843</v>
      </c>
      <c r="J53" s="130">
        <f t="shared" ref="J53" si="106">I53/I41-1</f>
        <v>4.6871005571468061E-2</v>
      </c>
      <c r="K53" s="136"/>
      <c r="L53" s="190"/>
      <c r="M53" s="190"/>
      <c r="N53" s="191"/>
      <c r="O53" s="192"/>
      <c r="P53" s="129" t="s">
        <v>1414</v>
      </c>
      <c r="Q53" s="116">
        <v>10486028</v>
      </c>
      <c r="R53" s="116">
        <v>15265290496</v>
      </c>
      <c r="S53" s="116">
        <v>971656</v>
      </c>
      <c r="T53" s="130">
        <f t="shared" ref="T53" si="107">Q53/S53</f>
        <v>10.791914010719843</v>
      </c>
      <c r="U53" s="85">
        <f t="shared" ref="U53" si="108">Q51+Q52+Q53</f>
        <v>37387869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385085.8823529412</v>
      </c>
      <c r="G54" s="190">
        <f t="shared" ref="G54" si="109">F54/F53-1</f>
        <v>-0.22880202785918891</v>
      </c>
      <c r="H54" s="190">
        <f t="shared" ref="H54" si="110">F54/F42-1</f>
        <v>-0.16065523090414391</v>
      </c>
      <c r="I54" s="130">
        <f t="shared" ref="I54" si="111">T54</f>
        <v>10.056555470218926</v>
      </c>
      <c r="J54" s="130">
        <f t="shared" ref="J54" si="112">I54/I42-1</f>
        <v>-6.4374083874650379E-2</v>
      </c>
      <c r="K54" s="136"/>
      <c r="L54" s="190"/>
      <c r="M54" s="190"/>
      <c r="N54" s="191"/>
      <c r="O54" s="192"/>
      <c r="P54" s="129" t="s">
        <v>1417</v>
      </c>
      <c r="Q54" s="116">
        <v>6546460</v>
      </c>
      <c r="R54" s="116">
        <v>9477044550</v>
      </c>
      <c r="S54" s="116">
        <v>650964.43999999994</v>
      </c>
      <c r="T54" s="130">
        <f t="shared" ref="T54" si="113">Q54/S54</f>
        <v>10.056555470218926</v>
      </c>
      <c r="U54" s="85">
        <f t="shared" ref="U54" si="114">Q52+Q53+Q54</f>
        <v>30295505</v>
      </c>
    </row>
    <row r="55" spans="1:26" s="79" customFormat="1" ht="13.2">
      <c r="A55" s="129" t="s">
        <v>1418</v>
      </c>
      <c r="B55" s="188">
        <f>SUM(F53:F55)</f>
        <v>1360741.5966386555</v>
      </c>
      <c r="C55" s="188">
        <f>AVERAGE(F53:F55)</f>
        <v>453580.53221288515</v>
      </c>
      <c r="D55" s="190">
        <f>C55/C52-1</f>
        <v>-0.33052536559236012</v>
      </c>
      <c r="E55" s="287">
        <f>C55/C43-1</f>
        <v>-0.1920453499680207</v>
      </c>
      <c r="F55" s="136">
        <f>Q55/21</f>
        <v>476321.04761904763</v>
      </c>
      <c r="G55" s="190">
        <f t="shared" ref="G55" si="115">F55/F54-1</f>
        <v>0.23692160488627589</v>
      </c>
      <c r="H55" s="190">
        <f t="shared" ref="H55" si="116">F55/F43-1</f>
        <v>-0.29010199154770211</v>
      </c>
      <c r="I55" s="130">
        <f>T55</f>
        <v>9.0222734947757317</v>
      </c>
      <c r="J55" s="130">
        <f t="shared" ref="J55" si="117">I55/I43-1</f>
        <v>-0.17704187367928381</v>
      </c>
      <c r="K55" s="136">
        <f>R53+R54+R55</f>
        <v>39434702542</v>
      </c>
      <c r="L55" s="190">
        <f>U55/U52-1</f>
        <v>-0.33016891318941566</v>
      </c>
      <c r="M55" s="190">
        <f>K55/K43-1</f>
        <v>-0.16650084288095912</v>
      </c>
      <c r="N55" s="191">
        <f>AVERAGE(T53:T55)</f>
        <v>9.9569143252381664</v>
      </c>
      <c r="O55" s="192">
        <f>N55/N52-1</f>
        <v>-0.10806838245138872</v>
      </c>
      <c r="P55" s="129" t="s">
        <v>1418</v>
      </c>
      <c r="Q55" s="116">
        <v>10002742</v>
      </c>
      <c r="R55" s="116">
        <v>14692367496</v>
      </c>
      <c r="S55" s="116">
        <v>1108672</v>
      </c>
      <c r="T55" s="130">
        <f t="shared" ref="T55" si="118">Q55/S55</f>
        <v>9.0222734947757317</v>
      </c>
      <c r="U55" s="85">
        <f t="shared" ref="U55" si="119">Q53+Q54+Q55</f>
        <v>27035230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367770.09090909088</v>
      </c>
      <c r="G56" s="190">
        <f t="shared" ref="G56" si="120">F56/F55-1</f>
        <v>-0.22789452041341185</v>
      </c>
      <c r="H56" s="190">
        <f t="shared" ref="H56" si="121">F56/F44-1</f>
        <v>-0.53229813499437384</v>
      </c>
      <c r="I56" s="291">
        <f>T56</f>
        <v>9.8570110360573775</v>
      </c>
      <c r="J56" s="130">
        <f t="shared" ref="J56" si="122">I56/I44-1</f>
        <v>-8.6560346015375655E-2</v>
      </c>
      <c r="K56" s="136"/>
      <c r="L56" s="190"/>
      <c r="M56" s="190"/>
      <c r="N56" s="191"/>
      <c r="O56" s="192"/>
      <c r="P56" s="129" t="s">
        <v>1420</v>
      </c>
      <c r="Q56" s="116">
        <v>8090942</v>
      </c>
      <c r="R56" s="116">
        <v>12125991453</v>
      </c>
      <c r="S56" s="116">
        <v>820831.18</v>
      </c>
      <c r="T56" s="130">
        <f t="shared" ref="T56" si="123">Q56/S56</f>
        <v>9.8570110360573775</v>
      </c>
      <c r="U56" s="85">
        <f t="shared" ref="U56" si="124">Q54+Q55+Q56</f>
        <v>24640144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260615.25</v>
      </c>
      <c r="G57" s="254">
        <f t="shared" ref="G57" si="125">F57/F56-1</f>
        <v>-0.29136366321745966</v>
      </c>
      <c r="H57" s="254">
        <f t="shared" ref="H57" si="126">F57/F45-1</f>
        <v>-0.44802545627102008</v>
      </c>
      <c r="I57" s="282">
        <f>T57</f>
        <v>8.6598483673740638</v>
      </c>
      <c r="J57" s="277">
        <f t="shared" ref="J57" si="127">I57/I45-1</f>
        <v>-0.10315801388964652</v>
      </c>
      <c r="K57" s="204"/>
      <c r="L57" s="254"/>
      <c r="M57" s="254"/>
      <c r="N57" s="257"/>
      <c r="O57" s="258"/>
      <c r="P57" s="129" t="s">
        <v>1436</v>
      </c>
      <c r="Q57" s="116">
        <v>3127383</v>
      </c>
      <c r="R57" s="116">
        <v>4599275475</v>
      </c>
      <c r="S57" s="116">
        <v>361136</v>
      </c>
      <c r="T57" s="130">
        <f t="shared" ref="T57" si="128">Q57/S57</f>
        <v>8.6598483673740638</v>
      </c>
      <c r="U57" s="85">
        <f t="shared" ref="U57" si="129">Q55+Q56+Q57</f>
        <v>21221067</v>
      </c>
    </row>
    <row r="58" spans="1:26">
      <c r="B58" s="196">
        <f>SUM(F56:F58)</f>
        <v>628385.34090909082</v>
      </c>
      <c r="C58" s="196">
        <f>AVERAGE(F56:F58)</f>
        <v>314192.67045454541</v>
      </c>
      <c r="D58" s="197">
        <f>C58/C55-1</f>
        <v>-0.30730565326141235</v>
      </c>
      <c r="E58" s="233">
        <f>C58/C46-1</f>
        <v>-0.45748369755501805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38253555</v>
      </c>
      <c r="R65" s="212">
        <v>56159969470</v>
      </c>
      <c r="S65" s="213">
        <v>3913259.62</v>
      </c>
      <c r="T65" s="214">
        <v>37</v>
      </c>
      <c r="U65" s="214">
        <v>59</v>
      </c>
    </row>
    <row r="66" spans="16:21" ht="18" thickBot="1">
      <c r="P66" s="180" t="s">
        <v>976</v>
      </c>
      <c r="Q66" s="181">
        <v>10486028</v>
      </c>
      <c r="R66" s="181">
        <v>15265290496</v>
      </c>
      <c r="S66" s="182">
        <v>971656</v>
      </c>
      <c r="T66" s="210">
        <v>18</v>
      </c>
      <c r="U66" s="210">
        <v>20</v>
      </c>
    </row>
    <row r="67" spans="16:21" ht="18" thickBot="1">
      <c r="P67" s="180" t="s">
        <v>977</v>
      </c>
      <c r="Q67" s="181">
        <v>6546460</v>
      </c>
      <c r="R67" s="181">
        <v>9477044550</v>
      </c>
      <c r="S67" s="182">
        <v>650964.43999999994</v>
      </c>
      <c r="T67" s="210">
        <v>12</v>
      </c>
      <c r="U67" s="210">
        <v>18</v>
      </c>
    </row>
    <row r="68" spans="16:21" ht="18" thickBot="1">
      <c r="P68" s="180" t="s">
        <v>978</v>
      </c>
      <c r="Q68" s="181">
        <v>10002742</v>
      </c>
      <c r="R68" s="181">
        <v>14692367496</v>
      </c>
      <c r="S68" s="182">
        <v>1108672</v>
      </c>
      <c r="T68" s="210">
        <v>18</v>
      </c>
      <c r="U68" s="210">
        <v>28</v>
      </c>
    </row>
    <row r="69" spans="16:21" ht="18" thickBot="1">
      <c r="P69" s="180" t="s">
        <v>979</v>
      </c>
      <c r="Q69" s="181">
        <v>8090942</v>
      </c>
      <c r="R69" s="181">
        <v>12125991453</v>
      </c>
      <c r="S69" s="182">
        <v>820831.18</v>
      </c>
      <c r="T69" s="210">
        <v>24</v>
      </c>
      <c r="U69" s="210">
        <v>34</v>
      </c>
    </row>
    <row r="70" spans="16:21" ht="18" thickBot="1">
      <c r="P70" s="180" t="s">
        <v>980</v>
      </c>
      <c r="Q70" s="181">
        <v>3127383</v>
      </c>
      <c r="R70" s="181">
        <v>4599275475</v>
      </c>
      <c r="S70" s="182">
        <v>361136</v>
      </c>
      <c r="T70" s="210">
        <v>13</v>
      </c>
      <c r="U70" s="210">
        <v>15</v>
      </c>
    </row>
    <row r="71" spans="16:21" ht="18" thickBot="1">
      <c r="P71" s="180" t="s">
        <v>975</v>
      </c>
      <c r="Q71" s="181">
        <v>141178708</v>
      </c>
      <c r="R71" s="181">
        <v>201308874791</v>
      </c>
      <c r="S71" s="182">
        <v>13077059.960000001</v>
      </c>
      <c r="T71" s="210">
        <v>63</v>
      </c>
      <c r="U71" s="210">
        <v>136</v>
      </c>
    </row>
    <row r="72" spans="16:21" ht="18" thickBot="1">
      <c r="P72" s="215" t="s">
        <v>982</v>
      </c>
      <c r="Q72" s="216">
        <v>125415066</v>
      </c>
      <c r="R72" s="217">
        <v>17</v>
      </c>
      <c r="S72"/>
      <c r="T72"/>
      <c r="U72"/>
    </row>
  </sheetData>
  <phoneticPr fontId="1" type="noConversion"/>
  <conditionalFormatting sqref="C29:C30">
    <cfRule type="cellIs" dxfId="14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0"/>
  <dimension ref="A1:Z73"/>
  <sheetViews>
    <sheetView zoomScale="90" zoomScaleNormal="90" workbookViewId="0">
      <selection activeCell="G67" sqref="G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3688776.6</v>
      </c>
      <c r="G5" s="90"/>
      <c r="H5" s="90"/>
      <c r="I5" s="130">
        <f t="shared" ref="I5:I49" si="0">T5</f>
        <v>10.490658084794337</v>
      </c>
      <c r="J5" s="130"/>
      <c r="L5" s="80"/>
      <c r="M5" s="80"/>
      <c r="P5" s="129" t="s">
        <v>0</v>
      </c>
      <c r="Q5" s="116">
        <v>73775532</v>
      </c>
      <c r="R5" s="116">
        <v>87095788991</v>
      </c>
      <c r="S5" s="116">
        <v>7032498</v>
      </c>
      <c r="T5" s="130">
        <f t="shared" ref="T5:T17" si="1">Q5/S5</f>
        <v>10.490658084794337</v>
      </c>
      <c r="U5" s="85"/>
    </row>
    <row r="6" spans="1:21" ht="15" hidden="1" customHeight="1">
      <c r="A6" s="129" t="s">
        <v>1</v>
      </c>
      <c r="C6" s="79"/>
      <c r="F6" s="78">
        <f>Q6/18</f>
        <v>2606596.8333333335</v>
      </c>
      <c r="G6" s="90">
        <f t="shared" ref="G6:G16" si="2">F6/F5-1</f>
        <v>-0.29337091507972224</v>
      </c>
      <c r="H6" s="90"/>
      <c r="I6" s="130">
        <f t="shared" si="0"/>
        <v>10.645792382881234</v>
      </c>
      <c r="J6" s="130"/>
      <c r="P6" s="129" t="s">
        <v>1</v>
      </c>
      <c r="Q6" s="116">
        <v>46918743</v>
      </c>
      <c r="R6" s="116">
        <v>55718591210</v>
      </c>
      <c r="S6" s="116">
        <v>4407257</v>
      </c>
      <c r="T6" s="130">
        <f t="shared" si="1"/>
        <v>10.645792382881234</v>
      </c>
      <c r="U6" s="85"/>
    </row>
    <row r="7" spans="1:21" ht="15" hidden="1" customHeight="1">
      <c r="A7" s="129" t="s">
        <v>2</v>
      </c>
      <c r="B7" s="131">
        <f>F5+F6+F7</f>
        <v>8616485.2969696969</v>
      </c>
      <c r="C7" s="131">
        <f>AVERAGE(F5:F7)</f>
        <v>2872161.7656565658</v>
      </c>
      <c r="F7" s="78">
        <f>Q7/22</f>
        <v>2321111.8636363638</v>
      </c>
      <c r="G7" s="90">
        <f t="shared" si="2"/>
        <v>-0.10952402229841185</v>
      </c>
      <c r="H7" s="90"/>
      <c r="I7" s="130">
        <f t="shared" si="0"/>
        <v>10.643547147253305</v>
      </c>
      <c r="J7" s="130"/>
      <c r="K7" s="79">
        <f>R5+R6+R7</f>
        <v>204387792790</v>
      </c>
      <c r="N7" s="88">
        <f>AVERAGE(T5:T7)</f>
        <v>10.593332538309626</v>
      </c>
      <c r="P7" s="129" t="s">
        <v>2</v>
      </c>
      <c r="Q7" s="116">
        <v>51064461</v>
      </c>
      <c r="R7" s="116">
        <v>61573412589</v>
      </c>
      <c r="S7" s="116">
        <v>4797692</v>
      </c>
      <c r="T7" s="130">
        <f t="shared" si="1"/>
        <v>10.643547147253305</v>
      </c>
      <c r="U7" s="85">
        <f>Q5+Q6+Q7</f>
        <v>171758736</v>
      </c>
    </row>
    <row r="8" spans="1:21" ht="15" hidden="1" customHeight="1">
      <c r="A8" s="129" t="s">
        <v>3</v>
      </c>
      <c r="C8" s="79"/>
      <c r="F8" s="78">
        <f>Q8/21</f>
        <v>3478177.3809523811</v>
      </c>
      <c r="G8" s="90">
        <f t="shared" si="2"/>
        <v>0.49849623167377355</v>
      </c>
      <c r="H8" s="90"/>
      <c r="I8" s="130">
        <f t="shared" si="0"/>
        <v>10.837115502169153</v>
      </c>
      <c r="J8" s="130"/>
      <c r="K8" s="78"/>
      <c r="P8" s="129" t="s">
        <v>3</v>
      </c>
      <c r="Q8" s="116">
        <v>73041725</v>
      </c>
      <c r="R8" s="116">
        <v>88582339222</v>
      </c>
      <c r="S8" s="116">
        <v>6739960</v>
      </c>
      <c r="T8" s="130">
        <f t="shared" si="1"/>
        <v>10.837115502169153</v>
      </c>
      <c r="U8" s="85"/>
    </row>
    <row r="9" spans="1:21" ht="15" hidden="1" customHeight="1">
      <c r="A9" s="129" t="s">
        <v>4</v>
      </c>
      <c r="C9" s="79"/>
      <c r="F9" s="78">
        <f>Q9/21</f>
        <v>2966634.1428571427</v>
      </c>
      <c r="G9" s="90">
        <f t="shared" si="2"/>
        <v>-0.14707221112316293</v>
      </c>
      <c r="H9" s="90"/>
      <c r="I9" s="130">
        <f t="shared" si="0"/>
        <v>10.769092228173809</v>
      </c>
      <c r="J9" s="130"/>
      <c r="K9" s="78"/>
      <c r="P9" s="129" t="s">
        <v>4</v>
      </c>
      <c r="Q9" s="116">
        <v>62299317</v>
      </c>
      <c r="R9" s="116">
        <v>78291354058</v>
      </c>
      <c r="S9" s="116">
        <v>5785011</v>
      </c>
      <c r="T9" s="130">
        <f t="shared" si="1"/>
        <v>10.769092228173809</v>
      </c>
      <c r="U9" s="85"/>
    </row>
    <row r="10" spans="1:21" ht="15" hidden="1" customHeight="1">
      <c r="A10" s="129" t="s">
        <v>5</v>
      </c>
      <c r="B10" s="131">
        <f>F8+F9+F10</f>
        <v>9267144.9047619049</v>
      </c>
      <c r="C10" s="131">
        <f>AVERAGE(F8:F10)</f>
        <v>3089048.3015873018</v>
      </c>
      <c r="D10" s="90">
        <f>C10/C7-1</f>
        <v>7.5513342780383574E-2</v>
      </c>
      <c r="E10" s="286"/>
      <c r="F10" s="78">
        <f>Q10/21</f>
        <v>2822333.3809523811</v>
      </c>
      <c r="G10" s="90">
        <f t="shared" si="2"/>
        <v>-4.8641239517922763E-2</v>
      </c>
      <c r="H10" s="90"/>
      <c r="I10" s="130">
        <f t="shared" si="0"/>
        <v>10.40559706608833</v>
      </c>
      <c r="J10" s="130"/>
      <c r="K10" s="79">
        <f>R8+R9+R10</f>
        <v>241612754686</v>
      </c>
      <c r="L10" s="87">
        <f>U10/U7-1</f>
        <v>0.13304305523068116</v>
      </c>
      <c r="N10" s="88">
        <f>AVERAGE(T8:T10)</f>
        <v>10.67060159881043</v>
      </c>
      <c r="O10" s="89">
        <f>N10/N7-1</f>
        <v>7.2941220547328989E-3</v>
      </c>
      <c r="P10" s="129" t="s">
        <v>5</v>
      </c>
      <c r="Q10" s="116">
        <v>59269001</v>
      </c>
      <c r="R10" s="116">
        <v>74739061406</v>
      </c>
      <c r="S10" s="116">
        <v>5695877</v>
      </c>
      <c r="T10" s="130">
        <f t="shared" si="1"/>
        <v>10.40559706608833</v>
      </c>
      <c r="U10" s="85">
        <f>Q8+Q9+Q10</f>
        <v>194610043</v>
      </c>
    </row>
    <row r="11" spans="1:21" ht="15" hidden="1" customHeight="1">
      <c r="A11" s="129" t="s">
        <v>6</v>
      </c>
      <c r="C11" s="79"/>
      <c r="F11" s="78">
        <f>Q11/21</f>
        <v>3171112.7619047621</v>
      </c>
      <c r="G11" s="90">
        <f t="shared" si="2"/>
        <v>0.12357837784375691</v>
      </c>
      <c r="H11" s="90"/>
      <c r="I11" s="130">
        <f t="shared" si="0"/>
        <v>10.832226023729005</v>
      </c>
      <c r="J11" s="130"/>
      <c r="K11" s="78"/>
      <c r="O11" s="89"/>
      <c r="P11" s="129" t="s">
        <v>6</v>
      </c>
      <c r="Q11" s="116">
        <v>66593368</v>
      </c>
      <c r="R11" s="116">
        <v>85939593142</v>
      </c>
      <c r="S11" s="116">
        <v>6147708.5</v>
      </c>
      <c r="T11" s="130">
        <f t="shared" si="1"/>
        <v>10.832226023729005</v>
      </c>
      <c r="U11" s="85"/>
    </row>
    <row r="12" spans="1:21" ht="15" hidden="1" customHeight="1">
      <c r="A12" s="129" t="s">
        <v>7</v>
      </c>
      <c r="C12" s="79"/>
      <c r="F12" s="78">
        <f>Q12/22</f>
        <v>2391705.5454545454</v>
      </c>
      <c r="G12" s="90">
        <f t="shared" si="2"/>
        <v>-0.2457835072323501</v>
      </c>
      <c r="H12" s="90"/>
      <c r="I12" s="130">
        <f t="shared" si="0"/>
        <v>10.095577115460697</v>
      </c>
      <c r="J12" s="130"/>
      <c r="K12" s="78"/>
      <c r="O12" s="89"/>
      <c r="P12" s="129" t="s">
        <v>7</v>
      </c>
      <c r="Q12" s="116">
        <v>52617522</v>
      </c>
      <c r="R12" s="116">
        <v>68272595216</v>
      </c>
      <c r="S12" s="116">
        <v>5211938</v>
      </c>
      <c r="T12" s="130">
        <f t="shared" si="1"/>
        <v>10.095577115460697</v>
      </c>
      <c r="U12" s="85"/>
    </row>
    <row r="13" spans="1:21" ht="15" hidden="1" customHeight="1">
      <c r="A13" s="129" t="s">
        <v>96</v>
      </c>
      <c r="B13" s="131">
        <f>F11+F12+F13</f>
        <v>9629797.0073593073</v>
      </c>
      <c r="C13" s="131">
        <f>AVERAGE(F11:F13)</f>
        <v>3209932.3357864358</v>
      </c>
      <c r="D13" s="90">
        <f>C13/C10-1</f>
        <v>3.9133099387606896E-2</v>
      </c>
      <c r="E13" s="286"/>
      <c r="F13" s="78">
        <f>Q13/20</f>
        <v>4066978.7</v>
      </c>
      <c r="G13" s="90">
        <f t="shared" si="2"/>
        <v>0.70045125652249474</v>
      </c>
      <c r="H13" s="90"/>
      <c r="I13" s="130">
        <f t="shared" si="0"/>
        <v>10.574567602704109</v>
      </c>
      <c r="J13" s="130"/>
      <c r="K13" s="78">
        <f>R11+R12+R13</f>
        <v>265336062900</v>
      </c>
      <c r="L13" s="87">
        <f>U13/U10-1</f>
        <v>3.0524740185171151E-2</v>
      </c>
      <c r="N13" s="88">
        <f>AVERAGE(T11:T13)</f>
        <v>10.500790247297937</v>
      </c>
      <c r="O13" s="89">
        <f>N13/N10-1</f>
        <v>-1.5913943552294585E-2</v>
      </c>
      <c r="P13" s="129" t="s">
        <v>96</v>
      </c>
      <c r="Q13" s="116">
        <v>81339574</v>
      </c>
      <c r="R13" s="116">
        <v>111123874542</v>
      </c>
      <c r="S13" s="116">
        <v>7692000</v>
      </c>
      <c r="T13" s="130">
        <f t="shared" si="1"/>
        <v>10.574567602704109</v>
      </c>
      <c r="U13" s="85">
        <f>Q11+Q12+Q13</f>
        <v>200550464</v>
      </c>
    </row>
    <row r="14" spans="1:21" ht="15" hidden="1" customHeight="1">
      <c r="A14" s="129" t="s">
        <v>97</v>
      </c>
      <c r="C14" s="79"/>
      <c r="F14" s="78">
        <f>Q14/20</f>
        <v>3162387.9</v>
      </c>
      <c r="G14" s="90">
        <f t="shared" si="2"/>
        <v>-0.22242329422576035</v>
      </c>
      <c r="H14" s="90"/>
      <c r="I14" s="130">
        <f t="shared" si="0"/>
        <v>10.439960998554531</v>
      </c>
      <c r="J14" s="130"/>
      <c r="O14" s="89"/>
      <c r="P14" s="129" t="s">
        <v>97</v>
      </c>
      <c r="Q14" s="116">
        <v>63247758</v>
      </c>
      <c r="R14" s="116">
        <v>90189927415</v>
      </c>
      <c r="S14" s="116">
        <v>6058237</v>
      </c>
      <c r="T14" s="130">
        <f t="shared" si="1"/>
        <v>10.439960998554531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3348413.8636363638</v>
      </c>
      <c r="G15" s="90">
        <f t="shared" si="2"/>
        <v>5.8824524226254393E-2</v>
      </c>
      <c r="H15" s="90"/>
      <c r="I15" s="130">
        <f t="shared" si="0"/>
        <v>10.232370247785108</v>
      </c>
      <c r="J15" s="130"/>
      <c r="O15" s="89"/>
      <c r="P15" s="129" t="s">
        <v>98</v>
      </c>
      <c r="Q15" s="116">
        <v>73665105</v>
      </c>
      <c r="R15" s="116">
        <v>102520385522</v>
      </c>
      <c r="S15" s="116">
        <v>7199222</v>
      </c>
      <c r="T15" s="130">
        <f t="shared" si="1"/>
        <v>10.232370247785108</v>
      </c>
      <c r="U15" s="78"/>
    </row>
    <row r="16" spans="1:21" ht="15" hidden="1" customHeight="1">
      <c r="A16" s="129" t="s">
        <v>99</v>
      </c>
      <c r="B16" s="131">
        <f>F14+F15+F16</f>
        <v>10674355.9</v>
      </c>
      <c r="C16" s="131">
        <f>AVERAGE(F14:F16)</f>
        <v>3558118.6333333333</v>
      </c>
      <c r="D16" s="90">
        <f>C16/C13-1</f>
        <v>0.10847153806486443</v>
      </c>
      <c r="E16" s="286"/>
      <c r="F16" s="78">
        <f>Q16/22</f>
        <v>4163554.1363636362</v>
      </c>
      <c r="G16" s="90">
        <f t="shared" si="2"/>
        <v>0.24344071728398387</v>
      </c>
      <c r="H16" s="90"/>
      <c r="I16" s="130">
        <f t="shared" si="0"/>
        <v>10.190104945691564</v>
      </c>
      <c r="J16" s="130"/>
      <c r="K16" s="78">
        <f>R14+R15+R16</f>
        <v>312738602665</v>
      </c>
      <c r="L16" s="87">
        <f>U16/U13-1</f>
        <v>0.13941922368227488</v>
      </c>
      <c r="N16" s="88">
        <f>AVERAGE(T14:T16)</f>
        <v>10.287478730677067</v>
      </c>
      <c r="O16" s="89">
        <f>N16/N13-1</f>
        <v>-2.0313853681227401E-2</v>
      </c>
      <c r="P16" s="129" t="s">
        <v>99</v>
      </c>
      <c r="Q16" s="116">
        <v>91598191</v>
      </c>
      <c r="R16" s="116">
        <v>120028289728</v>
      </c>
      <c r="S16" s="116">
        <v>8988935</v>
      </c>
      <c r="T16" s="130">
        <f t="shared" si="1"/>
        <v>10.190104945691564</v>
      </c>
      <c r="U16" s="85">
        <f>Q14+Q15+Q16</f>
        <v>228511054</v>
      </c>
    </row>
    <row r="17" spans="1:21" ht="15" hidden="1" customHeight="1">
      <c r="A17" s="129" t="s">
        <v>100</v>
      </c>
      <c r="C17" s="79"/>
      <c r="F17" s="78">
        <f>Q17/20</f>
        <v>2585204.35</v>
      </c>
      <c r="G17" s="90">
        <f t="shared" ref="G17:G22" si="3">F17/F16-1</f>
        <v>-0.37908712957005886</v>
      </c>
      <c r="H17" s="90">
        <f t="shared" ref="H17:H22" si="4">F17/F5-1</f>
        <v>-0.2991702587790217</v>
      </c>
      <c r="I17" s="130">
        <f t="shared" si="0"/>
        <v>9.7811978996112234</v>
      </c>
      <c r="J17" s="130">
        <f t="shared" ref="J17:J49" si="5">I17/I5-1</f>
        <v>-6.7627805562688104E-2</v>
      </c>
      <c r="O17" s="89"/>
      <c r="P17" s="129" t="s">
        <v>100</v>
      </c>
      <c r="Q17" s="116">
        <v>51704087</v>
      </c>
      <c r="R17" s="116">
        <v>65127401311</v>
      </c>
      <c r="S17" s="116">
        <v>5286069</v>
      </c>
      <c r="T17" s="130">
        <f t="shared" si="1"/>
        <v>9.7811978996112234</v>
      </c>
      <c r="U17" s="78"/>
    </row>
    <row r="18" spans="1:21" hidden="1">
      <c r="A18" s="129" t="s">
        <v>106</v>
      </c>
      <c r="C18" s="79"/>
      <c r="F18" s="78">
        <f>Q18/20</f>
        <v>2572520.5</v>
      </c>
      <c r="G18" s="90">
        <f t="shared" si="3"/>
        <v>-4.9063239430182648E-3</v>
      </c>
      <c r="H18" s="90">
        <f t="shared" si="4"/>
        <v>-1.3073112380696195E-2</v>
      </c>
      <c r="I18" s="130">
        <f t="shared" si="0"/>
        <v>10.00633048516605</v>
      </c>
      <c r="J18" s="130">
        <f t="shared" si="5"/>
        <v>-6.0067102073440681E-2</v>
      </c>
      <c r="O18" s="89"/>
      <c r="P18" s="129" t="s">
        <v>106</v>
      </c>
      <c r="Q18" s="116">
        <v>51450410</v>
      </c>
      <c r="R18" s="116">
        <v>64401180166</v>
      </c>
      <c r="S18" s="116">
        <v>5141786</v>
      </c>
      <c r="T18" s="130">
        <f t="shared" ref="T18" si="6">Q18/S18</f>
        <v>10.00633048516605</v>
      </c>
      <c r="U18" s="78"/>
    </row>
    <row r="19" spans="1:21" hidden="1">
      <c r="A19" s="129" t="s">
        <v>114</v>
      </c>
      <c r="B19" s="131">
        <f>SUM(F17:F19)</f>
        <v>7497449.8045454547</v>
      </c>
      <c r="C19" s="131">
        <f>AVERAGE(F17:F19)</f>
        <v>2499149.934848485</v>
      </c>
      <c r="D19" s="90">
        <f>C19/C16-1</f>
        <v>-0.29762040213166818</v>
      </c>
      <c r="E19" s="286">
        <f>C19/C7-1</f>
        <v>-0.12987145615136042</v>
      </c>
      <c r="F19" s="78">
        <f>Q19/22</f>
        <v>2339724.9545454546</v>
      </c>
      <c r="G19" s="90">
        <f t="shared" si="3"/>
        <v>-9.0493174089203765E-2</v>
      </c>
      <c r="H19" s="90">
        <f t="shared" si="4"/>
        <v>8.0190408746310116E-3</v>
      </c>
      <c r="I19" s="130">
        <f t="shared" si="0"/>
        <v>9.9117444872437712</v>
      </c>
      <c r="J19" s="130">
        <f t="shared" si="5"/>
        <v>-6.8755523876115276E-2</v>
      </c>
      <c r="K19" s="78">
        <f>R17+R18+R19</f>
        <v>196884969412</v>
      </c>
      <c r="L19" s="87">
        <f>U19/U16-1</f>
        <v>-0.3233218118192217</v>
      </c>
      <c r="M19" s="87">
        <f>U19/U7-1</f>
        <v>-9.973460680334767E-2</v>
      </c>
      <c r="N19" s="88">
        <f>AVERAGE(T17:T19)</f>
        <v>9.899757624007016</v>
      </c>
      <c r="O19" s="89">
        <f>N19/N16-1</f>
        <v>-3.7688642360335978E-2</v>
      </c>
      <c r="P19" s="129" t="s">
        <v>115</v>
      </c>
      <c r="Q19" s="116">
        <v>51473949</v>
      </c>
      <c r="R19" s="116">
        <v>67356387935</v>
      </c>
      <c r="S19" s="116">
        <v>5193228</v>
      </c>
      <c r="T19" s="130">
        <f t="shared" ref="T19" si="7">Q19/S19</f>
        <v>9.9117444872437712</v>
      </c>
      <c r="U19" s="85">
        <f>Q17+Q18+Q19</f>
        <v>154628446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2785097.75</v>
      </c>
      <c r="G20" s="90">
        <f t="shared" si="3"/>
        <v>0.1903526286665902</v>
      </c>
      <c r="H20" s="90">
        <f t="shared" si="4"/>
        <v>-0.19926517685610523</v>
      </c>
      <c r="I20" s="130">
        <f t="shared" si="0"/>
        <v>10.467665538816856</v>
      </c>
      <c r="J20" s="130">
        <f t="shared" si="5"/>
        <v>-3.4091171518689456E-2</v>
      </c>
      <c r="O20" s="89"/>
      <c r="P20" s="129" t="s">
        <v>132</v>
      </c>
      <c r="Q20" s="116">
        <v>55701955</v>
      </c>
      <c r="R20" s="116">
        <v>73004957717</v>
      </c>
      <c r="S20" s="116">
        <v>5321335</v>
      </c>
      <c r="T20" s="130">
        <f t="shared" ref="T20" si="8">Q20/S20</f>
        <v>10.467665538816856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2709320.9523809524</v>
      </c>
      <c r="G21" s="90">
        <f t="shared" si="3"/>
        <v>-2.7207949027658884E-2</v>
      </c>
      <c r="H21" s="90">
        <f t="shared" si="4"/>
        <v>-8.673573419753533E-2</v>
      </c>
      <c r="I21" s="130">
        <f t="shared" si="0"/>
        <v>10.304212547087801</v>
      </c>
      <c r="J21" s="130">
        <f t="shared" si="5"/>
        <v>-4.3167954293287902E-2</v>
      </c>
      <c r="O21" s="89"/>
      <c r="P21" s="129" t="s">
        <v>141</v>
      </c>
      <c r="Q21" s="116">
        <v>56895740</v>
      </c>
      <c r="R21" s="116">
        <v>75734005661</v>
      </c>
      <c r="S21" s="116">
        <v>5521600</v>
      </c>
      <c r="T21" s="130">
        <f t="shared" ref="T21" si="9">Q21/S21</f>
        <v>10.304212547087801</v>
      </c>
      <c r="U21" s="78"/>
    </row>
    <row r="22" spans="1:21" hidden="1">
      <c r="A22" s="129" t="s">
        <v>156</v>
      </c>
      <c r="B22" s="131">
        <f>SUM(F20:F22)</f>
        <v>8404653.75</v>
      </c>
      <c r="C22" s="131">
        <f>AVERAGE(F20:F22)</f>
        <v>2801551.25</v>
      </c>
      <c r="D22" s="90">
        <f>C22/C19-1</f>
        <v>0.12100166978170868</v>
      </c>
      <c r="E22" s="286">
        <f>C22/C10-1</f>
        <v>-9.306978186115511E-2</v>
      </c>
      <c r="F22" s="78">
        <f>Q22/21</f>
        <v>2910235.0476190476</v>
      </c>
      <c r="G22" s="90">
        <f t="shared" si="3"/>
        <v>7.4156624028442142E-2</v>
      </c>
      <c r="H22" s="90">
        <f t="shared" si="4"/>
        <v>3.1145033134605926E-2</v>
      </c>
      <c r="I22" s="130">
        <f t="shared" si="0"/>
        <v>10.40636298297094</v>
      </c>
      <c r="J22" s="130">
        <f t="shared" si="5"/>
        <v>7.3606240732271289E-5</v>
      </c>
      <c r="K22" s="78">
        <f>R20+R21+R22</f>
        <v>228225844662</v>
      </c>
      <c r="L22" s="87">
        <f>U22/U19-1</f>
        <v>0.12341962616632651</v>
      </c>
      <c r="M22" s="87">
        <f>U22/U10-1</f>
        <v>-0.1073809536129644</v>
      </c>
      <c r="N22" s="88">
        <f>AVERAGE(T20:T22)</f>
        <v>10.392747022958533</v>
      </c>
      <c r="O22" s="89">
        <f>N22/N19-1</f>
        <v>4.979812816386664E-2</v>
      </c>
      <c r="P22" s="129" t="s">
        <v>156</v>
      </c>
      <c r="Q22" s="116">
        <v>61114936</v>
      </c>
      <c r="R22" s="116">
        <v>79486881284</v>
      </c>
      <c r="S22" s="116">
        <v>5872843</v>
      </c>
      <c r="T22" s="130">
        <f t="shared" ref="T22:T23" si="10">Q22/S22</f>
        <v>10.40636298297094</v>
      </c>
      <c r="U22" s="85">
        <f>Q20+Q21+Q22</f>
        <v>173712631</v>
      </c>
    </row>
    <row r="23" spans="1:21" hidden="1">
      <c r="A23" s="129" t="s">
        <v>189</v>
      </c>
      <c r="B23" s="131"/>
      <c r="C23" s="131"/>
      <c r="F23" s="78">
        <f>Q23/21</f>
        <v>1390323.1904761905</v>
      </c>
      <c r="G23" s="90">
        <f t="shared" ref="G23" si="11">F23/F22-1</f>
        <v>-0.52226429558888843</v>
      </c>
      <c r="H23" s="90">
        <f t="shared" ref="H23" si="12">F23/F11-1</f>
        <v>-0.56156614574592467</v>
      </c>
      <c r="I23" s="130">
        <f t="shared" si="0"/>
        <v>9.99399247032731</v>
      </c>
      <c r="J23" s="130">
        <f t="shared" si="5"/>
        <v>-7.738331452514613E-2</v>
      </c>
      <c r="O23" s="89"/>
      <c r="P23" s="129" t="s">
        <v>189</v>
      </c>
      <c r="Q23" s="116">
        <v>29196787</v>
      </c>
      <c r="R23" s="116">
        <v>37773487051</v>
      </c>
      <c r="S23" s="116">
        <v>2921433.76</v>
      </c>
      <c r="T23" s="130">
        <f t="shared" si="10"/>
        <v>9.99399247032731</v>
      </c>
      <c r="U23" s="78"/>
    </row>
    <row r="24" spans="1:21" hidden="1">
      <c r="A24" s="129" t="s">
        <v>204</v>
      </c>
      <c r="B24" s="131"/>
      <c r="C24" s="131"/>
      <c r="F24" s="78">
        <f>Q24/22</f>
        <v>1491756.7272727273</v>
      </c>
      <c r="G24" s="90">
        <f t="shared" ref="G24" si="13">F24/F23-1</f>
        <v>7.295680421024664E-2</v>
      </c>
      <c r="H24" s="90">
        <f t="shared" ref="H24" si="14">F24/F12-1</f>
        <v>-0.37627910337548776</v>
      </c>
      <c r="I24" s="130">
        <f t="shared" si="0"/>
        <v>10.12242032660801</v>
      </c>
      <c r="J24" s="130">
        <f t="shared" si="5"/>
        <v>2.6589080386700825E-3</v>
      </c>
      <c r="O24" s="89"/>
      <c r="P24" s="129" t="s">
        <v>204</v>
      </c>
      <c r="Q24" s="116">
        <v>32818648</v>
      </c>
      <c r="R24" s="116">
        <v>43226273269</v>
      </c>
      <c r="S24" s="116">
        <v>3242174</v>
      </c>
      <c r="T24" s="130">
        <f t="shared" ref="T24" si="15">Q24/S24</f>
        <v>10.12242032660801</v>
      </c>
      <c r="U24" s="78"/>
    </row>
    <row r="25" spans="1:21" s="79" customFormat="1" ht="13.2" hidden="1">
      <c r="A25" s="129" t="s">
        <v>219</v>
      </c>
      <c r="B25" s="131">
        <f>SUM(F23:F25)</f>
        <v>4639807.4966962859</v>
      </c>
      <c r="C25" s="131">
        <f>AVERAGE(F23:F25)</f>
        <v>1546602.498898762</v>
      </c>
      <c r="D25" s="90">
        <f>C25/C22-1</f>
        <v>-0.44794781144954532</v>
      </c>
      <c r="E25" s="286">
        <f>C25/C13-1</f>
        <v>-0.51818221161355305</v>
      </c>
      <c r="F25" s="78">
        <f>Q25/19</f>
        <v>1757727.5789473683</v>
      </c>
      <c r="G25" s="90">
        <f t="shared" ref="G25" si="16">F25/F24-1</f>
        <v>0.17829371693928708</v>
      </c>
      <c r="H25" s="90">
        <f t="shared" ref="H25" si="17">F25/F13-1</f>
        <v>-0.56780506892072768</v>
      </c>
      <c r="I25" s="130">
        <f t="shared" si="0"/>
        <v>10.27326531415803</v>
      </c>
      <c r="J25" s="130">
        <f t="shared" si="5"/>
        <v>-2.849310722350773E-2</v>
      </c>
      <c r="K25" s="78">
        <f>R23+R24+R25</f>
        <v>125323934411</v>
      </c>
      <c r="L25" s="90">
        <f>U25/U22-1</f>
        <v>-0.45074656660977064</v>
      </c>
      <c r="M25" s="90">
        <f>U25/U13-1</f>
        <v>-0.52424812639675566</v>
      </c>
      <c r="N25" s="88">
        <f>AVERAGE(T23:T25)</f>
        <v>10.129892703697784</v>
      </c>
      <c r="O25" s="91">
        <f>N25/N22-1</f>
        <v>-2.5292092521840392E-2</v>
      </c>
      <c r="P25" s="129" t="s">
        <v>219</v>
      </c>
      <c r="Q25" s="116">
        <v>33396824</v>
      </c>
      <c r="R25" s="116">
        <v>44324174091</v>
      </c>
      <c r="S25" s="116">
        <v>3250848</v>
      </c>
      <c r="T25" s="130">
        <f t="shared" ref="T25" si="18">Q25/S25</f>
        <v>10.27326531415803</v>
      </c>
      <c r="U25" s="85">
        <f>Q23+Q24+Q25</f>
        <v>95412259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1487451.5263157894</v>
      </c>
      <c r="G26" s="90">
        <f t="shared" ref="G26" si="19">F26/F25-1</f>
        <v>-0.15376447173539609</v>
      </c>
      <c r="H26" s="90">
        <f t="shared" ref="H26" si="20">F26/F14-1</f>
        <v>-0.52964292384378608</v>
      </c>
      <c r="I26" s="130">
        <f t="shared" si="0"/>
        <v>9.4845597577780119</v>
      </c>
      <c r="J26" s="130">
        <f t="shared" si="5"/>
        <v>-9.1513870684842513E-2</v>
      </c>
      <c r="L26" s="90"/>
      <c r="M26" s="90"/>
      <c r="P26" s="129" t="s">
        <v>312</v>
      </c>
      <c r="Q26" s="116">
        <v>28261579</v>
      </c>
      <c r="R26" s="116">
        <v>38076321575</v>
      </c>
      <c r="S26" s="116">
        <v>2979746</v>
      </c>
      <c r="T26" s="130">
        <f t="shared" ref="T26" si="21">Q26/S26</f>
        <v>9.4845597577780119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1681129.8181818181</v>
      </c>
      <c r="G27" s="90">
        <f t="shared" ref="G27" si="22">F27/F26-1</f>
        <v>0.13020813682967058</v>
      </c>
      <c r="H27" s="90">
        <f t="shared" ref="H27" si="23">F27/F15-1</f>
        <v>-0.49793248784482158</v>
      </c>
      <c r="I27" s="130">
        <f t="shared" si="0"/>
        <v>9.876268051263331</v>
      </c>
      <c r="J27" s="130">
        <f t="shared" si="5"/>
        <v>-3.4801535509219717E-2</v>
      </c>
      <c r="L27" s="90"/>
      <c r="M27" s="90"/>
      <c r="P27" s="129" t="s">
        <v>375</v>
      </c>
      <c r="Q27" s="116">
        <v>36984856</v>
      </c>
      <c r="R27" s="116">
        <v>48850392503</v>
      </c>
      <c r="S27" s="116">
        <v>3744821</v>
      </c>
      <c r="T27" s="130">
        <f t="shared" ref="T27" si="24">Q27/S27</f>
        <v>9.876268051263331</v>
      </c>
      <c r="U27" s="78"/>
    </row>
    <row r="28" spans="1:21" s="79" customFormat="1" ht="13.2" hidden="1">
      <c r="A28" s="123" t="s">
        <v>413</v>
      </c>
      <c r="B28" s="131">
        <f>SUM(F26:F28)</f>
        <v>4883811.7129186597</v>
      </c>
      <c r="C28" s="131">
        <f>AVERAGE(F26:F28)</f>
        <v>1627937.2376395531</v>
      </c>
      <c r="D28" s="90">
        <f>C28/C25-1</f>
        <v>5.2589297378417887E-2</v>
      </c>
      <c r="E28" s="286">
        <f>C28/C16-1</f>
        <v>-0.54247246778434099</v>
      </c>
      <c r="F28" s="78">
        <f>Q28/19</f>
        <v>1715230.3684210526</v>
      </c>
      <c r="G28" s="90">
        <f t="shared" ref="G28" si="25">F28/F27-1</f>
        <v>2.0284305156228255E-2</v>
      </c>
      <c r="H28" s="90">
        <f t="shared" ref="H28" si="26">F28/F16-1</f>
        <v>-0.58803697220108675</v>
      </c>
      <c r="I28" s="130">
        <f t="shared" si="0"/>
        <v>10.479300333356807</v>
      </c>
      <c r="J28" s="130">
        <f t="shared" si="5"/>
        <v>2.8380020540172746E-2</v>
      </c>
      <c r="K28" s="78">
        <f>R26+R27+R28</f>
        <v>129469609464</v>
      </c>
      <c r="L28" s="90">
        <f>U28/U25-1</f>
        <v>2.5400855460303129E-2</v>
      </c>
      <c r="M28" s="90">
        <f>U28/U16-1</f>
        <v>-0.57185523287639295</v>
      </c>
      <c r="N28" s="88">
        <f>AVERAGE(T26:T28)</f>
        <v>9.9467093807993834</v>
      </c>
      <c r="O28" s="91">
        <f>N28/N25-1</f>
        <v>-1.8083441577967818E-2</v>
      </c>
      <c r="P28" s="129" t="s">
        <v>413</v>
      </c>
      <c r="Q28" s="116">
        <v>32589377</v>
      </c>
      <c r="R28" s="116">
        <v>42542895386</v>
      </c>
      <c r="S28" s="116">
        <v>3109881</v>
      </c>
      <c r="T28" s="130">
        <f t="shared" ref="T28" si="27">Q28/S28</f>
        <v>10.479300333356807</v>
      </c>
      <c r="U28" s="85">
        <f>Q26+Q27+Q28</f>
        <v>97835812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1833039</v>
      </c>
      <c r="G29" s="190">
        <f t="shared" ref="G29" si="28">F29/F28-1</f>
        <v>6.8683853637337089E-2</v>
      </c>
      <c r="H29" s="190">
        <f t="shared" ref="H29" si="29">F29/F17-1</f>
        <v>-0.29095005584374789</v>
      </c>
      <c r="I29" s="130">
        <f t="shared" si="0"/>
        <v>10.822800342019622</v>
      </c>
      <c r="J29" s="130">
        <f t="shared" si="5"/>
        <v>0.10649027379865195</v>
      </c>
      <c r="K29" s="136"/>
      <c r="L29" s="190"/>
      <c r="M29" s="190"/>
      <c r="N29" s="191"/>
      <c r="O29" s="192"/>
      <c r="P29" s="129" t="s">
        <v>427</v>
      </c>
      <c r="Q29" s="116">
        <v>40326858</v>
      </c>
      <c r="R29" s="116">
        <v>53036685843</v>
      </c>
      <c r="S29" s="116">
        <v>3726102</v>
      </c>
      <c r="T29" s="130">
        <f t="shared" ref="T29" si="30">Q29/S29</f>
        <v>10.822800342019622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2451598.1578947366</v>
      </c>
      <c r="G30" s="190">
        <f t="shared" ref="G30" si="31">F30/F29-1</f>
        <v>0.33745008038276136</v>
      </c>
      <c r="H30" s="190">
        <f t="shared" ref="H30" si="32">F30/F18-1</f>
        <v>-4.7005394944476975E-2</v>
      </c>
      <c r="I30" s="130">
        <f t="shared" si="0"/>
        <v>10.590584139576348</v>
      </c>
      <c r="J30" s="130">
        <f t="shared" si="5"/>
        <v>5.8388402749282475E-2</v>
      </c>
      <c r="K30" s="136"/>
      <c r="L30" s="190"/>
      <c r="M30" s="190"/>
      <c r="N30" s="191"/>
      <c r="O30" s="192"/>
      <c r="P30" s="129" t="s">
        <v>466</v>
      </c>
      <c r="Q30" s="116">
        <v>46580365</v>
      </c>
      <c r="R30" s="116">
        <v>62078745273</v>
      </c>
      <c r="S30" s="116">
        <v>4398281</v>
      </c>
      <c r="T30" s="130">
        <f t="shared" ref="T30" si="33">Q30/S30</f>
        <v>10.590584139576348</v>
      </c>
      <c r="U30" s="85"/>
    </row>
    <row r="31" spans="1:21" s="79" customFormat="1" ht="13.2" hidden="1">
      <c r="A31" s="129" t="s">
        <v>508</v>
      </c>
      <c r="B31" s="188">
        <f>SUM(F29:F31)</f>
        <v>6129934.8578947363</v>
      </c>
      <c r="C31" s="188">
        <f>AVERAGE(F29:F31)</f>
        <v>2043311.6192982455</v>
      </c>
      <c r="D31" s="190">
        <f>C31/C28-1</f>
        <v>0.25515380572101742</v>
      </c>
      <c r="E31" s="287">
        <f>C31/C19-1</f>
        <v>-0.18239734607114533</v>
      </c>
      <c r="F31" s="136">
        <f>Q31/20</f>
        <v>1845297.7</v>
      </c>
      <c r="G31" s="190">
        <f t="shared" ref="G31" si="34">F31/F30-1</f>
        <v>-0.24730825316632876</v>
      </c>
      <c r="H31" s="190">
        <f t="shared" ref="H31" si="35">F31/F19-1</f>
        <v>-0.21131853707202453</v>
      </c>
      <c r="I31" s="130">
        <f t="shared" si="0"/>
        <v>10.416941819616707</v>
      </c>
      <c r="J31" s="130">
        <f t="shared" si="5"/>
        <v>5.0969567771154134E-2</v>
      </c>
      <c r="K31" s="136">
        <f>R29+R30+R31</f>
        <v>164091640822</v>
      </c>
      <c r="L31" s="190">
        <f>U31/U28-1</f>
        <v>0.26552000202134574</v>
      </c>
      <c r="M31" s="190">
        <f>U31/U19-1</f>
        <v>-0.19928589982725431</v>
      </c>
      <c r="N31" s="191">
        <f>AVERAGE(T29:T31)</f>
        <v>10.610108767070892</v>
      </c>
      <c r="O31" s="192">
        <f>N31/N28-1</f>
        <v>6.6695362342857001E-2</v>
      </c>
      <c r="P31" s="129" t="s">
        <v>508</v>
      </c>
      <c r="Q31" s="116">
        <v>36905954</v>
      </c>
      <c r="R31" s="116">
        <v>48976209706</v>
      </c>
      <c r="S31" s="116">
        <v>3542878</v>
      </c>
      <c r="T31" s="130">
        <f t="shared" ref="T31" si="36">Q31/S31</f>
        <v>10.416941819616707</v>
      </c>
      <c r="U31" s="85">
        <f>Q29+Q30+Q31</f>
        <v>123813177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2205532.4761904762</v>
      </c>
      <c r="G32" s="190">
        <f t="shared" ref="G32" si="37">F32/F31-1</f>
        <v>0.19521770183232556</v>
      </c>
      <c r="H32" s="190">
        <f t="shared" ref="H32" si="38">F32/F20-1</f>
        <v>-0.20809512837009891</v>
      </c>
      <c r="I32" s="130">
        <f t="shared" si="0"/>
        <v>10.59951273007553</v>
      </c>
      <c r="J32" s="130">
        <f t="shared" si="5"/>
        <v>1.2595663356815168E-2</v>
      </c>
      <c r="K32" s="136"/>
      <c r="L32" s="190"/>
      <c r="M32" s="190"/>
      <c r="N32" s="191"/>
      <c r="O32" s="192"/>
      <c r="P32" s="129" t="s">
        <v>566</v>
      </c>
      <c r="Q32" s="116">
        <v>46316182</v>
      </c>
      <c r="R32" s="116">
        <v>63012007374</v>
      </c>
      <c r="S32" s="116">
        <v>4369652</v>
      </c>
      <c r="T32" s="130">
        <f t="shared" ref="T32" si="39">Q32/S32</f>
        <v>10.59951273007553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1262031.2857142857</v>
      </c>
      <c r="G33" s="190">
        <f t="shared" ref="G33" si="40">F33/F32-1</f>
        <v>-0.4277883915388363</v>
      </c>
      <c r="H33" s="190">
        <f t="shared" ref="H33" si="41">F33/F21-1</f>
        <v>-0.53418907988541853</v>
      </c>
      <c r="I33" s="130">
        <f t="shared" si="0"/>
        <v>10.206291605723885</v>
      </c>
      <c r="J33" s="130">
        <f t="shared" si="5"/>
        <v>-9.5030009247615288E-3</v>
      </c>
      <c r="K33" s="136"/>
      <c r="L33" s="190"/>
      <c r="M33" s="190"/>
      <c r="N33" s="191"/>
      <c r="O33" s="192"/>
      <c r="P33" s="129" t="s">
        <v>607</v>
      </c>
      <c r="Q33" s="116">
        <v>26502657</v>
      </c>
      <c r="R33" s="116">
        <v>36228560127</v>
      </c>
      <c r="S33" s="116">
        <v>2596698</v>
      </c>
      <c r="T33" s="130">
        <f t="shared" ref="T33" si="42">Q33/S33</f>
        <v>10.206291605723885</v>
      </c>
      <c r="U33" s="85"/>
    </row>
    <row r="34" spans="1:21" s="79" customFormat="1" ht="13.2" hidden="1">
      <c r="A34" s="129" t="s">
        <v>652</v>
      </c>
      <c r="B34" s="188">
        <f>SUM(F32:F34)</f>
        <v>4964976.2355889725</v>
      </c>
      <c r="C34" s="188">
        <f>AVERAGE(F32:F34)</f>
        <v>1654992.0785296576</v>
      </c>
      <c r="D34" s="190">
        <f>C34/C31-1</f>
        <v>-0.19004420916568388</v>
      </c>
      <c r="E34" s="287">
        <f>C34/C22-1</f>
        <v>-0.40925868176437696</v>
      </c>
      <c r="F34" s="136">
        <f>Q34/19</f>
        <v>1497412.4736842106</v>
      </c>
      <c r="G34" s="190">
        <f t="shared" ref="G34" si="43">F34/F33-1</f>
        <v>0.18650978833437049</v>
      </c>
      <c r="H34" s="190">
        <f t="shared" ref="H34" si="44">F34/F22-1</f>
        <v>-0.48546682684297626</v>
      </c>
      <c r="I34" s="130">
        <f t="shared" si="0"/>
        <v>10.285214526272256</v>
      </c>
      <c r="J34" s="130">
        <f t="shared" si="5"/>
        <v>-1.1641767339552911E-2</v>
      </c>
      <c r="K34" s="136">
        <f>R32+R33+R34</f>
        <v>138340091438</v>
      </c>
      <c r="L34" s="190">
        <f>U34/U31-1</f>
        <v>-0.18207675100688192</v>
      </c>
      <c r="M34" s="190">
        <f>U34/U22-1</f>
        <v>-0.41702756203145641</v>
      </c>
      <c r="N34" s="191">
        <f>AVERAGE(T32:T34)</f>
        <v>10.36367295402389</v>
      </c>
      <c r="O34" s="192">
        <f>N34/N31-1</f>
        <v>-2.3226511476661771E-2</v>
      </c>
      <c r="P34" s="129" t="s">
        <v>652</v>
      </c>
      <c r="Q34" s="116">
        <v>28450837</v>
      </c>
      <c r="R34" s="116">
        <v>39099523937</v>
      </c>
      <c r="S34" s="116">
        <v>2766188</v>
      </c>
      <c r="T34" s="130">
        <f t="shared" ref="T34" si="45">Q34/S34</f>
        <v>10.285214526272256</v>
      </c>
      <c r="U34" s="85">
        <f>Q32+Q33+Q34</f>
        <v>101269676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991745.04347826086</v>
      </c>
      <c r="G35" s="190">
        <f t="shared" ref="G35" si="46">F35/F34-1</f>
        <v>-0.33769414846786561</v>
      </c>
      <c r="H35" s="190">
        <f t="shared" ref="H35" si="47">F35/F23-1</f>
        <v>-0.28668021200266047</v>
      </c>
      <c r="I35" s="130">
        <f t="shared" si="0"/>
        <v>10.357109743389493</v>
      </c>
      <c r="J35" s="130">
        <f t="shared" si="5"/>
        <v>3.6333554797074008E-2</v>
      </c>
      <c r="K35" s="136"/>
      <c r="L35" s="190"/>
      <c r="M35" s="190"/>
      <c r="N35" s="191"/>
      <c r="O35" s="192"/>
      <c r="P35" s="129" t="s">
        <v>660</v>
      </c>
      <c r="Q35" s="116">
        <v>22810136</v>
      </c>
      <c r="R35" s="116">
        <v>31567213760</v>
      </c>
      <c r="S35" s="116">
        <v>2202365</v>
      </c>
      <c r="T35" s="130">
        <f t="shared" ref="T35" si="48">Q35/S35</f>
        <v>10.357109743389493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1028987.4761904762</v>
      </c>
      <c r="G36" s="190">
        <f t="shared" ref="G36" si="49">F36/F35-1</f>
        <v>3.7552426359095392E-2</v>
      </c>
      <c r="H36" s="190">
        <f t="shared" ref="H36" si="50">F36/F24-1</f>
        <v>-0.31021763979459249</v>
      </c>
      <c r="I36" s="130">
        <f t="shared" si="0"/>
        <v>9.9829282411417708</v>
      </c>
      <c r="J36" s="130">
        <f t="shared" si="5"/>
        <v>-1.3780507128277164E-2</v>
      </c>
      <c r="K36" s="136"/>
      <c r="L36" s="190"/>
      <c r="M36" s="190"/>
      <c r="N36" s="191"/>
      <c r="O36" s="192"/>
      <c r="P36" s="129" t="s">
        <v>664</v>
      </c>
      <c r="Q36" s="116">
        <v>21608737</v>
      </c>
      <c r="R36" s="116">
        <v>29565012292</v>
      </c>
      <c r="S36" s="116">
        <v>2164569</v>
      </c>
      <c r="T36" s="130">
        <f t="shared" ref="T36" si="51">Q36/S36</f>
        <v>9.9829282411417708</v>
      </c>
      <c r="U36" s="85"/>
    </row>
    <row r="37" spans="1:21" s="79" customFormat="1" ht="13.2" hidden="1">
      <c r="A37" s="129" t="s">
        <v>702</v>
      </c>
      <c r="B37" s="188">
        <f>SUM(F35:F37)</f>
        <v>3368203.019668737</v>
      </c>
      <c r="C37" s="188">
        <f>AVERAGE(F35:F37)</f>
        <v>1122734.339889579</v>
      </c>
      <c r="D37" s="190">
        <f>C37/C34-1</f>
        <v>-0.32160742371223405</v>
      </c>
      <c r="E37" s="287">
        <f>C37/C25-1</f>
        <v>-0.27406405932422373</v>
      </c>
      <c r="F37" s="136">
        <f>Q37/18</f>
        <v>1347470.5</v>
      </c>
      <c r="G37" s="190">
        <f t="shared" ref="G37" si="52">F37/F36-1</f>
        <v>0.30951107878262385</v>
      </c>
      <c r="H37" s="190">
        <f t="shared" ref="H37" si="53">F37/F25-1</f>
        <v>-0.23340196960046256</v>
      </c>
      <c r="I37" s="130">
        <f t="shared" si="0"/>
        <v>10.427840600808105</v>
      </c>
      <c r="J37" s="130">
        <f t="shared" si="5"/>
        <v>1.5046363733743906E-2</v>
      </c>
      <c r="K37" s="136">
        <f>R35+R36+R37</f>
        <v>93517082794</v>
      </c>
      <c r="L37" s="190">
        <f>U37/U34-1</f>
        <v>-0.32187655068630816</v>
      </c>
      <c r="M37" s="190">
        <f>U37/U25-1</f>
        <v>-0.28024613692460631</v>
      </c>
      <c r="N37" s="191">
        <f>AVERAGE(T35:T37)</f>
        <v>10.255959528446455</v>
      </c>
      <c r="O37" s="192">
        <f>N37/N34-1</f>
        <v>-1.0393364018266626E-2</v>
      </c>
      <c r="P37" s="129" t="s">
        <v>702</v>
      </c>
      <c r="Q37" s="116">
        <v>24254469</v>
      </c>
      <c r="R37" s="116">
        <v>32384856742</v>
      </c>
      <c r="S37" s="116">
        <v>2325934</v>
      </c>
      <c r="T37" s="130">
        <f t="shared" ref="T37" si="54">Q37/S37</f>
        <v>10.427840600808105</v>
      </c>
      <c r="U37" s="85">
        <f>Q35+Q36+Q37</f>
        <v>68673342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1238220.25</v>
      </c>
      <c r="G38" s="190">
        <f t="shared" ref="G38" si="55">F38/F37-1</f>
        <v>-8.1078027311173084E-2</v>
      </c>
      <c r="H38" s="190">
        <f t="shared" ref="H38" si="56">F38/F26-1</f>
        <v>-0.16755589806217119</v>
      </c>
      <c r="I38" s="130">
        <f t="shared" si="0"/>
        <v>10.296009592377985</v>
      </c>
      <c r="J38" s="130">
        <f t="shared" si="5"/>
        <v>8.5554823346916775E-2</v>
      </c>
      <c r="K38" s="136"/>
      <c r="L38" s="190"/>
      <c r="M38" s="190"/>
      <c r="N38" s="191"/>
      <c r="O38" s="192"/>
      <c r="P38" s="129" t="s">
        <v>734</v>
      </c>
      <c r="Q38" s="116">
        <v>24764405</v>
      </c>
      <c r="R38" s="116">
        <v>33333487037</v>
      </c>
      <c r="S38" s="116">
        <v>2405243</v>
      </c>
      <c r="T38" s="130">
        <f t="shared" ref="T38" si="57">Q38/S38</f>
        <v>10.296009592377985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1002619.2857142857</v>
      </c>
      <c r="G39" s="190">
        <f t="shared" ref="G39" si="58">F39/F38-1</f>
        <v>-0.19027387436582011</v>
      </c>
      <c r="H39" s="190">
        <f t="shared" ref="H39" si="59">F39/F27-1</f>
        <v>-0.40360388896162569</v>
      </c>
      <c r="I39" s="130">
        <f t="shared" si="0"/>
        <v>9.9622494474749921</v>
      </c>
      <c r="J39" s="130">
        <f t="shared" si="5"/>
        <v>8.7058589100021955E-3</v>
      </c>
      <c r="K39" s="136"/>
      <c r="L39" s="190"/>
      <c r="M39" s="190"/>
      <c r="N39" s="191"/>
      <c r="O39" s="192"/>
      <c r="P39" s="129" t="s">
        <v>762</v>
      </c>
      <c r="Q39" s="116">
        <v>21055005</v>
      </c>
      <c r="R39" s="116">
        <v>29285848870</v>
      </c>
      <c r="S39" s="116">
        <v>2113479</v>
      </c>
      <c r="T39" s="130">
        <f t="shared" ref="T39" si="60">Q39/S39</f>
        <v>9.9622494474749921</v>
      </c>
      <c r="U39" s="85"/>
    </row>
    <row r="40" spans="1:21" s="79" customFormat="1" ht="13.2" hidden="1">
      <c r="A40" s="129" t="s">
        <v>777</v>
      </c>
      <c r="B40" s="188">
        <f>SUM(F38:F40)</f>
        <v>3527851.7738095233</v>
      </c>
      <c r="C40" s="188">
        <f>AVERAGE(F38:F40)</f>
        <v>1175950.5912698412</v>
      </c>
      <c r="D40" s="190">
        <f>C40/C37-1</f>
        <v>4.7398791939949003E-2</v>
      </c>
      <c r="E40" s="287">
        <f>C40/C28-1</f>
        <v>-0.27764377883822799</v>
      </c>
      <c r="F40" s="136">
        <f>Q40/21</f>
        <v>1287012.2380952381</v>
      </c>
      <c r="G40" s="190">
        <f t="shared" ref="G40" si="61">F40/F39-1</f>
        <v>0.28364999200902585</v>
      </c>
      <c r="H40" s="190">
        <f t="shared" ref="H40" si="62">F40/F28-1</f>
        <v>-0.24965633667039644</v>
      </c>
      <c r="I40" s="130">
        <f t="shared" si="0"/>
        <v>10.293062921637581</v>
      </c>
      <c r="J40" s="130">
        <f t="shared" si="5"/>
        <v>-1.7771931884270065E-2</v>
      </c>
      <c r="K40" s="136">
        <f>R38+R39+R40</f>
        <v>100945604150</v>
      </c>
      <c r="L40" s="190">
        <f>U40/U37-1</f>
        <v>6.0770669934776089E-2</v>
      </c>
      <c r="M40" s="190">
        <f>U40/U28-1</f>
        <v>-0.25541920171317223</v>
      </c>
      <c r="N40" s="191">
        <f>AVERAGE(T38:T40)</f>
        <v>10.183773987163519</v>
      </c>
      <c r="O40" s="192">
        <f>N40/N37-1</f>
        <v>-7.0383995844287561E-3</v>
      </c>
      <c r="P40" s="129" t="s">
        <v>779</v>
      </c>
      <c r="Q40" s="116">
        <v>27027257</v>
      </c>
      <c r="R40" s="116">
        <v>38326268243</v>
      </c>
      <c r="S40" s="116">
        <v>2625774</v>
      </c>
      <c r="T40" s="130">
        <f t="shared" ref="T40" si="63">Q40/S40</f>
        <v>10.293062921637581</v>
      </c>
      <c r="U40" s="85">
        <f>Q38+Q39+Q40</f>
        <v>72846667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1906427.7777777778</v>
      </c>
      <c r="G41" s="190">
        <f t="shared" ref="G41" si="64">F41/F40-1</f>
        <v>0.4812817791066748</v>
      </c>
      <c r="H41" s="190">
        <f t="shared" ref="H41" si="65">F41/F29-1</f>
        <v>4.0036670129646845E-2</v>
      </c>
      <c r="I41" s="130">
        <f t="shared" si="0"/>
        <v>10.254484732738884</v>
      </c>
      <c r="J41" s="130">
        <f t="shared" si="5"/>
        <v>-5.2510957545271131E-2</v>
      </c>
      <c r="K41" s="193"/>
      <c r="L41" s="190"/>
      <c r="M41" s="190"/>
      <c r="N41" s="193"/>
      <c r="O41" s="193"/>
      <c r="P41" s="129" t="s">
        <v>792</v>
      </c>
      <c r="Q41" s="116">
        <v>34315700</v>
      </c>
      <c r="R41" s="116">
        <v>50217250024</v>
      </c>
      <c r="S41" s="116">
        <v>3346409</v>
      </c>
      <c r="T41" s="130">
        <f t="shared" ref="T41" si="66">Q41/S41</f>
        <v>10.254484732738884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1843477.4</v>
      </c>
      <c r="G42" s="190">
        <f t="shared" ref="G42" si="67">F42/F41-1</f>
        <v>-3.3020069530856122E-2</v>
      </c>
      <c r="H42" s="190">
        <f t="shared" ref="H42" si="68">F42/F30-1</f>
        <v>-0.24805074842157204</v>
      </c>
      <c r="I42" s="130">
        <f t="shared" si="0"/>
        <v>10.282797981679829</v>
      </c>
      <c r="J42" s="130">
        <f t="shared" si="5"/>
        <v>-2.9062245655208097E-2</v>
      </c>
      <c r="K42" s="193"/>
      <c r="L42" s="190"/>
      <c r="M42" s="190"/>
      <c r="N42" s="193"/>
      <c r="O42" s="193"/>
      <c r="P42" s="129" t="s">
        <v>826</v>
      </c>
      <c r="Q42" s="116">
        <v>36869548</v>
      </c>
      <c r="R42" s="116">
        <v>53321708814</v>
      </c>
      <c r="S42" s="116">
        <v>3585556</v>
      </c>
      <c r="T42" s="130">
        <f t="shared" ref="T42" si="69">Q42/S42</f>
        <v>10.282797981679829</v>
      </c>
      <c r="U42" s="78"/>
    </row>
    <row r="43" spans="1:21" s="79" customFormat="1" ht="13.2">
      <c r="A43" s="129" t="s">
        <v>835</v>
      </c>
      <c r="B43" s="188">
        <f>SUM(F41:F43)</f>
        <v>5584426.6777777774</v>
      </c>
      <c r="C43" s="188">
        <f>AVERAGE(F41:F43)</f>
        <v>1861475.5592592591</v>
      </c>
      <c r="D43" s="190">
        <f>C43/C40-1</f>
        <v>0.58295388690536654</v>
      </c>
      <c r="E43" s="287">
        <f>C43/C31-1</f>
        <v>-8.8990860875854172E-2</v>
      </c>
      <c r="F43" s="136">
        <f>Q43/20</f>
        <v>1834521.5</v>
      </c>
      <c r="G43" s="190">
        <f t="shared" ref="G43" si="70">F43/F42-1</f>
        <v>-4.8581555705536905E-3</v>
      </c>
      <c r="H43" s="190">
        <f t="shared" ref="H43" si="71">F43/F31-1</f>
        <v>-5.8398165239137434E-3</v>
      </c>
      <c r="I43" s="130">
        <f t="shared" si="0"/>
        <v>10.382348347049907</v>
      </c>
      <c r="J43" s="130">
        <f t="shared" si="5"/>
        <v>-3.3208856462704217E-3</v>
      </c>
      <c r="K43" s="136">
        <f>R41+R42+R43</f>
        <v>156679525210</v>
      </c>
      <c r="L43" s="190">
        <f>U43/U40-1</f>
        <v>0.48085948805317336</v>
      </c>
      <c r="M43" s="190">
        <f>K43/K31-1</f>
        <v>-4.5170586233825083E-2</v>
      </c>
      <c r="N43" s="191">
        <f>AVERAGE(T41:T43)</f>
        <v>10.306543687156207</v>
      </c>
      <c r="O43" s="192">
        <f>N43/N40-1</f>
        <v>1.2055422689804196E-2</v>
      </c>
      <c r="P43" s="129" t="s">
        <v>835</v>
      </c>
      <c r="Q43" s="116">
        <v>36690430</v>
      </c>
      <c r="R43" s="116">
        <v>53140566372</v>
      </c>
      <c r="S43" s="116">
        <v>3533924</v>
      </c>
      <c r="T43" s="130">
        <f t="shared" ref="T43" si="72">Q43/S43</f>
        <v>10.382348347049907</v>
      </c>
      <c r="U43" s="85">
        <f>Q41+Q42+Q43</f>
        <v>107875678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1709050.8181818181</v>
      </c>
      <c r="G44" s="190">
        <f t="shared" ref="G44" si="73">F44/F43-1</f>
        <v>-6.8394228041580241E-2</v>
      </c>
      <c r="H44" s="190">
        <f t="shared" ref="H44" si="74">F44/F32-1</f>
        <v>-0.22510738942561848</v>
      </c>
      <c r="I44" s="130">
        <f t="shared" si="0"/>
        <v>10.764198124294477</v>
      </c>
      <c r="J44" s="130">
        <f t="shared" si="5"/>
        <v>1.5537072166691424E-2</v>
      </c>
      <c r="K44" s="136"/>
      <c r="L44" s="190"/>
      <c r="M44" s="190"/>
      <c r="N44" s="191"/>
      <c r="O44" s="192"/>
      <c r="P44" s="129" t="s">
        <v>843</v>
      </c>
      <c r="Q44" s="116">
        <v>37599118</v>
      </c>
      <c r="R44" s="116">
        <v>54583199596</v>
      </c>
      <c r="S44" s="116">
        <v>3492979</v>
      </c>
      <c r="T44" s="130">
        <f t="shared" ref="T44" si="75">Q44/S44</f>
        <v>10.764198124294477</v>
      </c>
      <c r="U44" s="85"/>
    </row>
    <row r="45" spans="1:21" s="79" customFormat="1" ht="13.2">
      <c r="A45" s="129" t="s">
        <v>876</v>
      </c>
      <c r="B45" s="188"/>
      <c r="C45" s="188"/>
      <c r="D45" s="190"/>
      <c r="E45" s="287"/>
      <c r="F45" s="136">
        <f>Q45/20</f>
        <v>1733175.45</v>
      </c>
      <c r="G45" s="190">
        <f t="shared" ref="G45" si="76">F45/F44-1</f>
        <v>1.4115807184625906E-2</v>
      </c>
      <c r="H45" s="190">
        <f t="shared" ref="H45" si="77">F45/F33-1</f>
        <v>0.37332209559215146</v>
      </c>
      <c r="I45" s="130">
        <f t="shared" si="0"/>
        <v>10.267307740724888</v>
      </c>
      <c r="J45" s="130">
        <f t="shared" si="5"/>
        <v>5.9782864685919979E-3</v>
      </c>
      <c r="K45" s="136"/>
      <c r="L45" s="190"/>
      <c r="M45" s="190"/>
      <c r="N45" s="191"/>
      <c r="O45" s="192"/>
      <c r="P45" s="129" t="s">
        <v>876</v>
      </c>
      <c r="Q45" s="116">
        <v>34663509</v>
      </c>
      <c r="R45" s="116">
        <v>48734811083</v>
      </c>
      <c r="S45" s="116">
        <v>3376105</v>
      </c>
      <c r="T45" s="130">
        <f t="shared" ref="T45" si="78">Q45/S45</f>
        <v>10.267307740724888</v>
      </c>
      <c r="U45" s="85"/>
    </row>
    <row r="46" spans="1:21" s="79" customFormat="1" ht="13.2">
      <c r="A46" s="129" t="s">
        <v>921</v>
      </c>
      <c r="B46" s="188">
        <f>SUM(F44:F46)</f>
        <v>5421984.8471291866</v>
      </c>
      <c r="C46" s="188">
        <f>AVERAGE(F44:F46)</f>
        <v>1807328.2823763955</v>
      </c>
      <c r="D46" s="190">
        <f>C46/C43-1</f>
        <v>-2.9088363053453414E-2</v>
      </c>
      <c r="E46" s="287">
        <f>C46/C34-1</f>
        <v>9.2046485190477645E-2</v>
      </c>
      <c r="F46" s="136">
        <f>Q46/19</f>
        <v>1979758.5789473683</v>
      </c>
      <c r="G46" s="190">
        <f t="shared" ref="G46" si="79">F46/F45-1</f>
        <v>0.14227245657522336</v>
      </c>
      <c r="H46" s="190">
        <f t="shared" ref="H46" si="80">F46/F34-1</f>
        <v>0.32211973236499158</v>
      </c>
      <c r="I46" s="130">
        <f t="shared" si="0"/>
        <v>10.776588573188462</v>
      </c>
      <c r="J46" s="130">
        <f t="shared" si="5"/>
        <v>4.7774798052199641E-2</v>
      </c>
      <c r="K46" s="136">
        <f>R44+R45+R46</f>
        <v>154813401362</v>
      </c>
      <c r="L46" s="190">
        <f>U46/U43-1</f>
        <v>1.8561755876055797E-2</v>
      </c>
      <c r="M46" s="190">
        <f>K46/K34-1</f>
        <v>0.119078350699102</v>
      </c>
      <c r="N46" s="191">
        <f>AVERAGE(T44:T46)</f>
        <v>10.602698146069276</v>
      </c>
      <c r="O46" s="192">
        <f>N46/N43-1</f>
        <v>2.8734604723223534E-2</v>
      </c>
      <c r="P46" s="129" t="s">
        <v>888</v>
      </c>
      <c r="Q46" s="116">
        <v>37615413</v>
      </c>
      <c r="R46" s="116">
        <v>51495390683</v>
      </c>
      <c r="S46" s="116">
        <v>3490475</v>
      </c>
      <c r="T46" s="130">
        <f t="shared" ref="T46" si="81">Q46/S46</f>
        <v>10.776588573188462</v>
      </c>
      <c r="U46" s="85">
        <f t="shared" ref="U46:U51" si="82">Q44+Q45+Q46</f>
        <v>109878040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1126741.8695652173</v>
      </c>
      <c r="G47" s="190">
        <f t="shared" ref="G47" si="83">F47/F46-1</f>
        <v>-0.4308690556783431</v>
      </c>
      <c r="H47" s="190">
        <f t="shared" ref="H47" si="84">F47/F35-1</f>
        <v>0.13612049485369115</v>
      </c>
      <c r="I47" s="130">
        <f t="shared" si="0"/>
        <v>9.9604821761035112</v>
      </c>
      <c r="J47" s="130">
        <f t="shared" si="5"/>
        <v>-3.8295197899117839E-2</v>
      </c>
      <c r="K47" s="136"/>
      <c r="L47" s="190"/>
      <c r="M47" s="190"/>
      <c r="N47" s="191"/>
      <c r="O47" s="192"/>
      <c r="P47" s="129" t="s">
        <v>1051</v>
      </c>
      <c r="Q47" s="116">
        <v>25915063</v>
      </c>
      <c r="R47" s="116">
        <v>35492356993</v>
      </c>
      <c r="S47" s="116">
        <v>2601788</v>
      </c>
      <c r="T47" s="130">
        <f t="shared" ref="T47" si="85">Q47/S47</f>
        <v>9.9604821761035112</v>
      </c>
      <c r="U47" s="85">
        <f t="shared" si="82"/>
        <v>98193985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1502048.4</v>
      </c>
      <c r="G48" s="190">
        <f t="shared" ref="G48" si="86">F48/F47-1</f>
        <v>0.33309007197860185</v>
      </c>
      <c r="H48" s="190">
        <f t="shared" ref="H48" si="87">F48/F36-1</f>
        <v>0.45973438429094671</v>
      </c>
      <c r="I48" s="130">
        <f t="shared" si="0"/>
        <v>10.361448376195375</v>
      </c>
      <c r="J48" s="130">
        <f t="shared" si="5"/>
        <v>3.7916744056482488E-2</v>
      </c>
      <c r="K48" s="136"/>
      <c r="L48" s="190"/>
      <c r="M48" s="190"/>
      <c r="N48" s="191"/>
      <c r="O48" s="192"/>
      <c r="P48" s="129" t="s">
        <v>1140</v>
      </c>
      <c r="Q48" s="116">
        <v>30040968</v>
      </c>
      <c r="R48" s="116">
        <v>41669120009</v>
      </c>
      <c r="S48" s="116">
        <v>2899302</v>
      </c>
      <c r="T48" s="130">
        <f t="shared" ref="T48" si="88">Q48/S48</f>
        <v>10.361448376195375</v>
      </c>
      <c r="U48" s="85">
        <f t="shared" si="82"/>
        <v>93571444</v>
      </c>
    </row>
    <row r="49" spans="1:26" ht="13.2">
      <c r="A49" s="129" t="s">
        <v>1158</v>
      </c>
      <c r="B49" s="188">
        <f>SUM(F47:F49)</f>
        <v>4694506.6786561264</v>
      </c>
      <c r="C49" s="188">
        <f>AVERAGE(F47:F49)</f>
        <v>1564835.559552042</v>
      </c>
      <c r="D49" s="190">
        <f>C49/C46-1</f>
        <v>-0.13417192946569056</v>
      </c>
      <c r="E49" s="287">
        <f>C49/C37-1</f>
        <v>0.39377188703958566</v>
      </c>
      <c r="F49" s="136">
        <f>Q49/22</f>
        <v>2065716.4090909092</v>
      </c>
      <c r="G49" s="190">
        <f t="shared" ref="G49" si="89">F49/F48-1</f>
        <v>0.37526620919200027</v>
      </c>
      <c r="H49" s="190">
        <f t="shared" ref="H49" si="90">F49/F37-1</f>
        <v>0.53303275217595436</v>
      </c>
      <c r="I49" s="130">
        <f t="shared" si="0"/>
        <v>10.58479174080982</v>
      </c>
      <c r="J49" s="130">
        <f t="shared" si="5"/>
        <v>1.5051164091398839E-2</v>
      </c>
      <c r="K49" s="136">
        <f>R47+R48+R49</f>
        <v>140336057632</v>
      </c>
      <c r="L49" s="190">
        <f>U49/U46-1</f>
        <v>-7.7142329804936405E-2</v>
      </c>
      <c r="M49" s="190">
        <f>K49/K37-1</f>
        <v>0.50064622889417021</v>
      </c>
      <c r="N49" s="191">
        <f>AVERAGE(T47:T49)</f>
        <v>10.30224076436957</v>
      </c>
      <c r="O49" s="192">
        <f>N49/N46-1</f>
        <v>-2.8337822840980742E-2</v>
      </c>
      <c r="P49" s="129" t="s">
        <v>1187</v>
      </c>
      <c r="Q49" s="116">
        <v>45445761</v>
      </c>
      <c r="R49" s="116">
        <v>63174580630</v>
      </c>
      <c r="S49" s="116">
        <v>4293496</v>
      </c>
      <c r="T49" s="130">
        <f t="shared" ref="T49" si="91">Q49/S49</f>
        <v>10.58479174080982</v>
      </c>
      <c r="U49" s="85">
        <f t="shared" si="82"/>
        <v>101401792</v>
      </c>
      <c r="V49" s="79"/>
      <c r="W49" s="79"/>
      <c r="X49" s="79"/>
      <c r="Y49" s="79"/>
      <c r="Z49" s="79"/>
    </row>
    <row r="50" spans="1:26" ht="13.2">
      <c r="A50" s="129" t="s">
        <v>1314</v>
      </c>
      <c r="B50" s="188"/>
      <c r="C50" s="188"/>
      <c r="D50" s="190"/>
      <c r="E50" s="287"/>
      <c r="F50" s="136">
        <f>Q50/18</f>
        <v>1729599.2777777778</v>
      </c>
      <c r="G50" s="190">
        <f t="shared" ref="G50" si="92">F50/F49-1</f>
        <v>-0.16271213697772369</v>
      </c>
      <c r="H50" s="190">
        <f t="shared" ref="H50" si="93">F50/F38-1</f>
        <v>0.39684299120271849</v>
      </c>
      <c r="I50" s="130">
        <f t="shared" ref="I50" si="94">T50</f>
        <v>10.49702026623563</v>
      </c>
      <c r="J50" s="130">
        <f t="shared" ref="J50" si="95">I50/I38-1</f>
        <v>1.9523163032642454E-2</v>
      </c>
      <c r="K50" s="136"/>
      <c r="L50" s="190"/>
      <c r="M50" s="190"/>
      <c r="N50" s="191"/>
      <c r="O50" s="192"/>
      <c r="P50" s="129" t="s">
        <v>1291</v>
      </c>
      <c r="Q50" s="116">
        <v>31132787</v>
      </c>
      <c r="R50" s="116">
        <v>43985692232</v>
      </c>
      <c r="S50" s="116">
        <v>2965869</v>
      </c>
      <c r="T50" s="130">
        <f t="shared" ref="T50" si="96">Q50/S50</f>
        <v>10.49702026623563</v>
      </c>
      <c r="U50" s="85">
        <f t="shared" si="82"/>
        <v>106619516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1870707.05</v>
      </c>
      <c r="G51" s="190">
        <f t="shared" ref="G51:G52" si="97">F51/F50-1</f>
        <v>8.1584083686436548E-2</v>
      </c>
      <c r="H51" s="190">
        <f t="shared" ref="H51:H52" si="98">F51/F39-1</f>
        <v>0.8658199345001345</v>
      </c>
      <c r="I51" s="130">
        <f t="shared" ref="I51:I52" si="99">T51</f>
        <v>10.623795975273516</v>
      </c>
      <c r="J51" s="130">
        <f t="shared" ref="J51:J52" si="100">I51/I39-1</f>
        <v>6.6405336594557829E-2</v>
      </c>
      <c r="K51" s="136"/>
      <c r="L51" s="190"/>
      <c r="M51" s="190"/>
      <c r="N51" s="191"/>
      <c r="O51" s="192"/>
      <c r="P51" s="129" t="s">
        <v>1402</v>
      </c>
      <c r="Q51" s="116">
        <v>37414141</v>
      </c>
      <c r="R51" s="116">
        <v>54285548232</v>
      </c>
      <c r="S51" s="116">
        <v>3521730</v>
      </c>
      <c r="T51" s="130">
        <f t="shared" ref="T51:T52" si="101">Q51/S51</f>
        <v>10.623795975273516</v>
      </c>
      <c r="U51" s="85">
        <f t="shared" si="82"/>
        <v>113992689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5473163.1005050503</v>
      </c>
      <c r="C52" s="188">
        <f>AVERAGE(F50:F52)</f>
        <v>1824387.70016835</v>
      </c>
      <c r="D52" s="190">
        <f>C52/C49-1</f>
        <v>0.16586544128036596</v>
      </c>
      <c r="E52" s="287">
        <f>C52/C40-1</f>
        <v>0.55141526668930796</v>
      </c>
      <c r="F52" s="136">
        <f>Q52/22</f>
        <v>1872856.7727272727</v>
      </c>
      <c r="G52" s="190">
        <f t="shared" si="97"/>
        <v>1.149149850733E-3</v>
      </c>
      <c r="H52" s="190">
        <f t="shared" si="98"/>
        <v>0.45519733013500874</v>
      </c>
      <c r="I52" s="130">
        <f t="shared" si="99"/>
        <v>10.022967062599196</v>
      </c>
      <c r="J52" s="130">
        <f t="shared" si="100"/>
        <v>-2.6240572033286891E-2</v>
      </c>
      <c r="K52" s="136">
        <f>R50+R51+R52</f>
        <v>158876432874</v>
      </c>
      <c r="L52" s="190">
        <f>U52/U49-1</f>
        <v>8.2325813334738651E-2</v>
      </c>
      <c r="M52" s="190">
        <f>K52/K40-1</f>
        <v>0.57388163864884856</v>
      </c>
      <c r="N52" s="191">
        <f>AVERAGE(T50:T52)</f>
        <v>10.381261101369448</v>
      </c>
      <c r="O52" s="192">
        <f>N52/N49-1</f>
        <v>7.6702087251903084E-3</v>
      </c>
      <c r="P52" s="129" t="s">
        <v>1403</v>
      </c>
      <c r="Q52" s="116">
        <v>41202849</v>
      </c>
      <c r="R52" s="116">
        <v>60605192410</v>
      </c>
      <c r="S52" s="116">
        <v>4110843.5</v>
      </c>
      <c r="T52" s="130">
        <f t="shared" si="101"/>
        <v>10.022967062599196</v>
      </c>
      <c r="U52" s="85">
        <f t="shared" ref="U52" si="102">Q50+Q51+Q52</f>
        <v>109749777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1516019.142857143</v>
      </c>
      <c r="G53" s="190">
        <f t="shared" ref="G53" si="103">F53/F52-1</f>
        <v>-0.19053119014034336</v>
      </c>
      <c r="H53" s="190">
        <f t="shared" ref="H53" si="104">F53/F41-1</f>
        <v>-0.20478543140811423</v>
      </c>
      <c r="I53" s="130">
        <f t="shared" ref="I53" si="105">T53</f>
        <v>10.234284226362689</v>
      </c>
      <c r="J53" s="130">
        <f t="shared" ref="J53" si="106">I53/I41-1</f>
        <v>-1.9699192014691613E-3</v>
      </c>
      <c r="K53" s="136"/>
      <c r="L53" s="190"/>
      <c r="M53" s="190"/>
      <c r="N53" s="191"/>
      <c r="O53" s="192"/>
      <c r="P53" s="129" t="s">
        <v>1414</v>
      </c>
      <c r="Q53" s="116">
        <v>31836402</v>
      </c>
      <c r="R53" s="116">
        <v>46276778489</v>
      </c>
      <c r="S53" s="116">
        <v>3110760</v>
      </c>
      <c r="T53" s="130">
        <f t="shared" ref="T53" si="107">Q53/S53</f>
        <v>10.234284226362689</v>
      </c>
      <c r="U53" s="85">
        <f t="shared" ref="U53" si="108">Q51+Q52+Q53</f>
        <v>110453392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1719623.0588235294</v>
      </c>
      <c r="G54" s="190">
        <f t="shared" ref="G54" si="109">F54/F53-1</f>
        <v>0.1343016787919098</v>
      </c>
      <c r="H54" s="190">
        <f t="shared" ref="H54" si="110">F54/F42-1</f>
        <v>-6.718516927653706E-2</v>
      </c>
      <c r="I54" s="130">
        <f t="shared" ref="I54" si="111">T54</f>
        <v>10.652884361351871</v>
      </c>
      <c r="J54" s="130">
        <f t="shared" ref="J54" si="112">I54/I42-1</f>
        <v>3.5990824708547198E-2</v>
      </c>
      <c r="K54" s="136"/>
      <c r="L54" s="190"/>
      <c r="M54" s="190"/>
      <c r="N54" s="191"/>
      <c r="O54" s="192"/>
      <c r="P54" s="129" t="s">
        <v>1417</v>
      </c>
      <c r="Q54" s="116">
        <v>29233592</v>
      </c>
      <c r="R54" s="116">
        <v>42328398551</v>
      </c>
      <c r="S54" s="116">
        <v>2744195</v>
      </c>
      <c r="T54" s="130">
        <f t="shared" ref="T54" si="113">Q54/S54</f>
        <v>10.652884361351871</v>
      </c>
      <c r="U54" s="85">
        <f t="shared" ref="U54" si="114">Q52+Q53+Q54</f>
        <v>102272843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5208702.6302521005</v>
      </c>
      <c r="C55" s="188">
        <f>AVERAGE(F53:F55)</f>
        <v>1736234.2100840334</v>
      </c>
      <c r="D55" s="190">
        <f>C55/C52-1</f>
        <v>-4.8319493754634513E-2</v>
      </c>
      <c r="E55" s="287">
        <f>C55/C43-1</f>
        <v>-6.7280684160614612E-2</v>
      </c>
      <c r="F55" s="136">
        <f>Q55/21</f>
        <v>1973060.4285714286</v>
      </c>
      <c r="G55" s="190">
        <f t="shared" ref="G55" si="115">F55/F54-1</f>
        <v>0.14737960650590898</v>
      </c>
      <c r="H55" s="190">
        <f t="shared" ref="H55" si="116">F55/F43-1</f>
        <v>7.5517745947065062E-2</v>
      </c>
      <c r="I55" s="130">
        <f>T55</f>
        <v>10.998884350749634</v>
      </c>
      <c r="J55" s="130">
        <f t="shared" ref="J55" si="117">I55/I43-1</f>
        <v>5.9383097454528411E-2</v>
      </c>
      <c r="K55" s="136">
        <f>R53+R54+R55</f>
        <v>149548844818</v>
      </c>
      <c r="L55" s="190">
        <f>U55/U52-1</f>
        <v>-6.601848493960949E-2</v>
      </c>
      <c r="M55" s="190">
        <f>K55/K43-1</f>
        <v>-4.5511245853232185E-2</v>
      </c>
      <c r="N55" s="191">
        <f>AVERAGE(T53:T55)</f>
        <v>10.628684312821399</v>
      </c>
      <c r="O55" s="192">
        <f>N55/N52-1</f>
        <v>2.3833637265833874E-2</v>
      </c>
      <c r="P55" s="129" t="s">
        <v>1418</v>
      </c>
      <c r="Q55" s="116">
        <v>41434269</v>
      </c>
      <c r="R55" s="116">
        <v>60943667778</v>
      </c>
      <c r="S55" s="116">
        <v>3767133.8</v>
      </c>
      <c r="T55" s="130">
        <f t="shared" ref="T55" si="118">Q55/S55</f>
        <v>10.998884350749634</v>
      </c>
      <c r="U55" s="85">
        <f t="shared" ref="U55" si="119">Q53+Q54+Q55</f>
        <v>102504263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1483376.4545454546</v>
      </c>
      <c r="G56" s="190">
        <f t="shared" ref="G56" si="120">F56/F55-1</f>
        <v>-0.24818498558633806</v>
      </c>
      <c r="H56" s="190">
        <f t="shared" ref="H56" si="121">F56/F44-1</f>
        <v>-0.13204660811458391</v>
      </c>
      <c r="I56" s="291">
        <f>T56</f>
        <v>10.422047770659447</v>
      </c>
      <c r="J56" s="130">
        <f t="shared" ref="J56" si="122">I56/I44-1</f>
        <v>-3.178595838577214E-2</v>
      </c>
      <c r="K56" s="136"/>
      <c r="L56" s="190"/>
      <c r="M56" s="190"/>
      <c r="N56" s="191"/>
      <c r="O56" s="192"/>
      <c r="P56" s="129" t="s">
        <v>1420</v>
      </c>
      <c r="Q56" s="116">
        <v>32634282</v>
      </c>
      <c r="R56" s="116">
        <v>48772862999</v>
      </c>
      <c r="S56" s="116">
        <v>3131273.5</v>
      </c>
      <c r="T56" s="130">
        <f t="shared" ref="T56" si="123">Q56/S56</f>
        <v>10.422047770659447</v>
      </c>
      <c r="U56" s="85">
        <f t="shared" ref="U56" si="124">Q54+Q55+Q56</f>
        <v>103302143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1001249.25</v>
      </c>
      <c r="G57" s="254">
        <f t="shared" ref="G57" si="125">F57/F56-1</f>
        <v>-0.32502012760691346</v>
      </c>
      <c r="H57" s="254">
        <f t="shared" ref="H57" si="126">F57/F45-1</f>
        <v>-0.4223035815560392</v>
      </c>
      <c r="I57" s="282">
        <f>T57</f>
        <v>9.8669679607607925</v>
      </c>
      <c r="J57" s="277">
        <f t="shared" ref="J57" si="127">I57/I45-1</f>
        <v>-3.8991699681520497E-2</v>
      </c>
      <c r="K57" s="204"/>
      <c r="L57" s="254"/>
      <c r="M57" s="254"/>
      <c r="N57" s="257"/>
      <c r="O57" s="258"/>
      <c r="P57" s="129" t="s">
        <v>1436</v>
      </c>
      <c r="Q57" s="116">
        <v>12014991</v>
      </c>
      <c r="R57" s="116">
        <v>17697803462</v>
      </c>
      <c r="S57" s="116">
        <v>1217698.3899999999</v>
      </c>
      <c r="T57" s="130">
        <f t="shared" ref="T57" si="128">Q57/S57</f>
        <v>9.8669679607607925</v>
      </c>
      <c r="U57" s="85">
        <f t="shared" ref="U57" si="129">Q55+Q56+Q57</f>
        <v>86083542</v>
      </c>
      <c r="V57" s="79"/>
      <c r="W57" s="79"/>
      <c r="X57" s="79"/>
      <c r="Y57" s="79"/>
      <c r="Z57" s="79"/>
    </row>
    <row r="58" spans="1:26">
      <c r="B58" s="196">
        <f>SUM(F56:F58)</f>
        <v>2484625.7045454546</v>
      </c>
      <c r="C58" s="196">
        <f>AVERAGE(F56:F58)</f>
        <v>1242312.8522727273</v>
      </c>
      <c r="D58" s="197">
        <f>C58/C55-1</f>
        <v>-0.28447853114667088</v>
      </c>
      <c r="E58" s="233">
        <f>C58/C46-1</f>
        <v>-0.31262468230771467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147153536</v>
      </c>
      <c r="R65" s="212">
        <v>216019511279</v>
      </c>
      <c r="S65" s="213">
        <v>13971060.699999999</v>
      </c>
      <c r="T65" s="214">
        <v>20</v>
      </c>
      <c r="U65" s="214">
        <v>73</v>
      </c>
    </row>
    <row r="66" spans="16:21" ht="18" thickBot="1">
      <c r="P66" s="180" t="s">
        <v>976</v>
      </c>
      <c r="Q66" s="181">
        <v>31836402</v>
      </c>
      <c r="R66" s="181">
        <v>46276778489</v>
      </c>
      <c r="S66" s="182">
        <v>3110760</v>
      </c>
      <c r="T66" s="210">
        <v>11</v>
      </c>
      <c r="U66" s="210">
        <v>33</v>
      </c>
    </row>
    <row r="67" spans="16:21" ht="18" thickBot="1">
      <c r="P67" s="180" t="s">
        <v>977</v>
      </c>
      <c r="Q67" s="181">
        <v>29233592</v>
      </c>
      <c r="R67" s="181">
        <v>42328398551</v>
      </c>
      <c r="S67" s="182">
        <v>2744195</v>
      </c>
      <c r="T67" s="210">
        <v>9</v>
      </c>
      <c r="U67" s="210">
        <v>27</v>
      </c>
    </row>
    <row r="68" spans="16:21" ht="18" thickBot="1">
      <c r="P68" s="180" t="s">
        <v>978</v>
      </c>
      <c r="Q68" s="181">
        <v>41434269</v>
      </c>
      <c r="R68" s="181">
        <v>60943667778</v>
      </c>
      <c r="S68" s="182">
        <v>3767133.8</v>
      </c>
      <c r="T68" s="210">
        <v>6</v>
      </c>
      <c r="U68" s="210">
        <v>31</v>
      </c>
    </row>
    <row r="69" spans="16:21" ht="18" thickBot="1">
      <c r="P69" s="180" t="s">
        <v>979</v>
      </c>
      <c r="Q69" s="181">
        <v>32634282</v>
      </c>
      <c r="R69" s="181">
        <v>48772862999</v>
      </c>
      <c r="S69" s="182">
        <v>3131273.5</v>
      </c>
      <c r="T69" s="210">
        <v>10</v>
      </c>
      <c r="U69" s="210">
        <v>41</v>
      </c>
    </row>
    <row r="70" spans="16:21" ht="18" thickBot="1">
      <c r="P70" s="180" t="s">
        <v>980</v>
      </c>
      <c r="Q70" s="181">
        <v>12014991</v>
      </c>
      <c r="R70" s="181">
        <v>17697803462</v>
      </c>
      <c r="S70" s="182">
        <v>1217698.3899999999</v>
      </c>
      <c r="T70" s="210">
        <v>10</v>
      </c>
      <c r="U70" s="210">
        <v>30</v>
      </c>
    </row>
    <row r="71" spans="16:21" ht="18" thickBot="1">
      <c r="P71" s="180" t="s">
        <v>975</v>
      </c>
      <c r="Q71" s="181">
        <v>428905287</v>
      </c>
      <c r="R71" s="181">
        <v>610705417078</v>
      </c>
      <c r="S71" s="182">
        <v>41218476.5</v>
      </c>
      <c r="T71" s="210">
        <v>30</v>
      </c>
      <c r="U71" s="210">
        <v>138</v>
      </c>
    </row>
    <row r="72" spans="16:21" ht="18" thickBot="1">
      <c r="P72" s="215" t="s">
        <v>982</v>
      </c>
      <c r="Q72" s="217"/>
      <c r="R72"/>
      <c r="S72"/>
      <c r="T72"/>
      <c r="U72"/>
    </row>
    <row r="73" spans="16:21" ht="18" thickBot="1">
      <c r="P73" s="215" t="s">
        <v>982</v>
      </c>
      <c r="Q73" s="217">
        <v>36</v>
      </c>
      <c r="R73"/>
      <c r="S73"/>
      <c r="T73"/>
      <c r="U73"/>
    </row>
  </sheetData>
  <phoneticPr fontId="1" type="noConversion"/>
  <conditionalFormatting sqref="C29:C30">
    <cfRule type="cellIs" dxfId="1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74"/>
  <sheetViews>
    <sheetView zoomScale="90" zoomScaleNormal="90" workbookViewId="0">
      <selection activeCell="B70" sqref="B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3032472.7</v>
      </c>
      <c r="G5" s="90"/>
      <c r="H5" s="90"/>
      <c r="I5" s="130">
        <f t="shared" ref="I5:I49" si="0">T5</f>
        <v>10.77106877313847</v>
      </c>
      <c r="J5" s="130"/>
      <c r="L5" s="80"/>
      <c r="M5" s="80"/>
      <c r="P5" s="129" t="s">
        <v>0</v>
      </c>
      <c r="Q5" s="116">
        <v>60649454</v>
      </c>
      <c r="R5" s="116">
        <v>71600070768</v>
      </c>
      <c r="S5" s="116">
        <v>5630774</v>
      </c>
      <c r="T5" s="130">
        <f t="shared" ref="T5:T31" si="1">Q5/S5</f>
        <v>10.77106877313847</v>
      </c>
      <c r="U5" s="85"/>
    </row>
    <row r="6" spans="1:21" ht="15" hidden="1" customHeight="1">
      <c r="A6" s="129" t="s">
        <v>1</v>
      </c>
      <c r="C6" s="79"/>
      <c r="F6" s="78">
        <f>Q6/18</f>
        <v>2220622.111111111</v>
      </c>
      <c r="G6" s="90">
        <f t="shared" ref="G6:G31" si="2">F6/F5-1</f>
        <v>-0.2677190099316934</v>
      </c>
      <c r="H6" s="90"/>
      <c r="I6" s="130">
        <f t="shared" si="0"/>
        <v>10.937118515464054</v>
      </c>
      <c r="J6" s="130"/>
      <c r="P6" s="129" t="s">
        <v>1</v>
      </c>
      <c r="Q6" s="116">
        <v>39971198</v>
      </c>
      <c r="R6" s="116">
        <v>47466411869</v>
      </c>
      <c r="S6" s="116">
        <v>3654637</v>
      </c>
      <c r="T6" s="130">
        <f t="shared" si="1"/>
        <v>10.937118515464054</v>
      </c>
      <c r="U6" s="85"/>
    </row>
    <row r="7" spans="1:21" ht="15" hidden="1" customHeight="1">
      <c r="A7" s="129" t="s">
        <v>2</v>
      </c>
      <c r="B7" s="131">
        <f>F5+F6+F7</f>
        <v>7214284.0383838387</v>
      </c>
      <c r="C7" s="131">
        <f>AVERAGE(F5:F7)</f>
        <v>2404761.3461279464</v>
      </c>
      <c r="F7" s="78">
        <f>Q7/22</f>
        <v>1961189.2272727273</v>
      </c>
      <c r="G7" s="90">
        <f t="shared" si="2"/>
        <v>-0.11682892039140047</v>
      </c>
      <c r="H7" s="90"/>
      <c r="I7" s="130">
        <f t="shared" si="0"/>
        <v>10.946493651864456</v>
      </c>
      <c r="J7" s="130"/>
      <c r="K7" s="79">
        <f>R5+R6+R7</f>
        <v>171112711496</v>
      </c>
      <c r="N7" s="88">
        <f>AVERAGE(T5:T7)</f>
        <v>10.884893646822327</v>
      </c>
      <c r="P7" s="129" t="s">
        <v>2</v>
      </c>
      <c r="Q7" s="116">
        <v>43146163</v>
      </c>
      <c r="R7" s="116">
        <v>52046228859</v>
      </c>
      <c r="S7" s="116">
        <v>3941551</v>
      </c>
      <c r="T7" s="130">
        <f t="shared" si="1"/>
        <v>10.946493651864456</v>
      </c>
      <c r="U7" s="85">
        <f>Q5+Q6+Q7</f>
        <v>143766815</v>
      </c>
    </row>
    <row r="8" spans="1:21" ht="15" hidden="1" customHeight="1">
      <c r="A8" s="129" t="s">
        <v>3</v>
      </c>
      <c r="C8" s="79"/>
      <c r="F8" s="78">
        <f>Q8/21</f>
        <v>3050837.1904761903</v>
      </c>
      <c r="G8" s="90">
        <f t="shared" si="2"/>
        <v>0.55560572536835284</v>
      </c>
      <c r="H8" s="90"/>
      <c r="I8" s="130">
        <f t="shared" si="0"/>
        <v>11.081831527314623</v>
      </c>
      <c r="J8" s="130"/>
      <c r="K8" s="78"/>
      <c r="P8" s="129" t="s">
        <v>3</v>
      </c>
      <c r="Q8" s="116">
        <v>64067581</v>
      </c>
      <c r="R8" s="116">
        <v>77712323180</v>
      </c>
      <c r="S8" s="116">
        <v>5781317</v>
      </c>
      <c r="T8" s="130">
        <f t="shared" si="1"/>
        <v>11.081831527314623</v>
      </c>
      <c r="U8" s="85"/>
    </row>
    <row r="9" spans="1:21" ht="15" hidden="1" customHeight="1">
      <c r="A9" s="129" t="s">
        <v>4</v>
      </c>
      <c r="C9" s="79"/>
      <c r="F9" s="78">
        <f>Q9/21</f>
        <v>2491427.9523809524</v>
      </c>
      <c r="G9" s="90">
        <f t="shared" si="2"/>
        <v>-0.18336253400920499</v>
      </c>
      <c r="H9" s="90"/>
      <c r="I9" s="130">
        <f t="shared" si="0"/>
        <v>11.245566522421607</v>
      </c>
      <c r="J9" s="130"/>
      <c r="K9" s="78"/>
      <c r="P9" s="129" t="s">
        <v>4</v>
      </c>
      <c r="Q9" s="116">
        <v>52319987</v>
      </c>
      <c r="R9" s="116">
        <v>65747686191</v>
      </c>
      <c r="S9" s="116">
        <v>4652499</v>
      </c>
      <c r="T9" s="130">
        <f t="shared" si="1"/>
        <v>11.245566522421607</v>
      </c>
      <c r="U9" s="85"/>
    </row>
    <row r="10" spans="1:21" ht="15" hidden="1" customHeight="1">
      <c r="A10" s="129" t="s">
        <v>5</v>
      </c>
      <c r="B10" s="131">
        <f>F8+F9+F10</f>
        <v>7828648.5238095243</v>
      </c>
      <c r="C10" s="131">
        <f>AVERAGE(F8:F10)</f>
        <v>2609549.5079365079</v>
      </c>
      <c r="D10" s="90">
        <f>C10/C7-1</f>
        <v>8.5159453406178365E-2</v>
      </c>
      <c r="E10" s="286"/>
      <c r="F10" s="78">
        <f>Q10/21</f>
        <v>2286383.3809523811</v>
      </c>
      <c r="G10" s="90">
        <f t="shared" si="2"/>
        <v>-8.2300020449164069E-2</v>
      </c>
      <c r="H10" s="90"/>
      <c r="I10" s="130">
        <f t="shared" si="0"/>
        <v>10.913591468796376</v>
      </c>
      <c r="J10" s="130"/>
      <c r="K10" s="79">
        <f>R8+R9+R10</f>
        <v>203984566192</v>
      </c>
      <c r="L10" s="87">
        <f>U10/U7-1</f>
        <v>0.1435296733811624</v>
      </c>
      <c r="N10" s="88">
        <f>AVERAGE(T8:T10)</f>
        <v>11.080329839510869</v>
      </c>
      <c r="O10" s="89">
        <f>N10/N7-1</f>
        <v>1.7954809576444131E-2</v>
      </c>
      <c r="P10" s="129" t="s">
        <v>5</v>
      </c>
      <c r="Q10" s="116">
        <v>48014051</v>
      </c>
      <c r="R10" s="116">
        <v>60524556821</v>
      </c>
      <c r="S10" s="116">
        <v>4399473</v>
      </c>
      <c r="T10" s="130">
        <f t="shared" si="1"/>
        <v>10.913591468796376</v>
      </c>
      <c r="U10" s="85">
        <f>Q8+Q9+Q10</f>
        <v>164401619</v>
      </c>
    </row>
    <row r="11" spans="1:21" ht="15" hidden="1" customHeight="1">
      <c r="A11" s="129" t="s">
        <v>6</v>
      </c>
      <c r="C11" s="79"/>
      <c r="F11" s="78">
        <f>Q11/21</f>
        <v>2689116.0476190476</v>
      </c>
      <c r="G11" s="90">
        <f t="shared" si="2"/>
        <v>0.1761439791864261</v>
      </c>
      <c r="H11" s="90"/>
      <c r="I11" s="130">
        <f t="shared" si="0"/>
        <v>11.275680272414462</v>
      </c>
      <c r="J11" s="130"/>
      <c r="K11" s="78"/>
      <c r="O11" s="89"/>
      <c r="P11" s="129" t="s">
        <v>6</v>
      </c>
      <c r="Q11" s="116">
        <v>56471437</v>
      </c>
      <c r="R11" s="116">
        <v>72882568096</v>
      </c>
      <c r="S11" s="116">
        <v>5008251</v>
      </c>
      <c r="T11" s="130">
        <f t="shared" si="1"/>
        <v>11.275680272414462</v>
      </c>
      <c r="U11" s="85"/>
    </row>
    <row r="12" spans="1:21" ht="15" hidden="1" customHeight="1">
      <c r="A12" s="129" t="s">
        <v>7</v>
      </c>
      <c r="C12" s="79"/>
      <c r="F12" s="78">
        <f>Q12/22</f>
        <v>1829954.3636363635</v>
      </c>
      <c r="G12" s="90">
        <f t="shared" si="2"/>
        <v>-0.31949594914038337</v>
      </c>
      <c r="H12" s="90"/>
      <c r="I12" s="130">
        <f t="shared" si="0"/>
        <v>10.754068670688101</v>
      </c>
      <c r="J12" s="130"/>
      <c r="K12" s="78"/>
      <c r="O12" s="89"/>
      <c r="P12" s="129" t="s">
        <v>7</v>
      </c>
      <c r="Q12" s="116">
        <v>40258996</v>
      </c>
      <c r="R12" s="116">
        <v>52246290264</v>
      </c>
      <c r="S12" s="116">
        <v>3743606</v>
      </c>
      <c r="T12" s="130">
        <f t="shared" si="1"/>
        <v>10.754068670688101</v>
      </c>
      <c r="U12" s="85"/>
    </row>
    <row r="13" spans="1:21" ht="15" hidden="1" customHeight="1">
      <c r="A13" s="129" t="s">
        <v>96</v>
      </c>
      <c r="B13" s="131">
        <f>F11+F12+F13</f>
        <v>8109200.4612554107</v>
      </c>
      <c r="C13" s="131">
        <f>AVERAGE(F11:F13)</f>
        <v>2703066.8204184701</v>
      </c>
      <c r="D13" s="90">
        <f>C13/C10-1</f>
        <v>3.5836573399947058E-2</v>
      </c>
      <c r="E13" s="286"/>
      <c r="F13" s="78">
        <f>Q13/20</f>
        <v>3590130.05</v>
      </c>
      <c r="G13" s="90">
        <f t="shared" si="2"/>
        <v>0.96186862434423359</v>
      </c>
      <c r="H13" s="90"/>
      <c r="I13" s="130">
        <f t="shared" si="0"/>
        <v>11.01952395539311</v>
      </c>
      <c r="J13" s="130"/>
      <c r="K13" s="78">
        <f>R11+R12+R13</f>
        <v>223247576236</v>
      </c>
      <c r="L13" s="87">
        <f>U13/U10-1</f>
        <v>2.5130014078510898E-2</v>
      </c>
      <c r="N13" s="88">
        <f>AVERAGE(T11:T13)</f>
        <v>11.016424299498558</v>
      </c>
      <c r="O13" s="89">
        <f>N13/N10-1</f>
        <v>-5.767476324074039E-3</v>
      </c>
      <c r="P13" s="129" t="s">
        <v>96</v>
      </c>
      <c r="Q13" s="116">
        <v>71802601</v>
      </c>
      <c r="R13" s="116">
        <v>98118717876</v>
      </c>
      <c r="S13" s="116">
        <v>6515944</v>
      </c>
      <c r="T13" s="130">
        <f t="shared" si="1"/>
        <v>11.01952395539311</v>
      </c>
      <c r="U13" s="85">
        <f>Q11+Q12+Q13</f>
        <v>168533034</v>
      </c>
    </row>
    <row r="14" spans="1:21" ht="15" hidden="1" customHeight="1">
      <c r="A14" s="129" t="s">
        <v>97</v>
      </c>
      <c r="C14" s="79"/>
      <c r="F14" s="78">
        <f>Q14/20</f>
        <v>2815842.95</v>
      </c>
      <c r="G14" s="90">
        <f t="shared" si="2"/>
        <v>-0.21567104511993918</v>
      </c>
      <c r="H14" s="90"/>
      <c r="I14" s="130">
        <f t="shared" si="0"/>
        <v>10.858683854885802</v>
      </c>
      <c r="J14" s="130"/>
      <c r="O14" s="89"/>
      <c r="P14" s="129" t="s">
        <v>97</v>
      </c>
      <c r="Q14" s="116">
        <v>56316859</v>
      </c>
      <c r="R14" s="116">
        <v>80305281838</v>
      </c>
      <c r="S14" s="116">
        <v>5186343</v>
      </c>
      <c r="T14" s="130">
        <f t="shared" si="1"/>
        <v>10.858683854885802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2727780.5909090908</v>
      </c>
      <c r="G15" s="90">
        <f t="shared" si="2"/>
        <v>-3.1273888726965127E-2</v>
      </c>
      <c r="H15" s="90"/>
      <c r="I15" s="130">
        <f t="shared" si="0"/>
        <v>10.749157960275642</v>
      </c>
      <c r="J15" s="130"/>
      <c r="O15" s="89"/>
      <c r="P15" s="129" t="s">
        <v>98</v>
      </c>
      <c r="Q15" s="116">
        <v>60011173</v>
      </c>
      <c r="R15" s="116">
        <v>83453891481</v>
      </c>
      <c r="S15" s="116">
        <v>5582872</v>
      </c>
      <c r="T15" s="130">
        <f t="shared" si="1"/>
        <v>10.749157960275642</v>
      </c>
      <c r="U15" s="78"/>
    </row>
    <row r="16" spans="1:21" ht="15" hidden="1" customHeight="1">
      <c r="A16" s="129" t="s">
        <v>99</v>
      </c>
      <c r="B16" s="131">
        <f>F14+F15+F16</f>
        <v>9161148.8590909094</v>
      </c>
      <c r="C16" s="131">
        <f>AVERAGE(F14:F16)</f>
        <v>3053716.2863636366</v>
      </c>
      <c r="D16" s="90">
        <f>C16/C13-1</f>
        <v>0.12972282567949289</v>
      </c>
      <c r="E16" s="286"/>
      <c r="F16" s="78">
        <f>Q16/22</f>
        <v>3617525.3181818184</v>
      </c>
      <c r="G16" s="90">
        <f t="shared" si="2"/>
        <v>0.32617899336845158</v>
      </c>
      <c r="H16" s="90"/>
      <c r="I16" s="130">
        <f t="shared" si="0"/>
        <v>10.519311727116543</v>
      </c>
      <c r="J16" s="130"/>
      <c r="K16" s="78">
        <f>R14+R15+R16</f>
        <v>268020518321</v>
      </c>
      <c r="L16" s="87">
        <f>U16/U13-1</f>
        <v>0.16246402470865151</v>
      </c>
      <c r="N16" s="88">
        <f>AVERAGE(T14:T16)</f>
        <v>10.70905118075933</v>
      </c>
      <c r="O16" s="89">
        <f>N16/N13-1</f>
        <v>-2.7901350781597944E-2</v>
      </c>
      <c r="P16" s="129" t="s">
        <v>99</v>
      </c>
      <c r="Q16" s="116">
        <v>79585557</v>
      </c>
      <c r="R16" s="116">
        <v>104261345002</v>
      </c>
      <c r="S16" s="116">
        <v>7565662</v>
      </c>
      <c r="T16" s="130">
        <f t="shared" si="1"/>
        <v>10.519311727116543</v>
      </c>
      <c r="U16" s="85">
        <f>Q14+Q15+Q16</f>
        <v>195913589</v>
      </c>
    </row>
    <row r="17" spans="1:21" ht="15" hidden="1" customHeight="1">
      <c r="A17" s="129" t="s">
        <v>100</v>
      </c>
      <c r="C17" s="79"/>
      <c r="F17" s="78">
        <f>Q17/20</f>
        <v>2091844.2</v>
      </c>
      <c r="G17" s="90">
        <f t="shared" si="2"/>
        <v>-0.42174718460536753</v>
      </c>
      <c r="H17" s="90">
        <f t="shared" ref="H17:H31" si="3">F17/F5-1</f>
        <v>-0.31018531510605196</v>
      </c>
      <c r="I17" s="130">
        <f t="shared" si="0"/>
        <v>10.359590230852335</v>
      </c>
      <c r="J17" s="130">
        <f t="shared" ref="J17:J49" si="4">I17/I5-1</f>
        <v>-3.8202201745504039E-2</v>
      </c>
      <c r="O17" s="89"/>
      <c r="P17" s="129" t="s">
        <v>100</v>
      </c>
      <c r="Q17" s="116">
        <v>41836884</v>
      </c>
      <c r="R17" s="116">
        <v>52722619528</v>
      </c>
      <c r="S17" s="116">
        <v>4038469</v>
      </c>
      <c r="T17" s="130">
        <f t="shared" si="1"/>
        <v>10.359590230852335</v>
      </c>
      <c r="U17" s="78"/>
    </row>
    <row r="18" spans="1:21" hidden="1">
      <c r="A18" s="129" t="s">
        <v>106</v>
      </c>
      <c r="C18" s="79"/>
      <c r="F18" s="78">
        <f>Q18/20</f>
        <v>2129781.0499999998</v>
      </c>
      <c r="G18" s="90">
        <f t="shared" si="2"/>
        <v>1.8135600156072851E-2</v>
      </c>
      <c r="H18" s="90">
        <f t="shared" si="3"/>
        <v>-4.0907933257341988E-2</v>
      </c>
      <c r="I18" s="130">
        <f t="shared" si="0"/>
        <v>10.486219420357715</v>
      </c>
      <c r="J18" s="130">
        <f t="shared" si="4"/>
        <v>-4.122649804597156E-2</v>
      </c>
      <c r="O18" s="89"/>
      <c r="P18" s="129" t="s">
        <v>106</v>
      </c>
      <c r="Q18" s="116">
        <v>42595621</v>
      </c>
      <c r="R18" s="116">
        <v>53261039003</v>
      </c>
      <c r="S18" s="116">
        <v>4062057</v>
      </c>
      <c r="T18" s="130">
        <f t="shared" si="1"/>
        <v>10.486219420357715</v>
      </c>
      <c r="U18" s="78"/>
    </row>
    <row r="19" spans="1:21" hidden="1">
      <c r="A19" s="129" t="s">
        <v>114</v>
      </c>
      <c r="B19" s="131">
        <f>SUM(F17:F19)</f>
        <v>6032953.4772727275</v>
      </c>
      <c r="C19" s="131">
        <f>AVERAGE(F17:F19)</f>
        <v>2010984.4924242424</v>
      </c>
      <c r="D19" s="90">
        <f>C19/C16-1</f>
        <v>-0.34146321928979151</v>
      </c>
      <c r="E19" s="286">
        <f>C19/C7-1</f>
        <v>-0.16374882868844687</v>
      </c>
      <c r="F19" s="78">
        <f>Q19/22</f>
        <v>1811328.2272727273</v>
      </c>
      <c r="G19" s="90">
        <f t="shared" si="2"/>
        <v>-0.14952373753502624</v>
      </c>
      <c r="H19" s="90">
        <f t="shared" si="3"/>
        <v>-7.6413330195781226E-2</v>
      </c>
      <c r="I19" s="130">
        <f t="shared" si="0"/>
        <v>10.383339274230783</v>
      </c>
      <c r="J19" s="130">
        <f t="shared" si="4"/>
        <v>-5.1446097311512506E-2</v>
      </c>
      <c r="K19" s="78">
        <f>R17+R18+R19</f>
        <v>158126375314</v>
      </c>
      <c r="L19" s="87">
        <f>U19/U16-1</f>
        <v>-0.36562988491829429</v>
      </c>
      <c r="M19" s="87">
        <f>U19/U7-1</f>
        <v>-0.13553259143982566</v>
      </c>
      <c r="N19" s="88">
        <f>AVERAGE(T17:T19)</f>
        <v>10.409716308480277</v>
      </c>
      <c r="O19" s="89">
        <f>N19/N16-1</f>
        <v>-2.7951577336455369E-2</v>
      </c>
      <c r="P19" s="129" t="s">
        <v>114</v>
      </c>
      <c r="Q19" s="116">
        <v>39849221</v>
      </c>
      <c r="R19" s="116">
        <v>52142716783</v>
      </c>
      <c r="S19" s="116">
        <v>3837804</v>
      </c>
      <c r="T19" s="130">
        <f t="shared" si="1"/>
        <v>10.383339274230783</v>
      </c>
      <c r="U19" s="85">
        <f>Q17+Q18+Q19</f>
        <v>124281726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2355153.25</v>
      </c>
      <c r="G20" s="90">
        <f t="shared" si="2"/>
        <v>0.30023549268378424</v>
      </c>
      <c r="H20" s="90">
        <f t="shared" si="3"/>
        <v>-0.22803050344604081</v>
      </c>
      <c r="I20" s="130">
        <f t="shared" si="0"/>
        <v>10.611322197351441</v>
      </c>
      <c r="J20" s="130">
        <f t="shared" si="4"/>
        <v>-4.2457722697143097E-2</v>
      </c>
      <c r="O20" s="89"/>
      <c r="P20" s="129" t="s">
        <v>131</v>
      </c>
      <c r="Q20" s="116">
        <v>47103065</v>
      </c>
      <c r="R20" s="116">
        <v>61709824814</v>
      </c>
      <c r="S20" s="116">
        <v>4438944</v>
      </c>
      <c r="T20" s="130">
        <f t="shared" si="1"/>
        <v>10.611322197351441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2202630.1904761903</v>
      </c>
      <c r="G21" s="90">
        <f t="shared" si="2"/>
        <v>-6.4761416066580701E-2</v>
      </c>
      <c r="H21" s="90">
        <f t="shared" si="3"/>
        <v>-0.11591656167651576</v>
      </c>
      <c r="I21" s="130">
        <f t="shared" si="0"/>
        <v>10.591692381530729</v>
      </c>
      <c r="J21" s="130">
        <f t="shared" si="4"/>
        <v>-5.8145060063196641E-2</v>
      </c>
      <c r="O21" s="89"/>
      <c r="P21" s="129" t="s">
        <v>141</v>
      </c>
      <c r="Q21" s="116">
        <v>46255234</v>
      </c>
      <c r="R21" s="116">
        <v>61588633830</v>
      </c>
      <c r="S21" s="116">
        <v>4367124</v>
      </c>
      <c r="T21" s="130">
        <f t="shared" si="1"/>
        <v>10.591692381530729</v>
      </c>
      <c r="U21" s="78"/>
    </row>
    <row r="22" spans="1:21" hidden="1">
      <c r="A22" s="129" t="s">
        <v>155</v>
      </c>
      <c r="B22" s="131">
        <f>SUM(F20:F22)</f>
        <v>6982056.6785714282</v>
      </c>
      <c r="C22" s="131">
        <f>AVERAGE(F20:F22)</f>
        <v>2327352.2261904762</v>
      </c>
      <c r="D22" s="90">
        <f>C22/C19-1</f>
        <v>0.15731982765558405</v>
      </c>
      <c r="E22" s="286">
        <f>C22/C10-1</f>
        <v>-0.10814022914214727</v>
      </c>
      <c r="F22" s="78">
        <f>Q22/21</f>
        <v>2424273.2380952379</v>
      </c>
      <c r="G22" s="90">
        <f t="shared" si="2"/>
        <v>0.10062653666393739</v>
      </c>
      <c r="H22" s="90">
        <f t="shared" si="3"/>
        <v>6.030915825036276E-2</v>
      </c>
      <c r="I22" s="130">
        <f t="shared" si="0"/>
        <v>10.755547395954702</v>
      </c>
      <c r="J22" s="130">
        <f t="shared" si="4"/>
        <v>-1.4481399023735353E-2</v>
      </c>
      <c r="K22" s="78">
        <f>R20+R21+R22</f>
        <v>189568082370</v>
      </c>
      <c r="L22" s="87">
        <f>U22/U19-1</f>
        <v>0.16081455933433042</v>
      </c>
      <c r="M22" s="87">
        <f>U22/U10-1</f>
        <v>-0.12246583776039333</v>
      </c>
      <c r="N22" s="88">
        <f>AVERAGE(T20:T22)</f>
        <v>10.65285399161229</v>
      </c>
      <c r="O22" s="89">
        <f>N22/N19-1</f>
        <v>2.335680204214019E-2</v>
      </c>
      <c r="P22" s="129" t="s">
        <v>155</v>
      </c>
      <c r="Q22" s="116">
        <v>50909738</v>
      </c>
      <c r="R22" s="116">
        <v>66269623726</v>
      </c>
      <c r="S22" s="116">
        <v>4733347</v>
      </c>
      <c r="T22" s="130">
        <f t="shared" si="1"/>
        <v>10.755547395954702</v>
      </c>
      <c r="U22" s="85">
        <f>Q20+Q21+Q22</f>
        <v>144268037</v>
      </c>
    </row>
    <row r="23" spans="1:21" hidden="1">
      <c r="A23" s="129" t="s">
        <v>189</v>
      </c>
      <c r="B23" s="131"/>
      <c r="C23" s="131"/>
      <c r="F23" s="78">
        <f>Q23/21</f>
        <v>1090360.7619047619</v>
      </c>
      <c r="G23" s="90">
        <f t="shared" si="2"/>
        <v>-0.55023190258806665</v>
      </c>
      <c r="H23" s="90">
        <f t="shared" si="3"/>
        <v>-0.59452818599250445</v>
      </c>
      <c r="I23" s="130">
        <f t="shared" si="0"/>
        <v>10.369904391497164</v>
      </c>
      <c r="J23" s="130">
        <f t="shared" si="4"/>
        <v>-8.0330042980488403E-2</v>
      </c>
      <c r="O23" s="89"/>
      <c r="P23" s="129" t="s">
        <v>189</v>
      </c>
      <c r="Q23" s="116">
        <v>22897576</v>
      </c>
      <c r="R23" s="116">
        <v>29631504416</v>
      </c>
      <c r="S23" s="116">
        <v>2208079.7599999998</v>
      </c>
      <c r="T23" s="130">
        <f t="shared" si="1"/>
        <v>10.369904391497164</v>
      </c>
      <c r="U23" s="78"/>
    </row>
    <row r="24" spans="1:21" hidden="1">
      <c r="A24" s="129" t="s">
        <v>204</v>
      </c>
      <c r="B24" s="131"/>
      <c r="C24" s="131"/>
      <c r="F24" s="78">
        <f>Q24/22</f>
        <v>1213985.0909090908</v>
      </c>
      <c r="G24" s="90">
        <f t="shared" si="2"/>
        <v>0.11337928997772106</v>
      </c>
      <c r="H24" s="90">
        <f t="shared" si="3"/>
        <v>-0.33660362518727494</v>
      </c>
      <c r="I24" s="130">
        <f t="shared" si="0"/>
        <v>10.346152549903909</v>
      </c>
      <c r="J24" s="130">
        <f t="shared" si="4"/>
        <v>-3.7931329367091648E-2</v>
      </c>
      <c r="O24" s="89"/>
      <c r="P24" s="129" t="s">
        <v>204</v>
      </c>
      <c r="Q24" s="116">
        <v>26707672</v>
      </c>
      <c r="R24" s="116">
        <v>35170440731</v>
      </c>
      <c r="S24" s="116">
        <v>2581411</v>
      </c>
      <c r="T24" s="130">
        <f t="shared" si="1"/>
        <v>10.346152549903909</v>
      </c>
      <c r="U24" s="78"/>
    </row>
    <row r="25" spans="1:21" s="79" customFormat="1" ht="13.2" hidden="1">
      <c r="A25" s="129" t="s">
        <v>217</v>
      </c>
      <c r="B25" s="131">
        <f>SUM(F23:F25)</f>
        <v>3648498.9580770107</v>
      </c>
      <c r="C25" s="131">
        <f>AVERAGE(F23:F25)</f>
        <v>1216166.3193590036</v>
      </c>
      <c r="D25" s="90">
        <f>C25/C22-1</f>
        <v>-0.47744638492056535</v>
      </c>
      <c r="E25" s="286">
        <f>C25/C13-1</f>
        <v>-0.55007907678333856</v>
      </c>
      <c r="F25" s="78">
        <f>Q25/19</f>
        <v>1344153.105263158</v>
      </c>
      <c r="G25" s="90">
        <f t="shared" si="2"/>
        <v>0.10722373390647744</v>
      </c>
      <c r="H25" s="90">
        <f t="shared" si="3"/>
        <v>-0.62559765620101748</v>
      </c>
      <c r="I25" s="130">
        <f t="shared" si="0"/>
        <v>10.638127026495649</v>
      </c>
      <c r="J25" s="130">
        <f t="shared" si="4"/>
        <v>-3.4611016813552942E-2</v>
      </c>
      <c r="K25" s="78">
        <f>R23+R24+R25</f>
        <v>98701634821</v>
      </c>
      <c r="L25" s="90">
        <f>U25/U22-1</f>
        <v>-0.4791350976793286</v>
      </c>
      <c r="M25" s="90">
        <f>U25/U13-1</f>
        <v>-0.55412802335238331</v>
      </c>
      <c r="N25" s="88">
        <f>AVERAGE(T23:T25)</f>
        <v>10.451394655965574</v>
      </c>
      <c r="O25" s="91">
        <f>N25/N22-1</f>
        <v>-1.8911301685476833E-2</v>
      </c>
      <c r="P25" s="129" t="s">
        <v>217</v>
      </c>
      <c r="Q25" s="116">
        <v>25538909</v>
      </c>
      <c r="R25" s="116">
        <v>33899689674</v>
      </c>
      <c r="S25" s="116">
        <v>2400696</v>
      </c>
      <c r="T25" s="130">
        <f t="shared" si="1"/>
        <v>10.638127026495649</v>
      </c>
      <c r="U25" s="85">
        <f>Q23+Q24+Q25</f>
        <v>75144157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1230867.8421052631</v>
      </c>
      <c r="G26" s="90">
        <f t="shared" si="2"/>
        <v>-8.4280029346594287E-2</v>
      </c>
      <c r="H26" s="90">
        <f t="shared" si="3"/>
        <v>-0.56287766613359491</v>
      </c>
      <c r="I26" s="130">
        <f t="shared" si="0"/>
        <v>10.494631632041299</v>
      </c>
      <c r="J26" s="130">
        <f t="shared" si="4"/>
        <v>-3.3526367256810796E-2</v>
      </c>
      <c r="L26" s="90"/>
      <c r="M26" s="90"/>
      <c r="P26" s="129" t="s">
        <v>312</v>
      </c>
      <c r="Q26" s="116">
        <v>23386489</v>
      </c>
      <c r="R26" s="116">
        <v>31509853116</v>
      </c>
      <c r="S26" s="116">
        <v>2228424</v>
      </c>
      <c r="T26" s="130">
        <f t="shared" si="1"/>
        <v>10.494631632041299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1449259.7272727273</v>
      </c>
      <c r="G27" s="90">
        <f t="shared" si="2"/>
        <v>0.17742919076830299</v>
      </c>
      <c r="H27" s="90">
        <f t="shared" si="3"/>
        <v>-0.46870370289212637</v>
      </c>
      <c r="I27" s="130">
        <f t="shared" si="0"/>
        <v>10.63343050605298</v>
      </c>
      <c r="J27" s="130">
        <f t="shared" si="4"/>
        <v>-1.076618788656214E-2</v>
      </c>
      <c r="L27" s="90"/>
      <c r="M27" s="90"/>
      <c r="P27" s="129" t="s">
        <v>373</v>
      </c>
      <c r="Q27" s="116">
        <v>31883714</v>
      </c>
      <c r="R27" s="116">
        <v>42088513488</v>
      </c>
      <c r="S27" s="116">
        <v>2998441</v>
      </c>
      <c r="T27" s="130">
        <f t="shared" si="1"/>
        <v>10.63343050605298</v>
      </c>
      <c r="U27" s="78"/>
    </row>
    <row r="28" spans="1:21" s="79" customFormat="1" ht="13.2" hidden="1">
      <c r="A28" s="123" t="s">
        <v>413</v>
      </c>
      <c r="B28" s="131">
        <f>SUM(F26:F28)</f>
        <v>4075600.7272727275</v>
      </c>
      <c r="C28" s="131">
        <f>AVERAGE(F26:F28)</f>
        <v>1358533.5757575759</v>
      </c>
      <c r="D28" s="90">
        <f>C28/C25-1</f>
        <v>0.11706232456232546</v>
      </c>
      <c r="E28" s="286">
        <f>C28/C16-1</f>
        <v>-0.55512122006091247</v>
      </c>
      <c r="F28" s="78">
        <f>Q28/19</f>
        <v>1395473.1578947369</v>
      </c>
      <c r="G28" s="90">
        <f t="shared" si="2"/>
        <v>-3.7113133254042752E-2</v>
      </c>
      <c r="H28" s="90">
        <f t="shared" si="3"/>
        <v>-0.61424647095597751</v>
      </c>
      <c r="I28" s="130">
        <f t="shared" si="0"/>
        <v>10.880569758948138</v>
      </c>
      <c r="J28" s="130">
        <f t="shared" si="4"/>
        <v>3.4342363949567911E-2</v>
      </c>
      <c r="K28" s="78">
        <f>R26+R27+R28</f>
        <v>108206604403</v>
      </c>
      <c r="L28" s="90">
        <f>U28/U25-1</f>
        <v>8.83639695365801E-2</v>
      </c>
      <c r="M28" s="90">
        <f>U28/U16-1</f>
        <v>-0.58254966683296283</v>
      </c>
      <c r="N28" s="88">
        <f>AVERAGE(T26:T28)</f>
        <v>10.669543965680807</v>
      </c>
      <c r="O28" s="91">
        <f>N28/N25-1</f>
        <v>2.0872746355503402E-2</v>
      </c>
      <c r="P28" s="129" t="s">
        <v>413</v>
      </c>
      <c r="Q28" s="116">
        <v>26513990</v>
      </c>
      <c r="R28" s="116">
        <v>34608237799</v>
      </c>
      <c r="S28" s="116">
        <v>2436820</v>
      </c>
      <c r="T28" s="130">
        <f t="shared" si="1"/>
        <v>10.880569758948138</v>
      </c>
      <c r="U28" s="85">
        <f>Q26+Q27+Q28</f>
        <v>81784193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1377852.2727272727</v>
      </c>
      <c r="G29" s="190">
        <f t="shared" si="2"/>
        <v>-1.2627175999606943E-2</v>
      </c>
      <c r="H29" s="190">
        <f t="shared" si="3"/>
        <v>-0.34132175200845616</v>
      </c>
      <c r="I29" s="130">
        <f t="shared" si="0"/>
        <v>11.268563003805165</v>
      </c>
      <c r="J29" s="130">
        <f t="shared" si="4"/>
        <v>8.774215511399075E-2</v>
      </c>
      <c r="K29" s="136"/>
      <c r="L29" s="190"/>
      <c r="M29" s="190"/>
      <c r="N29" s="191"/>
      <c r="O29" s="192"/>
      <c r="P29" s="129" t="s">
        <v>427</v>
      </c>
      <c r="Q29" s="116">
        <v>30312750</v>
      </c>
      <c r="R29" s="116">
        <v>39873455335</v>
      </c>
      <c r="S29" s="116">
        <v>2690028</v>
      </c>
      <c r="T29" s="130">
        <f t="shared" si="1"/>
        <v>11.268563003805165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1863031.4210526317</v>
      </c>
      <c r="G30" s="190">
        <f t="shared" si="2"/>
        <v>0.35212711691146126</v>
      </c>
      <c r="H30" s="190">
        <f t="shared" si="3"/>
        <v>-0.12524744219475903</v>
      </c>
      <c r="I30" s="130">
        <f t="shared" si="0"/>
        <v>11.112613578463675</v>
      </c>
      <c r="J30" s="130">
        <f t="shared" si="4"/>
        <v>5.9734984840188687E-2</v>
      </c>
      <c r="K30" s="136"/>
      <c r="L30" s="190"/>
      <c r="M30" s="190"/>
      <c r="N30" s="191"/>
      <c r="O30" s="192"/>
      <c r="P30" s="129" t="s">
        <v>466</v>
      </c>
      <c r="Q30" s="116">
        <v>35397597</v>
      </c>
      <c r="R30" s="116">
        <v>47178946470</v>
      </c>
      <c r="S30" s="116">
        <v>3185353</v>
      </c>
      <c r="T30" s="130">
        <f t="shared" si="1"/>
        <v>11.112613578463675</v>
      </c>
      <c r="U30" s="85"/>
    </row>
    <row r="31" spans="1:21" s="79" customFormat="1" ht="13.2" hidden="1">
      <c r="A31" s="129" t="s">
        <v>508</v>
      </c>
      <c r="B31" s="188">
        <f>SUM(F29:F31)</f>
        <v>4514813.1437799046</v>
      </c>
      <c r="C31" s="188">
        <f>AVERAGE(F29:F31)</f>
        <v>1504937.7145933015</v>
      </c>
      <c r="D31" s="190">
        <f>C31/C28-1</f>
        <v>0.10776630143578481</v>
      </c>
      <c r="E31" s="287">
        <f>C31/C19-1</f>
        <v>-0.25164131286805769</v>
      </c>
      <c r="F31" s="136">
        <f>Q31/20</f>
        <v>1273929.45</v>
      </c>
      <c r="G31" s="190">
        <f t="shared" si="2"/>
        <v>-0.3162061382302308</v>
      </c>
      <c r="H31" s="190">
        <f t="shared" si="3"/>
        <v>-0.29668768430880998</v>
      </c>
      <c r="I31" s="130">
        <f t="shared" si="0"/>
        <v>10.984034761135746</v>
      </c>
      <c r="J31" s="130">
        <f t="shared" si="4"/>
        <v>5.7851859699486141E-2</v>
      </c>
      <c r="K31" s="136">
        <f>R29+R30+R31</f>
        <v>120898204980</v>
      </c>
      <c r="L31" s="190">
        <f>U31/U28-1</f>
        <v>0.11499462983024111</v>
      </c>
      <c r="M31" s="190">
        <f>U31/U19-1</f>
        <v>-0.26627237217481192</v>
      </c>
      <c r="N31" s="191">
        <f>AVERAGE(T29:T31)</f>
        <v>11.121737114468194</v>
      </c>
      <c r="O31" s="192">
        <f>N31/N28-1</f>
        <v>4.2381675378243999E-2</v>
      </c>
      <c r="P31" s="129" t="s">
        <v>508</v>
      </c>
      <c r="Q31" s="116">
        <v>25478589</v>
      </c>
      <c r="R31" s="116">
        <v>33845803175</v>
      </c>
      <c r="S31" s="116">
        <v>2319602</v>
      </c>
      <c r="T31" s="130">
        <f t="shared" si="1"/>
        <v>10.984034761135746</v>
      </c>
      <c r="U31" s="85">
        <f>Q29+Q30+Q31</f>
        <v>91188936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1662472.9523809524</v>
      </c>
      <c r="G32" s="190">
        <f t="shared" ref="G32" si="5">F32/F31-1</f>
        <v>0.30499609093812263</v>
      </c>
      <c r="H32" s="190">
        <f t="shared" ref="H32" si="6">F32/F20-1</f>
        <v>-0.29411262202111377</v>
      </c>
      <c r="I32" s="130">
        <f t="shared" si="0"/>
        <v>11.216648942493357</v>
      </c>
      <c r="J32" s="130">
        <f t="shared" si="4"/>
        <v>5.7045364741917348E-2</v>
      </c>
      <c r="K32" s="136"/>
      <c r="L32" s="190"/>
      <c r="M32" s="190"/>
      <c r="N32" s="191"/>
      <c r="O32" s="192"/>
      <c r="P32" s="129" t="s">
        <v>562</v>
      </c>
      <c r="Q32" s="116">
        <v>34911932</v>
      </c>
      <c r="R32" s="116">
        <v>47439439151</v>
      </c>
      <c r="S32" s="116">
        <v>3112510</v>
      </c>
      <c r="T32" s="130">
        <f t="shared" ref="T32" si="7">Q32/S32</f>
        <v>11.216648942493357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823407.76190476189</v>
      </c>
      <c r="G33" s="190">
        <f t="shared" ref="G33" si="8">F33/F32-1</f>
        <v>-0.50470907768725026</v>
      </c>
      <c r="H33" s="190">
        <f t="shared" ref="H33" si="9">F33/F21-1</f>
        <v>-0.62617067292319817</v>
      </c>
      <c r="I33" s="130">
        <f t="shared" si="0"/>
        <v>11.157430732103911</v>
      </c>
      <c r="J33" s="130">
        <f t="shared" si="4"/>
        <v>5.34134045999759E-2</v>
      </c>
      <c r="K33" s="136"/>
      <c r="L33" s="190"/>
      <c r="M33" s="190"/>
      <c r="N33" s="191"/>
      <c r="O33" s="192"/>
      <c r="P33" s="129" t="s">
        <v>607</v>
      </c>
      <c r="Q33" s="116">
        <v>17291563</v>
      </c>
      <c r="R33" s="116">
        <v>23628408138</v>
      </c>
      <c r="S33" s="116">
        <v>1549780</v>
      </c>
      <c r="T33" s="130">
        <f t="shared" ref="T33" si="10">Q33/S33</f>
        <v>11.157430732103911</v>
      </c>
      <c r="U33" s="85"/>
    </row>
    <row r="34" spans="1:21" s="79" customFormat="1" ht="13.2" hidden="1">
      <c r="A34" s="129" t="s">
        <v>652</v>
      </c>
      <c r="B34" s="188">
        <f>SUM(F32:F34)</f>
        <v>3484226.0827067671</v>
      </c>
      <c r="C34" s="188">
        <f>AVERAGE(F32:F34)</f>
        <v>1161408.6942355891</v>
      </c>
      <c r="D34" s="190">
        <f>C34/C31-1</f>
        <v>-0.22826793230479214</v>
      </c>
      <c r="E34" s="287">
        <f>C34/C22-1</f>
        <v>-0.5009742482612356</v>
      </c>
      <c r="F34" s="136">
        <f>Q34/19</f>
        <v>998345.36842105258</v>
      </c>
      <c r="G34" s="190">
        <f t="shared" ref="G34" si="11">F34/F33-1</f>
        <v>0.21245561993685036</v>
      </c>
      <c r="H34" s="190">
        <f t="shared" ref="H34" si="12">F34/F22-1</f>
        <v>-0.58818776995391131</v>
      </c>
      <c r="I34" s="130">
        <f t="shared" si="0"/>
        <v>11.378711258759633</v>
      </c>
      <c r="J34" s="130">
        <f t="shared" si="4"/>
        <v>5.7938832851902156E-2</v>
      </c>
      <c r="K34" s="136">
        <f>R32+R33+R34</f>
        <v>97138781400</v>
      </c>
      <c r="L34" s="190">
        <f>U34/U31-1</f>
        <v>-0.21950995239159277</v>
      </c>
      <c r="M34" s="190">
        <f>U34/U22-1</f>
        <v>-0.50666787682153047</v>
      </c>
      <c r="N34" s="191">
        <f>AVERAGE(T32:T34)</f>
        <v>11.250930311118969</v>
      </c>
      <c r="O34" s="192">
        <f>N34/N31-1</f>
        <v>1.1616278583199691E-2</v>
      </c>
      <c r="P34" s="129" t="s">
        <v>652</v>
      </c>
      <c r="Q34" s="116">
        <v>18968562</v>
      </c>
      <c r="R34" s="116">
        <v>26070934111</v>
      </c>
      <c r="S34" s="116">
        <v>1667022</v>
      </c>
      <c r="T34" s="130">
        <f t="shared" ref="T34" si="13">Q34/S34</f>
        <v>11.378711258759633</v>
      </c>
      <c r="U34" s="85">
        <f>Q32+Q33+Q34</f>
        <v>71172057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826434</v>
      </c>
      <c r="G35" s="190">
        <f t="shared" ref="G35" si="14">F35/F34-1</f>
        <v>-0.17219628983999946</v>
      </c>
      <c r="H35" s="190">
        <f t="shared" ref="H35" si="15">F35/F23-1</f>
        <v>-0.24205453013891076</v>
      </c>
      <c r="I35" s="130">
        <f t="shared" si="0"/>
        <v>11.058899985164025</v>
      </c>
      <c r="J35" s="130">
        <f t="shared" si="4"/>
        <v>6.6441846294340579E-2</v>
      </c>
      <c r="K35" s="136"/>
      <c r="L35" s="190"/>
      <c r="M35" s="190"/>
      <c r="N35" s="191"/>
      <c r="O35" s="192"/>
      <c r="P35" s="129" t="s">
        <v>660</v>
      </c>
      <c r="Q35" s="116">
        <v>19007982</v>
      </c>
      <c r="R35" s="116">
        <v>26309294330</v>
      </c>
      <c r="S35" s="116">
        <v>1718795</v>
      </c>
      <c r="T35" s="130">
        <f t="shared" ref="T35" si="16">Q35/S35</f>
        <v>11.058899985164025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808865.28571428568</v>
      </c>
      <c r="G36" s="190">
        <f t="shared" ref="G36" si="17">F36/F35-1</f>
        <v>-2.1258460186432737E-2</v>
      </c>
      <c r="H36" s="190">
        <f t="shared" ref="H36" si="18">F36/F24-1</f>
        <v>-0.33371069235408135</v>
      </c>
      <c r="I36" s="130">
        <f t="shared" si="0"/>
        <v>11.31181428726498</v>
      </c>
      <c r="J36" s="130">
        <f t="shared" si="4"/>
        <v>9.3335346903428373E-2</v>
      </c>
      <c r="K36" s="136"/>
      <c r="L36" s="190"/>
      <c r="M36" s="190"/>
      <c r="N36" s="191"/>
      <c r="O36" s="192"/>
      <c r="P36" s="129" t="s">
        <v>664</v>
      </c>
      <c r="Q36" s="116">
        <v>16986171</v>
      </c>
      <c r="R36" s="116">
        <v>23251891021</v>
      </c>
      <c r="S36" s="116">
        <v>1501631</v>
      </c>
      <c r="T36" s="130">
        <f t="shared" ref="T36" si="19">Q36/S36</f>
        <v>11.31181428726498</v>
      </c>
      <c r="U36" s="85"/>
    </row>
    <row r="37" spans="1:21" s="79" customFormat="1" ht="13.2" hidden="1">
      <c r="A37" s="129" t="s">
        <v>702</v>
      </c>
      <c r="B37" s="188">
        <f>SUM(F35:F37)</f>
        <v>2726104.3968253965</v>
      </c>
      <c r="C37" s="188">
        <f>AVERAGE(F35:F37)</f>
        <v>908701.46560846549</v>
      </c>
      <c r="D37" s="190">
        <f>C37/C34-1</f>
        <v>-0.217586823554347</v>
      </c>
      <c r="E37" s="287">
        <f>C37/C25-1</f>
        <v>-0.25281480736334772</v>
      </c>
      <c r="F37" s="136">
        <f>Q37/18</f>
        <v>1090805.111111111</v>
      </c>
      <c r="G37" s="190">
        <f t="shared" ref="G37" si="20">F37/F36-1</f>
        <v>0.34856215290269543</v>
      </c>
      <c r="H37" s="190">
        <f t="shared" ref="H37" si="21">F37/F25-1</f>
        <v>-0.18848150047791357</v>
      </c>
      <c r="I37" s="130">
        <f t="shared" si="0"/>
        <v>11.352009273793728</v>
      </c>
      <c r="J37" s="130">
        <f t="shared" si="4"/>
        <v>6.7106008935601258E-2</v>
      </c>
      <c r="K37" s="136">
        <f>R35+R36+R37</f>
        <v>75780516974</v>
      </c>
      <c r="L37" s="190">
        <f>U37/U34-1</f>
        <v>-0.21839205799545736</v>
      </c>
      <c r="M37" s="190">
        <f>U37/U25-1</f>
        <v>-0.25970764433487492</v>
      </c>
      <c r="N37" s="191">
        <f>AVERAGE(T35:T37)</f>
        <v>11.24090784874091</v>
      </c>
      <c r="O37" s="192">
        <f>N37/N34-1</f>
        <v>-8.9081187963224728E-4</v>
      </c>
      <c r="P37" s="129" t="s">
        <v>702</v>
      </c>
      <c r="Q37" s="116">
        <v>19634492</v>
      </c>
      <c r="R37" s="116">
        <v>26219331623</v>
      </c>
      <c r="S37" s="116">
        <v>1729605</v>
      </c>
      <c r="T37" s="130">
        <f t="shared" ref="T37" si="22">Q37/S37</f>
        <v>11.352009273793728</v>
      </c>
      <c r="U37" s="85">
        <f>Q35+Q36+Q37</f>
        <v>55628645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990319.8</v>
      </c>
      <c r="G38" s="190">
        <f t="shared" ref="G38" si="23">F38/F37-1</f>
        <v>-9.2120315616008641E-2</v>
      </c>
      <c r="H38" s="190">
        <f t="shared" ref="H38" si="24">F38/F26-1</f>
        <v>-0.19542962605459924</v>
      </c>
      <c r="I38" s="130">
        <f t="shared" si="0"/>
        <v>11.278825604233091</v>
      </c>
      <c r="J38" s="130">
        <f t="shared" si="4"/>
        <v>7.4723344247506374E-2</v>
      </c>
      <c r="K38" s="136"/>
      <c r="L38" s="190"/>
      <c r="M38" s="190"/>
      <c r="N38" s="191"/>
      <c r="O38" s="192"/>
      <c r="P38" s="129" t="s">
        <v>727</v>
      </c>
      <c r="Q38" s="116">
        <v>19806396</v>
      </c>
      <c r="R38" s="116">
        <v>26677375297</v>
      </c>
      <c r="S38" s="116">
        <v>1756069</v>
      </c>
      <c r="T38" s="130">
        <f t="shared" ref="T38" si="25">Q38/S38</f>
        <v>11.278825604233091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830836.14285714284</v>
      </c>
      <c r="G39" s="190">
        <f t="shared" ref="G39" si="26">F39/F38-1</f>
        <v>-0.1610425815406874</v>
      </c>
      <c r="H39" s="190">
        <f t="shared" ref="H39" si="27">F39/F27-1</f>
        <v>-0.42671687674600445</v>
      </c>
      <c r="I39" s="130">
        <f t="shared" si="0"/>
        <v>10.844941634241245</v>
      </c>
      <c r="J39" s="130">
        <f t="shared" si="4"/>
        <v>1.9891146894491341E-2</v>
      </c>
      <c r="K39" s="136"/>
      <c r="L39" s="190"/>
      <c r="M39" s="190"/>
      <c r="N39" s="191"/>
      <c r="O39" s="192"/>
      <c r="P39" s="129" t="s">
        <v>762</v>
      </c>
      <c r="Q39" s="116">
        <v>17447559</v>
      </c>
      <c r="R39" s="116">
        <v>24280751941</v>
      </c>
      <c r="S39" s="116">
        <v>1608820</v>
      </c>
      <c r="T39" s="130">
        <f t="shared" ref="T39" si="28">Q39/S39</f>
        <v>10.844941634241245</v>
      </c>
      <c r="U39" s="85"/>
    </row>
    <row r="40" spans="1:21" s="79" customFormat="1" ht="13.2" hidden="1">
      <c r="A40" s="129" t="s">
        <v>778</v>
      </c>
      <c r="B40" s="188">
        <f>SUM(F38:F40)</f>
        <v>2852294.5619047619</v>
      </c>
      <c r="C40" s="188">
        <f>AVERAGE(F38:F40)</f>
        <v>950764.85396825394</v>
      </c>
      <c r="D40" s="190">
        <f>C40/C37-1</f>
        <v>4.6289557078707855E-2</v>
      </c>
      <c r="E40" s="287">
        <f>C40/C28-1</f>
        <v>-0.30015358403043724</v>
      </c>
      <c r="F40" s="136">
        <f>Q40/21</f>
        <v>1031138.6190476191</v>
      </c>
      <c r="G40" s="190">
        <f t="shared" ref="G40" si="29">F40/F39-1</f>
        <v>0.24108541487092849</v>
      </c>
      <c r="H40" s="190">
        <f t="shared" ref="H40" si="30">F40/F28-1</f>
        <v>-0.2610831579138122</v>
      </c>
      <c r="I40" s="130">
        <f t="shared" si="0"/>
        <v>10.925983148264294</v>
      </c>
      <c r="J40" s="130">
        <f t="shared" si="4"/>
        <v>4.1738061813176852E-3</v>
      </c>
      <c r="K40" s="136">
        <f>R38+R39+R40</f>
        <v>81681431015</v>
      </c>
      <c r="L40" s="190">
        <f>U40/U37-1</f>
        <v>5.8948424862766302E-2</v>
      </c>
      <c r="M40" s="190">
        <f>U40/U28-1</f>
        <v>-0.2797157514288855</v>
      </c>
      <c r="N40" s="191">
        <f>AVERAGE(T38:T40)</f>
        <v>11.01658346224621</v>
      </c>
      <c r="O40" s="192">
        <f>N40/N37-1</f>
        <v>-1.9956073789878737E-2</v>
      </c>
      <c r="P40" s="129" t="s">
        <v>778</v>
      </c>
      <c r="Q40" s="116">
        <v>21653911</v>
      </c>
      <c r="R40" s="116">
        <v>30723303777</v>
      </c>
      <c r="S40" s="116">
        <v>1981873</v>
      </c>
      <c r="T40" s="130">
        <f t="shared" ref="T40" si="31">Q40/S40</f>
        <v>10.925983148264294</v>
      </c>
      <c r="U40" s="85">
        <f>Q38+Q39+Q40</f>
        <v>58907866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1530234.611111111</v>
      </c>
      <c r="G41" s="190">
        <f t="shared" ref="G41" si="32">F41/F40-1</f>
        <v>0.48402414849369846</v>
      </c>
      <c r="H41" s="190">
        <f t="shared" ref="H41" si="33">F41/F29-1</f>
        <v>0.11059410460761376</v>
      </c>
      <c r="I41" s="130">
        <f t="shared" si="0"/>
        <v>11.331079669054851</v>
      </c>
      <c r="J41" s="130">
        <f t="shared" si="4"/>
        <v>5.5478826562513905E-3</v>
      </c>
      <c r="K41" s="193"/>
      <c r="L41" s="190"/>
      <c r="M41" s="190"/>
      <c r="N41" s="193"/>
      <c r="O41" s="193"/>
      <c r="P41" s="129" t="s">
        <v>799</v>
      </c>
      <c r="Q41" s="116">
        <v>27544223</v>
      </c>
      <c r="R41" s="116">
        <v>40306251840</v>
      </c>
      <c r="S41" s="116">
        <v>2430856</v>
      </c>
      <c r="T41" s="130">
        <f t="shared" ref="T41" si="34">Q41/S41</f>
        <v>11.331079669054851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1542390.05</v>
      </c>
      <c r="G42" s="190">
        <f t="shared" ref="G42" si="35">F42/F41-1</f>
        <v>7.9435132368774752E-3</v>
      </c>
      <c r="H42" s="190">
        <f t="shared" ref="H42" si="36">F42/F30-1</f>
        <v>-0.17210733400914191</v>
      </c>
      <c r="I42" s="130">
        <f t="shared" si="0"/>
        <v>11.142975469618689</v>
      </c>
      <c r="J42" s="130">
        <f t="shared" si="4"/>
        <v>2.7322007501326961E-3</v>
      </c>
      <c r="K42" s="193"/>
      <c r="L42" s="190"/>
      <c r="M42" s="190"/>
      <c r="N42" s="193"/>
      <c r="O42" s="193"/>
      <c r="P42" s="129" t="s">
        <v>826</v>
      </c>
      <c r="Q42" s="116">
        <v>30847801</v>
      </c>
      <c r="R42" s="116">
        <v>44602194317</v>
      </c>
      <c r="S42" s="116">
        <v>2768363</v>
      </c>
      <c r="T42" s="130">
        <f t="shared" ref="T42" si="37">Q42/S42</f>
        <v>11.142975469618689</v>
      </c>
      <c r="U42" s="78"/>
    </row>
    <row r="43" spans="1:21" s="79" customFormat="1" ht="13.2">
      <c r="A43" s="129" t="s">
        <v>835</v>
      </c>
      <c r="B43" s="188">
        <f>SUM(F41:F43)</f>
        <v>4668840.7111111106</v>
      </c>
      <c r="C43" s="188">
        <f>AVERAGE(F41:F43)</f>
        <v>1556280.2370370368</v>
      </c>
      <c r="D43" s="190">
        <f>C43/C40-1</f>
        <v>0.6368718622081091</v>
      </c>
      <c r="E43" s="287">
        <f>C43/C31-1</f>
        <v>3.4116044767746656E-2</v>
      </c>
      <c r="F43" s="136">
        <f>Q43/20</f>
        <v>1596216.05</v>
      </c>
      <c r="G43" s="190">
        <f t="shared" ref="G43" si="38">F43/F42-1</f>
        <v>3.4897787365783417E-2</v>
      </c>
      <c r="H43" s="190">
        <f t="shared" ref="H43" si="39">F43/F31-1</f>
        <v>0.25298622305968355</v>
      </c>
      <c r="I43" s="130">
        <f t="shared" si="0"/>
        <v>10.907216477234096</v>
      </c>
      <c r="J43" s="130">
        <f t="shared" si="4"/>
        <v>-6.9936308080025267E-3</v>
      </c>
      <c r="K43" s="136">
        <f>R41+R42+R43</f>
        <v>131137460194</v>
      </c>
      <c r="L43" s="190">
        <f>U43/U40-1</f>
        <v>0.53317971151764354</v>
      </c>
      <c r="M43" s="190">
        <f>K43/K31-1</f>
        <v>8.4693194706189967E-2</v>
      </c>
      <c r="N43" s="191">
        <f>AVERAGE(T41:T43)</f>
        <v>11.127090538635878</v>
      </c>
      <c r="O43" s="192">
        <f>N43/N40-1</f>
        <v>1.0030975280891363E-2</v>
      </c>
      <c r="P43" s="129" t="s">
        <v>835</v>
      </c>
      <c r="Q43" s="116">
        <v>31924321</v>
      </c>
      <c r="R43" s="116">
        <v>46229014037</v>
      </c>
      <c r="S43" s="116">
        <v>2926899</v>
      </c>
      <c r="T43" s="130">
        <f t="shared" ref="T43" si="40">Q43/S43</f>
        <v>10.907216477234096</v>
      </c>
      <c r="U43" s="85">
        <f>Q41+Q42+Q43</f>
        <v>90316345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1526388.5</v>
      </c>
      <c r="G44" s="190">
        <f t="shared" ref="G44" si="41">F44/F43-1</f>
        <v>-4.3745675906466497E-2</v>
      </c>
      <c r="H44" s="190">
        <f t="shared" ref="H44" si="42">F44/F32-1</f>
        <v>-8.1856641448545431E-2</v>
      </c>
      <c r="I44" s="130">
        <f t="shared" si="0"/>
        <v>11.138583883812995</v>
      </c>
      <c r="J44" s="130">
        <f t="shared" si="4"/>
        <v>-6.9597487699395444E-3</v>
      </c>
      <c r="K44" s="136"/>
      <c r="L44" s="190"/>
      <c r="M44" s="190"/>
      <c r="N44" s="191"/>
      <c r="O44" s="192"/>
      <c r="P44" s="129" t="s">
        <v>843</v>
      </c>
      <c r="Q44" s="116">
        <v>33580547</v>
      </c>
      <c r="R44" s="116">
        <v>48748402704</v>
      </c>
      <c r="S44" s="116">
        <v>3014795</v>
      </c>
      <c r="T44" s="130">
        <f t="shared" ref="T44" si="43">Q44/S44</f>
        <v>11.138583883812995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1361412.75</v>
      </c>
      <c r="G45" s="190">
        <f t="shared" ref="G45" si="44">F45/F44-1</f>
        <v>-0.10808241152236142</v>
      </c>
      <c r="H45" s="190">
        <f t="shared" ref="H45" si="45">F45/F33-1</f>
        <v>0.65338828826520778</v>
      </c>
      <c r="I45" s="130">
        <f t="shared" si="0"/>
        <v>11.18330709489334</v>
      </c>
      <c r="J45" s="130">
        <f t="shared" si="4"/>
        <v>2.3192044307274173E-3</v>
      </c>
      <c r="K45" s="136"/>
      <c r="L45" s="190"/>
      <c r="M45" s="190"/>
      <c r="N45" s="191"/>
      <c r="O45" s="192"/>
      <c r="P45" s="129" t="s">
        <v>853</v>
      </c>
      <c r="Q45" s="116">
        <v>27228255</v>
      </c>
      <c r="R45" s="116">
        <v>38244272825</v>
      </c>
      <c r="S45" s="116">
        <v>2434723</v>
      </c>
      <c r="T45" s="130">
        <f t="shared" ref="T45" si="46">Q45/S45</f>
        <v>11.18330709489334</v>
      </c>
      <c r="U45" s="85"/>
    </row>
    <row r="46" spans="1:21" s="79" customFormat="1" ht="13.2">
      <c r="A46" s="129" t="s">
        <v>893</v>
      </c>
      <c r="B46" s="188">
        <f>SUM(F44:F46)</f>
        <v>4284658.0394736845</v>
      </c>
      <c r="C46" s="188">
        <f>AVERAGE(F44:F46)</f>
        <v>1428219.3464912281</v>
      </c>
      <c r="D46" s="190">
        <f>C46/C43-1</f>
        <v>-8.2286523659531041E-2</v>
      </c>
      <c r="E46" s="287">
        <f>C46/C34-1</f>
        <v>0.22973020055721838</v>
      </c>
      <c r="F46" s="136">
        <f>Q46/19</f>
        <v>1396856.7894736843</v>
      </c>
      <c r="G46" s="190">
        <f t="shared" ref="G46" si="47">F46/F45-1</f>
        <v>2.6034749177781924E-2</v>
      </c>
      <c r="H46" s="190">
        <f t="shared" ref="H46" si="48">F46/F34-1</f>
        <v>0.39917190348957399</v>
      </c>
      <c r="I46" s="130">
        <f t="shared" si="0"/>
        <v>11.352367097644303</v>
      </c>
      <c r="J46" s="130">
        <f t="shared" si="4"/>
        <v>-2.3152148355157776E-3</v>
      </c>
      <c r="K46" s="136">
        <f>R44+R45+R46</f>
        <v>123317203283</v>
      </c>
      <c r="L46" s="190">
        <f>U46/U43-1</f>
        <v>-3.285411959485296E-2</v>
      </c>
      <c r="M46" s="190">
        <f>K46/K34-1</f>
        <v>0.26949506166030623</v>
      </c>
      <c r="N46" s="191">
        <f>AVERAGE(T44:T46)</f>
        <v>11.22475269211688</v>
      </c>
      <c r="O46" s="192">
        <f>N46/N43-1</f>
        <v>8.7769712254874843E-3</v>
      </c>
      <c r="P46" s="129" t="s">
        <v>888</v>
      </c>
      <c r="Q46" s="116">
        <v>26540279</v>
      </c>
      <c r="R46" s="116">
        <v>36324527754</v>
      </c>
      <c r="S46" s="116">
        <v>2337863</v>
      </c>
      <c r="T46" s="130">
        <f t="shared" ref="T46" si="49">Q46/S46</f>
        <v>11.352367097644303</v>
      </c>
      <c r="U46" s="85">
        <f t="shared" ref="U46:U51" si="50">Q44+Q45+Q46</f>
        <v>87349081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836414.39130434778</v>
      </c>
      <c r="G47" s="190">
        <f t="shared" ref="G47" si="51">F47/F46-1</f>
        <v>-0.40121679072090366</v>
      </c>
      <c r="H47" s="190">
        <f t="shared" ref="H47" si="52">F47/F35-1</f>
        <v>1.2076452934351334E-2</v>
      </c>
      <c r="I47" s="130">
        <f t="shared" si="0"/>
        <v>11.183239149150889</v>
      </c>
      <c r="J47" s="130">
        <f t="shared" si="4"/>
        <v>1.1243357309829172E-2</v>
      </c>
      <c r="K47" s="136"/>
      <c r="L47" s="190"/>
      <c r="M47" s="190"/>
      <c r="N47" s="191"/>
      <c r="O47" s="192"/>
      <c r="P47" s="129" t="s">
        <v>991</v>
      </c>
      <c r="Q47" s="116">
        <v>19237531</v>
      </c>
      <c r="R47" s="116">
        <v>26351719300</v>
      </c>
      <c r="S47" s="116">
        <v>1720211</v>
      </c>
      <c r="T47" s="130">
        <f t="shared" ref="T47" si="53">Q47/S47</f>
        <v>11.183239149150889</v>
      </c>
      <c r="U47" s="85">
        <f t="shared" si="50"/>
        <v>73006065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1223390</v>
      </c>
      <c r="G48" s="190">
        <f t="shared" ref="G48" si="54">F48/F47-1</f>
        <v>0.46266015113893788</v>
      </c>
      <c r="H48" s="190">
        <f t="shared" ref="H48" si="55">F48/F36-1</f>
        <v>0.51247682600157507</v>
      </c>
      <c r="I48" s="130">
        <f t="shared" si="0"/>
        <v>11.217956947047583</v>
      </c>
      <c r="J48" s="130">
        <f t="shared" si="4"/>
        <v>-8.297284399644278E-3</v>
      </c>
      <c r="K48" s="136"/>
      <c r="L48" s="190"/>
      <c r="M48" s="190"/>
      <c r="N48" s="191"/>
      <c r="O48" s="192"/>
      <c r="P48" s="129" t="s">
        <v>1070</v>
      </c>
      <c r="Q48" s="116">
        <v>24467800</v>
      </c>
      <c r="R48" s="116">
        <v>33941451731</v>
      </c>
      <c r="S48" s="116">
        <v>2181128</v>
      </c>
      <c r="T48" s="130">
        <f t="shared" ref="T48" si="56">Q48/S48</f>
        <v>11.217956947047583</v>
      </c>
      <c r="U48" s="85">
        <f t="shared" si="50"/>
        <v>70245610</v>
      </c>
    </row>
    <row r="49" spans="1:26" ht="13.2">
      <c r="A49" s="129" t="s">
        <v>1158</v>
      </c>
      <c r="B49" s="188">
        <f>SUM(F47:F49)</f>
        <v>3736741.8913043477</v>
      </c>
      <c r="C49" s="188">
        <f>AVERAGE(F47:F49)</f>
        <v>1245580.6304347825</v>
      </c>
      <c r="D49" s="190">
        <f>C49/C46-1</f>
        <v>-0.12787861787836896</v>
      </c>
      <c r="E49" s="287">
        <f>C49/C37-1</f>
        <v>0.37072589577121806</v>
      </c>
      <c r="F49" s="136">
        <f>Q49/22</f>
        <v>1676937.5</v>
      </c>
      <c r="G49" s="190">
        <f t="shared" ref="G49" si="57">F49/F48-1</f>
        <v>0.37073010242032378</v>
      </c>
      <c r="H49" s="190">
        <f t="shared" ref="H49" si="58">F49/F37-1</f>
        <v>0.53733923953825768</v>
      </c>
      <c r="I49" s="130">
        <f t="shared" si="0"/>
        <v>11.076893814404823</v>
      </c>
      <c r="J49" s="130">
        <f t="shared" si="4"/>
        <v>-2.4234957244442468E-2</v>
      </c>
      <c r="K49" s="136">
        <f>R47+R48+R49</f>
        <v>111567502199</v>
      </c>
      <c r="L49" s="190">
        <f>U49/U46-1</f>
        <v>-7.7289021506705913E-2</v>
      </c>
      <c r="M49" s="190">
        <f>K49/K37-1</f>
        <v>0.47224519776340901</v>
      </c>
      <c r="N49" s="191">
        <f>AVERAGE(T47:T49)</f>
        <v>11.159363303534432</v>
      </c>
      <c r="O49" s="192">
        <f>N49/N46-1</f>
        <v>-5.8254636316728003E-3</v>
      </c>
      <c r="P49" s="129" t="s">
        <v>1189</v>
      </c>
      <c r="Q49" s="116">
        <v>36892625</v>
      </c>
      <c r="R49" s="116">
        <v>51274331168</v>
      </c>
      <c r="S49" s="116">
        <v>3330593</v>
      </c>
      <c r="T49" s="130">
        <f t="shared" ref="T49" si="59">Q49/S49</f>
        <v>11.076893814404823</v>
      </c>
      <c r="U49" s="85">
        <f t="shared" si="50"/>
        <v>80597956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1496660.2777777778</v>
      </c>
      <c r="G50" s="190">
        <f t="shared" ref="G50" si="60">F50/F49-1</f>
        <v>-0.10750384091370269</v>
      </c>
      <c r="H50" s="190">
        <f t="shared" ref="H50" si="61">F50/F38-1</f>
        <v>0.51128986593803094</v>
      </c>
      <c r="I50" s="130">
        <f t="shared" ref="I50" si="62">T50</f>
        <v>11.192173006640136</v>
      </c>
      <c r="J50" s="130">
        <f t="shared" ref="J50" si="63">I50/I38-1</f>
        <v>-7.6827677484820889E-3</v>
      </c>
      <c r="K50" s="136"/>
      <c r="L50" s="190"/>
      <c r="M50" s="190"/>
      <c r="N50" s="191"/>
      <c r="O50" s="192"/>
      <c r="P50" s="129" t="s">
        <v>1293</v>
      </c>
      <c r="Q50" s="116">
        <v>26939885</v>
      </c>
      <c r="R50" s="116">
        <v>38075544167</v>
      </c>
      <c r="S50" s="116">
        <v>2407029</v>
      </c>
      <c r="T50" s="130">
        <f t="shared" ref="T50" si="64">Q50/S50</f>
        <v>11.192173006640136</v>
      </c>
      <c r="U50" s="85">
        <f t="shared" si="50"/>
        <v>88300310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1615752.35</v>
      </c>
      <c r="G51" s="190">
        <f t="shared" ref="G51:G52" si="65">F51/F50-1</f>
        <v>7.9571880132376371E-2</v>
      </c>
      <c r="H51" s="190">
        <f t="shared" ref="H51:H52" si="66">F51/F39-1</f>
        <v>0.94473045484471507</v>
      </c>
      <c r="I51" s="130">
        <f t="shared" ref="I51:I52" si="67">T51</f>
        <v>11.073012214732859</v>
      </c>
      <c r="J51" s="130">
        <f t="shared" ref="J51:J52" si="68">I51/I39-1</f>
        <v>2.1030134433505543E-2</v>
      </c>
      <c r="K51" s="136"/>
      <c r="L51" s="190"/>
      <c r="M51" s="190"/>
      <c r="N51" s="191"/>
      <c r="O51" s="192"/>
      <c r="P51" s="129" t="s">
        <v>1402</v>
      </c>
      <c r="Q51" s="116">
        <v>32315047</v>
      </c>
      <c r="R51" s="116">
        <v>46871410328</v>
      </c>
      <c r="S51" s="116">
        <v>2918361</v>
      </c>
      <c r="T51" s="130">
        <f t="shared" ref="T51:T52" si="69">Q51/S51</f>
        <v>11.073012214732859</v>
      </c>
      <c r="U51" s="85">
        <f t="shared" si="50"/>
        <v>96147557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4642408.6732323226</v>
      </c>
      <c r="C52" s="188">
        <f>AVERAGE(F50:F52)</f>
        <v>1547469.5577441074</v>
      </c>
      <c r="D52" s="190">
        <f>C52/C49-1</f>
        <v>0.24236803297426657</v>
      </c>
      <c r="E52" s="287">
        <f>C52/C40-1</f>
        <v>0.62760492385194699</v>
      </c>
      <c r="F52" s="136">
        <f>Q52/22</f>
        <v>1529996.0454545454</v>
      </c>
      <c r="G52" s="190">
        <f t="shared" si="65"/>
        <v>-5.3075153841153133E-2</v>
      </c>
      <c r="H52" s="190">
        <f t="shared" si="66"/>
        <v>0.48379278711108831</v>
      </c>
      <c r="I52" s="130">
        <f t="shared" si="67"/>
        <v>10.867173641321324</v>
      </c>
      <c r="J52" s="130">
        <f t="shared" si="68"/>
        <v>-5.382536852284292E-3</v>
      </c>
      <c r="K52" s="136">
        <f>R50+R51+R52</f>
        <v>134457977934</v>
      </c>
      <c r="L52" s="190">
        <f>U52/U49-1</f>
        <v>0.15281887545634532</v>
      </c>
      <c r="M52" s="190">
        <f>K52/K40-1</f>
        <v>0.64612661976144992</v>
      </c>
      <c r="N52" s="191">
        <f>AVERAGE(T50:T52)</f>
        <v>11.044119620898107</v>
      </c>
      <c r="O52" s="192">
        <f>N52/N49-1</f>
        <v>-1.0327084037117573E-2</v>
      </c>
      <c r="P52" s="129" t="s">
        <v>1403</v>
      </c>
      <c r="Q52" s="116">
        <v>33659913</v>
      </c>
      <c r="R52" s="116">
        <v>49511023439</v>
      </c>
      <c r="S52" s="116">
        <v>3097393.5</v>
      </c>
      <c r="T52" s="130">
        <f t="shared" si="69"/>
        <v>10.867173641321324</v>
      </c>
      <c r="U52" s="85">
        <f t="shared" ref="U52" si="70">Q50+Q51+Q52</f>
        <v>92914845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1040369.1428571428</v>
      </c>
      <c r="G53" s="190">
        <f t="shared" ref="G53" si="71">F53/F52-1</f>
        <v>-0.32001841053905444</v>
      </c>
      <c r="H53" s="190">
        <f t="shared" ref="H53" si="72">F53/F41-1</f>
        <v>-0.32012442059343726</v>
      </c>
      <c r="I53" s="130">
        <f t="shared" ref="I53" si="73">T53</f>
        <v>11.071088260601215</v>
      </c>
      <c r="J53" s="130">
        <f t="shared" ref="J53" si="74">I53/I41-1</f>
        <v>-2.2944981065102898E-2</v>
      </c>
      <c r="K53" s="136"/>
      <c r="L53" s="190"/>
      <c r="M53" s="190"/>
      <c r="N53" s="191"/>
      <c r="O53" s="192"/>
      <c r="P53" s="129" t="s">
        <v>1414</v>
      </c>
      <c r="Q53" s="116">
        <v>21847752</v>
      </c>
      <c r="R53" s="116">
        <v>31746017558</v>
      </c>
      <c r="S53" s="116">
        <v>1973406</v>
      </c>
      <c r="T53" s="130">
        <f t="shared" ref="T53" si="75">Q53/S53</f>
        <v>11.071088260601215</v>
      </c>
      <c r="U53" s="85">
        <f t="shared" ref="U53" si="76">Q51+Q52+Q53</f>
        <v>87822712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1457144.4705882352</v>
      </c>
      <c r="G54" s="190">
        <f t="shared" ref="G54" si="77">F54/F53-1</f>
        <v>0.40060331526799375</v>
      </c>
      <c r="H54" s="190">
        <f t="shared" ref="H54" si="78">F54/F42-1</f>
        <v>-5.5268496715059068E-2</v>
      </c>
      <c r="I54" s="130">
        <f t="shared" ref="I54" si="79">T54</f>
        <v>11.183405650244987</v>
      </c>
      <c r="J54" s="130">
        <f t="shared" ref="J54" si="80">I54/I42-1</f>
        <v>3.6283110141031027E-3</v>
      </c>
      <c r="K54" s="136"/>
      <c r="L54" s="190"/>
      <c r="M54" s="190"/>
      <c r="N54" s="191"/>
      <c r="O54" s="192"/>
      <c r="P54" s="129" t="s">
        <v>1417</v>
      </c>
      <c r="Q54" s="116">
        <v>24771456</v>
      </c>
      <c r="R54" s="116">
        <v>35853333251</v>
      </c>
      <c r="S54" s="116">
        <v>2215019</v>
      </c>
      <c r="T54" s="130">
        <f t="shared" ref="T54" si="81">Q54/S54</f>
        <v>11.183405650244987</v>
      </c>
      <c r="U54" s="85">
        <f t="shared" ref="U54" si="82">Q52+Q53+Q54</f>
        <v>80279121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4023732.7563025206</v>
      </c>
      <c r="C55" s="188">
        <f>AVERAGE(F53:F55)</f>
        <v>1341244.2521008402</v>
      </c>
      <c r="D55" s="190">
        <f>C55/C52-1</f>
        <v>-0.13326614705358164</v>
      </c>
      <c r="E55" s="287">
        <f>C55/C43-1</f>
        <v>-0.13817304866994795</v>
      </c>
      <c r="F55" s="136">
        <f>Q55/21</f>
        <v>1526219.142857143</v>
      </c>
      <c r="G55" s="190">
        <f t="shared" ref="G55" si="83">F55/F54-1</f>
        <v>4.7404134362204253E-2</v>
      </c>
      <c r="H55" s="190">
        <f t="shared" ref="H55" si="84">F55/F43-1</f>
        <v>-4.385177504189175E-2</v>
      </c>
      <c r="I55" s="130">
        <f>T55</f>
        <v>11.218641510686142</v>
      </c>
      <c r="J55" s="130">
        <f t="shared" ref="J55" si="85">I55/I43-1</f>
        <v>2.8552200655599158E-2</v>
      </c>
      <c r="K55" s="136">
        <f>R53+R54+R55</f>
        <v>114693981218</v>
      </c>
      <c r="L55" s="190">
        <f>U55/U52-1</f>
        <v>-0.15331279947784449</v>
      </c>
      <c r="M55" s="190">
        <f>K55/K43-1</f>
        <v>-0.12539116551193008</v>
      </c>
      <c r="N55" s="191">
        <f>AVERAGE(T53:T55)</f>
        <v>11.157711807177447</v>
      </c>
      <c r="O55" s="192">
        <f>N55/N52-1</f>
        <v>1.0285309302916046E-2</v>
      </c>
      <c r="P55" s="129" t="s">
        <v>1418</v>
      </c>
      <c r="Q55" s="116">
        <v>32050602</v>
      </c>
      <c r="R55" s="116">
        <v>47094630409</v>
      </c>
      <c r="S55" s="116">
        <v>2856905.8</v>
      </c>
      <c r="T55" s="130">
        <f t="shared" ref="T55" si="86">Q55/S55</f>
        <v>11.218641510686142</v>
      </c>
      <c r="U55" s="85">
        <f t="shared" ref="U55" si="87">Q53+Q54+Q55</f>
        <v>78669810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955515.27272727271</v>
      </c>
      <c r="G56" s="190">
        <f t="shared" ref="G56" si="88">F56/F55-1</f>
        <v>-0.37393310967223869</v>
      </c>
      <c r="H56" s="190">
        <f t="shared" ref="H56" si="89">F56/F44-1</f>
        <v>-0.37400257357332511</v>
      </c>
      <c r="I56" s="291">
        <f>T56</f>
        <v>10.833414372635978</v>
      </c>
      <c r="J56" s="130">
        <f t="shared" ref="J56" si="90">I56/I44-1</f>
        <v>-2.7397514294478675E-2</v>
      </c>
      <c r="K56" s="136"/>
      <c r="L56" s="190"/>
      <c r="M56" s="190"/>
      <c r="N56" s="191"/>
      <c r="O56" s="192"/>
      <c r="P56" s="129" t="s">
        <v>1420</v>
      </c>
      <c r="Q56" s="116">
        <v>21021336</v>
      </c>
      <c r="R56" s="116">
        <v>31427184096</v>
      </c>
      <c r="S56" s="116">
        <v>1940416.5</v>
      </c>
      <c r="T56" s="130">
        <f t="shared" ref="T56" si="91">Q56/S56</f>
        <v>10.833414372635978</v>
      </c>
      <c r="U56" s="85">
        <f t="shared" ref="U56" si="92">Q54+Q55+Q56</f>
        <v>77843394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485688.75</v>
      </c>
      <c r="G57" s="254">
        <f t="shared" ref="G57" si="93">F57/F56-1</f>
        <v>-0.49169964744391126</v>
      </c>
      <c r="H57" s="254">
        <f t="shared" ref="H57" si="94">F57/F45-1</f>
        <v>-0.64324650992140331</v>
      </c>
      <c r="I57" s="282">
        <f>T57</f>
        <v>11.165613695761206</v>
      </c>
      <c r="J57" s="277">
        <f t="shared" ref="J57" si="95">I57/I45-1</f>
        <v>-1.5821258400580129E-3</v>
      </c>
      <c r="K57" s="204"/>
      <c r="L57" s="254"/>
      <c r="M57" s="254"/>
      <c r="N57" s="257"/>
      <c r="O57" s="258"/>
      <c r="P57" s="129" t="s">
        <v>1436</v>
      </c>
      <c r="Q57" s="116">
        <v>5828265</v>
      </c>
      <c r="R57" s="116">
        <v>8583659432</v>
      </c>
      <c r="S57" s="116">
        <v>521983.4</v>
      </c>
      <c r="T57" s="130">
        <f t="shared" ref="T57" si="96">Q57/S57</f>
        <v>11.165613695761206</v>
      </c>
      <c r="U57" s="85">
        <f t="shared" ref="U57" si="97">Q55+Q56+Q57</f>
        <v>58900203</v>
      </c>
      <c r="V57" s="79"/>
      <c r="W57" s="79"/>
      <c r="X57" s="79"/>
      <c r="Y57" s="79"/>
      <c r="Z57" s="79"/>
    </row>
    <row r="58" spans="1:26">
      <c r="B58" s="196">
        <f>SUM(F56:F58)</f>
        <v>1441204.0227272727</v>
      </c>
      <c r="C58" s="196">
        <f>AVERAGE(F56:F58)</f>
        <v>720602.01136363635</v>
      </c>
      <c r="D58" s="197">
        <f>C58/C55-1</f>
        <v>-0.4627361793089283</v>
      </c>
      <c r="E58" s="233">
        <f>C58/C46-1</f>
        <v>-0.4954542429816734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 t="s">
        <v>973</v>
      </c>
      <c r="U63" s="266" t="s">
        <v>974</v>
      </c>
    </row>
    <row r="64" spans="1:26" ht="18" thickBot="1">
      <c r="P64" s="266" t="s">
        <v>971</v>
      </c>
      <c r="Q64" s="266" t="s">
        <v>9</v>
      </c>
      <c r="R64" s="266" t="s">
        <v>10</v>
      </c>
      <c r="S64" s="266" t="s">
        <v>1388</v>
      </c>
      <c r="T64" s="179"/>
      <c r="U64" s="179"/>
    </row>
    <row r="65" spans="16:21" ht="18" thickBot="1">
      <c r="P65" s="179"/>
      <c r="Q65" s="179"/>
      <c r="R65" s="179"/>
      <c r="S65" s="179"/>
      <c r="T65" s="214">
        <v>18</v>
      </c>
      <c r="U65" s="214">
        <v>56</v>
      </c>
    </row>
    <row r="66" spans="16:21" ht="18" thickBot="1">
      <c r="P66" s="211" t="s">
        <v>1415</v>
      </c>
      <c r="Q66" s="212">
        <v>105519411</v>
      </c>
      <c r="R66" s="212">
        <v>154704824746</v>
      </c>
      <c r="S66" s="213">
        <v>9507730.6999999993</v>
      </c>
      <c r="T66" s="210">
        <v>11</v>
      </c>
      <c r="U66" s="210">
        <v>33</v>
      </c>
    </row>
    <row r="67" spans="16:21" ht="18" thickBot="1">
      <c r="P67" s="180" t="s">
        <v>976</v>
      </c>
      <c r="Q67" s="181">
        <v>21847752</v>
      </c>
      <c r="R67" s="181">
        <v>31746017558</v>
      </c>
      <c r="S67" s="182">
        <v>1973406</v>
      </c>
      <c r="T67" s="210">
        <v>9</v>
      </c>
      <c r="U67" s="210">
        <v>27</v>
      </c>
    </row>
    <row r="68" spans="16:21" ht="18" thickBot="1">
      <c r="P68" s="180" t="s">
        <v>977</v>
      </c>
      <c r="Q68" s="181">
        <v>24771456</v>
      </c>
      <c r="R68" s="181">
        <v>35853333251</v>
      </c>
      <c r="S68" s="182">
        <v>2215019</v>
      </c>
      <c r="T68" s="210">
        <v>6</v>
      </c>
      <c r="U68" s="210">
        <v>31</v>
      </c>
    </row>
    <row r="69" spans="16:21" ht="18" thickBot="1">
      <c r="P69" s="180" t="s">
        <v>978</v>
      </c>
      <c r="Q69" s="181">
        <v>32050602</v>
      </c>
      <c r="R69" s="181">
        <v>47094630409</v>
      </c>
      <c r="S69" s="182">
        <v>2856905.8</v>
      </c>
      <c r="T69" s="210">
        <v>10</v>
      </c>
      <c r="U69" s="210">
        <v>41</v>
      </c>
    </row>
    <row r="70" spans="16:21" ht="18" thickBot="1">
      <c r="P70" s="180" t="s">
        <v>979</v>
      </c>
      <c r="Q70" s="181">
        <v>21021336</v>
      </c>
      <c r="R70" s="181">
        <v>31427184096</v>
      </c>
      <c r="S70" s="182">
        <v>1940416.5</v>
      </c>
      <c r="T70" s="210">
        <v>5</v>
      </c>
      <c r="U70" s="210">
        <v>9</v>
      </c>
    </row>
    <row r="71" spans="16:21" ht="18" thickBot="1">
      <c r="P71" s="180" t="s">
        <v>980</v>
      </c>
      <c r="Q71" s="181">
        <v>5828265</v>
      </c>
      <c r="R71" s="181">
        <v>8583659432</v>
      </c>
      <c r="S71" s="182">
        <v>521983.4</v>
      </c>
      <c r="T71"/>
      <c r="U71"/>
    </row>
    <row r="72" spans="16:21" ht="18" thickBot="1">
      <c r="P72" s="180" t="s">
        <v>975</v>
      </c>
      <c r="Q72" s="181">
        <v>351178227</v>
      </c>
      <c r="R72" s="181">
        <v>500480143610</v>
      </c>
      <c r="S72" s="182">
        <v>31568214.5</v>
      </c>
    </row>
    <row r="73" spans="16:21" ht="18" thickBot="1">
      <c r="P73" s="215" t="s">
        <v>982</v>
      </c>
      <c r="Q73" s="216">
        <v>276897504</v>
      </c>
      <c r="R73" s="216">
        <v>375498934369</v>
      </c>
      <c r="S73" s="272">
        <v>24821088</v>
      </c>
    </row>
    <row r="74" spans="16:21" ht="18" thickBot="1">
      <c r="P74" s="180" t="s">
        <v>1386</v>
      </c>
      <c r="Q74" s="210"/>
      <c r="R74"/>
      <c r="S74"/>
    </row>
  </sheetData>
  <phoneticPr fontId="1" type="noConversion"/>
  <conditionalFormatting sqref="C29:C30">
    <cfRule type="cellIs" dxfId="14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45"/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153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305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2477013.75</v>
      </c>
      <c r="G5" s="90"/>
      <c r="H5" s="90"/>
      <c r="I5" s="130">
        <f t="shared" ref="I5:I49" si="0">T5</f>
        <v>19.044456942828518</v>
      </c>
      <c r="J5" s="130"/>
      <c r="K5" s="86"/>
      <c r="L5" s="80"/>
      <c r="M5" s="80"/>
      <c r="P5" s="129" t="s">
        <v>0</v>
      </c>
      <c r="Q5" s="116">
        <f>온수기!Q5+보일러!Q5</f>
        <v>49540275</v>
      </c>
      <c r="R5" s="116">
        <f>온수기!R5+보일러!R5</f>
        <v>58439875518</v>
      </c>
      <c r="S5" s="116">
        <f>온수기!S5+보일러!S5</f>
        <v>2601296.2800000003</v>
      </c>
      <c r="T5" s="130">
        <f t="shared" ref="T5:T21" si="1">Q5/S5</f>
        <v>19.044456942828518</v>
      </c>
      <c r="U5" s="85"/>
    </row>
    <row r="6" spans="1:21" ht="15" hidden="1" customHeight="1">
      <c r="A6" s="129" t="s">
        <v>1</v>
      </c>
      <c r="C6" s="79"/>
      <c r="F6" s="78">
        <f>Q6/18</f>
        <v>2440490.0555555555</v>
      </c>
      <c r="G6" s="90">
        <f t="shared" ref="G6:G16" si="2">F6/F5-1</f>
        <v>-1.4745051150581778E-2</v>
      </c>
      <c r="H6" s="90"/>
      <c r="I6" s="130">
        <f t="shared" si="0"/>
        <v>18.751580593000991</v>
      </c>
      <c r="J6" s="130"/>
      <c r="K6" s="78"/>
      <c r="P6" s="129" t="s">
        <v>1</v>
      </c>
      <c r="Q6" s="116">
        <f>온수기!Q6+보일러!Q6</f>
        <v>43928821</v>
      </c>
      <c r="R6" s="116">
        <f>온수기!R6+보일러!R6</f>
        <v>52208980463</v>
      </c>
      <c r="S6" s="116">
        <f>온수기!S6+보일러!S6</f>
        <v>2342672.9700000002</v>
      </c>
      <c r="T6" s="130">
        <f t="shared" si="1"/>
        <v>18.751580593000991</v>
      </c>
      <c r="U6" s="85"/>
    </row>
    <row r="7" spans="1:21" ht="15" hidden="1" customHeight="1">
      <c r="A7" s="129" t="s">
        <v>2</v>
      </c>
      <c r="B7" s="131">
        <f>F5+F6+F7</f>
        <v>7329255.4419191927</v>
      </c>
      <c r="C7" s="131">
        <f>AVERAGE(F5:F7)</f>
        <v>2443085.1473063976</v>
      </c>
      <c r="F7" s="78">
        <f>Q7/22</f>
        <v>2411751.6363636362</v>
      </c>
      <c r="G7" s="90">
        <f t="shared" si="2"/>
        <v>-1.1775675596996993E-2</v>
      </c>
      <c r="H7" s="90"/>
      <c r="I7" s="130">
        <f t="shared" si="0"/>
        <v>16.856713083062502</v>
      </c>
      <c r="J7" s="130"/>
      <c r="K7" s="85">
        <f>R5+R6+R7</f>
        <v>174436523858</v>
      </c>
      <c r="N7" s="88">
        <f>AVERAGE(T5:T7)</f>
        <v>18.21758353963067</v>
      </c>
      <c r="P7" s="129" t="s">
        <v>2</v>
      </c>
      <c r="Q7" s="116">
        <f>온수기!Q7+보일러!Q7</f>
        <v>53058536</v>
      </c>
      <c r="R7" s="116">
        <f>온수기!R7+보일러!R7</f>
        <v>63787667877</v>
      </c>
      <c r="S7" s="116">
        <f>온수기!S7+보일러!S7</f>
        <v>3147620.52</v>
      </c>
      <c r="T7" s="130">
        <f t="shared" si="1"/>
        <v>16.856713083062502</v>
      </c>
      <c r="U7" s="85">
        <f>Q5+Q6+Q7</f>
        <v>146527632</v>
      </c>
    </row>
    <row r="8" spans="1:21" ht="15" hidden="1" customHeight="1">
      <c r="A8" s="129" t="s">
        <v>3</v>
      </c>
      <c r="C8" s="79"/>
      <c r="F8" s="78">
        <f>Q8/21</f>
        <v>2172817.0952380951</v>
      </c>
      <c r="G8" s="90">
        <f t="shared" si="2"/>
        <v>-9.9070956363400353E-2</v>
      </c>
      <c r="H8" s="90"/>
      <c r="I8" s="130">
        <f t="shared" si="0"/>
        <v>18.125456193528112</v>
      </c>
      <c r="J8" s="130"/>
      <c r="K8" s="78"/>
      <c r="P8" s="129" t="s">
        <v>3</v>
      </c>
      <c r="Q8" s="116">
        <f>온수기!Q8+보일러!Q8</f>
        <v>45629159</v>
      </c>
      <c r="R8" s="116">
        <f>온수기!R8+보일러!R8</f>
        <v>55215541124</v>
      </c>
      <c r="S8" s="116">
        <f>온수기!S8+보일러!S8</f>
        <v>2517407.48</v>
      </c>
      <c r="T8" s="130">
        <f t="shared" si="1"/>
        <v>18.125456193528112</v>
      </c>
      <c r="U8" s="85"/>
    </row>
    <row r="9" spans="1:21" ht="15" hidden="1" customHeight="1">
      <c r="A9" s="129" t="s">
        <v>4</v>
      </c>
      <c r="C9" s="79"/>
      <c r="F9" s="78">
        <f>Q9/21</f>
        <v>1753955</v>
      </c>
      <c r="G9" s="90">
        <f t="shared" si="2"/>
        <v>-0.19277374803248071</v>
      </c>
      <c r="H9" s="90"/>
      <c r="I9" s="130">
        <f t="shared" si="0"/>
        <v>18.99082045032312</v>
      </c>
      <c r="J9" s="130"/>
      <c r="K9" s="78"/>
      <c r="P9" s="129" t="s">
        <v>4</v>
      </c>
      <c r="Q9" s="116">
        <f>온수기!Q9+보일러!Q9</f>
        <v>36833055</v>
      </c>
      <c r="R9" s="116">
        <f>온수기!R9+보일러!R9</f>
        <v>46305573845</v>
      </c>
      <c r="S9" s="116">
        <f>온수기!S9+보일러!S9</f>
        <v>1939518.8900000001</v>
      </c>
      <c r="T9" s="130">
        <f t="shared" si="1"/>
        <v>18.99082045032312</v>
      </c>
      <c r="U9" s="85"/>
    </row>
    <row r="10" spans="1:21" ht="15" hidden="1" customHeight="1">
      <c r="A10" s="129" t="s">
        <v>5</v>
      </c>
      <c r="B10" s="131">
        <f>F8+F9+F10</f>
        <v>5460013.7619047621</v>
      </c>
      <c r="C10" s="131">
        <f>AVERAGE(F8:F10)</f>
        <v>1820004.5873015875</v>
      </c>
      <c r="D10" s="90">
        <f>C10/C7-1</f>
        <v>-0.25503841349605938</v>
      </c>
      <c r="E10" s="286"/>
      <c r="F10" s="78">
        <f>Q10/21</f>
        <v>1533241.6666666667</v>
      </c>
      <c r="G10" s="90">
        <f t="shared" si="2"/>
        <v>-0.12583751198481907</v>
      </c>
      <c r="H10" s="90"/>
      <c r="I10" s="130">
        <f t="shared" si="0"/>
        <v>19.942701317517766</v>
      </c>
      <c r="J10" s="130"/>
      <c r="K10" s="85">
        <f>R8+R9+R10</f>
        <v>142068484921</v>
      </c>
      <c r="L10" s="87">
        <f>U10/U7-1</f>
        <v>-0.21748350509069847</v>
      </c>
      <c r="N10" s="88">
        <f>AVERAGE(T8:T10)</f>
        <v>19.019659320456334</v>
      </c>
      <c r="O10" s="89">
        <f>N10/N7-1</f>
        <v>4.4027561563300788E-2</v>
      </c>
      <c r="P10" s="129" t="s">
        <v>5</v>
      </c>
      <c r="Q10" s="116">
        <f>온수기!Q10+보일러!Q10</f>
        <v>32198075</v>
      </c>
      <c r="R10" s="116">
        <f>온수기!R10+보일러!R10</f>
        <v>40547369952</v>
      </c>
      <c r="S10" s="116">
        <f>온수기!S10+보일러!S10</f>
        <v>1614529.27</v>
      </c>
      <c r="T10" s="130">
        <f t="shared" si="1"/>
        <v>19.942701317517766</v>
      </c>
      <c r="U10" s="85">
        <f>Q8+Q9+Q10</f>
        <v>114660289</v>
      </c>
    </row>
    <row r="11" spans="1:21" ht="15" hidden="1" customHeight="1">
      <c r="A11" s="129" t="s">
        <v>6</v>
      </c>
      <c r="C11" s="79"/>
      <c r="F11" s="78">
        <f>Q11/21</f>
        <v>2045767.8095238095</v>
      </c>
      <c r="G11" s="90">
        <f t="shared" si="2"/>
        <v>0.33427616402533378</v>
      </c>
      <c r="H11" s="90"/>
      <c r="I11" s="130">
        <f t="shared" si="0"/>
        <v>18.589708981263044</v>
      </c>
      <c r="J11" s="130"/>
      <c r="K11" s="78"/>
      <c r="O11" s="89"/>
      <c r="P11" s="129" t="s">
        <v>6</v>
      </c>
      <c r="Q11" s="116">
        <f>온수기!Q11+보일러!Q11</f>
        <v>42961124</v>
      </c>
      <c r="R11" s="116">
        <f>온수기!R11+보일러!R11</f>
        <v>55512427876</v>
      </c>
      <c r="S11" s="116">
        <f>온수기!S11+보일러!S11</f>
        <v>2311016.4900000002</v>
      </c>
      <c r="T11" s="130">
        <f t="shared" si="1"/>
        <v>18.589708981263044</v>
      </c>
      <c r="U11" s="85"/>
    </row>
    <row r="12" spans="1:21" ht="15" hidden="1" customHeight="1">
      <c r="A12" s="129" t="s">
        <v>7</v>
      </c>
      <c r="C12" s="79"/>
      <c r="F12" s="78">
        <f>Q12/22</f>
        <v>1849293.0909090908</v>
      </c>
      <c r="G12" s="90">
        <f t="shared" si="2"/>
        <v>-9.603959828679276E-2</v>
      </c>
      <c r="H12" s="90"/>
      <c r="I12" s="130">
        <f t="shared" si="0"/>
        <v>17.786693352183768</v>
      </c>
      <c r="J12" s="130"/>
      <c r="K12" s="78"/>
      <c r="O12" s="89"/>
      <c r="P12" s="129" t="s">
        <v>7</v>
      </c>
      <c r="Q12" s="116">
        <f>온수기!Q12+보일러!Q12</f>
        <v>40684448</v>
      </c>
      <c r="R12" s="116">
        <f>온수기!R12+보일러!R12</f>
        <v>52841979067</v>
      </c>
      <c r="S12" s="116">
        <f>온수기!S12+보일러!S12</f>
        <v>2287353.09</v>
      </c>
      <c r="T12" s="130">
        <f t="shared" si="1"/>
        <v>17.786693352183768</v>
      </c>
      <c r="U12" s="85"/>
    </row>
    <row r="13" spans="1:21" ht="15" hidden="1" customHeight="1">
      <c r="A13" s="129" t="s">
        <v>96</v>
      </c>
      <c r="B13" s="131">
        <f>F11+F12+F13</f>
        <v>5606448.6004329007</v>
      </c>
      <c r="C13" s="131">
        <f>AVERAGE(F11:F13)</f>
        <v>1868816.2001443002</v>
      </c>
      <c r="D13" s="90">
        <f>C13/C10-1</f>
        <v>2.6819499897570598E-2</v>
      </c>
      <c r="E13" s="286"/>
      <c r="F13" s="78">
        <f>Q13/20</f>
        <v>1711387.7</v>
      </c>
      <c r="G13" s="90">
        <f t="shared" si="2"/>
        <v>-7.4571949458426934E-2</v>
      </c>
      <c r="H13" s="90"/>
      <c r="I13" s="130">
        <f t="shared" si="0"/>
        <v>15.941259845031752</v>
      </c>
      <c r="J13" s="130"/>
      <c r="K13" s="78">
        <f>R11+R12+R13</f>
        <v>155173194144</v>
      </c>
      <c r="L13" s="87">
        <f>U13/U10-1</f>
        <v>2.8022230085256394E-2</v>
      </c>
      <c r="N13" s="88">
        <f>AVERAGE(T11:T13)</f>
        <v>17.439220726159522</v>
      </c>
      <c r="O13" s="89">
        <f>N13/N10-1</f>
        <v>-8.3095000161069743E-2</v>
      </c>
      <c r="P13" s="129" t="s">
        <v>96</v>
      </c>
      <c r="Q13" s="116">
        <f>온수기!Q13+보일러!Q13</f>
        <v>34227754</v>
      </c>
      <c r="R13" s="116">
        <f>온수기!R13+보일러!R13</f>
        <v>46818787201</v>
      </c>
      <c r="S13" s="116">
        <f>온수기!S13+보일러!S13</f>
        <v>2147117.25</v>
      </c>
      <c r="T13" s="130">
        <f t="shared" si="1"/>
        <v>15.941259845031752</v>
      </c>
      <c r="U13" s="85">
        <f>Q11+Q12+Q13</f>
        <v>117873326</v>
      </c>
    </row>
    <row r="14" spans="1:21" ht="15" hidden="1" customHeight="1">
      <c r="A14" s="129" t="s">
        <v>97</v>
      </c>
      <c r="C14" s="79"/>
      <c r="F14" s="78">
        <f>Q14/20</f>
        <v>1466136.65</v>
      </c>
      <c r="G14" s="90">
        <f t="shared" si="2"/>
        <v>-0.14330537142460475</v>
      </c>
      <c r="H14" s="90"/>
      <c r="I14" s="130">
        <f t="shared" si="0"/>
        <v>17.204774358676268</v>
      </c>
      <c r="J14" s="130"/>
      <c r="K14" s="78"/>
      <c r="O14" s="89"/>
      <c r="P14" s="129" t="s">
        <v>97</v>
      </c>
      <c r="Q14" s="116">
        <f>온수기!Q14+보일러!Q14</f>
        <v>29322733</v>
      </c>
      <c r="R14" s="116">
        <f>온수기!R14+보일러!R14</f>
        <v>41802539335</v>
      </c>
      <c r="S14" s="116">
        <f>온수기!S14+보일러!S14</f>
        <v>1704336.97</v>
      </c>
      <c r="T14" s="130">
        <f t="shared" si="1"/>
        <v>17.204774358676268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909905.72727272729</v>
      </c>
      <c r="G15" s="90">
        <f t="shared" si="2"/>
        <v>-0.3793854568244186</v>
      </c>
      <c r="H15" s="90"/>
      <c r="I15" s="130">
        <f t="shared" si="0"/>
        <v>19.390234631811616</v>
      </c>
      <c r="J15" s="130"/>
      <c r="K15" s="78"/>
      <c r="O15" s="89"/>
      <c r="P15" s="129" t="s">
        <v>98</v>
      </c>
      <c r="Q15" s="116">
        <f>온수기!Q15+보일러!Q15</f>
        <v>20017926</v>
      </c>
      <c r="R15" s="116">
        <f>온수기!R15+보일러!R15</f>
        <v>27741792948</v>
      </c>
      <c r="S15" s="116">
        <f>온수기!S15+보일러!S15</f>
        <v>1032371.52</v>
      </c>
      <c r="T15" s="130">
        <f t="shared" si="1"/>
        <v>19.390234631811616</v>
      </c>
      <c r="U15" s="85"/>
    </row>
    <row r="16" spans="1:21" ht="15" hidden="1" customHeight="1">
      <c r="A16" s="129" t="s">
        <v>99</v>
      </c>
      <c r="B16" s="131">
        <f>F14+F15+F16</f>
        <v>3634614.1045454545</v>
      </c>
      <c r="C16" s="131">
        <f>AVERAGE(F14:F16)</f>
        <v>1211538.0348484849</v>
      </c>
      <c r="D16" s="90">
        <f>C16/C13-1</f>
        <v>-0.35170829814353266</v>
      </c>
      <c r="E16" s="286"/>
      <c r="F16" s="78">
        <f>Q16/22</f>
        <v>1258571.7272727273</v>
      </c>
      <c r="G16" s="90">
        <f t="shared" si="2"/>
        <v>0.3831891475670357</v>
      </c>
      <c r="H16" s="90"/>
      <c r="I16" s="130">
        <f t="shared" si="0"/>
        <v>21.949369992983765</v>
      </c>
      <c r="J16" s="130"/>
      <c r="K16" s="78">
        <f>R14+R15+R16</f>
        <v>105997587381</v>
      </c>
      <c r="L16" s="87">
        <f>U16/U13-1</f>
        <v>-0.34650832708326229</v>
      </c>
      <c r="N16" s="88">
        <f>AVERAGE(T14:T16)</f>
        <v>19.514792994490548</v>
      </c>
      <c r="O16" s="89">
        <f>N16/N13-1</f>
        <v>0.11901748942357182</v>
      </c>
      <c r="P16" s="129" t="s">
        <v>99</v>
      </c>
      <c r="Q16" s="116">
        <f>온수기!Q16+보일러!Q16</f>
        <v>27688578</v>
      </c>
      <c r="R16" s="116">
        <f>온수기!R16+보일러!R16</f>
        <v>36453255098</v>
      </c>
      <c r="S16" s="116">
        <f>온수기!S16+보일러!S16</f>
        <v>1261474.8400000001</v>
      </c>
      <c r="T16" s="130">
        <f t="shared" si="1"/>
        <v>21.949369992983765</v>
      </c>
      <c r="U16" s="85">
        <f>Q14+Q15+Q16</f>
        <v>77029237</v>
      </c>
    </row>
    <row r="17" spans="1:21" ht="15" hidden="1" customHeight="1">
      <c r="A17" s="129" t="s">
        <v>100</v>
      </c>
      <c r="C17" s="79"/>
      <c r="F17" s="78">
        <f>Q17/20</f>
        <v>1217485.25</v>
      </c>
      <c r="G17" s="90">
        <f t="shared" ref="G17:G22" si="3">F17/F16-1</f>
        <v>-3.2645320391679222E-2</v>
      </c>
      <c r="H17" s="90">
        <f t="shared" ref="H17:H22" si="4">F17/F5-1</f>
        <v>-0.5084866807864914</v>
      </c>
      <c r="I17" s="130">
        <f t="shared" si="0"/>
        <v>21.752992430599473</v>
      </c>
      <c r="J17" s="130">
        <f t="shared" ref="J17:J49" si="5">I17/I5-1</f>
        <v>0.14222172340760264</v>
      </c>
      <c r="K17" s="78"/>
      <c r="O17" s="89"/>
      <c r="P17" s="129" t="s">
        <v>100</v>
      </c>
      <c r="Q17" s="116">
        <f>온수기!Q17+보일러!Q17</f>
        <v>24349705</v>
      </c>
      <c r="R17" s="116">
        <f>온수기!R17+보일러!R17</f>
        <v>30512342080</v>
      </c>
      <c r="S17" s="116">
        <f>온수기!S17+보일러!S17</f>
        <v>1119372.6600000001</v>
      </c>
      <c r="T17" s="130">
        <f t="shared" si="1"/>
        <v>21.752992430599473</v>
      </c>
      <c r="U17" s="78"/>
    </row>
    <row r="18" spans="1:21" ht="15" hidden="1" customHeight="1">
      <c r="A18" s="129" t="s">
        <v>106</v>
      </c>
      <c r="C18" s="79"/>
      <c r="F18" s="78">
        <f>Q18/20</f>
        <v>1713800.9</v>
      </c>
      <c r="G18" s="90">
        <f t="shared" si="3"/>
        <v>0.4076563966586042</v>
      </c>
      <c r="H18" s="90">
        <f t="shared" si="4"/>
        <v>-0.29776362083562413</v>
      </c>
      <c r="I18" s="130">
        <f t="shared" si="0"/>
        <v>20.518532791104633</v>
      </c>
      <c r="J18" s="130">
        <f t="shared" si="5"/>
        <v>9.4229507178885674E-2</v>
      </c>
      <c r="K18" s="78"/>
      <c r="O18" s="89"/>
      <c r="P18" s="129" t="s">
        <v>106</v>
      </c>
      <c r="Q18" s="116">
        <f>온수기!Q18+보일러!Q18</f>
        <v>34276018</v>
      </c>
      <c r="R18" s="116">
        <f>온수기!R18+보일러!R18</f>
        <v>42977136694</v>
      </c>
      <c r="S18" s="116">
        <f>온수기!S18+보일러!S18</f>
        <v>1670490.69</v>
      </c>
      <c r="T18" s="130">
        <f t="shared" si="1"/>
        <v>20.518532791104633</v>
      </c>
      <c r="U18" s="78"/>
    </row>
    <row r="19" spans="1:21" hidden="1">
      <c r="A19" s="129" t="s">
        <v>114</v>
      </c>
      <c r="B19" s="131">
        <f>SUM(F17:F19)</f>
        <v>4496851.4227272728</v>
      </c>
      <c r="C19" s="131">
        <f>AVERAGE(F17:F19)</f>
        <v>1498950.4742424244</v>
      </c>
      <c r="D19" s="90">
        <f>C19/C16-1</f>
        <v>0.23722939860479353</v>
      </c>
      <c r="E19" s="286">
        <f>C19/C7-1</f>
        <v>-0.38645180832314452</v>
      </c>
      <c r="F19" s="78">
        <f>Q19/22</f>
        <v>1565565.2727272727</v>
      </c>
      <c r="G19" s="90">
        <f t="shared" si="3"/>
        <v>-8.6495244151597261E-2</v>
      </c>
      <c r="H19" s="90">
        <f t="shared" si="4"/>
        <v>-0.35085966186477513</v>
      </c>
      <c r="I19" s="130">
        <f t="shared" si="0"/>
        <v>17.786656338603908</v>
      </c>
      <c r="J19" s="130">
        <f t="shared" si="5"/>
        <v>5.5167531828954619E-2</v>
      </c>
      <c r="K19" s="78">
        <f>R17+R18+R19</f>
        <v>118457082267</v>
      </c>
      <c r="L19" s="87">
        <f>U19/U16-1</f>
        <v>0.20821862742843988</v>
      </c>
      <c r="M19" s="87">
        <f>U19/U7-1</f>
        <v>-0.36484226401747899</v>
      </c>
      <c r="N19" s="88">
        <f>AVERAGE(T17:T19)</f>
        <v>20.019393853436004</v>
      </c>
      <c r="O19" s="89">
        <f>N19/N16-1</f>
        <v>2.5857351348175461E-2</v>
      </c>
      <c r="P19" s="129" t="s">
        <v>114</v>
      </c>
      <c r="Q19" s="116">
        <f>온수기!Q19+보일러!Q19</f>
        <v>34442436</v>
      </c>
      <c r="R19" s="116">
        <f>온수기!R19+보일러!R19</f>
        <v>44967603493</v>
      </c>
      <c r="S19" s="116">
        <f>온수기!S19+보일러!S19</f>
        <v>1936419.94</v>
      </c>
      <c r="T19" s="130">
        <f t="shared" si="1"/>
        <v>17.786656338603908</v>
      </c>
      <c r="U19" s="85">
        <f>Q17+Q18+Q19</f>
        <v>93068159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2515375.9</v>
      </c>
      <c r="G20" s="90">
        <f t="shared" si="3"/>
        <v>0.60668861517228345</v>
      </c>
      <c r="H20" s="90">
        <f t="shared" si="4"/>
        <v>0.15765653055319295</v>
      </c>
      <c r="I20" s="130">
        <f t="shared" si="0"/>
        <v>19.594449587229622</v>
      </c>
      <c r="J20" s="130">
        <f t="shared" si="5"/>
        <v>8.1045871508935052E-2</v>
      </c>
      <c r="K20" s="78"/>
      <c r="O20" s="89"/>
      <c r="P20" s="129" t="s">
        <v>131</v>
      </c>
      <c r="Q20" s="116">
        <f>온수기!Q20+보일러!Q20</f>
        <v>50307518</v>
      </c>
      <c r="R20" s="116">
        <f>온수기!R20+보일러!R20</f>
        <v>65968952503</v>
      </c>
      <c r="S20" s="116">
        <f>온수기!S20+보일러!S20</f>
        <v>2567437.16</v>
      </c>
      <c r="T20" s="130">
        <f t="shared" si="1"/>
        <v>19.594449587229622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2134704.4285714286</v>
      </c>
      <c r="G21" s="90">
        <f t="shared" si="3"/>
        <v>-0.15133780657935514</v>
      </c>
      <c r="H21" s="90">
        <f t="shared" si="4"/>
        <v>0.21708050011056645</v>
      </c>
      <c r="I21" s="130">
        <f t="shared" si="0"/>
        <v>19.885710907821693</v>
      </c>
      <c r="J21" s="130">
        <f t="shared" si="5"/>
        <v>4.712226414016496E-2</v>
      </c>
      <c r="K21" s="78"/>
      <c r="O21" s="89"/>
      <c r="P21" s="129" t="s">
        <v>141</v>
      </c>
      <c r="Q21" s="116">
        <f>온수기!Q21+보일러!Q21</f>
        <v>44828793</v>
      </c>
      <c r="R21" s="116">
        <f>온수기!R21+보일러!R21</f>
        <v>59740667823</v>
      </c>
      <c r="S21" s="116">
        <f>온수기!S21+보일러!S21</f>
        <v>2254321.87</v>
      </c>
      <c r="T21" s="130">
        <f t="shared" si="1"/>
        <v>19.885710907821693</v>
      </c>
      <c r="U21" s="78"/>
    </row>
    <row r="22" spans="1:21" hidden="1">
      <c r="A22" s="129" t="s">
        <v>156</v>
      </c>
      <c r="B22" s="131">
        <f>SUM(F20:F22)</f>
        <v>7341372.1380952382</v>
      </c>
      <c r="C22" s="131">
        <f>AVERAGE(F20:F22)</f>
        <v>2447124.0460317461</v>
      </c>
      <c r="D22" s="90">
        <f>C22/C19-1</f>
        <v>0.63255830534930291</v>
      </c>
      <c r="E22" s="286">
        <f>C22/C10-1</f>
        <v>0.34457026268266233</v>
      </c>
      <c r="F22" s="78">
        <f>Q22/21</f>
        <v>2691291.8095238097</v>
      </c>
      <c r="G22" s="90">
        <f t="shared" si="3"/>
        <v>0.26073276164272374</v>
      </c>
      <c r="H22" s="90">
        <f t="shared" si="4"/>
        <v>0.75529524668788439</v>
      </c>
      <c r="I22" s="130">
        <f t="shared" si="0"/>
        <v>20.261296460985786</v>
      </c>
      <c r="J22" s="130">
        <f t="shared" si="5"/>
        <v>1.5975526002997675E-2</v>
      </c>
      <c r="K22" s="78">
        <f>R20+R21+R22</f>
        <v>199362749655</v>
      </c>
      <c r="L22" s="87">
        <f>U22/U19-1</f>
        <v>0.62948790036772939</v>
      </c>
      <c r="M22" s="87">
        <f>U22/U10-1</f>
        <v>0.32263262479654142</v>
      </c>
      <c r="N22" s="88">
        <f>AVERAGE(T20:T22)</f>
        <v>19.913818985345699</v>
      </c>
      <c r="O22" s="89">
        <f>N22/N19-1</f>
        <v>-5.2736296045339248E-3</v>
      </c>
      <c r="P22" s="129" t="s">
        <v>156</v>
      </c>
      <c r="Q22" s="116">
        <f>온수기!Q22+보일러!Q22</f>
        <v>56517128</v>
      </c>
      <c r="R22" s="116">
        <f>온수기!R22+보일러!R22</f>
        <v>73653129329</v>
      </c>
      <c r="S22" s="116">
        <f>온수기!S22+보일러!S22</f>
        <v>2789413.21</v>
      </c>
      <c r="T22" s="130">
        <f t="shared" ref="T22:T23" si="6">Q22/S22</f>
        <v>20.261296460985786</v>
      </c>
      <c r="U22" s="85">
        <f>Q20+Q21+Q22</f>
        <v>151653439</v>
      </c>
    </row>
    <row r="23" spans="1:21" hidden="1">
      <c r="A23" s="129" t="s">
        <v>189</v>
      </c>
      <c r="B23" s="131"/>
      <c r="C23" s="131"/>
      <c r="F23" s="78">
        <f>Q23/21</f>
        <v>2033240.2857142857</v>
      </c>
      <c r="G23" s="90">
        <f t="shared" ref="G23" si="7">F23/F22-1</f>
        <v>-0.24451139838528246</v>
      </c>
      <c r="H23" s="90">
        <f t="shared" ref="H23" si="8">F23/F11-1</f>
        <v>-6.1236293538315945E-3</v>
      </c>
      <c r="I23" s="130">
        <f t="shared" si="0"/>
        <v>18.421314147644626</v>
      </c>
      <c r="J23" s="130">
        <f t="shared" si="5"/>
        <v>-9.0584975691737624E-3</v>
      </c>
      <c r="K23" s="78"/>
      <c r="O23" s="89"/>
      <c r="P23" s="129" t="s">
        <v>189</v>
      </c>
      <c r="Q23" s="116">
        <f>온수기!Q23+보일러!Q23</f>
        <v>42698046</v>
      </c>
      <c r="R23" s="116">
        <f>온수기!R23+보일러!R23</f>
        <v>55163869492</v>
      </c>
      <c r="S23" s="116">
        <f>온수기!S23+보일러!S23</f>
        <v>2317861.02</v>
      </c>
      <c r="T23" s="130">
        <f t="shared" si="6"/>
        <v>18.421314147644626</v>
      </c>
      <c r="U23" s="78"/>
    </row>
    <row r="24" spans="1:21" hidden="1">
      <c r="A24" s="129" t="s">
        <v>204</v>
      </c>
      <c r="B24" s="131"/>
      <c r="C24" s="131"/>
      <c r="F24" s="78">
        <f>Q24/22</f>
        <v>1760688.2727272727</v>
      </c>
      <c r="G24" s="90">
        <f t="shared" ref="G24" si="9">F24/F23-1</f>
        <v>-0.13404810779226928</v>
      </c>
      <c r="H24" s="90">
        <f t="shared" ref="H24" si="10">F24/F12-1</f>
        <v>-4.791280442099155E-2</v>
      </c>
      <c r="I24" s="130">
        <f t="shared" si="0"/>
        <v>18.842927098161969</v>
      </c>
      <c r="J24" s="130">
        <f t="shared" si="5"/>
        <v>5.9383367389561625E-2</v>
      </c>
      <c r="K24" s="78"/>
      <c r="O24" s="89"/>
      <c r="P24" s="129" t="s">
        <v>204</v>
      </c>
      <c r="Q24" s="116">
        <f>온수기!Q24+보일러!Q24</f>
        <v>38735142</v>
      </c>
      <c r="R24" s="116">
        <f>온수기!R24+보일러!R24</f>
        <v>50965543499</v>
      </c>
      <c r="S24" s="116">
        <f>온수기!S24+보일러!S24</f>
        <v>2055686.0300000003</v>
      </c>
      <c r="T24" s="130">
        <f t="shared" ref="T24" si="11">Q24/S24</f>
        <v>18.842927098161969</v>
      </c>
      <c r="U24" s="78"/>
    </row>
    <row r="25" spans="1:21" s="79" customFormat="1" ht="13.2" hidden="1">
      <c r="A25" s="129" t="s">
        <v>219</v>
      </c>
      <c r="B25" s="131">
        <f>SUM(F23:F25)</f>
        <v>6394886.7689678743</v>
      </c>
      <c r="C25" s="131">
        <f>AVERAGE(F23:F25)</f>
        <v>2131628.9229892916</v>
      </c>
      <c r="D25" s="90">
        <f>C25/C22-1</f>
        <v>-0.1289248591848301</v>
      </c>
      <c r="E25" s="286">
        <f>C25/C13-1</f>
        <v>0.14063058893897562</v>
      </c>
      <c r="F25" s="78">
        <f>Q25/19</f>
        <v>2600958.210526316</v>
      </c>
      <c r="G25" s="90">
        <f t="shared" ref="G25" si="12">F25/F24-1</f>
        <v>0.47723946982249221</v>
      </c>
      <c r="H25" s="90">
        <f t="shared" ref="H25" si="13">F25/F13-1</f>
        <v>0.51979484866364056</v>
      </c>
      <c r="I25" s="130">
        <f t="shared" si="0"/>
        <v>19.070413486270997</v>
      </c>
      <c r="J25" s="130">
        <f t="shared" si="5"/>
        <v>0.19629274421585174</v>
      </c>
      <c r="K25" s="78">
        <f>R23+R24+R25</f>
        <v>171731027703</v>
      </c>
      <c r="L25" s="90">
        <f>U25/U22-1</f>
        <v>-0.13716830384571765</v>
      </c>
      <c r="M25" s="90">
        <f>U25/U13-1</f>
        <v>0.11010182235801169</v>
      </c>
      <c r="N25" s="88">
        <f>AVERAGE(T23:T25)</f>
        <v>18.778218244025865</v>
      </c>
      <c r="O25" s="91">
        <f>N25/N22-1</f>
        <v>-5.7025763976036314E-2</v>
      </c>
      <c r="P25" s="129" t="s">
        <v>219</v>
      </c>
      <c r="Q25" s="116">
        <f>온수기!Q25+보일러!Q25</f>
        <v>49418206</v>
      </c>
      <c r="R25" s="116">
        <f>온수기!R25+보일러!R25</f>
        <v>65601614712</v>
      </c>
      <c r="S25" s="116">
        <f>온수기!S25+보일러!S25</f>
        <v>2591354.7199999997</v>
      </c>
      <c r="T25" s="130">
        <f t="shared" ref="T25" si="14">Q25/S25</f>
        <v>19.070413486270997</v>
      </c>
      <c r="U25" s="85">
        <f>Q23+Q24+Q25</f>
        <v>130851394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2251709.0526315789</v>
      </c>
      <c r="G26" s="90">
        <f t="shared" ref="G26" si="15">F26/F25-1</f>
        <v>-0.13427711236624018</v>
      </c>
      <c r="H26" s="90">
        <f t="shared" ref="H26" si="16">F26/F14-1</f>
        <v>0.53581117601253547</v>
      </c>
      <c r="I26" s="130">
        <f t="shared" si="0"/>
        <v>19.175201319464474</v>
      </c>
      <c r="J26" s="130">
        <f t="shared" si="5"/>
        <v>0.11452791647886573</v>
      </c>
      <c r="K26" s="78"/>
      <c r="L26" s="90"/>
      <c r="M26" s="90"/>
      <c r="P26" s="129" t="s">
        <v>312</v>
      </c>
      <c r="Q26" s="116">
        <f>온수기!Q26+보일러!Q26</f>
        <v>42782472</v>
      </c>
      <c r="R26" s="116">
        <f>온수기!R26+보일러!R26</f>
        <v>57626936504</v>
      </c>
      <c r="S26" s="116">
        <f>온수기!S26+보일러!S26</f>
        <v>2231135.48</v>
      </c>
      <c r="T26" s="130">
        <f t="shared" ref="T26" si="17">Q26/S26</f>
        <v>19.175201319464474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1794328.4545454546</v>
      </c>
      <c r="G27" s="90">
        <f t="shared" ref="G27" si="18">F27/F26-1</f>
        <v>-0.20312597560132484</v>
      </c>
      <c r="H27" s="90">
        <f t="shared" ref="H27" si="19">F27/F15-1</f>
        <v>0.97199380195530738</v>
      </c>
      <c r="I27" s="130">
        <f t="shared" si="0"/>
        <v>20.825883385522953</v>
      </c>
      <c r="J27" s="130">
        <f t="shared" si="5"/>
        <v>7.4039782445747937E-2</v>
      </c>
      <c r="K27" s="78"/>
      <c r="L27" s="90"/>
      <c r="M27" s="90"/>
      <c r="P27" s="129" t="s">
        <v>375</v>
      </c>
      <c r="Q27" s="116">
        <f>온수기!Q27+보일러!Q27</f>
        <v>39475226</v>
      </c>
      <c r="R27" s="116">
        <f>온수기!R27+보일러!R27</f>
        <v>52286968895</v>
      </c>
      <c r="S27" s="116">
        <f>온수기!S27+보일러!S27</f>
        <v>1895488.67</v>
      </c>
      <c r="T27" s="130">
        <f t="shared" ref="T27" si="20">Q27/S27</f>
        <v>20.825883385522953</v>
      </c>
      <c r="U27" s="78"/>
    </row>
    <row r="28" spans="1:21" s="79" customFormat="1" ht="13.2" hidden="1">
      <c r="A28" s="123" t="s">
        <v>413</v>
      </c>
      <c r="B28" s="131">
        <f>SUM(F26:F28)</f>
        <v>5145756.9282296654</v>
      </c>
      <c r="C28" s="131">
        <f>AVERAGE(F26:F28)</f>
        <v>1715252.3094098885</v>
      </c>
      <c r="D28" s="90">
        <f>C28/C25-1</f>
        <v>-0.19533259709926298</v>
      </c>
      <c r="E28" s="286">
        <f>C28/C16-1</f>
        <v>0.41576430955747767</v>
      </c>
      <c r="F28" s="78">
        <f>Q28/19</f>
        <v>1099719.4210526317</v>
      </c>
      <c r="G28" s="90">
        <f t="shared" ref="G28" si="21">F28/F27-1</f>
        <v>-0.38711364785706615</v>
      </c>
      <c r="H28" s="90">
        <f t="shared" ref="H28" si="22">F28/F16-1</f>
        <v>-0.12621633139997668</v>
      </c>
      <c r="I28" s="130">
        <f t="shared" si="0"/>
        <v>18.111454132876105</v>
      </c>
      <c r="J28" s="130">
        <f t="shared" si="5"/>
        <v>-0.17485312158547017</v>
      </c>
      <c r="K28" s="78">
        <f>R26+R27+R28</f>
        <v>137212387280</v>
      </c>
      <c r="L28" s="90">
        <f>U28/U25-1</f>
        <v>-0.21168308684583059</v>
      </c>
      <c r="M28" s="90">
        <f>U28/U16-1</f>
        <v>0.33913265946019955</v>
      </c>
      <c r="N28" s="88">
        <f>AVERAGE(T26:T28)</f>
        <v>19.370846279287843</v>
      </c>
      <c r="O28" s="91">
        <f>N28/N25-1</f>
        <v>3.1559332603374957E-2</v>
      </c>
      <c r="P28" s="129" t="s">
        <v>413</v>
      </c>
      <c r="Q28" s="116">
        <f>온수기!Q28+보일러!Q28</f>
        <v>20894669</v>
      </c>
      <c r="R28" s="116">
        <f>온수기!R28+보일러!R28</f>
        <v>27298481881</v>
      </c>
      <c r="S28" s="116">
        <f>온수기!S28+보일러!S28</f>
        <v>1153671.53</v>
      </c>
      <c r="T28" s="130">
        <f t="shared" ref="T28" si="23">Q28/S28</f>
        <v>18.111454132876105</v>
      </c>
      <c r="U28" s="85">
        <f>Q26+Q27+Q28</f>
        <v>103152367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2145552.2272727271</v>
      </c>
      <c r="G29" s="190">
        <f t="shared" ref="G29" si="24">F29/F28-1</f>
        <v>0.95099966973306982</v>
      </c>
      <c r="H29" s="190">
        <f t="shared" ref="H29" si="25">F29/F17-1</f>
        <v>0.7622819063087023</v>
      </c>
      <c r="I29" s="130">
        <f t="shared" si="0"/>
        <v>21.030381730520144</v>
      </c>
      <c r="J29" s="130">
        <f t="shared" si="5"/>
        <v>-3.3218910105574651E-2</v>
      </c>
      <c r="K29" s="136"/>
      <c r="L29" s="190"/>
      <c r="M29" s="190"/>
      <c r="N29" s="191"/>
      <c r="O29" s="192"/>
      <c r="P29" s="129" t="s">
        <v>427</v>
      </c>
      <c r="Q29" s="116">
        <f>온수기!Q29+보일러!Q29</f>
        <v>47202149</v>
      </c>
      <c r="R29" s="116">
        <f>온수기!R29+보일러!R29</f>
        <v>62117762433</v>
      </c>
      <c r="S29" s="116">
        <f>온수기!S29+보일러!S29</f>
        <v>2244474.19</v>
      </c>
      <c r="T29" s="130">
        <f t="shared" ref="T29" si="26">Q29/S29</f>
        <v>21.030381730520144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2902169.8421052634</v>
      </c>
      <c r="G30" s="190">
        <f t="shared" ref="G30" si="27">F30/F29-1</f>
        <v>0.35264469688267375</v>
      </c>
      <c r="H30" s="190">
        <f t="shared" ref="H30" si="28">F30/F18-1</f>
        <v>0.69341131872743422</v>
      </c>
      <c r="I30" s="130">
        <f t="shared" si="0"/>
        <v>19.05596796412642</v>
      </c>
      <c r="J30" s="130">
        <f t="shared" si="5"/>
        <v>-7.12801856676748E-2</v>
      </c>
      <c r="K30" s="136"/>
      <c r="L30" s="190"/>
      <c r="M30" s="190"/>
      <c r="N30" s="191"/>
      <c r="O30" s="192"/>
      <c r="P30" s="129" t="s">
        <v>466</v>
      </c>
      <c r="Q30" s="116">
        <f>온수기!Q30+보일러!Q30</f>
        <v>55141227</v>
      </c>
      <c r="R30" s="116">
        <f>온수기!R30+보일러!R30</f>
        <v>73499742012</v>
      </c>
      <c r="S30" s="116">
        <f>온수기!S30+보일러!S30</f>
        <v>2893646.08</v>
      </c>
      <c r="T30" s="130">
        <f t="shared" ref="T30" si="29">Q30/S30</f>
        <v>19.05596796412642</v>
      </c>
      <c r="U30" s="85"/>
    </row>
    <row r="31" spans="1:21" s="79" customFormat="1" ht="13.2" hidden="1">
      <c r="A31" s="129" t="s">
        <v>505</v>
      </c>
      <c r="B31" s="188">
        <f>SUM(F29:F31)</f>
        <v>7761439.9693779908</v>
      </c>
      <c r="C31" s="188">
        <f>AVERAGE(F29:F31)</f>
        <v>2587146.6564593301</v>
      </c>
      <c r="D31" s="190">
        <f>C31/C28-1</f>
        <v>0.50831842188243792</v>
      </c>
      <c r="E31" s="287">
        <f>C31/C19-1</f>
        <v>0.72597207240411632</v>
      </c>
      <c r="F31" s="136">
        <f>Q31/20</f>
        <v>2713717.9</v>
      </c>
      <c r="G31" s="190">
        <f t="shared" ref="G31" si="30">F31/F30-1</f>
        <v>-6.4934842672253246E-2</v>
      </c>
      <c r="H31" s="190">
        <f t="shared" ref="H31" si="31">F31/F19-1</f>
        <v>0.73337895728397373</v>
      </c>
      <c r="I31" s="130">
        <f t="shared" si="0"/>
        <v>19.506813333377135</v>
      </c>
      <c r="J31" s="130">
        <f t="shared" si="5"/>
        <v>9.6710531874381722E-2</v>
      </c>
      <c r="K31" s="136">
        <f>R29+R30+R31</f>
        <v>207677448742</v>
      </c>
      <c r="L31" s="190">
        <f>U31/U28-1</f>
        <v>0.51831449490635539</v>
      </c>
      <c r="M31" s="190">
        <f>U31/U19-1</f>
        <v>0.68282832370198698</v>
      </c>
      <c r="N31" s="191">
        <f>AVERAGE(T29:T31)</f>
        <v>19.864387676007897</v>
      </c>
      <c r="O31" s="192">
        <f>N31/N28-1</f>
        <v>2.5478566584247408E-2</v>
      </c>
      <c r="P31" s="129" t="s">
        <v>505</v>
      </c>
      <c r="Q31" s="116">
        <f>온수기!Q31+보일러!Q31</f>
        <v>54274358</v>
      </c>
      <c r="R31" s="116">
        <f>온수기!R31+보일러!R31</f>
        <v>72059944297</v>
      </c>
      <c r="S31" s="116">
        <f>온수기!S31+보일러!S31</f>
        <v>2782328.26</v>
      </c>
      <c r="T31" s="130">
        <f t="shared" ref="T31" si="32">Q31/S31</f>
        <v>19.506813333377135</v>
      </c>
      <c r="U31" s="85">
        <f>Q29+Q30+Q31</f>
        <v>156617734</v>
      </c>
    </row>
    <row r="32" spans="1:21" s="79" customFormat="1" ht="13.2" hidden="1">
      <c r="A32" s="129" t="s">
        <v>591</v>
      </c>
      <c r="B32" s="188"/>
      <c r="C32" s="188"/>
      <c r="D32" s="190"/>
      <c r="E32" s="287"/>
      <c r="F32" s="136">
        <f>Q32/21</f>
        <v>2250453.0476190476</v>
      </c>
      <c r="G32" s="190">
        <f t="shared" ref="G32" si="33">F32/F31-1</f>
        <v>-0.17071223666282787</v>
      </c>
      <c r="H32" s="190">
        <f t="shared" ref="H32" si="34">F32/F20-1</f>
        <v>-0.10532137657077512</v>
      </c>
      <c r="I32" s="130">
        <f t="shared" si="0"/>
        <v>19.043063793078275</v>
      </c>
      <c r="J32" s="130">
        <f t="shared" si="5"/>
        <v>-2.8139897050780349E-2</v>
      </c>
      <c r="K32" s="136"/>
      <c r="L32" s="190"/>
      <c r="M32" s="190"/>
      <c r="N32" s="191"/>
      <c r="O32" s="192"/>
      <c r="P32" s="129" t="s">
        <v>591</v>
      </c>
      <c r="Q32" s="116">
        <f>온수기!Q32+보일러!Q32</f>
        <v>47259514</v>
      </c>
      <c r="R32" s="116">
        <f>온수기!R32+보일러!R32</f>
        <v>64166656908</v>
      </c>
      <c r="S32" s="116">
        <f>온수기!S32+보일러!S32</f>
        <v>2481717.9900000002</v>
      </c>
      <c r="T32" s="130">
        <f t="shared" ref="T32" si="35">Q32/S32</f>
        <v>19.043063793078275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2722450.7142857141</v>
      </c>
      <c r="G33" s="190">
        <f t="shared" ref="G33" si="36">F33/F32-1</f>
        <v>0.20973450975395136</v>
      </c>
      <c r="H33" s="190">
        <f t="shared" ref="H33" si="37">F33/F21-1</f>
        <v>0.27532911715914365</v>
      </c>
      <c r="I33" s="130">
        <f t="shared" si="0"/>
        <v>18.853298369610712</v>
      </c>
      <c r="J33" s="130">
        <f t="shared" si="5"/>
        <v>-5.1917305999098051E-2</v>
      </c>
      <c r="K33" s="136"/>
      <c r="L33" s="190"/>
      <c r="M33" s="190"/>
      <c r="N33" s="191"/>
      <c r="O33" s="192"/>
      <c r="P33" s="129" t="s">
        <v>624</v>
      </c>
      <c r="Q33" s="116">
        <f>온수기!Q33+보일러!Q33</f>
        <v>57171465</v>
      </c>
      <c r="R33" s="116">
        <f>온수기!R33+보일러!R33</f>
        <v>78129370275</v>
      </c>
      <c r="S33" s="116">
        <f>온수기!S33+보일러!S33</f>
        <v>3032438.35</v>
      </c>
      <c r="T33" s="130">
        <f t="shared" ref="T33" si="38">Q33/S33</f>
        <v>18.853298369610712</v>
      </c>
      <c r="U33" s="85"/>
    </row>
    <row r="34" spans="1:21" s="79" customFormat="1" ht="13.2" hidden="1">
      <c r="A34" s="129" t="s">
        <v>652</v>
      </c>
      <c r="B34" s="188">
        <f>SUM(F32:F34)</f>
        <v>8153141.6566416034</v>
      </c>
      <c r="C34" s="188">
        <f>AVERAGE(F32:F34)</f>
        <v>2717713.8855472011</v>
      </c>
      <c r="D34" s="190">
        <f>C34/C31-1</f>
        <v>5.0467656621584922E-2</v>
      </c>
      <c r="E34" s="287">
        <f>C34/C22-1</f>
        <v>0.11057463145533775</v>
      </c>
      <c r="F34" s="136">
        <f>Q34/19</f>
        <v>3180237.8947368423</v>
      </c>
      <c r="G34" s="190">
        <f t="shared" ref="G34" si="39">F34/F33-1</f>
        <v>0.16815260531584575</v>
      </c>
      <c r="H34" s="190">
        <f t="shared" ref="H34" si="40">F34/F22-1</f>
        <v>0.18167709777244312</v>
      </c>
      <c r="I34" s="130">
        <f t="shared" si="0"/>
        <v>19.492383399958943</v>
      </c>
      <c r="J34" s="130">
        <f t="shared" si="5"/>
        <v>-3.7949845041131858E-2</v>
      </c>
      <c r="K34" s="136">
        <f>R32+R33+R34</f>
        <v>225328894364</v>
      </c>
      <c r="L34" s="190">
        <f>U34/U31-1</f>
        <v>5.2597906952222884E-2</v>
      </c>
      <c r="M34" s="190">
        <f>U34/U22-1</f>
        <v>8.7054141911018679E-2</v>
      </c>
      <c r="N34" s="191">
        <f>AVERAGE(T32:T34)</f>
        <v>19.129581854215974</v>
      </c>
      <c r="O34" s="192">
        <f>N34/N31-1</f>
        <v>-3.6991113633943917E-2</v>
      </c>
      <c r="P34" s="129" t="s">
        <v>652</v>
      </c>
      <c r="Q34" s="116">
        <f>온수기!Q34+보일러!Q34</f>
        <v>60424520</v>
      </c>
      <c r="R34" s="116">
        <f>온수기!R34+보일러!R34</f>
        <v>83032867181</v>
      </c>
      <c r="S34" s="116">
        <f>온수기!S34+보일러!S34</f>
        <v>3099904.1399999997</v>
      </c>
      <c r="T34" s="130">
        <f t="shared" ref="T34" si="41">Q34/S34</f>
        <v>19.492383399958943</v>
      </c>
      <c r="U34" s="85">
        <f>Q32+Q33+Q34</f>
        <v>164855499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2376197.1304347827</v>
      </c>
      <c r="G35" s="190">
        <f t="shared" ref="G35" si="42">F35/F34-1</f>
        <v>-0.25282409395621397</v>
      </c>
      <c r="H35" s="190">
        <f t="shared" ref="H35" si="43">F35/F23-1</f>
        <v>0.1686750194407125</v>
      </c>
      <c r="I35" s="130">
        <f t="shared" si="0"/>
        <v>18.448439801538694</v>
      </c>
      <c r="J35" s="130">
        <f t="shared" si="5"/>
        <v>1.472514592425922E-3</v>
      </c>
      <c r="K35" s="136"/>
      <c r="L35" s="190"/>
      <c r="M35" s="190"/>
      <c r="N35" s="191"/>
      <c r="O35" s="192"/>
      <c r="P35" s="129" t="s">
        <v>660</v>
      </c>
      <c r="Q35" s="116">
        <f>온수기!Q35+보일러!Q35</f>
        <v>54652534</v>
      </c>
      <c r="R35" s="116">
        <f>온수기!R35+보일러!R35</f>
        <v>75677427085</v>
      </c>
      <c r="S35" s="116">
        <f>온수기!S35+보일러!S35</f>
        <v>2962447.48</v>
      </c>
      <c r="T35" s="130">
        <f t="shared" ref="T35" si="44">Q35/S35</f>
        <v>18.448439801538694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2327492.4761904762</v>
      </c>
      <c r="G36" s="190">
        <f t="shared" ref="G36" si="45">F36/F35-1</f>
        <v>-2.049689128081511E-2</v>
      </c>
      <c r="H36" s="190">
        <f t="shared" ref="H36" si="46">F36/F24-1</f>
        <v>0.32192195077509922</v>
      </c>
      <c r="I36" s="130">
        <f t="shared" si="0"/>
        <v>20.069214799528439</v>
      </c>
      <c r="J36" s="130">
        <f t="shared" si="5"/>
        <v>6.5079469605658469E-2</v>
      </c>
      <c r="K36" s="136"/>
      <c r="L36" s="190"/>
      <c r="M36" s="190"/>
      <c r="N36" s="191"/>
      <c r="O36" s="192"/>
      <c r="P36" s="129" t="s">
        <v>666</v>
      </c>
      <c r="Q36" s="116">
        <f>온수기!Q36+보일러!Q36</f>
        <v>48877342</v>
      </c>
      <c r="R36" s="116">
        <f>온수기!R36+보일러!R36</f>
        <v>66619934735</v>
      </c>
      <c r="S36" s="116">
        <f>온수기!S36+보일러!S36</f>
        <v>2435438.6799999997</v>
      </c>
      <c r="T36" s="130">
        <f t="shared" ref="T36" si="47">Q36/S36</f>
        <v>20.069214799528439</v>
      </c>
      <c r="U36" s="85"/>
    </row>
    <row r="37" spans="1:21" s="79" customFormat="1" ht="13.2" hidden="1">
      <c r="A37" s="129" t="s">
        <v>702</v>
      </c>
      <c r="B37" s="188">
        <f>SUM(F35:F37)</f>
        <v>7303549.9955141479</v>
      </c>
      <c r="C37" s="188">
        <f>AVERAGE(F35:F37)</f>
        <v>2434516.6651713825</v>
      </c>
      <c r="D37" s="190">
        <f>C37/C34-1</f>
        <v>-0.1042042070292466</v>
      </c>
      <c r="E37" s="287">
        <f>C37/C25-1</f>
        <v>0.14209215258598396</v>
      </c>
      <c r="F37" s="136">
        <f>Q37/18</f>
        <v>2599860.388888889</v>
      </c>
      <c r="G37" s="190">
        <f t="shared" ref="G37" si="48">F37/F36-1</f>
        <v>0.11702203787322696</v>
      </c>
      <c r="H37" s="190">
        <f t="shared" ref="H37" si="49">F37/F25-1</f>
        <v>-4.2208353559236578E-4</v>
      </c>
      <c r="I37" s="130">
        <f t="shared" si="0"/>
        <v>19.721330557864942</v>
      </c>
      <c r="J37" s="130">
        <f t="shared" si="5"/>
        <v>3.4132299861381998E-2</v>
      </c>
      <c r="K37" s="136">
        <f>R35+R36+R37</f>
        <v>204791617964</v>
      </c>
      <c r="L37" s="190">
        <f>U37/U34-1</f>
        <v>-8.8126487063679981E-2</v>
      </c>
      <c r="M37" s="190">
        <f>U37/U25-1</f>
        <v>0.1488403631374382</v>
      </c>
      <c r="N37" s="191">
        <f>AVERAGE(T35:T37)</f>
        <v>19.412995052977362</v>
      </c>
      <c r="O37" s="192">
        <f>N37/N34-1</f>
        <v>1.4815441389218087E-2</v>
      </c>
      <c r="P37" s="129" t="s">
        <v>702</v>
      </c>
      <c r="Q37" s="116">
        <f>온수기!Q37+보일러!Q37</f>
        <v>46797487</v>
      </c>
      <c r="R37" s="116">
        <f>온수기!R37+보일러!R37</f>
        <v>62494256144</v>
      </c>
      <c r="S37" s="116">
        <f>온수기!S37+보일러!S37</f>
        <v>2372937.61</v>
      </c>
      <c r="T37" s="130">
        <f t="shared" ref="T37" si="50">Q37/S37</f>
        <v>19.721330557864942</v>
      </c>
      <c r="U37" s="85">
        <f>Q35+Q36+Q37</f>
        <v>150327363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2662221.5499999998</v>
      </c>
      <c r="G38" s="190">
        <f t="shared" ref="G38" si="51">F38/F37-1</f>
        <v>2.3986349950799513E-2</v>
      </c>
      <c r="H38" s="190">
        <f t="shared" ref="H38" si="52">F38/F26-1</f>
        <v>0.18231151883883667</v>
      </c>
      <c r="I38" s="130">
        <f t="shared" si="0"/>
        <v>19.63329082548621</v>
      </c>
      <c r="J38" s="130">
        <f t="shared" si="5"/>
        <v>2.3889684305777648E-2</v>
      </c>
      <c r="K38" s="136"/>
      <c r="L38" s="190"/>
      <c r="M38" s="190"/>
      <c r="N38" s="191"/>
      <c r="O38" s="192"/>
      <c r="P38" s="129" t="s">
        <v>728</v>
      </c>
      <c r="Q38" s="116">
        <f>온수기!Q38+보일러!Q38</f>
        <v>53244431</v>
      </c>
      <c r="R38" s="116">
        <f>온수기!R38+보일러!R38</f>
        <v>71574530332</v>
      </c>
      <c r="S38" s="116">
        <f>온수기!S38+보일러!S38</f>
        <v>2711946.33</v>
      </c>
      <c r="T38" s="130">
        <f t="shared" ref="T38" si="53">Q38/S38</f>
        <v>19.63329082548621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2547346.5714285714</v>
      </c>
      <c r="G39" s="190">
        <f t="shared" ref="G39" si="54">F39/F38-1</f>
        <v>-4.3150044582663805E-2</v>
      </c>
      <c r="H39" s="190">
        <f t="shared" ref="H39" si="55">F39/F27-1</f>
        <v>0.4196657055599522</v>
      </c>
      <c r="I39" s="130">
        <f t="shared" si="0"/>
        <v>18.97353375335063</v>
      </c>
      <c r="J39" s="130">
        <f t="shared" si="5"/>
        <v>-8.894458870637767E-2</v>
      </c>
      <c r="K39" s="136"/>
      <c r="L39" s="190"/>
      <c r="M39" s="190"/>
      <c r="N39" s="191"/>
      <c r="O39" s="192"/>
      <c r="P39" s="129" t="s">
        <v>762</v>
      </c>
      <c r="Q39" s="116">
        <f>온수기!Q39+보일러!Q39</f>
        <v>53494278</v>
      </c>
      <c r="R39" s="116">
        <f>온수기!R39+보일러!R39</f>
        <v>74385810845</v>
      </c>
      <c r="S39" s="116">
        <f>온수기!S39+보일러!S39</f>
        <v>2819415.65</v>
      </c>
      <c r="T39" s="130">
        <f t="shared" ref="T39" si="56">Q39/S39</f>
        <v>18.97353375335063</v>
      </c>
      <c r="U39" s="85"/>
    </row>
    <row r="40" spans="1:21" s="79" customFormat="1" ht="13.2" hidden="1">
      <c r="A40" s="129" t="s">
        <v>778</v>
      </c>
      <c r="B40" s="188">
        <f>SUM(F38:F40)</f>
        <v>6612864.0738095241</v>
      </c>
      <c r="C40" s="188">
        <f>AVERAGE(F38:F40)</f>
        <v>2204288.0246031745</v>
      </c>
      <c r="D40" s="190">
        <f>C40/C37-1</f>
        <v>-9.4568521079316792E-2</v>
      </c>
      <c r="E40" s="287">
        <f>C40/C28-1</f>
        <v>0.28511007535767896</v>
      </c>
      <c r="F40" s="136">
        <f>Q40/21</f>
        <v>1403295.9523809524</v>
      </c>
      <c r="G40" s="190">
        <f t="shared" ref="G40" si="57">F40/F39-1</f>
        <v>-0.44911463240984384</v>
      </c>
      <c r="H40" s="190">
        <f t="shared" ref="H40" si="58">F40/F28-1</f>
        <v>0.27604907717074112</v>
      </c>
      <c r="I40" s="130">
        <f t="shared" si="0"/>
        <v>18.572844994538826</v>
      </c>
      <c r="J40" s="130">
        <f t="shared" si="5"/>
        <v>2.5475086554491488E-2</v>
      </c>
      <c r="K40" s="136">
        <f>R38+R39+R40</f>
        <v>187800312146</v>
      </c>
      <c r="L40" s="190">
        <f>U40/U37-1</f>
        <v>-9.3924610385136553E-2</v>
      </c>
      <c r="M40" s="190">
        <f>U40/U28-1</f>
        <v>0.32045369351534125</v>
      </c>
      <c r="N40" s="191">
        <f>AVERAGE(T38:T40)</f>
        <v>19.059889857791887</v>
      </c>
      <c r="O40" s="192">
        <f>N40/N37-1</f>
        <v>-1.8189114777079074E-2</v>
      </c>
      <c r="P40" s="129" t="s">
        <v>778</v>
      </c>
      <c r="Q40" s="116">
        <f>온수기!Q40+보일러!Q40</f>
        <v>29469215</v>
      </c>
      <c r="R40" s="116">
        <f>온수기!R40+보일러!R40</f>
        <v>41839970969</v>
      </c>
      <c r="S40" s="116">
        <f>온수기!S40+보일러!S40</f>
        <v>1586682.87</v>
      </c>
      <c r="T40" s="130">
        <f t="shared" ref="T40" si="59">Q40/S40</f>
        <v>18.572844994538826</v>
      </c>
      <c r="U40" s="85">
        <f>Q38+Q39+Q40</f>
        <v>136207924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2031242.9444444445</v>
      </c>
      <c r="G41" s="190">
        <f t="shared" ref="G41" si="60">F41/F40-1</f>
        <v>0.44748008500848546</v>
      </c>
      <c r="H41" s="190">
        <f t="shared" ref="H41" si="61">F41/F29-1</f>
        <v>-5.3277324772272872E-2</v>
      </c>
      <c r="I41" s="130">
        <f t="shared" si="0"/>
        <v>18.799766980288748</v>
      </c>
      <c r="J41" s="130">
        <f t="shared" si="5"/>
        <v>-0.10606629869177497</v>
      </c>
      <c r="K41" s="193"/>
      <c r="L41" s="190"/>
      <c r="M41" s="190"/>
      <c r="N41" s="193"/>
      <c r="O41" s="193"/>
      <c r="P41" s="129" t="s">
        <v>792</v>
      </c>
      <c r="Q41" s="116">
        <f>온수기!Q41+보일러!Q41</f>
        <v>36562373</v>
      </c>
      <c r="R41" s="116">
        <f>온수기!R41+보일러!R41</f>
        <v>53404159903</v>
      </c>
      <c r="S41" s="116">
        <f>온수기!S41+보일러!S41</f>
        <v>1944831.18</v>
      </c>
      <c r="T41" s="130">
        <f t="shared" ref="T41" si="62">Q41/S41</f>
        <v>18.799766980288748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1676400.5</v>
      </c>
      <c r="G42" s="190">
        <f t="shared" ref="G42" si="63">F42/F41-1</f>
        <v>-0.1746922717516175</v>
      </c>
      <c r="H42" s="190">
        <f t="shared" ref="H42" si="64">F42/F30-1</f>
        <v>-0.42236306239612698</v>
      </c>
      <c r="I42" s="130">
        <f t="shared" si="0"/>
        <v>18.858394217323298</v>
      </c>
      <c r="J42" s="130">
        <f t="shared" si="5"/>
        <v>-1.0368077191096337E-2</v>
      </c>
      <c r="K42" s="193"/>
      <c r="L42" s="190"/>
      <c r="M42" s="190"/>
      <c r="N42" s="193"/>
      <c r="O42" s="193"/>
      <c r="P42" s="129" t="s">
        <v>826</v>
      </c>
      <c r="Q42" s="116">
        <f>온수기!Q42+보일러!Q42</f>
        <v>33528010</v>
      </c>
      <c r="R42" s="116">
        <f>온수기!R42+보일러!R42</f>
        <v>48519025281</v>
      </c>
      <c r="S42" s="116">
        <f>온수기!S42+보일러!S42</f>
        <v>1777882.55</v>
      </c>
      <c r="T42" s="130">
        <f t="shared" ref="T42" si="65">Q42/S42</f>
        <v>18.858394217323298</v>
      </c>
      <c r="U42" s="78"/>
    </row>
    <row r="43" spans="1:21" s="79" customFormat="1" ht="13.2">
      <c r="A43" s="129" t="s">
        <v>835</v>
      </c>
      <c r="B43" s="188">
        <f>SUM(F41:F43)</f>
        <v>5824974.2444444448</v>
      </c>
      <c r="C43" s="188">
        <f>AVERAGE(F41:F43)</f>
        <v>1941658.0814814817</v>
      </c>
      <c r="D43" s="190">
        <f>C43/C40-1</f>
        <v>-0.11914502106364822</v>
      </c>
      <c r="E43" s="287">
        <f>C43/C31-1</f>
        <v>-0.24949825452154284</v>
      </c>
      <c r="F43" s="136">
        <f>Q43/20</f>
        <v>2117330.7999999998</v>
      </c>
      <c r="G43" s="190">
        <f t="shared" ref="G43" si="66">F43/F42-1</f>
        <v>0.2630220523079061</v>
      </c>
      <c r="H43" s="190">
        <f t="shared" ref="H43" si="67">F43/F31-1</f>
        <v>-0.21976753737004129</v>
      </c>
      <c r="I43" s="130">
        <f t="shared" si="0"/>
        <v>18.415293103984443</v>
      </c>
      <c r="J43" s="130">
        <f t="shared" si="5"/>
        <v>-5.5955845310984076E-2</v>
      </c>
      <c r="K43" s="136">
        <f>R41+R42+R43</f>
        <v>163234899368</v>
      </c>
      <c r="L43" s="190">
        <f>U43/U40-1</f>
        <v>-0.17451939873923927</v>
      </c>
      <c r="M43" s="190">
        <f>K43/K31-1</f>
        <v>-0.21399795520991527</v>
      </c>
      <c r="N43" s="191">
        <f>AVERAGE(T41:T43)</f>
        <v>18.691151433865496</v>
      </c>
      <c r="O43" s="192">
        <f>N43/N40-1</f>
        <v>-1.9346304027861305E-2</v>
      </c>
      <c r="P43" s="129" t="s">
        <v>835</v>
      </c>
      <c r="Q43" s="116">
        <f>온수기!Q43+보일러!Q43</f>
        <v>42346616</v>
      </c>
      <c r="R43" s="116">
        <f>온수기!R43+보일러!R43</f>
        <v>61311714184</v>
      </c>
      <c r="S43" s="116">
        <f>온수기!S43+보일러!S43</f>
        <v>2299535.27</v>
      </c>
      <c r="T43" s="130">
        <f t="shared" ref="T43" si="68">Q43/S43</f>
        <v>18.415293103984443</v>
      </c>
      <c r="U43" s="85">
        <f>Q41+Q42+Q43</f>
        <v>112436999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2738752.1818181816</v>
      </c>
      <c r="G44" s="190">
        <f t="shared" ref="G44" si="69">F44/F43-1</f>
        <v>0.29349281738034594</v>
      </c>
      <c r="H44" s="190">
        <f t="shared" ref="H44" si="70">F44/F32-1</f>
        <v>0.21697814789593095</v>
      </c>
      <c r="I44" s="130">
        <f t="shared" si="0"/>
        <v>18.431274339418639</v>
      </c>
      <c r="J44" s="130">
        <f t="shared" si="5"/>
        <v>-3.2126629428296472E-2</v>
      </c>
      <c r="K44" s="136"/>
      <c r="L44" s="190"/>
      <c r="M44" s="190"/>
      <c r="N44" s="191"/>
      <c r="O44" s="192"/>
      <c r="P44" s="129" t="s">
        <v>843</v>
      </c>
      <c r="Q44" s="116">
        <f>온수기!Q44+보일러!Q44</f>
        <v>60252548</v>
      </c>
      <c r="R44" s="116">
        <f>온수기!R44+보일러!R44</f>
        <v>87349261029</v>
      </c>
      <c r="S44" s="116">
        <f>온수기!S44+보일러!S44</f>
        <v>3269038.6399999997</v>
      </c>
      <c r="T44" s="130">
        <f t="shared" ref="T44" si="71">Q44/S44</f>
        <v>18.431274339418639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2765098.25</v>
      </c>
      <c r="G45" s="190">
        <f t="shared" ref="G45" si="72">F45/F44-1</f>
        <v>9.6197342558859145E-3</v>
      </c>
      <c r="H45" s="190">
        <f t="shared" ref="H45" si="73">F45/F33-1</f>
        <v>1.5665126825069153E-2</v>
      </c>
      <c r="I45" s="130">
        <f t="shared" si="0"/>
        <v>18.294699322711292</v>
      </c>
      <c r="J45" s="130">
        <f t="shared" si="5"/>
        <v>-2.9628717264657323E-2</v>
      </c>
      <c r="K45" s="136"/>
      <c r="L45" s="190"/>
      <c r="M45" s="190"/>
      <c r="N45" s="191"/>
      <c r="O45" s="192"/>
      <c r="P45" s="129" t="s">
        <v>849</v>
      </c>
      <c r="Q45" s="116">
        <f>온수기!Q45+보일러!Q45</f>
        <v>55301965</v>
      </c>
      <c r="R45" s="116">
        <f>온수기!R45+보일러!R45</f>
        <v>77759063727</v>
      </c>
      <c r="S45" s="116">
        <f>온수기!S45+보일러!S45</f>
        <v>3022840.88</v>
      </c>
      <c r="T45" s="130">
        <f t="shared" ref="T45" si="74">Q45/S45</f>
        <v>18.294699322711292</v>
      </c>
      <c r="U45" s="85"/>
    </row>
    <row r="46" spans="1:21" s="79" customFormat="1" ht="13.2">
      <c r="A46" s="129" t="s">
        <v>921</v>
      </c>
      <c r="B46" s="188">
        <f>SUM(F44:F46)</f>
        <v>7723659.3265550239</v>
      </c>
      <c r="C46" s="188">
        <f>AVERAGE(F44:F46)</f>
        <v>2574553.1088516745</v>
      </c>
      <c r="D46" s="190">
        <f>C46/C43-1</f>
        <v>0.32595596176608765</v>
      </c>
      <c r="E46" s="287">
        <f>C46/C34-1</f>
        <v>-5.2676912553913602E-2</v>
      </c>
      <c r="F46" s="136">
        <f>Q46/19</f>
        <v>2219808.8947368423</v>
      </c>
      <c r="G46" s="190">
        <f t="shared" ref="G46" si="75">F46/F45-1</f>
        <v>-0.19720433270794546</v>
      </c>
      <c r="H46" s="190">
        <f t="shared" ref="H46" si="76">F46/F34-1</f>
        <v>-0.30199910566107935</v>
      </c>
      <c r="I46" s="130">
        <f t="shared" si="0"/>
        <v>17.287786175664174</v>
      </c>
      <c r="J46" s="130">
        <f t="shared" si="5"/>
        <v>-0.11310044436635758</v>
      </c>
      <c r="K46" s="136">
        <f>R44+R45+R46</f>
        <v>222912372454</v>
      </c>
      <c r="L46" s="190">
        <f>U46/U43-1</f>
        <v>0.40283788613034743</v>
      </c>
      <c r="M46" s="190">
        <f>K46/K34-1</f>
        <v>-1.0724420926223166E-2</v>
      </c>
      <c r="N46" s="191">
        <f>AVERAGE(T44:T46)</f>
        <v>18.004586612598036</v>
      </c>
      <c r="O46" s="192">
        <f>N46/N43-1</f>
        <v>-3.6732077405542296E-2</v>
      </c>
      <c r="P46" s="129" t="s">
        <v>954</v>
      </c>
      <c r="Q46" s="116">
        <f>온수기!Q46+보일러!Q46</f>
        <v>42176369</v>
      </c>
      <c r="R46" s="116">
        <f>온수기!R46+보일러!R46</f>
        <v>57804047698</v>
      </c>
      <c r="S46" s="116">
        <f>온수기!S46+보일러!S46</f>
        <v>2439662.8099999996</v>
      </c>
      <c r="T46" s="130">
        <f t="shared" ref="T46" si="77">Q46/S46</f>
        <v>17.287786175664174</v>
      </c>
      <c r="U46" s="85">
        <f t="shared" ref="U46:U51" si="78">Q44+Q45+Q46</f>
        <v>157730882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2911975.6956521738</v>
      </c>
      <c r="G47" s="190">
        <f t="shared" ref="G47" si="79">F47/F46-1</f>
        <v>0.3118136892578709</v>
      </c>
      <c r="H47" s="190">
        <f t="shared" ref="H47" si="80">F47/F35-1</f>
        <v>0.22547732187495639</v>
      </c>
      <c r="I47" s="130">
        <f t="shared" si="0"/>
        <v>18.042205163679867</v>
      </c>
      <c r="J47" s="130">
        <f t="shared" si="5"/>
        <v>-2.2019999643815069E-2</v>
      </c>
      <c r="K47" s="136"/>
      <c r="L47" s="190"/>
      <c r="M47" s="190"/>
      <c r="N47" s="191"/>
      <c r="O47" s="192"/>
      <c r="P47" s="129" t="s">
        <v>991</v>
      </c>
      <c r="Q47" s="116">
        <f>온수기!Q47+보일러!Q47</f>
        <v>66975441</v>
      </c>
      <c r="R47" s="116">
        <f>온수기!R47+보일러!R47</f>
        <v>91591788781</v>
      </c>
      <c r="S47" s="116">
        <f>온수기!S47+보일러!S47</f>
        <v>3712153.83</v>
      </c>
      <c r="T47" s="130">
        <f t="shared" ref="T47" si="81">Q47/S47</f>
        <v>18.042205163679867</v>
      </c>
      <c r="U47" s="85">
        <f t="shared" si="78"/>
        <v>164453775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2254770.75</v>
      </c>
      <c r="G48" s="190">
        <f t="shared" ref="G48" si="82">F48/F47-1</f>
        <v>-0.22569039523009637</v>
      </c>
      <c r="H48" s="190">
        <f t="shared" ref="H48" si="83">F48/F36-1</f>
        <v>-3.12446664959809E-2</v>
      </c>
      <c r="I48" s="130">
        <f t="shared" si="0"/>
        <v>17.973789708771047</v>
      </c>
      <c r="J48" s="130">
        <f t="shared" si="5"/>
        <v>-0.10440991895739871</v>
      </c>
      <c r="K48" s="136"/>
      <c r="L48" s="190"/>
      <c r="M48" s="190"/>
      <c r="N48" s="191"/>
      <c r="O48" s="192"/>
      <c r="P48" s="129" t="s">
        <v>1070</v>
      </c>
      <c r="Q48" s="116">
        <f>온수기!Q48+보일러!Q48</f>
        <v>45095415</v>
      </c>
      <c r="R48" s="116">
        <f>온수기!R48+보일러!R48</f>
        <v>62552067403</v>
      </c>
      <c r="S48" s="116">
        <f>온수기!S48+보일러!S48</f>
        <v>2508954.19</v>
      </c>
      <c r="T48" s="130">
        <f t="shared" ref="T48" si="84">Q48/S48</f>
        <v>17.973789708771047</v>
      </c>
      <c r="U48" s="85">
        <f t="shared" si="78"/>
        <v>154247225</v>
      </c>
    </row>
    <row r="49" spans="1:26" ht="13.2">
      <c r="A49" s="129" t="s">
        <v>1158</v>
      </c>
      <c r="B49" s="188">
        <f>SUM(F47:F49)</f>
        <v>7263968.3092885371</v>
      </c>
      <c r="C49" s="188">
        <f>AVERAGE(F47:F49)</f>
        <v>2421322.7697628457</v>
      </c>
      <c r="D49" s="190">
        <f>C49/C46-1</f>
        <v>-5.9517257019092495E-2</v>
      </c>
      <c r="E49" s="287">
        <f>C49/C37-1</f>
        <v>-5.4195132846247551E-3</v>
      </c>
      <c r="F49" s="136">
        <f>Q49/22</f>
        <v>2097221.8636363638</v>
      </c>
      <c r="G49" s="190">
        <f t="shared" ref="G49" si="85">F49/F48-1</f>
        <v>-6.9873572008877671E-2</v>
      </c>
      <c r="H49" s="190">
        <f t="shared" ref="H49" si="86">F49/F37-1</f>
        <v>-0.19333289102779072</v>
      </c>
      <c r="I49" s="130">
        <f t="shared" si="0"/>
        <v>17.460744038966876</v>
      </c>
      <c r="J49" s="130">
        <f t="shared" si="5"/>
        <v>-0.11462647067677367</v>
      </c>
      <c r="K49" s="136">
        <f>R47+R48+R49</f>
        <v>218298825233</v>
      </c>
      <c r="L49" s="190">
        <f>U49/U46-1</f>
        <v>3.0358988292475964E-3</v>
      </c>
      <c r="M49" s="190">
        <f>K49/K37-1</f>
        <v>6.5955859928673588E-2</v>
      </c>
      <c r="N49" s="191">
        <f>AVERAGE(T47:T49)</f>
        <v>17.825579637139267</v>
      </c>
      <c r="O49" s="192">
        <f>N49/N46-1</f>
        <v>-9.9422985548313081E-3</v>
      </c>
      <c r="P49" s="129" t="s">
        <v>1158</v>
      </c>
      <c r="Q49" s="116">
        <f>온수기!Q49+보일러!Q49</f>
        <v>46138881</v>
      </c>
      <c r="R49" s="116">
        <f>온수기!R49+보일러!R49</f>
        <v>64154969049</v>
      </c>
      <c r="S49" s="116">
        <f>온수기!S49+보일러!S49</f>
        <v>2642434.9900000002</v>
      </c>
      <c r="T49" s="130">
        <f t="shared" ref="T49" si="87">Q49/S49</f>
        <v>17.460744038966876</v>
      </c>
      <c r="U49" s="85">
        <f t="shared" si="78"/>
        <v>158209737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1999373.5</v>
      </c>
      <c r="G50" s="190">
        <f t="shared" ref="G50" si="88">F50/F49-1</f>
        <v>-4.6656181366860672E-2</v>
      </c>
      <c r="H50" s="190">
        <f t="shared" ref="H50" si="89">F50/F38-1</f>
        <v>-0.24898305326992787</v>
      </c>
      <c r="I50" s="130">
        <f t="shared" ref="I50" si="90">T50</f>
        <v>18.393651719235489</v>
      </c>
      <c r="J50" s="130">
        <f t="shared" ref="J50" si="91">I50/I38-1</f>
        <v>-6.3139649754565319E-2</v>
      </c>
      <c r="K50" s="136"/>
      <c r="L50" s="190"/>
      <c r="M50" s="190"/>
      <c r="N50" s="191"/>
      <c r="O50" s="192"/>
      <c r="P50" s="129" t="s">
        <v>1291</v>
      </c>
      <c r="Q50" s="116">
        <f>온수기!Q50+보일러!Q50</f>
        <v>35988723</v>
      </c>
      <c r="R50" s="116">
        <f>온수기!R50+보일러!R50</f>
        <v>50948334118</v>
      </c>
      <c r="S50" s="116">
        <f>온수기!S50+보일러!S50</f>
        <v>1956583.9100000001</v>
      </c>
      <c r="T50" s="130">
        <f t="shared" ref="T50" si="92">Q50/S50</f>
        <v>18.393651719235489</v>
      </c>
      <c r="U50" s="85">
        <f t="shared" si="78"/>
        <v>127223019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2585641.25</v>
      </c>
      <c r="G51" s="190">
        <f t="shared" ref="G51:G52" si="93">F51/F50-1</f>
        <v>0.29322572795928314</v>
      </c>
      <c r="H51" s="190">
        <f t="shared" ref="H51:H52" si="94">F51/F39-1</f>
        <v>1.5033163920821657E-2</v>
      </c>
      <c r="I51" s="130">
        <f t="shared" ref="I51:I52" si="95">T51</f>
        <v>20.023252730933802</v>
      </c>
      <c r="J51" s="130">
        <f t="shared" ref="J51:J52" si="96">I51/I39-1</f>
        <v>5.5325433376257394E-2</v>
      </c>
      <c r="K51" s="136"/>
      <c r="L51" s="190"/>
      <c r="M51" s="190"/>
      <c r="N51" s="191"/>
      <c r="O51" s="192"/>
      <c r="P51" s="129" t="s">
        <v>1402</v>
      </c>
      <c r="Q51" s="116">
        <f>온수기!Q51+보일러!Q51</f>
        <v>51712825</v>
      </c>
      <c r="R51" s="116">
        <f>온수기!R51+보일러!R51</f>
        <v>74844431187</v>
      </c>
      <c r="S51" s="116">
        <f>온수기!S51+보일러!S51</f>
        <v>2582638.58</v>
      </c>
      <c r="T51" s="130">
        <f t="shared" ref="T51:T52" si="97">Q51/S51</f>
        <v>20.023252730933802</v>
      </c>
      <c r="U51" s="85">
        <f t="shared" si="78"/>
        <v>133840429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6278707.3863636367</v>
      </c>
      <c r="C52" s="188">
        <f>AVERAGE(F50:F52)</f>
        <v>2092902.4621212122</v>
      </c>
      <c r="D52" s="190">
        <f>C52/C49-1</f>
        <v>-0.13563673201396453</v>
      </c>
      <c r="E52" s="287">
        <f>C52/C40-1</f>
        <v>-5.0531310445246613E-2</v>
      </c>
      <c r="F52" s="136">
        <f>Q52/22</f>
        <v>1693692.6363636365</v>
      </c>
      <c r="G52" s="190">
        <f t="shared" si="93"/>
        <v>-0.34496224626535621</v>
      </c>
      <c r="H52" s="190">
        <f t="shared" si="94"/>
        <v>0.20693901631368083</v>
      </c>
      <c r="I52" s="130">
        <f t="shared" si="95"/>
        <v>19.896457597211775</v>
      </c>
      <c r="J52" s="130">
        <f t="shared" si="96"/>
        <v>7.1266012453242711E-2</v>
      </c>
      <c r="K52" s="136">
        <f>R50+R51+R52</f>
        <v>180626106727</v>
      </c>
      <c r="L52" s="190">
        <f>U52/U49-1</f>
        <v>-0.21014478394588321</v>
      </c>
      <c r="M52" s="190">
        <f>K52/K40-1</f>
        <v>-3.8201243315413747E-2</v>
      </c>
      <c r="N52" s="191">
        <f>AVERAGE(T50:T52)</f>
        <v>19.437787349127021</v>
      </c>
      <c r="O52" s="192">
        <f>N52/N49-1</f>
        <v>9.0443494394356172E-2</v>
      </c>
      <c r="P52" s="129" t="s">
        <v>1403</v>
      </c>
      <c r="Q52" s="116">
        <f>온수기!Q52+보일러!Q52</f>
        <v>37261238</v>
      </c>
      <c r="R52" s="116">
        <f>온수기!R52+보일러!R52</f>
        <v>54833341422</v>
      </c>
      <c r="S52" s="116">
        <f>온수기!S52+보일러!S52</f>
        <v>1872757.3900000001</v>
      </c>
      <c r="T52" s="130">
        <f t="shared" si="97"/>
        <v>19.896457597211775</v>
      </c>
      <c r="U52" s="85">
        <f t="shared" ref="U52" si="98">Q50+Q51+Q52</f>
        <v>124962786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1822156.0476190476</v>
      </c>
      <c r="G53" s="190">
        <f t="shared" ref="G53" si="99">F53/F52-1</f>
        <v>7.5848125272140576E-2</v>
      </c>
      <c r="H53" s="190">
        <f t="shared" ref="H53" si="100">F53/F41-1</f>
        <v>-0.10293544521459652</v>
      </c>
      <c r="I53" s="130">
        <f t="shared" ref="I53" si="101">T53</f>
        <v>20.299599657021211</v>
      </c>
      <c r="J53" s="130">
        <f t="shared" ref="J53" si="102">I53/I41-1</f>
        <v>7.9779322706766242E-2</v>
      </c>
      <c r="K53" s="136"/>
      <c r="L53" s="190"/>
      <c r="M53" s="190"/>
      <c r="N53" s="191"/>
      <c r="O53" s="192"/>
      <c r="P53" s="129" t="s">
        <v>1414</v>
      </c>
      <c r="Q53" s="116">
        <f>온수기!Q53+보일러!Q53</f>
        <v>38265277</v>
      </c>
      <c r="R53" s="116">
        <f>온수기!R53+보일러!R53</f>
        <v>55707426913</v>
      </c>
      <c r="S53" s="116">
        <f>온수기!S53+보일러!S53</f>
        <v>1885026.19</v>
      </c>
      <c r="T53" s="130">
        <f t="shared" ref="T53" si="103">Q53/S53</f>
        <v>20.299599657021211</v>
      </c>
      <c r="U53" s="85">
        <f t="shared" ref="U53" si="104">Q51+Q52+Q53</f>
        <v>127239340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2311314.8235294116</v>
      </c>
      <c r="G54" s="190">
        <f t="shared" ref="G54" si="105">F54/F53-1</f>
        <v>0.26845054052836592</v>
      </c>
      <c r="H54" s="190">
        <f t="shared" ref="H54" si="106">F54/F42-1</f>
        <v>0.37873665841152615</v>
      </c>
      <c r="I54" s="130">
        <f t="shared" ref="I54" si="107">T54</f>
        <v>20.146239716919055</v>
      </c>
      <c r="J54" s="130">
        <f t="shared" ref="J54" si="108">I54/I42-1</f>
        <v>6.8290305354458347E-2</v>
      </c>
      <c r="K54" s="136"/>
      <c r="L54" s="190"/>
      <c r="M54" s="190"/>
      <c r="N54" s="191"/>
      <c r="O54" s="192"/>
      <c r="P54" s="129" t="s">
        <v>1417</v>
      </c>
      <c r="Q54" s="116">
        <f>온수기!Q54+보일러!Q54</f>
        <v>39292352</v>
      </c>
      <c r="R54" s="116">
        <f>온수기!R54+보일러!R54</f>
        <v>56899510219</v>
      </c>
      <c r="S54" s="116">
        <f>온수기!S54+보일러!S54</f>
        <v>1950356.6199999999</v>
      </c>
      <c r="T54" s="130">
        <f t="shared" ref="T54" si="109">Q54/S54</f>
        <v>20.146239716919055</v>
      </c>
      <c r="U54" s="85">
        <f t="shared" ref="U54" si="110">Q52+Q53+Q54</f>
        <v>114818867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5544328.3473389354</v>
      </c>
      <c r="C55" s="188">
        <f>AVERAGE(F53:F55)</f>
        <v>1848109.4491129785</v>
      </c>
      <c r="D55" s="190">
        <f>C55/C52-1</f>
        <v>-0.11696341202643978</v>
      </c>
      <c r="E55" s="287">
        <f>C55/C43-1</f>
        <v>-4.8179766180627248E-2</v>
      </c>
      <c r="F55" s="136">
        <f>Q55/21</f>
        <v>1410857.4761904762</v>
      </c>
      <c r="G55" s="190">
        <f t="shared" ref="G55" si="111">F55/F54-1</f>
        <v>-0.3895866275646187</v>
      </c>
      <c r="H55" s="190">
        <f t="shared" ref="H55" si="112">F55/F43-1</f>
        <v>-0.33366223351094859</v>
      </c>
      <c r="I55" s="130">
        <f>T55</f>
        <v>17.873659307707396</v>
      </c>
      <c r="J55" s="130">
        <f t="shared" ref="J55" si="113">I55/I43-1</f>
        <v>-2.9412173524398399E-2</v>
      </c>
      <c r="K55" s="136">
        <f>R53+R54+R55</f>
        <v>156057637974</v>
      </c>
      <c r="L55" s="190">
        <f>U55/U52-1</f>
        <v>-0.14225955237585697</v>
      </c>
      <c r="M55" s="190">
        <f>K55/K43-1</f>
        <v>-4.3968914869236597E-2</v>
      </c>
      <c r="N55" s="191">
        <f>AVERAGE(T53:T55)</f>
        <v>19.439832893882553</v>
      </c>
      <c r="O55" s="192">
        <f>N55/N52-1</f>
        <v>1.0523547350271834E-4</v>
      </c>
      <c r="P55" s="129" t="s">
        <v>1418</v>
      </c>
      <c r="Q55" s="116">
        <f>온수기!Q55+보일러!Q55</f>
        <v>29628007</v>
      </c>
      <c r="R55" s="116">
        <f>온수기!R55+보일러!R55</f>
        <v>43450700842</v>
      </c>
      <c r="S55" s="116">
        <f>온수기!S55+보일러!S55</f>
        <v>1657635.21</v>
      </c>
      <c r="T55" s="130">
        <f t="shared" ref="T55" si="114">Q55/S55</f>
        <v>17.873659307707396</v>
      </c>
      <c r="U55" s="85">
        <f t="shared" ref="U55" si="115">Q53+Q54+Q55</f>
        <v>107185636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1714221.9090909092</v>
      </c>
      <c r="G56" s="190">
        <f t="shared" ref="G56" si="116">F56/F55-1</f>
        <v>0.21502131719184114</v>
      </c>
      <c r="H56" s="190">
        <f t="shared" ref="H56" si="117">F56/F44-1</f>
        <v>-0.37408651995928865</v>
      </c>
      <c r="I56" s="291">
        <f>T56</f>
        <v>18.661481886128154</v>
      </c>
      <c r="J56" s="130">
        <f t="shared" ref="J56" si="118">I56/I44-1</f>
        <v>1.2490050469118996E-2</v>
      </c>
      <c r="K56" s="136"/>
      <c r="L56" s="190"/>
      <c r="M56" s="190"/>
      <c r="N56" s="191"/>
      <c r="O56" s="192"/>
      <c r="P56" s="129" t="s">
        <v>1420</v>
      </c>
      <c r="Q56" s="116">
        <f>온수기!Q56+보일러!Q56</f>
        <v>37712882</v>
      </c>
      <c r="R56" s="116">
        <f>온수기!R56+보일러!R56</f>
        <v>56347526237</v>
      </c>
      <c r="S56" s="116">
        <f>온수기!S56+보일러!S56</f>
        <v>2020894.2800000003</v>
      </c>
      <c r="T56" s="130">
        <f t="shared" ref="T56" si="119">Q56/S56</f>
        <v>18.661481886128154</v>
      </c>
      <c r="U56" s="85">
        <f t="shared" ref="U56" si="120">Q54+Q55+Q56</f>
        <v>106633241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1505195.6666666667</v>
      </c>
      <c r="G57" s="254">
        <f t="shared" ref="G57" si="121">F57/F56-1</f>
        <v>-0.12193651318754517</v>
      </c>
      <c r="H57" s="254">
        <f t="shared" ref="H57" si="122">F57/F45-1</f>
        <v>-0.45564477983136165</v>
      </c>
      <c r="I57" s="282">
        <f>T57</f>
        <v>18.185911630999477</v>
      </c>
      <c r="J57" s="277">
        <f t="shared" ref="J57" si="123">I57/I45-1</f>
        <v>-5.9464050101530885E-3</v>
      </c>
      <c r="K57" s="204"/>
      <c r="L57" s="254"/>
      <c r="M57" s="254"/>
      <c r="N57" s="257"/>
      <c r="O57" s="258"/>
      <c r="P57" s="129" t="s">
        <v>1436</v>
      </c>
      <c r="Q57" s="116">
        <f>온수기!Q57+보일러!Q57</f>
        <v>18062348</v>
      </c>
      <c r="R57" s="116">
        <f>온수기!R57+보일러!R57</f>
        <v>26597842066</v>
      </c>
      <c r="S57" s="116">
        <f>온수기!S57+보일러!S57</f>
        <v>993205.53</v>
      </c>
      <c r="T57" s="130">
        <f t="shared" ref="T57" si="124">Q57/S57</f>
        <v>18.185911630999477</v>
      </c>
      <c r="U57" s="85">
        <f t="shared" ref="U57" si="125">Q55+Q56+Q57</f>
        <v>85403237</v>
      </c>
      <c r="V57" s="79"/>
      <c r="W57" s="79"/>
      <c r="X57" s="79"/>
      <c r="Y57" s="79"/>
      <c r="Z57" s="79"/>
    </row>
    <row r="58" spans="1:26">
      <c r="B58" s="196">
        <f>SUM(F56:F58)</f>
        <v>3219417.5757575762</v>
      </c>
      <c r="C58" s="196">
        <f>AVERAGE(F56:F58)</f>
        <v>1609708.7878787881</v>
      </c>
      <c r="D58" s="197">
        <f>C58/C55-1</f>
        <v>-0.12899704687328639</v>
      </c>
      <c r="E58" s="233">
        <f>C58/C46-1</f>
        <v>-0.37476186358541852</v>
      </c>
    </row>
  </sheetData>
  <phoneticPr fontId="1" type="noConversion"/>
  <conditionalFormatting sqref="C29:C30">
    <cfRule type="cellIs" dxfId="14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Z73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1795469.75</v>
      </c>
      <c r="G5" s="90"/>
      <c r="H5" s="90"/>
      <c r="I5" s="130">
        <f t="shared" ref="I5:I49" si="0">T5</f>
        <v>20.412847618219679</v>
      </c>
      <c r="J5" s="130"/>
      <c r="K5" s="86"/>
      <c r="L5" s="80"/>
      <c r="M5" s="80"/>
      <c r="P5" s="129" t="s">
        <v>0</v>
      </c>
      <c r="Q5" s="116">
        <v>35909395</v>
      </c>
      <c r="R5" s="116">
        <v>42354135924</v>
      </c>
      <c r="S5" s="116">
        <v>1759156.57</v>
      </c>
      <c r="T5" s="130">
        <f t="shared" ref="T5:T17" si="1">Q5/S5</f>
        <v>20.412847618219679</v>
      </c>
      <c r="U5" s="85"/>
    </row>
    <row r="6" spans="1:21" ht="15" hidden="1" customHeight="1">
      <c r="A6" s="129" t="s">
        <v>1</v>
      </c>
      <c r="C6" s="79"/>
      <c r="F6" s="78">
        <f>Q6/18</f>
        <v>1668456.9444444445</v>
      </c>
      <c r="G6" s="90">
        <f t="shared" ref="G6:G16" si="2">F6/F5-1</f>
        <v>-7.0740710365939319E-2</v>
      </c>
      <c r="H6" s="90"/>
      <c r="I6" s="130">
        <f t="shared" si="0"/>
        <v>20.310356724613239</v>
      </c>
      <c r="J6" s="130"/>
      <c r="K6" s="78"/>
      <c r="P6" s="129" t="s">
        <v>1</v>
      </c>
      <c r="Q6" s="116">
        <v>30032225</v>
      </c>
      <c r="R6" s="116">
        <v>35692643173</v>
      </c>
      <c r="S6" s="116">
        <v>1478665.56</v>
      </c>
      <c r="T6" s="130">
        <f t="shared" si="1"/>
        <v>20.310356724613239</v>
      </c>
      <c r="U6" s="85"/>
    </row>
    <row r="7" spans="1:21" ht="15" hidden="1" customHeight="1">
      <c r="A7" s="129" t="s">
        <v>2</v>
      </c>
      <c r="B7" s="131">
        <f>F5+F6+F7</f>
        <v>5044685.8308080807</v>
      </c>
      <c r="C7" s="131">
        <f>AVERAGE(F5:F7)</f>
        <v>1681561.9436026935</v>
      </c>
      <c r="F7" s="78">
        <f>Q7/22</f>
        <v>1580759.1363636365</v>
      </c>
      <c r="G7" s="90">
        <f t="shared" si="2"/>
        <v>-5.2562224259259605E-2</v>
      </c>
      <c r="H7" s="90"/>
      <c r="I7" s="130">
        <f t="shared" si="0"/>
        <v>20.644555184607583</v>
      </c>
      <c r="J7" s="130"/>
      <c r="K7" s="85">
        <f>R5+R6+R7</f>
        <v>119829803504</v>
      </c>
      <c r="N7" s="88">
        <f>AVERAGE(T5:T7)</f>
        <v>20.455919842480167</v>
      </c>
      <c r="P7" s="129" t="s">
        <v>2</v>
      </c>
      <c r="Q7" s="116">
        <v>34776701</v>
      </c>
      <c r="R7" s="116">
        <v>41783024407</v>
      </c>
      <c r="S7" s="116">
        <v>1684545.91</v>
      </c>
      <c r="T7" s="130">
        <f t="shared" si="1"/>
        <v>20.644555184607583</v>
      </c>
      <c r="U7" s="85">
        <f>Q5+Q6+Q7</f>
        <v>100718321</v>
      </c>
    </row>
    <row r="8" spans="1:21" ht="15" hidden="1" customHeight="1">
      <c r="A8" s="129" t="s">
        <v>3</v>
      </c>
      <c r="C8" s="79"/>
      <c r="F8" s="78">
        <f>Q8/21</f>
        <v>1417636.9047619049</v>
      </c>
      <c r="G8" s="90">
        <f t="shared" si="2"/>
        <v>-0.10319233831978758</v>
      </c>
      <c r="H8" s="90"/>
      <c r="I8" s="130">
        <f t="shared" si="0"/>
        <v>20.507947280566437</v>
      </c>
      <c r="J8" s="130"/>
      <c r="K8" s="78"/>
      <c r="P8" s="129" t="s">
        <v>3</v>
      </c>
      <c r="Q8" s="116">
        <v>29770375</v>
      </c>
      <c r="R8" s="116">
        <v>36024229076</v>
      </c>
      <c r="S8" s="116">
        <v>1451650.65</v>
      </c>
      <c r="T8" s="130">
        <f t="shared" si="1"/>
        <v>20.507947280566437</v>
      </c>
      <c r="U8" s="85"/>
    </row>
    <row r="9" spans="1:21" ht="15" hidden="1" customHeight="1">
      <c r="A9" s="129" t="s">
        <v>4</v>
      </c>
      <c r="C9" s="79"/>
      <c r="F9" s="78">
        <f>Q9/21</f>
        <v>1132996.6666666667</v>
      </c>
      <c r="G9" s="90">
        <f t="shared" si="2"/>
        <v>-0.20078500858655624</v>
      </c>
      <c r="H9" s="90"/>
      <c r="I9" s="130">
        <f t="shared" si="0"/>
        <v>21.103663000163849</v>
      </c>
      <c r="J9" s="130"/>
      <c r="K9" s="78"/>
      <c r="P9" s="129" t="s">
        <v>4</v>
      </c>
      <c r="Q9" s="116">
        <v>23792930</v>
      </c>
      <c r="R9" s="116">
        <v>29914455478</v>
      </c>
      <c r="S9" s="116">
        <v>1127431.29</v>
      </c>
      <c r="T9" s="130">
        <f t="shared" si="1"/>
        <v>21.103663000163849</v>
      </c>
      <c r="U9" s="85"/>
    </row>
    <row r="10" spans="1:21" ht="15" hidden="1" customHeight="1">
      <c r="A10" s="129" t="s">
        <v>5</v>
      </c>
      <c r="B10" s="131">
        <f>F8+F9+F10</f>
        <v>3564610.7619047621</v>
      </c>
      <c r="C10" s="131">
        <f>AVERAGE(F8:F10)</f>
        <v>1188203.5873015875</v>
      </c>
      <c r="D10" s="90">
        <f>C10/C7-1</f>
        <v>-0.29339291257038158</v>
      </c>
      <c r="E10" s="286"/>
      <c r="F10" s="78">
        <f>Q10/21</f>
        <v>1013977.1904761905</v>
      </c>
      <c r="G10" s="90">
        <f t="shared" si="2"/>
        <v>-0.10504839042522296</v>
      </c>
      <c r="H10" s="90"/>
      <c r="I10" s="130">
        <f t="shared" si="0"/>
        <v>21.654113527014996</v>
      </c>
      <c r="J10" s="130"/>
      <c r="K10" s="85">
        <f>R8+R9+R10</f>
        <v>92740323215</v>
      </c>
      <c r="L10" s="87">
        <f>U10/U7-1</f>
        <v>-0.25677051347986624</v>
      </c>
      <c r="N10" s="88">
        <f>AVERAGE(T8:T10)</f>
        <v>21.088574602581762</v>
      </c>
      <c r="O10" s="89">
        <f>N10/N7-1</f>
        <v>3.0927710167683697E-2</v>
      </c>
      <c r="P10" s="129" t="s">
        <v>5</v>
      </c>
      <c r="Q10" s="116">
        <v>21293521</v>
      </c>
      <c r="R10" s="116">
        <v>26801638661</v>
      </c>
      <c r="S10" s="116">
        <v>983347.62</v>
      </c>
      <c r="T10" s="130">
        <f t="shared" si="1"/>
        <v>21.654113527014996</v>
      </c>
      <c r="U10" s="85">
        <f>Q8+Q9+Q10</f>
        <v>74856826</v>
      </c>
    </row>
    <row r="11" spans="1:21" ht="15" hidden="1" customHeight="1">
      <c r="A11" s="129" t="s">
        <v>6</v>
      </c>
      <c r="C11" s="79"/>
      <c r="F11" s="78">
        <f>Q11/21</f>
        <v>1341588.3809523811</v>
      </c>
      <c r="G11" s="90">
        <f t="shared" si="2"/>
        <v>0.32309522694720139</v>
      </c>
      <c r="H11" s="90"/>
      <c r="I11" s="130">
        <f t="shared" si="0"/>
        <v>21.92273845431232</v>
      </c>
      <c r="J11" s="130"/>
      <c r="K11" s="78"/>
      <c r="O11" s="89"/>
      <c r="P11" s="129" t="s">
        <v>6</v>
      </c>
      <c r="Q11" s="116">
        <v>28173356</v>
      </c>
      <c r="R11" s="116">
        <v>36437128923</v>
      </c>
      <c r="S11" s="116">
        <v>1285120.29</v>
      </c>
      <c r="T11" s="130">
        <f t="shared" si="1"/>
        <v>21.92273845431232</v>
      </c>
      <c r="U11" s="85"/>
    </row>
    <row r="12" spans="1:21" ht="15" hidden="1" customHeight="1">
      <c r="A12" s="129" t="s">
        <v>7</v>
      </c>
      <c r="C12" s="79"/>
      <c r="F12" s="78">
        <f>Q12/22</f>
        <v>1207678.6363636365</v>
      </c>
      <c r="G12" s="90">
        <f t="shared" si="2"/>
        <v>-9.9814329409802505E-2</v>
      </c>
      <c r="H12" s="90"/>
      <c r="I12" s="130">
        <f t="shared" si="0"/>
        <v>21.236292797718978</v>
      </c>
      <c r="J12" s="130"/>
      <c r="K12" s="78"/>
      <c r="O12" s="89"/>
      <c r="P12" s="129" t="s">
        <v>7</v>
      </c>
      <c r="Q12" s="116">
        <v>26568930</v>
      </c>
      <c r="R12" s="116">
        <v>34513442858</v>
      </c>
      <c r="S12" s="116">
        <v>1251109.6100000001</v>
      </c>
      <c r="T12" s="130">
        <f t="shared" si="1"/>
        <v>21.236292797718978</v>
      </c>
      <c r="U12" s="85"/>
    </row>
    <row r="13" spans="1:21" ht="15" hidden="1" customHeight="1">
      <c r="A13" s="129" t="s">
        <v>96</v>
      </c>
      <c r="B13" s="131">
        <f>F11+F12+F13</f>
        <v>3589381.2673160173</v>
      </c>
      <c r="C13" s="131">
        <f>AVERAGE(F11:F13)</f>
        <v>1196460.4224386725</v>
      </c>
      <c r="D13" s="90">
        <f>C13/C10-1</f>
        <v>6.9490070770079626E-3</v>
      </c>
      <c r="E13" s="286"/>
      <c r="F13" s="78">
        <f>Q13/20</f>
        <v>1040114.25</v>
      </c>
      <c r="G13" s="90">
        <f t="shared" si="2"/>
        <v>-0.13874915173475189</v>
      </c>
      <c r="H13" s="90"/>
      <c r="I13" s="130">
        <f t="shared" si="0"/>
        <v>21.296536510083573</v>
      </c>
      <c r="J13" s="130"/>
      <c r="K13" s="78">
        <f>R11+R12+R13</f>
        <v>99392499759</v>
      </c>
      <c r="L13" s="87">
        <f>U13/U10-1</f>
        <v>9.1874720950630984E-3</v>
      </c>
      <c r="N13" s="88">
        <f>AVERAGE(T11:T13)</f>
        <v>21.485189254038289</v>
      </c>
      <c r="O13" s="89">
        <f>N13/N10-1</f>
        <v>1.8807086724959232E-2</v>
      </c>
      <c r="P13" s="129" t="s">
        <v>96</v>
      </c>
      <c r="Q13" s="116">
        <v>20802285</v>
      </c>
      <c r="R13" s="116">
        <v>28441927978</v>
      </c>
      <c r="S13" s="116">
        <v>976791.93</v>
      </c>
      <c r="T13" s="130">
        <f t="shared" si="1"/>
        <v>21.296536510083573</v>
      </c>
      <c r="U13" s="85">
        <f>Q11+Q12+Q13</f>
        <v>75544571</v>
      </c>
    </row>
    <row r="14" spans="1:21" ht="15" hidden="1" customHeight="1">
      <c r="A14" s="129" t="s">
        <v>97</v>
      </c>
      <c r="C14" s="79"/>
      <c r="F14" s="78">
        <f>Q14/20</f>
        <v>750674.85</v>
      </c>
      <c r="G14" s="90">
        <f t="shared" si="2"/>
        <v>-0.27827654510069444</v>
      </c>
      <c r="H14" s="90"/>
      <c r="I14" s="130">
        <f t="shared" si="0"/>
        <v>21.923439598308946</v>
      </c>
      <c r="J14" s="130"/>
      <c r="K14" s="78"/>
      <c r="O14" s="89"/>
      <c r="P14" s="129" t="s">
        <v>97</v>
      </c>
      <c r="Q14" s="116">
        <v>15013497</v>
      </c>
      <c r="R14" s="116">
        <v>21404430762</v>
      </c>
      <c r="S14" s="116">
        <v>684814.85</v>
      </c>
      <c r="T14" s="130">
        <f t="shared" si="1"/>
        <v>21.923439598308946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600432.68181818177</v>
      </c>
      <c r="G15" s="90">
        <f t="shared" si="2"/>
        <v>-0.20014280241547755</v>
      </c>
      <c r="H15" s="90"/>
      <c r="I15" s="130">
        <f t="shared" si="0"/>
        <v>22.065516088785781</v>
      </c>
      <c r="J15" s="130"/>
      <c r="K15" s="78"/>
      <c r="O15" s="89"/>
      <c r="P15" s="129" t="s">
        <v>98</v>
      </c>
      <c r="Q15" s="116">
        <v>13209519</v>
      </c>
      <c r="R15" s="116">
        <v>18269691112</v>
      </c>
      <c r="S15" s="116">
        <v>598649.9</v>
      </c>
      <c r="T15" s="130">
        <f t="shared" si="1"/>
        <v>22.065516088785781</v>
      </c>
      <c r="U15" s="85"/>
    </row>
    <row r="16" spans="1:21" ht="15" hidden="1" customHeight="1">
      <c r="A16" s="129" t="s">
        <v>99</v>
      </c>
      <c r="B16" s="131">
        <f>F14+F15+F16</f>
        <v>2147450.4409090909</v>
      </c>
      <c r="C16" s="131">
        <f>AVERAGE(F14:F16)</f>
        <v>715816.8136363636</v>
      </c>
      <c r="D16" s="90">
        <f>C16/C13-1</f>
        <v>-0.40172127701695493</v>
      </c>
      <c r="E16" s="286"/>
      <c r="F16" s="78">
        <f>Q16/22</f>
        <v>796342.90909090906</v>
      </c>
      <c r="G16" s="90">
        <f t="shared" si="2"/>
        <v>0.32628175181851815</v>
      </c>
      <c r="H16" s="90"/>
      <c r="I16" s="130">
        <f t="shared" si="0"/>
        <v>22.482393402385334</v>
      </c>
      <c r="J16" s="130"/>
      <c r="K16" s="78">
        <f>R14+R15+R16</f>
        <v>62731620723</v>
      </c>
      <c r="L16" s="87">
        <f>U16/U13-1</f>
        <v>-0.39449573418055417</v>
      </c>
      <c r="N16" s="88">
        <f>AVERAGE(T14:T16)</f>
        <v>22.157116363160025</v>
      </c>
      <c r="O16" s="89">
        <f>N16/N13-1</f>
        <v>3.1273967437612571E-2</v>
      </c>
      <c r="P16" s="129" t="s">
        <v>99</v>
      </c>
      <c r="Q16" s="116">
        <v>17519544</v>
      </c>
      <c r="R16" s="116">
        <v>23057498849</v>
      </c>
      <c r="S16" s="116">
        <v>779256.18</v>
      </c>
      <c r="T16" s="130">
        <f t="shared" si="1"/>
        <v>22.482393402385334</v>
      </c>
      <c r="U16" s="85">
        <f>Q14+Q15+Q16</f>
        <v>45742560</v>
      </c>
    </row>
    <row r="17" spans="1:21" ht="15" hidden="1" customHeight="1">
      <c r="A17" s="129" t="s">
        <v>100</v>
      </c>
      <c r="C17" s="79"/>
      <c r="F17" s="78">
        <f>Q17/20</f>
        <v>939004.85</v>
      </c>
      <c r="G17" s="90">
        <f t="shared" ref="G17:G22" si="3">F17/F16-1</f>
        <v>0.17914636933472705</v>
      </c>
      <c r="H17" s="90">
        <f t="shared" ref="H17:H22" si="4">F17/F5-1</f>
        <v>-0.47701438578956845</v>
      </c>
      <c r="I17" s="130">
        <f t="shared" si="0"/>
        <v>22.532064774240553</v>
      </c>
      <c r="J17" s="130">
        <f t="shared" ref="J17:J49" si="5">I17/I5-1</f>
        <v>0.10381781100101617</v>
      </c>
      <c r="K17" s="78"/>
      <c r="O17" s="89"/>
      <c r="P17" s="129" t="s">
        <v>100</v>
      </c>
      <c r="Q17" s="116">
        <v>18780097</v>
      </c>
      <c r="R17" s="116">
        <v>23548740826</v>
      </c>
      <c r="S17" s="116">
        <v>833483.18</v>
      </c>
      <c r="T17" s="130">
        <f t="shared" si="1"/>
        <v>22.532064774240553</v>
      </c>
      <c r="U17" s="78"/>
    </row>
    <row r="18" spans="1:21" ht="15" hidden="1" customHeight="1">
      <c r="A18" s="129" t="s">
        <v>106</v>
      </c>
      <c r="C18" s="79"/>
      <c r="F18" s="78">
        <f>Q18/20</f>
        <v>1264515.8500000001</v>
      </c>
      <c r="G18" s="90">
        <f t="shared" si="3"/>
        <v>0.34665529150355301</v>
      </c>
      <c r="H18" s="90">
        <f t="shared" si="4"/>
        <v>-0.24210459597981826</v>
      </c>
      <c r="I18" s="130">
        <f t="shared" si="0"/>
        <v>22.78095022629244</v>
      </c>
      <c r="J18" s="130">
        <f t="shared" si="5"/>
        <v>0.1216420536171674</v>
      </c>
      <c r="K18" s="78"/>
      <c r="O18" s="89"/>
      <c r="P18" s="129" t="s">
        <v>106</v>
      </c>
      <c r="Q18" s="116">
        <v>25290317</v>
      </c>
      <c r="R18" s="116">
        <v>31680495872</v>
      </c>
      <c r="S18" s="116">
        <v>1110151.98</v>
      </c>
      <c r="T18" s="130">
        <f t="shared" ref="T18" si="6">Q18/S18</f>
        <v>22.78095022629244</v>
      </c>
      <c r="U18" s="78"/>
    </row>
    <row r="19" spans="1:21" hidden="1">
      <c r="A19" s="129" t="s">
        <v>114</v>
      </c>
      <c r="B19" s="131">
        <f>SUM(F17:F19)</f>
        <v>3197377.1090909094</v>
      </c>
      <c r="C19" s="131">
        <f>AVERAGE(F17:F19)</f>
        <v>1065792.3696969699</v>
      </c>
      <c r="D19" s="90">
        <f>C19/C16-1</f>
        <v>0.48891776414516386</v>
      </c>
      <c r="E19" s="286">
        <f>C19/C7-1</f>
        <v>-0.36618905193968454</v>
      </c>
      <c r="F19" s="78">
        <f>Q19/22</f>
        <v>993856.40909090906</v>
      </c>
      <c r="G19" s="90">
        <f t="shared" si="3"/>
        <v>-0.21404195203175269</v>
      </c>
      <c r="H19" s="90">
        <f t="shared" si="4"/>
        <v>-0.37127903535185824</v>
      </c>
      <c r="I19" s="130">
        <f t="shared" si="0"/>
        <v>22.568758314968022</v>
      </c>
      <c r="J19" s="130">
        <f t="shared" si="5"/>
        <v>9.3206325501026477E-2</v>
      </c>
      <c r="K19" s="78">
        <f>R17+R18+R19</f>
        <v>83775589218</v>
      </c>
      <c r="L19" s="87">
        <f>U19/U16-1</f>
        <v>0.44144217114214857</v>
      </c>
      <c r="M19" s="87">
        <f>U19/U7-1</f>
        <v>-0.34534993886564092</v>
      </c>
      <c r="N19" s="88">
        <f>AVERAGE(T17:T19)</f>
        <v>22.627257771833673</v>
      </c>
      <c r="O19" s="89">
        <f>N19/N16-1</f>
        <v>2.1218528664467273E-2</v>
      </c>
      <c r="P19" s="129" t="s">
        <v>115</v>
      </c>
      <c r="Q19" s="116">
        <v>21864841</v>
      </c>
      <c r="R19" s="116">
        <v>28546352520</v>
      </c>
      <c r="S19" s="116">
        <v>968810.1</v>
      </c>
      <c r="T19" s="130">
        <f t="shared" ref="T19" si="7">Q19/S19</f>
        <v>22.568758314968022</v>
      </c>
      <c r="U19" s="85">
        <f>Q17+Q18+Q19</f>
        <v>65935255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1908715.4</v>
      </c>
      <c r="G20" s="90">
        <f t="shared" si="3"/>
        <v>0.92051425391110775</v>
      </c>
      <c r="H20" s="90">
        <f t="shared" si="4"/>
        <v>0.34640639897885039</v>
      </c>
      <c r="I20" s="130">
        <f t="shared" si="0"/>
        <v>22.420871712042164</v>
      </c>
      <c r="J20" s="130">
        <f t="shared" si="5"/>
        <v>9.3277225911753581E-2</v>
      </c>
      <c r="K20" s="78"/>
      <c r="O20" s="89"/>
      <c r="P20" s="129" t="s">
        <v>132</v>
      </c>
      <c r="Q20" s="116">
        <v>38174308</v>
      </c>
      <c r="R20" s="116">
        <v>50038297028</v>
      </c>
      <c r="S20" s="116">
        <v>1702623.72</v>
      </c>
      <c r="T20" s="130">
        <f t="shared" ref="T20" si="8">Q20/S20</f>
        <v>22.420871712042164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1409389.3809523811</v>
      </c>
      <c r="G21" s="90">
        <f t="shared" si="3"/>
        <v>-0.26160318036288643</v>
      </c>
      <c r="H21" s="90">
        <f t="shared" si="4"/>
        <v>0.24394839139189672</v>
      </c>
      <c r="I21" s="130">
        <f t="shared" si="0"/>
        <v>23.244175433770025</v>
      </c>
      <c r="J21" s="130">
        <f t="shared" si="5"/>
        <v>0.10142847872379113</v>
      </c>
      <c r="K21" s="78"/>
      <c r="O21" s="89"/>
      <c r="P21" s="129" t="s">
        <v>141</v>
      </c>
      <c r="Q21" s="116">
        <v>29597177</v>
      </c>
      <c r="R21" s="116">
        <v>39465190916</v>
      </c>
      <c r="S21" s="116">
        <v>1273315.8500000001</v>
      </c>
      <c r="T21" s="130">
        <f t="shared" ref="T21" si="9">Q21/S21</f>
        <v>23.244175433770025</v>
      </c>
      <c r="U21" s="78"/>
    </row>
    <row r="22" spans="1:21" hidden="1">
      <c r="A22" s="129" t="s">
        <v>156</v>
      </c>
      <c r="B22" s="131">
        <f>SUM(F20:F22)</f>
        <v>5044918.4952380955</v>
      </c>
      <c r="C22" s="131">
        <f>AVERAGE(F20:F22)</f>
        <v>1681639.4984126985</v>
      </c>
      <c r="D22" s="90">
        <f>C22/C19-1</f>
        <v>0.57783030374933975</v>
      </c>
      <c r="E22" s="286">
        <f>C22/C10-1</f>
        <v>0.41527892726843629</v>
      </c>
      <c r="F22" s="78">
        <f>Q22/21</f>
        <v>1726813.7142857143</v>
      </c>
      <c r="G22" s="90">
        <f t="shared" si="3"/>
        <v>0.22522117565469157</v>
      </c>
      <c r="H22" s="90">
        <f t="shared" si="4"/>
        <v>0.70301041335531123</v>
      </c>
      <c r="I22" s="130">
        <f t="shared" si="0"/>
        <v>22.709281540707948</v>
      </c>
      <c r="J22" s="130">
        <f t="shared" si="5"/>
        <v>4.8728294158823848E-2</v>
      </c>
      <c r="K22" s="78">
        <f>R20+R21+R22</f>
        <v>136726688425</v>
      </c>
      <c r="L22" s="87">
        <f>U22/U19-1</f>
        <v>0.57782923566459243</v>
      </c>
      <c r="M22" s="87">
        <f>U22/U10-1</f>
        <v>0.38978071285042204</v>
      </c>
      <c r="N22" s="88">
        <f>AVERAGE(T20:T22)</f>
        <v>22.791442895506709</v>
      </c>
      <c r="O22" s="89">
        <f>N22/N19-1</f>
        <v>7.2560769549994131E-3</v>
      </c>
      <c r="P22" s="129" t="s">
        <v>156</v>
      </c>
      <c r="Q22" s="116">
        <v>36263088</v>
      </c>
      <c r="R22" s="116">
        <v>47223200481</v>
      </c>
      <c r="S22" s="116">
        <v>1596839.95</v>
      </c>
      <c r="T22" s="130">
        <f t="shared" ref="T22:T23" si="10">Q22/S22</f>
        <v>22.709281540707948</v>
      </c>
      <c r="U22" s="85">
        <f>Q20+Q21+Q22</f>
        <v>104034573</v>
      </c>
    </row>
    <row r="23" spans="1:21" hidden="1">
      <c r="A23" s="129" t="s">
        <v>189</v>
      </c>
      <c r="B23" s="131"/>
      <c r="C23" s="131"/>
      <c r="F23" s="78">
        <f>Q23/21</f>
        <v>1233088.6190476189</v>
      </c>
      <c r="G23" s="90">
        <f t="shared" ref="G23" si="11">F23/F22-1</f>
        <v>-0.28591682539556484</v>
      </c>
      <c r="H23" s="90">
        <f t="shared" ref="H23" si="12">F23/F11-1</f>
        <v>-8.0874106726937511E-2</v>
      </c>
      <c r="I23" s="130">
        <f t="shared" si="0"/>
        <v>22.298590868743901</v>
      </c>
      <c r="J23" s="130">
        <f t="shared" si="5"/>
        <v>1.7144409910963887E-2</v>
      </c>
      <c r="K23" s="78"/>
      <c r="O23" s="89"/>
      <c r="P23" s="129" t="s">
        <v>189</v>
      </c>
      <c r="Q23" s="116">
        <v>25894861</v>
      </c>
      <c r="R23" s="116">
        <v>33490825570</v>
      </c>
      <c r="S23" s="116">
        <v>1161277.9099999999</v>
      </c>
      <c r="T23" s="130">
        <f t="shared" si="10"/>
        <v>22.298590868743901</v>
      </c>
      <c r="U23" s="78"/>
    </row>
    <row r="24" spans="1:21" hidden="1">
      <c r="A24" s="129" t="s">
        <v>204</v>
      </c>
      <c r="B24" s="131"/>
      <c r="C24" s="131"/>
      <c r="F24" s="78">
        <f>Q24/22</f>
        <v>1181850.7727272727</v>
      </c>
      <c r="G24" s="90">
        <f t="shared" ref="G24" si="13">F24/F23-1</f>
        <v>-4.1552444430084878E-2</v>
      </c>
      <c r="H24" s="90">
        <f t="shared" ref="H24" si="14">F24/F12-1</f>
        <v>-2.1386371223831802E-2</v>
      </c>
      <c r="I24" s="130">
        <f t="shared" si="0"/>
        <v>22.213254864611379</v>
      </c>
      <c r="J24" s="130">
        <f t="shared" si="5"/>
        <v>4.6004360374864328E-2</v>
      </c>
      <c r="K24" s="78"/>
      <c r="O24" s="89"/>
      <c r="P24" s="129" t="s">
        <v>204</v>
      </c>
      <c r="Q24" s="116">
        <v>26000717</v>
      </c>
      <c r="R24" s="116">
        <v>34156000579</v>
      </c>
      <c r="S24" s="116">
        <v>1170504.6000000001</v>
      </c>
      <c r="T24" s="130">
        <f t="shared" ref="T24" si="15">Q24/S24</f>
        <v>22.213254864611379</v>
      </c>
      <c r="U24" s="78"/>
    </row>
    <row r="25" spans="1:21" s="79" customFormat="1" ht="13.2" hidden="1">
      <c r="A25" s="129" t="s">
        <v>218</v>
      </c>
      <c r="B25" s="131">
        <f>SUM(F23:F25)</f>
        <v>4166101.549669629</v>
      </c>
      <c r="C25" s="131">
        <f>AVERAGE(F23:F25)</f>
        <v>1388700.5165565431</v>
      </c>
      <c r="D25" s="90">
        <f>C25/C22-1</f>
        <v>-0.17419844272964624</v>
      </c>
      <c r="E25" s="286">
        <f>C25/C13-1</f>
        <v>0.16067401019921679</v>
      </c>
      <c r="F25" s="78">
        <f>Q25/19</f>
        <v>1751162.1578947369</v>
      </c>
      <c r="G25" s="90">
        <f t="shared" ref="G25" si="16">F25/F24-1</f>
        <v>0.48171173409118717</v>
      </c>
      <c r="H25" s="90">
        <f t="shared" ref="H25" si="17">F25/F13-1</f>
        <v>0.68362481130773545</v>
      </c>
      <c r="I25" s="130">
        <f t="shared" si="0"/>
        <v>21.632317297834195</v>
      </c>
      <c r="J25" s="130">
        <f t="shared" si="5"/>
        <v>1.5766920014981478E-2</v>
      </c>
      <c r="K25" s="78">
        <f>R23+R24+R25</f>
        <v>111807734907</v>
      </c>
      <c r="L25" s="90">
        <f>U25/U22-1</f>
        <v>-0.18135234716635973</v>
      </c>
      <c r="M25" s="90">
        <f>U25/U13-1</f>
        <v>0.12738291941587709</v>
      </c>
      <c r="N25" s="88">
        <f>AVERAGE(T23:T25)</f>
        <v>22.048054343729827</v>
      </c>
      <c r="O25" s="91">
        <f>N25/N22-1</f>
        <v>-3.2617002582291055E-2</v>
      </c>
      <c r="P25" s="129" t="s">
        <v>246</v>
      </c>
      <c r="Q25" s="116">
        <v>33272081</v>
      </c>
      <c r="R25" s="116">
        <v>44160908758</v>
      </c>
      <c r="S25" s="116">
        <v>1538072.9</v>
      </c>
      <c r="T25" s="130">
        <f t="shared" ref="T25" si="18">Q25/S25</f>
        <v>21.632317297834195</v>
      </c>
      <c r="U25" s="85">
        <f>Q23+Q24+Q25</f>
        <v>85167659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1417004.0526315789</v>
      </c>
      <c r="G26" s="90">
        <f t="shared" ref="G26" si="19">F26/F25-1</f>
        <v>-0.19082076651592672</v>
      </c>
      <c r="H26" s="90">
        <f t="shared" ref="H26" si="20">F26/F14-1</f>
        <v>0.88764023815581261</v>
      </c>
      <c r="I26" s="130">
        <f t="shared" si="0"/>
        <v>22.53489121139329</v>
      </c>
      <c r="J26" s="130">
        <f t="shared" si="5"/>
        <v>2.7890313941955958E-2</v>
      </c>
      <c r="K26" s="78"/>
      <c r="L26" s="90"/>
      <c r="M26" s="90"/>
      <c r="P26" s="129" t="s">
        <v>312</v>
      </c>
      <c r="Q26" s="116">
        <v>26923077</v>
      </c>
      <c r="R26" s="116">
        <v>36250663559</v>
      </c>
      <c r="S26" s="116">
        <v>1194728.51</v>
      </c>
      <c r="T26" s="130">
        <f t="shared" ref="T26" si="21">Q26/S26</f>
        <v>22.53489121139329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1135362.8636363635</v>
      </c>
      <c r="G27" s="90">
        <f t="shared" ref="G27" si="22">F27/F26-1</f>
        <v>-0.19875820995159998</v>
      </c>
      <c r="H27" s="90">
        <f t="shared" ref="H27" si="23">F27/F15-1</f>
        <v>0.89090783699239928</v>
      </c>
      <c r="I27" s="130">
        <f t="shared" si="0"/>
        <v>22.99289910342085</v>
      </c>
      <c r="J27" s="130">
        <f t="shared" si="5"/>
        <v>4.2028612016302924E-2</v>
      </c>
      <c r="K27" s="78"/>
      <c r="L27" s="90"/>
      <c r="M27" s="90"/>
      <c r="P27" s="129" t="s">
        <v>377</v>
      </c>
      <c r="Q27" s="116">
        <v>24977983</v>
      </c>
      <c r="R27" s="116">
        <v>33097514078</v>
      </c>
      <c r="S27" s="116">
        <v>1086334.6499999999</v>
      </c>
      <c r="T27" s="130">
        <f t="shared" ref="T27" si="24">Q27/S27</f>
        <v>22.99289910342085</v>
      </c>
      <c r="U27" s="78"/>
    </row>
    <row r="28" spans="1:21" s="79" customFormat="1" ht="13.2" hidden="1">
      <c r="A28" s="123" t="s">
        <v>413</v>
      </c>
      <c r="B28" s="131">
        <f>SUM(F26:F28)</f>
        <v>3033526.2846889952</v>
      </c>
      <c r="C28" s="131">
        <f>AVERAGE(F26:F28)</f>
        <v>1011175.428229665</v>
      </c>
      <c r="D28" s="90">
        <f>C28/C25-1</f>
        <v>-0.2718549347579986</v>
      </c>
      <c r="E28" s="286">
        <f>C28/C16-1</f>
        <v>0.41261759847868595</v>
      </c>
      <c r="F28" s="78">
        <f>Q28/19</f>
        <v>481159.36842105264</v>
      </c>
      <c r="G28" s="90">
        <f t="shared" ref="G28" si="25">F28/F27-1</f>
        <v>-0.57620652935574668</v>
      </c>
      <c r="H28" s="90">
        <f t="shared" ref="H28" si="26">F28/F16-1</f>
        <v>-0.39578871999960963</v>
      </c>
      <c r="I28" s="130">
        <f t="shared" si="0"/>
        <v>21.360288242912326</v>
      </c>
      <c r="J28" s="130">
        <f t="shared" si="5"/>
        <v>-4.9910396077045616E-2</v>
      </c>
      <c r="K28" s="78">
        <f>R26+R27+R28</f>
        <v>81289629668</v>
      </c>
      <c r="L28" s="90">
        <f>U28/U25-1</f>
        <v>-0.28325976413182852</v>
      </c>
      <c r="M28" s="90">
        <f>U28/U16-1</f>
        <v>0.33449216659496095</v>
      </c>
      <c r="N28" s="88">
        <f>AVERAGE(T26:T28)</f>
        <v>22.296026185908818</v>
      </c>
      <c r="O28" s="91">
        <f>N28/N25-1</f>
        <v>1.1246880940744441E-2</v>
      </c>
      <c r="P28" s="129" t="s">
        <v>413</v>
      </c>
      <c r="Q28" s="116">
        <v>9142028</v>
      </c>
      <c r="R28" s="116">
        <v>11941452031</v>
      </c>
      <c r="S28" s="116">
        <v>427991.79</v>
      </c>
      <c r="T28" s="130">
        <f t="shared" ref="T28" si="27">Q28/S28</f>
        <v>21.360288242912326</v>
      </c>
      <c r="U28" s="85">
        <f>Q26+Q27+Q28</f>
        <v>61043088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1576480.3636363635</v>
      </c>
      <c r="G29" s="190">
        <f t="shared" ref="G29" si="28">F29/F28-1</f>
        <v>2.2764203860555785</v>
      </c>
      <c r="H29" s="190">
        <f t="shared" ref="H29" si="29">F29/F17-1</f>
        <v>0.67888415447094186</v>
      </c>
      <c r="I29" s="130">
        <f t="shared" si="0"/>
        <v>22.983324043160518</v>
      </c>
      <c r="J29" s="130">
        <f t="shared" si="5"/>
        <v>2.0027426400613724E-2</v>
      </c>
      <c r="K29" s="136"/>
      <c r="L29" s="190"/>
      <c r="M29" s="190"/>
      <c r="N29" s="191"/>
      <c r="O29" s="192"/>
      <c r="P29" s="129" t="s">
        <v>430</v>
      </c>
      <c r="Q29" s="116">
        <v>34682568</v>
      </c>
      <c r="R29" s="116">
        <v>45673347080</v>
      </c>
      <c r="S29" s="116">
        <v>1509031.85</v>
      </c>
      <c r="T29" s="130">
        <f t="shared" ref="T29" si="30">Q29/S29</f>
        <v>22.983324043160518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2191970.6315789474</v>
      </c>
      <c r="G30" s="190">
        <f t="shared" ref="G30" si="31">F30/F29-1</f>
        <v>0.39042051023259994</v>
      </c>
      <c r="H30" s="190">
        <f t="shared" ref="H30" si="32">F30/F18-1</f>
        <v>0.73344654523622399</v>
      </c>
      <c r="I30" s="130">
        <f t="shared" si="0"/>
        <v>22.087704817375041</v>
      </c>
      <c r="J30" s="130">
        <f t="shared" si="5"/>
        <v>-3.0430925928510932E-2</v>
      </c>
      <c r="K30" s="136"/>
      <c r="L30" s="190"/>
      <c r="M30" s="190"/>
      <c r="N30" s="191"/>
      <c r="O30" s="192"/>
      <c r="P30" s="129" t="s">
        <v>466</v>
      </c>
      <c r="Q30" s="116">
        <v>41647442</v>
      </c>
      <c r="R30" s="116">
        <v>55518949024</v>
      </c>
      <c r="S30" s="116">
        <v>1885548.65</v>
      </c>
      <c r="T30" s="130">
        <f t="shared" ref="T30" si="33">Q30/S30</f>
        <v>22.087704817375041</v>
      </c>
      <c r="U30" s="85"/>
    </row>
    <row r="31" spans="1:21" s="79" customFormat="1" ht="13.2" hidden="1">
      <c r="A31" s="129" t="s">
        <v>505</v>
      </c>
      <c r="B31" s="188">
        <f>SUM(F29:F31)</f>
        <v>5648948.5952153113</v>
      </c>
      <c r="C31" s="188">
        <f>AVERAGE(F29:F31)</f>
        <v>1882982.8650717705</v>
      </c>
      <c r="D31" s="190">
        <f>C31/C28-1</f>
        <v>0.86217229226825576</v>
      </c>
      <c r="E31" s="287">
        <f>C31/C19-1</f>
        <v>0.76674455420162868</v>
      </c>
      <c r="F31" s="136">
        <f>Q31/20</f>
        <v>1880497.6</v>
      </c>
      <c r="G31" s="190">
        <f t="shared" ref="G31" si="34">F31/F30-1</f>
        <v>-0.14209726494126573</v>
      </c>
      <c r="H31" s="190">
        <f t="shared" ref="H31" si="35">F31/F19-1</f>
        <v>0.89212202366346971</v>
      </c>
      <c r="I31" s="130">
        <f t="shared" si="0"/>
        <v>22.447757984187088</v>
      </c>
      <c r="J31" s="130">
        <f t="shared" si="5"/>
        <v>-5.361408416549196E-3</v>
      </c>
      <c r="K31" s="136">
        <f>R29+R30+R31</f>
        <v>151114705814</v>
      </c>
      <c r="L31" s="190">
        <f>U31/U28-1</f>
        <v>0.86654977218714757</v>
      </c>
      <c r="M31" s="190">
        <f>U31/U19-1</f>
        <v>0.72805825957600367</v>
      </c>
      <c r="N31" s="191">
        <f>AVERAGE(T29:T31)</f>
        <v>22.506262281574219</v>
      </c>
      <c r="O31" s="192">
        <f>N31/N28-1</f>
        <v>9.4293078915681505E-3</v>
      </c>
      <c r="P31" s="129" t="s">
        <v>505</v>
      </c>
      <c r="Q31" s="116">
        <v>37609952</v>
      </c>
      <c r="R31" s="116">
        <v>49922409710</v>
      </c>
      <c r="S31" s="116">
        <v>1675443.58</v>
      </c>
      <c r="T31" s="130">
        <f t="shared" ref="T31" si="36">Q31/S31</f>
        <v>22.447757984187088</v>
      </c>
      <c r="U31" s="85">
        <f>Q29+Q30+Q31</f>
        <v>113939962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1529590.9047619049</v>
      </c>
      <c r="G32" s="190">
        <f t="shared" ref="G32" si="37">F32/F31-1</f>
        <v>-0.18660310719784767</v>
      </c>
      <c r="H32" s="190">
        <f t="shared" ref="H32" si="38">F32/F20-1</f>
        <v>-0.19862809051474883</v>
      </c>
      <c r="I32" s="130">
        <f t="shared" si="0"/>
        <v>22.020654399227659</v>
      </c>
      <c r="J32" s="130">
        <f t="shared" si="5"/>
        <v>-1.7850211979026143E-2</v>
      </c>
      <c r="K32" s="136"/>
      <c r="L32" s="190"/>
      <c r="M32" s="190"/>
      <c r="N32" s="191"/>
      <c r="O32" s="192"/>
      <c r="P32" s="129" t="s">
        <v>590</v>
      </c>
      <c r="Q32" s="116">
        <v>32121409</v>
      </c>
      <c r="R32" s="116">
        <v>43584780711</v>
      </c>
      <c r="S32" s="116">
        <v>1458694.57</v>
      </c>
      <c r="T32" s="130">
        <f t="shared" ref="T32" si="39">Q32/S32</f>
        <v>22.020654399227659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1703189.0952380951</v>
      </c>
      <c r="G33" s="190">
        <f t="shared" ref="G33" si="40">F33/F32-1</f>
        <v>0.11349321569299775</v>
      </c>
      <c r="H33" s="190">
        <f t="shared" ref="H33" si="41">F33/F21-1</f>
        <v>0.2084588675467256</v>
      </c>
      <c r="I33" s="130">
        <f t="shared" si="0"/>
        <v>22.542356322708763</v>
      </c>
      <c r="J33" s="130">
        <f t="shared" si="5"/>
        <v>-3.0193332220407876E-2</v>
      </c>
      <c r="K33" s="136"/>
      <c r="L33" s="190"/>
      <c r="M33" s="190"/>
      <c r="N33" s="191"/>
      <c r="O33" s="192"/>
      <c r="P33" s="129" t="s">
        <v>632</v>
      </c>
      <c r="Q33" s="116">
        <v>35766971</v>
      </c>
      <c r="R33" s="116">
        <v>48857120730</v>
      </c>
      <c r="S33" s="116">
        <v>1586656.27</v>
      </c>
      <c r="T33" s="130">
        <f t="shared" ref="T33" si="42">Q33/S33</f>
        <v>22.542356322708763</v>
      </c>
      <c r="U33" s="85"/>
    </row>
    <row r="34" spans="1:21" s="79" customFormat="1" ht="13.2" hidden="1">
      <c r="A34" s="129" t="s">
        <v>652</v>
      </c>
      <c r="B34" s="188">
        <f>SUM(F32:F34)</f>
        <v>5267672.4736842103</v>
      </c>
      <c r="C34" s="188">
        <f>AVERAGE(F32:F34)</f>
        <v>1755890.8245614034</v>
      </c>
      <c r="D34" s="190">
        <f>C34/C31-1</f>
        <v>-6.7495059497274301E-2</v>
      </c>
      <c r="E34" s="287">
        <f>C34/C22-1</f>
        <v>4.4154128288964811E-2</v>
      </c>
      <c r="F34" s="136">
        <f>Q34/19</f>
        <v>2034892.4736842106</v>
      </c>
      <c r="G34" s="190">
        <f t="shared" ref="G34" si="43">F34/F33-1</f>
        <v>0.19475428733868538</v>
      </c>
      <c r="H34" s="190">
        <f t="shared" ref="H34" si="44">F34/F22-1</f>
        <v>0.17840879815222643</v>
      </c>
      <c r="I34" s="130">
        <f t="shared" si="0"/>
        <v>22.573122975857761</v>
      </c>
      <c r="J34" s="130">
        <f t="shared" si="5"/>
        <v>-5.9957231410475709E-3</v>
      </c>
      <c r="K34" s="136">
        <f>R32+R33+R34</f>
        <v>145569241646</v>
      </c>
      <c r="L34" s="190">
        <f>U34/U31-1</f>
        <v>-6.4846651432093672E-2</v>
      </c>
      <c r="M34" s="190">
        <f>U34/U22-1</f>
        <v>2.4191611763524135E-2</v>
      </c>
      <c r="N34" s="191">
        <f>AVERAGE(T32:T34)</f>
        <v>22.378711232598061</v>
      </c>
      <c r="O34" s="192">
        <f>N34/N31-1</f>
        <v>-5.6673581503839943E-3</v>
      </c>
      <c r="P34" s="129" t="s">
        <v>652</v>
      </c>
      <c r="Q34" s="116">
        <v>38662957</v>
      </c>
      <c r="R34" s="116">
        <v>53127340205</v>
      </c>
      <c r="S34" s="116">
        <v>1712787.24</v>
      </c>
      <c r="T34" s="130">
        <f t="shared" ref="T34" si="45">Q34/S34</f>
        <v>22.573122975857761</v>
      </c>
      <c r="U34" s="85">
        <f>Q32+Q33+Q34</f>
        <v>106551337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1559306.4347826086</v>
      </c>
      <c r="G35" s="190">
        <f t="shared" ref="G35" si="46">F35/F34-1</f>
        <v>-0.23371556239556213</v>
      </c>
      <c r="H35" s="190">
        <f t="shared" ref="H35" si="47">F35/F23-1</f>
        <v>0.26455342357059908</v>
      </c>
      <c r="I35" s="130">
        <f t="shared" si="0"/>
        <v>22.487257243175428</v>
      </c>
      <c r="J35" s="130">
        <f t="shared" si="5"/>
        <v>8.4609101777808338E-3</v>
      </c>
      <c r="K35" s="136"/>
      <c r="L35" s="190"/>
      <c r="M35" s="190"/>
      <c r="N35" s="191"/>
      <c r="O35" s="192"/>
      <c r="P35" s="129" t="s">
        <v>660</v>
      </c>
      <c r="Q35" s="116">
        <v>35864048</v>
      </c>
      <c r="R35" s="116">
        <v>49675808326</v>
      </c>
      <c r="S35" s="116">
        <v>1594860.93</v>
      </c>
      <c r="T35" s="130">
        <f t="shared" ref="T35" si="48">Q35/S35</f>
        <v>22.487257243175428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1498565.7142857143</v>
      </c>
      <c r="G36" s="190">
        <f t="shared" ref="G36" si="49">F36/F35-1</f>
        <v>-3.8953677828798661E-2</v>
      </c>
      <c r="H36" s="190">
        <f t="shared" ref="H36" si="50">F36/F24-1</f>
        <v>0.26798217581021766</v>
      </c>
      <c r="I36" s="130">
        <f t="shared" si="0"/>
        <v>22.199945534797248</v>
      </c>
      <c r="J36" s="130">
        <f t="shared" si="5"/>
        <v>-5.9916162197981571E-4</v>
      </c>
      <c r="K36" s="136"/>
      <c r="L36" s="190"/>
      <c r="M36" s="190"/>
      <c r="N36" s="191"/>
      <c r="O36" s="192"/>
      <c r="P36" s="129" t="s">
        <v>666</v>
      </c>
      <c r="Q36" s="116">
        <v>31469880</v>
      </c>
      <c r="R36" s="116">
        <v>42888733920</v>
      </c>
      <c r="S36" s="116">
        <v>1417565.64</v>
      </c>
      <c r="T36" s="130">
        <f t="shared" ref="T36" si="51">Q36/S36</f>
        <v>22.199945534797248</v>
      </c>
      <c r="U36" s="85"/>
    </row>
    <row r="37" spans="1:21" s="79" customFormat="1" ht="13.2" hidden="1">
      <c r="A37" s="129" t="s">
        <v>702</v>
      </c>
      <c r="B37" s="188">
        <f>SUM(F35:F37)</f>
        <v>4880771.037957212</v>
      </c>
      <c r="C37" s="188">
        <f>AVERAGE(F35:F37)</f>
        <v>1626923.6793190707</v>
      </c>
      <c r="D37" s="190">
        <f>C37/C34-1</f>
        <v>-7.3448271064658566E-2</v>
      </c>
      <c r="E37" s="287">
        <f>C37/C25-1</f>
        <v>0.17154394336457202</v>
      </c>
      <c r="F37" s="136">
        <f>Q37/18</f>
        <v>1822898.888888889</v>
      </c>
      <c r="G37" s="190">
        <f t="shared" ref="G37" si="52">F37/F36-1</f>
        <v>0.21642906381170413</v>
      </c>
      <c r="H37" s="190">
        <f t="shared" ref="H37" si="53">F37/F25-1</f>
        <v>4.0965213113327348E-2</v>
      </c>
      <c r="I37" s="130">
        <f t="shared" si="0"/>
        <v>22.222898745593604</v>
      </c>
      <c r="J37" s="130">
        <f t="shared" si="5"/>
        <v>2.7300886891971521E-2</v>
      </c>
      <c r="K37" s="136">
        <f>R35+R36+R37</f>
        <v>136390024702</v>
      </c>
      <c r="L37" s="190">
        <f>U37/U34-1</f>
        <v>-6.0114018090641097E-2</v>
      </c>
      <c r="M37" s="190">
        <f>U37/U25-1</f>
        <v>0.17587015042881471</v>
      </c>
      <c r="N37" s="191">
        <f>AVERAGE(T35:T37)</f>
        <v>22.303367174522094</v>
      </c>
      <c r="O37" s="192">
        <f>N37/N34-1</f>
        <v>-3.366773774095444E-3</v>
      </c>
      <c r="P37" s="129" t="s">
        <v>702</v>
      </c>
      <c r="Q37" s="116">
        <v>32812180</v>
      </c>
      <c r="R37" s="116">
        <v>43825482456</v>
      </c>
      <c r="S37" s="116">
        <v>1476503.15</v>
      </c>
      <c r="T37" s="130">
        <f t="shared" ref="T37" si="54">Q37/S37</f>
        <v>22.222898745593604</v>
      </c>
      <c r="U37" s="85">
        <f>Q35+Q36+Q37</f>
        <v>100146108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1872785.15</v>
      </c>
      <c r="G38" s="190">
        <f t="shared" ref="G38" si="55">F38/F37-1</f>
        <v>2.7366444411800694E-2</v>
      </c>
      <c r="H38" s="190">
        <f t="shared" ref="H38" si="56">F38/F26-1</f>
        <v>0.32165123065242507</v>
      </c>
      <c r="I38" s="130">
        <f t="shared" si="0"/>
        <v>20.601791030156793</v>
      </c>
      <c r="J38" s="130">
        <f t="shared" si="5"/>
        <v>-8.5782538868399372E-2</v>
      </c>
      <c r="K38" s="136"/>
      <c r="L38" s="190"/>
      <c r="M38" s="190"/>
      <c r="N38" s="191"/>
      <c r="O38" s="192"/>
      <c r="P38" s="129" t="s">
        <v>728</v>
      </c>
      <c r="Q38" s="116">
        <v>37455703</v>
      </c>
      <c r="R38" s="116">
        <v>50341980023</v>
      </c>
      <c r="S38" s="116">
        <v>1818079.94</v>
      </c>
      <c r="T38" s="130">
        <f t="shared" ref="T38" si="57">Q38/S38</f>
        <v>20.601791030156793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1829384</v>
      </c>
      <c r="G39" s="190">
        <f t="shared" ref="G39" si="58">F39/F38-1</f>
        <v>-2.3174655138631262E-2</v>
      </c>
      <c r="H39" s="190">
        <f t="shared" ref="H39" si="59">F39/F27-1</f>
        <v>0.61127693937496885</v>
      </c>
      <c r="I39" s="130">
        <f t="shared" si="0"/>
        <v>20.03089623858698</v>
      </c>
      <c r="J39" s="130">
        <f t="shared" si="5"/>
        <v>-0.12882250522263139</v>
      </c>
      <c r="K39" s="136"/>
      <c r="L39" s="190"/>
      <c r="M39" s="190"/>
      <c r="N39" s="191"/>
      <c r="O39" s="192"/>
      <c r="P39" s="129" t="s">
        <v>762</v>
      </c>
      <c r="Q39" s="116">
        <v>38417064</v>
      </c>
      <c r="R39" s="116">
        <v>53420424275</v>
      </c>
      <c r="S39" s="116">
        <v>1917890.42</v>
      </c>
      <c r="T39" s="130">
        <f t="shared" ref="T39" si="60">Q39/S39</f>
        <v>20.03089623858698</v>
      </c>
      <c r="U39" s="85"/>
    </row>
    <row r="40" spans="1:21" s="79" customFormat="1" ht="13.2" hidden="1">
      <c r="A40" s="129" t="s">
        <v>778</v>
      </c>
      <c r="B40" s="188">
        <f>SUM(F38:F40)</f>
        <v>4589883.8166666664</v>
      </c>
      <c r="C40" s="188">
        <f>AVERAGE(F38:F40)</f>
        <v>1529961.2722222221</v>
      </c>
      <c r="D40" s="190">
        <f>C40/C37-1</f>
        <v>-5.9598620592596574E-2</v>
      </c>
      <c r="E40" s="287">
        <f>C40/C28-1</f>
        <v>0.51305226522447378</v>
      </c>
      <c r="F40" s="136">
        <f>Q40/21</f>
        <v>887714.66666666663</v>
      </c>
      <c r="G40" s="190">
        <f t="shared" ref="G40" si="61">F40/F39-1</f>
        <v>-0.51474667611246927</v>
      </c>
      <c r="H40" s="190">
        <f t="shared" ref="H40" si="62">F40/F28-1</f>
        <v>0.84494935551134454</v>
      </c>
      <c r="I40" s="130">
        <f t="shared" si="0"/>
        <v>20.88508912827275</v>
      </c>
      <c r="J40" s="130">
        <f t="shared" si="5"/>
        <v>-2.2246849351260756E-2</v>
      </c>
      <c r="K40" s="136">
        <f>R38+R39+R40</f>
        <v>130240173353</v>
      </c>
      <c r="L40" s="190">
        <f>U40/U37-1</f>
        <v>-5.623117175956549E-2</v>
      </c>
      <c r="M40" s="190">
        <f>U40/U28-1</f>
        <v>0.54832886239306888</v>
      </c>
      <c r="N40" s="191">
        <f>AVERAGE(T38:T40)</f>
        <v>20.505925465672174</v>
      </c>
      <c r="O40" s="192">
        <f>N40/N37-1</f>
        <v>-8.059059848609762E-2</v>
      </c>
      <c r="P40" s="129" t="s">
        <v>778</v>
      </c>
      <c r="Q40" s="116">
        <v>18642008</v>
      </c>
      <c r="R40" s="116">
        <v>26477769055</v>
      </c>
      <c r="S40" s="116">
        <v>892598.92</v>
      </c>
      <c r="T40" s="130">
        <f t="shared" ref="T40" si="63">Q40/S40</f>
        <v>20.88508912827275</v>
      </c>
      <c r="U40" s="85">
        <f>Q38+Q39+Q40</f>
        <v>94514775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1592178</v>
      </c>
      <c r="G41" s="190">
        <f t="shared" ref="G41" si="64">F41/F40-1</f>
        <v>0.7935695553826605</v>
      </c>
      <c r="H41" s="190">
        <f t="shared" ref="H41" si="65">F41/F29-1</f>
        <v>9.9573941583566139E-3</v>
      </c>
      <c r="I41" s="130">
        <f t="shared" si="0"/>
        <v>20.470411844197841</v>
      </c>
      <c r="J41" s="130">
        <f t="shared" si="5"/>
        <v>-0.10933632551338812</v>
      </c>
      <c r="K41" s="193"/>
      <c r="L41" s="190"/>
      <c r="M41" s="190"/>
      <c r="N41" s="193"/>
      <c r="O41" s="193"/>
      <c r="P41" s="129" t="s">
        <v>792</v>
      </c>
      <c r="Q41" s="116">
        <v>28659204</v>
      </c>
      <c r="R41" s="116">
        <v>41854504612</v>
      </c>
      <c r="S41" s="116">
        <v>1400030.65</v>
      </c>
      <c r="T41" s="130">
        <f t="shared" ref="T41" si="66">Q41/S41</f>
        <v>20.470411844197841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1151630.1000000001</v>
      </c>
      <c r="G42" s="190">
        <f t="shared" ref="G42" si="67">F42/F41-1</f>
        <v>-0.27669513082080011</v>
      </c>
      <c r="H42" s="190">
        <f t="shared" ref="H42" si="68">F42/F30-1</f>
        <v>-0.47461426562524534</v>
      </c>
      <c r="I42" s="130">
        <f t="shared" si="0"/>
        <v>20.63566138639171</v>
      </c>
      <c r="J42" s="130">
        <f t="shared" si="5"/>
        <v>-6.5739896607143078E-2</v>
      </c>
      <c r="K42" s="193"/>
      <c r="L42" s="190"/>
      <c r="M42" s="190"/>
      <c r="N42" s="193"/>
      <c r="O42" s="193"/>
      <c r="P42" s="129" t="s">
        <v>826</v>
      </c>
      <c r="Q42" s="116">
        <v>23032602</v>
      </c>
      <c r="R42" s="116">
        <v>33318989329</v>
      </c>
      <c r="S42" s="116">
        <v>1116155.26</v>
      </c>
      <c r="T42" s="130">
        <f t="shared" ref="T42" si="69">Q42/S42</f>
        <v>20.63566138639171</v>
      </c>
      <c r="U42" s="78"/>
    </row>
    <row r="43" spans="1:21" s="79" customFormat="1" ht="13.2">
      <c r="A43" s="129" t="s">
        <v>835</v>
      </c>
      <c r="B43" s="188">
        <f>SUM(F41:F43)</f>
        <v>4124283.4000000004</v>
      </c>
      <c r="C43" s="188">
        <f>AVERAGE(F41:F43)</f>
        <v>1374761.1333333335</v>
      </c>
      <c r="D43" s="190">
        <f>C43/C40-1</f>
        <v>-0.1014405669651135</v>
      </c>
      <c r="E43" s="287">
        <f>C43/C31-1</f>
        <v>-0.2699024729144659</v>
      </c>
      <c r="F43" s="136">
        <f>Q43/20</f>
        <v>1380475.3</v>
      </c>
      <c r="G43" s="190">
        <f t="shared" ref="G43" si="70">F43/F42-1</f>
        <v>0.19871415309481755</v>
      </c>
      <c r="H43" s="190">
        <f t="shared" ref="H43" si="71">F43/F31-1</f>
        <v>-0.26589893015550781</v>
      </c>
      <c r="I43" s="130">
        <f t="shared" si="0"/>
        <v>20.141902203471609</v>
      </c>
      <c r="J43" s="130">
        <f t="shared" si="5"/>
        <v>-0.10272098364298998</v>
      </c>
      <c r="K43" s="136">
        <f>R41+R42+R43</f>
        <v>115137979674</v>
      </c>
      <c r="L43" s="190">
        <f>U43/U40-1</f>
        <v>-0.16096385988328277</v>
      </c>
      <c r="M43" s="190">
        <f>K43/K31-1</f>
        <v>-0.23807561247071518</v>
      </c>
      <c r="N43" s="191">
        <f>AVERAGE(T41:T43)</f>
        <v>20.41599181135372</v>
      </c>
      <c r="O43" s="192">
        <f>N43/N40-1</f>
        <v>-4.3857398423204907E-3</v>
      </c>
      <c r="P43" s="129" t="s">
        <v>835</v>
      </c>
      <c r="Q43" s="116">
        <v>27609506</v>
      </c>
      <c r="R43" s="116">
        <v>39964485733</v>
      </c>
      <c r="S43" s="116">
        <v>1370749.68</v>
      </c>
      <c r="T43" s="130">
        <f t="shared" ref="T43" si="72">Q43/S43</f>
        <v>20.141902203471609</v>
      </c>
      <c r="U43" s="85">
        <f>Q41+Q42+Q43</f>
        <v>79301312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1882915.2272727273</v>
      </c>
      <c r="G44" s="190">
        <f t="shared" ref="G44" si="73">F44/F43-1</f>
        <v>0.36396154807893133</v>
      </c>
      <c r="H44" s="190">
        <f t="shared" ref="H44" si="74">F44/F32-1</f>
        <v>0.23099269315138926</v>
      </c>
      <c r="I44" s="130">
        <f t="shared" si="0"/>
        <v>19.976033371054786</v>
      </c>
      <c r="J44" s="130">
        <f t="shared" si="5"/>
        <v>-9.285014837000416E-2</v>
      </c>
      <c r="K44" s="136"/>
      <c r="L44" s="190"/>
      <c r="M44" s="190"/>
      <c r="N44" s="191"/>
      <c r="O44" s="192"/>
      <c r="P44" s="129" t="s">
        <v>843</v>
      </c>
      <c r="Q44" s="116">
        <v>41424135</v>
      </c>
      <c r="R44" s="116">
        <v>60037165400</v>
      </c>
      <c r="S44" s="116">
        <v>2073691.72</v>
      </c>
      <c r="T44" s="130">
        <f t="shared" ref="T44" si="75">Q44/S44</f>
        <v>19.976033371054786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1870396.8</v>
      </c>
      <c r="G45" s="190">
        <f t="shared" ref="G45" si="76">F45/F44-1</f>
        <v>-6.6484285067147653E-3</v>
      </c>
      <c r="H45" s="190">
        <f t="shared" ref="H45" si="77">F45/F33-1</f>
        <v>9.8173306316601483E-2</v>
      </c>
      <c r="I45" s="130">
        <f t="shared" si="0"/>
        <v>19.893684433072231</v>
      </c>
      <c r="J45" s="130">
        <f t="shared" si="5"/>
        <v>-0.11749756111202569</v>
      </c>
      <c r="K45" s="136"/>
      <c r="L45" s="190"/>
      <c r="M45" s="190"/>
      <c r="N45" s="191"/>
      <c r="O45" s="192"/>
      <c r="P45" s="129" t="s">
        <v>849</v>
      </c>
      <c r="Q45" s="116">
        <v>37407936</v>
      </c>
      <c r="R45" s="116">
        <v>52619643014</v>
      </c>
      <c r="S45" s="116">
        <v>1880392.55</v>
      </c>
      <c r="T45" s="130">
        <f t="shared" ref="T45" si="78">Q45/S45</f>
        <v>19.893684433072231</v>
      </c>
      <c r="U45" s="85"/>
    </row>
    <row r="46" spans="1:21" s="79" customFormat="1" ht="13.2">
      <c r="A46" s="129" t="s">
        <v>888</v>
      </c>
      <c r="B46" s="188">
        <f>SUM(F44:F46)</f>
        <v>5025809.3956937799</v>
      </c>
      <c r="C46" s="188">
        <f>AVERAGE(F44:F46)</f>
        <v>1675269.7985645933</v>
      </c>
      <c r="D46" s="190">
        <f>C46/C43-1</f>
        <v>0.21858973020471373</v>
      </c>
      <c r="E46" s="287">
        <f>C46/C34-1</f>
        <v>-4.5914600651181137E-2</v>
      </c>
      <c r="F46" s="136">
        <f>Q46/19</f>
        <v>1272497.3684210526</v>
      </c>
      <c r="G46" s="190">
        <f t="shared" ref="G46" si="79">F46/F45-1</f>
        <v>-0.31966448594167152</v>
      </c>
      <c r="H46" s="190">
        <f t="shared" ref="H46" si="80">F46/F34-1</f>
        <v>-0.37466112589370759</v>
      </c>
      <c r="I46" s="130">
        <f t="shared" si="0"/>
        <v>18.337676324489053</v>
      </c>
      <c r="J46" s="130">
        <f t="shared" si="5"/>
        <v>-0.18763228534654119</v>
      </c>
      <c r="K46" s="136">
        <f>R44+R45+R46</f>
        <v>145811263086</v>
      </c>
      <c r="L46" s="190">
        <f>U46/U43-1</f>
        <v>0.29896364135816578</v>
      </c>
      <c r="M46" s="190">
        <f>K46/K34-1</f>
        <v>1.6625863902524074E-3</v>
      </c>
      <c r="N46" s="191">
        <f>AVERAGE(T44:T46)</f>
        <v>19.402464709538691</v>
      </c>
      <c r="O46" s="192">
        <f>N46/N43-1</f>
        <v>-4.9643784694867854E-2</v>
      </c>
      <c r="P46" s="129" t="s">
        <v>888</v>
      </c>
      <c r="Q46" s="116">
        <v>24177450</v>
      </c>
      <c r="R46" s="116">
        <v>33154454672</v>
      </c>
      <c r="S46" s="116">
        <v>1318457.67</v>
      </c>
      <c r="T46" s="130">
        <f t="shared" ref="T46" si="81">Q46/S46</f>
        <v>18.337676324489053</v>
      </c>
      <c r="U46" s="85">
        <f t="shared" ref="U46:U51" si="82">Q44+Q45+Q46</f>
        <v>103009521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2104741.3478260869</v>
      </c>
      <c r="G47" s="190">
        <f t="shared" ref="G47" si="83">F47/F46-1</f>
        <v>0.65402412614629135</v>
      </c>
      <c r="H47" s="190">
        <f t="shared" ref="H47" si="84">F47/F35-1</f>
        <v>0.34979328044620073</v>
      </c>
      <c r="I47" s="130">
        <f t="shared" si="0"/>
        <v>20.067159520957624</v>
      </c>
      <c r="J47" s="130">
        <f t="shared" si="5"/>
        <v>-0.107620849267968</v>
      </c>
      <c r="K47" s="136"/>
      <c r="L47" s="190"/>
      <c r="M47" s="190"/>
      <c r="N47" s="191"/>
      <c r="O47" s="192"/>
      <c r="P47" s="129" t="s">
        <v>1029</v>
      </c>
      <c r="Q47" s="116">
        <v>48409051</v>
      </c>
      <c r="R47" s="116">
        <v>66143735412</v>
      </c>
      <c r="S47" s="116">
        <v>2412351.9300000002</v>
      </c>
      <c r="T47" s="130">
        <f t="shared" ref="T47" si="85">Q47/S47</f>
        <v>20.067159520957624</v>
      </c>
      <c r="U47" s="85">
        <f t="shared" si="82"/>
        <v>109994437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1353954.5</v>
      </c>
      <c r="G48" s="190">
        <f t="shared" ref="G48" si="86">F48/F47-1</f>
        <v>-0.35671216731763655</v>
      </c>
      <c r="H48" s="190">
        <f t="shared" ref="H48" si="87">F48/F36-1</f>
        <v>-9.6499748330784896E-2</v>
      </c>
      <c r="I48" s="130">
        <f t="shared" si="0"/>
        <v>20.167576745496142</v>
      </c>
      <c r="J48" s="130">
        <f t="shared" si="5"/>
        <v>-9.1548368265835345E-2</v>
      </c>
      <c r="K48" s="136"/>
      <c r="L48" s="190"/>
      <c r="M48" s="190"/>
      <c r="N48" s="191"/>
      <c r="O48" s="192"/>
      <c r="P48" s="129" t="s">
        <v>1070</v>
      </c>
      <c r="Q48" s="116">
        <v>27079090</v>
      </c>
      <c r="R48" s="116">
        <v>37565072962</v>
      </c>
      <c r="S48" s="116">
        <v>1342704.2</v>
      </c>
      <c r="T48" s="130">
        <f t="shared" ref="T48" si="88">Q48/S48</f>
        <v>20.167576745496142</v>
      </c>
      <c r="U48" s="85">
        <f t="shared" si="82"/>
        <v>99665591</v>
      </c>
    </row>
    <row r="49" spans="1:26" ht="13.2">
      <c r="A49" s="129" t="s">
        <v>1158</v>
      </c>
      <c r="B49" s="188">
        <f>SUM(F47:F49)</f>
        <v>4738037.6660079053</v>
      </c>
      <c r="C49" s="188">
        <f>AVERAGE(F47:F49)</f>
        <v>1579345.8886693018</v>
      </c>
      <c r="D49" s="190">
        <f>C49/C46-1</f>
        <v>-5.7258783019595527E-2</v>
      </c>
      <c r="E49" s="287">
        <f>C49/C37-1</f>
        <v>-2.9244021249774876E-2</v>
      </c>
      <c r="F49" s="136">
        <f>Q49/22</f>
        <v>1279341.8181818181</v>
      </c>
      <c r="G49" s="190">
        <f t="shared" ref="G49" si="89">F49/F48-1</f>
        <v>-5.5107229835405724E-2</v>
      </c>
      <c r="H49" s="190">
        <f t="shared" ref="H49" si="90">F49/F37-1</f>
        <v>-0.29818278678000898</v>
      </c>
      <c r="I49" s="130">
        <f t="shared" si="0"/>
        <v>20.156147278594418</v>
      </c>
      <c r="J49" s="130">
        <f t="shared" si="5"/>
        <v>-9.3000984734675329E-2</v>
      </c>
      <c r="K49" s="136">
        <f>R47+R48+R49</f>
        <v>142839930548</v>
      </c>
      <c r="L49" s="190">
        <f>U49/U46-1</f>
        <v>6.0590515705825077E-3</v>
      </c>
      <c r="M49" s="190">
        <f>K49/K37-1</f>
        <v>4.729015820689586E-2</v>
      </c>
      <c r="N49" s="191">
        <f>AVERAGE(T47:T49)</f>
        <v>20.130294515016061</v>
      </c>
      <c r="O49" s="192">
        <f>N49/N46-1</f>
        <v>3.7512234469858408E-2</v>
      </c>
      <c r="P49" s="129" t="s">
        <v>1188</v>
      </c>
      <c r="Q49" s="116">
        <v>28145520</v>
      </c>
      <c r="R49" s="116">
        <v>39131122174</v>
      </c>
      <c r="S49" s="116">
        <v>1396374</v>
      </c>
      <c r="T49" s="130">
        <f t="shared" ref="T49" si="91">Q49/S49</f>
        <v>20.156147278594418</v>
      </c>
      <c r="U49" s="85">
        <f t="shared" si="82"/>
        <v>103633661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1411072.888888889</v>
      </c>
      <c r="G50" s="190">
        <f t="shared" ref="G50" si="92">F50/F49-1</f>
        <v>0.10296784552410321</v>
      </c>
      <c r="H50" s="190">
        <f t="shared" ref="H50" si="93">F50/F38-1</f>
        <v>-0.24653776281337503</v>
      </c>
      <c r="I50" s="130">
        <f t="shared" ref="I50" si="94">T50</f>
        <v>20.959120446985317</v>
      </c>
      <c r="J50" s="130">
        <f t="shared" ref="J50" si="95">I50/I38-1</f>
        <v>1.7344580202054649E-2</v>
      </c>
      <c r="K50" s="136"/>
      <c r="L50" s="190"/>
      <c r="M50" s="190"/>
      <c r="N50" s="191"/>
      <c r="O50" s="192"/>
      <c r="P50" s="129" t="s">
        <v>1293</v>
      </c>
      <c r="Q50" s="116">
        <v>25399312</v>
      </c>
      <c r="R50" s="116">
        <v>35985625432</v>
      </c>
      <c r="S50" s="116">
        <v>1211850.0900000001</v>
      </c>
      <c r="T50" s="130">
        <f t="shared" ref="T50" si="96">Q50/S50</f>
        <v>20.959120446985317</v>
      </c>
      <c r="U50" s="85">
        <f t="shared" si="82"/>
        <v>80623922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1849172.05</v>
      </c>
      <c r="G51" s="190">
        <f t="shared" ref="G51:G52" si="97">F51/F50-1</f>
        <v>0.3104723820865698</v>
      </c>
      <c r="H51" s="190">
        <f t="shared" ref="H51:H52" si="98">F51/F39-1</f>
        <v>1.081678313574419E-2</v>
      </c>
      <c r="I51" s="130">
        <f t="shared" ref="I51:I52" si="99">T51</f>
        <v>20.906692716537233</v>
      </c>
      <c r="J51" s="130">
        <f t="shared" ref="J51:J52" si="100">I51/I39-1</f>
        <v>4.3722281195942791E-2</v>
      </c>
      <c r="K51" s="136"/>
      <c r="L51" s="190"/>
      <c r="M51" s="190"/>
      <c r="N51" s="191"/>
      <c r="O51" s="192"/>
      <c r="P51" s="129" t="s">
        <v>1402</v>
      </c>
      <c r="Q51" s="116">
        <v>36983441</v>
      </c>
      <c r="R51" s="116">
        <v>53591059507</v>
      </c>
      <c r="S51" s="116">
        <v>1768976.16</v>
      </c>
      <c r="T51" s="130">
        <f t="shared" ref="T51:T52" si="101">Q51/S51</f>
        <v>20.906692716537233</v>
      </c>
      <c r="U51" s="85">
        <f t="shared" si="82"/>
        <v>90528273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4485938.0752525255</v>
      </c>
      <c r="C52" s="188">
        <f>AVERAGE(F50:F52)</f>
        <v>1495312.6917508419</v>
      </c>
      <c r="D52" s="190">
        <f>C52/C49-1</f>
        <v>-5.3207595322430024E-2</v>
      </c>
      <c r="E52" s="287">
        <f>C52/C40-1</f>
        <v>-2.2646704266608086E-2</v>
      </c>
      <c r="F52" s="136">
        <f>Q52/22</f>
        <v>1225693.1363636365</v>
      </c>
      <c r="G52" s="190">
        <f t="shared" si="97"/>
        <v>-0.33716652468133701</v>
      </c>
      <c r="H52" s="190">
        <f t="shared" si="98"/>
        <v>0.38072872104959754</v>
      </c>
      <c r="I52" s="130">
        <f t="shared" si="99"/>
        <v>21.730968612091672</v>
      </c>
      <c r="J52" s="130">
        <f t="shared" si="100"/>
        <v>4.0501597988099158E-2</v>
      </c>
      <c r="K52" s="136">
        <f>R50+R51+R52</f>
        <v>129256445987</v>
      </c>
      <c r="L52" s="190">
        <f>U52/U49-1</f>
        <v>-0.13784767287146216</v>
      </c>
      <c r="M52" s="190">
        <f>K52/K40-1</f>
        <v>-7.5531791817700089E-3</v>
      </c>
      <c r="N52" s="191">
        <f>AVERAGE(T50:T52)</f>
        <v>21.198927258538074</v>
      </c>
      <c r="O52" s="192">
        <f>N52/N49-1</f>
        <v>5.3085797762415954E-2</v>
      </c>
      <c r="P52" s="129" t="s">
        <v>1403</v>
      </c>
      <c r="Q52" s="116">
        <v>26965249</v>
      </c>
      <c r="R52" s="116">
        <v>39679761048</v>
      </c>
      <c r="S52" s="116">
        <v>1240867.33</v>
      </c>
      <c r="T52" s="130">
        <f t="shared" si="101"/>
        <v>21.730968612091672</v>
      </c>
      <c r="U52" s="85">
        <f t="shared" ref="U52" si="102">Q50+Q51+Q52</f>
        <v>89348002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1353670.2380952381</v>
      </c>
      <c r="G53" s="190">
        <f t="shared" ref="G53" si="103">F53/F52-1</f>
        <v>0.10441202445767273</v>
      </c>
      <c r="H53" s="190">
        <f t="shared" ref="H53" si="104">F53/F41-1</f>
        <v>-0.14979968439757485</v>
      </c>
      <c r="I53" s="130">
        <f t="shared" ref="I53" si="105">T53</f>
        <v>21.314551374415284</v>
      </c>
      <c r="J53" s="130">
        <f t="shared" ref="J53" si="106">I53/I41-1</f>
        <v>4.1237056520516902E-2</v>
      </c>
      <c r="K53" s="136"/>
      <c r="L53" s="190"/>
      <c r="M53" s="190"/>
      <c r="N53" s="191"/>
      <c r="O53" s="192"/>
      <c r="P53" s="129" t="s">
        <v>1414</v>
      </c>
      <c r="Q53" s="116">
        <v>28427075</v>
      </c>
      <c r="R53" s="116">
        <v>41349552511</v>
      </c>
      <c r="S53" s="116">
        <v>1333693.33</v>
      </c>
      <c r="T53" s="130">
        <f t="shared" ref="T53" si="107">Q53/S53</f>
        <v>21.314551374415284</v>
      </c>
      <c r="U53" s="85">
        <f t="shared" ref="U53" si="108">Q51+Q52+Q53</f>
        <v>92375765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1720934.2352941176</v>
      </c>
      <c r="G54" s="190">
        <f t="shared" ref="G54" si="109">F54/F53-1</f>
        <v>0.27130979677566081</v>
      </c>
      <c r="H54" s="190">
        <f t="shared" ref="H54" si="110">F54/F42-1</f>
        <v>0.49434634896579843</v>
      </c>
      <c r="I54" s="130">
        <f t="shared" ref="I54" si="111">T54</f>
        <v>21.075520357315941</v>
      </c>
      <c r="J54" s="130">
        <f t="shared" ref="J54" si="112">I54/I42-1</f>
        <v>2.1315477255034798E-2</v>
      </c>
      <c r="K54" s="136"/>
      <c r="L54" s="190"/>
      <c r="M54" s="190"/>
      <c r="N54" s="191"/>
      <c r="O54" s="192"/>
      <c r="P54" s="129" t="s">
        <v>1417</v>
      </c>
      <c r="Q54" s="116">
        <v>29255882</v>
      </c>
      <c r="R54" s="116">
        <v>42354962932</v>
      </c>
      <c r="S54" s="116">
        <v>1388145.18</v>
      </c>
      <c r="T54" s="130">
        <f t="shared" ref="T54" si="113">Q54/S54</f>
        <v>21.075520357315941</v>
      </c>
      <c r="U54" s="85">
        <f t="shared" ref="U54" si="114">Q52+Q53+Q54</f>
        <v>84648206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3853594.521008403</v>
      </c>
      <c r="C55" s="188">
        <f>AVERAGE(F53:F55)</f>
        <v>1284531.5070028009</v>
      </c>
      <c r="D55" s="190">
        <f>C55/C52-1</f>
        <v>-0.1409612757992712</v>
      </c>
      <c r="E55" s="287">
        <f>C55/C43-1</f>
        <v>-6.5632948257531853E-2</v>
      </c>
      <c r="F55" s="136">
        <f>Q55/21</f>
        <v>778990.04761904757</v>
      </c>
      <c r="G55" s="190">
        <f t="shared" ref="G55" si="115">F55/F54-1</f>
        <v>-0.54734467381554897</v>
      </c>
      <c r="H55" s="190">
        <f t="shared" ref="H55" si="116">F55/F43-1</f>
        <v>-0.43570881158174468</v>
      </c>
      <c r="I55" s="130">
        <f>T55</f>
        <v>21.442797431712783</v>
      </c>
      <c r="J55" s="130">
        <f t="shared" ref="J55" si="117">I55/I43-1</f>
        <v>6.4586512986690714E-2</v>
      </c>
      <c r="K55" s="136">
        <f>R53+R54+R55</f>
        <v>107662857246</v>
      </c>
      <c r="L55" s="190">
        <f>U55/U52-1</f>
        <v>-0.17131053473361391</v>
      </c>
      <c r="M55" s="190">
        <f>K55/K43-1</f>
        <v>-6.4923168264415909E-2</v>
      </c>
      <c r="N55" s="191">
        <f>AVERAGE(T53:T55)</f>
        <v>21.277623054481335</v>
      </c>
      <c r="O55" s="192">
        <f>N55/N52-1</f>
        <v>3.7122536901750269E-3</v>
      </c>
      <c r="P55" s="129" t="s">
        <v>1418</v>
      </c>
      <c r="Q55" s="116">
        <v>16358791</v>
      </c>
      <c r="R55" s="116">
        <v>23958341803</v>
      </c>
      <c r="S55" s="116">
        <v>762903.77</v>
      </c>
      <c r="T55" s="130">
        <f t="shared" ref="T55" si="118">Q55/S55</f>
        <v>21.442797431712783</v>
      </c>
      <c r="U55" s="85">
        <f t="shared" ref="U55" si="119">Q53+Q54+Q55</f>
        <v>74041748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1112168.4090909092</v>
      </c>
      <c r="G56" s="190">
        <f t="shared" ref="G56" si="120">F56/F55-1</f>
        <v>0.42770554320970877</v>
      </c>
      <c r="H56" s="190">
        <f t="shared" ref="H56" si="121">F56/F44-1</f>
        <v>-0.40933697227473786</v>
      </c>
      <c r="I56" s="291">
        <f>T56</f>
        <v>20.446820048691393</v>
      </c>
      <c r="J56" s="130">
        <f t="shared" ref="J56" si="122">I56/I44-1</f>
        <v>2.3567575648866024E-2</v>
      </c>
      <c r="K56" s="136"/>
      <c r="L56" s="190"/>
      <c r="M56" s="190"/>
      <c r="N56" s="191"/>
      <c r="O56" s="192"/>
      <c r="P56" s="129" t="s">
        <v>1420</v>
      </c>
      <c r="Q56" s="116">
        <v>24467705</v>
      </c>
      <c r="R56" s="116">
        <v>36627706549</v>
      </c>
      <c r="S56" s="116">
        <v>1196650.8700000001</v>
      </c>
      <c r="T56" s="130">
        <f t="shared" ref="T56" si="123">Q56/S56</f>
        <v>20.446820048691393</v>
      </c>
      <c r="U56" s="85">
        <f t="shared" ref="U56" si="124">Q54+Q55+Q56</f>
        <v>70082378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1120200.5833333333</v>
      </c>
      <c r="G57" s="254">
        <f t="shared" ref="G57" si="125">F57/F56-1</f>
        <v>7.2220845123533994E-3</v>
      </c>
      <c r="H57" s="254">
        <f t="shared" ref="H57" si="126">F57/F45-1</f>
        <v>-0.40108933926034662</v>
      </c>
      <c r="I57" s="282">
        <f>T57</f>
        <v>18.821522982229165</v>
      </c>
      <c r="J57" s="277">
        <f t="shared" ref="J57" si="127">I57/I45-1</f>
        <v>-5.3894564098978637E-2</v>
      </c>
      <c r="K57" s="204"/>
      <c r="L57" s="254"/>
      <c r="M57" s="254"/>
      <c r="N57" s="257"/>
      <c r="O57" s="258"/>
      <c r="P57" s="129" t="s">
        <v>1436</v>
      </c>
      <c r="Q57" s="116">
        <v>13442407</v>
      </c>
      <c r="R57" s="116">
        <v>19785401960</v>
      </c>
      <c r="S57" s="116">
        <v>714204</v>
      </c>
      <c r="T57" s="130">
        <f t="shared" ref="T57" si="128">Q57/S57</f>
        <v>18.821522982229165</v>
      </c>
      <c r="U57" s="85">
        <f t="shared" ref="U57" si="129">Q55+Q56+Q57</f>
        <v>54268903</v>
      </c>
      <c r="V57" s="79"/>
      <c r="W57" s="79"/>
      <c r="X57" s="79"/>
      <c r="Y57" s="79"/>
      <c r="Z57" s="79"/>
    </row>
    <row r="58" spans="1:26">
      <c r="B58" s="196">
        <f>SUM(F56:F58)</f>
        <v>2232368.9924242422</v>
      </c>
      <c r="C58" s="196">
        <f>AVERAGE(F56:F58)</f>
        <v>1116184.4962121211</v>
      </c>
      <c r="D58" s="197">
        <f>C58/C55-1</f>
        <v>-0.13105712851176698</v>
      </c>
      <c r="E58" s="233">
        <f>C58/C46-1</f>
        <v>-0.33372851515111679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111951860</v>
      </c>
      <c r="R66" s="212">
        <v>164075965755</v>
      </c>
      <c r="S66" s="213">
        <v>5395597.1600000001</v>
      </c>
      <c r="T66" s="214">
        <v>8</v>
      </c>
      <c r="U66" s="214">
        <v>14</v>
      </c>
    </row>
    <row r="67" spans="16:21" ht="18" thickBot="1">
      <c r="P67" s="180" t="s">
        <v>976</v>
      </c>
      <c r="Q67" s="181">
        <v>28427075</v>
      </c>
      <c r="R67" s="181">
        <v>41349552511</v>
      </c>
      <c r="S67" s="182">
        <v>1333693.33</v>
      </c>
      <c r="T67" s="210">
        <v>6</v>
      </c>
      <c r="U67" s="210">
        <v>9</v>
      </c>
    </row>
    <row r="68" spans="16:21" ht="18" thickBot="1">
      <c r="P68" s="180" t="s">
        <v>977</v>
      </c>
      <c r="Q68" s="181">
        <v>29255882</v>
      </c>
      <c r="R68" s="181">
        <v>42354962932</v>
      </c>
      <c r="S68" s="182">
        <v>1388145.18</v>
      </c>
      <c r="T68" s="210">
        <v>5</v>
      </c>
      <c r="U68" s="210">
        <v>6</v>
      </c>
    </row>
    <row r="69" spans="16:21" ht="18" thickBot="1">
      <c r="P69" s="180" t="s">
        <v>978</v>
      </c>
      <c r="Q69" s="181">
        <v>16358791</v>
      </c>
      <c r="R69" s="181">
        <v>23958341803</v>
      </c>
      <c r="S69" s="182">
        <v>762903.77</v>
      </c>
      <c r="T69" s="210" t="s">
        <v>1421</v>
      </c>
      <c r="U69" s="210">
        <v>9</v>
      </c>
    </row>
    <row r="70" spans="16:21" ht="18" thickBot="1">
      <c r="P70" s="180" t="s">
        <v>979</v>
      </c>
      <c r="Q70" s="181">
        <v>24467705</v>
      </c>
      <c r="R70" s="181">
        <v>36627706549</v>
      </c>
      <c r="S70" s="182">
        <v>1196650.8700000001</v>
      </c>
      <c r="T70" s="210" t="s">
        <v>1421</v>
      </c>
      <c r="U70" s="210">
        <v>5</v>
      </c>
    </row>
    <row r="71" spans="16:21" ht="18" thickBot="1">
      <c r="P71" s="180" t="s">
        <v>980</v>
      </c>
      <c r="Q71" s="181">
        <v>13442407</v>
      </c>
      <c r="R71" s="181">
        <v>19785401960</v>
      </c>
      <c r="S71" s="182">
        <v>714204</v>
      </c>
      <c r="T71" s="210">
        <v>5</v>
      </c>
      <c r="U71" s="210">
        <v>7</v>
      </c>
    </row>
    <row r="72" spans="16:21" ht="18" thickBot="1">
      <c r="P72" s="180" t="s">
        <v>975</v>
      </c>
      <c r="Q72" s="181">
        <v>375292403</v>
      </c>
      <c r="R72" s="181">
        <v>533045482331</v>
      </c>
      <c r="S72" s="182">
        <v>18532601.260000002</v>
      </c>
      <c r="T72" s="210">
        <v>21</v>
      </c>
      <c r="U72" s="210">
        <v>31</v>
      </c>
    </row>
    <row r="73" spans="16:21" ht="18" thickBot="1">
      <c r="P73" s="215" t="s">
        <v>982</v>
      </c>
      <c r="Q73" s="217" t="s">
        <v>1508</v>
      </c>
      <c r="R73"/>
      <c r="S73"/>
      <c r="T73"/>
      <c r="U73"/>
    </row>
  </sheetData>
  <phoneticPr fontId="1" type="noConversion"/>
  <conditionalFormatting sqref="C29:C30">
    <cfRule type="cellIs" dxfId="13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30"/>
  <dimension ref="A1:Z72"/>
  <sheetViews>
    <sheetView topLeftCell="B1" zoomScale="90" zoomScaleNormal="90" workbookViewId="0">
      <selection activeCell="I66" sqref="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1276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681544</v>
      </c>
      <c r="G5" s="90"/>
      <c r="H5" s="90"/>
      <c r="I5" s="130">
        <f t="shared" ref="I5:I49" si="0">T5</f>
        <v>16.186007901230546</v>
      </c>
      <c r="J5" s="130"/>
      <c r="K5" s="86"/>
      <c r="L5" s="80"/>
      <c r="M5" s="80"/>
      <c r="P5" s="129" t="s">
        <v>0</v>
      </c>
      <c r="Q5" s="116">
        <v>13630880</v>
      </c>
      <c r="R5" s="116">
        <v>16085739594</v>
      </c>
      <c r="S5" s="116">
        <v>842139.71</v>
      </c>
      <c r="T5" s="130">
        <f t="shared" ref="T5:T17" si="1">Q5/S5</f>
        <v>16.186007901230546</v>
      </c>
      <c r="U5" s="85"/>
    </row>
    <row r="6" spans="1:21" ht="15" hidden="1" customHeight="1">
      <c r="A6" s="129" t="s">
        <v>1</v>
      </c>
      <c r="C6" s="79"/>
      <c r="F6" s="78">
        <f>Q6/18</f>
        <v>772033.11111111112</v>
      </c>
      <c r="G6" s="90">
        <f t="shared" ref="G6:G16" si="2">F6/F5-1</f>
        <v>0.13277075450904285</v>
      </c>
      <c r="H6" s="90"/>
      <c r="I6" s="130">
        <f t="shared" si="0"/>
        <v>16.083885206493772</v>
      </c>
      <c r="J6" s="130"/>
      <c r="K6" s="78"/>
      <c r="P6" s="129" t="s">
        <v>1</v>
      </c>
      <c r="Q6" s="116">
        <v>13896596</v>
      </c>
      <c r="R6" s="116">
        <v>16516337290</v>
      </c>
      <c r="S6" s="116">
        <v>864007.41</v>
      </c>
      <c r="T6" s="130">
        <f t="shared" si="1"/>
        <v>16.083885206493772</v>
      </c>
      <c r="U6" s="85"/>
    </row>
    <row r="7" spans="1:21" ht="15" hidden="1" customHeight="1">
      <c r="A7" s="129" t="s">
        <v>2</v>
      </c>
      <c r="B7" s="131">
        <f>F5+F6+F7</f>
        <v>2284569.611111111</v>
      </c>
      <c r="C7" s="131">
        <f>AVERAGE(F5:F7)</f>
        <v>761523.20370370371</v>
      </c>
      <c r="F7" s="78">
        <f>Q7/22</f>
        <v>830992.5</v>
      </c>
      <c r="G7" s="90">
        <f t="shared" si="2"/>
        <v>7.6368989931059339E-2</v>
      </c>
      <c r="H7" s="90"/>
      <c r="I7" s="130">
        <f t="shared" si="0"/>
        <v>12.495490575152553</v>
      </c>
      <c r="J7" s="130"/>
      <c r="K7" s="85">
        <f>R5+R6+R7</f>
        <v>54606720354</v>
      </c>
      <c r="L7" s="87">
        <f>온수기!U7+보일러!U7</f>
        <v>146527632</v>
      </c>
      <c r="M7" s="87">
        <f>온수기!K7+보일러!K7</f>
        <v>174436523858</v>
      </c>
      <c r="N7" s="88">
        <f>AVERAGE(T5:T7)</f>
        <v>14.921794560958956</v>
      </c>
      <c r="P7" s="129" t="s">
        <v>2</v>
      </c>
      <c r="Q7" s="116">
        <v>18281835</v>
      </c>
      <c r="R7" s="116">
        <v>22004643470</v>
      </c>
      <c r="S7" s="116">
        <v>1463074.61</v>
      </c>
      <c r="T7" s="130">
        <f t="shared" si="1"/>
        <v>12.495490575152553</v>
      </c>
      <c r="U7" s="85">
        <f>Q5+Q6+Q7</f>
        <v>45809311</v>
      </c>
    </row>
    <row r="8" spans="1:21" ht="15" hidden="1" customHeight="1">
      <c r="A8" s="129" t="s">
        <v>3</v>
      </c>
      <c r="C8" s="79"/>
      <c r="F8" s="78">
        <f>Q8/21</f>
        <v>755180.19047619053</v>
      </c>
      <c r="G8" s="90">
        <f t="shared" si="2"/>
        <v>-9.1231039418297355E-2</v>
      </c>
      <c r="H8" s="90"/>
      <c r="I8" s="130">
        <f t="shared" si="0"/>
        <v>14.880302479506511</v>
      </c>
      <c r="J8" s="130"/>
      <c r="K8" s="78"/>
      <c r="P8" s="129" t="s">
        <v>3</v>
      </c>
      <c r="Q8" s="116">
        <v>15858784</v>
      </c>
      <c r="R8" s="116">
        <v>19191312048</v>
      </c>
      <c r="S8" s="116">
        <v>1065756.83</v>
      </c>
      <c r="T8" s="130">
        <f t="shared" si="1"/>
        <v>14.880302479506511</v>
      </c>
      <c r="U8" s="85"/>
    </row>
    <row r="9" spans="1:21" ht="15" hidden="1" customHeight="1">
      <c r="A9" s="129" t="s">
        <v>4</v>
      </c>
      <c r="C9" s="79"/>
      <c r="F9" s="78">
        <f>Q9/21</f>
        <v>620958.33333333337</v>
      </c>
      <c r="G9" s="90">
        <f t="shared" si="2"/>
        <v>-0.17773487551126244</v>
      </c>
      <c r="H9" s="90"/>
      <c r="I9" s="130">
        <f t="shared" si="0"/>
        <v>16.057534926035075</v>
      </c>
      <c r="J9" s="130"/>
      <c r="K9" s="78"/>
      <c r="P9" s="129" t="s">
        <v>4</v>
      </c>
      <c r="Q9" s="116">
        <v>13040125</v>
      </c>
      <c r="R9" s="116">
        <v>16391118367</v>
      </c>
      <c r="S9" s="116">
        <v>812087.6</v>
      </c>
      <c r="T9" s="130">
        <f t="shared" si="1"/>
        <v>16.057534926035075</v>
      </c>
      <c r="U9" s="85"/>
    </row>
    <row r="10" spans="1:21" ht="15" hidden="1" customHeight="1">
      <c r="A10" s="129" t="s">
        <v>5</v>
      </c>
      <c r="B10" s="131">
        <f>F8+F9+F10</f>
        <v>1895403</v>
      </c>
      <c r="C10" s="131">
        <f>AVERAGE(F8:F10)</f>
        <v>631801</v>
      </c>
      <c r="D10" s="90">
        <f>C10/C7-1</f>
        <v>-0.17034570065993226</v>
      </c>
      <c r="E10" s="286"/>
      <c r="F10" s="78">
        <f>Q10/21</f>
        <v>519264.47619047621</v>
      </c>
      <c r="G10" s="90">
        <f t="shared" si="2"/>
        <v>-0.16376921233500452</v>
      </c>
      <c r="H10" s="90"/>
      <c r="I10" s="130">
        <f t="shared" si="0"/>
        <v>17.276411632055527</v>
      </c>
      <c r="J10" s="130"/>
      <c r="K10" s="85">
        <f>R8+R9+R10</f>
        <v>49328161706</v>
      </c>
      <c r="L10" s="87">
        <f>U10/U7-1</f>
        <v>-0.13110539907487362</v>
      </c>
      <c r="M10" s="87">
        <f>온수기!K10+보일러!K10</f>
        <v>142068484921</v>
      </c>
      <c r="N10" s="88">
        <f>AVERAGE(T8:T10)</f>
        <v>16.071416345865703</v>
      </c>
      <c r="O10" s="89">
        <f>N10/N7-1</f>
        <v>7.7043131790233366E-2</v>
      </c>
      <c r="P10" s="129" t="s">
        <v>5</v>
      </c>
      <c r="Q10" s="116">
        <v>10904554</v>
      </c>
      <c r="R10" s="116">
        <v>13745731291</v>
      </c>
      <c r="S10" s="116">
        <v>631181.65</v>
      </c>
      <c r="T10" s="130">
        <f t="shared" si="1"/>
        <v>17.276411632055527</v>
      </c>
      <c r="U10" s="85">
        <f>Q8+Q9+Q10</f>
        <v>39803463</v>
      </c>
    </row>
    <row r="11" spans="1:21" ht="15" hidden="1" customHeight="1">
      <c r="A11" s="129" t="s">
        <v>6</v>
      </c>
      <c r="C11" s="79"/>
      <c r="F11" s="78">
        <f>Q11/21</f>
        <v>704179.42857142852</v>
      </c>
      <c r="G11" s="90">
        <f t="shared" si="2"/>
        <v>0.35610938329068742</v>
      </c>
      <c r="H11" s="90"/>
      <c r="I11" s="130">
        <f t="shared" si="0"/>
        <v>14.414487547570603</v>
      </c>
      <c r="J11" s="130"/>
      <c r="K11" s="78"/>
      <c r="O11" s="89"/>
      <c r="P11" s="129" t="s">
        <v>6</v>
      </c>
      <c r="Q11" s="116">
        <v>14787768</v>
      </c>
      <c r="R11" s="116">
        <v>19075298953</v>
      </c>
      <c r="S11" s="116">
        <v>1025896.2</v>
      </c>
      <c r="T11" s="130">
        <f t="shared" si="1"/>
        <v>14.414487547570603</v>
      </c>
      <c r="U11" s="85"/>
    </row>
    <row r="12" spans="1:21" ht="15" hidden="1" customHeight="1">
      <c r="A12" s="129" t="s">
        <v>7</v>
      </c>
      <c r="C12" s="79"/>
      <c r="F12" s="78">
        <f>Q12/22</f>
        <v>641614.45454545459</v>
      </c>
      <c r="G12" s="90">
        <f t="shared" si="2"/>
        <v>-8.8848057025607385E-2</v>
      </c>
      <c r="H12" s="90"/>
      <c r="I12" s="130">
        <f t="shared" si="0"/>
        <v>13.621815984791528</v>
      </c>
      <c r="J12" s="130"/>
      <c r="K12" s="78"/>
      <c r="O12" s="89"/>
      <c r="P12" s="129" t="s">
        <v>7</v>
      </c>
      <c r="Q12" s="116">
        <v>14115518</v>
      </c>
      <c r="R12" s="116">
        <v>18328536209</v>
      </c>
      <c r="S12" s="116">
        <v>1036243.48</v>
      </c>
      <c r="T12" s="130">
        <f t="shared" si="1"/>
        <v>13.621815984791528</v>
      </c>
      <c r="U12" s="85"/>
    </row>
    <row r="13" spans="1:21" ht="15" hidden="1" customHeight="1">
      <c r="A13" s="129" t="s">
        <v>96</v>
      </c>
      <c r="B13" s="131">
        <f>F11+F12+F13</f>
        <v>2017067.3331168832</v>
      </c>
      <c r="C13" s="131">
        <f>AVERAGE(F11:F13)</f>
        <v>672355.77770562773</v>
      </c>
      <c r="D13" s="90">
        <f>C13/C10-1</f>
        <v>6.4189163527167192E-2</v>
      </c>
      <c r="E13" s="286"/>
      <c r="F13" s="78">
        <f>Q13/20</f>
        <v>671273.45</v>
      </c>
      <c r="G13" s="90">
        <f t="shared" si="2"/>
        <v>4.6225572451538577E-2</v>
      </c>
      <c r="H13" s="90"/>
      <c r="I13" s="130">
        <f t="shared" si="0"/>
        <v>11.471570144274072</v>
      </c>
      <c r="J13" s="130"/>
      <c r="K13" s="78">
        <f>R11+R12+R13</f>
        <v>55780694385</v>
      </c>
      <c r="L13" s="87">
        <f>U13/U10-1</f>
        <v>6.3444027470675124E-2</v>
      </c>
      <c r="M13" s="87">
        <f>온수기!K13+보일러!K13</f>
        <v>155173194144</v>
      </c>
      <c r="N13" s="88">
        <f>AVERAGE(T11:T13)</f>
        <v>13.169291225545402</v>
      </c>
      <c r="O13" s="89">
        <f>N13/N10-1</f>
        <v>-0.18057681151834881</v>
      </c>
      <c r="P13" s="129" t="s">
        <v>96</v>
      </c>
      <c r="Q13" s="116">
        <v>13425469</v>
      </c>
      <c r="R13" s="116">
        <v>18376859223</v>
      </c>
      <c r="S13" s="116">
        <v>1170325.32</v>
      </c>
      <c r="T13" s="130">
        <f t="shared" si="1"/>
        <v>11.471570144274072</v>
      </c>
      <c r="U13" s="85">
        <f>Q11+Q12+Q13</f>
        <v>42328755</v>
      </c>
    </row>
    <row r="14" spans="1:21" ht="15" hidden="1" customHeight="1">
      <c r="A14" s="129" t="s">
        <v>97</v>
      </c>
      <c r="C14" s="79"/>
      <c r="F14" s="78">
        <f>Q14/20</f>
        <v>715461.8</v>
      </c>
      <c r="G14" s="90">
        <f t="shared" si="2"/>
        <v>6.5827644456964762E-2</v>
      </c>
      <c r="H14" s="90"/>
      <c r="I14" s="130">
        <f t="shared" si="0"/>
        <v>14.035238391885013</v>
      </c>
      <c r="J14" s="130"/>
      <c r="K14" s="78"/>
      <c r="O14" s="89"/>
      <c r="P14" s="129" t="s">
        <v>97</v>
      </c>
      <c r="Q14" s="116">
        <v>14309236</v>
      </c>
      <c r="R14" s="116">
        <v>20398108573</v>
      </c>
      <c r="S14" s="116">
        <v>1019522.12</v>
      </c>
      <c r="T14" s="130">
        <f t="shared" si="1"/>
        <v>14.035238391885013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309473.04545454547</v>
      </c>
      <c r="G15" s="90">
        <f t="shared" si="2"/>
        <v>-0.56744993869058358</v>
      </c>
      <c r="H15" s="90"/>
      <c r="I15" s="130">
        <f t="shared" si="0"/>
        <v>15.697642649218178</v>
      </c>
      <c r="J15" s="130"/>
      <c r="K15" s="78"/>
      <c r="O15" s="89"/>
      <c r="P15" s="129" t="s">
        <v>98</v>
      </c>
      <c r="Q15" s="116">
        <v>6808407</v>
      </c>
      <c r="R15" s="116">
        <v>9472101836</v>
      </c>
      <c r="S15" s="116">
        <v>433721.62</v>
      </c>
      <c r="T15" s="130">
        <f t="shared" si="1"/>
        <v>15.697642649218178</v>
      </c>
      <c r="U15" s="85"/>
    </row>
    <row r="16" spans="1:21" ht="15" hidden="1" customHeight="1">
      <c r="A16" s="129" t="s">
        <v>99</v>
      </c>
      <c r="B16" s="131">
        <f>F14+F15+F16</f>
        <v>1487163.6636363636</v>
      </c>
      <c r="C16" s="131">
        <f>AVERAGE(F14:F16)</f>
        <v>495721.22121212119</v>
      </c>
      <c r="D16" s="90">
        <f>C16/C13-1</f>
        <v>-0.2627099555777761</v>
      </c>
      <c r="E16" s="286"/>
      <c r="F16" s="78">
        <f>Q16/22</f>
        <v>462228.81818181818</v>
      </c>
      <c r="G16" s="90">
        <f t="shared" si="2"/>
        <v>0.49359960413647408</v>
      </c>
      <c r="H16" s="90"/>
      <c r="I16" s="130">
        <f t="shared" si="0"/>
        <v>21.088014304548068</v>
      </c>
      <c r="J16" s="130"/>
      <c r="K16" s="78">
        <f>R14+R15+R16</f>
        <v>43265966658</v>
      </c>
      <c r="L16" s="87">
        <f>U16/U13-1</f>
        <v>-0.26086470060364397</v>
      </c>
      <c r="N16" s="88">
        <f>AVERAGE(T14:T16)</f>
        <v>16.940298448550418</v>
      </c>
      <c r="O16" s="89">
        <f>N16/N13-1</f>
        <v>0.28634853299394947</v>
      </c>
      <c r="P16" s="129" t="s">
        <v>99</v>
      </c>
      <c r="Q16" s="116">
        <v>10169034</v>
      </c>
      <c r="R16" s="116">
        <v>13395756249</v>
      </c>
      <c r="S16" s="116">
        <v>482218.66</v>
      </c>
      <c r="T16" s="130">
        <f t="shared" si="1"/>
        <v>21.088014304548068</v>
      </c>
      <c r="U16" s="85">
        <f>Q14+Q15+Q16</f>
        <v>31286677</v>
      </c>
    </row>
    <row r="17" spans="1:21" ht="15" hidden="1" customHeight="1">
      <c r="A17" s="129" t="s">
        <v>100</v>
      </c>
      <c r="C17" s="79"/>
      <c r="F17" s="78">
        <f>Q17/20</f>
        <v>278480.40000000002</v>
      </c>
      <c r="G17" s="90">
        <f t="shared" ref="G17:G22" si="3">F17/F16-1</f>
        <v>-0.39752696273805355</v>
      </c>
      <c r="H17" s="90">
        <f t="shared" ref="H17:H22" si="4">F17/F5-1</f>
        <v>-0.59139776742220596</v>
      </c>
      <c r="I17" s="130">
        <f t="shared" si="0"/>
        <v>19.481682222095056</v>
      </c>
      <c r="J17" s="130">
        <f t="shared" ref="J17:J49" si="5">I17/I5-1</f>
        <v>0.20361254862688871</v>
      </c>
      <c r="K17" s="78"/>
      <c r="O17" s="89"/>
      <c r="P17" s="129" t="s">
        <v>100</v>
      </c>
      <c r="Q17" s="116">
        <v>5569608</v>
      </c>
      <c r="R17" s="116">
        <v>6963601254</v>
      </c>
      <c r="S17" s="116">
        <v>285889.48</v>
      </c>
      <c r="T17" s="130">
        <f t="shared" si="1"/>
        <v>19.481682222095056</v>
      </c>
      <c r="U17" s="78"/>
    </row>
    <row r="18" spans="1:21" hidden="1">
      <c r="A18" s="129" t="s">
        <v>106</v>
      </c>
      <c r="C18" s="79"/>
      <c r="F18" s="78">
        <f>Q18/20</f>
        <v>449285.05</v>
      </c>
      <c r="G18" s="90">
        <f t="shared" si="3"/>
        <v>0.61334531981424889</v>
      </c>
      <c r="H18" s="90">
        <f t="shared" si="4"/>
        <v>-0.41804950651224226</v>
      </c>
      <c r="I18" s="130">
        <f t="shared" si="0"/>
        <v>16.03619532193305</v>
      </c>
      <c r="J18" s="130">
        <f t="shared" si="5"/>
        <v>-2.9650724279893792E-3</v>
      </c>
      <c r="K18" s="78"/>
      <c r="O18" s="89"/>
      <c r="P18" s="129" t="s">
        <v>106</v>
      </c>
      <c r="Q18" s="116">
        <v>8985701</v>
      </c>
      <c r="R18" s="116">
        <v>11296640822</v>
      </c>
      <c r="S18" s="116">
        <v>560338.71</v>
      </c>
      <c r="T18" s="130">
        <f t="shared" ref="T18" si="6">Q18/S18</f>
        <v>16.03619532193305</v>
      </c>
      <c r="U18" s="78"/>
    </row>
    <row r="19" spans="1:21" hidden="1">
      <c r="A19" s="129" t="s">
        <v>114</v>
      </c>
      <c r="B19" s="131">
        <f>SUM(F17:F19)</f>
        <v>1299474.3136363635</v>
      </c>
      <c r="C19" s="131">
        <f>AVERAGE(F17:F19)</f>
        <v>433158.10454545449</v>
      </c>
      <c r="D19" s="90">
        <f>C19/C16-1</f>
        <v>-0.12620625058917068</v>
      </c>
      <c r="E19" s="286">
        <f>C19/C7-1</f>
        <v>-0.43119513307175694</v>
      </c>
      <c r="F19" s="78">
        <f>Q19/22</f>
        <v>571708.86363636365</v>
      </c>
      <c r="G19" s="90">
        <f t="shared" si="3"/>
        <v>0.27248583863710496</v>
      </c>
      <c r="H19" s="90">
        <f t="shared" si="4"/>
        <v>-0.31201681888059918</v>
      </c>
      <c r="I19" s="130">
        <f t="shared" si="0"/>
        <v>12.998622461301139</v>
      </c>
      <c r="J19" s="130">
        <f t="shared" si="5"/>
        <v>4.0265076678867695E-2</v>
      </c>
      <c r="K19" s="78">
        <f>R17+R18+R19</f>
        <v>34681493049</v>
      </c>
      <c r="L19" s="87">
        <f>U19/U16-1</f>
        <v>-0.13276491459927175</v>
      </c>
      <c r="M19" s="87">
        <f>U19/U7-1</f>
        <v>-0.40769892828119592</v>
      </c>
      <c r="N19" s="88">
        <f>AVERAGE(T17:T19)</f>
        <v>16.172166668443083</v>
      </c>
      <c r="O19" s="89">
        <f>N19/N16-1</f>
        <v>-4.5343462067108042E-2</v>
      </c>
      <c r="P19" s="129" t="s">
        <v>115</v>
      </c>
      <c r="Q19" s="116">
        <v>12577595</v>
      </c>
      <c r="R19" s="116">
        <v>16421250973</v>
      </c>
      <c r="S19" s="116">
        <v>967609.84</v>
      </c>
      <c r="T19" s="130">
        <f t="shared" ref="T19" si="7">Q19/S19</f>
        <v>12.998622461301139</v>
      </c>
      <c r="U19" s="85">
        <f>Q17+Q18+Q19</f>
        <v>27132904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606660.5</v>
      </c>
      <c r="G20" s="90">
        <f t="shared" si="3"/>
        <v>6.1135376039695988E-2</v>
      </c>
      <c r="H20" s="90">
        <f t="shared" si="4"/>
        <v>-0.19666788449858452</v>
      </c>
      <c r="I20" s="130">
        <f t="shared" si="0"/>
        <v>14.029858277873203</v>
      </c>
      <c r="J20" s="130">
        <f t="shared" si="5"/>
        <v>-5.715234638573774E-2</v>
      </c>
      <c r="K20" s="78"/>
      <c r="O20" s="89"/>
      <c r="P20" s="129" t="s">
        <v>132</v>
      </c>
      <c r="Q20" s="116">
        <v>12133210</v>
      </c>
      <c r="R20" s="116">
        <v>15930655475</v>
      </c>
      <c r="S20" s="116">
        <v>864813.44</v>
      </c>
      <c r="T20" s="130">
        <f t="shared" ref="T20" si="8">Q20/S20</f>
        <v>14.029858277873203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725315.04761904757</v>
      </c>
      <c r="G21" s="90">
        <f t="shared" si="3"/>
        <v>0.1955864072558664</v>
      </c>
      <c r="H21" s="90">
        <f t="shared" si="4"/>
        <v>0.16805751478609277</v>
      </c>
      <c r="I21" s="130">
        <f t="shared" si="0"/>
        <v>15.526526534465098</v>
      </c>
      <c r="J21" s="130">
        <f t="shared" si="5"/>
        <v>-3.3069110172634253E-2</v>
      </c>
      <c r="K21" s="78"/>
      <c r="O21" s="89"/>
      <c r="P21" s="129" t="s">
        <v>141</v>
      </c>
      <c r="Q21" s="116">
        <v>15231616</v>
      </c>
      <c r="R21" s="116">
        <v>20275476907</v>
      </c>
      <c r="S21" s="116">
        <v>981006.02</v>
      </c>
      <c r="T21" s="130">
        <f t="shared" ref="T21" si="9">Q21/S21</f>
        <v>15.526526534465098</v>
      </c>
      <c r="U21" s="78"/>
    </row>
    <row r="22" spans="1:21" hidden="1">
      <c r="A22" s="129" t="s">
        <v>156</v>
      </c>
      <c r="B22" s="131">
        <f>SUM(F20:F22)</f>
        <v>2296453.6428571427</v>
      </c>
      <c r="C22" s="131">
        <f>AVERAGE(F20:F22)</f>
        <v>765484.54761904757</v>
      </c>
      <c r="D22" s="90">
        <f>C22/C19-1</f>
        <v>0.76721741919691966</v>
      </c>
      <c r="E22" s="286">
        <f>C22/C10-1</f>
        <v>0.21159122511526185</v>
      </c>
      <c r="F22" s="78">
        <f>Q22/21</f>
        <v>964478.09523809527</v>
      </c>
      <c r="G22" s="90">
        <f t="shared" si="3"/>
        <v>0.32973677907846421</v>
      </c>
      <c r="H22" s="90">
        <f t="shared" si="4"/>
        <v>0.85739279203899588</v>
      </c>
      <c r="I22" s="130">
        <f t="shared" si="0"/>
        <v>16.983476553884831</v>
      </c>
      <c r="J22" s="130">
        <f t="shared" si="5"/>
        <v>-1.6955782509092909E-2</v>
      </c>
      <c r="K22" s="78">
        <f>R20+R21+R22</f>
        <v>62636061230</v>
      </c>
      <c r="L22" s="87">
        <f>U22/U19-1</f>
        <v>0.7550228313194931</v>
      </c>
      <c r="M22" s="87">
        <f>U22/U10-1</f>
        <v>0.19634982513958654</v>
      </c>
      <c r="N22" s="88">
        <f>AVERAGE(T20:T22)</f>
        <v>15.513287122074379</v>
      </c>
      <c r="O22" s="89">
        <f>N22/N19-1</f>
        <v>-4.0741575317448486E-2</v>
      </c>
      <c r="P22" s="129" t="s">
        <v>156</v>
      </c>
      <c r="Q22" s="116">
        <v>20254040</v>
      </c>
      <c r="R22" s="116">
        <v>26429928848</v>
      </c>
      <c r="S22" s="116">
        <v>1192573.26</v>
      </c>
      <c r="T22" s="130">
        <f t="shared" ref="T22:T23" si="10">Q22/S22</f>
        <v>16.983476553884831</v>
      </c>
      <c r="U22" s="85">
        <f>Q20+Q21+Q22</f>
        <v>47618866</v>
      </c>
    </row>
    <row r="23" spans="1:21" hidden="1">
      <c r="A23" s="129" t="s">
        <v>189</v>
      </c>
      <c r="B23" s="131"/>
      <c r="C23" s="131"/>
      <c r="F23" s="78">
        <f>Q23/21</f>
        <v>800151.66666666663</v>
      </c>
      <c r="G23" s="90">
        <f t="shared" ref="G23" si="11">F23/F22-1</f>
        <v>-0.17037860100997138</v>
      </c>
      <c r="H23" s="90">
        <f t="shared" ref="H23" si="12">F23/F11-1</f>
        <v>0.13628946572599743</v>
      </c>
      <c r="I23" s="130">
        <f t="shared" si="0"/>
        <v>14.528298792120523</v>
      </c>
      <c r="J23" s="130">
        <f t="shared" si="5"/>
        <v>7.8956150313578277E-3</v>
      </c>
      <c r="K23" s="98"/>
      <c r="O23" s="89"/>
      <c r="P23" s="129" t="s">
        <v>189</v>
      </c>
      <c r="Q23" s="116">
        <v>16803185</v>
      </c>
      <c r="R23" s="116">
        <v>21673043922</v>
      </c>
      <c r="S23" s="116">
        <v>1156583.1100000001</v>
      </c>
      <c r="T23" s="130">
        <f t="shared" si="10"/>
        <v>14.528298792120523</v>
      </c>
      <c r="U23" s="78"/>
    </row>
    <row r="24" spans="1:21" hidden="1">
      <c r="A24" s="129" t="s">
        <v>204</v>
      </c>
      <c r="B24" s="131"/>
      <c r="C24" s="131"/>
      <c r="F24" s="78">
        <f>Q24/22</f>
        <v>578837.5</v>
      </c>
      <c r="G24" s="90">
        <f t="shared" ref="G24" si="13">F24/F23-1</f>
        <v>-0.27659027142770842</v>
      </c>
      <c r="H24" s="90">
        <f t="shared" ref="H24" si="14">F24/F12-1</f>
        <v>-9.7842176248863155E-2</v>
      </c>
      <c r="I24" s="130">
        <f t="shared" si="0"/>
        <v>14.386231532218202</v>
      </c>
      <c r="J24" s="130">
        <f t="shared" si="5"/>
        <v>5.611700732707936E-2</v>
      </c>
      <c r="K24" s="98"/>
      <c r="O24" s="89"/>
      <c r="P24" s="129" t="s">
        <v>204</v>
      </c>
      <c r="Q24" s="116">
        <v>12734425</v>
      </c>
      <c r="R24" s="116">
        <v>16809542920</v>
      </c>
      <c r="S24" s="116">
        <v>885181.43</v>
      </c>
      <c r="T24" s="130">
        <f t="shared" ref="T24" si="15">Q24/S24</f>
        <v>14.386231532218202</v>
      </c>
      <c r="U24" s="78"/>
    </row>
    <row r="25" spans="1:21" s="79" customFormat="1" ht="13.2" hidden="1">
      <c r="A25" s="129" t="s">
        <v>219</v>
      </c>
      <c r="B25" s="131">
        <f>SUM(F23:F25)</f>
        <v>2228785.2192982454</v>
      </c>
      <c r="C25" s="131">
        <f>AVERAGE(F23:F25)</f>
        <v>742928.40643274842</v>
      </c>
      <c r="D25" s="90">
        <f>C25/C22-1</f>
        <v>-2.946648793428619E-2</v>
      </c>
      <c r="E25" s="286">
        <f>C25/C13-1</f>
        <v>0.10496322195362917</v>
      </c>
      <c r="F25" s="78">
        <f>Q25/19</f>
        <v>849796.05263157899</v>
      </c>
      <c r="G25" s="90">
        <f t="shared" ref="G25" si="16">F25/F24-1</f>
        <v>0.46810815234254699</v>
      </c>
      <c r="H25" s="90">
        <f t="shared" ref="H25" si="17">F25/F13-1</f>
        <v>0.26594616937639803</v>
      </c>
      <c r="I25" s="130">
        <f t="shared" si="0"/>
        <v>15.329349366345276</v>
      </c>
      <c r="J25" s="130">
        <f t="shared" si="5"/>
        <v>0.33629042699065748</v>
      </c>
      <c r="K25" s="78">
        <f>R23+R24+R25</f>
        <v>59923292796</v>
      </c>
      <c r="L25" s="90">
        <f>U25/U22-1</f>
        <v>-4.0637905992973455E-2</v>
      </c>
      <c r="M25" s="90">
        <f>U25/U13-1</f>
        <v>7.9260068008142559E-2</v>
      </c>
      <c r="N25" s="88">
        <f>AVERAGE(T23:T25)</f>
        <v>14.747959896894669</v>
      </c>
      <c r="O25" s="91">
        <f>N25/N22-1</f>
        <v>-4.9333659536972108E-2</v>
      </c>
      <c r="P25" s="129" t="s">
        <v>219</v>
      </c>
      <c r="Q25" s="116">
        <v>16146125</v>
      </c>
      <c r="R25" s="116">
        <v>21440705954</v>
      </c>
      <c r="S25" s="116">
        <v>1053281.82</v>
      </c>
      <c r="T25" s="130">
        <f t="shared" ref="T25" si="18">Q25/S25</f>
        <v>15.329349366345276</v>
      </c>
      <c r="U25" s="85">
        <f>Q23+Q24+Q25</f>
        <v>45683735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834705</v>
      </c>
      <c r="G26" s="90">
        <f t="shared" ref="G26" si="19">F26/F25-1</f>
        <v>-1.7758440492687932E-2</v>
      </c>
      <c r="H26" s="90">
        <f t="shared" ref="H26" si="20">F26/F14-1</f>
        <v>0.16666606099724679</v>
      </c>
      <c r="I26" s="130">
        <f t="shared" si="0"/>
        <v>15.302285163134323</v>
      </c>
      <c r="J26" s="130">
        <f t="shared" si="5"/>
        <v>9.0276113299357919E-2</v>
      </c>
      <c r="K26" s="78"/>
      <c r="L26" s="90"/>
      <c r="M26" s="90"/>
      <c r="P26" s="129" t="s">
        <v>312</v>
      </c>
      <c r="Q26" s="116">
        <v>15859395</v>
      </c>
      <c r="R26" s="116">
        <v>21376272945</v>
      </c>
      <c r="S26" s="116">
        <v>1036406.97</v>
      </c>
      <c r="T26" s="130">
        <f t="shared" ref="T26" si="21">Q26/S26</f>
        <v>15.302285163134323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658965.59090909094</v>
      </c>
      <c r="G27" s="90">
        <f t="shared" ref="G27" si="22">F27/F26-1</f>
        <v>-0.21054074084965235</v>
      </c>
      <c r="H27" s="90">
        <f t="shared" ref="H27" si="23">F27/F15-1</f>
        <v>1.1293149777914278</v>
      </c>
      <c r="I27" s="130">
        <f t="shared" si="0"/>
        <v>17.916543255880999</v>
      </c>
      <c r="J27" s="130">
        <f t="shared" si="5"/>
        <v>0.14135247286785013</v>
      </c>
      <c r="K27" s="78"/>
      <c r="L27" s="90"/>
      <c r="M27" s="90"/>
      <c r="P27" s="129" t="s">
        <v>375</v>
      </c>
      <c r="Q27" s="116">
        <v>14497243</v>
      </c>
      <c r="R27" s="116">
        <v>19189454817</v>
      </c>
      <c r="S27" s="116">
        <v>809154.02</v>
      </c>
      <c r="T27" s="130">
        <f t="shared" ref="T27" si="24">Q27/S27</f>
        <v>17.916543255880999</v>
      </c>
      <c r="U27" s="78"/>
    </row>
    <row r="28" spans="1:21" s="79" customFormat="1" ht="13.2" hidden="1">
      <c r="A28" s="123" t="s">
        <v>413</v>
      </c>
      <c r="B28" s="131">
        <f>SUM(F26:F28)</f>
        <v>2112230.6435406697</v>
      </c>
      <c r="C28" s="131">
        <f>AVERAGE(F26:F28)</f>
        <v>704076.88118022319</v>
      </c>
      <c r="D28" s="90">
        <f>C28/C25-1</f>
        <v>-5.2295113386598091E-2</v>
      </c>
      <c r="E28" s="286">
        <f>C28/C16-1</f>
        <v>0.42030813096650887</v>
      </c>
      <c r="F28" s="78">
        <f>Q28/19</f>
        <v>618560.05263157899</v>
      </c>
      <c r="G28" s="90">
        <f t="shared" ref="G28" si="25">F28/F27-1</f>
        <v>-6.1316613241929052E-2</v>
      </c>
      <c r="H28" s="90">
        <f t="shared" ref="H28" si="26">F28/F16-1</f>
        <v>0.33821178667459839</v>
      </c>
      <c r="I28" s="130">
        <f t="shared" si="0"/>
        <v>16.195354992272488</v>
      </c>
      <c r="J28" s="130">
        <f t="shared" si="5"/>
        <v>-0.23201138056988024</v>
      </c>
      <c r="K28" s="78">
        <f>R26+R27+R28</f>
        <v>55922757612</v>
      </c>
      <c r="L28" s="90">
        <f>U28/U25-1</f>
        <v>-7.8243514896494393E-2</v>
      </c>
      <c r="M28" s="90">
        <f>U28/U16-1</f>
        <v>0.34591727334929168</v>
      </c>
      <c r="N28" s="88">
        <f>AVERAGE(T26:T28)</f>
        <v>16.471394470429271</v>
      </c>
      <c r="O28" s="91">
        <f>N28/N25-1</f>
        <v>0.1168591849708982</v>
      </c>
      <c r="P28" s="129" t="s">
        <v>413</v>
      </c>
      <c r="Q28" s="116">
        <v>11752641</v>
      </c>
      <c r="R28" s="116">
        <v>15357029850</v>
      </c>
      <c r="S28" s="116">
        <v>725679.74</v>
      </c>
      <c r="T28" s="130">
        <f t="shared" ref="T28" si="27">Q28/S28</f>
        <v>16.195354992272488</v>
      </c>
      <c r="U28" s="85">
        <f>Q26+Q27+Q28</f>
        <v>42109279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569071.86363636365</v>
      </c>
      <c r="G29" s="190">
        <f t="shared" ref="G29" si="28">F29/F28-1</f>
        <v>-8.0005472038930825E-2</v>
      </c>
      <c r="H29" s="190">
        <f t="shared" ref="H29" si="29">F29/F17-1</f>
        <v>1.0434898241900097</v>
      </c>
      <c r="I29" s="130">
        <f t="shared" si="0"/>
        <v>17.023198582774008</v>
      </c>
      <c r="J29" s="130">
        <f t="shared" si="5"/>
        <v>-0.12619462792246816</v>
      </c>
      <c r="K29" s="136"/>
      <c r="L29" s="190"/>
      <c r="M29" s="190"/>
      <c r="N29" s="191"/>
      <c r="O29" s="192"/>
      <c r="P29" s="129" t="s">
        <v>447</v>
      </c>
      <c r="Q29" s="116">
        <v>12519581</v>
      </c>
      <c r="R29" s="116">
        <v>16444415353</v>
      </c>
      <c r="S29" s="116">
        <v>735442.34</v>
      </c>
      <c r="T29" s="130">
        <f t="shared" ref="T29" si="30">Q29/S29</f>
        <v>17.023198582774008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710199.21052631584</v>
      </c>
      <c r="G30" s="190">
        <f t="shared" ref="G30" si="31">F30/F29-1</f>
        <v>0.24799565030003379</v>
      </c>
      <c r="H30" s="190">
        <f t="shared" ref="H30" si="32">F30/F18-1</f>
        <v>0.58073189955088833</v>
      </c>
      <c r="I30" s="130">
        <f t="shared" si="0"/>
        <v>13.385397679269948</v>
      </c>
      <c r="J30" s="130">
        <f t="shared" si="5"/>
        <v>-0.16530090769333228</v>
      </c>
      <c r="K30" s="136"/>
      <c r="L30" s="190"/>
      <c r="M30" s="190"/>
      <c r="N30" s="191"/>
      <c r="O30" s="192"/>
      <c r="P30" s="129" t="s">
        <v>466</v>
      </c>
      <c r="Q30" s="116">
        <v>13493785</v>
      </c>
      <c r="R30" s="116">
        <v>17980792988</v>
      </c>
      <c r="S30" s="116">
        <v>1008097.43</v>
      </c>
      <c r="T30" s="130">
        <f t="shared" ref="T30" si="33">Q30/S30</f>
        <v>13.385397679269948</v>
      </c>
      <c r="U30" s="85"/>
    </row>
    <row r="31" spans="1:21" s="79" customFormat="1" ht="13.2" hidden="1">
      <c r="A31" s="129" t="s">
        <v>505</v>
      </c>
      <c r="B31" s="188">
        <f>SUM(F29:F31)</f>
        <v>2112491.3741626795</v>
      </c>
      <c r="C31" s="188">
        <f>AVERAGE(F29:F31)</f>
        <v>704163.79138755985</v>
      </c>
      <c r="D31" s="190">
        <f>C31/C28-1</f>
        <v>1.2343851880336487E-4</v>
      </c>
      <c r="E31" s="287">
        <f>C31/C19-1</f>
        <v>0.62565073583580322</v>
      </c>
      <c r="F31" s="136">
        <f>Q31/20</f>
        <v>833220.3</v>
      </c>
      <c r="G31" s="190">
        <f t="shared" ref="G31" si="34">F31/F30-1</f>
        <v>0.17322053819591754</v>
      </c>
      <c r="H31" s="190">
        <f t="shared" ref="H31" si="35">F31/F19-1</f>
        <v>0.45742064361270973</v>
      </c>
      <c r="I31" s="130">
        <f t="shared" si="0"/>
        <v>15.05523231200562</v>
      </c>
      <c r="J31" s="130">
        <f t="shared" si="5"/>
        <v>0.15821752318965476</v>
      </c>
      <c r="K31" s="136">
        <f>R29+R30+R31</f>
        <v>56562742928</v>
      </c>
      <c r="L31" s="190">
        <f>U31/U28-1</f>
        <v>1.3500421130459239E-2</v>
      </c>
      <c r="M31" s="190">
        <f>U31/U19-1</f>
        <v>0.57291574834746761</v>
      </c>
      <c r="N31" s="191">
        <f>AVERAGE(T29:T31)</f>
        <v>15.154609524683194</v>
      </c>
      <c r="O31" s="192">
        <f>N31/N28-1</f>
        <v>-7.9943744174791775E-2</v>
      </c>
      <c r="P31" s="129" t="s">
        <v>536</v>
      </c>
      <c r="Q31" s="116">
        <v>16664406</v>
      </c>
      <c r="R31" s="116">
        <v>22137534587</v>
      </c>
      <c r="S31" s="116">
        <v>1106884.68</v>
      </c>
      <c r="T31" s="130">
        <f t="shared" ref="T31" si="36">Q31/S31</f>
        <v>15.05523231200562</v>
      </c>
      <c r="U31" s="85">
        <f>Q29+Q30+Q31</f>
        <v>42677772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720862.14285714284</v>
      </c>
      <c r="G32" s="190">
        <f t="shared" ref="G32" si="37">F32/F31-1</f>
        <v>-0.13484807936491372</v>
      </c>
      <c r="H32" s="190">
        <f t="shared" ref="H32" si="38">F32/F20-1</f>
        <v>0.18824637974145819</v>
      </c>
      <c r="I32" s="130">
        <f t="shared" si="0"/>
        <v>14.797417834285747</v>
      </c>
      <c r="J32" s="130">
        <f t="shared" si="5"/>
        <v>5.4709002843106314E-2</v>
      </c>
      <c r="K32" s="136"/>
      <c r="L32" s="190"/>
      <c r="M32" s="190"/>
      <c r="N32" s="191"/>
      <c r="O32" s="192"/>
      <c r="P32" s="129" t="s">
        <v>562</v>
      </c>
      <c r="Q32" s="116">
        <v>15138105</v>
      </c>
      <c r="R32" s="116">
        <v>20581876197</v>
      </c>
      <c r="S32" s="116">
        <v>1023023.42</v>
      </c>
      <c r="T32" s="130">
        <f t="shared" ref="T32" si="39">Q32/S32</f>
        <v>14.797417834285747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1019261.6190476191</v>
      </c>
      <c r="G33" s="190">
        <f t="shared" ref="G33" si="40">F33/F32-1</f>
        <v>0.41394804699795662</v>
      </c>
      <c r="H33" s="190">
        <f t="shared" ref="H33" si="41">F33/F21-1</f>
        <v>0.40526743846483537</v>
      </c>
      <c r="I33" s="130">
        <f t="shared" si="0"/>
        <v>14.804785794550725</v>
      </c>
      <c r="J33" s="130">
        <f t="shared" si="5"/>
        <v>-4.6484365856863441E-2</v>
      </c>
      <c r="K33" s="136"/>
      <c r="L33" s="190"/>
      <c r="M33" s="190"/>
      <c r="N33" s="191"/>
      <c r="O33" s="192"/>
      <c r="P33" s="129" t="s">
        <v>607</v>
      </c>
      <c r="Q33" s="116">
        <v>21404494</v>
      </c>
      <c r="R33" s="116">
        <v>29272249545</v>
      </c>
      <c r="S33" s="116">
        <v>1445782.08</v>
      </c>
      <c r="T33" s="130">
        <f t="shared" ref="T33" si="42">Q33/S33</f>
        <v>14.804785794550725</v>
      </c>
      <c r="U33" s="85"/>
    </row>
    <row r="34" spans="1:21" s="79" customFormat="1" ht="13.2" hidden="1">
      <c r="A34" s="129" t="s">
        <v>652</v>
      </c>
      <c r="B34" s="188">
        <f>SUM(F32:F34)</f>
        <v>2885469.1829573936</v>
      </c>
      <c r="C34" s="188">
        <f>AVERAGE(F32:F34)</f>
        <v>961823.0609857979</v>
      </c>
      <c r="D34" s="190">
        <f>C34/C31-1</f>
        <v>0.36590814914029957</v>
      </c>
      <c r="E34" s="287">
        <f>C34/C22-1</f>
        <v>0.25648919233894252</v>
      </c>
      <c r="F34" s="136">
        <f>Q34/19</f>
        <v>1145345.4210526317</v>
      </c>
      <c r="G34" s="190">
        <f t="shared" ref="G34" si="43">F34/F33-1</f>
        <v>0.12370111819065954</v>
      </c>
      <c r="H34" s="190">
        <f t="shared" ref="H34" si="44">F34/F22-1</f>
        <v>0.1875287025257808</v>
      </c>
      <c r="I34" s="130">
        <f t="shared" si="0"/>
        <v>15.68834104753536</v>
      </c>
      <c r="J34" s="130">
        <f t="shared" si="5"/>
        <v>-7.6258562387994666E-2</v>
      </c>
      <c r="K34" s="136">
        <f>R32+R33+R34</f>
        <v>79759652718</v>
      </c>
      <c r="L34" s="190">
        <f>U34/U31-1</f>
        <v>0.3661482141101462</v>
      </c>
      <c r="M34" s="190">
        <f>U34/U22-1</f>
        <v>0.22439207183136189</v>
      </c>
      <c r="N34" s="191">
        <f>AVERAGE(T32:T34)</f>
        <v>15.096848225457277</v>
      </c>
      <c r="O34" s="192">
        <f>N34/N31-1</f>
        <v>-3.8114673381611786E-3</v>
      </c>
      <c r="P34" s="129" t="s">
        <v>652</v>
      </c>
      <c r="Q34" s="116">
        <v>21761563</v>
      </c>
      <c r="R34" s="116">
        <v>29905526976</v>
      </c>
      <c r="S34" s="116">
        <v>1387116.9</v>
      </c>
      <c r="T34" s="130">
        <f t="shared" ref="T34" si="45">Q34/S34</f>
        <v>15.68834104753536</v>
      </c>
      <c r="U34" s="85">
        <f>Q32+Q33+Q34</f>
        <v>58304162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816890.69565217395</v>
      </c>
      <c r="G35" s="190">
        <f t="shared" ref="G35" si="46">F35/F34-1</f>
        <v>-0.28677350898962062</v>
      </c>
      <c r="H35" s="190">
        <f t="shared" ref="H35" si="47">F35/F23-1</f>
        <v>2.0919820182641269E-2</v>
      </c>
      <c r="I35" s="130">
        <f t="shared" si="0"/>
        <v>13.738425549739429</v>
      </c>
      <c r="J35" s="130">
        <f t="shared" si="5"/>
        <v>-5.4367910082458226E-2</v>
      </c>
      <c r="K35" s="136"/>
      <c r="L35" s="190"/>
      <c r="M35" s="190"/>
      <c r="N35" s="191"/>
      <c r="O35" s="192"/>
      <c r="P35" s="129" t="s">
        <v>660</v>
      </c>
      <c r="Q35" s="116">
        <v>18788486</v>
      </c>
      <c r="R35" s="116">
        <v>26001618759</v>
      </c>
      <c r="S35" s="116">
        <v>1367586.55</v>
      </c>
      <c r="T35" s="130">
        <f t="shared" ref="T35" si="48">Q35/S35</f>
        <v>13.738425549739429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828926.76190476189</v>
      </c>
      <c r="G36" s="190">
        <f t="shared" ref="G36" si="49">F36/F35-1</f>
        <v>1.4733998461053277E-2</v>
      </c>
      <c r="H36" s="190">
        <f t="shared" ref="H36" si="50">F36/F24-1</f>
        <v>0.4320543536048751</v>
      </c>
      <c r="I36" s="130">
        <f t="shared" si="0"/>
        <v>17.10180082969876</v>
      </c>
      <c r="J36" s="130">
        <f t="shared" si="5"/>
        <v>0.18876168448971464</v>
      </c>
      <c r="K36" s="136"/>
      <c r="L36" s="190"/>
      <c r="M36" s="190"/>
      <c r="N36" s="191"/>
      <c r="O36" s="192"/>
      <c r="P36" s="129" t="s">
        <v>692</v>
      </c>
      <c r="Q36" s="116">
        <v>17407462</v>
      </c>
      <c r="R36" s="116">
        <v>23731200815</v>
      </c>
      <c r="S36" s="116">
        <v>1017873.04</v>
      </c>
      <c r="T36" s="130">
        <f t="shared" ref="T36" si="51">Q36/S36</f>
        <v>17.10180082969876</v>
      </c>
      <c r="U36" s="85"/>
    </row>
    <row r="37" spans="1:21" s="79" customFormat="1" ht="13.2" hidden="1">
      <c r="A37" s="129" t="s">
        <v>702</v>
      </c>
      <c r="B37" s="188">
        <f>SUM(F35:F37)</f>
        <v>2422778.957556936</v>
      </c>
      <c r="C37" s="188">
        <f>AVERAGE(F35:F37)</f>
        <v>807592.98585231195</v>
      </c>
      <c r="D37" s="190">
        <f>C37/C34-1</f>
        <v>-0.16035181665888887</v>
      </c>
      <c r="E37" s="287">
        <f>C37/C25-1</f>
        <v>8.7040122385489971E-2</v>
      </c>
      <c r="F37" s="136">
        <f>Q37/18</f>
        <v>776961.5</v>
      </c>
      <c r="G37" s="190">
        <f t="shared" ref="G37" si="52">F37/F36-1</f>
        <v>-6.2689810840891091E-2</v>
      </c>
      <c r="H37" s="190">
        <f t="shared" ref="H37" si="53">F37/F25-1</f>
        <v>-8.5708273656992073E-2</v>
      </c>
      <c r="I37" s="130">
        <f t="shared" si="0"/>
        <v>15.601036800838736</v>
      </c>
      <c r="J37" s="130">
        <f t="shared" si="5"/>
        <v>1.7723350678531258E-2</v>
      </c>
      <c r="K37" s="136">
        <f>R35+R36+R37</f>
        <v>68401593262</v>
      </c>
      <c r="L37" s="190">
        <f>U37/U34-1</f>
        <v>-0.1393195051838666</v>
      </c>
      <c r="M37" s="190">
        <f>U37/U25-1</f>
        <v>9.8449043187909258E-2</v>
      </c>
      <c r="N37" s="191">
        <f>AVERAGE(T35:T37)</f>
        <v>15.48042106009231</v>
      </c>
      <c r="O37" s="192">
        <f>N37/N34-1</f>
        <v>2.5407477700426728E-2</v>
      </c>
      <c r="P37" s="129" t="s">
        <v>702</v>
      </c>
      <c r="Q37" s="116">
        <v>13985307</v>
      </c>
      <c r="R37" s="116">
        <v>18668773688</v>
      </c>
      <c r="S37" s="116">
        <v>896434.46</v>
      </c>
      <c r="T37" s="130">
        <f t="shared" ref="T37" si="54">Q37/S37</f>
        <v>15.601036800838736</v>
      </c>
      <c r="U37" s="85">
        <f>Q35+Q36+Q37</f>
        <v>50181255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789436.4</v>
      </c>
      <c r="G38" s="190">
        <f t="shared" ref="G38" si="55">F38/F37-1</f>
        <v>1.6056007923172633E-2</v>
      </c>
      <c r="H38" s="190">
        <f t="shared" ref="H38" si="56">F38/F26-1</f>
        <v>-5.4233052395756598E-2</v>
      </c>
      <c r="I38" s="130">
        <f t="shared" si="0"/>
        <v>17.663409405067796</v>
      </c>
      <c r="J38" s="130">
        <f t="shared" si="5"/>
        <v>0.15429880026166298</v>
      </c>
      <c r="K38" s="136"/>
      <c r="L38" s="190"/>
      <c r="M38" s="190"/>
      <c r="N38" s="191"/>
      <c r="O38" s="192"/>
      <c r="P38" s="129" t="s">
        <v>728</v>
      </c>
      <c r="Q38" s="116">
        <v>15788728</v>
      </c>
      <c r="R38" s="116">
        <v>21232550309</v>
      </c>
      <c r="S38" s="116">
        <v>893866.39</v>
      </c>
      <c r="T38" s="130">
        <f t="shared" ref="T38" si="57">Q38/S38</f>
        <v>17.663409405067796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717962.57142857148</v>
      </c>
      <c r="G39" s="190">
        <f t="shared" ref="G39" si="58">F39/F38-1</f>
        <v>-9.0537791988599126E-2</v>
      </c>
      <c r="H39" s="190">
        <f t="shared" ref="H39" si="59">F39/F27-1</f>
        <v>8.9529683087230527E-2</v>
      </c>
      <c r="I39" s="130">
        <f t="shared" si="0"/>
        <v>16.724117637839154</v>
      </c>
      <c r="J39" s="130">
        <f t="shared" si="5"/>
        <v>-6.6554446413676249E-2</v>
      </c>
      <c r="K39" s="136"/>
      <c r="L39" s="190"/>
      <c r="M39" s="190"/>
      <c r="N39" s="191"/>
      <c r="O39" s="192"/>
      <c r="P39" s="129" t="s">
        <v>762</v>
      </c>
      <c r="Q39" s="116">
        <v>15077214</v>
      </c>
      <c r="R39" s="116">
        <v>20965386570</v>
      </c>
      <c r="S39" s="116">
        <v>901525.23</v>
      </c>
      <c r="T39" s="130">
        <f t="shared" ref="T39" si="60">Q39/S39</f>
        <v>16.724117637839154</v>
      </c>
      <c r="U39" s="85"/>
    </row>
    <row r="40" spans="1:21" s="79" customFormat="1" ht="13.2" hidden="1">
      <c r="A40" s="129" t="s">
        <v>778</v>
      </c>
      <c r="B40" s="188">
        <f>SUM(F38:F40)</f>
        <v>2022980.2571428572</v>
      </c>
      <c r="C40" s="188">
        <f>AVERAGE(F38:F40)</f>
        <v>674326.75238095236</v>
      </c>
      <c r="D40" s="190">
        <f>C40/C37-1</f>
        <v>-0.1650165811317863</v>
      </c>
      <c r="E40" s="287">
        <f>C40/C28-1</f>
        <v>-4.2254091271114569E-2</v>
      </c>
      <c r="F40" s="136">
        <f>Q40/21</f>
        <v>515581.28571428574</v>
      </c>
      <c r="G40" s="190">
        <f t="shared" ref="G40" si="61">F40/F39-1</f>
        <v>-0.28188278020063917</v>
      </c>
      <c r="H40" s="190">
        <f t="shared" ref="H40" si="62">F40/F28-1</f>
        <v>-0.16648143778309676</v>
      </c>
      <c r="I40" s="130">
        <f t="shared" si="0"/>
        <v>15.599275851285714</v>
      </c>
      <c r="J40" s="130">
        <f t="shared" si="5"/>
        <v>-3.6805561920142504E-2</v>
      </c>
      <c r="K40" s="136">
        <f>R38+R39+R40</f>
        <v>57560138793</v>
      </c>
      <c r="L40" s="190">
        <f>U40/U37-1</f>
        <v>-0.16914893818418852</v>
      </c>
      <c r="M40" s="190">
        <f>U40/U28-1</f>
        <v>-9.882144978070051E-3</v>
      </c>
      <c r="N40" s="191">
        <f>AVERAGE(T38:T40)</f>
        <v>16.662267631397555</v>
      </c>
      <c r="O40" s="192">
        <f>N40/N37-1</f>
        <v>7.6344601139563428E-2</v>
      </c>
      <c r="P40" s="129" t="s">
        <v>778</v>
      </c>
      <c r="Q40" s="116">
        <v>10827207</v>
      </c>
      <c r="R40" s="116">
        <v>15362201914</v>
      </c>
      <c r="S40" s="116">
        <v>694083.95</v>
      </c>
      <c r="T40" s="130">
        <f t="shared" ref="T40" si="63">Q40/S40</f>
        <v>15.599275851285714</v>
      </c>
      <c r="U40" s="85">
        <f>Q38+Q39+Q40</f>
        <v>41693149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439064.94444444444</v>
      </c>
      <c r="G41" s="190">
        <f t="shared" ref="G41" si="64">F41/F40-1</f>
        <v>-0.1484079104303323</v>
      </c>
      <c r="H41" s="190">
        <f t="shared" ref="H41" si="65">F41/F29-1</f>
        <v>-0.22845430867232874</v>
      </c>
      <c r="I41" s="130">
        <f t="shared" si="0"/>
        <v>14.506536915446832</v>
      </c>
      <c r="J41" s="130">
        <f t="shared" si="5"/>
        <v>-0.14783717966339283</v>
      </c>
      <c r="K41" s="193"/>
      <c r="L41" s="190"/>
      <c r="M41" s="190"/>
      <c r="N41" s="193"/>
      <c r="O41" s="193"/>
      <c r="P41" s="129" t="s">
        <v>793</v>
      </c>
      <c r="Q41" s="116">
        <v>7903169</v>
      </c>
      <c r="R41" s="116">
        <v>11549655291</v>
      </c>
      <c r="S41" s="116">
        <v>544800.53</v>
      </c>
      <c r="T41" s="130">
        <f t="shared" ref="T41" si="66">Q41/S41</f>
        <v>14.506536915446832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524770.4</v>
      </c>
      <c r="G42" s="190">
        <f t="shared" ref="G42" si="67">F42/F41-1</f>
        <v>0.19519995080454433</v>
      </c>
      <c r="H42" s="190">
        <f t="shared" ref="H42" si="68">F42/F30-1</f>
        <v>-0.26109408146046498</v>
      </c>
      <c r="I42" s="130">
        <f t="shared" si="0"/>
        <v>15.86062439709869</v>
      </c>
      <c r="J42" s="130">
        <f t="shared" si="5"/>
        <v>0.18491992372121602</v>
      </c>
      <c r="K42" s="193"/>
      <c r="L42" s="190"/>
      <c r="M42" s="190"/>
      <c r="N42" s="193"/>
      <c r="O42" s="193"/>
      <c r="P42" s="129" t="s">
        <v>826</v>
      </c>
      <c r="Q42" s="116">
        <v>10495408</v>
      </c>
      <c r="R42" s="116">
        <v>15200035952</v>
      </c>
      <c r="S42" s="116">
        <v>661727.29</v>
      </c>
      <c r="T42" s="130">
        <f t="shared" ref="T42" si="69">Q42/S42</f>
        <v>15.86062439709869</v>
      </c>
      <c r="U42" s="78"/>
    </row>
    <row r="43" spans="1:21" s="79" customFormat="1" ht="13.2">
      <c r="A43" s="129" t="s">
        <v>835</v>
      </c>
      <c r="B43" s="188">
        <f>SUM(F41:F43)</f>
        <v>1700690.8444444444</v>
      </c>
      <c r="C43" s="188">
        <f>AVERAGE(F41:F43)</f>
        <v>566896.94814814813</v>
      </c>
      <c r="D43" s="190">
        <f>C43/C40-1</f>
        <v>-0.15931416609749616</v>
      </c>
      <c r="E43" s="287">
        <f>C43/C31-1</f>
        <v>-0.19493595796643615</v>
      </c>
      <c r="F43" s="136">
        <f>Q43/20</f>
        <v>736855.5</v>
      </c>
      <c r="G43" s="190">
        <f t="shared" ref="G43" si="70">F43/F42-1</f>
        <v>0.40414836659994546</v>
      </c>
      <c r="H43" s="190">
        <f t="shared" ref="H43" si="71">F43/F31-1</f>
        <v>-0.11565344723358284</v>
      </c>
      <c r="I43" s="130">
        <f t="shared" si="0"/>
        <v>15.867074337361329</v>
      </c>
      <c r="J43" s="130">
        <f t="shared" si="5"/>
        <v>5.3924244311282843E-2</v>
      </c>
      <c r="K43" s="136">
        <f>R41+R42+R43</f>
        <v>48096919694</v>
      </c>
      <c r="L43" s="190">
        <f>U43/U40-1</f>
        <v>-0.2052486368923585</v>
      </c>
      <c r="M43" s="190">
        <f>K43/K31-1</f>
        <v>-0.14967137015926435</v>
      </c>
      <c r="N43" s="191">
        <f>AVERAGE(T41:T43)</f>
        <v>15.411411883302284</v>
      </c>
      <c r="O43" s="192">
        <f>N43/N40-1</f>
        <v>-7.5071159326370429E-2</v>
      </c>
      <c r="P43" s="129" t="s">
        <v>835</v>
      </c>
      <c r="Q43" s="116">
        <v>14737110</v>
      </c>
      <c r="R43" s="116">
        <v>21347228451</v>
      </c>
      <c r="S43" s="116">
        <v>928785.59</v>
      </c>
      <c r="T43" s="130">
        <f t="shared" ref="T43" si="72">Q43/S43</f>
        <v>15.867074337361329</v>
      </c>
      <c r="U43" s="85">
        <f>Q41+Q42+Q43</f>
        <v>33135687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855836.95454545459</v>
      </c>
      <c r="G44" s="190">
        <f t="shared" ref="G44" si="73">F44/F43-1</f>
        <v>0.16147189584043908</v>
      </c>
      <c r="H44" s="190">
        <f t="shared" ref="H44" si="74">F44/F32-1</f>
        <v>0.18724081022390493</v>
      </c>
      <c r="I44" s="130">
        <f t="shared" si="0"/>
        <v>15.751421353057907</v>
      </c>
      <c r="J44" s="130">
        <f t="shared" si="5"/>
        <v>6.4470945502513644E-2</v>
      </c>
      <c r="K44" s="136"/>
      <c r="L44" s="190"/>
      <c r="M44" s="190"/>
      <c r="N44" s="191"/>
      <c r="O44" s="192"/>
      <c r="P44" s="129" t="s">
        <v>843</v>
      </c>
      <c r="Q44" s="116">
        <v>18828413</v>
      </c>
      <c r="R44" s="116">
        <v>27312095629</v>
      </c>
      <c r="S44" s="116">
        <v>1195346.92</v>
      </c>
      <c r="T44" s="130">
        <f t="shared" ref="T44" si="75">Q44/S44</f>
        <v>15.751421353057907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894701.45</v>
      </c>
      <c r="G45" s="190">
        <f t="shared" ref="G45" si="76">F45/F44-1</f>
        <v>4.5411097578962112E-2</v>
      </c>
      <c r="H45" s="190">
        <f t="shared" ref="H45" si="77">F45/F33-1</f>
        <v>-0.12220627827034836</v>
      </c>
      <c r="I45" s="130">
        <f t="shared" si="0"/>
        <v>15.662878162726185</v>
      </c>
      <c r="J45" s="130">
        <f t="shared" si="5"/>
        <v>5.796047170714913E-2</v>
      </c>
      <c r="K45" s="136"/>
      <c r="L45" s="190"/>
      <c r="M45" s="190"/>
      <c r="N45" s="191"/>
      <c r="O45" s="192"/>
      <c r="P45" s="129" t="s">
        <v>849</v>
      </c>
      <c r="Q45" s="116">
        <v>17894029</v>
      </c>
      <c r="R45" s="116">
        <v>25139420713</v>
      </c>
      <c r="S45" s="116">
        <v>1142448.33</v>
      </c>
      <c r="T45" s="130">
        <f t="shared" ref="T45" si="78">Q45/S45</f>
        <v>15.662878162726185</v>
      </c>
      <c r="U45" s="85"/>
    </row>
    <row r="46" spans="1:21" s="79" customFormat="1" ht="13.2">
      <c r="A46" s="129" t="s">
        <v>920</v>
      </c>
      <c r="B46" s="188">
        <f>SUM(F44:F46)</f>
        <v>2697849.930861244</v>
      </c>
      <c r="C46" s="188">
        <f>AVERAGE(F44:F46)</f>
        <v>899283.31028708129</v>
      </c>
      <c r="D46" s="190">
        <f>C46/C43-1</f>
        <v>0.58632589789858969</v>
      </c>
      <c r="E46" s="287">
        <f>C46/C34-1</f>
        <v>-6.5022095264193336E-2</v>
      </c>
      <c r="F46" s="136">
        <f>Q46/19</f>
        <v>947311.52631578944</v>
      </c>
      <c r="G46" s="190">
        <f t="shared" ref="G46" si="79">F46/F45-1</f>
        <v>5.8801823016817023E-2</v>
      </c>
      <c r="H46" s="190">
        <f t="shared" ref="H46" si="80">F46/F34-1</f>
        <v>-0.17290320552802219</v>
      </c>
      <c r="I46" s="130">
        <f t="shared" si="0"/>
        <v>16.053189873888734</v>
      </c>
      <c r="J46" s="130">
        <f t="shared" si="5"/>
        <v>2.3256048886742597E-2</v>
      </c>
      <c r="K46" s="136">
        <f>R44+R45+R46</f>
        <v>77101109368</v>
      </c>
      <c r="L46" s="190">
        <f>U46/U43-1</f>
        <v>0.65143281924409768</v>
      </c>
      <c r="M46" s="190">
        <f>K46/K34-1</f>
        <v>-3.3331932366852279E-2</v>
      </c>
      <c r="N46" s="191">
        <f>AVERAGE(T44:T46)</f>
        <v>15.822496463224276</v>
      </c>
      <c r="O46" s="192">
        <f>N46/N43-1</f>
        <v>2.6674037592064215E-2</v>
      </c>
      <c r="P46" s="129" t="s">
        <v>888</v>
      </c>
      <c r="Q46" s="116">
        <v>17998919</v>
      </c>
      <c r="R46" s="116">
        <v>24649593026</v>
      </c>
      <c r="S46" s="116">
        <v>1121205.1399999999</v>
      </c>
      <c r="T46" s="130">
        <f t="shared" ref="T46" si="81">Q46/S46</f>
        <v>16.053189873888734</v>
      </c>
      <c r="U46" s="85">
        <f t="shared" ref="U46:U51" si="82">Q44+Q45+Q46</f>
        <v>54721361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807234.34782608692</v>
      </c>
      <c r="G47" s="190">
        <f t="shared" ref="G47" si="83">F47/F46-1</f>
        <v>-0.14786812426370433</v>
      </c>
      <c r="H47" s="190">
        <f t="shared" ref="H47" si="84">F47/F35-1</f>
        <v>-1.1820856667216439E-2</v>
      </c>
      <c r="I47" s="130">
        <f t="shared" si="0"/>
        <v>14.284015125689539</v>
      </c>
      <c r="J47" s="130">
        <f t="shared" si="5"/>
        <v>3.9712671148147471E-2</v>
      </c>
      <c r="K47" s="136"/>
      <c r="L47" s="190"/>
      <c r="M47" s="190"/>
      <c r="N47" s="191"/>
      <c r="O47" s="192"/>
      <c r="P47" s="129" t="s">
        <v>1029</v>
      </c>
      <c r="Q47" s="116">
        <v>18566390</v>
      </c>
      <c r="R47" s="116">
        <v>25448053369</v>
      </c>
      <c r="S47" s="116">
        <v>1299801.8999999999</v>
      </c>
      <c r="T47" s="130">
        <f t="shared" ref="T47" si="85">Q47/S47</f>
        <v>14.284015125689539</v>
      </c>
      <c r="U47" s="85">
        <f t="shared" si="82"/>
        <v>54459338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900816.25</v>
      </c>
      <c r="G48" s="190">
        <f t="shared" ref="G48" si="86">F48/F47-1</f>
        <v>0.11592903897849838</v>
      </c>
      <c r="H48" s="190">
        <f t="shared" ref="H48" si="87">F48/F36-1</f>
        <v>8.6725982799790158E-2</v>
      </c>
      <c r="I48" s="130">
        <f t="shared" si="0"/>
        <v>15.448081590122886</v>
      </c>
      <c r="J48" s="130">
        <f t="shared" si="5"/>
        <v>-9.6698543974623297E-2</v>
      </c>
      <c r="K48" s="136"/>
      <c r="L48" s="190"/>
      <c r="M48" s="190"/>
      <c r="N48" s="191"/>
      <c r="O48" s="192"/>
      <c r="P48" s="129" t="s">
        <v>1070</v>
      </c>
      <c r="Q48" s="116">
        <v>18016325</v>
      </c>
      <c r="R48" s="116">
        <v>24986994441</v>
      </c>
      <c r="S48" s="116">
        <v>1166249.99</v>
      </c>
      <c r="T48" s="130">
        <f t="shared" ref="T48" si="88">Q48/S48</f>
        <v>15.448081590122886</v>
      </c>
      <c r="U48" s="85">
        <f t="shared" si="82"/>
        <v>54581634</v>
      </c>
    </row>
    <row r="49" spans="1:26" ht="13.2">
      <c r="A49" s="129" t="s">
        <v>1158</v>
      </c>
      <c r="B49" s="188">
        <f>SUM(F47:F49)</f>
        <v>2525930.6432806323</v>
      </c>
      <c r="C49" s="188">
        <f>AVERAGE(F47:F49)</f>
        <v>841976.88109354407</v>
      </c>
      <c r="D49" s="190">
        <f>C49/C46-1</f>
        <v>-6.3724555474339972E-2</v>
      </c>
      <c r="E49" s="287">
        <f>C49/C37-1</f>
        <v>4.2575772503700371E-2</v>
      </c>
      <c r="F49" s="136">
        <f>Q49/22</f>
        <v>817880.04545454541</v>
      </c>
      <c r="G49" s="190">
        <f t="shared" ref="G49" si="89">F49/F48-1</f>
        <v>-9.2067837969679767E-2</v>
      </c>
      <c r="H49" s="190">
        <f t="shared" ref="H49" si="90">F49/F37-1</f>
        <v>5.2664830180833233E-2</v>
      </c>
      <c r="I49" s="130">
        <f t="shared" si="0"/>
        <v>14.440192851234352</v>
      </c>
      <c r="J49" s="130">
        <f t="shared" si="5"/>
        <v>-7.4408128409899965E-2</v>
      </c>
      <c r="K49" s="136">
        <f>R47+R48+R49</f>
        <v>75458894685</v>
      </c>
      <c r="L49" s="190">
        <f>U49/U46-1</f>
        <v>-2.6549960992381383E-3</v>
      </c>
      <c r="M49" s="190">
        <f>K49/K37-1</f>
        <v>0.10317451811346379</v>
      </c>
      <c r="N49" s="191">
        <f>AVERAGE(T47:T49)</f>
        <v>14.724096522348924</v>
      </c>
      <c r="O49" s="192">
        <f>N49/N46-1</f>
        <v>-6.9420141342949715E-2</v>
      </c>
      <c r="P49" s="129" t="s">
        <v>1187</v>
      </c>
      <c r="Q49" s="116">
        <v>17993361</v>
      </c>
      <c r="R49" s="116">
        <v>25023846875</v>
      </c>
      <c r="S49" s="116">
        <v>1246060.99</v>
      </c>
      <c r="T49" s="130">
        <f t="shared" ref="T49" si="91">Q49/S49</f>
        <v>14.440192851234352</v>
      </c>
      <c r="U49" s="85">
        <f t="shared" si="82"/>
        <v>54576076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588300.61111111112</v>
      </c>
      <c r="G50" s="190">
        <f t="shared" ref="G50" si="92">F50/F49-1</f>
        <v>-0.28070061816441938</v>
      </c>
      <c r="H50" s="190">
        <f t="shared" ref="H50" si="93">F50/F38-1</f>
        <v>-0.25478403185980392</v>
      </c>
      <c r="I50" s="130">
        <f t="shared" ref="I50" si="94">T50</f>
        <v>14.219054802694473</v>
      </c>
      <c r="J50" s="130">
        <f t="shared" ref="J50" si="95">I50/I38-1</f>
        <v>-0.19499942074518783</v>
      </c>
      <c r="K50" s="136"/>
      <c r="L50" s="190"/>
      <c r="M50" s="190"/>
      <c r="N50" s="191"/>
      <c r="O50" s="192"/>
      <c r="P50" s="129" t="s">
        <v>1291</v>
      </c>
      <c r="Q50" s="116">
        <v>10589411</v>
      </c>
      <c r="R50" s="116">
        <v>14962708686</v>
      </c>
      <c r="S50" s="116">
        <v>744733.82</v>
      </c>
      <c r="T50" s="130">
        <f t="shared" ref="T50" si="96">Q50/S50</f>
        <v>14.219054802694473</v>
      </c>
      <c r="U50" s="85">
        <f t="shared" si="82"/>
        <v>46599097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736469.2</v>
      </c>
      <c r="G51" s="190">
        <f t="shared" ref="G51:G52" si="97">F51/F50-1</f>
        <v>0.25185863500812267</v>
      </c>
      <c r="H51" s="190">
        <f t="shared" ref="H51:H52" si="98">F51/F39-1</f>
        <v>2.5776592412895205E-2</v>
      </c>
      <c r="I51" s="130">
        <f t="shared" ref="I51:I52" si="99">T51</f>
        <v>18.102573792212254</v>
      </c>
      <c r="J51" s="130">
        <f t="shared" ref="J51:J52" si="100">I51/I39-1</f>
        <v>8.2423251511593909E-2</v>
      </c>
      <c r="K51" s="136"/>
      <c r="L51" s="190"/>
      <c r="M51" s="190"/>
      <c r="N51" s="191"/>
      <c r="O51" s="192"/>
      <c r="P51" s="129" t="s">
        <v>1402</v>
      </c>
      <c r="Q51" s="116">
        <v>14729384</v>
      </c>
      <c r="R51" s="116">
        <v>21253371680</v>
      </c>
      <c r="S51" s="116">
        <v>813662.42</v>
      </c>
      <c r="T51" s="130">
        <f t="shared" ref="T51:T52" si="101">Q51/S51</f>
        <v>18.102573792212254</v>
      </c>
      <c r="U51" s="85">
        <f t="shared" si="82"/>
        <v>43312156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1792769.3111111112</v>
      </c>
      <c r="C52" s="188">
        <f>AVERAGE(F50:F52)</f>
        <v>597589.77037037036</v>
      </c>
      <c r="D52" s="190">
        <f>C52/C49-1</f>
        <v>-0.29025394427192375</v>
      </c>
      <c r="E52" s="287">
        <f>C52/C40-1</f>
        <v>-0.11379792028068669</v>
      </c>
      <c r="F52" s="136">
        <f>Q52/22</f>
        <v>467999.5</v>
      </c>
      <c r="G52" s="190">
        <f t="shared" si="97"/>
        <v>-0.36453622228872573</v>
      </c>
      <c r="H52" s="190">
        <f t="shared" si="98"/>
        <v>-9.2287650914959052E-2</v>
      </c>
      <c r="I52" s="130">
        <f t="shared" si="99"/>
        <v>16.293956261948477</v>
      </c>
      <c r="J52" s="130">
        <f t="shared" si="100"/>
        <v>4.4532862761414993E-2</v>
      </c>
      <c r="K52" s="136">
        <f>R50+R51+R52</f>
        <v>51369660740</v>
      </c>
      <c r="L52" s="190">
        <f>U52/U49-1</f>
        <v>-0.34742864254293404</v>
      </c>
      <c r="M52" s="190">
        <f>K52/K40-1</f>
        <v>-0.10754800427536215</v>
      </c>
      <c r="N52" s="191">
        <f>AVERAGE(T50:T52)</f>
        <v>16.205194952285069</v>
      </c>
      <c r="O52" s="192">
        <f>N52/N49-1</f>
        <v>0.1005901059999208</v>
      </c>
      <c r="P52" s="129" t="s">
        <v>1403</v>
      </c>
      <c r="Q52" s="116">
        <v>10295989</v>
      </c>
      <c r="R52" s="116">
        <v>15153580374</v>
      </c>
      <c r="S52" s="116">
        <v>631890.06000000006</v>
      </c>
      <c r="T52" s="130">
        <f t="shared" si="101"/>
        <v>16.293956261948477</v>
      </c>
      <c r="U52" s="85">
        <f t="shared" ref="U52" si="102">Q50+Q51+Q52</f>
        <v>35614784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468485.80952380953</v>
      </c>
      <c r="G53" s="190">
        <f t="shared" ref="G53" si="103">F53/F52-1</f>
        <v>1.039124024298177E-3</v>
      </c>
      <c r="H53" s="190">
        <f t="shared" ref="H53" si="104">F53/F41-1</f>
        <v>6.7008002919913823E-2</v>
      </c>
      <c r="I53" s="130">
        <f t="shared" ref="I53" si="105">T53</f>
        <v>17.844396214656967</v>
      </c>
      <c r="J53" s="130">
        <f t="shared" ref="J53" si="106">I53/I41-1</f>
        <v>0.23009346191067293</v>
      </c>
      <c r="K53" s="136"/>
      <c r="L53" s="190"/>
      <c r="M53" s="190"/>
      <c r="N53" s="191"/>
      <c r="O53" s="192"/>
      <c r="P53" s="129" t="s">
        <v>1414</v>
      </c>
      <c r="Q53" s="116">
        <v>9838202</v>
      </c>
      <c r="R53" s="116">
        <v>14357874402</v>
      </c>
      <c r="S53" s="116">
        <v>551332.86</v>
      </c>
      <c r="T53" s="130">
        <f t="shared" ref="T53" si="107">Q53/S53</f>
        <v>17.844396214656967</v>
      </c>
      <c r="U53" s="85">
        <f t="shared" ref="U53" si="108">Q51+Q52+Q53</f>
        <v>34863575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590380.5882352941</v>
      </c>
      <c r="G54" s="190">
        <f t="shared" ref="G54" si="109">F54/F53-1</f>
        <v>0.26018883866596521</v>
      </c>
      <c r="H54" s="190">
        <f t="shared" ref="H54" si="110">F54/F42-1</f>
        <v>0.12502646535569473</v>
      </c>
      <c r="I54" s="130">
        <f t="shared" ref="I54" si="111">T54</f>
        <v>17.851771212624207</v>
      </c>
      <c r="J54" s="130">
        <f t="shared" ref="J54" si="112">I54/I42-1</f>
        <v>0.12554025400726032</v>
      </c>
      <c r="K54" s="136"/>
      <c r="L54" s="190"/>
      <c r="M54" s="190"/>
      <c r="N54" s="191"/>
      <c r="O54" s="192"/>
      <c r="P54" s="129" t="s">
        <v>1417</v>
      </c>
      <c r="Q54" s="116">
        <v>10036470</v>
      </c>
      <c r="R54" s="116">
        <v>14544547287</v>
      </c>
      <c r="S54" s="116">
        <v>562211.43999999994</v>
      </c>
      <c r="T54" s="130">
        <f t="shared" ref="T54" si="113">Q54/S54</f>
        <v>17.851771212624207</v>
      </c>
      <c r="U54" s="85">
        <f t="shared" ref="U54" si="114">Q52+Q53+Q54</f>
        <v>30170661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1690733.8263305323</v>
      </c>
      <c r="C55" s="188">
        <f>AVERAGE(F53:F55)</f>
        <v>563577.94211017748</v>
      </c>
      <c r="D55" s="190">
        <f>C55/C52-1</f>
        <v>-5.691501084282824E-2</v>
      </c>
      <c r="E55" s="287">
        <f>C55/C43-1</f>
        <v>-5.854690255103101E-3</v>
      </c>
      <c r="F55" s="136">
        <f>Q55/21</f>
        <v>631867.42857142852</v>
      </c>
      <c r="G55" s="190">
        <f t="shared" ref="G55" si="115">F55/F54-1</f>
        <v>7.0271348961765012E-2</v>
      </c>
      <c r="H55" s="190">
        <f t="shared" ref="H55" si="116">F55/F43-1</f>
        <v>-0.14248122111943451</v>
      </c>
      <c r="I55" s="130">
        <f>T55</f>
        <v>14.83038977595333</v>
      </c>
      <c r="J55" s="130">
        <f t="shared" ref="J55" si="117">I55/I43-1</f>
        <v>-6.5335583571759948E-2</v>
      </c>
      <c r="K55" s="136">
        <f>R53+R54+R55</f>
        <v>48394780728</v>
      </c>
      <c r="L55" s="190">
        <f>U55/U52-1</f>
        <v>-6.937837949543646E-2</v>
      </c>
      <c r="M55" s="190">
        <f>K55/K43-1</f>
        <v>6.1929336825525816E-3</v>
      </c>
      <c r="N55" s="191">
        <f>AVERAGE(T53:T55)</f>
        <v>16.842185734411501</v>
      </c>
      <c r="O55" s="192">
        <f>N55/N52-1</f>
        <v>3.9307813574721129E-2</v>
      </c>
      <c r="P55" s="129" t="s">
        <v>1418</v>
      </c>
      <c r="Q55" s="116">
        <v>13269216</v>
      </c>
      <c r="R55" s="116">
        <v>19492359039</v>
      </c>
      <c r="S55" s="116">
        <v>894731.44</v>
      </c>
      <c r="T55" s="130">
        <f t="shared" ref="T55" si="118">Q55/S55</f>
        <v>14.83038977595333</v>
      </c>
      <c r="U55" s="85">
        <f t="shared" ref="U55" si="119">Q53+Q54+Q55</f>
        <v>33143888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602053.5</v>
      </c>
      <c r="G56" s="190">
        <f t="shared" ref="G56" si="120">F56/F55-1</f>
        <v>-4.7183835126355489E-2</v>
      </c>
      <c r="H56" s="190">
        <f t="shared" ref="H56" si="121">F56/F44-1</f>
        <v>-0.29653247992807474</v>
      </c>
      <c r="I56" s="291">
        <f>T56</f>
        <v>16.069496994825837</v>
      </c>
      <c r="J56" s="130">
        <f t="shared" ref="J56" si="122">I56/I44-1</f>
        <v>2.019345649122517E-2</v>
      </c>
      <c r="K56" s="136"/>
      <c r="L56" s="190"/>
      <c r="M56" s="190"/>
      <c r="N56" s="191"/>
      <c r="O56" s="192"/>
      <c r="P56" s="129" t="s">
        <v>1420</v>
      </c>
      <c r="Q56" s="116">
        <v>13245177</v>
      </c>
      <c r="R56" s="116">
        <v>19719819688</v>
      </c>
      <c r="S56" s="116">
        <v>824243.41</v>
      </c>
      <c r="T56" s="130">
        <f t="shared" ref="T56" si="123">Q56/S56</f>
        <v>16.069496994825837</v>
      </c>
      <c r="U56" s="85">
        <f t="shared" ref="U56" si="124">Q54+Q55+Q56</f>
        <v>36550863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384995.08333333331</v>
      </c>
      <c r="G57" s="254">
        <f t="shared" ref="G57" si="125">F57/F56-1</f>
        <v>-0.36053011346444575</v>
      </c>
      <c r="H57" s="254">
        <f t="shared" ref="H57" si="126">F57/F45-1</f>
        <v>-0.56969435633156362</v>
      </c>
      <c r="I57" s="282">
        <f>T57</f>
        <v>16.558837508883911</v>
      </c>
      <c r="J57" s="277">
        <f t="shared" ref="J57" si="127">I57/I45-1</f>
        <v>5.7202727164787026E-2</v>
      </c>
      <c r="K57" s="204"/>
      <c r="L57" s="254"/>
      <c r="M57" s="254"/>
      <c r="N57" s="257"/>
      <c r="O57" s="258"/>
      <c r="P57" s="129" t="s">
        <v>1436</v>
      </c>
      <c r="Q57" s="116">
        <v>4619941</v>
      </c>
      <c r="R57" s="116">
        <v>6812440106</v>
      </c>
      <c r="S57" s="116">
        <v>279001.53000000003</v>
      </c>
      <c r="T57" s="130">
        <f t="shared" ref="T57" si="128">Q57/S57</f>
        <v>16.558837508883911</v>
      </c>
      <c r="U57" s="85">
        <f t="shared" ref="U57" si="129">Q55+Q56+Q57</f>
        <v>31134334</v>
      </c>
      <c r="V57" s="79"/>
      <c r="W57" s="79"/>
      <c r="X57" s="79"/>
      <c r="Y57" s="79"/>
      <c r="Z57" s="79"/>
    </row>
    <row r="58" spans="1:26">
      <c r="B58" s="196">
        <f>SUM(F56:F58)</f>
        <v>987048.58333333326</v>
      </c>
      <c r="C58" s="196">
        <f>AVERAGE(F56:F58)</f>
        <v>493524.29166666663</v>
      </c>
      <c r="D58" s="197">
        <f>C58/C55-1</f>
        <v>-0.12430161865670675</v>
      </c>
      <c r="E58" s="233">
        <f>C58/C46-1</f>
        <v>-0.45120265658091974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51009006</v>
      </c>
      <c r="R65" s="212">
        <v>74927040522</v>
      </c>
      <c r="S65" s="213">
        <v>3111520.7</v>
      </c>
      <c r="T65" s="214">
        <v>9</v>
      </c>
      <c r="U65" s="214">
        <v>28</v>
      </c>
    </row>
    <row r="66" spans="16:21" ht="18" thickBot="1">
      <c r="P66" s="180" t="s">
        <v>976</v>
      </c>
      <c r="Q66" s="181">
        <v>9838202</v>
      </c>
      <c r="R66" s="181">
        <v>14357874402</v>
      </c>
      <c r="S66" s="182">
        <v>551332.86</v>
      </c>
      <c r="T66" s="210">
        <v>5</v>
      </c>
      <c r="U66" s="210">
        <v>17</v>
      </c>
    </row>
    <row r="67" spans="16:21" ht="18" thickBot="1">
      <c r="P67" s="180" t="s">
        <v>977</v>
      </c>
      <c r="Q67" s="181">
        <v>10036470</v>
      </c>
      <c r="R67" s="181">
        <v>14544547287</v>
      </c>
      <c r="S67" s="182">
        <v>562211.43999999994</v>
      </c>
      <c r="T67" s="210">
        <v>6</v>
      </c>
      <c r="U67" s="210">
        <v>13</v>
      </c>
    </row>
    <row r="68" spans="16:21" ht="18" thickBot="1">
      <c r="P68" s="180" t="s">
        <v>978</v>
      </c>
      <c r="Q68" s="181">
        <v>13269216</v>
      </c>
      <c r="R68" s="181">
        <v>19492359039</v>
      </c>
      <c r="S68" s="182">
        <v>894731.44</v>
      </c>
      <c r="T68" s="210">
        <v>7</v>
      </c>
      <c r="U68" s="210">
        <v>21</v>
      </c>
    </row>
    <row r="69" spans="16:21" ht="18" thickBot="1">
      <c r="P69" s="180" t="s">
        <v>979</v>
      </c>
      <c r="Q69" s="181">
        <v>13245177</v>
      </c>
      <c r="R69" s="181">
        <v>19719819688</v>
      </c>
      <c r="S69" s="182">
        <v>824243.41</v>
      </c>
      <c r="T69" s="210">
        <v>5</v>
      </c>
      <c r="U69" s="210">
        <v>16</v>
      </c>
    </row>
    <row r="70" spans="16:21" ht="18" thickBot="1">
      <c r="P70" s="180" t="s">
        <v>980</v>
      </c>
      <c r="Q70" s="181">
        <v>4619941</v>
      </c>
      <c r="R70" s="181">
        <v>6812440106</v>
      </c>
      <c r="S70" s="182">
        <v>279001.53000000003</v>
      </c>
      <c r="T70" s="210" t="s">
        <v>1421</v>
      </c>
      <c r="U70" s="210">
        <v>9</v>
      </c>
    </row>
    <row r="71" spans="16:21" ht="18" thickBot="1">
      <c r="P71" s="180" t="s">
        <v>975</v>
      </c>
      <c r="Q71" s="181">
        <v>178038481</v>
      </c>
      <c r="R71" s="181">
        <v>252012677737</v>
      </c>
      <c r="S71" s="182">
        <v>11496273.01</v>
      </c>
      <c r="T71" s="210">
        <v>16</v>
      </c>
      <c r="U71" s="210">
        <v>50</v>
      </c>
    </row>
    <row r="72" spans="16:21" ht="18" thickBot="1">
      <c r="P72" s="215" t="s">
        <v>982</v>
      </c>
      <c r="Q72" s="217" t="s">
        <v>1509</v>
      </c>
      <c r="R72"/>
      <c r="S72"/>
      <c r="T72"/>
      <c r="U72"/>
    </row>
  </sheetData>
  <phoneticPr fontId="1" type="noConversion"/>
  <conditionalFormatting sqref="C29:C30">
    <cfRule type="cellIs" dxfId="13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72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1432583</v>
      </c>
      <c r="G5" s="90"/>
      <c r="H5" s="90"/>
      <c r="I5" s="130">
        <f t="shared" ref="I5:I49" si="0">T5</f>
        <v>20.591551438876525</v>
      </c>
      <c r="J5" s="130"/>
      <c r="K5" s="86"/>
      <c r="L5" s="80"/>
      <c r="M5" s="80"/>
      <c r="P5" s="129" t="s">
        <v>0</v>
      </c>
      <c r="Q5" s="116">
        <v>28651660</v>
      </c>
      <c r="R5" s="116">
        <v>33798137132</v>
      </c>
      <c r="S5" s="116">
        <v>1391427.94</v>
      </c>
      <c r="T5" s="130">
        <f t="shared" ref="T5:T29" si="1">Q5/S5</f>
        <v>20.591551438876525</v>
      </c>
      <c r="U5" s="85"/>
    </row>
    <row r="6" spans="1:21" ht="15" hidden="1" customHeight="1">
      <c r="A6" s="129" t="s">
        <v>1</v>
      </c>
      <c r="C6" s="79"/>
      <c r="F6" s="78">
        <f>Q6/18</f>
        <v>1625334.0555555555</v>
      </c>
      <c r="G6" s="90">
        <f t="shared" ref="G6:G29" si="2">F6/F5-1</f>
        <v>0.1345479148890889</v>
      </c>
      <c r="H6" s="90"/>
      <c r="I6" s="130">
        <f t="shared" si="0"/>
        <v>20.370394688615509</v>
      </c>
      <c r="J6" s="130"/>
      <c r="K6" s="78"/>
      <c r="P6" s="129" t="s">
        <v>1</v>
      </c>
      <c r="Q6" s="116">
        <v>29256013</v>
      </c>
      <c r="R6" s="116">
        <v>34771197308</v>
      </c>
      <c r="S6" s="116">
        <v>1436202.56</v>
      </c>
      <c r="T6" s="130">
        <f t="shared" si="1"/>
        <v>20.370394688615509</v>
      </c>
      <c r="U6" s="85"/>
    </row>
    <row r="7" spans="1:21" ht="15" hidden="1" customHeight="1">
      <c r="A7" s="129" t="s">
        <v>2</v>
      </c>
      <c r="B7" s="131">
        <f>F5+F6+F7</f>
        <v>4557309.2373737376</v>
      </c>
      <c r="C7" s="131">
        <f>AVERAGE(F5:F7)</f>
        <v>1519103.0791245792</v>
      </c>
      <c r="F7" s="78">
        <f>Q7/22</f>
        <v>1499392.1818181819</v>
      </c>
      <c r="G7" s="90">
        <f t="shared" si="2"/>
        <v>-7.7486762371643869E-2</v>
      </c>
      <c r="H7" s="90"/>
      <c r="I7" s="130">
        <f t="shared" si="0"/>
        <v>20.7381823766137</v>
      </c>
      <c r="J7" s="130"/>
      <c r="K7" s="85">
        <f>R5+R6+R7</f>
        <v>108206415044</v>
      </c>
      <c r="N7" s="88">
        <f>AVERAGE(T5:T7)</f>
        <v>20.566709501368578</v>
      </c>
      <c r="P7" s="129" t="s">
        <v>2</v>
      </c>
      <c r="Q7" s="116">
        <v>32986628</v>
      </c>
      <c r="R7" s="116">
        <v>39637080604</v>
      </c>
      <c r="S7" s="116">
        <v>1590622.91</v>
      </c>
      <c r="T7" s="130">
        <f t="shared" si="1"/>
        <v>20.7381823766137</v>
      </c>
      <c r="U7" s="85">
        <f>Q5+Q6+Q7</f>
        <v>90894301</v>
      </c>
    </row>
    <row r="8" spans="1:21" ht="15" hidden="1" customHeight="1">
      <c r="A8" s="129" t="s">
        <v>3</v>
      </c>
      <c r="C8" s="79"/>
      <c r="F8" s="78">
        <f>Q8/21</f>
        <v>1372963.3333333333</v>
      </c>
      <c r="G8" s="90">
        <f t="shared" si="2"/>
        <v>-8.4320066502907465E-2</v>
      </c>
      <c r="H8" s="90"/>
      <c r="I8" s="130">
        <f t="shared" si="0"/>
        <v>20.548019548257191</v>
      </c>
      <c r="J8" s="130"/>
      <c r="K8" s="78"/>
      <c r="P8" s="129" t="s">
        <v>3</v>
      </c>
      <c r="Q8" s="116">
        <v>28832230</v>
      </c>
      <c r="R8" s="116">
        <v>34883043412</v>
      </c>
      <c r="S8" s="116">
        <v>1403163.45</v>
      </c>
      <c r="T8" s="130">
        <f t="shared" si="1"/>
        <v>20.548019548257191</v>
      </c>
      <c r="U8" s="85"/>
    </row>
    <row r="9" spans="1:21" ht="15" hidden="1" customHeight="1">
      <c r="A9" s="129" t="s">
        <v>4</v>
      </c>
      <c r="C9" s="79"/>
      <c r="F9" s="78">
        <f>Q9/21</f>
        <v>1094134.2380952381</v>
      </c>
      <c r="G9" s="90">
        <f t="shared" si="2"/>
        <v>-0.20308560940308806</v>
      </c>
      <c r="H9" s="90"/>
      <c r="I9" s="130">
        <f t="shared" si="0"/>
        <v>21.13721757381818</v>
      </c>
      <c r="J9" s="130"/>
      <c r="K9" s="78"/>
      <c r="P9" s="129" t="s">
        <v>4</v>
      </c>
      <c r="Q9" s="116">
        <v>22976819</v>
      </c>
      <c r="R9" s="116">
        <v>28887591211</v>
      </c>
      <c r="S9" s="116">
        <v>1087031.3899999999</v>
      </c>
      <c r="T9" s="130">
        <f t="shared" si="1"/>
        <v>21.13721757381818</v>
      </c>
      <c r="U9" s="85"/>
    </row>
    <row r="10" spans="1:21" ht="15" hidden="1" customHeight="1">
      <c r="A10" s="129" t="s">
        <v>5</v>
      </c>
      <c r="B10" s="131">
        <f>F8+F9+F10</f>
        <v>3336588.3809523806</v>
      </c>
      <c r="C10" s="131">
        <f>AVERAGE(F8:F10)</f>
        <v>1112196.1269841269</v>
      </c>
      <c r="D10" s="90">
        <f>C10/C7-1</f>
        <v>-0.26786000089930861</v>
      </c>
      <c r="E10" s="286"/>
      <c r="F10" s="78">
        <f>Q10/21</f>
        <v>869490.80952380947</v>
      </c>
      <c r="G10" s="90">
        <f t="shared" si="2"/>
        <v>-0.20531614928942088</v>
      </c>
      <c r="H10" s="90"/>
      <c r="I10" s="130">
        <f t="shared" si="0"/>
        <v>21.682794282488512</v>
      </c>
      <c r="J10" s="130"/>
      <c r="K10" s="85">
        <f>R8+R9+R10</f>
        <v>86714323491</v>
      </c>
      <c r="L10" s="87">
        <f>U10/U7-1</f>
        <v>-0.22912267073817971</v>
      </c>
      <c r="N10" s="88">
        <f>AVERAGE(T8:T10)</f>
        <v>21.122677134854627</v>
      </c>
      <c r="O10" s="89">
        <f>N10/N7-1</f>
        <v>2.7032405618849786E-2</v>
      </c>
      <c r="P10" s="129" t="s">
        <v>5</v>
      </c>
      <c r="Q10" s="116">
        <v>18259307</v>
      </c>
      <c r="R10" s="116">
        <v>22943688868</v>
      </c>
      <c r="S10" s="116">
        <v>842110.42</v>
      </c>
      <c r="T10" s="130">
        <f t="shared" si="1"/>
        <v>21.682794282488512</v>
      </c>
      <c r="U10" s="85">
        <f>Q8+Q9+Q10</f>
        <v>70068356</v>
      </c>
    </row>
    <row r="11" spans="1:21" ht="15" hidden="1" customHeight="1">
      <c r="A11" s="129" t="s">
        <v>6</v>
      </c>
      <c r="C11" s="79"/>
      <c r="F11" s="78">
        <f>Q11/21</f>
        <v>1263856.5238095238</v>
      </c>
      <c r="G11" s="90">
        <f t="shared" si="2"/>
        <v>0.45355938207293423</v>
      </c>
      <c r="H11" s="90"/>
      <c r="I11" s="130">
        <f t="shared" si="0"/>
        <v>22.022899345783237</v>
      </c>
      <c r="J11" s="130"/>
      <c r="K11" s="78"/>
      <c r="O11" s="89"/>
      <c r="P11" s="129" t="s">
        <v>6</v>
      </c>
      <c r="Q11" s="116">
        <v>26540987</v>
      </c>
      <c r="R11" s="116">
        <v>34330721604</v>
      </c>
      <c r="S11" s="116">
        <v>1205154.08</v>
      </c>
      <c r="T11" s="130">
        <f t="shared" si="1"/>
        <v>22.022899345783237</v>
      </c>
      <c r="U11" s="85"/>
    </row>
    <row r="12" spans="1:21" ht="15" hidden="1" customHeight="1">
      <c r="A12" s="129" t="s">
        <v>7</v>
      </c>
      <c r="C12" s="79"/>
      <c r="F12" s="78">
        <f>Q12/22</f>
        <v>1110388.1363636365</v>
      </c>
      <c r="G12" s="90">
        <f t="shared" si="2"/>
        <v>-0.1214286468081851</v>
      </c>
      <c r="H12" s="90"/>
      <c r="I12" s="130">
        <f t="shared" si="0"/>
        <v>21.145404897956457</v>
      </c>
      <c r="J12" s="130"/>
      <c r="K12" s="78"/>
      <c r="O12" s="89"/>
      <c r="P12" s="129" t="s">
        <v>7</v>
      </c>
      <c r="Q12" s="116">
        <v>24428539</v>
      </c>
      <c r="R12" s="116">
        <v>31737881243</v>
      </c>
      <c r="S12" s="116">
        <v>1155264.6599999999</v>
      </c>
      <c r="T12" s="130">
        <f t="shared" si="1"/>
        <v>21.145404897956457</v>
      </c>
      <c r="U12" s="85"/>
    </row>
    <row r="13" spans="1:21" ht="15" hidden="1" customHeight="1">
      <c r="A13" s="129" t="s">
        <v>96</v>
      </c>
      <c r="B13" s="131">
        <f>F11+F12+F13</f>
        <v>3356910.16017316</v>
      </c>
      <c r="C13" s="131">
        <f>AVERAGE(F11:F13)</f>
        <v>1118970.0533910533</v>
      </c>
      <c r="D13" s="90">
        <f>C13/C10-1</f>
        <v>6.0905862217799367E-3</v>
      </c>
      <c r="E13" s="286"/>
      <c r="F13" s="78">
        <f>Q13/20</f>
        <v>982665.5</v>
      </c>
      <c r="G13" s="90">
        <f t="shared" si="2"/>
        <v>-0.11502521702177937</v>
      </c>
      <c r="H13" s="90"/>
      <c r="I13" s="130">
        <f t="shared" si="0"/>
        <v>21.315500625512712</v>
      </c>
      <c r="J13" s="130"/>
      <c r="K13" s="78">
        <f>R11+R12+R13</f>
        <v>92935145966</v>
      </c>
      <c r="L13" s="87">
        <f>U13/U10-1</f>
        <v>7.9134152940594227E-3</v>
      </c>
      <c r="N13" s="88">
        <f>AVERAGE(T11:T13)</f>
        <v>21.494601623084137</v>
      </c>
      <c r="O13" s="89">
        <f>N13/N10-1</f>
        <v>1.7607829057605384E-2</v>
      </c>
      <c r="P13" s="129" t="s">
        <v>96</v>
      </c>
      <c r="Q13" s="116">
        <v>19653310</v>
      </c>
      <c r="R13" s="116">
        <v>26866543119</v>
      </c>
      <c r="S13" s="116">
        <v>922019.63</v>
      </c>
      <c r="T13" s="130">
        <f t="shared" si="1"/>
        <v>21.315500625512712</v>
      </c>
      <c r="U13" s="85">
        <f>Q11+Q12+Q13</f>
        <v>70622836</v>
      </c>
    </row>
    <row r="14" spans="1:21" ht="15" hidden="1" customHeight="1">
      <c r="A14" s="129" t="s">
        <v>97</v>
      </c>
      <c r="C14" s="79"/>
      <c r="F14" s="78">
        <f>Q14/20</f>
        <v>716865.95</v>
      </c>
      <c r="G14" s="90">
        <f t="shared" si="2"/>
        <v>-0.27048832995561567</v>
      </c>
      <c r="H14" s="90"/>
      <c r="I14" s="130">
        <f t="shared" si="0"/>
        <v>22.195576529464045</v>
      </c>
      <c r="J14" s="130"/>
      <c r="K14" s="78"/>
      <c r="O14" s="89"/>
      <c r="P14" s="129" t="s">
        <v>97</v>
      </c>
      <c r="Q14" s="116">
        <v>14337319</v>
      </c>
      <c r="R14" s="116">
        <v>20440171272</v>
      </c>
      <c r="S14" s="116">
        <v>645953.89</v>
      </c>
      <c r="T14" s="130">
        <f t="shared" si="1"/>
        <v>22.195576529464045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535888.18181818177</v>
      </c>
      <c r="G15" s="90">
        <f t="shared" si="2"/>
        <v>-0.25245691775682499</v>
      </c>
      <c r="H15" s="90"/>
      <c r="I15" s="130">
        <f t="shared" si="0"/>
        <v>22.271481247304507</v>
      </c>
      <c r="J15" s="130"/>
      <c r="K15" s="78"/>
      <c r="O15" s="89"/>
      <c r="P15" s="129" t="s">
        <v>98</v>
      </c>
      <c r="Q15" s="116">
        <v>11789540</v>
      </c>
      <c r="R15" s="116">
        <v>16313191644</v>
      </c>
      <c r="S15" s="116">
        <v>529355.9</v>
      </c>
      <c r="T15" s="130">
        <f t="shared" si="1"/>
        <v>22.271481247304507</v>
      </c>
      <c r="U15" s="85"/>
    </row>
    <row r="16" spans="1:21" ht="15" hidden="1" customHeight="1">
      <c r="A16" s="129" t="s">
        <v>99</v>
      </c>
      <c r="B16" s="131">
        <f>F14+F15+F16</f>
        <v>1904095.6772727272</v>
      </c>
      <c r="C16" s="131">
        <f>AVERAGE(F14:F16)</f>
        <v>634698.55909090908</v>
      </c>
      <c r="D16" s="90">
        <f>C16/C13-1</f>
        <v>-0.43278324815981728</v>
      </c>
      <c r="E16" s="286"/>
      <c r="F16" s="78">
        <f>Q16/22</f>
        <v>651341.54545454541</v>
      </c>
      <c r="G16" s="90">
        <f t="shared" si="2"/>
        <v>0.21544301134734689</v>
      </c>
      <c r="H16" s="90"/>
      <c r="I16" s="130">
        <f t="shared" si="0"/>
        <v>22.712036573546907</v>
      </c>
      <c r="J16" s="130"/>
      <c r="K16" s="78">
        <f>R14+R15+R16</f>
        <v>55613030144</v>
      </c>
      <c r="L16" s="87">
        <f>U16/U13-1</f>
        <v>-0.42714884743512704</v>
      </c>
      <c r="N16" s="88">
        <f>AVERAGE(T14:T16)</f>
        <v>22.393031450105155</v>
      </c>
      <c r="O16" s="89">
        <f>N16/N13-1</f>
        <v>4.1797928743938728E-2</v>
      </c>
      <c r="P16" s="129" t="s">
        <v>99</v>
      </c>
      <c r="Q16" s="116">
        <v>14329514</v>
      </c>
      <c r="R16" s="116">
        <v>18859667228</v>
      </c>
      <c r="S16" s="116">
        <v>630921.57999999996</v>
      </c>
      <c r="T16" s="130">
        <f t="shared" si="1"/>
        <v>22.712036573546907</v>
      </c>
      <c r="U16" s="85">
        <f>Q14+Q15+Q16</f>
        <v>40456373</v>
      </c>
    </row>
    <row r="17" spans="1:21" ht="15" hidden="1" customHeight="1">
      <c r="A17" s="129" t="s">
        <v>100</v>
      </c>
      <c r="C17" s="79"/>
      <c r="F17" s="78">
        <f>Q17/20</f>
        <v>823907.35</v>
      </c>
      <c r="G17" s="90">
        <f t="shared" si="2"/>
        <v>0.26493904119846645</v>
      </c>
      <c r="H17" s="90">
        <f t="shared" ref="H17:H29" si="3">F17/F5-1</f>
        <v>-0.42487984989351402</v>
      </c>
      <c r="I17" s="130">
        <f t="shared" si="0"/>
        <v>22.584239469088985</v>
      </c>
      <c r="J17" s="130">
        <f t="shared" ref="J17:J49" si="4">I17/I5-1</f>
        <v>9.6772117250490286E-2</v>
      </c>
      <c r="K17" s="78"/>
      <c r="O17" s="89"/>
      <c r="P17" s="129" t="s">
        <v>100</v>
      </c>
      <c r="Q17" s="116">
        <v>16478147</v>
      </c>
      <c r="R17" s="116">
        <v>20646218256</v>
      </c>
      <c r="S17" s="116">
        <v>729630.37</v>
      </c>
      <c r="T17" s="130">
        <f t="shared" si="1"/>
        <v>22.584239469088985</v>
      </c>
      <c r="U17" s="78"/>
    </row>
    <row r="18" spans="1:21" ht="15" hidden="1" customHeight="1">
      <c r="A18" s="129" t="s">
        <v>106</v>
      </c>
      <c r="C18" s="79"/>
      <c r="F18" s="78">
        <f>Q18/20</f>
        <v>1183842.3</v>
      </c>
      <c r="G18" s="90">
        <f t="shared" si="2"/>
        <v>0.43686338033032479</v>
      </c>
      <c r="H18" s="90">
        <f t="shared" si="3"/>
        <v>-0.27163139420262084</v>
      </c>
      <c r="I18" s="130">
        <f t="shared" si="0"/>
        <v>22.900656197003137</v>
      </c>
      <c r="J18" s="130">
        <f t="shared" si="4"/>
        <v>0.1242126893987836</v>
      </c>
      <c r="K18" s="78"/>
      <c r="O18" s="89"/>
      <c r="P18" s="129" t="s">
        <v>106</v>
      </c>
      <c r="Q18" s="116">
        <v>23676846</v>
      </c>
      <c r="R18" s="116">
        <v>29664035373</v>
      </c>
      <c r="S18" s="116">
        <v>1033893.78</v>
      </c>
      <c r="T18" s="130">
        <f t="shared" si="1"/>
        <v>22.900656197003137</v>
      </c>
      <c r="U18" s="78"/>
    </row>
    <row r="19" spans="1:21" hidden="1">
      <c r="A19" s="129" t="s">
        <v>114</v>
      </c>
      <c r="B19" s="131">
        <f>SUM(F17:F19)</f>
        <v>2879774.877272727</v>
      </c>
      <c r="C19" s="131">
        <f>AVERAGE(F17:F19)</f>
        <v>959924.95909090899</v>
      </c>
      <c r="D19" s="90">
        <f>C19/C16-1</f>
        <v>0.51241080563634478</v>
      </c>
      <c r="E19" s="286">
        <f>C19/C7-1</f>
        <v>-0.36809754895363023</v>
      </c>
      <c r="F19" s="78">
        <f>Q19/22</f>
        <v>872025.22727272729</v>
      </c>
      <c r="G19" s="90">
        <f t="shared" si="2"/>
        <v>-0.26339409626372767</v>
      </c>
      <c r="H19" s="90">
        <f t="shared" si="3"/>
        <v>-0.41841418286221921</v>
      </c>
      <c r="I19" s="130">
        <f t="shared" si="0"/>
        <v>22.624010994687097</v>
      </c>
      <c r="J19" s="130">
        <f t="shared" si="4"/>
        <v>9.0935096616761912E-2</v>
      </c>
      <c r="K19" s="78">
        <f>R17+R18+R19</f>
        <v>75367845633</v>
      </c>
      <c r="L19" s="87">
        <f>U19/U16-1</f>
        <v>0.46675402661528764</v>
      </c>
      <c r="M19" s="87">
        <f>U19/U7-1</f>
        <v>-0.34715876191181672</v>
      </c>
      <c r="N19" s="88">
        <f>AVERAGE(T17:T19)</f>
        <v>22.702968886926403</v>
      </c>
      <c r="O19" s="89">
        <f>N19/N16-1</f>
        <v>1.3840798531982168E-2</v>
      </c>
      <c r="P19" s="129" t="s">
        <v>114</v>
      </c>
      <c r="Q19" s="116">
        <v>19184555</v>
      </c>
      <c r="R19" s="116">
        <v>25057592004</v>
      </c>
      <c r="S19" s="116">
        <v>847973.2</v>
      </c>
      <c r="T19" s="130">
        <f t="shared" si="1"/>
        <v>22.624010994687097</v>
      </c>
      <c r="U19" s="85">
        <f>Q17+Q18+Q19</f>
        <v>59339548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1721072.6</v>
      </c>
      <c r="G20" s="90">
        <f t="shared" si="2"/>
        <v>0.97365001168909049</v>
      </c>
      <c r="H20" s="90">
        <f t="shared" si="3"/>
        <v>0.25354593106395185</v>
      </c>
      <c r="I20" s="130">
        <f t="shared" si="0"/>
        <v>22.426855131695955</v>
      </c>
      <c r="J20" s="130">
        <f t="shared" si="4"/>
        <v>9.1436334242640971E-2</v>
      </c>
      <c r="K20" s="78"/>
      <c r="O20" s="89"/>
      <c r="P20" s="129" t="s">
        <v>131</v>
      </c>
      <c r="Q20" s="116">
        <v>34421452</v>
      </c>
      <c r="R20" s="116">
        <v>45113469937</v>
      </c>
      <c r="S20" s="116">
        <v>1534831.87</v>
      </c>
      <c r="T20" s="130">
        <f t="shared" si="1"/>
        <v>22.426855131695955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1261371.3333333333</v>
      </c>
      <c r="G21" s="90">
        <f t="shared" si="2"/>
        <v>-0.26710161248669395</v>
      </c>
      <c r="H21" s="90">
        <f t="shared" si="3"/>
        <v>0.1528487907747369</v>
      </c>
      <c r="I21" s="130">
        <f t="shared" si="0"/>
        <v>23.418262202107009</v>
      </c>
      <c r="J21" s="130">
        <f t="shared" si="4"/>
        <v>0.10791603106334424</v>
      </c>
      <c r="K21" s="78"/>
      <c r="O21" s="89"/>
      <c r="P21" s="129" t="s">
        <v>141</v>
      </c>
      <c r="Q21" s="116">
        <v>26488798</v>
      </c>
      <c r="R21" s="116">
        <v>35311235038</v>
      </c>
      <c r="S21" s="116">
        <v>1131117.1499999999</v>
      </c>
      <c r="T21" s="130">
        <f t="shared" si="1"/>
        <v>23.418262202107009</v>
      </c>
      <c r="U21" s="78"/>
    </row>
    <row r="22" spans="1:21" hidden="1">
      <c r="A22" s="129" t="s">
        <v>155</v>
      </c>
      <c r="B22" s="131">
        <f>SUM(F20:F22)</f>
        <v>4566307.1714285715</v>
      </c>
      <c r="C22" s="131">
        <f>AVERAGE(F20:F22)</f>
        <v>1522102.3904761905</v>
      </c>
      <c r="D22" s="90">
        <f>C22/C19-1</f>
        <v>0.58564726967583813</v>
      </c>
      <c r="E22" s="286">
        <f>C22/C10-1</f>
        <v>0.36855573720039914</v>
      </c>
      <c r="F22" s="78">
        <f>Q22/21</f>
        <v>1583863.2380952381</v>
      </c>
      <c r="G22" s="90">
        <f t="shared" si="2"/>
        <v>0.25566769771886233</v>
      </c>
      <c r="H22" s="90">
        <f t="shared" si="3"/>
        <v>0.82159859626655063</v>
      </c>
      <c r="I22" s="130">
        <f t="shared" si="0"/>
        <v>22.70712603413422</v>
      </c>
      <c r="J22" s="130">
        <f t="shared" si="4"/>
        <v>4.7241685656399968E-2</v>
      </c>
      <c r="K22" s="78">
        <f>R20+R21+R22</f>
        <v>123743098078</v>
      </c>
      <c r="L22" s="87">
        <f>U22/U19-1</f>
        <v>0.5869918321588834</v>
      </c>
      <c r="M22" s="87">
        <f>U22/U10-1</f>
        <v>0.34399297166327125</v>
      </c>
      <c r="N22" s="88">
        <f>AVERAGE(T20:T22)</f>
        <v>22.850747789312393</v>
      </c>
      <c r="O22" s="89">
        <f>N22/N19-1</f>
        <v>6.5092324762463516E-3</v>
      </c>
      <c r="P22" s="129" t="s">
        <v>155</v>
      </c>
      <c r="Q22" s="116">
        <v>33261128</v>
      </c>
      <c r="R22" s="116">
        <v>43318393103</v>
      </c>
      <c r="S22" s="116">
        <v>1464788.1</v>
      </c>
      <c r="T22" s="130">
        <f t="shared" si="1"/>
        <v>22.70712603413422</v>
      </c>
      <c r="U22" s="85">
        <f>Q20+Q21+Q22</f>
        <v>94171378</v>
      </c>
    </row>
    <row r="23" spans="1:21" hidden="1">
      <c r="A23" s="129" t="s">
        <v>189</v>
      </c>
      <c r="B23" s="131"/>
      <c r="C23" s="131"/>
      <c r="F23" s="78">
        <f>Q23/21</f>
        <v>1137055.2857142857</v>
      </c>
      <c r="G23" s="90">
        <f t="shared" si="2"/>
        <v>-0.28210008391777941</v>
      </c>
      <c r="H23" s="90">
        <f t="shared" si="3"/>
        <v>-0.10032882349100281</v>
      </c>
      <c r="I23" s="130">
        <f t="shared" si="0"/>
        <v>22.230690955436685</v>
      </c>
      <c r="J23" s="130">
        <f t="shared" si="4"/>
        <v>9.4352522068459344E-3</v>
      </c>
      <c r="K23" s="78"/>
      <c r="O23" s="89"/>
      <c r="P23" s="129" t="s">
        <v>189</v>
      </c>
      <c r="Q23" s="116">
        <v>23878161</v>
      </c>
      <c r="R23" s="116">
        <v>30890161982</v>
      </c>
      <c r="S23" s="116">
        <v>1074107.9099999999</v>
      </c>
      <c r="T23" s="130">
        <f t="shared" si="1"/>
        <v>22.230690955436685</v>
      </c>
      <c r="U23" s="78"/>
    </row>
    <row r="24" spans="1:21" hidden="1">
      <c r="A24" s="129" t="s">
        <v>204</v>
      </c>
      <c r="B24" s="131"/>
      <c r="C24" s="131"/>
      <c r="F24" s="78">
        <f>Q24/22</f>
        <v>1074669</v>
      </c>
      <c r="G24" s="90">
        <f t="shared" si="2"/>
        <v>-5.4866536832547497E-2</v>
      </c>
      <c r="H24" s="90">
        <f t="shared" si="3"/>
        <v>-3.2168153813865064E-2</v>
      </c>
      <c r="I24" s="130">
        <f t="shared" si="0"/>
        <v>22.209095354412987</v>
      </c>
      <c r="J24" s="130">
        <f t="shared" si="4"/>
        <v>5.0303622067758402E-2</v>
      </c>
      <c r="K24" s="78"/>
      <c r="O24" s="89"/>
      <c r="P24" s="129" t="s">
        <v>204</v>
      </c>
      <c r="Q24" s="116">
        <v>23642718</v>
      </c>
      <c r="R24" s="116">
        <v>31065243259</v>
      </c>
      <c r="S24" s="116">
        <v>1064551.1499999999</v>
      </c>
      <c r="T24" s="130">
        <f t="shared" si="1"/>
        <v>22.209095354412987</v>
      </c>
      <c r="U24" s="78"/>
    </row>
    <row r="25" spans="1:21" s="79" customFormat="1" ht="13.2" hidden="1">
      <c r="A25" s="129" t="s">
        <v>217</v>
      </c>
      <c r="B25" s="131">
        <f>SUM(F23:F25)</f>
        <v>3800014.7593984958</v>
      </c>
      <c r="C25" s="131">
        <f>AVERAGE(F23:F25)</f>
        <v>1266671.5864661653</v>
      </c>
      <c r="D25" s="90">
        <f>C25/C22-1</f>
        <v>-0.16781446872973738</v>
      </c>
      <c r="E25" s="286">
        <f>C25/C13-1</f>
        <v>0.13199775331565</v>
      </c>
      <c r="F25" s="78">
        <f>Q25/19</f>
        <v>1588290.4736842106</v>
      </c>
      <c r="G25" s="90">
        <f t="shared" si="2"/>
        <v>0.47793457677127615</v>
      </c>
      <c r="H25" s="90">
        <f t="shared" si="3"/>
        <v>0.61630837114380288</v>
      </c>
      <c r="I25" s="130">
        <f t="shared" si="0"/>
        <v>21.64100773721027</v>
      </c>
      <c r="J25" s="130">
        <f t="shared" si="4"/>
        <v>1.5270910940180071E-2</v>
      </c>
      <c r="K25" s="78">
        <f>R23+R24+R25</f>
        <v>102006900623</v>
      </c>
      <c r="L25" s="90">
        <f>U25/U22-1</f>
        <v>-0.17492554903465463</v>
      </c>
      <c r="M25" s="90">
        <f>U25/U13-1</f>
        <v>0.10018801850438286</v>
      </c>
      <c r="N25" s="88">
        <f>AVERAGE(T23:T25)</f>
        <v>22.026931349019979</v>
      </c>
      <c r="O25" s="91">
        <f>N25/N22-1</f>
        <v>-3.6052056059089899E-2</v>
      </c>
      <c r="P25" s="129" t="s">
        <v>217</v>
      </c>
      <c r="Q25" s="116">
        <v>30177519</v>
      </c>
      <c r="R25" s="116">
        <v>40051495382</v>
      </c>
      <c r="S25" s="116">
        <v>1394459.97</v>
      </c>
      <c r="T25" s="130">
        <f t="shared" si="1"/>
        <v>21.64100773721027</v>
      </c>
      <c r="U25" s="85">
        <f>Q23+Q24+Q25</f>
        <v>77698398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1246513.2105263157</v>
      </c>
      <c r="G26" s="90">
        <f t="shared" si="2"/>
        <v>-0.21518561549078974</v>
      </c>
      <c r="H26" s="90">
        <f t="shared" si="3"/>
        <v>0.73883724080675872</v>
      </c>
      <c r="I26" s="130">
        <f t="shared" si="0"/>
        <v>22.79255261969772</v>
      </c>
      <c r="J26" s="130">
        <f t="shared" si="4"/>
        <v>2.6896174084111157E-2</v>
      </c>
      <c r="K26" s="78"/>
      <c r="L26" s="90"/>
      <c r="M26" s="90"/>
      <c r="P26" s="129" t="s">
        <v>312</v>
      </c>
      <c r="Q26" s="116">
        <v>23683751</v>
      </c>
      <c r="R26" s="116">
        <v>31887316957</v>
      </c>
      <c r="S26" s="116">
        <v>1039100.42</v>
      </c>
      <c r="T26" s="130">
        <f t="shared" si="1"/>
        <v>22.79255261969772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981969.86363636365</v>
      </c>
      <c r="G27" s="90">
        <f t="shared" si="2"/>
        <v>-0.21222666928516054</v>
      </c>
      <c r="H27" s="90">
        <f t="shared" si="3"/>
        <v>0.83241559891225636</v>
      </c>
      <c r="I27" s="130">
        <f t="shared" si="0"/>
        <v>23.163638533429911</v>
      </c>
      <c r="J27" s="130">
        <f t="shared" si="4"/>
        <v>4.005828243837084E-2</v>
      </c>
      <c r="K27" s="78"/>
      <c r="L27" s="90"/>
      <c r="M27" s="90"/>
      <c r="P27" s="129" t="s">
        <v>373</v>
      </c>
      <c r="Q27" s="116">
        <v>21603337</v>
      </c>
      <c r="R27" s="116">
        <v>28631388972</v>
      </c>
      <c r="S27" s="116">
        <v>932640.05</v>
      </c>
      <c r="T27" s="130">
        <f t="shared" si="1"/>
        <v>23.163638533429911</v>
      </c>
      <c r="U27" s="78"/>
    </row>
    <row r="28" spans="1:21" s="79" customFormat="1" ht="13.2" hidden="1">
      <c r="A28" s="123" t="s">
        <v>413</v>
      </c>
      <c r="B28" s="131">
        <f>SUM(F26:F28)</f>
        <v>2628371.2320574159</v>
      </c>
      <c r="C28" s="131">
        <f>AVERAGE(F26:F28)</f>
        <v>876123.74401913863</v>
      </c>
      <c r="D28" s="90">
        <f>C28/C25-1</f>
        <v>-0.30832604648265616</v>
      </c>
      <c r="E28" s="286">
        <f>C28/C16-1</f>
        <v>0.38037771075772953</v>
      </c>
      <c r="F28" s="78">
        <f>Q28/19</f>
        <v>399888.15789473685</v>
      </c>
      <c r="G28" s="90">
        <f t="shared" si="2"/>
        <v>-0.59276941920203297</v>
      </c>
      <c r="H28" s="90">
        <f t="shared" si="3"/>
        <v>-0.38605458121718494</v>
      </c>
      <c r="I28" s="130">
        <f t="shared" si="0"/>
        <v>21.282277473083766</v>
      </c>
      <c r="J28" s="130">
        <f t="shared" si="4"/>
        <v>-6.2951602593331768E-2</v>
      </c>
      <c r="K28" s="78">
        <f>R26+R27+R28</f>
        <v>70445948576</v>
      </c>
      <c r="L28" s="90">
        <f>U28/U25-1</f>
        <v>-0.31935581220091569</v>
      </c>
      <c r="M28" s="90">
        <f>U28/U16-1</f>
        <v>0.3072096947494527</v>
      </c>
      <c r="N28" s="88">
        <f>AVERAGE(T26:T28)</f>
        <v>22.412822875403801</v>
      </c>
      <c r="O28" s="91">
        <f>N28/N25-1</f>
        <v>1.7519077908280334E-2</v>
      </c>
      <c r="P28" s="129" t="s">
        <v>413</v>
      </c>
      <c r="Q28" s="116">
        <v>7597875</v>
      </c>
      <c r="R28" s="116">
        <v>9927242647</v>
      </c>
      <c r="S28" s="116">
        <v>357004.79</v>
      </c>
      <c r="T28" s="130">
        <f t="shared" si="1"/>
        <v>21.282277473083766</v>
      </c>
      <c r="U28" s="85">
        <f>Q26+Q27+Q28</f>
        <v>52884963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1452907.9090909092</v>
      </c>
      <c r="G29" s="190">
        <f t="shared" si="2"/>
        <v>2.6332856585199509</v>
      </c>
      <c r="H29" s="190">
        <f t="shared" si="3"/>
        <v>0.76343603330023613</v>
      </c>
      <c r="I29" s="130">
        <f t="shared" si="0"/>
        <v>23.005200817702981</v>
      </c>
      <c r="J29" s="130">
        <f t="shared" si="4"/>
        <v>1.8639607022860494E-2</v>
      </c>
      <c r="K29" s="136"/>
      <c r="L29" s="190"/>
      <c r="M29" s="190"/>
      <c r="N29" s="191"/>
      <c r="O29" s="192"/>
      <c r="P29" s="129" t="s">
        <v>426</v>
      </c>
      <c r="Q29" s="116">
        <v>31963974</v>
      </c>
      <c r="R29" s="116">
        <v>42095950370</v>
      </c>
      <c r="S29" s="116">
        <v>1389423.82</v>
      </c>
      <c r="T29" s="130">
        <f t="shared" si="1"/>
        <v>23.005200817702981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1997310.8421052631</v>
      </c>
      <c r="G30" s="190">
        <f t="shared" ref="G30" si="5">F30/F29-1</f>
        <v>0.37469885710443229</v>
      </c>
      <c r="H30" s="190">
        <f t="shared" ref="H30" si="6">F30/F18-1</f>
        <v>0.68714265582946576</v>
      </c>
      <c r="I30" s="130">
        <f t="shared" si="0"/>
        <v>22.068373280518134</v>
      </c>
      <c r="J30" s="130">
        <f t="shared" si="4"/>
        <v>-3.6343190750748766E-2</v>
      </c>
      <c r="K30" s="136"/>
      <c r="L30" s="190"/>
      <c r="M30" s="190"/>
      <c r="N30" s="191"/>
      <c r="O30" s="192"/>
      <c r="P30" s="129" t="s">
        <v>466</v>
      </c>
      <c r="Q30" s="116">
        <v>37948906</v>
      </c>
      <c r="R30" s="116">
        <v>50589543265</v>
      </c>
      <c r="S30" s="116">
        <v>1719605.95</v>
      </c>
      <c r="T30" s="130">
        <f t="shared" ref="T30" si="7">Q30/S30</f>
        <v>22.068373280518134</v>
      </c>
      <c r="U30" s="85"/>
    </row>
    <row r="31" spans="1:21" s="79" customFormat="1" ht="13.2" hidden="1">
      <c r="A31" s="129" t="s">
        <v>505</v>
      </c>
      <c r="B31" s="188">
        <f>SUM(F29:F31)</f>
        <v>5149700.0511961719</v>
      </c>
      <c r="C31" s="188">
        <f>AVERAGE(F29:F31)</f>
        <v>1716566.6837320572</v>
      </c>
      <c r="D31" s="190">
        <f>C31/C28-1</f>
        <v>0.9592742411676487</v>
      </c>
      <c r="E31" s="287">
        <f>C31/C19-1</f>
        <v>0.78823007723199656</v>
      </c>
      <c r="F31" s="136">
        <f>Q31/20</f>
        <v>1699481.3</v>
      </c>
      <c r="G31" s="190">
        <f t="shared" ref="G31" si="8">F31/F30-1</f>
        <v>-0.14911526830312316</v>
      </c>
      <c r="H31" s="190">
        <f t="shared" ref="H31" si="9">F31/F19-1</f>
        <v>0.94889006286567512</v>
      </c>
      <c r="I31" s="130">
        <f t="shared" si="0"/>
        <v>22.503871896991278</v>
      </c>
      <c r="J31" s="130">
        <f t="shared" si="4"/>
        <v>-5.3102474943117484E-3</v>
      </c>
      <c r="K31" s="136">
        <f>R29+R30+R31</f>
        <v>137814488993</v>
      </c>
      <c r="L31" s="190">
        <f>U31/U28-1</f>
        <v>0.96468901755684322</v>
      </c>
      <c r="M31" s="190">
        <f>U31/U19-1</f>
        <v>0.75098243080651716</v>
      </c>
      <c r="N31" s="191">
        <f>AVERAGE(T29:T31)</f>
        <v>22.525815331737466</v>
      </c>
      <c r="O31" s="192">
        <f>N31/N28-1</f>
        <v>5.0414201264072922E-3</v>
      </c>
      <c r="P31" s="129" t="s">
        <v>505</v>
      </c>
      <c r="Q31" s="116">
        <v>33989626</v>
      </c>
      <c r="R31" s="116">
        <v>45128995358</v>
      </c>
      <c r="S31" s="116">
        <v>1510390.13</v>
      </c>
      <c r="T31" s="130">
        <f t="shared" ref="T31" si="10">Q31/S31</f>
        <v>22.503871896991278</v>
      </c>
      <c r="U31" s="85">
        <f>Q29+Q30+Q31</f>
        <v>103902506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1382158.6190476189</v>
      </c>
      <c r="G32" s="190">
        <f t="shared" ref="G32" si="11">F32/F31-1</f>
        <v>-0.18671737132522792</v>
      </c>
      <c r="H32" s="190">
        <f t="shared" ref="H32" si="12">F32/F20-1</f>
        <v>-0.19692021182161701</v>
      </c>
      <c r="I32" s="130">
        <f t="shared" si="0"/>
        <v>22.410422759137312</v>
      </c>
      <c r="J32" s="130">
        <f t="shared" si="4"/>
        <v>-7.3270962255511662E-4</v>
      </c>
      <c r="K32" s="136"/>
      <c r="L32" s="190"/>
      <c r="M32" s="190"/>
      <c r="N32" s="191"/>
      <c r="O32" s="192"/>
      <c r="P32" s="129" t="s">
        <v>562</v>
      </c>
      <c r="Q32" s="116">
        <v>29025331</v>
      </c>
      <c r="R32" s="116">
        <v>39370036093</v>
      </c>
      <c r="S32" s="116">
        <v>1295171.06</v>
      </c>
      <c r="T32" s="130">
        <f t="shared" ref="T32" si="13">Q32/S32</f>
        <v>22.410422759137312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1565636.2857142857</v>
      </c>
      <c r="G33" s="190">
        <f t="shared" ref="G33" si="14">F33/F32-1</f>
        <v>0.13274718555319831</v>
      </c>
      <c r="H33" s="190">
        <f t="shared" ref="H33" si="15">F33/F21-1</f>
        <v>0.24121758941270199</v>
      </c>
      <c r="I33" s="130">
        <f t="shared" si="0"/>
        <v>22.80277597680276</v>
      </c>
      <c r="J33" s="130">
        <f t="shared" si="4"/>
        <v>-2.6282318474035726E-2</v>
      </c>
      <c r="K33" s="136"/>
      <c r="L33" s="190"/>
      <c r="M33" s="190"/>
      <c r="N33" s="191"/>
      <c r="O33" s="192"/>
      <c r="P33" s="129" t="s">
        <v>624</v>
      </c>
      <c r="Q33" s="116">
        <v>32878362</v>
      </c>
      <c r="R33" s="116">
        <v>44898326360</v>
      </c>
      <c r="S33" s="116">
        <v>1441857.87</v>
      </c>
      <c r="T33" s="130">
        <f t="shared" ref="T33" si="16">Q33/S33</f>
        <v>22.80277597680276</v>
      </c>
      <c r="U33" s="85"/>
    </row>
    <row r="34" spans="1:21" s="79" customFormat="1" ht="13.2" hidden="1">
      <c r="A34" s="129" t="s">
        <v>652</v>
      </c>
      <c r="B34" s="188">
        <f>SUM(F32:F34)</f>
        <v>4832316.64160401</v>
      </c>
      <c r="C34" s="188">
        <f>AVERAGE(F32:F34)</f>
        <v>1610772.2138680033</v>
      </c>
      <c r="D34" s="190">
        <f>C34/C31-1</f>
        <v>-6.1631436090814673E-2</v>
      </c>
      <c r="E34" s="287">
        <f>C34/C22-1</f>
        <v>5.8254834856459548E-2</v>
      </c>
      <c r="F34" s="136">
        <f>Q34/19</f>
        <v>1884521.7368421052</v>
      </c>
      <c r="G34" s="190">
        <f t="shared" ref="G34" si="17">F34/F33-1</f>
        <v>0.20367786186198122</v>
      </c>
      <c r="H34" s="190">
        <f t="shared" ref="H34" si="18">F34/F22-1</f>
        <v>0.18982604780223356</v>
      </c>
      <c r="I34" s="130">
        <f t="shared" si="0"/>
        <v>22.956014423074642</v>
      </c>
      <c r="J34" s="130">
        <f t="shared" si="4"/>
        <v>1.0960805368600335E-2</v>
      </c>
      <c r="K34" s="136">
        <f>R32+R33+R34</f>
        <v>133466777035</v>
      </c>
      <c r="L34" s="190">
        <f>U34/U31-1</f>
        <v>-5.9602989748870905E-2</v>
      </c>
      <c r="M34" s="190">
        <f>U34/U22-1</f>
        <v>3.7572222846733672E-2</v>
      </c>
      <c r="N34" s="191">
        <f>AVERAGE(T32:T34)</f>
        <v>22.723071053004901</v>
      </c>
      <c r="O34" s="192">
        <f>N34/N31-1</f>
        <v>8.7568737629448723E-3</v>
      </c>
      <c r="P34" s="129" t="s">
        <v>652</v>
      </c>
      <c r="Q34" s="116">
        <v>35805913</v>
      </c>
      <c r="R34" s="116">
        <v>49198414582</v>
      </c>
      <c r="S34" s="116">
        <v>1559761.74</v>
      </c>
      <c r="T34" s="130">
        <f t="shared" ref="T34" si="19">Q34/S34</f>
        <v>22.956014423074642</v>
      </c>
      <c r="U34" s="85">
        <f>Q32+Q33+Q34</f>
        <v>97709606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1469986.3913043479</v>
      </c>
      <c r="G35" s="190">
        <f t="shared" ref="G35" si="20">F35/F34-1</f>
        <v>-0.21996846066227638</v>
      </c>
      <c r="H35" s="190">
        <f t="shared" ref="H35" si="21">F35/F23-1</f>
        <v>0.2928011590754962</v>
      </c>
      <c r="I35" s="130">
        <f t="shared" si="0"/>
        <v>22.7176435238548</v>
      </c>
      <c r="J35" s="130">
        <f t="shared" si="4"/>
        <v>2.1904517920484423E-2</v>
      </c>
      <c r="K35" s="136"/>
      <c r="L35" s="190"/>
      <c r="M35" s="190"/>
      <c r="N35" s="191"/>
      <c r="O35" s="192"/>
      <c r="P35" s="129" t="s">
        <v>660</v>
      </c>
      <c r="Q35" s="116">
        <v>33809687</v>
      </c>
      <c r="R35" s="116">
        <v>46830702219</v>
      </c>
      <c r="S35" s="116">
        <v>1488256.78</v>
      </c>
      <c r="T35" s="130">
        <f t="shared" ref="T35" si="22">Q35/S35</f>
        <v>22.7176435238548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1424153.3333333333</v>
      </c>
      <c r="G36" s="190">
        <f t="shared" ref="G36" si="23">F36/F35-1</f>
        <v>-3.1179239646120904E-2</v>
      </c>
      <c r="H36" s="190">
        <f t="shared" ref="H36" si="24">F36/F24-1</f>
        <v>0.32520183734092378</v>
      </c>
      <c r="I36" s="130">
        <f t="shared" si="0"/>
        <v>22.357171118840988</v>
      </c>
      <c r="J36" s="130">
        <f t="shared" si="4"/>
        <v>6.6673478619909687E-3</v>
      </c>
      <c r="K36" s="136"/>
      <c r="L36" s="190"/>
      <c r="M36" s="190"/>
      <c r="N36" s="191"/>
      <c r="O36" s="192"/>
      <c r="P36" s="129" t="s">
        <v>664</v>
      </c>
      <c r="Q36" s="116">
        <v>29907220</v>
      </c>
      <c r="R36" s="116">
        <v>40760327815</v>
      </c>
      <c r="S36" s="116">
        <v>1337701.44</v>
      </c>
      <c r="T36" s="130">
        <f t="shared" ref="T36" si="25">Q36/S36</f>
        <v>22.357171118840988</v>
      </c>
      <c r="U36" s="85"/>
    </row>
    <row r="37" spans="1:21" s="79" customFormat="1" ht="13.2" hidden="1">
      <c r="A37" s="129" t="s">
        <v>702</v>
      </c>
      <c r="B37" s="188">
        <f>SUM(F35:F37)</f>
        <v>4566261.1690821256</v>
      </c>
      <c r="C37" s="188">
        <f>AVERAGE(F35:F37)</f>
        <v>1522087.0563607085</v>
      </c>
      <c r="D37" s="190">
        <f>C37/C34-1</f>
        <v>-5.5057541186616321E-2</v>
      </c>
      <c r="E37" s="287">
        <f>C37/C25-1</f>
        <v>0.2016430088300285</v>
      </c>
      <c r="F37" s="136">
        <f>Q37/18</f>
        <v>1672121.4444444445</v>
      </c>
      <c r="G37" s="190">
        <f t="shared" ref="G37" si="26">F37/F36-1</f>
        <v>0.1741161610251083</v>
      </c>
      <c r="H37" s="190">
        <f t="shared" ref="H37" si="27">F37/F25-1</f>
        <v>5.2780629330212436E-2</v>
      </c>
      <c r="I37" s="130">
        <f t="shared" si="0"/>
        <v>22.580985094451222</v>
      </c>
      <c r="J37" s="130">
        <f t="shared" si="4"/>
        <v>4.3435008602890735E-2</v>
      </c>
      <c r="K37" s="136">
        <f>R35+R36+R37</f>
        <v>127790490000</v>
      </c>
      <c r="L37" s="190">
        <f>U37/U34-1</f>
        <v>-3.9858036066586888E-2</v>
      </c>
      <c r="M37" s="190">
        <f>U37/U25-1</f>
        <v>0.20742634873887611</v>
      </c>
      <c r="N37" s="191">
        <f>AVERAGE(T35:T37)</f>
        <v>22.55193324571567</v>
      </c>
      <c r="O37" s="192">
        <f>N37/N34-1</f>
        <v>-7.5314558886000471E-3</v>
      </c>
      <c r="P37" s="129" t="s">
        <v>702</v>
      </c>
      <c r="Q37" s="116">
        <v>30098186</v>
      </c>
      <c r="R37" s="116">
        <v>40199459966</v>
      </c>
      <c r="S37" s="116">
        <v>1332899.6000000001</v>
      </c>
      <c r="T37" s="130">
        <f t="shared" ref="T37" si="28">Q37/S37</f>
        <v>22.580985094451222</v>
      </c>
      <c r="U37" s="85">
        <f>Q35+Q36+Q37</f>
        <v>93815093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1641094.35</v>
      </c>
      <c r="G38" s="190">
        <f t="shared" ref="G38" si="29">F38/F37-1</f>
        <v>-1.8555526901189334E-2</v>
      </c>
      <c r="H38" s="190">
        <f t="shared" ref="H38" si="30">F38/F26-1</f>
        <v>0.31654790028826096</v>
      </c>
      <c r="I38" s="130">
        <f t="shared" si="0"/>
        <v>20.97681815225641</v>
      </c>
      <c r="J38" s="130">
        <f t="shared" si="4"/>
        <v>-7.9663497886240275E-2</v>
      </c>
      <c r="K38" s="136"/>
      <c r="L38" s="190"/>
      <c r="M38" s="190"/>
      <c r="N38" s="191"/>
      <c r="O38" s="192"/>
      <c r="P38" s="129" t="s">
        <v>728</v>
      </c>
      <c r="Q38" s="116">
        <v>32821887</v>
      </c>
      <c r="R38" s="116">
        <v>44074585236</v>
      </c>
      <c r="S38" s="116">
        <v>1564674.24</v>
      </c>
      <c r="T38" s="130">
        <f t="shared" ref="T38" si="31">Q38/S38</f>
        <v>20.97681815225641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1679457.9047619049</v>
      </c>
      <c r="G39" s="190">
        <f t="shared" ref="G39" si="32">F39/F38-1</f>
        <v>2.3376812406858072E-2</v>
      </c>
      <c r="H39" s="190">
        <f t="shared" ref="H39" si="33">F39/F27-1</f>
        <v>0.71029475236913187</v>
      </c>
      <c r="I39" s="130">
        <f t="shared" si="0"/>
        <v>20.351324617969816</v>
      </c>
      <c r="J39" s="130">
        <f t="shared" si="4"/>
        <v>-0.12141071496178568</v>
      </c>
      <c r="K39" s="136"/>
      <c r="L39" s="190"/>
      <c r="M39" s="190"/>
      <c r="N39" s="191"/>
      <c r="O39" s="192"/>
      <c r="P39" s="129" t="s">
        <v>762</v>
      </c>
      <c r="Q39" s="116">
        <v>35268616</v>
      </c>
      <c r="R39" s="116">
        <v>49035411834</v>
      </c>
      <c r="S39" s="116">
        <v>1732988.72</v>
      </c>
      <c r="T39" s="130">
        <f t="shared" ref="T39" si="34">Q39/S39</f>
        <v>20.351324617969816</v>
      </c>
      <c r="U39" s="85"/>
    </row>
    <row r="40" spans="1:21" s="79" customFormat="1" ht="13.2" hidden="1">
      <c r="A40" s="129" t="s">
        <v>778</v>
      </c>
      <c r="B40" s="188">
        <f>SUM(F38:F40)</f>
        <v>4105624.969047619</v>
      </c>
      <c r="C40" s="188">
        <f>AVERAGE(F38:F40)</f>
        <v>1368541.6563492063</v>
      </c>
      <c r="D40" s="190">
        <f>C40/C37-1</f>
        <v>-0.10087819837232392</v>
      </c>
      <c r="E40" s="287">
        <f>C40/C28-1</f>
        <v>0.56204151033636518</v>
      </c>
      <c r="F40" s="136">
        <f>Q40/21</f>
        <v>785072.71428571432</v>
      </c>
      <c r="G40" s="190">
        <f t="shared" ref="G40" si="35">F40/F39-1</f>
        <v>-0.53254397620819605</v>
      </c>
      <c r="H40" s="190">
        <f t="shared" ref="H40" si="36">F40/F28-1</f>
        <v>0.9632307153550923</v>
      </c>
      <c r="I40" s="130">
        <f t="shared" si="0"/>
        <v>21.422841843395457</v>
      </c>
      <c r="J40" s="130">
        <f t="shared" si="4"/>
        <v>6.6047616609390403E-3</v>
      </c>
      <c r="K40" s="136">
        <f>R38+R39+R40</f>
        <v>116494224711</v>
      </c>
      <c r="L40" s="190">
        <f>U40/U37-1</f>
        <v>-9.8470967779139773E-2</v>
      </c>
      <c r="M40" s="190">
        <f>U40/U28-1</f>
        <v>0.59926423698169184</v>
      </c>
      <c r="N40" s="191">
        <f>AVERAGE(T38:T40)</f>
        <v>20.916994871207226</v>
      </c>
      <c r="O40" s="192">
        <f>N40/N37-1</f>
        <v>-7.2496595156383958E-2</v>
      </c>
      <c r="P40" s="129" t="s">
        <v>778</v>
      </c>
      <c r="Q40" s="116">
        <v>16486527</v>
      </c>
      <c r="R40" s="116">
        <v>23384227641</v>
      </c>
      <c r="S40" s="116">
        <v>769577.03</v>
      </c>
      <c r="T40" s="130">
        <f t="shared" ref="T40" si="37">Q40/S40</f>
        <v>21.422841843395457</v>
      </c>
      <c r="U40" s="85">
        <f>Q38+Q39+Q40</f>
        <v>84577030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1483057.9444444445</v>
      </c>
      <c r="G41" s="190">
        <f t="shared" ref="G41" si="38">F41/F40-1</f>
        <v>0.88907080510851877</v>
      </c>
      <c r="H41" s="190">
        <f t="shared" ref="H41" si="39">F41/F29-1</f>
        <v>2.0751511616727614E-2</v>
      </c>
      <c r="I41" s="130">
        <f t="shared" si="0"/>
        <v>20.762168771513203</v>
      </c>
      <c r="J41" s="130">
        <f t="shared" si="4"/>
        <v>-9.7501085253023256E-2</v>
      </c>
      <c r="K41" s="193"/>
      <c r="L41" s="190"/>
      <c r="M41" s="190"/>
      <c r="N41" s="193"/>
      <c r="O41" s="193"/>
      <c r="P41" s="129" t="s">
        <v>792</v>
      </c>
      <c r="Q41" s="116">
        <v>26695043</v>
      </c>
      <c r="R41" s="116">
        <v>38994749272</v>
      </c>
      <c r="S41" s="116">
        <v>1285754.07</v>
      </c>
      <c r="T41" s="130">
        <f t="shared" ref="T41" si="40">Q41/S41</f>
        <v>20.762168771513203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1053640.55</v>
      </c>
      <c r="G42" s="190">
        <f t="shared" ref="G42" si="41">F42/F41-1</f>
        <v>-0.28954862893459288</v>
      </c>
      <c r="H42" s="190">
        <f t="shared" ref="H42" si="42">F42/F30-1</f>
        <v>-0.47247041983239246</v>
      </c>
      <c r="I42" s="130">
        <f t="shared" si="0"/>
        <v>21.162415630517803</v>
      </c>
      <c r="J42" s="130">
        <f t="shared" si="4"/>
        <v>-4.1052307684142142E-2</v>
      </c>
      <c r="K42" s="193"/>
      <c r="L42" s="190"/>
      <c r="M42" s="190"/>
      <c r="N42" s="193"/>
      <c r="O42" s="193"/>
      <c r="P42" s="129" t="s">
        <v>826</v>
      </c>
      <c r="Q42" s="116">
        <v>21072811</v>
      </c>
      <c r="R42" s="116">
        <v>30483173819</v>
      </c>
      <c r="S42" s="116">
        <v>995765.86</v>
      </c>
      <c r="T42" s="130">
        <f t="shared" ref="T42" si="43">Q42/S42</f>
        <v>21.162415630517803</v>
      </c>
      <c r="U42" s="78"/>
    </row>
    <row r="43" spans="1:21" s="79" customFormat="1" ht="13.2">
      <c r="A43" s="129" t="s">
        <v>835</v>
      </c>
      <c r="B43" s="188">
        <f>SUM(F41:F43)</f>
        <v>3796497.694444445</v>
      </c>
      <c r="C43" s="188">
        <f>AVERAGE(F41:F43)</f>
        <v>1265499.2314814816</v>
      </c>
      <c r="D43" s="190">
        <f>C43/C40-1</f>
        <v>-7.5293597669950474E-2</v>
      </c>
      <c r="E43" s="287">
        <f>C43/C31-1</f>
        <v>-0.26277304373046062</v>
      </c>
      <c r="F43" s="136">
        <f>Q43/20</f>
        <v>1259799.2</v>
      </c>
      <c r="G43" s="190">
        <f t="shared" ref="G43" si="44">F43/F42-1</f>
        <v>0.1956631699491822</v>
      </c>
      <c r="H43" s="190">
        <f t="shared" ref="H43" si="45">F43/F31-1</f>
        <v>-0.25871546806663892</v>
      </c>
      <c r="I43" s="130">
        <f t="shared" si="0"/>
        <v>20.601455273464868</v>
      </c>
      <c r="J43" s="130">
        <f t="shared" si="4"/>
        <v>-8.4537302391094693E-2</v>
      </c>
      <c r="K43" s="136">
        <f>R41+R42+R43</f>
        <v>105946947954</v>
      </c>
      <c r="L43" s="190">
        <f>U43/U40-1</f>
        <v>-0.13730905424321471</v>
      </c>
      <c r="M43" s="190">
        <f>K43/K31-1</f>
        <v>-0.23123505570316805</v>
      </c>
      <c r="N43" s="191">
        <f>AVERAGE(T41:T43)</f>
        <v>20.842013225165289</v>
      </c>
      <c r="O43" s="192">
        <f>N43/N40-1</f>
        <v>-3.5847236423599549E-3</v>
      </c>
      <c r="P43" s="129" t="s">
        <v>835</v>
      </c>
      <c r="Q43" s="116">
        <v>25195984</v>
      </c>
      <c r="R43" s="116">
        <v>36469024863</v>
      </c>
      <c r="S43" s="116">
        <v>1223019.6200000001</v>
      </c>
      <c r="T43" s="130">
        <f t="shared" ref="T43" si="46">Q43/S43</f>
        <v>20.601455273464868</v>
      </c>
      <c r="U43" s="85">
        <f>Q41+Q42+Q43</f>
        <v>72963838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1662036.6363636365</v>
      </c>
      <c r="G44" s="190">
        <f t="shared" ref="G44" si="47">F44/F43-1</f>
        <v>0.31928694379519884</v>
      </c>
      <c r="H44" s="190">
        <f t="shared" ref="H44" si="48">F44/F32-1</f>
        <v>0.20249341389548214</v>
      </c>
      <c r="I44" s="130">
        <f t="shared" si="0"/>
        <v>20.387769231776304</v>
      </c>
      <c r="J44" s="130">
        <f t="shared" si="4"/>
        <v>-9.0255036645228826E-2</v>
      </c>
      <c r="K44" s="136"/>
      <c r="L44" s="190"/>
      <c r="M44" s="190"/>
      <c r="N44" s="191"/>
      <c r="O44" s="192"/>
      <c r="P44" s="129" t="s">
        <v>843</v>
      </c>
      <c r="Q44" s="116">
        <v>36564806</v>
      </c>
      <c r="R44" s="116">
        <v>53000439097</v>
      </c>
      <c r="S44" s="116">
        <v>1793467.72</v>
      </c>
      <c r="T44" s="130">
        <f t="shared" ref="T44" si="49">Q44/S44</f>
        <v>20.387769231776304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1701355.05</v>
      </c>
      <c r="G45" s="190">
        <f t="shared" ref="G45" si="50">F45/F44-1</f>
        <v>2.365676711097553E-2</v>
      </c>
      <c r="H45" s="190">
        <f t="shared" ref="H45" si="51">F45/F33-1</f>
        <v>8.6686011000183028E-2</v>
      </c>
      <c r="I45" s="130">
        <f t="shared" si="0"/>
        <v>20.084471280297695</v>
      </c>
      <c r="J45" s="130">
        <f t="shared" si="4"/>
        <v>-0.11920937605449411</v>
      </c>
      <c r="K45" s="136"/>
      <c r="L45" s="190"/>
      <c r="M45" s="190"/>
      <c r="N45" s="191"/>
      <c r="O45" s="192"/>
      <c r="P45" s="129" t="s">
        <v>849</v>
      </c>
      <c r="Q45" s="116">
        <v>34027101</v>
      </c>
      <c r="R45" s="116">
        <v>47859791336</v>
      </c>
      <c r="S45" s="116">
        <v>1694199.49</v>
      </c>
      <c r="T45" s="130">
        <f t="shared" ref="T45" si="52">Q45/S45</f>
        <v>20.084471280297695</v>
      </c>
      <c r="U45" s="85"/>
    </row>
    <row r="46" spans="1:21" s="79" customFormat="1" ht="13.2">
      <c r="A46" s="129" t="s">
        <v>888</v>
      </c>
      <c r="B46" s="188">
        <f>SUM(F44:F46)</f>
        <v>4471286.7389952149</v>
      </c>
      <c r="C46" s="188">
        <f>AVERAGE(F44:F46)</f>
        <v>1490428.9129984051</v>
      </c>
      <c r="D46" s="190">
        <f>C46/C43-1</f>
        <v>0.17773987997891161</v>
      </c>
      <c r="E46" s="287">
        <f>C46/C34-1</f>
        <v>-7.4711557496148884E-2</v>
      </c>
      <c r="F46" s="136">
        <f>Q46/19</f>
        <v>1107895.0526315789</v>
      </c>
      <c r="G46" s="190">
        <f t="shared" ref="G46" si="53">F46/F45-1</f>
        <v>-0.34881607890629363</v>
      </c>
      <c r="H46" s="190">
        <f t="shared" ref="H46" si="54">F46/F34-1</f>
        <v>-0.41210810627842387</v>
      </c>
      <c r="I46" s="130">
        <f t="shared" si="0"/>
        <v>18.501516952566</v>
      </c>
      <c r="J46" s="130">
        <f t="shared" si="4"/>
        <v>-0.19404489770798916</v>
      </c>
      <c r="K46" s="136">
        <f>R44+R45+R46</f>
        <v>129721845875</v>
      </c>
      <c r="L46" s="190">
        <f>U46/U43-1</f>
        <v>0.25599085124880627</v>
      </c>
      <c r="M46" s="190">
        <f>K46/K34-1</f>
        <v>-2.805890157232116E-2</v>
      </c>
      <c r="N46" s="191">
        <f>AVERAGE(T44:T46)</f>
        <v>19.657919154879998</v>
      </c>
      <c r="O46" s="192">
        <f>N46/N43-1</f>
        <v>-5.6812845164860515E-2</v>
      </c>
      <c r="P46" s="129" t="s">
        <v>888</v>
      </c>
      <c r="Q46" s="116">
        <v>21050006</v>
      </c>
      <c r="R46" s="116">
        <v>28861615442</v>
      </c>
      <c r="S46" s="116">
        <v>1137744.8700000001</v>
      </c>
      <c r="T46" s="130">
        <f t="shared" ref="T46" si="55">Q46/S46</f>
        <v>18.501516952566</v>
      </c>
      <c r="U46" s="85">
        <f t="shared" ref="U46:U51" si="56">Q44+Q45+Q46</f>
        <v>91641913</v>
      </c>
    </row>
    <row r="47" spans="1:21" s="79" customFormat="1" ht="13.2">
      <c r="A47" s="129" t="s">
        <v>1012</v>
      </c>
      <c r="B47" s="188"/>
      <c r="C47" s="188"/>
      <c r="D47" s="190"/>
      <c r="E47" s="287"/>
      <c r="F47" s="136">
        <f>Q47/23</f>
        <v>2001235.8260869565</v>
      </c>
      <c r="G47" s="190">
        <f t="shared" ref="G47" si="57">F47/F46-1</f>
        <v>0.80634061081275599</v>
      </c>
      <c r="H47" s="190">
        <f t="shared" ref="H47" si="58">F47/F35-1</f>
        <v>0.36139751900098926</v>
      </c>
      <c r="I47" s="130">
        <f t="shared" si="0"/>
        <v>20.169127186519656</v>
      </c>
      <c r="J47" s="130">
        <f t="shared" si="4"/>
        <v>-0.11218224877325234</v>
      </c>
      <c r="K47" s="136"/>
      <c r="L47" s="190"/>
      <c r="M47" s="190"/>
      <c r="N47" s="191"/>
      <c r="O47" s="192"/>
      <c r="P47" s="129" t="s">
        <v>991</v>
      </c>
      <c r="Q47" s="116">
        <v>46028424</v>
      </c>
      <c r="R47" s="116">
        <v>62891509405</v>
      </c>
      <c r="S47" s="116">
        <v>2282122.75</v>
      </c>
      <c r="T47" s="130">
        <f t="shared" ref="T47" si="59">Q47/S47</f>
        <v>20.169127186519656</v>
      </c>
      <c r="U47" s="85">
        <f t="shared" si="56"/>
        <v>101105531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1286041.05</v>
      </c>
      <c r="G48" s="190">
        <f t="shared" ref="G48" si="60">F48/F47-1</f>
        <v>-0.35737656040537036</v>
      </c>
      <c r="H48" s="190">
        <f t="shared" ref="H48" si="61">F48/F36-1</f>
        <v>-9.6978520571286753E-2</v>
      </c>
      <c r="I48" s="130">
        <f t="shared" si="0"/>
        <v>20.238428937448727</v>
      </c>
      <c r="J48" s="130">
        <f t="shared" si="4"/>
        <v>-9.4767901096697305E-2</v>
      </c>
      <c r="K48" s="136"/>
      <c r="L48" s="190"/>
      <c r="M48" s="190"/>
      <c r="N48" s="191"/>
      <c r="O48" s="192"/>
      <c r="P48" s="129" t="s">
        <v>1070</v>
      </c>
      <c r="Q48" s="116">
        <v>25720821</v>
      </c>
      <c r="R48" s="116">
        <v>35681737103</v>
      </c>
      <c r="S48" s="116">
        <v>1270890.2</v>
      </c>
      <c r="T48" s="130">
        <f t="shared" ref="T48" si="62">Q48/S48</f>
        <v>20.238428937448727</v>
      </c>
      <c r="U48" s="85">
        <f t="shared" si="56"/>
        <v>92799251</v>
      </c>
    </row>
    <row r="49" spans="1:26" ht="13.2">
      <c r="A49" s="129" t="s">
        <v>1158</v>
      </c>
      <c r="B49" s="188">
        <f>SUM(F47:F49)</f>
        <v>4503411.285177866</v>
      </c>
      <c r="C49" s="188">
        <f>AVERAGE(F47:F49)</f>
        <v>1501137.0950592887</v>
      </c>
      <c r="D49" s="190">
        <f>C49/C46-1</f>
        <v>7.1846311940777507E-3</v>
      </c>
      <c r="E49" s="287">
        <f>C49/C37-1</f>
        <v>-1.3763970473220533E-2</v>
      </c>
      <c r="F49" s="136">
        <f>Q49/22</f>
        <v>1216134.4090909092</v>
      </c>
      <c r="G49" s="190">
        <f t="shared" ref="G49" si="63">F49/F48-1</f>
        <v>-5.4358016728230263E-2</v>
      </c>
      <c r="H49" s="190">
        <f t="shared" ref="H49" si="64">F49/F37-1</f>
        <v>-0.27269971141661609</v>
      </c>
      <c r="I49" s="130">
        <f t="shared" si="0"/>
        <v>20.303023588349486</v>
      </c>
      <c r="J49" s="130">
        <f t="shared" si="4"/>
        <v>-0.10087963375262554</v>
      </c>
      <c r="K49" s="136">
        <f>R47+R48+R49</f>
        <v>135769565497</v>
      </c>
      <c r="L49" s="190">
        <f>U49/U46-1</f>
        <v>7.4881555560718072E-2</v>
      </c>
      <c r="M49" s="190">
        <f>K49/K37-1</f>
        <v>6.2438726833272229E-2</v>
      </c>
      <c r="N49" s="191">
        <f>AVERAGE(T47:T49)</f>
        <v>20.236859904105955</v>
      </c>
      <c r="O49" s="192">
        <f>N49/N46-1</f>
        <v>2.9450764583200506E-2</v>
      </c>
      <c r="P49" s="129" t="s">
        <v>1158</v>
      </c>
      <c r="Q49" s="116">
        <v>26754957</v>
      </c>
      <c r="R49" s="116">
        <v>37196318989</v>
      </c>
      <c r="S49" s="116">
        <v>1317781.8999999999</v>
      </c>
      <c r="T49" s="130">
        <f t="shared" ref="T49" si="65">Q49/S49</f>
        <v>20.303023588349486</v>
      </c>
      <c r="U49" s="85">
        <f t="shared" si="56"/>
        <v>98504202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1377515.3333333333</v>
      </c>
      <c r="G50" s="190">
        <f t="shared" ref="G50" si="66">F50/F49-1</f>
        <v>0.13269990803324139</v>
      </c>
      <c r="H50" s="190">
        <f t="shared" ref="H50" si="67">F50/F38-1</f>
        <v>-0.160611738543044</v>
      </c>
      <c r="I50" s="130">
        <f t="shared" ref="I50" si="68">T50</f>
        <v>21.106554943709199</v>
      </c>
      <c r="J50" s="130">
        <f t="shared" ref="J50" si="69">I50/I38-1</f>
        <v>6.1847698021271214E-3</v>
      </c>
      <c r="K50" s="136"/>
      <c r="L50" s="190"/>
      <c r="M50" s="190"/>
      <c r="N50" s="191"/>
      <c r="O50" s="192"/>
      <c r="P50" s="129" t="s">
        <v>1293</v>
      </c>
      <c r="Q50" s="116">
        <v>24795276</v>
      </c>
      <c r="R50" s="116">
        <v>35134327004</v>
      </c>
      <c r="S50" s="116">
        <v>1174766.6100000001</v>
      </c>
      <c r="T50" s="130">
        <f t="shared" ref="T50" si="70">Q50/S50</f>
        <v>21.106554943709199</v>
      </c>
      <c r="U50" s="85">
        <f t="shared" si="56"/>
        <v>77271054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1749780.7</v>
      </c>
      <c r="G51" s="190">
        <f t="shared" ref="G51:G52" si="71">F51/F50-1</f>
        <v>0.2702440819775509</v>
      </c>
      <c r="H51" s="190">
        <f t="shared" ref="H51:H52" si="72">F51/F39-1</f>
        <v>4.1872317870369491E-2</v>
      </c>
      <c r="I51" s="130">
        <f t="shared" ref="I51:I52" si="73">T51</f>
        <v>21.220486622972128</v>
      </c>
      <c r="J51" s="130">
        <f t="shared" ref="J51:J52" si="74">I51/I39-1</f>
        <v>4.2707883703789085E-2</v>
      </c>
      <c r="K51" s="136"/>
      <c r="L51" s="190"/>
      <c r="M51" s="190"/>
      <c r="N51" s="191"/>
      <c r="O51" s="192"/>
      <c r="P51" s="129" t="s">
        <v>1402</v>
      </c>
      <c r="Q51" s="116">
        <v>34995614</v>
      </c>
      <c r="R51" s="116">
        <v>50710636748</v>
      </c>
      <c r="S51" s="116">
        <v>1649142.86</v>
      </c>
      <c r="T51" s="130">
        <f t="shared" ref="T51:T52" si="75">Q51/S51</f>
        <v>21.220486622972128</v>
      </c>
      <c r="U51" s="85">
        <f t="shared" si="56"/>
        <v>86545847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4260811.5333333332</v>
      </c>
      <c r="C52" s="188">
        <f>AVERAGE(F50:F52)</f>
        <v>1420270.5111111111</v>
      </c>
      <c r="D52" s="190">
        <f>C52/C49-1</f>
        <v>-5.3870218925596292E-2</v>
      </c>
      <c r="E52" s="287">
        <f>C52/C40-1</f>
        <v>3.7798524087238494E-2</v>
      </c>
      <c r="F52" s="136">
        <f>Q52/22</f>
        <v>1133515.5</v>
      </c>
      <c r="G52" s="190">
        <f t="shared" si="71"/>
        <v>-0.35219567800696394</v>
      </c>
      <c r="H52" s="190">
        <f t="shared" si="72"/>
        <v>0.44383504785452987</v>
      </c>
      <c r="I52" s="130">
        <f t="shared" si="73"/>
        <v>22.254597358377843</v>
      </c>
      <c r="J52" s="130">
        <f t="shared" si="74"/>
        <v>3.8825638589999212E-2</v>
      </c>
      <c r="K52" s="136">
        <f>R50+R51+R52</f>
        <v>122539738386</v>
      </c>
      <c r="L52" s="190">
        <f>U52/U49-1</f>
        <v>-0.13985160754868098</v>
      </c>
      <c r="M52" s="190">
        <f>K52/K40-1</f>
        <v>5.1895393870363682E-2</v>
      </c>
      <c r="N52" s="191">
        <f>AVERAGE(T50:T52)</f>
        <v>21.527212975019722</v>
      </c>
      <c r="O52" s="192">
        <f>N52/N49-1</f>
        <v>6.3762514393449043E-2</v>
      </c>
      <c r="P52" s="129" t="s">
        <v>1403</v>
      </c>
      <c r="Q52" s="116">
        <v>24937341</v>
      </c>
      <c r="R52" s="116">
        <v>36694774634</v>
      </c>
      <c r="S52" s="116">
        <v>1120547.8400000001</v>
      </c>
      <c r="T52" s="130">
        <f t="shared" si="75"/>
        <v>22.254597358377843</v>
      </c>
      <c r="U52" s="85">
        <f t="shared" ref="U52" si="76">Q50+Q51+Q52</f>
        <v>84728231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1288008.7619047619</v>
      </c>
      <c r="G53" s="190">
        <f t="shared" ref="G53" si="77">F53/F52-1</f>
        <v>0.13629567650796304</v>
      </c>
      <c r="H53" s="190">
        <f t="shared" ref="H53" si="78">F53/F41-1</f>
        <v>-0.13151824800260803</v>
      </c>
      <c r="I53" s="130">
        <f t="shared" ref="I53" si="79">T53</f>
        <v>21.579977070552719</v>
      </c>
      <c r="J53" s="130">
        <f t="shared" ref="J53" si="80">I53/I41-1</f>
        <v>3.9389348388381817E-2</v>
      </c>
      <c r="K53" s="136"/>
      <c r="L53" s="190"/>
      <c r="M53" s="190"/>
      <c r="N53" s="191"/>
      <c r="O53" s="192"/>
      <c r="P53" s="129" t="s">
        <v>1414</v>
      </c>
      <c r="Q53" s="116">
        <v>27048184</v>
      </c>
      <c r="R53" s="116">
        <v>39353619890</v>
      </c>
      <c r="S53" s="116">
        <v>1253392.6200000001</v>
      </c>
      <c r="T53" s="130">
        <f t="shared" ref="T53" si="81">Q53/S53</f>
        <v>21.579977070552719</v>
      </c>
      <c r="U53" s="85">
        <f t="shared" ref="U53" si="82">Q51+Q52+Q53</f>
        <v>86981139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1597628.2352941176</v>
      </c>
      <c r="G54" s="190">
        <f t="shared" ref="G54" si="83">F54/F53-1</f>
        <v>0.2403861546186048</v>
      </c>
      <c r="H54" s="190">
        <f t="shared" ref="H54" si="84">F54/F42-1</f>
        <v>0.51629342216766205</v>
      </c>
      <c r="I54" s="130">
        <f t="shared" ref="I54" si="85">T54</f>
        <v>21.325510244166384</v>
      </c>
      <c r="J54" s="130">
        <f t="shared" ref="J54" si="86">I54/I42-1</f>
        <v>7.7068051443704988E-3</v>
      </c>
      <c r="K54" s="136"/>
      <c r="L54" s="190"/>
      <c r="M54" s="190"/>
      <c r="N54" s="191"/>
      <c r="O54" s="192"/>
      <c r="P54" s="129" t="s">
        <v>1417</v>
      </c>
      <c r="Q54" s="116">
        <v>27159680</v>
      </c>
      <c r="R54" s="116">
        <v>39320499826</v>
      </c>
      <c r="S54" s="116">
        <v>1273577.03</v>
      </c>
      <c r="T54" s="130">
        <f t="shared" ref="T54" si="87">Q54/S54</f>
        <v>21.325510244166384</v>
      </c>
      <c r="U54" s="85">
        <f t="shared" ref="U54" si="88">Q52+Q53+Q54</f>
        <v>79145205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3603761.2829131652</v>
      </c>
      <c r="C55" s="188">
        <f>AVERAGE(F53:F55)</f>
        <v>1201253.7609710551</v>
      </c>
      <c r="D55" s="190">
        <f>C55/C52-1</f>
        <v>-0.15420777128486185</v>
      </c>
      <c r="E55" s="287">
        <f>C55/C43-1</f>
        <v>-5.0766898084336431E-2</v>
      </c>
      <c r="F55" s="136">
        <f>Q55/21</f>
        <v>718124.28571428568</v>
      </c>
      <c r="G55" s="190">
        <f t="shared" ref="G55" si="89">F55/F54-1</f>
        <v>-0.55050601269444788</v>
      </c>
      <c r="H55" s="190">
        <f t="shared" ref="H55" si="90">F55/F43-1</f>
        <v>-0.42996924770686817</v>
      </c>
      <c r="I55" s="130">
        <f>T55</f>
        <v>21.809968464755446</v>
      </c>
      <c r="J55" s="130">
        <f t="shared" ref="J55" si="91">I55/I43-1</f>
        <v>5.8661544791312359E-2</v>
      </c>
      <c r="K55" s="136">
        <f>R53+R54+R55</f>
        <v>100744672188</v>
      </c>
      <c r="L55" s="190">
        <f>U55/U52-1</f>
        <v>-0.18222683062980505</v>
      </c>
      <c r="M55" s="190">
        <f>K55/K43-1</f>
        <v>-4.9102648697900375E-2</v>
      </c>
      <c r="N55" s="191">
        <f>AVERAGE(T53:T55)</f>
        <v>21.571818593158184</v>
      </c>
      <c r="O55" s="192">
        <f>N55/N52-1</f>
        <v>2.0720572695696049E-3</v>
      </c>
      <c r="P55" s="129" t="s">
        <v>1418</v>
      </c>
      <c r="Q55" s="116">
        <v>15080610</v>
      </c>
      <c r="R55" s="116">
        <v>22070552472</v>
      </c>
      <c r="S55" s="116">
        <v>691454.92</v>
      </c>
      <c r="T55" s="130">
        <f t="shared" ref="T55" si="92">Q55/S55</f>
        <v>21.809968464755446</v>
      </c>
      <c r="U55" s="85">
        <f t="shared" ref="U55" si="93">Q53+Q54+Q55</f>
        <v>69288474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1009754.2727272727</v>
      </c>
      <c r="G56" s="190">
        <f t="shared" ref="G56" si="94">F56/F55-1</f>
        <v>0.40609960255405642</v>
      </c>
      <c r="H56" s="190">
        <f t="shared" ref="H56" si="95">F56/F44-1</f>
        <v>-0.39245967830377659</v>
      </c>
      <c r="I56" s="291">
        <f>T56</f>
        <v>20.624617679771386</v>
      </c>
      <c r="J56" s="130">
        <f t="shared" ref="J56" si="96">I56/I44-1</f>
        <v>1.1617183091612082E-2</v>
      </c>
      <c r="K56" s="136"/>
      <c r="L56" s="190"/>
      <c r="M56" s="190"/>
      <c r="N56" s="191"/>
      <c r="O56" s="192"/>
      <c r="P56" s="129" t="s">
        <v>1420</v>
      </c>
      <c r="Q56" s="116">
        <v>22214594</v>
      </c>
      <c r="R56" s="116">
        <v>33270787712</v>
      </c>
      <c r="S56" s="116">
        <v>1077091.19</v>
      </c>
      <c r="T56" s="130">
        <f t="shared" ref="T56" si="97">Q56/S56</f>
        <v>20.624617679771386</v>
      </c>
      <c r="U56" s="85">
        <f t="shared" ref="U56" si="98">Q54+Q55+Q56</f>
        <v>64454884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1036219.25</v>
      </c>
      <c r="G57" s="254">
        <f t="shared" ref="G57" si="99">F57/F56-1</f>
        <v>2.6209324374778076E-2</v>
      </c>
      <c r="H57" s="254">
        <f t="shared" ref="H57" si="100">F57/F45-1</f>
        <v>-0.3909447354918657</v>
      </c>
      <c r="I57" s="282">
        <f>T57</f>
        <v>18.741612935849634</v>
      </c>
      <c r="J57" s="277">
        <f t="shared" ref="J57" si="101">I57/I45-1</f>
        <v>-6.6860527504419176E-2</v>
      </c>
      <c r="K57" s="204"/>
      <c r="L57" s="254"/>
      <c r="M57" s="254"/>
      <c r="N57" s="257"/>
      <c r="O57" s="258"/>
      <c r="P57" s="129" t="s">
        <v>1436</v>
      </c>
      <c r="Q57" s="116">
        <v>12434631</v>
      </c>
      <c r="R57" s="116">
        <v>18303781297</v>
      </c>
      <c r="S57" s="116">
        <v>663477.1</v>
      </c>
      <c r="T57" s="130">
        <f t="shared" ref="T57" si="102">Q57/S57</f>
        <v>18.741612935849634</v>
      </c>
      <c r="U57" s="85">
        <f t="shared" ref="U57" si="103">Q55+Q56+Q57</f>
        <v>49729835</v>
      </c>
      <c r="V57" s="79"/>
      <c r="W57" s="79"/>
      <c r="X57" s="79"/>
      <c r="Y57" s="79"/>
      <c r="Z57" s="79"/>
    </row>
    <row r="58" spans="1:26">
      <c r="B58" s="196">
        <f>SUM(F56:F58)</f>
        <v>2045973.5227272727</v>
      </c>
      <c r="C58" s="196">
        <f>AVERAGE(F56:F58)</f>
        <v>1022986.7613636364</v>
      </c>
      <c r="D58" s="197">
        <f>C58/C55-1</f>
        <v>-0.14840078374723542</v>
      </c>
      <c r="E58" s="233">
        <f>C58/C46-1</f>
        <v>-0.31362928319364192</v>
      </c>
    </row>
    <row r="61" spans="1:26">
      <c r="P61" s="266"/>
      <c r="Q61" s="266"/>
      <c r="R61" s="266"/>
      <c r="S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1388</v>
      </c>
    </row>
    <row r="63" spans="1:26" ht="18" thickBot="1">
      <c r="P63" s="179"/>
      <c r="Q63" s="179"/>
      <c r="R63" s="179"/>
      <c r="S63" s="179"/>
    </row>
    <row r="64" spans="1:26" ht="18" thickBot="1">
      <c r="P64" s="211" t="s">
        <v>1415</v>
      </c>
      <c r="Q64" s="212">
        <v>103937699</v>
      </c>
      <c r="R64" s="212">
        <v>152319241197</v>
      </c>
      <c r="S64" s="213">
        <v>4958992.87</v>
      </c>
    </row>
    <row r="65" spans="16:19" ht="18" thickBot="1">
      <c r="P65" s="180" t="s">
        <v>976</v>
      </c>
      <c r="Q65" s="181">
        <v>27048184</v>
      </c>
      <c r="R65" s="181">
        <v>39353619890</v>
      </c>
      <c r="S65" s="182">
        <v>1253392.6200000001</v>
      </c>
    </row>
    <row r="66" spans="16:19" ht="18" thickBot="1">
      <c r="P66" s="180" t="s">
        <v>977</v>
      </c>
      <c r="Q66" s="181">
        <v>27159680</v>
      </c>
      <c r="R66" s="181">
        <v>39320499826</v>
      </c>
      <c r="S66" s="182">
        <v>1273577.03</v>
      </c>
    </row>
    <row r="67" spans="16:19" ht="18" thickBot="1">
      <c r="P67" s="180" t="s">
        <v>978</v>
      </c>
      <c r="Q67" s="181">
        <v>15080610</v>
      </c>
      <c r="R67" s="181">
        <v>22070552472</v>
      </c>
      <c r="S67" s="182">
        <v>691454.92</v>
      </c>
    </row>
    <row r="68" spans="16:19" ht="18" thickBot="1">
      <c r="P68" s="180" t="s">
        <v>979</v>
      </c>
      <c r="Q68" s="181">
        <v>22214594</v>
      </c>
      <c r="R68" s="181">
        <v>33270787712</v>
      </c>
      <c r="S68" s="182">
        <v>1077091.19</v>
      </c>
    </row>
    <row r="69" spans="16:19" ht="18" thickBot="1">
      <c r="P69" s="180" t="s">
        <v>980</v>
      </c>
      <c r="Q69" s="181">
        <v>12434631</v>
      </c>
      <c r="R69" s="181">
        <v>18303781297</v>
      </c>
      <c r="S69" s="182">
        <v>663477.1</v>
      </c>
    </row>
    <row r="70" spans="16:19" ht="18" thickBot="1">
      <c r="P70" s="180" t="s">
        <v>975</v>
      </c>
      <c r="Q70" s="181">
        <v>347838184</v>
      </c>
      <c r="R70" s="181">
        <v>493978097712</v>
      </c>
      <c r="S70" s="182">
        <v>16945203.800000001</v>
      </c>
    </row>
    <row r="71" spans="16:19" ht="18" thickBot="1">
      <c r="P71" s="180" t="s">
        <v>982</v>
      </c>
      <c r="Q71" s="181">
        <v>380232827</v>
      </c>
      <c r="R71" s="181">
        <v>515892598604</v>
      </c>
      <c r="S71" s="182">
        <v>17153312.43</v>
      </c>
    </row>
    <row r="72" spans="16:19" ht="18" thickBot="1">
      <c r="P72" s="215" t="s">
        <v>1386</v>
      </c>
      <c r="Q72" s="217"/>
      <c r="R72"/>
      <c r="S72"/>
    </row>
  </sheetData>
  <phoneticPr fontId="1" type="noConversion"/>
  <conditionalFormatting sqref="C29:C30">
    <cfRule type="cellIs" dxfId="1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73"/>
  <sheetViews>
    <sheetView zoomScale="90" zoomScaleNormal="90" workbookViewId="0">
      <selection activeCell="G65" sqref="G65: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430349.55</v>
      </c>
      <c r="G5" s="90"/>
      <c r="H5" s="90"/>
      <c r="I5" s="130">
        <f t="shared" ref="I5:I49" si="0">T5</f>
        <v>23.631206183930981</v>
      </c>
      <c r="J5" s="130"/>
      <c r="K5" s="86"/>
      <c r="L5" s="80"/>
      <c r="M5" s="80"/>
      <c r="P5" s="129" t="s">
        <v>0</v>
      </c>
      <c r="Q5" s="116">
        <v>8606991</v>
      </c>
      <c r="R5" s="116">
        <v>10161161586</v>
      </c>
      <c r="S5" s="116">
        <v>364221.4</v>
      </c>
      <c r="T5" s="130">
        <f t="shared" ref="T5:T29" si="1">Q5/S5</f>
        <v>23.631206183930981</v>
      </c>
      <c r="U5" s="85"/>
    </row>
    <row r="6" spans="1:21" ht="15" hidden="1" customHeight="1">
      <c r="A6" s="129" t="s">
        <v>1</v>
      </c>
      <c r="C6" s="79"/>
      <c r="F6" s="78">
        <f>Q6/18</f>
        <v>585401.66666666663</v>
      </c>
      <c r="G6" s="90">
        <f t="shared" ref="G6:G29" si="2">F6/F5-1</f>
        <v>0.36029343278427195</v>
      </c>
      <c r="H6" s="90"/>
      <c r="I6" s="130">
        <f t="shared" si="0"/>
        <v>22.890383416089122</v>
      </c>
      <c r="J6" s="130"/>
      <c r="K6" s="78"/>
      <c r="P6" s="129" t="s">
        <v>1</v>
      </c>
      <c r="Q6" s="116">
        <v>10537230</v>
      </c>
      <c r="R6" s="116">
        <v>12529082000</v>
      </c>
      <c r="S6" s="116">
        <v>460334.36</v>
      </c>
      <c r="T6" s="130">
        <f t="shared" si="1"/>
        <v>22.890383416089122</v>
      </c>
      <c r="U6" s="85"/>
    </row>
    <row r="7" spans="1:21" ht="15" hidden="1" customHeight="1">
      <c r="A7" s="129" t="s">
        <v>2</v>
      </c>
      <c r="B7" s="131">
        <f>F5+F6+F7</f>
        <v>1466365.1257575757</v>
      </c>
      <c r="C7" s="131">
        <f>AVERAGE(F5:F7)</f>
        <v>488788.37525252526</v>
      </c>
      <c r="F7" s="78">
        <f>Q7/22</f>
        <v>450613.90909090912</v>
      </c>
      <c r="G7" s="90">
        <f t="shared" si="2"/>
        <v>-0.23024833247102283</v>
      </c>
      <c r="H7" s="90"/>
      <c r="I7" s="130">
        <f t="shared" si="0"/>
        <v>23.490829731574159</v>
      </c>
      <c r="J7" s="130"/>
      <c r="K7" s="85">
        <f>R5+R6+R7</f>
        <v>34594243742</v>
      </c>
      <c r="L7" s="87">
        <f>온수기!U7+'보일러(미국)'!U7</f>
        <v>129776048</v>
      </c>
      <c r="M7" s="87">
        <f>온수기!K7+'보일러(미국)'!K7</f>
        <v>154424047246</v>
      </c>
      <c r="N7" s="88">
        <f>AVERAGE(T5:T7)</f>
        <v>23.33747311053142</v>
      </c>
      <c r="P7" s="129" t="s">
        <v>2</v>
      </c>
      <c r="Q7" s="116">
        <v>9913506</v>
      </c>
      <c r="R7" s="116">
        <v>11904000156</v>
      </c>
      <c r="S7" s="116">
        <v>422016</v>
      </c>
      <c r="T7" s="130">
        <f t="shared" si="1"/>
        <v>23.490829731574159</v>
      </c>
      <c r="U7" s="85">
        <f>Q5+Q6+Q7</f>
        <v>29057727</v>
      </c>
    </row>
    <row r="8" spans="1:21" ht="15" hidden="1" customHeight="1">
      <c r="A8" s="129" t="s">
        <v>3</v>
      </c>
      <c r="C8" s="79"/>
      <c r="F8" s="78">
        <f>Q8/21</f>
        <v>495949.52380952379</v>
      </c>
      <c r="G8" s="90">
        <f t="shared" si="2"/>
        <v>0.10060855602543861</v>
      </c>
      <c r="H8" s="90"/>
      <c r="I8" s="130">
        <f t="shared" si="0"/>
        <v>23.397419192509187</v>
      </c>
      <c r="J8" s="130"/>
      <c r="K8" s="78"/>
      <c r="P8" s="129" t="s">
        <v>3</v>
      </c>
      <c r="Q8" s="116">
        <v>10414940</v>
      </c>
      <c r="R8" s="116">
        <v>12604478132</v>
      </c>
      <c r="S8" s="116">
        <v>445132</v>
      </c>
      <c r="T8" s="130">
        <f t="shared" si="1"/>
        <v>23.397419192509187</v>
      </c>
      <c r="U8" s="85"/>
    </row>
    <row r="9" spans="1:21" ht="15" hidden="1" customHeight="1">
      <c r="A9" s="129" t="s">
        <v>4</v>
      </c>
      <c r="C9" s="79"/>
      <c r="F9" s="78">
        <f>Q9/21</f>
        <v>378991.19047619047</v>
      </c>
      <c r="G9" s="90">
        <f t="shared" si="2"/>
        <v>-0.23582709069855412</v>
      </c>
      <c r="H9" s="90"/>
      <c r="I9" s="130">
        <f t="shared" si="0"/>
        <v>24.368692590324557</v>
      </c>
      <c r="J9" s="130"/>
      <c r="K9" s="78"/>
      <c r="P9" s="129" t="s">
        <v>4</v>
      </c>
      <c r="Q9" s="116">
        <v>7958815</v>
      </c>
      <c r="R9" s="116">
        <v>10006323259</v>
      </c>
      <c r="S9" s="116">
        <v>326600</v>
      </c>
      <c r="T9" s="130">
        <f t="shared" si="1"/>
        <v>24.368692590324557</v>
      </c>
      <c r="U9" s="85"/>
    </row>
    <row r="10" spans="1:21" ht="15" hidden="1" customHeight="1">
      <c r="A10" s="129" t="s">
        <v>5</v>
      </c>
      <c r="B10" s="131">
        <f>F8+F9+F10</f>
        <v>1193777.1904761905</v>
      </c>
      <c r="C10" s="131">
        <f>AVERAGE(F8:F10)</f>
        <v>397925.73015873018</v>
      </c>
      <c r="D10" s="90">
        <f>C10/C7-1</f>
        <v>-0.1858936294195872</v>
      </c>
      <c r="E10" s="286"/>
      <c r="F10" s="78">
        <f>Q10/21</f>
        <v>318836.47619047621</v>
      </c>
      <c r="G10" s="90">
        <f t="shared" si="2"/>
        <v>-0.15872325214243577</v>
      </c>
      <c r="H10" s="90"/>
      <c r="I10" s="130">
        <f t="shared" si="0"/>
        <v>23.342592883115614</v>
      </c>
      <c r="J10" s="130"/>
      <c r="K10" s="85">
        <f>R8+R9+R10</f>
        <v>31031980219</v>
      </c>
      <c r="L10" s="87">
        <f>U10/U7-1</f>
        <v>-0.13725801746296262</v>
      </c>
      <c r="M10" s="87">
        <f>온수기!K10+'보일러(미국)'!K10</f>
        <v>123772303434</v>
      </c>
      <c r="N10" s="88">
        <f>AVERAGE(T8:T10)</f>
        <v>23.702901555316455</v>
      </c>
      <c r="O10" s="89">
        <f>N10/N7-1</f>
        <v>1.5658440956922925E-2</v>
      </c>
      <c r="P10" s="129" t="s">
        <v>5</v>
      </c>
      <c r="Q10" s="116">
        <v>6695566</v>
      </c>
      <c r="R10" s="116">
        <v>8421178828</v>
      </c>
      <c r="S10" s="116">
        <v>286839</v>
      </c>
      <c r="T10" s="130">
        <f t="shared" si="1"/>
        <v>23.342592883115614</v>
      </c>
      <c r="U10" s="85">
        <f>Q8+Q9+Q10</f>
        <v>25069321</v>
      </c>
    </row>
    <row r="11" spans="1:21" ht="15" hidden="1" customHeight="1">
      <c r="A11" s="129" t="s">
        <v>6</v>
      </c>
      <c r="C11" s="79"/>
      <c r="F11" s="78">
        <f>Q11/21</f>
        <v>381058.09523809527</v>
      </c>
      <c r="G11" s="90">
        <f t="shared" si="2"/>
        <v>0.19515213500994544</v>
      </c>
      <c r="H11" s="90"/>
      <c r="I11" s="130">
        <f t="shared" si="0"/>
        <v>22.520403453671495</v>
      </c>
      <c r="J11" s="130"/>
      <c r="K11" s="78"/>
      <c r="O11" s="89"/>
      <c r="P11" s="129" t="s">
        <v>6</v>
      </c>
      <c r="Q11" s="116">
        <v>8002220</v>
      </c>
      <c r="R11" s="116">
        <v>10302382287</v>
      </c>
      <c r="S11" s="116">
        <v>355332</v>
      </c>
      <c r="T11" s="130">
        <f t="shared" si="1"/>
        <v>22.520403453671495</v>
      </c>
      <c r="U11" s="85"/>
    </row>
    <row r="12" spans="1:21" ht="15" hidden="1" customHeight="1">
      <c r="A12" s="129" t="s">
        <v>7</v>
      </c>
      <c r="C12" s="79"/>
      <c r="F12" s="78">
        <f>Q12/22</f>
        <v>282127.77272727271</v>
      </c>
      <c r="G12" s="90">
        <f t="shared" si="2"/>
        <v>-0.25962005202647187</v>
      </c>
      <c r="H12" s="90"/>
      <c r="I12" s="130">
        <f t="shared" si="0"/>
        <v>24.861218346543655</v>
      </c>
      <c r="J12" s="130"/>
      <c r="K12" s="78"/>
      <c r="O12" s="89"/>
      <c r="P12" s="129" t="s">
        <v>7</v>
      </c>
      <c r="Q12" s="116">
        <v>6206811</v>
      </c>
      <c r="R12" s="116">
        <v>8062036251</v>
      </c>
      <c r="S12" s="116">
        <v>249658.36</v>
      </c>
      <c r="T12" s="130">
        <f t="shared" si="1"/>
        <v>24.861218346543655</v>
      </c>
      <c r="U12" s="85"/>
    </row>
    <row r="13" spans="1:21" ht="15" hidden="1" customHeight="1">
      <c r="A13" s="129" t="s">
        <v>96</v>
      </c>
      <c r="B13" s="131">
        <f>F11+F12+F13</f>
        <v>858440.46796536795</v>
      </c>
      <c r="C13" s="131">
        <f>AVERAGE(F11:F13)</f>
        <v>286146.82265512267</v>
      </c>
      <c r="D13" s="90">
        <f>C13/C10-1</f>
        <v>-0.2809039452136447</v>
      </c>
      <c r="E13" s="286"/>
      <c r="F13" s="78">
        <f>Q13/20</f>
        <v>195254.6</v>
      </c>
      <c r="G13" s="90">
        <f t="shared" si="2"/>
        <v>-0.30792137862744651</v>
      </c>
      <c r="H13" s="90"/>
      <c r="I13" s="130">
        <f t="shared" si="0"/>
        <v>23.365074183409895</v>
      </c>
      <c r="J13" s="130"/>
      <c r="K13" s="78">
        <f>R11+R12+R13</f>
        <v>23701780927</v>
      </c>
      <c r="L13" s="87">
        <f>U13/U10-1</f>
        <v>-0.27743862707729494</v>
      </c>
      <c r="M13" s="87">
        <f>온수기!K13+'보일러(미국)'!K13</f>
        <v>123094280686</v>
      </c>
      <c r="N13" s="88">
        <f>AVERAGE(T11:T13)</f>
        <v>23.582231994541683</v>
      </c>
      <c r="O13" s="89">
        <f>N13/N10-1</f>
        <v>-5.0909193751305093E-3</v>
      </c>
      <c r="P13" s="129" t="s">
        <v>96</v>
      </c>
      <c r="Q13" s="116">
        <v>3905092</v>
      </c>
      <c r="R13" s="116">
        <v>5337362389</v>
      </c>
      <c r="S13" s="116">
        <v>167133.73000000001</v>
      </c>
      <c r="T13" s="130">
        <f t="shared" si="1"/>
        <v>23.365074183409895</v>
      </c>
      <c r="U13" s="85">
        <f>Q11+Q12+Q13</f>
        <v>18114123</v>
      </c>
    </row>
    <row r="14" spans="1:21" ht="15" hidden="1" customHeight="1">
      <c r="A14" s="129" t="s">
        <v>97</v>
      </c>
      <c r="C14" s="79"/>
      <c r="F14" s="78">
        <f>Q14/20</f>
        <v>332073.7</v>
      </c>
      <c r="G14" s="90">
        <f t="shared" si="2"/>
        <v>0.70072151949301076</v>
      </c>
      <c r="H14" s="90"/>
      <c r="I14" s="130">
        <f t="shared" si="0"/>
        <v>24.400083132913135</v>
      </c>
      <c r="J14" s="130"/>
      <c r="K14" s="78"/>
      <c r="O14" s="89"/>
      <c r="P14" s="129" t="s">
        <v>97</v>
      </c>
      <c r="Q14" s="116">
        <v>6641474</v>
      </c>
      <c r="R14" s="116">
        <v>9474787930</v>
      </c>
      <c r="S14" s="116">
        <v>272190.63</v>
      </c>
      <c r="T14" s="130">
        <f t="shared" si="1"/>
        <v>24.400083132913135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163720.40909090909</v>
      </c>
      <c r="G15" s="90">
        <f t="shared" si="2"/>
        <v>-0.50697568313627639</v>
      </c>
      <c r="H15" s="90"/>
      <c r="I15" s="130">
        <f t="shared" si="0"/>
        <v>23.912028460357313</v>
      </c>
      <c r="J15" s="130"/>
      <c r="K15" s="78"/>
      <c r="O15" s="89"/>
      <c r="P15" s="129" t="s">
        <v>98</v>
      </c>
      <c r="Q15" s="116">
        <v>3601849</v>
      </c>
      <c r="R15" s="116">
        <v>5046040106</v>
      </c>
      <c r="S15" s="116">
        <v>150629.17000000001</v>
      </c>
      <c r="T15" s="130">
        <f t="shared" si="1"/>
        <v>23.912028460357313</v>
      </c>
      <c r="U15" s="85"/>
    </row>
    <row r="16" spans="1:21" ht="15" hidden="1" customHeight="1">
      <c r="A16" s="129" t="s">
        <v>99</v>
      </c>
      <c r="B16" s="131">
        <f>F14+F15+F16</f>
        <v>786094.2</v>
      </c>
      <c r="C16" s="131">
        <f>AVERAGE(F14:F16)</f>
        <v>262031.4</v>
      </c>
      <c r="D16" s="90">
        <f>C16/C13-1</f>
        <v>-8.4276395003650584E-2</v>
      </c>
      <c r="E16" s="286"/>
      <c r="F16" s="78">
        <f>Q16/22</f>
        <v>290300.09090909088</v>
      </c>
      <c r="G16" s="90">
        <f t="shared" si="2"/>
        <v>0.77314540393003695</v>
      </c>
      <c r="H16" s="90"/>
      <c r="I16" s="130">
        <f t="shared" si="0"/>
        <v>25.188800583018836</v>
      </c>
      <c r="J16" s="130"/>
      <c r="K16" s="78">
        <f>R14+R15+R16</f>
        <v>22948171249</v>
      </c>
      <c r="L16" s="87">
        <f>U16/U13-1</f>
        <v>-8.1935956822198897E-2</v>
      </c>
      <c r="N16" s="88">
        <f>AVERAGE(T14:T16)</f>
        <v>24.500304058763092</v>
      </c>
      <c r="O16" s="89">
        <f>N16/N13-1</f>
        <v>3.8930668837195093E-2</v>
      </c>
      <c r="P16" s="129" t="s">
        <v>99</v>
      </c>
      <c r="Q16" s="116">
        <v>6386602</v>
      </c>
      <c r="R16" s="116">
        <v>8427343213</v>
      </c>
      <c r="S16" s="116">
        <v>253549.27</v>
      </c>
      <c r="T16" s="130">
        <f t="shared" si="1"/>
        <v>25.188800583018836</v>
      </c>
      <c r="U16" s="85">
        <f>Q14+Q15+Q16</f>
        <v>16629925</v>
      </c>
    </row>
    <row r="17" spans="1:21" ht="15" hidden="1" customHeight="1">
      <c r="A17" s="129" t="s">
        <v>100</v>
      </c>
      <c r="C17" s="79"/>
      <c r="F17" s="78">
        <f>Q17/20</f>
        <v>176949</v>
      </c>
      <c r="G17" s="90">
        <f t="shared" si="2"/>
        <v>-0.39046178233746198</v>
      </c>
      <c r="H17" s="90">
        <f t="shared" ref="H17:H29" si="3">F17/F5-1</f>
        <v>-0.58882494474549818</v>
      </c>
      <c r="I17" s="130">
        <f t="shared" si="0"/>
        <v>24.118412191241347</v>
      </c>
      <c r="J17" s="130">
        <f t="shared" ref="J17:J49" si="4">I17/I5-1</f>
        <v>2.061706048850187E-2</v>
      </c>
      <c r="K17" s="78"/>
      <c r="O17" s="89"/>
      <c r="P17" s="129" t="s">
        <v>100</v>
      </c>
      <c r="Q17" s="116">
        <v>3538980</v>
      </c>
      <c r="R17" s="116">
        <v>4428996802</v>
      </c>
      <c r="S17" s="116">
        <v>146733.54</v>
      </c>
      <c r="T17" s="130">
        <f t="shared" si="1"/>
        <v>24.118412191241347</v>
      </c>
      <c r="U17" s="78"/>
    </row>
    <row r="18" spans="1:21" hidden="1">
      <c r="A18" s="129" t="s">
        <v>106</v>
      </c>
      <c r="C18" s="79"/>
      <c r="F18" s="78">
        <f>Q18/20</f>
        <v>246075.15</v>
      </c>
      <c r="G18" s="90">
        <f t="shared" si="2"/>
        <v>0.3906557821745249</v>
      </c>
      <c r="H18" s="90">
        <f t="shared" si="3"/>
        <v>-0.57964733615950292</v>
      </c>
      <c r="I18" s="130">
        <f t="shared" si="0"/>
        <v>24.856579166073011</v>
      </c>
      <c r="J18" s="130">
        <f t="shared" si="4"/>
        <v>8.5896147488813801E-2</v>
      </c>
      <c r="K18" s="78"/>
      <c r="O18" s="89"/>
      <c r="P18" s="129" t="s">
        <v>106</v>
      </c>
      <c r="Q18" s="116">
        <v>4921503</v>
      </c>
      <c r="R18" s="116">
        <v>6142596036</v>
      </c>
      <c r="S18" s="116">
        <v>197995.99</v>
      </c>
      <c r="T18" s="130">
        <f t="shared" si="1"/>
        <v>24.856579166073011</v>
      </c>
      <c r="U18" s="78"/>
    </row>
    <row r="19" spans="1:21" hidden="1">
      <c r="A19" s="129" t="s">
        <v>114</v>
      </c>
      <c r="B19" s="131">
        <f>SUM(F17:F19)</f>
        <v>624169.46818181826</v>
      </c>
      <c r="C19" s="131">
        <f>AVERAGE(F17:F19)</f>
        <v>208056.48939393941</v>
      </c>
      <c r="D19" s="90">
        <f>C19/C16-1</f>
        <v>-0.20598642226107478</v>
      </c>
      <c r="E19" s="286">
        <f>C19/C7-1</f>
        <v>-0.57434239452513558</v>
      </c>
      <c r="F19" s="78">
        <f>Q19/22</f>
        <v>201145.31818181818</v>
      </c>
      <c r="G19" s="90">
        <f t="shared" si="2"/>
        <v>-0.18258581501700522</v>
      </c>
      <c r="H19" s="90">
        <f t="shared" si="3"/>
        <v>-0.55361937542580808</v>
      </c>
      <c r="I19" s="130">
        <f t="shared" si="0"/>
        <v>25.519606518449624</v>
      </c>
      <c r="J19" s="130">
        <f t="shared" si="4"/>
        <v>8.6364628668206489E-2</v>
      </c>
      <c r="K19" s="78">
        <f>R17+R18+R19</f>
        <v>16345472055</v>
      </c>
      <c r="L19" s="87">
        <f>U19/U16-1</f>
        <v>-0.22515104547976017</v>
      </c>
      <c r="M19" s="87">
        <f>U19/U7-1</f>
        <v>-0.55654893447102727</v>
      </c>
      <c r="N19" s="88">
        <f>AVERAGE(T17:T19)</f>
        <v>24.831532625254663</v>
      </c>
      <c r="O19" s="89">
        <f>N19/N16-1</f>
        <v>1.3519365543265494E-2</v>
      </c>
      <c r="P19" s="129" t="s">
        <v>114</v>
      </c>
      <c r="Q19" s="116">
        <v>4425197</v>
      </c>
      <c r="R19" s="116">
        <v>5773879217</v>
      </c>
      <c r="S19" s="116">
        <v>173403.81</v>
      </c>
      <c r="T19" s="130">
        <f t="shared" si="1"/>
        <v>25.519606518449624</v>
      </c>
      <c r="U19" s="85">
        <f>Q17+Q18+Q19</f>
        <v>12885680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207400.9</v>
      </c>
      <c r="G20" s="90">
        <f t="shared" si="2"/>
        <v>3.1099813183458336E-2</v>
      </c>
      <c r="H20" s="90">
        <f t="shared" si="3"/>
        <v>-0.58181046650292756</v>
      </c>
      <c r="I20" s="130">
        <f t="shared" si="0"/>
        <v>23.752798801095853</v>
      </c>
      <c r="J20" s="130">
        <f t="shared" si="4"/>
        <v>1.5188837951001233E-2</v>
      </c>
      <c r="K20" s="78"/>
      <c r="O20" s="89"/>
      <c r="P20" s="129" t="s">
        <v>131</v>
      </c>
      <c r="Q20" s="116">
        <v>4148018</v>
      </c>
      <c r="R20" s="116">
        <v>5441690424</v>
      </c>
      <c r="S20" s="116">
        <v>174632.81</v>
      </c>
      <c r="T20" s="130">
        <f t="shared" si="1"/>
        <v>23.752798801095853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357006.42857142858</v>
      </c>
      <c r="G21" s="90">
        <f t="shared" si="2"/>
        <v>0.72133500178364018</v>
      </c>
      <c r="H21" s="90">
        <f t="shared" si="3"/>
        <v>-5.8008635707702649E-2</v>
      </c>
      <c r="I21" s="130">
        <f t="shared" si="0"/>
        <v>26.518136883471492</v>
      </c>
      <c r="J21" s="130">
        <f t="shared" si="4"/>
        <v>8.8205154428365073E-2</v>
      </c>
      <c r="K21" s="78"/>
      <c r="O21" s="89"/>
      <c r="P21" s="129" t="s">
        <v>141</v>
      </c>
      <c r="Q21" s="116">
        <v>7497135</v>
      </c>
      <c r="R21" s="116">
        <v>9986724740</v>
      </c>
      <c r="S21" s="116">
        <v>282717.26</v>
      </c>
      <c r="T21" s="130">
        <f t="shared" si="1"/>
        <v>26.518136883471492</v>
      </c>
      <c r="U21" s="78"/>
    </row>
    <row r="22" spans="1:21" hidden="1">
      <c r="A22" s="129" t="s">
        <v>155</v>
      </c>
      <c r="B22" s="131">
        <f>SUM(F20:F22)</f>
        <v>1062263.8523809523</v>
      </c>
      <c r="C22" s="131">
        <f>AVERAGE(F20:F22)</f>
        <v>354087.95079365076</v>
      </c>
      <c r="D22" s="90">
        <f>C22/C19-1</f>
        <v>0.70188371352941403</v>
      </c>
      <c r="E22" s="286">
        <f>C22/C10-1</f>
        <v>-0.11016573205153835</v>
      </c>
      <c r="F22" s="78">
        <f>Q22/21</f>
        <v>497856.52380952379</v>
      </c>
      <c r="G22" s="90">
        <f t="shared" si="2"/>
        <v>0.3945309775000716</v>
      </c>
      <c r="H22" s="90">
        <f t="shared" si="3"/>
        <v>0.56147919384261158</v>
      </c>
      <c r="I22" s="130">
        <f t="shared" si="0"/>
        <v>25.640503265704123</v>
      </c>
      <c r="J22" s="130">
        <f t="shared" si="4"/>
        <v>9.8442807707564306E-2</v>
      </c>
      <c r="K22" s="78">
        <f>R20+R21+R22</f>
        <v>29099283063</v>
      </c>
      <c r="L22" s="87">
        <f>U22/U19-1</f>
        <v>0.71509303350696274</v>
      </c>
      <c r="M22" s="87">
        <f>U22/U10-1</f>
        <v>-0.11843882807994677</v>
      </c>
      <c r="N22" s="88">
        <f>AVERAGE(T20:T22)</f>
        <v>25.303812983423825</v>
      </c>
      <c r="O22" s="89">
        <f>N22/N19-1</f>
        <v>1.9019380128346697E-2</v>
      </c>
      <c r="P22" s="129" t="s">
        <v>155</v>
      </c>
      <c r="Q22" s="116">
        <v>10454987</v>
      </c>
      <c r="R22" s="116">
        <v>13670867899</v>
      </c>
      <c r="S22" s="116">
        <v>407752.8</v>
      </c>
      <c r="T22" s="130">
        <f t="shared" si="1"/>
        <v>25.640503265704123</v>
      </c>
      <c r="U22" s="85">
        <f>Q20+Q21+Q22</f>
        <v>22100140</v>
      </c>
    </row>
    <row r="23" spans="1:21" hidden="1">
      <c r="A23" s="129" t="s">
        <v>189</v>
      </c>
      <c r="B23" s="131"/>
      <c r="C23" s="131"/>
      <c r="F23" s="78">
        <f>Q23/21</f>
        <v>294735.95238095237</v>
      </c>
      <c r="G23" s="90">
        <f t="shared" si="2"/>
        <v>-0.40799017731920662</v>
      </c>
      <c r="H23" s="90">
        <f t="shared" si="3"/>
        <v>-0.22653276215850116</v>
      </c>
      <c r="I23" s="130">
        <f t="shared" si="0"/>
        <v>25.737834371808479</v>
      </c>
      <c r="J23" s="130">
        <f t="shared" si="4"/>
        <v>0.14286737467895794</v>
      </c>
      <c r="K23" s="98"/>
      <c r="O23" s="89"/>
      <c r="P23" s="129" t="s">
        <v>189</v>
      </c>
      <c r="Q23" s="116">
        <v>6189455</v>
      </c>
      <c r="R23" s="116">
        <v>8011305255</v>
      </c>
      <c r="S23" s="116">
        <v>240480.8</v>
      </c>
      <c r="T23" s="130">
        <f t="shared" si="1"/>
        <v>25.737834371808479</v>
      </c>
      <c r="U23" s="78"/>
    </row>
    <row r="24" spans="1:21" hidden="1">
      <c r="A24" s="129" t="s">
        <v>204</v>
      </c>
      <c r="B24" s="131"/>
      <c r="C24" s="131"/>
      <c r="F24" s="78">
        <f>Q24/22</f>
        <v>217193.77272727274</v>
      </c>
      <c r="G24" s="90">
        <f t="shared" si="2"/>
        <v>-0.26309033230345358</v>
      </c>
      <c r="H24" s="90">
        <f t="shared" si="3"/>
        <v>-0.23015812790175172</v>
      </c>
      <c r="I24" s="130">
        <f t="shared" si="0"/>
        <v>26.60534040795245</v>
      </c>
      <c r="J24" s="130">
        <f t="shared" si="4"/>
        <v>7.0154327800723948E-2</v>
      </c>
      <c r="K24" s="98"/>
      <c r="O24" s="89"/>
      <c r="P24" s="129" t="s">
        <v>204</v>
      </c>
      <c r="Q24" s="116">
        <v>4778263</v>
      </c>
      <c r="R24" s="116">
        <v>6296908862</v>
      </c>
      <c r="S24" s="116">
        <v>179597.89</v>
      </c>
      <c r="T24" s="130">
        <f t="shared" si="1"/>
        <v>26.60534040795245</v>
      </c>
      <c r="U24" s="78"/>
    </row>
    <row r="25" spans="1:21" s="79" customFormat="1" ht="13.2" hidden="1">
      <c r="A25" s="129" t="s">
        <v>217</v>
      </c>
      <c r="B25" s="131">
        <f>SUM(F23:F25)</f>
        <v>906498.25142401457</v>
      </c>
      <c r="C25" s="131">
        <f>AVERAGE(F23:F25)</f>
        <v>302166.08380800486</v>
      </c>
      <c r="D25" s="90">
        <f>C25/C22-1</f>
        <v>-0.14663550925488578</v>
      </c>
      <c r="E25" s="286">
        <f>C25/C13-1</f>
        <v>5.5982663040747171E-2</v>
      </c>
      <c r="F25" s="78">
        <f>Q25/19</f>
        <v>394568.5263157895</v>
      </c>
      <c r="G25" s="90">
        <f t="shared" si="2"/>
        <v>0.81666592628898171</v>
      </c>
      <c r="H25" s="90">
        <f t="shared" si="3"/>
        <v>1.0207899138652277</v>
      </c>
      <c r="I25" s="130">
        <f t="shared" si="0"/>
        <v>25.582815265082438</v>
      </c>
      <c r="J25" s="130">
        <f t="shared" si="4"/>
        <v>9.4916928757162955E-2</v>
      </c>
      <c r="K25" s="78">
        <f>R23+R24+R25</f>
        <v>24254539809</v>
      </c>
      <c r="L25" s="90">
        <f>U25/U22-1</f>
        <v>-0.16450665018411648</v>
      </c>
      <c r="M25" s="90">
        <f>U25/U13-1</f>
        <v>1.9343856724391317E-2</v>
      </c>
      <c r="N25" s="88">
        <f>AVERAGE(T23:T25)</f>
        <v>25.975330014947787</v>
      </c>
      <c r="O25" s="91">
        <f>N25/N22-1</f>
        <v>2.6538175569186473E-2</v>
      </c>
      <c r="P25" s="129" t="s">
        <v>217</v>
      </c>
      <c r="Q25" s="116">
        <v>7496802</v>
      </c>
      <c r="R25" s="116">
        <v>9946325692</v>
      </c>
      <c r="S25" s="116">
        <v>293040.53999999998</v>
      </c>
      <c r="T25" s="130">
        <f t="shared" si="1"/>
        <v>25.582815265082438</v>
      </c>
      <c r="U25" s="85">
        <f>Q23+Q24+Q25</f>
        <v>18464520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334051.05263157893</v>
      </c>
      <c r="G26" s="90">
        <f t="shared" si="2"/>
        <v>-0.15337633300172537</v>
      </c>
      <c r="H26" s="90">
        <f t="shared" si="3"/>
        <v>5.954559579933294E-3</v>
      </c>
      <c r="I26" s="130">
        <f t="shared" si="0"/>
        <v>25.59207610418617</v>
      </c>
      <c r="J26" s="130">
        <f t="shared" si="4"/>
        <v>4.8852004510802738E-2</v>
      </c>
      <c r="K26" s="78"/>
      <c r="L26" s="90"/>
      <c r="M26" s="90"/>
      <c r="P26" s="129" t="s">
        <v>312</v>
      </c>
      <c r="Q26" s="116">
        <v>6346970</v>
      </c>
      <c r="R26" s="116">
        <v>8558532922</v>
      </c>
      <c r="S26" s="116">
        <v>248005.28</v>
      </c>
      <c r="T26" s="130">
        <f t="shared" si="1"/>
        <v>25.59207610418617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348091.54545454547</v>
      </c>
      <c r="G27" s="90">
        <f t="shared" si="2"/>
        <v>4.2030979134352942E-2</v>
      </c>
      <c r="H27" s="90">
        <f t="shared" si="3"/>
        <v>1.1261341050110651</v>
      </c>
      <c r="I27" s="130">
        <f t="shared" si="0"/>
        <v>26.268808035976608</v>
      </c>
      <c r="J27" s="130">
        <f t="shared" si="4"/>
        <v>9.8560420314257158E-2</v>
      </c>
      <c r="K27" s="78"/>
      <c r="L27" s="90"/>
      <c r="M27" s="90"/>
      <c r="P27" s="129" t="s">
        <v>373</v>
      </c>
      <c r="Q27" s="116">
        <v>7658014</v>
      </c>
      <c r="R27" s="116">
        <v>10162578700</v>
      </c>
      <c r="S27" s="116">
        <v>291524.99</v>
      </c>
      <c r="T27" s="130">
        <f t="shared" si="1"/>
        <v>26.268808035976608</v>
      </c>
      <c r="U27" s="78"/>
    </row>
    <row r="28" spans="1:21" s="79" customFormat="1" ht="13.2" hidden="1">
      <c r="A28" s="123" t="s">
        <v>413</v>
      </c>
      <c r="B28" s="131">
        <f>SUM(F26:F28)</f>
        <v>948809.65071770339</v>
      </c>
      <c r="C28" s="131">
        <f>AVERAGE(F26:F28)</f>
        <v>316269.88357256778</v>
      </c>
      <c r="D28" s="90">
        <f>C28/C25-1</f>
        <v>4.6675654616235462E-2</v>
      </c>
      <c r="E28" s="286">
        <f>C28/C16-1</f>
        <v>0.20699230539762703</v>
      </c>
      <c r="F28" s="78">
        <f>Q28/19</f>
        <v>266667.05263157893</v>
      </c>
      <c r="G28" s="90">
        <f t="shared" si="2"/>
        <v>-0.23391689308811181</v>
      </c>
      <c r="H28" s="90">
        <f t="shared" si="3"/>
        <v>-8.1408993719236489E-2</v>
      </c>
      <c r="I28" s="130">
        <f t="shared" si="0"/>
        <v>25.002224290056702</v>
      </c>
      <c r="J28" s="130">
        <f t="shared" si="4"/>
        <v>-7.4071130281572195E-3</v>
      </c>
      <c r="K28" s="78">
        <f>R26+R27+R28</f>
        <v>25342190079</v>
      </c>
      <c r="L28" s="90">
        <f>U28/U25-1</f>
        <v>3.2881331331656494E-2</v>
      </c>
      <c r="M28" s="90">
        <f>U28/U16-1</f>
        <v>0.14682766157995308</v>
      </c>
      <c r="N28" s="88">
        <f>AVERAGE(T26:T28)</f>
        <v>25.621036143406496</v>
      </c>
      <c r="O28" s="91">
        <f>N28/N25-1</f>
        <v>-1.3639629268902831E-2</v>
      </c>
      <c r="P28" s="129" t="s">
        <v>413</v>
      </c>
      <c r="Q28" s="116">
        <v>5066674</v>
      </c>
      <c r="R28" s="116">
        <v>6621078457</v>
      </c>
      <c r="S28" s="116">
        <v>202648.93</v>
      </c>
      <c r="T28" s="130">
        <f t="shared" si="1"/>
        <v>25.002224290056702</v>
      </c>
      <c r="U28" s="85">
        <f>Q26+Q27+Q28</f>
        <v>19071658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281187.45454545453</v>
      </c>
      <c r="G29" s="190">
        <f t="shared" si="2"/>
        <v>5.4451428365755561E-2</v>
      </c>
      <c r="H29" s="190">
        <f t="shared" si="3"/>
        <v>0.58908755938408541</v>
      </c>
      <c r="I29" s="130">
        <f t="shared" si="0"/>
        <v>25.049775611394011</v>
      </c>
      <c r="J29" s="130">
        <f t="shared" si="4"/>
        <v>3.8616282563198379E-2</v>
      </c>
      <c r="K29" s="136"/>
      <c r="L29" s="190"/>
      <c r="M29" s="190"/>
      <c r="N29" s="191"/>
      <c r="O29" s="192"/>
      <c r="P29" s="129" t="s">
        <v>426</v>
      </c>
      <c r="Q29" s="116">
        <v>6186124</v>
      </c>
      <c r="R29" s="116">
        <v>8117317307</v>
      </c>
      <c r="S29" s="116">
        <v>246953.27</v>
      </c>
      <c r="T29" s="130">
        <f t="shared" si="1"/>
        <v>25.049775611394011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234936.31578947368</v>
      </c>
      <c r="G30" s="190">
        <f t="shared" ref="G30" si="5">F30/F29-1</f>
        <v>-0.16448507217630604</v>
      </c>
      <c r="H30" s="190">
        <f t="shared" ref="H30" si="6">F30/F18-1</f>
        <v>-4.5265985657333974E-2</v>
      </c>
      <c r="I30" s="130">
        <f t="shared" si="0"/>
        <v>26.027212194089341</v>
      </c>
      <c r="J30" s="130">
        <f t="shared" si="4"/>
        <v>4.7095500156921766E-2</v>
      </c>
      <c r="K30" s="136"/>
      <c r="L30" s="190"/>
      <c r="M30" s="190"/>
      <c r="N30" s="191"/>
      <c r="O30" s="192"/>
      <c r="P30" s="129" t="s">
        <v>501</v>
      </c>
      <c r="Q30" s="116">
        <v>4463790</v>
      </c>
      <c r="R30" s="116">
        <v>5943729159</v>
      </c>
      <c r="S30" s="116">
        <v>171504.73</v>
      </c>
      <c r="T30" s="130">
        <f t="shared" ref="T30" si="7">Q30/S30</f>
        <v>26.027212194089341</v>
      </c>
      <c r="U30" s="85"/>
    </row>
    <row r="31" spans="1:21" s="79" customFormat="1" ht="13.2" hidden="1">
      <c r="A31" s="129" t="s">
        <v>505</v>
      </c>
      <c r="B31" s="188">
        <f>SUM(F29:F31)</f>
        <v>896854.22033492825</v>
      </c>
      <c r="C31" s="188">
        <f>AVERAGE(F29:F31)</f>
        <v>298951.40677830944</v>
      </c>
      <c r="D31" s="190">
        <f>C31/C28-1</f>
        <v>-5.4758539126867678E-2</v>
      </c>
      <c r="E31" s="287">
        <f>C31/C19-1</f>
        <v>0.43687614670969133</v>
      </c>
      <c r="F31" s="136">
        <f>Q31/20</f>
        <v>380730.45</v>
      </c>
      <c r="G31" s="190">
        <f t="shared" ref="G31" si="8">F31/F30-1</f>
        <v>0.62056874315323984</v>
      </c>
      <c r="H31" s="190">
        <f t="shared" ref="H31" si="9">F31/F19-1</f>
        <v>0.89281288494048971</v>
      </c>
      <c r="I31" s="130">
        <f t="shared" si="0"/>
        <v>26.056681787846383</v>
      </c>
      <c r="J31" s="130">
        <f t="shared" si="4"/>
        <v>2.1045593669654528E-2</v>
      </c>
      <c r="K31" s="136">
        <f>R29+R30+R31</f>
        <v>24182379551</v>
      </c>
      <c r="L31" s="190">
        <f>U31/U28-1</f>
        <v>-4.2321176271092997E-2</v>
      </c>
      <c r="M31" s="190">
        <f>U31/U19-1</f>
        <v>0.41742795102780761</v>
      </c>
      <c r="N31" s="191">
        <f>AVERAGE(T29:T31)</f>
        <v>25.711223197776579</v>
      </c>
      <c r="O31" s="192">
        <f>N31/N28-1</f>
        <v>3.5200393093115512E-3</v>
      </c>
      <c r="P31" s="129" t="s">
        <v>506</v>
      </c>
      <c r="Q31" s="116">
        <v>7614609</v>
      </c>
      <c r="R31" s="116">
        <v>10121333085</v>
      </c>
      <c r="S31" s="116">
        <v>292232.49</v>
      </c>
      <c r="T31" s="130">
        <f t="shared" ref="T31" si="10">Q31/S31</f>
        <v>26.056681787846383</v>
      </c>
      <c r="U31" s="85">
        <f>Q29+Q30+Q31</f>
        <v>18264523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352024</v>
      </c>
      <c r="G32" s="190">
        <f t="shared" ref="G32" si="11">F32/F31-1</f>
        <v>-7.5398355975992981E-2</v>
      </c>
      <c r="H32" s="190">
        <f t="shared" ref="H32" si="12">F32/F20-1</f>
        <v>0.69731182458706797</v>
      </c>
      <c r="I32" s="130">
        <f t="shared" si="0"/>
        <v>25.494658177947343</v>
      </c>
      <c r="J32" s="130">
        <f t="shared" si="4"/>
        <v>7.3332805596413753E-2</v>
      </c>
      <c r="K32" s="136"/>
      <c r="L32" s="190"/>
      <c r="M32" s="190"/>
      <c r="N32" s="191"/>
      <c r="O32" s="192"/>
      <c r="P32" s="129" t="s">
        <v>562</v>
      </c>
      <c r="Q32" s="116">
        <v>7392504</v>
      </c>
      <c r="R32" s="116">
        <v>10045702004</v>
      </c>
      <c r="S32" s="116">
        <v>289962.86</v>
      </c>
      <c r="T32" s="130">
        <f t="shared" ref="T32" si="13">Q32/S32</f>
        <v>25.494658177947343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462375.42857142858</v>
      </c>
      <c r="G33" s="190">
        <f t="shared" ref="G33" si="14">F33/F32-1</f>
        <v>0.31347700319134097</v>
      </c>
      <c r="H33" s="190">
        <f t="shared" ref="H33" si="15">F33/F21-1</f>
        <v>0.29514594575127706</v>
      </c>
      <c r="I33" s="130">
        <f t="shared" si="0"/>
        <v>26.312206212984975</v>
      </c>
      <c r="J33" s="130">
        <f t="shared" si="4"/>
        <v>-7.7656538010734133E-3</v>
      </c>
      <c r="K33" s="136"/>
      <c r="L33" s="190"/>
      <c r="M33" s="190"/>
      <c r="N33" s="191"/>
      <c r="O33" s="192"/>
      <c r="P33" s="129" t="s">
        <v>607</v>
      </c>
      <c r="Q33" s="116">
        <v>9709884</v>
      </c>
      <c r="R33" s="116">
        <v>13264810273</v>
      </c>
      <c r="S33" s="116">
        <v>369025.84</v>
      </c>
      <c r="T33" s="130">
        <f t="shared" ref="T33" si="16">Q33/S33</f>
        <v>26.312206212984975</v>
      </c>
      <c r="U33" s="85"/>
    </row>
    <row r="34" spans="1:21" s="79" customFormat="1" ht="13.2" hidden="1">
      <c r="A34" s="129" t="s">
        <v>652</v>
      </c>
      <c r="B34" s="188">
        <f>SUM(F32:F34)</f>
        <v>1408459.6390977446</v>
      </c>
      <c r="C34" s="188">
        <f>AVERAGE(F32:F34)</f>
        <v>469486.54636591487</v>
      </c>
      <c r="D34" s="190">
        <f>C34/C31-1</f>
        <v>0.57044434553896428</v>
      </c>
      <c r="E34" s="287">
        <f>C34/C22-1</f>
        <v>0.32590376293124446</v>
      </c>
      <c r="F34" s="136">
        <f>Q34/19</f>
        <v>594060.21052631584</v>
      </c>
      <c r="G34" s="190">
        <f t="shared" ref="G34" si="17">F34/F33-1</f>
        <v>0.28480056209246496</v>
      </c>
      <c r="H34" s="190">
        <f t="shared" ref="H34" si="18">F34/F22-1</f>
        <v>0.19323576596055392</v>
      </c>
      <c r="I34" s="130">
        <f t="shared" si="0"/>
        <v>26.013408938039809</v>
      </c>
      <c r="J34" s="130">
        <f t="shared" si="4"/>
        <v>1.4543617512939866E-2</v>
      </c>
      <c r="K34" s="136">
        <f>R32+R33+R34</f>
        <v>38815385036</v>
      </c>
      <c r="L34" s="190">
        <f>U34/U31-1</f>
        <v>0.55435386952070953</v>
      </c>
      <c r="M34" s="190">
        <f>U34/U22-1</f>
        <v>0.28458607049548101</v>
      </c>
      <c r="N34" s="191">
        <f>AVERAGE(T32:T34)</f>
        <v>25.940091109657374</v>
      </c>
      <c r="O34" s="192">
        <f>N34/N31-1</f>
        <v>8.9014789424948226E-3</v>
      </c>
      <c r="P34" s="129" t="s">
        <v>652</v>
      </c>
      <c r="Q34" s="116">
        <v>11287144</v>
      </c>
      <c r="R34" s="116">
        <v>15504872759</v>
      </c>
      <c r="S34" s="116">
        <v>433897.15</v>
      </c>
      <c r="T34" s="130">
        <f t="shared" ref="T34" si="19">Q34/S34</f>
        <v>26.013408938039809</v>
      </c>
      <c r="U34" s="85">
        <f>Q32+Q33+Q34</f>
        <v>28389532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369310.04347826086</v>
      </c>
      <c r="G35" s="190">
        <f t="shared" ref="G35" si="20">F35/F34-1</f>
        <v>-0.37832893546082558</v>
      </c>
      <c r="H35" s="190">
        <f t="shared" ref="H35" si="21">F35/F23-1</f>
        <v>0.25302000144495418</v>
      </c>
      <c r="I35" s="130">
        <f t="shared" si="0"/>
        <v>24.497785124628614</v>
      </c>
      <c r="J35" s="130">
        <f t="shared" si="4"/>
        <v>-4.8180015041907831E-2</v>
      </c>
      <c r="K35" s="136"/>
      <c r="L35" s="190"/>
      <c r="M35" s="190"/>
      <c r="N35" s="191"/>
      <c r="O35" s="192"/>
      <c r="P35" s="129" t="s">
        <v>660</v>
      </c>
      <c r="Q35" s="116">
        <v>8494131</v>
      </c>
      <c r="R35" s="116">
        <v>11759541032</v>
      </c>
      <c r="S35" s="116">
        <v>346730.57</v>
      </c>
      <c r="T35" s="130">
        <f t="shared" ref="T35" si="22">Q35/S35</f>
        <v>24.497785124628614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509200.38095238095</v>
      </c>
      <c r="G36" s="190">
        <f t="shared" ref="G36" si="23">F36/F35-1</f>
        <v>0.37878833772457265</v>
      </c>
      <c r="H36" s="190">
        <f t="shared" ref="H36" si="24">F36/F24-1</f>
        <v>1.3444520280596484</v>
      </c>
      <c r="I36" s="130">
        <f t="shared" si="0"/>
        <v>24.618336866965585</v>
      </c>
      <c r="J36" s="130">
        <f t="shared" si="4"/>
        <v>-7.4684387063619018E-2</v>
      </c>
      <c r="K36" s="136"/>
      <c r="L36" s="190"/>
      <c r="M36" s="190"/>
      <c r="N36" s="191"/>
      <c r="O36" s="192"/>
      <c r="P36" s="129" t="s">
        <v>664</v>
      </c>
      <c r="Q36" s="116">
        <v>10693208</v>
      </c>
      <c r="R36" s="116">
        <v>14605330660</v>
      </c>
      <c r="S36" s="116">
        <v>434359.48</v>
      </c>
      <c r="T36" s="130">
        <f t="shared" ref="T36" si="25">Q36/S36</f>
        <v>24.618336866965585</v>
      </c>
      <c r="U36" s="85"/>
    </row>
    <row r="37" spans="1:21" s="79" customFormat="1" ht="13.2" hidden="1">
      <c r="A37" s="129" t="s">
        <v>702</v>
      </c>
      <c r="B37" s="188">
        <f>SUM(F35:F37)</f>
        <v>1296429.6466528641</v>
      </c>
      <c r="C37" s="188">
        <f>AVERAGE(F35:F37)</f>
        <v>432143.21555095469</v>
      </c>
      <c r="D37" s="190">
        <f>C37/C34-1</f>
        <v>-7.9540790048230781E-2</v>
      </c>
      <c r="E37" s="287">
        <f>C37/C25-1</f>
        <v>0.43015129330509771</v>
      </c>
      <c r="F37" s="136">
        <f>Q37/18</f>
        <v>417919.22222222225</v>
      </c>
      <c r="G37" s="190">
        <f t="shared" ref="G37" si="26">F37/F36-1</f>
        <v>-0.17926372827811188</v>
      </c>
      <c r="H37" s="190">
        <f t="shared" ref="H37" si="27">F37/F25-1</f>
        <v>5.9180330789344815E-2</v>
      </c>
      <c r="I37" s="130">
        <f t="shared" si="0"/>
        <v>24.222045619983817</v>
      </c>
      <c r="J37" s="130">
        <f t="shared" si="4"/>
        <v>-5.319077009307549E-2</v>
      </c>
      <c r="K37" s="136">
        <f>R35+R36+R37</f>
        <v>36406359484</v>
      </c>
      <c r="L37" s="190">
        <f>U37/U34-1</f>
        <v>-5.916430746375112E-2</v>
      </c>
      <c r="M37" s="190">
        <f>U37/U25-1</f>
        <v>0.44655181938116995</v>
      </c>
      <c r="N37" s="191">
        <f>AVERAGE(T35:T37)</f>
        <v>24.446055870526006</v>
      </c>
      <c r="O37" s="192">
        <f>N37/N34-1</f>
        <v>-5.7595604919642884E-2</v>
      </c>
      <c r="P37" s="129" t="s">
        <v>702</v>
      </c>
      <c r="Q37" s="116">
        <v>7522546</v>
      </c>
      <c r="R37" s="116">
        <v>10041487792</v>
      </c>
      <c r="S37" s="116">
        <v>310566.09000000003</v>
      </c>
      <c r="T37" s="130">
        <f t="shared" ref="T37" si="28">Q37/S37</f>
        <v>24.222045619983817</v>
      </c>
      <c r="U37" s="85">
        <f>Q35+Q36+Q37</f>
        <v>26709885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449247.4</v>
      </c>
      <c r="G38" s="190">
        <f t="shared" ref="G38" si="29">F38/F37-1</f>
        <v>7.4962280057842001E-2</v>
      </c>
      <c r="H38" s="190">
        <f t="shared" ref="H38" si="30">F38/F26-1</f>
        <v>0.34484653307011071</v>
      </c>
      <c r="I38" s="130">
        <f t="shared" si="0"/>
        <v>23.860155153249739</v>
      </c>
      <c r="J38" s="130">
        <f t="shared" si="4"/>
        <v>-6.7674109122125348E-2</v>
      </c>
      <c r="K38" s="136"/>
      <c r="L38" s="190"/>
      <c r="M38" s="190"/>
      <c r="N38" s="191"/>
      <c r="O38" s="192"/>
      <c r="P38" s="129" t="s">
        <v>755</v>
      </c>
      <c r="Q38" s="116">
        <v>8984948</v>
      </c>
      <c r="R38" s="116">
        <v>12077666696</v>
      </c>
      <c r="S38" s="116">
        <v>376567.03999999998</v>
      </c>
      <c r="T38" s="130">
        <f t="shared" ref="T38" si="31">Q38/S38</f>
        <v>23.860155153249739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450326.04761904763</v>
      </c>
      <c r="G39" s="190">
        <f t="shared" ref="G39" si="32">F39/F38-1</f>
        <v>2.4010102652738397E-3</v>
      </c>
      <c r="H39" s="190">
        <f t="shared" ref="H39" si="33">F39/F27-1</f>
        <v>0.29370004385197612</v>
      </c>
      <c r="I39" s="130">
        <f t="shared" si="0"/>
        <v>22.427135826761152</v>
      </c>
      <c r="J39" s="130">
        <f t="shared" si="4"/>
        <v>-0.14624463370983831</v>
      </c>
      <c r="K39" s="136"/>
      <c r="L39" s="190"/>
      <c r="M39" s="190"/>
      <c r="N39" s="191"/>
      <c r="O39" s="192"/>
      <c r="P39" s="129" t="s">
        <v>762</v>
      </c>
      <c r="Q39" s="116">
        <v>9456847</v>
      </c>
      <c r="R39" s="116">
        <v>13150296327</v>
      </c>
      <c r="S39" s="116">
        <v>421669.85</v>
      </c>
      <c r="T39" s="130">
        <f t="shared" ref="T39" si="34">Q39/S39</f>
        <v>22.427135826761152</v>
      </c>
      <c r="U39" s="85"/>
    </row>
    <row r="40" spans="1:21" s="79" customFormat="1" ht="13.2" hidden="1">
      <c r="A40" s="129" t="s">
        <v>778</v>
      </c>
      <c r="B40" s="188">
        <f>SUM(F38:F40)</f>
        <v>1193372.5904761907</v>
      </c>
      <c r="C40" s="188">
        <f>AVERAGE(F38:F40)</f>
        <v>397790.86349206354</v>
      </c>
      <c r="D40" s="190">
        <f>C40/C37-1</f>
        <v>-7.9492980157270576E-2</v>
      </c>
      <c r="E40" s="287">
        <f>C40/C28-1</f>
        <v>0.25775764356264053</v>
      </c>
      <c r="F40" s="136">
        <f>Q40/21</f>
        <v>293799.14285714284</v>
      </c>
      <c r="G40" s="190">
        <f t="shared" ref="G40" si="35">F40/F39-1</f>
        <v>-0.34758572281015021</v>
      </c>
      <c r="H40" s="190">
        <f t="shared" ref="H40" si="36">F40/F28-1</f>
        <v>0.10174519108308799</v>
      </c>
      <c r="I40" s="130">
        <f t="shared" si="0"/>
        <v>22.708248251071851</v>
      </c>
      <c r="J40" s="130">
        <f t="shared" si="4"/>
        <v>-9.1750878336738895E-2</v>
      </c>
      <c r="K40" s="136">
        <f>R38+R39+R40</f>
        <v>33971079184</v>
      </c>
      <c r="L40" s="190">
        <f>U40/U37-1</f>
        <v>-7.8559230037868022E-2</v>
      </c>
      <c r="M40" s="190">
        <f>U40/U28-1</f>
        <v>0.29047914974146449</v>
      </c>
      <c r="N40" s="191">
        <f>AVERAGE(T38:T40)</f>
        <v>22.998513077027582</v>
      </c>
      <c r="O40" s="192">
        <f>N40/N37-1</f>
        <v>-5.9213756246204508E-2</v>
      </c>
      <c r="P40" s="129" t="s">
        <v>778</v>
      </c>
      <c r="Q40" s="116">
        <v>6169782</v>
      </c>
      <c r="R40" s="116">
        <v>8743116161</v>
      </c>
      <c r="S40" s="116">
        <v>271697.84000000003</v>
      </c>
      <c r="T40" s="130">
        <f t="shared" ref="T40" si="37">Q40/S40</f>
        <v>22.708248251071851</v>
      </c>
      <c r="U40" s="85">
        <f>Q38+Q39+Q40</f>
        <v>24611577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202958.38888888888</v>
      </c>
      <c r="G41" s="190">
        <f t="shared" ref="G41" si="38">F41/F40-1</f>
        <v>-0.30919339343486263</v>
      </c>
      <c r="H41" s="190">
        <f t="shared" ref="H41" si="39">F41/F29-1</f>
        <v>-0.27820965833281786</v>
      </c>
      <c r="I41" s="130">
        <f t="shared" si="0"/>
        <v>23.382531843789817</v>
      </c>
      <c r="J41" s="130">
        <f t="shared" si="4"/>
        <v>-6.6557233624313983E-2</v>
      </c>
      <c r="K41" s="193"/>
      <c r="L41" s="190"/>
      <c r="M41" s="190"/>
      <c r="N41" s="193"/>
      <c r="O41" s="193"/>
      <c r="P41" s="129" t="s">
        <v>792</v>
      </c>
      <c r="Q41" s="116">
        <v>3653251</v>
      </c>
      <c r="R41" s="116">
        <v>5340086566</v>
      </c>
      <c r="S41" s="116">
        <v>156238.47</v>
      </c>
      <c r="T41" s="130">
        <f t="shared" ref="T41" si="40">Q41/S41</f>
        <v>23.382531843789817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317442</v>
      </c>
      <c r="G42" s="190">
        <f t="shared" ref="G42" si="41">F42/F41-1</f>
        <v>0.56407429984964086</v>
      </c>
      <c r="H42" s="190">
        <f t="shared" ref="H42" si="42">F42/F30-1</f>
        <v>0.35118318738112686</v>
      </c>
      <c r="I42" s="130">
        <f t="shared" si="0"/>
        <v>23.088080391747212</v>
      </c>
      <c r="J42" s="130">
        <f t="shared" si="4"/>
        <v>-0.11292534061752457</v>
      </c>
      <c r="K42" s="193"/>
      <c r="L42" s="190"/>
      <c r="M42" s="190"/>
      <c r="N42" s="193"/>
      <c r="O42" s="193"/>
      <c r="P42" s="129" t="s">
        <v>826</v>
      </c>
      <c r="Q42" s="116">
        <v>6348840</v>
      </c>
      <c r="R42" s="116">
        <v>9196809474</v>
      </c>
      <c r="S42" s="116">
        <v>274983.45</v>
      </c>
      <c r="T42" s="130">
        <f t="shared" ref="T42" si="43">Q42/S42</f>
        <v>23.088080391747212</v>
      </c>
      <c r="U42" s="78"/>
    </row>
    <row r="43" spans="1:21" s="79" customFormat="1" ht="13.2">
      <c r="A43" s="129" t="s">
        <v>835</v>
      </c>
      <c r="B43" s="188">
        <f>SUM(F41:F43)</f>
        <v>931079.93888888881</v>
      </c>
      <c r="C43" s="188">
        <f>AVERAGE(F41:F43)</f>
        <v>310359.97962962958</v>
      </c>
      <c r="D43" s="190">
        <f>C43/C40-1</f>
        <v>-0.21979108090846922</v>
      </c>
      <c r="E43" s="287">
        <f>C43/C31-1</f>
        <v>3.8161964093984979E-2</v>
      </c>
      <c r="F43" s="136">
        <f>Q43/20</f>
        <v>410679.55</v>
      </c>
      <c r="G43" s="190">
        <f t="shared" ref="G43" si="44">F43/F42-1</f>
        <v>0.29371522986876331</v>
      </c>
      <c r="H43" s="190">
        <f t="shared" ref="H43" si="45">F43/F31-1</f>
        <v>7.8662213647476831E-2</v>
      </c>
      <c r="I43" s="130">
        <f t="shared" si="0"/>
        <v>23.398345648320568</v>
      </c>
      <c r="J43" s="130">
        <f t="shared" si="4"/>
        <v>-0.10202128425906254</v>
      </c>
      <c r="K43" s="136">
        <f>R41+R42+R43</f>
        <v>26419185273</v>
      </c>
      <c r="L43" s="190">
        <f>U43/U40-1</f>
        <v>-0.25987343273452168</v>
      </c>
      <c r="M43" s="190">
        <f>K43/K31-1</f>
        <v>9.2497337463529394E-2</v>
      </c>
      <c r="N43" s="191">
        <f>AVERAGE(T41:T43)</f>
        <v>23.289652627952535</v>
      </c>
      <c r="O43" s="192">
        <f>N43/N40-1</f>
        <v>1.2659059737899492E-2</v>
      </c>
      <c r="P43" s="129" t="s">
        <v>835</v>
      </c>
      <c r="Q43" s="116">
        <v>8213591</v>
      </c>
      <c r="R43" s="116">
        <v>11882289233</v>
      </c>
      <c r="S43" s="116">
        <v>351032.98</v>
      </c>
      <c r="T43" s="130">
        <f t="shared" ref="T43" si="46">Q43/S43</f>
        <v>23.398345648320568</v>
      </c>
      <c r="U43" s="85">
        <f>Q41+Q42+Q43</f>
        <v>18215682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507470.45454545453</v>
      </c>
      <c r="G44" s="190">
        <f t="shared" ref="G44" si="47">F44/F43-1</f>
        <v>0.23568474384822546</v>
      </c>
      <c r="H44" s="190">
        <f t="shared" ref="H44" si="48">F44/F32-1</f>
        <v>0.44157913819925487</v>
      </c>
      <c r="I44" s="130">
        <f t="shared" si="0"/>
        <v>23.065828521560626</v>
      </c>
      <c r="J44" s="130">
        <f t="shared" si="4"/>
        <v>-9.5268178903753054E-2</v>
      </c>
      <c r="K44" s="136"/>
      <c r="L44" s="190"/>
      <c r="M44" s="190"/>
      <c r="N44" s="191"/>
      <c r="O44" s="192"/>
      <c r="P44" s="129" t="s">
        <v>843</v>
      </c>
      <c r="Q44" s="116">
        <v>11164350</v>
      </c>
      <c r="R44" s="116">
        <v>16210860368</v>
      </c>
      <c r="S44" s="116">
        <v>484021.2</v>
      </c>
      <c r="T44" s="130">
        <f t="shared" ref="T44" si="49">Q44/S44</f>
        <v>23.065828521560626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501863.8</v>
      </c>
      <c r="G45" s="190">
        <f t="shared" ref="G45" si="50">F45/F44-1</f>
        <v>-1.1048238365869878E-2</v>
      </c>
      <c r="H45" s="190">
        <f t="shared" ref="H45" si="51">F45/F33-1</f>
        <v>8.5403265373716009E-2</v>
      </c>
      <c r="I45" s="130">
        <f t="shared" si="0"/>
        <v>23.680532565888438</v>
      </c>
      <c r="J45" s="130">
        <f t="shared" si="4"/>
        <v>-0.1000172173247037</v>
      </c>
      <c r="K45" s="136"/>
      <c r="L45" s="190"/>
      <c r="M45" s="190"/>
      <c r="N45" s="191"/>
      <c r="O45" s="192"/>
      <c r="P45" s="129" t="s">
        <v>875</v>
      </c>
      <c r="Q45" s="116">
        <v>10037276</v>
      </c>
      <c r="R45" s="116">
        <v>14091962191</v>
      </c>
      <c r="S45" s="116">
        <v>423861.92</v>
      </c>
      <c r="T45" s="130">
        <f t="shared" ref="T45" si="52">Q45/S45</f>
        <v>23.680532565888438</v>
      </c>
      <c r="U45" s="85"/>
    </row>
    <row r="46" spans="1:21" s="79" customFormat="1" ht="13.2">
      <c r="A46" s="129" t="s">
        <v>888</v>
      </c>
      <c r="B46" s="188">
        <f>SUM(F44:F46)</f>
        <v>1610449.7282296652</v>
      </c>
      <c r="C46" s="188">
        <f>AVERAGE(F44:F46)</f>
        <v>536816.57607655507</v>
      </c>
      <c r="D46" s="190">
        <f>C46/C43-1</f>
        <v>0.72965785317156273</v>
      </c>
      <c r="E46" s="287">
        <f>C46/C34-1</f>
        <v>0.14341205351210129</v>
      </c>
      <c r="F46" s="136">
        <f>Q46/19</f>
        <v>601115.47368421056</v>
      </c>
      <c r="G46" s="190">
        <f t="shared" ref="G46" si="53">F46/F45-1</f>
        <v>0.19776615425183208</v>
      </c>
      <c r="H46" s="190">
        <f t="shared" ref="H46" si="54">F46/F34-1</f>
        <v>1.1876343563969716E-2</v>
      </c>
      <c r="I46" s="130">
        <f t="shared" si="0"/>
        <v>22.346822189506835</v>
      </c>
      <c r="J46" s="130">
        <f t="shared" si="4"/>
        <v>-0.14094987539950088</v>
      </c>
      <c r="K46" s="136">
        <f>R44+R45+R46</f>
        <v>45954479408</v>
      </c>
      <c r="L46" s="190">
        <f>U46/U43-1</f>
        <v>0.79091949453223886</v>
      </c>
      <c r="M46" s="190">
        <f>K46/K34-1</f>
        <v>0.18392434766211196</v>
      </c>
      <c r="N46" s="191">
        <f>AVERAGE(T44:T46)</f>
        <v>23.031061092318634</v>
      </c>
      <c r="O46" s="192">
        <f>N46/N43-1</f>
        <v>-1.1103280060241638E-2</v>
      </c>
      <c r="P46" s="129" t="s">
        <v>953</v>
      </c>
      <c r="Q46" s="116">
        <v>11421194</v>
      </c>
      <c r="R46" s="116">
        <v>15651656849</v>
      </c>
      <c r="S46" s="116">
        <v>511088.06</v>
      </c>
      <c r="T46" s="130">
        <f t="shared" ref="T46" si="55">Q46/S46</f>
        <v>22.346822189506835</v>
      </c>
      <c r="U46" s="85">
        <f t="shared" ref="U46:U51" si="56">Q44+Q45+Q46</f>
        <v>32622820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287603.26086956525</v>
      </c>
      <c r="G47" s="190">
        <f t="shared" ref="G47" si="57">F47/F46-1</f>
        <v>-0.52155072783793544</v>
      </c>
      <c r="H47" s="190">
        <f t="shared" ref="H47" si="58">F47/F35-1</f>
        <v>-0.22124170206463722</v>
      </c>
      <c r="I47" s="130">
        <f t="shared" si="0"/>
        <v>22.916931913946421</v>
      </c>
      <c r="J47" s="130">
        <f t="shared" si="4"/>
        <v>-6.453045459578699E-2</v>
      </c>
      <c r="K47" s="136"/>
      <c r="L47" s="190"/>
      <c r="M47" s="190"/>
      <c r="N47" s="191"/>
      <c r="O47" s="192"/>
      <c r="P47" s="129" t="s">
        <v>991</v>
      </c>
      <c r="Q47" s="116">
        <v>6614875</v>
      </c>
      <c r="R47" s="116">
        <v>9041930102</v>
      </c>
      <c r="S47" s="116">
        <v>288645.75</v>
      </c>
      <c r="T47" s="130">
        <f t="shared" ref="T47" si="59">Q47/S47</f>
        <v>22.916931913946421</v>
      </c>
      <c r="U47" s="85">
        <f t="shared" si="56"/>
        <v>28073345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446164</v>
      </c>
      <c r="G48" s="190">
        <f t="shared" ref="G48" si="60">F48/F47-1</f>
        <v>0.5513175985940777</v>
      </c>
      <c r="H48" s="190">
        <f t="shared" ref="H48" si="61">F48/F36-1</f>
        <v>-0.12379484248319117</v>
      </c>
      <c r="I48" s="130">
        <f t="shared" si="0"/>
        <v>24.626016698581328</v>
      </c>
      <c r="J48" s="130">
        <f t="shared" si="4"/>
        <v>3.1195574490849864E-4</v>
      </c>
      <c r="K48" s="136"/>
      <c r="L48" s="190"/>
      <c r="M48" s="190"/>
      <c r="N48" s="191"/>
      <c r="O48" s="192"/>
      <c r="P48" s="129" t="s">
        <v>1070</v>
      </c>
      <c r="Q48" s="116">
        <v>8923280</v>
      </c>
      <c r="R48" s="116">
        <v>12368930170</v>
      </c>
      <c r="S48" s="116">
        <v>362351.74</v>
      </c>
      <c r="T48" s="130">
        <f t="shared" ref="T48" si="62">Q48/S48</f>
        <v>24.626016698581328</v>
      </c>
      <c r="U48" s="85">
        <f t="shared" si="56"/>
        <v>26959349</v>
      </c>
    </row>
    <row r="49" spans="1:26" ht="13.2">
      <c r="A49" s="129" t="s">
        <v>1158</v>
      </c>
      <c r="B49" s="188">
        <f>SUM(F47:F49)</f>
        <v>1071213.7154150198</v>
      </c>
      <c r="C49" s="188">
        <f>AVERAGE(F47:F49)</f>
        <v>357071.23847167328</v>
      </c>
      <c r="D49" s="190">
        <f>C49/C46-1</f>
        <v>-0.33483566941727305</v>
      </c>
      <c r="E49" s="287">
        <f>C49/C37-1</f>
        <v>-0.17372013345985193</v>
      </c>
      <c r="F49" s="136">
        <f>Q49/22</f>
        <v>337446.45454545453</v>
      </c>
      <c r="G49" s="190">
        <f t="shared" ref="G49" si="63">F49/F48-1</f>
        <v>-0.24367171142123856</v>
      </c>
      <c r="H49" s="190">
        <f t="shared" ref="H49" si="64">F49/F37-1</f>
        <v>-0.19255579403327261</v>
      </c>
      <c r="I49" s="130">
        <f t="shared" si="0"/>
        <v>23.331295462585921</v>
      </c>
      <c r="J49" s="130">
        <f t="shared" si="4"/>
        <v>-3.6774357185711981E-2</v>
      </c>
      <c r="K49" s="136">
        <f>R47+R48+R49</f>
        <v>31740665571</v>
      </c>
      <c r="L49" s="190">
        <f>U49/U46-1</f>
        <v>-0.29613758099391774</v>
      </c>
      <c r="M49" s="190">
        <f>K49/K37-1</f>
        <v>-0.12815601392527298</v>
      </c>
      <c r="N49" s="191">
        <f>AVERAGE(T47:T49)</f>
        <v>23.624748025037889</v>
      </c>
      <c r="O49" s="192">
        <f>N49/N46-1</f>
        <v>2.5777663058575317E-2</v>
      </c>
      <c r="P49" s="129" t="s">
        <v>1158</v>
      </c>
      <c r="Q49" s="116">
        <v>7423822</v>
      </c>
      <c r="R49" s="116">
        <v>10329805299</v>
      </c>
      <c r="S49" s="116">
        <v>318191.59000000003</v>
      </c>
      <c r="T49" s="130">
        <f t="shared" ref="T49" si="65">Q49/S49</f>
        <v>23.331295462585921</v>
      </c>
      <c r="U49" s="85">
        <f t="shared" si="56"/>
        <v>22961977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214971.16666666666</v>
      </c>
      <c r="G50" s="190">
        <f t="shared" ref="G50" si="66">F50/F49-1</f>
        <v>-0.36294732461706836</v>
      </c>
      <c r="H50" s="190">
        <f t="shared" ref="H50" si="67">F50/F38-1</f>
        <v>-0.52148600822917035</v>
      </c>
      <c r="I50" s="130">
        <f t="shared" ref="I50" si="68">T50</f>
        <v>23.398110448935721</v>
      </c>
      <c r="J50" s="130">
        <f t="shared" ref="J50" si="69">I50/I38-1</f>
        <v>-1.9364698232110511E-2</v>
      </c>
      <c r="K50" s="136"/>
      <c r="L50" s="190"/>
      <c r="M50" s="190"/>
      <c r="N50" s="191"/>
      <c r="O50" s="192"/>
      <c r="P50" s="129" t="s">
        <v>1291</v>
      </c>
      <c r="Q50" s="116">
        <v>3869481</v>
      </c>
      <c r="R50" s="116">
        <v>5472220759</v>
      </c>
      <c r="S50" s="116">
        <v>165375.79</v>
      </c>
      <c r="T50" s="130">
        <f t="shared" ref="T50" si="70">Q50/S50</f>
        <v>23.398110448935721</v>
      </c>
      <c r="U50" s="85">
        <f t="shared" si="56"/>
        <v>20216583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533473.15</v>
      </c>
      <c r="G51" s="190">
        <f t="shared" ref="G51:G52" si="71">F51/F50-1</f>
        <v>1.4816032692756473</v>
      </c>
      <c r="H51" s="190">
        <f t="shared" ref="H51:H52" si="72">F51/F39-1</f>
        <v>0.18463755943180638</v>
      </c>
      <c r="I51" s="130">
        <f t="shared" ref="I51:I52" si="73">T51</f>
        <v>22.871982863199321</v>
      </c>
      <c r="J51" s="130">
        <f t="shared" ref="J51:J52" si="74">I51/I39-1</f>
        <v>1.9835213906688631E-2</v>
      </c>
      <c r="K51" s="136"/>
      <c r="L51" s="190"/>
      <c r="M51" s="190"/>
      <c r="N51" s="191"/>
      <c r="O51" s="192"/>
      <c r="P51" s="129" t="s">
        <v>1402</v>
      </c>
      <c r="Q51" s="116">
        <v>10669463</v>
      </c>
      <c r="R51" s="116">
        <v>15367165674</v>
      </c>
      <c r="S51" s="116">
        <v>466486.14</v>
      </c>
      <c r="T51" s="130">
        <f t="shared" ref="T51:T52" si="75">Q51/S51</f>
        <v>22.871982863199321</v>
      </c>
      <c r="U51" s="85">
        <f t="shared" si="56"/>
        <v>21962766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1024945.3166666667</v>
      </c>
      <c r="C52" s="188">
        <f>AVERAGE(F50:F52)</f>
        <v>341648.43888888886</v>
      </c>
      <c r="D52" s="190">
        <f>C52/C49-1</f>
        <v>-4.3192500322335348E-2</v>
      </c>
      <c r="E52" s="287">
        <f>C52/C40-1</f>
        <v>-0.14113553064120288</v>
      </c>
      <c r="F52" s="136">
        <f>Q52/22</f>
        <v>276501</v>
      </c>
      <c r="G52" s="190">
        <f t="shared" si="71"/>
        <v>-0.48169650150152832</v>
      </c>
      <c r="H52" s="190">
        <f t="shared" si="72"/>
        <v>-5.8877444940518053E-2</v>
      </c>
      <c r="I52" s="130">
        <f t="shared" si="73"/>
        <v>21.416133257367303</v>
      </c>
      <c r="J52" s="130">
        <f t="shared" si="74"/>
        <v>-5.6900689979182295E-2</v>
      </c>
      <c r="K52" s="136">
        <f>R50+R51+R52</f>
        <v>29794031071</v>
      </c>
      <c r="L52" s="190">
        <f>U52/U49-1</f>
        <v>-0.10190808047582312</v>
      </c>
      <c r="M52" s="190">
        <f>K52/K40-1</f>
        <v>-0.12295894664916451</v>
      </c>
      <c r="N52" s="191">
        <f>AVERAGE(T50:T52)</f>
        <v>22.562075523167451</v>
      </c>
      <c r="O52" s="192">
        <f>N52/N49-1</f>
        <v>-4.4981326393161991E-2</v>
      </c>
      <c r="P52" s="129" t="s">
        <v>1403</v>
      </c>
      <c r="Q52" s="116">
        <v>6083022</v>
      </c>
      <c r="R52" s="116">
        <v>8954644638</v>
      </c>
      <c r="S52" s="116">
        <v>284039.23</v>
      </c>
      <c r="T52" s="130">
        <f t="shared" si="75"/>
        <v>21.416133257367303</v>
      </c>
      <c r="U52" s="85">
        <f t="shared" ref="U52" si="76">Q50+Q51+Q52</f>
        <v>20621966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332162.09523809527</v>
      </c>
      <c r="G53" s="190">
        <f t="shared" ref="G53" si="77">F53/F52-1</f>
        <v>0.20130522218037283</v>
      </c>
      <c r="H53" s="190">
        <f t="shared" ref="H53" si="78">F53/F41-1</f>
        <v>0.63660195105283357</v>
      </c>
      <c r="I53" s="130">
        <f t="shared" ref="I53" si="79">T53</f>
        <v>21.566769200022161</v>
      </c>
      <c r="J53" s="130">
        <f t="shared" ref="J53" si="80">I53/I41-1</f>
        <v>-7.7654663570998372E-2</v>
      </c>
      <c r="K53" s="136"/>
      <c r="L53" s="190"/>
      <c r="M53" s="190"/>
      <c r="N53" s="191"/>
      <c r="O53" s="192"/>
      <c r="P53" s="129" t="s">
        <v>1414</v>
      </c>
      <c r="Q53" s="116">
        <v>6975404</v>
      </c>
      <c r="R53" s="116">
        <v>10193992040</v>
      </c>
      <c r="S53" s="116">
        <v>323432.96000000002</v>
      </c>
      <c r="T53" s="130">
        <f t="shared" ref="T53" si="81">Q53/S53</f>
        <v>21.566769200022161</v>
      </c>
      <c r="U53" s="85">
        <f t="shared" ref="U53" si="82">Q51+Q52+Q53</f>
        <v>23727889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349085.82352941175</v>
      </c>
      <c r="G54" s="190">
        <f t="shared" ref="G54" si="83">F54/F53-1</f>
        <v>5.0950209352411235E-2</v>
      </c>
      <c r="H54" s="190">
        <f t="shared" ref="H54" si="84">F54/F42-1</f>
        <v>9.9683795872668846E-2</v>
      </c>
      <c r="I54" s="130">
        <f t="shared" ref="I54" si="85">T54</f>
        <v>22.944541332376239</v>
      </c>
      <c r="J54" s="130">
        <f t="shared" ref="J54" si="86">I54/I42-1</f>
        <v>-6.2170200785631735E-3</v>
      </c>
      <c r="K54" s="136"/>
      <c r="L54" s="190"/>
      <c r="M54" s="190"/>
      <c r="N54" s="191"/>
      <c r="O54" s="192"/>
      <c r="P54" s="129" t="s">
        <v>1417</v>
      </c>
      <c r="Q54" s="116">
        <v>5934459</v>
      </c>
      <c r="R54" s="116">
        <v>8602812023</v>
      </c>
      <c r="S54" s="116">
        <v>258643.61</v>
      </c>
      <c r="T54" s="130">
        <f t="shared" ref="T54" si="87">Q54/S54</f>
        <v>22.944541332376239</v>
      </c>
      <c r="U54" s="85">
        <f t="shared" ref="U54" si="88">Q52+Q53+Q54</f>
        <v>18992885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999159.20448179264</v>
      </c>
      <c r="C55" s="188">
        <f>AVERAGE(F53:F55)</f>
        <v>333053.06816059753</v>
      </c>
      <c r="D55" s="190">
        <f>C55/C52-1</f>
        <v>-2.5158524816461192E-2</v>
      </c>
      <c r="E55" s="287">
        <f>C55/C43-1</f>
        <v>7.3118604267370158E-2</v>
      </c>
      <c r="F55" s="136">
        <f>Q55/21</f>
        <v>317911.28571428574</v>
      </c>
      <c r="G55" s="190">
        <f t="shared" ref="G55" si="89">F55/F54-1</f>
        <v>-8.9303362422276766E-2</v>
      </c>
      <c r="H55" s="190">
        <f t="shared" ref="H55" si="90">F55/F43-1</f>
        <v>-0.22588966089427698</v>
      </c>
      <c r="I55" s="130">
        <f>T55</f>
        <v>20.63134004355237</v>
      </c>
      <c r="J55" s="130">
        <f t="shared" ref="J55" si="91">I55/I43-1</f>
        <v>-0.11825646335670748</v>
      </c>
      <c r="K55" s="136">
        <f>R53+R54+R55</f>
        <v>28578351437</v>
      </c>
      <c r="L55" s="190">
        <f>U55/U52-1</f>
        <v>-5.0236044419819104E-2</v>
      </c>
      <c r="M55" s="190">
        <f>K55/K43-1</f>
        <v>8.1727204744903137E-2</v>
      </c>
      <c r="N55" s="191">
        <f>AVERAGE(T53:T55)</f>
        <v>21.714216858650257</v>
      </c>
      <c r="O55" s="192">
        <f>N55/N52-1</f>
        <v>-3.7578930344709938E-2</v>
      </c>
      <c r="P55" s="129" t="s">
        <v>1418</v>
      </c>
      <c r="Q55" s="116">
        <v>6676137</v>
      </c>
      <c r="R55" s="116">
        <v>9781547374</v>
      </c>
      <c r="S55" s="116">
        <v>323592.02</v>
      </c>
      <c r="T55" s="130">
        <f t="shared" ref="T55" si="92">Q55/S55</f>
        <v>20.63134004355237</v>
      </c>
      <c r="U55" s="85">
        <f t="shared" ref="U55" si="93">Q53+Q54+Q55</f>
        <v>19586000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299274.54545454547</v>
      </c>
      <c r="G56" s="190">
        <f t="shared" ref="G56" si="94">F56/F55-1</f>
        <v>-5.8622455688753239E-2</v>
      </c>
      <c r="H56" s="190">
        <f t="shared" ref="H56" si="95">F56/F44-1</f>
        <v>-0.41026212900885406</v>
      </c>
      <c r="I56" s="291">
        <f>T56</f>
        <v>22.253311173892886</v>
      </c>
      <c r="J56" s="130">
        <f t="shared" ref="J56" si="96">I56/I44-1</f>
        <v>-3.5226020470422115E-2</v>
      </c>
      <c r="K56" s="136"/>
      <c r="L56" s="190"/>
      <c r="M56" s="190"/>
      <c r="N56" s="191"/>
      <c r="O56" s="192"/>
      <c r="P56" s="129" t="s">
        <v>1420</v>
      </c>
      <c r="Q56" s="116">
        <v>6584040</v>
      </c>
      <c r="R56" s="116">
        <v>9801109268</v>
      </c>
      <c r="S56" s="116">
        <v>295867.88</v>
      </c>
      <c r="T56" s="130">
        <f t="shared" ref="T56" si="97">Q56/S56</f>
        <v>22.253311173892886</v>
      </c>
      <c r="U56" s="85">
        <f t="shared" ref="U56" si="98">Q54+Q55+Q56</f>
        <v>19194636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276912.91666666669</v>
      </c>
      <c r="G57" s="254">
        <f t="shared" ref="G57" si="99">F57/F56-1</f>
        <v>-7.4719447836485431E-2</v>
      </c>
      <c r="H57" s="254">
        <f t="shared" ref="H57" si="100">F57/F45-1</f>
        <v>-0.44823094101095418</v>
      </c>
      <c r="I57" s="282">
        <f>T57</f>
        <v>20.346452799264064</v>
      </c>
      <c r="J57" s="277">
        <f t="shared" ref="J57" si="101">I57/I45-1</f>
        <v>-0.14079412096614252</v>
      </c>
      <c r="K57" s="204"/>
      <c r="L57" s="254"/>
      <c r="M57" s="254"/>
      <c r="N57" s="257"/>
      <c r="O57" s="258"/>
      <c r="P57" s="129" t="s">
        <v>1436</v>
      </c>
      <c r="Q57" s="116">
        <v>3322955</v>
      </c>
      <c r="R57" s="116">
        <v>4896006225</v>
      </c>
      <c r="S57" s="116">
        <v>163318.64000000001</v>
      </c>
      <c r="T57" s="130">
        <f t="shared" ref="T57" si="102">Q57/S57</f>
        <v>20.346452799264064</v>
      </c>
      <c r="U57" s="85">
        <f t="shared" ref="U57" si="103">Q55+Q56+Q57</f>
        <v>16583132</v>
      </c>
      <c r="V57" s="79"/>
      <c r="W57" s="79"/>
      <c r="X57" s="79"/>
      <c r="Y57" s="79"/>
      <c r="Z57" s="79"/>
    </row>
    <row r="58" spans="1:26">
      <c r="B58" s="196">
        <f>SUM(F56:F58)</f>
        <v>576187.46212121216</v>
      </c>
      <c r="C58" s="196">
        <f>AVERAGE(F56:F58)</f>
        <v>288093.73106060608</v>
      </c>
      <c r="D58" s="197">
        <f>C58/C55-1</f>
        <v>-0.13499151155788824</v>
      </c>
      <c r="E58" s="233">
        <f>C58/C46-1</f>
        <v>-0.46332929365519215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27407565</v>
      </c>
      <c r="R66" s="212">
        <v>40206481174</v>
      </c>
      <c r="S66" s="213">
        <v>1260501.24</v>
      </c>
    </row>
    <row r="67" spans="16:19" ht="18" thickBot="1">
      <c r="P67" s="180" t="s">
        <v>976</v>
      </c>
      <c r="Q67" s="181">
        <v>6975404</v>
      </c>
      <c r="R67" s="181">
        <v>10193992040</v>
      </c>
      <c r="S67" s="182">
        <v>323432.96000000002</v>
      </c>
    </row>
    <row r="68" spans="16:19" ht="18" thickBot="1">
      <c r="P68" s="180" t="s">
        <v>977</v>
      </c>
      <c r="Q68" s="181">
        <v>5934459</v>
      </c>
      <c r="R68" s="181">
        <v>8602812023</v>
      </c>
      <c r="S68" s="182">
        <v>258643.61</v>
      </c>
    </row>
    <row r="69" spans="16:19" ht="18" thickBot="1">
      <c r="P69" s="180" t="s">
        <v>978</v>
      </c>
      <c r="Q69" s="181">
        <v>6676137</v>
      </c>
      <c r="R69" s="181">
        <v>9781547374</v>
      </c>
      <c r="S69" s="182">
        <v>323592.02</v>
      </c>
    </row>
    <row r="70" spans="16:19" ht="18" thickBot="1">
      <c r="P70" s="180" t="s">
        <v>979</v>
      </c>
      <c r="Q70" s="181">
        <v>6584040</v>
      </c>
      <c r="R70" s="181">
        <v>9801109268</v>
      </c>
      <c r="S70" s="182">
        <v>295867.87</v>
      </c>
    </row>
    <row r="71" spans="16:19" ht="18" thickBot="1">
      <c r="P71" s="180" t="s">
        <v>980</v>
      </c>
      <c r="Q71" s="181">
        <v>1237525</v>
      </c>
      <c r="R71" s="181">
        <v>1827020469</v>
      </c>
      <c r="S71" s="182">
        <v>58964.77</v>
      </c>
    </row>
    <row r="72" spans="16:19" ht="18" thickBot="1">
      <c r="P72" s="180" t="s">
        <v>975</v>
      </c>
      <c r="Q72" s="181">
        <v>94422445</v>
      </c>
      <c r="R72" s="181">
        <v>133908361323</v>
      </c>
      <c r="S72" s="182">
        <v>4086316.32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13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74"/>
  <sheetViews>
    <sheetView zoomScale="90" zoomScaleNormal="90" workbookViewId="0">
      <selection activeCell="G68" sqref="G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57612.6</v>
      </c>
      <c r="G5" s="90"/>
      <c r="H5" s="90"/>
      <c r="I5" s="130">
        <f t="shared" ref="I5:I49" si="0">T5</f>
        <v>151.770465762302</v>
      </c>
      <c r="J5" s="130"/>
      <c r="K5" s="79"/>
      <c r="L5" s="80"/>
      <c r="M5" s="80"/>
      <c r="N5" s="79"/>
      <c r="O5" s="79"/>
      <c r="P5" s="129" t="s">
        <v>0</v>
      </c>
      <c r="Q5" s="116">
        <v>1152252</v>
      </c>
      <c r="R5" s="116">
        <v>1362211922</v>
      </c>
      <c r="S5" s="116">
        <v>7592.07</v>
      </c>
      <c r="T5" s="130">
        <f t="shared" ref="T5:T30" si="1">Q5/S5</f>
        <v>151.770465762302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10734.166666666666</v>
      </c>
      <c r="G6" s="90">
        <f t="shared" ref="G6:G30" si="2">F6/F5-1</f>
        <v>-0.81368369650620409</v>
      </c>
      <c r="H6" s="90"/>
      <c r="I6" s="130">
        <f t="shared" si="0"/>
        <v>177.18831674996559</v>
      </c>
      <c r="J6" s="130"/>
      <c r="K6" s="79"/>
      <c r="L6" s="87"/>
      <c r="M6" s="87"/>
      <c r="N6" s="79"/>
      <c r="O6" s="79"/>
      <c r="P6" s="129" t="s">
        <v>1</v>
      </c>
      <c r="Q6" s="116">
        <v>193215</v>
      </c>
      <c r="R6" s="116">
        <v>229278884</v>
      </c>
      <c r="S6" s="116">
        <v>1090.45</v>
      </c>
      <c r="T6" s="130">
        <f t="shared" si="1"/>
        <v>177.18831674996559</v>
      </c>
      <c r="U6" s="85"/>
    </row>
    <row r="7" spans="1:21" ht="15" hidden="1" customHeight="1">
      <c r="A7" s="129" t="s">
        <v>2</v>
      </c>
      <c r="B7" s="131">
        <f>F5+F6+F7</f>
        <v>111395.22121212121</v>
      </c>
      <c r="C7" s="131">
        <f>AVERAGE(F5:F7)</f>
        <v>37131.7404040404</v>
      </c>
      <c r="D7" s="117"/>
      <c r="F7" s="78">
        <f>Q7/22</f>
        <v>43048.454545454544</v>
      </c>
      <c r="G7" s="90">
        <f t="shared" si="2"/>
        <v>3.0104142112060757</v>
      </c>
      <c r="H7" s="90"/>
      <c r="I7" s="130">
        <f t="shared" si="0"/>
        <v>159.81970488572085</v>
      </c>
      <c r="J7" s="130"/>
      <c r="K7" s="79">
        <f>R5+R6+R7</f>
        <v>2731040219</v>
      </c>
      <c r="L7" s="87"/>
      <c r="M7" s="87"/>
      <c r="N7" s="88">
        <f>AVERAGE(T5:T7)</f>
        <v>162.92616246599616</v>
      </c>
      <c r="O7" s="79"/>
      <c r="P7" s="129" t="s">
        <v>2</v>
      </c>
      <c r="Q7" s="116">
        <v>947066</v>
      </c>
      <c r="R7" s="116">
        <v>1139549413</v>
      </c>
      <c r="S7" s="116">
        <v>5925.84</v>
      </c>
      <c r="T7" s="130">
        <f t="shared" si="1"/>
        <v>159.81970488572085</v>
      </c>
      <c r="U7" s="85">
        <f>Q5+Q6+Q7</f>
        <v>2292533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25252.904761904763</v>
      </c>
      <c r="G8" s="90">
        <f t="shared" si="2"/>
        <v>-0.41338417305456554</v>
      </c>
      <c r="H8" s="90"/>
      <c r="I8" s="130">
        <f t="shared" si="0"/>
        <v>217.00972288150854</v>
      </c>
      <c r="J8" s="130"/>
      <c r="K8" s="78"/>
      <c r="L8" s="87"/>
      <c r="M8" s="87"/>
      <c r="N8" s="79"/>
      <c r="O8" s="79"/>
      <c r="P8" s="129" t="s">
        <v>3</v>
      </c>
      <c r="Q8" s="116">
        <v>530311</v>
      </c>
      <c r="R8" s="116">
        <v>640747270</v>
      </c>
      <c r="S8" s="116">
        <v>2443.7199999999998</v>
      </c>
      <c r="T8" s="130">
        <f t="shared" si="1"/>
        <v>217.00972288150854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74877.333333333328</v>
      </c>
      <c r="G9" s="90">
        <f t="shared" si="2"/>
        <v>1.9650978388153364</v>
      </c>
      <c r="H9" s="90"/>
      <c r="I9" s="130">
        <f t="shared" si="0"/>
        <v>236.82011645034294</v>
      </c>
      <c r="J9" s="130"/>
      <c r="K9" s="78"/>
      <c r="L9" s="87"/>
      <c r="M9" s="87"/>
      <c r="N9" s="79"/>
      <c r="O9" s="79"/>
      <c r="P9" s="129" t="s">
        <v>4</v>
      </c>
      <c r="Q9" s="116">
        <v>1572424</v>
      </c>
      <c r="R9" s="116">
        <v>1967066404</v>
      </c>
      <c r="S9" s="116">
        <v>6639.74</v>
      </c>
      <c r="T9" s="130">
        <f t="shared" si="1"/>
        <v>236.82011645034294</v>
      </c>
      <c r="U9" s="85"/>
    </row>
    <row r="10" spans="1:21" ht="15" hidden="1" customHeight="1">
      <c r="A10" s="129" t="s">
        <v>5</v>
      </c>
      <c r="B10" s="131">
        <f>F8+F9+F10</f>
        <v>131459.38095238095</v>
      </c>
      <c r="C10" s="131">
        <f>AVERAGE(F8:F10)</f>
        <v>43819.793650793647</v>
      </c>
      <c r="D10" s="90">
        <f>C10/C7-1</f>
        <v>0.18011688043648766</v>
      </c>
      <c r="E10" s="286"/>
      <c r="F10" s="78">
        <f>Q10/21</f>
        <v>31329.142857142859</v>
      </c>
      <c r="G10" s="90">
        <f t="shared" si="2"/>
        <v>-0.58159376860185286</v>
      </c>
      <c r="H10" s="90"/>
      <c r="I10" s="130">
        <f t="shared" si="0"/>
        <v>218.84369875362157</v>
      </c>
      <c r="J10" s="130"/>
      <c r="K10" s="79">
        <f>R8+R9+R10</f>
        <v>3442835298</v>
      </c>
      <c r="L10" s="87">
        <f>U10/U7-1</f>
        <v>0.20419073574949631</v>
      </c>
      <c r="M10" s="87"/>
      <c r="N10" s="88">
        <f>AVERAGE(T8:T10)</f>
        <v>224.2245126951577</v>
      </c>
      <c r="O10" s="89">
        <f>N10/N7-1</f>
        <v>0.37623392892442875</v>
      </c>
      <c r="P10" s="129" t="s">
        <v>5</v>
      </c>
      <c r="Q10" s="116">
        <v>657912</v>
      </c>
      <c r="R10" s="116">
        <v>835021624</v>
      </c>
      <c r="S10" s="116">
        <v>3006.31</v>
      </c>
      <c r="T10" s="130">
        <f t="shared" si="1"/>
        <v>218.84369875362157</v>
      </c>
      <c r="U10" s="85">
        <f>Q8+Q9+Q10</f>
        <v>2760647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15544.809523809523</v>
      </c>
      <c r="G11" s="90">
        <f t="shared" si="2"/>
        <v>-0.50382269969236004</v>
      </c>
      <c r="H11" s="90"/>
      <c r="I11" s="130">
        <f t="shared" si="0"/>
        <v>214.44215256063274</v>
      </c>
      <c r="J11" s="130"/>
      <c r="K11" s="78"/>
      <c r="L11" s="87"/>
      <c r="M11" s="87"/>
      <c r="N11" s="79"/>
      <c r="O11" s="89"/>
      <c r="P11" s="129" t="s">
        <v>6</v>
      </c>
      <c r="Q11" s="116">
        <v>326441</v>
      </c>
      <c r="R11" s="116">
        <v>421601610</v>
      </c>
      <c r="S11" s="116">
        <v>1522.28</v>
      </c>
      <c r="T11" s="130">
        <f t="shared" si="1"/>
        <v>214.44215256063274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19815.409090909092</v>
      </c>
      <c r="G12" s="90">
        <f t="shared" si="2"/>
        <v>0.27472833041526945</v>
      </c>
      <c r="H12" s="90"/>
      <c r="I12" s="130">
        <f t="shared" si="0"/>
        <v>205.62190462714022</v>
      </c>
      <c r="J12" s="130"/>
      <c r="K12" s="78"/>
      <c r="L12" s="87"/>
      <c r="M12" s="87"/>
      <c r="N12" s="79"/>
      <c r="O12" s="89"/>
      <c r="P12" s="129" t="s">
        <v>7</v>
      </c>
      <c r="Q12" s="116">
        <v>435939</v>
      </c>
      <c r="R12" s="116">
        <v>564595155</v>
      </c>
      <c r="S12" s="116">
        <v>2120.1</v>
      </c>
      <c r="T12" s="130">
        <f t="shared" si="1"/>
        <v>205.62190462714022</v>
      </c>
      <c r="U12" s="85"/>
    </row>
    <row r="13" spans="1:21" ht="15" hidden="1" customHeight="1">
      <c r="A13" s="129" t="s">
        <v>96</v>
      </c>
      <c r="B13" s="131">
        <f>F11+F12+F13</f>
        <v>94709.368614718609</v>
      </c>
      <c r="C13" s="131">
        <f>AVERAGE(F11:F13)</f>
        <v>31569.789538239536</v>
      </c>
      <c r="D13" s="90">
        <f>C13/C10-1</f>
        <v>-0.27955412593167794</v>
      </c>
      <c r="E13" s="286"/>
      <c r="F13" s="78">
        <f>Q13/20</f>
        <v>59349.15</v>
      </c>
      <c r="G13" s="90">
        <f t="shared" si="2"/>
        <v>1.9951009200828556</v>
      </c>
      <c r="H13" s="90"/>
      <c r="I13" s="130">
        <f t="shared" si="0"/>
        <v>220.5193704982843</v>
      </c>
      <c r="J13" s="130"/>
      <c r="K13" s="78">
        <f>R11+R12+R13</f>
        <v>2610423750</v>
      </c>
      <c r="L13" s="87">
        <f>U13/U10-1</f>
        <v>-0.29387458809474731</v>
      </c>
      <c r="M13" s="87"/>
      <c r="N13" s="88">
        <f>AVERAGE(T11:T13)</f>
        <v>213.52780922868575</v>
      </c>
      <c r="O13" s="89">
        <f>N13/N10-1</f>
        <v>-4.7705325960567646E-2</v>
      </c>
      <c r="P13" s="129" t="s">
        <v>96</v>
      </c>
      <c r="Q13" s="116">
        <v>1186983</v>
      </c>
      <c r="R13" s="116">
        <v>1624226985</v>
      </c>
      <c r="S13" s="116">
        <v>5382.67</v>
      </c>
      <c r="T13" s="130">
        <f t="shared" si="1"/>
        <v>220.5193704982843</v>
      </c>
      <c r="U13" s="85">
        <f>Q11+Q12+Q13</f>
        <v>1949363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76508.2</v>
      </c>
      <c r="G14" s="90">
        <f t="shared" si="2"/>
        <v>0.28912040020792196</v>
      </c>
      <c r="H14" s="90"/>
      <c r="I14" s="130">
        <f t="shared" si="0"/>
        <v>341.39215060696586</v>
      </c>
      <c r="J14" s="130"/>
      <c r="K14" s="79"/>
      <c r="L14" s="87"/>
      <c r="M14" s="87"/>
      <c r="N14" s="79"/>
      <c r="O14" s="89"/>
      <c r="P14" s="129" t="s">
        <v>97</v>
      </c>
      <c r="Q14" s="116">
        <v>1530164</v>
      </c>
      <c r="R14" s="116">
        <v>2178582235</v>
      </c>
      <c r="S14" s="116">
        <v>4482.13</v>
      </c>
      <c r="T14" s="130">
        <f t="shared" si="1"/>
        <v>341.39215060696586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118520.13636363637</v>
      </c>
      <c r="G15" s="90">
        <f t="shared" si="2"/>
        <v>0.54911677916401613</v>
      </c>
      <c r="H15" s="90"/>
      <c r="I15" s="130">
        <f t="shared" si="0"/>
        <v>260.87995757794056</v>
      </c>
      <c r="J15" s="130"/>
      <c r="K15" s="79"/>
      <c r="L15" s="87"/>
      <c r="M15" s="87"/>
      <c r="N15" s="79"/>
      <c r="O15" s="89"/>
      <c r="P15" s="129" t="s">
        <v>98</v>
      </c>
      <c r="Q15" s="116">
        <v>2607443</v>
      </c>
      <c r="R15" s="116">
        <v>3672462858</v>
      </c>
      <c r="S15" s="116">
        <v>9994.7999999999993</v>
      </c>
      <c r="T15" s="130">
        <f t="shared" si="1"/>
        <v>260.87995757794056</v>
      </c>
      <c r="U15" s="78"/>
    </row>
    <row r="16" spans="1:21" ht="15" hidden="1" customHeight="1">
      <c r="A16" s="129" t="s">
        <v>99</v>
      </c>
      <c r="B16" s="131">
        <f>F14+F15+F16</f>
        <v>216981.51818181819</v>
      </c>
      <c r="C16" s="131">
        <f>AVERAGE(F14:F16)</f>
        <v>72327.172727272729</v>
      </c>
      <c r="D16" s="90">
        <f>C16/C13-1</f>
        <v>1.2910248622235825</v>
      </c>
      <c r="E16" s="286"/>
      <c r="F16" s="78">
        <f>Q16/22</f>
        <v>21953.18181818182</v>
      </c>
      <c r="G16" s="90">
        <f t="shared" si="2"/>
        <v>-0.81477255686893257</v>
      </c>
      <c r="H16" s="90"/>
      <c r="I16" s="130">
        <f t="shared" si="0"/>
        <v>135.1777992359041</v>
      </c>
      <c r="J16" s="130"/>
      <c r="K16" s="78">
        <f>R14+R15+R16</f>
        <v>6485301075</v>
      </c>
      <c r="L16" s="87">
        <f>U16/U13-1</f>
        <v>1.3703009649818942</v>
      </c>
      <c r="M16" s="87"/>
      <c r="N16" s="88">
        <f>AVERAGE(T14:T16)</f>
        <v>245.81663580693683</v>
      </c>
      <c r="O16" s="89">
        <f>N16/N13-1</f>
        <v>0.15121602518606903</v>
      </c>
      <c r="P16" s="129" t="s">
        <v>99</v>
      </c>
      <c r="Q16" s="116">
        <v>482970</v>
      </c>
      <c r="R16" s="116">
        <v>634255982</v>
      </c>
      <c r="S16" s="116">
        <v>3572.85</v>
      </c>
      <c r="T16" s="130">
        <f t="shared" si="1"/>
        <v>135.1777992359041</v>
      </c>
      <c r="U16" s="85">
        <f>Q14+Q15+Q16</f>
        <v>4620577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262801.5</v>
      </c>
      <c r="G17" s="90">
        <f t="shared" si="2"/>
        <v>10.970998198645878</v>
      </c>
      <c r="H17" s="90">
        <f t="shared" ref="H17:H30" si="3">F17/F5-1</f>
        <v>3.5615282073713042</v>
      </c>
      <c r="I17" s="130">
        <f t="shared" si="0"/>
        <v>140.48297428769979</v>
      </c>
      <c r="J17" s="130">
        <f t="shared" ref="J17:J49" si="4">I17/I5-1</f>
        <v>-7.4372121202291863E-2</v>
      </c>
      <c r="K17" s="79"/>
      <c r="L17" s="87"/>
      <c r="M17" s="87"/>
      <c r="N17" s="79"/>
      <c r="O17" s="89"/>
      <c r="P17" s="129" t="s">
        <v>100</v>
      </c>
      <c r="Q17" s="116">
        <v>5256030</v>
      </c>
      <c r="R17" s="116">
        <v>6001450234</v>
      </c>
      <c r="S17" s="116">
        <v>37414</v>
      </c>
      <c r="T17" s="130">
        <f t="shared" si="1"/>
        <v>140.48297428769979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102109</v>
      </c>
      <c r="G18" s="90">
        <f t="shared" si="2"/>
        <v>-0.61145959973592234</v>
      </c>
      <c r="H18" s="90">
        <f t="shared" si="3"/>
        <v>8.5125223196956767</v>
      </c>
      <c r="I18" s="130">
        <f t="shared" si="0"/>
        <v>303.2802466422321</v>
      </c>
      <c r="J18" s="130">
        <f t="shared" si="4"/>
        <v>0.71162665916736301</v>
      </c>
      <c r="K18" s="79"/>
      <c r="L18" s="87"/>
      <c r="M18" s="87"/>
      <c r="N18" s="79"/>
      <c r="O18" s="89"/>
      <c r="P18" s="129" t="s">
        <v>106</v>
      </c>
      <c r="Q18" s="116">
        <v>2042180</v>
      </c>
      <c r="R18" s="116">
        <v>2580624745</v>
      </c>
      <c r="S18" s="116">
        <v>6733.64</v>
      </c>
      <c r="T18" s="130">
        <f t="shared" si="1"/>
        <v>303.2802466422321</v>
      </c>
      <c r="U18" s="78"/>
    </row>
    <row r="19" spans="1:21" hidden="1">
      <c r="A19" s="129" t="s">
        <v>114</v>
      </c>
      <c r="B19" s="131">
        <f>SUM(F17:F19)</f>
        <v>390031.45454545453</v>
      </c>
      <c r="C19" s="131">
        <f>AVERAGE(F17:F19)</f>
        <v>130010.48484848485</v>
      </c>
      <c r="D19" s="90">
        <f>C19/C16-1</f>
        <v>0.797533070160521</v>
      </c>
      <c r="E19" s="286">
        <f>C19/C7-1</f>
        <v>2.5013302213633399</v>
      </c>
      <c r="F19" s="78">
        <f>Q19/22</f>
        <v>25120.954545454544</v>
      </c>
      <c r="G19" s="90">
        <f t="shared" si="2"/>
        <v>-0.75397903666224775</v>
      </c>
      <c r="H19" s="90">
        <f t="shared" si="3"/>
        <v>-0.41644932876906149</v>
      </c>
      <c r="I19" s="130">
        <f t="shared" si="0"/>
        <v>229.35322557217853</v>
      </c>
      <c r="J19" s="130">
        <f t="shared" si="4"/>
        <v>0.43507476588182703</v>
      </c>
      <c r="K19" s="78">
        <f>R17+R18+R19</f>
        <v>9283174794</v>
      </c>
      <c r="L19" s="87">
        <f>U19/U16-1</f>
        <v>0.69911052234385451</v>
      </c>
      <c r="M19" s="87">
        <f>U19/U7-1</f>
        <v>2.4245400175264651</v>
      </c>
      <c r="N19" s="88">
        <f>AVERAGE(T17:T19)</f>
        <v>224.37214883403681</v>
      </c>
      <c r="O19" s="89">
        <f>N19/N16-1</f>
        <v>-8.7237736789069098E-2</v>
      </c>
      <c r="P19" s="129" t="s">
        <v>114</v>
      </c>
      <c r="Q19" s="116">
        <v>552661</v>
      </c>
      <c r="R19" s="116">
        <v>701099815</v>
      </c>
      <c r="S19" s="116">
        <v>2409.65</v>
      </c>
      <c r="T19" s="130">
        <f t="shared" si="1"/>
        <v>229.35322557217853</v>
      </c>
      <c r="U19" s="85">
        <f>Q17+Q18+Q19</f>
        <v>7850871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39922</v>
      </c>
      <c r="G20" s="90">
        <f t="shared" si="2"/>
        <v>0.58919120401113889</v>
      </c>
      <c r="H20" s="90">
        <f t="shared" si="3"/>
        <v>0.58088744152016458</v>
      </c>
      <c r="I20" s="130">
        <f t="shared" si="0"/>
        <v>204.6096364670729</v>
      </c>
      <c r="J20" s="130">
        <f t="shared" si="4"/>
        <v>-5.7140695125472929E-2</v>
      </c>
      <c r="K20" s="79"/>
      <c r="L20" s="87"/>
      <c r="M20" s="87"/>
      <c r="N20" s="79"/>
      <c r="O20" s="89"/>
      <c r="P20" s="129" t="s">
        <v>131</v>
      </c>
      <c r="Q20" s="116">
        <v>798440</v>
      </c>
      <c r="R20" s="116">
        <v>1044291518</v>
      </c>
      <c r="S20" s="116">
        <v>3902.26</v>
      </c>
      <c r="T20" s="130">
        <f t="shared" si="1"/>
        <v>204.6096364670729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36956.714285714283</v>
      </c>
      <c r="G21" s="90">
        <f t="shared" si="2"/>
        <v>-7.4276982973942141E-2</v>
      </c>
      <c r="H21" s="90">
        <f t="shared" si="3"/>
        <v>-0.50643655909601992</v>
      </c>
      <c r="I21" s="130">
        <f t="shared" si="0"/>
        <v>167.39122463813439</v>
      </c>
      <c r="J21" s="130">
        <f t="shared" si="4"/>
        <v>-0.29317142839411858</v>
      </c>
      <c r="K21" s="79"/>
      <c r="L21" s="87"/>
      <c r="M21" s="87"/>
      <c r="N21" s="79"/>
      <c r="O21" s="89"/>
      <c r="P21" s="129" t="s">
        <v>141</v>
      </c>
      <c r="Q21" s="116">
        <v>776091</v>
      </c>
      <c r="R21" s="116">
        <v>1016351985</v>
      </c>
      <c r="S21" s="116">
        <v>4636.3900000000003</v>
      </c>
      <c r="T21" s="130">
        <f t="shared" si="1"/>
        <v>167.39122463813439</v>
      </c>
      <c r="U21" s="78"/>
    </row>
    <row r="22" spans="1:21" hidden="1">
      <c r="A22" s="129" t="s">
        <v>155</v>
      </c>
      <c r="B22" s="131">
        <f>SUM(F20:F22)</f>
        <v>182521.76190476189</v>
      </c>
      <c r="C22" s="131">
        <f>AVERAGE(F20:F22)</f>
        <v>60840.5873015873</v>
      </c>
      <c r="D22" s="90">
        <f>C22/C19-1</f>
        <v>-0.53203322507033679</v>
      </c>
      <c r="E22" s="286">
        <f>C22/C10-1</f>
        <v>0.3884270607578586</v>
      </c>
      <c r="F22" s="78">
        <f>Q22/21</f>
        <v>105643.04761904762</v>
      </c>
      <c r="G22" s="90">
        <f t="shared" si="2"/>
        <v>1.8585616892864372</v>
      </c>
      <c r="H22" s="90">
        <f t="shared" si="3"/>
        <v>2.3720375977334354</v>
      </c>
      <c r="I22" s="130">
        <f t="shared" si="0"/>
        <v>168.62584436284476</v>
      </c>
      <c r="J22" s="130">
        <f t="shared" si="4"/>
        <v>-0.22946904423925418</v>
      </c>
      <c r="K22" s="78">
        <f>R20+R21+R22</f>
        <v>5010294074</v>
      </c>
      <c r="L22" s="87">
        <f>U22/U19-1</f>
        <v>-0.51686443453216846</v>
      </c>
      <c r="M22" s="87">
        <f>U22/U10-1</f>
        <v>0.37396595798014021</v>
      </c>
      <c r="N22" s="88">
        <f>AVERAGE(T20:T22)</f>
        <v>180.208901822684</v>
      </c>
      <c r="O22" s="89">
        <f>N22/N19-1</f>
        <v>-0.19683034298530255</v>
      </c>
      <c r="P22" s="129" t="s">
        <v>155</v>
      </c>
      <c r="Q22" s="116">
        <v>2218504</v>
      </c>
      <c r="R22" s="116">
        <v>2949650571</v>
      </c>
      <c r="S22" s="116">
        <v>13156.37</v>
      </c>
      <c r="T22" s="130">
        <f t="shared" si="1"/>
        <v>168.62584436284476</v>
      </c>
      <c r="U22" s="85">
        <f>Q20+Q21+Q22</f>
        <v>3793035</v>
      </c>
    </row>
    <row r="23" spans="1:21" hidden="1">
      <c r="A23" s="129" t="s">
        <v>189</v>
      </c>
      <c r="B23" s="131"/>
      <c r="C23" s="131"/>
      <c r="D23" s="117"/>
      <c r="F23" s="78">
        <f>Q23/21</f>
        <v>51278.952380952382</v>
      </c>
      <c r="G23" s="90">
        <f t="shared" si="2"/>
        <v>-0.51460173161734213</v>
      </c>
      <c r="H23" s="90">
        <f t="shared" si="3"/>
        <v>2.2987829347416535</v>
      </c>
      <c r="I23" s="130">
        <f t="shared" si="0"/>
        <v>311.73247105890118</v>
      </c>
      <c r="J23" s="130">
        <f t="shared" si="4"/>
        <v>0.45369027188234345</v>
      </c>
      <c r="K23" s="79"/>
      <c r="L23" s="87"/>
      <c r="M23" s="87"/>
      <c r="N23" s="79"/>
      <c r="O23" s="89"/>
      <c r="P23" s="129" t="s">
        <v>189</v>
      </c>
      <c r="Q23" s="116">
        <v>1076858</v>
      </c>
      <c r="R23" s="116">
        <v>1390603878</v>
      </c>
      <c r="S23" s="116">
        <v>3454.43</v>
      </c>
      <c r="T23" s="130">
        <f t="shared" si="1"/>
        <v>311.73247105890118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107599</v>
      </c>
      <c r="G24" s="90">
        <f t="shared" si="2"/>
        <v>1.0983072977124189</v>
      </c>
      <c r="H24" s="90">
        <f t="shared" si="3"/>
        <v>4.430067050665345</v>
      </c>
      <c r="I24" s="130">
        <f t="shared" si="0"/>
        <v>272.73144137002964</v>
      </c>
      <c r="J24" s="130">
        <f t="shared" si="4"/>
        <v>0.32637348080488282</v>
      </c>
      <c r="K24" s="79"/>
      <c r="L24" s="87"/>
      <c r="M24" s="87"/>
      <c r="N24" s="79"/>
      <c r="O24" s="89"/>
      <c r="P24" s="129" t="s">
        <v>204</v>
      </c>
      <c r="Q24" s="116">
        <v>2367178</v>
      </c>
      <c r="R24" s="116">
        <v>3035984823</v>
      </c>
      <c r="S24" s="116">
        <v>8679.52</v>
      </c>
      <c r="T24" s="130">
        <f t="shared" si="1"/>
        <v>272.73144137002964</v>
      </c>
      <c r="U24" s="78"/>
    </row>
    <row r="25" spans="1:21" s="92" customFormat="1" ht="13.2" hidden="1">
      <c r="A25" s="129" t="s">
        <v>217</v>
      </c>
      <c r="B25" s="131">
        <f>SUM(F23:F25)</f>
        <v>283766.68922305765</v>
      </c>
      <c r="C25" s="131">
        <f>AVERAGE(F23:F25)</f>
        <v>94588.896407685883</v>
      </c>
      <c r="D25" s="90">
        <f>C25/C22-1</f>
        <v>0.55470058069636852</v>
      </c>
      <c r="E25" s="286">
        <f>C25/C13-1</f>
        <v>1.996183940127735</v>
      </c>
      <c r="F25" s="78">
        <f>Q25/19</f>
        <v>124888.73684210527</v>
      </c>
      <c r="G25" s="90">
        <f t="shared" si="2"/>
        <v>0.16068678000822745</v>
      </c>
      <c r="H25" s="90">
        <f t="shared" si="3"/>
        <v>1.1043054001970587</v>
      </c>
      <c r="I25" s="130">
        <f t="shared" si="0"/>
        <v>258.77042699717009</v>
      </c>
      <c r="J25" s="130">
        <f t="shared" si="4"/>
        <v>0.17345894110097415</v>
      </c>
      <c r="K25" s="78">
        <f>R23+R24+R25</f>
        <v>7588049628</v>
      </c>
      <c r="L25" s="90">
        <f>U25/U22-1</f>
        <v>0.5335798377816181</v>
      </c>
      <c r="M25" s="90">
        <f>U25/U13-1</f>
        <v>1.9840117002323323</v>
      </c>
      <c r="N25" s="88">
        <f>AVERAGE(T23:T25)</f>
        <v>281.0781131420336</v>
      </c>
      <c r="O25" s="91">
        <f>N25/N22-1</f>
        <v>0.55973489821606903</v>
      </c>
      <c r="P25" s="129" t="s">
        <v>217</v>
      </c>
      <c r="Q25" s="116">
        <v>2372886</v>
      </c>
      <c r="R25" s="116">
        <v>3161460927</v>
      </c>
      <c r="S25" s="116">
        <v>9169.85</v>
      </c>
      <c r="T25" s="130">
        <f t="shared" si="1"/>
        <v>258.77042699717009</v>
      </c>
      <c r="U25" s="85">
        <f>Q23+Q24+Q25</f>
        <v>5816922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206173.63157894736</v>
      </c>
      <c r="G26" s="90">
        <f t="shared" si="2"/>
        <v>0.65085849046266864</v>
      </c>
      <c r="H26" s="90">
        <f t="shared" si="3"/>
        <v>1.6947912979124768</v>
      </c>
      <c r="I26" s="130">
        <f t="shared" si="0"/>
        <v>247.55084294834123</v>
      </c>
      <c r="J26" s="130">
        <f t="shared" si="4"/>
        <v>-0.27487834003149414</v>
      </c>
      <c r="K26" s="79"/>
      <c r="L26" s="90"/>
      <c r="M26" s="90"/>
      <c r="N26" s="79"/>
      <c r="O26" s="79"/>
      <c r="P26" s="129" t="s">
        <v>312</v>
      </c>
      <c r="Q26" s="116">
        <v>3917299</v>
      </c>
      <c r="R26" s="116">
        <v>5197267492</v>
      </c>
      <c r="S26" s="116">
        <v>15824.22</v>
      </c>
      <c r="T26" s="130">
        <f t="shared" si="1"/>
        <v>247.55084294834123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79513.272727272721</v>
      </c>
      <c r="G27" s="90">
        <f t="shared" si="2"/>
        <v>-0.61433830253494004</v>
      </c>
      <c r="H27" s="90">
        <f t="shared" si="3"/>
        <v>-0.32911591931252193</v>
      </c>
      <c r="I27" s="130">
        <f t="shared" si="0"/>
        <v>291.09795000740519</v>
      </c>
      <c r="J27" s="130">
        <f t="shared" si="4"/>
        <v>0.11583102324154848</v>
      </c>
      <c r="K27" s="79"/>
      <c r="L27" s="90"/>
      <c r="M27" s="90"/>
      <c r="N27" s="79"/>
      <c r="O27" s="79"/>
      <c r="P27" s="129" t="s">
        <v>373</v>
      </c>
      <c r="Q27" s="116">
        <v>1749292</v>
      </c>
      <c r="R27" s="116">
        <v>2359517003</v>
      </c>
      <c r="S27" s="116">
        <v>6009.29</v>
      </c>
      <c r="T27" s="130">
        <f t="shared" si="1"/>
        <v>291.09795000740519</v>
      </c>
      <c r="U27" s="78"/>
    </row>
    <row r="28" spans="1:21" s="92" customFormat="1" ht="13.2" hidden="1">
      <c r="A28" s="123" t="s">
        <v>413</v>
      </c>
      <c r="B28" s="131">
        <f>SUM(F26:F28)</f>
        <v>544643.956937799</v>
      </c>
      <c r="C28" s="131">
        <f>AVERAGE(F26:F28)</f>
        <v>181547.98564593299</v>
      </c>
      <c r="D28" s="90">
        <f>C28/C25-1</f>
        <v>0.91933717952946936</v>
      </c>
      <c r="E28" s="286">
        <f>C28/C16-1</f>
        <v>1.5100937697441044</v>
      </c>
      <c r="F28" s="78">
        <f>Q28/19</f>
        <v>258957.05263157896</v>
      </c>
      <c r="G28" s="90">
        <f t="shared" si="2"/>
        <v>2.2567776894279157</v>
      </c>
      <c r="H28" s="90">
        <f t="shared" si="3"/>
        <v>10.795877917665148</v>
      </c>
      <c r="I28" s="130">
        <f t="shared" si="0"/>
        <v>261.97235443108065</v>
      </c>
      <c r="J28" s="130">
        <f t="shared" si="4"/>
        <v>0.93798357357410711</v>
      </c>
      <c r="K28" s="78">
        <f>R26+R27+R28</f>
        <v>14005703470</v>
      </c>
      <c r="L28" s="90">
        <f>U28/U25-1</f>
        <v>0.81999603914235064</v>
      </c>
      <c r="M28" s="90">
        <f>U28/U16-1</f>
        <v>1.2912235852795009</v>
      </c>
      <c r="N28" s="88">
        <f>AVERAGE(T26:T28)</f>
        <v>266.87371579560903</v>
      </c>
      <c r="O28" s="91">
        <f>N28/N25-1</f>
        <v>-5.0535408778864421E-2</v>
      </c>
      <c r="P28" s="129" t="s">
        <v>413</v>
      </c>
      <c r="Q28" s="116">
        <v>4920184</v>
      </c>
      <c r="R28" s="116">
        <v>6448918975</v>
      </c>
      <c r="S28" s="116">
        <v>18781.310000000001</v>
      </c>
      <c r="T28" s="130">
        <f t="shared" si="1"/>
        <v>261.97235443108065</v>
      </c>
      <c r="U28" s="85">
        <f>Q26+Q27+Q28</f>
        <v>10586775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303963.36363636365</v>
      </c>
      <c r="G29" s="190">
        <f t="shared" si="2"/>
        <v>0.17379835979526548</v>
      </c>
      <c r="H29" s="190">
        <f t="shared" si="3"/>
        <v>0.15662720203790181</v>
      </c>
      <c r="I29" s="130">
        <f t="shared" si="0"/>
        <v>380.91189496318867</v>
      </c>
      <c r="J29" s="130">
        <f t="shared" si="4"/>
        <v>1.7114452615667606</v>
      </c>
      <c r="K29" s="136"/>
      <c r="L29" s="190"/>
      <c r="M29" s="190"/>
      <c r="N29" s="191"/>
      <c r="O29" s="192"/>
      <c r="P29" s="129" t="s">
        <v>426</v>
      </c>
      <c r="Q29" s="116">
        <v>6687194</v>
      </c>
      <c r="R29" s="116">
        <v>8795533962</v>
      </c>
      <c r="S29" s="116">
        <v>17555.75</v>
      </c>
      <c r="T29" s="130">
        <f t="shared" si="1"/>
        <v>380.91189496318867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397888.89473684208</v>
      </c>
      <c r="G30" s="190">
        <f t="shared" si="2"/>
        <v>0.30900280210362152</v>
      </c>
      <c r="H30" s="190">
        <f t="shared" si="3"/>
        <v>2.8967073885440273</v>
      </c>
      <c r="I30" s="130">
        <f t="shared" si="0"/>
        <v>299.11309291831441</v>
      </c>
      <c r="J30" s="130">
        <f t="shared" si="4"/>
        <v>-1.3740274119578677E-2</v>
      </c>
      <c r="K30" s="136"/>
      <c r="L30" s="190"/>
      <c r="M30" s="190"/>
      <c r="N30" s="191"/>
      <c r="O30" s="192"/>
      <c r="P30" s="129" t="s">
        <v>466</v>
      </c>
      <c r="Q30" s="116">
        <v>7559889</v>
      </c>
      <c r="R30" s="116">
        <v>10067027528</v>
      </c>
      <c r="S30" s="116">
        <v>25274.35</v>
      </c>
      <c r="T30" s="130">
        <f t="shared" si="1"/>
        <v>299.11309291831441</v>
      </c>
      <c r="U30" s="85"/>
    </row>
    <row r="31" spans="1:21" s="92" customFormat="1" ht="13.2" hidden="1">
      <c r="A31" s="129" t="s">
        <v>505</v>
      </c>
      <c r="B31" s="188">
        <f>SUM(F29:F31)</f>
        <v>1095922.5583732058</v>
      </c>
      <c r="C31" s="188">
        <f>AVERAGE(F29:F31)</f>
        <v>365307.5194577353</v>
      </c>
      <c r="D31" s="190">
        <f>C31/C28-1</f>
        <v>1.0121816177579763</v>
      </c>
      <c r="E31" s="287">
        <f>C31/C19-1</f>
        <v>1.8098312215623786</v>
      </c>
      <c r="F31" s="136">
        <f>Q31/20</f>
        <v>394070.3</v>
      </c>
      <c r="G31" s="190">
        <f t="shared" ref="G31" si="5">F31/F30-1</f>
        <v>-9.5971382648607495E-3</v>
      </c>
      <c r="H31" s="190">
        <f t="shared" ref="H31" si="6">F31/F19-1</f>
        <v>14.686915848956232</v>
      </c>
      <c r="I31" s="130">
        <f t="shared" si="0"/>
        <v>315.14467878371056</v>
      </c>
      <c r="J31" s="130">
        <f t="shared" si="4"/>
        <v>0.37405819341543589</v>
      </c>
      <c r="K31" s="136">
        <f>R29+R30+R31</f>
        <v>29348961644</v>
      </c>
      <c r="L31" s="190">
        <f>U31/U28-1</f>
        <v>1.0902011235716258</v>
      </c>
      <c r="M31" s="190">
        <f>U31/U19-1</f>
        <v>1.8186030569092271</v>
      </c>
      <c r="N31" s="191">
        <f>AVERAGE(T29:T31)</f>
        <v>331.7232222217379</v>
      </c>
      <c r="O31" s="192">
        <f>N31/N28-1</f>
        <v>0.24299697792567643</v>
      </c>
      <c r="P31" s="129" t="s">
        <v>505</v>
      </c>
      <c r="Q31" s="116">
        <v>7881406</v>
      </c>
      <c r="R31" s="116">
        <v>10486400154</v>
      </c>
      <c r="S31" s="116">
        <v>25008.85</v>
      </c>
      <c r="T31" s="130">
        <f t="shared" ref="T31" si="7">Q31/S31</f>
        <v>315.14467878371056</v>
      </c>
      <c r="U31" s="85">
        <f>Q29+Q30+Q31</f>
        <v>22128489</v>
      </c>
    </row>
    <row r="32" spans="1:21" s="92" customFormat="1" ht="13.2" hidden="1">
      <c r="A32" s="129" t="s">
        <v>566</v>
      </c>
      <c r="B32" s="188"/>
      <c r="C32" s="188"/>
      <c r="D32" s="190"/>
      <c r="E32" s="287"/>
      <c r="F32" s="136">
        <f>Q32/21</f>
        <v>436083.14285714284</v>
      </c>
      <c r="G32" s="190">
        <f t="shared" ref="G32" si="8">F32/F31-1</f>
        <v>0.10661255836114236</v>
      </c>
      <c r="H32" s="190">
        <f t="shared" ref="H32" si="9">F32/F20-1</f>
        <v>9.9233791607921162</v>
      </c>
      <c r="I32" s="130">
        <f t="shared" si="0"/>
        <v>299.7045743360286</v>
      </c>
      <c r="J32" s="130">
        <f t="shared" si="4"/>
        <v>0.46476275267836176</v>
      </c>
      <c r="K32" s="136"/>
      <c r="L32" s="190"/>
      <c r="M32" s="190"/>
      <c r="N32" s="191"/>
      <c r="O32" s="192"/>
      <c r="P32" s="129" t="s">
        <v>566</v>
      </c>
      <c r="Q32" s="116">
        <v>9157746</v>
      </c>
      <c r="R32" s="116">
        <v>12522434191</v>
      </c>
      <c r="S32" s="116">
        <v>30555.91</v>
      </c>
      <c r="T32" s="130">
        <f t="shared" ref="T32" si="10">Q32/S32</f>
        <v>299.7045743360286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25514.142857142859</v>
      </c>
      <c r="G33" s="190">
        <f t="shared" ref="G33" si="11">F33/F32-1</f>
        <v>-0.9414924807916708</v>
      </c>
      <c r="H33" s="190">
        <f t="shared" ref="H33" si="12">F33/F21-1</f>
        <v>-0.30962090785745477</v>
      </c>
      <c r="I33" s="130">
        <f t="shared" si="0"/>
        <v>197.41385662913402</v>
      </c>
      <c r="J33" s="130">
        <f t="shared" si="4"/>
        <v>0.17935606873002108</v>
      </c>
      <c r="K33" s="136"/>
      <c r="L33" s="190"/>
      <c r="M33" s="190"/>
      <c r="N33" s="191"/>
      <c r="O33" s="192"/>
      <c r="P33" s="129" t="s">
        <v>607</v>
      </c>
      <c r="Q33" s="116">
        <v>535797</v>
      </c>
      <c r="R33" s="116">
        <v>732090533</v>
      </c>
      <c r="S33" s="116">
        <v>2714.08</v>
      </c>
      <c r="T33" s="130">
        <f t="shared" ref="T33" si="13">Q33/S33</f>
        <v>197.41385662913402</v>
      </c>
      <c r="U33" s="85"/>
    </row>
    <row r="34" spans="1:21" s="92" customFormat="1" ht="13.2" hidden="1">
      <c r="A34" s="129" t="s">
        <v>652</v>
      </c>
      <c r="B34" s="188">
        <f>SUM(F32:F34)</f>
        <v>1024157.0751879698</v>
      </c>
      <c r="C34" s="188">
        <f>AVERAGE(F32:F34)</f>
        <v>341385.6917293233</v>
      </c>
      <c r="D34" s="190">
        <f>C34/C31-1</f>
        <v>-6.548408246269255E-2</v>
      </c>
      <c r="E34" s="287">
        <f>C34/C22-1</f>
        <v>4.6111504978916713</v>
      </c>
      <c r="F34" s="136">
        <f>Q34/19</f>
        <v>562559.78947368416</v>
      </c>
      <c r="G34" s="190">
        <f t="shared" ref="G34" si="14">F34/F33-1</f>
        <v>21.048939391126428</v>
      </c>
      <c r="H34" s="190">
        <f t="shared" ref="H34" si="15">F34/F22-1</f>
        <v>4.3250999677924256</v>
      </c>
      <c r="I34" s="130">
        <f t="shared" si="0"/>
        <v>364.14713285264776</v>
      </c>
      <c r="J34" s="130">
        <f t="shared" si="4"/>
        <v>1.1594977580606525</v>
      </c>
      <c r="K34" s="136">
        <f>R32+R33+R34</f>
        <v>27945890120</v>
      </c>
      <c r="L34" s="190">
        <f>U34/U31-1</f>
        <v>-7.8916820755361994E-2</v>
      </c>
      <c r="M34" s="190">
        <f>U34/U22-1</f>
        <v>4.373580523248533</v>
      </c>
      <c r="N34" s="191">
        <f>AVERAGE(T32:T34)</f>
        <v>287.08852127260343</v>
      </c>
      <c r="O34" s="192">
        <f>N34/N31-1</f>
        <v>-0.13455404373016355</v>
      </c>
      <c r="P34" s="129" t="s">
        <v>652</v>
      </c>
      <c r="Q34" s="116">
        <v>10688636</v>
      </c>
      <c r="R34" s="116">
        <v>14691365396</v>
      </c>
      <c r="S34" s="116">
        <v>29352.52</v>
      </c>
      <c r="T34" s="130">
        <f t="shared" ref="T34" si="16">Q34/S34</f>
        <v>364.14713285264776</v>
      </c>
      <c r="U34" s="85">
        <f>Q32+Q33+Q34</f>
        <v>20382179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17648.82608695652</v>
      </c>
      <c r="G35" s="190">
        <f t="shared" ref="G35" si="17">F35/F34-1</f>
        <v>-0.96862764382170241</v>
      </c>
      <c r="H35" s="190">
        <f t="shared" ref="H35" si="18">F35/F23-1</f>
        <v>-0.65582709342727918</v>
      </c>
      <c r="I35" s="130">
        <f t="shared" si="0"/>
        <v>213.04379772745165</v>
      </c>
      <c r="J35" s="130">
        <f t="shared" si="4"/>
        <v>-0.31658130767135428</v>
      </c>
      <c r="K35" s="136"/>
      <c r="L35" s="190"/>
      <c r="M35" s="190"/>
      <c r="N35" s="191"/>
      <c r="O35" s="192"/>
      <c r="P35" s="129" t="s">
        <v>660</v>
      </c>
      <c r="Q35" s="116">
        <v>405923</v>
      </c>
      <c r="R35" s="116">
        <v>561397553</v>
      </c>
      <c r="S35" s="116">
        <v>1905.35</v>
      </c>
      <c r="T35" s="130">
        <f t="shared" ref="T35" si="19">Q35/S35</f>
        <v>213.04379772745165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601264.71428571432</v>
      </c>
      <c r="G36" s="190">
        <f t="shared" ref="G36" si="20">F36/F35-1</f>
        <v>33.068255379890843</v>
      </c>
      <c r="H36" s="190">
        <f t="shared" ref="H36" si="21">F36/F24-1</f>
        <v>4.5880139618929014</v>
      </c>
      <c r="I36" s="130">
        <f t="shared" si="0"/>
        <v>443.99228656453585</v>
      </c>
      <c r="J36" s="130">
        <f t="shared" si="4"/>
        <v>0.62794683419777497</v>
      </c>
      <c r="K36" s="136"/>
      <c r="L36" s="190"/>
      <c r="M36" s="190"/>
      <c r="N36" s="191"/>
      <c r="O36" s="192"/>
      <c r="P36" s="129" t="s">
        <v>666</v>
      </c>
      <c r="Q36" s="116">
        <v>12626559</v>
      </c>
      <c r="R36" s="116">
        <v>17196007679</v>
      </c>
      <c r="S36" s="116">
        <v>28438.69</v>
      </c>
      <c r="T36" s="130">
        <f t="shared" ref="T36" si="22">Q36/S36</f>
        <v>443.99228656453585</v>
      </c>
      <c r="U36" s="85"/>
    </row>
    <row r="37" spans="1:21" s="92" customFormat="1" ht="13.2" hidden="1">
      <c r="A37" s="129" t="s">
        <v>702</v>
      </c>
      <c r="B37" s="188">
        <f>SUM(F35:F37)</f>
        <v>1905138.9292615599</v>
      </c>
      <c r="C37" s="188">
        <f>AVERAGE(F35:F37)</f>
        <v>635046.30975385325</v>
      </c>
      <c r="D37" s="190">
        <f>C37/C34-1</f>
        <v>0.86020189228483113</v>
      </c>
      <c r="E37" s="287">
        <f>C37/C25-1</f>
        <v>5.7137511258906297</v>
      </c>
      <c r="F37" s="136">
        <f>Q37/18</f>
        <v>1286225.388888889</v>
      </c>
      <c r="G37" s="190">
        <f t="shared" ref="G37" si="23">F37/F36-1</f>
        <v>1.1391998537896719</v>
      </c>
      <c r="H37" s="190">
        <f t="shared" ref="H37" si="24">F37/F25-1</f>
        <v>9.2989702787613435</v>
      </c>
      <c r="I37" s="130">
        <f t="shared" si="0"/>
        <v>490.51269594664882</v>
      </c>
      <c r="J37" s="130">
        <f t="shared" si="4"/>
        <v>0.89555159621084934</v>
      </c>
      <c r="K37" s="136">
        <f>R35+R36+R37</f>
        <v>48688477519</v>
      </c>
      <c r="L37" s="190">
        <f>U37/U34-1</f>
        <v>0.77530277798070557</v>
      </c>
      <c r="M37" s="190">
        <f>U37/U25-1</f>
        <v>5.2205645872507835</v>
      </c>
      <c r="N37" s="191">
        <f>AVERAGE(T35:T37)</f>
        <v>382.51626007954542</v>
      </c>
      <c r="O37" s="192">
        <f>N37/N34-1</f>
        <v>0.33239830831247019</v>
      </c>
      <c r="P37" s="129" t="s">
        <v>702</v>
      </c>
      <c r="Q37" s="116">
        <v>23152057</v>
      </c>
      <c r="R37" s="116">
        <v>30931072287</v>
      </c>
      <c r="S37" s="116">
        <v>47199.71</v>
      </c>
      <c r="T37" s="130">
        <f t="shared" ref="T37" si="25">Q37/S37</f>
        <v>490.51269594664882</v>
      </c>
      <c r="U37" s="85">
        <f>Q35+Q36+Q37</f>
        <v>36184539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495721.35</v>
      </c>
      <c r="G38" s="190">
        <f t="shared" ref="G38" si="26">F38/F37-1</f>
        <v>-0.6145921591329877</v>
      </c>
      <c r="H38" s="190">
        <f t="shared" ref="H38" si="27">F38/F26-1</f>
        <v>1.4043877299128811</v>
      </c>
      <c r="I38" s="130">
        <f t="shared" si="0"/>
        <v>255.6528459171312</v>
      </c>
      <c r="J38" s="130">
        <f t="shared" si="4"/>
        <v>3.2728642214644665E-2</v>
      </c>
      <c r="K38" s="136"/>
      <c r="L38" s="190"/>
      <c r="M38" s="190"/>
      <c r="N38" s="191"/>
      <c r="O38" s="192"/>
      <c r="P38" s="129" t="s">
        <v>727</v>
      </c>
      <c r="Q38" s="116">
        <v>9914427</v>
      </c>
      <c r="R38" s="116">
        <v>13165673124</v>
      </c>
      <c r="S38" s="116">
        <v>38780.82</v>
      </c>
      <c r="T38" s="130">
        <f t="shared" ref="T38" si="28">Q38/S38</f>
        <v>255.6528459171312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42909.428571428572</v>
      </c>
      <c r="G39" s="190">
        <f t="shared" ref="G39" si="29">F39/F38-1</f>
        <v>-0.91344042661985692</v>
      </c>
      <c r="H39" s="190">
        <f t="shared" ref="H39" si="30">F39/F27-1</f>
        <v>-0.46034885623930788</v>
      </c>
      <c r="I39" s="130">
        <f t="shared" si="0"/>
        <v>154.03726920427292</v>
      </c>
      <c r="J39" s="130">
        <f t="shared" si="4"/>
        <v>-0.47084041917727559</v>
      </c>
      <c r="K39" s="136"/>
      <c r="L39" s="190"/>
      <c r="M39" s="190"/>
      <c r="N39" s="191"/>
      <c r="O39" s="192"/>
      <c r="P39" s="129" t="s">
        <v>762</v>
      </c>
      <c r="Q39" s="116">
        <v>901098</v>
      </c>
      <c r="R39" s="116">
        <v>1248907811</v>
      </c>
      <c r="S39" s="116">
        <v>5849.87</v>
      </c>
      <c r="T39" s="130">
        <f t="shared" ref="T39" si="31">Q39/S39</f>
        <v>154.03726920427292</v>
      </c>
      <c r="U39" s="85"/>
    </row>
    <row r="40" spans="1:21" s="92" customFormat="1" ht="13.2" hidden="1">
      <c r="A40" s="129" t="s">
        <v>778</v>
      </c>
      <c r="B40" s="188">
        <f>SUM(F38:F40)</f>
        <v>814115.96904761903</v>
      </c>
      <c r="C40" s="188">
        <f>AVERAGE(F38:F40)</f>
        <v>271371.98968253966</v>
      </c>
      <c r="D40" s="190">
        <f>C40/C37-1</f>
        <v>-0.57267370030427445</v>
      </c>
      <c r="E40" s="287">
        <f>C40/C28-1</f>
        <v>0.49476728544808779</v>
      </c>
      <c r="F40" s="136">
        <f>Q40/21</f>
        <v>275485.19047619047</v>
      </c>
      <c r="G40" s="190">
        <f t="shared" ref="G40" si="32">F40/F39-1</f>
        <v>5.4201551884478709</v>
      </c>
      <c r="H40" s="190">
        <f t="shared" ref="H40" si="33">F40/F28-1</f>
        <v>6.3825787622499242E-2</v>
      </c>
      <c r="I40" s="130">
        <f t="shared" si="0"/>
        <v>281.18917994110046</v>
      </c>
      <c r="J40" s="130">
        <f t="shared" si="4"/>
        <v>7.3354402420639175E-2</v>
      </c>
      <c r="K40" s="136">
        <f>R38+R39+R40</f>
        <v>22578702820</v>
      </c>
      <c r="L40" s="190">
        <f>U40/U37-1</f>
        <v>-0.54122079598692685</v>
      </c>
      <c r="M40" s="190">
        <f>U40/U28-1</f>
        <v>0.56806147292258502</v>
      </c>
      <c r="N40" s="191">
        <f>AVERAGE(T38:T40)</f>
        <v>230.29309835416817</v>
      </c>
      <c r="O40" s="192">
        <f>N40/N37-1</f>
        <v>-0.39795213331250801</v>
      </c>
      <c r="P40" s="129" t="s">
        <v>778</v>
      </c>
      <c r="Q40" s="116">
        <v>5785189</v>
      </c>
      <c r="R40" s="116">
        <v>8164121885</v>
      </c>
      <c r="S40" s="116">
        <v>20574.009999999998</v>
      </c>
      <c r="T40" s="130">
        <f t="shared" ref="T40" si="34">Q40/S40</f>
        <v>281.18917994110046</v>
      </c>
      <c r="U40" s="85">
        <f>Q38+Q39+Q40</f>
        <v>16600714</v>
      </c>
    </row>
    <row r="41" spans="1:21" s="92" customFormat="1" ht="13.2">
      <c r="A41" s="129" t="s">
        <v>799</v>
      </c>
      <c r="B41" s="194"/>
      <c r="C41" s="194"/>
      <c r="D41" s="201"/>
      <c r="E41" s="288"/>
      <c r="F41" s="136">
        <f>Q41/18</f>
        <v>489941.94444444444</v>
      </c>
      <c r="G41" s="190">
        <f t="shared" ref="G41" si="35">F41/F40-1</f>
        <v>0.77846926579811537</v>
      </c>
      <c r="H41" s="190">
        <f t="shared" ref="H41" si="36">F41/F29-1</f>
        <v>0.61184538354618945</v>
      </c>
      <c r="I41" s="130">
        <f t="shared" si="0"/>
        <v>290.82723771414362</v>
      </c>
      <c r="J41" s="130">
        <f t="shared" si="4"/>
        <v>-0.23649735920625647</v>
      </c>
      <c r="K41" s="194"/>
      <c r="L41" s="202"/>
      <c r="M41" s="202"/>
      <c r="N41" s="194"/>
      <c r="O41" s="194"/>
      <c r="P41" s="129" t="s">
        <v>799</v>
      </c>
      <c r="Q41" s="116">
        <v>8818955</v>
      </c>
      <c r="R41" s="116">
        <v>12927230798</v>
      </c>
      <c r="S41" s="116">
        <v>30323.69</v>
      </c>
      <c r="T41" s="130">
        <f t="shared" ref="T41" si="37">Q41/S41</f>
        <v>290.82723771414362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25135.55</v>
      </c>
      <c r="G42" s="190">
        <f t="shared" ref="G42" si="38">F42/F41-1</f>
        <v>-0.94869688075287828</v>
      </c>
      <c r="H42" s="190">
        <f t="shared" ref="H42" si="39">F42/F30-1</f>
        <v>-0.93682771665033704</v>
      </c>
      <c r="I42" s="130">
        <f t="shared" si="0"/>
        <v>180.95366650828618</v>
      </c>
      <c r="J42" s="130">
        <f t="shared" si="4"/>
        <v>-0.39503261210400009</v>
      </c>
      <c r="K42" s="194"/>
      <c r="L42" s="202"/>
      <c r="M42" s="202"/>
      <c r="N42" s="194"/>
      <c r="O42" s="194"/>
      <c r="P42" s="129" t="s">
        <v>826</v>
      </c>
      <c r="Q42" s="116">
        <v>502711</v>
      </c>
      <c r="R42" s="116">
        <v>724814254</v>
      </c>
      <c r="S42" s="116">
        <v>2778.12</v>
      </c>
      <c r="T42" s="130">
        <f t="shared" ref="T42" si="40">Q42/S42</f>
        <v>180.95366650828618</v>
      </c>
      <c r="U42" s="175"/>
    </row>
    <row r="43" spans="1:21" s="92" customFormat="1" ht="13.2">
      <c r="A43" s="129" t="s">
        <v>835</v>
      </c>
      <c r="B43" s="188">
        <f>SUM(F41:F43)</f>
        <v>652623.64444444445</v>
      </c>
      <c r="C43" s="188">
        <f>AVERAGE(F41:F43)</f>
        <v>217541.21481481483</v>
      </c>
      <c r="D43" s="190">
        <f>C43/C40-1</f>
        <v>-0.19836525844357755</v>
      </c>
      <c r="E43" s="287">
        <f>C43/C31-1</f>
        <v>-0.40449839319558945</v>
      </c>
      <c r="F43" s="136">
        <f>Q43/20</f>
        <v>137546.15</v>
      </c>
      <c r="G43" s="190">
        <f t="shared" ref="G43" si="41">F43/F42-1</f>
        <v>4.4721758624736676</v>
      </c>
      <c r="H43" s="190">
        <f t="shared" ref="H43" si="42">F43/F31-1</f>
        <v>-0.65096037432914888</v>
      </c>
      <c r="I43" s="130">
        <f t="shared" si="0"/>
        <v>171.09443171859868</v>
      </c>
      <c r="J43" s="130">
        <f t="shared" si="4"/>
        <v>-0.45709243012151934</v>
      </c>
      <c r="K43" s="136">
        <f>R41+R42+R43</f>
        <v>17669826414</v>
      </c>
      <c r="L43" s="190">
        <f>U43/U40-1</f>
        <v>-0.2727668821955489</v>
      </c>
      <c r="M43" s="190">
        <f>K43/K31-1</f>
        <v>-0.39794032142147839</v>
      </c>
      <c r="N43" s="191">
        <f>AVERAGE(T41:T43)</f>
        <v>214.29177864700947</v>
      </c>
      <c r="O43" s="192">
        <f>N43/N40-1</f>
        <v>-6.9482410986326015E-2</v>
      </c>
      <c r="P43" s="129" t="s">
        <v>835</v>
      </c>
      <c r="Q43" s="116">
        <v>2750923</v>
      </c>
      <c r="R43" s="116">
        <v>4017781362</v>
      </c>
      <c r="S43" s="116">
        <v>16078.39</v>
      </c>
      <c r="T43" s="130">
        <f t="shared" ref="T43" si="43">Q43/S43</f>
        <v>171.09443171859868</v>
      </c>
      <c r="U43" s="85">
        <f>Q41+Q42+Q43</f>
        <v>12072589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29713.090909090908</v>
      </c>
      <c r="G44" s="190">
        <f t="shared" ref="G44" si="44">F44/F43-1</f>
        <v>-0.78397729846243669</v>
      </c>
      <c r="H44" s="190">
        <f t="shared" ref="H44" si="45">F44/F32-1</f>
        <v>-0.93186370214997127</v>
      </c>
      <c r="I44" s="130">
        <f t="shared" si="0"/>
        <v>132.05951575268438</v>
      </c>
      <c r="J44" s="130">
        <f t="shared" si="4"/>
        <v>-0.55936770052558715</v>
      </c>
      <c r="K44" s="136"/>
      <c r="L44" s="190"/>
      <c r="M44" s="190"/>
      <c r="N44" s="191"/>
      <c r="O44" s="192"/>
      <c r="P44" s="129" t="s">
        <v>843</v>
      </c>
      <c r="Q44" s="116">
        <v>653688</v>
      </c>
      <c r="R44" s="116">
        <v>949166455</v>
      </c>
      <c r="S44" s="116">
        <v>4949.95</v>
      </c>
      <c r="T44" s="130">
        <f t="shared" ref="T44" si="46">Q44/S44</f>
        <v>132.05951575268438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65243.8</v>
      </c>
      <c r="G45" s="190">
        <f t="shared" ref="G45" si="47">F45/F44-1</f>
        <v>1.1957931000722057</v>
      </c>
      <c r="H45" s="190">
        <f t="shared" ref="H45" si="48">F45/F33-1</f>
        <v>1.5571621341664845</v>
      </c>
      <c r="I45" s="130">
        <f t="shared" si="0"/>
        <v>119.31091172256525</v>
      </c>
      <c r="J45" s="130">
        <f t="shared" si="4"/>
        <v>-0.39563051064492738</v>
      </c>
      <c r="K45" s="136"/>
      <c r="L45" s="190"/>
      <c r="M45" s="190"/>
      <c r="N45" s="191"/>
      <c r="O45" s="192"/>
      <c r="P45" s="129" t="s">
        <v>849</v>
      </c>
      <c r="Q45" s="116">
        <v>1304876</v>
      </c>
      <c r="R45" s="116">
        <v>1843784654</v>
      </c>
      <c r="S45" s="116">
        <v>10936.77</v>
      </c>
      <c r="T45" s="130">
        <f t="shared" ref="T45" si="49">Q45/S45</f>
        <v>119.31091172256525</v>
      </c>
      <c r="U45" s="85"/>
    </row>
    <row r="46" spans="1:21" s="92" customFormat="1" ht="13.2">
      <c r="A46" s="129" t="s">
        <v>919</v>
      </c>
      <c r="B46" s="188">
        <f>SUM(F44:F46)</f>
        <v>121804.57511961724</v>
      </c>
      <c r="C46" s="188">
        <f>AVERAGE(F44:F46)</f>
        <v>40601.525039872409</v>
      </c>
      <c r="D46" s="190">
        <f>C46/C43-1</f>
        <v>-0.81336168838426748</v>
      </c>
      <c r="E46" s="287">
        <f>C46/C34-1</f>
        <v>-0.88106846296281094</v>
      </c>
      <c r="F46" s="136">
        <f>Q46/19</f>
        <v>26847.684210526317</v>
      </c>
      <c r="G46" s="190">
        <f t="shared" ref="G46" si="50">F46/F45-1</f>
        <v>-0.58850213797286</v>
      </c>
      <c r="H46" s="190">
        <f t="shared" ref="H46" si="51">F46/F34-1</f>
        <v>-0.95227585633938694</v>
      </c>
      <c r="I46" s="130">
        <f t="shared" si="0"/>
        <v>141.41093239744293</v>
      </c>
      <c r="J46" s="130">
        <f t="shared" si="4"/>
        <v>-0.61166539664980712</v>
      </c>
      <c r="K46" s="136">
        <f>R44+R45+R46</f>
        <v>3491345189</v>
      </c>
      <c r="L46" s="190">
        <f>U46/U43-1</f>
        <v>-0.79551445013161637</v>
      </c>
      <c r="M46" s="190">
        <f>K46/K34-1</f>
        <v>-0.87506766919900847</v>
      </c>
      <c r="N46" s="191">
        <f>AVERAGE(T44:T46)</f>
        <v>130.9271199575642</v>
      </c>
      <c r="O46" s="192">
        <f>N46/N43-1</f>
        <v>-0.38902406436584336</v>
      </c>
      <c r="P46" s="129" t="s">
        <v>888</v>
      </c>
      <c r="Q46" s="116">
        <v>510106</v>
      </c>
      <c r="R46" s="116">
        <v>698394080</v>
      </c>
      <c r="S46" s="116">
        <v>3607.26</v>
      </c>
      <c r="T46" s="130">
        <f t="shared" ref="T46" si="52">Q46/S46</f>
        <v>141.41093239744293</v>
      </c>
      <c r="U46" s="85">
        <f t="shared" ref="U46:U51" si="53">Q44+Q45+Q46</f>
        <v>2468670</v>
      </c>
    </row>
    <row r="47" spans="1:21" s="92" customFormat="1" ht="13.2">
      <c r="A47" s="129" t="s">
        <v>992</v>
      </c>
      <c r="B47" s="188"/>
      <c r="C47" s="188"/>
      <c r="D47" s="190"/>
      <c r="E47" s="287"/>
      <c r="F47" s="136">
        <f>Q47/23</f>
        <v>39832</v>
      </c>
      <c r="G47" s="190">
        <f t="shared" ref="G47" si="54">F47/F46-1</f>
        <v>0.48362889281835542</v>
      </c>
      <c r="H47" s="190">
        <f t="shared" ref="H47" si="55">F47/F35-1</f>
        <v>1.2569206475119667</v>
      </c>
      <c r="I47" s="130">
        <f t="shared" si="0"/>
        <v>106.23381653267654</v>
      </c>
      <c r="J47" s="130">
        <f t="shared" si="4"/>
        <v>-0.50135222115885214</v>
      </c>
      <c r="K47" s="136"/>
      <c r="L47" s="190"/>
      <c r="M47" s="190"/>
      <c r="N47" s="191"/>
      <c r="O47" s="192"/>
      <c r="P47" s="129" t="s">
        <v>1029</v>
      </c>
      <c r="Q47" s="116">
        <v>916136</v>
      </c>
      <c r="R47" s="116">
        <v>1262640163</v>
      </c>
      <c r="S47" s="116">
        <v>8623.77</v>
      </c>
      <c r="T47" s="130">
        <f t="shared" ref="T47" si="56">Q47/S47</f>
        <v>106.23381653267654</v>
      </c>
      <c r="U47" s="85">
        <f t="shared" si="53"/>
        <v>2731118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78739.899999999994</v>
      </c>
      <c r="G48" s="190">
        <f t="shared" ref="G48" si="57">F48/F47-1</f>
        <v>0.97680006025306265</v>
      </c>
      <c r="H48" s="190">
        <f t="shared" ref="H48" si="58">F48/F36-1</f>
        <v>-0.86904287225046828</v>
      </c>
      <c r="I48" s="130">
        <f t="shared" si="0"/>
        <v>138.97917074832452</v>
      </c>
      <c r="J48" s="130">
        <f t="shared" si="4"/>
        <v>-0.68697841166633999</v>
      </c>
      <c r="K48" s="136"/>
      <c r="L48" s="190"/>
      <c r="M48" s="190"/>
      <c r="N48" s="191"/>
      <c r="O48" s="192"/>
      <c r="P48" s="129" t="s">
        <v>1070</v>
      </c>
      <c r="Q48" s="116">
        <v>1574798</v>
      </c>
      <c r="R48" s="116">
        <v>2181446049</v>
      </c>
      <c r="S48" s="116">
        <v>11331.18</v>
      </c>
      <c r="T48" s="130">
        <f t="shared" ref="T48" si="59">Q48/S48</f>
        <v>138.97917074832452</v>
      </c>
      <c r="U48" s="85">
        <f t="shared" si="53"/>
        <v>3001040</v>
      </c>
    </row>
    <row r="49" spans="1:26" ht="13.2">
      <c r="A49" s="129" t="s">
        <v>1236</v>
      </c>
      <c r="B49" s="188">
        <f>SUM(F47:F49)</f>
        <v>284186.94545454544</v>
      </c>
      <c r="C49" s="188">
        <f>AVERAGE(F47:F49)</f>
        <v>94728.981818181812</v>
      </c>
      <c r="D49" s="190">
        <f>C49/C46-1</f>
        <v>1.3331385145054022</v>
      </c>
      <c r="E49" s="287">
        <f>C49/C37-1</f>
        <v>-0.85083137975418022</v>
      </c>
      <c r="F49" s="136">
        <f>Q49/22</f>
        <v>165615.04545454544</v>
      </c>
      <c r="G49" s="190">
        <f t="shared" ref="G49" si="60">F49/F48-1</f>
        <v>1.1033179551224404</v>
      </c>
      <c r="H49" s="190">
        <f t="shared" ref="H49" si="61">F49/F37-1</f>
        <v>-0.87123948346439295</v>
      </c>
      <c r="I49" s="130">
        <f t="shared" si="0"/>
        <v>117.19524429701303</v>
      </c>
      <c r="J49" s="130">
        <f t="shared" si="4"/>
        <v>-0.761076022566886</v>
      </c>
      <c r="K49" s="136">
        <f>R47+R48+R49</f>
        <v>8505926763</v>
      </c>
      <c r="L49" s="190">
        <f>U49/U46-1</f>
        <v>1.4849271064986409</v>
      </c>
      <c r="M49" s="190">
        <f>K49/K37-1</f>
        <v>-0.82529897839420674</v>
      </c>
      <c r="N49" s="191">
        <f>AVERAGE(T47:T49)</f>
        <v>120.80274385933804</v>
      </c>
      <c r="O49" s="192">
        <f>N49/N46-1</f>
        <v>-7.7328334278701449E-2</v>
      </c>
      <c r="P49" s="129" t="s">
        <v>1158</v>
      </c>
      <c r="Q49" s="116">
        <v>3643531</v>
      </c>
      <c r="R49" s="116">
        <v>5061840551</v>
      </c>
      <c r="S49" s="116">
        <v>31089.41</v>
      </c>
      <c r="T49" s="130">
        <f t="shared" ref="T49" si="62">Q49/S49</f>
        <v>117.19524429701303</v>
      </c>
      <c r="U49" s="85">
        <f t="shared" si="53"/>
        <v>6134465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124409.38888888889</v>
      </c>
      <c r="G50" s="190">
        <f t="shared" ref="G50" si="63">F50/F49-1</f>
        <v>-0.24880382366568154</v>
      </c>
      <c r="H50" s="190">
        <f t="shared" ref="H50" si="64">F50/F38-1</f>
        <v>-0.74903362768440596</v>
      </c>
      <c r="I50" s="130">
        <f t="shared" ref="I50" si="65">T50</f>
        <v>103.96902150118785</v>
      </c>
      <c r="J50" s="130">
        <f t="shared" ref="J50" si="66">I50/I38-1</f>
        <v>-0.59331952230686702</v>
      </c>
      <c r="K50" s="136"/>
      <c r="L50" s="190"/>
      <c r="M50" s="190"/>
      <c r="N50" s="191"/>
      <c r="O50" s="192"/>
      <c r="P50" s="129" t="s">
        <v>1291</v>
      </c>
      <c r="Q50" s="116">
        <v>2239369</v>
      </c>
      <c r="R50" s="116">
        <v>3133249610</v>
      </c>
      <c r="S50" s="116">
        <v>21538.81</v>
      </c>
      <c r="T50" s="130">
        <f t="shared" ref="T50" si="67">Q50/S50</f>
        <v>103.96902150118785</v>
      </c>
      <c r="U50" s="85">
        <f t="shared" si="53"/>
        <v>7457698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45947.199999999997</v>
      </c>
      <c r="G51" s="190">
        <f t="shared" ref="G51:G52" si="68">F51/F50-1</f>
        <v>-0.63067739171168302</v>
      </c>
      <c r="H51" s="190">
        <f t="shared" ref="H51:H52" si="69">F51/F39-1</f>
        <v>7.079496347789016E-2</v>
      </c>
      <c r="I51" s="130">
        <f t="shared" ref="I51:I52" si="70">T51</f>
        <v>111.63396406114852</v>
      </c>
      <c r="J51" s="130">
        <f t="shared" ref="J51:J52" si="71">I51/I39-1</f>
        <v>-0.27527951749710811</v>
      </c>
      <c r="K51" s="136"/>
      <c r="L51" s="190"/>
      <c r="M51" s="190"/>
      <c r="N51" s="191"/>
      <c r="O51" s="192"/>
      <c r="P51" s="129" t="s">
        <v>1402</v>
      </c>
      <c r="Q51" s="116">
        <v>918944</v>
      </c>
      <c r="R51" s="116">
        <v>1336186703</v>
      </c>
      <c r="S51" s="116">
        <v>8231.76</v>
      </c>
      <c r="T51" s="130">
        <f t="shared" ref="T51:T52" si="72">Q51/S51</f>
        <v>111.63396406114852</v>
      </c>
      <c r="U51" s="85">
        <f t="shared" si="53"/>
        <v>6801844</v>
      </c>
    </row>
    <row r="52" spans="1:26" s="79" customFormat="1" ht="13.2">
      <c r="A52" s="129" t="s">
        <v>1403</v>
      </c>
      <c r="B52" s="188">
        <f>SUM(F50:F52)</f>
        <v>251955.49797979798</v>
      </c>
      <c r="C52" s="188">
        <f>AVERAGE(F50:F52)</f>
        <v>83985.165993265997</v>
      </c>
      <c r="D52" s="190">
        <f>C52/C49-1</f>
        <v>-0.11341635493915658</v>
      </c>
      <c r="E52" s="287">
        <f>C52/C40-1</f>
        <v>-0.69051645274254447</v>
      </c>
      <c r="F52" s="136">
        <f>Q52/22</f>
        <v>81598.909090909088</v>
      </c>
      <c r="G52" s="190">
        <f t="shared" si="68"/>
        <v>0.77592778430261466</v>
      </c>
      <c r="H52" s="190">
        <f t="shared" si="69"/>
        <v>-0.70379928971912742</v>
      </c>
      <c r="I52" s="130">
        <f t="shared" si="70"/>
        <v>104.48818613487491</v>
      </c>
      <c r="J52" s="130">
        <f t="shared" si="71"/>
        <v>-0.62840609245077772</v>
      </c>
      <c r="K52" s="136">
        <f>R50+R51+R52</f>
        <v>7111169839</v>
      </c>
      <c r="L52" s="190">
        <f>U52/U49-1</f>
        <v>-0.19251491368847973</v>
      </c>
      <c r="M52" s="190">
        <f>K52/K40-1</f>
        <v>-0.68504967288461793</v>
      </c>
      <c r="N52" s="191">
        <f>AVERAGE(T50:T52)</f>
        <v>106.69705723240376</v>
      </c>
      <c r="O52" s="192">
        <f>N52/N49-1</f>
        <v>-0.11676627679383544</v>
      </c>
      <c r="P52" s="129" t="s">
        <v>1403</v>
      </c>
      <c r="Q52" s="116">
        <v>1795176</v>
      </c>
      <c r="R52" s="116">
        <v>2641733526</v>
      </c>
      <c r="S52" s="116">
        <v>17180.66</v>
      </c>
      <c r="T52" s="130">
        <f t="shared" si="72"/>
        <v>104.48818613487491</v>
      </c>
      <c r="U52" s="85">
        <f t="shared" ref="U52" si="73">Q50+Q51+Q52</f>
        <v>4953489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187335.66666666666</v>
      </c>
      <c r="G53" s="190">
        <f t="shared" ref="G53" si="74">F53/F52-1</f>
        <v>1.2958109214175471</v>
      </c>
      <c r="H53" s="190">
        <f t="shared" ref="H53" si="75">F53/F41-1</f>
        <v>-0.61763701028069651</v>
      </c>
      <c r="I53" s="130">
        <f t="shared" ref="I53" si="76">T53</f>
        <v>111.27910255964206</v>
      </c>
      <c r="J53" s="130">
        <f t="shared" ref="J53" si="77">I53/I41-1</f>
        <v>-0.61737042433068412</v>
      </c>
      <c r="K53" s="136"/>
      <c r="L53" s="190"/>
      <c r="M53" s="190"/>
      <c r="N53" s="191"/>
      <c r="O53" s="192"/>
      <c r="P53" s="129" t="s">
        <v>1414</v>
      </c>
      <c r="Q53" s="116">
        <v>3934049</v>
      </c>
      <c r="R53" s="116">
        <v>5756768944</v>
      </c>
      <c r="S53" s="116">
        <v>35352.99</v>
      </c>
      <c r="T53" s="130">
        <f t="shared" ref="T53" si="78">Q53/S53</f>
        <v>111.27910255964206</v>
      </c>
      <c r="U53" s="85">
        <f t="shared" ref="U53" si="79">Q51+Q52+Q53</f>
        <v>6648169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73190.588235294112</v>
      </c>
      <c r="G54" s="190">
        <f t="shared" ref="G54" si="80">F54/F53-1</f>
        <v>-0.60930777604926212</v>
      </c>
      <c r="H54" s="190">
        <f t="shared" ref="H54" si="81">F54/F42-1</f>
        <v>1.9118355570215937</v>
      </c>
      <c r="I54" s="130">
        <f t="shared" ref="I54" si="82">T54</f>
        <v>97.746375086709605</v>
      </c>
      <c r="J54" s="130">
        <f t="shared" ref="J54" si="83">I54/I42-1</f>
        <v>-0.45982650159656402</v>
      </c>
      <c r="K54" s="136"/>
      <c r="L54" s="190"/>
      <c r="M54" s="190"/>
      <c r="N54" s="191"/>
      <c r="O54" s="192"/>
      <c r="P54" s="129" t="s">
        <v>1417</v>
      </c>
      <c r="Q54" s="116">
        <v>1244240</v>
      </c>
      <c r="R54" s="116">
        <v>1806368116</v>
      </c>
      <c r="S54" s="116">
        <v>12729.27</v>
      </c>
      <c r="T54" s="130">
        <f t="shared" ref="T54" si="84">Q54/S54</f>
        <v>97.746375086709605</v>
      </c>
      <c r="U54" s="85">
        <f t="shared" ref="U54" si="85">Q52+Q53+Q54</f>
        <v>6973465</v>
      </c>
    </row>
    <row r="55" spans="1:26" s="79" customFormat="1" ht="13.2">
      <c r="A55" s="129" t="s">
        <v>1418</v>
      </c>
      <c r="B55" s="188">
        <f>SUM(F53:F55)</f>
        <v>362401.39775910362</v>
      </c>
      <c r="C55" s="188">
        <f>AVERAGE(F53:F55)</f>
        <v>120800.46591970121</v>
      </c>
      <c r="D55" s="190">
        <f>C55/C52-1</f>
        <v>0.43835479148052281</v>
      </c>
      <c r="E55" s="287">
        <f>C55/C43-1</f>
        <v>-0.44470078452704054</v>
      </c>
      <c r="F55" s="136">
        <f>Q55/21</f>
        <v>101875.14285714286</v>
      </c>
      <c r="G55" s="190">
        <f t="shared" ref="G55" si="86">F55/F54-1</f>
        <v>0.39191589128418047</v>
      </c>
      <c r="H55" s="190">
        <f t="shared" ref="H55" si="87">F55/F43-1</f>
        <v>-0.25933846307480901</v>
      </c>
      <c r="I55" s="130">
        <f>T55</f>
        <v>150.01872273107847</v>
      </c>
      <c r="J55" s="130">
        <f t="shared" ref="J55" si="88">I55/I43-1</f>
        <v>-0.12318173523135878</v>
      </c>
      <c r="K55" s="136">
        <f>R53+R54+R55</f>
        <v>10709991548</v>
      </c>
      <c r="L55" s="190">
        <f>U55/U52-1</f>
        <v>0.47727531039233151</v>
      </c>
      <c r="M55" s="190">
        <f>K55/K43-1</f>
        <v>-0.39388246963680673</v>
      </c>
      <c r="N55" s="191">
        <f>AVERAGE(T53:T55)</f>
        <v>119.68140012581004</v>
      </c>
      <c r="O55" s="192">
        <f>N55/N52-1</f>
        <v>0.1216935427293393</v>
      </c>
      <c r="P55" s="129" t="s">
        <v>1418</v>
      </c>
      <c r="Q55" s="116">
        <v>2139378</v>
      </c>
      <c r="R55" s="116">
        <v>3146854488</v>
      </c>
      <c r="S55" s="116">
        <v>14260.74</v>
      </c>
      <c r="T55" s="130">
        <f t="shared" ref="T55" si="89">Q55/S55</f>
        <v>150.01872273107847</v>
      </c>
      <c r="U55" s="85">
        <f t="shared" ref="U55" si="90">Q53+Q54+Q55</f>
        <v>7317667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85054.863636363632</v>
      </c>
      <c r="G56" s="190">
        <f t="shared" ref="G56" si="91">F56/F55-1</f>
        <v>-0.16510680377023779</v>
      </c>
      <c r="H56" s="190">
        <f t="shared" ref="H56" si="92">F56/F44-1</f>
        <v>1.8625383975229775</v>
      </c>
      <c r="I56" s="291">
        <f>T56</f>
        <v>152.1886800739469</v>
      </c>
      <c r="J56" s="130">
        <f t="shared" ref="J56" si="93">I56/I44-1</f>
        <v>0.15242494421196873</v>
      </c>
      <c r="K56" s="136"/>
      <c r="L56" s="190"/>
      <c r="M56" s="190"/>
      <c r="N56" s="191"/>
      <c r="O56" s="192"/>
      <c r="P56" s="129" t="s">
        <v>1420</v>
      </c>
      <c r="Q56" s="116">
        <v>1871207</v>
      </c>
      <c r="R56" s="116">
        <v>2785417814</v>
      </c>
      <c r="S56" s="116">
        <v>12295.31</v>
      </c>
      <c r="T56" s="130">
        <f t="shared" ref="T56" si="94">Q56/S56</f>
        <v>152.1886800739469</v>
      </c>
      <c r="U56" s="85">
        <f t="shared" ref="U56" si="95">Q54+Q55+Q56</f>
        <v>5254825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128712.58333333333</v>
      </c>
      <c r="G57" s="254">
        <f t="shared" ref="G57" si="96">F57/F56-1</f>
        <v>0.51328892705795415</v>
      </c>
      <c r="H57" s="254">
        <f t="shared" ref="H57" si="97">F57/F45-1</f>
        <v>0.97279409435583641</v>
      </c>
      <c r="I57" s="282">
        <f>T57</f>
        <v>144.96279145287434</v>
      </c>
      <c r="J57" s="277">
        <f t="shared" ref="J57" si="98">I57/I45-1</f>
        <v>0.21500028253876424</v>
      </c>
      <c r="K57" s="204"/>
      <c r="L57" s="254"/>
      <c r="M57" s="254"/>
      <c r="N57" s="257"/>
      <c r="O57" s="258"/>
      <c r="P57" s="129" t="s">
        <v>1436</v>
      </c>
      <c r="Q57" s="116">
        <v>1544551</v>
      </c>
      <c r="R57" s="116">
        <v>2266846108</v>
      </c>
      <c r="S57" s="116">
        <v>10654.81</v>
      </c>
      <c r="T57" s="130">
        <f t="shared" ref="T57" si="99">Q57/S57</f>
        <v>144.96279145287434</v>
      </c>
      <c r="U57" s="85">
        <f t="shared" ref="U57" si="100">Q55+Q56+Q57</f>
        <v>5555136</v>
      </c>
    </row>
    <row r="58" spans="1:26">
      <c r="B58" s="196">
        <f>SUM(F56:F58)</f>
        <v>213767.44696969696</v>
      </c>
      <c r="C58" s="196">
        <f>AVERAGE(F56:F58)</f>
        <v>106883.72348484848</v>
      </c>
      <c r="D58" s="197">
        <f>C58/C55-1</f>
        <v>-0.11520437714291187</v>
      </c>
      <c r="E58" s="233">
        <f>C58/C46-1</f>
        <v>1.6325051430921413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10733425</v>
      </c>
      <c r="R67" s="212">
        <v>15762255470</v>
      </c>
      <c r="S67" s="213">
        <v>85293.119999999995</v>
      </c>
    </row>
    <row r="68" spans="16:19" ht="18" thickBot="1">
      <c r="P68" s="180" t="s">
        <v>976</v>
      </c>
      <c r="Q68" s="181">
        <v>3934049</v>
      </c>
      <c r="R68" s="181">
        <v>5756768944</v>
      </c>
      <c r="S68" s="182">
        <v>35352.99</v>
      </c>
    </row>
    <row r="69" spans="16:19" ht="18" thickBot="1">
      <c r="P69" s="180" t="s">
        <v>977</v>
      </c>
      <c r="Q69" s="181">
        <v>1244240</v>
      </c>
      <c r="R69" s="181">
        <v>1806368116</v>
      </c>
      <c r="S69" s="182">
        <v>12729.27</v>
      </c>
    </row>
    <row r="70" spans="16:19" ht="18" thickBot="1">
      <c r="P70" s="180" t="s">
        <v>978</v>
      </c>
      <c r="Q70" s="181">
        <v>2139378</v>
      </c>
      <c r="R70" s="181">
        <v>3146854488</v>
      </c>
      <c r="S70" s="182">
        <v>14260.74</v>
      </c>
    </row>
    <row r="71" spans="16:19" ht="18" thickBot="1">
      <c r="P71" s="180" t="s">
        <v>979</v>
      </c>
      <c r="Q71" s="181">
        <v>1871207</v>
      </c>
      <c r="R71" s="181">
        <v>2785417814</v>
      </c>
      <c r="S71" s="182">
        <v>12295.31</v>
      </c>
    </row>
    <row r="72" spans="16:19" ht="18" thickBot="1">
      <c r="P72" s="180" t="s">
        <v>980</v>
      </c>
      <c r="Q72" s="181">
        <v>1544551</v>
      </c>
      <c r="R72" s="181">
        <v>2266846108</v>
      </c>
      <c r="S72" s="182">
        <v>10654.81</v>
      </c>
    </row>
    <row r="73" spans="16:19" ht="18" thickBot="1">
      <c r="P73" s="180" t="s">
        <v>975</v>
      </c>
      <c r="Q73" s="181">
        <v>25629036</v>
      </c>
      <c r="R73" s="181">
        <v>36778023659</v>
      </c>
      <c r="S73" s="182">
        <v>166644.68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135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Z71"/>
  <sheetViews>
    <sheetView topLeftCell="C1"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293736.8</v>
      </c>
      <c r="G5" s="90"/>
      <c r="H5" s="90"/>
      <c r="I5" s="130">
        <f t="shared" ref="I5:I49" si="0">T5</f>
        <v>126.87041855730081</v>
      </c>
      <c r="J5" s="130"/>
      <c r="K5" s="79"/>
      <c r="L5" s="80"/>
      <c r="M5" s="80"/>
      <c r="N5" s="79"/>
      <c r="O5" s="79"/>
      <c r="P5" s="129" t="s">
        <v>0</v>
      </c>
      <c r="Q5" s="116">
        <v>5874736</v>
      </c>
      <c r="R5" s="116"/>
      <c r="S5" s="116">
        <v>46305.01</v>
      </c>
      <c r="T5" s="130">
        <f t="shared" ref="T5:T30" si="1">Q5/S5</f>
        <v>126.87041855730081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360430.61111111112</v>
      </c>
      <c r="G6" s="90">
        <f t="shared" ref="G6:G30" si="2">F6/F5-1</f>
        <v>0.22705296411995746</v>
      </c>
      <c r="H6" s="90"/>
      <c r="I6" s="130">
        <f t="shared" si="0"/>
        <v>143.71647160748657</v>
      </c>
      <c r="J6" s="130"/>
      <c r="K6" s="79"/>
      <c r="L6" s="87"/>
      <c r="M6" s="87"/>
      <c r="N6" s="79"/>
      <c r="O6" s="79"/>
      <c r="P6" s="129" t="s">
        <v>1</v>
      </c>
      <c r="Q6" s="116">
        <v>6487751</v>
      </c>
      <c r="R6" s="116"/>
      <c r="S6" s="116">
        <v>45142.71</v>
      </c>
      <c r="T6" s="130">
        <f t="shared" si="1"/>
        <v>143.71647160748657</v>
      </c>
      <c r="U6" s="85"/>
    </row>
    <row r="7" spans="1:21" ht="15" hidden="1" customHeight="1">
      <c r="A7" s="129" t="s">
        <v>2</v>
      </c>
      <c r="B7" s="131">
        <f>F5+F6+F7</f>
        <v>921419.41111111105</v>
      </c>
      <c r="C7" s="131">
        <f>AVERAGE(F5:F7)</f>
        <v>307139.80370370368</v>
      </c>
      <c r="D7" s="117"/>
      <c r="F7" s="78">
        <f>Q7/22</f>
        <v>267252</v>
      </c>
      <c r="G7" s="90">
        <f t="shared" si="2"/>
        <v>-0.25852024838807786</v>
      </c>
      <c r="H7" s="90"/>
      <c r="I7" s="130">
        <f t="shared" si="0"/>
        <v>152.0566874053936</v>
      </c>
      <c r="J7" s="130"/>
      <c r="K7" s="79">
        <f>R5+R6+R7</f>
        <v>0</v>
      </c>
      <c r="L7" s="87"/>
      <c r="M7" s="87"/>
      <c r="N7" s="88">
        <f>AVERAGE(T5:T7)</f>
        <v>140.88119252339368</v>
      </c>
      <c r="O7" s="79"/>
      <c r="P7" s="129" t="s">
        <v>2</v>
      </c>
      <c r="Q7" s="116">
        <v>5879544</v>
      </c>
      <c r="R7" s="116"/>
      <c r="S7" s="116">
        <v>38666.79</v>
      </c>
      <c r="T7" s="130">
        <f t="shared" si="1"/>
        <v>152.0566874053936</v>
      </c>
      <c r="U7" s="85">
        <f>Q5+Q6+Q7</f>
        <v>18242031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362599.33333333331</v>
      </c>
      <c r="G8" s="90">
        <f t="shared" si="2"/>
        <v>0.35676939118634587</v>
      </c>
      <c r="H8" s="90"/>
      <c r="I8" s="130">
        <f t="shared" si="0"/>
        <v>114.5627474648511</v>
      </c>
      <c r="J8" s="130"/>
      <c r="K8" s="78"/>
      <c r="L8" s="87"/>
      <c r="M8" s="87"/>
      <c r="N8" s="79"/>
      <c r="O8" s="79"/>
      <c r="P8" s="129" t="s">
        <v>3</v>
      </c>
      <c r="Q8" s="116">
        <v>7614586</v>
      </c>
      <c r="R8" s="116"/>
      <c r="S8" s="116">
        <v>66466.509999999995</v>
      </c>
      <c r="T8" s="130">
        <f t="shared" si="1"/>
        <v>114.5627474648511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496905.95238095237</v>
      </c>
      <c r="G9" s="90">
        <f t="shared" si="2"/>
        <v>0.37039952007896426</v>
      </c>
      <c r="H9" s="90"/>
      <c r="I9" s="130">
        <f t="shared" si="0"/>
        <v>152.55931341309676</v>
      </c>
      <c r="J9" s="130"/>
      <c r="K9" s="78"/>
      <c r="L9" s="87"/>
      <c r="M9" s="87"/>
      <c r="N9" s="79"/>
      <c r="O9" s="79"/>
      <c r="P9" s="129" t="s">
        <v>4</v>
      </c>
      <c r="Q9" s="116">
        <v>10435025</v>
      </c>
      <c r="R9" s="116"/>
      <c r="S9" s="116">
        <v>68399.789999999994</v>
      </c>
      <c r="T9" s="130">
        <f t="shared" si="1"/>
        <v>152.55931341309676</v>
      </c>
      <c r="U9" s="85"/>
    </row>
    <row r="10" spans="1:21" ht="15" hidden="1" customHeight="1">
      <c r="A10" s="129" t="s">
        <v>5</v>
      </c>
      <c r="B10" s="131">
        <f>F8+F9+F10</f>
        <v>1218014.6190476189</v>
      </c>
      <c r="C10" s="131">
        <f>AVERAGE(F8:F10)</f>
        <v>406004.87301587296</v>
      </c>
      <c r="D10" s="90">
        <f>C10/C7-1</f>
        <v>0.32188947222074793</v>
      </c>
      <c r="E10" s="286"/>
      <c r="F10" s="78">
        <f>Q10/21</f>
        <v>358509.33333333331</v>
      </c>
      <c r="G10" s="90">
        <f t="shared" si="2"/>
        <v>-0.27851672612188283</v>
      </c>
      <c r="H10" s="90"/>
      <c r="I10" s="130">
        <f t="shared" si="0"/>
        <v>111.51907136071944</v>
      </c>
      <c r="J10" s="130"/>
      <c r="K10" s="79">
        <f>R8+R9+R10</f>
        <v>0</v>
      </c>
      <c r="L10" s="87">
        <f>U10/U7-1</f>
        <v>0.40216333367704515</v>
      </c>
      <c r="M10" s="87"/>
      <c r="N10" s="88">
        <f>AVERAGE(T8:T10)</f>
        <v>126.21371074622243</v>
      </c>
      <c r="O10" s="89">
        <f>N10/N7-1</f>
        <v>-0.10411241922682957</v>
      </c>
      <c r="P10" s="129" t="s">
        <v>5</v>
      </c>
      <c r="Q10" s="116">
        <v>7528696</v>
      </c>
      <c r="R10" s="116"/>
      <c r="S10" s="116">
        <v>67510.39</v>
      </c>
      <c r="T10" s="130">
        <f t="shared" si="1"/>
        <v>111.51907136071944</v>
      </c>
      <c r="U10" s="85">
        <f>Q8+Q9+Q10</f>
        <v>25578307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370028.23809523811</v>
      </c>
      <c r="G11" s="90">
        <f t="shared" si="2"/>
        <v>3.2129999670593712E-2</v>
      </c>
      <c r="H11" s="90"/>
      <c r="I11" s="130">
        <f t="shared" si="0"/>
        <v>153.73133058655995</v>
      </c>
      <c r="J11" s="130"/>
      <c r="K11" s="78"/>
      <c r="L11" s="87"/>
      <c r="M11" s="87"/>
      <c r="N11" s="79"/>
      <c r="O11" s="89"/>
      <c r="P11" s="129" t="s">
        <v>6</v>
      </c>
      <c r="Q11" s="116">
        <v>7770593</v>
      </c>
      <c r="R11" s="116"/>
      <c r="S11" s="116">
        <v>50546.58</v>
      </c>
      <c r="T11" s="130">
        <f t="shared" si="1"/>
        <v>153.73133058655995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315655.59090909088</v>
      </c>
      <c r="G12" s="90">
        <f t="shared" si="2"/>
        <v>-0.14694188601939284</v>
      </c>
      <c r="H12" s="90"/>
      <c r="I12" s="130">
        <f t="shared" si="0"/>
        <v>150.3214592242162</v>
      </c>
      <c r="J12" s="130"/>
      <c r="K12" s="78"/>
      <c r="L12" s="87"/>
      <c r="M12" s="87"/>
      <c r="N12" s="79"/>
      <c r="O12" s="89"/>
      <c r="P12" s="129" t="s">
        <v>7</v>
      </c>
      <c r="Q12" s="116">
        <v>6944423</v>
      </c>
      <c r="R12" s="116"/>
      <c r="S12" s="116">
        <v>46197.15</v>
      </c>
      <c r="T12" s="130">
        <f t="shared" si="1"/>
        <v>150.3214592242162</v>
      </c>
      <c r="U12" s="85"/>
    </row>
    <row r="13" spans="1:21" ht="15" hidden="1" customHeight="1">
      <c r="A13" s="129" t="s">
        <v>96</v>
      </c>
      <c r="B13" s="131">
        <f>F11+F12+F13</f>
        <v>1095509.379004329</v>
      </c>
      <c r="C13" s="131">
        <f>AVERAGE(F11:F13)</f>
        <v>365169.79300144297</v>
      </c>
      <c r="D13" s="90">
        <f>C13/C10-1</f>
        <v>-0.10057780762851465</v>
      </c>
      <c r="E13" s="286"/>
      <c r="F13" s="78">
        <f>Q13/20</f>
        <v>409825.55</v>
      </c>
      <c r="G13" s="90">
        <f t="shared" si="2"/>
        <v>0.29833135164721392</v>
      </c>
      <c r="H13" s="90"/>
      <c r="I13" s="130">
        <f t="shared" si="0"/>
        <v>125.97566651051331</v>
      </c>
      <c r="J13" s="130"/>
      <c r="K13" s="78">
        <f>R11+R12+R13</f>
        <v>0</v>
      </c>
      <c r="L13" s="87">
        <f>U13/U10-1</f>
        <v>-0.10425944140869059</v>
      </c>
      <c r="M13" s="87"/>
      <c r="N13" s="88">
        <f>AVERAGE(T11:T13)</f>
        <v>143.34281877376316</v>
      </c>
      <c r="O13" s="89">
        <f>N13/N10-1</f>
        <v>0.13571511309086048</v>
      </c>
      <c r="P13" s="129" t="s">
        <v>96</v>
      </c>
      <c r="Q13" s="116">
        <v>8196511</v>
      </c>
      <c r="R13" s="116"/>
      <c r="S13" s="116">
        <v>65064.24</v>
      </c>
      <c r="T13" s="130">
        <f t="shared" si="1"/>
        <v>125.97566651051331</v>
      </c>
      <c r="U13" s="85">
        <f>Q11+Q12+Q13</f>
        <v>22911527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280337.2</v>
      </c>
      <c r="G14" s="90">
        <f t="shared" si="2"/>
        <v>-0.31595968089349236</v>
      </c>
      <c r="H14" s="90"/>
      <c r="I14" s="130">
        <f t="shared" si="0"/>
        <v>160.05869372211262</v>
      </c>
      <c r="J14" s="130"/>
      <c r="K14" s="79"/>
      <c r="L14" s="87"/>
      <c r="M14" s="87"/>
      <c r="N14" s="79"/>
      <c r="O14" s="89"/>
      <c r="P14" s="129" t="s">
        <v>97</v>
      </c>
      <c r="Q14" s="116">
        <v>5606744</v>
      </c>
      <c r="R14" s="116"/>
      <c r="S14" s="116">
        <v>35029.300000000003</v>
      </c>
      <c r="T14" s="130">
        <f t="shared" si="1"/>
        <v>160.05869372211262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402843.68181818182</v>
      </c>
      <c r="G15" s="90">
        <f t="shared" si="2"/>
        <v>0.43699688025057615</v>
      </c>
      <c r="H15" s="90"/>
      <c r="I15" s="130">
        <f t="shared" si="0"/>
        <v>137.64566266553476</v>
      </c>
      <c r="J15" s="130"/>
      <c r="K15" s="79"/>
      <c r="L15" s="87"/>
      <c r="M15" s="87"/>
      <c r="N15" s="79"/>
      <c r="O15" s="89"/>
      <c r="P15" s="129" t="s">
        <v>98</v>
      </c>
      <c r="Q15" s="116">
        <v>8862561</v>
      </c>
      <c r="R15" s="116"/>
      <c r="S15" s="116">
        <v>64386.78</v>
      </c>
      <c r="T15" s="130">
        <f t="shared" si="1"/>
        <v>137.64566266553476</v>
      </c>
      <c r="U15" s="78"/>
    </row>
    <row r="16" spans="1:21" ht="15" hidden="1" customHeight="1">
      <c r="A16" s="129" t="s">
        <v>99</v>
      </c>
      <c r="B16" s="131">
        <f>F14+F15+F16</f>
        <v>1050337.4727272727</v>
      </c>
      <c r="C16" s="131">
        <f>AVERAGE(F14:F16)</f>
        <v>350112.49090909091</v>
      </c>
      <c r="D16" s="90">
        <f>C16/C13-1</f>
        <v>-4.123370109173452E-2</v>
      </c>
      <c r="E16" s="286"/>
      <c r="F16" s="78">
        <f>Q16/22</f>
        <v>367156.59090909088</v>
      </c>
      <c r="G16" s="90">
        <f t="shared" si="2"/>
        <v>-8.8587937504746139E-2</v>
      </c>
      <c r="H16" s="90"/>
      <c r="I16" s="130">
        <f t="shared" si="0"/>
        <v>144.39250072710678</v>
      </c>
      <c r="J16" s="130"/>
      <c r="K16" s="78">
        <f>R14+R15+R16</f>
        <v>0</v>
      </c>
      <c r="L16" s="87">
        <f>U16/U13-1</f>
        <v>-1.5921112547409022E-2</v>
      </c>
      <c r="M16" s="87"/>
      <c r="N16" s="88">
        <f>AVERAGE(T14:T16)</f>
        <v>147.3656190382514</v>
      </c>
      <c r="O16" s="89">
        <f>N16/N13-1</f>
        <v>2.8064191139127725E-2</v>
      </c>
      <c r="P16" s="129" t="s">
        <v>99</v>
      </c>
      <c r="Q16" s="116">
        <v>8077445</v>
      </c>
      <c r="R16" s="116"/>
      <c r="S16" s="116">
        <v>55940.89</v>
      </c>
      <c r="T16" s="130">
        <f t="shared" si="1"/>
        <v>144.39250072710678</v>
      </c>
      <c r="U16" s="85">
        <f>Q14+Q15+Q16</f>
        <v>22546750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342195.20000000001</v>
      </c>
      <c r="G17" s="90">
        <f t="shared" si="2"/>
        <v>-6.7985681115748764E-2</v>
      </c>
      <c r="H17" s="90">
        <f t="shared" ref="H17:H30" si="3">F17/F5-1</f>
        <v>0.16497217917537066</v>
      </c>
      <c r="I17" s="130">
        <f t="shared" si="0"/>
        <v>184.29764217426876</v>
      </c>
      <c r="J17" s="130">
        <f t="shared" ref="J17:J49" si="4">I17/I5-1</f>
        <v>0.45264470843556848</v>
      </c>
      <c r="K17" s="79"/>
      <c r="L17" s="87"/>
      <c r="M17" s="87"/>
      <c r="N17" s="79"/>
      <c r="O17" s="89"/>
      <c r="P17" s="129" t="s">
        <v>100</v>
      </c>
      <c r="Q17" s="116">
        <v>6843904</v>
      </c>
      <c r="R17" s="116"/>
      <c r="S17" s="116">
        <v>37135.06</v>
      </c>
      <c r="T17" s="130">
        <f t="shared" si="1"/>
        <v>184.29764217426876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280719.15000000002</v>
      </c>
      <c r="G18" s="90">
        <f t="shared" si="2"/>
        <v>-0.17965199394965203</v>
      </c>
      <c r="H18" s="90">
        <f t="shared" si="3"/>
        <v>-0.22115619110536144</v>
      </c>
      <c r="I18" s="130">
        <f t="shared" si="0"/>
        <v>180.7320985544028</v>
      </c>
      <c r="J18" s="130">
        <f t="shared" si="4"/>
        <v>0.25756008711382794</v>
      </c>
      <c r="K18" s="79"/>
      <c r="L18" s="87"/>
      <c r="M18" s="87"/>
      <c r="N18" s="79"/>
      <c r="O18" s="89"/>
      <c r="P18" s="129" t="s">
        <v>106</v>
      </c>
      <c r="Q18" s="116">
        <v>5614383</v>
      </c>
      <c r="R18" s="116"/>
      <c r="S18" s="116">
        <v>31064.67</v>
      </c>
      <c r="T18" s="130">
        <f t="shared" si="1"/>
        <v>180.7320985544028</v>
      </c>
      <c r="U18" s="78"/>
    </row>
    <row r="19" spans="1:21" hidden="1">
      <c r="A19" s="129" t="s">
        <v>114</v>
      </c>
      <c r="B19" s="131">
        <f>SUM(F17:F19)</f>
        <v>906893.03181818197</v>
      </c>
      <c r="C19" s="131">
        <f>AVERAGE(F17:F19)</f>
        <v>302297.67727272731</v>
      </c>
      <c r="D19" s="90">
        <f>C19/C16-1</f>
        <v>-0.1365698593392346</v>
      </c>
      <c r="E19" s="286">
        <f>C19/C7-1</f>
        <v>-1.5765219527350993E-2</v>
      </c>
      <c r="F19" s="78">
        <f>Q19/22</f>
        <v>283978.68181818182</v>
      </c>
      <c r="G19" s="90">
        <f t="shared" si="2"/>
        <v>1.1611362524365676E-2</v>
      </c>
      <c r="H19" s="90">
        <f t="shared" si="3"/>
        <v>6.2587676867457809E-2</v>
      </c>
      <c r="I19" s="130">
        <f t="shared" si="0"/>
        <v>118.53163417648007</v>
      </c>
      <c r="J19" s="130">
        <f t="shared" si="4"/>
        <v>-0.22047733513708234</v>
      </c>
      <c r="K19" s="78">
        <f>R17+R18+R19</f>
        <v>0</v>
      </c>
      <c r="L19" s="87">
        <f>U19/U16-1</f>
        <v>-0.17035413086143236</v>
      </c>
      <c r="M19" s="87">
        <f>U19/U7-1</f>
        <v>2.5424087920911775E-2</v>
      </c>
      <c r="N19" s="88">
        <f>AVERAGE(T17:T19)</f>
        <v>161.18712496838387</v>
      </c>
      <c r="O19" s="89">
        <f>N19/N16-1</f>
        <v>9.3790573543106159E-2</v>
      </c>
      <c r="P19" s="129" t="s">
        <v>114</v>
      </c>
      <c r="Q19" s="116">
        <v>6247531</v>
      </c>
      <c r="R19" s="116"/>
      <c r="S19" s="116">
        <v>52707.71</v>
      </c>
      <c r="T19" s="130">
        <f t="shared" si="1"/>
        <v>118.53163417648007</v>
      </c>
      <c r="U19" s="85">
        <f>Q17+Q18+Q19</f>
        <v>18705818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438997.9</v>
      </c>
      <c r="G20" s="90">
        <f t="shared" si="2"/>
        <v>0.54588329373635758</v>
      </c>
      <c r="H20" s="90">
        <f t="shared" si="3"/>
        <v>0.21069693086400254</v>
      </c>
      <c r="I20" s="130">
        <f t="shared" si="0"/>
        <v>107.12464011500214</v>
      </c>
      <c r="J20" s="130">
        <f t="shared" si="4"/>
        <v>-6.492605593394174E-2</v>
      </c>
      <c r="K20" s="79"/>
      <c r="L20" s="87"/>
      <c r="M20" s="87"/>
      <c r="N20" s="79"/>
      <c r="O20" s="89"/>
      <c r="P20" s="129" t="s">
        <v>131</v>
      </c>
      <c r="Q20" s="116">
        <v>8779958</v>
      </c>
      <c r="R20" s="116"/>
      <c r="S20" s="116">
        <v>81960.210000000006</v>
      </c>
      <c r="T20" s="130">
        <f t="shared" si="1"/>
        <v>107.12464011500214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371162.04761904763</v>
      </c>
      <c r="G21" s="90">
        <f t="shared" si="2"/>
        <v>-0.1545243209157775</v>
      </c>
      <c r="H21" s="90">
        <f t="shared" si="3"/>
        <v>-0.25305373010606103</v>
      </c>
      <c r="I21" s="130">
        <f t="shared" si="0"/>
        <v>96.394912778492255</v>
      </c>
      <c r="J21" s="130">
        <f t="shared" si="4"/>
        <v>-0.36814796408085404</v>
      </c>
      <c r="K21" s="79"/>
      <c r="L21" s="87"/>
      <c r="M21" s="87"/>
      <c r="N21" s="79"/>
      <c r="O21" s="89"/>
      <c r="P21" s="129" t="s">
        <v>141</v>
      </c>
      <c r="Q21" s="116">
        <v>7794403</v>
      </c>
      <c r="R21" s="116"/>
      <c r="S21" s="116">
        <v>80859.070000000007</v>
      </c>
      <c r="T21" s="130">
        <f t="shared" si="1"/>
        <v>96.394912778492255</v>
      </c>
      <c r="U21" s="78"/>
    </row>
    <row r="22" spans="1:21" hidden="1">
      <c r="A22" s="129" t="s">
        <v>155</v>
      </c>
      <c r="B22" s="131">
        <f>SUM(F20:F22)</f>
        <v>1202715.9952380953</v>
      </c>
      <c r="C22" s="131">
        <f>AVERAGE(F20:F22)</f>
        <v>400905.33174603176</v>
      </c>
      <c r="D22" s="90">
        <f>C22/C19-1</f>
        <v>0.32619388730645937</v>
      </c>
      <c r="E22" s="286">
        <f>C22/C10-1</f>
        <v>-1.2560295722464976E-2</v>
      </c>
      <c r="F22" s="78">
        <f>Q22/21</f>
        <v>392556.04761904763</v>
      </c>
      <c r="G22" s="90">
        <f t="shared" si="2"/>
        <v>5.764059158860535E-2</v>
      </c>
      <c r="H22" s="90">
        <f t="shared" si="3"/>
        <v>9.4967441904946215E-2</v>
      </c>
      <c r="I22" s="130">
        <f t="shared" si="0"/>
        <v>159.78518091380005</v>
      </c>
      <c r="J22" s="130">
        <f t="shared" si="4"/>
        <v>0.43280587763288603</v>
      </c>
      <c r="K22" s="78">
        <f>R20+R21+R22</f>
        <v>0</v>
      </c>
      <c r="L22" s="87">
        <f>U22/U19-1</f>
        <v>0.32675502349055252</v>
      </c>
      <c r="M22" s="87">
        <f>U22/U10-1</f>
        <v>-2.9723194736852587E-2</v>
      </c>
      <c r="N22" s="88">
        <f>AVERAGE(T20:T22)</f>
        <v>121.10157793576481</v>
      </c>
      <c r="O22" s="89">
        <f>N22/N19-1</f>
        <v>-0.2486895094163486</v>
      </c>
      <c r="P22" s="129" t="s">
        <v>155</v>
      </c>
      <c r="Q22" s="116">
        <v>8243677</v>
      </c>
      <c r="R22" s="116"/>
      <c r="S22" s="116">
        <v>51592.25</v>
      </c>
      <c r="T22" s="130">
        <f t="shared" si="1"/>
        <v>159.78518091380005</v>
      </c>
      <c r="U22" s="85">
        <f>Q20+Q21+Q22</f>
        <v>24818038</v>
      </c>
    </row>
    <row r="23" spans="1:21" hidden="1">
      <c r="A23" s="129" t="s">
        <v>189</v>
      </c>
      <c r="B23" s="131"/>
      <c r="C23" s="131"/>
      <c r="D23" s="117"/>
      <c r="F23" s="78">
        <f>Q23/21</f>
        <v>466759.47619047621</v>
      </c>
      <c r="G23" s="90">
        <f t="shared" si="2"/>
        <v>0.18902632890638493</v>
      </c>
      <c r="H23" s="90">
        <f t="shared" si="3"/>
        <v>0.2614158275951397</v>
      </c>
      <c r="I23" s="130">
        <f t="shared" si="0"/>
        <v>131.07886409851318</v>
      </c>
      <c r="J23" s="130">
        <f t="shared" si="4"/>
        <v>-0.14735100777191334</v>
      </c>
      <c r="K23" s="79"/>
      <c r="L23" s="87"/>
      <c r="M23" s="87"/>
      <c r="N23" s="79"/>
      <c r="O23" s="89"/>
      <c r="P23" s="129" t="s">
        <v>189</v>
      </c>
      <c r="Q23" s="116">
        <v>9801949</v>
      </c>
      <c r="R23" s="116"/>
      <c r="S23" s="116">
        <v>74779.02</v>
      </c>
      <c r="T23" s="130">
        <f t="shared" si="1"/>
        <v>131.07886409851318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478930.72727272729</v>
      </c>
      <c r="G24" s="90">
        <f t="shared" si="2"/>
        <v>2.6076066374888685E-2</v>
      </c>
      <c r="H24" s="90">
        <f t="shared" si="3"/>
        <v>0.51725722929032414</v>
      </c>
      <c r="I24" s="130">
        <f t="shared" si="0"/>
        <v>186.86986368303224</v>
      </c>
      <c r="J24" s="130">
        <f t="shared" si="4"/>
        <v>0.243134976519229</v>
      </c>
      <c r="K24" s="79"/>
      <c r="L24" s="87"/>
      <c r="M24" s="87"/>
      <c r="N24" s="79"/>
      <c r="O24" s="89"/>
      <c r="P24" s="129" t="s">
        <v>204</v>
      </c>
      <c r="Q24" s="116">
        <v>10536476</v>
      </c>
      <c r="R24" s="116"/>
      <c r="S24" s="116">
        <v>56384.03</v>
      </c>
      <c r="T24" s="130">
        <f t="shared" si="1"/>
        <v>186.86986368303224</v>
      </c>
      <c r="U24" s="78"/>
    </row>
    <row r="25" spans="1:21" s="92" customFormat="1" ht="13.2" hidden="1">
      <c r="A25" s="129" t="s">
        <v>217</v>
      </c>
      <c r="B25" s="131">
        <f>SUM(F23:F25)</f>
        <v>1635329.5192526772</v>
      </c>
      <c r="C25" s="131">
        <f>AVERAGE(F23:F25)</f>
        <v>545109.83975089237</v>
      </c>
      <c r="D25" s="90">
        <f>C25/C22-1</f>
        <v>0.35969715687446202</v>
      </c>
      <c r="E25" s="286">
        <f>C25/C13-1</f>
        <v>0.49275720554667668</v>
      </c>
      <c r="F25" s="78">
        <f>Q25/19</f>
        <v>689639.31578947371</v>
      </c>
      <c r="G25" s="90">
        <f t="shared" si="2"/>
        <v>0.43995629538456882</v>
      </c>
      <c r="H25" s="90">
        <f t="shared" si="3"/>
        <v>0.68276310686211183</v>
      </c>
      <c r="I25" s="130">
        <f t="shared" si="0"/>
        <v>211.45704095794468</v>
      </c>
      <c r="J25" s="130">
        <f t="shared" si="4"/>
        <v>0.67855465118970049</v>
      </c>
      <c r="K25" s="78">
        <f>R23+R24+R25</f>
        <v>0</v>
      </c>
      <c r="L25" s="90">
        <f>U25/U22-1</f>
        <v>0.3474704164769189</v>
      </c>
      <c r="M25" s="90">
        <f>U25/U13-1</f>
        <v>0.45959594923550928</v>
      </c>
      <c r="N25" s="88">
        <f>AVERAGE(T23:T25)</f>
        <v>176.46858957983002</v>
      </c>
      <c r="O25" s="91">
        <f>N25/N22-1</f>
        <v>0.45719479950486863</v>
      </c>
      <c r="P25" s="129" t="s">
        <v>217</v>
      </c>
      <c r="Q25" s="116">
        <v>13103147</v>
      </c>
      <c r="R25" s="116"/>
      <c r="S25" s="116">
        <v>61966</v>
      </c>
      <c r="T25" s="130">
        <f t="shared" si="1"/>
        <v>211.45704095794468</v>
      </c>
      <c r="U25" s="85">
        <f>Q23+Q24+Q25</f>
        <v>33441572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446668.10526315792</v>
      </c>
      <c r="G26" s="90">
        <f t="shared" si="2"/>
        <v>-0.35231635575789544</v>
      </c>
      <c r="H26" s="90">
        <f t="shared" si="3"/>
        <v>0.59332441525119717</v>
      </c>
      <c r="I26" s="130">
        <f t="shared" si="0"/>
        <v>213.96125464929335</v>
      </c>
      <c r="J26" s="130">
        <f t="shared" si="4"/>
        <v>0.3367674674439376</v>
      </c>
      <c r="K26" s="79"/>
      <c r="L26" s="90"/>
      <c r="M26" s="90"/>
      <c r="N26" s="79"/>
      <c r="O26" s="79"/>
      <c r="P26" s="129" t="s">
        <v>312</v>
      </c>
      <c r="Q26" s="116">
        <v>8486694</v>
      </c>
      <c r="R26" s="116"/>
      <c r="S26" s="116">
        <v>39664.629999999997</v>
      </c>
      <c r="T26" s="130">
        <f t="shared" si="1"/>
        <v>213.96125464929335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732404.54545454541</v>
      </c>
      <c r="G27" s="90">
        <f t="shared" si="2"/>
        <v>0.63970638786273692</v>
      </c>
      <c r="H27" s="90">
        <f t="shared" si="3"/>
        <v>0.81808621683957927</v>
      </c>
      <c r="I27" s="130">
        <f t="shared" si="0"/>
        <v>150.71260388154943</v>
      </c>
      <c r="J27" s="130">
        <f t="shared" si="4"/>
        <v>9.4931732413291003E-2</v>
      </c>
      <c r="K27" s="79"/>
      <c r="L27" s="90"/>
      <c r="M27" s="90"/>
      <c r="N27" s="79"/>
      <c r="O27" s="79"/>
      <c r="P27" s="129" t="s">
        <v>375</v>
      </c>
      <c r="Q27" s="116">
        <v>16112900</v>
      </c>
      <c r="R27" s="116"/>
      <c r="S27" s="116">
        <v>106911.43</v>
      </c>
      <c r="T27" s="130">
        <f t="shared" si="1"/>
        <v>150.71260388154943</v>
      </c>
      <c r="U27" s="78"/>
    </row>
    <row r="28" spans="1:21" s="92" customFormat="1" ht="13.2" hidden="1">
      <c r="A28" s="123" t="s">
        <v>413</v>
      </c>
      <c r="B28" s="131">
        <f>SUM(F26:F28)</f>
        <v>1896855.4928229665</v>
      </c>
      <c r="C28" s="131">
        <f>AVERAGE(F26:F28)</f>
        <v>632285.16427432222</v>
      </c>
      <c r="D28" s="90">
        <f>C28/C25-1</f>
        <v>0.15992249298465744</v>
      </c>
      <c r="E28" s="286">
        <f>C28/C16-1</f>
        <v>0.80594860421160863</v>
      </c>
      <c r="F28" s="78">
        <f>Q28/19</f>
        <v>717782.84210526315</v>
      </c>
      <c r="G28" s="90">
        <f t="shared" si="2"/>
        <v>-1.9963971332547792E-2</v>
      </c>
      <c r="H28" s="90">
        <f t="shared" si="3"/>
        <v>0.95497741257486624</v>
      </c>
      <c r="I28" s="130">
        <f t="shared" si="0"/>
        <v>228.38684849361758</v>
      </c>
      <c r="J28" s="130">
        <f t="shared" si="4"/>
        <v>0.58170851909584353</v>
      </c>
      <c r="K28" s="78">
        <f>R26+R27+R28</f>
        <v>0</v>
      </c>
      <c r="L28" s="90">
        <f>U28/U25-1</f>
        <v>0.14341120088493442</v>
      </c>
      <c r="M28" s="90">
        <f>U28/U16-1</f>
        <v>0.69591927883176075</v>
      </c>
      <c r="N28" s="88">
        <f>AVERAGE(T26:T28)</f>
        <v>197.68690234148679</v>
      </c>
      <c r="O28" s="91">
        <f>N28/N25-1</f>
        <v>0.12023846743591804</v>
      </c>
      <c r="P28" s="129" t="s">
        <v>413</v>
      </c>
      <c r="Q28" s="116">
        <v>13637874</v>
      </c>
      <c r="R28" s="116"/>
      <c r="S28" s="116">
        <v>59713.919999999998</v>
      </c>
      <c r="T28" s="130">
        <f t="shared" si="1"/>
        <v>228.38684849361758</v>
      </c>
      <c r="U28" s="85">
        <f>Q26+Q27+Q28</f>
        <v>38237468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742576.63636363635</v>
      </c>
      <c r="G29" s="190">
        <f t="shared" si="2"/>
        <v>3.4542194106580659E-2</v>
      </c>
      <c r="H29" s="190">
        <f t="shared" si="3"/>
        <v>1.1700381430354265</v>
      </c>
      <c r="I29" s="130">
        <f t="shared" si="0"/>
        <v>185.37793110303633</v>
      </c>
      <c r="J29" s="130">
        <f t="shared" si="4"/>
        <v>5.8616535514115498E-3</v>
      </c>
      <c r="K29" s="136"/>
      <c r="L29" s="190"/>
      <c r="M29" s="190"/>
      <c r="N29" s="191"/>
      <c r="O29" s="192"/>
      <c r="P29" s="129" t="s">
        <v>426</v>
      </c>
      <c r="Q29" s="116">
        <v>16336686</v>
      </c>
      <c r="R29" s="116">
        <v>21543446904</v>
      </c>
      <c r="S29" s="116">
        <v>88126.38</v>
      </c>
      <c r="T29" s="130">
        <f t="shared" si="1"/>
        <v>185.37793110303633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887734.10526315786</v>
      </c>
      <c r="G30" s="190">
        <f t="shared" si="2"/>
        <v>0.19547809854394416</v>
      </c>
      <c r="H30" s="190">
        <f t="shared" si="3"/>
        <v>2.1623567728213691</v>
      </c>
      <c r="I30" s="130">
        <f t="shared" si="0"/>
        <v>256.07468349241577</v>
      </c>
      <c r="J30" s="130">
        <f t="shared" si="4"/>
        <v>0.41687439885136857</v>
      </c>
      <c r="K30" s="136"/>
      <c r="L30" s="190"/>
      <c r="M30" s="190"/>
      <c r="N30" s="191"/>
      <c r="O30" s="192"/>
      <c r="P30" s="129" t="s">
        <v>466</v>
      </c>
      <c r="Q30" s="116">
        <v>16866948</v>
      </c>
      <c r="R30" s="116">
        <v>22452797835</v>
      </c>
      <c r="S30" s="116">
        <v>65867.3</v>
      </c>
      <c r="T30" s="130">
        <f t="shared" si="1"/>
        <v>256.07468349241577</v>
      </c>
      <c r="U30" s="85"/>
    </row>
    <row r="31" spans="1:21" s="92" customFormat="1" ht="13.2" hidden="1">
      <c r="A31" s="129" t="s">
        <v>505</v>
      </c>
      <c r="B31" s="188">
        <f>SUM(F29:F31)</f>
        <v>2458960.5916267941</v>
      </c>
      <c r="C31" s="188">
        <f>AVERAGE(F29:F31)</f>
        <v>819653.53054226469</v>
      </c>
      <c r="D31" s="190">
        <f>C31/C28-1</f>
        <v>0.29633522476047069</v>
      </c>
      <c r="E31" s="287">
        <f>C31/C19-1</f>
        <v>1.7114119365290015</v>
      </c>
      <c r="F31" s="136">
        <f>Q31/20</f>
        <v>828649.85</v>
      </c>
      <c r="G31" s="190">
        <f t="shared" ref="G31" si="5">F31/F30-1</f>
        <v>-6.6556252500452384E-2</v>
      </c>
      <c r="H31" s="190">
        <f t="shared" ref="H31" si="6">F31/F19-1</f>
        <v>1.9180001987985333</v>
      </c>
      <c r="I31" s="130">
        <f t="shared" si="0"/>
        <v>222.84276586472569</v>
      </c>
      <c r="J31" s="130">
        <f t="shared" si="4"/>
        <v>0.88002778678422899</v>
      </c>
      <c r="K31" s="136">
        <f>R29+R30+R31</f>
        <v>66026124769</v>
      </c>
      <c r="L31" s="190">
        <f>U31/U28-1</f>
        <v>0.30177633623648936</v>
      </c>
      <c r="M31" s="190">
        <f>U31/U19-1</f>
        <v>1.6610240193719408</v>
      </c>
      <c r="N31" s="191">
        <f>AVERAGE(T29:T31)</f>
        <v>221.43179348672595</v>
      </c>
      <c r="O31" s="192">
        <f>N31/N28-1</f>
        <v>0.12011362849027774</v>
      </c>
      <c r="P31" s="129" t="s">
        <v>506</v>
      </c>
      <c r="Q31" s="116">
        <v>16572997</v>
      </c>
      <c r="R31" s="116">
        <v>22029880030</v>
      </c>
      <c r="S31" s="116">
        <v>74370.81</v>
      </c>
      <c r="T31" s="130">
        <f t="shared" ref="T31" si="7">Q31/S31</f>
        <v>222.84276586472569</v>
      </c>
      <c r="U31" s="85">
        <f>Q29+Q30+Q31</f>
        <v>49776631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832234.80952380947</v>
      </c>
      <c r="G32" s="190">
        <f t="shared" ref="G32" si="8">F32/F31-1</f>
        <v>4.3262658212144256E-3</v>
      </c>
      <c r="H32" s="190">
        <f t="shared" ref="H32" si="9">F32/F20-1</f>
        <v>0.89576034309915697</v>
      </c>
      <c r="I32" s="130">
        <f t="shared" si="0"/>
        <v>247.83125173356356</v>
      </c>
      <c r="J32" s="130">
        <f t="shared" si="4"/>
        <v>1.3134850345122078</v>
      </c>
      <c r="K32" s="136"/>
      <c r="L32" s="190"/>
      <c r="M32" s="190"/>
      <c r="N32" s="191"/>
      <c r="O32" s="192"/>
      <c r="P32" s="129" t="s">
        <v>592</v>
      </c>
      <c r="Q32" s="116">
        <v>17476931</v>
      </c>
      <c r="R32" s="116">
        <v>23813113112</v>
      </c>
      <c r="S32" s="116">
        <v>70519.48</v>
      </c>
      <c r="T32" s="130">
        <f t="shared" ref="T32" si="10">Q32/S32</f>
        <v>247.83125173356356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551573.09523809527</v>
      </c>
      <c r="G33" s="190">
        <f t="shared" ref="G33" si="11">F33/F32-1</f>
        <v>-0.33723861472017014</v>
      </c>
      <c r="H33" s="190">
        <f t="shared" ref="H33" si="12">F33/F21-1</f>
        <v>0.48607083826689479</v>
      </c>
      <c r="I33" s="130">
        <f t="shared" si="0"/>
        <v>185.9603789836348</v>
      </c>
      <c r="J33" s="130">
        <f t="shared" si="4"/>
        <v>0.92915137970980655</v>
      </c>
      <c r="K33" s="136"/>
      <c r="L33" s="190"/>
      <c r="M33" s="190"/>
      <c r="N33" s="191"/>
      <c r="O33" s="192"/>
      <c r="P33" s="129" t="s">
        <v>609</v>
      </c>
      <c r="Q33" s="116">
        <v>11583035</v>
      </c>
      <c r="R33" s="116">
        <v>15851963798</v>
      </c>
      <c r="S33" s="116">
        <v>62287.65</v>
      </c>
      <c r="T33" s="130">
        <f t="shared" ref="T33" si="13">Q33/S33</f>
        <v>185.9603789836348</v>
      </c>
      <c r="U33" s="85"/>
    </row>
    <row r="34" spans="1:21" s="92" customFormat="1" ht="13.2" hidden="1">
      <c r="A34" s="129" t="s">
        <v>652</v>
      </c>
      <c r="B34" s="188">
        <f>SUM(F32:F34)</f>
        <v>2352776.1679197997</v>
      </c>
      <c r="C34" s="188">
        <f>AVERAGE(F32:F34)</f>
        <v>784258.72263993323</v>
      </c>
      <c r="D34" s="190">
        <f>C34/C31-1</f>
        <v>-4.3182645573325407E-2</v>
      </c>
      <c r="E34" s="287">
        <f>C34/C22-1</f>
        <v>0.95621923815358678</v>
      </c>
      <c r="F34" s="136">
        <f>Q34/19</f>
        <v>968968.26315789472</v>
      </c>
      <c r="G34" s="190">
        <f t="shared" ref="G34" si="14">F34/F33-1</f>
        <v>0.75673590957083259</v>
      </c>
      <c r="H34" s="190">
        <f t="shared" ref="H34" si="15">F34/F22-1</f>
        <v>1.4683564781002203</v>
      </c>
      <c r="I34" s="130">
        <f t="shared" si="0"/>
        <v>282.70256906753929</v>
      </c>
      <c r="J34" s="130">
        <f t="shared" si="4"/>
        <v>0.76926650801271723</v>
      </c>
      <c r="K34" s="136">
        <f>R32+R33+R34</f>
        <v>64955135042</v>
      </c>
      <c r="L34" s="190">
        <f>U34/U31-1</f>
        <v>-4.6332344187777541E-2</v>
      </c>
      <c r="M34" s="190">
        <f>U34/U22-1</f>
        <v>0.91273633314607716</v>
      </c>
      <c r="N34" s="191">
        <f>AVERAGE(T32:T34)</f>
        <v>238.8313999282459</v>
      </c>
      <c r="O34" s="192">
        <f>N34/N31-1</f>
        <v>7.8577724397842497E-2</v>
      </c>
      <c r="P34" s="129" t="s">
        <v>652</v>
      </c>
      <c r="Q34" s="116">
        <v>18410397</v>
      </c>
      <c r="R34" s="116">
        <v>25290058132</v>
      </c>
      <c r="S34" s="116">
        <v>65122.85</v>
      </c>
      <c r="T34" s="130">
        <f t="shared" ref="T34" si="16">Q34/S34</f>
        <v>282.70256906753929</v>
      </c>
      <c r="U34" s="85">
        <f>Q32+Q33+Q34</f>
        <v>47470363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374942.47826086957</v>
      </c>
      <c r="G35" s="190">
        <f t="shared" ref="G35" si="17">F35/F34-1</f>
        <v>-0.61304978448012171</v>
      </c>
      <c r="H35" s="190">
        <f t="shared" ref="H35" si="18">F35/F23-1</f>
        <v>-0.19671158833021263</v>
      </c>
      <c r="I35" s="130">
        <f t="shared" si="0"/>
        <v>184.28822099002639</v>
      </c>
      <c r="J35" s="130">
        <f t="shared" si="4"/>
        <v>0.40593391816031743</v>
      </c>
      <c r="K35" s="136"/>
      <c r="L35" s="190"/>
      <c r="M35" s="190"/>
      <c r="N35" s="191"/>
      <c r="O35" s="192"/>
      <c r="P35" s="129" t="s">
        <v>660</v>
      </c>
      <c r="Q35" s="116">
        <v>8623677</v>
      </c>
      <c r="R35" s="116">
        <v>11930760026</v>
      </c>
      <c r="S35" s="116">
        <v>46794.51</v>
      </c>
      <c r="T35" s="130">
        <f t="shared" ref="T35" si="19">Q35/S35</f>
        <v>184.28822099002639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956601.95238095243</v>
      </c>
      <c r="G36" s="190">
        <f t="shared" ref="G36" si="20">F36/F35-1</f>
        <v>1.551329891502419</v>
      </c>
      <c r="H36" s="190">
        <f t="shared" ref="H36" si="21">F36/F24-1</f>
        <v>0.99737017883217804</v>
      </c>
      <c r="I36" s="130">
        <f t="shared" si="0"/>
        <v>302.52451118806505</v>
      </c>
      <c r="J36" s="130">
        <f t="shared" si="4"/>
        <v>0.61890475663430489</v>
      </c>
      <c r="K36" s="136"/>
      <c r="L36" s="190"/>
      <c r="M36" s="190"/>
      <c r="N36" s="191"/>
      <c r="O36" s="192"/>
      <c r="P36" s="129" t="s">
        <v>664</v>
      </c>
      <c r="Q36" s="116">
        <v>20088641</v>
      </c>
      <c r="R36" s="116">
        <v>27399640827</v>
      </c>
      <c r="S36" s="116">
        <v>66403.350000000006</v>
      </c>
      <c r="T36" s="130">
        <f t="shared" ref="T36" si="22">Q36/S36</f>
        <v>302.52451118806505</v>
      </c>
      <c r="U36" s="85"/>
    </row>
    <row r="37" spans="1:21" s="92" customFormat="1" ht="13.2" hidden="1">
      <c r="A37" s="129" t="s">
        <v>702</v>
      </c>
      <c r="B37" s="188">
        <f>SUM(F35:F37)</f>
        <v>3078822.7084195996</v>
      </c>
      <c r="C37" s="188">
        <f>AVERAGE(F35:F37)</f>
        <v>1026274.2361398665</v>
      </c>
      <c r="D37" s="190">
        <f>C37/C34-1</f>
        <v>0.30859142080724666</v>
      </c>
      <c r="E37" s="287">
        <f>C37/C25-1</f>
        <v>0.88269255350235398</v>
      </c>
      <c r="F37" s="136">
        <f>Q37/18</f>
        <v>1747278.2777777778</v>
      </c>
      <c r="G37" s="190">
        <f t="shared" ref="G37" si="23">F37/F36-1</f>
        <v>0.82654684472350981</v>
      </c>
      <c r="H37" s="190">
        <f t="shared" ref="H37" si="24">F37/F25-1</f>
        <v>1.5336117558459641</v>
      </c>
      <c r="I37" s="130">
        <f t="shared" si="0"/>
        <v>358.69160571100832</v>
      </c>
      <c r="J37" s="130">
        <f t="shared" si="4"/>
        <v>0.69628594104060193</v>
      </c>
      <c r="K37" s="136">
        <f>R35+R36+R37</f>
        <v>81330665007</v>
      </c>
      <c r="L37" s="190">
        <f>U37/U34-1</f>
        <v>0.26738712741674209</v>
      </c>
      <c r="M37" s="190">
        <f>U37/U25-1</f>
        <v>0.7990579808867837</v>
      </c>
      <c r="N37" s="191">
        <f>AVERAGE(T35:T37)</f>
        <v>281.83477929636661</v>
      </c>
      <c r="O37" s="192">
        <f>N37/N34-1</f>
        <v>0.18005747728749477</v>
      </c>
      <c r="P37" s="129" t="s">
        <v>702</v>
      </c>
      <c r="Q37" s="116">
        <v>31451009</v>
      </c>
      <c r="R37" s="116">
        <v>42000264154</v>
      </c>
      <c r="S37" s="116">
        <v>87682.59</v>
      </c>
      <c r="T37" s="130">
        <f t="shared" ref="T37" si="25">Q37/S37</f>
        <v>358.69160571100832</v>
      </c>
      <c r="U37" s="85">
        <f>Q35+Q36+Q37</f>
        <v>60163327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1088804.8999999999</v>
      </c>
      <c r="G38" s="190">
        <f t="shared" ref="G38" si="26">F38/F37-1</f>
        <v>-0.37685661531558501</v>
      </c>
      <c r="H38" s="190">
        <f t="shared" ref="H38" si="27">F38/F26-1</f>
        <v>1.4376150595273018</v>
      </c>
      <c r="I38" s="130">
        <f t="shared" si="0"/>
        <v>203.15953829553126</v>
      </c>
      <c r="J38" s="130">
        <f t="shared" si="4"/>
        <v>-5.0484450427566108E-2</v>
      </c>
      <c r="K38" s="136"/>
      <c r="L38" s="190"/>
      <c r="M38" s="190"/>
      <c r="N38" s="191"/>
      <c r="O38" s="192"/>
      <c r="P38" s="129" t="s">
        <v>728</v>
      </c>
      <c r="Q38" s="116">
        <v>21776098</v>
      </c>
      <c r="R38" s="116">
        <v>29121384899</v>
      </c>
      <c r="S38" s="116">
        <v>107187.18</v>
      </c>
      <c r="T38" s="130">
        <f t="shared" ref="T38" si="28">Q38/S38</f>
        <v>203.15953829553126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757000.38095238095</v>
      </c>
      <c r="G39" s="190">
        <f t="shared" ref="G39" si="29">F39/F38-1</f>
        <v>-0.30474194141449862</v>
      </c>
      <c r="H39" s="190">
        <f t="shared" ref="H39" si="30">F39/F27-1</f>
        <v>3.3582308644153569E-2</v>
      </c>
      <c r="I39" s="130">
        <f t="shared" si="0"/>
        <v>195.25900516096669</v>
      </c>
      <c r="J39" s="130">
        <f t="shared" si="4"/>
        <v>0.29557183760442429</v>
      </c>
      <c r="K39" s="136"/>
      <c r="L39" s="190"/>
      <c r="M39" s="190"/>
      <c r="N39" s="191"/>
      <c r="O39" s="192"/>
      <c r="P39" s="129" t="s">
        <v>762</v>
      </c>
      <c r="Q39" s="116">
        <v>15897008</v>
      </c>
      <c r="R39" s="116">
        <v>22080726030</v>
      </c>
      <c r="S39" s="116">
        <v>81414.98</v>
      </c>
      <c r="T39" s="130">
        <f t="shared" ref="T39" si="31">Q39/S39</f>
        <v>195.25900516096669</v>
      </c>
      <c r="U39" s="85"/>
    </row>
    <row r="40" spans="1:21" s="92" customFormat="1" ht="13.2" hidden="1">
      <c r="A40" s="129" t="s">
        <v>778</v>
      </c>
      <c r="B40" s="188">
        <f>SUM(F38:F40)</f>
        <v>2662101.4238095237</v>
      </c>
      <c r="C40" s="188">
        <f>AVERAGE(F38:F40)</f>
        <v>887367.14126984123</v>
      </c>
      <c r="D40" s="190">
        <f>C40/C37-1</f>
        <v>-0.13535085455569618</v>
      </c>
      <c r="E40" s="287">
        <f>C40/C28-1</f>
        <v>0.40342869231840717</v>
      </c>
      <c r="F40" s="136">
        <f>Q40/21</f>
        <v>816296.14285714284</v>
      </c>
      <c r="G40" s="190">
        <f t="shared" ref="G40" si="32">F40/F39-1</f>
        <v>7.8329897047293429E-2</v>
      </c>
      <c r="H40" s="190">
        <f t="shared" ref="H40" si="33">F40/F28-1</f>
        <v>0.13724666427375065</v>
      </c>
      <c r="I40" s="130">
        <f t="shared" si="0"/>
        <v>225.50453726381329</v>
      </c>
      <c r="J40" s="130">
        <f t="shared" si="4"/>
        <v>-1.2620303002625954E-2</v>
      </c>
      <c r="K40" s="136">
        <f>R38+R39+R40</f>
        <v>75521355942</v>
      </c>
      <c r="L40" s="190">
        <f>U40/U37-1</f>
        <v>-8.8891393921749051E-2</v>
      </c>
      <c r="M40" s="190">
        <f>U40/U28-1</f>
        <v>0.4335500718823746</v>
      </c>
      <c r="N40" s="191">
        <f>AVERAGE(T38:T40)</f>
        <v>207.97436024010372</v>
      </c>
      <c r="O40" s="192">
        <f>N40/N37-1</f>
        <v>-0.26206992352279601</v>
      </c>
      <c r="P40" s="129" t="s">
        <v>778</v>
      </c>
      <c r="Q40" s="116">
        <v>17142219</v>
      </c>
      <c r="R40" s="116">
        <v>24319245013</v>
      </c>
      <c r="S40" s="116">
        <v>76017.179999999993</v>
      </c>
      <c r="T40" s="130">
        <f t="shared" ref="T40" si="34">Q40/S40</f>
        <v>225.50453726381329</v>
      </c>
      <c r="U40" s="85">
        <f>Q38+Q39+Q40</f>
        <v>54815325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951590.9444444445</v>
      </c>
      <c r="G41" s="190">
        <f t="shared" ref="G41" si="35">F41/F40-1</f>
        <v>0.16574230170162529</v>
      </c>
      <c r="H41" s="190">
        <f t="shared" ref="H41" si="36">F41/F29-1</f>
        <v>0.28147169981584885</v>
      </c>
      <c r="I41" s="130">
        <f t="shared" si="0"/>
        <v>202.900571874511</v>
      </c>
      <c r="J41" s="130">
        <f t="shared" si="4"/>
        <v>9.4523877072159479E-2</v>
      </c>
      <c r="K41" s="194"/>
      <c r="L41" s="202"/>
      <c r="M41" s="202"/>
      <c r="N41" s="194"/>
      <c r="O41" s="194"/>
      <c r="P41" s="129" t="s">
        <v>793</v>
      </c>
      <c r="Q41" s="116">
        <v>17128637</v>
      </c>
      <c r="R41" s="116">
        <v>25090501110</v>
      </c>
      <c r="S41" s="116">
        <v>84418.87</v>
      </c>
      <c r="T41" s="130">
        <f t="shared" ref="T41" si="37">Q41/S41</f>
        <v>202.900571874511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516599.5</v>
      </c>
      <c r="G42" s="190">
        <f t="shared" ref="G42" si="38">F42/F41-1</f>
        <v>-0.45712020168329803</v>
      </c>
      <c r="H42" s="190">
        <f t="shared" ref="H42" si="39">F42/F30-1</f>
        <v>-0.41806955828641912</v>
      </c>
      <c r="I42" s="130">
        <f t="shared" si="0"/>
        <v>178.03505081378916</v>
      </c>
      <c r="J42" s="130">
        <f t="shared" si="4"/>
        <v>-0.30475340870991618</v>
      </c>
      <c r="K42" s="194"/>
      <c r="L42" s="202"/>
      <c r="M42" s="202"/>
      <c r="N42" s="194"/>
      <c r="O42" s="194"/>
      <c r="P42" s="129" t="s">
        <v>826</v>
      </c>
      <c r="Q42" s="116">
        <v>10331990</v>
      </c>
      <c r="R42" s="116">
        <v>14941704526</v>
      </c>
      <c r="S42" s="116">
        <v>58033.46</v>
      </c>
      <c r="T42" s="130">
        <f t="shared" ref="T42" si="40">Q42/S42</f>
        <v>178.03505081378916</v>
      </c>
      <c r="U42" s="175"/>
    </row>
    <row r="43" spans="1:21" s="92" customFormat="1" ht="13.2">
      <c r="A43" s="129" t="s">
        <v>835</v>
      </c>
      <c r="B43" s="188">
        <f>SUM(F41:F43)</f>
        <v>1982527.2944444446</v>
      </c>
      <c r="C43" s="188">
        <f>AVERAGE(F41:F43)</f>
        <v>660842.43148148153</v>
      </c>
      <c r="D43" s="190">
        <f>C43/C40-1</f>
        <v>-0.25527732463047714</v>
      </c>
      <c r="E43" s="287">
        <f>C43/C31-1</f>
        <v>-0.193753937661584</v>
      </c>
      <c r="F43" s="136">
        <f>Q43/20</f>
        <v>514336.85</v>
      </c>
      <c r="G43" s="190">
        <f t="shared" ref="G43" si="41">F43/F42-1</f>
        <v>-4.379891966600824E-3</v>
      </c>
      <c r="H43" s="190">
        <f t="shared" ref="H43" si="42">F43/F31-1</f>
        <v>-0.37930737572691287</v>
      </c>
      <c r="I43" s="130">
        <f t="shared" si="0"/>
        <v>138.14550463008101</v>
      </c>
      <c r="J43" s="130">
        <f t="shared" si="4"/>
        <v>-0.38007633277204633</v>
      </c>
      <c r="K43" s="136">
        <f>R41+R42+R43</f>
        <v>54962523167</v>
      </c>
      <c r="L43" s="190">
        <f>U43/U40-1</f>
        <v>-0.31137206611472246</v>
      </c>
      <c r="M43" s="190">
        <f>K43/K31-1</f>
        <v>-0.16756400047265052</v>
      </c>
      <c r="N43" s="191">
        <f>AVERAGE(T41:T43)</f>
        <v>173.02704243946039</v>
      </c>
      <c r="O43" s="192">
        <f>N43/N40-1</f>
        <v>-0.16803666452103572</v>
      </c>
      <c r="P43" s="129" t="s">
        <v>835</v>
      </c>
      <c r="Q43" s="116">
        <v>10286737</v>
      </c>
      <c r="R43" s="116">
        <v>14930317531</v>
      </c>
      <c r="S43" s="116">
        <v>74463.06</v>
      </c>
      <c r="T43" s="130">
        <f t="shared" ref="T43" si="43">Q43/S43</f>
        <v>138.14550463008101</v>
      </c>
      <c r="U43" s="85">
        <f>Q41+Q42+Q43</f>
        <v>37747364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561334.72727272729</v>
      </c>
      <c r="G44" s="190">
        <f t="shared" ref="G44" si="44">F44/F43-1</f>
        <v>9.1375675829424408E-2</v>
      </c>
      <c r="H44" s="190">
        <f t="shared" ref="H44" si="45">F44/F32-1</f>
        <v>-0.32550919422138391</v>
      </c>
      <c r="I44" s="130">
        <f t="shared" si="0"/>
        <v>170.10152622673621</v>
      </c>
      <c r="J44" s="130">
        <f t="shared" si="4"/>
        <v>-0.31363972446216104</v>
      </c>
      <c r="K44" s="136"/>
      <c r="L44" s="190"/>
      <c r="M44" s="190"/>
      <c r="N44" s="191"/>
      <c r="O44" s="192"/>
      <c r="P44" s="129" t="s">
        <v>843</v>
      </c>
      <c r="Q44" s="116">
        <v>12349364</v>
      </c>
      <c r="R44" s="116">
        <v>17939194668</v>
      </c>
      <c r="S44" s="116">
        <v>72599.960000000006</v>
      </c>
      <c r="T44" s="130">
        <f t="shared" ref="T44" si="46">Q44/S44</f>
        <v>170.10152622673621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567415.85</v>
      </c>
      <c r="G45" s="190">
        <f t="shared" ref="G45" si="47">F45/F44-1</f>
        <v>1.0833327125186365E-2</v>
      </c>
      <c r="H45" s="190">
        <f t="shared" ref="H45" si="48">F45/F33-1</f>
        <v>2.8722856315292145E-2</v>
      </c>
      <c r="I45" s="130">
        <f t="shared" si="0"/>
        <v>155.89041325465584</v>
      </c>
      <c r="J45" s="130">
        <f t="shared" si="4"/>
        <v>-0.16170092733369412</v>
      </c>
      <c r="K45" s="136"/>
      <c r="L45" s="190"/>
      <c r="M45" s="190"/>
      <c r="N45" s="191"/>
      <c r="O45" s="192"/>
      <c r="P45" s="129" t="s">
        <v>849</v>
      </c>
      <c r="Q45" s="116">
        <v>11348317</v>
      </c>
      <c r="R45" s="116">
        <v>15948383132</v>
      </c>
      <c r="S45" s="116">
        <v>72796.759999999995</v>
      </c>
      <c r="T45" s="130">
        <f t="shared" ref="T45" si="49">Q45/S45</f>
        <v>155.89041325465584</v>
      </c>
      <c r="U45" s="85"/>
    </row>
    <row r="46" spans="1:21" s="92" customFormat="1" ht="13.2">
      <c r="A46" s="129" t="s">
        <v>888</v>
      </c>
      <c r="B46" s="188">
        <f>SUM(F44:F46)</f>
        <v>2076842.1562200957</v>
      </c>
      <c r="C46" s="188">
        <f>AVERAGE(F44:F46)</f>
        <v>692280.71874003194</v>
      </c>
      <c r="D46" s="190">
        <f>C46/C43-1</f>
        <v>4.757304579863586E-2</v>
      </c>
      <c r="E46" s="287">
        <f>C46/C34-1</f>
        <v>-0.11728017967117976</v>
      </c>
      <c r="F46" s="136">
        <f>Q46/19</f>
        <v>948091.57894736843</v>
      </c>
      <c r="G46" s="190">
        <f t="shared" ref="G46" si="50">F46/F45-1</f>
        <v>0.67089371745143955</v>
      </c>
      <c r="H46" s="190">
        <f t="shared" ref="H46" si="51">F46/F34-1</f>
        <v>-2.1545271402892641E-2</v>
      </c>
      <c r="I46" s="130">
        <f t="shared" si="0"/>
        <v>303.18035974196818</v>
      </c>
      <c r="J46" s="130">
        <f t="shared" si="4"/>
        <v>7.2435813873119148E-2</v>
      </c>
      <c r="K46" s="136">
        <f>R44+R45+R46</f>
        <v>58552494208</v>
      </c>
      <c r="L46" s="190">
        <f>U46/U43-1</f>
        <v>0.10501546545077955</v>
      </c>
      <c r="M46" s="190">
        <f>K46/K34-1</f>
        <v>-9.8570202800133511E-2</v>
      </c>
      <c r="N46" s="191">
        <f>AVERAGE(T44:T46)</f>
        <v>209.72409974112006</v>
      </c>
      <c r="O46" s="192">
        <f>N46/N43-1</f>
        <v>0.21208856595060532</v>
      </c>
      <c r="P46" s="129" t="s">
        <v>952</v>
      </c>
      <c r="Q46" s="116">
        <v>18013740</v>
      </c>
      <c r="R46" s="116">
        <v>24664916408</v>
      </c>
      <c r="S46" s="116">
        <v>59415.92</v>
      </c>
      <c r="T46" s="130">
        <f t="shared" ref="T46" si="52">Q46/S46</f>
        <v>303.18035974196818</v>
      </c>
      <c r="U46" s="85">
        <f t="shared" ref="U46:U51" si="53">Q44+Q45+Q46</f>
        <v>41711421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496725.04347826086</v>
      </c>
      <c r="G47" s="190">
        <f t="shared" ref="G47" si="54">F47/F46-1</f>
        <v>-0.476079047100327</v>
      </c>
      <c r="H47" s="190">
        <f t="shared" ref="H47" si="55">F47/F35-1</f>
        <v>0.32480332925270727</v>
      </c>
      <c r="I47" s="130">
        <f t="shared" si="0"/>
        <v>171.52852085973583</v>
      </c>
      <c r="J47" s="130">
        <f t="shared" si="4"/>
        <v>-6.9237741086995985E-2</v>
      </c>
      <c r="K47" s="136"/>
      <c r="L47" s="190"/>
      <c r="M47" s="190"/>
      <c r="N47" s="191"/>
      <c r="O47" s="192"/>
      <c r="P47" s="129" t="s">
        <v>991</v>
      </c>
      <c r="Q47" s="116">
        <v>11424676</v>
      </c>
      <c r="R47" s="116">
        <v>15677121133</v>
      </c>
      <c r="S47" s="116">
        <v>66605.11</v>
      </c>
      <c r="T47" s="130">
        <f t="shared" ref="T47:T53" si="56">Q47/S47</f>
        <v>171.52852085973583</v>
      </c>
      <c r="U47" s="85">
        <f t="shared" si="53"/>
        <v>40786733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524416.55000000005</v>
      </c>
      <c r="G48" s="190">
        <f t="shared" ref="G48" si="57">F48/F47-1</f>
        <v>5.5748158634870704E-2</v>
      </c>
      <c r="H48" s="190">
        <f t="shared" ref="H48" si="58">F48/F36-1</f>
        <v>-0.45179230640838275</v>
      </c>
      <c r="I48" s="130">
        <f t="shared" si="0"/>
        <v>169.48186530171927</v>
      </c>
      <c r="J48" s="130">
        <f t="shared" si="4"/>
        <v>-0.43977476523758274</v>
      </c>
      <c r="K48" s="136"/>
      <c r="L48" s="190"/>
      <c r="M48" s="190"/>
      <c r="N48" s="191"/>
      <c r="O48" s="192"/>
      <c r="P48" s="129" t="s">
        <v>1070</v>
      </c>
      <c r="Q48" s="116">
        <v>10488331</v>
      </c>
      <c r="R48" s="116">
        <v>14550398842</v>
      </c>
      <c r="S48" s="116">
        <v>61884.68</v>
      </c>
      <c r="T48" s="130">
        <f t="shared" si="56"/>
        <v>169.48186530171927</v>
      </c>
      <c r="U48" s="85">
        <f t="shared" si="53"/>
        <v>39926747</v>
      </c>
    </row>
    <row r="49" spans="1:26" ht="13.2">
      <c r="A49" s="129" t="s">
        <v>1158</v>
      </c>
      <c r="B49" s="188">
        <f>SUM(F47:F49)</f>
        <v>1824155.9571146246</v>
      </c>
      <c r="C49" s="188">
        <f>AVERAGE(F47:F49)</f>
        <v>608051.98570487485</v>
      </c>
      <c r="D49" s="190">
        <f>C49/C46-1</f>
        <v>-0.12166846592009017</v>
      </c>
      <c r="E49" s="287">
        <f>C49/C37-1</f>
        <v>-0.40751510240387046</v>
      </c>
      <c r="F49" s="136">
        <f>Q49/22</f>
        <v>803014.36363636365</v>
      </c>
      <c r="G49" s="190">
        <f t="shared" ref="G49" si="59">F49/F48-1</f>
        <v>0.53125290122206015</v>
      </c>
      <c r="H49" s="190">
        <f t="shared" ref="H49" si="60">F49/F37-1</f>
        <v>-0.54041987824764082</v>
      </c>
      <c r="I49" s="130">
        <f t="shared" si="0"/>
        <v>147.30310319045677</v>
      </c>
      <c r="J49" s="130">
        <f t="shared" si="4"/>
        <v>-0.58933217046306807</v>
      </c>
      <c r="K49" s="136">
        <f>R47+R48+R49</f>
        <v>54775975284</v>
      </c>
      <c r="L49" s="190">
        <f>U49/U46-1</f>
        <v>-5.1115448692098053E-2</v>
      </c>
      <c r="M49" s="190">
        <f>K49/K37-1</f>
        <v>-0.32650279843051178</v>
      </c>
      <c r="N49" s="191">
        <f>AVERAGE(T47:T49)</f>
        <v>162.77116311730398</v>
      </c>
      <c r="O49" s="192">
        <f>N49/N46-1</f>
        <v>-0.22387954785250719</v>
      </c>
      <c r="P49" s="129" t="s">
        <v>1158</v>
      </c>
      <c r="Q49" s="116">
        <v>17666316</v>
      </c>
      <c r="R49" s="116">
        <v>24548455309</v>
      </c>
      <c r="S49" s="116">
        <v>119931.73</v>
      </c>
      <c r="T49" s="130">
        <f t="shared" si="56"/>
        <v>147.30310319045677</v>
      </c>
      <c r="U49" s="85">
        <f t="shared" si="53"/>
        <v>39579323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1073278.7222222222</v>
      </c>
      <c r="G50" s="190">
        <f t="shared" ref="G50" si="61">F50/F49-1</f>
        <v>0.33656229679628114</v>
      </c>
      <c r="H50" s="190">
        <f t="shared" ref="H50" si="62">F50/F38-1</f>
        <v>-1.4259834592751819E-2</v>
      </c>
      <c r="I50" s="130">
        <f t="shared" ref="I50" si="63">T50</f>
        <v>199.83516897274947</v>
      </c>
      <c r="J50" s="130">
        <f t="shared" ref="J50" si="64">I50/I38-1</f>
        <v>-1.6363343560792609E-2</v>
      </c>
      <c r="K50" s="136"/>
      <c r="L50" s="190"/>
      <c r="M50" s="190"/>
      <c r="N50" s="191"/>
      <c r="O50" s="192"/>
      <c r="P50" s="129" t="s">
        <v>1291</v>
      </c>
      <c r="Q50" s="116">
        <v>19319017</v>
      </c>
      <c r="R50" s="116">
        <v>27350691018</v>
      </c>
      <c r="S50" s="116">
        <v>96674.76</v>
      </c>
      <c r="T50" s="130">
        <f t="shared" si="56"/>
        <v>199.83516897274947</v>
      </c>
      <c r="U50" s="85">
        <f t="shared" si="53"/>
        <v>47473664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584624.25</v>
      </c>
      <c r="G51" s="190">
        <f t="shared" ref="G51:G52" si="65">F51/F50-1</f>
        <v>-0.45529130700594134</v>
      </c>
      <c r="H51" s="190">
        <f t="shared" ref="H51:H52" si="66">F51/F39-1</f>
        <v>-0.22770943752434425</v>
      </c>
      <c r="I51" s="130">
        <f t="shared" ref="I51:I52" si="67">T51</f>
        <v>163.1603257210356</v>
      </c>
      <c r="J51" s="130">
        <f t="shared" ref="J51:J52" si="68">I51/I39-1</f>
        <v>-0.16439026416973568</v>
      </c>
      <c r="K51" s="136"/>
      <c r="L51" s="190"/>
      <c r="M51" s="190"/>
      <c r="N51" s="191"/>
      <c r="O51" s="192"/>
      <c r="P51" s="129" t="s">
        <v>1402</v>
      </c>
      <c r="Q51" s="116">
        <v>11692485</v>
      </c>
      <c r="R51" s="116">
        <v>16980424592</v>
      </c>
      <c r="S51" s="116">
        <v>71662.55</v>
      </c>
      <c r="T51" s="130">
        <f t="shared" si="56"/>
        <v>163.1603257210356</v>
      </c>
      <c r="U51" s="85">
        <f t="shared" si="53"/>
        <v>48677818</v>
      </c>
    </row>
    <row r="52" spans="1:26" s="79" customFormat="1" ht="13.2">
      <c r="A52" s="129" t="s">
        <v>1403</v>
      </c>
      <c r="B52" s="188">
        <f>SUM(F50:F52)</f>
        <v>2459507.3358585858</v>
      </c>
      <c r="C52" s="188">
        <f>AVERAGE(F50:F52)</f>
        <v>819835.77861952863</v>
      </c>
      <c r="D52" s="190">
        <f>C52/C49-1</f>
        <v>0.34829882624122455</v>
      </c>
      <c r="E52" s="287">
        <f>C52/C40-1</f>
        <v>-7.6103068853410338E-2</v>
      </c>
      <c r="F52" s="136">
        <f>Q52/22</f>
        <v>801604.36363636365</v>
      </c>
      <c r="G52" s="190">
        <f t="shared" si="65"/>
        <v>0.37114456616598379</v>
      </c>
      <c r="H52" s="190">
        <f t="shared" si="66"/>
        <v>-1.7998099524709321E-2</v>
      </c>
      <c r="I52" s="130">
        <f t="shared" si="67"/>
        <v>156.05060467598872</v>
      </c>
      <c r="J52" s="130">
        <f t="shared" si="68"/>
        <v>-0.30799350394698177</v>
      </c>
      <c r="K52" s="136">
        <f>R50+R51+R52</f>
        <v>70282526227</v>
      </c>
      <c r="L52" s="190">
        <f>U52/U49-1</f>
        <v>0.22909626321804444</v>
      </c>
      <c r="M52" s="190">
        <f>K52/K40-1</f>
        <v>-6.9368851362035855E-2</v>
      </c>
      <c r="N52" s="191">
        <f>AVERAGE(T50:T52)</f>
        <v>173.01536645659129</v>
      </c>
      <c r="O52" s="192">
        <f>N52/N49-1</f>
        <v>6.2936229876938476E-2</v>
      </c>
      <c r="P52" s="129" t="s">
        <v>1403</v>
      </c>
      <c r="Q52" s="116">
        <v>17635296</v>
      </c>
      <c r="R52" s="116">
        <v>25951410617</v>
      </c>
      <c r="S52" s="116">
        <v>113010.11</v>
      </c>
      <c r="T52" s="130">
        <f t="shared" si="56"/>
        <v>156.05060467598872</v>
      </c>
      <c r="U52" s="85">
        <f t="shared" ref="U52" si="69">Q50+Q51+Q52</f>
        <v>48646798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902241.61904761905</v>
      </c>
      <c r="G53" s="190">
        <f t="shared" ref="G53" si="70">F53/F52-1</f>
        <v>0.12554479488450987</v>
      </c>
      <c r="H53" s="190">
        <f t="shared" ref="H53" si="71">F53/F41-1</f>
        <v>-5.1859809811070079E-2</v>
      </c>
      <c r="I53" s="130">
        <f t="shared" ref="I53" si="72">T53</f>
        <v>146.54821782609366</v>
      </c>
      <c r="J53" s="130">
        <f t="shared" ref="J53" si="73">I53/I41-1</f>
        <v>-0.27773383548307529</v>
      </c>
      <c r="K53" s="136"/>
      <c r="L53" s="190"/>
      <c r="M53" s="190"/>
      <c r="N53" s="191"/>
      <c r="O53" s="192"/>
      <c r="P53" s="129" t="s">
        <v>1414</v>
      </c>
      <c r="Q53" s="116">
        <v>18947074</v>
      </c>
      <c r="R53" s="116">
        <v>27668058233</v>
      </c>
      <c r="S53" s="116">
        <v>129289.01</v>
      </c>
      <c r="T53" s="130">
        <f t="shared" si="56"/>
        <v>146.54821782609366</v>
      </c>
      <c r="U53" s="85">
        <f t="shared" ref="U53" si="74">Q51+Q52+Q53</f>
        <v>48274855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1050424.705882353</v>
      </c>
      <c r="G54" s="190">
        <f t="shared" ref="G54" si="75">F54/F53-1</f>
        <v>0.16423880666373147</v>
      </c>
      <c r="H54" s="190">
        <f t="shared" ref="H54" si="76">F54/F42-1</f>
        <v>1.0333444106747161</v>
      </c>
      <c r="I54" s="130">
        <f t="shared" ref="I54" si="77">T54</f>
        <v>158.79191934533398</v>
      </c>
      <c r="J54" s="130">
        <f t="shared" ref="J54" si="78">I54/I42-1</f>
        <v>-0.108086196400629</v>
      </c>
      <c r="K54" s="136"/>
      <c r="L54" s="190"/>
      <c r="M54" s="190"/>
      <c r="N54" s="191"/>
      <c r="O54" s="192"/>
      <c r="P54" s="129" t="s">
        <v>1417</v>
      </c>
      <c r="Q54" s="116">
        <v>17857220</v>
      </c>
      <c r="R54" s="116">
        <v>25902082207</v>
      </c>
      <c r="S54" s="116">
        <v>112456.73</v>
      </c>
      <c r="T54" s="130">
        <f t="shared" ref="T54" si="79">Q54/S54</f>
        <v>158.79191934533398</v>
      </c>
      <c r="U54" s="85">
        <f t="shared" ref="U54" si="80">Q52+Q53+Q54</f>
        <v>54439590</v>
      </c>
    </row>
    <row r="55" spans="1:26" s="79" customFormat="1" ht="13.2">
      <c r="A55" s="129" t="s">
        <v>1418</v>
      </c>
      <c r="B55" s="188">
        <f>SUM(F53:F55)</f>
        <v>2811129.9915966387</v>
      </c>
      <c r="C55" s="188">
        <f>AVERAGE(F53:F55)</f>
        <v>937043.33053221286</v>
      </c>
      <c r="D55" s="190">
        <f>C55/C52-1</f>
        <v>0.1429646704490537</v>
      </c>
      <c r="E55" s="287">
        <f>C55/C43-1</f>
        <v>0.4179527310792408</v>
      </c>
      <c r="F55" s="136">
        <f>Q55/21</f>
        <v>858463.66666666663</v>
      </c>
      <c r="G55" s="190">
        <f t="shared" ref="G55" si="81">F55/F54-1</f>
        <v>-0.18274611987009559</v>
      </c>
      <c r="H55" s="190">
        <f t="shared" ref="H55" si="82">F55/F43-1</f>
        <v>0.66906895095435348</v>
      </c>
      <c r="I55" s="130">
        <f>T55</f>
        <v>165.60469468784052</v>
      </c>
      <c r="J55" s="130">
        <f t="shared" ref="J55" si="83">I55/I43-1</f>
        <v>0.19877005865148001</v>
      </c>
      <c r="K55" s="136">
        <f>R53+R54+R55</f>
        <v>80071031263</v>
      </c>
      <c r="L55" s="190">
        <f>U55/U52-1</f>
        <v>0.12714573732067636</v>
      </c>
      <c r="M55" s="190">
        <f>K55/K43-1</f>
        <v>0.45682961132823996</v>
      </c>
      <c r="N55" s="191">
        <f>AVERAGE(T53:T55)</f>
        <v>156.98161061975603</v>
      </c>
      <c r="O55" s="192">
        <f>N55/N52-1</f>
        <v>-9.2672438091549902E-2</v>
      </c>
      <c r="P55" s="129" t="s">
        <v>1418</v>
      </c>
      <c r="Q55" s="116">
        <v>18027737</v>
      </c>
      <c r="R55" s="116">
        <v>26500890823</v>
      </c>
      <c r="S55" s="116">
        <v>108860.06</v>
      </c>
      <c r="T55" s="130">
        <f t="shared" ref="T55" si="84">Q55/S55</f>
        <v>165.60469468784052</v>
      </c>
      <c r="U55" s="85">
        <f t="shared" ref="U55" si="85">Q53+Q54+Q55</f>
        <v>54832031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776354.13636363635</v>
      </c>
      <c r="G56" s="190">
        <f t="shared" ref="G56" si="86">F56/F55-1</f>
        <v>-9.5647065206444726E-2</v>
      </c>
      <c r="H56" s="190">
        <f t="shared" ref="H56" si="87">F56/F44-1</f>
        <v>0.38305025262839432</v>
      </c>
      <c r="I56" s="291">
        <f>T56</f>
        <v>149.83936812632001</v>
      </c>
      <c r="J56" s="130">
        <f t="shared" ref="J56" si="88">I56/I44-1</f>
        <v>-0.11911802645090808</v>
      </c>
      <c r="K56" s="136"/>
      <c r="L56" s="190"/>
      <c r="M56" s="190"/>
      <c r="N56" s="191"/>
      <c r="O56" s="192"/>
      <c r="P56" s="129" t="s">
        <v>1420</v>
      </c>
      <c r="Q56" s="116">
        <v>17079791</v>
      </c>
      <c r="R56" s="116">
        <v>25507570094</v>
      </c>
      <c r="S56" s="116">
        <v>113987.34</v>
      </c>
      <c r="T56" s="130">
        <f t="shared" ref="T56" si="89">Q56/S56</f>
        <v>149.83936812632001</v>
      </c>
      <c r="U56" s="85">
        <f t="shared" ref="U56" si="90">Q54+Q55+Q56</f>
        <v>52964748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515495</v>
      </c>
      <c r="G57" s="254">
        <f t="shared" ref="G57" si="91">F57/F56-1</f>
        <v>-0.33600534104896251</v>
      </c>
      <c r="H57" s="254">
        <f t="shared" ref="H57" si="92">F57/F45-1</f>
        <v>-9.1504052979838324E-2</v>
      </c>
      <c r="I57" s="282">
        <f>T57</f>
        <v>147.55782982452709</v>
      </c>
      <c r="J57" s="277">
        <f t="shared" ref="J57" si="93">I57/I45-1</f>
        <v>-5.345154494213189E-2</v>
      </c>
      <c r="K57" s="204"/>
      <c r="L57" s="254"/>
      <c r="M57" s="254"/>
      <c r="N57" s="257"/>
      <c r="O57" s="258"/>
      <c r="P57" s="129" t="s">
        <v>1436</v>
      </c>
      <c r="Q57" s="116">
        <v>6185940</v>
      </c>
      <c r="R57" s="116">
        <v>9111006416</v>
      </c>
      <c r="S57" s="116">
        <v>41922.14</v>
      </c>
      <c r="T57" s="130">
        <f t="shared" ref="T57" si="94">Q57/S57</f>
        <v>147.55782982452709</v>
      </c>
      <c r="U57" s="85">
        <f t="shared" ref="U57" si="95">Q55+Q56+Q57</f>
        <v>41293468</v>
      </c>
    </row>
    <row r="58" spans="1:26">
      <c r="B58" s="196">
        <f>SUM(F56:F58)</f>
        <v>1291849.1363636362</v>
      </c>
      <c r="C58" s="196">
        <f>AVERAGE(F56:F58)</f>
        <v>645924.56818181812</v>
      </c>
      <c r="D58" s="197">
        <f>C58/C55-1</f>
        <v>-0.31067801548200324</v>
      </c>
      <c r="E58" s="233">
        <f>C58/C46-1</f>
        <v>-6.6961493081279411E-2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78097762</v>
      </c>
      <c r="R64" s="212">
        <v>114689607773</v>
      </c>
      <c r="S64" s="213">
        <v>506515.29</v>
      </c>
      <c r="T64" s="214">
        <v>458</v>
      </c>
      <c r="U64" s="214">
        <v>1900</v>
      </c>
    </row>
    <row r="65" spans="16:21" ht="18" thickBot="1">
      <c r="P65" s="180" t="s">
        <v>976</v>
      </c>
      <c r="Q65" s="181">
        <v>18947074</v>
      </c>
      <c r="R65" s="181">
        <v>27668058233</v>
      </c>
      <c r="S65" s="182">
        <v>129289.01</v>
      </c>
      <c r="T65" s="210">
        <v>221</v>
      </c>
      <c r="U65" s="210">
        <v>730</v>
      </c>
    </row>
    <row r="66" spans="16:21" ht="18" thickBot="1">
      <c r="P66" s="180" t="s">
        <v>977</v>
      </c>
      <c r="Q66" s="181">
        <v>17857220</v>
      </c>
      <c r="R66" s="181">
        <v>25902082207</v>
      </c>
      <c r="S66" s="182">
        <v>112456.73</v>
      </c>
      <c r="T66" s="210">
        <v>198</v>
      </c>
      <c r="U66" s="210">
        <v>605</v>
      </c>
    </row>
    <row r="67" spans="16:21" ht="18" thickBot="1">
      <c r="P67" s="180" t="s">
        <v>978</v>
      </c>
      <c r="Q67" s="181">
        <v>18027737</v>
      </c>
      <c r="R67" s="181">
        <v>26500890823</v>
      </c>
      <c r="S67" s="182">
        <v>108860.06</v>
      </c>
      <c r="T67" s="210">
        <v>215</v>
      </c>
      <c r="U67" s="210">
        <v>638</v>
      </c>
    </row>
    <row r="68" spans="16:21" ht="18" thickBot="1">
      <c r="P68" s="180" t="s">
        <v>979</v>
      </c>
      <c r="Q68" s="181">
        <v>17079791</v>
      </c>
      <c r="R68" s="181">
        <v>25507570094</v>
      </c>
      <c r="S68" s="182">
        <v>113987.34</v>
      </c>
      <c r="T68" s="210">
        <v>226</v>
      </c>
      <c r="U68" s="210">
        <v>670</v>
      </c>
    </row>
    <row r="69" spans="16:21" ht="18" thickBot="1">
      <c r="P69" s="180" t="s">
        <v>980</v>
      </c>
      <c r="Q69" s="181">
        <v>6185940</v>
      </c>
      <c r="R69" s="181">
        <v>9111006416</v>
      </c>
      <c r="S69" s="182">
        <v>41922.14</v>
      </c>
      <c r="T69" s="210">
        <v>148</v>
      </c>
      <c r="U69" s="210">
        <v>394</v>
      </c>
    </row>
    <row r="70" spans="16:21" ht="18" thickBot="1">
      <c r="P70" s="180" t="s">
        <v>975</v>
      </c>
      <c r="Q70" s="181">
        <v>165664741</v>
      </c>
      <c r="R70" s="181">
        <v>235693383177</v>
      </c>
      <c r="S70" s="182">
        <v>951012.45</v>
      </c>
      <c r="T70" s="210">
        <v>714</v>
      </c>
      <c r="U70" s="210">
        <v>5255</v>
      </c>
    </row>
    <row r="71" spans="16:21" ht="18" thickBot="1">
      <c r="P71" s="215" t="s">
        <v>982</v>
      </c>
      <c r="Q71" s="217"/>
      <c r="R71"/>
      <c r="S71"/>
      <c r="T71"/>
      <c r="U71"/>
    </row>
  </sheetData>
  <phoneticPr fontId="1" type="noConversion"/>
  <conditionalFormatting sqref="C29:C30">
    <cfRule type="cellIs" dxfId="134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73"/>
  <sheetViews>
    <sheetView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7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721</v>
      </c>
      <c r="L1" s="80" t="s">
        <v>722</v>
      </c>
      <c r="M1" s="80"/>
      <c r="P1" s="123"/>
      <c r="Q1" s="124"/>
      <c r="R1" s="124"/>
      <c r="S1" s="124"/>
      <c r="U1" s="78" t="s">
        <v>830</v>
      </c>
    </row>
    <row r="2" spans="1:21" ht="15" customHeight="1">
      <c r="A2" s="125"/>
      <c r="C2" s="79"/>
      <c r="G2" s="90"/>
      <c r="H2" s="90"/>
      <c r="K2" s="79">
        <v>8415900000</v>
      </c>
      <c r="L2" s="80"/>
      <c r="M2" s="80"/>
      <c r="P2" s="125"/>
      <c r="Q2" s="126"/>
      <c r="R2" s="126"/>
      <c r="S2" s="126"/>
      <c r="U2" s="78" t="s">
        <v>831</v>
      </c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606318</v>
      </c>
      <c r="G5" s="90"/>
      <c r="H5" s="90"/>
      <c r="I5" s="130">
        <f t="shared" ref="I5:I49" si="0">T5</f>
        <v>0.85481817962842654</v>
      </c>
      <c r="J5" s="130"/>
      <c r="K5" s="86"/>
      <c r="L5" s="80"/>
      <c r="M5" s="80"/>
      <c r="P5" s="129" t="s">
        <v>0</v>
      </c>
      <c r="Q5" s="116">
        <v>12126360</v>
      </c>
      <c r="R5" s="116">
        <v>14313161280</v>
      </c>
      <c r="S5" s="116">
        <v>14185893.9</v>
      </c>
      <c r="T5" s="130">
        <f t="shared" ref="T5:T11" si="1">Q5/S5</f>
        <v>0.85481817962842654</v>
      </c>
      <c r="U5" s="85"/>
    </row>
    <row r="6" spans="1:21" ht="15" hidden="1" customHeight="1">
      <c r="A6" s="129" t="s">
        <v>1</v>
      </c>
      <c r="C6" s="79"/>
      <c r="F6" s="78">
        <f>Q6/18</f>
        <v>577757.61111111112</v>
      </c>
      <c r="G6" s="90">
        <f t="shared" ref="G6:G37" si="2">F6/F5-1</f>
        <v>-4.7104636327618299E-2</v>
      </c>
      <c r="H6" s="90"/>
      <c r="I6" s="130">
        <f t="shared" si="0"/>
        <v>0.72973973811442194</v>
      </c>
      <c r="J6" s="130"/>
      <c r="K6" s="78"/>
      <c r="P6" s="129" t="s">
        <v>1</v>
      </c>
      <c r="Q6" s="116">
        <v>10399637</v>
      </c>
      <c r="R6" s="116">
        <v>12351236836</v>
      </c>
      <c r="S6" s="116">
        <v>14251158.949999999</v>
      </c>
      <c r="T6" s="130">
        <f t="shared" si="1"/>
        <v>0.72973973811442194</v>
      </c>
      <c r="U6" s="85"/>
    </row>
    <row r="7" spans="1:21" ht="15" hidden="1" customHeight="1">
      <c r="A7" s="129" t="s">
        <v>2</v>
      </c>
      <c r="B7" s="131">
        <f>F5+F6+F7</f>
        <v>1731699.8383838383</v>
      </c>
      <c r="C7" s="131">
        <f>AVERAGE(F5:F7)</f>
        <v>577233.2794612794</v>
      </c>
      <c r="F7" s="78">
        <f>Q7/22</f>
        <v>547624.22727272729</v>
      </c>
      <c r="G7" s="90">
        <f t="shared" si="2"/>
        <v>-5.2155754002847332E-2</v>
      </c>
      <c r="H7" s="90"/>
      <c r="I7" s="130">
        <f t="shared" si="0"/>
        <v>0.71938794879571866</v>
      </c>
      <c r="J7" s="130"/>
      <c r="K7" s="85">
        <f>R5+R6+R7</f>
        <v>41183279934</v>
      </c>
      <c r="N7" s="88">
        <f>AVERAGE(T5:T7)</f>
        <v>0.76798195551285575</v>
      </c>
      <c r="P7" s="129" t="s">
        <v>2</v>
      </c>
      <c r="Q7" s="116">
        <v>12047733</v>
      </c>
      <c r="R7" s="116">
        <v>14518881818</v>
      </c>
      <c r="S7" s="116">
        <v>16747198.810000001</v>
      </c>
      <c r="T7" s="130">
        <f t="shared" si="1"/>
        <v>0.71938794879571866</v>
      </c>
      <c r="U7" s="85">
        <f>Q5+Q6+Q7</f>
        <v>34573730</v>
      </c>
    </row>
    <row r="8" spans="1:21" ht="15" hidden="1" customHeight="1">
      <c r="A8" s="129" t="s">
        <v>3</v>
      </c>
      <c r="C8" s="79"/>
      <c r="F8" s="78">
        <f>Q8/21</f>
        <v>559170.14285714284</v>
      </c>
      <c r="G8" s="90">
        <f t="shared" si="2"/>
        <v>2.1083646430174241E-2</v>
      </c>
      <c r="H8" s="90"/>
      <c r="I8" s="130">
        <f t="shared" si="0"/>
        <v>0.92228560214653554</v>
      </c>
      <c r="J8" s="130"/>
      <c r="K8" s="78"/>
      <c r="P8" s="129" t="s">
        <v>3</v>
      </c>
      <c r="Q8" s="116">
        <v>11742573</v>
      </c>
      <c r="R8" s="116">
        <v>14229159326</v>
      </c>
      <c r="S8" s="116">
        <v>12732035.470000001</v>
      </c>
      <c r="T8" s="130">
        <f t="shared" si="1"/>
        <v>0.92228560214653554</v>
      </c>
      <c r="U8" s="85"/>
    </row>
    <row r="9" spans="1:21" ht="15" hidden="1" customHeight="1">
      <c r="A9" s="129" t="s">
        <v>4</v>
      </c>
      <c r="C9" s="79"/>
      <c r="F9" s="78">
        <f>Q9/21</f>
        <v>614250.23809523811</v>
      </c>
      <c r="G9" s="90">
        <f t="shared" si="2"/>
        <v>9.8503283735174696E-2</v>
      </c>
      <c r="H9" s="90"/>
      <c r="I9" s="130">
        <f t="shared" si="0"/>
        <v>0.78271724061096859</v>
      </c>
      <c r="J9" s="130"/>
      <c r="K9" s="78"/>
      <c r="P9" s="129" t="s">
        <v>4</v>
      </c>
      <c r="Q9" s="116">
        <v>12899255</v>
      </c>
      <c r="R9" s="116">
        <v>16213496706</v>
      </c>
      <c r="S9" s="116">
        <v>16480095.66</v>
      </c>
      <c r="T9" s="130">
        <f t="shared" si="1"/>
        <v>0.78271724061096859</v>
      </c>
      <c r="U9" s="85"/>
    </row>
    <row r="10" spans="1:21" ht="15" hidden="1" customHeight="1">
      <c r="A10" s="129" t="s">
        <v>5</v>
      </c>
      <c r="B10" s="131">
        <f>F8+F9+F10</f>
        <v>2195294.2857142859</v>
      </c>
      <c r="C10" s="131">
        <f>AVERAGE(F8:F10)</f>
        <v>731764.76190476201</v>
      </c>
      <c r="D10" s="90">
        <f>C10/C7-1</f>
        <v>0.26771062574164795</v>
      </c>
      <c r="E10" s="286"/>
      <c r="F10" s="78">
        <f>Q10/21</f>
        <v>1021873.9047619047</v>
      </c>
      <c r="G10" s="90">
        <f t="shared" si="2"/>
        <v>0.66361173571651988</v>
      </c>
      <c r="H10" s="90"/>
      <c r="I10" s="130">
        <f t="shared" si="0"/>
        <v>1.3309069715919617</v>
      </c>
      <c r="J10" s="130"/>
      <c r="K10" s="85">
        <f>R8+R9+R10</f>
        <v>57499202787</v>
      </c>
      <c r="L10" s="87">
        <f>U10/U7-1</f>
        <v>0.33341644074851051</v>
      </c>
      <c r="N10" s="88">
        <f>AVERAGE(T8:T10)</f>
        <v>1.0119699381164886</v>
      </c>
      <c r="O10" s="89">
        <f>N10/N7-1</f>
        <v>0.31770015018217257</v>
      </c>
      <c r="P10" s="129" t="s">
        <v>5</v>
      </c>
      <c r="Q10" s="116">
        <v>21459352</v>
      </c>
      <c r="R10" s="116">
        <v>27056546755</v>
      </c>
      <c r="S10" s="116">
        <v>16123855.73</v>
      </c>
      <c r="T10" s="130">
        <f t="shared" si="1"/>
        <v>1.3309069715919617</v>
      </c>
      <c r="U10" s="85">
        <f>Q8+Q9+Q10</f>
        <v>46101180</v>
      </c>
    </row>
    <row r="11" spans="1:21" ht="15" hidden="1" customHeight="1">
      <c r="A11" s="129" t="s">
        <v>6</v>
      </c>
      <c r="C11" s="79"/>
      <c r="F11" s="78">
        <f>Q11/21</f>
        <v>698520.80952380947</v>
      </c>
      <c r="G11" s="90">
        <f t="shared" si="2"/>
        <v>-0.31643150268470366</v>
      </c>
      <c r="H11" s="90"/>
      <c r="I11" s="130">
        <f t="shared" si="0"/>
        <v>0.79777053454784153</v>
      </c>
      <c r="J11" s="130"/>
      <c r="K11" s="78"/>
      <c r="O11" s="89"/>
      <c r="P11" s="129" t="s">
        <v>6</v>
      </c>
      <c r="Q11" s="116">
        <v>14668937</v>
      </c>
      <c r="R11" s="116">
        <v>18904422822</v>
      </c>
      <c r="S11" s="116">
        <v>18387413.879999999</v>
      </c>
      <c r="T11" s="130">
        <f t="shared" si="1"/>
        <v>0.79777053454784153</v>
      </c>
      <c r="U11" s="85"/>
    </row>
    <row r="12" spans="1:21" ht="15" hidden="1" customHeight="1">
      <c r="A12" s="129" t="s">
        <v>7</v>
      </c>
      <c r="C12" s="79"/>
      <c r="F12" s="78">
        <f>Q12/22</f>
        <v>547283.68181818177</v>
      </c>
      <c r="G12" s="90">
        <f t="shared" si="2"/>
        <v>-0.21651055436519917</v>
      </c>
      <c r="H12" s="90"/>
      <c r="I12" s="130">
        <f t="shared" si="0"/>
        <v>0.60918214979330865</v>
      </c>
      <c r="J12" s="130"/>
      <c r="K12" s="78"/>
      <c r="O12" s="89"/>
      <c r="P12" s="129" t="s">
        <v>7</v>
      </c>
      <c r="Q12" s="116">
        <v>12040241</v>
      </c>
      <c r="R12" s="116">
        <v>15654721187</v>
      </c>
      <c r="S12" s="116">
        <v>19764599.149999999</v>
      </c>
      <c r="T12" s="130">
        <f>Q12/S12</f>
        <v>0.60918214979330865</v>
      </c>
      <c r="U12" s="85"/>
    </row>
    <row r="13" spans="1:21" ht="15" hidden="1" customHeight="1">
      <c r="A13" s="129" t="s">
        <v>35</v>
      </c>
      <c r="B13" s="131">
        <f>F11+F12+F13</f>
        <v>1746718.7913419914</v>
      </c>
      <c r="C13" s="131">
        <f>AVERAGE(F11:F13)</f>
        <v>582239.59711399709</v>
      </c>
      <c r="D13" s="90">
        <f>C13/C10-1</f>
        <v>-0.20433501662686704</v>
      </c>
      <c r="E13" s="286"/>
      <c r="F13" s="78">
        <f>Q13/20</f>
        <v>500914.3</v>
      </c>
      <c r="G13" s="90">
        <f t="shared" si="2"/>
        <v>-8.4726410376669281E-2</v>
      </c>
      <c r="H13" s="90"/>
      <c r="I13" s="130">
        <f t="shared" si="0"/>
        <v>0.54493906259358227</v>
      </c>
      <c r="J13" s="130"/>
      <c r="K13" s="78">
        <f>R11+R12+R13</f>
        <v>48193576233</v>
      </c>
      <c r="L13" s="87">
        <f>U13/U10-1</f>
        <v>-0.20332919894892065</v>
      </c>
      <c r="N13" s="88">
        <f>AVERAGE(T11:T13)</f>
        <v>0.65063058231157755</v>
      </c>
      <c r="O13" s="89">
        <f>N13/N10-1</f>
        <v>-0.35706530618631582</v>
      </c>
      <c r="P13" s="129" t="s">
        <v>60</v>
      </c>
      <c r="Q13" s="116">
        <v>10018286</v>
      </c>
      <c r="R13" s="116">
        <v>13634432224</v>
      </c>
      <c r="S13" s="116">
        <v>18384231.719999999</v>
      </c>
      <c r="T13" s="130">
        <f>Q13/S13</f>
        <v>0.54493906259358227</v>
      </c>
      <c r="U13" s="85">
        <f>Q11+Q12+Q13</f>
        <v>36727464</v>
      </c>
    </row>
    <row r="14" spans="1:21" ht="15" hidden="1" customHeight="1">
      <c r="A14" s="129" t="s">
        <v>36</v>
      </c>
      <c r="C14" s="79"/>
      <c r="F14" s="78">
        <f>Q14/20</f>
        <v>289831.40000000002</v>
      </c>
      <c r="G14" s="90">
        <f t="shared" si="2"/>
        <v>-0.42139523667022472</v>
      </c>
      <c r="H14" s="90"/>
      <c r="I14" s="130">
        <f t="shared" si="0"/>
        <v>0.36824366794632363</v>
      </c>
      <c r="J14" s="130"/>
      <c r="K14" s="78"/>
      <c r="O14" s="89"/>
      <c r="P14" s="129" t="s">
        <v>36</v>
      </c>
      <c r="Q14" s="116">
        <v>5796628</v>
      </c>
      <c r="R14" s="116">
        <v>8264850125</v>
      </c>
      <c r="S14" s="116">
        <v>15741283.57</v>
      </c>
      <c r="T14" s="130">
        <f>Q14/S14</f>
        <v>0.36824366794632363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308702.13636363635</v>
      </c>
      <c r="G15" s="90">
        <f t="shared" si="2"/>
        <v>6.5109357935807965E-2</v>
      </c>
      <c r="H15" s="90"/>
      <c r="I15" s="130">
        <f t="shared" si="0"/>
        <v>0.36554564629996478</v>
      </c>
      <c r="J15" s="130"/>
      <c r="K15" s="78"/>
      <c r="O15" s="89"/>
      <c r="P15" s="129" t="s">
        <v>37</v>
      </c>
      <c r="Q15" s="116">
        <v>6791447</v>
      </c>
      <c r="R15" s="116">
        <v>9500535001</v>
      </c>
      <c r="S15" s="116">
        <v>18578930.07</v>
      </c>
      <c r="T15" s="130">
        <f t="shared" ref="T15:T20" si="3">Q15/S15</f>
        <v>0.36554564629996478</v>
      </c>
      <c r="U15" s="78"/>
    </row>
    <row r="16" spans="1:21" ht="15" hidden="1" customHeight="1">
      <c r="A16" s="123" t="s">
        <v>38</v>
      </c>
      <c r="B16" s="131">
        <f>F14+F15+F16</f>
        <v>873745.85454545449</v>
      </c>
      <c r="C16" s="131">
        <f>AVERAGE(F14:F16)</f>
        <v>291248.61818181816</v>
      </c>
      <c r="D16" s="90">
        <f>C16/C13-1</f>
        <v>-0.49977875152178219</v>
      </c>
      <c r="E16" s="286"/>
      <c r="F16" s="78">
        <f>Q16/22</f>
        <v>275212.31818181818</v>
      </c>
      <c r="G16" s="90">
        <f t="shared" si="2"/>
        <v>-0.10848586464710686</v>
      </c>
      <c r="H16" s="90"/>
      <c r="I16" s="130">
        <f t="shared" si="0"/>
        <v>0.34216130783547205</v>
      </c>
      <c r="J16" s="130"/>
      <c r="K16" s="78">
        <f>R14+R15+R16</f>
        <v>25708661907</v>
      </c>
      <c r="L16" s="87">
        <f>U16/U13-1</f>
        <v>-0.49240312372234574</v>
      </c>
      <c r="N16" s="88">
        <f>AVERAGE(T14:T16)</f>
        <v>0.35865020736058684</v>
      </c>
      <c r="O16" s="89">
        <f>N16/N13-1</f>
        <v>-0.44876521775787903</v>
      </c>
      <c r="P16" s="123" t="s">
        <v>38</v>
      </c>
      <c r="Q16" s="133">
        <v>6054671</v>
      </c>
      <c r="R16" s="133">
        <v>7943276781</v>
      </c>
      <c r="S16" s="133">
        <v>17695370.170000002</v>
      </c>
      <c r="T16" s="134">
        <f t="shared" si="3"/>
        <v>0.34216130783547205</v>
      </c>
      <c r="U16" s="85">
        <f>Q14+Q15+Q16</f>
        <v>18642746</v>
      </c>
    </row>
    <row r="17" spans="1:33" ht="15" hidden="1" customHeight="1">
      <c r="A17" s="129" t="s">
        <v>87</v>
      </c>
      <c r="C17" s="79"/>
      <c r="F17" s="78">
        <f>Q17/20</f>
        <v>479660.1</v>
      </c>
      <c r="G17" s="90">
        <f t="shared" si="2"/>
        <v>0.74287293231952645</v>
      </c>
      <c r="H17" s="90">
        <f t="shared" ref="H17:H37" si="4">F17/F5-1</f>
        <v>-0.20889681652202319</v>
      </c>
      <c r="I17" s="130">
        <f t="shared" si="0"/>
        <v>0.51615783247518976</v>
      </c>
      <c r="J17" s="130">
        <f t="shared" ref="J17:J49" si="5">I17/I5-1</f>
        <v>-0.39617822271918235</v>
      </c>
      <c r="K17" s="78"/>
      <c r="O17" s="89"/>
      <c r="P17" s="129" t="s">
        <v>87</v>
      </c>
      <c r="Q17" s="116">
        <v>9593202</v>
      </c>
      <c r="R17" s="116">
        <v>12052946732</v>
      </c>
      <c r="S17" s="116">
        <v>18585791.780000001</v>
      </c>
      <c r="T17" s="130">
        <f t="shared" si="3"/>
        <v>0.51615783247518976</v>
      </c>
      <c r="U17" s="78"/>
    </row>
    <row r="18" spans="1:33" hidden="1">
      <c r="A18" s="129" t="s">
        <v>106</v>
      </c>
      <c r="C18" s="79"/>
      <c r="F18" s="78">
        <f>Q18/20</f>
        <v>396979.25</v>
      </c>
      <c r="G18" s="90">
        <f t="shared" si="2"/>
        <v>-0.17237383305386456</v>
      </c>
      <c r="H18" s="90">
        <f t="shared" si="4"/>
        <v>-0.31289654629291386</v>
      </c>
      <c r="I18" s="130">
        <f t="shared" si="0"/>
        <v>0.3792480128027676</v>
      </c>
      <c r="J18" s="130">
        <f t="shared" si="5"/>
        <v>-0.48029688806216253</v>
      </c>
      <c r="K18" s="78"/>
      <c r="O18" s="89"/>
      <c r="P18" s="129" t="s">
        <v>106</v>
      </c>
      <c r="Q18" s="116">
        <v>7939585</v>
      </c>
      <c r="R18" s="116">
        <v>9932617565</v>
      </c>
      <c r="S18" s="116">
        <v>20935073.440000001</v>
      </c>
      <c r="T18" s="130">
        <f t="shared" si="3"/>
        <v>0.3792480128027676</v>
      </c>
      <c r="U18" s="78"/>
    </row>
    <row r="19" spans="1:33" hidden="1">
      <c r="A19" s="129" t="s">
        <v>114</v>
      </c>
      <c r="B19" s="131">
        <f>SUM(F17:F19)</f>
        <v>1319704.4409090909</v>
      </c>
      <c r="C19" s="131">
        <f>AVERAGE(F17:F19)</f>
        <v>439901.48030303029</v>
      </c>
      <c r="D19" s="90">
        <f>C19/C16-1</f>
        <v>0.51039851467522634</v>
      </c>
      <c r="E19" s="286">
        <f>C19/C7-1</f>
        <v>-0.23791386263525593</v>
      </c>
      <c r="F19" s="78">
        <f>Q19/22</f>
        <v>443065.09090909088</v>
      </c>
      <c r="G19" s="90">
        <f t="shared" si="2"/>
        <v>0.11609130932936895</v>
      </c>
      <c r="H19" s="90">
        <f t="shared" si="4"/>
        <v>-0.19093226916632378</v>
      </c>
      <c r="I19" s="130">
        <f t="shared" si="0"/>
        <v>0.44588870423379334</v>
      </c>
      <c r="J19" s="130">
        <f t="shared" si="5"/>
        <v>-0.38018324468706055</v>
      </c>
      <c r="K19" s="78">
        <f>R17+R18+R19</f>
        <v>34731500044</v>
      </c>
      <c r="L19" s="87">
        <f>U19/U16-1</f>
        <v>0.46331549011073792</v>
      </c>
      <c r="M19" s="87">
        <f>U19/U7-1</f>
        <v>-0.21095528310078204</v>
      </c>
      <c r="N19" s="88">
        <f>AVERAGE(T17:T19)</f>
        <v>0.44709818317058359</v>
      </c>
      <c r="O19" s="89">
        <f>N19/N16-1</f>
        <v>0.24661348019540164</v>
      </c>
      <c r="P19" s="129" t="s">
        <v>114</v>
      </c>
      <c r="Q19" s="116">
        <v>9747432</v>
      </c>
      <c r="R19" s="116">
        <v>12745935747</v>
      </c>
      <c r="S19" s="116">
        <v>21860683.859999999</v>
      </c>
      <c r="T19" s="130">
        <f t="shared" si="3"/>
        <v>0.44588870423379334</v>
      </c>
      <c r="U19" s="85">
        <f>Q17+Q18+Q19</f>
        <v>27280219</v>
      </c>
    </row>
    <row r="20" spans="1:33" hidden="1">
      <c r="A20" s="129" t="s">
        <v>132</v>
      </c>
      <c r="B20" s="131"/>
      <c r="C20" s="131"/>
      <c r="D20" s="90"/>
      <c r="E20" s="286"/>
      <c r="F20" s="78">
        <f>Q20/24</f>
        <v>415253.83333333331</v>
      </c>
      <c r="G20" s="90">
        <f t="shared" si="2"/>
        <v>-6.277013952666366E-2</v>
      </c>
      <c r="H20" s="90">
        <f t="shared" si="4"/>
        <v>-0.25737481044401433</v>
      </c>
      <c r="I20" s="130">
        <f t="shared" si="0"/>
        <v>0.49362663024893466</v>
      </c>
      <c r="J20" s="130">
        <f t="shared" si="5"/>
        <v>-0.46477899134491119</v>
      </c>
      <c r="K20" s="78"/>
      <c r="O20" s="89"/>
      <c r="P20" s="129" t="s">
        <v>132</v>
      </c>
      <c r="Q20" s="116">
        <v>9966092</v>
      </c>
      <c r="R20" s="116">
        <v>13071025070</v>
      </c>
      <c r="S20" s="116">
        <v>20189534.739999998</v>
      </c>
      <c r="T20" s="130">
        <f t="shared" si="3"/>
        <v>0.49362663024893466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523986.42857142858</v>
      </c>
      <c r="G21" s="90">
        <f t="shared" si="2"/>
        <v>0.26184609631481282</v>
      </c>
      <c r="H21" s="90">
        <f t="shared" si="4"/>
        <v>-0.14694957189388069</v>
      </c>
      <c r="I21" s="130">
        <f t="shared" si="0"/>
        <v>0.56383786025799054</v>
      </c>
      <c r="J21" s="130">
        <f t="shared" si="5"/>
        <v>-0.27964042312665371</v>
      </c>
      <c r="K21" s="78"/>
      <c r="O21" s="89"/>
      <c r="P21" s="129" t="s">
        <v>141</v>
      </c>
      <c r="Q21" s="116">
        <v>11003715</v>
      </c>
      <c r="R21" s="116">
        <v>14674774293</v>
      </c>
      <c r="S21" s="116">
        <v>19515743.399999999</v>
      </c>
      <c r="T21" s="130">
        <f t="shared" ref="T21:T37" si="6">Q21/S21</f>
        <v>0.56383786025799054</v>
      </c>
      <c r="U21" s="78"/>
    </row>
    <row r="22" spans="1:33" hidden="1">
      <c r="A22" s="129" t="s">
        <v>156</v>
      </c>
      <c r="B22" s="131">
        <f>SUM(F20:F22)</f>
        <v>1264460.0714285714</v>
      </c>
      <c r="C22" s="131">
        <f>AVERAGE(F20:F22)</f>
        <v>421486.69047619047</v>
      </c>
      <c r="D22" s="90">
        <f>C22/C19-1</f>
        <v>-4.1861168128269566E-2</v>
      </c>
      <c r="E22" s="286">
        <f>C22/C10-1</f>
        <v>-0.42401340920123964</v>
      </c>
      <c r="F22" s="78">
        <f>Q22/21</f>
        <v>325219.80952380953</v>
      </c>
      <c r="G22" s="90">
        <f t="shared" si="2"/>
        <v>-0.37933543353312948</v>
      </c>
      <c r="H22" s="90">
        <f t="shared" si="4"/>
        <v>-0.6817417413163267</v>
      </c>
      <c r="I22" s="130">
        <f t="shared" si="0"/>
        <v>0.41428945878561718</v>
      </c>
      <c r="J22" s="130">
        <f t="shared" si="5"/>
        <v>-0.68871644102212071</v>
      </c>
      <c r="K22" s="78">
        <f>R20+R21+R22</f>
        <v>36641030496</v>
      </c>
      <c r="L22" s="87">
        <f>U22/U19-1</f>
        <v>38.664871348723409</v>
      </c>
      <c r="M22" s="87">
        <f>U22/U10-1</f>
        <v>22.471554892955016</v>
      </c>
      <c r="N22" s="88">
        <f>AVERAGE(T20:T22)</f>
        <v>0.49058464976418081</v>
      </c>
      <c r="O22" s="89">
        <f>N22/N19-1</f>
        <v>9.7263796254357882E-2</v>
      </c>
      <c r="P22" s="129" t="s">
        <v>156</v>
      </c>
      <c r="Q22" s="116">
        <v>6829616</v>
      </c>
      <c r="R22" s="116">
        <v>8895231133</v>
      </c>
      <c r="S22" s="116">
        <v>16485131</v>
      </c>
      <c r="T22" s="130">
        <f t="shared" si="6"/>
        <v>0.41428945878561718</v>
      </c>
      <c r="U22" s="85">
        <f>AG24+Q21+Q22</f>
        <v>1082066377</v>
      </c>
    </row>
    <row r="23" spans="1:33" hidden="1">
      <c r="A23" s="129" t="s">
        <v>189</v>
      </c>
      <c r="B23" s="131"/>
      <c r="C23" s="131"/>
      <c r="F23" s="78">
        <f>Q23/21</f>
        <v>364895</v>
      </c>
      <c r="G23" s="90">
        <f t="shared" si="2"/>
        <v>0.1219949994260292</v>
      </c>
      <c r="H23" s="90">
        <f t="shared" si="4"/>
        <v>-0.47761756697162172</v>
      </c>
      <c r="I23" s="130">
        <f t="shared" si="0"/>
        <v>0.36697046999420668</v>
      </c>
      <c r="J23" s="130">
        <f t="shared" si="5"/>
        <v>-0.54000498376115469</v>
      </c>
      <c r="K23" s="98"/>
      <c r="O23" s="89"/>
      <c r="P23" s="129" t="s">
        <v>189</v>
      </c>
      <c r="Q23" s="116">
        <v>7662795</v>
      </c>
      <c r="R23" s="116">
        <v>9863641312</v>
      </c>
      <c r="S23" s="116">
        <v>20881230.579999998</v>
      </c>
      <c r="T23" s="130">
        <f t="shared" si="6"/>
        <v>0.36697046999420668</v>
      </c>
      <c r="U23" s="78"/>
    </row>
    <row r="24" spans="1:33" hidden="1">
      <c r="A24" s="129" t="s">
        <v>204</v>
      </c>
      <c r="B24" s="131"/>
      <c r="C24" s="131"/>
      <c r="F24" s="78">
        <f>Q24/22</f>
        <v>310594.18181818182</v>
      </c>
      <c r="G24" s="90">
        <f t="shared" si="2"/>
        <v>-0.14881217386321588</v>
      </c>
      <c r="H24" s="90">
        <f t="shared" si="4"/>
        <v>-0.43248046280801189</v>
      </c>
      <c r="I24" s="130">
        <f t="shared" si="0"/>
        <v>0.32708489046953609</v>
      </c>
      <c r="J24" s="130">
        <f t="shared" si="5"/>
        <v>-0.4630753862690925</v>
      </c>
      <c r="K24" s="98"/>
      <c r="O24" s="89"/>
      <c r="P24" s="129" t="s">
        <v>204</v>
      </c>
      <c r="Q24" s="116">
        <v>6833072</v>
      </c>
      <c r="R24" s="116">
        <v>8959335164</v>
      </c>
      <c r="S24" s="116">
        <v>20890821.309999999</v>
      </c>
      <c r="T24" s="130">
        <f t="shared" si="6"/>
        <v>0.32708489046953609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1029021.0765550239</v>
      </c>
      <c r="C25" s="131">
        <f>AVERAGE(F23:F25)</f>
        <v>343007.02551834128</v>
      </c>
      <c r="D25" s="90">
        <f>C25/C22-1</f>
        <v>-0.18619725540843013</v>
      </c>
      <c r="E25" s="286">
        <f>C25/C13-1</f>
        <v>-0.41088337650250251</v>
      </c>
      <c r="F25" s="78">
        <f>Q25/19</f>
        <v>353531.89473684208</v>
      </c>
      <c r="G25" s="90">
        <f t="shared" si="2"/>
        <v>0.13824377735380589</v>
      </c>
      <c r="H25" s="90">
        <f t="shared" si="4"/>
        <v>-0.29422678742283448</v>
      </c>
      <c r="I25" s="130">
        <f t="shared" si="0"/>
        <v>0.38099819757401421</v>
      </c>
      <c r="J25" s="130">
        <f t="shared" si="5"/>
        <v>-0.30084256437647927</v>
      </c>
      <c r="K25" s="78">
        <f>R23+R24+R25</f>
        <v>27736872772</v>
      </c>
      <c r="L25" s="90">
        <f>U25/U22-1</f>
        <v>-0.98039586715667815</v>
      </c>
      <c r="M25" s="90">
        <f>U25/U13-1</f>
        <v>-0.42242205996036097</v>
      </c>
      <c r="N25" s="88">
        <f>AVERAGE(T23:T25)</f>
        <v>0.35835118601258564</v>
      </c>
      <c r="O25" s="91">
        <f>N25/N22-1</f>
        <v>-0.26954260353469783</v>
      </c>
      <c r="P25" s="129" t="s">
        <v>220</v>
      </c>
      <c r="Q25" s="116">
        <v>6717106</v>
      </c>
      <c r="R25" s="116">
        <v>8913896296</v>
      </c>
      <c r="S25" s="116">
        <v>17630282.879999999</v>
      </c>
      <c r="T25" s="130">
        <f t="shared" si="6"/>
        <v>0.38099819757401421</v>
      </c>
      <c r="U25" s="85">
        <f>Q23+Q24+Q25</f>
        <v>21212973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639007.89473684214</v>
      </c>
      <c r="G26" s="90">
        <f t="shared" si="2"/>
        <v>0.80749715725790261</v>
      </c>
      <c r="H26" s="90">
        <f t="shared" si="4"/>
        <v>1.2047572993707449</v>
      </c>
      <c r="I26" s="130">
        <f t="shared" si="0"/>
        <v>0.89797518527526465</v>
      </c>
      <c r="J26" s="130">
        <f t="shared" si="5"/>
        <v>1.4385353053950038</v>
      </c>
      <c r="K26" s="78"/>
      <c r="L26" s="90"/>
      <c r="M26" s="90"/>
      <c r="P26" s="129" t="s">
        <v>312</v>
      </c>
      <c r="Q26" s="116">
        <v>12141150</v>
      </c>
      <c r="R26" s="116">
        <v>16373481678</v>
      </c>
      <c r="S26" s="116">
        <v>13520585.199999999</v>
      </c>
      <c r="T26" s="130">
        <f t="shared" si="6"/>
        <v>0.89797518527526465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86"/>
      <c r="F27" s="78">
        <f>Q27/22</f>
        <v>465161.27272727271</v>
      </c>
      <c r="G27" s="90">
        <f t="shared" si="2"/>
        <v>-0.27205708011035357</v>
      </c>
      <c r="H27" s="90">
        <f t="shared" si="4"/>
        <v>0.50682880982506373</v>
      </c>
      <c r="I27" s="130">
        <f t="shared" si="0"/>
        <v>1.0070325902026944</v>
      </c>
      <c r="J27" s="130">
        <f t="shared" si="5"/>
        <v>1.7548750761931626</v>
      </c>
      <c r="K27" s="78"/>
      <c r="L27" s="90"/>
      <c r="M27" s="90"/>
      <c r="P27" s="129" t="s">
        <v>376</v>
      </c>
      <c r="Q27" s="116">
        <v>10233548</v>
      </c>
      <c r="R27" s="116">
        <v>13580380365</v>
      </c>
      <c r="S27" s="116">
        <v>10162082.24</v>
      </c>
      <c r="T27" s="130">
        <f t="shared" si="6"/>
        <v>1.0070325902026944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1473354.956937799</v>
      </c>
      <c r="C28" s="131">
        <f>AVERAGE(F26:F28)</f>
        <v>491118.31897926633</v>
      </c>
      <c r="D28" s="90">
        <f>C28/C25-1</f>
        <v>0.43180250677694998</v>
      </c>
      <c r="E28" s="286">
        <f>C28/C16-1</f>
        <v>0.6862511556112354</v>
      </c>
      <c r="F28" s="78">
        <f>Q28/19</f>
        <v>369185.78947368421</v>
      </c>
      <c r="G28" s="90">
        <f t="shared" si="2"/>
        <v>-0.20632732963962708</v>
      </c>
      <c r="H28" s="90">
        <f t="shared" si="4"/>
        <v>0.34145808557080182</v>
      </c>
      <c r="I28" s="130">
        <f t="shared" si="0"/>
        <v>0.91037372240830561</v>
      </c>
      <c r="J28" s="130">
        <f t="shared" si="5"/>
        <v>1.660656542866787</v>
      </c>
      <c r="K28" s="78">
        <f>R26+R27+R28</f>
        <v>39094707780</v>
      </c>
      <c r="L28" s="90">
        <f>U28/U25-1</f>
        <v>0.38543654394883742</v>
      </c>
      <c r="M28" s="90">
        <f>U28/U16-1</f>
        <v>0.57644308408214107</v>
      </c>
      <c r="N28" s="88">
        <f>AVERAGE(T26:T28)</f>
        <v>0.93846049929542152</v>
      </c>
      <c r="O28" s="91">
        <f>N28/N25-1</f>
        <v>1.6188290591075702</v>
      </c>
      <c r="P28" s="129" t="s">
        <v>413</v>
      </c>
      <c r="Q28" s="116">
        <v>7014530</v>
      </c>
      <c r="R28" s="116">
        <v>9140845737</v>
      </c>
      <c r="S28" s="116">
        <v>7705110.3600000003</v>
      </c>
      <c r="T28" s="130">
        <f t="shared" si="6"/>
        <v>0.91037372240830561</v>
      </c>
      <c r="U28" s="85">
        <f>Q26+Q27+Q28</f>
        <v>29389228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87"/>
      <c r="F29" s="136">
        <f>Q29/22</f>
        <v>302814.13636363635</v>
      </c>
      <c r="G29" s="190">
        <f t="shared" si="2"/>
        <v>-0.17977846115005702</v>
      </c>
      <c r="H29" s="190">
        <f t="shared" si="4"/>
        <v>-0.36869016963546397</v>
      </c>
      <c r="I29" s="130">
        <f t="shared" si="0"/>
        <v>12.281051884856023</v>
      </c>
      <c r="J29" s="130">
        <f t="shared" si="5"/>
        <v>22.79321035576136</v>
      </c>
      <c r="K29" s="136"/>
      <c r="L29" s="190"/>
      <c r="M29" s="190"/>
      <c r="N29" s="191"/>
      <c r="O29" s="192"/>
      <c r="P29" s="129" t="s">
        <v>430</v>
      </c>
      <c r="Q29" s="116">
        <v>6661911</v>
      </c>
      <c r="R29" s="116">
        <v>8776790629</v>
      </c>
      <c r="S29" s="116">
        <v>542454.43000000005</v>
      </c>
      <c r="T29" s="130">
        <f t="shared" si="6"/>
        <v>12.281051884856023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511153.21052631579</v>
      </c>
      <c r="G30" s="190">
        <f t="shared" si="2"/>
        <v>0.68800973648236186</v>
      </c>
      <c r="H30" s="190">
        <f t="shared" si="4"/>
        <v>0.28760687246579208</v>
      </c>
      <c r="I30" s="130">
        <f t="shared" si="0"/>
        <v>12.988400497789826</v>
      </c>
      <c r="J30" s="130">
        <f t="shared" si="5"/>
        <v>33.247774699730847</v>
      </c>
      <c r="K30" s="136"/>
      <c r="L30" s="190"/>
      <c r="M30" s="190"/>
      <c r="N30" s="191"/>
      <c r="O30" s="192"/>
      <c r="P30" s="129" t="s">
        <v>466</v>
      </c>
      <c r="Q30" s="116">
        <v>9711911</v>
      </c>
      <c r="R30" s="116">
        <v>12939609881</v>
      </c>
      <c r="S30" s="116">
        <v>747737.26</v>
      </c>
      <c r="T30" s="130">
        <f t="shared" si="6"/>
        <v>12.988400497789826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1382562.7968899522</v>
      </c>
      <c r="C31" s="188">
        <f>AVERAGE(F29:F31)</f>
        <v>460854.26562998403</v>
      </c>
      <c r="D31" s="190">
        <f>C31/C28-1</f>
        <v>-6.1622733625947168E-2</v>
      </c>
      <c r="E31" s="287">
        <f>C31/C19-1</f>
        <v>4.7630631550774183E-2</v>
      </c>
      <c r="F31" s="136">
        <f>Q31/20</f>
        <v>568595.44999999995</v>
      </c>
      <c r="G31" s="190">
        <f t="shared" si="2"/>
        <v>0.11237773389809691</v>
      </c>
      <c r="H31" s="190">
        <f t="shared" si="4"/>
        <v>0.28332261256092894</v>
      </c>
      <c r="I31" s="130">
        <f t="shared" si="0"/>
        <v>15.92387849076103</v>
      </c>
      <c r="J31" s="130">
        <f t="shared" si="5"/>
        <v>34.712675247345231</v>
      </c>
      <c r="K31" s="136">
        <f>R29+R30+R31</f>
        <v>36815325190</v>
      </c>
      <c r="L31" s="190">
        <f>U31/U28-1</f>
        <v>-5.5921747927505927E-2</v>
      </c>
      <c r="M31" s="190">
        <f>U31/U19-1</f>
        <v>1.7064085885820868E-2</v>
      </c>
      <c r="N31" s="191">
        <f>AVERAGE(T29:T31)</f>
        <v>13.731110291135627</v>
      </c>
      <c r="O31" s="192">
        <f>N31/N28-1</f>
        <v>13.63152716757358</v>
      </c>
      <c r="P31" s="129" t="s">
        <v>506</v>
      </c>
      <c r="Q31" s="116">
        <v>11371909</v>
      </c>
      <c r="R31" s="116">
        <v>15098924680</v>
      </c>
      <c r="S31" s="116">
        <v>714141.91</v>
      </c>
      <c r="T31" s="130">
        <f t="shared" si="6"/>
        <v>15.92387849076103</v>
      </c>
      <c r="U31" s="85">
        <f>Q29+Q30+Q31</f>
        <v>27745731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950631.09523809527</v>
      </c>
      <c r="G32" s="190">
        <f t="shared" si="2"/>
        <v>0.67189360245161178</v>
      </c>
      <c r="H32" s="190">
        <f t="shared" si="4"/>
        <v>1.2892771093939617</v>
      </c>
      <c r="I32" s="130">
        <f t="shared" si="0"/>
        <v>15.669703354367424</v>
      </c>
      <c r="J32" s="130">
        <f t="shared" si="5"/>
        <v>30.744039713710812</v>
      </c>
      <c r="K32" s="203"/>
      <c r="L32" s="190"/>
      <c r="M32" s="190"/>
      <c r="N32" s="191"/>
      <c r="O32" s="192"/>
      <c r="P32" s="129" t="s">
        <v>562</v>
      </c>
      <c r="Q32" s="116">
        <v>19963253</v>
      </c>
      <c r="R32" s="116">
        <v>27216197777</v>
      </c>
      <c r="S32" s="116">
        <v>1274003.25</v>
      </c>
      <c r="T32" s="130">
        <f t="shared" si="6"/>
        <v>15.669703354367424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478028.23809523811</v>
      </c>
      <c r="G33" s="190">
        <f t="shared" si="2"/>
        <v>-0.4971464319968294</v>
      </c>
      <c r="H33" s="190">
        <f t="shared" si="4"/>
        <v>-8.7708742002132856E-2</v>
      </c>
      <c r="I33" s="130">
        <f t="shared" si="0"/>
        <v>10.985625668784873</v>
      </c>
      <c r="J33" s="130">
        <f t="shared" si="5"/>
        <v>18.483660894566878</v>
      </c>
      <c r="K33" s="203"/>
      <c r="L33" s="190"/>
      <c r="M33" s="190"/>
      <c r="N33" s="191"/>
      <c r="O33" s="192"/>
      <c r="P33" s="129" t="s">
        <v>626</v>
      </c>
      <c r="Q33" s="116">
        <v>10038593</v>
      </c>
      <c r="R33" s="116">
        <v>13719565726</v>
      </c>
      <c r="S33" s="116">
        <v>913793.47</v>
      </c>
      <c r="T33" s="130">
        <f t="shared" si="6"/>
        <v>10.985625668784873</v>
      </c>
      <c r="U33" s="85"/>
    </row>
    <row r="34" spans="1:21" s="79" customFormat="1" ht="13.2" hidden="1">
      <c r="A34" s="129" t="s">
        <v>652</v>
      </c>
      <c r="B34" s="188">
        <f>SUM(F32:F34)</f>
        <v>1860783.8596491229</v>
      </c>
      <c r="C34" s="188">
        <f>AVERAGE(F32:F34)</f>
        <v>620261.28654970764</v>
      </c>
      <c r="D34" s="190">
        <f>C34/C31-1</f>
        <v>0.34589464133919967</v>
      </c>
      <c r="E34" s="287">
        <f>C34/C22-1</f>
        <v>0.47160349440440008</v>
      </c>
      <c r="F34" s="136">
        <f>Q34/19</f>
        <v>432124.5263157895</v>
      </c>
      <c r="G34" s="190">
        <f t="shared" si="2"/>
        <v>-9.6027196975554285E-2</v>
      </c>
      <c r="H34" s="190">
        <f t="shared" si="4"/>
        <v>0.32871526783227334</v>
      </c>
      <c r="I34" s="130">
        <f t="shared" si="0"/>
        <v>12.20763479025579</v>
      </c>
      <c r="J34" s="130">
        <f t="shared" si="5"/>
        <v>28.466438335262804</v>
      </c>
      <c r="K34" s="136">
        <f>R32+R33+R34</f>
        <v>52220013046</v>
      </c>
      <c r="L34" s="190">
        <f>U34/U31-1</f>
        <v>0.37722851850614414</v>
      </c>
      <c r="M34" s="190">
        <f>U34/U22-1</f>
        <v>-0.96468588913561626</v>
      </c>
      <c r="N34" s="191">
        <f>AVERAGE(T32:T34)</f>
        <v>12.954321271136029</v>
      </c>
      <c r="O34" s="192">
        <f>N34/N31-1</f>
        <v>-5.657146461790985E-2</v>
      </c>
      <c r="P34" s="129" t="s">
        <v>652</v>
      </c>
      <c r="Q34" s="116">
        <v>8210366</v>
      </c>
      <c r="R34" s="116">
        <v>11284249543</v>
      </c>
      <c r="S34" s="116">
        <v>672559.93</v>
      </c>
      <c r="T34" s="130">
        <f t="shared" si="6"/>
        <v>12.20763479025579</v>
      </c>
      <c r="U34" s="85">
        <f>Q32+Q33+Q34</f>
        <v>38212212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519107.73913043475</v>
      </c>
      <c r="G35" s="190">
        <f t="shared" si="2"/>
        <v>0.20129200616370335</v>
      </c>
      <c r="H35" s="190">
        <f t="shared" si="4"/>
        <v>0.42262223141022703</v>
      </c>
      <c r="I35" s="130">
        <f t="shared" si="0"/>
        <v>13.813164410151744</v>
      </c>
      <c r="J35" s="130">
        <f t="shared" si="5"/>
        <v>36.641078886728437</v>
      </c>
      <c r="K35" s="136"/>
      <c r="L35" s="190"/>
      <c r="M35" s="190"/>
      <c r="N35" s="191"/>
      <c r="O35" s="192"/>
      <c r="P35" s="129" t="s">
        <v>660</v>
      </c>
      <c r="Q35" s="116">
        <v>11939478</v>
      </c>
      <c r="R35" s="116">
        <v>16525919168</v>
      </c>
      <c r="S35" s="116">
        <v>864355.02</v>
      </c>
      <c r="T35" s="130">
        <f t="shared" si="6"/>
        <v>13.813164410151744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620776.71428571432</v>
      </c>
      <c r="G36" s="190">
        <f t="shared" si="2"/>
        <v>0.19585332194350791</v>
      </c>
      <c r="H36" s="190">
        <f t="shared" si="4"/>
        <v>0.99867463920850175</v>
      </c>
      <c r="I36" s="130">
        <f t="shared" si="0"/>
        <v>12.162298550175898</v>
      </c>
      <c r="J36" s="130">
        <f t="shared" si="5"/>
        <v>36.183920457825813</v>
      </c>
      <c r="K36" s="136"/>
      <c r="L36" s="190"/>
      <c r="M36" s="190"/>
      <c r="N36" s="191"/>
      <c r="O36" s="192"/>
      <c r="P36" s="129" t="s">
        <v>664</v>
      </c>
      <c r="Q36" s="116">
        <v>13036311</v>
      </c>
      <c r="R36" s="116">
        <v>17805980407</v>
      </c>
      <c r="S36" s="116">
        <v>1071862.44</v>
      </c>
      <c r="T36" s="130">
        <f t="shared" si="6"/>
        <v>12.162298550175898</v>
      </c>
      <c r="U36" s="85"/>
    </row>
    <row r="37" spans="1:21" s="79" customFormat="1" ht="13.2" hidden="1">
      <c r="A37" s="129" t="s">
        <v>702</v>
      </c>
      <c r="B37" s="188">
        <f>SUM(F35:F37)</f>
        <v>2013967.6756383714</v>
      </c>
      <c r="C37" s="188">
        <f>AVERAGE(F35:F37)</f>
        <v>671322.55854612379</v>
      </c>
      <c r="D37" s="190">
        <f>C37/C34-1</f>
        <v>8.2322197279878218E-2</v>
      </c>
      <c r="E37" s="287">
        <f>C37/C25-1</f>
        <v>0.95716853767540933</v>
      </c>
      <c r="F37" s="136">
        <f>Q37/18</f>
        <v>874083.22222222225</v>
      </c>
      <c r="G37" s="190">
        <f t="shared" si="2"/>
        <v>0.40804769590620116</v>
      </c>
      <c r="H37" s="190">
        <f t="shared" si="4"/>
        <v>1.4724310174980451</v>
      </c>
      <c r="I37" s="130">
        <f t="shared" si="0"/>
        <v>11.667354316524168</v>
      </c>
      <c r="J37" s="130">
        <f t="shared" si="5"/>
        <v>29.623122079882339</v>
      </c>
      <c r="K37" s="136">
        <f>R35+R36+R37</f>
        <v>55326045600</v>
      </c>
      <c r="L37" s="190">
        <f>U37/U34-1</f>
        <v>6.5347564804675518E-2</v>
      </c>
      <c r="M37" s="190">
        <f>U37/U25-1</f>
        <v>0.91907503959958836</v>
      </c>
      <c r="N37" s="191">
        <f>AVERAGE(T35:T37)</f>
        <v>12.547605758950603</v>
      </c>
      <c r="O37" s="192">
        <f>N37/N34-1</f>
        <v>-3.1396126718861272E-2</v>
      </c>
      <c r="P37" s="129" t="s">
        <v>702</v>
      </c>
      <c r="Q37" s="116">
        <v>15733498</v>
      </c>
      <c r="R37" s="116">
        <v>20994146025</v>
      </c>
      <c r="S37" s="116">
        <v>1348506.06</v>
      </c>
      <c r="T37" s="130">
        <f t="shared" si="6"/>
        <v>11.667354316524168</v>
      </c>
      <c r="U37" s="85">
        <f>Q35+Q36+Q37</f>
        <v>40709287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817321.3</v>
      </c>
      <c r="G38" s="190">
        <f t="shared" ref="G38" si="7">F38/F37-1</f>
        <v>-6.4938807631970907E-2</v>
      </c>
      <c r="H38" s="190">
        <f t="shared" ref="H38" si="8">F38/F26-1</f>
        <v>0.27904726488018028</v>
      </c>
      <c r="I38" s="130">
        <f t="shared" si="0"/>
        <v>13.890984818388858</v>
      </c>
      <c r="J38" s="130">
        <f t="shared" si="5"/>
        <v>14.469230159328653</v>
      </c>
      <c r="K38" s="136"/>
      <c r="L38" s="190"/>
      <c r="M38" s="190"/>
      <c r="N38" s="191"/>
      <c r="O38" s="192"/>
      <c r="P38" s="129" t="s">
        <v>727</v>
      </c>
      <c r="Q38" s="116">
        <v>16346426</v>
      </c>
      <c r="R38" s="116">
        <v>22052702704</v>
      </c>
      <c r="S38" s="116">
        <v>1176765.0900000001</v>
      </c>
      <c r="T38" s="130">
        <f t="shared" ref="T38" si="9">Q38/S38</f>
        <v>13.890984818388858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980956.66666666663</v>
      </c>
      <c r="G39" s="190">
        <f t="shared" ref="G39" si="10">F39/F38-1</f>
        <v>0.20020935055365197</v>
      </c>
      <c r="H39" s="190">
        <f t="shared" ref="H39" si="11">F39/F27-1</f>
        <v>1.108852830579059</v>
      </c>
      <c r="I39" s="130">
        <f t="shared" si="0"/>
        <v>15.558709025233085</v>
      </c>
      <c r="J39" s="130">
        <f t="shared" si="5"/>
        <v>14.450055118972312</v>
      </c>
      <c r="K39" s="136"/>
      <c r="L39" s="190"/>
      <c r="M39" s="190"/>
      <c r="N39" s="191"/>
      <c r="O39" s="192"/>
      <c r="P39" s="129" t="s">
        <v>762</v>
      </c>
      <c r="Q39" s="116">
        <v>20600090</v>
      </c>
      <c r="R39" s="116">
        <v>28674746102</v>
      </c>
      <c r="S39" s="116">
        <v>1324023.0900000001</v>
      </c>
      <c r="T39" s="130">
        <f t="shared" ref="T39" si="12">Q39/S39</f>
        <v>15.558709025233085</v>
      </c>
      <c r="U39" s="85"/>
    </row>
    <row r="40" spans="1:21" s="79" customFormat="1" ht="13.2" hidden="1">
      <c r="A40" s="129" t="s">
        <v>778</v>
      </c>
      <c r="B40" s="188">
        <f>SUM(F38:F40)</f>
        <v>2393675.2523809522</v>
      </c>
      <c r="C40" s="188">
        <f>AVERAGE(F38:F40)</f>
        <v>797891.75079365075</v>
      </c>
      <c r="D40" s="190">
        <f>C40/C37-1</f>
        <v>0.1885370760095364</v>
      </c>
      <c r="E40" s="287">
        <f>C40/C28-1</f>
        <v>0.62464261657349329</v>
      </c>
      <c r="F40" s="136">
        <f>Q40/21</f>
        <v>595397.28571428568</v>
      </c>
      <c r="G40" s="190">
        <f t="shared" ref="G40" si="13">F40/F39-1</f>
        <v>-0.39304425369015383</v>
      </c>
      <c r="H40" s="190">
        <f t="shared" ref="H40" si="14">F40/F28-1</f>
        <v>0.6127307786225773</v>
      </c>
      <c r="I40" s="130">
        <f t="shared" si="0"/>
        <v>14.112937811464743</v>
      </c>
      <c r="J40" s="130">
        <f t="shared" si="5"/>
        <v>14.502356300586458</v>
      </c>
      <c r="K40" s="136">
        <f>R38+R39+R40</f>
        <v>68420815878</v>
      </c>
      <c r="L40" s="190">
        <f>U40/U37-1</f>
        <v>0.21470707654496635</v>
      </c>
      <c r="M40" s="190">
        <f>U40/U28-1</f>
        <v>0.68258448299492591</v>
      </c>
      <c r="N40" s="191">
        <f>AVERAGE(T38:T40)</f>
        <v>14.52087721836223</v>
      </c>
      <c r="O40" s="192">
        <f>N40/N37-1</f>
        <v>0.15726278760424317</v>
      </c>
      <c r="P40" s="129" t="s">
        <v>778</v>
      </c>
      <c r="Q40" s="116">
        <v>12503343</v>
      </c>
      <c r="R40" s="116">
        <v>17693367072</v>
      </c>
      <c r="S40" s="116">
        <v>885948.99</v>
      </c>
      <c r="T40" s="130">
        <f t="shared" ref="T40" si="15">Q40/S40</f>
        <v>14.112937811464743</v>
      </c>
      <c r="U40" s="85">
        <f>Q38+Q39+Q40</f>
        <v>49449859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607204.5</v>
      </c>
      <c r="G41" s="190">
        <f t="shared" ref="G41" si="16">F41/F40-1</f>
        <v>1.9830816446449573E-2</v>
      </c>
      <c r="H41" s="190">
        <f t="shared" ref="H41" si="17">F41/F29-1</f>
        <v>1.0052052631744854</v>
      </c>
      <c r="I41" s="130">
        <f t="shared" si="0"/>
        <v>14.215570447497498</v>
      </c>
      <c r="J41" s="130">
        <f t="shared" si="5"/>
        <v>0.15752059194758083</v>
      </c>
      <c r="K41" s="193"/>
      <c r="L41" s="190"/>
      <c r="M41" s="190"/>
      <c r="N41" s="193"/>
      <c r="O41" s="193"/>
      <c r="P41" s="129" t="s">
        <v>792</v>
      </c>
      <c r="Q41" s="116">
        <v>10929681</v>
      </c>
      <c r="R41" s="116">
        <v>15999000094</v>
      </c>
      <c r="S41" s="116">
        <v>768852.79</v>
      </c>
      <c r="T41" s="130">
        <f t="shared" ref="T41" si="18">Q41/S41</f>
        <v>14.215570447497498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1106840.8</v>
      </c>
      <c r="G42" s="190">
        <f t="shared" ref="G42" si="19">F42/F41-1</f>
        <v>0.82284683331562936</v>
      </c>
      <c r="H42" s="190">
        <f t="shared" ref="H42" si="20">F42/F30-1</f>
        <v>1.165379728047343</v>
      </c>
      <c r="I42" s="130">
        <f t="shared" si="0"/>
        <v>14.473050686912046</v>
      </c>
      <c r="J42" s="130">
        <f t="shared" si="5"/>
        <v>0.11430585231606116</v>
      </c>
      <c r="K42" s="193"/>
      <c r="L42" s="190"/>
      <c r="M42" s="190"/>
      <c r="N42" s="193"/>
      <c r="O42" s="193"/>
      <c r="P42" s="129" t="s">
        <v>826</v>
      </c>
      <c r="Q42" s="116">
        <v>22136816</v>
      </c>
      <c r="R42" s="116">
        <v>32024596490</v>
      </c>
      <c r="S42" s="116">
        <v>1529519.69</v>
      </c>
      <c r="T42" s="130">
        <f t="shared" ref="T42" si="21">Q42/S42</f>
        <v>14.473050686912046</v>
      </c>
      <c r="U42" s="78"/>
    </row>
    <row r="43" spans="1:21" s="79" customFormat="1" ht="13.2">
      <c r="A43" s="129" t="s">
        <v>835</v>
      </c>
      <c r="B43" s="188">
        <f>SUM(F41:F43)</f>
        <v>2810321.6</v>
      </c>
      <c r="C43" s="188">
        <f>AVERAGE(F41:F43)</f>
        <v>936773.8666666667</v>
      </c>
      <c r="D43" s="190">
        <f>C43/C40-1</f>
        <v>0.17406135072191442</v>
      </c>
      <c r="E43" s="287">
        <f>C43/C31-1</f>
        <v>1.0326900205341585</v>
      </c>
      <c r="F43" s="136">
        <f>Q43/20</f>
        <v>1096276.3</v>
      </c>
      <c r="G43" s="190">
        <f t="shared" ref="G43" si="22">F43/F42-1</f>
        <v>-9.5447330817584053E-3</v>
      </c>
      <c r="H43" s="190">
        <f t="shared" ref="H43" si="23">F43/F31-1</f>
        <v>0.92804268834722503</v>
      </c>
      <c r="I43" s="130">
        <f t="shared" si="0"/>
        <v>14.341303104113505</v>
      </c>
      <c r="J43" s="130">
        <f t="shared" si="5"/>
        <v>-9.938378941824566E-2</v>
      </c>
      <c r="K43" s="136">
        <f>R41+R42+R43</f>
        <v>79834132452</v>
      </c>
      <c r="L43" s="190">
        <f>U43/U40-1</f>
        <v>0.1120764368610232</v>
      </c>
      <c r="M43" s="190">
        <f>K43/K31-1</f>
        <v>1.1685027102160443</v>
      </c>
      <c r="N43" s="191">
        <f>AVERAGE(T41:T43)</f>
        <v>14.343308079507684</v>
      </c>
      <c r="O43" s="192">
        <f>N43/N40-1</f>
        <v>-1.2228540754411377E-2</v>
      </c>
      <c r="P43" s="129" t="s">
        <v>835</v>
      </c>
      <c r="Q43" s="116">
        <v>21925526</v>
      </c>
      <c r="R43" s="116">
        <v>31810535868</v>
      </c>
      <c r="S43" s="116">
        <v>1528837.78</v>
      </c>
      <c r="T43" s="130">
        <f t="shared" ref="T43" si="24">Q43/S43</f>
        <v>14.341303104113505</v>
      </c>
      <c r="U43" s="85">
        <f>Q41+Q42+Q43</f>
        <v>54992023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781001.68181818177</v>
      </c>
      <c r="G44" s="190">
        <f t="shared" ref="G44" si="25">F44/F43-1</f>
        <v>-0.28758682294036486</v>
      </c>
      <c r="H44" s="190">
        <f t="shared" ref="H44" si="26">F44/F32-1</f>
        <v>-0.17843873850710523</v>
      </c>
      <c r="I44" s="130">
        <f t="shared" si="0"/>
        <v>14.02431735647721</v>
      </c>
      <c r="J44" s="130">
        <f t="shared" si="5"/>
        <v>-0.10500428506399362</v>
      </c>
      <c r="K44" s="136"/>
      <c r="L44" s="190"/>
      <c r="M44" s="190"/>
      <c r="N44" s="191"/>
      <c r="O44" s="192"/>
      <c r="P44" s="129" t="s">
        <v>843</v>
      </c>
      <c r="Q44" s="116">
        <v>17182037</v>
      </c>
      <c r="R44" s="116">
        <v>24883671174</v>
      </c>
      <c r="S44" s="116">
        <v>1225160.31</v>
      </c>
      <c r="T44" s="130">
        <f t="shared" ref="T44" si="27">Q44/S44</f>
        <v>14.02431735647721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1180363.25</v>
      </c>
      <c r="G45" s="190">
        <f t="shared" ref="G45" si="28">F45/F44-1</f>
        <v>0.51134533699351259</v>
      </c>
      <c r="H45" s="190">
        <f t="shared" ref="H45" si="29">F45/F33-1</f>
        <v>1.4692333128756192</v>
      </c>
      <c r="I45" s="130">
        <f t="shared" si="0"/>
        <v>14.917346399232679</v>
      </c>
      <c r="J45" s="130">
        <f t="shared" si="5"/>
        <v>0.3578968416536894</v>
      </c>
      <c r="K45" s="136"/>
      <c r="L45" s="190"/>
      <c r="M45" s="190"/>
      <c r="N45" s="191"/>
      <c r="O45" s="192"/>
      <c r="P45" s="129" t="s">
        <v>874</v>
      </c>
      <c r="Q45" s="116">
        <v>23607265</v>
      </c>
      <c r="R45" s="116">
        <v>33281873562</v>
      </c>
      <c r="S45" s="116">
        <v>1582537.83</v>
      </c>
      <c r="T45" s="130">
        <f t="shared" ref="T45" si="30">Q45/S45</f>
        <v>14.917346399232679</v>
      </c>
      <c r="U45" s="85"/>
    </row>
    <row r="46" spans="1:21" s="79" customFormat="1" ht="13.2">
      <c r="A46" s="129" t="s">
        <v>888</v>
      </c>
      <c r="B46" s="188">
        <f>SUM(F44:F46)</f>
        <v>2818947.1423444976</v>
      </c>
      <c r="C46" s="188">
        <f>AVERAGE(F44:F46)</f>
        <v>939649.04744816583</v>
      </c>
      <c r="D46" s="190">
        <f>C46/C43-1</f>
        <v>3.0692367537215048E-3</v>
      </c>
      <c r="E46" s="287">
        <f>C46/C34-1</f>
        <v>0.5149245452268969</v>
      </c>
      <c r="F46" s="136">
        <f>Q46/19</f>
        <v>857582.21052631584</v>
      </c>
      <c r="G46" s="190">
        <f t="shared" ref="G46" si="31">F46/F45-1</f>
        <v>-0.27345907242849532</v>
      </c>
      <c r="H46" s="190">
        <f t="shared" ref="H46" si="32">F46/F34-1</f>
        <v>0.98457194234702827</v>
      </c>
      <c r="I46" s="130">
        <f t="shared" si="0"/>
        <v>13.780760288096802</v>
      </c>
      <c r="J46" s="130">
        <f t="shared" si="5"/>
        <v>0.12886406948352436</v>
      </c>
      <c r="K46" s="136">
        <f>R44+R45+R46</f>
        <v>80471357771</v>
      </c>
      <c r="L46" s="190">
        <f>U46/U43-1</f>
        <v>3.8029897536229873E-2</v>
      </c>
      <c r="M46" s="190">
        <f>K46/K34-1</f>
        <v>0.54100608324463106</v>
      </c>
      <c r="N46" s="191">
        <f>AVERAGE(T44:T46)</f>
        <v>14.24080801460223</v>
      </c>
      <c r="O46" s="192">
        <f>N46/N43-1</f>
        <v>-7.1461941929488182E-3</v>
      </c>
      <c r="P46" s="129" t="s">
        <v>888</v>
      </c>
      <c r="Q46" s="116">
        <v>16294062</v>
      </c>
      <c r="R46" s="116">
        <v>22305813035</v>
      </c>
      <c r="S46" s="116">
        <v>1182377.58</v>
      </c>
      <c r="T46" s="130">
        <f t="shared" ref="T46" si="33">Q46/S46</f>
        <v>13.780760288096802</v>
      </c>
      <c r="U46" s="85">
        <f t="shared" ref="U46:U51" si="34">Q44+Q45+Q46</f>
        <v>57083364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763184.39130434778</v>
      </c>
      <c r="G47" s="190">
        <f t="shared" ref="G47" si="35">F47/F46-1</f>
        <v>-0.11007436728897879</v>
      </c>
      <c r="H47" s="190">
        <f t="shared" ref="H47" si="36">F47/F35-1</f>
        <v>0.47018496118507014</v>
      </c>
      <c r="I47" s="130">
        <f t="shared" si="0"/>
        <v>13.125064089706044</v>
      </c>
      <c r="J47" s="130">
        <f t="shared" si="5"/>
        <v>-4.9814821572672585E-2</v>
      </c>
      <c r="K47" s="136"/>
      <c r="L47" s="190"/>
      <c r="M47" s="190"/>
      <c r="N47" s="191"/>
      <c r="O47" s="192"/>
      <c r="P47" s="129" t="s">
        <v>1029</v>
      </c>
      <c r="Q47" s="116">
        <v>17553241</v>
      </c>
      <c r="R47" s="116">
        <v>24048900733</v>
      </c>
      <c r="S47" s="116">
        <v>1337383.26</v>
      </c>
      <c r="T47" s="130">
        <f t="shared" ref="T47" si="37">Q47/S47</f>
        <v>13.125064089706044</v>
      </c>
      <c r="U47" s="85">
        <f t="shared" si="34"/>
        <v>57454568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485663.05</v>
      </c>
      <c r="G48" s="190">
        <f t="shared" ref="G48" si="38">F48/F47-1</f>
        <v>-0.36363602881086177</v>
      </c>
      <c r="H48" s="190">
        <f t="shared" ref="H48" si="39">F48/F36-1</f>
        <v>-0.21765259742575949</v>
      </c>
      <c r="I48" s="130">
        <f t="shared" si="0"/>
        <v>14.305019473331406</v>
      </c>
      <c r="J48" s="130">
        <f t="shared" si="5"/>
        <v>0.17617730022952927</v>
      </c>
      <c r="K48" s="136"/>
      <c r="L48" s="190"/>
      <c r="M48" s="190"/>
      <c r="N48" s="191"/>
      <c r="O48" s="192"/>
      <c r="P48" s="129" t="s">
        <v>1136</v>
      </c>
      <c r="Q48" s="116">
        <v>9713261</v>
      </c>
      <c r="R48" s="116">
        <v>13475922227</v>
      </c>
      <c r="S48" s="116">
        <v>679010.68</v>
      </c>
      <c r="T48" s="130">
        <f t="shared" ref="T48" si="40">Q48/S48</f>
        <v>14.305019473331406</v>
      </c>
      <c r="U48" s="85">
        <f t="shared" si="34"/>
        <v>43560564</v>
      </c>
    </row>
    <row r="49" spans="1:26" ht="13.2">
      <c r="A49" s="129" t="s">
        <v>1158</v>
      </c>
      <c r="B49" s="188">
        <f>SUM(F47:F49)</f>
        <v>2234699.2140316204</v>
      </c>
      <c r="C49" s="188">
        <f>AVERAGE(F47:F49)</f>
        <v>744899.73801054014</v>
      </c>
      <c r="D49" s="190">
        <f>C49/C46-1</f>
        <v>-0.20725749679256578</v>
      </c>
      <c r="E49" s="287">
        <f>C49/C37-1</f>
        <v>0.10960033820964044</v>
      </c>
      <c r="F49" s="136">
        <f>Q49/22</f>
        <v>985851.77272727271</v>
      </c>
      <c r="G49" s="190">
        <f t="shared" ref="G49" si="41">F49/F48-1</f>
        <v>1.0299089517460156</v>
      </c>
      <c r="H49" s="190">
        <f t="shared" ref="H49" si="42">F49/F37-1</f>
        <v>0.12786946101184293</v>
      </c>
      <c r="I49" s="130">
        <f t="shared" si="0"/>
        <v>13.932920988684879</v>
      </c>
      <c r="J49" s="130">
        <f t="shared" si="5"/>
        <v>0.1941799837990732</v>
      </c>
      <c r="K49" s="136">
        <f>R47+R48+R49</f>
        <v>67671525116</v>
      </c>
      <c r="L49" s="190">
        <f>U49/U46-1</f>
        <v>-0.14239039941654452</v>
      </c>
      <c r="M49" s="190">
        <f>K49/K37-1</f>
        <v>0.22314046453376024</v>
      </c>
      <c r="N49" s="191">
        <f>AVERAGE(T47:T49)</f>
        <v>13.787668183907442</v>
      </c>
      <c r="O49" s="192">
        <f>N49/N46-1</f>
        <v>-3.1819811785268604E-2</v>
      </c>
      <c r="P49" s="129" t="s">
        <v>1165</v>
      </c>
      <c r="Q49" s="116">
        <v>21688739</v>
      </c>
      <c r="R49" s="116">
        <v>30146702156</v>
      </c>
      <c r="S49" s="116">
        <v>1556654.13</v>
      </c>
      <c r="T49" s="130">
        <f t="shared" ref="T49" si="43">Q49/S49</f>
        <v>13.932920988684879</v>
      </c>
      <c r="U49" s="85">
        <f t="shared" si="34"/>
        <v>48955241</v>
      </c>
      <c r="V49" s="79"/>
      <c r="W49" s="79"/>
      <c r="X49" s="79"/>
      <c r="Y49" s="79"/>
      <c r="Z49" s="79"/>
    </row>
    <row r="50" spans="1:26" ht="13.2">
      <c r="A50" s="129" t="s">
        <v>1313</v>
      </c>
      <c r="B50" s="188"/>
      <c r="C50" s="188"/>
      <c r="D50" s="190"/>
      <c r="E50" s="287"/>
      <c r="F50" s="136">
        <f>Q50/18</f>
        <v>749523.88888888888</v>
      </c>
      <c r="G50" s="190">
        <f t="shared" ref="G50" si="44">F50/F49-1</f>
        <v>-0.23971948965979273</v>
      </c>
      <c r="H50" s="190">
        <f t="shared" ref="H50" si="45">F50/F38-1</f>
        <v>-8.2950745454830499E-2</v>
      </c>
      <c r="I50" s="130">
        <f t="shared" ref="I50" si="46">T50</f>
        <v>14.799857747744065</v>
      </c>
      <c r="J50" s="130">
        <f t="shared" ref="J50" si="47">I50/I38-1</f>
        <v>6.5428977227881102E-2</v>
      </c>
      <c r="K50" s="136"/>
      <c r="L50" s="190"/>
      <c r="M50" s="190"/>
      <c r="N50" s="191"/>
      <c r="O50" s="192"/>
      <c r="P50" s="129" t="s">
        <v>1291</v>
      </c>
      <c r="Q50" s="116">
        <v>13491430</v>
      </c>
      <c r="R50" s="116">
        <v>19105188473</v>
      </c>
      <c r="S50" s="116">
        <v>911591.87</v>
      </c>
      <c r="T50" s="130">
        <f t="shared" ref="T50" si="48">Q50/S50</f>
        <v>14.799857747744065</v>
      </c>
      <c r="U50" s="85">
        <f t="shared" si="34"/>
        <v>44893430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1024299.1</v>
      </c>
      <c r="G51" s="190">
        <f t="shared" ref="G51:G52" si="49">F51/F50-1</f>
        <v>0.36659967105043711</v>
      </c>
      <c r="H51" s="190">
        <f t="shared" ref="H51:H52" si="50">F51/F39-1</f>
        <v>4.4183840944384212E-2</v>
      </c>
      <c r="I51" s="130">
        <f t="shared" ref="I51:I52" si="51">T51</f>
        <v>13.86975803709888</v>
      </c>
      <c r="J51" s="130">
        <f t="shared" ref="J51:J52" si="52">I51/I39-1</f>
        <v>-0.10855341438644228</v>
      </c>
      <c r="K51" s="136"/>
      <c r="L51" s="190"/>
      <c r="M51" s="190"/>
      <c r="N51" s="191"/>
      <c r="O51" s="192"/>
      <c r="P51" s="129" t="s">
        <v>1402</v>
      </c>
      <c r="Q51" s="116">
        <v>20485982</v>
      </c>
      <c r="R51" s="116">
        <v>29581967987</v>
      </c>
      <c r="S51" s="116">
        <v>1477025.19</v>
      </c>
      <c r="T51" s="130">
        <f t="shared" ref="T51:T52" si="53">Q51/S51</f>
        <v>13.86975803709888</v>
      </c>
      <c r="U51" s="85">
        <f t="shared" si="34"/>
        <v>55666151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2388732.5797979799</v>
      </c>
      <c r="C52" s="188">
        <f>AVERAGE(F50:F52)</f>
        <v>796244.19326599326</v>
      </c>
      <c r="D52" s="190">
        <f>C52/C49-1</f>
        <v>6.8928008207631564E-2</v>
      </c>
      <c r="E52" s="287">
        <f>C52/C40-1</f>
        <v>-2.0648885340883716E-3</v>
      </c>
      <c r="F52" s="136">
        <f>Q52/22</f>
        <v>614909.59090909094</v>
      </c>
      <c r="G52" s="190">
        <f t="shared" si="49"/>
        <v>-0.39967770067445052</v>
      </c>
      <c r="H52" s="190">
        <f t="shared" si="50"/>
        <v>3.2771908208141687E-2</v>
      </c>
      <c r="I52" s="130">
        <f t="shared" si="51"/>
        <v>12.361019848000698</v>
      </c>
      <c r="J52" s="130">
        <f t="shared" si="52"/>
        <v>-0.12413559719939127</v>
      </c>
      <c r="K52" s="136">
        <f>R50+R51+R52</f>
        <v>68580844205</v>
      </c>
      <c r="L52" s="190">
        <f>U52/U49-1</f>
        <v>-2.9615174399815536E-2</v>
      </c>
      <c r="M52" s="190">
        <f>K52/K40-1</f>
        <v>2.3388836415709768E-3</v>
      </c>
      <c r="N52" s="191">
        <f>AVERAGE(T50:T52)</f>
        <v>13.676878544281214</v>
      </c>
      <c r="O52" s="192">
        <f>N52/N49-1</f>
        <v>-8.0354152818631341E-3</v>
      </c>
      <c r="P52" s="129" t="s">
        <v>1403</v>
      </c>
      <c r="Q52" s="116">
        <v>13528011</v>
      </c>
      <c r="R52" s="116">
        <v>19893687745</v>
      </c>
      <c r="S52" s="116">
        <v>1094408.97</v>
      </c>
      <c r="T52" s="130">
        <f t="shared" si="53"/>
        <v>12.361019848000698</v>
      </c>
      <c r="U52" s="85">
        <f t="shared" ref="U52" si="54">Q50+Q51+Q52</f>
        <v>47505423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595569.14285714284</v>
      </c>
      <c r="G53" s="190">
        <f t="shared" ref="G53" si="55">F53/F52-1</f>
        <v>-3.1452506739006791E-2</v>
      </c>
      <c r="H53" s="190">
        <f t="shared" ref="H53" si="56">F53/F41-1</f>
        <v>-1.9162172122995091E-2</v>
      </c>
      <c r="I53" s="130">
        <f t="shared" ref="I53" si="57">T53</f>
        <v>13.391352112784334</v>
      </c>
      <c r="J53" s="130">
        <f t="shared" ref="J53" si="58">I53/I41-1</f>
        <v>-5.7979969059789527E-2</v>
      </c>
      <c r="K53" s="136"/>
      <c r="L53" s="190"/>
      <c r="M53" s="190"/>
      <c r="N53" s="191"/>
      <c r="O53" s="192"/>
      <c r="P53" s="129" t="s">
        <v>1414</v>
      </c>
      <c r="Q53" s="116">
        <v>12506952</v>
      </c>
      <c r="R53" s="116">
        <v>18248149703</v>
      </c>
      <c r="S53" s="116">
        <v>933957.37</v>
      </c>
      <c r="T53" s="130">
        <f t="shared" ref="T53" si="59">Q53/S53</f>
        <v>13.391352112784334</v>
      </c>
      <c r="U53" s="85">
        <f t="shared" ref="U53" si="60">Q51+Q52+Q53</f>
        <v>46520945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825213.17647058819</v>
      </c>
      <c r="G54" s="190">
        <f t="shared" ref="G54" si="61">F54/F53-1</f>
        <v>0.38558752811095398</v>
      </c>
      <c r="H54" s="190">
        <f t="shared" ref="H54" si="62">F54/F42-1</f>
        <v>-0.25444275593148702</v>
      </c>
      <c r="I54" s="130">
        <f t="shared" ref="I54" si="63">T54</f>
        <v>13.229941057802169</v>
      </c>
      <c r="J54" s="130">
        <f t="shared" ref="J54" si="64">I54/I42-1</f>
        <v>-8.5891333900600442E-2</v>
      </c>
      <c r="K54" s="136"/>
      <c r="L54" s="190"/>
      <c r="M54" s="190"/>
      <c r="N54" s="191"/>
      <c r="O54" s="192"/>
      <c r="P54" s="129" t="s">
        <v>1417</v>
      </c>
      <c r="Q54" s="116">
        <v>14028624</v>
      </c>
      <c r="R54" s="116">
        <v>20308732656</v>
      </c>
      <c r="S54" s="116">
        <v>1060369.3500000001</v>
      </c>
      <c r="T54" s="130">
        <f t="shared" ref="T54" si="65">Q54/S54</f>
        <v>13.229941057802169</v>
      </c>
      <c r="U54" s="85">
        <f t="shared" ref="U54" si="66">Q52+Q53+Q54</f>
        <v>40063587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2042630.2717086836</v>
      </c>
      <c r="C55" s="188">
        <f>AVERAGE(F53:F55)</f>
        <v>680876.75723622786</v>
      </c>
      <c r="D55" s="190">
        <f>C55/C52-1</f>
        <v>-0.14488951631352842</v>
      </c>
      <c r="E55" s="287">
        <f>C55/C43-1</f>
        <v>-0.2731684972607108</v>
      </c>
      <c r="F55" s="136">
        <f>Q55/21</f>
        <v>621847.95238095243</v>
      </c>
      <c r="G55" s="190">
        <f t="shared" ref="G55" si="67">F55/F54-1</f>
        <v>-0.24643962298253974</v>
      </c>
      <c r="H55" s="190">
        <f t="shared" ref="H55" si="68">F55/F43-1</f>
        <v>-0.4327634809026224</v>
      </c>
      <c r="I55" s="130">
        <f>T55</f>
        <v>13.647145971117263</v>
      </c>
      <c r="J55" s="130">
        <f t="shared" ref="J55" si="69">I55/I43-1</f>
        <v>-4.8402654065454964E-2</v>
      </c>
      <c r="K55" s="136">
        <f>R53+R54+R55</f>
        <v>57776161484</v>
      </c>
      <c r="L55" s="190">
        <f>U55/U52-1</f>
        <v>-0.16652919815070377</v>
      </c>
      <c r="M55" s="190">
        <f>K55/K43-1</f>
        <v>-0.27629749695422923</v>
      </c>
      <c r="N55" s="191">
        <f>AVERAGE(T53:T55)</f>
        <v>13.422813047234589</v>
      </c>
      <c r="O55" s="192">
        <f>N55/N52-1</f>
        <v>-1.8576277929503004E-2</v>
      </c>
      <c r="P55" s="129" t="s">
        <v>1418</v>
      </c>
      <c r="Q55" s="116">
        <v>13058807</v>
      </c>
      <c r="R55" s="116">
        <v>19219279125</v>
      </c>
      <c r="S55" s="116">
        <v>956889.23</v>
      </c>
      <c r="T55" s="130">
        <f t="shared" ref="T55" si="70">Q55/S55</f>
        <v>13.647145971117263</v>
      </c>
      <c r="U55" s="85">
        <f t="shared" ref="U55" si="71">Q53+Q54+Q55</f>
        <v>39594383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756317.27272727271</v>
      </c>
      <c r="G56" s="190">
        <f t="shared" ref="G56" si="72">F56/F55-1</f>
        <v>0.2162414780517643</v>
      </c>
      <c r="H56" s="190">
        <f t="shared" ref="H56" si="73">F56/F44-1</f>
        <v>-3.1606089545727301E-2</v>
      </c>
      <c r="I56" s="291">
        <f>T56</f>
        <v>12.851592445058834</v>
      </c>
      <c r="J56" s="130">
        <f t="shared" ref="J56" si="74">I56/I44-1</f>
        <v>-8.3620819581406991E-2</v>
      </c>
      <c r="K56" s="136"/>
      <c r="L56" s="190"/>
      <c r="M56" s="190"/>
      <c r="N56" s="191"/>
      <c r="O56" s="192"/>
      <c r="P56" s="129" t="s">
        <v>1420</v>
      </c>
      <c r="Q56" s="116">
        <v>16638980</v>
      </c>
      <c r="R56" s="116">
        <v>24944413290</v>
      </c>
      <c r="S56" s="116">
        <v>1294701.81</v>
      </c>
      <c r="T56" s="130">
        <f t="shared" ref="T56" si="75">Q56/S56</f>
        <v>12.851592445058834</v>
      </c>
      <c r="U56" s="85">
        <f t="shared" ref="U56" si="76">Q54+Q55+Q56</f>
        <v>43726411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709148.25</v>
      </c>
      <c r="G57" s="254">
        <f t="shared" ref="G57" si="77">F57/F56-1</f>
        <v>-6.236671358460677E-2</v>
      </c>
      <c r="H57" s="254">
        <f t="shared" ref="H57" si="78">F57/F45-1</f>
        <v>-0.3992118527919265</v>
      </c>
      <c r="I57" s="282">
        <f>T57</f>
        <v>13.558429826133716</v>
      </c>
      <c r="J57" s="277">
        <f t="shared" ref="J57" si="79">I57/I45-1</f>
        <v>-9.1096401245255199E-2</v>
      </c>
      <c r="K57" s="204"/>
      <c r="L57" s="254"/>
      <c r="M57" s="254"/>
      <c r="N57" s="257"/>
      <c r="O57" s="258"/>
      <c r="P57" s="129" t="s">
        <v>1436</v>
      </c>
      <c r="Q57" s="116">
        <v>8509779</v>
      </c>
      <c r="R57" s="116">
        <v>12539412349</v>
      </c>
      <c r="S57" s="116">
        <v>627637.5</v>
      </c>
      <c r="T57" s="130">
        <f t="shared" ref="T57" si="80">Q57/S57</f>
        <v>13.558429826133716</v>
      </c>
      <c r="U57" s="85">
        <f t="shared" ref="U57" si="81">Q55+Q56+Q57</f>
        <v>38207566</v>
      </c>
      <c r="V57" s="79"/>
      <c r="W57" s="79"/>
      <c r="X57" s="79"/>
      <c r="Y57" s="79"/>
      <c r="Z57" s="79"/>
    </row>
    <row r="58" spans="1:26">
      <c r="B58" s="196">
        <f>SUM(F56:F58)</f>
        <v>1465465.5227272727</v>
      </c>
      <c r="C58" s="196">
        <f>AVERAGE(F56:F58)</f>
        <v>732732.76136363635</v>
      </c>
      <c r="D58" s="197">
        <f>C58/C55-1</f>
        <v>7.6160631973837933E-2</v>
      </c>
      <c r="E58" s="233">
        <f>C58/C46-1</f>
        <v>-0.22020592331409106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211" t="s">
        <v>1415</v>
      </c>
      <c r="Q65" s="212">
        <v>64743142</v>
      </c>
      <c r="R65" s="212">
        <v>95259987123</v>
      </c>
      <c r="S65" s="213">
        <v>4873555.26</v>
      </c>
    </row>
    <row r="66" spans="16:19" ht="18" thickBot="1">
      <c r="P66" s="180" t="s">
        <v>976</v>
      </c>
      <c r="Q66" s="181">
        <v>12506952</v>
      </c>
      <c r="R66" s="181">
        <v>18248149703</v>
      </c>
      <c r="S66" s="182">
        <v>933957.37</v>
      </c>
    </row>
    <row r="67" spans="16:19" ht="18" thickBot="1">
      <c r="P67" s="180" t="s">
        <v>977</v>
      </c>
      <c r="Q67" s="181">
        <v>14028624</v>
      </c>
      <c r="R67" s="181">
        <v>20308732656</v>
      </c>
      <c r="S67" s="182">
        <v>1060369.3500000001</v>
      </c>
    </row>
    <row r="68" spans="16:19" ht="18" thickBot="1">
      <c r="P68" s="180" t="s">
        <v>978</v>
      </c>
      <c r="Q68" s="181">
        <v>13058807</v>
      </c>
      <c r="R68" s="181">
        <v>19219279125</v>
      </c>
      <c r="S68" s="182">
        <v>956889.23</v>
      </c>
    </row>
    <row r="69" spans="16:19" ht="18" thickBot="1">
      <c r="P69" s="180" t="s">
        <v>979</v>
      </c>
      <c r="Q69" s="181">
        <v>16638980</v>
      </c>
      <c r="R69" s="181">
        <v>24944413290</v>
      </c>
      <c r="S69" s="182">
        <v>1294701.81</v>
      </c>
    </row>
    <row r="70" spans="16:19" ht="18" thickBot="1">
      <c r="P70" s="180" t="s">
        <v>980</v>
      </c>
      <c r="Q70" s="181">
        <v>8509779</v>
      </c>
      <c r="R70" s="181">
        <v>12539412349</v>
      </c>
      <c r="S70" s="182">
        <v>627637.5</v>
      </c>
    </row>
    <row r="71" spans="16:19" ht="18" thickBot="1">
      <c r="P71" s="180" t="s">
        <v>975</v>
      </c>
      <c r="Q71" s="181">
        <v>208536051</v>
      </c>
      <c r="R71" s="181">
        <v>296557859544</v>
      </c>
      <c r="S71" s="182">
        <v>14873360.18</v>
      </c>
    </row>
    <row r="72" spans="16:19" ht="18" thickBot="1">
      <c r="P72" s="180" t="s">
        <v>982</v>
      </c>
      <c r="Q72" s="181">
        <v>156117089</v>
      </c>
      <c r="R72" s="181">
        <v>212782199714</v>
      </c>
      <c r="S72" s="182">
        <v>11536151.060000001</v>
      </c>
    </row>
    <row r="73" spans="16:19" ht="18" thickBot="1">
      <c r="P73" s="180" t="s">
        <v>1386</v>
      </c>
      <c r="Q73" s="210"/>
      <c r="R73"/>
      <c r="S73"/>
    </row>
  </sheetData>
  <phoneticPr fontId="1" type="noConversion"/>
  <conditionalFormatting sqref="C29:C30">
    <cfRule type="cellIs" dxfId="13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3"/>
  <sheetViews>
    <sheetView topLeftCell="F1" zoomScale="89" zoomScaleNormal="89" workbookViewId="0">
      <selection activeCell="M51" sqref="M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5" style="87" bestFit="1" customWidth="1"/>
    <col min="16" max="16" width="5.59765625" style="87" customWidth="1"/>
    <col min="17" max="17" width="10.59765625" style="79" customWidth="1"/>
    <col min="18" max="18" width="6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120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282590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105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272982.2</v>
      </c>
      <c r="F5" s="90"/>
      <c r="G5" s="90"/>
      <c r="H5" s="129" t="s">
        <v>0</v>
      </c>
      <c r="I5" s="116">
        <v>5459644</v>
      </c>
      <c r="J5" s="116"/>
      <c r="K5" s="116">
        <v>321566.53999999998</v>
      </c>
      <c r="L5" s="130">
        <f t="shared" ref="L5:L11" si="0">I5/K5</f>
        <v>16.978271433340048</v>
      </c>
      <c r="M5" s="85"/>
      <c r="O5" s="80"/>
      <c r="P5" s="80"/>
    </row>
    <row r="6" spans="1:18" ht="15" hidden="1" customHeight="1">
      <c r="B6" s="79"/>
      <c r="E6" s="78">
        <f>I6/18</f>
        <v>572625.22222222225</v>
      </c>
      <c r="F6" s="90">
        <f t="shared" ref="F6:F37" si="1">E6/E5-1</f>
        <v>1.0976650573635287</v>
      </c>
      <c r="G6" s="90"/>
      <c r="H6" s="129" t="s">
        <v>1</v>
      </c>
      <c r="I6" s="116">
        <v>10307254</v>
      </c>
      <c r="J6" s="116"/>
      <c r="K6" s="116">
        <v>686389.74</v>
      </c>
      <c r="L6" s="130">
        <f t="shared" si="0"/>
        <v>15.016620149362955</v>
      </c>
      <c r="M6" s="85"/>
    </row>
    <row r="7" spans="1:18" ht="15" hidden="1" customHeight="1">
      <c r="A7" s="131">
        <f>E5+E6+E7</f>
        <v>1153873.6040404041</v>
      </c>
      <c r="B7" s="131">
        <f>AVERAGE(E5:E7)</f>
        <v>384624.53468013467</v>
      </c>
      <c r="E7" s="78">
        <f>I7/22</f>
        <v>308266.18181818182</v>
      </c>
      <c r="F7" s="90">
        <f t="shared" si="1"/>
        <v>-0.46166153732824744</v>
      </c>
      <c r="G7" s="90"/>
      <c r="H7" s="129" t="s">
        <v>2</v>
      </c>
      <c r="I7" s="116">
        <v>6781856</v>
      </c>
      <c r="J7" s="116"/>
      <c r="K7" s="116">
        <v>360973.93</v>
      </c>
      <c r="L7" s="130">
        <f t="shared" si="0"/>
        <v>18.787661480151765</v>
      </c>
      <c r="M7" s="85">
        <f>I5+I6+I7</f>
        <v>22548754</v>
      </c>
      <c r="N7" s="79">
        <f>J5+J6+J7</f>
        <v>0</v>
      </c>
      <c r="Q7" s="88">
        <f>AVERAGE(L5:L7)</f>
        <v>16.927517687618259</v>
      </c>
    </row>
    <row r="8" spans="1:18" ht="15" hidden="1" customHeight="1">
      <c r="B8" s="79"/>
      <c r="E8" s="78">
        <f>I8/21</f>
        <v>912868.61904761905</v>
      </c>
      <c r="F8" s="90">
        <f t="shared" si="1"/>
        <v>1.9612999183479594</v>
      </c>
      <c r="G8" s="90"/>
      <c r="H8" s="129" t="s">
        <v>3</v>
      </c>
      <c r="I8" s="116">
        <v>19170241</v>
      </c>
      <c r="J8" s="116"/>
      <c r="K8" s="116">
        <v>1017427.73</v>
      </c>
      <c r="L8" s="130">
        <f t="shared" si="0"/>
        <v>18.841869977339815</v>
      </c>
      <c r="M8" s="85"/>
      <c r="N8" s="78"/>
    </row>
    <row r="9" spans="1:18" ht="15" hidden="1" customHeight="1">
      <c r="B9" s="79"/>
      <c r="E9" s="78">
        <f>I9/21</f>
        <v>240296.95238095237</v>
      </c>
      <c r="F9" s="90">
        <f t="shared" si="1"/>
        <v>-0.7367672112207666</v>
      </c>
      <c r="G9" s="90"/>
      <c r="H9" s="129" t="s">
        <v>4</v>
      </c>
      <c r="I9" s="116">
        <v>5046236</v>
      </c>
      <c r="J9" s="116"/>
      <c r="K9" s="116">
        <v>190992.07</v>
      </c>
      <c r="L9" s="130">
        <f t="shared" si="0"/>
        <v>26.421180732791679</v>
      </c>
      <c r="M9" s="85"/>
      <c r="N9" s="78"/>
    </row>
    <row r="10" spans="1:18" ht="15" hidden="1" customHeight="1">
      <c r="A10" s="131">
        <f>E8+E9+E10</f>
        <v>1297771.0952380951</v>
      </c>
      <c r="B10" s="131">
        <f>AVERAGE(E8:E10)</f>
        <v>432590.36507936503</v>
      </c>
      <c r="C10" s="90">
        <f>B10/B7-1</f>
        <v>0.12470819220911156</v>
      </c>
      <c r="D10" s="90"/>
      <c r="E10" s="78">
        <f>I10/21</f>
        <v>144605.52380952382</v>
      </c>
      <c r="F10" s="90">
        <f t="shared" si="1"/>
        <v>-0.39822156553914634</v>
      </c>
      <c r="G10" s="90"/>
      <c r="H10" s="129" t="s">
        <v>5</v>
      </c>
      <c r="I10" s="116">
        <v>3036716</v>
      </c>
      <c r="J10" s="116"/>
      <c r="K10" s="116">
        <v>105268.62</v>
      </c>
      <c r="L10" s="130">
        <f t="shared" si="0"/>
        <v>28.847305113337669</v>
      </c>
      <c r="M10" s="85">
        <f>I8+I9+I10</f>
        <v>27253193</v>
      </c>
      <c r="N10" s="79">
        <f>J8+J9+J10</f>
        <v>0</v>
      </c>
      <c r="O10" s="87">
        <f>M10/M7-1</f>
        <v>0.20863410013697425</v>
      </c>
      <c r="Q10" s="88">
        <f>AVERAGE(L8:L10)</f>
        <v>24.703451941156388</v>
      </c>
      <c r="R10" s="89">
        <f>Q10/Q7-1</f>
        <v>0.45936648225899579</v>
      </c>
    </row>
    <row r="11" spans="1:18" ht="15" hidden="1" customHeight="1">
      <c r="B11" s="79"/>
      <c r="E11" s="78">
        <f>I11/21</f>
        <v>129140.57142857143</v>
      </c>
      <c r="F11" s="90">
        <f t="shared" si="1"/>
        <v>-0.10694579275770277</v>
      </c>
      <c r="G11" s="90"/>
      <c r="H11" s="129" t="s">
        <v>6</v>
      </c>
      <c r="I11" s="116">
        <v>2711952</v>
      </c>
      <c r="J11" s="116"/>
      <c r="K11" s="116">
        <v>118283.44</v>
      </c>
      <c r="L11" s="130">
        <f t="shared" si="0"/>
        <v>22.927571264413682</v>
      </c>
      <c r="M11" s="85"/>
      <c r="N11" s="78"/>
      <c r="R11" s="89"/>
    </row>
    <row r="12" spans="1:18" ht="15" hidden="1" customHeight="1">
      <c r="B12" s="79"/>
      <c r="E12" s="78">
        <f>I12/22</f>
        <v>452660.77272727271</v>
      </c>
      <c r="F12" s="90">
        <f t="shared" si="1"/>
        <v>2.5051786415366961</v>
      </c>
      <c r="G12" s="90"/>
      <c r="H12" s="129" t="s">
        <v>7</v>
      </c>
      <c r="I12" s="116">
        <v>9958537</v>
      </c>
      <c r="J12" s="116"/>
      <c r="K12" s="116">
        <v>463997.78</v>
      </c>
      <c r="L12" s="130">
        <f>I12/K12</f>
        <v>21.462466910940822</v>
      </c>
      <c r="M12" s="85"/>
      <c r="N12" s="78"/>
      <c r="R12" s="89"/>
    </row>
    <row r="13" spans="1:18" ht="15" hidden="1" customHeight="1">
      <c r="A13" s="131">
        <f>E11+E12+E13</f>
        <v>1047031.0441558443</v>
      </c>
      <c r="B13" s="131">
        <f>AVERAGE(E11:E13)</f>
        <v>349010.34805194807</v>
      </c>
      <c r="C13" s="90">
        <f>B13/B10-1</f>
        <v>-0.19320822601327003</v>
      </c>
      <c r="D13" s="90"/>
      <c r="E13" s="78">
        <f>I13/20</f>
        <v>465229.7</v>
      </c>
      <c r="F13" s="90">
        <f t="shared" si="1"/>
        <v>2.776676935577993E-2</v>
      </c>
      <c r="G13" s="90"/>
      <c r="H13" s="129" t="s">
        <v>35</v>
      </c>
      <c r="I13" s="116">
        <v>9304594</v>
      </c>
      <c r="J13" s="116"/>
      <c r="K13" s="116">
        <v>355933.35</v>
      </c>
      <c r="L13" s="130">
        <f>I13/K13</f>
        <v>26.14139416831831</v>
      </c>
      <c r="M13" s="85">
        <f>I11+I12+I13</f>
        <v>21975083</v>
      </c>
      <c r="N13" s="78">
        <f>J11+J12+J13</f>
        <v>0</v>
      </c>
      <c r="O13" s="87">
        <f>M13/M10-1</f>
        <v>-0.19366941701106366</v>
      </c>
      <c r="Q13" s="88">
        <f>AVERAGE(L11:L13)</f>
        <v>23.510477447890938</v>
      </c>
      <c r="R13" s="89">
        <f>Q13/Q10-1</f>
        <v>-4.8291813472348455E-2</v>
      </c>
    </row>
    <row r="14" spans="1:18" ht="15" hidden="1" customHeight="1">
      <c r="B14" s="79"/>
      <c r="E14" s="78">
        <f>I14/20</f>
        <v>216167.35</v>
      </c>
      <c r="F14" s="90">
        <f t="shared" si="1"/>
        <v>-0.53535350387131353</v>
      </c>
      <c r="G14" s="90"/>
      <c r="H14" s="129" t="s">
        <v>36</v>
      </c>
      <c r="I14" s="116">
        <v>4323347</v>
      </c>
      <c r="J14" s="116"/>
      <c r="K14" s="116">
        <v>221414.9</v>
      </c>
      <c r="L14" s="130">
        <f>I14/K14</f>
        <v>19.525998476163981</v>
      </c>
      <c r="M14" s="85"/>
      <c r="R14" s="89"/>
    </row>
    <row r="15" spans="1:18" ht="15" hidden="1" customHeight="1">
      <c r="A15" s="131"/>
      <c r="B15" s="131"/>
      <c r="E15" s="78">
        <f>I15/22</f>
        <v>305196.36363636365</v>
      </c>
      <c r="F15" s="90">
        <f t="shared" si="1"/>
        <v>0.41185226925511009</v>
      </c>
      <c r="G15" s="90"/>
      <c r="H15" s="129" t="s">
        <v>37</v>
      </c>
      <c r="I15" s="116">
        <v>6714320</v>
      </c>
      <c r="J15" s="116"/>
      <c r="K15" s="116">
        <v>325224.13</v>
      </c>
      <c r="L15" s="130">
        <f t="shared" ref="L15:L36" si="2">I15/K15</f>
        <v>20.645208582770287</v>
      </c>
      <c r="M15" s="78"/>
      <c r="R15" s="89"/>
    </row>
    <row r="16" spans="1:18" ht="15" hidden="1" customHeight="1">
      <c r="A16" s="131">
        <f>E14+E15+E16</f>
        <v>674956.30454545456</v>
      </c>
      <c r="B16" s="131">
        <f>AVERAGE(E14:E16)</f>
        <v>224985.43484848485</v>
      </c>
      <c r="C16" s="90">
        <f>B16/B13-1</f>
        <v>-0.35536170745574247</v>
      </c>
      <c r="D16" s="90"/>
      <c r="E16" s="78">
        <f>I16/22</f>
        <v>153592.59090909091</v>
      </c>
      <c r="F16" s="90">
        <f t="shared" si="1"/>
        <v>-0.49674174004217853</v>
      </c>
      <c r="G16" s="90"/>
      <c r="H16" s="123" t="s">
        <v>38</v>
      </c>
      <c r="I16" s="133">
        <v>3379037</v>
      </c>
      <c r="J16" s="133"/>
      <c r="K16" s="133">
        <v>292715.48</v>
      </c>
      <c r="L16" s="134">
        <f t="shared" si="2"/>
        <v>11.543759147961701</v>
      </c>
      <c r="M16" s="85">
        <f>I14+I15+I16</f>
        <v>14416704</v>
      </c>
      <c r="N16" s="78">
        <f>J14+J15+J16</f>
        <v>0</v>
      </c>
      <c r="O16" s="87">
        <f>M16/M13-1</f>
        <v>-0.3439522389972316</v>
      </c>
      <c r="Q16" s="88">
        <f>AVERAGE(L14:L16)</f>
        <v>17.238322068965324</v>
      </c>
      <c r="R16" s="89">
        <f>Q16/Q13-1</f>
        <v>-0.26678128476239316</v>
      </c>
    </row>
    <row r="17" spans="1:18" ht="15" customHeight="1">
      <c r="B17" s="79"/>
      <c r="E17" s="78">
        <f>I17/20</f>
        <v>136598.29999999999</v>
      </c>
      <c r="F17" s="90">
        <f t="shared" si="1"/>
        <v>-0.11064525188685426</v>
      </c>
      <c r="G17" s="90">
        <f t="shared" ref="G17:G37" si="3">E17/E5-1</f>
        <v>-0.49960730040273693</v>
      </c>
      <c r="H17" s="129" t="s">
        <v>85</v>
      </c>
      <c r="I17" s="116">
        <v>2731966</v>
      </c>
      <c r="J17" s="116"/>
      <c r="K17" s="116">
        <v>104773.32</v>
      </c>
      <c r="L17" s="130">
        <f t="shared" si="2"/>
        <v>26.075016044160858</v>
      </c>
      <c r="M17" s="78"/>
      <c r="R17" s="89"/>
    </row>
    <row r="18" spans="1:18">
      <c r="B18" s="79"/>
      <c r="E18" s="78">
        <f>I18/20</f>
        <v>67113.850000000006</v>
      </c>
      <c r="F18" s="90">
        <f t="shared" si="1"/>
        <v>-0.50867726757946463</v>
      </c>
      <c r="G18" s="90">
        <f t="shared" si="3"/>
        <v>-0.88279620352811716</v>
      </c>
      <c r="H18" s="129" t="s">
        <v>106</v>
      </c>
      <c r="I18" s="116">
        <v>1342277</v>
      </c>
      <c r="J18" s="116"/>
      <c r="K18" s="116">
        <v>76208.990000000005</v>
      </c>
      <c r="L18" s="130">
        <f t="shared" si="2"/>
        <v>17.613105750384566</v>
      </c>
      <c r="M18" s="78"/>
      <c r="R18" s="89"/>
    </row>
    <row r="19" spans="1:18">
      <c r="A19" s="131">
        <f>SUM(E17:E19)</f>
        <v>223777.83181818182</v>
      </c>
      <c r="B19" s="131">
        <f>AVERAGE(E17:E19)</f>
        <v>74592.610606060611</v>
      </c>
      <c r="C19" s="90">
        <f>B19/B16-1</f>
        <v>-0.66845582401236514</v>
      </c>
      <c r="D19" s="90">
        <f>B19/B7-1</f>
        <v>-0.80606382619846628</v>
      </c>
      <c r="E19" s="78">
        <f>I19/22</f>
        <v>20065.68181818182</v>
      </c>
      <c r="F19" s="90">
        <f t="shared" si="1"/>
        <v>-0.70102025411771463</v>
      </c>
      <c r="G19" s="90">
        <f t="shared" si="3"/>
        <v>-0.93490793670641192</v>
      </c>
      <c r="H19" s="129" t="s">
        <v>114</v>
      </c>
      <c r="I19" s="116">
        <v>441445</v>
      </c>
      <c r="J19" s="116"/>
      <c r="K19" s="116">
        <v>56620.14</v>
      </c>
      <c r="L19" s="130">
        <f t="shared" si="2"/>
        <v>7.7966073556158637</v>
      </c>
      <c r="M19" s="85">
        <f>I17+I18+I19</f>
        <v>4515688</v>
      </c>
      <c r="O19" s="87">
        <f>M19/M16-1</f>
        <v>-0.68677389783406806</v>
      </c>
      <c r="P19" s="87">
        <f>M19/M7-1</f>
        <v>-0.79973669498545241</v>
      </c>
      <c r="Q19" s="88">
        <f>AVERAGE(L17:L19)</f>
        <v>17.161576383387096</v>
      </c>
      <c r="R19" s="89">
        <f>Q19/Q16-1</f>
        <v>-4.4520391991280661E-3</v>
      </c>
    </row>
    <row r="20" spans="1:18">
      <c r="A20" s="131"/>
      <c r="B20" s="131"/>
      <c r="C20" s="90"/>
      <c r="D20" s="90"/>
      <c r="E20" s="78">
        <f>I20/20</f>
        <v>266805.2</v>
      </c>
      <c r="F20" s="90">
        <f t="shared" si="1"/>
        <v>12.296592780527584</v>
      </c>
      <c r="G20" s="90">
        <f t="shared" si="3"/>
        <v>-0.70772880737388744</v>
      </c>
      <c r="H20" s="129" t="s">
        <v>131</v>
      </c>
      <c r="I20" s="116">
        <v>5336104</v>
      </c>
      <c r="J20" s="116"/>
      <c r="K20" s="116">
        <v>421249.54</v>
      </c>
      <c r="L20" s="130">
        <f t="shared" si="2"/>
        <v>12.667323031379453</v>
      </c>
      <c r="M20" s="78"/>
      <c r="R20" s="89"/>
    </row>
    <row r="21" spans="1:18">
      <c r="A21" s="131"/>
      <c r="B21" s="131"/>
      <c r="C21" s="90"/>
      <c r="D21" s="90"/>
      <c r="E21" s="78">
        <f>I21/21</f>
        <v>114952.09523809524</v>
      </c>
      <c r="F21" s="90">
        <f t="shared" si="1"/>
        <v>-0.56915346763070873</v>
      </c>
      <c r="G21" s="90">
        <f t="shared" si="3"/>
        <v>-0.52162483086403411</v>
      </c>
      <c r="H21" s="129" t="s">
        <v>141</v>
      </c>
      <c r="I21" s="116">
        <v>2413994</v>
      </c>
      <c r="J21" s="116"/>
      <c r="K21" s="116">
        <v>156954.10999999999</v>
      </c>
      <c r="L21" s="130">
        <f t="shared" si="2"/>
        <v>15.380253502122374</v>
      </c>
      <c r="M21" s="78"/>
      <c r="R21" s="89"/>
    </row>
    <row r="22" spans="1:18">
      <c r="A22" s="131">
        <f>SUM(E20:E22)</f>
        <v>484027.86666666664</v>
      </c>
      <c r="B22" s="131">
        <f>AVERAGE(E20:E22)</f>
        <v>161342.62222222221</v>
      </c>
      <c r="C22" s="90">
        <f>B22/B19-1</f>
        <v>1.1629839860989288</v>
      </c>
      <c r="D22" s="90">
        <f>B22/B10-1</f>
        <v>-0.62703140142147751</v>
      </c>
      <c r="E22" s="78">
        <f>I22/21</f>
        <v>102270.57142857143</v>
      </c>
      <c r="F22" s="90">
        <f t="shared" si="1"/>
        <v>-0.11032007536058497</v>
      </c>
      <c r="G22" s="90">
        <f t="shared" si="3"/>
        <v>-0.29276165436609813</v>
      </c>
      <c r="H22" s="129" t="s">
        <v>156</v>
      </c>
      <c r="I22" s="116">
        <v>2147682</v>
      </c>
      <c r="J22" s="116"/>
      <c r="K22" s="116">
        <v>212505.15</v>
      </c>
      <c r="L22" s="130">
        <f t="shared" si="2"/>
        <v>10.106493889677498</v>
      </c>
      <c r="M22" s="85">
        <f>I20+I21+I22</f>
        <v>9897780</v>
      </c>
      <c r="O22" s="87">
        <f>M22/M19-1</f>
        <v>1.1918653370206269</v>
      </c>
      <c r="P22" s="87">
        <f>M22/M10-1</f>
        <v>-0.63682127081402906</v>
      </c>
      <c r="Q22" s="88">
        <f>AVERAGE(L20:L22)</f>
        <v>12.718023474393107</v>
      </c>
      <c r="R22" s="89">
        <f>Q22/Q19-1</f>
        <v>-0.25892451892097035</v>
      </c>
    </row>
    <row r="23" spans="1:18">
      <c r="A23" s="131"/>
      <c r="B23" s="131"/>
      <c r="E23" s="78">
        <f>I23/21</f>
        <v>175097.04761904763</v>
      </c>
      <c r="F23" s="90">
        <f t="shared" si="1"/>
        <v>0.71209611106299731</v>
      </c>
      <c r="G23" s="90">
        <f t="shared" si="3"/>
        <v>0.3558639680938307</v>
      </c>
      <c r="H23" s="129" t="s">
        <v>189</v>
      </c>
      <c r="I23" s="116">
        <v>3677038</v>
      </c>
      <c r="J23" s="116"/>
      <c r="K23" s="116">
        <v>155183.98000000001</v>
      </c>
      <c r="L23" s="130">
        <f t="shared" si="2"/>
        <v>23.694700960756386</v>
      </c>
      <c r="M23" s="78"/>
      <c r="R23" s="89"/>
    </row>
    <row r="24" spans="1:18">
      <c r="A24" s="131"/>
      <c r="B24" s="131"/>
      <c r="E24" s="78">
        <f>I24/22</f>
        <v>164146.95454545456</v>
      </c>
      <c r="F24" s="90">
        <f t="shared" si="1"/>
        <v>-6.2537279882735608E-2</v>
      </c>
      <c r="G24" s="90">
        <f t="shared" si="3"/>
        <v>-0.63737314025142444</v>
      </c>
      <c r="H24" s="129" t="s">
        <v>204</v>
      </c>
      <c r="I24" s="116">
        <v>3611233</v>
      </c>
      <c r="J24" s="116"/>
      <c r="K24" s="116">
        <v>205124.31</v>
      </c>
      <c r="L24" s="130">
        <f t="shared" si="2"/>
        <v>17.605095173750982</v>
      </c>
      <c r="M24" s="78"/>
      <c r="R24" s="89"/>
    </row>
    <row r="25" spans="1:18">
      <c r="A25" s="131">
        <f>SUM(E23:E25)</f>
        <v>466135.31795397587</v>
      </c>
      <c r="B25" s="131">
        <f>AVERAGE(E23:E25)</f>
        <v>155378.43931799196</v>
      </c>
      <c r="C25" s="90">
        <f>B25/B22-1</f>
        <v>-3.696594751023452E-2</v>
      </c>
      <c r="D25" s="90">
        <f>B25/B13-1</f>
        <v>-0.5548027725101583</v>
      </c>
      <c r="E25" s="78">
        <f>I25/19</f>
        <v>126891.31578947368</v>
      </c>
      <c r="F25" s="90">
        <f t="shared" si="1"/>
        <v>-0.22696515362802105</v>
      </c>
      <c r="G25" s="90">
        <f t="shared" si="3"/>
        <v>-0.72725018245938799</v>
      </c>
      <c r="H25" s="129" t="s">
        <v>217</v>
      </c>
      <c r="I25" s="116">
        <v>2410935</v>
      </c>
      <c r="J25" s="116"/>
      <c r="K25" s="116">
        <v>136640.85</v>
      </c>
      <c r="L25" s="130">
        <f t="shared" si="2"/>
        <v>17.644320860123454</v>
      </c>
      <c r="M25" s="85">
        <f>I23+I24+I25</f>
        <v>9699206</v>
      </c>
      <c r="O25" s="90">
        <f>M25/M22-1</f>
        <v>-2.0062478656830085E-2</v>
      </c>
      <c r="P25" s="90">
        <f>M25/M13-1</f>
        <v>-0.55862710507168511</v>
      </c>
      <c r="Q25" s="88">
        <f>AVERAGE(L23:L25)</f>
        <v>19.648038998210271</v>
      </c>
      <c r="R25" s="91">
        <f>Q25/Q22-1</f>
        <v>0.54489721125065449</v>
      </c>
    </row>
    <row r="26" spans="1:18">
      <c r="A26" s="131"/>
      <c r="B26" s="131"/>
      <c r="C26" s="132"/>
      <c r="D26" s="132"/>
      <c r="E26" s="78">
        <f>I26/19</f>
        <v>95160</v>
      </c>
      <c r="F26" s="90">
        <f t="shared" si="1"/>
        <v>-0.25006688276540012</v>
      </c>
      <c r="G26" s="90">
        <f t="shared" si="3"/>
        <v>-0.5597855087736423</v>
      </c>
      <c r="H26" s="129" t="s">
        <v>312</v>
      </c>
      <c r="I26" s="116">
        <v>1808040</v>
      </c>
      <c r="J26" s="116"/>
      <c r="K26" s="116">
        <v>148111.15</v>
      </c>
      <c r="L26" s="130">
        <f t="shared" si="2"/>
        <v>12.207318625235169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90046.318181818177</v>
      </c>
      <c r="F27" s="90">
        <f t="shared" si="1"/>
        <v>-5.3737724024609301E-2</v>
      </c>
      <c r="G27" s="90">
        <f t="shared" si="3"/>
        <v>-0.70495612362830484</v>
      </c>
      <c r="H27" s="129" t="s">
        <v>373</v>
      </c>
      <c r="I27" s="116">
        <v>1981019</v>
      </c>
      <c r="J27" s="116"/>
      <c r="K27" s="116">
        <v>160643.84</v>
      </c>
      <c r="L27" s="130">
        <f t="shared" si="2"/>
        <v>12.331745804881159</v>
      </c>
      <c r="M27" s="78"/>
      <c r="O27" s="90"/>
      <c r="P27" s="90"/>
    </row>
    <row r="28" spans="1:18">
      <c r="A28" s="131">
        <f>SUM(E26:E28)</f>
        <v>369858.52870813396</v>
      </c>
      <c r="B28" s="131">
        <f>AVERAGE(E26:E28)</f>
        <v>123286.17623604466</v>
      </c>
      <c r="C28" s="90">
        <f>B28/B25-1</f>
        <v>-0.20654257580917268</v>
      </c>
      <c r="D28" s="90">
        <f>B28/B16-1</f>
        <v>-0.45202596639613124</v>
      </c>
      <c r="E28" s="78">
        <f>I28/19</f>
        <v>184652.21052631579</v>
      </c>
      <c r="F28" s="90">
        <f t="shared" si="1"/>
        <v>1.0506358755665381</v>
      </c>
      <c r="G28" s="90">
        <f t="shared" si="3"/>
        <v>0.20222081959414684</v>
      </c>
      <c r="H28" s="129" t="s">
        <v>413</v>
      </c>
      <c r="I28" s="116">
        <v>3508392</v>
      </c>
      <c r="J28" s="116"/>
      <c r="K28" s="116">
        <v>285518.37</v>
      </c>
      <c r="L28" s="130">
        <f t="shared" si="2"/>
        <v>12.287797804393461</v>
      </c>
      <c r="M28" s="85">
        <f>I26+I27+I28</f>
        <v>7297451</v>
      </c>
      <c r="O28" s="90">
        <f>M28/M25-1</f>
        <v>-0.24762387766586258</v>
      </c>
      <c r="P28" s="90">
        <f>M28/M16-1</f>
        <v>-0.49381973854772909</v>
      </c>
      <c r="Q28" s="88">
        <f>AVERAGE(L26:L28)</f>
        <v>12.275620744836596</v>
      </c>
      <c r="R28" s="91">
        <f>Q28/Q25-1</f>
        <v>-0.37522412562623808</v>
      </c>
    </row>
    <row r="29" spans="1:18">
      <c r="A29" s="131"/>
      <c r="B29" s="131"/>
      <c r="C29" s="132"/>
      <c r="D29" s="132"/>
      <c r="E29" s="78">
        <f>I29/22</f>
        <v>282959.59090909088</v>
      </c>
      <c r="F29" s="90">
        <f t="shared" si="1"/>
        <v>0.5323921121906352</v>
      </c>
      <c r="G29" s="90">
        <f t="shared" si="3"/>
        <v>1.0714722724154759</v>
      </c>
      <c r="H29" s="129" t="s">
        <v>426</v>
      </c>
      <c r="I29" s="116">
        <v>6225111</v>
      </c>
      <c r="J29" s="116"/>
      <c r="K29" s="116">
        <v>337474.51</v>
      </c>
      <c r="L29" s="130">
        <f t="shared" si="2"/>
        <v>18.446166497137813</v>
      </c>
      <c r="M29" s="85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156319</v>
      </c>
      <c r="F30" s="90">
        <f t="shared" si="1"/>
        <v>-0.44755716002493762</v>
      </c>
      <c r="G30" s="90">
        <f t="shared" si="3"/>
        <v>1.329161566502294</v>
      </c>
      <c r="H30" s="129" t="s">
        <v>489</v>
      </c>
      <c r="I30" s="116">
        <v>2970061</v>
      </c>
      <c r="J30" s="116"/>
      <c r="K30" s="116">
        <v>135754.81</v>
      </c>
      <c r="L30" s="130">
        <f t="shared" si="2"/>
        <v>21.878127191220702</v>
      </c>
      <c r="M30" s="85"/>
      <c r="O30" s="90"/>
      <c r="P30" s="90"/>
      <c r="Q30" s="88"/>
      <c r="R30" s="91"/>
    </row>
    <row r="31" spans="1:18">
      <c r="A31" s="131">
        <f>SUM(E29:E31)</f>
        <v>573402.19090909092</v>
      </c>
      <c r="B31" s="131">
        <f>AVERAGE(E29:E31)</f>
        <v>191134.06363636363</v>
      </c>
      <c r="C31" s="90">
        <f>B31/B28-1</f>
        <v>0.55032842668765136</v>
      </c>
      <c r="D31" s="90">
        <f>B31/B19-1</f>
        <v>1.5623726275754461</v>
      </c>
      <c r="E31" s="78">
        <f>I31/20</f>
        <v>134123.6</v>
      </c>
      <c r="F31" s="90">
        <f t="shared" si="1"/>
        <v>-0.14198785816183568</v>
      </c>
      <c r="G31" s="90">
        <f t="shared" si="3"/>
        <v>5.6842283863221921</v>
      </c>
      <c r="H31" s="129" t="s">
        <v>505</v>
      </c>
      <c r="I31" s="116">
        <v>2682472</v>
      </c>
      <c r="J31" s="116"/>
      <c r="K31" s="116">
        <v>99878.01</v>
      </c>
      <c r="L31" s="130">
        <f t="shared" si="2"/>
        <v>26.8574834440534</v>
      </c>
      <c r="M31" s="85">
        <f>I29+I30+I31</f>
        <v>11877644</v>
      </c>
      <c r="O31" s="90">
        <f>M31/M28-1</f>
        <v>0.62764285775951079</v>
      </c>
      <c r="P31" s="90">
        <f>M31/M19-1</f>
        <v>1.6303066110856199</v>
      </c>
      <c r="Q31" s="88">
        <f>AVERAGE(L29:L31)</f>
        <v>22.393925710803973</v>
      </c>
      <c r="R31" s="91">
        <f>Q31/Q28-1</f>
        <v>0.82426014751419929</v>
      </c>
    </row>
    <row r="32" spans="1:18">
      <c r="A32" s="131"/>
      <c r="B32" s="131"/>
      <c r="C32" s="90"/>
      <c r="D32" s="90"/>
      <c r="E32" s="78">
        <f>I32/21</f>
        <v>80184.142857142855</v>
      </c>
      <c r="F32" s="90">
        <f t="shared" si="1"/>
        <v>-0.40216231254497459</v>
      </c>
      <c r="G32" s="90">
        <f t="shared" si="3"/>
        <v>-0.69946559191071667</v>
      </c>
      <c r="H32" s="129" t="s">
        <v>562</v>
      </c>
      <c r="I32" s="116">
        <v>1683867</v>
      </c>
      <c r="J32" s="116"/>
      <c r="K32" s="116">
        <v>69771.539999999994</v>
      </c>
      <c r="L32" s="130">
        <f t="shared" si="2"/>
        <v>24.134009368289711</v>
      </c>
      <c r="M32" s="85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95018.047619047618</v>
      </c>
      <c r="F33" s="90">
        <f t="shared" si="1"/>
        <v>0.18499798380750976</v>
      </c>
      <c r="G33" s="90">
        <f t="shared" si="3"/>
        <v>-0.17341178147087355</v>
      </c>
      <c r="H33" s="129" t="s">
        <v>624</v>
      </c>
      <c r="I33" s="116">
        <v>1995379</v>
      </c>
      <c r="J33" s="116"/>
      <c r="K33" s="116">
        <v>72614.47</v>
      </c>
      <c r="L33" s="130">
        <f t="shared" si="2"/>
        <v>27.479082337170539</v>
      </c>
      <c r="M33" s="85"/>
      <c r="O33" s="90"/>
      <c r="P33" s="90"/>
      <c r="Q33" s="88"/>
      <c r="R33" s="91"/>
    </row>
    <row r="34" spans="1:18">
      <c r="A34" s="131">
        <f>SUM(E32:E34)</f>
        <v>295401.40100250626</v>
      </c>
      <c r="B34" s="131">
        <f>AVERAGE(E32:E34)</f>
        <v>98467.133667502087</v>
      </c>
      <c r="C34" s="90">
        <f>B34/B31-1</f>
        <v>-0.48482687076209618</v>
      </c>
      <c r="D34" s="90">
        <f>B34/B22-1</f>
        <v>-0.38970166524329675</v>
      </c>
      <c r="E34" s="78">
        <f>I34/19</f>
        <v>120199.21052631579</v>
      </c>
      <c r="F34" s="90">
        <f t="shared" si="1"/>
        <v>0.26501452659000191</v>
      </c>
      <c r="G34" s="90">
        <f t="shared" si="3"/>
        <v>0.17530594429372282</v>
      </c>
      <c r="H34" s="129" t="s">
        <v>652</v>
      </c>
      <c r="I34" s="116">
        <v>2283785</v>
      </c>
      <c r="J34" s="116"/>
      <c r="K34" s="116">
        <v>112807.14</v>
      </c>
      <c r="L34" s="130">
        <f t="shared" si="2"/>
        <v>20.245039454062926</v>
      </c>
      <c r="M34" s="85">
        <f>I32+I33+I34</f>
        <v>5963031</v>
      </c>
      <c r="O34" s="90">
        <f>M34/M31-1</f>
        <v>-0.49796180117875233</v>
      </c>
      <c r="P34" s="90">
        <f>M34/M22-1</f>
        <v>-0.39753853894509683</v>
      </c>
      <c r="Q34" s="88">
        <f>AVERAGE(L32:L34)</f>
        <v>23.952710386507722</v>
      </c>
      <c r="R34" s="91">
        <f>Q34/Q31-1</f>
        <v>6.9607477305853038E-2</v>
      </c>
    </row>
    <row r="35" spans="1:18">
      <c r="A35" s="131"/>
      <c r="B35" s="131"/>
      <c r="C35" s="90"/>
      <c r="D35" s="90"/>
      <c r="E35" s="78">
        <f>I35/23</f>
        <v>129160.82608695653</v>
      </c>
      <c r="F35" s="90">
        <f t="shared" si="1"/>
        <v>7.455635957508E-2</v>
      </c>
      <c r="G35" s="90">
        <f t="shared" si="3"/>
        <v>-0.26234720777264553</v>
      </c>
      <c r="H35" s="129" t="s">
        <v>659</v>
      </c>
      <c r="I35" s="116">
        <v>2970699</v>
      </c>
      <c r="J35" s="116"/>
      <c r="K35" s="116">
        <v>145809.45000000001</v>
      </c>
      <c r="L35" s="130">
        <f t="shared" si="2"/>
        <v>20.373844082122247</v>
      </c>
      <c r="M35" s="85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64286</v>
      </c>
      <c r="F36" s="90">
        <f t="shared" si="1"/>
        <v>-0.5022794298580906</v>
      </c>
      <c r="G36" s="90">
        <f t="shared" si="3"/>
        <v>-0.60836312694306904</v>
      </c>
      <c r="H36" s="129" t="s">
        <v>664</v>
      </c>
      <c r="I36" s="116">
        <v>1350006</v>
      </c>
      <c r="J36" s="116"/>
      <c r="K36" s="116">
        <v>36838.29</v>
      </c>
      <c r="L36" s="130">
        <f t="shared" si="2"/>
        <v>36.6468150394603</v>
      </c>
      <c r="M36" s="85"/>
      <c r="O36" s="90"/>
      <c r="P36" s="90"/>
      <c r="Q36" s="88"/>
      <c r="R36" s="91"/>
    </row>
    <row r="37" spans="1:18">
      <c r="A37" s="131">
        <f>SUM(E35:E37)</f>
        <v>405337.49275362317</v>
      </c>
      <c r="B37" s="131">
        <f>AVERAGE(E35:E37)</f>
        <v>135112.49758454107</v>
      </c>
      <c r="C37" s="90">
        <f>B37/B34-1</f>
        <v>0.37215832889764866</v>
      </c>
      <c r="D37" s="90">
        <f>B37/B25-1</f>
        <v>-0.13042956167152209</v>
      </c>
      <c r="E37" s="78">
        <f>I37/18</f>
        <v>211890.66666666666</v>
      </c>
      <c r="F37" s="90">
        <f t="shared" si="1"/>
        <v>2.2960623878708684</v>
      </c>
      <c r="G37" s="90">
        <f t="shared" si="3"/>
        <v>0.66985948051966004</v>
      </c>
      <c r="H37" s="129" t="s">
        <v>702</v>
      </c>
      <c r="I37" s="116">
        <v>3814032</v>
      </c>
      <c r="J37" s="116">
        <v>5093648910</v>
      </c>
      <c r="K37" s="116">
        <v>380226.94</v>
      </c>
      <c r="L37" s="130">
        <f t="shared" ref="L37:L42" si="4">I37/K37</f>
        <v>10.030935735379508</v>
      </c>
      <c r="M37" s="85">
        <f>I35+I36+I37</f>
        <v>8134737</v>
      </c>
      <c r="O37" s="90">
        <f>M37/M34-1</f>
        <v>0.36419498741495726</v>
      </c>
      <c r="P37" s="90">
        <f>M37/M25-1</f>
        <v>-0.16129866712801022</v>
      </c>
      <c r="Q37" s="88">
        <f>AVERAGE(L35:L37)</f>
        <v>22.35053161898735</v>
      </c>
      <c r="R37" s="91">
        <f>Q37/Q34-1</f>
        <v>-6.6889247257081119E-2</v>
      </c>
    </row>
    <row r="38" spans="1:18">
      <c r="A38" s="131"/>
      <c r="B38" s="131"/>
      <c r="C38" s="90"/>
      <c r="D38" s="90"/>
      <c r="E38" s="78">
        <f>I38/20</f>
        <v>365072.25</v>
      </c>
      <c r="F38" s="90">
        <f t="shared" ref="F38" si="5">E38/E37-1</f>
        <v>0.7229274688833236</v>
      </c>
      <c r="G38" s="90">
        <f t="shared" ref="G38" si="6">E38/E26-1</f>
        <v>2.8364044766708703</v>
      </c>
      <c r="H38" s="129" t="s">
        <v>728</v>
      </c>
      <c r="I38" s="116">
        <v>7301445</v>
      </c>
      <c r="J38" s="116">
        <v>9854072344</v>
      </c>
      <c r="K38" s="116">
        <v>1232796.03</v>
      </c>
      <c r="L38" s="130">
        <f t="shared" si="4"/>
        <v>5.92267076006077</v>
      </c>
      <c r="M38" s="85"/>
      <c r="O38" s="90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248409.38095238095</v>
      </c>
      <c r="F39" s="90">
        <f t="shared" ref="F39" si="7">E39/E38-1</f>
        <v>-0.31956104318424383</v>
      </c>
      <c r="G39" s="90">
        <f t="shared" ref="G39" si="8">E39/E27-1</f>
        <v>1.7586844855866506</v>
      </c>
      <c r="H39" s="129" t="s">
        <v>762</v>
      </c>
      <c r="I39" s="116">
        <v>5216597</v>
      </c>
      <c r="J39" s="116">
        <v>7251961447</v>
      </c>
      <c r="K39" s="116">
        <v>580018.70000000007</v>
      </c>
      <c r="L39" s="130">
        <f t="shared" si="4"/>
        <v>8.9938427847240092</v>
      </c>
      <c r="M39" s="85"/>
      <c r="O39" s="90"/>
      <c r="P39" s="90"/>
      <c r="Q39" s="88"/>
      <c r="R39" s="91"/>
    </row>
    <row r="40" spans="1:18">
      <c r="A40" s="131">
        <f>SUM(E38:E40)</f>
        <v>719763.05952380947</v>
      </c>
      <c r="B40" s="131">
        <f>AVERAGE(E38:E40)</f>
        <v>239921.01984126982</v>
      </c>
      <c r="C40" s="90">
        <f>B40/B37-1</f>
        <v>0.77571301049445229</v>
      </c>
      <c r="D40" s="90">
        <f>B40/B28-1</f>
        <v>0.94604964778788503</v>
      </c>
      <c r="E40" s="78">
        <f>I40/21</f>
        <v>106281.42857142857</v>
      </c>
      <c r="F40" s="90">
        <f t="shared" ref="F40" si="9">E40/E39-1</f>
        <v>-0.57215211372471364</v>
      </c>
      <c r="G40" s="90">
        <f t="shared" ref="G40" si="10">E40/E28-1</f>
        <v>-0.42442374088837775</v>
      </c>
      <c r="H40" s="129" t="s">
        <v>778</v>
      </c>
      <c r="I40" s="116">
        <v>2231910</v>
      </c>
      <c r="J40" s="116">
        <v>3171816421</v>
      </c>
      <c r="K40" s="116">
        <v>465762.34</v>
      </c>
      <c r="L40" s="130">
        <f t="shared" si="4"/>
        <v>4.791950332437783</v>
      </c>
      <c r="M40" s="85">
        <f>I38+I39+I40</f>
        <v>14749952</v>
      </c>
      <c r="O40" s="90">
        <f>M40/M37-1</f>
        <v>0.81320576190723814</v>
      </c>
      <c r="P40" s="90">
        <f>M40/M28-1</f>
        <v>1.0212471450647631</v>
      </c>
      <c r="Q40" s="88">
        <f>AVERAGE(L38:L40)</f>
        <v>6.5694879590741877</v>
      </c>
      <c r="R40" s="91">
        <f>Q40/Q37-1</f>
        <v>-0.70607017000467054</v>
      </c>
    </row>
    <row r="41" spans="1:18" s="183" customFormat="1">
      <c r="B41" s="168"/>
      <c r="C41" s="184"/>
      <c r="D41" s="184"/>
      <c r="E41" s="143">
        <f>I41/18</f>
        <v>185406</v>
      </c>
      <c r="F41" s="109">
        <f t="shared" ref="F41" si="11">E41/E40-1</f>
        <v>0.74448163232388409</v>
      </c>
      <c r="G41" s="109">
        <f t="shared" ref="G41" si="12">E41/E29-1</f>
        <v>-0.34476156328778707</v>
      </c>
      <c r="H41" s="144" t="s">
        <v>792</v>
      </c>
      <c r="I41" s="145">
        <v>3337308</v>
      </c>
      <c r="J41" s="145">
        <v>4870653600</v>
      </c>
      <c r="K41" s="145">
        <v>445022.27</v>
      </c>
      <c r="L41" s="146">
        <f t="shared" si="4"/>
        <v>7.4991932426213186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I42/20</f>
        <v>59809.5</v>
      </c>
      <c r="F42" s="109">
        <f t="shared" ref="F42" si="13">E42/E41-1</f>
        <v>-0.67741335231869515</v>
      </c>
      <c r="G42" s="109">
        <f t="shared" ref="G42" si="14">E42/E30-1</f>
        <v>-0.61738816138793107</v>
      </c>
      <c r="H42" s="144" t="s">
        <v>826</v>
      </c>
      <c r="I42" s="145">
        <v>1196190</v>
      </c>
      <c r="J42" s="145">
        <v>1728939289</v>
      </c>
      <c r="K42" s="145">
        <v>18155.839999999997</v>
      </c>
      <c r="L42" s="146">
        <f t="shared" si="4"/>
        <v>65.884585896328687</v>
      </c>
      <c r="M42" s="143"/>
      <c r="O42" s="109"/>
      <c r="P42" s="109"/>
    </row>
    <row r="43" spans="1:18">
      <c r="B43" s="131">
        <f>AVERAGE(E41:E43)</f>
        <v>122607.75</v>
      </c>
      <c r="C43" s="90">
        <f>B43/B40-1</f>
        <v>-0.48896620195630847</v>
      </c>
      <c r="D43" s="90">
        <f>B43/B31-1</f>
        <v>-0.35852486120284821</v>
      </c>
    </row>
  </sheetData>
  <phoneticPr fontId="1" type="noConversion"/>
  <conditionalFormatting sqref="B29:B30">
    <cfRule type="cellIs" dxfId="132" priority="1" operator="greaterThan">
      <formula>$B$25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0"/>
  <dimension ref="A1:Z76"/>
  <sheetViews>
    <sheetView zoomScale="90" zoomScaleNormal="90" workbookViewId="0">
      <selection activeCell="D68" sqref="D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2825901090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121</v>
      </c>
      <c r="G4" s="172" t="s">
        <v>296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860370.85</v>
      </c>
      <c r="G5" s="90"/>
      <c r="H5" s="90"/>
      <c r="I5" s="130">
        <f t="shared" ref="I5:I49" si="0">T5</f>
        <v>21.658500756795657</v>
      </c>
      <c r="J5" s="130"/>
      <c r="L5" s="80"/>
      <c r="M5" s="80"/>
      <c r="P5" s="129" t="s">
        <v>0</v>
      </c>
      <c r="Q5" s="116">
        <v>17207417</v>
      </c>
      <c r="R5" s="116"/>
      <c r="S5" s="116">
        <v>794487.91</v>
      </c>
      <c r="T5" s="130">
        <f t="shared" ref="T5:T11" si="1">Q5/S5</f>
        <v>21.658500756795657</v>
      </c>
      <c r="U5" s="85"/>
    </row>
    <row r="6" spans="1:21" ht="15" hidden="1" customHeight="1">
      <c r="A6" s="129" t="s">
        <v>1</v>
      </c>
      <c r="C6" s="79"/>
      <c r="F6" s="78">
        <f>Q6/18</f>
        <v>2299791.9444444445</v>
      </c>
      <c r="G6" s="90">
        <f t="shared" ref="G6:G16" si="2">F6/F5-1</f>
        <v>1.6730240156839864</v>
      </c>
      <c r="H6" s="90"/>
      <c r="I6" s="130">
        <f t="shared" si="0"/>
        <v>21.939721342027678</v>
      </c>
      <c r="J6" s="130"/>
      <c r="P6" s="129" t="s">
        <v>1</v>
      </c>
      <c r="Q6" s="116">
        <v>41396255</v>
      </c>
      <c r="R6" s="116"/>
      <c r="S6" s="116">
        <v>1886817.72</v>
      </c>
      <c r="T6" s="130">
        <f t="shared" si="1"/>
        <v>21.939721342027678</v>
      </c>
      <c r="U6" s="85"/>
    </row>
    <row r="7" spans="1:21" ht="15" hidden="1" customHeight="1">
      <c r="A7" s="129" t="s">
        <v>2</v>
      </c>
      <c r="B7" s="131">
        <f>F5+F6+F7</f>
        <v>5741864.8398989905</v>
      </c>
      <c r="C7" s="131">
        <f>AVERAGE(F5:F7)</f>
        <v>1913954.9466329969</v>
      </c>
      <c r="F7" s="78">
        <f>Q7/22</f>
        <v>2581702.0454545454</v>
      </c>
      <c r="G7" s="90">
        <f t="shared" si="2"/>
        <v>0.12258069765445723</v>
      </c>
      <c r="H7" s="90"/>
      <c r="I7" s="130">
        <f t="shared" si="0"/>
        <v>22.999104517118802</v>
      </c>
      <c r="J7" s="130"/>
      <c r="K7" s="79">
        <f>R5+R6+R7</f>
        <v>0</v>
      </c>
      <c r="N7" s="88">
        <f>AVERAGE(T5:T7)</f>
        <v>22.199108871980712</v>
      </c>
      <c r="P7" s="129" t="s">
        <v>2</v>
      </c>
      <c r="Q7" s="116">
        <v>56797445</v>
      </c>
      <c r="R7" s="116"/>
      <c r="S7" s="116">
        <v>2469550.2799999998</v>
      </c>
      <c r="T7" s="130">
        <f t="shared" si="1"/>
        <v>22.999104517118802</v>
      </c>
      <c r="U7" s="85">
        <f>Q5+Q6+Q7</f>
        <v>115401117</v>
      </c>
    </row>
    <row r="8" spans="1:21" ht="15" hidden="1" customHeight="1">
      <c r="A8" s="129" t="s">
        <v>3</v>
      </c>
      <c r="C8" s="79"/>
      <c r="F8" s="78">
        <f>Q8/21</f>
        <v>3606826.7142857141</v>
      </c>
      <c r="G8" s="90">
        <f t="shared" si="2"/>
        <v>0.39707319077972092</v>
      </c>
      <c r="H8" s="90"/>
      <c r="I8" s="130">
        <f t="shared" si="0"/>
        <v>24.860710624844263</v>
      </c>
      <c r="J8" s="130"/>
      <c r="K8" s="78"/>
      <c r="P8" s="129" t="s">
        <v>3</v>
      </c>
      <c r="Q8" s="116">
        <v>75743361</v>
      </c>
      <c r="R8" s="116"/>
      <c r="S8" s="116">
        <v>3046709.41</v>
      </c>
      <c r="T8" s="130">
        <f t="shared" si="1"/>
        <v>24.860710624844263</v>
      </c>
      <c r="U8" s="85"/>
    </row>
    <row r="9" spans="1:21" ht="15" hidden="1" customHeight="1">
      <c r="A9" s="129" t="s">
        <v>4</v>
      </c>
      <c r="C9" s="79"/>
      <c r="F9" s="78">
        <f>Q9/21</f>
        <v>4140407.8571428573</v>
      </c>
      <c r="G9" s="90">
        <f t="shared" si="2"/>
        <v>0.14793645082636364</v>
      </c>
      <c r="H9" s="90"/>
      <c r="I9" s="130">
        <f t="shared" si="0"/>
        <v>28.405943357150221</v>
      </c>
      <c r="J9" s="130"/>
      <c r="K9" s="78"/>
      <c r="P9" s="129" t="s">
        <v>4</v>
      </c>
      <c r="Q9" s="116">
        <v>86948565</v>
      </c>
      <c r="R9" s="116"/>
      <c r="S9" s="116">
        <v>3060928.62</v>
      </c>
      <c r="T9" s="130">
        <f t="shared" si="1"/>
        <v>28.405943357150221</v>
      </c>
      <c r="U9" s="85"/>
    </row>
    <row r="10" spans="1:21" ht="15" hidden="1" customHeight="1">
      <c r="A10" s="129" t="s">
        <v>5</v>
      </c>
      <c r="B10" s="131">
        <f>F8+F9+F10</f>
        <v>10778438.523809522</v>
      </c>
      <c r="C10" s="131">
        <f>AVERAGE(F8:F10)</f>
        <v>3592812.841269841</v>
      </c>
      <c r="D10" s="90">
        <f>C10/C7-1</f>
        <v>0.87716688294584344</v>
      </c>
      <c r="E10" s="286"/>
      <c r="F10" s="78">
        <f>Q10/21</f>
        <v>3031203.9523809524</v>
      </c>
      <c r="G10" s="90">
        <f t="shared" si="2"/>
        <v>-0.26789725626869176</v>
      </c>
      <c r="H10" s="90"/>
      <c r="I10" s="130">
        <f t="shared" si="0"/>
        <v>29.625195725311997</v>
      </c>
      <c r="J10" s="130"/>
      <c r="K10" s="79">
        <f>R8+R9+R10</f>
        <v>0</v>
      </c>
      <c r="L10" s="87">
        <f>U10/U7-1</f>
        <v>0.96139530434527765</v>
      </c>
      <c r="N10" s="88">
        <f>AVERAGE(T8:T10)</f>
        <v>27.630616569102159</v>
      </c>
      <c r="O10" s="89">
        <f>N10/N7-1</f>
        <v>0.2446723302473186</v>
      </c>
      <c r="P10" s="129" t="s">
        <v>5</v>
      </c>
      <c r="Q10" s="116">
        <v>63655283</v>
      </c>
      <c r="R10" s="116"/>
      <c r="S10" s="116">
        <v>2148687.34</v>
      </c>
      <c r="T10" s="130">
        <f t="shared" si="1"/>
        <v>29.625195725311997</v>
      </c>
      <c r="U10" s="85">
        <f>Q8+Q9+Q10</f>
        <v>226347209</v>
      </c>
    </row>
    <row r="11" spans="1:21" ht="15" hidden="1" customHeight="1">
      <c r="A11" s="129" t="s">
        <v>6</v>
      </c>
      <c r="C11" s="79"/>
      <c r="F11" s="78">
        <f>Q11/21</f>
        <v>3991999.6190476189</v>
      </c>
      <c r="G11" s="90">
        <f t="shared" si="2"/>
        <v>0.31696833395587909</v>
      </c>
      <c r="H11" s="90"/>
      <c r="I11" s="130">
        <f t="shared" si="0"/>
        <v>28.822137736289587</v>
      </c>
      <c r="J11" s="130"/>
      <c r="K11" s="78"/>
      <c r="O11" s="89"/>
      <c r="P11" s="129" t="s">
        <v>6</v>
      </c>
      <c r="Q11" s="116">
        <v>83831992</v>
      </c>
      <c r="R11" s="116"/>
      <c r="S11" s="116">
        <v>2908597.3</v>
      </c>
      <c r="T11" s="130">
        <f t="shared" si="1"/>
        <v>28.822137736289587</v>
      </c>
      <c r="U11" s="85"/>
    </row>
    <row r="12" spans="1:21" ht="15" hidden="1" customHeight="1">
      <c r="A12" s="129" t="s">
        <v>7</v>
      </c>
      <c r="C12" s="79"/>
      <c r="F12" s="78">
        <f>Q12/22</f>
        <v>3448532.3181818184</v>
      </c>
      <c r="G12" s="90">
        <f t="shared" si="2"/>
        <v>-0.13613911641491006</v>
      </c>
      <c r="H12" s="90"/>
      <c r="I12" s="130">
        <f t="shared" si="0"/>
        <v>26.325716617203454</v>
      </c>
      <c r="J12" s="130"/>
      <c r="K12" s="78"/>
      <c r="O12" s="89"/>
      <c r="P12" s="129" t="s">
        <v>7</v>
      </c>
      <c r="Q12" s="116">
        <v>75867711</v>
      </c>
      <c r="R12" s="116"/>
      <c r="S12" s="116">
        <v>2881885.88</v>
      </c>
      <c r="T12" s="130">
        <f>Q12/S12</f>
        <v>26.325716617203454</v>
      </c>
      <c r="U12" s="85"/>
    </row>
    <row r="13" spans="1:21" ht="15" hidden="1" customHeight="1">
      <c r="A13" s="129" t="s">
        <v>35</v>
      </c>
      <c r="B13" s="131">
        <f>F11+F12+F13</f>
        <v>10584557.187229438</v>
      </c>
      <c r="C13" s="131">
        <f>AVERAGE(F11:F13)</f>
        <v>3528185.7290764791</v>
      </c>
      <c r="D13" s="90">
        <f>C13/C10-1</f>
        <v>-1.7987887220565657E-2</v>
      </c>
      <c r="E13" s="286"/>
      <c r="F13" s="78">
        <f>Q13/20</f>
        <v>3144025.25</v>
      </c>
      <c r="G13" s="90">
        <f t="shared" si="2"/>
        <v>-8.8300482665148561E-2</v>
      </c>
      <c r="H13" s="90"/>
      <c r="I13" s="130">
        <f t="shared" si="0"/>
        <v>23.287234336934954</v>
      </c>
      <c r="J13" s="130"/>
      <c r="K13" s="78">
        <f>R11+R12+R13</f>
        <v>0</v>
      </c>
      <c r="L13" s="87">
        <f>U13/U10-1</f>
        <v>-1.664257764274002E-2</v>
      </c>
      <c r="N13" s="88">
        <f>AVERAGE(T11:T13)</f>
        <v>26.145029563476001</v>
      </c>
      <c r="O13" s="89">
        <f>N13/N10-1</f>
        <v>-5.3765973767209041E-2</v>
      </c>
      <c r="P13" s="129" t="s">
        <v>60</v>
      </c>
      <c r="Q13" s="116">
        <v>62880505</v>
      </c>
      <c r="R13" s="116"/>
      <c r="S13" s="116">
        <v>2700213.52</v>
      </c>
      <c r="T13" s="130">
        <f>Q13/S13</f>
        <v>23.287234336934954</v>
      </c>
      <c r="U13" s="85">
        <f>Q11+Q12+Q13</f>
        <v>222580208</v>
      </c>
    </row>
    <row r="14" spans="1:21" ht="15" hidden="1" customHeight="1">
      <c r="A14" s="129" t="s">
        <v>36</v>
      </c>
      <c r="C14" s="79"/>
      <c r="F14" s="78">
        <f>Q14/20</f>
        <v>2293201.75</v>
      </c>
      <c r="G14" s="90">
        <f t="shared" si="2"/>
        <v>-0.27061598821447119</v>
      </c>
      <c r="H14" s="90"/>
      <c r="I14" s="130">
        <f t="shared" si="0"/>
        <v>22.056512151628962</v>
      </c>
      <c r="J14" s="130"/>
      <c r="O14" s="89"/>
      <c r="P14" s="129" t="s">
        <v>36</v>
      </c>
      <c r="Q14" s="116">
        <v>45864035</v>
      </c>
      <c r="R14" s="116"/>
      <c r="S14" s="116">
        <v>2079387.47</v>
      </c>
      <c r="T14" s="130">
        <f>Q14/S14</f>
        <v>22.056512151628962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2930754.0909090908</v>
      </c>
      <c r="G15" s="90">
        <f t="shared" si="2"/>
        <v>0.27801842594490034</v>
      </c>
      <c r="H15" s="90"/>
      <c r="I15" s="130">
        <f t="shared" si="0"/>
        <v>22.429820275456379</v>
      </c>
      <c r="J15" s="130"/>
      <c r="O15" s="89"/>
      <c r="P15" s="129" t="s">
        <v>37</v>
      </c>
      <c r="Q15" s="116">
        <v>64476590</v>
      </c>
      <c r="R15" s="116"/>
      <c r="S15" s="116">
        <v>2874592.36</v>
      </c>
      <c r="T15" s="130">
        <f t="shared" ref="T15:T19" si="3">Q15/S15</f>
        <v>22.429820275456379</v>
      </c>
      <c r="U15" s="78"/>
    </row>
    <row r="16" spans="1:21" ht="15" hidden="1" customHeight="1">
      <c r="A16" s="123" t="s">
        <v>38</v>
      </c>
      <c r="B16" s="131">
        <f>F14+F15+F16</f>
        <v>8296662.25</v>
      </c>
      <c r="C16" s="131">
        <f>AVERAGE(F14:F16)</f>
        <v>2765554.0833333335</v>
      </c>
      <c r="D16" s="90">
        <f>C16/C13-1</f>
        <v>-0.21615405318890857</v>
      </c>
      <c r="E16" s="286"/>
      <c r="F16" s="78">
        <f>Q16/22</f>
        <v>3072706.4090909092</v>
      </c>
      <c r="G16" s="90">
        <f t="shared" si="2"/>
        <v>4.8435424392015758E-2</v>
      </c>
      <c r="H16" s="90"/>
      <c r="I16" s="130">
        <f t="shared" si="0"/>
        <v>22.609483194041307</v>
      </c>
      <c r="J16" s="130"/>
      <c r="K16" s="78">
        <f>R14+R15+R16</f>
        <v>0</v>
      </c>
      <c r="L16" s="87">
        <f>U16/U13-1</f>
        <v>-0.20055710434056206</v>
      </c>
      <c r="N16" s="88">
        <f>AVERAGE(T14:T16)</f>
        <v>22.365271873708881</v>
      </c>
      <c r="O16" s="89">
        <f>N16/N13-1</f>
        <v>-0.14456888184388794</v>
      </c>
      <c r="P16" s="123" t="s">
        <v>38</v>
      </c>
      <c r="Q16" s="133">
        <v>67599541</v>
      </c>
      <c r="R16" s="133"/>
      <c r="S16" s="133">
        <v>2989875.55</v>
      </c>
      <c r="T16" s="134">
        <f t="shared" si="3"/>
        <v>22.609483194041307</v>
      </c>
      <c r="U16" s="85">
        <f>Q14+Q15+Q16</f>
        <v>177940166</v>
      </c>
    </row>
    <row r="17" spans="1:21" ht="15" hidden="1" customHeight="1">
      <c r="A17" s="129" t="s">
        <v>85</v>
      </c>
      <c r="C17" s="79"/>
      <c r="F17" s="78">
        <f>Q17/20</f>
        <v>2402820.75</v>
      </c>
      <c r="G17" s="90">
        <f t="shared" ref="G17:G22" si="4">F17/F16-1</f>
        <v>-0.21801160602554981</v>
      </c>
      <c r="H17" s="90">
        <f t="shared" ref="H17:H22" si="5">F17/F5-1</f>
        <v>1.79277331397269</v>
      </c>
      <c r="I17" s="130">
        <f t="shared" si="0"/>
        <v>22.225096633775586</v>
      </c>
      <c r="J17" s="130">
        <f t="shared" ref="J17:J49" si="6">I17/I5-1</f>
        <v>2.6160438496748206E-2</v>
      </c>
      <c r="O17" s="89"/>
      <c r="P17" s="129" t="s">
        <v>85</v>
      </c>
      <c r="Q17" s="116">
        <v>48056415</v>
      </c>
      <c r="R17" s="116">
        <v>60434411269</v>
      </c>
      <c r="S17" s="116">
        <v>2162258.9900000002</v>
      </c>
      <c r="T17" s="130">
        <f t="shared" si="3"/>
        <v>22.225096633775586</v>
      </c>
      <c r="U17" s="78"/>
    </row>
    <row r="18" spans="1:21" hidden="1">
      <c r="A18" s="129" t="s">
        <v>106</v>
      </c>
      <c r="C18" s="79"/>
      <c r="F18" s="78">
        <f>Q18/20</f>
        <v>3879225.85</v>
      </c>
      <c r="G18" s="90">
        <f t="shared" si="4"/>
        <v>0.6144466248678766</v>
      </c>
      <c r="H18" s="90">
        <f t="shared" si="5"/>
        <v>0.68677251843192089</v>
      </c>
      <c r="I18" s="130">
        <f t="shared" si="0"/>
        <v>20.37488573507277</v>
      </c>
      <c r="J18" s="130">
        <f t="shared" si="6"/>
        <v>-7.1324315498816904E-2</v>
      </c>
      <c r="O18" s="89"/>
      <c r="P18" s="129" t="s">
        <v>106</v>
      </c>
      <c r="Q18" s="116">
        <v>77584517</v>
      </c>
      <c r="R18" s="116">
        <v>97351519982</v>
      </c>
      <c r="S18" s="116">
        <v>3807850.41</v>
      </c>
      <c r="T18" s="130">
        <f t="shared" si="3"/>
        <v>20.37488573507277</v>
      </c>
      <c r="U18" s="78"/>
    </row>
    <row r="19" spans="1:21" hidden="1">
      <c r="A19" s="129" t="s">
        <v>114</v>
      </c>
      <c r="B19" s="131">
        <f>SUM(F17:F19)</f>
        <v>9768102.0090909079</v>
      </c>
      <c r="C19" s="131">
        <f>AVERAGE(F17:F19)</f>
        <v>3256034.0030303025</v>
      </c>
      <c r="D19" s="90">
        <f>C19/C16-1</f>
        <v>0.17735321925282754</v>
      </c>
      <c r="E19" s="286">
        <f>C19/C7-1</f>
        <v>0.70120723518506667</v>
      </c>
      <c r="F19" s="78">
        <f>Q19/22</f>
        <v>3486055.4090909092</v>
      </c>
      <c r="G19" s="90">
        <f t="shared" si="4"/>
        <v>-0.10135281009974995</v>
      </c>
      <c r="H19" s="90">
        <f t="shared" si="5"/>
        <v>0.35029346830654107</v>
      </c>
      <c r="I19" s="130">
        <f t="shared" si="0"/>
        <v>20.654483345476073</v>
      </c>
      <c r="J19" s="130">
        <f t="shared" si="6"/>
        <v>-0.10194402003337</v>
      </c>
      <c r="L19" s="87">
        <f>U19/U16-1</f>
        <v>0.13709094213163775</v>
      </c>
      <c r="M19" s="87">
        <f>U19/U7-1</f>
        <v>0.7533118938528125</v>
      </c>
      <c r="N19" s="88">
        <f>AVERAGE(T17:T19)</f>
        <v>21.08482190477481</v>
      </c>
      <c r="O19" s="89">
        <f>N19/N16-1</f>
        <v>-5.7251705955753796E-2</v>
      </c>
      <c r="P19" s="129" t="s">
        <v>114</v>
      </c>
      <c r="Q19" s="116">
        <v>76693219</v>
      </c>
      <c r="R19" s="116">
        <v>100386337446</v>
      </c>
      <c r="S19" s="116">
        <v>3713151.17</v>
      </c>
      <c r="T19" s="130">
        <f t="shared" si="3"/>
        <v>20.654483345476073</v>
      </c>
      <c r="U19" s="85">
        <f>Q17+Q18+Q19</f>
        <v>202334151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3920643.25</v>
      </c>
      <c r="G20" s="90">
        <f t="shared" si="4"/>
        <v>0.12466463951656537</v>
      </c>
      <c r="H20" s="90">
        <f t="shared" si="5"/>
        <v>8.700626910390219E-2</v>
      </c>
      <c r="I20" s="130">
        <f t="shared" si="0"/>
        <v>20.094106943577209</v>
      </c>
      <c r="J20" s="130">
        <f t="shared" si="6"/>
        <v>-0.19173239869111403</v>
      </c>
      <c r="O20" s="89"/>
      <c r="P20" s="129" t="s">
        <v>132</v>
      </c>
      <c r="Q20" s="116">
        <v>78412865</v>
      </c>
      <c r="R20" s="116">
        <v>102696412170</v>
      </c>
      <c r="S20" s="116">
        <v>3902281.66</v>
      </c>
      <c r="T20" s="130">
        <f t="shared" ref="T20" si="7">Q20/S20</f>
        <v>20.094106943577209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4737576.6190476194</v>
      </c>
      <c r="G21" s="90">
        <f t="shared" si="4"/>
        <v>0.20836717777054048</v>
      </c>
      <c r="H21" s="90">
        <f t="shared" si="5"/>
        <v>0.1442294533555557</v>
      </c>
      <c r="I21" s="130">
        <f t="shared" si="0"/>
        <v>19.49865168134534</v>
      </c>
      <c r="J21" s="130">
        <f t="shared" si="6"/>
        <v>-0.31357140876515821</v>
      </c>
      <c r="O21" s="89"/>
      <c r="P21" s="129" t="s">
        <v>141</v>
      </c>
      <c r="Q21" s="116">
        <v>99489109</v>
      </c>
      <c r="R21" s="116">
        <v>132612294625</v>
      </c>
      <c r="S21" s="116">
        <v>5102358.3899999997</v>
      </c>
      <c r="T21" s="130">
        <f t="shared" ref="T21" si="8">Q21/S21</f>
        <v>19.49865168134534</v>
      </c>
      <c r="U21" s="78"/>
    </row>
    <row r="22" spans="1:21" hidden="1">
      <c r="A22" s="129" t="s">
        <v>156</v>
      </c>
      <c r="B22" s="131">
        <f>SUM(F20:F22)</f>
        <v>11998818.773809524</v>
      </c>
      <c r="C22" s="131">
        <f>AVERAGE(F20:F22)</f>
        <v>3999606.2579365079</v>
      </c>
      <c r="D22" s="90">
        <f>C22/C19-1</f>
        <v>0.22836747227276577</v>
      </c>
      <c r="E22" s="286">
        <f>C22/C10-1</f>
        <v>0.11322421585503184</v>
      </c>
      <c r="F22" s="78">
        <f>Q22/21</f>
        <v>3340598.9047619049</v>
      </c>
      <c r="G22" s="90">
        <f t="shared" si="4"/>
        <v>-0.29487179345429659</v>
      </c>
      <c r="H22" s="90">
        <f t="shared" si="5"/>
        <v>0.10206998844070814</v>
      </c>
      <c r="I22" s="130">
        <f t="shared" si="0"/>
        <v>19.769609461216742</v>
      </c>
      <c r="J22" s="130">
        <f t="shared" si="6"/>
        <v>-0.33267581944360169</v>
      </c>
      <c r="L22" s="87">
        <f>U22/U19-1</f>
        <v>0.2259648199477704</v>
      </c>
      <c r="M22" s="87">
        <f>U22/U10-1</f>
        <v>9.5902848088575299E-2</v>
      </c>
      <c r="N22" s="88">
        <f>AVERAGE(T20:T22)</f>
        <v>19.787456028713098</v>
      </c>
      <c r="O22" s="89">
        <f>N22/N19-1</f>
        <v>-6.153079603522349E-2</v>
      </c>
      <c r="P22" s="129" t="s">
        <v>156</v>
      </c>
      <c r="Q22" s="116">
        <v>70152577</v>
      </c>
      <c r="R22" s="116">
        <v>91021829673</v>
      </c>
      <c r="S22" s="116">
        <v>3548505.96</v>
      </c>
      <c r="T22" s="130">
        <f t="shared" ref="T22:T23" si="9">Q22/S22</f>
        <v>19.769609461216742</v>
      </c>
      <c r="U22" s="85">
        <f>Q20+Q21+Q22</f>
        <v>248054551</v>
      </c>
    </row>
    <row r="23" spans="1:21" hidden="1">
      <c r="A23" s="129" t="s">
        <v>189</v>
      </c>
      <c r="B23" s="131"/>
      <c r="C23" s="131"/>
      <c r="F23" s="78">
        <f>Q23/21</f>
        <v>3859713</v>
      </c>
      <c r="G23" s="90">
        <f t="shared" ref="G23" si="10">F23/F22-1</f>
        <v>0.15539551740201918</v>
      </c>
      <c r="H23" s="90">
        <f t="shared" ref="H23" si="11">F23/F11-1</f>
        <v>-3.3137933785469365E-2</v>
      </c>
      <c r="I23" s="130">
        <f t="shared" si="0"/>
        <v>18.2400642778513</v>
      </c>
      <c r="J23" s="130">
        <f t="shared" si="6"/>
        <v>-0.36715088780921801</v>
      </c>
      <c r="O23" s="89"/>
      <c r="P23" s="129" t="s">
        <v>189</v>
      </c>
      <c r="Q23" s="116">
        <v>81053973</v>
      </c>
      <c r="R23" s="116">
        <v>104544500384</v>
      </c>
      <c r="S23" s="116">
        <v>4443732.8600000003</v>
      </c>
      <c r="T23" s="130">
        <f t="shared" si="9"/>
        <v>18.2400642778513</v>
      </c>
      <c r="U23" s="78"/>
    </row>
    <row r="24" spans="1:21" hidden="1">
      <c r="A24" s="129" t="s">
        <v>204</v>
      </c>
      <c r="B24" s="131"/>
      <c r="C24" s="131"/>
      <c r="F24" s="78">
        <f>Q24/22</f>
        <v>4076628.6818181816</v>
      </c>
      <c r="G24" s="90">
        <f t="shared" ref="G24" si="12">F24/F23-1</f>
        <v>5.619995108915643E-2</v>
      </c>
      <c r="H24" s="90">
        <f t="shared" ref="H24" si="13">F24/F12-1</f>
        <v>0.18213439970529754</v>
      </c>
      <c r="I24" s="130">
        <f t="shared" si="0"/>
        <v>18.321090888744546</v>
      </c>
      <c r="J24" s="130">
        <f t="shared" si="6"/>
        <v>-0.30406107627961043</v>
      </c>
      <c r="O24" s="89"/>
      <c r="P24" s="129" t="s">
        <v>204</v>
      </c>
      <c r="Q24" s="116">
        <v>89685831</v>
      </c>
      <c r="R24" s="116">
        <v>117471771956</v>
      </c>
      <c r="S24" s="116">
        <v>4895223.3</v>
      </c>
      <c r="T24" s="130">
        <f t="shared" ref="T24" si="14">Q24/S24</f>
        <v>18.321090888744546</v>
      </c>
      <c r="U24" s="78"/>
    </row>
    <row r="25" spans="1:21" s="79" customFormat="1" ht="13.2" hidden="1">
      <c r="A25" s="129" t="s">
        <v>219</v>
      </c>
      <c r="B25" s="131">
        <f>SUM(F23:F25)</f>
        <v>12838762.050239235</v>
      </c>
      <c r="C25" s="131">
        <f>AVERAGE(F23:F25)</f>
        <v>4279587.3500797451</v>
      </c>
      <c r="D25" s="90">
        <f>C25/C22-1</f>
        <v>7.0002163734908862E-2</v>
      </c>
      <c r="E25" s="286">
        <f>C25/C13-1</f>
        <v>0.21297110716446022</v>
      </c>
      <c r="F25" s="78">
        <f>Q25/19</f>
        <v>4902420.3684210526</v>
      </c>
      <c r="G25" s="90">
        <f t="shared" ref="G25" si="15">F25/F24-1</f>
        <v>0.20256730525542177</v>
      </c>
      <c r="H25" s="90">
        <f t="shared" ref="H25" si="16">F25/F13-1</f>
        <v>0.55928148745658213</v>
      </c>
      <c r="I25" s="130">
        <f t="shared" si="0"/>
        <v>18.141425093803633</v>
      </c>
      <c r="J25" s="130">
        <f t="shared" si="6"/>
        <v>-0.22097124839636961</v>
      </c>
      <c r="L25" s="90">
        <f>U25/U22-1</f>
        <v>6.3821606723917679E-2</v>
      </c>
      <c r="M25" s="90">
        <f>U25/U13-1</f>
        <v>0.18557617216351963</v>
      </c>
      <c r="N25" s="88">
        <f>AVERAGE(T23:T25)</f>
        <v>18.23419342013316</v>
      </c>
      <c r="O25" s="91">
        <f>N25/N22-1</f>
        <v>-7.849733721838914E-2</v>
      </c>
      <c r="P25" s="129" t="s">
        <v>219</v>
      </c>
      <c r="Q25" s="116">
        <v>93145987</v>
      </c>
      <c r="R25" s="116">
        <v>123657511814</v>
      </c>
      <c r="S25" s="116">
        <v>5134436.05</v>
      </c>
      <c r="T25" s="130">
        <f t="shared" ref="T25" si="17">Q25/S25</f>
        <v>18.141425093803633</v>
      </c>
      <c r="U25" s="85">
        <f>Q23+Q24+Q25</f>
        <v>263885791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5516188.5263157897</v>
      </c>
      <c r="G26" s="90">
        <f t="shared" ref="G26" si="18">F26/F25-1</f>
        <v>0.12519696634917832</v>
      </c>
      <c r="H26" s="90">
        <f t="shared" ref="H26" si="19">F26/F14-1</f>
        <v>1.4054527807314772</v>
      </c>
      <c r="I26" s="130">
        <f t="shared" si="0"/>
        <v>18.061450082799983</v>
      </c>
      <c r="J26" s="130">
        <f t="shared" si="6"/>
        <v>-0.18112845953905399</v>
      </c>
      <c r="L26" s="90"/>
      <c r="M26" s="90"/>
      <c r="P26" s="129" t="s">
        <v>312</v>
      </c>
      <c r="Q26" s="116">
        <v>104807582</v>
      </c>
      <c r="R26" s="116">
        <v>141224955806</v>
      </c>
      <c r="S26" s="116">
        <v>5802833.1900000004</v>
      </c>
      <c r="T26" s="130">
        <f t="shared" ref="T26" si="20">Q26/S26</f>
        <v>18.061450082799983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3678679.3636363638</v>
      </c>
      <c r="G27" s="90">
        <f t="shared" ref="G27" si="21">F27/F26-1</f>
        <v>-0.33311210338684361</v>
      </c>
      <c r="H27" s="90">
        <f t="shared" ref="H27" si="22">F27/F15-1</f>
        <v>0.25519891793284977</v>
      </c>
      <c r="I27" s="130">
        <f t="shared" si="0"/>
        <v>17.759535388071981</v>
      </c>
      <c r="J27" s="130">
        <f t="shared" si="6"/>
        <v>-0.20821766871198755</v>
      </c>
      <c r="L27" s="90"/>
      <c r="M27" s="90"/>
      <c r="P27" s="129" t="s">
        <v>396</v>
      </c>
      <c r="Q27" s="116">
        <v>80930946</v>
      </c>
      <c r="R27" s="116">
        <v>107014938612</v>
      </c>
      <c r="S27" s="116">
        <v>4557041.8499999996</v>
      </c>
      <c r="T27" s="130">
        <f t="shared" ref="T27" si="23">Q27/S27</f>
        <v>17.759535388071981</v>
      </c>
      <c r="U27" s="78"/>
    </row>
    <row r="28" spans="1:21" s="79" customFormat="1" ht="13.2" hidden="1">
      <c r="A28" s="123" t="s">
        <v>413</v>
      </c>
      <c r="B28" s="131">
        <f>SUM(F26:F28)</f>
        <v>13799422.837320574</v>
      </c>
      <c r="C28" s="131">
        <f>AVERAGE(F26:F28)</f>
        <v>4599807.6124401912</v>
      </c>
      <c r="D28" s="90">
        <f>C28/C25-1</f>
        <v>7.4825032454233886E-2</v>
      </c>
      <c r="E28" s="286">
        <f>C28/C16-1</f>
        <v>0.66324992165621466</v>
      </c>
      <c r="F28" s="78">
        <f>Q28/19</f>
        <v>4604554.9473684207</v>
      </c>
      <c r="G28" s="90">
        <f t="shared" ref="G28" si="24">F28/F27-1</f>
        <v>0.25168694855124074</v>
      </c>
      <c r="H28" s="90">
        <f t="shared" ref="H28" si="25">F28/F16-1</f>
        <v>0.49853397439644231</v>
      </c>
      <c r="I28" s="130">
        <f t="shared" si="0"/>
        <v>17.331397961685276</v>
      </c>
      <c r="J28" s="130">
        <f t="shared" si="6"/>
        <v>-0.2334456381447525</v>
      </c>
      <c r="L28" s="90">
        <f>U28/U25-1</f>
        <v>3.5391375051337937E-2</v>
      </c>
      <c r="M28" s="90">
        <f>U28/U16-1</f>
        <v>0.53548846301514641</v>
      </c>
      <c r="N28" s="88">
        <f>AVERAGE(T26:T28)</f>
        <v>17.717461144185744</v>
      </c>
      <c r="O28" s="91">
        <f>N28/N25-1</f>
        <v>-2.8338641805612741E-2</v>
      </c>
      <c r="P28" s="129" t="s">
        <v>413</v>
      </c>
      <c r="Q28" s="116">
        <v>87486544</v>
      </c>
      <c r="R28" s="116">
        <v>114124019142</v>
      </c>
      <c r="S28" s="116">
        <v>5047864.24</v>
      </c>
      <c r="T28" s="130">
        <f t="shared" ref="T28" si="26">Q28/S28</f>
        <v>17.331397961685276</v>
      </c>
      <c r="U28" s="85">
        <f>Q26+Q27+Q28</f>
        <v>273225072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4423807.1818181816</v>
      </c>
      <c r="G29" s="190">
        <f t="shared" ref="G29" si="27">F29/F28-1</f>
        <v>-3.9254122844931905E-2</v>
      </c>
      <c r="H29" s="190">
        <f t="shared" ref="H29" si="28">F29/F17-1</f>
        <v>0.84108913734750357</v>
      </c>
      <c r="I29" s="130">
        <f t="shared" si="0"/>
        <v>18.586796249651719</v>
      </c>
      <c r="J29" s="130">
        <f t="shared" si="6"/>
        <v>-0.16370234262985039</v>
      </c>
      <c r="K29" s="193"/>
      <c r="L29" s="190"/>
      <c r="M29" s="190"/>
      <c r="N29" s="191"/>
      <c r="O29" s="192"/>
      <c r="P29" s="129" t="s">
        <v>430</v>
      </c>
      <c r="Q29" s="116">
        <v>97323758</v>
      </c>
      <c r="R29" s="116">
        <v>127907510468</v>
      </c>
      <c r="S29" s="116">
        <v>5236177.16</v>
      </c>
      <c r="T29" s="130">
        <f t="shared" ref="T29" si="29">Q29/S29</f>
        <v>18.586796249651719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4809313.8421052629</v>
      </c>
      <c r="G30" s="190">
        <f t="shared" ref="G30" si="30">F30/F29-1</f>
        <v>8.7143639955988839E-2</v>
      </c>
      <c r="H30" s="190">
        <f t="shared" ref="H30" si="31">F30/F18-1</f>
        <v>0.2397612379555738</v>
      </c>
      <c r="I30" s="130">
        <f t="shared" si="0"/>
        <v>18.440664399222356</v>
      </c>
      <c r="J30" s="130">
        <f t="shared" si="6"/>
        <v>-9.4931640893617275E-2</v>
      </c>
      <c r="K30" s="193"/>
      <c r="L30" s="190"/>
      <c r="M30" s="190"/>
      <c r="N30" s="191"/>
      <c r="O30" s="192"/>
      <c r="P30" s="129" t="s">
        <v>489</v>
      </c>
      <c r="Q30" s="116">
        <v>91376963</v>
      </c>
      <c r="R30" s="116">
        <v>121778683037</v>
      </c>
      <c r="S30" s="116">
        <v>4955188.22</v>
      </c>
      <c r="T30" s="130">
        <f t="shared" ref="T30" si="32">Q30/S30</f>
        <v>18.440664399222356</v>
      </c>
      <c r="U30" s="85"/>
    </row>
    <row r="31" spans="1:21" s="79" customFormat="1" ht="13.2" hidden="1">
      <c r="A31" s="129" t="s">
        <v>505</v>
      </c>
      <c r="B31" s="188">
        <f>SUM(F29:F31)</f>
        <v>12145023.773923445</v>
      </c>
      <c r="C31" s="188">
        <f>AVERAGE(F29:F31)</f>
        <v>4048341.2579744817</v>
      </c>
      <c r="D31" s="190">
        <f>C31/C28-1</f>
        <v>-0.11988900426493221</v>
      </c>
      <c r="E31" s="287">
        <f>C31/C19-1</f>
        <v>0.24333506781771952</v>
      </c>
      <c r="F31" s="136">
        <f>Q31/20</f>
        <v>2911902.75</v>
      </c>
      <c r="G31" s="190">
        <f t="shared" ref="G31" si="33">F31/F30-1</f>
        <v>-0.39452844093756978</v>
      </c>
      <c r="H31" s="190">
        <f t="shared" ref="H31" si="34">F31/F19-1</f>
        <v>-0.16469980872754864</v>
      </c>
      <c r="I31" s="130">
        <f t="shared" si="0"/>
        <v>18.693084373534116</v>
      </c>
      <c r="J31" s="130">
        <f t="shared" si="6"/>
        <v>-9.4962383669188188E-2</v>
      </c>
      <c r="K31" s="193"/>
      <c r="L31" s="190">
        <f>U31/U28-1</f>
        <v>-9.6207481281220031E-2</v>
      </c>
      <c r="M31" s="190">
        <f>U31/U19-1</f>
        <v>0.22045030351796613</v>
      </c>
      <c r="N31" s="191">
        <f>AVERAGE(T29:T31)</f>
        <v>18.573515007469396</v>
      </c>
      <c r="O31" s="192">
        <f>N31/N28-1</f>
        <v>4.8316960106024043E-2</v>
      </c>
      <c r="P31" s="129" t="s">
        <v>505</v>
      </c>
      <c r="Q31" s="116">
        <v>58238055</v>
      </c>
      <c r="R31" s="116">
        <v>77421183493</v>
      </c>
      <c r="S31" s="116">
        <v>3115486.66</v>
      </c>
      <c r="T31" s="130">
        <f t="shared" ref="T31" si="35">Q31/S31</f>
        <v>18.693084373534116</v>
      </c>
      <c r="U31" s="85">
        <f>Q29+Q30+Q31</f>
        <v>246938776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2923964.9047619049</v>
      </c>
      <c r="G32" s="190">
        <f t="shared" ref="G32" si="36">F32/F31-1</f>
        <v>4.1423618154503572E-3</v>
      </c>
      <c r="H32" s="190">
        <f t="shared" ref="H32" si="37">F32/F20-1</f>
        <v>-0.25421296498682844</v>
      </c>
      <c r="I32" s="130">
        <f t="shared" si="0"/>
        <v>16.939824290057413</v>
      </c>
      <c r="J32" s="130">
        <f t="shared" si="6"/>
        <v>-0.15697550841034102</v>
      </c>
      <c r="K32" s="193"/>
      <c r="L32" s="190"/>
      <c r="M32" s="190"/>
      <c r="N32" s="191"/>
      <c r="O32" s="192"/>
      <c r="P32" s="129" t="s">
        <v>562</v>
      </c>
      <c r="Q32" s="116">
        <v>61403263</v>
      </c>
      <c r="R32" s="116">
        <v>83435642821</v>
      </c>
      <c r="S32" s="116">
        <v>3624787.48</v>
      </c>
      <c r="T32" s="130">
        <f t="shared" ref="T32" si="38">Q32/S32</f>
        <v>16.939824290057413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2191719.9047619049</v>
      </c>
      <c r="G33" s="190">
        <f t="shared" ref="G33" si="39">F33/F32-1</f>
        <v>-0.25042879235912918</v>
      </c>
      <c r="H33" s="190">
        <f t="shared" ref="H33" si="40">F33/F21-1</f>
        <v>-0.53737531210577028</v>
      </c>
      <c r="I33" s="130">
        <f t="shared" si="0"/>
        <v>16.165503621617056</v>
      </c>
      <c r="J33" s="130">
        <f t="shared" si="6"/>
        <v>-0.17094248947054924</v>
      </c>
      <c r="K33" s="193"/>
      <c r="L33" s="190"/>
      <c r="M33" s="190"/>
      <c r="N33" s="191"/>
      <c r="O33" s="192"/>
      <c r="P33" s="129" t="s">
        <v>624</v>
      </c>
      <c r="Q33" s="116">
        <v>46026118</v>
      </c>
      <c r="R33" s="116">
        <v>63047446925</v>
      </c>
      <c r="S33" s="116">
        <v>2847181.2</v>
      </c>
      <c r="T33" s="130">
        <f t="shared" ref="T33" si="41">Q33/S33</f>
        <v>16.165503621617056</v>
      </c>
      <c r="U33" s="85"/>
    </row>
    <row r="34" spans="1:21" s="79" customFormat="1" ht="13.2" hidden="1">
      <c r="A34" s="129" t="s">
        <v>652</v>
      </c>
      <c r="B34" s="188">
        <f>SUM(F32:F34)</f>
        <v>10056676.598997494</v>
      </c>
      <c r="C34" s="188">
        <f>AVERAGE(F32:F34)</f>
        <v>3352225.5329991649</v>
      </c>
      <c r="D34" s="190">
        <f>C34/C31-1</f>
        <v>-0.1719508511304717</v>
      </c>
      <c r="E34" s="287">
        <f>C34/C22-1</f>
        <v>-0.16186111411660364</v>
      </c>
      <c r="F34" s="136">
        <f>Q34/19</f>
        <v>4940991.7894736845</v>
      </c>
      <c r="G34" s="190">
        <f t="shared" ref="G34" si="42">F34/F33-1</f>
        <v>1.2543901612329629</v>
      </c>
      <c r="H34" s="190">
        <f t="shared" ref="H34" si="43">F34/F22-1</f>
        <v>0.47907364228326732</v>
      </c>
      <c r="I34" s="130">
        <f t="shared" si="0"/>
        <v>16.460170138221773</v>
      </c>
      <c r="J34" s="130">
        <f t="shared" si="6"/>
        <v>-0.16740033886290462</v>
      </c>
      <c r="K34" s="193"/>
      <c r="L34" s="190">
        <f>U34/U31-1</f>
        <v>-0.18478487558389778</v>
      </c>
      <c r="M34" s="190">
        <f>U34/U22-1</f>
        <v>-0.1884517974435389</v>
      </c>
      <c r="N34" s="191">
        <f>AVERAGE(T32:T34)</f>
        <v>16.521832683298744</v>
      </c>
      <c r="O34" s="192">
        <f>N34/N31-1</f>
        <v>-0.11046279195648012</v>
      </c>
      <c r="P34" s="129" t="s">
        <v>652</v>
      </c>
      <c r="Q34" s="116">
        <v>93878844</v>
      </c>
      <c r="R34" s="116">
        <v>129078755172</v>
      </c>
      <c r="S34" s="116">
        <v>5703394.5099999998</v>
      </c>
      <c r="T34" s="130">
        <f t="shared" ref="T34" si="44">Q34/S34</f>
        <v>16.460170138221773</v>
      </c>
      <c r="U34" s="85">
        <f>Q32+Q33+Q34</f>
        <v>201308225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4059399.086956522</v>
      </c>
      <c r="G35" s="190">
        <f t="shared" ref="G35" si="45">F35/F34-1</f>
        <v>-0.17842423952116504</v>
      </c>
      <c r="H35" s="190">
        <f t="shared" ref="H35" si="46">F35/F23-1</f>
        <v>5.1735993571677907E-2</v>
      </c>
      <c r="I35" s="130">
        <f t="shared" si="0"/>
        <v>17.154535192838317</v>
      </c>
      <c r="J35" s="130">
        <f t="shared" si="6"/>
        <v>-5.9513446250906488E-2</v>
      </c>
      <c r="K35" s="193"/>
      <c r="L35" s="190"/>
      <c r="M35" s="190"/>
      <c r="N35" s="191"/>
      <c r="O35" s="192"/>
      <c r="P35" s="129" t="s">
        <v>660</v>
      </c>
      <c r="Q35" s="116">
        <v>93366179</v>
      </c>
      <c r="R35" s="116">
        <v>129262344834</v>
      </c>
      <c r="S35" s="116">
        <v>5442652.7999999998</v>
      </c>
      <c r="T35" s="130">
        <f t="shared" ref="T35" si="47">Q35/S35</f>
        <v>17.154535192838317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2273245.4285714286</v>
      </c>
      <c r="G36" s="190">
        <f t="shared" ref="G36" si="48">F36/F35-1</f>
        <v>-0.44000444896494206</v>
      </c>
      <c r="H36" s="190">
        <f t="shared" ref="H36" si="49">F36/F24-1</f>
        <v>-0.44237123221201535</v>
      </c>
      <c r="I36" s="130">
        <f t="shared" si="0"/>
        <v>18.095085428859875</v>
      </c>
      <c r="J36" s="130">
        <f t="shared" si="6"/>
        <v>-1.2335808018043126E-2</v>
      </c>
      <c r="K36" s="193"/>
      <c r="L36" s="190"/>
      <c r="M36" s="190"/>
      <c r="N36" s="191"/>
      <c r="O36" s="192"/>
      <c r="P36" s="129" t="s">
        <v>666</v>
      </c>
      <c r="Q36" s="116">
        <v>47738154</v>
      </c>
      <c r="R36" s="116">
        <v>65042211292</v>
      </c>
      <c r="S36" s="116">
        <v>2638183.4</v>
      </c>
      <c r="T36" s="130">
        <f t="shared" ref="T36" si="50">Q36/S36</f>
        <v>18.095085428859875</v>
      </c>
      <c r="U36" s="85"/>
    </row>
    <row r="37" spans="1:21" s="79" customFormat="1" ht="13.2" hidden="1">
      <c r="A37" s="129" t="s">
        <v>702</v>
      </c>
      <c r="B37" s="188">
        <f>SUM(F35:F37)</f>
        <v>8803818.4044168405</v>
      </c>
      <c r="C37" s="188">
        <f>AVERAGE(F35:F37)</f>
        <v>2934606.1348056137</v>
      </c>
      <c r="D37" s="190">
        <f>C37/C34-1</f>
        <v>-0.1245797438395847</v>
      </c>
      <c r="E37" s="287">
        <f>C37/C25-1</f>
        <v>-0.31427824817013472</v>
      </c>
      <c r="F37" s="136">
        <f>Q37/18</f>
        <v>2471173.888888889</v>
      </c>
      <c r="G37" s="190">
        <f t="shared" ref="G37" si="51">F37/F36-1</f>
        <v>8.7068671877565063E-2</v>
      </c>
      <c r="H37" s="190">
        <f t="shared" ref="H37" si="52">F37/F25-1</f>
        <v>-0.49592778603667709</v>
      </c>
      <c r="I37" s="130">
        <f t="shared" si="0"/>
        <v>17.928489867127748</v>
      </c>
      <c r="J37" s="130">
        <f t="shared" si="6"/>
        <v>-1.1737513760625928E-2</v>
      </c>
      <c r="K37" s="193"/>
      <c r="L37" s="190">
        <f>U37/U34-1</f>
        <v>-7.8102928978684316E-2</v>
      </c>
      <c r="M37" s="190">
        <f>U37/U25-1</f>
        <v>-0.29672051573250491</v>
      </c>
      <c r="N37" s="191">
        <f>AVERAGE(T35:T37)</f>
        <v>17.726036829608645</v>
      </c>
      <c r="O37" s="192">
        <f>N37/N34-1</f>
        <v>7.2885627726225755E-2</v>
      </c>
      <c r="P37" s="129" t="s">
        <v>702</v>
      </c>
      <c r="Q37" s="116">
        <v>44481130</v>
      </c>
      <c r="R37" s="116">
        <v>59329454752</v>
      </c>
      <c r="S37" s="116">
        <v>2481030.4900000002</v>
      </c>
      <c r="T37" s="130">
        <f t="shared" ref="T37" si="53">Q37/S37</f>
        <v>17.928489867127748</v>
      </c>
      <c r="U37" s="85">
        <f>Q35+Q36+Q37</f>
        <v>185585463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2765602.4</v>
      </c>
      <c r="G38" s="190">
        <f t="shared" ref="G38" si="54">F38/F37-1</f>
        <v>0.11914520157199227</v>
      </c>
      <c r="H38" s="190">
        <f t="shared" ref="H38" si="55">F38/F26-1</f>
        <v>-0.49863889045737175</v>
      </c>
      <c r="I38" s="130">
        <f t="shared" si="0"/>
        <v>17.311024652249149</v>
      </c>
      <c r="J38" s="130">
        <f t="shared" si="6"/>
        <v>-4.1548459681289285E-2</v>
      </c>
      <c r="K38" s="193"/>
      <c r="L38" s="190"/>
      <c r="M38" s="190"/>
      <c r="N38" s="191"/>
      <c r="O38" s="192"/>
      <c r="P38" s="129" t="s">
        <v>728</v>
      </c>
      <c r="Q38" s="116">
        <v>55312048</v>
      </c>
      <c r="R38" s="116">
        <v>74321392532</v>
      </c>
      <c r="S38" s="116">
        <v>3195192.03</v>
      </c>
      <c r="T38" s="130">
        <f t="shared" ref="T38" si="56">Q38/S38</f>
        <v>17.311024652249149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1494888.5714285714</v>
      </c>
      <c r="G39" s="190">
        <f t="shared" ref="G39" si="57">F39/F38-1</f>
        <v>-0.45947090173606608</v>
      </c>
      <c r="H39" s="190">
        <f t="shared" ref="H39" si="58">F39/F27-1</f>
        <v>-0.59363444767557061</v>
      </c>
      <c r="I39" s="130">
        <f t="shared" si="0"/>
        <v>16.093085139145487</v>
      </c>
      <c r="J39" s="130">
        <f t="shared" si="6"/>
        <v>-9.3834112915237022E-2</v>
      </c>
      <c r="K39" s="193"/>
      <c r="L39" s="190"/>
      <c r="M39" s="190"/>
      <c r="N39" s="191"/>
      <c r="O39" s="192"/>
      <c r="P39" s="129" t="s">
        <v>762</v>
      </c>
      <c r="Q39" s="116">
        <v>31392660</v>
      </c>
      <c r="R39" s="116">
        <v>43624831121</v>
      </c>
      <c r="S39" s="116">
        <v>1950692.47</v>
      </c>
      <c r="T39" s="130">
        <f t="shared" ref="T39" si="59">Q39/S39</f>
        <v>16.093085139145487</v>
      </c>
      <c r="U39" s="85"/>
    </row>
    <row r="40" spans="1:21" s="79" customFormat="1" ht="13.2" hidden="1">
      <c r="A40" s="129" t="s">
        <v>778</v>
      </c>
      <c r="B40" s="188">
        <f>SUM(F38:F40)</f>
        <v>5676467.780952381</v>
      </c>
      <c r="C40" s="188">
        <f>AVERAGE(F38:F40)</f>
        <v>1892155.9269841269</v>
      </c>
      <c r="D40" s="190">
        <f>C40/C37-1</f>
        <v>-0.35522661642992104</v>
      </c>
      <c r="E40" s="287">
        <f>C40/C28-1</f>
        <v>-0.58864455072712474</v>
      </c>
      <c r="F40" s="136">
        <f>Q40/21</f>
        <v>1415976.8095238095</v>
      </c>
      <c r="G40" s="190">
        <f t="shared" ref="G40" si="60">F40/F39-1</f>
        <v>-5.2787721715840563E-2</v>
      </c>
      <c r="H40" s="190">
        <f t="shared" ref="H40" si="61">F40/F28-1</f>
        <v>-0.69248345915970366</v>
      </c>
      <c r="I40" s="130">
        <f t="shared" si="0"/>
        <v>16.801798789265241</v>
      </c>
      <c r="J40" s="130">
        <f t="shared" si="6"/>
        <v>-3.0557210306452198E-2</v>
      </c>
      <c r="K40" s="193"/>
      <c r="L40" s="190">
        <f>U40/U37-1</f>
        <v>-0.37257897726612343</v>
      </c>
      <c r="M40" s="190">
        <f>U40/U28-1</f>
        <v>-0.57383039503783162</v>
      </c>
      <c r="N40" s="191">
        <f>AVERAGE(T38:T40)</f>
        <v>16.735302860219957</v>
      </c>
      <c r="O40" s="192">
        <f>N40/N37-1</f>
        <v>-5.5891453849053252E-2</v>
      </c>
      <c r="P40" s="129" t="s">
        <v>778</v>
      </c>
      <c r="Q40" s="116">
        <v>29735513</v>
      </c>
      <c r="R40" s="116">
        <v>42394351435</v>
      </c>
      <c r="S40" s="116">
        <v>1769781.52</v>
      </c>
      <c r="T40" s="130">
        <f t="shared" ref="T40" si="62">Q40/S40</f>
        <v>16.801798789265241</v>
      </c>
      <c r="U40" s="85">
        <f>Q38+Q39+Q40</f>
        <v>116440221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3438436.9444444445</v>
      </c>
      <c r="G41" s="190">
        <f t="shared" ref="G41" si="63">F41/F40-1</f>
        <v>1.4283144478904175</v>
      </c>
      <c r="H41" s="190">
        <f t="shared" ref="H41" si="64">F41/F29-1</f>
        <v>-0.22274258277431314</v>
      </c>
      <c r="I41" s="130">
        <f t="shared" si="0"/>
        <v>16.383488017053349</v>
      </c>
      <c r="J41" s="130">
        <f t="shared" si="6"/>
        <v>-0.11854158204589216</v>
      </c>
      <c r="K41" s="193"/>
      <c r="L41" s="190"/>
      <c r="M41" s="190"/>
      <c r="N41" s="193"/>
      <c r="O41" s="193"/>
      <c r="P41" s="129" t="s">
        <v>793</v>
      </c>
      <c r="Q41" s="116">
        <v>61891865</v>
      </c>
      <c r="R41" s="116">
        <v>90241421004</v>
      </c>
      <c r="S41" s="116">
        <v>3777697.7</v>
      </c>
      <c r="T41" s="130">
        <f t="shared" ref="T41" si="65">Q41/S41</f>
        <v>16.383488017053349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2748413.95</v>
      </c>
      <c r="G42" s="190">
        <f t="shared" ref="G42" si="66">F42/F41-1</f>
        <v>-0.20067926374492018</v>
      </c>
      <c r="H42" s="190">
        <f t="shared" ref="H42" si="67">F42/F30-1</f>
        <v>-0.42852264580078014</v>
      </c>
      <c r="I42" s="130">
        <f t="shared" si="0"/>
        <v>16.139789350979463</v>
      </c>
      <c r="J42" s="130">
        <f t="shared" si="6"/>
        <v>-0.12477180856563508</v>
      </c>
      <c r="K42" s="193"/>
      <c r="L42" s="190"/>
      <c r="M42" s="190"/>
      <c r="N42" s="193"/>
      <c r="O42" s="193"/>
      <c r="P42" s="129" t="s">
        <v>826</v>
      </c>
      <c r="Q42" s="116">
        <v>54968279</v>
      </c>
      <c r="R42" s="116">
        <v>79535527651</v>
      </c>
      <c r="S42" s="116">
        <v>3405761.86</v>
      </c>
      <c r="T42" s="130">
        <f t="shared" ref="T42" si="68">Q42/S42</f>
        <v>16.139789350979463</v>
      </c>
      <c r="U42" s="78"/>
    </row>
    <row r="43" spans="1:21" s="79" customFormat="1" ht="13.2">
      <c r="A43" s="129" t="s">
        <v>835</v>
      </c>
      <c r="B43" s="188">
        <f>SUM(F41:F43)</f>
        <v>7854295.6444444451</v>
      </c>
      <c r="C43" s="188">
        <f>AVERAGE(F41:F43)</f>
        <v>2618098.5481481482</v>
      </c>
      <c r="D43" s="190">
        <f>C43/C40-1</f>
        <v>0.38365898434231482</v>
      </c>
      <c r="E43" s="287">
        <f>C43/C31-1</f>
        <v>-0.35329104408108392</v>
      </c>
      <c r="F43" s="136">
        <f>Q43/20</f>
        <v>1667444.75</v>
      </c>
      <c r="G43" s="190">
        <f t="shared" ref="G43" si="69">F43/F42-1</f>
        <v>-0.3933065468540502</v>
      </c>
      <c r="H43" s="190">
        <f t="shared" ref="H43" si="70">F43/F31-1</f>
        <v>-0.42736935496901463</v>
      </c>
      <c r="I43" s="130">
        <f t="shared" si="0"/>
        <v>16.154985085427047</v>
      </c>
      <c r="J43" s="130">
        <f t="shared" si="6"/>
        <v>-0.13577744781918066</v>
      </c>
      <c r="K43" s="193"/>
      <c r="L43" s="190">
        <f>U43/U40-1</f>
        <v>0.29000990989187492</v>
      </c>
      <c r="M43" s="190" t="e">
        <f>K43/K31-1</f>
        <v>#DIV/0!</v>
      </c>
      <c r="N43" s="191">
        <f>AVERAGE(T41:T43)</f>
        <v>16.226087484486616</v>
      </c>
      <c r="O43" s="192">
        <f>N43/N40-1</f>
        <v>-3.0427616397893376E-2</v>
      </c>
      <c r="P43" s="129" t="s">
        <v>835</v>
      </c>
      <c r="Q43" s="116">
        <v>33348895</v>
      </c>
      <c r="R43" s="116">
        <v>48329845292</v>
      </c>
      <c r="S43" s="116">
        <v>2064309.86</v>
      </c>
      <c r="T43" s="130">
        <f t="shared" ref="T43" si="71">Q43/S43</f>
        <v>16.154985085427047</v>
      </c>
      <c r="U43" s="85">
        <f>Q41+Q42+Q43</f>
        <v>150209039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2632592.7272727271</v>
      </c>
      <c r="G44" s="190">
        <f t="shared" ref="G44" si="72">F44/F43-1</f>
        <v>0.57881856491660488</v>
      </c>
      <c r="H44" s="190">
        <f t="shared" ref="H44" si="73">F44/F32-1</f>
        <v>-9.9649683556275015E-2</v>
      </c>
      <c r="I44" s="130">
        <f t="shared" si="0"/>
        <v>16.104499250354525</v>
      </c>
      <c r="J44" s="130">
        <f t="shared" si="6"/>
        <v>-4.9311316658294357E-2</v>
      </c>
      <c r="K44" s="193"/>
      <c r="L44" s="190"/>
      <c r="M44" s="190"/>
      <c r="N44" s="191"/>
      <c r="O44" s="192"/>
      <c r="P44" s="129" t="s">
        <v>843</v>
      </c>
      <c r="Q44" s="116">
        <v>57917040</v>
      </c>
      <c r="R44" s="116">
        <v>83738373779</v>
      </c>
      <c r="S44" s="116">
        <v>3596326.66</v>
      </c>
      <c r="T44" s="130">
        <f t="shared" ref="T44" si="74">Q44/S44</f>
        <v>16.104499250354525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3700570.35</v>
      </c>
      <c r="G45" s="190">
        <f t="shared" ref="G45" si="75">F45/F44-1</f>
        <v>0.40567521579141497</v>
      </c>
      <c r="H45" s="190">
        <f t="shared" ref="H45" si="76">F45/F33-1</f>
        <v>0.68843214954604681</v>
      </c>
      <c r="I45" s="130">
        <f t="shared" si="0"/>
        <v>16.258341171172219</v>
      </c>
      <c r="J45" s="130">
        <f t="shared" si="6"/>
        <v>5.7429419910566271E-3</v>
      </c>
      <c r="K45" s="193"/>
      <c r="L45" s="190"/>
      <c r="M45" s="190"/>
      <c r="N45" s="191"/>
      <c r="O45" s="192"/>
      <c r="P45" s="129" t="s">
        <v>853</v>
      </c>
      <c r="Q45" s="116">
        <v>74011407</v>
      </c>
      <c r="R45" s="116">
        <v>104152461813</v>
      </c>
      <c r="S45" s="116">
        <v>4552211.46</v>
      </c>
      <c r="T45" s="130">
        <f t="shared" ref="T45" si="77">Q45/S45</f>
        <v>16.258341171172219</v>
      </c>
      <c r="U45" s="85"/>
    </row>
    <row r="46" spans="1:21" s="79" customFormat="1" ht="13.2">
      <c r="A46" s="129" t="s">
        <v>918</v>
      </c>
      <c r="B46" s="188">
        <f>SUM(F44:F46)</f>
        <v>10015444.3930622</v>
      </c>
      <c r="C46" s="188">
        <f>AVERAGE(F44:F46)</f>
        <v>3338481.4643540666</v>
      </c>
      <c r="D46" s="190">
        <f>C46/C43-1</f>
        <v>0.2751550038922197</v>
      </c>
      <c r="E46" s="287">
        <f>C46/C34-1</f>
        <v>-4.0999832826885685E-3</v>
      </c>
      <c r="F46" s="136">
        <f>Q46/19</f>
        <v>3682281.3157894737</v>
      </c>
      <c r="G46" s="190">
        <f t="shared" ref="G46" si="78">F46/F45-1</f>
        <v>-4.9422203824679434E-3</v>
      </c>
      <c r="H46" s="190">
        <f t="shared" ref="H46" si="79">F46/F34-1</f>
        <v>-0.25474854590241869</v>
      </c>
      <c r="I46" s="130">
        <f t="shared" si="0"/>
        <v>16.633915831983067</v>
      </c>
      <c r="J46" s="130">
        <f t="shared" si="6"/>
        <v>1.0555522348936419E-2</v>
      </c>
      <c r="K46" s="193"/>
      <c r="L46" s="190">
        <f>U46/U43-1</f>
        <v>0.34407218995655775</v>
      </c>
      <c r="M46" s="190" t="e">
        <f>K46/K34-1</f>
        <v>#DIV/0!</v>
      </c>
      <c r="N46" s="191">
        <f>AVERAGE(T44:T46)</f>
        <v>16.332252084503271</v>
      </c>
      <c r="O46" s="192">
        <f>N46/N43-1</f>
        <v>6.542834193280278E-3</v>
      </c>
      <c r="P46" s="129" t="s">
        <v>888</v>
      </c>
      <c r="Q46" s="116">
        <v>69963345</v>
      </c>
      <c r="R46" s="116">
        <v>95835268704</v>
      </c>
      <c r="S46" s="116">
        <v>4206065.83</v>
      </c>
      <c r="T46" s="130">
        <f t="shared" ref="T46" si="80">Q46/S46</f>
        <v>16.633915831983067</v>
      </c>
      <c r="U46" s="85">
        <f t="shared" ref="U46:U51" si="81">Q44+Q45+Q46</f>
        <v>201891792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2377824.2608695654</v>
      </c>
      <c r="G47" s="190">
        <f t="shared" ref="G47" si="82">F47/F46-1</f>
        <v>-0.35425241665443896</v>
      </c>
      <c r="H47" s="190">
        <f t="shared" ref="H47" si="83">F47/F35-1</f>
        <v>-0.41424230287928987</v>
      </c>
      <c r="I47" s="130">
        <f t="shared" si="0"/>
        <v>16.76118384874902</v>
      </c>
      <c r="J47" s="130">
        <f t="shared" si="6"/>
        <v>-2.292987479214903E-2</v>
      </c>
      <c r="K47" s="193"/>
      <c r="L47" s="190"/>
      <c r="M47" s="190"/>
      <c r="N47" s="191"/>
      <c r="O47" s="192"/>
      <c r="P47" s="129" t="s">
        <v>991</v>
      </c>
      <c r="Q47" s="116">
        <v>54689958</v>
      </c>
      <c r="R47" s="116">
        <v>74958839646</v>
      </c>
      <c r="S47" s="116">
        <v>3262893.51</v>
      </c>
      <c r="T47" s="130">
        <f t="shared" ref="T47" si="84">Q47/S47</f>
        <v>16.76118384874902</v>
      </c>
      <c r="U47" s="85">
        <f t="shared" si="81"/>
        <v>198664710</v>
      </c>
    </row>
    <row r="48" spans="1:21" s="79" customFormat="1" ht="13.2">
      <c r="A48" s="129" t="s">
        <v>1098</v>
      </c>
      <c r="B48" s="188"/>
      <c r="C48" s="188"/>
      <c r="D48" s="190"/>
      <c r="E48" s="287"/>
      <c r="F48" s="136">
        <f>Q48/20</f>
        <v>1370532.35</v>
      </c>
      <c r="G48" s="190">
        <f t="shared" ref="G48" si="85">F48/F47-1</f>
        <v>-0.42361915783515502</v>
      </c>
      <c r="H48" s="190">
        <f t="shared" ref="H48" si="86">F48/F36-1</f>
        <v>-0.39710321957568784</v>
      </c>
      <c r="I48" s="130">
        <f t="shared" si="0"/>
        <v>16.970537786310548</v>
      </c>
      <c r="J48" s="130">
        <f t="shared" si="6"/>
        <v>-6.2146578250234952E-2</v>
      </c>
      <c r="K48" s="193"/>
      <c r="L48" s="190"/>
      <c r="M48" s="190"/>
      <c r="N48" s="191"/>
      <c r="O48" s="192"/>
      <c r="P48" s="129" t="s">
        <v>1138</v>
      </c>
      <c r="Q48" s="116">
        <v>27410647</v>
      </c>
      <c r="R48" s="116">
        <v>38026897294</v>
      </c>
      <c r="S48" s="116">
        <v>1615190.24</v>
      </c>
      <c r="T48" s="130">
        <f t="shared" ref="T48" si="87">Q48/S48</f>
        <v>16.970537786310548</v>
      </c>
      <c r="U48" s="85">
        <f t="shared" si="81"/>
        <v>152063950</v>
      </c>
    </row>
    <row r="49" spans="1:26" ht="13.2">
      <c r="A49" s="129" t="s">
        <v>1207</v>
      </c>
      <c r="B49" s="188">
        <f>SUM(F47:F49)</f>
        <v>5192115.2017786559</v>
      </c>
      <c r="C49" s="188">
        <f>AVERAGE(F47:F49)</f>
        <v>1730705.067259552</v>
      </c>
      <c r="D49" s="190">
        <f>C49/C46-1</f>
        <v>-0.48158913394044833</v>
      </c>
      <c r="E49" s="287">
        <f>C49/C37-1</f>
        <v>-0.41024281019088349</v>
      </c>
      <c r="F49" s="136">
        <f>Q49/22</f>
        <v>1443758.5909090908</v>
      </c>
      <c r="G49" s="190">
        <f t="shared" ref="G49" si="88">F49/F48-1</f>
        <v>5.3429049601850576E-2</v>
      </c>
      <c r="H49" s="190">
        <f t="shared" ref="H49" si="89">F49/F37-1</f>
        <v>-0.41576001696981091</v>
      </c>
      <c r="I49" s="130">
        <f t="shared" si="0"/>
        <v>16.696890421172</v>
      </c>
      <c r="J49" s="130">
        <f t="shared" si="6"/>
        <v>-6.869510232503806E-2</v>
      </c>
      <c r="K49" s="193"/>
      <c r="L49" s="190">
        <f>U49/U46-1</f>
        <v>-0.43601821118116579</v>
      </c>
      <c r="M49" s="190" t="e">
        <f>K49/K37-1</f>
        <v>#DIV/0!</v>
      </c>
      <c r="N49" s="191">
        <f>AVERAGE(T47:T49)</f>
        <v>16.809537352077189</v>
      </c>
      <c r="O49" s="192">
        <f>N49/N46-1</f>
        <v>2.9223481556887476E-2</v>
      </c>
      <c r="P49" s="129" t="s">
        <v>1185</v>
      </c>
      <c r="Q49" s="116">
        <v>31762689</v>
      </c>
      <c r="R49" s="116">
        <v>44135129171</v>
      </c>
      <c r="S49" s="116">
        <v>1902311.64</v>
      </c>
      <c r="T49" s="130">
        <f t="shared" ref="T49" si="90">Q49/S49</f>
        <v>16.696890421172</v>
      </c>
      <c r="U49" s="85">
        <f t="shared" si="81"/>
        <v>113863294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3287605</v>
      </c>
      <c r="G50" s="190">
        <f t="shared" ref="G50" si="91">F50/F49-1</f>
        <v>1.277115454551093</v>
      </c>
      <c r="H50" s="190">
        <f t="shared" ref="H50" si="92">F50/F38-1</f>
        <v>0.18874824522859823</v>
      </c>
      <c r="I50" s="130">
        <f t="shared" ref="I50" si="93">T50</f>
        <v>16.146651938007022</v>
      </c>
      <c r="J50" s="130">
        <f t="shared" ref="J50" si="94">I50/I38-1</f>
        <v>-6.7261917629517387E-2</v>
      </c>
      <c r="K50" s="193"/>
      <c r="L50" s="190"/>
      <c r="M50" s="190"/>
      <c r="N50" s="191"/>
      <c r="O50" s="192"/>
      <c r="P50" s="129" t="s">
        <v>1293</v>
      </c>
      <c r="Q50" s="116">
        <v>59176890</v>
      </c>
      <c r="R50" s="116">
        <v>83589821500</v>
      </c>
      <c r="S50" s="116">
        <v>3664963.5</v>
      </c>
      <c r="T50" s="130">
        <f t="shared" ref="T50" si="95">Q50/S50</f>
        <v>16.146651938007022</v>
      </c>
      <c r="U50" s="85">
        <f t="shared" si="81"/>
        <v>118350226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3240382.65</v>
      </c>
      <c r="G51" s="190">
        <f t="shared" ref="G51:G52" si="96">F51/F50-1</f>
        <v>-1.4363754161464071E-2</v>
      </c>
      <c r="H51" s="190">
        <f t="shared" ref="H51:H52" si="97">F51/F39-1</f>
        <v>1.1676415967936453</v>
      </c>
      <c r="I51" s="130">
        <f t="shared" ref="I51:I52" si="98">T51</f>
        <v>15.789973063927651</v>
      </c>
      <c r="J51" s="130">
        <f t="shared" ref="J51:J52" si="99">I51/I39-1</f>
        <v>-1.8834926466680613E-2</v>
      </c>
      <c r="K51" s="193"/>
      <c r="L51" s="190"/>
      <c r="M51" s="190"/>
      <c r="N51" s="191"/>
      <c r="O51" s="192"/>
      <c r="P51" s="129" t="s">
        <v>1402</v>
      </c>
      <c r="Q51" s="116">
        <v>64807653</v>
      </c>
      <c r="R51" s="116">
        <v>93895496188</v>
      </c>
      <c r="S51" s="116">
        <v>4104354.88</v>
      </c>
      <c r="T51" s="130">
        <f t="shared" ref="T51:T52" si="100">Q51/S51</f>
        <v>15.789973063927651</v>
      </c>
      <c r="U51" s="85">
        <f t="shared" si="81"/>
        <v>155747232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9030674.0136363637</v>
      </c>
      <c r="C52" s="188">
        <f>AVERAGE(F50:F52)</f>
        <v>3010224.6712121214</v>
      </c>
      <c r="D52" s="190">
        <f>C52/C49-1</f>
        <v>0.73930540110950127</v>
      </c>
      <c r="E52" s="287">
        <f>C52/C40-1</f>
        <v>0.59089672699969498</v>
      </c>
      <c r="F52" s="136">
        <f>Q52/22</f>
        <v>2502686.3636363638</v>
      </c>
      <c r="G52" s="190">
        <f t="shared" si="96"/>
        <v>-0.22765715226985184</v>
      </c>
      <c r="H52" s="190">
        <f t="shared" si="97"/>
        <v>0.76746281916722414</v>
      </c>
      <c r="I52" s="130">
        <f t="shared" si="98"/>
        <v>16.531563612430883</v>
      </c>
      <c r="J52" s="130">
        <f t="shared" si="99"/>
        <v>-1.6083705097516887E-2</v>
      </c>
      <c r="K52" s="193"/>
      <c r="L52" s="190">
        <f>U52/U49-1</f>
        <v>0.57244390804292022</v>
      </c>
      <c r="M52" s="190" t="e">
        <f>K52/K40-1</f>
        <v>#DIV/0!</v>
      </c>
      <c r="N52" s="191">
        <f>AVERAGE(T50:T52)</f>
        <v>16.156062871455187</v>
      </c>
      <c r="O52" s="192">
        <f>N52/N49-1</f>
        <v>-3.8875221068547128E-2</v>
      </c>
      <c r="P52" s="129" t="s">
        <v>1403</v>
      </c>
      <c r="Q52" s="116">
        <v>55059100</v>
      </c>
      <c r="R52" s="116">
        <v>81040263733</v>
      </c>
      <c r="S52" s="116">
        <v>3330544</v>
      </c>
      <c r="T52" s="130">
        <f t="shared" si="100"/>
        <v>16.531563612430883</v>
      </c>
      <c r="U52" s="85">
        <f t="shared" ref="U52" si="101">Q50+Q51+Q52</f>
        <v>179043643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1983493.0952380951</v>
      </c>
      <c r="G53" s="190">
        <f t="shared" ref="G53" si="102">F53/F52-1</f>
        <v>-0.20745438818945294</v>
      </c>
      <c r="H53" s="190">
        <f t="shared" ref="H53" si="103">F53/F41-1</f>
        <v>-0.42314105877588737</v>
      </c>
      <c r="I53" s="130">
        <f t="shared" ref="I53" si="104">T53</f>
        <v>16.134283240314385</v>
      </c>
      <c r="J53" s="130">
        <f t="shared" ref="J53" si="105">I53/I41-1</f>
        <v>-1.521072780592081E-2</v>
      </c>
      <c r="K53" s="193"/>
      <c r="L53" s="190"/>
      <c r="M53" s="190"/>
      <c r="N53" s="191"/>
      <c r="O53" s="192"/>
      <c r="P53" s="129" t="s">
        <v>1414</v>
      </c>
      <c r="Q53" s="116">
        <v>41653355</v>
      </c>
      <c r="R53" s="116">
        <v>60891678391</v>
      </c>
      <c r="S53" s="116">
        <v>2581667.52</v>
      </c>
      <c r="T53" s="130">
        <f t="shared" ref="T53" si="106">Q53/S53</f>
        <v>16.134283240314385</v>
      </c>
      <c r="U53" s="85">
        <f t="shared" ref="U53" si="107">Q51+Q52+Q53</f>
        <v>161520108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3273272</v>
      </c>
      <c r="G54" s="190">
        <f t="shared" ref="G54" si="108">F54/F53-1</f>
        <v>0.65025631188652167</v>
      </c>
      <c r="H54" s="190">
        <f t="shared" ref="H54" si="109">F54/F42-1</f>
        <v>0.19096761242970683</v>
      </c>
      <c r="I54" s="130">
        <f t="shared" ref="I54" si="110">T54</f>
        <v>15.907324034637368</v>
      </c>
      <c r="J54" s="130">
        <f t="shared" ref="J54" si="111">I54/I42-1</f>
        <v>-1.4403243517424724E-2</v>
      </c>
      <c r="K54" s="193"/>
      <c r="L54" s="190"/>
      <c r="M54" s="190"/>
      <c r="N54" s="191"/>
      <c r="O54" s="192"/>
      <c r="P54" s="129" t="s">
        <v>1417</v>
      </c>
      <c r="Q54" s="116">
        <v>55645624</v>
      </c>
      <c r="R54" s="116">
        <v>80576632131</v>
      </c>
      <c r="S54" s="116">
        <v>3498113.44</v>
      </c>
      <c r="T54" s="130">
        <f t="shared" ref="T54" si="112">Q54/S54</f>
        <v>15.907324034637368</v>
      </c>
      <c r="U54" s="85">
        <f t="shared" ref="U54" si="113">Q52+Q53+Q54</f>
        <v>152358079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8849632.5238095243</v>
      </c>
      <c r="C55" s="188">
        <f>AVERAGE(F53:F55)</f>
        <v>2949877.5079365079</v>
      </c>
      <c r="D55" s="190">
        <f>C55/C52-1</f>
        <v>-2.004739508407305E-2</v>
      </c>
      <c r="E55" s="287">
        <f>C55/C43-1</f>
        <v>0.12672516090849051</v>
      </c>
      <c r="F55" s="136">
        <f>Q55/21</f>
        <v>3592867.4285714286</v>
      </c>
      <c r="G55" s="190">
        <f t="shared" ref="G55" si="114">F55/F54-1</f>
        <v>9.7637907442897687E-2</v>
      </c>
      <c r="H55" s="190">
        <f t="shared" ref="H55" si="115">F55/F43-1</f>
        <v>1.1547145286651497</v>
      </c>
      <c r="I55" s="130">
        <f>T55</f>
        <v>15.513182694818525</v>
      </c>
      <c r="J55" s="130">
        <f t="shared" ref="J55" si="116">I55/I43-1</f>
        <v>-3.9727823158900555E-2</v>
      </c>
      <c r="K55" s="193"/>
      <c r="L55" s="190">
        <f>U55/U52-1</f>
        <v>-3.5155942397798512E-2</v>
      </c>
      <c r="M55" s="190" t="e">
        <f>K55/K43-1</f>
        <v>#DIV/0!</v>
      </c>
      <c r="N55" s="191">
        <f>AVERAGE(T53:T55)</f>
        <v>15.851596656590091</v>
      </c>
      <c r="O55" s="192">
        <f>N55/N52-1</f>
        <v>-1.8845322482808124E-2</v>
      </c>
      <c r="P55" s="129" t="s">
        <v>1418</v>
      </c>
      <c r="Q55" s="116">
        <v>75450216</v>
      </c>
      <c r="R55" s="116">
        <v>111138466018</v>
      </c>
      <c r="S55" s="116">
        <v>4863619.38</v>
      </c>
      <c r="T55" s="130">
        <f t="shared" ref="T55" si="117">Q55/S55</f>
        <v>15.513182694818525</v>
      </c>
      <c r="U55" s="85">
        <f t="shared" ref="U55" si="118">Q53+Q54+Q55</f>
        <v>172749195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2645219.9545454546</v>
      </c>
      <c r="G56" s="190">
        <f t="shared" ref="G56" si="119">F56/F55-1</f>
        <v>-0.26375798519311666</v>
      </c>
      <c r="H56" s="190">
        <f t="shared" ref="H56" si="120">F56/F44-1</f>
        <v>4.7964985779660463E-3</v>
      </c>
      <c r="I56" s="291">
        <f>T56</f>
        <v>15.620799172442961</v>
      </c>
      <c r="J56" s="130">
        <f t="shared" ref="J56" si="121">I56/I44-1</f>
        <v>-3.0035089597766684E-2</v>
      </c>
      <c r="K56" s="193"/>
      <c r="L56" s="190"/>
      <c r="M56" s="190"/>
      <c r="N56" s="191"/>
      <c r="O56" s="192"/>
      <c r="P56" s="129" t="s">
        <v>1420</v>
      </c>
      <c r="Q56" s="116">
        <v>58194839</v>
      </c>
      <c r="R56" s="116">
        <v>86945114144</v>
      </c>
      <c r="S56" s="116">
        <v>3725471.3</v>
      </c>
      <c r="T56" s="130">
        <f t="shared" ref="T56" si="122">Q56/S56</f>
        <v>15.620799172442961</v>
      </c>
      <c r="U56" s="85">
        <f t="shared" ref="U56" si="123">Q54+Q55+Q56</f>
        <v>189290679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1082410.4166666667</v>
      </c>
      <c r="G57" s="254">
        <f t="shared" ref="G57" si="124">F57/F56-1</f>
        <v>-0.59080513709013494</v>
      </c>
      <c r="H57" s="254">
        <f t="shared" ref="H57" si="125">F57/F45-1</f>
        <v>-0.70750173235683333</v>
      </c>
      <c r="I57" s="282">
        <f>T57</f>
        <v>17.543023808623399</v>
      </c>
      <c r="J57" s="277">
        <f t="shared" ref="J57" si="126">I57/I45-1</f>
        <v>7.9016833508762874E-2</v>
      </c>
      <c r="K57" s="259"/>
      <c r="L57" s="254"/>
      <c r="M57" s="254"/>
      <c r="N57" s="257"/>
      <c r="O57" s="258"/>
      <c r="P57" s="129" t="s">
        <v>1436</v>
      </c>
      <c r="Q57" s="116">
        <v>12988925</v>
      </c>
      <c r="R57" s="116">
        <v>19161631111</v>
      </c>
      <c r="S57" s="116">
        <v>740404</v>
      </c>
      <c r="T57" s="130">
        <f t="shared" ref="T57" si="127">Q57/S57</f>
        <v>17.543023808623399</v>
      </c>
      <c r="U57" s="85">
        <f t="shared" ref="U57" si="128">Q55+Q56+Q57</f>
        <v>146633980</v>
      </c>
      <c r="V57" s="79"/>
      <c r="W57" s="79"/>
      <c r="X57" s="79"/>
      <c r="Y57" s="79"/>
      <c r="Z57" s="79"/>
    </row>
    <row r="58" spans="1:26">
      <c r="B58" s="196">
        <f>SUM(F56:F58)</f>
        <v>3727630.3712121211</v>
      </c>
      <c r="C58" s="196">
        <f>AVERAGE(F56:F58)</f>
        <v>1863815.1856060605</v>
      </c>
      <c r="D58" s="197">
        <f>C58/C55-1</f>
        <v>-0.36817200694213481</v>
      </c>
      <c r="E58" s="233">
        <f>C58/C46-1</f>
        <v>-0.44171767748104784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243932959</v>
      </c>
      <c r="R68" s="212">
        <v>358713521795</v>
      </c>
      <c r="S68" s="213">
        <v>15409275.65</v>
      </c>
      <c r="T68" s="214">
        <v>50</v>
      </c>
      <c r="U68" s="214">
        <v>64</v>
      </c>
    </row>
    <row r="69" spans="16:21" ht="18" thickBot="1">
      <c r="P69" s="180" t="s">
        <v>976</v>
      </c>
      <c r="Q69" s="181">
        <v>41653355</v>
      </c>
      <c r="R69" s="181">
        <v>60891678391</v>
      </c>
      <c r="S69" s="182">
        <v>2581667.52</v>
      </c>
      <c r="T69" s="210">
        <v>28</v>
      </c>
      <c r="U69" s="210">
        <v>32</v>
      </c>
    </row>
    <row r="70" spans="16:21" ht="18" thickBot="1">
      <c r="P70" s="180" t="s">
        <v>977</v>
      </c>
      <c r="Q70" s="181">
        <v>55645624</v>
      </c>
      <c r="R70" s="181">
        <v>80576632131</v>
      </c>
      <c r="S70" s="182">
        <v>3498113.44</v>
      </c>
      <c r="T70" s="210">
        <v>19</v>
      </c>
      <c r="U70" s="210">
        <v>27</v>
      </c>
    </row>
    <row r="71" spans="16:21" ht="18" thickBot="1">
      <c r="P71" s="180" t="s">
        <v>978</v>
      </c>
      <c r="Q71" s="181">
        <v>75450216</v>
      </c>
      <c r="R71" s="181">
        <v>111138466018</v>
      </c>
      <c r="S71" s="182">
        <v>4863619.38</v>
      </c>
      <c r="T71" s="210">
        <v>28</v>
      </c>
      <c r="U71" s="210">
        <v>36</v>
      </c>
    </row>
    <row r="72" spans="16:21" ht="18" thickBot="1">
      <c r="P72" s="180" t="s">
        <v>979</v>
      </c>
      <c r="Q72" s="181">
        <v>58194839</v>
      </c>
      <c r="R72" s="181">
        <v>86945114144</v>
      </c>
      <c r="S72" s="182">
        <v>3725471.3</v>
      </c>
      <c r="T72" s="210">
        <v>24</v>
      </c>
      <c r="U72" s="210">
        <v>28</v>
      </c>
    </row>
    <row r="73" spans="16:21" ht="18" thickBot="1">
      <c r="P73" s="180" t="s">
        <v>980</v>
      </c>
      <c r="Q73" s="181">
        <v>12988925</v>
      </c>
      <c r="R73" s="181">
        <v>19161631111</v>
      </c>
      <c r="S73" s="182">
        <v>740404</v>
      </c>
      <c r="T73" s="210">
        <v>12</v>
      </c>
      <c r="U73" s="210">
        <v>18</v>
      </c>
    </row>
    <row r="74" spans="16:21" ht="18" thickBot="1">
      <c r="P74" s="180" t="s">
        <v>975</v>
      </c>
      <c r="Q74" s="181">
        <v>645007768</v>
      </c>
      <c r="R74" s="181">
        <v>917479345890</v>
      </c>
      <c r="S74" s="182">
        <v>39482632.729999997</v>
      </c>
      <c r="T74" s="210">
        <v>63</v>
      </c>
      <c r="U74" s="210">
        <v>93</v>
      </c>
    </row>
    <row r="75" spans="16:21" ht="18" thickBot="1">
      <c r="P75" s="215" t="s">
        <v>982</v>
      </c>
      <c r="Q75" s="216">
        <v>750270445</v>
      </c>
      <c r="R75" s="216">
        <v>1016640586448</v>
      </c>
      <c r="S75" s="272">
        <v>42959747.700000003</v>
      </c>
      <c r="T75" s="217">
        <v>68</v>
      </c>
      <c r="U75" s="217">
        <v>105</v>
      </c>
    </row>
    <row r="76" spans="16:21" ht="18" thickBot="1">
      <c r="P76" s="180" t="s">
        <v>1386</v>
      </c>
      <c r="Q76" s="210" t="s">
        <v>1510</v>
      </c>
      <c r="R76"/>
      <c r="S76"/>
      <c r="T76"/>
      <c r="U76"/>
    </row>
  </sheetData>
  <phoneticPr fontId="1" type="noConversion"/>
  <conditionalFormatting sqref="C29:C30">
    <cfRule type="cellIs" dxfId="131" priority="4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C000"/>
  </sheetPr>
  <dimension ref="A1:Y61"/>
  <sheetViews>
    <sheetView zoomScale="89" zoomScaleNormal="89" workbookViewId="0">
      <selection activeCell="M58" sqref="M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784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3304309000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263852.59999999998</v>
      </c>
      <c r="G5" s="90"/>
      <c r="H5" s="90"/>
      <c r="I5" s="130" t="e">
        <f t="shared" ref="I5:I28" si="0">F5/H5</f>
        <v>#DIV/0!</v>
      </c>
      <c r="J5" s="86"/>
      <c r="K5" s="80"/>
      <c r="L5" s="80"/>
      <c r="O5" s="129" t="s">
        <v>0</v>
      </c>
      <c r="P5" s="116">
        <v>5277052</v>
      </c>
      <c r="Q5" s="116"/>
      <c r="R5" s="116">
        <v>336881.62</v>
      </c>
      <c r="S5" s="130">
        <f t="shared" ref="S5:S40" si="1">P5/R5</f>
        <v>15.664410542789483</v>
      </c>
      <c r="T5" s="85"/>
    </row>
    <row r="6" spans="1:20" ht="15" hidden="1" customHeight="1">
      <c r="A6" s="129" t="s">
        <v>1</v>
      </c>
      <c r="C6" s="79"/>
      <c r="F6" s="78">
        <f>P6/18</f>
        <v>160714.05555555556</v>
      </c>
      <c r="G6" s="90">
        <f t="shared" ref="G6:G40" si="2">F6/F5-1</f>
        <v>-0.39089455417321806</v>
      </c>
      <c r="H6" s="90"/>
      <c r="I6" s="130" t="e">
        <f t="shared" si="0"/>
        <v>#DIV/0!</v>
      </c>
      <c r="J6" s="78"/>
      <c r="O6" s="129" t="s">
        <v>1</v>
      </c>
      <c r="P6" s="116">
        <v>2892853</v>
      </c>
      <c r="Q6" s="116"/>
      <c r="R6" s="116">
        <v>311940.14</v>
      </c>
      <c r="S6" s="130">
        <f t="shared" si="1"/>
        <v>9.2737439946010145</v>
      </c>
      <c r="T6" s="85"/>
    </row>
    <row r="7" spans="1:20" ht="15" hidden="1" customHeight="1">
      <c r="A7" s="129" t="s">
        <v>2</v>
      </c>
      <c r="B7" s="131">
        <f>F5+F6+F7</f>
        <v>614849.61010101007</v>
      </c>
      <c r="C7" s="131">
        <f>AVERAGE(F5:F7)</f>
        <v>204949.87003367001</v>
      </c>
      <c r="F7" s="78">
        <f>P7/22</f>
        <v>190282.95454545456</v>
      </c>
      <c r="G7" s="90">
        <f t="shared" si="2"/>
        <v>0.18398452386560327</v>
      </c>
      <c r="H7" s="90"/>
      <c r="I7" s="130" t="e">
        <f t="shared" si="0"/>
        <v>#DIV/0!</v>
      </c>
      <c r="J7" s="85">
        <f>Q5+Q6+Q7</f>
        <v>0</v>
      </c>
      <c r="M7" s="88">
        <f>AVERAGE(S5:S7)</f>
        <v>12.613770082207379</v>
      </c>
      <c r="O7" s="129" t="s">
        <v>2</v>
      </c>
      <c r="P7" s="116">
        <v>4186225</v>
      </c>
      <c r="Q7" s="116"/>
      <c r="R7" s="116">
        <v>324434.2</v>
      </c>
      <c r="S7" s="130">
        <f t="shared" si="1"/>
        <v>12.90315570923164</v>
      </c>
      <c r="T7" s="85">
        <f>P5+P6+P7</f>
        <v>12356130</v>
      </c>
    </row>
    <row r="8" spans="1:20" ht="15" hidden="1" customHeight="1">
      <c r="A8" s="129" t="s">
        <v>3</v>
      </c>
      <c r="C8" s="79"/>
      <c r="F8" s="78">
        <f>P8/21</f>
        <v>97798.71428571429</v>
      </c>
      <c r="G8" s="90">
        <f t="shared" si="2"/>
        <v>-0.4860353386916102</v>
      </c>
      <c r="H8" s="90"/>
      <c r="I8" s="130" t="e">
        <f t="shared" si="0"/>
        <v>#DIV/0!</v>
      </c>
      <c r="J8" s="78"/>
      <c r="O8" s="129" t="s">
        <v>3</v>
      </c>
      <c r="P8" s="116">
        <v>2053773</v>
      </c>
      <c r="Q8" s="116"/>
      <c r="R8" s="116">
        <v>342662.47</v>
      </c>
      <c r="S8" s="130">
        <f t="shared" si="1"/>
        <v>5.9935743765577838</v>
      </c>
      <c r="T8" s="85"/>
    </row>
    <row r="9" spans="1:20" ht="15" hidden="1" customHeight="1">
      <c r="A9" s="129" t="s">
        <v>4</v>
      </c>
      <c r="C9" s="79"/>
      <c r="F9" s="78">
        <f>P9/21</f>
        <v>126566</v>
      </c>
      <c r="G9" s="90">
        <f t="shared" si="2"/>
        <v>0.29414789268336849</v>
      </c>
      <c r="H9" s="90"/>
      <c r="I9" s="130" t="e">
        <f t="shared" si="0"/>
        <v>#DIV/0!</v>
      </c>
      <c r="J9" s="78"/>
      <c r="O9" s="129" t="s">
        <v>4</v>
      </c>
      <c r="P9" s="116">
        <v>2657886</v>
      </c>
      <c r="Q9" s="116"/>
      <c r="R9" s="116">
        <v>401547.25</v>
      </c>
      <c r="S9" s="130">
        <f t="shared" si="1"/>
        <v>6.6191114495243086</v>
      </c>
      <c r="T9" s="85"/>
    </row>
    <row r="10" spans="1:20" ht="15" hidden="1" customHeight="1">
      <c r="A10" s="129" t="s">
        <v>5</v>
      </c>
      <c r="B10" s="131">
        <f>F8+F9+F10</f>
        <v>371016.52380952379</v>
      </c>
      <c r="C10" s="131">
        <f>AVERAGE(F8:F10)</f>
        <v>123672.1746031746</v>
      </c>
      <c r="D10" s="90">
        <f>C10/C7-1</f>
        <v>-0.39657353974970944</v>
      </c>
      <c r="E10" s="90"/>
      <c r="F10" s="78">
        <f>P10/21</f>
        <v>146651.80952380953</v>
      </c>
      <c r="G10" s="90">
        <f t="shared" si="2"/>
        <v>0.15869830383996919</v>
      </c>
      <c r="H10" s="90"/>
      <c r="I10" s="130" t="e">
        <f t="shared" si="0"/>
        <v>#DIV/0!</v>
      </c>
      <c r="J10" s="85">
        <f>Q8+Q9+Q10</f>
        <v>0</v>
      </c>
      <c r="K10" s="87">
        <f>T10/T7-1</f>
        <v>-0.36943468545572122</v>
      </c>
      <c r="M10" s="88">
        <f>AVERAGE(S8:S10)</f>
        <v>6.6527741676008825</v>
      </c>
      <c r="N10" s="89">
        <f>M10/M7-1</f>
        <v>-0.47257845003968368</v>
      </c>
      <c r="O10" s="129" t="s">
        <v>5</v>
      </c>
      <c r="P10" s="116">
        <v>3079688</v>
      </c>
      <c r="Q10" s="116"/>
      <c r="R10" s="116">
        <v>419254.06</v>
      </c>
      <c r="S10" s="130">
        <f t="shared" si="1"/>
        <v>7.345636676720555</v>
      </c>
      <c r="T10" s="85">
        <f>P8+P9+P10</f>
        <v>7791347</v>
      </c>
    </row>
    <row r="11" spans="1:20" ht="15" hidden="1" customHeight="1">
      <c r="A11" s="129" t="s">
        <v>6</v>
      </c>
      <c r="C11" s="79"/>
      <c r="F11" s="78">
        <f>P11/21</f>
        <v>108029.61904761905</v>
      </c>
      <c r="G11" s="90">
        <f t="shared" si="2"/>
        <v>-0.26335979488831329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2268622</v>
      </c>
      <c r="Q11" s="116"/>
      <c r="R11" s="116">
        <v>347076.15</v>
      </c>
      <c r="S11" s="130">
        <f t="shared" si="1"/>
        <v>6.5363811371078073</v>
      </c>
      <c r="T11" s="85"/>
    </row>
    <row r="12" spans="1:20" ht="15" hidden="1" customHeight="1">
      <c r="A12" s="129" t="s">
        <v>7</v>
      </c>
      <c r="C12" s="79"/>
      <c r="F12" s="78">
        <f>P12/22</f>
        <v>128665.72727272728</v>
      </c>
      <c r="G12" s="90">
        <f t="shared" si="2"/>
        <v>0.19102268810197232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2830646</v>
      </c>
      <c r="Q12" s="116"/>
      <c r="R12" s="116">
        <v>481297.84</v>
      </c>
      <c r="S12" s="130">
        <f t="shared" si="1"/>
        <v>5.8812771734026477</v>
      </c>
      <c r="T12" s="85"/>
    </row>
    <row r="13" spans="1:20" ht="15" hidden="1" customHeight="1">
      <c r="A13" s="129" t="s">
        <v>96</v>
      </c>
      <c r="B13" s="131">
        <f>F11+F12+F13</f>
        <v>356929.39632034634</v>
      </c>
      <c r="C13" s="131">
        <f>AVERAGE(F11:F13)</f>
        <v>118976.46544011544</v>
      </c>
      <c r="D13" s="90">
        <f>C13/C10-1</f>
        <v>-3.7969002955808184E-2</v>
      </c>
      <c r="E13" s="90"/>
      <c r="F13" s="78">
        <f>P13/20</f>
        <v>120234.05</v>
      </c>
      <c r="G13" s="90">
        <f t="shared" si="2"/>
        <v>-6.5531648959283539E-2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-3.6886818158657242E-2</v>
      </c>
      <c r="M13" s="88">
        <f>AVERAGE(S11:S13)</f>
        <v>6.1403525529855338</v>
      </c>
      <c r="N13" s="89">
        <f>M13/M10-1</f>
        <v>-7.7023750048641371E-2</v>
      </c>
      <c r="O13" s="129" t="s">
        <v>96</v>
      </c>
      <c r="P13" s="116">
        <v>2404681</v>
      </c>
      <c r="Q13" s="116"/>
      <c r="R13" s="116">
        <v>400553.23</v>
      </c>
      <c r="S13" s="130">
        <f t="shared" si="1"/>
        <v>6.0033993484461483</v>
      </c>
      <c r="T13" s="85">
        <f>P11+P12+P13</f>
        <v>7503949</v>
      </c>
    </row>
    <row r="14" spans="1:20" ht="15" hidden="1" customHeight="1">
      <c r="A14" s="129" t="s">
        <v>97</v>
      </c>
      <c r="C14" s="79"/>
      <c r="F14" s="78">
        <f>P14/20</f>
        <v>95238.55</v>
      </c>
      <c r="G14" s="90">
        <f t="shared" si="2"/>
        <v>-0.2078903605093565</v>
      </c>
      <c r="H14" s="90"/>
      <c r="I14" s="130" t="e">
        <f t="shared" si="0"/>
        <v>#DIV/0!</v>
      </c>
      <c r="J14" s="78"/>
      <c r="N14" s="89"/>
      <c r="O14" s="129" t="s">
        <v>97</v>
      </c>
      <c r="P14" s="116">
        <v>1904771</v>
      </c>
      <c r="Q14" s="116"/>
      <c r="R14" s="116">
        <v>320378.78000000003</v>
      </c>
      <c r="S14" s="130">
        <f t="shared" si="1"/>
        <v>5.9453719125842222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34707.045454545456</v>
      </c>
      <c r="G15" s="90">
        <f t="shared" si="2"/>
        <v>-0.63557776284345513</v>
      </c>
      <c r="H15" s="90"/>
      <c r="I15" s="130" t="e">
        <f t="shared" si="0"/>
        <v>#DIV/0!</v>
      </c>
      <c r="J15" s="78"/>
      <c r="N15" s="89"/>
      <c r="O15" s="129" t="s">
        <v>98</v>
      </c>
      <c r="P15" s="116">
        <v>763555</v>
      </c>
      <c r="Q15" s="116"/>
      <c r="R15" s="116">
        <v>61899.14</v>
      </c>
      <c r="S15" s="130">
        <f t="shared" si="1"/>
        <v>12.335470250475209</v>
      </c>
      <c r="T15" s="85"/>
    </row>
    <row r="16" spans="1:20" ht="15" hidden="1" customHeight="1">
      <c r="A16" s="129" t="s">
        <v>99</v>
      </c>
      <c r="B16" s="131">
        <f>F14+F15+F16</f>
        <v>180019.05</v>
      </c>
      <c r="C16" s="131">
        <f>AVERAGE(F14:F16)</f>
        <v>60006.35</v>
      </c>
      <c r="D16" s="90">
        <f>C16/C13-1</f>
        <v>-0.49564521203394585</v>
      </c>
      <c r="E16" s="90"/>
      <c r="F16" s="78">
        <f>P16/22</f>
        <v>50073.454545454544</v>
      </c>
      <c r="G16" s="90">
        <f t="shared" si="2"/>
        <v>0.44274610211445142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-0.49760559406787008</v>
      </c>
      <c r="M16" s="88">
        <f>AVERAGE(S14:S16)</f>
        <v>9.3179261854786528</v>
      </c>
      <c r="N16" s="89">
        <f>M16/M13-1</f>
        <v>0.51749042177523408</v>
      </c>
      <c r="O16" s="129" t="s">
        <v>99</v>
      </c>
      <c r="P16" s="116">
        <v>1101616</v>
      </c>
      <c r="Q16" s="116"/>
      <c r="R16" s="116">
        <v>113886.41</v>
      </c>
      <c r="S16" s="130">
        <f t="shared" si="1"/>
        <v>9.6729363933765224</v>
      </c>
      <c r="T16" s="85">
        <f>P14+P15+P16</f>
        <v>3769942</v>
      </c>
    </row>
    <row r="17" spans="1:20" ht="15" hidden="1" customHeight="1">
      <c r="A17" s="129" t="s">
        <v>100</v>
      </c>
      <c r="C17" s="79"/>
      <c r="F17" s="78">
        <f>P17/20</f>
        <v>37765.4</v>
      </c>
      <c r="G17" s="90">
        <f t="shared" si="2"/>
        <v>-0.24579998838070616</v>
      </c>
      <c r="H17" s="90">
        <f t="shared" ref="H17:H40" si="3">F17/F5-1</f>
        <v>-0.8568693277989301</v>
      </c>
      <c r="I17" s="130">
        <f t="shared" si="0"/>
        <v>-44073.698024655976</v>
      </c>
      <c r="J17" s="78"/>
      <c r="N17" s="89"/>
      <c r="O17" s="129" t="s">
        <v>100</v>
      </c>
      <c r="P17" s="116">
        <v>755308</v>
      </c>
      <c r="Q17" s="116"/>
      <c r="R17" s="116">
        <v>84164.69</v>
      </c>
      <c r="S17" s="130">
        <f t="shared" si="1"/>
        <v>8.9741671952929423</v>
      </c>
      <c r="T17" s="78"/>
    </row>
    <row r="18" spans="1:20" ht="15" hidden="1" customHeight="1">
      <c r="A18" s="129" t="s">
        <v>106</v>
      </c>
      <c r="C18" s="79"/>
      <c r="F18" s="78">
        <f>P18/20</f>
        <v>41525.449999999997</v>
      </c>
      <c r="G18" s="90">
        <f t="shared" si="2"/>
        <v>9.9563356935183922E-2</v>
      </c>
      <c r="H18" s="90">
        <f t="shared" si="3"/>
        <v>-0.74161905219518587</v>
      </c>
      <c r="I18" s="130">
        <f t="shared" si="0"/>
        <v>-55992.96549500047</v>
      </c>
      <c r="J18" s="78"/>
      <c r="N18" s="89"/>
      <c r="O18" s="129" t="s">
        <v>106</v>
      </c>
      <c r="P18" s="116">
        <v>830509</v>
      </c>
      <c r="Q18" s="116"/>
      <c r="R18" s="116">
        <v>72007.53</v>
      </c>
      <c r="S18" s="130">
        <f t="shared" si="1"/>
        <v>11.533640995601433</v>
      </c>
      <c r="T18" s="78"/>
    </row>
    <row r="19" spans="1:20" hidden="1">
      <c r="A19" s="129" t="s">
        <v>114</v>
      </c>
      <c r="B19" s="131">
        <f>SUM(F17:F19)</f>
        <v>130440.57727272727</v>
      </c>
      <c r="C19" s="131">
        <f>AVERAGE(F17:F19)</f>
        <v>43480.192424242421</v>
      </c>
      <c r="D19" s="90">
        <f>C19/C16-1</f>
        <v>-0.27540681237498332</v>
      </c>
      <c r="E19" s="90">
        <f>C19/C7-1</f>
        <v>-0.78784962187534291</v>
      </c>
      <c r="F19" s="78">
        <f>P19/22</f>
        <v>51149.727272727272</v>
      </c>
      <c r="G19" s="90">
        <f t="shared" si="2"/>
        <v>0.23176816320418614</v>
      </c>
      <c r="H19" s="90">
        <f t="shared" si="3"/>
        <v>-0.7311912283740124</v>
      </c>
      <c r="I19" s="130">
        <f t="shared" si="0"/>
        <v>-69953.967290433109</v>
      </c>
      <c r="J19" s="78">
        <f>Q17+Q18+Q19</f>
        <v>0</v>
      </c>
      <c r="K19" s="87">
        <f>T19/T16-1</f>
        <v>-0.28086135012156688</v>
      </c>
      <c r="L19" s="87">
        <f>T19/T7-1</f>
        <v>-0.78058574974526818</v>
      </c>
      <c r="M19" s="88">
        <f>AVERAGE(S17:S19)</f>
        <v>10.015477171434922</v>
      </c>
      <c r="N19" s="89">
        <f>M19/M16-1</f>
        <v>7.4861183923452312E-2</v>
      </c>
      <c r="O19" s="129" t="s">
        <v>114</v>
      </c>
      <c r="P19" s="116">
        <v>1125294</v>
      </c>
      <c r="Q19" s="116"/>
      <c r="R19" s="116">
        <v>117972.37</v>
      </c>
      <c r="S19" s="130">
        <f t="shared" si="1"/>
        <v>9.5386233234103894</v>
      </c>
      <c r="T19" s="85">
        <f>P17+P18+P19</f>
        <v>2711111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43484.05</v>
      </c>
      <c r="G20" s="90">
        <f t="shared" si="2"/>
        <v>-0.14986741242733004</v>
      </c>
      <c r="H20" s="90">
        <f t="shared" si="3"/>
        <v>-0.55537196661948518</v>
      </c>
      <c r="I20" s="130">
        <f t="shared" si="0"/>
        <v>-78297.164087493875</v>
      </c>
      <c r="J20" s="78"/>
      <c r="N20" s="89"/>
      <c r="O20" s="129" t="s">
        <v>131</v>
      </c>
      <c r="P20" s="116">
        <v>869681</v>
      </c>
      <c r="Q20" s="116"/>
      <c r="R20" s="116">
        <v>104579.64</v>
      </c>
      <c r="S20" s="130">
        <f t="shared" si="1"/>
        <v>8.3159685766751537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48683.809523809527</v>
      </c>
      <c r="G21" s="90">
        <f t="shared" si="2"/>
        <v>0.11957854716406424</v>
      </c>
      <c r="H21" s="90">
        <f t="shared" si="3"/>
        <v>-0.61534843857110499</v>
      </c>
      <c r="I21" s="130">
        <f t="shared" si="0"/>
        <v>-79115.84148463553</v>
      </c>
      <c r="J21" s="78"/>
      <c r="N21" s="89"/>
      <c r="O21" s="129" t="s">
        <v>141</v>
      </c>
      <c r="P21" s="116">
        <v>1022360</v>
      </c>
      <c r="Q21" s="116"/>
      <c r="R21" s="116">
        <v>90109.78</v>
      </c>
      <c r="S21" s="130">
        <f t="shared" si="1"/>
        <v>11.345716302936262</v>
      </c>
      <c r="T21" s="78"/>
    </row>
    <row r="22" spans="1:20" hidden="1">
      <c r="A22" s="129" t="s">
        <v>155</v>
      </c>
      <c r="B22" s="131">
        <f>SUM(F20:F22)</f>
        <v>159142.14523809525</v>
      </c>
      <c r="C22" s="131">
        <f>AVERAGE(F20:F22)</f>
        <v>53047.381746031751</v>
      </c>
      <c r="D22" s="90">
        <f>C22/C19-1</f>
        <v>0.22003557915385707</v>
      </c>
      <c r="E22" s="90">
        <f>C22/C10-1</f>
        <v>-0.57106453479738484</v>
      </c>
      <c r="F22" s="78">
        <f>P22/21</f>
        <v>66974.28571428571</v>
      </c>
      <c r="G22" s="90">
        <f t="shared" si="2"/>
        <v>0.37569936225986922</v>
      </c>
      <c r="H22" s="90">
        <f t="shared" si="3"/>
        <v>-0.54331088084247492</v>
      </c>
      <c r="I22" s="130">
        <f t="shared" si="0"/>
        <v>-123270.65051675991</v>
      </c>
      <c r="J22" s="78">
        <f>Q20+Q21+Q22</f>
        <v>0</v>
      </c>
      <c r="K22" s="87">
        <f>T22/T19-1</f>
        <v>0.21666025478115802</v>
      </c>
      <c r="L22" s="87">
        <f>T22/T10-1</f>
        <v>-0.57664560441217672</v>
      </c>
      <c r="M22" s="88">
        <f>AVERAGE(S20:S22)</f>
        <v>9.0381920424190607</v>
      </c>
      <c r="N22" s="89">
        <f>M22/M19-1</f>
        <v>-9.7577490546648105E-2</v>
      </c>
      <c r="O22" s="129" t="s">
        <v>155</v>
      </c>
      <c r="P22" s="116">
        <v>1406460</v>
      </c>
      <c r="Q22" s="116"/>
      <c r="R22" s="116">
        <v>188713.34</v>
      </c>
      <c r="S22" s="130">
        <f t="shared" si="1"/>
        <v>7.452891247645768</v>
      </c>
      <c r="T22" s="85">
        <f>P20+P21+P22</f>
        <v>3298501</v>
      </c>
    </row>
    <row r="23" spans="1:20" hidden="1">
      <c r="A23" s="129" t="s">
        <v>189</v>
      </c>
      <c r="B23" s="131"/>
      <c r="C23" s="131"/>
      <c r="F23" s="78">
        <f>P23/21</f>
        <v>62451</v>
      </c>
      <c r="G23" s="90">
        <f t="shared" si="2"/>
        <v>-6.7537647711275017E-2</v>
      </c>
      <c r="H23" s="90">
        <f t="shared" si="3"/>
        <v>-0.42190854183729154</v>
      </c>
      <c r="I23" s="130">
        <f t="shared" si="0"/>
        <v>-148020.23141803121</v>
      </c>
      <c r="J23" s="78"/>
      <c r="N23" s="89"/>
      <c r="O23" s="129" t="s">
        <v>189</v>
      </c>
      <c r="P23" s="116">
        <v>1311471</v>
      </c>
      <c r="Q23" s="116"/>
      <c r="R23" s="116">
        <v>167997.4</v>
      </c>
      <c r="S23" s="130">
        <f t="shared" si="1"/>
        <v>7.8064958148161816</v>
      </c>
      <c r="T23" s="78"/>
    </row>
    <row r="24" spans="1:20" hidden="1">
      <c r="A24" s="129" t="s">
        <v>204</v>
      </c>
      <c r="B24" s="131"/>
      <c r="C24" s="131"/>
      <c r="F24" s="78">
        <f>P24/22</f>
        <v>55523.772727272728</v>
      </c>
      <c r="G24" s="90">
        <f t="shared" si="2"/>
        <v>-0.11092259968178686</v>
      </c>
      <c r="H24" s="90">
        <f t="shared" si="3"/>
        <v>-0.56846493697904998</v>
      </c>
      <c r="I24" s="130">
        <f t="shared" si="0"/>
        <v>-97673.170525412686</v>
      </c>
      <c r="J24" s="78"/>
      <c r="N24" s="89"/>
      <c r="O24" s="129" t="s">
        <v>204</v>
      </c>
      <c r="P24" s="116">
        <v>1221523</v>
      </c>
      <c r="Q24" s="116"/>
      <c r="R24" s="116">
        <v>154754.44</v>
      </c>
      <c r="S24" s="130">
        <f t="shared" si="1"/>
        <v>7.8932985703027327</v>
      </c>
      <c r="T24" s="78"/>
    </row>
    <row r="25" spans="1:20" s="79" customFormat="1" ht="13.2" hidden="1">
      <c r="A25" s="129" t="s">
        <v>217</v>
      </c>
      <c r="B25" s="131">
        <f>SUM(F23:F25)</f>
        <v>174369.8253588517</v>
      </c>
      <c r="C25" s="131">
        <f>AVERAGE(F23:F25)</f>
        <v>58123.275119617232</v>
      </c>
      <c r="D25" s="90">
        <f>C25/C22-1</f>
        <v>9.5686030234002795E-2</v>
      </c>
      <c r="E25" s="90">
        <f>C25/C13-1</f>
        <v>-0.51147250084620732</v>
      </c>
      <c r="F25" s="78">
        <f>P25/19</f>
        <v>56395.052631578947</v>
      </c>
      <c r="G25" s="90">
        <f t="shared" si="2"/>
        <v>1.5692015536945991E-2</v>
      </c>
      <c r="H25" s="90">
        <f t="shared" si="3"/>
        <v>-0.53095605918973088</v>
      </c>
      <c r="I25" s="130">
        <f t="shared" si="0"/>
        <v>-106214.16152146563</v>
      </c>
      <c r="J25" s="78">
        <f>Q23+Q24+Q25</f>
        <v>0</v>
      </c>
      <c r="K25" s="90">
        <f>T25/T22-1</f>
        <v>9.2769109362101254E-2</v>
      </c>
      <c r="L25" s="90">
        <f>T25/T13-1</f>
        <v>-0.51965291874984754</v>
      </c>
      <c r="M25" s="88">
        <f>AVERAGE(S23:S25)</f>
        <v>7.8187344164846069</v>
      </c>
      <c r="N25" s="91">
        <f>M25/M22-1</f>
        <v>-0.1349227389959361</v>
      </c>
      <c r="O25" s="129" t="s">
        <v>217</v>
      </c>
      <c r="P25" s="116">
        <v>1071506</v>
      </c>
      <c r="Q25" s="116"/>
      <c r="R25" s="116">
        <v>138144.6</v>
      </c>
      <c r="S25" s="130">
        <f t="shared" si="1"/>
        <v>7.7564088643349063</v>
      </c>
      <c r="T25" s="85">
        <f>P23+P24+P25</f>
        <v>3604500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65748.736842105267</v>
      </c>
      <c r="G26" s="90">
        <f t="shared" si="2"/>
        <v>0.16586001384966598</v>
      </c>
      <c r="H26" s="90">
        <f t="shared" si="3"/>
        <v>-0.3096415596194475</v>
      </c>
      <c r="I26" s="130">
        <f t="shared" si="0"/>
        <v>-212338.21752774759</v>
      </c>
      <c r="J26" s="78"/>
      <c r="K26" s="90"/>
      <c r="L26" s="90"/>
      <c r="O26" s="129" t="s">
        <v>312</v>
      </c>
      <c r="P26" s="116">
        <v>1249226</v>
      </c>
      <c r="Q26" s="116"/>
      <c r="R26" s="116">
        <v>163186.98000000001</v>
      </c>
      <c r="S26" s="130">
        <f t="shared" si="1"/>
        <v>7.655181804332674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47820.36363636364</v>
      </c>
      <c r="G27" s="90">
        <f t="shared" si="2"/>
        <v>-0.27268011625525801</v>
      </c>
      <c r="H27" s="90">
        <f t="shared" si="3"/>
        <v>0.37782870913031807</v>
      </c>
      <c r="I27" s="130">
        <f t="shared" si="0"/>
        <v>126566.25206283561</v>
      </c>
      <c r="J27" s="78"/>
      <c r="K27" s="90"/>
      <c r="L27" s="90"/>
      <c r="O27" s="129" t="s">
        <v>373</v>
      </c>
      <c r="P27" s="116">
        <v>1052048</v>
      </c>
      <c r="Q27" s="116"/>
      <c r="R27" s="116">
        <v>152372.03</v>
      </c>
      <c r="S27" s="130">
        <f t="shared" si="1"/>
        <v>6.9044692782527086</v>
      </c>
      <c r="T27" s="78"/>
    </row>
    <row r="28" spans="1:20" s="79" customFormat="1" ht="13.2" hidden="1">
      <c r="A28" s="123" t="s">
        <v>413</v>
      </c>
      <c r="B28" s="131">
        <f>SUM(F26:F28)</f>
        <v>168766.04784688994</v>
      </c>
      <c r="C28" s="131">
        <f>AVERAGE(F26:F28)</f>
        <v>56255.349282296644</v>
      </c>
      <c r="D28" s="90">
        <f>C28/C25-1</f>
        <v>-3.2137312177891064E-2</v>
      </c>
      <c r="E28" s="90">
        <f>C28/C16-1</f>
        <v>-6.2510062980057235E-2</v>
      </c>
      <c r="F28" s="78">
        <f>P28/19</f>
        <v>55196.947368421053</v>
      </c>
      <c r="G28" s="90">
        <f t="shared" si="2"/>
        <v>0.15425611959270213</v>
      </c>
      <c r="H28" s="90">
        <f t="shared" si="3"/>
        <v>0.10231953975365582</v>
      </c>
      <c r="I28" s="130">
        <f t="shared" si="0"/>
        <v>539456.5642233442</v>
      </c>
      <c r="J28" s="78">
        <f>Q26+Q27+Q28</f>
        <v>0</v>
      </c>
      <c r="K28" s="90">
        <f>T28/T25-1</f>
        <v>-7.0601747815230986E-2</v>
      </c>
      <c r="L28" s="90">
        <f>T28/T16-1</f>
        <v>-0.11138792055686797</v>
      </c>
      <c r="M28" s="88">
        <f>AVERAGE(S26:S28)</f>
        <v>7.1909819275692186</v>
      </c>
      <c r="N28" s="91">
        <f>M28/M25-1</f>
        <v>-8.0288248132826756E-2</v>
      </c>
      <c r="O28" s="129" t="s">
        <v>413</v>
      </c>
      <c r="P28" s="116">
        <v>1048742</v>
      </c>
      <c r="Q28" s="116"/>
      <c r="R28" s="116">
        <v>149536.28</v>
      </c>
      <c r="S28" s="130">
        <f t="shared" si="1"/>
        <v>7.0132947001222714</v>
      </c>
      <c r="T28" s="85">
        <f>P26+P27+P28</f>
        <v>3350016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49917.590909090912</v>
      </c>
      <c r="G29" s="190">
        <f t="shared" si="2"/>
        <v>-9.5645804904612053E-2</v>
      </c>
      <c r="H29" s="190">
        <f t="shared" si="3"/>
        <v>0.32178107233316511</v>
      </c>
      <c r="I29" s="130">
        <f>S29</f>
        <v>9.2367302227170072</v>
      </c>
      <c r="J29" s="136"/>
      <c r="K29" s="190"/>
      <c r="L29" s="190"/>
      <c r="M29" s="191"/>
      <c r="N29" s="192"/>
      <c r="O29" s="129" t="s">
        <v>426</v>
      </c>
      <c r="P29" s="116">
        <v>1098187</v>
      </c>
      <c r="Q29" s="116">
        <v>1452276733</v>
      </c>
      <c r="R29" s="116">
        <v>118893.48</v>
      </c>
      <c r="S29" s="130">
        <f t="shared" si="1"/>
        <v>9.2367302227170072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41502.73684210526</v>
      </c>
      <c r="G30" s="190">
        <f t="shared" si="2"/>
        <v>-0.16857492346356706</v>
      </c>
      <c r="H30" s="190">
        <f t="shared" si="3"/>
        <v>-5.4696957877009567E-4</v>
      </c>
      <c r="I30" s="130">
        <f t="shared" ref="I30:I45" si="4">S30</f>
        <v>9.4901850157152392</v>
      </c>
      <c r="J30" s="136"/>
      <c r="K30" s="190"/>
      <c r="L30" s="190"/>
      <c r="M30" s="191"/>
      <c r="N30" s="192"/>
      <c r="O30" s="129" t="s">
        <v>466</v>
      </c>
      <c r="P30" s="116">
        <v>788552</v>
      </c>
      <c r="Q30" s="116">
        <v>1050768158</v>
      </c>
      <c r="R30" s="116">
        <v>83091.320000000007</v>
      </c>
      <c r="S30" s="130">
        <f t="shared" si="1"/>
        <v>9.4901850157152392</v>
      </c>
      <c r="T30" s="85"/>
    </row>
    <row r="31" spans="1:20" s="79" customFormat="1" ht="13.2">
      <c r="A31" s="129" t="s">
        <v>505</v>
      </c>
      <c r="B31" s="188">
        <f>SUM(F29:F31)</f>
        <v>132941.07775119616</v>
      </c>
      <c r="C31" s="188">
        <f>AVERAGE(F29:F31)</f>
        <v>44313.692583732052</v>
      </c>
      <c r="D31" s="190">
        <f>C31/C28-1</f>
        <v>-0.2122759319943035</v>
      </c>
      <c r="E31" s="190">
        <f>C31/C19-1</f>
        <v>1.9169652041947094E-2</v>
      </c>
      <c r="F31" s="136">
        <f>P31/20</f>
        <v>41520.75</v>
      </c>
      <c r="G31" s="190">
        <f t="shared" si="2"/>
        <v>4.3402337448905648E-4</v>
      </c>
      <c r="H31" s="190">
        <f t="shared" si="3"/>
        <v>-0.18825080378994286</v>
      </c>
      <c r="I31" s="130">
        <f t="shared" si="4"/>
        <v>10.764953863464893</v>
      </c>
      <c r="J31" s="136">
        <f>Q29+Q30+Q31</f>
        <v>3605000222</v>
      </c>
      <c r="K31" s="190">
        <f>T31/T28-1</f>
        <v>-0.18891312757909218</v>
      </c>
      <c r="L31" s="190">
        <f>T31/T19-1</f>
        <v>2.2289755011875023E-3</v>
      </c>
      <c r="M31" s="191">
        <f>AVERAGE(S29:S31)</f>
        <v>9.830623033965713</v>
      </c>
      <c r="N31" s="192">
        <f>M31/M28-1</f>
        <v>0.36707658745135752</v>
      </c>
      <c r="O31" s="129" t="s">
        <v>505</v>
      </c>
      <c r="P31" s="116">
        <v>830415</v>
      </c>
      <c r="Q31" s="116">
        <v>1101955331</v>
      </c>
      <c r="R31" s="116">
        <v>77140.600000000006</v>
      </c>
      <c r="S31" s="130">
        <f t="shared" si="1"/>
        <v>10.764953863464893</v>
      </c>
      <c r="T31" s="85">
        <f>P29+P30+P31</f>
        <v>2717154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53300.476190476191</v>
      </c>
      <c r="G32" s="190">
        <f t="shared" si="2"/>
        <v>0.28370697038170523</v>
      </c>
      <c r="H32" s="190">
        <f t="shared" si="3"/>
        <v>0.22574774406882958</v>
      </c>
      <c r="I32" s="130">
        <f t="shared" si="4"/>
        <v>12.573993578367308</v>
      </c>
      <c r="J32" s="136"/>
      <c r="K32" s="190"/>
      <c r="L32" s="190"/>
      <c r="M32" s="191"/>
      <c r="N32" s="192"/>
      <c r="O32" s="129" t="s">
        <v>561</v>
      </c>
      <c r="P32" s="116">
        <v>1119310</v>
      </c>
      <c r="Q32" s="116">
        <v>1520908721</v>
      </c>
      <c r="R32" s="116">
        <v>89017.86</v>
      </c>
      <c r="S32" s="130">
        <f t="shared" si="1"/>
        <v>12.573993578367308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44734.571428571428</v>
      </c>
      <c r="G33" s="190">
        <f t="shared" si="2"/>
        <v>-0.16070972295432007</v>
      </c>
      <c r="H33" s="190">
        <f t="shared" si="3"/>
        <v>-8.1120153370632719E-2</v>
      </c>
      <c r="I33" s="130">
        <f t="shared" si="4"/>
        <v>8.8071622353635366</v>
      </c>
      <c r="J33" s="136"/>
      <c r="K33" s="190"/>
      <c r="L33" s="190"/>
      <c r="M33" s="191"/>
      <c r="N33" s="192"/>
      <c r="O33" s="129" t="s">
        <v>607</v>
      </c>
      <c r="P33" s="116">
        <v>939426</v>
      </c>
      <c r="Q33" s="116">
        <v>1284060097</v>
      </c>
      <c r="R33" s="116">
        <v>106666.14</v>
      </c>
      <c r="S33" s="130">
        <f t="shared" si="1"/>
        <v>8.8071622353635366</v>
      </c>
      <c r="T33" s="85"/>
    </row>
    <row r="34" spans="1:20" s="79" customFormat="1" ht="13.2">
      <c r="A34" s="129" t="s">
        <v>652</v>
      </c>
      <c r="B34" s="188">
        <f>SUM(F32:F34)</f>
        <v>139946.52130325814</v>
      </c>
      <c r="C34" s="188">
        <f>AVERAGE(F32:F34)</f>
        <v>46648.840434419377</v>
      </c>
      <c r="D34" s="190">
        <f>C34/C31-1</f>
        <v>5.2695853460530184E-2</v>
      </c>
      <c r="E34" s="190">
        <f>C34/C22-1</f>
        <v>-0.1206193614275981</v>
      </c>
      <c r="F34" s="136">
        <f>P34/19</f>
        <v>41911.473684210527</v>
      </c>
      <c r="G34" s="190">
        <f t="shared" si="2"/>
        <v>-6.3107740930716139E-2</v>
      </c>
      <c r="H34" s="190">
        <f t="shared" si="3"/>
        <v>-0.37421544347623026</v>
      </c>
      <c r="I34" s="130">
        <f t="shared" si="4"/>
        <v>8.3492711721795114</v>
      </c>
      <c r="J34" s="136">
        <f>Q32+Q33+Q34</f>
        <v>3899001474</v>
      </c>
      <c r="K34" s="190">
        <f>T34/T31-1</f>
        <v>5.0751632038522621E-2</v>
      </c>
      <c r="L34" s="190">
        <f>T34/T22-1</f>
        <v>-0.1344389466609226</v>
      </c>
      <c r="M34" s="191">
        <f>AVERAGE(S32:S34)</f>
        <v>9.9101423286367858</v>
      </c>
      <c r="N34" s="192">
        <f>M34/M31-1</f>
        <v>8.0889374352293153E-3</v>
      </c>
      <c r="O34" s="129" t="s">
        <v>652</v>
      </c>
      <c r="P34" s="116">
        <v>796318</v>
      </c>
      <c r="Q34" s="116">
        <v>1094032656</v>
      </c>
      <c r="R34" s="116">
        <v>95375.75</v>
      </c>
      <c r="S34" s="130">
        <f t="shared" si="1"/>
        <v>8.3492711721795114</v>
      </c>
      <c r="T34" s="85">
        <f>P32+P33+P34</f>
        <v>2855054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36757.82608695652</v>
      </c>
      <c r="G35" s="190">
        <f t="shared" si="2"/>
        <v>-0.12296507720260763</v>
      </c>
      <c r="H35" s="190">
        <f t="shared" si="3"/>
        <v>-0.41141333065993302</v>
      </c>
      <c r="I35" s="130">
        <f t="shared" si="4"/>
        <v>10.370848327125232</v>
      </c>
      <c r="J35" s="136"/>
      <c r="K35" s="190"/>
      <c r="L35" s="190"/>
      <c r="M35" s="191"/>
      <c r="N35" s="192"/>
      <c r="O35" s="129" t="s">
        <v>660</v>
      </c>
      <c r="P35" s="116">
        <v>845430</v>
      </c>
      <c r="Q35" s="116">
        <v>1170085610</v>
      </c>
      <c r="R35" s="116">
        <v>81519.850000000006</v>
      </c>
      <c r="S35" s="130">
        <f t="shared" si="1"/>
        <v>10.370848327125232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45853.619047619046</v>
      </c>
      <c r="G36" s="190">
        <f t="shared" si="2"/>
        <v>0.24745187430684745</v>
      </c>
      <c r="H36" s="190">
        <f t="shared" si="3"/>
        <v>-0.17416240296120578</v>
      </c>
      <c r="I36" s="130">
        <f t="shared" si="4"/>
        <v>9.1356975451357592</v>
      </c>
      <c r="J36" s="136"/>
      <c r="K36" s="190"/>
      <c r="L36" s="190"/>
      <c r="M36" s="191"/>
      <c r="N36" s="192"/>
      <c r="O36" s="129" t="s">
        <v>664</v>
      </c>
      <c r="P36" s="116">
        <v>962926</v>
      </c>
      <c r="Q36" s="116">
        <v>1313465983</v>
      </c>
      <c r="R36" s="116">
        <v>105402.57</v>
      </c>
      <c r="S36" s="130">
        <f t="shared" si="1"/>
        <v>9.1356975451357592</v>
      </c>
      <c r="T36" s="85"/>
    </row>
    <row r="37" spans="1:20" s="79" customFormat="1" ht="13.2">
      <c r="A37" s="129" t="s">
        <v>702</v>
      </c>
      <c r="B37" s="188">
        <f>SUM(F35:F37)</f>
        <v>135201.72291235335</v>
      </c>
      <c r="C37" s="188">
        <f>AVERAGE(F35:F37)</f>
        <v>45067.240970784449</v>
      </c>
      <c r="D37" s="190">
        <f>C37/C34-1</f>
        <v>-3.3904368230940229E-2</v>
      </c>
      <c r="E37" s="190">
        <f>C37/C25-1</f>
        <v>-0.22462660822129465</v>
      </c>
      <c r="F37" s="136">
        <f>P37/18</f>
        <v>52590.277777777781</v>
      </c>
      <c r="G37" s="190">
        <f t="shared" si="2"/>
        <v>0.1469166201071872</v>
      </c>
      <c r="H37" s="190">
        <f t="shared" si="3"/>
        <v>-6.7466465164191525E-2</v>
      </c>
      <c r="I37" s="130">
        <f t="shared" si="4"/>
        <v>8.6054627700385797</v>
      </c>
      <c r="J37" s="136">
        <f>Q35+Q36+Q37</f>
        <v>3745404481</v>
      </c>
      <c r="K37" s="190">
        <f>T37/T34-1</f>
        <v>-3.5051175914711297E-2</v>
      </c>
      <c r="L37" s="190">
        <f>T37/T25-1</f>
        <v>-0.23568289637952555</v>
      </c>
      <c r="M37" s="191">
        <f>AVERAGE(S35:S37)</f>
        <v>9.3706695474331898</v>
      </c>
      <c r="N37" s="192">
        <f>M37/M34-1</f>
        <v>-5.4436431214989867E-2</v>
      </c>
      <c r="O37" s="129" t="s">
        <v>702</v>
      </c>
      <c r="P37" s="116">
        <v>946625</v>
      </c>
      <c r="Q37" s="116">
        <v>1261852888</v>
      </c>
      <c r="R37" s="116">
        <v>110002.8</v>
      </c>
      <c r="S37" s="130">
        <f t="shared" si="1"/>
        <v>8.6054627700385797</v>
      </c>
      <c r="T37" s="85">
        <f>P35+P36+P37</f>
        <v>2754981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47830.05</v>
      </c>
      <c r="G38" s="190">
        <f t="shared" si="2"/>
        <v>-9.0515357190017132E-2</v>
      </c>
      <c r="H38" s="190">
        <f t="shared" si="3"/>
        <v>-0.27253279230499527</v>
      </c>
      <c r="I38" s="130">
        <f t="shared" si="4"/>
        <v>8.2237154305144049</v>
      </c>
      <c r="J38" s="136"/>
      <c r="K38" s="190"/>
      <c r="L38" s="190"/>
      <c r="M38" s="191"/>
      <c r="N38" s="192"/>
      <c r="O38" s="129" t="s">
        <v>725</v>
      </c>
      <c r="P38" s="116">
        <v>956601</v>
      </c>
      <c r="Q38" s="116">
        <v>1287669695</v>
      </c>
      <c r="R38" s="116">
        <v>116322.24000000001</v>
      </c>
      <c r="S38" s="130">
        <f t="shared" si="1"/>
        <v>8.2237154305144049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35303.952380952382</v>
      </c>
      <c r="G39" s="190">
        <f t="shared" si="2"/>
        <v>-0.26188761289289098</v>
      </c>
      <c r="H39" s="190">
        <f t="shared" si="3"/>
        <v>-0.26173810284231103</v>
      </c>
      <c r="I39" s="130">
        <f t="shared" si="4"/>
        <v>8.4876394628187875</v>
      </c>
      <c r="J39" s="136"/>
      <c r="K39" s="190"/>
      <c r="L39" s="190"/>
      <c r="M39" s="191"/>
      <c r="N39" s="192"/>
      <c r="O39" s="129" t="s">
        <v>762</v>
      </c>
      <c r="P39" s="116">
        <v>741383</v>
      </c>
      <c r="Q39" s="116">
        <v>1032290902</v>
      </c>
      <c r="R39" s="116">
        <v>87348.55</v>
      </c>
      <c r="S39" s="130">
        <f t="shared" si="1"/>
        <v>8.4876394628187875</v>
      </c>
      <c r="T39" s="85"/>
    </row>
    <row r="40" spans="1:20" s="79" customFormat="1" ht="13.2">
      <c r="A40" s="129" t="s">
        <v>777</v>
      </c>
      <c r="B40" s="188">
        <f>SUM(F38:F40)</f>
        <v>127131.90714285715</v>
      </c>
      <c r="C40" s="188">
        <f>AVERAGE(F38:F40)</f>
        <v>42377.30238095238</v>
      </c>
      <c r="D40" s="190">
        <f>C40/C37-1</f>
        <v>-5.968722584051378E-2</v>
      </c>
      <c r="E40" s="190">
        <f>C40/C28-1</f>
        <v>-0.24669737328804808</v>
      </c>
      <c r="F40" s="136">
        <f>P40/21</f>
        <v>43997.904761904763</v>
      </c>
      <c r="G40" s="190">
        <f t="shared" si="2"/>
        <v>0.2462600302407798</v>
      </c>
      <c r="H40" s="190">
        <f t="shared" si="3"/>
        <v>-0.20289242685408759</v>
      </c>
      <c r="I40" s="130">
        <f t="shared" si="4"/>
        <v>8.6701040949988393</v>
      </c>
      <c r="J40" s="136">
        <f>Q38+Q39+Q40</f>
        <v>3638408856</v>
      </c>
      <c r="K40" s="190">
        <f>T40/T37-1</f>
        <v>-4.8291077143544747E-2</v>
      </c>
      <c r="L40" s="190">
        <f>T40/T28-1</f>
        <v>-0.21733508138468594</v>
      </c>
      <c r="M40" s="191">
        <f>AVERAGE(S38:S40)</f>
        <v>8.4604863294440111</v>
      </c>
      <c r="N40" s="192">
        <f>M40/M37-1</f>
        <v>-9.7131076214131973E-2</v>
      </c>
      <c r="O40" s="129" t="s">
        <v>777</v>
      </c>
      <c r="P40" s="116">
        <v>923956</v>
      </c>
      <c r="Q40" s="116">
        <v>1318448259</v>
      </c>
      <c r="R40" s="116">
        <v>106568.04</v>
      </c>
      <c r="S40" s="130">
        <f t="shared" si="1"/>
        <v>8.6701040949988393</v>
      </c>
      <c r="T40" s="85">
        <f>P38+P39+P40</f>
        <v>2621940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52901.555555555555</v>
      </c>
      <c r="G41" s="190">
        <f t="shared" ref="G41" si="5">F41/F40-1</f>
        <v>0.20236533630028553</v>
      </c>
      <c r="H41" s="190">
        <f t="shared" ref="H41" si="6">F41/F29-1</f>
        <v>5.9777817641460063E-2</v>
      </c>
      <c r="I41" s="130">
        <f t="shared" si="4"/>
        <v>7.3040597089706969</v>
      </c>
      <c r="J41" s="193"/>
      <c r="K41" s="190"/>
      <c r="L41" s="190"/>
      <c r="M41" s="193"/>
      <c r="N41" s="193"/>
      <c r="O41" s="129" t="s">
        <v>792</v>
      </c>
      <c r="P41" s="116">
        <v>952228</v>
      </c>
      <c r="Q41" s="116">
        <v>1393410640</v>
      </c>
      <c r="R41" s="116">
        <v>130369.69</v>
      </c>
      <c r="S41" s="130">
        <f t="shared" ref="S41" si="7">P41/R41</f>
        <v>7.3040597089706969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45410.25</v>
      </c>
      <c r="G42" s="190">
        <f t="shared" ref="G42" si="8">F42/F41-1</f>
        <v>-0.14160841731182028</v>
      </c>
      <c r="H42" s="190">
        <f t="shared" ref="H42" si="9">F42/F30-1</f>
        <v>9.415073451085032E-2</v>
      </c>
      <c r="I42" s="130">
        <f t="shared" si="4"/>
        <v>8.2344022765340412</v>
      </c>
      <c r="J42" s="193"/>
      <c r="K42" s="190"/>
      <c r="L42" s="190"/>
      <c r="M42" s="193"/>
      <c r="N42" s="193"/>
      <c r="O42" s="129" t="s">
        <v>826</v>
      </c>
      <c r="P42" s="116">
        <v>908205</v>
      </c>
      <c r="Q42" s="116">
        <v>1317323571</v>
      </c>
      <c r="R42" s="116">
        <v>110293.98</v>
      </c>
      <c r="S42" s="130">
        <f t="shared" ref="S42" si="10">P42/R42</f>
        <v>8.2344022765340412</v>
      </c>
      <c r="T42" s="78"/>
    </row>
    <row r="43" spans="1:20" s="79" customFormat="1" ht="13.2">
      <c r="A43" s="129" t="s">
        <v>835</v>
      </c>
      <c r="B43" s="188">
        <f>SUM(F41:F43)</f>
        <v>144396.95555555556</v>
      </c>
      <c r="C43" s="188">
        <f>AVERAGE(F41:F43)</f>
        <v>48132.318518518521</v>
      </c>
      <c r="D43" s="190">
        <f>C43/C40-1</f>
        <v>0.13580421155247691</v>
      </c>
      <c r="E43" s="190">
        <f>C43/C31-1</f>
        <v>8.617259614668904E-2</v>
      </c>
      <c r="F43" s="136">
        <f>P43/20</f>
        <v>46085.15</v>
      </c>
      <c r="G43" s="190">
        <f t="shared" ref="G43" si="11">F43/F42-1</f>
        <v>1.486228329507111E-2</v>
      </c>
      <c r="H43" s="190">
        <f t="shared" ref="H43" si="12">F43/F31-1</f>
        <v>0.10993057688023455</v>
      </c>
      <c r="I43" s="130">
        <f t="shared" si="4"/>
        <v>7.7905058073184366</v>
      </c>
      <c r="J43" s="136">
        <f>Q41+Q42+Q43</f>
        <v>4046414087</v>
      </c>
      <c r="K43" s="190">
        <f>T43/T40-1</f>
        <v>6.1098270746088756E-2</v>
      </c>
      <c r="L43" s="190">
        <f>T43/T31-1</f>
        <v>2.3915464489682847E-2</v>
      </c>
      <c r="M43" s="191">
        <f>AVERAGE(S41:S43)</f>
        <v>7.7763225976077246</v>
      </c>
      <c r="N43" s="192">
        <f>M43/M40-1</f>
        <v>-8.086576884537644E-2</v>
      </c>
      <c r="O43" s="129" t="s">
        <v>835</v>
      </c>
      <c r="P43" s="116">
        <v>921703</v>
      </c>
      <c r="Q43" s="116">
        <v>1335679876</v>
      </c>
      <c r="R43" s="116">
        <v>118311.06</v>
      </c>
      <c r="S43" s="130">
        <f t="shared" ref="S43" si="13">P43/R43</f>
        <v>7.7905058073184366</v>
      </c>
      <c r="T43" s="85">
        <f>P41+P42+P43</f>
        <v>2782136</v>
      </c>
    </row>
    <row r="44" spans="1:20" s="183" customFormat="1" ht="13.2">
      <c r="A44" s="129" t="s">
        <v>843</v>
      </c>
      <c r="B44" s="188"/>
      <c r="C44" s="188"/>
      <c r="D44" s="190"/>
      <c r="E44" s="190"/>
      <c r="F44" s="136">
        <f>P44/22</f>
        <v>58872.772727272728</v>
      </c>
      <c r="G44" s="190">
        <f t="shared" ref="G44" si="14">F44/F43-1</f>
        <v>0.2774781622121818</v>
      </c>
      <c r="H44" s="190">
        <f t="shared" ref="H44" si="15">F44/F32-1</f>
        <v>0.10454496723224782</v>
      </c>
      <c r="I44" s="130">
        <f t="shared" si="4"/>
        <v>7.4449525450744911</v>
      </c>
      <c r="J44" s="136"/>
      <c r="K44" s="190"/>
      <c r="L44" s="190"/>
      <c r="M44" s="191"/>
      <c r="N44" s="192"/>
      <c r="O44" s="144" t="s">
        <v>843</v>
      </c>
      <c r="P44" s="145">
        <v>1295201</v>
      </c>
      <c r="Q44" s="145">
        <v>1880086162</v>
      </c>
      <c r="R44" s="145">
        <v>173970.35</v>
      </c>
      <c r="S44" s="146">
        <f t="shared" ref="S44" si="16">P44/R44</f>
        <v>7.4449525450744911</v>
      </c>
      <c r="T44" s="187"/>
    </row>
    <row r="45" spans="1:20" s="183" customFormat="1" ht="13.2">
      <c r="A45" s="129" t="s">
        <v>847</v>
      </c>
      <c r="B45" s="188"/>
      <c r="C45" s="188"/>
      <c r="D45" s="190"/>
      <c r="E45" s="190"/>
      <c r="F45" s="136">
        <f>P45/20</f>
        <v>51870.35</v>
      </c>
      <c r="G45" s="190">
        <f t="shared" ref="G45" si="17">F45/F44-1</f>
        <v>-0.11894161601172326</v>
      </c>
      <c r="H45" s="190">
        <f t="shared" ref="H45" si="18">F45/F33-1</f>
        <v>0.15951373498285126</v>
      </c>
      <c r="I45" s="130">
        <f t="shared" si="4"/>
        <v>7.6659056233922778</v>
      </c>
      <c r="J45" s="136"/>
      <c r="K45" s="190"/>
      <c r="L45" s="190"/>
      <c r="M45" s="191"/>
      <c r="N45" s="192"/>
      <c r="O45" s="144" t="s">
        <v>849</v>
      </c>
      <c r="P45" s="145">
        <v>1037407</v>
      </c>
      <c r="Q45" s="145">
        <v>1461779949</v>
      </c>
      <c r="R45" s="145">
        <v>135327.39000000001</v>
      </c>
      <c r="S45" s="146">
        <f t="shared" ref="S45" si="19">P45/R45</f>
        <v>7.6659056233922778</v>
      </c>
      <c r="T45" s="187"/>
    </row>
    <row r="46" spans="1:20" s="183" customFormat="1" ht="13.2">
      <c r="A46" s="144" t="s">
        <v>888</v>
      </c>
      <c r="B46" s="196">
        <f>SUM(F44:F46)</f>
        <v>173347.27657342656</v>
      </c>
      <c r="C46" s="196">
        <f>AVERAGE(F44:F46)</f>
        <v>57782.425524475519</v>
      </c>
      <c r="D46" s="197">
        <f>C46/C43-1</f>
        <v>0.20049121469692333</v>
      </c>
      <c r="E46" s="197">
        <f>C46/C34-1</f>
        <v>0.23866799230965108</v>
      </c>
      <c r="F46" s="147">
        <f>P46/13</f>
        <v>62604.153846153844</v>
      </c>
      <c r="G46" s="197">
        <f t="shared" ref="G46" si="20">F46/F45-1</f>
        <v>0.2069352500253776</v>
      </c>
      <c r="H46" s="197">
        <f t="shared" ref="H46" si="21">F46/F34-1</f>
        <v>0.49372351633006284</v>
      </c>
      <c r="I46" s="146">
        <f t="shared" ref="I46" si="22">S46</f>
        <v>8.214020275112059</v>
      </c>
      <c r="J46" s="147">
        <f>Q44+Q45+Q46</f>
        <v>4456253465</v>
      </c>
      <c r="K46" s="197">
        <f>T46/T43-1</f>
        <v>0.13095190170430193</v>
      </c>
      <c r="L46" s="197">
        <f>T46/T34-1</f>
        <v>0.10206742149185266</v>
      </c>
      <c r="M46" s="198">
        <f>AVERAGE(S44:S46)</f>
        <v>7.7749594811929432</v>
      </c>
      <c r="N46" s="199">
        <f>M46/M43-1</f>
        <v>-1.7529062068499801E-4</v>
      </c>
      <c r="O46" s="144" t="s">
        <v>928</v>
      </c>
      <c r="P46" s="145">
        <v>813854</v>
      </c>
      <c r="Q46" s="145">
        <v>1114387354</v>
      </c>
      <c r="R46" s="145">
        <v>99081.08</v>
      </c>
      <c r="S46" s="146">
        <f t="shared" ref="S46" si="23">P46/R46</f>
        <v>8.214020275112059</v>
      </c>
      <c r="T46" s="85">
        <f>P44+P45+P46</f>
        <v>3146462</v>
      </c>
    </row>
    <row r="51" spans="15:20">
      <c r="O51" s="178"/>
      <c r="P51" s="178"/>
      <c r="Q51" s="178"/>
      <c r="R51" s="178"/>
      <c r="S51" s="178"/>
      <c r="T51" s="178"/>
    </row>
    <row r="52" spans="15:20">
      <c r="O52" s="178" t="s">
        <v>971</v>
      </c>
      <c r="P52" s="178" t="s">
        <v>9</v>
      </c>
      <c r="Q52" s="178" t="s">
        <v>10</v>
      </c>
      <c r="R52" s="178" t="s">
        <v>972</v>
      </c>
      <c r="S52" s="178" t="s">
        <v>973</v>
      </c>
      <c r="T52" s="178" t="s">
        <v>974</v>
      </c>
    </row>
    <row r="53" spans="15:20" ht="18" thickBot="1">
      <c r="O53" s="179"/>
      <c r="P53" s="179"/>
      <c r="Q53" s="179"/>
      <c r="R53" s="179"/>
      <c r="S53" s="179"/>
      <c r="T53" s="179"/>
    </row>
    <row r="54" spans="15:20" ht="18" thickBot="1">
      <c r="O54" s="211" t="s">
        <v>975</v>
      </c>
      <c r="P54" s="212">
        <v>5928598</v>
      </c>
      <c r="Q54" s="212">
        <v>8502667552</v>
      </c>
      <c r="R54" s="213">
        <v>767353.57</v>
      </c>
      <c r="S54" s="214">
        <v>159</v>
      </c>
      <c r="T54" s="214">
        <v>372</v>
      </c>
    </row>
    <row r="55" spans="15:20" ht="18" thickBot="1">
      <c r="O55" s="180" t="s">
        <v>976</v>
      </c>
      <c r="P55" s="181">
        <v>952228</v>
      </c>
      <c r="Q55" s="181">
        <v>1393410640</v>
      </c>
      <c r="R55" s="182">
        <v>130369.69</v>
      </c>
      <c r="S55" s="210">
        <v>69</v>
      </c>
      <c r="T55" s="210">
        <v>124</v>
      </c>
    </row>
    <row r="56" spans="15:20" ht="18" thickBot="1">
      <c r="O56" s="180" t="s">
        <v>977</v>
      </c>
      <c r="P56" s="181">
        <v>908205</v>
      </c>
      <c r="Q56" s="181">
        <v>1317323571</v>
      </c>
      <c r="R56" s="182">
        <v>110293.98</v>
      </c>
      <c r="S56" s="210">
        <v>75</v>
      </c>
      <c r="T56" s="210">
        <v>132</v>
      </c>
    </row>
    <row r="57" spans="15:20" ht="18" thickBot="1">
      <c r="O57" s="180" t="s">
        <v>978</v>
      </c>
      <c r="P57" s="181">
        <v>921703</v>
      </c>
      <c r="Q57" s="181">
        <v>1335679876</v>
      </c>
      <c r="R57" s="182">
        <v>118311.06</v>
      </c>
      <c r="S57" s="210">
        <v>65</v>
      </c>
      <c r="T57" s="210">
        <v>106</v>
      </c>
    </row>
    <row r="58" spans="15:20" ht="18" thickBot="1">
      <c r="O58" s="180" t="s">
        <v>979</v>
      </c>
      <c r="P58" s="181">
        <v>1295201</v>
      </c>
      <c r="Q58" s="181">
        <v>1880086162</v>
      </c>
      <c r="R58" s="182">
        <v>173970.35</v>
      </c>
      <c r="S58" s="210">
        <v>73</v>
      </c>
      <c r="T58" s="210">
        <v>118</v>
      </c>
    </row>
    <row r="59" spans="15:20" ht="18" thickBot="1">
      <c r="O59" s="180" t="s">
        <v>980</v>
      </c>
      <c r="P59" s="181">
        <v>1037407</v>
      </c>
      <c r="Q59" s="181">
        <v>1461779949</v>
      </c>
      <c r="R59" s="182">
        <v>135327.39000000001</v>
      </c>
      <c r="S59" s="210">
        <v>70</v>
      </c>
      <c r="T59" s="210">
        <v>124</v>
      </c>
    </row>
    <row r="60" spans="15:20" ht="18" thickBot="1">
      <c r="O60" s="180" t="s">
        <v>981</v>
      </c>
      <c r="P60" s="181">
        <v>813854</v>
      </c>
      <c r="Q60" s="181">
        <v>1114387354</v>
      </c>
      <c r="R60" s="182">
        <v>99081.08</v>
      </c>
      <c r="S60" s="210">
        <v>64</v>
      </c>
      <c r="T60" s="210">
        <v>96</v>
      </c>
    </row>
    <row r="61" spans="15:20" ht="18" thickBot="1">
      <c r="O61" s="215" t="s">
        <v>982</v>
      </c>
      <c r="P61" s="216">
        <v>10949125</v>
      </c>
      <c r="Q61" s="217" t="s">
        <v>984</v>
      </c>
      <c r="R61"/>
      <c r="S61"/>
      <c r="T61"/>
    </row>
  </sheetData>
  <phoneticPr fontId="1" type="noConversion"/>
  <conditionalFormatting sqref="C29:C30">
    <cfRule type="cellIs" dxfId="13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32"/>
  <dimension ref="A1:Z71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2836910000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290</v>
      </c>
      <c r="H4" s="172" t="s">
        <v>259</v>
      </c>
      <c r="I4" s="84" t="s">
        <v>45</v>
      </c>
      <c r="J4" s="84" t="s">
        <v>1274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3354330.05</v>
      </c>
      <c r="G5" s="90"/>
      <c r="H5" s="90"/>
      <c r="I5" s="130">
        <f t="shared" ref="I5:I49" si="0">T5</f>
        <v>11.654552411780879</v>
      </c>
      <c r="J5" s="130"/>
      <c r="L5" s="80"/>
      <c r="M5" s="80"/>
      <c r="P5" s="129" t="s">
        <v>0</v>
      </c>
      <c r="Q5" s="116">
        <v>67086601</v>
      </c>
      <c r="R5" s="116">
        <v>80656467845</v>
      </c>
      <c r="S5" s="116">
        <v>5756257.1799999997</v>
      </c>
      <c r="T5" s="130">
        <f t="shared" ref="T5:T17" si="1">Q5/S5</f>
        <v>11.654552411780879</v>
      </c>
      <c r="U5" s="85"/>
    </row>
    <row r="6" spans="1:21" ht="15" hidden="1" customHeight="1">
      <c r="A6" s="129" t="s">
        <v>1</v>
      </c>
      <c r="C6" s="79"/>
      <c r="F6" s="78">
        <f>Q6/18</f>
        <v>1764048.611111111</v>
      </c>
      <c r="G6" s="90">
        <f t="shared" ref="G6:G16" si="2">F6/F5-1</f>
        <v>-0.47409808074458526</v>
      </c>
      <c r="H6" s="90"/>
      <c r="I6" s="130">
        <f t="shared" si="0"/>
        <v>10.909822477252186</v>
      </c>
      <c r="J6" s="130"/>
      <c r="P6" s="129" t="s">
        <v>1</v>
      </c>
      <c r="Q6" s="116">
        <v>31752875</v>
      </c>
      <c r="R6" s="116">
        <v>38426728101</v>
      </c>
      <c r="S6" s="116">
        <v>2910485.03</v>
      </c>
      <c r="T6" s="130">
        <f t="shared" si="1"/>
        <v>10.909822477252186</v>
      </c>
      <c r="U6" s="85"/>
    </row>
    <row r="7" spans="1:21" ht="15" hidden="1" customHeight="1">
      <c r="A7" s="129" t="s">
        <v>2</v>
      </c>
      <c r="B7" s="131">
        <f>F5+F6+F7</f>
        <v>13715116.752020203</v>
      </c>
      <c r="C7" s="131">
        <f>AVERAGE(F5:F7)</f>
        <v>4571705.5840067342</v>
      </c>
      <c r="F7" s="78">
        <f>Q7/22</f>
        <v>8596738.0909090918</v>
      </c>
      <c r="G7" s="90">
        <f t="shared" si="2"/>
        <v>3.8732999968148922</v>
      </c>
      <c r="H7" s="90"/>
      <c r="I7" s="130">
        <f t="shared" si="0"/>
        <v>39.459608098701743</v>
      </c>
      <c r="J7" s="130"/>
      <c r="K7" s="79">
        <f>R5+R6+R7</f>
        <v>351788927639</v>
      </c>
      <c r="N7" s="88">
        <f>AVERAGE(T5:T7)</f>
        <v>20.674660995911605</v>
      </c>
      <c r="P7" s="129" t="s">
        <v>2</v>
      </c>
      <c r="Q7" s="116">
        <v>189128238</v>
      </c>
      <c r="R7" s="116">
        <v>232705731693</v>
      </c>
      <c r="S7" s="116">
        <v>4792957.84</v>
      </c>
      <c r="T7" s="130">
        <f t="shared" si="1"/>
        <v>39.459608098701743</v>
      </c>
      <c r="U7" s="85">
        <f>Q5+Q6+Q7</f>
        <v>287967714</v>
      </c>
    </row>
    <row r="8" spans="1:21" ht="15" hidden="1" customHeight="1">
      <c r="A8" s="129" t="s">
        <v>3</v>
      </c>
      <c r="C8" s="79"/>
      <c r="F8" s="78">
        <f>Q8/21</f>
        <v>3785047</v>
      </c>
      <c r="G8" s="90">
        <f t="shared" si="2"/>
        <v>-0.55971125792437193</v>
      </c>
      <c r="H8" s="90"/>
      <c r="I8" s="130">
        <f t="shared" si="0"/>
        <v>29.913354186278184</v>
      </c>
      <c r="J8" s="130"/>
      <c r="K8" s="78"/>
      <c r="P8" s="129" t="s">
        <v>3</v>
      </c>
      <c r="Q8" s="116">
        <v>79485987</v>
      </c>
      <c r="R8" s="116">
        <v>98014841426</v>
      </c>
      <c r="S8" s="116">
        <v>2657207.4300000002</v>
      </c>
      <c r="T8" s="130">
        <f t="shared" si="1"/>
        <v>29.913354186278184</v>
      </c>
      <c r="U8" s="85"/>
    </row>
    <row r="9" spans="1:21" ht="15" hidden="1" customHeight="1">
      <c r="A9" s="129" t="s">
        <v>4</v>
      </c>
      <c r="C9" s="79"/>
      <c r="F9" s="78">
        <f>Q9/21</f>
        <v>7783880</v>
      </c>
      <c r="G9" s="90">
        <f t="shared" si="2"/>
        <v>1.0564817292889628</v>
      </c>
      <c r="H9" s="90"/>
      <c r="I9" s="130">
        <f t="shared" si="0"/>
        <v>34.262453374109072</v>
      </c>
      <c r="J9" s="130"/>
      <c r="K9" s="78"/>
      <c r="P9" s="129" t="s">
        <v>4</v>
      </c>
      <c r="Q9" s="116">
        <v>163461480</v>
      </c>
      <c r="R9" s="116">
        <v>210005114830</v>
      </c>
      <c r="S9" s="116">
        <v>4770863.26</v>
      </c>
      <c r="T9" s="130">
        <f t="shared" si="1"/>
        <v>34.262453374109072</v>
      </c>
      <c r="U9" s="85"/>
    </row>
    <row r="10" spans="1:21" ht="15" hidden="1" customHeight="1">
      <c r="A10" s="129" t="s">
        <v>5</v>
      </c>
      <c r="B10" s="131">
        <f>F8+F9+F10</f>
        <v>17731090.952380951</v>
      </c>
      <c r="C10" s="131">
        <f>AVERAGE(F8:F10)</f>
        <v>5910363.6507936502</v>
      </c>
      <c r="D10" s="90">
        <f>C10/C7-1</f>
        <v>0.29281370862331202</v>
      </c>
      <c r="E10" s="286"/>
      <c r="F10" s="78">
        <f>Q10/21</f>
        <v>6162163.9523809524</v>
      </c>
      <c r="G10" s="90">
        <f t="shared" si="2"/>
        <v>-0.20834288910145682</v>
      </c>
      <c r="H10" s="90"/>
      <c r="I10" s="130">
        <f t="shared" si="0"/>
        <v>30.113623556787921</v>
      </c>
      <c r="J10" s="130"/>
      <c r="K10" s="79">
        <f>R8+R9+R10</f>
        <v>473343000537</v>
      </c>
      <c r="L10" s="87">
        <f>U10/U7-1</f>
        <v>0.29303700344685168</v>
      </c>
      <c r="N10" s="88">
        <f>AVERAGE(T8:T10)</f>
        <v>31.429810372391728</v>
      </c>
      <c r="O10" s="89">
        <f>N10/N7-1</f>
        <v>0.52020922512862211</v>
      </c>
      <c r="P10" s="129" t="s">
        <v>5</v>
      </c>
      <c r="Q10" s="116">
        <v>129405443</v>
      </c>
      <c r="R10" s="116">
        <v>165323044281</v>
      </c>
      <c r="S10" s="116">
        <v>4297239.18</v>
      </c>
      <c r="T10" s="130">
        <f t="shared" si="1"/>
        <v>30.113623556787921</v>
      </c>
      <c r="U10" s="85">
        <f>Q8+Q9+Q10</f>
        <v>372352910</v>
      </c>
    </row>
    <row r="11" spans="1:21" ht="15" hidden="1" customHeight="1">
      <c r="A11" s="129" t="s">
        <v>6</v>
      </c>
      <c r="C11" s="79"/>
      <c r="F11" s="78">
        <f>Q11/21</f>
        <v>5615226.2380952379</v>
      </c>
      <c r="G11" s="90">
        <f t="shared" si="2"/>
        <v>-8.8757410304603712E-2</v>
      </c>
      <c r="H11" s="90"/>
      <c r="I11" s="130">
        <f t="shared" si="0"/>
        <v>34.471283211837488</v>
      </c>
      <c r="J11" s="130"/>
      <c r="K11" s="78"/>
      <c r="O11" s="89"/>
      <c r="P11" s="129" t="s">
        <v>6</v>
      </c>
      <c r="Q11" s="116">
        <v>117919751</v>
      </c>
      <c r="R11" s="116">
        <v>155567878254</v>
      </c>
      <c r="S11" s="116">
        <v>3420811.18</v>
      </c>
      <c r="T11" s="130">
        <f t="shared" si="1"/>
        <v>34.471283211837488</v>
      </c>
      <c r="U11" s="85"/>
    </row>
    <row r="12" spans="1:21" ht="15" hidden="1" customHeight="1">
      <c r="A12" s="129" t="s">
        <v>7</v>
      </c>
      <c r="C12" s="79"/>
      <c r="F12" s="78">
        <f>Q12/22</f>
        <v>10201093.909090908</v>
      </c>
      <c r="G12" s="90">
        <f t="shared" si="2"/>
        <v>0.81668439997731235</v>
      </c>
      <c r="H12" s="90"/>
      <c r="I12" s="130">
        <f t="shared" si="0"/>
        <v>47.239771952690717</v>
      </c>
      <c r="J12" s="130"/>
      <c r="K12" s="78"/>
      <c r="O12" s="89"/>
      <c r="P12" s="129" t="s">
        <v>7</v>
      </c>
      <c r="Q12" s="116">
        <v>224424066</v>
      </c>
      <c r="R12" s="116">
        <v>296915255531</v>
      </c>
      <c r="S12" s="116">
        <v>4750744.0599999996</v>
      </c>
      <c r="T12" s="130">
        <f t="shared" si="1"/>
        <v>47.239771952690717</v>
      </c>
      <c r="U12" s="85"/>
    </row>
    <row r="13" spans="1:21" ht="15" hidden="1" customHeight="1">
      <c r="A13" s="129" t="s">
        <v>35</v>
      </c>
      <c r="B13" s="131">
        <f>F11+F12+F13</f>
        <v>25390485.947186146</v>
      </c>
      <c r="C13" s="131">
        <f>AVERAGE(F11:F13)</f>
        <v>8463495.3157287147</v>
      </c>
      <c r="D13" s="90">
        <f>C13/C10-1</f>
        <v>0.43197539369548399</v>
      </c>
      <c r="E13" s="286"/>
      <c r="F13" s="78">
        <f>Q13/20</f>
        <v>9574165.8000000007</v>
      </c>
      <c r="G13" s="90">
        <f t="shared" si="2"/>
        <v>-6.1456949095646252E-2</v>
      </c>
      <c r="H13" s="90"/>
      <c r="I13" s="130">
        <f t="shared" si="0"/>
        <v>48.56647293922002</v>
      </c>
      <c r="J13" s="130"/>
      <c r="K13" s="78">
        <f>R11+R12+R13</f>
        <v>715877696708</v>
      </c>
      <c r="L13" s="87">
        <f>U13/U10-1</f>
        <v>0.4336590870204291</v>
      </c>
      <c r="N13" s="88">
        <f>AVERAGE(T11:T13)</f>
        <v>43.425842701249415</v>
      </c>
      <c r="O13" s="89">
        <f>N13/N10-1</f>
        <v>0.38167689167463537</v>
      </c>
      <c r="P13" s="129" t="s">
        <v>60</v>
      </c>
      <c r="Q13" s="116">
        <v>191483316</v>
      </c>
      <c r="R13" s="116">
        <v>263394562923</v>
      </c>
      <c r="S13" s="116">
        <v>3942705.83</v>
      </c>
      <c r="T13" s="130">
        <f t="shared" si="1"/>
        <v>48.56647293922002</v>
      </c>
      <c r="U13" s="85">
        <f>Q11+Q12+Q13</f>
        <v>533827133</v>
      </c>
    </row>
    <row r="14" spans="1:21" ht="15" hidden="1" customHeight="1">
      <c r="A14" s="129" t="s">
        <v>36</v>
      </c>
      <c r="C14" s="79"/>
      <c r="F14" s="78">
        <f>Q14/20</f>
        <v>8471163</v>
      </c>
      <c r="G14" s="90">
        <f t="shared" si="2"/>
        <v>-0.11520615195529627</v>
      </c>
      <c r="H14" s="90"/>
      <c r="I14" s="130">
        <f t="shared" si="0"/>
        <v>46.80010158813235</v>
      </c>
      <c r="J14" s="130"/>
      <c r="O14" s="89"/>
      <c r="P14" s="129" t="s">
        <v>36</v>
      </c>
      <c r="Q14" s="116">
        <v>169423260</v>
      </c>
      <c r="R14" s="116">
        <v>241471479074</v>
      </c>
      <c r="S14" s="116">
        <v>3620147.27</v>
      </c>
      <c r="T14" s="130">
        <f t="shared" si="1"/>
        <v>46.80010158813235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8580935.1363636367</v>
      </c>
      <c r="G15" s="90">
        <f t="shared" si="2"/>
        <v>1.2958331266159862E-2</v>
      </c>
      <c r="H15" s="90"/>
      <c r="I15" s="130">
        <f t="shared" si="0"/>
        <v>43.639137642031748</v>
      </c>
      <c r="J15" s="130"/>
      <c r="O15" s="89"/>
      <c r="P15" s="129" t="s">
        <v>37</v>
      </c>
      <c r="Q15" s="116">
        <v>188780573</v>
      </c>
      <c r="R15" s="116">
        <v>265439436729</v>
      </c>
      <c r="S15" s="116">
        <v>4325946.46</v>
      </c>
      <c r="T15" s="130">
        <f t="shared" si="1"/>
        <v>43.639137642031748</v>
      </c>
      <c r="U15" s="85"/>
    </row>
    <row r="16" spans="1:21" ht="15" hidden="1" customHeight="1">
      <c r="A16" s="129" t="s">
        <v>38</v>
      </c>
      <c r="B16" s="131">
        <f>F14+F15+F16</f>
        <v>25605408.863636363</v>
      </c>
      <c r="C16" s="131">
        <f>AVERAGE(F14:F16)</f>
        <v>8535136.2878787871</v>
      </c>
      <c r="D16" s="90">
        <f>C16/C13-1</f>
        <v>8.4647027590283308E-3</v>
      </c>
      <c r="E16" s="286"/>
      <c r="F16" s="78">
        <f>Q16/22</f>
        <v>8553310.7272727266</v>
      </c>
      <c r="G16" s="90">
        <f t="shared" si="2"/>
        <v>-3.2192772293366811E-3</v>
      </c>
      <c r="H16" s="90"/>
      <c r="I16" s="130">
        <f t="shared" si="0"/>
        <v>57.255616132344144</v>
      </c>
      <c r="J16" s="130"/>
      <c r="K16" s="78">
        <f>R14+R15+R16</f>
        <v>753758140928</v>
      </c>
      <c r="L16" s="87">
        <f>U16/U13-1</f>
        <v>2.35086139767271E-2</v>
      </c>
      <c r="N16" s="88">
        <f>AVERAGE(T14:T16)</f>
        <v>49.231618454169414</v>
      </c>
      <c r="O16" s="89">
        <f>N16/N13-1</f>
        <v>0.13369402622445725</v>
      </c>
      <c r="P16" s="129" t="s">
        <v>38</v>
      </c>
      <c r="Q16" s="116">
        <v>188172836</v>
      </c>
      <c r="R16" s="116">
        <v>246847225125</v>
      </c>
      <c r="S16" s="116">
        <v>3286539.36</v>
      </c>
      <c r="T16" s="130">
        <f t="shared" si="1"/>
        <v>57.255616132344144</v>
      </c>
      <c r="U16" s="85">
        <f>Q14+Q15+Q16</f>
        <v>546376669</v>
      </c>
    </row>
    <row r="17" spans="1:21" ht="15" hidden="1" customHeight="1">
      <c r="A17" s="129" t="s">
        <v>87</v>
      </c>
      <c r="C17" s="79"/>
      <c r="F17" s="78">
        <f>Q17/20</f>
        <v>12266884.6</v>
      </c>
      <c r="G17" s="90">
        <f t="shared" ref="G17:G22" si="3">F17/F16-1</f>
        <v>0.43416800711873216</v>
      </c>
      <c r="H17" s="90">
        <f t="shared" ref="H17:H22" si="4">F17/F5-1</f>
        <v>2.6570296950951504</v>
      </c>
      <c r="I17" s="130">
        <f t="shared" si="0"/>
        <v>47.344977193898671</v>
      </c>
      <c r="J17" s="130">
        <f t="shared" ref="J17:J49" si="5">I17/I5-1</f>
        <v>3.0623591126537395</v>
      </c>
      <c r="O17" s="89"/>
      <c r="P17" s="129" t="s">
        <v>87</v>
      </c>
      <c r="Q17" s="116">
        <v>245337692</v>
      </c>
      <c r="R17" s="116">
        <v>308147496454</v>
      </c>
      <c r="S17" s="116">
        <v>5181915.9400000004</v>
      </c>
      <c r="T17" s="130">
        <f t="shared" si="1"/>
        <v>47.344977193898671</v>
      </c>
      <c r="U17" s="78"/>
    </row>
    <row r="18" spans="1:21" ht="15" hidden="1" customHeight="1">
      <c r="A18" s="129" t="s">
        <v>106</v>
      </c>
      <c r="C18" s="79"/>
      <c r="F18" s="78">
        <f>Q18/20</f>
        <v>9482212.0999999996</v>
      </c>
      <c r="G18" s="90">
        <f t="shared" si="3"/>
        <v>-0.22700731202770097</v>
      </c>
      <c r="H18" s="90">
        <f t="shared" si="4"/>
        <v>4.3752555571739569</v>
      </c>
      <c r="I18" s="130">
        <f t="shared" si="0"/>
        <v>70.04180365059436</v>
      </c>
      <c r="J18" s="130">
        <f t="shared" si="5"/>
        <v>5.4200681355390401</v>
      </c>
      <c r="O18" s="89"/>
      <c r="P18" s="129" t="s">
        <v>106</v>
      </c>
      <c r="Q18" s="116">
        <v>189644242</v>
      </c>
      <c r="R18" s="116">
        <v>237891314557</v>
      </c>
      <c r="S18" s="116">
        <v>2707586.5</v>
      </c>
      <c r="T18" s="130">
        <f t="shared" ref="T18" si="6">Q18/S18</f>
        <v>70.04180365059436</v>
      </c>
      <c r="U18" s="78"/>
    </row>
    <row r="19" spans="1:21" hidden="1">
      <c r="A19" s="129" t="s">
        <v>114</v>
      </c>
      <c r="B19" s="131">
        <f>SUM(F17:F19)</f>
        <v>35964862.700000003</v>
      </c>
      <c r="C19" s="131">
        <f>AVERAGE(F17:F19)</f>
        <v>11988287.566666668</v>
      </c>
      <c r="D19" s="90">
        <f>C19/C16-1</f>
        <v>0.40458068416457382</v>
      </c>
      <c r="E19" s="286">
        <f>C19/C7-1</f>
        <v>1.6222790042747883</v>
      </c>
      <c r="F19" s="78">
        <f>Q19/22</f>
        <v>14215766</v>
      </c>
      <c r="G19" s="90">
        <f t="shared" si="3"/>
        <v>0.49920354555241397</v>
      </c>
      <c r="H19" s="90">
        <f t="shared" si="4"/>
        <v>0.65362325217665251</v>
      </c>
      <c r="I19" s="130">
        <f t="shared" si="0"/>
        <v>69.650354418421557</v>
      </c>
      <c r="J19" s="130">
        <f t="shared" si="5"/>
        <v>0.76510507261508054</v>
      </c>
      <c r="K19" s="78">
        <f>R17+R18+R19</f>
        <v>954837536214</v>
      </c>
      <c r="L19" s="87">
        <f>U19/U16-1</f>
        <v>0.36852253843218175</v>
      </c>
      <c r="M19" s="87">
        <f>U19/U7-1</f>
        <v>1.5965715934391174</v>
      </c>
      <c r="N19" s="88">
        <f>AVERAGE(T17:T19)</f>
        <v>62.345711754304865</v>
      </c>
      <c r="O19" s="89">
        <f>N19/N16-1</f>
        <v>0.26637542522278834</v>
      </c>
      <c r="P19" s="129" t="s">
        <v>115</v>
      </c>
      <c r="Q19" s="116">
        <v>312746852</v>
      </c>
      <c r="R19" s="116">
        <v>408798725203</v>
      </c>
      <c r="S19" s="116">
        <v>4490240.6399999997</v>
      </c>
      <c r="T19" s="130">
        <f t="shared" ref="T19" si="7">Q19/S19</f>
        <v>69.650354418421557</v>
      </c>
      <c r="U19" s="85">
        <f>Q17+Q18+Q19</f>
        <v>747728786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21027810.399999999</v>
      </c>
      <c r="G20" s="90">
        <f t="shared" si="3"/>
        <v>0.47918940140123278</v>
      </c>
      <c r="H20" s="90">
        <f t="shared" si="4"/>
        <v>4.5554951893596032</v>
      </c>
      <c r="I20" s="130">
        <f t="shared" si="0"/>
        <v>60.88570628648241</v>
      </c>
      <c r="J20" s="130">
        <f t="shared" si="5"/>
        <v>1.0354021788172396</v>
      </c>
      <c r="O20" s="89"/>
      <c r="P20" s="129" t="s">
        <v>132</v>
      </c>
      <c r="Q20" s="116">
        <v>420556208</v>
      </c>
      <c r="R20" s="116">
        <v>550457300363</v>
      </c>
      <c r="S20" s="116">
        <v>6907306.0599999996</v>
      </c>
      <c r="T20" s="130">
        <f t="shared" ref="T20" si="8">Q20/S20</f>
        <v>60.88570628648241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11168819.047619049</v>
      </c>
      <c r="G21" s="90">
        <f t="shared" si="3"/>
        <v>-0.46885487194524789</v>
      </c>
      <c r="H21" s="90">
        <f t="shared" si="4"/>
        <v>0.43486526611651888</v>
      </c>
      <c r="I21" s="130">
        <f t="shared" si="0"/>
        <v>51.419389554447271</v>
      </c>
      <c r="J21" s="130">
        <f t="shared" si="5"/>
        <v>0.50075036930376648</v>
      </c>
      <c r="O21" s="89"/>
      <c r="P21" s="129" t="s">
        <v>141</v>
      </c>
      <c r="Q21" s="116">
        <v>234545200</v>
      </c>
      <c r="R21" s="116">
        <v>312606917628</v>
      </c>
      <c r="S21" s="116">
        <v>4561415.49</v>
      </c>
      <c r="T21" s="130">
        <f t="shared" ref="T21" si="9">Q21/S21</f>
        <v>51.419389554447271</v>
      </c>
      <c r="U21" s="78"/>
    </row>
    <row r="22" spans="1:21" hidden="1">
      <c r="A22" s="129" t="s">
        <v>156</v>
      </c>
      <c r="B22" s="131">
        <f>SUM(F20:F22)</f>
        <v>42227132.638095237</v>
      </c>
      <c r="C22" s="131">
        <f>AVERAGE(F20:F22)</f>
        <v>14075710.879365079</v>
      </c>
      <c r="D22" s="90">
        <f>C22/C19-1</f>
        <v>0.17412189197917427</v>
      </c>
      <c r="E22" s="286">
        <f>C22/C10-1</f>
        <v>1.3815304287537327</v>
      </c>
      <c r="F22" s="78">
        <f>Q22/21</f>
        <v>10030503.19047619</v>
      </c>
      <c r="G22" s="90">
        <f t="shared" si="3"/>
        <v>-0.10191908851684028</v>
      </c>
      <c r="H22" s="90">
        <f t="shared" si="4"/>
        <v>0.62775662380754715</v>
      </c>
      <c r="I22" s="130">
        <f t="shared" si="0"/>
        <v>43.533759461225131</v>
      </c>
      <c r="J22" s="130">
        <f t="shared" si="5"/>
        <v>0.44564998559969626</v>
      </c>
      <c r="K22" s="78">
        <f>R20+R21+R22</f>
        <v>1136465013682</v>
      </c>
      <c r="L22" s="87">
        <f>U22/U19-1</f>
        <v>0.15782886951740283</v>
      </c>
      <c r="M22" s="87">
        <f>U22/U10-1</f>
        <v>1.3250576314819185</v>
      </c>
      <c r="N22" s="88">
        <f>AVERAGE(T20:T22)</f>
        <v>51.946285100718264</v>
      </c>
      <c r="O22" s="89">
        <f>N22/N19-1</f>
        <v>-0.16680259733931968</v>
      </c>
      <c r="P22" s="129" t="s">
        <v>156</v>
      </c>
      <c r="Q22" s="116">
        <v>210640567</v>
      </c>
      <c r="R22" s="116">
        <v>273400795691</v>
      </c>
      <c r="S22" s="116">
        <v>4838556.78</v>
      </c>
      <c r="T22" s="130">
        <f t="shared" ref="T22:T23" si="10">Q22/S22</f>
        <v>43.533759461225131</v>
      </c>
      <c r="U22" s="85">
        <f>Q20+Q21+Q22</f>
        <v>865741975</v>
      </c>
    </row>
    <row r="23" spans="1:21" hidden="1">
      <c r="A23" s="129" t="s">
        <v>189</v>
      </c>
      <c r="B23" s="131"/>
      <c r="C23" s="131"/>
      <c r="F23" s="78">
        <f>Q23/21</f>
        <v>8570678.8571428563</v>
      </c>
      <c r="G23" s="90">
        <f t="shared" ref="G23" si="11">F23/F22-1</f>
        <v>-0.14553849449142442</v>
      </c>
      <c r="H23" s="90">
        <f t="shared" ref="H23" si="12">F23/F11-1</f>
        <v>0.5263283247604551</v>
      </c>
      <c r="I23" s="130">
        <f t="shared" si="0"/>
        <v>47.939518687480152</v>
      </c>
      <c r="J23" s="130">
        <f t="shared" si="5"/>
        <v>0.39070885156423918</v>
      </c>
      <c r="O23" s="89"/>
      <c r="P23" s="129" t="s">
        <v>189</v>
      </c>
      <c r="Q23" s="116">
        <v>179984256</v>
      </c>
      <c r="R23" s="116">
        <v>233384215835</v>
      </c>
      <c r="S23" s="116">
        <v>3754402.65</v>
      </c>
      <c r="T23" s="130">
        <f t="shared" si="10"/>
        <v>47.939518687480152</v>
      </c>
      <c r="U23" s="78"/>
    </row>
    <row r="24" spans="1:21" hidden="1">
      <c r="A24" s="129" t="s">
        <v>204</v>
      </c>
      <c r="B24" s="131"/>
      <c r="C24" s="131"/>
      <c r="F24" s="78">
        <f>Q24/22</f>
        <v>11217118.681818182</v>
      </c>
      <c r="G24" s="90">
        <f t="shared" ref="G24" si="13">F24/F23-1</f>
        <v>0.30877832068923761</v>
      </c>
      <c r="H24" s="90">
        <f t="shared" ref="H24" si="14">F24/F12-1</f>
        <v>9.9599590179423991E-2</v>
      </c>
      <c r="I24" s="130">
        <f t="shared" si="0"/>
        <v>47.310966784202684</v>
      </c>
      <c r="J24" s="130">
        <f t="shared" si="5"/>
        <v>1.5070951566673596E-3</v>
      </c>
      <c r="O24" s="89"/>
      <c r="P24" s="129" t="s">
        <v>204</v>
      </c>
      <c r="Q24" s="116">
        <v>246776611</v>
      </c>
      <c r="R24" s="116">
        <v>321898986051</v>
      </c>
      <c r="S24" s="116">
        <v>5216055.13</v>
      </c>
      <c r="T24" s="130">
        <f t="shared" ref="T24" si="15">Q24/S24</f>
        <v>47.310966784202684</v>
      </c>
      <c r="U24" s="78"/>
    </row>
    <row r="25" spans="1:21" s="79" customFormat="1" ht="13.2" hidden="1">
      <c r="A25" s="129" t="s">
        <v>219</v>
      </c>
      <c r="B25" s="131">
        <f>SUM(F23:F25)</f>
        <v>27475655.065276828</v>
      </c>
      <c r="C25" s="131">
        <f>AVERAGE(F23:F25)</f>
        <v>9158551.6884256098</v>
      </c>
      <c r="D25" s="90">
        <f>C25/C22-1</f>
        <v>-0.34933647281346192</v>
      </c>
      <c r="E25" s="286">
        <f>C25/C13-1</f>
        <v>8.2124033483564451E-2</v>
      </c>
      <c r="F25" s="78">
        <f>Q25/19</f>
        <v>7687857.5263157897</v>
      </c>
      <c r="G25" s="90">
        <f t="shared" ref="G25" si="16">F25/F24-1</f>
        <v>-0.31463170316838751</v>
      </c>
      <c r="H25" s="90">
        <f t="shared" ref="H25" si="17">F25/F13-1</f>
        <v>-0.19702064003155351</v>
      </c>
      <c r="I25" s="130">
        <f t="shared" si="0"/>
        <v>32.588166179873134</v>
      </c>
      <c r="J25" s="130">
        <f t="shared" si="5"/>
        <v>-0.32899870615153426</v>
      </c>
      <c r="K25" s="78">
        <f>R23+R24+R25</f>
        <v>749073093862</v>
      </c>
      <c r="L25" s="90">
        <f>U25/U22-1</f>
        <v>-0.33833615956994578</v>
      </c>
      <c r="M25" s="90">
        <f>U25/U13-1</f>
        <v>7.30630284392082E-2</v>
      </c>
      <c r="N25" s="88">
        <f>AVERAGE(T23:T25)</f>
        <v>42.612883883851993</v>
      </c>
      <c r="O25" s="91">
        <f>N25/N22-1</f>
        <v>-0.17967408446570932</v>
      </c>
      <c r="P25" s="129" t="s">
        <v>219</v>
      </c>
      <c r="Q25" s="116">
        <v>146069293</v>
      </c>
      <c r="R25" s="116">
        <v>193789891976</v>
      </c>
      <c r="S25" s="116">
        <v>4482280.2300000004</v>
      </c>
      <c r="T25" s="130">
        <f t="shared" ref="T25" si="18">Q25/S25</f>
        <v>32.588166179873134</v>
      </c>
      <c r="U25" s="85">
        <f>Q23+Q24+Q25</f>
        <v>572830160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5016793.4736842103</v>
      </c>
      <c r="G26" s="90">
        <f t="shared" ref="G26" si="19">F26/F25-1</f>
        <v>-0.34743932799072286</v>
      </c>
      <c r="H26" s="90">
        <f t="shared" ref="H26" si="20">F26/F14-1</f>
        <v>-0.40777984396189637</v>
      </c>
      <c r="I26" s="130">
        <f t="shared" si="0"/>
        <v>33.226134322969557</v>
      </c>
      <c r="J26" s="130">
        <f t="shared" si="5"/>
        <v>-0.29004140599141137</v>
      </c>
      <c r="L26" s="90"/>
      <c r="M26" s="90"/>
      <c r="P26" s="129" t="s">
        <v>312</v>
      </c>
      <c r="Q26" s="116">
        <v>95319076</v>
      </c>
      <c r="R26" s="116">
        <v>128553837409</v>
      </c>
      <c r="S26" s="116">
        <v>2868798.25</v>
      </c>
      <c r="T26" s="130">
        <f t="shared" ref="T26" si="21">Q26/S26</f>
        <v>33.226134322969557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3940323.2727272729</v>
      </c>
      <c r="G27" s="90">
        <f t="shared" ref="G27" si="22">F27/F26-1</f>
        <v>-0.2145733537973219</v>
      </c>
      <c r="H27" s="90">
        <f t="shared" ref="H27" si="23">F27/F15-1</f>
        <v>-0.54080491110703433</v>
      </c>
      <c r="I27" s="130">
        <f t="shared" si="0"/>
        <v>34.53942235650922</v>
      </c>
      <c r="J27" s="130">
        <f t="shared" si="5"/>
        <v>-0.2085218860227428</v>
      </c>
      <c r="L27" s="90"/>
      <c r="M27" s="90"/>
      <c r="P27" s="129" t="s">
        <v>375</v>
      </c>
      <c r="Q27" s="116">
        <v>86687112</v>
      </c>
      <c r="R27" s="116">
        <v>113422736895</v>
      </c>
      <c r="S27" s="116">
        <v>2509802.02</v>
      </c>
      <c r="T27" s="130">
        <f t="shared" ref="T27" si="24">Q27/S27</f>
        <v>34.53942235650922</v>
      </c>
      <c r="U27" s="78"/>
    </row>
    <row r="28" spans="1:21" s="79" customFormat="1" ht="13.2" hidden="1">
      <c r="A28" s="123" t="s">
        <v>413</v>
      </c>
      <c r="B28" s="131">
        <f>SUM(F26:F28)</f>
        <v>13618147.641148325</v>
      </c>
      <c r="C28" s="131">
        <f>AVERAGE(F26:F28)</f>
        <v>4539382.5470494414</v>
      </c>
      <c r="D28" s="90">
        <f>C28/C25-1</f>
        <v>-0.50435585216096768</v>
      </c>
      <c r="E28" s="286">
        <f>C28/C16-1</f>
        <v>-0.46815347828762077</v>
      </c>
      <c r="F28" s="78">
        <f>Q28/19</f>
        <v>4661030.8947368423</v>
      </c>
      <c r="G28" s="90">
        <f t="shared" ref="G28" si="25">F28/F27-1</f>
        <v>0.18290570903100933</v>
      </c>
      <c r="H28" s="90">
        <f t="shared" ref="H28" si="26">F28/F16-1</f>
        <v>-0.45506119871515072</v>
      </c>
      <c r="I28" s="130">
        <f t="shared" si="0"/>
        <v>28.70441552819792</v>
      </c>
      <c r="J28" s="130">
        <f t="shared" si="5"/>
        <v>-0.49866200964724972</v>
      </c>
      <c r="K28" s="78">
        <f>R26+R27+R28</f>
        <v>357849704613</v>
      </c>
      <c r="L28" s="90">
        <f>U28/U25-1</f>
        <v>-0.52766841920474294</v>
      </c>
      <c r="M28" s="90">
        <f>U28/U16-1</f>
        <v>-0.50479991121289991</v>
      </c>
      <c r="N28" s="88">
        <f>AVERAGE(T26:T28)</f>
        <v>32.156657402558899</v>
      </c>
      <c r="O28" s="91">
        <f>N28/N25-1</f>
        <v>-0.24537711434394249</v>
      </c>
      <c r="P28" s="129" t="s">
        <v>413</v>
      </c>
      <c r="Q28" s="116">
        <v>88559587</v>
      </c>
      <c r="R28" s="116">
        <v>115873130309</v>
      </c>
      <c r="S28" s="116">
        <v>3085225.23</v>
      </c>
      <c r="T28" s="130">
        <f t="shared" ref="T28" si="27">Q28/S28</f>
        <v>28.70441552819792</v>
      </c>
      <c r="U28" s="85">
        <f>Q26+Q27+Q28</f>
        <v>270565775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2948917.9090909092</v>
      </c>
      <c r="G29" s="190">
        <f t="shared" ref="G29" si="28">F29/F28-1</f>
        <v>-0.36732495971636281</v>
      </c>
      <c r="H29" s="190">
        <f t="shared" ref="H29" si="29">F29/F17-1</f>
        <v>-0.75960335445799254</v>
      </c>
      <c r="I29" s="130">
        <f t="shared" si="0"/>
        <v>30.066774400521492</v>
      </c>
      <c r="J29" s="130">
        <f t="shared" si="5"/>
        <v>-0.36494267855733209</v>
      </c>
      <c r="K29" s="136"/>
      <c r="L29" s="190"/>
      <c r="M29" s="190"/>
      <c r="N29" s="191"/>
      <c r="O29" s="192"/>
      <c r="P29" s="129" t="s">
        <v>430</v>
      </c>
      <c r="Q29" s="116">
        <v>64876194</v>
      </c>
      <c r="R29" s="116">
        <v>85741230660</v>
      </c>
      <c r="S29" s="116">
        <v>2157737.08</v>
      </c>
      <c r="T29" s="130">
        <f t="shared" ref="T29" si="30">Q29/S29</f>
        <v>30.066774400521492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3543404.8421052634</v>
      </c>
      <c r="G30" s="190">
        <f t="shared" ref="G30" si="31">F30/F29-1</f>
        <v>0.20159494137889467</v>
      </c>
      <c r="H30" s="190">
        <f t="shared" ref="H30" si="32">F30/F18-1</f>
        <v>-0.62631031612283139</v>
      </c>
      <c r="I30" s="130">
        <f t="shared" si="0"/>
        <v>29.390304094104021</v>
      </c>
      <c r="J30" s="130">
        <f t="shared" si="5"/>
        <v>-0.58038910247488151</v>
      </c>
      <c r="K30" s="136"/>
      <c r="L30" s="190"/>
      <c r="M30" s="190"/>
      <c r="N30" s="191"/>
      <c r="O30" s="192"/>
      <c r="P30" s="129" t="s">
        <v>481</v>
      </c>
      <c r="Q30" s="116">
        <v>67324692</v>
      </c>
      <c r="R30" s="116">
        <v>89680833797</v>
      </c>
      <c r="S30" s="116">
        <v>2290710.9700000002</v>
      </c>
      <c r="T30" s="130">
        <f t="shared" ref="T30" si="33">Q30/S30</f>
        <v>29.390304094104021</v>
      </c>
      <c r="U30" s="85"/>
    </row>
    <row r="31" spans="1:21" s="79" customFormat="1" ht="13.2" hidden="1">
      <c r="A31" s="129" t="s">
        <v>505</v>
      </c>
      <c r="B31" s="188">
        <f>SUM(F29:F31)</f>
        <v>7815379.2011961723</v>
      </c>
      <c r="C31" s="188">
        <f>AVERAGE(F29:F31)</f>
        <v>2605126.4003987242</v>
      </c>
      <c r="D31" s="190">
        <f>C31/C28-1</f>
        <v>-0.42610556096620822</v>
      </c>
      <c r="E31" s="287">
        <f>C31/C19-1</f>
        <v>-0.78269403483094147</v>
      </c>
      <c r="F31" s="136">
        <f>Q31/20</f>
        <v>1323056.45</v>
      </c>
      <c r="G31" s="190">
        <f t="shared" ref="G31" si="34">F31/F30-1</f>
        <v>-0.62661436980654894</v>
      </c>
      <c r="H31" s="190">
        <f t="shared" ref="H31" si="35">F31/F19-1</f>
        <v>-0.9069303440982357</v>
      </c>
      <c r="I31" s="130">
        <f t="shared" si="0"/>
        <v>23.550775923126995</v>
      </c>
      <c r="J31" s="130">
        <f t="shared" si="5"/>
        <v>-0.66187141300607455</v>
      </c>
      <c r="K31" s="136">
        <f>R29+R30+R31</f>
        <v>210536059477</v>
      </c>
      <c r="L31" s="190">
        <f>U31/U28-1</f>
        <v>-0.41359170427227909</v>
      </c>
      <c r="M31" s="190">
        <f>U31/U19-1</f>
        <v>-0.78780806895402844</v>
      </c>
      <c r="N31" s="191">
        <f>AVERAGE(T29:T31)</f>
        <v>27.669284805917503</v>
      </c>
      <c r="O31" s="192">
        <f>N31/N28-1</f>
        <v>-0.1395472340444287</v>
      </c>
      <c r="P31" s="129" t="s">
        <v>505</v>
      </c>
      <c r="Q31" s="116">
        <v>26461129</v>
      </c>
      <c r="R31" s="116">
        <v>35113995020</v>
      </c>
      <c r="S31" s="116">
        <v>1123577.8</v>
      </c>
      <c r="T31" s="130">
        <f t="shared" ref="T31" si="36">Q31/S31</f>
        <v>23.550775923126995</v>
      </c>
      <c r="U31" s="85">
        <f>Q29+Q30+Q31</f>
        <v>158662015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2573782.3809523811</v>
      </c>
      <c r="G32" s="190">
        <f t="shared" ref="G32" si="37">F32/F31-1</f>
        <v>0.94533073849750027</v>
      </c>
      <c r="H32" s="190">
        <f t="shared" ref="H32" si="38">F32/F20-1</f>
        <v>-0.87760102778212312</v>
      </c>
      <c r="I32" s="130">
        <f t="shared" si="0"/>
        <v>20.391211998929869</v>
      </c>
      <c r="J32" s="130">
        <f t="shared" si="5"/>
        <v>-0.66509032673474888</v>
      </c>
      <c r="K32" s="136"/>
      <c r="L32" s="190"/>
      <c r="M32" s="190"/>
      <c r="N32" s="191"/>
      <c r="O32" s="192"/>
      <c r="P32" s="129" t="s">
        <v>575</v>
      </c>
      <c r="Q32" s="116">
        <v>54049430</v>
      </c>
      <c r="R32" s="116">
        <v>72958942848</v>
      </c>
      <c r="S32" s="116">
        <v>2650623.71</v>
      </c>
      <c r="T32" s="130">
        <f t="shared" ref="T32" si="39">Q32/S32</f>
        <v>20.391211998929869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2343460.9047619049</v>
      </c>
      <c r="G33" s="190">
        <f t="shared" ref="G33" si="40">F33/F32-1</f>
        <v>-8.9487548712354648E-2</v>
      </c>
      <c r="H33" s="190">
        <f t="shared" ref="H33" si="41">F33/F21-1</f>
        <v>-0.79017827267409435</v>
      </c>
      <c r="I33" s="130">
        <f t="shared" si="0"/>
        <v>17.619444216958371</v>
      </c>
      <c r="J33" s="130">
        <f t="shared" si="5"/>
        <v>-0.65733851821983635</v>
      </c>
      <c r="K33" s="136"/>
      <c r="L33" s="190"/>
      <c r="M33" s="190"/>
      <c r="N33" s="191"/>
      <c r="O33" s="192"/>
      <c r="P33" s="129" t="s">
        <v>609</v>
      </c>
      <c r="Q33" s="116">
        <v>49212679</v>
      </c>
      <c r="R33" s="116">
        <v>67448951903</v>
      </c>
      <c r="S33" s="116">
        <v>2793089.18</v>
      </c>
      <c r="T33" s="130">
        <f t="shared" ref="T33" si="42">Q33/S33</f>
        <v>17.619444216958371</v>
      </c>
      <c r="U33" s="85"/>
    </row>
    <row r="34" spans="1:21" s="79" customFormat="1" ht="13.2" hidden="1">
      <c r="A34" s="129" t="s">
        <v>652</v>
      </c>
      <c r="B34" s="188">
        <f>SUM(F32:F34)</f>
        <v>7571862.7067669164</v>
      </c>
      <c r="C34" s="188">
        <f>AVERAGE(F32:F34)</f>
        <v>2523954.235588972</v>
      </c>
      <c r="D34" s="190">
        <f>C34/C31-1</f>
        <v>-3.1158628156134238E-2</v>
      </c>
      <c r="E34" s="287">
        <f>C34/C22-1</f>
        <v>-0.82068726352648547</v>
      </c>
      <c r="F34" s="136">
        <f>Q34/19</f>
        <v>2654619.4210526315</v>
      </c>
      <c r="G34" s="190">
        <f t="shared" ref="G34" si="43">F34/F33-1</f>
        <v>0.13277734467788793</v>
      </c>
      <c r="H34" s="190">
        <f t="shared" ref="H34" si="44">F34/F22-1</f>
        <v>-0.73534533904807964</v>
      </c>
      <c r="I34" s="130">
        <f t="shared" si="0"/>
        <v>14.903940651514338</v>
      </c>
      <c r="J34" s="130">
        <f t="shared" si="5"/>
        <v>-0.65764636833653078</v>
      </c>
      <c r="K34" s="136">
        <f>R32+R33+R34</f>
        <v>209739183863</v>
      </c>
      <c r="L34" s="190">
        <f>U34/U31-1</f>
        <v>-3.1274889582109444E-2</v>
      </c>
      <c r="M34" s="190">
        <f>U34/U22-1</f>
        <v>-0.82246456514944888</v>
      </c>
      <c r="N34" s="191">
        <f>AVERAGE(T32:T34)</f>
        <v>17.63819895580086</v>
      </c>
      <c r="O34" s="192">
        <f>N34/N31-1</f>
        <v>-0.36253506082568998</v>
      </c>
      <c r="P34" s="129" t="s">
        <v>652</v>
      </c>
      <c r="Q34" s="116">
        <v>50437769</v>
      </c>
      <c r="R34" s="116">
        <v>69331289112</v>
      </c>
      <c r="S34" s="116">
        <v>3384190.14</v>
      </c>
      <c r="T34" s="130">
        <f t="shared" ref="T34" si="45">Q34/S34</f>
        <v>14.903940651514338</v>
      </c>
      <c r="U34" s="85">
        <f>Q32+Q33+Q34</f>
        <v>153699878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1554706.6521739131</v>
      </c>
      <c r="G35" s="190">
        <f t="shared" ref="G35" si="46">F35/F34-1</f>
        <v>-0.41433915541933763</v>
      </c>
      <c r="H35" s="190">
        <f t="shared" ref="H35" si="47">F35/F23-1</f>
        <v>-0.81860169094094437</v>
      </c>
      <c r="I35" s="130">
        <f t="shared" si="0"/>
        <v>15.925823173021312</v>
      </c>
      <c r="J35" s="130">
        <f t="shared" si="5"/>
        <v>-0.66779342786392037</v>
      </c>
      <c r="K35" s="136"/>
      <c r="L35" s="190"/>
      <c r="M35" s="190"/>
      <c r="N35" s="191"/>
      <c r="O35" s="192"/>
      <c r="P35" s="129" t="s">
        <v>660</v>
      </c>
      <c r="Q35" s="116">
        <v>35758253</v>
      </c>
      <c r="R35" s="116">
        <v>49568914999</v>
      </c>
      <c r="S35" s="116">
        <v>2245300.14</v>
      </c>
      <c r="T35" s="130">
        <f t="shared" ref="T35" si="48">Q35/S35</f>
        <v>15.925823173021312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1002940.9047619047</v>
      </c>
      <c r="G36" s="190">
        <f t="shared" ref="G36" si="49">F36/F35-1</f>
        <v>-0.35490022933939736</v>
      </c>
      <c r="H36" s="190">
        <f t="shared" ref="H36" si="50">F36/F24-1</f>
        <v>-0.91058836647707309</v>
      </c>
      <c r="I36" s="130">
        <f t="shared" si="0"/>
        <v>13.449751066921278</v>
      </c>
      <c r="J36" s="130">
        <f t="shared" si="5"/>
        <v>-0.71571599607615277</v>
      </c>
      <c r="K36" s="136"/>
      <c r="L36" s="190"/>
      <c r="M36" s="190"/>
      <c r="N36" s="191"/>
      <c r="O36" s="192"/>
      <c r="P36" s="129" t="s">
        <v>666</v>
      </c>
      <c r="Q36" s="116">
        <v>21061759</v>
      </c>
      <c r="R36" s="116">
        <v>28748839791</v>
      </c>
      <c r="S36" s="116">
        <v>1565959.02</v>
      </c>
      <c r="T36" s="130">
        <f t="shared" ref="T36" si="51">Q36/S36</f>
        <v>13.449751066921278</v>
      </c>
      <c r="U36" s="85"/>
    </row>
    <row r="37" spans="1:21" s="79" customFormat="1" ht="13.2" hidden="1">
      <c r="A37" s="129" t="s">
        <v>702</v>
      </c>
      <c r="B37" s="188">
        <f>SUM(F35:F37)</f>
        <v>4744695.112491373</v>
      </c>
      <c r="C37" s="188">
        <f>AVERAGE(F35:F37)</f>
        <v>1581565.0374971244</v>
      </c>
      <c r="D37" s="190">
        <f>C37/C34-1</f>
        <v>-0.37337808459587163</v>
      </c>
      <c r="E37" s="287">
        <f>C37/C25-1</f>
        <v>-0.82731275737670684</v>
      </c>
      <c r="F37" s="136">
        <f>Q37/18</f>
        <v>2187047.5555555555</v>
      </c>
      <c r="G37" s="190">
        <f t="shared" ref="G37" si="52">F37/F36-1</f>
        <v>1.1806345171201831</v>
      </c>
      <c r="H37" s="190">
        <f t="shared" ref="H37" si="53">F37/F25-1</f>
        <v>-0.71551923951904417</v>
      </c>
      <c r="I37" s="130">
        <f t="shared" si="0"/>
        <v>12.935104114940875</v>
      </c>
      <c r="J37" s="130">
        <f t="shared" si="5"/>
        <v>-0.60307358065058114</v>
      </c>
      <c r="K37" s="136">
        <f>R35+R36+R37</f>
        <v>130797825934</v>
      </c>
      <c r="L37" s="190">
        <f>U37/U34-1</f>
        <v>-0.37419034255837214</v>
      </c>
      <c r="M37" s="190">
        <f>U37/U25-1</f>
        <v>-0.83208483994627658</v>
      </c>
      <c r="N37" s="191">
        <f>AVERAGE(T35:T37)</f>
        <v>14.103559451627822</v>
      </c>
      <c r="O37" s="192">
        <f>N37/N34-1</f>
        <v>-0.20039684964606685</v>
      </c>
      <c r="P37" s="129" t="s">
        <v>702</v>
      </c>
      <c r="Q37" s="116">
        <v>39366856</v>
      </c>
      <c r="R37" s="116">
        <v>52480071144</v>
      </c>
      <c r="S37" s="116">
        <v>3043412.38</v>
      </c>
      <c r="T37" s="130">
        <f t="shared" ref="T37" si="54">Q37/S37</f>
        <v>12.935104114940875</v>
      </c>
      <c r="U37" s="85">
        <f>Q35+Q36+Q37</f>
        <v>96186868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1603893.15</v>
      </c>
      <c r="G38" s="190">
        <f t="shared" ref="G38" si="55">F38/F37-1</f>
        <v>-0.26664002073216109</v>
      </c>
      <c r="H38" s="190">
        <f t="shared" ref="H38" si="56">F38/F26-1</f>
        <v>-0.68029516096022591</v>
      </c>
      <c r="I38" s="130">
        <f t="shared" si="0"/>
        <v>12.74866926502491</v>
      </c>
      <c r="J38" s="130">
        <f t="shared" si="5"/>
        <v>-0.61630597345139759</v>
      </c>
      <c r="K38" s="136"/>
      <c r="L38" s="190"/>
      <c r="M38" s="190"/>
      <c r="N38" s="191"/>
      <c r="O38" s="192"/>
      <c r="P38" s="129" t="s">
        <v>727</v>
      </c>
      <c r="Q38" s="116">
        <v>32077863</v>
      </c>
      <c r="R38" s="116">
        <v>43278778300</v>
      </c>
      <c r="S38" s="116">
        <v>2516173.44</v>
      </c>
      <c r="T38" s="130">
        <f t="shared" ref="T38" si="57">Q38/S38</f>
        <v>12.74866926502491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627276.61904761905</v>
      </c>
      <c r="G39" s="190">
        <f t="shared" ref="G39" si="58">F39/F38-1</f>
        <v>-0.60890373585820279</v>
      </c>
      <c r="H39" s="190">
        <f t="shared" ref="H39" si="59">F39/F27-1</f>
        <v>-0.84080579799396693</v>
      </c>
      <c r="I39" s="130">
        <f t="shared" si="0"/>
        <v>15.815952662442262</v>
      </c>
      <c r="J39" s="130">
        <f t="shared" si="5"/>
        <v>-0.5420898329105488</v>
      </c>
      <c r="K39" s="136"/>
      <c r="L39" s="190"/>
      <c r="M39" s="190"/>
      <c r="N39" s="191"/>
      <c r="O39" s="192"/>
      <c r="P39" s="129" t="s">
        <v>762</v>
      </c>
      <c r="Q39" s="116">
        <v>13172809</v>
      </c>
      <c r="R39" s="116">
        <v>18238756349</v>
      </c>
      <c r="S39" s="116">
        <v>832881.16</v>
      </c>
      <c r="T39" s="130">
        <f t="shared" ref="T39" si="60">Q39/S39</f>
        <v>15.815952662442262</v>
      </c>
      <c r="U39" s="85"/>
    </row>
    <row r="40" spans="1:21" s="79" customFormat="1" ht="13.2" hidden="1">
      <c r="A40" s="129" t="s">
        <v>778</v>
      </c>
      <c r="B40" s="188">
        <f>SUM(F38:F40)</f>
        <v>3652389.3404761902</v>
      </c>
      <c r="C40" s="188">
        <f>AVERAGE(F38:F40)</f>
        <v>1217463.1134920635</v>
      </c>
      <c r="D40" s="190">
        <f>C40/C37-1</f>
        <v>-0.23021621961324046</v>
      </c>
      <c r="E40" s="287">
        <f>C40/C28-1</f>
        <v>-0.7317998426276271</v>
      </c>
      <c r="F40" s="136">
        <f>Q40/21</f>
        <v>1421219.5714285714</v>
      </c>
      <c r="G40" s="190">
        <f t="shared" ref="G40" si="61">F40/F39-1</f>
        <v>1.2656983032244677</v>
      </c>
      <c r="H40" s="190">
        <f t="shared" ref="H40" si="62">F40/F28-1</f>
        <v>-0.69508471333382738</v>
      </c>
      <c r="I40" s="130">
        <f t="shared" si="0"/>
        <v>12.640787836548949</v>
      </c>
      <c r="J40" s="130">
        <f t="shared" si="5"/>
        <v>-0.55962218341874226</v>
      </c>
      <c r="K40" s="136">
        <f>R38+R39+R40</f>
        <v>103953952245</v>
      </c>
      <c r="L40" s="190">
        <f>U40/U37-1</f>
        <v>-0.21926678182306547</v>
      </c>
      <c r="M40" s="190">
        <f>U40/U28-1</f>
        <v>-0.72244722008908924</v>
      </c>
      <c r="N40" s="191">
        <f>AVERAGE(T38:T40)</f>
        <v>13.735136588005375</v>
      </c>
      <c r="O40" s="192">
        <f>N40/N37-1</f>
        <v>-2.612268660872874E-2</v>
      </c>
      <c r="P40" s="129" t="s">
        <v>778</v>
      </c>
      <c r="Q40" s="116">
        <v>29845611</v>
      </c>
      <c r="R40" s="116">
        <v>42436417596</v>
      </c>
      <c r="S40" s="116">
        <v>2361056.2400000002</v>
      </c>
      <c r="T40" s="130">
        <f t="shared" ref="T40" si="63">Q40/S40</f>
        <v>12.640787836548949</v>
      </c>
      <c r="U40" s="85">
        <f>Q38+Q39+Q40</f>
        <v>75096283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2567662.277777778</v>
      </c>
      <c r="G41" s="190">
        <f t="shared" ref="G41" si="64">F41/F40-1</f>
        <v>0.8066612150554846</v>
      </c>
      <c r="H41" s="190">
        <f t="shared" ref="H41" si="65">F41/F29-1</f>
        <v>-0.12928662074240804</v>
      </c>
      <c r="I41" s="130">
        <f t="shared" si="0"/>
        <v>13.939236719051179</v>
      </c>
      <c r="J41" s="130">
        <f t="shared" si="5"/>
        <v>-0.53639068383705935</v>
      </c>
      <c r="K41" s="193"/>
      <c r="L41" s="190"/>
      <c r="M41" s="190"/>
      <c r="N41" s="193"/>
      <c r="O41" s="193"/>
      <c r="P41" s="129" t="s">
        <v>792</v>
      </c>
      <c r="Q41" s="116">
        <v>46217921</v>
      </c>
      <c r="R41" s="116">
        <v>67567704999</v>
      </c>
      <c r="S41" s="116">
        <v>3315670.86</v>
      </c>
      <c r="T41" s="130">
        <f t="shared" ref="T41" si="66">Q41/S41</f>
        <v>13.939236719051179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1961994.1</v>
      </c>
      <c r="G42" s="190">
        <f t="shared" ref="G42" si="67">F42/F41-1</f>
        <v>-0.23588311555597663</v>
      </c>
      <c r="H42" s="190">
        <f t="shared" ref="H42" si="68">F42/F30-1</f>
        <v>-0.44629694109852003</v>
      </c>
      <c r="I42" s="130">
        <f t="shared" si="0"/>
        <v>15.441328383226276</v>
      </c>
      <c r="J42" s="130">
        <f t="shared" si="5"/>
        <v>-0.47461147956192951</v>
      </c>
      <c r="K42" s="193"/>
      <c r="L42" s="190"/>
      <c r="M42" s="190"/>
      <c r="N42" s="193"/>
      <c r="O42" s="193"/>
      <c r="P42" s="129" t="s">
        <v>826</v>
      </c>
      <c r="Q42" s="116">
        <v>39239882</v>
      </c>
      <c r="R42" s="116">
        <v>56651411762</v>
      </c>
      <c r="S42" s="116">
        <v>2541224.5</v>
      </c>
      <c r="T42" s="130">
        <f t="shared" ref="T42" si="69">Q42/S42</f>
        <v>15.441328383226276</v>
      </c>
      <c r="U42" s="78"/>
    </row>
    <row r="43" spans="1:21" s="79" customFormat="1" ht="13.2">
      <c r="A43" s="129" t="s">
        <v>835</v>
      </c>
      <c r="B43" s="188">
        <f>SUM(F41:F43)</f>
        <v>6722232.9277777774</v>
      </c>
      <c r="C43" s="188">
        <f>AVERAGE(F41:F43)</f>
        <v>2240744.3092592591</v>
      </c>
      <c r="D43" s="190">
        <f>C43/C40-1</f>
        <v>0.84050283283910465</v>
      </c>
      <c r="E43" s="287">
        <f>C43/C31-1</f>
        <v>-0.13987117518892556</v>
      </c>
      <c r="F43" s="136">
        <f>Q43/20</f>
        <v>2192576.5499999998</v>
      </c>
      <c r="G43" s="190">
        <f t="shared" ref="G43" si="70">F43/F42-1</f>
        <v>0.11752453791782536</v>
      </c>
      <c r="H43" s="190">
        <f t="shared" ref="H43" si="71">F43/F31-1</f>
        <v>0.65720559391097777</v>
      </c>
      <c r="I43" s="130">
        <f t="shared" si="0"/>
        <v>13.785432992311756</v>
      </c>
      <c r="J43" s="130">
        <f t="shared" si="5"/>
        <v>-0.41465058147938205</v>
      </c>
      <c r="K43" s="136">
        <f>R41+R42+R43</f>
        <v>187691349302</v>
      </c>
      <c r="L43" s="190">
        <f>U43/U40-1</f>
        <v>0.72191390617828577</v>
      </c>
      <c r="M43" s="190">
        <f>K43/K31-1</f>
        <v>-0.10850735133805267</v>
      </c>
      <c r="N43" s="191">
        <f>AVERAGE(T41:T43)</f>
        <v>14.388666031529738</v>
      </c>
      <c r="O43" s="192">
        <f>N43/N40-1</f>
        <v>4.7580847801329984E-2</v>
      </c>
      <c r="P43" s="129" t="s">
        <v>835</v>
      </c>
      <c r="Q43" s="116">
        <v>43851531</v>
      </c>
      <c r="R43" s="116">
        <v>63472232541</v>
      </c>
      <c r="S43" s="116">
        <v>3181004.98</v>
      </c>
      <c r="T43" s="130">
        <f t="shared" ref="T43" si="72">Q43/S43</f>
        <v>13.785432992311756</v>
      </c>
      <c r="U43" s="85">
        <f>Q41+Q42+Q43</f>
        <v>129309334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1337200.3181818181</v>
      </c>
      <c r="G44" s="190">
        <f t="shared" ref="G44" si="73">F44/F43-1</f>
        <v>-0.39012377096625506</v>
      </c>
      <c r="H44" s="190">
        <f t="shared" ref="H44" si="74">F44/F32-1</f>
        <v>-0.48045323175807442</v>
      </c>
      <c r="I44" s="130">
        <f t="shared" si="0"/>
        <v>11.738406639362898</v>
      </c>
      <c r="J44" s="130">
        <f t="shared" si="5"/>
        <v>-0.42433992447437996</v>
      </c>
      <c r="K44" s="136"/>
      <c r="L44" s="190"/>
      <c r="M44" s="190"/>
      <c r="N44" s="191"/>
      <c r="O44" s="192"/>
      <c r="P44" s="129" t="s">
        <v>843</v>
      </c>
      <c r="Q44" s="116">
        <v>29418407</v>
      </c>
      <c r="R44" s="116">
        <v>42776718359</v>
      </c>
      <c r="S44" s="116">
        <v>2506166.9700000002</v>
      </c>
      <c r="T44" s="130">
        <f t="shared" ref="T44" si="75">Q44/S44</f>
        <v>11.738406639362898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994086.3</v>
      </c>
      <c r="G45" s="190">
        <f t="shared" ref="G45" si="76">F45/F44-1</f>
        <v>-0.25659133752551588</v>
      </c>
      <c r="H45" s="190">
        <f t="shared" ref="H45" si="77">F45/F33-1</f>
        <v>-0.5758041885913181</v>
      </c>
      <c r="I45" s="130">
        <f t="shared" si="0"/>
        <v>9.2970276143902844</v>
      </c>
      <c r="J45" s="130">
        <f t="shared" si="5"/>
        <v>-0.47234274248888752</v>
      </c>
      <c r="K45" s="136"/>
      <c r="L45" s="190"/>
      <c r="M45" s="190"/>
      <c r="N45" s="191"/>
      <c r="O45" s="192"/>
      <c r="P45" s="129" t="s">
        <v>853</v>
      </c>
      <c r="Q45" s="116">
        <v>19881726</v>
      </c>
      <c r="R45" s="116">
        <v>28211785857</v>
      </c>
      <c r="S45" s="116">
        <v>2138503.4900000002</v>
      </c>
      <c r="T45" s="130">
        <f t="shared" ref="T45" si="78">Q45/S45</f>
        <v>9.2970276143902844</v>
      </c>
      <c r="U45" s="85"/>
    </row>
    <row r="46" spans="1:21" s="79" customFormat="1" ht="13.2">
      <c r="A46" s="129" t="s">
        <v>893</v>
      </c>
      <c r="B46" s="188">
        <f>SUM(F44:F46)</f>
        <v>4071192.4602870811</v>
      </c>
      <c r="C46" s="188">
        <f>AVERAGE(F44:F46)</f>
        <v>1357064.1534290269</v>
      </c>
      <c r="D46" s="190">
        <f>C46/C43-1</f>
        <v>-0.39436902826380826</v>
      </c>
      <c r="E46" s="287">
        <f>C46/C34-1</f>
        <v>-0.46232616491465339</v>
      </c>
      <c r="F46" s="136">
        <f>Q46/19</f>
        <v>1739905.8421052631</v>
      </c>
      <c r="G46" s="190">
        <f t="shared" ref="G46" si="79">F46/F45-1</f>
        <v>0.75025633298161654</v>
      </c>
      <c r="H46" s="190">
        <f t="shared" ref="H46" si="80">F46/F34-1</f>
        <v>-0.34457428122960787</v>
      </c>
      <c r="I46" s="130">
        <f t="shared" si="0"/>
        <v>13.572841253849413</v>
      </c>
      <c r="J46" s="130">
        <f t="shared" si="5"/>
        <v>-8.9311909433138825E-2</v>
      </c>
      <c r="K46" s="136">
        <f>R44+R45+R46</f>
        <v>116206154911</v>
      </c>
      <c r="L46" s="190">
        <f>U46/U43-1</f>
        <v>-0.36309049430259999</v>
      </c>
      <c r="M46" s="190">
        <f>K46/K34-1</f>
        <v>-0.44594923671055686</v>
      </c>
      <c r="N46" s="191">
        <f>AVERAGE(T44:T46)</f>
        <v>11.536091835867531</v>
      </c>
      <c r="O46" s="192">
        <f>N46/N43-1</f>
        <v>-0.19825147024827672</v>
      </c>
      <c r="P46" s="129" t="s">
        <v>888</v>
      </c>
      <c r="Q46" s="116">
        <v>33058211</v>
      </c>
      <c r="R46" s="116">
        <v>45217650695</v>
      </c>
      <c r="S46" s="116">
        <v>2435614.65</v>
      </c>
      <c r="T46" s="130">
        <f t="shared" ref="T46" si="81">Q46/S46</f>
        <v>13.572841253849413</v>
      </c>
      <c r="U46" s="85">
        <f t="shared" ref="U46:U51" si="82">Q44+Q45+Q46</f>
        <v>82358344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1431536.9130434783</v>
      </c>
      <c r="G47" s="190">
        <f t="shared" ref="G47" si="83">F47/F46-1</f>
        <v>-0.17723311319459822</v>
      </c>
      <c r="H47" s="190">
        <f t="shared" ref="H47" si="84">F47/F35-1</f>
        <v>-7.9223780870950278E-2</v>
      </c>
      <c r="I47" s="130">
        <f t="shared" si="0"/>
        <v>10.565570553101418</v>
      </c>
      <c r="J47" s="130">
        <f t="shared" si="5"/>
        <v>-0.33657617328065514</v>
      </c>
      <c r="K47" s="136"/>
      <c r="L47" s="190"/>
      <c r="M47" s="190"/>
      <c r="N47" s="191"/>
      <c r="O47" s="192"/>
      <c r="P47" s="129" t="s">
        <v>1049</v>
      </c>
      <c r="Q47" s="116">
        <v>32925349</v>
      </c>
      <c r="R47" s="116">
        <v>45111797462</v>
      </c>
      <c r="S47" s="116">
        <v>3116286.89</v>
      </c>
      <c r="T47" s="130">
        <f t="shared" ref="T47" si="85">Q47/S47</f>
        <v>10.565570553101418</v>
      </c>
      <c r="U47" s="85">
        <f t="shared" si="82"/>
        <v>85865286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2493408.4</v>
      </c>
      <c r="G48" s="190">
        <f t="shared" ref="G48" si="86">F48/F47-1</f>
        <v>0.74177024516885148</v>
      </c>
      <c r="H48" s="190">
        <f t="shared" ref="H48" si="87">F48/F36-1</f>
        <v>1.486097025419387</v>
      </c>
      <c r="I48" s="130">
        <f t="shared" si="0"/>
        <v>10.466603156447217</v>
      </c>
      <c r="J48" s="130">
        <f t="shared" si="5"/>
        <v>-0.22179948875120115</v>
      </c>
      <c r="K48" s="136"/>
      <c r="L48" s="190"/>
      <c r="M48" s="190"/>
      <c r="N48" s="191"/>
      <c r="O48" s="192"/>
      <c r="P48" s="129" t="s">
        <v>1070</v>
      </c>
      <c r="Q48" s="116">
        <v>49868168</v>
      </c>
      <c r="R48" s="116">
        <v>69181760619</v>
      </c>
      <c r="S48" s="116">
        <v>4764503.5599999996</v>
      </c>
      <c r="T48" s="130">
        <f t="shared" ref="T48" si="88">Q48/S48</f>
        <v>10.466603156447217</v>
      </c>
      <c r="U48" s="85">
        <f t="shared" si="82"/>
        <v>115851728</v>
      </c>
    </row>
    <row r="49" spans="1:26" ht="13.2">
      <c r="A49" s="129" t="s">
        <v>1207</v>
      </c>
      <c r="B49" s="188">
        <f>SUM(F47:F49)</f>
        <v>4587641.4494071146</v>
      </c>
      <c r="C49" s="188">
        <f>AVERAGE(F47:F49)</f>
        <v>1529213.8164690381</v>
      </c>
      <c r="D49" s="190">
        <f>C49/C46-1</f>
        <v>0.12685447670622185</v>
      </c>
      <c r="E49" s="287">
        <f>C49/C37-1</f>
        <v>-3.3100896761687149E-2</v>
      </c>
      <c r="F49" s="136">
        <f>Q49/22</f>
        <v>662696.13636363635</v>
      </c>
      <c r="G49" s="190">
        <f t="shared" ref="G49" si="89">F49/F48-1</f>
        <v>-0.73422078133544577</v>
      </c>
      <c r="H49" s="190">
        <f t="shared" ref="H49" si="90">F49/F37-1</f>
        <v>-0.69699052282596674</v>
      </c>
      <c r="I49" s="130">
        <f t="shared" si="0"/>
        <v>10.079485036622916</v>
      </c>
      <c r="J49" s="130">
        <f t="shared" si="5"/>
        <v>-0.22076506326837642</v>
      </c>
      <c r="K49" s="136">
        <f>R47+R48+R49</f>
        <v>134555632988</v>
      </c>
      <c r="L49" s="190">
        <f>U49/U46-1</f>
        <v>0.18230682248783436</v>
      </c>
      <c r="M49" s="190">
        <f>K49/K37-1</f>
        <v>2.8729889255928232E-2</v>
      </c>
      <c r="N49" s="191">
        <f>AVERAGE(T47:T49)</f>
        <v>10.370552915390517</v>
      </c>
      <c r="O49" s="192">
        <f>N49/N46-1</f>
        <v>-0.10103412291268077</v>
      </c>
      <c r="P49" s="129" t="s">
        <v>1185</v>
      </c>
      <c r="Q49" s="116">
        <v>14579315</v>
      </c>
      <c r="R49" s="116">
        <v>20262074907</v>
      </c>
      <c r="S49" s="116">
        <v>1446434.51</v>
      </c>
      <c r="T49" s="130">
        <f t="shared" ref="T49" si="91">Q49/S49</f>
        <v>10.079485036622916</v>
      </c>
      <c r="U49" s="85">
        <f t="shared" si="82"/>
        <v>97372832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1798321.6666666667</v>
      </c>
      <c r="G50" s="190">
        <f t="shared" ref="G50" si="92">F50/F49-1</f>
        <v>1.713644411048576</v>
      </c>
      <c r="H50" s="190">
        <f t="shared" ref="H50" si="93">F50/F38-1</f>
        <v>0.12122286117792003</v>
      </c>
      <c r="I50" s="130">
        <f t="shared" ref="I50" si="94">T50</f>
        <v>8.1900354165540001</v>
      </c>
      <c r="J50" s="130">
        <f t="shared" ref="J50" si="95">I50/I38-1</f>
        <v>-0.35757723050963486</v>
      </c>
      <c r="K50" s="136"/>
      <c r="L50" s="190"/>
      <c r="M50" s="190"/>
      <c r="N50" s="191"/>
      <c r="O50" s="192"/>
      <c r="P50" s="129" t="s">
        <v>1291</v>
      </c>
      <c r="Q50" s="116">
        <v>32369790</v>
      </c>
      <c r="R50" s="116">
        <v>45558536242</v>
      </c>
      <c r="S50" s="116">
        <v>3952338.22</v>
      </c>
      <c r="T50" s="130">
        <f t="shared" ref="T50" si="96">Q50/S50</f>
        <v>8.1900354165540001</v>
      </c>
      <c r="U50" s="85">
        <f t="shared" si="82"/>
        <v>96817273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1215448</v>
      </c>
      <c r="G51" s="190">
        <f t="shared" ref="G51:G52" si="97">F51/F50-1</f>
        <v>-0.32412091644709473</v>
      </c>
      <c r="H51" s="190">
        <f t="shared" ref="H51:H52" si="98">F51/F39-1</f>
        <v>0.93765870286284425</v>
      </c>
      <c r="I51" s="130">
        <f t="shared" ref="I51:I52" si="99">T51</f>
        <v>9.3080322611285009</v>
      </c>
      <c r="J51" s="130">
        <f t="shared" ref="J51:J52" si="100">I51/I39-1</f>
        <v>-0.41147824226661689</v>
      </c>
      <c r="K51" s="136"/>
      <c r="L51" s="190"/>
      <c r="M51" s="190"/>
      <c r="N51" s="191"/>
      <c r="O51" s="192"/>
      <c r="P51" s="129" t="s">
        <v>1402</v>
      </c>
      <c r="Q51" s="116">
        <v>24308960</v>
      </c>
      <c r="R51" s="116">
        <v>35096105030</v>
      </c>
      <c r="S51" s="116">
        <v>2611611.06</v>
      </c>
      <c r="T51" s="130">
        <f t="shared" ref="T51:T52" si="101">Q51/S51</f>
        <v>9.3080322611285009</v>
      </c>
      <c r="U51" s="85">
        <f t="shared" si="82"/>
        <v>71258065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3904579.5757575762</v>
      </c>
      <c r="C52" s="188">
        <f>AVERAGE(F50:F52)</f>
        <v>1301526.5252525255</v>
      </c>
      <c r="D52" s="190">
        <f>C52/C49-1</f>
        <v>-0.14889173035478043</v>
      </c>
      <c r="E52" s="287">
        <f>C52/C40-1</f>
        <v>6.9048015359859161E-2</v>
      </c>
      <c r="F52" s="136">
        <f>Q52/22</f>
        <v>890809.90909090906</v>
      </c>
      <c r="G52" s="190">
        <f t="shared" si="97"/>
        <v>-0.26709336056259991</v>
      </c>
      <c r="H52" s="190">
        <f t="shared" si="98"/>
        <v>-0.37320740088353055</v>
      </c>
      <c r="I52" s="130">
        <f t="shared" si="99"/>
        <v>9.9260015235069829</v>
      </c>
      <c r="J52" s="130">
        <f t="shared" si="100"/>
        <v>-0.21476401219175334</v>
      </c>
      <c r="K52" s="136">
        <f>R50+R51+R52</f>
        <v>109466055207</v>
      </c>
      <c r="L52" s="190">
        <f>U52/U49-1</f>
        <v>-0.21665451817196812</v>
      </c>
      <c r="M52" s="190">
        <f>K52/K40-1</f>
        <v>5.3024467497002847E-2</v>
      </c>
      <c r="N52" s="191">
        <f>AVERAGE(T50:T52)</f>
        <v>9.1413564003964947</v>
      </c>
      <c r="O52" s="192">
        <f>N52/N49-1</f>
        <v>-0.11852757755758825</v>
      </c>
      <c r="P52" s="129" t="s">
        <v>1403</v>
      </c>
      <c r="Q52" s="116">
        <v>19597818</v>
      </c>
      <c r="R52" s="116">
        <v>28811413935</v>
      </c>
      <c r="S52" s="116">
        <v>1974392</v>
      </c>
      <c r="T52" s="130">
        <f t="shared" si="101"/>
        <v>9.9260015235069829</v>
      </c>
      <c r="U52" s="85">
        <f t="shared" ref="U52" si="102">Q50+Q51+Q52</f>
        <v>76276568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977514.38095238095</v>
      </c>
      <c r="G53" s="190">
        <f t="shared" ref="G53" si="103">F53/F52-1</f>
        <v>9.7332181621055058E-2</v>
      </c>
      <c r="H53" s="190">
        <f t="shared" ref="H53" si="104">F53/F41-1</f>
        <v>-0.6192979156906937</v>
      </c>
      <c r="I53" s="130">
        <f t="shared" ref="I53" si="105">T53</f>
        <v>13.366401083282767</v>
      </c>
      <c r="J53" s="130">
        <f t="shared" ref="J53" si="106">I53/I41-1</f>
        <v>-4.109519389863725E-2</v>
      </c>
      <c r="K53" s="136"/>
      <c r="L53" s="190"/>
      <c r="M53" s="190"/>
      <c r="N53" s="191"/>
      <c r="O53" s="192"/>
      <c r="P53" s="129" t="s">
        <v>1414</v>
      </c>
      <c r="Q53" s="116">
        <v>20527802</v>
      </c>
      <c r="R53" s="116">
        <v>29948517773</v>
      </c>
      <c r="S53" s="116">
        <v>1535776.3</v>
      </c>
      <c r="T53" s="130">
        <f t="shared" ref="T53" si="107">Q53/S53</f>
        <v>13.366401083282767</v>
      </c>
      <c r="U53" s="85">
        <f t="shared" ref="U53" si="108">Q51+Q52+Q53</f>
        <v>64434580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647140.29411764711</v>
      </c>
      <c r="G54" s="190">
        <f t="shared" ref="G54" si="109">F54/F53-1</f>
        <v>-0.33797363319898599</v>
      </c>
      <c r="H54" s="190">
        <f t="shared" ref="H54" si="110">F54/F42-1</f>
        <v>-0.67016195710392457</v>
      </c>
      <c r="I54" s="130">
        <f t="shared" ref="I54" si="111">T54</f>
        <v>11.716659904519966</v>
      </c>
      <c r="J54" s="130">
        <f t="shared" ref="J54" si="112">I54/I42-1</f>
        <v>-0.24121425218521808</v>
      </c>
      <c r="K54" s="136"/>
      <c r="L54" s="190"/>
      <c r="M54" s="190"/>
      <c r="N54" s="191"/>
      <c r="O54" s="192"/>
      <c r="P54" s="129" t="s">
        <v>1417</v>
      </c>
      <c r="Q54" s="116">
        <v>11001385</v>
      </c>
      <c r="R54" s="116">
        <v>15955554677</v>
      </c>
      <c r="S54" s="116">
        <v>938952.32</v>
      </c>
      <c r="T54" s="130">
        <f t="shared" ref="T54" si="113">Q54/S54</f>
        <v>11.716659904519966</v>
      </c>
      <c r="U54" s="85">
        <f t="shared" ref="U54" si="114">Q52+Q53+Q54</f>
        <v>51127005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3223230.9607843137</v>
      </c>
      <c r="C55" s="188">
        <f>AVERAGE(F53:F55)</f>
        <v>1074410.3202614379</v>
      </c>
      <c r="D55" s="190">
        <f>C55/C52-1</f>
        <v>-0.17449986656785343</v>
      </c>
      <c r="E55" s="287">
        <f>C55/C43-1</f>
        <v>-0.52051186035741204</v>
      </c>
      <c r="F55" s="136">
        <f>Q55/21</f>
        <v>1598576.2857142857</v>
      </c>
      <c r="G55" s="190">
        <f t="shared" ref="G55" si="115">F55/F54-1</f>
        <v>1.4702159643665644</v>
      </c>
      <c r="H55" s="190">
        <f t="shared" ref="H55" si="116">F55/F43-1</f>
        <v>-0.27091426490250214</v>
      </c>
      <c r="I55" s="130">
        <f>T55</f>
        <v>11.857758198191389</v>
      </c>
      <c r="J55" s="130">
        <f t="shared" ref="J55" si="117">I55/I43-1</f>
        <v>-0.13983418549097781</v>
      </c>
      <c r="K55" s="136">
        <f>R53+R54+R55</f>
        <v>95295707851</v>
      </c>
      <c r="L55" s="190">
        <f>U55/U52-1</f>
        <v>-0.14653620755459262</v>
      </c>
      <c r="M55" s="190">
        <f>K55/K43-1</f>
        <v>-0.49227437383026718</v>
      </c>
      <c r="N55" s="191">
        <f>AVERAGE(T53:T55)</f>
        <v>12.313606395331375</v>
      </c>
      <c r="O55" s="192">
        <f>N55/N52-1</f>
        <v>0.34702180464129895</v>
      </c>
      <c r="P55" s="129" t="s">
        <v>1418</v>
      </c>
      <c r="Q55" s="116">
        <v>33570102</v>
      </c>
      <c r="R55" s="116">
        <v>49391635401</v>
      </c>
      <c r="S55" s="116">
        <v>2831066.5</v>
      </c>
      <c r="T55" s="130">
        <f t="shared" ref="T55" si="118">Q55/S55</f>
        <v>11.857758198191389</v>
      </c>
      <c r="U55" s="85">
        <f t="shared" ref="U55" si="119">Q53+Q54+Q55</f>
        <v>65099289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620728.36363636365</v>
      </c>
      <c r="G56" s="190">
        <f t="shared" ref="G56" si="120">F56/F55-1</f>
        <v>-0.61169925440311035</v>
      </c>
      <c r="H56" s="190">
        <f t="shared" ref="H56" si="121">F56/F44-1</f>
        <v>-0.53580001799553589</v>
      </c>
      <c r="I56" s="291">
        <f>T56</f>
        <v>14.1428746394407</v>
      </c>
      <c r="J56" s="130">
        <f t="shared" ref="J56" si="122">I56/I44-1</f>
        <v>0.20483768146306991</v>
      </c>
      <c r="K56" s="136"/>
      <c r="L56" s="190"/>
      <c r="M56" s="190"/>
      <c r="N56" s="191"/>
      <c r="O56" s="192"/>
      <c r="P56" s="129" t="s">
        <v>1420</v>
      </c>
      <c r="Q56" s="116">
        <v>13656024</v>
      </c>
      <c r="R56" s="116">
        <v>20433550962</v>
      </c>
      <c r="S56" s="116">
        <v>965576.26</v>
      </c>
      <c r="T56" s="130">
        <f t="shared" ref="T56" si="123">Q56/S56</f>
        <v>14.1428746394407</v>
      </c>
      <c r="U56" s="85">
        <f t="shared" ref="U56" si="124">Q54+Q55+Q56</f>
        <v>58227511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3687112.75</v>
      </c>
      <c r="G57" s="254">
        <f t="shared" ref="G57" si="125">F57/F56-1</f>
        <v>4.9399778808238768</v>
      </c>
      <c r="H57" s="254">
        <f t="shared" ref="H57" si="126">F57/F45-1</f>
        <v>2.7090469408943667</v>
      </c>
      <c r="I57" s="282">
        <f>T57</f>
        <v>15.3509821670508</v>
      </c>
      <c r="J57" s="277">
        <f t="shared" ref="J57" si="127">I57/I45-1</f>
        <v>0.65117097676358204</v>
      </c>
      <c r="K57" s="204"/>
      <c r="L57" s="254"/>
      <c r="M57" s="254"/>
      <c r="N57" s="257"/>
      <c r="O57" s="258"/>
      <c r="P57" s="129" t="s">
        <v>1436</v>
      </c>
      <c r="Q57" s="116">
        <v>44245353</v>
      </c>
      <c r="R57" s="116">
        <v>64998174898</v>
      </c>
      <c r="S57" s="116">
        <v>2882249</v>
      </c>
      <c r="T57" s="130">
        <f t="shared" ref="T57" si="128">Q57/S57</f>
        <v>15.3509821670508</v>
      </c>
      <c r="U57" s="85">
        <f t="shared" ref="U57" si="129">Q55+Q56+Q57</f>
        <v>91471479</v>
      </c>
      <c r="V57" s="79"/>
      <c r="W57" s="79"/>
      <c r="X57" s="79"/>
      <c r="Y57" s="79"/>
      <c r="Z57" s="79"/>
    </row>
    <row r="58" spans="1:26">
      <c r="B58" s="196">
        <f>SUM(F56:F58)</f>
        <v>4307841.1136363633</v>
      </c>
      <c r="C58" s="196">
        <f>AVERAGE(F56:F58)</f>
        <v>2153920.5568181816</v>
      </c>
      <c r="D58" s="197">
        <f>C58/C55-1</f>
        <v>1.0047467119396849</v>
      </c>
      <c r="E58" s="233">
        <f>C58/C46-1</f>
        <v>0.58719140239292256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123000666</v>
      </c>
      <c r="R64" s="212">
        <v>180727433711</v>
      </c>
      <c r="S64" s="213">
        <v>9153620.3800000008</v>
      </c>
      <c r="T64" s="214">
        <v>30</v>
      </c>
      <c r="U64" s="214">
        <v>30</v>
      </c>
    </row>
    <row r="65" spans="16:21" ht="18" thickBot="1">
      <c r="P65" s="180" t="s">
        <v>976</v>
      </c>
      <c r="Q65" s="181">
        <v>20527802</v>
      </c>
      <c r="R65" s="181">
        <v>29948517773</v>
      </c>
      <c r="S65" s="182">
        <v>1535776.3</v>
      </c>
      <c r="T65" s="210">
        <v>10</v>
      </c>
      <c r="U65" s="210">
        <v>14</v>
      </c>
    </row>
    <row r="66" spans="16:21" ht="18" thickBot="1">
      <c r="P66" s="180" t="s">
        <v>977</v>
      </c>
      <c r="Q66" s="181">
        <v>11001385</v>
      </c>
      <c r="R66" s="181">
        <v>15955554677</v>
      </c>
      <c r="S66" s="182">
        <v>938952.32</v>
      </c>
      <c r="T66" s="210">
        <v>13</v>
      </c>
      <c r="U66" s="210">
        <v>16</v>
      </c>
    </row>
    <row r="67" spans="16:21" ht="18" thickBot="1">
      <c r="P67" s="180" t="s">
        <v>978</v>
      </c>
      <c r="Q67" s="181">
        <v>33570102</v>
      </c>
      <c r="R67" s="181">
        <v>49391635401</v>
      </c>
      <c r="S67" s="182">
        <v>2831066.5</v>
      </c>
      <c r="T67" s="210">
        <v>14</v>
      </c>
      <c r="U67" s="210">
        <v>16</v>
      </c>
    </row>
    <row r="68" spans="16:21" ht="18" thickBot="1">
      <c r="P68" s="180" t="s">
        <v>979</v>
      </c>
      <c r="Q68" s="181">
        <v>13656024</v>
      </c>
      <c r="R68" s="181">
        <v>20433550962</v>
      </c>
      <c r="S68" s="182">
        <v>965576.26</v>
      </c>
      <c r="T68" s="210">
        <v>13</v>
      </c>
      <c r="U68" s="210">
        <v>13</v>
      </c>
    </row>
    <row r="69" spans="16:21" ht="18" thickBot="1">
      <c r="P69" s="180" t="s">
        <v>980</v>
      </c>
      <c r="Q69" s="181">
        <v>44245353</v>
      </c>
      <c r="R69" s="181">
        <v>64998174898</v>
      </c>
      <c r="S69" s="182">
        <v>2882249</v>
      </c>
      <c r="T69" s="210">
        <v>13</v>
      </c>
      <c r="U69" s="210">
        <v>17</v>
      </c>
    </row>
    <row r="70" spans="16:21" ht="18" thickBot="1">
      <c r="P70" s="180" t="s">
        <v>975</v>
      </c>
      <c r="Q70" s="181">
        <v>386378504</v>
      </c>
      <c r="R70" s="181">
        <v>549419507665</v>
      </c>
      <c r="S70" s="182">
        <v>33983749.229999997</v>
      </c>
      <c r="T70" s="210">
        <v>73</v>
      </c>
      <c r="U70" s="210">
        <v>102</v>
      </c>
    </row>
    <row r="71" spans="16:21" ht="18" thickBot="1">
      <c r="P71" s="215" t="s">
        <v>982</v>
      </c>
      <c r="Q71" s="216">
        <v>483645044</v>
      </c>
      <c r="R71" s="217"/>
      <c r="S71"/>
      <c r="T71"/>
      <c r="U71"/>
    </row>
  </sheetData>
  <phoneticPr fontId="1" type="noConversion"/>
  <conditionalFormatting sqref="C29:C30">
    <cfRule type="cellIs" dxfId="1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0"/>
  <dimension ref="A1:Z73"/>
  <sheetViews>
    <sheetView zoomScale="90" zoomScaleNormal="90" workbookViewId="0">
      <selection activeCell="H69" sqref="H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2825202000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6399139.75</v>
      </c>
      <c r="G5" s="90"/>
      <c r="H5" s="90"/>
      <c r="I5" s="130">
        <f t="shared" ref="I5:I49" si="0">T5</f>
        <v>20.784353346531958</v>
      </c>
      <c r="J5" s="130"/>
      <c r="L5" s="80"/>
      <c r="M5" s="80"/>
      <c r="P5" s="129" t="s">
        <v>0</v>
      </c>
      <c r="Q5" s="116">
        <v>127982795</v>
      </c>
      <c r="R5" s="116">
        <v>153934797366</v>
      </c>
      <c r="S5" s="116">
        <v>6157651.04</v>
      </c>
      <c r="T5" s="130">
        <f t="shared" ref="T5:T17" si="1">Q5/S5</f>
        <v>20.784353346531958</v>
      </c>
      <c r="U5" s="85"/>
    </row>
    <row r="6" spans="1:21" ht="15" hidden="1" customHeight="1">
      <c r="A6" s="129" t="s">
        <v>1</v>
      </c>
      <c r="C6" s="79"/>
      <c r="F6" s="78">
        <f>Q6/18</f>
        <v>3551511.4444444445</v>
      </c>
      <c r="G6" s="90">
        <f t="shared" ref="G6:G16" si="2">F6/F5-1</f>
        <v>-0.44500173723437675</v>
      </c>
      <c r="H6" s="90"/>
      <c r="I6" s="130">
        <f t="shared" si="0"/>
        <v>20.969694089044861</v>
      </c>
      <c r="J6" s="130"/>
      <c r="P6" s="129" t="s">
        <v>1</v>
      </c>
      <c r="Q6" s="116">
        <v>63927206</v>
      </c>
      <c r="R6" s="116">
        <v>77407427676</v>
      </c>
      <c r="S6" s="116">
        <v>3048552.15</v>
      </c>
      <c r="T6" s="130">
        <f t="shared" si="1"/>
        <v>20.969694089044861</v>
      </c>
      <c r="U6" s="85"/>
    </row>
    <row r="7" spans="1:21" ht="15" hidden="1" customHeight="1">
      <c r="A7" s="129" t="s">
        <v>2</v>
      </c>
      <c r="B7" s="131">
        <f>F5+F6+F7</f>
        <v>17782281.467171717</v>
      </c>
      <c r="C7" s="131">
        <f>AVERAGE(F5:F7)</f>
        <v>5927427.1557239061</v>
      </c>
      <c r="F7" s="78">
        <f>Q7/22</f>
        <v>7831630.2727272725</v>
      </c>
      <c r="G7" s="90">
        <f t="shared" si="2"/>
        <v>1.2051541703401036</v>
      </c>
      <c r="H7" s="90"/>
      <c r="I7" s="130">
        <f t="shared" si="0"/>
        <v>31.857376248333182</v>
      </c>
      <c r="J7" s="130"/>
      <c r="K7" s="79">
        <f>R5+R6+R7</f>
        <v>442675357710</v>
      </c>
      <c r="N7" s="88">
        <f>AVERAGE(T5:T7)</f>
        <v>24.53714122797</v>
      </c>
      <c r="P7" s="129" t="s">
        <v>2</v>
      </c>
      <c r="Q7" s="116">
        <v>172295866</v>
      </c>
      <c r="R7" s="116">
        <v>211333132668</v>
      </c>
      <c r="S7" s="116">
        <v>5408350.79</v>
      </c>
      <c r="T7" s="130">
        <f t="shared" si="1"/>
        <v>31.857376248333182</v>
      </c>
      <c r="U7" s="85">
        <f>Q5+Q6+Q7</f>
        <v>364205867</v>
      </c>
    </row>
    <row r="8" spans="1:21" ht="15" hidden="1" customHeight="1">
      <c r="A8" s="129" t="s">
        <v>3</v>
      </c>
      <c r="C8" s="79"/>
      <c r="F8" s="78">
        <f>Q8/21</f>
        <v>7590556.333333333</v>
      </c>
      <c r="G8" s="90">
        <f t="shared" si="2"/>
        <v>-3.0782088913651973E-2</v>
      </c>
      <c r="H8" s="90"/>
      <c r="I8" s="130">
        <f t="shared" si="0"/>
        <v>40.668658294100567</v>
      </c>
      <c r="J8" s="130"/>
      <c r="K8" s="78"/>
      <c r="P8" s="129" t="s">
        <v>3</v>
      </c>
      <c r="Q8" s="116">
        <v>159401683</v>
      </c>
      <c r="R8" s="116">
        <v>197560395477</v>
      </c>
      <c r="S8" s="116">
        <v>3919521.56</v>
      </c>
      <c r="T8" s="130">
        <f t="shared" si="1"/>
        <v>40.668658294100567</v>
      </c>
      <c r="U8" s="85"/>
    </row>
    <row r="9" spans="1:21" ht="15" hidden="1" customHeight="1">
      <c r="A9" s="129" t="s">
        <v>4</v>
      </c>
      <c r="C9" s="79"/>
      <c r="F9" s="78">
        <f>Q9/21</f>
        <v>16283188.333333334</v>
      </c>
      <c r="G9" s="90">
        <f t="shared" si="2"/>
        <v>1.1451903679084747</v>
      </c>
      <c r="H9" s="90"/>
      <c r="I9" s="130">
        <f t="shared" si="0"/>
        <v>57.739138039676654</v>
      </c>
      <c r="J9" s="130"/>
      <c r="K9" s="78"/>
      <c r="P9" s="129" t="s">
        <v>4</v>
      </c>
      <c r="Q9" s="116">
        <v>341946955</v>
      </c>
      <c r="R9" s="116">
        <v>438097090925</v>
      </c>
      <c r="S9" s="116">
        <v>5922273.29</v>
      </c>
      <c r="T9" s="130">
        <f t="shared" si="1"/>
        <v>57.739138039676654</v>
      </c>
      <c r="U9" s="85"/>
    </row>
    <row r="10" spans="1:21" ht="15" hidden="1" customHeight="1">
      <c r="A10" s="129" t="s">
        <v>5</v>
      </c>
      <c r="B10" s="131">
        <f>F8+F9+F10</f>
        <v>49299520.90476191</v>
      </c>
      <c r="C10" s="131">
        <f>AVERAGE(F8:F10)</f>
        <v>16433173.634920636</v>
      </c>
      <c r="D10" s="90">
        <f>C10/C7-1</f>
        <v>1.7723957128771635</v>
      </c>
      <c r="E10" s="286"/>
      <c r="F10" s="78">
        <f>Q10/21</f>
        <v>25425776.238095239</v>
      </c>
      <c r="G10" s="90">
        <f t="shared" si="2"/>
        <v>0.56147406254867804</v>
      </c>
      <c r="H10" s="90"/>
      <c r="I10" s="130">
        <f t="shared" si="0"/>
        <v>63.834697630590412</v>
      </c>
      <c r="J10" s="130"/>
      <c r="K10" s="79">
        <f>R8+R9+R10</f>
        <v>1320494851820</v>
      </c>
      <c r="L10" s="87">
        <f>U10/U7-1</f>
        <v>1.8425954461628704</v>
      </c>
      <c r="N10" s="88">
        <f>AVERAGE(T8:T10)</f>
        <v>54.080831321455868</v>
      </c>
      <c r="O10" s="89">
        <f>N10/N7-1</f>
        <v>1.2040396156586031</v>
      </c>
      <c r="P10" s="129" t="s">
        <v>5</v>
      </c>
      <c r="Q10" s="116">
        <v>533941301</v>
      </c>
      <c r="R10" s="116">
        <v>684837365418</v>
      </c>
      <c r="S10" s="116">
        <v>8364436.9100000001</v>
      </c>
      <c r="T10" s="130">
        <f t="shared" si="1"/>
        <v>63.834697630590412</v>
      </c>
      <c r="U10" s="85">
        <f>Q8+Q9+Q10</f>
        <v>1035289939</v>
      </c>
    </row>
    <row r="11" spans="1:21" ht="15" hidden="1" customHeight="1">
      <c r="A11" s="129" t="s">
        <v>6</v>
      </c>
      <c r="C11" s="79"/>
      <c r="F11" s="78">
        <f>Q11/21</f>
        <v>16066995</v>
      </c>
      <c r="G11" s="90">
        <f t="shared" si="2"/>
        <v>-0.36808241960664512</v>
      </c>
      <c r="H11" s="90"/>
      <c r="I11" s="130">
        <f t="shared" si="0"/>
        <v>58.983985082706084</v>
      </c>
      <c r="J11" s="130"/>
      <c r="K11" s="78"/>
      <c r="O11" s="89"/>
      <c r="P11" s="129" t="s">
        <v>6</v>
      </c>
      <c r="Q11" s="116">
        <v>337406895</v>
      </c>
      <c r="R11" s="116">
        <v>444087520910</v>
      </c>
      <c r="S11" s="116">
        <v>5720313.6500000004</v>
      </c>
      <c r="T11" s="130">
        <f t="shared" si="1"/>
        <v>58.983985082706084</v>
      </c>
      <c r="U11" s="85"/>
    </row>
    <row r="12" spans="1:21" ht="15" hidden="1" customHeight="1">
      <c r="A12" s="129" t="s">
        <v>7</v>
      </c>
      <c r="C12" s="79"/>
      <c r="F12" s="78">
        <f>Q12/22</f>
        <v>17510775.772727273</v>
      </c>
      <c r="G12" s="90">
        <f t="shared" si="2"/>
        <v>8.9860037469811527E-2</v>
      </c>
      <c r="H12" s="90"/>
      <c r="I12" s="130">
        <f t="shared" si="0"/>
        <v>63.88281971593576</v>
      </c>
      <c r="J12" s="130"/>
      <c r="K12" s="78"/>
      <c r="O12" s="89"/>
      <c r="P12" s="129" t="s">
        <v>7</v>
      </c>
      <c r="Q12" s="116">
        <v>385237067</v>
      </c>
      <c r="R12" s="116">
        <v>510221462351</v>
      </c>
      <c r="S12" s="116">
        <v>6030370.4299999997</v>
      </c>
      <c r="T12" s="130">
        <f t="shared" si="1"/>
        <v>63.88281971593576</v>
      </c>
      <c r="U12" s="85"/>
    </row>
    <row r="13" spans="1:21" ht="15" hidden="1" customHeight="1">
      <c r="A13" s="129" t="s">
        <v>96</v>
      </c>
      <c r="B13" s="131">
        <f>F11+F12+F13</f>
        <v>50893820.872727275</v>
      </c>
      <c r="C13" s="131">
        <f>AVERAGE(F11:F13)</f>
        <v>16964606.957575757</v>
      </c>
      <c r="D13" s="90">
        <f>C13/C10-1</f>
        <v>3.2339056013247491E-2</v>
      </c>
      <c r="E13" s="286"/>
      <c r="F13" s="78">
        <f>Q13/20</f>
        <v>17316050.100000001</v>
      </c>
      <c r="G13" s="90">
        <f t="shared" si="2"/>
        <v>-1.1120333859254483E-2</v>
      </c>
      <c r="H13" s="90"/>
      <c r="I13" s="130">
        <f t="shared" si="0"/>
        <v>61.135248841491091</v>
      </c>
      <c r="J13" s="130"/>
      <c r="K13" s="78">
        <f>R11+R12+R13</f>
        <v>1432115217690</v>
      </c>
      <c r="L13" s="87">
        <f>U13/U10-1</f>
        <v>3.252714406992796E-2</v>
      </c>
      <c r="N13" s="88">
        <f>AVERAGE(T11:T13)</f>
        <v>61.334017880044314</v>
      </c>
      <c r="O13" s="89">
        <f>N13/N10-1</f>
        <v>0.13411751227483149</v>
      </c>
      <c r="P13" s="129" t="s">
        <v>96</v>
      </c>
      <c r="Q13" s="116">
        <v>346321002</v>
      </c>
      <c r="R13" s="116">
        <v>477806234429</v>
      </c>
      <c r="S13" s="116">
        <v>5664833.4400000004</v>
      </c>
      <c r="T13" s="130">
        <f t="shared" si="1"/>
        <v>61.135248841491091</v>
      </c>
      <c r="U13" s="85">
        <f>Q11+Q12+Q13</f>
        <v>1068964964</v>
      </c>
    </row>
    <row r="14" spans="1:21" ht="15" hidden="1" customHeight="1">
      <c r="A14" s="129" t="s">
        <v>97</v>
      </c>
      <c r="C14" s="79"/>
      <c r="F14" s="78">
        <f>Q14/20</f>
        <v>21777067.050000001</v>
      </c>
      <c r="G14" s="90">
        <f t="shared" si="2"/>
        <v>0.2576232411108581</v>
      </c>
      <c r="H14" s="90"/>
      <c r="I14" s="130">
        <f t="shared" si="0"/>
        <v>58.267037758352991</v>
      </c>
      <c r="J14" s="130"/>
      <c r="O14" s="89"/>
      <c r="P14" s="129" t="s">
        <v>97</v>
      </c>
      <c r="Q14" s="116">
        <v>435541341</v>
      </c>
      <c r="R14" s="116">
        <v>621338808563</v>
      </c>
      <c r="S14" s="116">
        <v>7474918.2000000002</v>
      </c>
      <c r="T14" s="130">
        <f t="shared" si="1"/>
        <v>58.267037758352991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16146007.454545455</v>
      </c>
      <c r="G15" s="90">
        <f t="shared" si="2"/>
        <v>-0.25857750185209383</v>
      </c>
      <c r="H15" s="90"/>
      <c r="I15" s="130">
        <f t="shared" si="0"/>
        <v>57.957444438274528</v>
      </c>
      <c r="J15" s="130"/>
      <c r="O15" s="89"/>
      <c r="P15" s="129" t="s">
        <v>98</v>
      </c>
      <c r="Q15" s="116">
        <v>355212164</v>
      </c>
      <c r="R15" s="116">
        <v>492561206240</v>
      </c>
      <c r="S15" s="116">
        <v>6128844.4900000002</v>
      </c>
      <c r="T15" s="130">
        <f t="shared" si="1"/>
        <v>57.957444438274528</v>
      </c>
      <c r="U15" s="85"/>
    </row>
    <row r="16" spans="1:21" ht="15" hidden="1" customHeight="1">
      <c r="A16" s="129" t="s">
        <v>99</v>
      </c>
      <c r="B16" s="131">
        <f>F14+F15+F16</f>
        <v>56174427.004545458</v>
      </c>
      <c r="C16" s="131">
        <f>AVERAGE(F14:F16)</f>
        <v>18724809.001515154</v>
      </c>
      <c r="D16" s="90">
        <f>C16/C13-1</f>
        <v>0.10375731358476048</v>
      </c>
      <c r="E16" s="286"/>
      <c r="F16" s="78">
        <f>Q16/22</f>
        <v>18251352.5</v>
      </c>
      <c r="G16" s="90">
        <f t="shared" si="2"/>
        <v>0.13039415789826392</v>
      </c>
      <c r="H16" s="90"/>
      <c r="I16" s="130">
        <f t="shared" si="0"/>
        <v>57.110740081113029</v>
      </c>
      <c r="J16" s="130"/>
      <c r="K16" s="78">
        <f>R14+R15+R16</f>
        <v>1640493491219</v>
      </c>
      <c r="L16" s="87">
        <f>U16/U13-1</f>
        <v>0.11536233660881701</v>
      </c>
      <c r="N16" s="88">
        <f>AVERAGE(T14:T16)</f>
        <v>57.778407425913514</v>
      </c>
      <c r="O16" s="89">
        <f>N16/N13-1</f>
        <v>-5.7971262555875369E-2</v>
      </c>
      <c r="P16" s="129" t="s">
        <v>99</v>
      </c>
      <c r="Q16" s="116">
        <v>401529755</v>
      </c>
      <c r="R16" s="116">
        <v>526593476416</v>
      </c>
      <c r="S16" s="116">
        <v>7030722.3200000003</v>
      </c>
      <c r="T16" s="130">
        <f t="shared" si="1"/>
        <v>57.110740081113029</v>
      </c>
      <c r="U16" s="85">
        <f>Q14+Q15+Q16</f>
        <v>1192283260</v>
      </c>
    </row>
    <row r="17" spans="1:21" ht="15" hidden="1" customHeight="1">
      <c r="A17" s="129" t="s">
        <v>100</v>
      </c>
      <c r="C17" s="79"/>
      <c r="F17" s="78">
        <f>Q17/20</f>
        <v>32361508.350000001</v>
      </c>
      <c r="G17" s="90">
        <f t="shared" ref="G17:G22" si="3">F17/F16-1</f>
        <v>0.77310193039118613</v>
      </c>
      <c r="H17" s="90">
        <f t="shared" ref="H17:H22" si="4">F17/F5-1</f>
        <v>4.0571654338381968</v>
      </c>
      <c r="I17" s="130">
        <f t="shared" si="0"/>
        <v>76.556498798635886</v>
      </c>
      <c r="J17" s="130">
        <f t="shared" ref="J17:J49" si="5">I17/I5-1</f>
        <v>2.683371694188887</v>
      </c>
      <c r="O17" s="89"/>
      <c r="P17" s="129" t="s">
        <v>100</v>
      </c>
      <c r="Q17" s="116">
        <v>647230167</v>
      </c>
      <c r="R17" s="116">
        <v>811319224471</v>
      </c>
      <c r="S17" s="116">
        <v>8454281.1799999997</v>
      </c>
      <c r="T17" s="130">
        <f t="shared" si="1"/>
        <v>76.556498798635886</v>
      </c>
      <c r="U17" s="78"/>
    </row>
    <row r="18" spans="1:21" ht="15" hidden="1" customHeight="1">
      <c r="A18" s="129" t="s">
        <v>106</v>
      </c>
      <c r="C18" s="79"/>
      <c r="F18" s="78">
        <f>Q18/20</f>
        <v>33759516.149999999</v>
      </c>
      <c r="G18" s="90">
        <f t="shared" si="3"/>
        <v>4.3199710745250197E-2</v>
      </c>
      <c r="H18" s="90">
        <f t="shared" si="4"/>
        <v>8.5056757321757495</v>
      </c>
      <c r="I18" s="130">
        <f t="shared" si="0"/>
        <v>77.126861134842983</v>
      </c>
      <c r="J18" s="130">
        <f t="shared" si="5"/>
        <v>2.6780155593750963</v>
      </c>
      <c r="O18" s="89"/>
      <c r="P18" s="129" t="s">
        <v>106</v>
      </c>
      <c r="Q18" s="116">
        <v>675190323</v>
      </c>
      <c r="R18" s="116">
        <v>847878900310</v>
      </c>
      <c r="S18" s="116">
        <v>8754282.4000000004</v>
      </c>
      <c r="T18" s="130">
        <f t="shared" ref="T18" si="6">Q18/S18</f>
        <v>77.126861134842983</v>
      </c>
      <c r="U18" s="78"/>
    </row>
    <row r="19" spans="1:21" hidden="1">
      <c r="A19" s="129" t="s">
        <v>114</v>
      </c>
      <c r="B19" s="131">
        <f>SUM(F17:F19)</f>
        <v>104199442.5</v>
      </c>
      <c r="C19" s="131">
        <f>AVERAGE(F17:F19)</f>
        <v>34733147.5</v>
      </c>
      <c r="D19" s="90">
        <f>C19/C16-1</f>
        <v>0.85492666425540054</v>
      </c>
      <c r="E19" s="286">
        <f>C19/C7-1</f>
        <v>4.8597341793495401</v>
      </c>
      <c r="F19" s="78">
        <f>Q19/22</f>
        <v>38078418</v>
      </c>
      <c r="G19" s="90">
        <f t="shared" si="3"/>
        <v>0.12793139068730408</v>
      </c>
      <c r="H19" s="90">
        <f t="shared" si="4"/>
        <v>3.8621317240426416</v>
      </c>
      <c r="I19" s="130">
        <f t="shared" si="0"/>
        <v>70.354133909471997</v>
      </c>
      <c r="J19" s="130">
        <f t="shared" si="5"/>
        <v>1.2084095488922446</v>
      </c>
      <c r="K19" s="78">
        <f>R17+R18+R19</f>
        <v>2754448794587</v>
      </c>
      <c r="L19" s="87">
        <f>U19/U16-1</f>
        <v>0.81177221761882312</v>
      </c>
      <c r="M19" s="87">
        <f>U19/U7-1</f>
        <v>4.931111719295834</v>
      </c>
      <c r="N19" s="88">
        <f>AVERAGE(T17:T19)</f>
        <v>74.67916461431696</v>
      </c>
      <c r="O19" s="89">
        <f>N19/N16-1</f>
        <v>0.29250991748214039</v>
      </c>
      <c r="P19" s="129" t="s">
        <v>115</v>
      </c>
      <c r="Q19" s="116">
        <v>837725196</v>
      </c>
      <c r="R19" s="116">
        <v>1095250669806</v>
      </c>
      <c r="S19" s="116">
        <v>11907263.289999999</v>
      </c>
      <c r="T19" s="130">
        <f t="shared" ref="T19" si="7">Q19/S19</f>
        <v>70.354133909471997</v>
      </c>
      <c r="U19" s="85">
        <f>Q17+Q18+Q19</f>
        <v>2160145686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27544249.449999999</v>
      </c>
      <c r="G20" s="90">
        <f t="shared" si="3"/>
        <v>-0.27664407040229455</v>
      </c>
      <c r="H20" s="90">
        <f t="shared" si="4"/>
        <v>2.6287523918426885</v>
      </c>
      <c r="I20" s="130">
        <f t="shared" si="0"/>
        <v>64.626974354193933</v>
      </c>
      <c r="J20" s="130">
        <f t="shared" si="5"/>
        <v>0.58911006817180356</v>
      </c>
      <c r="O20" s="89"/>
      <c r="P20" s="129" t="s">
        <v>132</v>
      </c>
      <c r="Q20" s="116">
        <v>550884989</v>
      </c>
      <c r="R20" s="116">
        <v>722433239706</v>
      </c>
      <c r="S20" s="116">
        <v>8524072.0999999996</v>
      </c>
      <c r="T20" s="130">
        <f t="shared" ref="T20" si="8">Q20/S20</f>
        <v>64.626974354193933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22125433.857142858</v>
      </c>
      <c r="G21" s="90">
        <f t="shared" si="3"/>
        <v>-0.19673128515241289</v>
      </c>
      <c r="H21" s="90">
        <f t="shared" si="4"/>
        <v>0.35879002344091648</v>
      </c>
      <c r="I21" s="130">
        <f t="shared" si="0"/>
        <v>53.261814326336086</v>
      </c>
      <c r="J21" s="130">
        <f t="shared" si="5"/>
        <v>-7.7543999882088266E-2</v>
      </c>
      <c r="O21" s="89"/>
      <c r="P21" s="129" t="s">
        <v>141</v>
      </c>
      <c r="Q21" s="116">
        <v>464634111</v>
      </c>
      <c r="R21" s="116">
        <v>618716472659</v>
      </c>
      <c r="S21" s="116">
        <v>8723587.75</v>
      </c>
      <c r="T21" s="130">
        <f t="shared" ref="T21" si="9">Q21/S21</f>
        <v>53.261814326336086</v>
      </c>
      <c r="U21" s="78"/>
    </row>
    <row r="22" spans="1:21" hidden="1">
      <c r="A22" s="129" t="s">
        <v>156</v>
      </c>
      <c r="B22" s="131">
        <f>SUM(F20:F22)</f>
        <v>74544063.830952376</v>
      </c>
      <c r="C22" s="131">
        <f>AVERAGE(F20:F22)</f>
        <v>24848021.276984125</v>
      </c>
      <c r="D22" s="90">
        <f>C22/C19-1</f>
        <v>-0.2846020857457815</v>
      </c>
      <c r="E22" s="286">
        <f>C22/C10-1</f>
        <v>0.51206467046522675</v>
      </c>
      <c r="F22" s="78">
        <f>Q22/21</f>
        <v>24874380.523809522</v>
      </c>
      <c r="G22" s="90">
        <f t="shared" si="3"/>
        <v>0.12424374068394628</v>
      </c>
      <c r="H22" s="90">
        <f t="shared" si="4"/>
        <v>-2.1686484971875308E-2</v>
      </c>
      <c r="I22" s="130">
        <f t="shared" si="0"/>
        <v>54.430521314792003</v>
      </c>
      <c r="J22" s="130">
        <f t="shared" si="5"/>
        <v>-0.14732076229482771</v>
      </c>
      <c r="K22" s="78">
        <f>R20+R21+R22</f>
        <v>2019728775140</v>
      </c>
      <c r="L22" s="87">
        <f>U22/U19-1</f>
        <v>-0.28806603139451403</v>
      </c>
      <c r="M22" s="87">
        <f>U22/U10-1</f>
        <v>0.48545932213487886</v>
      </c>
      <c r="N22" s="88">
        <f>AVERAGE(T20:T22)</f>
        <v>57.439769998440674</v>
      </c>
      <c r="O22" s="89">
        <f>N22/N19-1</f>
        <v>-0.2308461095529083</v>
      </c>
      <c r="P22" s="129" t="s">
        <v>156</v>
      </c>
      <c r="Q22" s="116">
        <v>522361991</v>
      </c>
      <c r="R22" s="116">
        <v>678579062775</v>
      </c>
      <c r="S22" s="116">
        <v>9596858.1300000008</v>
      </c>
      <c r="T22" s="130">
        <f t="shared" ref="T22:T23" si="10">Q22/S22</f>
        <v>54.430521314792003</v>
      </c>
      <c r="U22" s="85">
        <f>Q20+Q21+Q22</f>
        <v>1537881091</v>
      </c>
    </row>
    <row r="23" spans="1:21" hidden="1">
      <c r="A23" s="129" t="s">
        <v>189</v>
      </c>
      <c r="B23" s="131"/>
      <c r="C23" s="131"/>
      <c r="F23" s="78">
        <f>Q23/21</f>
        <v>23591976.19047619</v>
      </c>
      <c r="G23" s="90">
        <f t="shared" ref="G23" si="11">F23/F22-1</f>
        <v>-5.1555226957544775E-2</v>
      </c>
      <c r="H23" s="90">
        <f t="shared" ref="H23" si="12">F23/F11-1</f>
        <v>0.46835025407527597</v>
      </c>
      <c r="I23" s="130">
        <f t="shared" si="0"/>
        <v>49.77894309677658</v>
      </c>
      <c r="J23" s="130">
        <f t="shared" si="5"/>
        <v>-0.15606002159776744</v>
      </c>
      <c r="O23" s="89"/>
      <c r="P23" s="129" t="s">
        <v>189</v>
      </c>
      <c r="Q23" s="116">
        <v>495431500</v>
      </c>
      <c r="R23" s="116">
        <v>642784001360</v>
      </c>
      <c r="S23" s="116">
        <v>9952631.9600000009</v>
      </c>
      <c r="T23" s="130">
        <f t="shared" si="10"/>
        <v>49.77894309677658</v>
      </c>
      <c r="U23" s="78"/>
    </row>
    <row r="24" spans="1:21" hidden="1">
      <c r="A24" s="129" t="s">
        <v>204</v>
      </c>
      <c r="B24" s="131"/>
      <c r="C24" s="131"/>
      <c r="F24" s="78">
        <f>Q24/22</f>
        <v>22434884.90909091</v>
      </c>
      <c r="G24" s="90">
        <f t="shared" ref="G24" si="13">F24/F23-1</f>
        <v>-4.9045966816988584E-2</v>
      </c>
      <c r="H24" s="90">
        <f t="shared" ref="H24" si="14">F24/F12-1</f>
        <v>0.28120451088368403</v>
      </c>
      <c r="I24" s="130">
        <f t="shared" si="0"/>
        <v>47.70984240093955</v>
      </c>
      <c r="J24" s="130">
        <f t="shared" si="5"/>
        <v>-0.25316630334903345</v>
      </c>
      <c r="O24" s="89"/>
      <c r="P24" s="129" t="s">
        <v>204</v>
      </c>
      <c r="Q24" s="116">
        <v>493567468</v>
      </c>
      <c r="R24" s="116">
        <v>645617529723</v>
      </c>
      <c r="S24" s="116">
        <v>10345191.75</v>
      </c>
      <c r="T24" s="130">
        <f t="shared" ref="T24" si="15">Q24/S24</f>
        <v>47.70984240093955</v>
      </c>
      <c r="U24" s="78"/>
    </row>
    <row r="25" spans="1:21" s="79" customFormat="1" ht="13.2" hidden="1">
      <c r="A25" s="129" t="s">
        <v>219</v>
      </c>
      <c r="B25" s="131">
        <f>SUM(F23:F25)</f>
        <v>67030146.889040783</v>
      </c>
      <c r="C25" s="131">
        <f>AVERAGE(F23:F25)</f>
        <v>22343382.296346929</v>
      </c>
      <c r="D25" s="90">
        <f>C25/C22-1</f>
        <v>-0.10079832726790028</v>
      </c>
      <c r="E25" s="286">
        <f>C25/C13-1</f>
        <v>0.31705864758447655</v>
      </c>
      <c r="F25" s="78">
        <f>Q25/19</f>
        <v>21003285.789473683</v>
      </c>
      <c r="G25" s="90">
        <f t="shared" ref="G25" si="16">F25/F24-1</f>
        <v>-6.3811297691887203E-2</v>
      </c>
      <c r="H25" s="90">
        <f t="shared" ref="H25" si="17">F25/F13-1</f>
        <v>0.2129374579179395</v>
      </c>
      <c r="I25" s="130">
        <f t="shared" si="0"/>
        <v>41.463029538619125</v>
      </c>
      <c r="J25" s="130">
        <f t="shared" si="5"/>
        <v>-0.32178194536963889</v>
      </c>
      <c r="K25" s="78">
        <f>R23+R24+R25</f>
        <v>1817977893382</v>
      </c>
      <c r="L25" s="90">
        <f>U25/U22-1</f>
        <v>-9.7419555957073634E-2</v>
      </c>
      <c r="M25" s="90">
        <f>U25/U13-1</f>
        <v>0.29850972178354773</v>
      </c>
      <c r="N25" s="88">
        <f>AVERAGE(T23:T25)</f>
        <v>46.317271678778411</v>
      </c>
      <c r="O25" s="91">
        <f>N25/N22-1</f>
        <v>-0.19363758455098634</v>
      </c>
      <c r="P25" s="129" t="s">
        <v>219</v>
      </c>
      <c r="Q25" s="116">
        <v>399062430</v>
      </c>
      <c r="R25" s="116">
        <v>529576362299</v>
      </c>
      <c r="S25" s="116">
        <v>9624536.2300000004</v>
      </c>
      <c r="T25" s="130">
        <f t="shared" ref="T25" si="18">Q25/S25</f>
        <v>41.463029538619125</v>
      </c>
      <c r="U25" s="85">
        <f>Q23+Q24+Q25</f>
        <v>1388061398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17457116.684210528</v>
      </c>
      <c r="G26" s="90">
        <f t="shared" ref="G26" si="19">F26/F25-1</f>
        <v>-0.16883877793256541</v>
      </c>
      <c r="H26" s="90">
        <f t="shared" ref="H26" si="20">F26/F14-1</f>
        <v>-0.19837154176321792</v>
      </c>
      <c r="I26" s="130">
        <f t="shared" si="0"/>
        <v>36.460617223932864</v>
      </c>
      <c r="J26" s="130">
        <f t="shared" si="5"/>
        <v>-0.3742496851282614</v>
      </c>
      <c r="L26" s="90"/>
      <c r="M26" s="90"/>
      <c r="P26" s="129" t="s">
        <v>312</v>
      </c>
      <c r="Q26" s="116">
        <v>331685217</v>
      </c>
      <c r="R26" s="116">
        <v>446661677017</v>
      </c>
      <c r="S26" s="116">
        <v>9097081.7899999991</v>
      </c>
      <c r="T26" s="130">
        <f t="shared" ref="T26" si="21">Q26/S26</f>
        <v>36.460617223932864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18827618.863636363</v>
      </c>
      <c r="G27" s="90">
        <f t="shared" ref="G27" si="22">F27/F26-1</f>
        <v>7.8506789191906901E-2</v>
      </c>
      <c r="H27" s="90">
        <f t="shared" ref="H27" si="23">F27/F15-1</f>
        <v>0.16608510906737983</v>
      </c>
      <c r="I27" s="130">
        <f t="shared" si="0"/>
        <v>32.452406672497993</v>
      </c>
      <c r="J27" s="130">
        <f t="shared" si="5"/>
        <v>-0.44006491336828613</v>
      </c>
      <c r="L27" s="90"/>
      <c r="M27" s="90"/>
      <c r="P27" s="129" t="s">
        <v>375</v>
      </c>
      <c r="Q27" s="116">
        <v>414207615</v>
      </c>
      <c r="R27" s="116">
        <v>543243434577</v>
      </c>
      <c r="S27" s="116">
        <v>12763540.75</v>
      </c>
      <c r="T27" s="130">
        <f t="shared" ref="T27" si="24">Q27/S27</f>
        <v>32.452406672497993</v>
      </c>
      <c r="U27" s="78"/>
    </row>
    <row r="28" spans="1:21" s="79" customFormat="1" ht="13.2" hidden="1">
      <c r="A28" s="123" t="s">
        <v>413</v>
      </c>
      <c r="B28" s="131">
        <f>SUM(F26:F28)</f>
        <v>54919011.65311005</v>
      </c>
      <c r="C28" s="131">
        <f>AVERAGE(F26:F28)</f>
        <v>18306337.21770335</v>
      </c>
      <c r="D28" s="90">
        <f>C28/C25-1</f>
        <v>-0.18068191400473965</v>
      </c>
      <c r="E28" s="286">
        <f>C28/C16-1</f>
        <v>-2.2348520819514994E-2</v>
      </c>
      <c r="F28" s="78">
        <f>Q28/19</f>
        <v>18634276.105263159</v>
      </c>
      <c r="G28" s="90">
        <f t="shared" ref="G28" si="25">F28/F27-1</f>
        <v>-1.0269103054057815E-2</v>
      </c>
      <c r="H28" s="90">
        <f t="shared" ref="H28" si="26">F28/F16-1</f>
        <v>2.0980560496169254E-2</v>
      </c>
      <c r="I28" s="130">
        <f t="shared" si="0"/>
        <v>29.567630704800703</v>
      </c>
      <c r="J28" s="130">
        <f t="shared" si="5"/>
        <v>-0.4822754763323589</v>
      </c>
      <c r="K28" s="78">
        <f>R26+R27+R28</f>
        <v>1451827703667</v>
      </c>
      <c r="L28" s="90">
        <f>U28/U25-1</f>
        <v>-0.20756813813505393</v>
      </c>
      <c r="M28" s="90">
        <f>U28/U16-1</f>
        <v>-7.7447352569556371E-2</v>
      </c>
      <c r="N28" s="88">
        <f>AVERAGE(T26:T28)</f>
        <v>32.82688486707719</v>
      </c>
      <c r="O28" s="91">
        <f>N28/N25-1</f>
        <v>-0.2912603942922275</v>
      </c>
      <c r="P28" s="129" t="s">
        <v>413</v>
      </c>
      <c r="Q28" s="116">
        <v>354051246</v>
      </c>
      <c r="R28" s="116">
        <v>461922592073</v>
      </c>
      <c r="S28" s="116">
        <v>11974285.310000001</v>
      </c>
      <c r="T28" s="130">
        <f t="shared" ref="T28" si="27">Q28/S28</f>
        <v>29.567630704800703</v>
      </c>
      <c r="U28" s="85">
        <f>Q26+Q27+Q28</f>
        <v>1099944078</v>
      </c>
    </row>
    <row r="29" spans="1:21" s="79" customFormat="1" ht="13.2" hidden="1">
      <c r="A29" s="129" t="s">
        <v>442</v>
      </c>
      <c r="B29" s="188"/>
      <c r="C29" s="188"/>
      <c r="D29" s="189"/>
      <c r="E29" s="287"/>
      <c r="F29" s="136">
        <f>Q29/22</f>
        <v>7755272.8636363633</v>
      </c>
      <c r="G29" s="190">
        <f t="shared" ref="G29" si="28">F29/F28-1</f>
        <v>-0.58381678902751011</v>
      </c>
      <c r="H29" s="190">
        <f t="shared" ref="H29" si="29">F29/F17-1</f>
        <v>-0.76035502487212214</v>
      </c>
      <c r="I29" s="130">
        <f t="shared" si="0"/>
        <v>21.797191767325913</v>
      </c>
      <c r="J29" s="130">
        <f t="shared" si="5"/>
        <v>-0.71527966783514518</v>
      </c>
      <c r="K29" s="136"/>
      <c r="L29" s="190"/>
      <c r="M29" s="190"/>
      <c r="N29" s="191"/>
      <c r="O29" s="192"/>
      <c r="P29" s="129" t="s">
        <v>442</v>
      </c>
      <c r="Q29" s="116">
        <v>170616003</v>
      </c>
      <c r="R29" s="116">
        <v>224004081401</v>
      </c>
      <c r="S29" s="116">
        <v>7827430.4699999997</v>
      </c>
      <c r="T29" s="130">
        <f t="shared" ref="T29" si="30">Q29/S29</f>
        <v>21.797191767325913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8239514</v>
      </c>
      <c r="G30" s="190">
        <f t="shared" ref="G30" si="31">F30/F29-1</f>
        <v>6.2440244834477854E-2</v>
      </c>
      <c r="H30" s="190">
        <f t="shared" ref="H30" si="32">F30/F18-1</f>
        <v>-0.75593506839996583</v>
      </c>
      <c r="I30" s="130">
        <f t="shared" si="0"/>
        <v>18.617763226703666</v>
      </c>
      <c r="J30" s="130">
        <f t="shared" si="5"/>
        <v>-0.75860857096007417</v>
      </c>
      <c r="K30" s="136"/>
      <c r="L30" s="190"/>
      <c r="M30" s="190"/>
      <c r="N30" s="191"/>
      <c r="O30" s="192"/>
      <c r="P30" s="129" t="s">
        <v>466</v>
      </c>
      <c r="Q30" s="116">
        <v>156550766</v>
      </c>
      <c r="R30" s="116">
        <v>208478430890</v>
      </c>
      <c r="S30" s="116">
        <v>8408677.4600000009</v>
      </c>
      <c r="T30" s="130">
        <f t="shared" ref="T30" si="33">Q30/S30</f>
        <v>18.617763226703666</v>
      </c>
      <c r="U30" s="85"/>
    </row>
    <row r="31" spans="1:21" s="79" customFormat="1" ht="13.2" hidden="1">
      <c r="A31" s="129" t="s">
        <v>505</v>
      </c>
      <c r="B31" s="188">
        <f>SUM(F29:F31)</f>
        <v>24629318.363636363</v>
      </c>
      <c r="C31" s="188">
        <f>AVERAGE(F29:F31)</f>
        <v>8209772.7878787881</v>
      </c>
      <c r="D31" s="190">
        <f>C31/C28-1</f>
        <v>-0.55153383824157709</v>
      </c>
      <c r="E31" s="287">
        <f>C31/C19-1</f>
        <v>-0.76363291613929352</v>
      </c>
      <c r="F31" s="136">
        <f>Q31/20</f>
        <v>8634531.5</v>
      </c>
      <c r="G31" s="190">
        <f t="shared" ref="G31" si="34">F31/F30-1</f>
        <v>4.7941844628214714E-2</v>
      </c>
      <c r="H31" s="190">
        <f t="shared" ref="H31" si="35">F31/F19-1</f>
        <v>-0.77324342886303732</v>
      </c>
      <c r="I31" s="130">
        <f t="shared" si="0"/>
        <v>16.831225448438559</v>
      </c>
      <c r="J31" s="130">
        <f t="shared" si="5"/>
        <v>-0.76076422929040532</v>
      </c>
      <c r="K31" s="136">
        <f>R29+R30+R31</f>
        <v>661731977484</v>
      </c>
      <c r="L31" s="190">
        <f>U31/U28-1</f>
        <v>-0.5455610798788264</v>
      </c>
      <c r="M31" s="190">
        <f>U31/U19-1</f>
        <v>-0.76860014477745742</v>
      </c>
      <c r="N31" s="191">
        <f>AVERAGE(T29:T31)</f>
        <v>19.082060147489379</v>
      </c>
      <c r="O31" s="192">
        <f>N31/N28-1</f>
        <v>-0.41870633705401639</v>
      </c>
      <c r="P31" s="129" t="s">
        <v>505</v>
      </c>
      <c r="Q31" s="116">
        <v>172690630</v>
      </c>
      <c r="R31" s="116">
        <v>229249465193</v>
      </c>
      <c r="S31" s="116">
        <v>10260134.09</v>
      </c>
      <c r="T31" s="130">
        <f t="shared" ref="T31" si="36">Q31/S31</f>
        <v>16.831225448438559</v>
      </c>
      <c r="U31" s="85">
        <f>Q29+Q30+Q31</f>
        <v>499857399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6898359.0952380951</v>
      </c>
      <c r="G32" s="190">
        <f t="shared" ref="G32" si="37">F32/F31-1</f>
        <v>-0.20107314505273444</v>
      </c>
      <c r="H32" s="190">
        <f t="shared" ref="H32" si="38">F32/F20-1</f>
        <v>-0.74955356442874155</v>
      </c>
      <c r="I32" s="130">
        <f t="shared" si="0"/>
        <v>15.984792844423751</v>
      </c>
      <c r="J32" s="130">
        <f t="shared" si="5"/>
        <v>-0.75266066523836228</v>
      </c>
      <c r="K32" s="136"/>
      <c r="L32" s="190"/>
      <c r="M32" s="190"/>
      <c r="N32" s="191"/>
      <c r="O32" s="192"/>
      <c r="P32" s="129" t="s">
        <v>566</v>
      </c>
      <c r="Q32" s="116">
        <v>144865541</v>
      </c>
      <c r="R32" s="116">
        <v>196925147701</v>
      </c>
      <c r="S32" s="116">
        <v>9062709.9399999995</v>
      </c>
      <c r="T32" s="130">
        <f t="shared" ref="T32" si="39">Q32/S32</f>
        <v>15.984792844423751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7624738.5238095243</v>
      </c>
      <c r="G33" s="190">
        <f t="shared" ref="G33" si="40">F33/F32-1</f>
        <v>0.10529742197283487</v>
      </c>
      <c r="H33" s="190">
        <f t="shared" ref="H33" si="41">F33/F21-1</f>
        <v>-0.65538580743590735</v>
      </c>
      <c r="I33" s="130">
        <f t="shared" si="0"/>
        <v>17.108818393720988</v>
      </c>
      <c r="J33" s="130">
        <f t="shared" si="5"/>
        <v>-0.67877890360822191</v>
      </c>
      <c r="K33" s="136"/>
      <c r="L33" s="190"/>
      <c r="M33" s="190"/>
      <c r="N33" s="191"/>
      <c r="O33" s="192"/>
      <c r="P33" s="129" t="s">
        <v>607</v>
      </c>
      <c r="Q33" s="116">
        <v>160119509</v>
      </c>
      <c r="R33" s="116">
        <v>218979386193</v>
      </c>
      <c r="S33" s="116">
        <v>9358887.6400000006</v>
      </c>
      <c r="T33" s="130">
        <f t="shared" ref="T33" si="42">Q33/S33</f>
        <v>17.108818393720988</v>
      </c>
      <c r="U33" s="85"/>
    </row>
    <row r="34" spans="1:21" s="79" customFormat="1" ht="13.2" hidden="1">
      <c r="A34" s="129" t="s">
        <v>652</v>
      </c>
      <c r="B34" s="188">
        <f>SUM(F32:F34)</f>
        <v>21648155.355889723</v>
      </c>
      <c r="C34" s="188">
        <f>AVERAGE(F32:F34)</f>
        <v>7216051.7852965742</v>
      </c>
      <c r="D34" s="190">
        <f>C34/C31-1</f>
        <v>-0.12104123076942885</v>
      </c>
      <c r="E34" s="287">
        <f>C34/C22-1</f>
        <v>-0.70959249813664016</v>
      </c>
      <c r="F34" s="136">
        <f>Q34/19</f>
        <v>7125057.7368421052</v>
      </c>
      <c r="G34" s="190">
        <f t="shared" ref="G34" si="43">F34/F33-1</f>
        <v>-6.5534153782071614E-2</v>
      </c>
      <c r="H34" s="190">
        <f t="shared" ref="H34" si="44">F34/F22-1</f>
        <v>-0.71355838469938715</v>
      </c>
      <c r="I34" s="130">
        <f t="shared" si="0"/>
        <v>14.521342463810369</v>
      </c>
      <c r="J34" s="130">
        <f t="shared" si="5"/>
        <v>-0.73321323931791815</v>
      </c>
      <c r="K34" s="136">
        <f>R32+R33+R34</f>
        <v>601884420315</v>
      </c>
      <c r="L34" s="190">
        <f>U34/U31-1</f>
        <v>-0.11902645058175887</v>
      </c>
      <c r="M34" s="190">
        <f>U34/U22-1</f>
        <v>-0.71365721993911946</v>
      </c>
      <c r="N34" s="191">
        <f>AVERAGE(T32:T34)</f>
        <v>15.871651233985036</v>
      </c>
      <c r="O34" s="192">
        <f>N34/N31-1</f>
        <v>-0.1682422594148848</v>
      </c>
      <c r="P34" s="129" t="s">
        <v>652</v>
      </c>
      <c r="Q34" s="116">
        <v>135376097</v>
      </c>
      <c r="R34" s="116">
        <v>185979886421</v>
      </c>
      <c r="S34" s="116">
        <v>9322560.7300000004</v>
      </c>
      <c r="T34" s="130">
        <f t="shared" ref="T34" si="45">Q34/S34</f>
        <v>14.521342463810369</v>
      </c>
      <c r="U34" s="85">
        <f>Q32+Q33+Q34</f>
        <v>440361147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6191786.4347826084</v>
      </c>
      <c r="G35" s="190">
        <f t="shared" ref="G35" si="46">F35/F34-1</f>
        <v>-0.13098438448207317</v>
      </c>
      <c r="H35" s="190">
        <f t="shared" ref="H35" si="47">F35/F23-1</f>
        <v>-0.73754693609422328</v>
      </c>
      <c r="I35" s="130">
        <f t="shared" si="0"/>
        <v>16.350829911485327</v>
      </c>
      <c r="J35" s="130">
        <f t="shared" si="5"/>
        <v>-0.67153119583721899</v>
      </c>
      <c r="K35" s="136"/>
      <c r="L35" s="190"/>
      <c r="M35" s="190"/>
      <c r="N35" s="191"/>
      <c r="O35" s="192"/>
      <c r="P35" s="129" t="s">
        <v>660</v>
      </c>
      <c r="Q35" s="116">
        <v>142411088</v>
      </c>
      <c r="R35" s="116">
        <v>197113542546</v>
      </c>
      <c r="S35" s="116">
        <v>8709716.1899999995</v>
      </c>
      <c r="T35" s="130">
        <f t="shared" ref="T35" si="48">Q35/S35</f>
        <v>16.350829911485327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5046152.0476190476</v>
      </c>
      <c r="G36" s="190">
        <f t="shared" ref="G36" si="49">F36/F35-1</f>
        <v>-0.18502485498012555</v>
      </c>
      <c r="H36" s="190">
        <f t="shared" ref="H36" si="50">F36/F24-1</f>
        <v>-0.77507564366535797</v>
      </c>
      <c r="I36" s="130">
        <f t="shared" si="0"/>
        <v>13.607153716680388</v>
      </c>
      <c r="J36" s="130">
        <f t="shared" si="5"/>
        <v>-0.71479357231302809</v>
      </c>
      <c r="K36" s="136"/>
      <c r="L36" s="190"/>
      <c r="M36" s="190"/>
      <c r="N36" s="191"/>
      <c r="O36" s="192"/>
      <c r="P36" s="129" t="s">
        <v>664</v>
      </c>
      <c r="Q36" s="116">
        <v>105969193</v>
      </c>
      <c r="R36" s="116">
        <v>144448549670</v>
      </c>
      <c r="S36" s="116">
        <v>7787756</v>
      </c>
      <c r="T36" s="130">
        <f t="shared" ref="T36" si="51">Q36/S36</f>
        <v>13.607153716680388</v>
      </c>
      <c r="U36" s="85"/>
    </row>
    <row r="37" spans="1:21" s="79" customFormat="1" ht="13.2" hidden="1">
      <c r="A37" s="129" t="s">
        <v>702</v>
      </c>
      <c r="B37" s="188">
        <f>SUM(F35:F37)</f>
        <v>20570939.31573499</v>
      </c>
      <c r="C37" s="188">
        <f>AVERAGE(F35:F37)</f>
        <v>6856979.771911663</v>
      </c>
      <c r="D37" s="190">
        <f>C37/C34-1</f>
        <v>-4.9760176904017794E-2</v>
      </c>
      <c r="E37" s="287">
        <f>C37/C25-1</f>
        <v>-0.6931091416256725</v>
      </c>
      <c r="F37" s="136">
        <f>Q37/18</f>
        <v>9333000.833333334</v>
      </c>
      <c r="G37" s="190">
        <f t="shared" ref="G37" si="52">F37/F36-1</f>
        <v>0.84952826336990239</v>
      </c>
      <c r="H37" s="190">
        <f t="shared" ref="H37" si="53">F37/F25-1</f>
        <v>-0.555640916050821</v>
      </c>
      <c r="I37" s="130">
        <f t="shared" si="0"/>
        <v>13.933955216352887</v>
      </c>
      <c r="J37" s="130">
        <f t="shared" si="5"/>
        <v>-0.66394266479311059</v>
      </c>
      <c r="K37" s="136">
        <f>R35+R36+R37</f>
        <v>565920247017</v>
      </c>
      <c r="L37" s="190">
        <f>U37/U34-1</f>
        <v>-5.4470861390503167E-2</v>
      </c>
      <c r="M37" s="190">
        <f>U37/U25-1</f>
        <v>-0.70003178778695496</v>
      </c>
      <c r="N37" s="191">
        <f>AVERAGE(T35:T37)</f>
        <v>14.6306462815062</v>
      </c>
      <c r="O37" s="192">
        <f>N37/N34-1</f>
        <v>-7.8190034180031898E-2</v>
      </c>
      <c r="P37" s="129" t="s">
        <v>702</v>
      </c>
      <c r="Q37" s="116">
        <v>167994015</v>
      </c>
      <c r="R37" s="116">
        <v>224358154801</v>
      </c>
      <c r="S37" s="116">
        <v>12056448.609999999</v>
      </c>
      <c r="T37" s="130">
        <f t="shared" ref="T37" si="54">Q37/S37</f>
        <v>13.933955216352887</v>
      </c>
      <c r="U37" s="85">
        <f>Q35+Q36+Q37</f>
        <v>416374296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5770932.5</v>
      </c>
      <c r="G38" s="190">
        <f t="shared" ref="G38" si="55">F38/F37-1</f>
        <v>-0.38166377534342522</v>
      </c>
      <c r="H38" s="190">
        <f t="shared" ref="H38" si="56">F38/F26-1</f>
        <v>-0.6694223562577406</v>
      </c>
      <c r="I38" s="130">
        <f t="shared" si="0"/>
        <v>12.519787355638979</v>
      </c>
      <c r="J38" s="130">
        <f t="shared" si="5"/>
        <v>-0.65662162879072294</v>
      </c>
      <c r="K38" s="136"/>
      <c r="L38" s="190"/>
      <c r="M38" s="190"/>
      <c r="N38" s="191"/>
      <c r="O38" s="192"/>
      <c r="P38" s="129" t="s">
        <v>727</v>
      </c>
      <c r="Q38" s="116">
        <v>115418650</v>
      </c>
      <c r="R38" s="116">
        <v>154848583287</v>
      </c>
      <c r="S38" s="116">
        <v>9218898.5899999999</v>
      </c>
      <c r="T38" s="130">
        <f t="shared" ref="T38" si="57">Q38/S38</f>
        <v>12.519787355638979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3231622.6190476189</v>
      </c>
      <c r="G39" s="190">
        <f t="shared" ref="G39" si="58">F39/F38-1</f>
        <v>-0.4400172556085834</v>
      </c>
      <c r="H39" s="190">
        <f t="shared" ref="H39" si="59">F39/F27-1</f>
        <v>-0.82835733809710954</v>
      </c>
      <c r="I39" s="130">
        <f t="shared" si="0"/>
        <v>13.307249879137974</v>
      </c>
      <c r="J39" s="130">
        <f t="shared" si="5"/>
        <v>-0.5899456698718345</v>
      </c>
      <c r="K39" s="136"/>
      <c r="L39" s="190"/>
      <c r="M39" s="190"/>
      <c r="N39" s="191"/>
      <c r="O39" s="192"/>
      <c r="P39" s="129" t="s">
        <v>762</v>
      </c>
      <c r="Q39" s="116">
        <v>67864075</v>
      </c>
      <c r="R39" s="116">
        <v>94300363384</v>
      </c>
      <c r="S39" s="116">
        <v>5099782.12</v>
      </c>
      <c r="T39" s="130">
        <f t="shared" ref="T39" si="60">Q39/S39</f>
        <v>13.307249879137974</v>
      </c>
      <c r="U39" s="85"/>
    </row>
    <row r="40" spans="1:21" s="79" customFormat="1" ht="13.2" hidden="1">
      <c r="A40" s="129" t="s">
        <v>778</v>
      </c>
      <c r="B40" s="188">
        <f>SUM(F38:F40)</f>
        <v>12214417.166666668</v>
      </c>
      <c r="C40" s="188">
        <f>AVERAGE(F38:F40)</f>
        <v>4071472.3888888895</v>
      </c>
      <c r="D40" s="190">
        <f>C40/C37-1</f>
        <v>-0.40622948815352855</v>
      </c>
      <c r="E40" s="287">
        <f>C40/C28-1</f>
        <v>-0.77759218895238491</v>
      </c>
      <c r="F40" s="136">
        <f>Q40/21</f>
        <v>3211862.0476190476</v>
      </c>
      <c r="G40" s="190">
        <f t="shared" ref="G40" si="61">F40/F39-1</f>
        <v>-6.1147521718964981E-3</v>
      </c>
      <c r="H40" s="190">
        <f t="shared" ref="H40" si="62">F40/F28-1</f>
        <v>-0.82763687575113942</v>
      </c>
      <c r="I40" s="130">
        <f t="shared" si="0"/>
        <v>15.568085326558306</v>
      </c>
      <c r="J40" s="130">
        <f t="shared" si="5"/>
        <v>-0.47347538658108923</v>
      </c>
      <c r="K40" s="136">
        <f>R38+R39+R40</f>
        <v>345260885090</v>
      </c>
      <c r="L40" s="190">
        <f>U40/U37-1</f>
        <v>-0.3978210701075553</v>
      </c>
      <c r="M40" s="190">
        <f>U40/U28-1</f>
        <v>-0.77205038600153264</v>
      </c>
      <c r="N40" s="191">
        <f>AVERAGE(T38:T40)</f>
        <v>13.798374187111753</v>
      </c>
      <c r="O40" s="192">
        <f>N40/N37-1</f>
        <v>-5.6885531806375345E-2</v>
      </c>
      <c r="P40" s="129" t="s">
        <v>778</v>
      </c>
      <c r="Q40" s="116">
        <v>67449103</v>
      </c>
      <c r="R40" s="116">
        <v>96111938419</v>
      </c>
      <c r="S40" s="116">
        <v>4332523.9800000004</v>
      </c>
      <c r="T40" s="130">
        <f t="shared" ref="T40" si="63">Q40/S40</f>
        <v>15.568085326558306</v>
      </c>
      <c r="U40" s="85">
        <f>Q38+Q39+Q40</f>
        <v>250731828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3929046</v>
      </c>
      <c r="G41" s="190">
        <f t="shared" ref="G41" si="64">F41/F40-1</f>
        <v>0.22329226528038482</v>
      </c>
      <c r="H41" s="190">
        <f t="shared" ref="H41" si="65">F41/F29-1</f>
        <v>-0.49337101748890455</v>
      </c>
      <c r="I41" s="130">
        <f t="shared" si="0"/>
        <v>12.442361420586543</v>
      </c>
      <c r="J41" s="130">
        <f t="shared" si="5"/>
        <v>-0.42917594369942191</v>
      </c>
      <c r="K41" s="193"/>
      <c r="L41" s="190"/>
      <c r="M41" s="190"/>
      <c r="N41" s="193"/>
      <c r="O41" s="193"/>
      <c r="P41" s="129" t="s">
        <v>818</v>
      </c>
      <c r="Q41" s="116">
        <v>70722828</v>
      </c>
      <c r="R41" s="116">
        <v>103244304042</v>
      </c>
      <c r="S41" s="116">
        <v>5684035.8200000003</v>
      </c>
      <c r="T41" s="130">
        <f t="shared" ref="T41" si="66">Q41/S41</f>
        <v>12.442361420586543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1832082.25</v>
      </c>
      <c r="G42" s="190">
        <f t="shared" ref="G42" si="67">F42/F41-1</f>
        <v>-0.53370811896831949</v>
      </c>
      <c r="H42" s="190">
        <f t="shared" ref="H42" si="68">F42/F30-1</f>
        <v>-0.77764680659563168</v>
      </c>
      <c r="I42" s="130">
        <f t="shared" si="0"/>
        <v>12.730819432958278</v>
      </c>
      <c r="J42" s="130">
        <f t="shared" si="5"/>
        <v>-0.31620037928625488</v>
      </c>
      <c r="K42" s="193"/>
      <c r="L42" s="190"/>
      <c r="M42" s="190"/>
      <c r="N42" s="193"/>
      <c r="O42" s="193"/>
      <c r="P42" s="129" t="s">
        <v>826</v>
      </c>
      <c r="Q42" s="116">
        <v>36641645</v>
      </c>
      <c r="R42" s="116">
        <v>53038151141</v>
      </c>
      <c r="S42" s="116">
        <v>2878184.33</v>
      </c>
      <c r="T42" s="130">
        <f t="shared" ref="T42" si="69">Q42/S42</f>
        <v>12.730819432958278</v>
      </c>
      <c r="U42" s="78"/>
    </row>
    <row r="43" spans="1:21" s="79" customFormat="1" ht="13.2">
      <c r="A43" s="129" t="s">
        <v>835</v>
      </c>
      <c r="B43" s="188">
        <f>SUM(F41:F43)</f>
        <v>8764852.0500000007</v>
      </c>
      <c r="C43" s="188">
        <f>AVERAGE(F41:F43)</f>
        <v>2921617.35</v>
      </c>
      <c r="D43" s="190">
        <f>C43/C40-1</f>
        <v>-0.28241749643860081</v>
      </c>
      <c r="E43" s="287">
        <f>C43/C31-1</f>
        <v>-0.64412932909500442</v>
      </c>
      <c r="F43" s="136">
        <f>Q43/20</f>
        <v>3003723.8</v>
      </c>
      <c r="G43" s="190">
        <f t="shared" ref="G43" si="70">F43/F42-1</f>
        <v>0.63951361899827353</v>
      </c>
      <c r="H43" s="190">
        <f t="shared" ref="H43" si="71">F43/F31-1</f>
        <v>-0.65212660351056684</v>
      </c>
      <c r="I43" s="130">
        <f t="shared" si="0"/>
        <v>13.722439242585102</v>
      </c>
      <c r="J43" s="130">
        <f t="shared" si="5"/>
        <v>-0.18470349739993897</v>
      </c>
      <c r="K43" s="136">
        <f>R41+R42+R43</f>
        <v>243392198550</v>
      </c>
      <c r="L43" s="190">
        <f>U43/U40-1</f>
        <v>-0.3321990656886209</v>
      </c>
      <c r="M43" s="190">
        <f>K43/K31-1</f>
        <v>-0.63218915386949859</v>
      </c>
      <c r="N43" s="191">
        <f>AVERAGE(T41:T43)</f>
        <v>12.965206698709975</v>
      </c>
      <c r="O43" s="192">
        <f>N43/N40-1</f>
        <v>-6.0381569386630307E-2</v>
      </c>
      <c r="P43" s="129" t="s">
        <v>835</v>
      </c>
      <c r="Q43" s="116">
        <v>60074476</v>
      </c>
      <c r="R43" s="116">
        <v>87109743367</v>
      </c>
      <c r="S43" s="116">
        <v>4377827.8</v>
      </c>
      <c r="T43" s="130">
        <f t="shared" ref="T43" si="72">Q43/S43</f>
        <v>13.722439242585102</v>
      </c>
      <c r="U43" s="85">
        <f>Q41+Q42+Q43</f>
        <v>167438949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2507492.8181818184</v>
      </c>
      <c r="G44" s="190">
        <f t="shared" ref="G44" si="73">F44/F43-1</f>
        <v>-0.16520526348600406</v>
      </c>
      <c r="H44" s="190">
        <f t="shared" ref="H44" si="74">F44/F32-1</f>
        <v>-0.63650880106941243</v>
      </c>
      <c r="I44" s="130">
        <f t="shared" si="0"/>
        <v>14.038627016869333</v>
      </c>
      <c r="J44" s="130">
        <f t="shared" si="5"/>
        <v>-0.12175108220018838</v>
      </c>
      <c r="K44" s="136"/>
      <c r="L44" s="190"/>
      <c r="M44" s="190"/>
      <c r="N44" s="191"/>
      <c r="O44" s="192"/>
      <c r="P44" s="129" t="s">
        <v>843</v>
      </c>
      <c r="Q44" s="116">
        <v>55164842</v>
      </c>
      <c r="R44" s="116">
        <v>80360467426</v>
      </c>
      <c r="S44" s="116">
        <v>3929504.07</v>
      </c>
      <c r="T44" s="130">
        <f t="shared" ref="T44" si="75">Q44/S44</f>
        <v>14.038627016869333</v>
      </c>
      <c r="U44" s="85"/>
    </row>
    <row r="45" spans="1:21" s="79" customFormat="1" ht="13.2">
      <c r="A45" s="129" t="s">
        <v>870</v>
      </c>
      <c r="B45" s="188"/>
      <c r="C45" s="188"/>
      <c r="D45" s="190"/>
      <c r="E45" s="287"/>
      <c r="F45" s="136">
        <f>Q45/20</f>
        <v>3000657.2</v>
      </c>
      <c r="G45" s="190">
        <f t="shared" ref="G45" si="76">F45/F44-1</f>
        <v>0.19667628885803756</v>
      </c>
      <c r="H45" s="190">
        <f t="shared" ref="H45" si="77">F45/F33-1</f>
        <v>-0.6064576915483797</v>
      </c>
      <c r="I45" s="130">
        <f t="shared" si="0"/>
        <v>13.800631391916182</v>
      </c>
      <c r="J45" s="130">
        <f t="shared" si="5"/>
        <v>-0.19336151250625966</v>
      </c>
      <c r="K45" s="136"/>
      <c r="L45" s="190"/>
      <c r="M45" s="190"/>
      <c r="N45" s="191"/>
      <c r="O45" s="192"/>
      <c r="P45" s="129" t="s">
        <v>870</v>
      </c>
      <c r="Q45" s="116">
        <v>60013144</v>
      </c>
      <c r="R45" s="116">
        <v>84574059465</v>
      </c>
      <c r="S45" s="116">
        <v>4348579.59</v>
      </c>
      <c r="T45" s="130">
        <f t="shared" ref="T45" si="78">Q45/S45</f>
        <v>13.800631391916182</v>
      </c>
      <c r="U45" s="85"/>
    </row>
    <row r="46" spans="1:21" s="79" customFormat="1" ht="13.2">
      <c r="A46" s="129" t="s">
        <v>888</v>
      </c>
      <c r="B46" s="188">
        <f>SUM(F44:F46)</f>
        <v>11304359.49186603</v>
      </c>
      <c r="C46" s="188">
        <f>AVERAGE(F44:F46)</f>
        <v>3768119.8306220099</v>
      </c>
      <c r="D46" s="190">
        <f>C46/C43-1</f>
        <v>0.28973762790052215</v>
      </c>
      <c r="E46" s="287">
        <f>C46/C34-1</f>
        <v>-0.47781419220134613</v>
      </c>
      <c r="F46" s="136">
        <f>Q46/19</f>
        <v>5796209.4736842103</v>
      </c>
      <c r="G46" s="190">
        <f t="shared" ref="G46" si="79">F46/F45-1</f>
        <v>0.93164666516528771</v>
      </c>
      <c r="H46" s="190">
        <f t="shared" ref="H46" si="80">F46/F34-1</f>
        <v>-0.18650350807498906</v>
      </c>
      <c r="I46" s="130">
        <f t="shared" si="0"/>
        <v>15.794164413730414</v>
      </c>
      <c r="J46" s="130">
        <f t="shared" si="5"/>
        <v>8.7651809954357285E-2</v>
      </c>
      <c r="K46" s="136">
        <f>R44+R45+R46</f>
        <v>315766786517</v>
      </c>
      <c r="L46" s="190">
        <f>U46/U43-1</f>
        <v>0.34560069413718075</v>
      </c>
      <c r="M46" s="190">
        <f>K46/K34-1</f>
        <v>-0.47536972903910446</v>
      </c>
      <c r="N46" s="191">
        <f>AVERAGE(T44:T46)</f>
        <v>14.544474274171975</v>
      </c>
      <c r="O46" s="192">
        <f>N46/N43-1</f>
        <v>0.1218081294160267</v>
      </c>
      <c r="P46" s="129" t="s">
        <v>928</v>
      </c>
      <c r="Q46" s="116">
        <v>110127980</v>
      </c>
      <c r="R46" s="116">
        <v>150832259626</v>
      </c>
      <c r="S46" s="116">
        <v>6972700.6200000001</v>
      </c>
      <c r="T46" s="130">
        <f t="shared" ref="T46" si="81">Q46/S46</f>
        <v>15.794164413730414</v>
      </c>
      <c r="U46" s="85">
        <f t="shared" ref="U46:U51" si="82">Q44+Q45+Q46</f>
        <v>225305966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1690716.6521739131</v>
      </c>
      <c r="G47" s="190">
        <f t="shared" ref="G47" si="83">F47/F46-1</f>
        <v>-0.70830649584869942</v>
      </c>
      <c r="H47" s="190">
        <f t="shared" ref="H47" si="84">F47/F35-1</f>
        <v>-0.72694202715451484</v>
      </c>
      <c r="I47" s="130">
        <f t="shared" si="0"/>
        <v>11.317226300620865</v>
      </c>
      <c r="J47" s="130">
        <f t="shared" si="5"/>
        <v>-0.30785003807841604</v>
      </c>
      <c r="K47" s="136"/>
      <c r="L47" s="190"/>
      <c r="M47" s="190"/>
      <c r="N47" s="191"/>
      <c r="O47" s="192"/>
      <c r="P47" s="129" t="s">
        <v>991</v>
      </c>
      <c r="Q47" s="116">
        <v>38886483</v>
      </c>
      <c r="R47" s="116">
        <v>53169520181</v>
      </c>
      <c r="S47" s="116">
        <v>3436043.6</v>
      </c>
      <c r="T47" s="130">
        <f t="shared" ref="T47" si="85">Q47/S47</f>
        <v>11.317226300620865</v>
      </c>
      <c r="U47" s="85">
        <f t="shared" si="82"/>
        <v>209027607</v>
      </c>
    </row>
    <row r="48" spans="1:21" s="79" customFormat="1" ht="13.2">
      <c r="A48" s="129" t="s">
        <v>1097</v>
      </c>
      <c r="B48" s="188"/>
      <c r="C48" s="188"/>
      <c r="D48" s="190"/>
      <c r="E48" s="287"/>
      <c r="F48" s="136">
        <f>Q48/20</f>
        <v>2991582.05</v>
      </c>
      <c r="G48" s="190">
        <f t="shared" ref="G48" si="86">F48/F47-1</f>
        <v>0.76941656436248018</v>
      </c>
      <c r="H48" s="190">
        <f t="shared" ref="H48" si="87">F48/F36-1</f>
        <v>-0.40715578488929327</v>
      </c>
      <c r="I48" s="130">
        <f t="shared" si="0"/>
        <v>13.144052813697543</v>
      </c>
      <c r="J48" s="130">
        <f t="shared" si="5"/>
        <v>-3.4033635000033202E-2</v>
      </c>
      <c r="K48" s="136"/>
      <c r="L48" s="190"/>
      <c r="M48" s="190"/>
      <c r="N48" s="191"/>
      <c r="O48" s="192"/>
      <c r="P48" s="129" t="s">
        <v>1070</v>
      </c>
      <c r="Q48" s="116">
        <v>59831641</v>
      </c>
      <c r="R48" s="116">
        <v>83038520463</v>
      </c>
      <c r="S48" s="116">
        <v>4551993.3499999996</v>
      </c>
      <c r="T48" s="130">
        <f t="shared" ref="T48" si="88">Q48/S48</f>
        <v>13.144052813697543</v>
      </c>
      <c r="U48" s="85">
        <f t="shared" si="82"/>
        <v>208846104</v>
      </c>
    </row>
    <row r="49" spans="1:26" ht="13.2">
      <c r="A49" s="129" t="s">
        <v>1235</v>
      </c>
      <c r="B49" s="188">
        <f>SUM(F47:F49)</f>
        <v>8352649.7476284578</v>
      </c>
      <c r="C49" s="188">
        <f>AVERAGE(F47:F49)</f>
        <v>2784216.5825428194</v>
      </c>
      <c r="D49" s="190">
        <f>C49/C46-1</f>
        <v>-0.26111251560616533</v>
      </c>
      <c r="E49" s="287">
        <f>C49/C37-1</f>
        <v>-0.59395875806024068</v>
      </c>
      <c r="F49" s="136">
        <f>Q49/22</f>
        <v>3670351.0454545454</v>
      </c>
      <c r="G49" s="190">
        <f t="shared" ref="G49" si="89">F49/F48-1</f>
        <v>0.2268929897659151</v>
      </c>
      <c r="H49" s="190">
        <f t="shared" ref="H49" si="90">F49/F37-1</f>
        <v>-0.60673409217476104</v>
      </c>
      <c r="I49" s="130">
        <f t="shared" si="0"/>
        <v>15.828671501304635</v>
      </c>
      <c r="J49" s="130">
        <f t="shared" si="5"/>
        <v>0.13597835327675734</v>
      </c>
      <c r="K49" s="136">
        <f>R47+R48+R49</f>
        <v>248355685803</v>
      </c>
      <c r="L49" s="190">
        <f>U49/U46-1</f>
        <v>-0.20345719118685035</v>
      </c>
      <c r="M49" s="190">
        <f>K49/K37-1</f>
        <v>-0.56114719854591188</v>
      </c>
      <c r="N49" s="191">
        <f>AVERAGE(T47:T49)</f>
        <v>13.429983538541014</v>
      </c>
      <c r="O49" s="192">
        <f>N49/N46-1</f>
        <v>-7.6626402207611521E-2</v>
      </c>
      <c r="P49" s="129" t="s">
        <v>1158</v>
      </c>
      <c r="Q49" s="116">
        <v>80747723</v>
      </c>
      <c r="R49" s="116">
        <v>112147645159</v>
      </c>
      <c r="S49" s="116">
        <v>5101358.1900000004</v>
      </c>
      <c r="T49" s="130">
        <f t="shared" ref="T49" si="91">Q49/S49</f>
        <v>15.828671501304635</v>
      </c>
      <c r="U49" s="85">
        <f t="shared" si="82"/>
        <v>179465847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3015055.9444444445</v>
      </c>
      <c r="G50" s="190">
        <f t="shared" ref="G50" si="92">F50/F49-1</f>
        <v>-0.17853744584503295</v>
      </c>
      <c r="H50" s="190">
        <f t="shared" ref="H50" si="93">F50/F38-1</f>
        <v>-0.47754440994684233</v>
      </c>
      <c r="I50" s="130">
        <f t="shared" ref="I50" si="94">T50</f>
        <v>13.209396573175171</v>
      </c>
      <c r="J50" s="130">
        <f t="shared" ref="J50" si="95">I50/I38-1</f>
        <v>5.5081543954945023E-2</v>
      </c>
      <c r="K50" s="136"/>
      <c r="L50" s="190"/>
      <c r="M50" s="190"/>
      <c r="N50" s="191"/>
      <c r="O50" s="192"/>
      <c r="P50" s="129" t="s">
        <v>1361</v>
      </c>
      <c r="Q50" s="116">
        <v>54271007</v>
      </c>
      <c r="R50" s="116">
        <v>76529890371</v>
      </c>
      <c r="S50" s="116">
        <v>4108515.23</v>
      </c>
      <c r="T50" s="130">
        <f t="shared" ref="T50" si="96">Q50/S50</f>
        <v>13.209396573175171</v>
      </c>
      <c r="U50" s="85">
        <f t="shared" si="82"/>
        <v>194850371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3413326.35</v>
      </c>
      <c r="G51" s="190">
        <f t="shared" ref="G51:G52" si="97">F51/F50-1</f>
        <v>0.13209386919981059</v>
      </c>
      <c r="H51" s="190">
        <f t="shared" ref="H51:H52" si="98">F51/F39-1</f>
        <v>5.6226779043256681E-2</v>
      </c>
      <c r="I51" s="130">
        <f t="shared" ref="I51:I52" si="99">T51</f>
        <v>12.330451482373492</v>
      </c>
      <c r="J51" s="130">
        <f t="shared" ref="J51:J52" si="100">I51/I39-1</f>
        <v>-7.3403475972584453E-2</v>
      </c>
      <c r="K51" s="136"/>
      <c r="L51" s="190"/>
      <c r="M51" s="190"/>
      <c r="N51" s="191"/>
      <c r="O51" s="192"/>
      <c r="P51" s="129" t="s">
        <v>1402</v>
      </c>
      <c r="Q51" s="116">
        <v>68266527</v>
      </c>
      <c r="R51" s="116">
        <v>98835827365</v>
      </c>
      <c r="S51" s="116">
        <v>5536417.4699999997</v>
      </c>
      <c r="T51" s="130">
        <f t="shared" ref="T51:T52" si="101">Q51/S51</f>
        <v>12.330451482373492</v>
      </c>
      <c r="U51" s="85">
        <f t="shared" si="82"/>
        <v>203285257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12040355.294444446</v>
      </c>
      <c r="C52" s="188">
        <f>AVERAGE(F50:F52)</f>
        <v>4013451.764814815</v>
      </c>
      <c r="D52" s="190">
        <f>C52/C49-1</f>
        <v>0.44150127902382419</v>
      </c>
      <c r="E52" s="287">
        <f>C52/C40-1</f>
        <v>-1.42505262303666E-2</v>
      </c>
      <c r="F52" s="136">
        <f>Q52/22</f>
        <v>5611973</v>
      </c>
      <c r="G52" s="190">
        <f t="shared" si="97"/>
        <v>0.64413607857918409</v>
      </c>
      <c r="H52" s="190">
        <f t="shared" si="98"/>
        <v>0.7472646448685909</v>
      </c>
      <c r="I52" s="130">
        <f t="shared" si="99"/>
        <v>14.546423087762491</v>
      </c>
      <c r="J52" s="130">
        <f t="shared" si="100"/>
        <v>-6.5625426464801961E-2</v>
      </c>
      <c r="K52" s="136">
        <f>R50+R51+R52</f>
        <v>357180778088</v>
      </c>
      <c r="L52" s="190">
        <f>U52/U49-1</f>
        <v>0.3707395814424792</v>
      </c>
      <c r="M52" s="190">
        <f>K52/K40-1</f>
        <v>3.4524307596827342E-2</v>
      </c>
      <c r="N52" s="191">
        <f>AVERAGE(T50:T52)</f>
        <v>13.362090381103718</v>
      </c>
      <c r="O52" s="192">
        <f>N52/N49-1</f>
        <v>-5.0553418209678957E-3</v>
      </c>
      <c r="P52" s="129" t="s">
        <v>1403</v>
      </c>
      <c r="Q52" s="116">
        <v>123463406</v>
      </c>
      <c r="R52" s="116">
        <v>181815060352</v>
      </c>
      <c r="S52" s="116">
        <v>8487544</v>
      </c>
      <c r="T52" s="130">
        <f t="shared" si="101"/>
        <v>14.546423087762491</v>
      </c>
      <c r="U52" s="85">
        <f t="shared" ref="U52" si="102">Q50+Q51+Q52</f>
        <v>246000940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2359617.0952380951</v>
      </c>
      <c r="G53" s="190">
        <f t="shared" ref="G53" si="103">F53/F52-1</f>
        <v>-0.57953876555747952</v>
      </c>
      <c r="H53" s="190">
        <f t="shared" ref="H53" si="104">F53/F41-1</f>
        <v>-0.39944274125625023</v>
      </c>
      <c r="I53" s="130">
        <f t="shared" ref="I53" si="105">T53</f>
        <v>13.81987786812277</v>
      </c>
      <c r="J53" s="130">
        <f t="shared" ref="J53" si="106">I53/I41-1</f>
        <v>0.11071181755394544</v>
      </c>
      <c r="K53" s="136"/>
      <c r="L53" s="190"/>
      <c r="M53" s="190"/>
      <c r="N53" s="191"/>
      <c r="O53" s="192"/>
      <c r="P53" s="129" t="s">
        <v>1414</v>
      </c>
      <c r="Q53" s="116">
        <v>49551959</v>
      </c>
      <c r="R53" s="116">
        <v>72343600498</v>
      </c>
      <c r="S53" s="116">
        <v>3585556.94</v>
      </c>
      <c r="T53" s="130">
        <f t="shared" ref="T53" si="107">Q53/S53</f>
        <v>13.81987786812277</v>
      </c>
      <c r="U53" s="85">
        <f t="shared" ref="U53" si="108">Q51+Q52+Q53</f>
        <v>241281892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3084432.5294117648</v>
      </c>
      <c r="G54" s="190">
        <f t="shared" ref="G54" si="109">F54/F53-1</f>
        <v>0.30717502243749961</v>
      </c>
      <c r="H54" s="190">
        <f t="shared" ref="H54" si="110">F54/F42-1</f>
        <v>0.68356662448520789</v>
      </c>
      <c r="I54" s="130">
        <f t="shared" ref="I54" si="111">T54</f>
        <v>14.079617416770386</v>
      </c>
      <c r="J54" s="130">
        <f t="shared" ref="J54" si="112">I54/I42-1</f>
        <v>0.10594746009202383</v>
      </c>
      <c r="K54" s="136"/>
      <c r="L54" s="190"/>
      <c r="M54" s="190"/>
      <c r="N54" s="191"/>
      <c r="O54" s="192"/>
      <c r="P54" s="129" t="s">
        <v>1417</v>
      </c>
      <c r="Q54" s="116">
        <v>52435353</v>
      </c>
      <c r="R54" s="116">
        <v>75942647520</v>
      </c>
      <c r="S54" s="116">
        <v>3724202.97</v>
      </c>
      <c r="T54" s="130">
        <f t="shared" ref="T54" si="113">Q54/S54</f>
        <v>14.079617416770386</v>
      </c>
      <c r="U54" s="85">
        <f t="shared" ref="U54" si="114">Q52+Q53+Q54</f>
        <v>225450718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8111246.8151260503</v>
      </c>
      <c r="C55" s="188">
        <f>AVERAGE(F53:F55)</f>
        <v>2703748.9383753501</v>
      </c>
      <c r="D55" s="190">
        <f>C55/C52-1</f>
        <v>-0.32632828377841383</v>
      </c>
      <c r="E55" s="287">
        <f>C55/C43-1</f>
        <v>-7.4571165736214584E-2</v>
      </c>
      <c r="F55" s="136">
        <f>Q55/21</f>
        <v>2667197.1904761903</v>
      </c>
      <c r="G55" s="190">
        <f t="shared" ref="G55" si="115">F55/F54-1</f>
        <v>-0.1352713456874175</v>
      </c>
      <c r="H55" s="190">
        <f t="shared" ref="H55" si="116">F55/F43-1</f>
        <v>-0.11203646937305267</v>
      </c>
      <c r="I55" s="130">
        <f>T55</f>
        <v>14.138611033426624</v>
      </c>
      <c r="J55" s="130">
        <f t="shared" ref="J55" si="117">I55/I43-1</f>
        <v>3.0327829002150697E-2</v>
      </c>
      <c r="K55" s="136">
        <f>R53+R54+R55</f>
        <v>230819117456</v>
      </c>
      <c r="L55" s="190">
        <f>U55/U52-1</f>
        <v>-0.35773232004723232</v>
      </c>
      <c r="M55" s="190">
        <f>K55/K43-1</f>
        <v>-5.1657699667054469E-2</v>
      </c>
      <c r="N55" s="191">
        <f>AVERAGE(T53:T55)</f>
        <v>14.012702106106593</v>
      </c>
      <c r="O55" s="192">
        <f>N55/N52-1</f>
        <v>4.8690863962643993E-2</v>
      </c>
      <c r="P55" s="129" t="s">
        <v>1418</v>
      </c>
      <c r="Q55" s="116">
        <v>56011141</v>
      </c>
      <c r="R55" s="116">
        <v>82532869438</v>
      </c>
      <c r="S55" s="116">
        <v>3961573.09</v>
      </c>
      <c r="T55" s="130">
        <f t="shared" ref="T55" si="118">Q55/S55</f>
        <v>14.138611033426624</v>
      </c>
      <c r="U55" s="85">
        <f t="shared" ref="U55" si="119">Q53+Q54+Q55</f>
        <v>157998453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3800998.7272727271</v>
      </c>
      <c r="G56" s="190">
        <f t="shared" ref="G56" si="120">F56/F55-1</f>
        <v>0.42509100596124738</v>
      </c>
      <c r="H56" s="190">
        <f t="shared" ref="H56" si="121">F56/F44-1</f>
        <v>0.51585627672059653</v>
      </c>
      <c r="I56" s="291">
        <f>T56</f>
        <v>18.087751663595892</v>
      </c>
      <c r="J56" s="130">
        <f t="shared" ref="J56" si="122">I56/I44-1</f>
        <v>0.2884273969143123</v>
      </c>
      <c r="K56" s="136"/>
      <c r="L56" s="190"/>
      <c r="M56" s="190"/>
      <c r="N56" s="191"/>
      <c r="O56" s="192"/>
      <c r="P56" s="129" t="s">
        <v>1420</v>
      </c>
      <c r="Q56" s="116">
        <v>83621972</v>
      </c>
      <c r="R56" s="116">
        <v>124851508932</v>
      </c>
      <c r="S56" s="116">
        <v>4623126.9400000004</v>
      </c>
      <c r="T56" s="130">
        <f t="shared" ref="T56" si="123">Q56/S56</f>
        <v>18.087751663595892</v>
      </c>
      <c r="U56" s="85">
        <f t="shared" ref="U56" si="124">Q54+Q55+Q56</f>
        <v>192068466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4491920.75</v>
      </c>
      <c r="G57" s="254">
        <f t="shared" ref="G57" si="125">F57/F56-1</f>
        <v>0.18177381059609554</v>
      </c>
      <c r="H57" s="254">
        <f t="shared" ref="H57" si="126">F57/F45-1</f>
        <v>0.49697897847178263</v>
      </c>
      <c r="I57" s="282">
        <f>T57</f>
        <v>18.792694831569104</v>
      </c>
      <c r="J57" s="277">
        <f t="shared" ref="J57" si="127">I57/I45-1</f>
        <v>0.36172717739400384</v>
      </c>
      <c r="K57" s="204"/>
      <c r="L57" s="254"/>
      <c r="M57" s="254"/>
      <c r="N57" s="257"/>
      <c r="O57" s="258"/>
      <c r="P57" s="129" t="s">
        <v>1436</v>
      </c>
      <c r="Q57" s="116">
        <v>53903049</v>
      </c>
      <c r="R57" s="116">
        <v>79237042897</v>
      </c>
      <c r="S57" s="116">
        <v>2868298</v>
      </c>
      <c r="T57" s="130">
        <f t="shared" ref="T57" si="128">Q57/S57</f>
        <v>18.792694831569104</v>
      </c>
      <c r="U57" s="85">
        <f t="shared" ref="U57" si="129">Q55+Q56+Q57</f>
        <v>193536162</v>
      </c>
      <c r="V57" s="79"/>
      <c r="W57" s="79"/>
      <c r="X57" s="79"/>
      <c r="Y57" s="79"/>
      <c r="Z57" s="79"/>
    </row>
    <row r="58" spans="1:26">
      <c r="B58" s="196">
        <f>SUM(F56:F58)</f>
        <v>8292919.4772727266</v>
      </c>
      <c r="C58" s="196">
        <f>AVERAGE(F56:F58)</f>
        <v>4146459.7386363633</v>
      </c>
      <c r="D58" s="197">
        <f>C58/C55-1</f>
        <v>0.53359643707448678</v>
      </c>
      <c r="E58" s="233">
        <f>C58/C46-1</f>
        <v>0.1004054873573117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295523474</v>
      </c>
      <c r="R66" s="212">
        <v>434907669285</v>
      </c>
      <c r="S66" s="213">
        <v>18762757.940000001</v>
      </c>
      <c r="T66" s="214">
        <v>33</v>
      </c>
      <c r="U66" s="214">
        <v>40</v>
      </c>
    </row>
    <row r="67" spans="16:21" ht="18" thickBot="1">
      <c r="P67" s="180" t="s">
        <v>976</v>
      </c>
      <c r="Q67" s="181">
        <v>49551959</v>
      </c>
      <c r="R67" s="181">
        <v>72343600498</v>
      </c>
      <c r="S67" s="182">
        <v>3585556.94</v>
      </c>
      <c r="T67" s="210">
        <v>11</v>
      </c>
      <c r="U67" s="210">
        <v>14</v>
      </c>
    </row>
    <row r="68" spans="16:21" ht="18" thickBot="1">
      <c r="P68" s="180" t="s">
        <v>977</v>
      </c>
      <c r="Q68" s="181">
        <v>52435353</v>
      </c>
      <c r="R68" s="181">
        <v>75942647520</v>
      </c>
      <c r="S68" s="182">
        <v>3724202.97</v>
      </c>
      <c r="T68" s="210">
        <v>11</v>
      </c>
      <c r="U68" s="210">
        <v>15</v>
      </c>
    </row>
    <row r="69" spans="16:21" ht="18" thickBot="1">
      <c r="P69" s="180" t="s">
        <v>978</v>
      </c>
      <c r="Q69" s="181">
        <v>56011141</v>
      </c>
      <c r="R69" s="181">
        <v>82532869438</v>
      </c>
      <c r="S69" s="182">
        <v>3961573.09</v>
      </c>
      <c r="T69" s="210">
        <v>17</v>
      </c>
      <c r="U69" s="210">
        <v>23</v>
      </c>
    </row>
    <row r="70" spans="16:21" ht="18" thickBot="1">
      <c r="P70" s="180" t="s">
        <v>979</v>
      </c>
      <c r="Q70" s="181">
        <v>83621972</v>
      </c>
      <c r="R70" s="181">
        <v>124851508932</v>
      </c>
      <c r="S70" s="182">
        <v>4623126.9400000004</v>
      </c>
      <c r="T70" s="210">
        <v>22</v>
      </c>
      <c r="U70" s="210">
        <v>25</v>
      </c>
    </row>
    <row r="71" spans="16:21" ht="18" thickBot="1">
      <c r="P71" s="180" t="s">
        <v>980</v>
      </c>
      <c r="Q71" s="181">
        <v>53903049</v>
      </c>
      <c r="R71" s="181">
        <v>79237042897</v>
      </c>
      <c r="S71" s="182">
        <v>2868298</v>
      </c>
      <c r="T71" s="210">
        <v>12</v>
      </c>
      <c r="U71" s="210">
        <v>19</v>
      </c>
    </row>
    <row r="72" spans="16:21" ht="18" thickBot="1">
      <c r="P72" s="180" t="s">
        <v>975</v>
      </c>
      <c r="Q72" s="181">
        <v>819920040</v>
      </c>
      <c r="R72" s="181">
        <v>1167110804663</v>
      </c>
      <c r="S72" s="182">
        <v>59412724.539999999</v>
      </c>
      <c r="T72" s="210">
        <v>53</v>
      </c>
      <c r="U72" s="210">
        <v>77</v>
      </c>
    </row>
    <row r="73" spans="16:21" ht="18" thickBot="1">
      <c r="P73" s="215" t="s">
        <v>982</v>
      </c>
      <c r="Q73" s="217" t="s">
        <v>1511</v>
      </c>
      <c r="R73"/>
      <c r="S73"/>
      <c r="T73"/>
      <c r="U73"/>
    </row>
  </sheetData>
  <phoneticPr fontId="1" type="noConversion"/>
  <conditionalFormatting sqref="C29:C30">
    <cfRule type="cellIs" dxfId="1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72"/>
  <sheetViews>
    <sheetView zoomScale="90" zoomScaleNormal="90" workbookViewId="0">
      <selection activeCell="E67" sqref="E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723</v>
      </c>
      <c r="L1" s="80"/>
      <c r="M1" s="80"/>
      <c r="P1" s="123"/>
      <c r="Q1" s="124"/>
      <c r="R1" s="124"/>
      <c r="S1" s="124"/>
      <c r="U1" s="78" t="s">
        <v>724</v>
      </c>
    </row>
    <row r="2" spans="1:21" ht="15" customHeight="1">
      <c r="A2" s="125"/>
      <c r="C2" s="79"/>
      <c r="G2" s="90"/>
      <c r="H2" s="90"/>
      <c r="K2" s="79">
        <v>9021901010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>
        <v>9021901010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K5" s="86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11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37" si="2">F6/F5-1</f>
        <v>-0.17670247887520329</v>
      </c>
      <c r="H6" s="90"/>
      <c r="I6" s="130">
        <f t="shared" si="0"/>
        <v>1183.2356631228201</v>
      </c>
      <c r="J6" s="130"/>
      <c r="K6" s="78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85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286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85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>Q12/S12</f>
        <v>1163.9910175685791</v>
      </c>
      <c r="U12" s="85"/>
    </row>
    <row r="13" spans="1:21" ht="15" hidden="1" customHeight="1">
      <c r="A13" s="129" t="s">
        <v>35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286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35</v>
      </c>
      <c r="Q13" s="116">
        <v>9854002</v>
      </c>
      <c r="R13" s="116"/>
      <c r="S13" s="116">
        <v>7837.41</v>
      </c>
      <c r="T13" s="130">
        <f>Q13/S13</f>
        <v>1257.3033693528857</v>
      </c>
      <c r="U13" s="85">
        <f>Q11+Q12+Q13</f>
        <v>29149622</v>
      </c>
    </row>
    <row r="14" spans="1:21" ht="15" hidden="1" customHeight="1">
      <c r="A14" s="129" t="s">
        <v>36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K14" s="78"/>
      <c r="O14" s="89"/>
      <c r="P14" s="129" t="s">
        <v>36</v>
      </c>
      <c r="Q14" s="116">
        <v>12733259</v>
      </c>
      <c r="R14" s="116"/>
      <c r="S14" s="116">
        <v>12617.26</v>
      </c>
      <c r="T14" s="130">
        <f>Q14/S14</f>
        <v>1009.1936759645121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K15" s="78"/>
      <c r="O15" s="89"/>
      <c r="P15" s="129" t="s">
        <v>37</v>
      </c>
      <c r="Q15" s="116">
        <v>11938106</v>
      </c>
      <c r="R15" s="116"/>
      <c r="S15" s="116">
        <v>11583.13</v>
      </c>
      <c r="T15" s="130">
        <f t="shared" ref="T15:T37" si="3">Q15/S15</f>
        <v>1030.6459480295914</v>
      </c>
      <c r="U15" s="78"/>
    </row>
    <row r="16" spans="1:21" ht="15" hidden="1" customHeight="1">
      <c r="A16" s="123" t="s">
        <v>38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286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3" t="s">
        <v>38</v>
      </c>
      <c r="Q16" s="133">
        <v>15237963</v>
      </c>
      <c r="R16" s="133"/>
      <c r="S16" s="133">
        <v>14793.56</v>
      </c>
      <c r="T16" s="134">
        <f t="shared" si="3"/>
        <v>1030.0403013203043</v>
      </c>
      <c r="U16" s="85">
        <f>Q14+Q15+Q16</f>
        <v>39909328</v>
      </c>
    </row>
    <row r="17" spans="1:33" ht="15" hidden="1" customHeight="1">
      <c r="A17" s="129" t="s">
        <v>85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37" si="4">F17/F5-1</f>
        <v>-0.12386917879142489</v>
      </c>
      <c r="I17" s="130">
        <f t="shared" si="0"/>
        <v>1202.7651825707887</v>
      </c>
      <c r="J17" s="130">
        <f t="shared" ref="J17:J49" si="5">I17/I5-1</f>
        <v>-7.3697908573465254E-2</v>
      </c>
      <c r="K17" s="78"/>
      <c r="O17" s="89"/>
      <c r="P17" s="129" t="s">
        <v>85</v>
      </c>
      <c r="Q17" s="116">
        <v>9623661</v>
      </c>
      <c r="R17" s="116"/>
      <c r="S17" s="116">
        <v>8001.28</v>
      </c>
      <c r="T17" s="130">
        <f t="shared" si="3"/>
        <v>1202.7651825707887</v>
      </c>
      <c r="U17" s="78"/>
    </row>
    <row r="18" spans="1:33" hidden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4"/>
        <v>0.31430090921567344</v>
      </c>
      <c r="I18" s="130">
        <f t="shared" si="0"/>
        <v>1217.3281290327868</v>
      </c>
      <c r="J18" s="130">
        <f t="shared" si="5"/>
        <v>2.881291273793174E-2</v>
      </c>
      <c r="K18" s="78"/>
      <c r="O18" s="89"/>
      <c r="P18" s="129" t="s">
        <v>106</v>
      </c>
      <c r="Q18" s="116">
        <v>11885651</v>
      </c>
      <c r="R18" s="116"/>
      <c r="S18" s="116">
        <v>9763.7199999999993</v>
      </c>
      <c r="T18" s="130">
        <f t="shared" si="3"/>
        <v>1217.3281290327868</v>
      </c>
      <c r="U18" s="78"/>
    </row>
    <row r="19" spans="1:33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286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4"/>
        <v>0.16412191995293357</v>
      </c>
      <c r="I19" s="130">
        <f t="shared" si="0"/>
        <v>1183.6581223108451</v>
      </c>
      <c r="J19" s="130">
        <f t="shared" si="5"/>
        <v>7.662865776365102E-2</v>
      </c>
      <c r="K19" s="78">
        <f>R17+R18+R19</f>
        <v>0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1201.2504779714736</v>
      </c>
      <c r="O19" s="89">
        <f>N19/N16-1</f>
        <v>0.17390631607369311</v>
      </c>
      <c r="P19" s="129" t="s">
        <v>114</v>
      </c>
      <c r="Q19" s="116">
        <v>11136045</v>
      </c>
      <c r="R19" s="116"/>
      <c r="S19" s="116">
        <v>9408.16</v>
      </c>
      <c r="T19" s="130">
        <f t="shared" si="3"/>
        <v>1183.6581223108451</v>
      </c>
      <c r="U19" s="85">
        <f>Q17+Q18+Q19</f>
        <v>32645357</v>
      </c>
    </row>
    <row r="20" spans="1:33" hidden="1">
      <c r="A20" s="129" t="s">
        <v>131</v>
      </c>
      <c r="B20" s="131"/>
      <c r="C20" s="131"/>
      <c r="D20" s="90"/>
      <c r="E20" s="286"/>
      <c r="F20" s="78">
        <f>Q20/24</f>
        <v>421004.54166666669</v>
      </c>
      <c r="G20" s="90">
        <f t="shared" si="2"/>
        <v>-0.16827743452305854</v>
      </c>
      <c r="H20" s="90">
        <f t="shared" si="4"/>
        <v>4.1653726154652126E-2</v>
      </c>
      <c r="I20" s="130">
        <f t="shared" si="0"/>
        <v>1255.3933871400598</v>
      </c>
      <c r="J20" s="130">
        <f t="shared" si="5"/>
        <v>7.2525472614071607E-2</v>
      </c>
      <c r="K20" s="78"/>
      <c r="O20" s="89"/>
      <c r="P20" s="129" t="s">
        <v>131</v>
      </c>
      <c r="Q20" s="116">
        <v>10104109</v>
      </c>
      <c r="R20" s="116"/>
      <c r="S20" s="116">
        <v>8048.56</v>
      </c>
      <c r="T20" s="130">
        <f t="shared" si="3"/>
        <v>1255.3933871400598</v>
      </c>
      <c r="U20" s="78"/>
    </row>
    <row r="21" spans="1:33" hidden="1">
      <c r="A21" s="129" t="s">
        <v>141</v>
      </c>
      <c r="B21" s="131"/>
      <c r="C21" s="131"/>
      <c r="D21" s="90"/>
      <c r="E21" s="286"/>
      <c r="F21" s="78">
        <f>Q21/21</f>
        <v>453682.80952380953</v>
      </c>
      <c r="G21" s="90">
        <f t="shared" si="2"/>
        <v>7.7619751387423497E-2</v>
      </c>
      <c r="H21" s="90">
        <f t="shared" si="4"/>
        <v>-0.24527768744897971</v>
      </c>
      <c r="I21" s="130">
        <f t="shared" si="0"/>
        <v>1275.0926139070755</v>
      </c>
      <c r="J21" s="130">
        <f t="shared" si="5"/>
        <v>4.213855835455993E-2</v>
      </c>
      <c r="K21" s="78"/>
      <c r="O21" s="89"/>
      <c r="P21" s="129" t="s">
        <v>141</v>
      </c>
      <c r="Q21" s="116">
        <v>9527339</v>
      </c>
      <c r="R21" s="116"/>
      <c r="S21" s="116">
        <v>7471.88</v>
      </c>
      <c r="T21" s="130">
        <f t="shared" si="3"/>
        <v>1275.0926139070755</v>
      </c>
      <c r="U21" s="78"/>
    </row>
    <row r="22" spans="1:33" hidden="1">
      <c r="A22" s="129" t="s">
        <v>155</v>
      </c>
      <c r="B22" s="131">
        <f>SUM(F20:F22)</f>
        <v>1395819.3035714286</v>
      </c>
      <c r="C22" s="131">
        <f>AVERAGE(F20:F22)</f>
        <v>465273.10119047621</v>
      </c>
      <c r="D22" s="90">
        <f>C22/C19-1</f>
        <v>-0.11749136856006881</v>
      </c>
      <c r="E22" s="286">
        <f>C22/C10-1</f>
        <v>-0.11412402342997396</v>
      </c>
      <c r="F22" s="78">
        <f>Q22/21</f>
        <v>521131.95238095237</v>
      </c>
      <c r="G22" s="90">
        <f t="shared" si="2"/>
        <v>0.14867026354368207</v>
      </c>
      <c r="H22" s="90">
        <f t="shared" si="4"/>
        <v>-8.6282487056858814E-2</v>
      </c>
      <c r="I22" s="130">
        <f t="shared" si="0"/>
        <v>1107.4550365263397</v>
      </c>
      <c r="J22" s="130">
        <f t="shared" si="5"/>
        <v>-3.8955215428438938E-3</v>
      </c>
      <c r="K22" s="78">
        <f>R20+R21+R22</f>
        <v>0</v>
      </c>
      <c r="L22" s="87">
        <f>U22/U19-1</f>
        <v>32.226904395623549</v>
      </c>
      <c r="M22" s="87">
        <f>U22/U10-1</f>
        <v>31.782021727563915</v>
      </c>
      <c r="N22" s="88">
        <f>AVERAGE(T20:T22)</f>
        <v>1212.6470125244916</v>
      </c>
      <c r="O22" s="89">
        <f>N22/N19-1</f>
        <v>9.4872258217646444E-3</v>
      </c>
      <c r="P22" s="129" t="s">
        <v>155</v>
      </c>
      <c r="Q22" s="116">
        <v>10943771</v>
      </c>
      <c r="R22" s="116"/>
      <c r="S22" s="116">
        <v>9881.91</v>
      </c>
      <c r="T22" s="130">
        <f t="shared" si="3"/>
        <v>1107.4550365263397</v>
      </c>
      <c r="U22" s="85">
        <f>AG24+Q21+Q22</f>
        <v>1084704156</v>
      </c>
    </row>
    <row r="23" spans="1:33" hidden="1">
      <c r="A23" s="129" t="s">
        <v>189</v>
      </c>
      <c r="B23" s="131"/>
      <c r="C23" s="131"/>
      <c r="F23" s="78">
        <f>Q23/21</f>
        <v>473691.80952380953</v>
      </c>
      <c r="G23" s="90">
        <f t="shared" si="2"/>
        <v>-9.1032880713604047E-2</v>
      </c>
      <c r="H23" s="90">
        <f t="shared" si="4"/>
        <v>-3.4931173008146188E-2</v>
      </c>
      <c r="I23" s="130">
        <f t="shared" si="0"/>
        <v>1304.2585774673003</v>
      </c>
      <c r="J23" s="130">
        <f t="shared" si="5"/>
        <v>8.064234058020614E-2</v>
      </c>
      <c r="K23" s="98"/>
      <c r="O23" s="89"/>
      <c r="P23" s="129" t="s">
        <v>189</v>
      </c>
      <c r="Q23" s="116">
        <v>9947528</v>
      </c>
      <c r="R23" s="116"/>
      <c r="S23" s="116">
        <v>7626.96</v>
      </c>
      <c r="T23" s="130">
        <f t="shared" si="3"/>
        <v>1304.2585774673003</v>
      </c>
      <c r="U23" s="78"/>
    </row>
    <row r="24" spans="1:33" hidden="1">
      <c r="A24" s="129" t="s">
        <v>204</v>
      </c>
      <c r="B24" s="131"/>
      <c r="C24" s="131"/>
      <c r="F24" s="78">
        <f>Q24/22</f>
        <v>472433.13636363635</v>
      </c>
      <c r="G24" s="90">
        <f t="shared" si="2"/>
        <v>-2.6571562667264681E-3</v>
      </c>
      <c r="H24" s="90">
        <f t="shared" si="4"/>
        <v>0.15637376174283246</v>
      </c>
      <c r="I24" s="130">
        <f t="shared" si="0"/>
        <v>1153.9723584782064</v>
      </c>
      <c r="J24" s="130">
        <f t="shared" si="5"/>
        <v>-8.6071618587747478E-3</v>
      </c>
      <c r="K24" s="98"/>
      <c r="O24" s="89"/>
      <c r="P24" s="129" t="s">
        <v>204</v>
      </c>
      <c r="Q24" s="116">
        <v>10393529</v>
      </c>
      <c r="R24" s="116"/>
      <c r="S24" s="116">
        <v>9006.74</v>
      </c>
      <c r="T24" s="130">
        <f t="shared" si="3"/>
        <v>1153.9723584782064</v>
      </c>
      <c r="U24" s="78"/>
      <c r="AG24" s="116">
        <v>1064233046</v>
      </c>
    </row>
    <row r="25" spans="1:33" ht="13.2" hidden="1">
      <c r="A25" s="129" t="s">
        <v>217</v>
      </c>
      <c r="B25" s="131">
        <f>SUM(F23:F25)</f>
        <v>1426801.5774663934</v>
      </c>
      <c r="C25" s="131">
        <f>AVERAGE(F23:F25)</f>
        <v>475600.52582213114</v>
      </c>
      <c r="D25" s="90">
        <f>C25/C22-1</f>
        <v>2.2196479025395011E-2</v>
      </c>
      <c r="E25" s="286">
        <f>C25/C13-1</f>
        <v>2.4938897473098631E-2</v>
      </c>
      <c r="F25" s="78">
        <f>Q25/19</f>
        <v>480676.63157894736</v>
      </c>
      <c r="G25" s="90">
        <f t="shared" si="2"/>
        <v>1.7449019937005206E-2</v>
      </c>
      <c r="H25" s="90">
        <f t="shared" si="4"/>
        <v>-2.4403218958251927E-2</v>
      </c>
      <c r="I25" s="130">
        <f t="shared" si="0"/>
        <v>1231.2895106177307</v>
      </c>
      <c r="J25" s="130">
        <f t="shared" si="5"/>
        <v>-2.0690200447441742E-2</v>
      </c>
      <c r="K25" s="78">
        <f>R23+R24+R25</f>
        <v>0</v>
      </c>
      <c r="L25" s="90">
        <f>U25/U22-1</f>
        <v>-0.97282769422706994</v>
      </c>
      <c r="M25" s="90">
        <f>U25/U13-1</f>
        <v>1.1125049923460306E-2</v>
      </c>
      <c r="N25" s="88">
        <f>AVERAGE(T23:T25)</f>
        <v>1229.8401488544125</v>
      </c>
      <c r="O25" s="91">
        <f>N25/N22-1</f>
        <v>1.4178187182540603E-2</v>
      </c>
      <c r="P25" s="129" t="s">
        <v>217</v>
      </c>
      <c r="Q25" s="116">
        <v>9132856</v>
      </c>
      <c r="R25" s="116"/>
      <c r="S25" s="116">
        <v>7417.31</v>
      </c>
      <c r="T25" s="130">
        <f t="shared" si="3"/>
        <v>1231.2895106177307</v>
      </c>
      <c r="U25" s="85">
        <f>Q23+Q24+Q25</f>
        <v>29473913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86"/>
      <c r="F26" s="78">
        <f>Q26/19</f>
        <v>554629.21052631584</v>
      </c>
      <c r="G26" s="90">
        <f t="shared" si="2"/>
        <v>0.15385099688421677</v>
      </c>
      <c r="H26" s="90">
        <f t="shared" si="4"/>
        <v>-0.12884955764063877</v>
      </c>
      <c r="I26" s="130">
        <f t="shared" si="0"/>
        <v>1159.4185278908571</v>
      </c>
      <c r="J26" s="130">
        <f t="shared" si="5"/>
        <v>0.14885631519913289</v>
      </c>
      <c r="K26" s="78"/>
      <c r="L26" s="90"/>
      <c r="M26" s="90"/>
      <c r="P26" s="129" t="s">
        <v>312</v>
      </c>
      <c r="Q26" s="116">
        <v>10537955</v>
      </c>
      <c r="R26" s="116"/>
      <c r="S26" s="116">
        <v>9089</v>
      </c>
      <c r="T26" s="130">
        <f t="shared" si="3"/>
        <v>1159.4185278908571</v>
      </c>
      <c r="U26" s="78"/>
      <c r="V26" s="79"/>
      <c r="W26" s="79"/>
      <c r="X26" s="79"/>
      <c r="Y26" s="79"/>
      <c r="Z26" s="79"/>
    </row>
    <row r="27" spans="1:33" ht="13.2" hidden="1">
      <c r="A27" s="129" t="s">
        <v>373</v>
      </c>
      <c r="B27" s="131"/>
      <c r="C27" s="131"/>
      <c r="D27" s="132"/>
      <c r="E27" s="286"/>
      <c r="F27" s="78">
        <f>Q27/22</f>
        <v>571911.09090909094</v>
      </c>
      <c r="G27" s="90">
        <f t="shared" si="2"/>
        <v>3.1159340429212978E-2</v>
      </c>
      <c r="H27" s="90">
        <f t="shared" si="4"/>
        <v>5.3939712044775101E-2</v>
      </c>
      <c r="I27" s="130">
        <f t="shared" si="0"/>
        <v>1120.1712924836966</v>
      </c>
      <c r="J27" s="130">
        <f t="shared" si="5"/>
        <v>8.6863335197951752E-2</v>
      </c>
      <c r="K27" s="78"/>
      <c r="L27" s="90"/>
      <c r="M27" s="90"/>
      <c r="P27" s="129" t="s">
        <v>373</v>
      </c>
      <c r="Q27" s="116">
        <v>12582044</v>
      </c>
      <c r="R27" s="116"/>
      <c r="S27" s="116">
        <v>11232.25</v>
      </c>
      <c r="T27" s="130">
        <f t="shared" si="3"/>
        <v>1120.1712924836966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1851717.5119617227</v>
      </c>
      <c r="C28" s="131">
        <f>AVERAGE(F26:F28)</f>
        <v>617239.17065390758</v>
      </c>
      <c r="D28" s="90">
        <f>C28/C25-1</f>
        <v>0.29781010983311562</v>
      </c>
      <c r="E28" s="286">
        <f>C28/C16-1</f>
        <v>-1.0802330464722565E-2</v>
      </c>
      <c r="F28" s="78">
        <f>Q28/19</f>
        <v>725177.21052631584</v>
      </c>
      <c r="G28" s="90">
        <f t="shared" si="2"/>
        <v>0.26798941663047327</v>
      </c>
      <c r="H28" s="90">
        <f t="shared" si="4"/>
        <v>4.6983683552647371E-2</v>
      </c>
      <c r="I28" s="130">
        <f t="shared" si="0"/>
        <v>1342.3921769595597</v>
      </c>
      <c r="J28" s="130">
        <f t="shared" si="5"/>
        <v>0.3032423830784905</v>
      </c>
      <c r="K28" s="78">
        <f>R26+R27+R28</f>
        <v>0</v>
      </c>
      <c r="L28" s="90">
        <f>U28/U25-1</f>
        <v>0.25189912856158592</v>
      </c>
      <c r="M28" s="90">
        <f>U28/U16-1</f>
        <v>-7.5445068882142086E-2</v>
      </c>
      <c r="N28" s="88">
        <f>AVERAGE(T26:T28)</f>
        <v>1207.3273324447046</v>
      </c>
      <c r="O28" s="91">
        <f>N28/N25-1</f>
        <v>-1.830548175767277E-2</v>
      </c>
      <c r="P28" s="129" t="s">
        <v>413</v>
      </c>
      <c r="Q28" s="116">
        <v>13778367</v>
      </c>
      <c r="R28" s="116"/>
      <c r="S28" s="116">
        <v>10264.040000000001</v>
      </c>
      <c r="T28" s="130">
        <f t="shared" si="3"/>
        <v>1342.3921769595597</v>
      </c>
      <c r="U28" s="85">
        <f>Q26+Q27+Q28</f>
        <v>36898366</v>
      </c>
      <c r="V28" s="79"/>
      <c r="W28" s="79"/>
      <c r="X28" s="79"/>
      <c r="Y28" s="79"/>
      <c r="Z28" s="79"/>
    </row>
    <row r="29" spans="1:33" ht="13.2" hidden="1">
      <c r="A29" s="129" t="s">
        <v>426</v>
      </c>
      <c r="B29" s="188"/>
      <c r="C29" s="188"/>
      <c r="D29" s="189"/>
      <c r="E29" s="287"/>
      <c r="F29" s="136">
        <f>Q29/22</f>
        <v>496125.04545454547</v>
      </c>
      <c r="G29" s="190">
        <f t="shared" si="2"/>
        <v>-0.3158568164401222</v>
      </c>
      <c r="H29" s="190">
        <f t="shared" si="4"/>
        <v>3.1052622187222712E-2</v>
      </c>
      <c r="I29" s="130">
        <f t="shared" si="0"/>
        <v>1054.6529470081573</v>
      </c>
      <c r="J29" s="130">
        <f t="shared" si="5"/>
        <v>-0.12314310200271728</v>
      </c>
      <c r="K29" s="136"/>
      <c r="L29" s="190"/>
      <c r="M29" s="190"/>
      <c r="N29" s="191"/>
      <c r="O29" s="192"/>
      <c r="P29" s="129" t="s">
        <v>426</v>
      </c>
      <c r="Q29" s="116">
        <v>10914751</v>
      </c>
      <c r="R29" s="116">
        <v>14367756424</v>
      </c>
      <c r="S29" s="116">
        <v>10349.14</v>
      </c>
      <c r="T29" s="130">
        <f t="shared" si="3"/>
        <v>1054.6529470081573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87"/>
      <c r="F30" s="136">
        <f>Q30/19</f>
        <v>493372.26315789472</v>
      </c>
      <c r="G30" s="190">
        <f t="shared" si="2"/>
        <v>-5.5485654712889021E-3</v>
      </c>
      <c r="H30" s="190">
        <f t="shared" si="4"/>
        <v>-0.16980186754954407</v>
      </c>
      <c r="I30" s="130">
        <f t="shared" si="0"/>
        <v>1081.54477172822</v>
      </c>
      <c r="J30" s="130">
        <f t="shared" si="5"/>
        <v>-0.11154211758209498</v>
      </c>
      <c r="K30" s="136"/>
      <c r="L30" s="190"/>
      <c r="M30" s="190"/>
      <c r="N30" s="191"/>
      <c r="O30" s="192"/>
      <c r="P30" s="129" t="s">
        <v>466</v>
      </c>
      <c r="Q30" s="116">
        <v>9374073</v>
      </c>
      <c r="R30" s="116">
        <v>12494778341</v>
      </c>
      <c r="S30" s="116">
        <v>8667.2999999999993</v>
      </c>
      <c r="T30" s="130">
        <f t="shared" si="3"/>
        <v>1081.54477172822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1590401.4586124402</v>
      </c>
      <c r="C31" s="188">
        <f>AVERAGE(F29:F31)</f>
        <v>530133.81953748001</v>
      </c>
      <c r="D31" s="190">
        <f>C31/C28-1</f>
        <v>-0.14112090621881235</v>
      </c>
      <c r="E31" s="287">
        <f>C31/C19-1</f>
        <v>5.5334605911696588E-3</v>
      </c>
      <c r="F31" s="136">
        <f>Q31/20</f>
        <v>600904.15</v>
      </c>
      <c r="G31" s="190">
        <f t="shared" si="2"/>
        <v>0.21795284184366825</v>
      </c>
      <c r="H31" s="190">
        <f t="shared" si="4"/>
        <v>0.18712624634688524</v>
      </c>
      <c r="I31" s="130">
        <f t="shared" si="0"/>
        <v>1130.7007887943039</v>
      </c>
      <c r="J31" s="130">
        <f t="shared" si="5"/>
        <v>-4.4740396334334354E-2</v>
      </c>
      <c r="K31" s="136">
        <f>R29+R30+R31</f>
        <v>42831396212</v>
      </c>
      <c r="L31" s="190">
        <f>U31/U28-1</f>
        <v>-0.12443529342193638</v>
      </c>
      <c r="M31" s="190">
        <f>U31/U19-1</f>
        <v>-1.0367477372050127E-2</v>
      </c>
      <c r="N31" s="191">
        <f>AVERAGE(T29:T31)</f>
        <v>1088.9661691768936</v>
      </c>
      <c r="O31" s="192">
        <f>N31/N28-1</f>
        <v>-9.8035686004178113E-2</v>
      </c>
      <c r="P31" s="129" t="s">
        <v>505</v>
      </c>
      <c r="Q31" s="116">
        <v>12018083</v>
      </c>
      <c r="R31" s="116">
        <v>15968861447</v>
      </c>
      <c r="S31" s="116">
        <v>10628.88</v>
      </c>
      <c r="T31" s="130">
        <f t="shared" si="3"/>
        <v>1130.7007887943039</v>
      </c>
      <c r="U31" s="85">
        <f>Q29+Q30+Q31</f>
        <v>32306907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87"/>
      <c r="F32" s="136">
        <f>Q32/21</f>
        <v>462405.04761904763</v>
      </c>
      <c r="G32" s="190">
        <f t="shared" si="2"/>
        <v>-0.23048451634250222</v>
      </c>
      <c r="H32" s="190">
        <f t="shared" si="4"/>
        <v>9.8337433103417915E-2</v>
      </c>
      <c r="I32" s="130">
        <f t="shared" si="0"/>
        <v>1161.5826845875222</v>
      </c>
      <c r="J32" s="130">
        <f t="shared" si="5"/>
        <v>-7.4726140438137745E-2</v>
      </c>
      <c r="K32" s="203"/>
      <c r="L32" s="190"/>
      <c r="M32" s="190"/>
      <c r="N32" s="191"/>
      <c r="O32" s="192"/>
      <c r="P32" s="129" t="s">
        <v>561</v>
      </c>
      <c r="Q32" s="116">
        <v>9710506</v>
      </c>
      <c r="R32" s="116">
        <v>13238320452</v>
      </c>
      <c r="S32" s="116">
        <v>8359.7199999999993</v>
      </c>
      <c r="T32" s="130">
        <f t="shared" si="3"/>
        <v>1161.5826845875222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578666.71428571432</v>
      </c>
      <c r="G33" s="190">
        <f t="shared" si="2"/>
        <v>0.25142819539991024</v>
      </c>
      <c r="H33" s="190">
        <f t="shared" si="4"/>
        <v>0.27548741574116353</v>
      </c>
      <c r="I33" s="130">
        <f t="shared" si="0"/>
        <v>1130.536483801103</v>
      </c>
      <c r="J33" s="130">
        <f t="shared" si="5"/>
        <v>-0.11336912199893523</v>
      </c>
      <c r="K33" s="203"/>
      <c r="L33" s="190"/>
      <c r="M33" s="190"/>
      <c r="N33" s="191"/>
      <c r="O33" s="192"/>
      <c r="P33" s="129" t="s">
        <v>606</v>
      </c>
      <c r="Q33" s="116">
        <v>12152001</v>
      </c>
      <c r="R33" s="116">
        <v>16624131470</v>
      </c>
      <c r="S33" s="116">
        <v>10748.88</v>
      </c>
      <c r="T33" s="130">
        <f t="shared" si="3"/>
        <v>1130.536483801103</v>
      </c>
      <c r="U33" s="85"/>
    </row>
    <row r="34" spans="1:21" s="79" customFormat="1" ht="13.2" hidden="1">
      <c r="A34" s="129" t="s">
        <v>652</v>
      </c>
      <c r="B34" s="188">
        <f>SUM(F32:F34)</f>
        <v>1581205.2355889725</v>
      </c>
      <c r="C34" s="188">
        <f>AVERAGE(F32:F34)</f>
        <v>527068.41186299082</v>
      </c>
      <c r="D34" s="190">
        <f>C34/C31-1</f>
        <v>-5.7823280868284366E-3</v>
      </c>
      <c r="E34" s="287">
        <f>C34/C22-1</f>
        <v>0.13281513699029945</v>
      </c>
      <c r="F34" s="136">
        <f>Q34/19</f>
        <v>540133.47368421056</v>
      </c>
      <c r="G34" s="190">
        <f t="shared" si="2"/>
        <v>-6.6589696020563083E-2</v>
      </c>
      <c r="H34" s="190">
        <f t="shared" si="4"/>
        <v>3.6462015457781716E-2</v>
      </c>
      <c r="I34" s="130">
        <f t="shared" si="0"/>
        <v>1176.2542465351482</v>
      </c>
      <c r="J34" s="130">
        <f t="shared" si="5"/>
        <v>6.2123705017050002E-2</v>
      </c>
      <c r="K34" s="136">
        <f>R32+R33+R34</f>
        <v>43983137385</v>
      </c>
      <c r="L34" s="190">
        <f>U34/U31-1</f>
        <v>-5.6292606407664092E-3</v>
      </c>
      <c r="M34" s="190">
        <f>U34/U22-1</f>
        <v>-0.97038359001180041</v>
      </c>
      <c r="N34" s="191">
        <f>AVERAGE(T32:T34)</f>
        <v>1156.1244716412577</v>
      </c>
      <c r="O34" s="192">
        <f>N34/N31-1</f>
        <v>6.1671615120170831E-2</v>
      </c>
      <c r="P34" s="129" t="s">
        <v>652</v>
      </c>
      <c r="Q34" s="116">
        <v>10262536</v>
      </c>
      <c r="R34" s="116">
        <v>14120685463</v>
      </c>
      <c r="S34" s="116">
        <v>8724.76</v>
      </c>
      <c r="T34" s="130">
        <f t="shared" si="3"/>
        <v>1176.2542465351482</v>
      </c>
      <c r="U34" s="85">
        <f>Q32+Q33+Q34</f>
        <v>32125043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702433.73913043481</v>
      </c>
      <c r="G35" s="190">
        <f t="shared" si="2"/>
        <v>0.30048177599360049</v>
      </c>
      <c r="H35" s="190">
        <f t="shared" si="4"/>
        <v>0.48289188245955494</v>
      </c>
      <c r="I35" s="130">
        <f t="shared" si="0"/>
        <v>1287.5903868913604</v>
      </c>
      <c r="J35" s="130">
        <f t="shared" si="5"/>
        <v>-1.2779820553917576E-2</v>
      </c>
      <c r="K35" s="136"/>
      <c r="L35" s="190"/>
      <c r="M35" s="190"/>
      <c r="N35" s="191"/>
      <c r="O35" s="192"/>
      <c r="P35" s="129" t="s">
        <v>659</v>
      </c>
      <c r="Q35" s="116">
        <v>16155976</v>
      </c>
      <c r="R35" s="116">
        <v>22361186032</v>
      </c>
      <c r="S35" s="116">
        <v>12547.45</v>
      </c>
      <c r="T35" s="130">
        <f t="shared" si="3"/>
        <v>1287.5903868913604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495025.42857142858</v>
      </c>
      <c r="G36" s="190">
        <f t="shared" si="2"/>
        <v>-0.29527099711321325</v>
      </c>
      <c r="H36" s="190">
        <f t="shared" si="4"/>
        <v>4.7821142229114821E-2</v>
      </c>
      <c r="I36" s="130">
        <f t="shared" si="0"/>
        <v>1208.7029115512112</v>
      </c>
      <c r="J36" s="130">
        <f t="shared" si="5"/>
        <v>4.742795845229808E-2</v>
      </c>
      <c r="K36" s="136"/>
      <c r="L36" s="190"/>
      <c r="M36" s="190"/>
      <c r="N36" s="191"/>
      <c r="O36" s="192"/>
      <c r="P36" s="129" t="s">
        <v>664</v>
      </c>
      <c r="Q36" s="116">
        <v>10395534</v>
      </c>
      <c r="R36" s="116">
        <v>14164725504</v>
      </c>
      <c r="S36" s="116">
        <v>8600.57</v>
      </c>
      <c r="T36" s="130">
        <f t="shared" si="3"/>
        <v>1208.7029115512112</v>
      </c>
      <c r="U36" s="85"/>
    </row>
    <row r="37" spans="1:21" s="79" customFormat="1" ht="13.2" hidden="1">
      <c r="A37" s="129" t="s">
        <v>702</v>
      </c>
      <c r="B37" s="188">
        <f>SUM(F35:F37)</f>
        <v>1900032.6677018635</v>
      </c>
      <c r="C37" s="188">
        <f>AVERAGE(F35:F37)</f>
        <v>633344.22256728786</v>
      </c>
      <c r="D37" s="190">
        <f>C37/C34-1</f>
        <v>0.20163570480092252</v>
      </c>
      <c r="E37" s="287">
        <f>C37/C25-1</f>
        <v>0.33167267103516829</v>
      </c>
      <c r="F37" s="136">
        <f>Q37/18</f>
        <v>702573.5</v>
      </c>
      <c r="G37" s="190">
        <f t="shared" si="2"/>
        <v>0.4192674950608597</v>
      </c>
      <c r="H37" s="190">
        <f t="shared" si="4"/>
        <v>0.46163440001681844</v>
      </c>
      <c r="I37" s="130">
        <f t="shared" si="0"/>
        <v>1245.4412950840499</v>
      </c>
      <c r="J37" s="130">
        <f t="shared" si="5"/>
        <v>1.1493466276033981E-2</v>
      </c>
      <c r="K37" s="136">
        <f>R35+R36+R37</f>
        <v>53400062854</v>
      </c>
      <c r="L37" s="190">
        <f>U37/U34-1</f>
        <v>0.22016437456597338</v>
      </c>
      <c r="M37" s="190">
        <f>U37/U25-1</f>
        <v>0.3299161533115742</v>
      </c>
      <c r="N37" s="191">
        <f>AVERAGE(T35:T37)</f>
        <v>1247.2448645088737</v>
      </c>
      <c r="O37" s="192">
        <f>N37/N34-1</f>
        <v>7.8815382861206595E-2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si="3"/>
        <v>1245.4412950840499</v>
      </c>
      <c r="U37" s="85">
        <f>Q35+Q36+Q37</f>
        <v>39197833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669771.25</v>
      </c>
      <c r="G38" s="190">
        <f t="shared" ref="G38" si="6">F38/F37-1</f>
        <v>-4.6688709437517906E-2</v>
      </c>
      <c r="H38" s="190">
        <f t="shared" ref="H38" si="7">F38/F26-1</f>
        <v>0.20760183071573168</v>
      </c>
      <c r="I38" s="130">
        <f t="shared" si="0"/>
        <v>1230.6632600562991</v>
      </c>
      <c r="J38" s="130">
        <f t="shared" si="5"/>
        <v>6.1448674875884457E-2</v>
      </c>
      <c r="K38" s="136"/>
      <c r="L38" s="190"/>
      <c r="M38" s="190"/>
      <c r="N38" s="191"/>
      <c r="O38" s="192"/>
      <c r="P38" s="129" t="s">
        <v>728</v>
      </c>
      <c r="Q38" s="116">
        <v>13395425</v>
      </c>
      <c r="R38" s="116">
        <v>18096592051</v>
      </c>
      <c r="S38" s="116">
        <v>10884.72</v>
      </c>
      <c r="T38" s="130">
        <f t="shared" ref="T38" si="8">Q38/S38</f>
        <v>1230.6632600562991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679389.38095238095</v>
      </c>
      <c r="G39" s="190">
        <f t="shared" ref="G39" si="9">F39/F38-1</f>
        <v>1.4360322203111897E-2</v>
      </c>
      <c r="H39" s="190">
        <f t="shared" ref="H39" si="10">F39/F27-1</f>
        <v>0.18792831919459041</v>
      </c>
      <c r="I39" s="130">
        <f t="shared" si="0"/>
        <v>933.19543029671934</v>
      </c>
      <c r="J39" s="130">
        <f t="shared" si="5"/>
        <v>-0.1669172058251962</v>
      </c>
      <c r="K39" s="136"/>
      <c r="L39" s="190"/>
      <c r="M39" s="190"/>
      <c r="N39" s="191"/>
      <c r="O39" s="192"/>
      <c r="P39" s="129" t="s">
        <v>762</v>
      </c>
      <c r="Q39" s="116">
        <v>14267177</v>
      </c>
      <c r="R39" s="116">
        <v>19856872061</v>
      </c>
      <c r="S39" s="116">
        <v>15288.52</v>
      </c>
      <c r="T39" s="130">
        <f t="shared" ref="T39" si="11">Q39/S39</f>
        <v>933.19543029671934</v>
      </c>
      <c r="U39" s="85"/>
    </row>
    <row r="40" spans="1:21" s="79" customFormat="1" ht="13.2" hidden="1">
      <c r="A40" s="129" t="s">
        <v>778</v>
      </c>
      <c r="B40" s="188">
        <f>SUM(F38:F40)</f>
        <v>2040397.9642857146</v>
      </c>
      <c r="C40" s="188">
        <f>AVERAGE(F38:F40)</f>
        <v>680132.65476190485</v>
      </c>
      <c r="D40" s="190">
        <f>C40/C37-1</f>
        <v>7.3875201710940308E-2</v>
      </c>
      <c r="E40" s="287">
        <f>C40/C28-1</f>
        <v>0.10189483606713989</v>
      </c>
      <c r="F40" s="136">
        <f>Q40/21</f>
        <v>691237.33333333337</v>
      </c>
      <c r="G40" s="190">
        <f t="shared" ref="G40" si="12">F40/F39-1</f>
        <v>1.7439119175433282E-2</v>
      </c>
      <c r="H40" s="190">
        <f t="shared" ref="H40" si="13">F40/F28-1</f>
        <v>-4.6802183935633845E-2</v>
      </c>
      <c r="I40" s="130">
        <f t="shared" si="0"/>
        <v>1274.259680293547</v>
      </c>
      <c r="J40" s="130">
        <f t="shared" si="5"/>
        <v>-5.075453942254704E-2</v>
      </c>
      <c r="K40" s="136">
        <f>R38+R39+R40</f>
        <v>58580346820</v>
      </c>
      <c r="L40" s="190">
        <f>U40/U37-1</f>
        <v>7.6043821095926445E-2</v>
      </c>
      <c r="M40" s="190">
        <f>U40/U28-1</f>
        <v>0.1431017297622339</v>
      </c>
      <c r="N40" s="191">
        <f>AVERAGE(T38:T40)</f>
        <v>1146.0394568821885</v>
      </c>
      <c r="O40" s="192">
        <f>N40/N37-1</f>
        <v>-8.1143174453187084E-2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14">Q40/S40</f>
        <v>1274.259680293547</v>
      </c>
      <c r="U40" s="85">
        <f>Q38+Q39+Q40</f>
        <v>42178586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473856.11111111112</v>
      </c>
      <c r="G41" s="190">
        <f t="shared" ref="G41" si="15">F41/F40-1</f>
        <v>-0.31448131016586045</v>
      </c>
      <c r="H41" s="190">
        <f t="shared" ref="H41" si="16">F41/F29-1</f>
        <v>-4.4885729006145514E-2</v>
      </c>
      <c r="I41" s="130">
        <f t="shared" si="0"/>
        <v>898.258122268443</v>
      </c>
      <c r="J41" s="130">
        <f t="shared" si="5"/>
        <v>-0.14829032164881883</v>
      </c>
      <c r="K41" s="193"/>
      <c r="L41" s="190"/>
      <c r="M41" s="190"/>
      <c r="N41" s="193"/>
      <c r="O41" s="193"/>
      <c r="P41" s="129" t="s">
        <v>792</v>
      </c>
      <c r="Q41" s="116">
        <v>8529410</v>
      </c>
      <c r="R41" s="116">
        <v>12487590112</v>
      </c>
      <c r="S41" s="116">
        <v>9495.5</v>
      </c>
      <c r="T41" s="130">
        <f t="shared" ref="T41" si="17">Q41/S41</f>
        <v>898.258122268443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238706.65</v>
      </c>
      <c r="G42" s="190">
        <f t="shared" ref="G42" si="18">F42/F41-1</f>
        <v>-0.49624655163721765</v>
      </c>
      <c r="H42" s="190">
        <f t="shared" ref="H42" si="19">F42/F30-1</f>
        <v>-0.51617334855403829</v>
      </c>
      <c r="I42" s="130">
        <f t="shared" si="0"/>
        <v>830.98781054562733</v>
      </c>
      <c r="J42" s="130">
        <f t="shared" si="5"/>
        <v>-0.2316658244135591</v>
      </c>
      <c r="K42" s="193"/>
      <c r="L42" s="190"/>
      <c r="M42" s="190"/>
      <c r="N42" s="193"/>
      <c r="O42" s="193"/>
      <c r="P42" s="129" t="s">
        <v>826</v>
      </c>
      <c r="Q42" s="116">
        <v>4774133</v>
      </c>
      <c r="R42" s="116">
        <v>6889901278</v>
      </c>
      <c r="S42" s="116">
        <v>5745.13</v>
      </c>
      <c r="T42" s="130">
        <f t="shared" ref="T42" si="20">Q42/S42</f>
        <v>830.98781054562733</v>
      </c>
      <c r="U42" s="78"/>
    </row>
    <row r="43" spans="1:21" s="79" customFormat="1" ht="13.2">
      <c r="A43" s="129" t="s">
        <v>835</v>
      </c>
      <c r="B43" s="188">
        <f>SUM(F41:F43)</f>
        <v>1021900.7611111111</v>
      </c>
      <c r="C43" s="188">
        <f>AVERAGE(F41:F43)</f>
        <v>340633.58703703707</v>
      </c>
      <c r="D43" s="190">
        <f>C43/C40-1</f>
        <v>-0.49916595732889313</v>
      </c>
      <c r="E43" s="287">
        <f>C43/C31-1</f>
        <v>-0.35745735419365265</v>
      </c>
      <c r="F43" s="136">
        <f>Q43/20</f>
        <v>309338</v>
      </c>
      <c r="G43" s="190">
        <f t="shared" ref="G43" si="21">F43/F42-1</f>
        <v>0.29589184046611194</v>
      </c>
      <c r="H43" s="190">
        <f t="shared" ref="H43" si="22">F43/F31-1</f>
        <v>-0.48521240866783832</v>
      </c>
      <c r="I43" s="130">
        <f t="shared" si="0"/>
        <v>941.19973772566766</v>
      </c>
      <c r="J43" s="130">
        <f t="shared" si="5"/>
        <v>-0.16759610760571431</v>
      </c>
      <c r="K43" s="136">
        <f>R41+R42+R43</f>
        <v>28340539563</v>
      </c>
      <c r="L43" s="190">
        <f>U43/U40-1</f>
        <v>-0.53790999537063666</v>
      </c>
      <c r="M43" s="190">
        <f>K43/K31-1</f>
        <v>-0.338323237871478</v>
      </c>
      <c r="N43" s="191">
        <f>AVERAGE(T41:T43)</f>
        <v>890.14855684657925</v>
      </c>
      <c r="O43" s="192">
        <f>N43/N40-1</f>
        <v>-0.22328280104051823</v>
      </c>
      <c r="P43" s="129" t="s">
        <v>835</v>
      </c>
      <c r="Q43" s="116">
        <v>6186760</v>
      </c>
      <c r="R43" s="116">
        <v>8963048173</v>
      </c>
      <c r="S43" s="116">
        <v>6573.27</v>
      </c>
      <c r="T43" s="130">
        <f t="shared" ref="T43" si="23">Q43/S43</f>
        <v>941.19973772566766</v>
      </c>
      <c r="U43" s="85">
        <f>Q41+Q42+Q43</f>
        <v>19490303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311425.90909090912</v>
      </c>
      <c r="G44" s="190">
        <f t="shared" ref="G44" si="24">F44/F43-1</f>
        <v>6.7496042869259476E-3</v>
      </c>
      <c r="H44" s="190">
        <f t="shared" ref="H44" si="25">F44/F32-1</f>
        <v>-0.32650841357709981</v>
      </c>
      <c r="I44" s="130">
        <f t="shared" si="0"/>
        <v>843.33895446880263</v>
      </c>
      <c r="J44" s="130">
        <f t="shared" si="5"/>
        <v>-0.27397423734129422</v>
      </c>
      <c r="K44" s="136"/>
      <c r="L44" s="190"/>
      <c r="M44" s="190"/>
      <c r="N44" s="191"/>
      <c r="O44" s="192"/>
      <c r="P44" s="129" t="s">
        <v>843</v>
      </c>
      <c r="Q44" s="116">
        <v>6851370</v>
      </c>
      <c r="R44" s="116">
        <v>9958336770</v>
      </c>
      <c r="S44" s="116">
        <v>8124.1</v>
      </c>
      <c r="T44" s="130">
        <f t="shared" ref="T44" si="26">Q44/S44</f>
        <v>843.33895446880263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233099.75</v>
      </c>
      <c r="G45" s="190">
        <f t="shared" ref="G45" si="27">F45/F44-1</f>
        <v>-0.25150816552018074</v>
      </c>
      <c r="H45" s="190">
        <f t="shared" ref="H45" si="28">F45/F33-1</f>
        <v>-0.59717788453111553</v>
      </c>
      <c r="I45" s="130">
        <f t="shared" si="0"/>
        <v>839.2188523822897</v>
      </c>
      <c r="J45" s="130">
        <f t="shared" si="5"/>
        <v>-0.25768087593187772</v>
      </c>
      <c r="K45" s="136"/>
      <c r="L45" s="190"/>
      <c r="M45" s="190"/>
      <c r="N45" s="191"/>
      <c r="O45" s="192"/>
      <c r="P45" s="129" t="s">
        <v>853</v>
      </c>
      <c r="Q45" s="116">
        <v>4661995</v>
      </c>
      <c r="R45" s="116">
        <v>6582552181</v>
      </c>
      <c r="S45" s="116">
        <v>5555.16</v>
      </c>
      <c r="T45" s="130">
        <f t="shared" ref="T45" si="29">Q45/S45</f>
        <v>839.2188523822897</v>
      </c>
      <c r="U45" s="85"/>
    </row>
    <row r="46" spans="1:21" s="79" customFormat="1" ht="13.2">
      <c r="A46" s="129" t="s">
        <v>914</v>
      </c>
      <c r="B46" s="188">
        <f>SUM(F44:F46)</f>
        <v>830563.34330143547</v>
      </c>
      <c r="C46" s="188">
        <f>AVERAGE(F44:F46)</f>
        <v>276854.44776714518</v>
      </c>
      <c r="D46" s="190">
        <f>C46/C43-1</f>
        <v>-0.18723678960923251</v>
      </c>
      <c r="E46" s="287">
        <f>C46/C34-1</f>
        <v>-0.47472767948933292</v>
      </c>
      <c r="F46" s="136">
        <f>Q46/19</f>
        <v>286037.68421052629</v>
      </c>
      <c r="G46" s="190">
        <f t="shared" ref="G46" si="30">F46/F45-1</f>
        <v>0.22710420843662971</v>
      </c>
      <c r="H46" s="190">
        <f t="shared" ref="H46" si="31">F46/F34-1</f>
        <v>-0.47043148009419899</v>
      </c>
      <c r="I46" s="130">
        <f t="shared" si="0"/>
        <v>880.20860495436762</v>
      </c>
      <c r="J46" s="130">
        <f t="shared" si="5"/>
        <v>-0.25168507782465577</v>
      </c>
      <c r="K46" s="136">
        <f>R44+R45+R46</f>
        <v>23990129402</v>
      </c>
      <c r="L46" s="190">
        <f>U46/U43-1</f>
        <v>-0.13043522206914893</v>
      </c>
      <c r="M46" s="190">
        <f>K46/K34-1</f>
        <v>-0.45456075149878716</v>
      </c>
      <c r="N46" s="191">
        <f>AVERAGE(T44:T46)</f>
        <v>854.25547060181998</v>
      </c>
      <c r="O46" s="192">
        <f>N46/N43-1</f>
        <v>-4.0322579830846861E-2</v>
      </c>
      <c r="P46" s="129" t="s">
        <v>947</v>
      </c>
      <c r="Q46" s="116">
        <v>5434716</v>
      </c>
      <c r="R46" s="116">
        <v>7449240451</v>
      </c>
      <c r="S46" s="116">
        <v>6174.35</v>
      </c>
      <c r="T46" s="130">
        <f t="shared" ref="T46" si="32">Q46/S46</f>
        <v>880.20860495436762</v>
      </c>
      <c r="U46" s="85">
        <f t="shared" ref="U46:U51" si="33">Q44+Q45+Q46</f>
        <v>16948081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330719.65217391303</v>
      </c>
      <c r="G47" s="190">
        <f t="shared" ref="G47" si="34">F47/F46-1</f>
        <v>0.15621007451067315</v>
      </c>
      <c r="H47" s="190">
        <f t="shared" ref="H47" si="35">F47/F35-1</f>
        <v>-0.52918028598210354</v>
      </c>
      <c r="I47" s="130">
        <f t="shared" si="0"/>
        <v>850.37104610630774</v>
      </c>
      <c r="J47" s="130">
        <f t="shared" si="5"/>
        <v>-0.33956399895205391</v>
      </c>
      <c r="K47" s="136"/>
      <c r="L47" s="190"/>
      <c r="M47" s="190"/>
      <c r="N47" s="191"/>
      <c r="O47" s="192"/>
      <c r="P47" s="129" t="s">
        <v>991</v>
      </c>
      <c r="Q47" s="116">
        <v>7606552</v>
      </c>
      <c r="R47" s="116">
        <v>10406590347</v>
      </c>
      <c r="S47" s="116">
        <v>8944.98</v>
      </c>
      <c r="T47" s="130">
        <f t="shared" ref="T47" si="36">Q47/S47</f>
        <v>850.37104610630774</v>
      </c>
      <c r="U47" s="85">
        <f t="shared" si="33"/>
        <v>17703263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341302.3</v>
      </c>
      <c r="G48" s="190">
        <f t="shared" ref="G48" si="37">F48/F47-1</f>
        <v>3.199884783539253E-2</v>
      </c>
      <c r="H48" s="190">
        <f t="shared" ref="H48" si="38">F48/F36-1</f>
        <v>-0.31053582240219701</v>
      </c>
      <c r="I48" s="130">
        <f t="shared" si="0"/>
        <v>918.44712708014902</v>
      </c>
      <c r="J48" s="130">
        <f t="shared" si="5"/>
        <v>-0.24013823553925018</v>
      </c>
      <c r="K48" s="136"/>
      <c r="L48" s="190"/>
      <c r="M48" s="190"/>
      <c r="N48" s="191"/>
      <c r="O48" s="192"/>
      <c r="P48" s="129" t="s">
        <v>1120</v>
      </c>
      <c r="Q48" s="116">
        <v>6826046</v>
      </c>
      <c r="R48" s="116">
        <v>9469717342</v>
      </c>
      <c r="S48" s="116">
        <v>7432.16</v>
      </c>
      <c r="T48" s="130">
        <f t="shared" ref="T48" si="39">Q48/S48</f>
        <v>918.44712708014902</v>
      </c>
      <c r="U48" s="85">
        <f t="shared" si="33"/>
        <v>19867314</v>
      </c>
    </row>
    <row r="49" spans="1:26" ht="13.2">
      <c r="A49" s="129" t="s">
        <v>1234</v>
      </c>
      <c r="B49" s="188">
        <f>SUM(F47:F49)</f>
        <v>951478.86126482207</v>
      </c>
      <c r="C49" s="188">
        <f>AVERAGE(F47:F49)</f>
        <v>317159.62042160734</v>
      </c>
      <c r="D49" s="190">
        <f>C49/C46-1</f>
        <v>0.14558253616485795</v>
      </c>
      <c r="E49" s="287">
        <f>C49/C37-1</f>
        <v>-0.49923026196404341</v>
      </c>
      <c r="F49" s="136">
        <f>Q49/22</f>
        <v>279456.90909090912</v>
      </c>
      <c r="G49" s="190">
        <f t="shared" ref="G49" si="40">F49/F48-1</f>
        <v>-0.18120414339162338</v>
      </c>
      <c r="H49" s="190">
        <f t="shared" ref="H49" si="41">F49/F37-1</f>
        <v>-0.60223818704959819</v>
      </c>
      <c r="I49" s="130">
        <f t="shared" si="0"/>
        <v>878.48766512584928</v>
      </c>
      <c r="J49" s="130">
        <f t="shared" si="5"/>
        <v>-0.29463743606914561</v>
      </c>
      <c r="K49" s="136">
        <f>R47+R48+R49</f>
        <v>28422828476</v>
      </c>
      <c r="L49" s="190">
        <f>U49/U46-1</f>
        <v>0.21433512148071521</v>
      </c>
      <c r="M49" s="190">
        <f>K49/K37-1</f>
        <v>-0.46773792095132427</v>
      </c>
      <c r="N49" s="191">
        <f>AVERAGE(T47:T49)</f>
        <v>882.43527943743538</v>
      </c>
      <c r="O49" s="192">
        <f>N49/N46-1</f>
        <v>3.2987566138455993E-2</v>
      </c>
      <c r="P49" s="129" t="s">
        <v>1158</v>
      </c>
      <c r="Q49" s="116">
        <v>6148052</v>
      </c>
      <c r="R49" s="116">
        <v>8546520787</v>
      </c>
      <c r="S49" s="116">
        <v>6998.45</v>
      </c>
      <c r="T49" s="130">
        <f t="shared" ref="T49" si="42">Q49/S49</f>
        <v>878.48766512584928</v>
      </c>
      <c r="U49" s="85">
        <f t="shared" si="33"/>
        <v>20580650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407627.38888888888</v>
      </c>
      <c r="G50" s="190">
        <f t="shared" ref="G50" si="43">F50/F49-1</f>
        <v>0.45864129899284434</v>
      </c>
      <c r="H50" s="190">
        <f t="shared" ref="H50" si="44">F50/F38-1</f>
        <v>-0.39139312281784433</v>
      </c>
      <c r="I50" s="130">
        <f t="shared" ref="I50" si="45">T50</f>
        <v>973.40625518224931</v>
      </c>
      <c r="J50" s="130">
        <f t="shared" ref="J50" si="46">I50/I38-1</f>
        <v>-0.20903931499692374</v>
      </c>
      <c r="K50" s="136"/>
      <c r="L50" s="190"/>
      <c r="M50" s="190"/>
      <c r="N50" s="191"/>
      <c r="O50" s="192"/>
      <c r="P50" s="129" t="s">
        <v>1293</v>
      </c>
      <c r="Q50" s="116">
        <v>7337293</v>
      </c>
      <c r="R50" s="116">
        <v>10393197484</v>
      </c>
      <c r="S50" s="116">
        <v>7537.75</v>
      </c>
      <c r="T50" s="130">
        <f t="shared" ref="T50" si="47">Q50/S50</f>
        <v>973.40625518224931</v>
      </c>
      <c r="U50" s="85">
        <f t="shared" si="33"/>
        <v>20311391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390683.25</v>
      </c>
      <c r="G51" s="190">
        <f t="shared" ref="G51:G52" si="48">F51/F50-1</f>
        <v>-4.1567714414566748E-2</v>
      </c>
      <c r="H51" s="190">
        <f t="shared" ref="H51:H52" si="49">F51/F39-1</f>
        <v>-0.42494943113133032</v>
      </c>
      <c r="I51" s="130">
        <f t="shared" ref="I51:I52" si="50">T51</f>
        <v>854.05233180273535</v>
      </c>
      <c r="J51" s="130">
        <f t="shared" ref="J51:J52" si="51">I51/I39-1</f>
        <v>-8.480870772033211E-2</v>
      </c>
      <c r="K51" s="136"/>
      <c r="L51" s="190"/>
      <c r="M51" s="190"/>
      <c r="N51" s="191"/>
      <c r="O51" s="192"/>
      <c r="P51" s="129" t="s">
        <v>1402</v>
      </c>
      <c r="Q51" s="116">
        <v>7813665</v>
      </c>
      <c r="R51" s="116">
        <v>11305164962</v>
      </c>
      <c r="S51" s="116">
        <v>9148.93</v>
      </c>
      <c r="T51" s="130">
        <f t="shared" ref="T51:T52" si="52">Q51/S51</f>
        <v>854.05233180273535</v>
      </c>
      <c r="U51" s="85">
        <f t="shared" si="33"/>
        <v>21299010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1086576.638888889</v>
      </c>
      <c r="C52" s="188">
        <f>AVERAGE(F50:F52)</f>
        <v>362192.21296296298</v>
      </c>
      <c r="D52" s="190">
        <f>C52/C49-1</f>
        <v>0.14198715612502255</v>
      </c>
      <c r="E52" s="287">
        <f>C52/C40-1</f>
        <v>-0.46746827927302481</v>
      </c>
      <c r="F52" s="136">
        <f>Q52/22</f>
        <v>288266</v>
      </c>
      <c r="G52" s="190">
        <f t="shared" si="48"/>
        <v>-0.26214906833093055</v>
      </c>
      <c r="H52" s="190">
        <f t="shared" si="49"/>
        <v>-0.58297102008379187</v>
      </c>
      <c r="I52" s="130">
        <f t="shared" si="50"/>
        <v>881.75576658370755</v>
      </c>
      <c r="J52" s="130">
        <f t="shared" si="51"/>
        <v>-0.30802505939717062</v>
      </c>
      <c r="K52" s="136">
        <f>R50+R51+R52</f>
        <v>31025139783</v>
      </c>
      <c r="L52" s="190">
        <f>U52/U49-1</f>
        <v>4.432124349814015E-2</v>
      </c>
      <c r="M52" s="190">
        <f>K52/K40-1</f>
        <v>-0.47038313244660301</v>
      </c>
      <c r="N52" s="191">
        <f>AVERAGE(T50:T52)</f>
        <v>903.07145118956407</v>
      </c>
      <c r="O52" s="192">
        <f>N52/N49-1</f>
        <v>2.3385479063444237E-2</v>
      </c>
      <c r="P52" s="129" t="s">
        <v>1403</v>
      </c>
      <c r="Q52" s="116">
        <v>6341852</v>
      </c>
      <c r="R52" s="116">
        <v>9326777337</v>
      </c>
      <c r="S52" s="116">
        <v>7192.3</v>
      </c>
      <c r="T52" s="130">
        <f t="shared" si="52"/>
        <v>881.75576658370755</v>
      </c>
      <c r="U52" s="85">
        <f t="shared" ref="U52" si="53">Q50+Q51+Q52</f>
        <v>21492810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356542.38095238095</v>
      </c>
      <c r="G53" s="190">
        <f t="shared" ref="G53" si="54">F53/F52-1</f>
        <v>0.23685200804944384</v>
      </c>
      <c r="H53" s="190">
        <f t="shared" ref="H53" si="55">F53/F41-1</f>
        <v>-0.24757247486721157</v>
      </c>
      <c r="I53" s="130">
        <f t="shared" ref="I53" si="56">T53</f>
        <v>855.01086550638513</v>
      </c>
      <c r="J53" s="130">
        <f t="shared" ref="J53" si="57">I53/I41-1</f>
        <v>-4.814568962966026E-2</v>
      </c>
      <c r="K53" s="136"/>
      <c r="L53" s="190"/>
      <c r="M53" s="190"/>
      <c r="N53" s="191"/>
      <c r="O53" s="192"/>
      <c r="P53" s="129" t="s">
        <v>1414</v>
      </c>
      <c r="Q53" s="116">
        <v>7487390</v>
      </c>
      <c r="R53" s="116">
        <v>10911121431</v>
      </c>
      <c r="S53" s="116">
        <v>8757.07</v>
      </c>
      <c r="T53" s="130">
        <f t="shared" ref="T53" si="58">Q53/S53</f>
        <v>855.01086550638513</v>
      </c>
      <c r="U53" s="85">
        <f t="shared" ref="U53" si="59">Q51+Q52+Q53</f>
        <v>21642907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331180.76470588235</v>
      </c>
      <c r="G54" s="190">
        <f t="shared" ref="G54" si="60">F54/F53-1</f>
        <v>-7.113212229848731E-2</v>
      </c>
      <c r="H54" s="190">
        <f t="shared" ref="H54" si="61">F54/F42-1</f>
        <v>0.38739647473533889</v>
      </c>
      <c r="I54" s="130">
        <f t="shared" ref="I54" si="62">T54</f>
        <v>937.81094775977692</v>
      </c>
      <c r="J54" s="130">
        <f t="shared" ref="J54" si="63">I54/I42-1</f>
        <v>0.12854958383084991</v>
      </c>
      <c r="K54" s="136"/>
      <c r="L54" s="190"/>
      <c r="M54" s="190"/>
      <c r="N54" s="191"/>
      <c r="O54" s="192"/>
      <c r="P54" s="129" t="s">
        <v>1417</v>
      </c>
      <c r="Q54" s="116">
        <v>5630073</v>
      </c>
      <c r="R54" s="116">
        <v>8159233033</v>
      </c>
      <c r="S54" s="116">
        <v>6003.42</v>
      </c>
      <c r="T54" s="130">
        <f t="shared" ref="T54" si="64">Q54/S54</f>
        <v>937.81094775977692</v>
      </c>
      <c r="U54" s="85">
        <f t="shared" ref="U54" si="65">Q52+Q53+Q54</f>
        <v>19459315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1070071.5742296919</v>
      </c>
      <c r="C55" s="188">
        <f>AVERAGE(F53:F55)</f>
        <v>356690.52474323061</v>
      </c>
      <c r="D55" s="190">
        <f>C55/C52-1</f>
        <v>-1.5189968262224851E-2</v>
      </c>
      <c r="E55" s="287">
        <f>C55/C43-1</f>
        <v>4.7138445289153674E-2</v>
      </c>
      <c r="F55" s="136">
        <f>Q55/21</f>
        <v>382348.42857142858</v>
      </c>
      <c r="G55" s="190">
        <f t="shared" ref="G55" si="66">F55/F54-1</f>
        <v>0.15450071175174562</v>
      </c>
      <c r="H55" s="190">
        <f t="shared" ref="H55" si="67">F55/F43-1</f>
        <v>0.23602153169487283</v>
      </c>
      <c r="I55" s="130">
        <f>T55</f>
        <v>967.99171048919686</v>
      </c>
      <c r="J55" s="130">
        <f t="shared" ref="J55" si="68">I55/I43-1</f>
        <v>2.846576734952122E-2</v>
      </c>
      <c r="K55" s="136">
        <f>R53+R54+R55</f>
        <v>30912606955</v>
      </c>
      <c r="L55" s="190">
        <f>U55/U52-1</f>
        <v>-1.6099802678197994E-2</v>
      </c>
      <c r="M55" s="190">
        <f>K55/K43-1</f>
        <v>9.0755766533039628E-2</v>
      </c>
      <c r="N55" s="191">
        <f>AVERAGE(T53:T55)</f>
        <v>920.27117458511964</v>
      </c>
      <c r="O55" s="192">
        <f>N55/N52-1</f>
        <v>1.9045805703302277E-2</v>
      </c>
      <c r="P55" s="129" t="s">
        <v>1418</v>
      </c>
      <c r="Q55" s="116">
        <v>8029317</v>
      </c>
      <c r="R55" s="116">
        <v>11842252491</v>
      </c>
      <c r="S55" s="116">
        <v>8294.82</v>
      </c>
      <c r="T55" s="130">
        <f t="shared" ref="T55" si="69">Q55/S55</f>
        <v>967.99171048919686</v>
      </c>
      <c r="U55" s="85">
        <f t="shared" ref="U55" si="70">Q53+Q54+Q55</f>
        <v>21146780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380143.5</v>
      </c>
      <c r="G56" s="190">
        <f t="shared" ref="G56" si="71">F56/F55-1</f>
        <v>-5.7668043247015577E-3</v>
      </c>
      <c r="H56" s="190">
        <f t="shared" ref="H56" si="72">F56/F44-1</f>
        <v>0.22065470117655295</v>
      </c>
      <c r="I56" s="291">
        <f>T56</f>
        <v>931.20139761096698</v>
      </c>
      <c r="J56" s="130">
        <f t="shared" ref="J56" si="73">I56/I44-1</f>
        <v>0.10418402076245448</v>
      </c>
      <c r="K56" s="136"/>
      <c r="L56" s="190"/>
      <c r="M56" s="190"/>
      <c r="N56" s="191"/>
      <c r="O56" s="192"/>
      <c r="P56" s="129" t="s">
        <v>1420</v>
      </c>
      <c r="Q56" s="116">
        <v>8363157</v>
      </c>
      <c r="R56" s="116">
        <v>12480878521</v>
      </c>
      <c r="S56" s="116">
        <v>8981.0400000000009</v>
      </c>
      <c r="T56" s="130">
        <f t="shared" ref="T56" si="74">Q56/S56</f>
        <v>931.20139761096698</v>
      </c>
      <c r="U56" s="85">
        <f t="shared" ref="U56" si="75">Q54+Q55+Q56</f>
        <v>22022547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356396.33333333331</v>
      </c>
      <c r="G57" s="254">
        <f t="shared" ref="G57" si="76">F57/F56-1</f>
        <v>-6.2468953610062217E-2</v>
      </c>
      <c r="H57" s="254">
        <f t="shared" ref="H57" si="77">F57/F45-1</f>
        <v>0.52894343873527672</v>
      </c>
      <c r="I57" s="282">
        <f>T57</f>
        <v>879.74476278243128</v>
      </c>
      <c r="J57" s="277">
        <f t="shared" ref="J57" si="78">I57/I45-1</f>
        <v>4.8290038152861703E-2</v>
      </c>
      <c r="K57" s="204"/>
      <c r="L57" s="254"/>
      <c r="M57" s="254"/>
      <c r="N57" s="257"/>
      <c r="O57" s="258"/>
      <c r="P57" s="129" t="s">
        <v>1436</v>
      </c>
      <c r="Q57" s="116">
        <v>4276756</v>
      </c>
      <c r="R57" s="116">
        <v>6314500039</v>
      </c>
      <c r="S57" s="116">
        <v>4861.3599999999997</v>
      </c>
      <c r="T57" s="130">
        <f t="shared" ref="T57" si="79">Q57/S57</f>
        <v>879.74476278243128</v>
      </c>
      <c r="U57" s="85">
        <f t="shared" ref="U57" si="80">Q55+Q56+Q57</f>
        <v>20669230</v>
      </c>
      <c r="V57" s="79"/>
      <c r="W57" s="79"/>
      <c r="X57" s="79"/>
      <c r="Y57" s="79"/>
      <c r="Z57" s="79"/>
    </row>
    <row r="58" spans="1:26">
      <c r="B58" s="196">
        <f>SUM(F56:F58)</f>
        <v>736539.83333333326</v>
      </c>
      <c r="C58" s="196">
        <f>AVERAGE(F56:F58)</f>
        <v>368269.91666666663</v>
      </c>
      <c r="D58" s="197">
        <f>C58/C55-1</f>
        <v>3.2463413295802157E-2</v>
      </c>
      <c r="E58" s="233">
        <f>C58/C46-1</f>
        <v>0.330193246439763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33786693</v>
      </c>
      <c r="R66" s="212">
        <v>49707985515</v>
      </c>
      <c r="S66" s="213">
        <v>36897.730000000003</v>
      </c>
      <c r="T66" s="214">
        <v>12</v>
      </c>
      <c r="U66" s="214">
        <v>210</v>
      </c>
    </row>
    <row r="67" spans="16:21" ht="18" thickBot="1">
      <c r="P67" s="180" t="s">
        <v>976</v>
      </c>
      <c r="Q67" s="181">
        <v>7487390</v>
      </c>
      <c r="R67" s="181">
        <v>10911121431</v>
      </c>
      <c r="S67" s="182">
        <v>8757.07</v>
      </c>
      <c r="T67" s="210">
        <v>9</v>
      </c>
      <c r="U67" s="210">
        <v>101</v>
      </c>
    </row>
    <row r="68" spans="16:21" ht="18" thickBot="1">
      <c r="P68" s="180" t="s">
        <v>977</v>
      </c>
      <c r="Q68" s="181">
        <v>5630073</v>
      </c>
      <c r="R68" s="181">
        <v>8159233033</v>
      </c>
      <c r="S68" s="182">
        <v>6003.42</v>
      </c>
      <c r="T68" s="210">
        <v>9</v>
      </c>
      <c r="U68" s="210">
        <v>112</v>
      </c>
    </row>
    <row r="69" spans="16:21" ht="18" thickBot="1">
      <c r="P69" s="180" t="s">
        <v>978</v>
      </c>
      <c r="Q69" s="181">
        <v>8029317</v>
      </c>
      <c r="R69" s="181">
        <v>11842252491</v>
      </c>
      <c r="S69" s="182">
        <v>8294.82</v>
      </c>
      <c r="T69" s="210">
        <v>8</v>
      </c>
      <c r="U69" s="210">
        <v>116</v>
      </c>
    </row>
    <row r="70" spans="16:21" ht="18" thickBot="1">
      <c r="P70" s="180" t="s">
        <v>979</v>
      </c>
      <c r="Q70" s="181">
        <v>8363157</v>
      </c>
      <c r="R70" s="181">
        <v>12480878521</v>
      </c>
      <c r="S70" s="182">
        <v>8981.0400000000009</v>
      </c>
      <c r="T70" s="210">
        <v>10</v>
      </c>
      <c r="U70" s="210">
        <v>115</v>
      </c>
    </row>
    <row r="71" spans="16:21" ht="18" thickBot="1">
      <c r="P71" s="180" t="s">
        <v>980</v>
      </c>
      <c r="Q71" s="181">
        <v>4276756</v>
      </c>
      <c r="R71" s="181">
        <v>6314500039</v>
      </c>
      <c r="S71" s="182">
        <v>4861.3599999999997</v>
      </c>
      <c r="T71" s="210">
        <v>7</v>
      </c>
      <c r="U71" s="210">
        <v>80</v>
      </c>
    </row>
    <row r="72" spans="16:21" ht="18" thickBot="1">
      <c r="P72" s="215" t="s">
        <v>975</v>
      </c>
      <c r="Q72" s="216">
        <v>78639451</v>
      </c>
      <c r="R72" s="217">
        <v>111</v>
      </c>
      <c r="S72"/>
      <c r="T72"/>
      <c r="U72"/>
    </row>
  </sheetData>
  <phoneticPr fontId="1" type="noConversion"/>
  <conditionalFormatting sqref="C29:C30">
    <cfRule type="cellIs" dxfId="1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27">
    <tabColor rgb="FFFFC000"/>
  </sheetPr>
  <dimension ref="A1:Z73"/>
  <sheetViews>
    <sheetView zoomScale="90" zoomScaleNormal="90" workbookViewId="0">
      <selection activeCell="G71" sqref="G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8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8486402093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28150</v>
      </c>
      <c r="G5" s="90"/>
      <c r="H5" s="90"/>
      <c r="I5" s="130">
        <f t="shared" ref="I5:I49" si="0">T5</f>
        <v>9.8119521079140455</v>
      </c>
      <c r="J5" s="130"/>
      <c r="L5" s="80"/>
      <c r="M5" s="80"/>
      <c r="P5" s="129" t="s">
        <v>0</v>
      </c>
      <c r="Q5" s="116">
        <v>563000</v>
      </c>
      <c r="R5" s="116">
        <v>2050</v>
      </c>
      <c r="S5" s="116">
        <v>57379</v>
      </c>
      <c r="T5" s="130">
        <f t="shared" ref="T5:T26" si="1">Q5/S5</f>
        <v>9.8119521079140455</v>
      </c>
      <c r="U5" s="85"/>
    </row>
    <row r="6" spans="1:21" ht="15" hidden="1" customHeight="1">
      <c r="A6" s="129" t="s">
        <v>1</v>
      </c>
      <c r="C6" s="79"/>
      <c r="F6" s="78">
        <f>Q6/18</f>
        <v>95850</v>
      </c>
      <c r="G6" s="90">
        <f t="shared" ref="G6:G26" si="2">F6/F5-1</f>
        <v>2.4049733570159857</v>
      </c>
      <c r="H6" s="90"/>
      <c r="I6" s="130">
        <f t="shared" si="0"/>
        <v>24.424876481164262</v>
      </c>
      <c r="J6" s="130"/>
      <c r="P6" s="129" t="s">
        <v>1</v>
      </c>
      <c r="Q6" s="116">
        <v>1725300</v>
      </c>
      <c r="R6" s="116">
        <v>5350</v>
      </c>
      <c r="S6" s="116">
        <v>70637</v>
      </c>
      <c r="T6" s="130">
        <f t="shared" si="1"/>
        <v>24.424876481164262</v>
      </c>
      <c r="U6" s="85"/>
    </row>
    <row r="7" spans="1:21" ht="15" hidden="1" customHeight="1">
      <c r="A7" s="129" t="s">
        <v>2</v>
      </c>
      <c r="B7" s="131">
        <f>F5+F6+F7</f>
        <v>124000</v>
      </c>
      <c r="C7" s="131">
        <f>AVERAGE(F5:F7)</f>
        <v>41333.333333333336</v>
      </c>
      <c r="F7" s="78">
        <f>Q7/22</f>
        <v>0</v>
      </c>
      <c r="G7" s="90">
        <f t="shared" si="2"/>
        <v>-1</v>
      </c>
      <c r="H7" s="90"/>
      <c r="I7" s="130">
        <f t="shared" si="0"/>
        <v>0</v>
      </c>
      <c r="J7" s="130"/>
      <c r="K7" s="79">
        <f>R5+R6+R7</f>
        <v>7400</v>
      </c>
      <c r="N7" s="88">
        <f>AVERAGE(T5:T7)</f>
        <v>11.412276196359436</v>
      </c>
      <c r="P7" s="129" t="s">
        <v>2</v>
      </c>
      <c r="Q7" s="116">
        <v>0</v>
      </c>
      <c r="R7" s="116">
        <v>0</v>
      </c>
      <c r="S7" s="116">
        <v>72108</v>
      </c>
      <c r="T7" s="130">
        <f t="shared" si="1"/>
        <v>0</v>
      </c>
      <c r="U7" s="85">
        <f>Q5+Q6+Q7</f>
        <v>2288300</v>
      </c>
    </row>
    <row r="8" spans="1:21" ht="15" hidden="1" customHeight="1">
      <c r="A8" s="129" t="s">
        <v>3</v>
      </c>
      <c r="C8" s="79"/>
      <c r="F8" s="78">
        <f>Q8/21</f>
        <v>147145.19047619047</v>
      </c>
      <c r="G8" s="90" t="e">
        <f t="shared" si="2"/>
        <v>#DIV/0!</v>
      </c>
      <c r="H8" s="90"/>
      <c r="I8" s="130">
        <f t="shared" si="0"/>
        <v>41.717392771800029</v>
      </c>
      <c r="J8" s="130"/>
      <c r="K8" s="78"/>
      <c r="P8" s="129" t="s">
        <v>3</v>
      </c>
      <c r="Q8" s="116">
        <v>3090049</v>
      </c>
      <c r="R8" s="116">
        <v>11070</v>
      </c>
      <c r="S8" s="116">
        <v>74071</v>
      </c>
      <c r="T8" s="130">
        <f t="shared" si="1"/>
        <v>41.717392771800029</v>
      </c>
      <c r="U8" s="85"/>
    </row>
    <row r="9" spans="1:21" ht="15" hidden="1" customHeight="1">
      <c r="A9" s="129" t="s">
        <v>4</v>
      </c>
      <c r="C9" s="79"/>
      <c r="F9" s="78">
        <f>Q9/21</f>
        <v>22157.142857142859</v>
      </c>
      <c r="G9" s="90">
        <f t="shared" si="2"/>
        <v>-0.84941986356850652</v>
      </c>
      <c r="H9" s="90"/>
      <c r="I9" s="130">
        <f t="shared" si="0"/>
        <v>6.4652836637996911</v>
      </c>
      <c r="J9" s="130"/>
      <c r="K9" s="78"/>
      <c r="P9" s="129" t="s">
        <v>4</v>
      </c>
      <c r="Q9" s="116">
        <v>465300</v>
      </c>
      <c r="R9" s="116">
        <v>1550</v>
      </c>
      <c r="S9" s="116">
        <v>71969</v>
      </c>
      <c r="T9" s="130">
        <f t="shared" si="1"/>
        <v>6.4652836637996911</v>
      </c>
      <c r="U9" s="85"/>
    </row>
    <row r="10" spans="1:21" ht="15" hidden="1" customHeight="1">
      <c r="A10" s="129" t="s">
        <v>5</v>
      </c>
      <c r="B10" s="131">
        <f>F8+F9+F10</f>
        <v>169302.33333333334</v>
      </c>
      <c r="C10" s="131">
        <f>AVERAGE(F8:F10)</f>
        <v>56434.111111111117</v>
      </c>
      <c r="D10" s="90">
        <f>C10/C7-1</f>
        <v>0.3653413978494624</v>
      </c>
      <c r="E10" s="286"/>
      <c r="F10" s="78">
        <f>Q10/21</f>
        <v>0</v>
      </c>
      <c r="G10" s="90">
        <f t="shared" si="2"/>
        <v>-1</v>
      </c>
      <c r="H10" s="90"/>
      <c r="I10" s="130">
        <f t="shared" si="0"/>
        <v>0</v>
      </c>
      <c r="J10" s="130"/>
      <c r="K10" s="79">
        <f>R8+R9+R10</f>
        <v>12620</v>
      </c>
      <c r="L10" s="87">
        <f>U10/U7-1</f>
        <v>0.55370755582747022</v>
      </c>
      <c r="N10" s="88">
        <f>AVERAGE(T8:T10)</f>
        <v>16.060892145199904</v>
      </c>
      <c r="O10" s="89">
        <f>N10/N7-1</f>
        <v>0.40733468668795414</v>
      </c>
      <c r="P10" s="129" t="s">
        <v>5</v>
      </c>
      <c r="Q10" s="116">
        <v>0</v>
      </c>
      <c r="R10" s="116">
        <v>0</v>
      </c>
      <c r="S10" s="116">
        <v>48955</v>
      </c>
      <c r="T10" s="130">
        <f t="shared" si="1"/>
        <v>0</v>
      </c>
      <c r="U10" s="85">
        <f>Q8+Q9+Q10</f>
        <v>3555349</v>
      </c>
    </row>
    <row r="11" spans="1:21" ht="15" hidden="1" customHeight="1">
      <c r="A11" s="129" t="s">
        <v>6</v>
      </c>
      <c r="C11" s="79"/>
      <c r="F11" s="78">
        <f>Q11/21</f>
        <v>21947.619047619046</v>
      </c>
      <c r="G11" s="90" t="e">
        <f t="shared" si="2"/>
        <v>#DIV/0!</v>
      </c>
      <c r="H11" s="90"/>
      <c r="I11" s="130">
        <f t="shared" si="0"/>
        <v>4.4236915605294227</v>
      </c>
      <c r="J11" s="130"/>
      <c r="K11" s="78"/>
      <c r="O11" s="89"/>
      <c r="P11" s="129" t="s">
        <v>6</v>
      </c>
      <c r="Q11" s="116">
        <v>460900</v>
      </c>
      <c r="R11" s="116">
        <v>1550</v>
      </c>
      <c r="S11" s="116">
        <v>104189</v>
      </c>
      <c r="T11" s="130">
        <f t="shared" si="1"/>
        <v>4.4236915605294227</v>
      </c>
      <c r="U11" s="85"/>
    </row>
    <row r="12" spans="1:21" ht="15" hidden="1" customHeight="1">
      <c r="A12" s="129" t="s">
        <v>7</v>
      </c>
      <c r="C12" s="79"/>
      <c r="F12" s="78">
        <f>Q12/22</f>
        <v>0</v>
      </c>
      <c r="G12" s="90">
        <f t="shared" si="2"/>
        <v>-1</v>
      </c>
      <c r="H12" s="90"/>
      <c r="I12" s="130">
        <f t="shared" si="0"/>
        <v>0</v>
      </c>
      <c r="J12" s="130"/>
      <c r="K12" s="78"/>
      <c r="O12" s="89"/>
      <c r="P12" s="129" t="s">
        <v>7</v>
      </c>
      <c r="Q12" s="116">
        <v>0</v>
      </c>
      <c r="R12" s="116">
        <v>0</v>
      </c>
      <c r="S12" s="116">
        <v>66699</v>
      </c>
      <c r="T12" s="130">
        <f t="shared" si="1"/>
        <v>0</v>
      </c>
      <c r="U12" s="85"/>
    </row>
    <row r="13" spans="1:21" ht="15" hidden="1" customHeight="1">
      <c r="A13" s="129" t="s">
        <v>96</v>
      </c>
      <c r="B13" s="131">
        <f>F11+F12+F13</f>
        <v>21947.619047619046</v>
      </c>
      <c r="C13" s="131">
        <f>AVERAGE(F11:F13)</f>
        <v>7315.873015873015</v>
      </c>
      <c r="D13" s="90">
        <f>C13/C10-1</f>
        <v>-0.87036434397860807</v>
      </c>
      <c r="E13" s="286"/>
      <c r="F13" s="78">
        <f>Q13/20</f>
        <v>0</v>
      </c>
      <c r="G13" s="90" t="e">
        <f t="shared" si="2"/>
        <v>#DIV/0!</v>
      </c>
      <c r="H13" s="90"/>
      <c r="I13" s="130">
        <f t="shared" si="0"/>
        <v>0</v>
      </c>
      <c r="J13" s="130"/>
      <c r="K13" s="78">
        <f>R11+R12+R13</f>
        <v>1550</v>
      </c>
      <c r="L13" s="87">
        <f>U13/U10-1</f>
        <v>-0.87036434397860796</v>
      </c>
      <c r="N13" s="88">
        <f>AVERAGE(T11:T13)</f>
        <v>1.4745638535098076</v>
      </c>
      <c r="O13" s="89">
        <f>N13/N10-1</f>
        <v>-0.90818916905867475</v>
      </c>
      <c r="P13" s="129" t="s">
        <v>96</v>
      </c>
      <c r="Q13" s="116">
        <v>0</v>
      </c>
      <c r="R13" s="116">
        <v>0</v>
      </c>
      <c r="S13" s="116">
        <v>86109</v>
      </c>
      <c r="T13" s="130">
        <f t="shared" si="1"/>
        <v>0</v>
      </c>
      <c r="U13" s="85">
        <f>Q11+Q12+Q13</f>
        <v>460900</v>
      </c>
    </row>
    <row r="14" spans="1:21" ht="15" hidden="1" customHeight="1">
      <c r="A14" s="129" t="s">
        <v>97</v>
      </c>
      <c r="C14" s="79"/>
      <c r="F14" s="78">
        <f>Q14/20</f>
        <v>58760</v>
      </c>
      <c r="G14" s="90" t="e">
        <f t="shared" si="2"/>
        <v>#DIV/0!</v>
      </c>
      <c r="H14" s="90"/>
      <c r="I14" s="130">
        <f t="shared" si="0"/>
        <v>33.732311489996846</v>
      </c>
      <c r="J14" s="130"/>
      <c r="O14" s="89"/>
      <c r="P14" s="129" t="s">
        <v>97</v>
      </c>
      <c r="Q14" s="116">
        <v>1175200</v>
      </c>
      <c r="R14" s="116">
        <v>3600</v>
      </c>
      <c r="S14" s="116">
        <v>34839</v>
      </c>
      <c r="T14" s="130">
        <f t="shared" si="1"/>
        <v>33.732311489996846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57895.454545454544</v>
      </c>
      <c r="G15" s="90">
        <f t="shared" si="2"/>
        <v>-1.4713162943251423E-2</v>
      </c>
      <c r="H15" s="90"/>
      <c r="I15" s="130">
        <f t="shared" si="0"/>
        <v>27.900812687564347</v>
      </c>
      <c r="J15" s="130"/>
      <c r="O15" s="89"/>
      <c r="P15" s="129" t="s">
        <v>98</v>
      </c>
      <c r="Q15" s="116">
        <v>1273700</v>
      </c>
      <c r="R15" s="116">
        <v>3300</v>
      </c>
      <c r="S15" s="116">
        <v>45651</v>
      </c>
      <c r="T15" s="130">
        <f t="shared" si="1"/>
        <v>27.900812687564347</v>
      </c>
      <c r="U15" s="78"/>
    </row>
    <row r="16" spans="1:21" ht="15" hidden="1" customHeight="1">
      <c r="A16" s="129" t="s">
        <v>99</v>
      </c>
      <c r="B16" s="131">
        <f>F14+F15+F16</f>
        <v>204437.27272727271</v>
      </c>
      <c r="C16" s="131">
        <f>AVERAGE(F14:F16)</f>
        <v>68145.757575757569</v>
      </c>
      <c r="D16" s="90">
        <f>C16/C13-1</f>
        <v>8.3147813566342528</v>
      </c>
      <c r="E16" s="286"/>
      <c r="F16" s="78">
        <f>Q16/22</f>
        <v>87781.818181818177</v>
      </c>
      <c r="G16" s="90">
        <f t="shared" si="2"/>
        <v>0.51621260893459997</v>
      </c>
      <c r="H16" s="90"/>
      <c r="I16" s="130">
        <f t="shared" si="0"/>
        <v>43.655763275086464</v>
      </c>
      <c r="J16" s="130"/>
      <c r="K16" s="78">
        <f>R14+R15+R16</f>
        <v>13050</v>
      </c>
      <c r="L16" s="87">
        <f>U16/U13-1</f>
        <v>8.5033629854632249</v>
      </c>
      <c r="N16" s="88">
        <f>AVERAGE(T14:T16)</f>
        <v>35.096295817549219</v>
      </c>
      <c r="O16" s="89">
        <f>N16/N13-1</f>
        <v>22.801136677812771</v>
      </c>
      <c r="P16" s="129" t="s">
        <v>99</v>
      </c>
      <c r="Q16" s="116">
        <v>1931200</v>
      </c>
      <c r="R16" s="116">
        <v>6150</v>
      </c>
      <c r="S16" s="116">
        <v>44237</v>
      </c>
      <c r="T16" s="130">
        <f t="shared" si="1"/>
        <v>43.655763275086464</v>
      </c>
      <c r="U16" s="85">
        <f>Q14+Q15+Q16</f>
        <v>4380100</v>
      </c>
    </row>
    <row r="17" spans="1:21" ht="15" hidden="1" customHeight="1">
      <c r="A17" s="129" t="s">
        <v>100</v>
      </c>
      <c r="C17" s="79"/>
      <c r="F17" s="78">
        <f>Q17/20</f>
        <v>35780</v>
      </c>
      <c r="G17" s="90">
        <f t="shared" si="2"/>
        <v>-0.59239850869925426</v>
      </c>
      <c r="H17" s="90">
        <f t="shared" ref="H17:H26" si="3">F17/F5-1</f>
        <v>0.27104795737122567</v>
      </c>
      <c r="I17" s="130">
        <f t="shared" si="0"/>
        <v>349.07317073170731</v>
      </c>
      <c r="J17" s="130">
        <f t="shared" ref="J17:J49" si="4">I17/I5-1</f>
        <v>34.576322315123683</v>
      </c>
      <c r="O17" s="89"/>
      <c r="P17" s="129" t="s">
        <v>100</v>
      </c>
      <c r="Q17" s="116">
        <v>715600</v>
      </c>
      <c r="R17" s="116">
        <v>885755368</v>
      </c>
      <c r="S17" s="116">
        <v>2050</v>
      </c>
      <c r="T17" s="130">
        <f t="shared" si="1"/>
        <v>349.07317073170731</v>
      </c>
      <c r="U17" s="78"/>
    </row>
    <row r="18" spans="1:21" ht="15" hidden="1" customHeight="1">
      <c r="A18" s="129" t="s">
        <v>107</v>
      </c>
      <c r="C18" s="79"/>
      <c r="F18" s="78">
        <f>Q18/20</f>
        <v>77820</v>
      </c>
      <c r="G18" s="90">
        <f t="shared" si="2"/>
        <v>1.1749580771380659</v>
      </c>
      <c r="H18" s="90">
        <f t="shared" si="3"/>
        <v>-0.18810641627543034</v>
      </c>
      <c r="I18" s="130">
        <f t="shared" si="0"/>
        <v>320.90721649484539</v>
      </c>
      <c r="J18" s="130">
        <f t="shared" si="4"/>
        <v>12.138539993940993</v>
      </c>
      <c r="O18" s="89"/>
      <c r="P18" s="129" t="s">
        <v>107</v>
      </c>
      <c r="Q18" s="116">
        <v>1556400</v>
      </c>
      <c r="R18" s="116">
        <v>1995109770</v>
      </c>
      <c r="S18" s="116">
        <v>4850</v>
      </c>
      <c r="T18" s="130">
        <f t="shared" si="1"/>
        <v>320.90721649484539</v>
      </c>
      <c r="U18" s="78"/>
    </row>
    <row r="19" spans="1:21" hidden="1">
      <c r="A19" s="129" t="s">
        <v>114</v>
      </c>
      <c r="B19" s="131">
        <f>SUM(F17:F19)</f>
        <v>134418.18181818182</v>
      </c>
      <c r="C19" s="131">
        <f>AVERAGE(F17:F19)</f>
        <v>44806.060606060608</v>
      </c>
      <c r="D19" s="90">
        <f>C19/C16-1</f>
        <v>-0.34249669825374296</v>
      </c>
      <c r="E19" s="286">
        <f>C19/C7-1</f>
        <v>8.4017595307917858E-2</v>
      </c>
      <c r="F19" s="78">
        <f>Q19/22</f>
        <v>20818.18181818182</v>
      </c>
      <c r="G19" s="90">
        <f t="shared" si="2"/>
        <v>-0.73248288591388055</v>
      </c>
      <c r="H19" s="90" t="e">
        <f t="shared" si="3"/>
        <v>#DIV/0!</v>
      </c>
      <c r="I19" s="130">
        <f t="shared" si="0"/>
        <v>295.48387096774195</v>
      </c>
      <c r="J19" s="130" t="e">
        <f t="shared" si="4"/>
        <v>#DIV/0!</v>
      </c>
      <c r="K19" s="78">
        <f>R17+R18+R19</f>
        <v>3477556698</v>
      </c>
      <c r="L19" s="87">
        <f>U19/U16-1</f>
        <v>-0.37672655875436634</v>
      </c>
      <c r="M19" s="87">
        <f>U19/U7-1</f>
        <v>0.19302539002753138</v>
      </c>
      <c r="N19" s="88">
        <f>AVERAGE(T17:T19)</f>
        <v>321.82141939809821</v>
      </c>
      <c r="O19" s="89">
        <f>N19/N16-1</f>
        <v>8.1696691032897455</v>
      </c>
      <c r="P19" s="129" t="s">
        <v>114</v>
      </c>
      <c r="Q19" s="116">
        <v>458000</v>
      </c>
      <c r="R19" s="116">
        <v>596691560</v>
      </c>
      <c r="S19" s="116">
        <v>1550</v>
      </c>
      <c r="T19" s="130">
        <f t="shared" si="1"/>
        <v>295.48387096774195</v>
      </c>
      <c r="U19" s="85">
        <f>Q17+Q18+Q19</f>
        <v>2730000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28730</v>
      </c>
      <c r="G20" s="90">
        <f t="shared" si="2"/>
        <v>0.38004366812227053</v>
      </c>
      <c r="H20" s="90">
        <f t="shared" si="3"/>
        <v>-0.80475066900233627</v>
      </c>
      <c r="I20" s="130">
        <f t="shared" si="0"/>
        <v>280.29268292682929</v>
      </c>
      <c r="J20" s="130">
        <f t="shared" si="4"/>
        <v>5.7188446905124071</v>
      </c>
      <c r="O20" s="89"/>
      <c r="P20" s="129" t="s">
        <v>131</v>
      </c>
      <c r="Q20" s="116">
        <v>574600</v>
      </c>
      <c r="R20" s="116">
        <v>758540952</v>
      </c>
      <c r="S20" s="116">
        <v>2050</v>
      </c>
      <c r="T20" s="130">
        <f t="shared" si="1"/>
        <v>280.29268292682929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410757.38095238095</v>
      </c>
      <c r="G21" s="90">
        <f t="shared" si="2"/>
        <v>13.297159100326521</v>
      </c>
      <c r="H21" s="90">
        <f t="shared" si="3"/>
        <v>17.538373092628412</v>
      </c>
      <c r="I21" s="130">
        <f t="shared" si="0"/>
        <v>159.44371534195935</v>
      </c>
      <c r="J21" s="130">
        <f t="shared" si="4"/>
        <v>23.66151891133779</v>
      </c>
      <c r="O21" s="89"/>
      <c r="P21" s="129" t="s">
        <v>141</v>
      </c>
      <c r="Q21" s="116">
        <v>8625905</v>
      </c>
      <c r="R21" s="116">
        <v>11429490041</v>
      </c>
      <c r="S21" s="116">
        <v>54100</v>
      </c>
      <c r="T21" s="130">
        <f t="shared" si="1"/>
        <v>159.44371534195935</v>
      </c>
      <c r="U21" s="78"/>
    </row>
    <row r="22" spans="1:21" hidden="1">
      <c r="A22" s="129" t="s">
        <v>155</v>
      </c>
      <c r="B22" s="131">
        <f>SUM(F20:F22)</f>
        <v>489363.57142857142</v>
      </c>
      <c r="C22" s="131">
        <f>AVERAGE(F20:F22)</f>
        <v>163121.19047619047</v>
      </c>
      <c r="D22" s="90">
        <f>C22/C19-1</f>
        <v>2.6406054955459797</v>
      </c>
      <c r="E22" s="286">
        <f>C22/C10-1</f>
        <v>1.8904715120794044</v>
      </c>
      <c r="F22" s="78">
        <f>Q22/21</f>
        <v>49876.190476190473</v>
      </c>
      <c r="G22" s="90">
        <f t="shared" si="2"/>
        <v>-0.87857505966040661</v>
      </c>
      <c r="H22" s="90" t="e">
        <f t="shared" si="3"/>
        <v>#DIV/0!</v>
      </c>
      <c r="I22" s="130">
        <f t="shared" si="0"/>
        <v>317.39393939393938</v>
      </c>
      <c r="J22" s="130" t="e">
        <f t="shared" si="4"/>
        <v>#DIV/0!</v>
      </c>
      <c r="K22" s="78">
        <f>R20+R21+R22</f>
        <v>13552873923</v>
      </c>
      <c r="L22" s="87">
        <f>U22/U19-1</f>
        <v>2.7538113553113552</v>
      </c>
      <c r="M22" s="87">
        <f>U22/U10-1</f>
        <v>1.8823907301364788</v>
      </c>
      <c r="N22" s="88">
        <f>AVERAGE(T20:T22)</f>
        <v>252.37677922090936</v>
      </c>
      <c r="O22" s="89">
        <f>N22/N19-1</f>
        <v>-0.21578625905967042</v>
      </c>
      <c r="P22" s="129" t="s">
        <v>155</v>
      </c>
      <c r="Q22" s="116">
        <v>1047400</v>
      </c>
      <c r="R22" s="116">
        <v>1364842930</v>
      </c>
      <c r="S22" s="116">
        <v>3300</v>
      </c>
      <c r="T22" s="130">
        <f t="shared" si="1"/>
        <v>317.39393939393938</v>
      </c>
      <c r="U22" s="85">
        <f>Q20+Q21+Q22</f>
        <v>10247905</v>
      </c>
    </row>
    <row r="23" spans="1:21" hidden="1">
      <c r="A23" s="129" t="s">
        <v>189</v>
      </c>
      <c r="B23" s="131"/>
      <c r="C23" s="131"/>
      <c r="F23" s="78">
        <f>Q23/21</f>
        <v>56950.238095238092</v>
      </c>
      <c r="G23" s="90">
        <f t="shared" si="2"/>
        <v>0.14183215581439756</v>
      </c>
      <c r="H23" s="90">
        <f t="shared" si="3"/>
        <v>1.5948253417227165</v>
      </c>
      <c r="I23" s="130">
        <f t="shared" si="0"/>
        <v>276.20207852193994</v>
      </c>
      <c r="J23" s="130">
        <f t="shared" si="4"/>
        <v>61.437010976616186</v>
      </c>
      <c r="O23" s="89"/>
      <c r="P23" s="129" t="s">
        <v>189</v>
      </c>
      <c r="Q23" s="116">
        <v>1195955</v>
      </c>
      <c r="R23" s="116">
        <v>1525854828</v>
      </c>
      <c r="S23" s="116">
        <v>4330</v>
      </c>
      <c r="T23" s="130">
        <f t="shared" si="1"/>
        <v>276.20207852193994</v>
      </c>
      <c r="U23" s="78"/>
    </row>
    <row r="24" spans="1:21" hidden="1">
      <c r="A24" s="129" t="s">
        <v>204</v>
      </c>
      <c r="B24" s="131"/>
      <c r="C24" s="131"/>
      <c r="F24" s="78">
        <f>Q24/22</f>
        <v>80960.136363636368</v>
      </c>
      <c r="G24" s="90">
        <f t="shared" si="2"/>
        <v>0.42159434396475093</v>
      </c>
      <c r="H24" s="90" t="e">
        <f t="shared" si="3"/>
        <v>#DIV/0!</v>
      </c>
      <c r="I24" s="130">
        <f t="shared" si="0"/>
        <v>177.22616915422884</v>
      </c>
      <c r="J24" s="130" t="e">
        <f t="shared" si="4"/>
        <v>#DIV/0!</v>
      </c>
      <c r="O24" s="89"/>
      <c r="P24" s="129" t="s">
        <v>204</v>
      </c>
      <c r="Q24" s="116">
        <v>1781123</v>
      </c>
      <c r="R24" s="116">
        <v>2379260099</v>
      </c>
      <c r="S24" s="116">
        <v>10050</v>
      </c>
      <c r="T24" s="130">
        <f t="shared" si="1"/>
        <v>177.22616915422884</v>
      </c>
      <c r="U24" s="78"/>
    </row>
    <row r="25" spans="1:21" s="79" customFormat="1" ht="13.2" hidden="1">
      <c r="A25" s="129" t="s">
        <v>217</v>
      </c>
      <c r="B25" s="131">
        <f>SUM(F23:F25)</f>
        <v>144752.47972203235</v>
      </c>
      <c r="C25" s="131">
        <f>AVERAGE(F23:F25)</f>
        <v>48250.826574010782</v>
      </c>
      <c r="D25" s="90">
        <f>C25/C22-1</f>
        <v>-0.70420258439044692</v>
      </c>
      <c r="E25" s="286">
        <f>C25/C13-1</f>
        <v>5.5953614106371869</v>
      </c>
      <c r="F25" s="78">
        <f>Q25/19</f>
        <v>6842.105263157895</v>
      </c>
      <c r="G25" s="90">
        <f t="shared" si="2"/>
        <v>-0.91548797259399062</v>
      </c>
      <c r="H25" s="90" t="e">
        <f t="shared" si="3"/>
        <v>#DIV/0!</v>
      </c>
      <c r="I25" s="130">
        <f t="shared" si="0"/>
        <v>288.88888888888891</v>
      </c>
      <c r="J25" s="130" t="e">
        <f t="shared" si="4"/>
        <v>#DIV/0!</v>
      </c>
      <c r="K25" s="78">
        <f>R23+R24+R25</f>
        <v>4077099727</v>
      </c>
      <c r="L25" s="90">
        <f>U25/U22-1</f>
        <v>-0.69680846963354948</v>
      </c>
      <c r="M25" s="90">
        <f>U25/U13-1</f>
        <v>5.7413278368409637</v>
      </c>
      <c r="N25" s="88">
        <f>AVERAGE(T23:T25)</f>
        <v>247.4390455216859</v>
      </c>
      <c r="O25" s="91">
        <f>N25/N22-1</f>
        <v>-1.9564928732612841E-2</v>
      </c>
      <c r="P25" s="129" t="s">
        <v>217</v>
      </c>
      <c r="Q25" s="116">
        <v>130000</v>
      </c>
      <c r="R25" s="116">
        <v>171984800</v>
      </c>
      <c r="S25" s="116">
        <v>450</v>
      </c>
      <c r="T25" s="130">
        <f t="shared" si="1"/>
        <v>288.88888888888891</v>
      </c>
      <c r="U25" s="85">
        <f>Q23+Q24+Q25</f>
        <v>3107078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169414.15789473685</v>
      </c>
      <c r="G26" s="90">
        <f t="shared" si="2"/>
        <v>23.760530769230769</v>
      </c>
      <c r="H26" s="90">
        <f t="shared" si="3"/>
        <v>1.8831544910608722</v>
      </c>
      <c r="I26" s="130">
        <f t="shared" si="0"/>
        <v>177.83806629834254</v>
      </c>
      <c r="J26" s="130">
        <f t="shared" si="4"/>
        <v>4.2720391352688525</v>
      </c>
      <c r="L26" s="90"/>
      <c r="M26" s="90"/>
      <c r="P26" s="129" t="s">
        <v>312</v>
      </c>
      <c r="Q26" s="116">
        <v>3218869</v>
      </c>
      <c r="R26" s="116">
        <v>4351217284</v>
      </c>
      <c r="S26" s="116">
        <v>18100</v>
      </c>
      <c r="T26" s="130">
        <f t="shared" si="1"/>
        <v>177.83806629834254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64354.545454545456</v>
      </c>
      <c r="G27" s="90">
        <f t="shared" ref="G27" si="5">F27/F26-1</f>
        <v>-0.62013478534343469</v>
      </c>
      <c r="H27" s="90">
        <f t="shared" ref="H27" si="6">F27/F15-1</f>
        <v>0.11156473266860334</v>
      </c>
      <c r="I27" s="130">
        <f t="shared" si="0"/>
        <v>377.54666666666668</v>
      </c>
      <c r="J27" s="130">
        <f t="shared" si="4"/>
        <v>12.531744429614509</v>
      </c>
      <c r="L27" s="90"/>
      <c r="M27" s="90"/>
      <c r="P27" s="129" t="s">
        <v>401</v>
      </c>
      <c r="Q27" s="116">
        <v>1415800</v>
      </c>
      <c r="R27" s="116">
        <v>1868373180</v>
      </c>
      <c r="S27" s="116">
        <v>3750</v>
      </c>
      <c r="T27" s="130">
        <f t="shared" ref="T27" si="7">Q27/S27</f>
        <v>377.54666666666668</v>
      </c>
      <c r="U27" s="78"/>
    </row>
    <row r="28" spans="1:21" s="79" customFormat="1" ht="13.2" hidden="1">
      <c r="A28" s="123" t="s">
        <v>413</v>
      </c>
      <c r="B28" s="131">
        <f>SUM(F26:F28)</f>
        <v>319131.86124401918</v>
      </c>
      <c r="C28" s="131">
        <f>AVERAGE(F26:F28)</f>
        <v>106377.28708133973</v>
      </c>
      <c r="D28" s="90">
        <f>C28/C25-1</f>
        <v>1.2046728446852653</v>
      </c>
      <c r="E28" s="286">
        <f>C28/C16-1</f>
        <v>0.56102581973764409</v>
      </c>
      <c r="F28" s="78">
        <f>Q28/19</f>
        <v>85363.15789473684</v>
      </c>
      <c r="G28" s="90">
        <f t="shared" ref="G28" si="8">F28/F27-1</f>
        <v>0.32645110445275494</v>
      </c>
      <c r="H28" s="90">
        <f t="shared" ref="H28" si="9">F28/F16-1</f>
        <v>-2.7553089434439459E-2</v>
      </c>
      <c r="I28" s="130">
        <f t="shared" si="0"/>
        <v>303.15887850467288</v>
      </c>
      <c r="J28" s="130">
        <f t="shared" si="4"/>
        <v>5.9443037015385327</v>
      </c>
      <c r="K28" s="78">
        <f>R26+R27+R28</f>
        <v>8329493012</v>
      </c>
      <c r="L28" s="90">
        <f>U28/U25-1</f>
        <v>1.0136504458529849</v>
      </c>
      <c r="M28" s="90">
        <f>U28/U16-1</f>
        <v>0.42840779890870073</v>
      </c>
      <c r="N28" s="88">
        <f>AVERAGE(T26:T28)</f>
        <v>286.18120382322735</v>
      </c>
      <c r="O28" s="91">
        <f>N28/N25-1</f>
        <v>0.15657253373193303</v>
      </c>
      <c r="P28" s="129" t="s">
        <v>413</v>
      </c>
      <c r="Q28" s="116">
        <v>1621900</v>
      </c>
      <c r="R28" s="116">
        <v>2109902548</v>
      </c>
      <c r="S28" s="116">
        <v>5350</v>
      </c>
      <c r="T28" s="130">
        <f t="shared" ref="T28" si="10">Q28/S28</f>
        <v>303.15887850467288</v>
      </c>
      <c r="U28" s="85">
        <f>Q26+Q27+Q28</f>
        <v>6256569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103381.81818181818</v>
      </c>
      <c r="G29" s="190">
        <f t="shared" ref="G29" si="11">F29/F28-1</f>
        <v>0.2110824005515417</v>
      </c>
      <c r="H29" s="190">
        <f t="shared" ref="H29" si="12">F29/F17-1</f>
        <v>1.8893744600843538</v>
      </c>
      <c r="I29" s="130">
        <f t="shared" si="0"/>
        <v>297.30718954248368</v>
      </c>
      <c r="J29" s="130">
        <f t="shared" si="4"/>
        <v>-0.14829550228886035</v>
      </c>
      <c r="K29" s="136"/>
      <c r="L29" s="190"/>
      <c r="M29" s="190"/>
      <c r="N29" s="191"/>
      <c r="O29" s="192"/>
      <c r="P29" s="129" t="s">
        <v>427</v>
      </c>
      <c r="Q29" s="116">
        <v>2274400</v>
      </c>
      <c r="R29" s="116">
        <v>3015817766</v>
      </c>
      <c r="S29" s="116">
        <v>7650</v>
      </c>
      <c r="T29" s="130">
        <f t="shared" ref="T29" si="13">Q29/S29</f>
        <v>297.30718954248368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156026.31578947368</v>
      </c>
      <c r="G30" s="190">
        <f t="shared" ref="G30" si="14">F30/F29-1</f>
        <v>0.50922394801636517</v>
      </c>
      <c r="H30" s="190">
        <f t="shared" ref="H30" si="15">F30/F18-1</f>
        <v>1.0049642224296282</v>
      </c>
      <c r="I30" s="130">
        <f t="shared" si="0"/>
        <v>313.7037037037037</v>
      </c>
      <c r="J30" s="130">
        <f t="shared" si="4"/>
        <v>-2.2447338111691861E-2</v>
      </c>
      <c r="K30" s="136"/>
      <c r="L30" s="190"/>
      <c r="M30" s="190"/>
      <c r="N30" s="191"/>
      <c r="O30" s="192"/>
      <c r="P30" s="129" t="s">
        <v>466</v>
      </c>
      <c r="Q30" s="116">
        <v>2964500</v>
      </c>
      <c r="R30" s="116">
        <v>3945308888</v>
      </c>
      <c r="S30" s="116">
        <v>9450</v>
      </c>
      <c r="T30" s="130">
        <f t="shared" ref="T30" si="16">Q30/S30</f>
        <v>313.7037037037037</v>
      </c>
      <c r="U30" s="85"/>
    </row>
    <row r="31" spans="1:21" s="79" customFormat="1" ht="13.2" hidden="1">
      <c r="A31" s="129" t="s">
        <v>505</v>
      </c>
      <c r="B31" s="188">
        <f>SUM(F29:F31)</f>
        <v>334168.13397129183</v>
      </c>
      <c r="C31" s="188">
        <f>AVERAGE(F29:F31)</f>
        <v>111389.37799043061</v>
      </c>
      <c r="D31" s="190">
        <f>C31/C28-1</f>
        <v>4.7116175328465237E-2</v>
      </c>
      <c r="E31" s="287">
        <f>C31/C19-1</f>
        <v>1.4860337303423576</v>
      </c>
      <c r="F31" s="136">
        <f>Q31/20</f>
        <v>74760</v>
      </c>
      <c r="G31" s="190">
        <f t="shared" ref="G31" si="17">F31/F30-1</f>
        <v>-0.5208500590318772</v>
      </c>
      <c r="H31" s="190">
        <f t="shared" ref="H31" si="18">F31/F19-1</f>
        <v>2.5910917030567684</v>
      </c>
      <c r="I31" s="130">
        <f t="shared" si="0"/>
        <v>398.72</v>
      </c>
      <c r="J31" s="130">
        <f t="shared" si="4"/>
        <v>0.34937991266375557</v>
      </c>
      <c r="K31" s="136">
        <f>R29+R30+R31</f>
        <v>8953036166</v>
      </c>
      <c r="L31" s="190">
        <f>U31/U28-1</f>
        <v>7.6324739645642792E-2</v>
      </c>
      <c r="M31" s="190">
        <f>U31/U19-1</f>
        <v>1.4667032967032969</v>
      </c>
      <c r="N31" s="191">
        <f>AVERAGE(T29:T31)</f>
        <v>336.57696441539582</v>
      </c>
      <c r="O31" s="192">
        <f>N31/N28-1</f>
        <v>0.17609738137553466</v>
      </c>
      <c r="P31" s="129" t="s">
        <v>506</v>
      </c>
      <c r="Q31" s="116">
        <v>1495200</v>
      </c>
      <c r="R31" s="116">
        <v>1991909512</v>
      </c>
      <c r="S31" s="116">
        <v>3750</v>
      </c>
      <c r="T31" s="130">
        <f t="shared" ref="T31" si="19">Q31/S31</f>
        <v>398.72</v>
      </c>
      <c r="U31" s="85">
        <f>Q29+Q30+Q31</f>
        <v>6734100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86276.190476190473</v>
      </c>
      <c r="G32" s="190">
        <f t="shared" ref="G32" si="20">F32/F31-1</f>
        <v>0.15404214120104975</v>
      </c>
      <c r="H32" s="190">
        <f t="shared" ref="H32" si="21">F32/F20-1</f>
        <v>2.0030000165746773</v>
      </c>
      <c r="I32" s="130">
        <f t="shared" si="0"/>
        <v>294.60162601626018</v>
      </c>
      <c r="J32" s="130">
        <f t="shared" si="4"/>
        <v>5.1050005801136944E-2</v>
      </c>
      <c r="K32" s="136"/>
      <c r="L32" s="190"/>
      <c r="M32" s="190"/>
      <c r="N32" s="191"/>
      <c r="O32" s="192"/>
      <c r="P32" s="129" t="s">
        <v>562</v>
      </c>
      <c r="Q32" s="116">
        <v>1811800</v>
      </c>
      <c r="R32" s="116">
        <v>2456583384</v>
      </c>
      <c r="S32" s="116">
        <v>6150</v>
      </c>
      <c r="T32" s="130">
        <f t="shared" ref="T32" si="22">Q32/S32</f>
        <v>294.60162601626018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84477.047619047618</v>
      </c>
      <c r="G33" s="190">
        <f t="shared" ref="G33" si="23">F33/F32-1</f>
        <v>-2.0853295065680566E-2</v>
      </c>
      <c r="H33" s="190">
        <f t="shared" ref="H33" si="24">F33/F21-1</f>
        <v>-0.79433833319518354</v>
      </c>
      <c r="I33" s="130">
        <f t="shared" si="0"/>
        <v>473.07146666666665</v>
      </c>
      <c r="J33" s="130">
        <f t="shared" si="4"/>
        <v>1.9670123131041515</v>
      </c>
      <c r="K33" s="136"/>
      <c r="L33" s="190"/>
      <c r="M33" s="190"/>
      <c r="N33" s="191"/>
      <c r="O33" s="192"/>
      <c r="P33" s="129" t="s">
        <v>628</v>
      </c>
      <c r="Q33" s="116">
        <v>1774018</v>
      </c>
      <c r="R33" s="116">
        <v>2419792194</v>
      </c>
      <c r="S33" s="116">
        <v>3750</v>
      </c>
      <c r="T33" s="130">
        <f t="shared" ref="T33" si="25">Q33/S33</f>
        <v>473.07146666666665</v>
      </c>
      <c r="U33" s="85"/>
    </row>
    <row r="34" spans="1:21" s="79" customFormat="1" ht="13.2" hidden="1">
      <c r="A34" s="129" t="s">
        <v>652</v>
      </c>
      <c r="B34" s="188">
        <f>SUM(F32:F34)</f>
        <v>265111.13283208024</v>
      </c>
      <c r="C34" s="188">
        <f>AVERAGE(F32:F34)</f>
        <v>88370.377610693409</v>
      </c>
      <c r="D34" s="190">
        <f>C34/C31-1</f>
        <v>-0.20665346009665975</v>
      </c>
      <c r="E34" s="287">
        <f>C34/C22-1</f>
        <v>-0.45825323274849361</v>
      </c>
      <c r="F34" s="136">
        <f>Q34/19</f>
        <v>94357.894736842107</v>
      </c>
      <c r="G34" s="190">
        <f t="shared" ref="G34" si="26">F34/F33-1</f>
        <v>0.11696487266402267</v>
      </c>
      <c r="H34" s="190">
        <f t="shared" ref="H34" si="27">F34/F22-1</f>
        <v>0.89184245701134657</v>
      </c>
      <c r="I34" s="130">
        <f t="shared" si="0"/>
        <v>284.57142857142856</v>
      </c>
      <c r="J34" s="130">
        <f t="shared" si="4"/>
        <v>-0.10341253171117593</v>
      </c>
      <c r="K34" s="136">
        <f>R32+R33+R34</f>
        <v>7341255369</v>
      </c>
      <c r="L34" s="190">
        <f>U34/U31-1</f>
        <v>-0.20128628918489477</v>
      </c>
      <c r="M34" s="190">
        <f>U34/U22-1</f>
        <v>-0.47514950616735807</v>
      </c>
      <c r="N34" s="191">
        <f>AVERAGE(T32:T34)</f>
        <v>350.74817375145176</v>
      </c>
      <c r="O34" s="192">
        <f>N34/N31-1</f>
        <v>4.2103919264558254E-2</v>
      </c>
      <c r="P34" s="129" t="s">
        <v>652</v>
      </c>
      <c r="Q34" s="116">
        <v>1792800</v>
      </c>
      <c r="R34" s="116">
        <v>2464879791</v>
      </c>
      <c r="S34" s="116">
        <v>6300</v>
      </c>
      <c r="T34" s="130">
        <f t="shared" ref="T34" si="28">Q34/S34</f>
        <v>284.57142857142856</v>
      </c>
      <c r="U34" s="85">
        <f>Q32+Q33+Q34</f>
        <v>5378618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49652.17391304348</v>
      </c>
      <c r="G35" s="190">
        <f t="shared" ref="G35" si="29">F35/F34-1</f>
        <v>-0.47378887530799529</v>
      </c>
      <c r="H35" s="190">
        <f t="shared" ref="H35" si="30">F35/F23-1</f>
        <v>-0.1281480890385398</v>
      </c>
      <c r="I35" s="130">
        <f t="shared" si="0"/>
        <v>321.6901408450704</v>
      </c>
      <c r="J35" s="130">
        <f t="shared" si="4"/>
        <v>0.16469123826494725</v>
      </c>
      <c r="K35" s="136"/>
      <c r="L35" s="190"/>
      <c r="M35" s="190"/>
      <c r="N35" s="191"/>
      <c r="O35" s="192"/>
      <c r="P35" s="129" t="s">
        <v>660</v>
      </c>
      <c r="Q35" s="116">
        <v>1142000</v>
      </c>
      <c r="R35" s="116">
        <v>1578950866</v>
      </c>
      <c r="S35" s="116">
        <v>3550</v>
      </c>
      <c r="T35" s="130">
        <f t="shared" ref="T35" si="31">Q35/S35</f>
        <v>321.6901408450704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224671.42857142858</v>
      </c>
      <c r="G36" s="190">
        <f t="shared" ref="G36" si="32">F36/F35-1</f>
        <v>3.5249061796347263</v>
      </c>
      <c r="H36" s="190">
        <f t="shared" ref="H36" si="33">F36/F24-1</f>
        <v>1.7750870818980098</v>
      </c>
      <c r="I36" s="130">
        <f t="shared" si="0"/>
        <v>337.00714285714287</v>
      </c>
      <c r="J36" s="130">
        <f t="shared" si="4"/>
        <v>0.90156535270965898</v>
      </c>
      <c r="K36" s="136"/>
      <c r="L36" s="190"/>
      <c r="M36" s="190"/>
      <c r="N36" s="191"/>
      <c r="O36" s="192"/>
      <c r="P36" s="129" t="s">
        <v>664</v>
      </c>
      <c r="Q36" s="116">
        <v>4718100</v>
      </c>
      <c r="R36" s="116">
        <v>6540041496</v>
      </c>
      <c r="S36" s="116">
        <v>14000</v>
      </c>
      <c r="T36" s="130">
        <f t="shared" ref="T36" si="34">Q36/S36</f>
        <v>337.00714285714287</v>
      </c>
      <c r="U36" s="85"/>
    </row>
    <row r="37" spans="1:21" s="79" customFormat="1" ht="13.2" hidden="1">
      <c r="A37" s="129" t="s">
        <v>702</v>
      </c>
      <c r="B37" s="188">
        <f>SUM(F35:F37)</f>
        <v>464212.49137336091</v>
      </c>
      <c r="C37" s="188">
        <f>AVERAGE(F35:F37)</f>
        <v>154737.49712445363</v>
      </c>
      <c r="D37" s="190">
        <f>C37/C34-1</f>
        <v>0.75101093045153355</v>
      </c>
      <c r="E37" s="287">
        <f>C37/C25-1</f>
        <v>2.2069398207532362</v>
      </c>
      <c r="F37" s="136">
        <f>Q37/18</f>
        <v>189888.88888888888</v>
      </c>
      <c r="G37" s="190">
        <f t="shared" ref="G37" si="35">F37/F36-1</f>
        <v>-0.15481514451438794</v>
      </c>
      <c r="H37" s="190">
        <f t="shared" ref="H37" si="36">F37/F25-1</f>
        <v>26.752991452991449</v>
      </c>
      <c r="I37" s="130">
        <f t="shared" si="0"/>
        <v>312.14611872146116</v>
      </c>
      <c r="J37" s="130">
        <f t="shared" si="4"/>
        <v>8.0505795574288497E-2</v>
      </c>
      <c r="K37" s="136">
        <f>R35+R36+R37</f>
        <v>12675866598</v>
      </c>
      <c r="L37" s="190">
        <f>U37/U34-1</f>
        <v>0.72499701596209287</v>
      </c>
      <c r="M37" s="190">
        <f>U37/U25-1</f>
        <v>1.9861175033262763</v>
      </c>
      <c r="N37" s="191">
        <f>AVERAGE(T35:T37)</f>
        <v>323.61446747455813</v>
      </c>
      <c r="O37" s="192">
        <f>N37/N34-1</f>
        <v>-7.7359508352340622E-2</v>
      </c>
      <c r="P37" s="129" t="s">
        <v>702</v>
      </c>
      <c r="Q37" s="116">
        <v>3418000</v>
      </c>
      <c r="R37" s="116">
        <v>4556874236</v>
      </c>
      <c r="S37" s="116">
        <v>10950</v>
      </c>
      <c r="T37" s="130">
        <f t="shared" ref="T37" si="37">Q37/S37</f>
        <v>312.14611872146116</v>
      </c>
      <c r="U37" s="85">
        <f>Q35+Q36+Q37</f>
        <v>9278100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284180</v>
      </c>
      <c r="G38" s="190">
        <f t="shared" ref="G38" si="38">F38/F37-1</f>
        <v>0.49655939145699257</v>
      </c>
      <c r="H38" s="190">
        <f t="shared" ref="H38" si="39">F38/F26-1</f>
        <v>0.67742769277034864</v>
      </c>
      <c r="I38" s="130">
        <f t="shared" si="0"/>
        <v>327.58501440922191</v>
      </c>
      <c r="J38" s="130">
        <f t="shared" si="4"/>
        <v>0.84204102770473632</v>
      </c>
      <c r="K38" s="136"/>
      <c r="L38" s="190"/>
      <c r="M38" s="190"/>
      <c r="N38" s="191"/>
      <c r="O38" s="192"/>
      <c r="P38" s="129" t="s">
        <v>728</v>
      </c>
      <c r="Q38" s="116">
        <v>5683600</v>
      </c>
      <c r="R38" s="116">
        <v>7696719753</v>
      </c>
      <c r="S38" s="116">
        <v>17350</v>
      </c>
      <c r="T38" s="130">
        <f t="shared" ref="T38" si="40">Q38/S38</f>
        <v>327.58501440922191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110083.57142857143</v>
      </c>
      <c r="G39" s="190">
        <f t="shared" ref="G39" si="41">F39/F38-1</f>
        <v>-0.61262730864743675</v>
      </c>
      <c r="H39" s="190">
        <f t="shared" ref="H39" si="42">F39/F27-1</f>
        <v>0.71057958145823674</v>
      </c>
      <c r="I39" s="130">
        <f t="shared" si="0"/>
        <v>245.93138297872341</v>
      </c>
      <c r="J39" s="130">
        <f t="shared" si="4"/>
        <v>-0.34860666325030887</v>
      </c>
      <c r="K39" s="136"/>
      <c r="L39" s="190"/>
      <c r="M39" s="190"/>
      <c r="N39" s="191"/>
      <c r="O39" s="192"/>
      <c r="P39" s="129" t="s">
        <v>762</v>
      </c>
      <c r="Q39" s="116">
        <v>2311755</v>
      </c>
      <c r="R39" s="116">
        <v>3198288889</v>
      </c>
      <c r="S39" s="116">
        <v>9400</v>
      </c>
      <c r="T39" s="130">
        <f t="shared" ref="T39" si="43">Q39/S39</f>
        <v>245.93138297872341</v>
      </c>
      <c r="U39" s="85"/>
    </row>
    <row r="40" spans="1:21" s="79" customFormat="1" ht="13.2" hidden="1">
      <c r="A40" s="129" t="s">
        <v>778</v>
      </c>
      <c r="B40" s="188">
        <f>SUM(F38:F40)</f>
        <v>399145.85714285716</v>
      </c>
      <c r="C40" s="188">
        <f>AVERAGE(F38:F40)</f>
        <v>133048.61904761905</v>
      </c>
      <c r="D40" s="190">
        <f>C40/C37-1</f>
        <v>-0.14016562552637424</v>
      </c>
      <c r="E40" s="287">
        <f>C40/C28-1</f>
        <v>0.25072393457341602</v>
      </c>
      <c r="F40" s="136">
        <f>Q40/21</f>
        <v>4882.2857142857147</v>
      </c>
      <c r="G40" s="190">
        <f t="shared" ref="G40" si="44">F40/F39-1</f>
        <v>-0.95564927944353961</v>
      </c>
      <c r="H40" s="190">
        <f t="shared" ref="H40" si="45">F40/F28-1</f>
        <v>-0.94280570406842068</v>
      </c>
      <c r="I40" s="130">
        <f t="shared" si="0"/>
        <v>51.264000000000003</v>
      </c>
      <c r="J40" s="130">
        <f t="shared" si="4"/>
        <v>-0.8309005487391331</v>
      </c>
      <c r="K40" s="136">
        <f>R38+R39+R40</f>
        <v>11039130369</v>
      </c>
      <c r="L40" s="190">
        <f>U40/U37-1</f>
        <v>-0.12720460007975776</v>
      </c>
      <c r="M40" s="190">
        <f>U40/U28-1</f>
        <v>0.29430091796318392</v>
      </c>
      <c r="N40" s="191">
        <f>AVERAGE(T38:T40)</f>
        <v>208.26013246264844</v>
      </c>
      <c r="O40" s="192">
        <f>N40/N37-1</f>
        <v>-0.35645605065842301</v>
      </c>
      <c r="P40" s="129" t="s">
        <v>778</v>
      </c>
      <c r="Q40" s="116">
        <v>102528</v>
      </c>
      <c r="R40" s="116">
        <v>144121727</v>
      </c>
      <c r="S40" s="116">
        <v>2000</v>
      </c>
      <c r="T40" s="130">
        <f t="shared" ref="T40" si="46">Q40/S40</f>
        <v>51.264000000000003</v>
      </c>
      <c r="U40" s="85">
        <f>Q38+Q39+Q40</f>
        <v>8097883</v>
      </c>
    </row>
    <row r="41" spans="1:21" s="79" customFormat="1" ht="13.2">
      <c r="A41" s="129" t="s">
        <v>815</v>
      </c>
      <c r="B41" s="193"/>
      <c r="C41" s="194"/>
      <c r="D41" s="195"/>
      <c r="E41" s="288"/>
      <c r="F41" s="136">
        <f>Q41/18</f>
        <v>98329.777777777781</v>
      </c>
      <c r="G41" s="190">
        <f t="shared" ref="G41" si="47">F41/F40-1</f>
        <v>19.140111319184353</v>
      </c>
      <c r="H41" s="190">
        <f t="shared" ref="H41" si="48">F41/F29-1</f>
        <v>-4.8867784421776639E-2</v>
      </c>
      <c r="I41" s="130">
        <f t="shared" si="0"/>
        <v>260.73332056626845</v>
      </c>
      <c r="J41" s="130">
        <f t="shared" si="4"/>
        <v>-0.12301710238658392</v>
      </c>
      <c r="K41" s="193"/>
      <c r="L41" s="190"/>
      <c r="M41" s="190"/>
      <c r="N41" s="193"/>
      <c r="O41" s="193"/>
      <c r="P41" s="129" t="s">
        <v>815</v>
      </c>
      <c r="Q41" s="116">
        <v>1769936</v>
      </c>
      <c r="R41" s="116">
        <v>2585958823</v>
      </c>
      <c r="S41" s="116">
        <v>6788.3</v>
      </c>
      <c r="T41" s="130">
        <f t="shared" ref="T41" si="49">Q41/S41</f>
        <v>260.73332056626845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110863.1</v>
      </c>
      <c r="G42" s="190">
        <f t="shared" ref="G42" si="50">F42/F41-1</f>
        <v>0.12746212292421877</v>
      </c>
      <c r="H42" s="190">
        <f t="shared" ref="H42" si="51">F42/F30-1</f>
        <v>-0.28945896441221108</v>
      </c>
      <c r="I42" s="130">
        <f t="shared" si="0"/>
        <v>182.3106396974182</v>
      </c>
      <c r="J42" s="130">
        <f t="shared" si="4"/>
        <v>-0.41884447794211432</v>
      </c>
      <c r="K42" s="193"/>
      <c r="L42" s="190"/>
      <c r="M42" s="190"/>
      <c r="N42" s="193"/>
      <c r="O42" s="193"/>
      <c r="P42" s="129" t="s">
        <v>826</v>
      </c>
      <c r="Q42" s="116">
        <v>2217262</v>
      </c>
      <c r="R42" s="116">
        <v>3213576183</v>
      </c>
      <c r="S42" s="116">
        <v>12162</v>
      </c>
      <c r="T42" s="130">
        <f t="shared" ref="T42" si="52">Q42/S42</f>
        <v>182.3106396974182</v>
      </c>
      <c r="U42" s="78"/>
    </row>
    <row r="43" spans="1:21" s="79" customFormat="1" ht="13.2">
      <c r="A43" s="129" t="s">
        <v>835</v>
      </c>
      <c r="B43" s="188">
        <f>SUM(F41:F43)</f>
        <v>390812.87777777779</v>
      </c>
      <c r="C43" s="188">
        <f>AVERAGE(F41:F43)</f>
        <v>130270.95925925927</v>
      </c>
      <c r="D43" s="190">
        <f>C43/C40-1</f>
        <v>-2.08770283242522E-2</v>
      </c>
      <c r="E43" s="287">
        <f>C43/C31-1</f>
        <v>0.169509710974872</v>
      </c>
      <c r="F43" s="136">
        <f>Q43/20</f>
        <v>181620</v>
      </c>
      <c r="G43" s="190">
        <f t="shared" ref="G43" si="53">F43/F42-1</f>
        <v>0.63823670815627565</v>
      </c>
      <c r="H43" s="190">
        <f t="shared" ref="H43" si="54">F43/F31-1</f>
        <v>1.4293739967897272</v>
      </c>
      <c r="I43" s="130">
        <f t="shared" si="0"/>
        <v>432.42857142857144</v>
      </c>
      <c r="J43" s="130">
        <f t="shared" si="4"/>
        <v>8.4541962852556773E-2</v>
      </c>
      <c r="K43" s="136">
        <f>R41+R42+R43</f>
        <v>11105556214</v>
      </c>
      <c r="L43" s="190">
        <f>U43/U40-1</f>
        <v>-5.9062967444701298E-2</v>
      </c>
      <c r="M43" s="190">
        <f>K43/K31-1</f>
        <v>0.24042347289675847</v>
      </c>
      <c r="N43" s="191">
        <f>AVERAGE(T41:T43)</f>
        <v>291.8241772307527</v>
      </c>
      <c r="O43" s="192">
        <f>N43/N40-1</f>
        <v>0.40124839920137623</v>
      </c>
      <c r="P43" s="129" t="s">
        <v>835</v>
      </c>
      <c r="Q43" s="116">
        <v>3632400</v>
      </c>
      <c r="R43" s="116">
        <v>5306021208</v>
      </c>
      <c r="S43" s="116">
        <v>8400</v>
      </c>
      <c r="T43" s="130">
        <f t="shared" ref="T43" si="55">Q43/S43</f>
        <v>432.42857142857144</v>
      </c>
      <c r="U43" s="85">
        <f>Q41+Q42+Q43</f>
        <v>7619598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213560.45454545456</v>
      </c>
      <c r="G44" s="190">
        <f t="shared" ref="G44" si="56">F44/F43-1</f>
        <v>0.17586419196924652</v>
      </c>
      <c r="H44" s="190">
        <f t="shared" ref="H44" si="57">F44/F32-1</f>
        <v>1.4753115936938657</v>
      </c>
      <c r="I44" s="130">
        <f t="shared" si="0"/>
        <v>190.60162271805274</v>
      </c>
      <c r="J44" s="130">
        <f t="shared" si="4"/>
        <v>-0.35301910822606009</v>
      </c>
      <c r="K44" s="136"/>
      <c r="L44" s="190"/>
      <c r="M44" s="190"/>
      <c r="N44" s="191"/>
      <c r="O44" s="192"/>
      <c r="P44" s="129" t="s">
        <v>843</v>
      </c>
      <c r="Q44" s="116">
        <v>4698330</v>
      </c>
      <c r="R44" s="116">
        <v>6889927558</v>
      </c>
      <c r="S44" s="116">
        <v>24650</v>
      </c>
      <c r="T44" s="130">
        <f t="shared" ref="T44" si="58">Q44/S44</f>
        <v>190.60162271805274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94319.1</v>
      </c>
      <c r="G45" s="190">
        <f t="shared" ref="G45" si="59">F45/F44-1</f>
        <v>-0.55834941351501488</v>
      </c>
      <c r="H45" s="190">
        <f t="shared" ref="H45" si="60">F45/F33-1</f>
        <v>0.11650563861246055</v>
      </c>
      <c r="I45" s="130">
        <f t="shared" si="0"/>
        <v>84.781213483146061</v>
      </c>
      <c r="J45" s="130">
        <f t="shared" si="4"/>
        <v>-0.82078561177970133</v>
      </c>
      <c r="K45" s="136"/>
      <c r="L45" s="190"/>
      <c r="M45" s="190"/>
      <c r="N45" s="191"/>
      <c r="O45" s="192"/>
      <c r="P45" s="129" t="s">
        <v>849</v>
      </c>
      <c r="Q45" s="116">
        <v>1886382</v>
      </c>
      <c r="R45" s="116">
        <v>2659977147</v>
      </c>
      <c r="S45" s="116">
        <v>22250</v>
      </c>
      <c r="T45" s="130">
        <f t="shared" ref="T45" si="61">Q45/S45</f>
        <v>84.781213483146061</v>
      </c>
      <c r="U45" s="85"/>
    </row>
    <row r="46" spans="1:21" s="79" customFormat="1" ht="13.2">
      <c r="A46" s="129" t="s">
        <v>888</v>
      </c>
      <c r="B46" s="188">
        <f>SUM(F44:F46)</f>
        <v>507488.97559808614</v>
      </c>
      <c r="C46" s="188">
        <f>AVERAGE(F44:F46)</f>
        <v>169162.99186602872</v>
      </c>
      <c r="D46" s="190">
        <f>C46/C43-1</f>
        <v>0.29854721902652392</v>
      </c>
      <c r="E46" s="287">
        <f>C46/C34-1</f>
        <v>0.91424996067413966</v>
      </c>
      <c r="F46" s="136">
        <f>Q46/19</f>
        <v>199609.42105263157</v>
      </c>
      <c r="G46" s="190">
        <f t="shared" ref="G46" si="62">F46/F45-1</f>
        <v>1.116320247464528</v>
      </c>
      <c r="H46" s="190">
        <f t="shared" ref="H46" si="63">F46/F34-1</f>
        <v>1.1154501338688085</v>
      </c>
      <c r="I46" s="130">
        <f t="shared" si="0"/>
        <v>142.58351817737508</v>
      </c>
      <c r="J46" s="130">
        <f t="shared" si="4"/>
        <v>-0.49895350038071007</v>
      </c>
      <c r="K46" s="136">
        <f>R44+R45+R46</f>
        <v>14740502448</v>
      </c>
      <c r="L46" s="190">
        <f>U46/U43-1</f>
        <v>0.36192106197728546</v>
      </c>
      <c r="M46" s="190">
        <f>K46/K34-1</f>
        <v>1.0078994268807051</v>
      </c>
      <c r="N46" s="191">
        <f>AVERAGE(T44:T46)</f>
        <v>139.3221181261913</v>
      </c>
      <c r="O46" s="192">
        <f>N46/N43-1</f>
        <v>-0.52258198944213663</v>
      </c>
      <c r="P46" s="129" t="s">
        <v>888</v>
      </c>
      <c r="Q46" s="116">
        <v>3792579</v>
      </c>
      <c r="R46" s="116">
        <v>5190597743</v>
      </c>
      <c r="S46" s="116">
        <v>26599</v>
      </c>
      <c r="T46" s="130">
        <f t="shared" ref="T46" si="64">Q46/S46</f>
        <v>142.58351817737508</v>
      </c>
      <c r="U46" s="85">
        <f t="shared" ref="U46:U51" si="65">Q44+Q45+Q46</f>
        <v>10377291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176768.86956521738</v>
      </c>
      <c r="G47" s="190">
        <f t="shared" ref="G47" si="66">F47/F46-1</f>
        <v>-0.11442621979947409</v>
      </c>
      <c r="H47" s="190">
        <f t="shared" ref="H47" si="67">F47/F35-1</f>
        <v>2.5601436077057791</v>
      </c>
      <c r="I47" s="130">
        <f t="shared" si="0"/>
        <v>349.28556701030925</v>
      </c>
      <c r="J47" s="130">
        <f t="shared" si="4"/>
        <v>8.5782629497896501E-2</v>
      </c>
      <c r="K47" s="136"/>
      <c r="L47" s="190"/>
      <c r="M47" s="190"/>
      <c r="N47" s="191"/>
      <c r="O47" s="192"/>
      <c r="P47" s="129" t="s">
        <v>991</v>
      </c>
      <c r="Q47" s="116">
        <v>4065684</v>
      </c>
      <c r="R47" s="116">
        <v>5568148059</v>
      </c>
      <c r="S47" s="116">
        <v>11640</v>
      </c>
      <c r="T47" s="130">
        <f t="shared" ref="T47" si="68">Q47/S47</f>
        <v>349.28556701030925</v>
      </c>
      <c r="U47" s="85">
        <f t="shared" si="65"/>
        <v>9744645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132835</v>
      </c>
      <c r="G48" s="190">
        <f t="shared" ref="G48" si="69">F48/F47-1</f>
        <v>-0.24853849930294625</v>
      </c>
      <c r="H48" s="190">
        <f t="shared" ref="H48" si="70">F48/F36-1</f>
        <v>-0.40875882240732497</v>
      </c>
      <c r="I48" s="130">
        <f t="shared" si="0"/>
        <v>307.1329479768786</v>
      </c>
      <c r="J48" s="130">
        <f t="shared" si="4"/>
        <v>-8.8645583672177342E-2</v>
      </c>
      <c r="K48" s="136"/>
      <c r="L48" s="190"/>
      <c r="M48" s="190"/>
      <c r="N48" s="191"/>
      <c r="O48" s="192"/>
      <c r="P48" s="129" t="s">
        <v>1136</v>
      </c>
      <c r="Q48" s="116">
        <v>2656700</v>
      </c>
      <c r="R48" s="116">
        <v>3683144798</v>
      </c>
      <c r="S48" s="116">
        <v>8650</v>
      </c>
      <c r="T48" s="130">
        <f t="shared" ref="T48" si="71">Q48/S48</f>
        <v>307.1329479768786</v>
      </c>
      <c r="U48" s="85">
        <f t="shared" si="65"/>
        <v>10514963</v>
      </c>
    </row>
    <row r="49" spans="1:26" ht="13.2">
      <c r="A49" s="129" t="s">
        <v>1234</v>
      </c>
      <c r="B49" s="188">
        <f>SUM(F47:F49)</f>
        <v>534512.96047430835</v>
      </c>
      <c r="C49" s="188">
        <f>AVERAGE(F47:F49)</f>
        <v>178170.98682476944</v>
      </c>
      <c r="D49" s="190">
        <f>C49/C46-1</f>
        <v>5.3250388039215668E-2</v>
      </c>
      <c r="E49" s="287">
        <f>C49/C37-1</f>
        <v>0.15144027876752153</v>
      </c>
      <c r="F49" s="136">
        <f>Q49/22</f>
        <v>224909.09090909091</v>
      </c>
      <c r="G49" s="190">
        <f t="shared" ref="G49" si="72">F49/F48-1</f>
        <v>0.69314631617488542</v>
      </c>
      <c r="H49" s="190">
        <f t="shared" ref="H49" si="73">F49/F37-1</f>
        <v>0.18442470344167261</v>
      </c>
      <c r="I49" s="130">
        <f t="shared" si="0"/>
        <v>399.03225806451616</v>
      </c>
      <c r="J49" s="130">
        <f t="shared" si="4"/>
        <v>0.27835085599954712</v>
      </c>
      <c r="K49" s="136">
        <f>R47+R48+R49</f>
        <v>16123929301</v>
      </c>
      <c r="L49" s="190">
        <f>U49/U46-1</f>
        <v>0.12460795404118463</v>
      </c>
      <c r="M49" s="190">
        <f>K49/K37-1</f>
        <v>0.27201790712628959</v>
      </c>
      <c r="N49" s="191">
        <f>AVERAGE(T47:T49)</f>
        <v>351.81692435056794</v>
      </c>
      <c r="O49" s="192">
        <f>N49/N46-1</f>
        <v>1.5252051080066771</v>
      </c>
      <c r="P49" s="129" t="s">
        <v>1184</v>
      </c>
      <c r="Q49" s="116">
        <v>4948000</v>
      </c>
      <c r="R49" s="116">
        <v>6872636444</v>
      </c>
      <c r="S49" s="116">
        <v>12400</v>
      </c>
      <c r="T49" s="130">
        <f t="shared" ref="T49" si="74">Q49/S49</f>
        <v>399.03225806451616</v>
      </c>
      <c r="U49" s="85">
        <f t="shared" si="65"/>
        <v>11670384</v>
      </c>
      <c r="V49" s="79"/>
      <c r="W49" s="79"/>
      <c r="X49" s="79"/>
      <c r="Y49" s="79"/>
      <c r="Z49" s="79"/>
    </row>
    <row r="50" spans="1:26" ht="13.2">
      <c r="A50" s="129" t="s">
        <v>1311</v>
      </c>
      <c r="B50" s="188"/>
      <c r="C50" s="188"/>
      <c r="D50" s="190"/>
      <c r="E50" s="287"/>
      <c r="F50" s="136">
        <f>Q50/18</f>
        <v>160351.83333333334</v>
      </c>
      <c r="G50" s="190">
        <f t="shared" ref="G50" si="75">F50/F49-1</f>
        <v>-0.28703711937483156</v>
      </c>
      <c r="H50" s="190">
        <f t="shared" ref="H50" si="76">F50/F38-1</f>
        <v>-0.43573849907335727</v>
      </c>
      <c r="I50" s="130">
        <f t="shared" ref="I50" si="77">T50</f>
        <v>250.4299592816283</v>
      </c>
      <c r="J50" s="130">
        <f t="shared" ref="J50" si="78">I50/I38-1</f>
        <v>-0.23552681512839557</v>
      </c>
      <c r="K50" s="136"/>
      <c r="L50" s="190"/>
      <c r="M50" s="190"/>
      <c r="N50" s="191"/>
      <c r="O50" s="192"/>
      <c r="P50" s="129" t="s">
        <v>1360</v>
      </c>
      <c r="Q50" s="116">
        <v>2886333</v>
      </c>
      <c r="R50" s="116">
        <v>4085303003</v>
      </c>
      <c r="S50" s="116">
        <v>11525.51</v>
      </c>
      <c r="T50" s="130">
        <f t="shared" ref="T50" si="79">Q50/S50</f>
        <v>250.4299592816283</v>
      </c>
      <c r="U50" s="85">
        <f t="shared" si="65"/>
        <v>10491033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31045</v>
      </c>
      <c r="G51" s="190">
        <f t="shared" ref="G51:G52" si="80">F51/F50-1</f>
        <v>-0.80639448047054862</v>
      </c>
      <c r="H51" s="190">
        <f t="shared" ref="H51:H52" si="81">F51/F39-1</f>
        <v>-0.71798698391481797</v>
      </c>
      <c r="I51" s="130">
        <f t="shared" ref="I51:I52" si="82">T51</f>
        <v>302.8780487804878</v>
      </c>
      <c r="J51" s="130">
        <f t="shared" ref="J51:J52" si="83">I51/I39-1</f>
        <v>0.23155509928023754</v>
      </c>
      <c r="K51" s="136"/>
      <c r="L51" s="190"/>
      <c r="M51" s="190"/>
      <c r="N51" s="191"/>
      <c r="O51" s="192"/>
      <c r="P51" s="129" t="s">
        <v>1402</v>
      </c>
      <c r="Q51" s="116">
        <v>620900</v>
      </c>
      <c r="R51" s="116">
        <v>892444406</v>
      </c>
      <c r="S51" s="116">
        <v>2050</v>
      </c>
      <c r="T51" s="130">
        <f t="shared" ref="T51:T52" si="84">Q51/S51</f>
        <v>302.8780487804878</v>
      </c>
      <c r="U51" s="85">
        <f t="shared" si="65"/>
        <v>8455233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362791.01515151514</v>
      </c>
      <c r="C52" s="188">
        <f>AVERAGE(F50:F52)</f>
        <v>120930.33838383837</v>
      </c>
      <c r="D52" s="190">
        <f>C52/C49-1</f>
        <v>-0.32126806648507289</v>
      </c>
      <c r="E52" s="287">
        <f>C52/C40-1</f>
        <v>-9.1081596716486524E-2</v>
      </c>
      <c r="F52" s="136">
        <f>Q52/22</f>
        <v>171394.18181818182</v>
      </c>
      <c r="G52" s="190">
        <f t="shared" si="80"/>
        <v>4.5208304660390342</v>
      </c>
      <c r="H52" s="190">
        <f t="shared" si="81"/>
        <v>34.105315798433772</v>
      </c>
      <c r="I52" s="130">
        <f t="shared" si="82"/>
        <v>249.37762601742159</v>
      </c>
      <c r="J52" s="130">
        <f t="shared" si="83"/>
        <v>3.8645760381051337</v>
      </c>
      <c r="K52" s="136">
        <f>R50+R51+R52</f>
        <v>10522158544</v>
      </c>
      <c r="L52" s="190">
        <f>U52/U49-1</f>
        <v>-0.37637827512787925</v>
      </c>
      <c r="M52" s="190">
        <f>K52/K40-1</f>
        <v>-4.6830846970677742E-2</v>
      </c>
      <c r="N52" s="191">
        <f>AVERAGE(T50:T52)</f>
        <v>267.56187802651255</v>
      </c>
      <c r="O52" s="192">
        <f>N52/N49-1</f>
        <v>-0.23948548376285461</v>
      </c>
      <c r="P52" s="129" t="s">
        <v>1403</v>
      </c>
      <c r="Q52" s="116">
        <v>3770672</v>
      </c>
      <c r="R52" s="116">
        <v>5544411135</v>
      </c>
      <c r="S52" s="116">
        <v>15120.33</v>
      </c>
      <c r="T52" s="130">
        <f t="shared" si="84"/>
        <v>249.37762601742159</v>
      </c>
      <c r="U52" s="85">
        <f t="shared" ref="U52" si="85">Q50+Q51+Q52</f>
        <v>7277905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103376.19047619047</v>
      </c>
      <c r="G53" s="190">
        <f t="shared" ref="G53" si="86">F53/F52-1</f>
        <v>-0.39685122692289587</v>
      </c>
      <c r="H53" s="190">
        <f t="shared" ref="H53" si="87">F53/F41-1</f>
        <v>5.1321306855970139E-2</v>
      </c>
      <c r="I53" s="130">
        <f t="shared" ref="I53" si="88">T53</f>
        <v>339.203125</v>
      </c>
      <c r="J53" s="130">
        <f t="shared" ref="J53" si="89">I53/I41-1</f>
        <v>0.300958098732101</v>
      </c>
      <c r="K53" s="136"/>
      <c r="L53" s="190"/>
      <c r="M53" s="190"/>
      <c r="N53" s="191"/>
      <c r="O53" s="192"/>
      <c r="P53" s="129" t="s">
        <v>1414</v>
      </c>
      <c r="Q53" s="116">
        <v>2170900</v>
      </c>
      <c r="R53" s="116">
        <v>3165178198</v>
      </c>
      <c r="S53" s="116">
        <v>6400</v>
      </c>
      <c r="T53" s="130">
        <f t="shared" ref="T53" si="90">Q53/S53</f>
        <v>339.203125</v>
      </c>
      <c r="U53" s="85">
        <f t="shared" ref="U53" si="91">Q51+Q52+Q53</f>
        <v>6562472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79858.823529411762</v>
      </c>
      <c r="G54" s="190">
        <f t="shared" ref="G54" si="92">F54/F53-1</f>
        <v>-0.22749307010104236</v>
      </c>
      <c r="H54" s="190">
        <f t="shared" ref="H54" si="93">F54/F42-1</f>
        <v>-0.27966272340019571</v>
      </c>
      <c r="I54" s="130">
        <f t="shared" ref="I54" si="94">T54</f>
        <v>331.1219512195122</v>
      </c>
      <c r="J54" s="130">
        <f t="shared" ref="J54" si="95">I54/I42-1</f>
        <v>0.81625138153799925</v>
      </c>
      <c r="K54" s="136"/>
      <c r="L54" s="190"/>
      <c r="M54" s="190"/>
      <c r="N54" s="191"/>
      <c r="O54" s="192"/>
      <c r="P54" s="129" t="s">
        <v>1417</v>
      </c>
      <c r="Q54" s="116">
        <v>1357600</v>
      </c>
      <c r="R54" s="116">
        <v>1964311440</v>
      </c>
      <c r="S54" s="116">
        <v>4100</v>
      </c>
      <c r="T54" s="130">
        <f t="shared" ref="T54" si="96">Q54/S54</f>
        <v>331.1219512195122</v>
      </c>
      <c r="U54" s="85">
        <f t="shared" ref="U54" si="97">Q52+Q53+Q54</f>
        <v>7299172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419273.10924369749</v>
      </c>
      <c r="C55" s="188">
        <f>AVERAGE(F53:F55)</f>
        <v>139757.7030812325</v>
      </c>
      <c r="D55" s="190">
        <f>C55/C52-1</f>
        <v>0.15568768721737314</v>
      </c>
      <c r="E55" s="287">
        <f>C55/C43-1</f>
        <v>7.2823167004498313E-2</v>
      </c>
      <c r="F55" s="136">
        <f>Q55/21</f>
        <v>236038.09523809524</v>
      </c>
      <c r="G55" s="190">
        <f t="shared" ref="G55" si="98">F55/F54-1</f>
        <v>1.9556921177427955</v>
      </c>
      <c r="H55" s="190">
        <f t="shared" ref="H55" si="99">F55/F43-1</f>
        <v>0.29962611627626501</v>
      </c>
      <c r="I55" s="130">
        <f>T55</f>
        <v>354.05714285714288</v>
      </c>
      <c r="J55" s="130">
        <f t="shared" ref="J55" si="100">I55/I43-1</f>
        <v>-0.1812355467459531</v>
      </c>
      <c r="K55" s="136">
        <f>R53+R54+R55</f>
        <v>12448462087</v>
      </c>
      <c r="L55" s="190">
        <f>U55/U52-1</f>
        <v>0.1658987029921386</v>
      </c>
      <c r="M55" s="190">
        <f>K55/K43-1</f>
        <v>0.12092198239536089</v>
      </c>
      <c r="N55" s="191">
        <f>AVERAGE(T53:T55)</f>
        <v>341.46073969221834</v>
      </c>
      <c r="O55" s="192">
        <f>N55/N52-1</f>
        <v>0.27619353777440292</v>
      </c>
      <c r="P55" s="129" t="s">
        <v>1418</v>
      </c>
      <c r="Q55" s="116">
        <v>4956800</v>
      </c>
      <c r="R55" s="116">
        <v>7318972449</v>
      </c>
      <c r="S55" s="116">
        <v>14000</v>
      </c>
      <c r="T55" s="130">
        <f t="shared" ref="T55" si="101">Q55/S55</f>
        <v>354.05714285714288</v>
      </c>
      <c r="U55" s="85">
        <f t="shared" ref="U55" si="102">Q53+Q54+Q55</f>
        <v>8485300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119834.36363636363</v>
      </c>
      <c r="G56" s="190">
        <f t="shared" ref="G56" si="103">F56/F55-1</f>
        <v>-0.49230922442631608</v>
      </c>
      <c r="H56" s="190">
        <f t="shared" ref="H56" si="104">F56/F44-1</f>
        <v>-0.43887381261001257</v>
      </c>
      <c r="I56" s="291">
        <f>T56</f>
        <v>159.63934614837308</v>
      </c>
      <c r="J56" s="130">
        <f t="shared" ref="J56" si="105">I56/I44-1</f>
        <v>-0.16244497884197229</v>
      </c>
      <c r="K56" s="136"/>
      <c r="L56" s="190"/>
      <c r="M56" s="190"/>
      <c r="N56" s="191"/>
      <c r="O56" s="192"/>
      <c r="P56" s="129" t="s">
        <v>1420</v>
      </c>
      <c r="Q56" s="116">
        <v>2636356</v>
      </c>
      <c r="R56" s="116">
        <v>3944975877</v>
      </c>
      <c r="S56" s="116">
        <v>16514.45</v>
      </c>
      <c r="T56" s="130">
        <f t="shared" ref="T56" si="106">Q56/S56</f>
        <v>159.63934614837308</v>
      </c>
      <c r="U56" s="85">
        <f t="shared" ref="U56" si="107">Q54+Q55+Q56</f>
        <v>8950756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627784.75</v>
      </c>
      <c r="G57" s="254">
        <f t="shared" ref="G57" si="108">F57/F56-1</f>
        <v>4.2387706743702296</v>
      </c>
      <c r="H57" s="254">
        <f t="shared" ref="H57" si="109">F57/F45-1</f>
        <v>5.6559662889064883</v>
      </c>
      <c r="I57" s="282">
        <f>T57</f>
        <v>198.05304625424944</v>
      </c>
      <c r="J57" s="277">
        <f t="shared" ref="J57" si="110">I57/I45-1</f>
        <v>1.3360487319943948</v>
      </c>
      <c r="K57" s="204"/>
      <c r="L57" s="254"/>
      <c r="M57" s="254"/>
      <c r="N57" s="257"/>
      <c r="O57" s="258"/>
      <c r="P57" s="129" t="s">
        <v>1436</v>
      </c>
      <c r="Q57" s="116">
        <v>7533417</v>
      </c>
      <c r="R57" s="116">
        <v>11119266886</v>
      </c>
      <c r="S57" s="116">
        <v>38037.370000000003</v>
      </c>
      <c r="T57" s="130">
        <f t="shared" ref="T57" si="111">Q57/S57</f>
        <v>198.05304625424944</v>
      </c>
      <c r="U57" s="85">
        <f t="shared" ref="U57" si="112">Q55+Q56+Q57</f>
        <v>15126573</v>
      </c>
      <c r="V57" s="79"/>
      <c r="W57" s="79"/>
      <c r="X57" s="79"/>
      <c r="Y57" s="79"/>
      <c r="Z57" s="79"/>
    </row>
    <row r="58" spans="1:26">
      <c r="B58" s="196">
        <f>SUM(F56:F58)</f>
        <v>747619.11363636365</v>
      </c>
      <c r="C58" s="196">
        <f>AVERAGE(F56:F58)</f>
        <v>373809.55681818182</v>
      </c>
      <c r="D58" s="197">
        <f>C58/C55-1</f>
        <v>1.6746973410181871</v>
      </c>
      <c r="E58" s="233">
        <f>C58/C46-1</f>
        <v>1.2097596684399279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18655073</v>
      </c>
      <c r="R65" s="212">
        <v>27512704850</v>
      </c>
      <c r="S65" s="213">
        <v>79051.820000000007</v>
      </c>
      <c r="T65" s="214" t="s">
        <v>1421</v>
      </c>
      <c r="U65" s="214" t="s">
        <v>1421</v>
      </c>
    </row>
    <row r="66" spans="16:21" ht="18" thickBot="1">
      <c r="P66" s="180" t="s">
        <v>976</v>
      </c>
      <c r="Q66" s="181">
        <v>2170900</v>
      </c>
      <c r="R66" s="181">
        <v>3165178198</v>
      </c>
      <c r="S66" s="182">
        <v>6400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181">
        <v>1357600</v>
      </c>
      <c r="R67" s="181">
        <v>1964311440</v>
      </c>
      <c r="S67" s="182">
        <v>4100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4956800</v>
      </c>
      <c r="R68" s="181">
        <v>7318972449</v>
      </c>
      <c r="S68" s="182">
        <v>14000</v>
      </c>
      <c r="T68" s="210" t="s">
        <v>1421</v>
      </c>
      <c r="U68" s="210" t="s">
        <v>1421</v>
      </c>
    </row>
    <row r="69" spans="16:21" ht="18" thickBot="1">
      <c r="P69" s="180" t="s">
        <v>979</v>
      </c>
      <c r="Q69" s="181">
        <v>2636356</v>
      </c>
      <c r="R69" s="181">
        <v>3944975877</v>
      </c>
      <c r="S69" s="182">
        <v>16514.45</v>
      </c>
      <c r="T69" s="210" t="s">
        <v>1421</v>
      </c>
      <c r="U69" s="210" t="s">
        <v>1421</v>
      </c>
    </row>
    <row r="70" spans="16:21" ht="18" thickBot="1">
      <c r="P70" s="180" t="s">
        <v>980</v>
      </c>
      <c r="Q70" s="181">
        <v>7533417</v>
      </c>
      <c r="R70" s="181">
        <v>11119266886</v>
      </c>
      <c r="S70" s="182">
        <v>38037.370000000003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36945178</v>
      </c>
      <c r="R71" s="181">
        <v>52492146507</v>
      </c>
      <c r="S71" s="182">
        <v>162235.15</v>
      </c>
      <c r="T71" s="210" t="s">
        <v>1421</v>
      </c>
      <c r="U71" s="210">
        <v>7</v>
      </c>
    </row>
    <row r="72" spans="16:21" ht="18" thickBot="1">
      <c r="P72" s="180" t="s">
        <v>982</v>
      </c>
      <c r="Q72" s="181">
        <v>29488701</v>
      </c>
      <c r="R72" s="181">
        <v>40009288502</v>
      </c>
      <c r="S72" s="182">
        <v>94300</v>
      </c>
      <c r="T72" s="210" t="s">
        <v>1421</v>
      </c>
      <c r="U72" s="210" t="s">
        <v>1421</v>
      </c>
    </row>
    <row r="73" spans="16:21" ht="18" thickBot="1">
      <c r="P73" s="215" t="s">
        <v>1386</v>
      </c>
      <c r="Q73" s="216">
        <v>22341552</v>
      </c>
      <c r="R73"/>
      <c r="S73"/>
      <c r="T73"/>
      <c r="U73"/>
    </row>
  </sheetData>
  <phoneticPr fontId="1" type="noConversion"/>
  <conditionalFormatting sqref="C29:C30">
    <cfRule type="cellIs" dxfId="12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42"/>
  <dimension ref="A1:Z72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8481100000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457164.1</v>
      </c>
      <c r="G5" s="90"/>
      <c r="H5" s="90"/>
      <c r="I5" s="130">
        <f t="shared" ref="I5:I49" si="0">T5</f>
        <v>45.665828245344045</v>
      </c>
      <c r="J5" s="130"/>
      <c r="L5" s="80"/>
      <c r="M5" s="80"/>
      <c r="P5" s="129" t="s">
        <v>0</v>
      </c>
      <c r="Q5" s="116">
        <v>9143282</v>
      </c>
      <c r="R5" s="116">
        <v>10786667286</v>
      </c>
      <c r="S5" s="116">
        <v>200221.53</v>
      </c>
      <c r="T5" s="130">
        <f t="shared" ref="T5:T17" si="1">Q5/S5</f>
        <v>45.665828245344045</v>
      </c>
      <c r="U5" s="85"/>
    </row>
    <row r="6" spans="1:21" ht="15" hidden="1" customHeight="1">
      <c r="A6" s="129" t="s">
        <v>1</v>
      </c>
      <c r="C6" s="79"/>
      <c r="F6" s="78">
        <f>Q6/18</f>
        <v>476656.72222222225</v>
      </c>
      <c r="G6" s="90">
        <f t="shared" ref="G6:G16" si="2">F6/F5-1</f>
        <v>4.2638129770518507E-2</v>
      </c>
      <c r="H6" s="90"/>
      <c r="I6" s="130">
        <f t="shared" si="0"/>
        <v>42.104655414543458</v>
      </c>
      <c r="J6" s="130"/>
      <c r="P6" s="129" t="s">
        <v>1</v>
      </c>
      <c r="Q6" s="116">
        <v>8579821</v>
      </c>
      <c r="R6" s="116">
        <v>10192728407</v>
      </c>
      <c r="S6" s="116">
        <v>203773.69</v>
      </c>
      <c r="T6" s="130">
        <f t="shared" si="1"/>
        <v>42.104655414543458</v>
      </c>
      <c r="U6" s="85"/>
    </row>
    <row r="7" spans="1:21" ht="15" hidden="1" customHeight="1">
      <c r="A7" s="129" t="s">
        <v>2</v>
      </c>
      <c r="B7" s="131">
        <f>F5+F6+F7</f>
        <v>1458331.6858585859</v>
      </c>
      <c r="C7" s="131">
        <f>AVERAGE(F5:F7)</f>
        <v>486110.56195286196</v>
      </c>
      <c r="F7" s="78">
        <f>Q7/22</f>
        <v>524510.86363636365</v>
      </c>
      <c r="G7" s="90">
        <f t="shared" si="2"/>
        <v>0.10039539816209975</v>
      </c>
      <c r="H7" s="90"/>
      <c r="I7" s="130">
        <f t="shared" si="0"/>
        <v>38.805568556054155</v>
      </c>
      <c r="J7" s="130"/>
      <c r="K7" s="79">
        <f>R5+R6+R7</f>
        <v>34861314088</v>
      </c>
      <c r="N7" s="88">
        <f>AVERAGE(T5:T7)</f>
        <v>42.192017405313884</v>
      </c>
      <c r="P7" s="129" t="s">
        <v>2</v>
      </c>
      <c r="Q7" s="116">
        <v>11539239</v>
      </c>
      <c r="R7" s="116">
        <v>13881918395</v>
      </c>
      <c r="S7" s="116">
        <v>297360.39</v>
      </c>
      <c r="T7" s="130">
        <f t="shared" si="1"/>
        <v>38.805568556054155</v>
      </c>
      <c r="U7" s="85">
        <f>Q5+Q6+Q7</f>
        <v>29262342</v>
      </c>
    </row>
    <row r="8" spans="1:21" ht="15" hidden="1" customHeight="1">
      <c r="A8" s="129" t="s">
        <v>3</v>
      </c>
      <c r="C8" s="79"/>
      <c r="F8" s="78">
        <f>Q8/21</f>
        <v>445604.38095238095</v>
      </c>
      <c r="G8" s="90">
        <f t="shared" si="2"/>
        <v>-0.15043822378994143</v>
      </c>
      <c r="H8" s="90"/>
      <c r="I8" s="130">
        <f t="shared" si="0"/>
        <v>45.04904648903625</v>
      </c>
      <c r="J8" s="130"/>
      <c r="K8" s="78"/>
      <c r="P8" s="129" t="s">
        <v>3</v>
      </c>
      <c r="Q8" s="116">
        <v>9357692</v>
      </c>
      <c r="R8" s="116">
        <v>11350256516</v>
      </c>
      <c r="S8" s="116">
        <v>207722.31</v>
      </c>
      <c r="T8" s="130">
        <f t="shared" si="1"/>
        <v>45.04904648903625</v>
      </c>
      <c r="U8" s="85"/>
    </row>
    <row r="9" spans="1:21" ht="15" hidden="1" customHeight="1">
      <c r="A9" s="129" t="s">
        <v>4</v>
      </c>
      <c r="C9" s="79"/>
      <c r="F9" s="78">
        <f>Q9/21</f>
        <v>405144.14285714284</v>
      </c>
      <c r="G9" s="90">
        <f t="shared" si="2"/>
        <v>-9.07985644323408E-2</v>
      </c>
      <c r="H9" s="90"/>
      <c r="I9" s="130">
        <f t="shared" si="0"/>
        <v>37.556486842823155</v>
      </c>
      <c r="J9" s="130"/>
      <c r="K9" s="78"/>
      <c r="P9" s="129" t="s">
        <v>4</v>
      </c>
      <c r="Q9" s="116">
        <v>8508027</v>
      </c>
      <c r="R9" s="116">
        <v>10688813797</v>
      </c>
      <c r="S9" s="116">
        <v>226539.48</v>
      </c>
      <c r="T9" s="130">
        <f t="shared" si="1"/>
        <v>37.556486842823155</v>
      </c>
      <c r="U9" s="85"/>
    </row>
    <row r="10" spans="1:21" ht="15" hidden="1" customHeight="1">
      <c r="A10" s="129" t="s">
        <v>5</v>
      </c>
      <c r="B10" s="131">
        <f>F8+F9+F10</f>
        <v>1297188.7142857143</v>
      </c>
      <c r="C10" s="131">
        <f>AVERAGE(F8:F10)</f>
        <v>432396.23809523811</v>
      </c>
      <c r="D10" s="90">
        <f>C10/C7-1</f>
        <v>-0.11049816247940836</v>
      </c>
      <c r="E10" s="286"/>
      <c r="F10" s="78">
        <f>Q10/21</f>
        <v>446440.19047619047</v>
      </c>
      <c r="G10" s="90">
        <f t="shared" si="2"/>
        <v>0.10192927220376724</v>
      </c>
      <c r="H10" s="90"/>
      <c r="I10" s="130">
        <f t="shared" si="0"/>
        <v>44.857236171436206</v>
      </c>
      <c r="J10" s="130"/>
      <c r="K10" s="79">
        <f>R8+R9+R10</f>
        <v>33841073364</v>
      </c>
      <c r="L10" s="87">
        <f>U10/U7-1</f>
        <v>-6.907782705840837E-2</v>
      </c>
      <c r="N10" s="88">
        <f>AVERAGE(T8:T10)</f>
        <v>42.487589834431873</v>
      </c>
      <c r="O10" s="89">
        <f>N10/N7-1</f>
        <v>7.0054111487156678E-3</v>
      </c>
      <c r="P10" s="129" t="s">
        <v>5</v>
      </c>
      <c r="Q10" s="116">
        <v>9375244</v>
      </c>
      <c r="R10" s="116">
        <v>11802003051</v>
      </c>
      <c r="S10" s="116">
        <v>209001.82</v>
      </c>
      <c r="T10" s="130">
        <f t="shared" si="1"/>
        <v>44.857236171436206</v>
      </c>
      <c r="U10" s="85">
        <f>Q8+Q9+Q10</f>
        <v>27240963</v>
      </c>
    </row>
    <row r="11" spans="1:21" ht="15" hidden="1" customHeight="1">
      <c r="A11" s="129" t="s">
        <v>6</v>
      </c>
      <c r="C11" s="79"/>
      <c r="F11" s="78">
        <f>Q11/21</f>
        <v>534751.42857142852</v>
      </c>
      <c r="G11" s="90">
        <f t="shared" si="2"/>
        <v>0.19781202494569738</v>
      </c>
      <c r="H11" s="90"/>
      <c r="I11" s="130">
        <f t="shared" si="0"/>
        <v>51.640356087234274</v>
      </c>
      <c r="J11" s="130"/>
      <c r="K11" s="78"/>
      <c r="O11" s="89"/>
      <c r="P11" s="129" t="s">
        <v>6</v>
      </c>
      <c r="Q11" s="116">
        <v>11229780</v>
      </c>
      <c r="R11" s="116">
        <v>14496762144</v>
      </c>
      <c r="S11" s="116">
        <v>217461.32</v>
      </c>
      <c r="T11" s="130">
        <f t="shared" si="1"/>
        <v>51.640356087234274</v>
      </c>
      <c r="U11" s="85"/>
    </row>
    <row r="12" spans="1:21" ht="15" hidden="1" customHeight="1">
      <c r="A12" s="129" t="s">
        <v>7</v>
      </c>
      <c r="C12" s="79"/>
      <c r="F12" s="78">
        <f>Q12/22</f>
        <v>453645.31818181818</v>
      </c>
      <c r="G12" s="90">
        <f t="shared" si="2"/>
        <v>-0.15167067548801649</v>
      </c>
      <c r="H12" s="90"/>
      <c r="I12" s="130">
        <f t="shared" si="0"/>
        <v>42.019353867087325</v>
      </c>
      <c r="J12" s="130"/>
      <c r="K12" s="78"/>
      <c r="O12" s="89"/>
      <c r="P12" s="129" t="s">
        <v>7</v>
      </c>
      <c r="Q12" s="116">
        <v>9980197</v>
      </c>
      <c r="R12" s="116">
        <v>12975125918</v>
      </c>
      <c r="S12" s="116">
        <v>237514.29</v>
      </c>
      <c r="T12" s="130">
        <f t="shared" si="1"/>
        <v>42.019353867087325</v>
      </c>
      <c r="U12" s="85"/>
    </row>
    <row r="13" spans="1:21" ht="15" hidden="1" customHeight="1">
      <c r="A13" s="129" t="s">
        <v>96</v>
      </c>
      <c r="B13" s="131">
        <f>F11+F12+F13</f>
        <v>1549036.7967532468</v>
      </c>
      <c r="C13" s="131">
        <f>AVERAGE(F11:F13)</f>
        <v>516345.59891774895</v>
      </c>
      <c r="D13" s="90">
        <f>C13/C10-1</f>
        <v>0.19414914707010111</v>
      </c>
      <c r="E13" s="286"/>
      <c r="F13" s="78">
        <f>Q13/20</f>
        <v>560640.05000000005</v>
      </c>
      <c r="G13" s="90">
        <f t="shared" si="2"/>
        <v>0.23585547459634326</v>
      </c>
      <c r="H13" s="90"/>
      <c r="I13" s="130">
        <f t="shared" si="0"/>
        <v>36.326739371543063</v>
      </c>
      <c r="J13" s="130"/>
      <c r="K13" s="78">
        <f>R11+R12+R13</f>
        <v>42849540464</v>
      </c>
      <c r="L13" s="87">
        <f>U13/U10-1</f>
        <v>0.19022143233335775</v>
      </c>
      <c r="N13" s="88">
        <f>AVERAGE(T11:T13)</f>
        <v>43.328816441954892</v>
      </c>
      <c r="O13" s="89">
        <f>N13/N10-1</f>
        <v>1.9799348722795429E-2</v>
      </c>
      <c r="P13" s="129" t="s">
        <v>96</v>
      </c>
      <c r="Q13" s="116">
        <v>11212801</v>
      </c>
      <c r="R13" s="116">
        <v>15377652402</v>
      </c>
      <c r="S13" s="116">
        <v>308665.21999999997</v>
      </c>
      <c r="T13" s="130">
        <f t="shared" si="1"/>
        <v>36.326739371543063</v>
      </c>
      <c r="U13" s="85">
        <f>Q11+Q12+Q13</f>
        <v>32422778</v>
      </c>
    </row>
    <row r="14" spans="1:21" ht="15" hidden="1" customHeight="1">
      <c r="A14" s="129" t="s">
        <v>97</v>
      </c>
      <c r="C14" s="79"/>
      <c r="F14" s="78">
        <f>Q14/20</f>
        <v>529887.69999999995</v>
      </c>
      <c r="G14" s="90">
        <f t="shared" si="2"/>
        <v>-5.4852217568117201E-2</v>
      </c>
      <c r="H14" s="90"/>
      <c r="I14" s="130">
        <f t="shared" si="0"/>
        <v>36.271826790921949</v>
      </c>
      <c r="J14" s="130"/>
      <c r="O14" s="89"/>
      <c r="P14" s="129" t="s">
        <v>97</v>
      </c>
      <c r="Q14" s="116">
        <v>10597754</v>
      </c>
      <c r="R14" s="116">
        <v>15124068688</v>
      </c>
      <c r="S14" s="116">
        <v>292175.90999999997</v>
      </c>
      <c r="T14" s="130">
        <f t="shared" si="1"/>
        <v>36.271826790921949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455273.81818181818</v>
      </c>
      <c r="G15" s="90">
        <f t="shared" si="2"/>
        <v>-0.14081074502801594</v>
      </c>
      <c r="H15" s="90"/>
      <c r="I15" s="130">
        <f t="shared" si="0"/>
        <v>44.776620365713597</v>
      </c>
      <c r="J15" s="130"/>
      <c r="O15" s="89"/>
      <c r="P15" s="129" t="s">
        <v>98</v>
      </c>
      <c r="Q15" s="116">
        <v>10016024</v>
      </c>
      <c r="R15" s="116">
        <v>13965112801</v>
      </c>
      <c r="S15" s="116">
        <v>223688.7</v>
      </c>
      <c r="T15" s="130">
        <f t="shared" si="1"/>
        <v>44.776620365713597</v>
      </c>
      <c r="U15" s="85"/>
    </row>
    <row r="16" spans="1:21" ht="15" hidden="1" customHeight="1">
      <c r="A16" s="129" t="s">
        <v>99</v>
      </c>
      <c r="B16" s="131">
        <f>F14+F15+F16</f>
        <v>1779120.5636363635</v>
      </c>
      <c r="C16" s="131">
        <f>AVERAGE(F14:F16)</f>
        <v>593040.18787878787</v>
      </c>
      <c r="D16" s="90">
        <f>C16/C13-1</f>
        <v>0.14853344179129135</v>
      </c>
      <c r="E16" s="286"/>
      <c r="F16" s="78">
        <f>Q16/22</f>
        <v>793959.04545454541</v>
      </c>
      <c r="G16" s="90">
        <f t="shared" si="2"/>
        <v>0.74391544988310732</v>
      </c>
      <c r="H16" s="90"/>
      <c r="I16" s="130">
        <f t="shared" si="0"/>
        <v>36.617275935804351</v>
      </c>
      <c r="J16" s="130"/>
      <c r="K16" s="78">
        <f>R14+R15+R16</f>
        <v>51985003806</v>
      </c>
      <c r="L16" s="87">
        <f>U16/U13-1</f>
        <v>0.17451000034605291</v>
      </c>
      <c r="N16" s="88">
        <f>AVERAGE(T14:T16)</f>
        <v>39.221907697479963</v>
      </c>
      <c r="O16" s="89">
        <f>N16/N13-1</f>
        <v>-9.4784697153607156E-2</v>
      </c>
      <c r="P16" s="129" t="s">
        <v>99</v>
      </c>
      <c r="Q16" s="116">
        <v>17467099</v>
      </c>
      <c r="R16" s="116">
        <v>22895822317</v>
      </c>
      <c r="S16" s="116">
        <v>477017.98</v>
      </c>
      <c r="T16" s="130">
        <f t="shared" si="1"/>
        <v>36.617275935804351</v>
      </c>
      <c r="U16" s="85">
        <f>Q14+Q15+Q16</f>
        <v>38080877</v>
      </c>
    </row>
    <row r="17" spans="1:21" ht="15" hidden="1" customHeight="1">
      <c r="A17" s="129" t="s">
        <v>100</v>
      </c>
      <c r="C17" s="79"/>
      <c r="F17" s="78">
        <f>Q17/20</f>
        <v>835864.45</v>
      </c>
      <c r="G17" s="90">
        <f t="shared" ref="G17:G22" si="3">F17/F16-1</f>
        <v>5.2780309998815556E-2</v>
      </c>
      <c r="H17" s="90">
        <f t="shared" ref="H17:H22" si="4">F17/F5-1</f>
        <v>0.82836852237522596</v>
      </c>
      <c r="I17" s="130">
        <f t="shared" si="0"/>
        <v>46.262674520826245</v>
      </c>
      <c r="J17" s="130">
        <f t="shared" ref="J17:J49" si="5">I17/I5-1</f>
        <v>1.3069866427815269E-2</v>
      </c>
      <c r="O17" s="89"/>
      <c r="P17" s="129" t="s">
        <v>100</v>
      </c>
      <c r="Q17" s="116">
        <v>16717289</v>
      </c>
      <c r="R17" s="116">
        <v>21032189606</v>
      </c>
      <c r="S17" s="116">
        <v>361355.87</v>
      </c>
      <c r="T17" s="130">
        <f t="shared" si="1"/>
        <v>46.262674520826245</v>
      </c>
      <c r="U17" s="78"/>
    </row>
    <row r="18" spans="1:21" hidden="1">
      <c r="A18" s="129" t="s">
        <v>106</v>
      </c>
      <c r="C18" s="79"/>
      <c r="F18" s="78">
        <f>Q18/20</f>
        <v>583375.5</v>
      </c>
      <c r="G18" s="90">
        <f t="shared" si="3"/>
        <v>-0.3020692529751684</v>
      </c>
      <c r="H18" s="90">
        <f t="shared" si="4"/>
        <v>0.22389021868871151</v>
      </c>
      <c r="I18" s="130">
        <f t="shared" si="0"/>
        <v>44.052781435677318</v>
      </c>
      <c r="J18" s="130">
        <f t="shared" si="5"/>
        <v>4.6268660839365428E-2</v>
      </c>
      <c r="O18" s="89"/>
      <c r="P18" s="129" t="s">
        <v>106</v>
      </c>
      <c r="Q18" s="116">
        <v>11667510</v>
      </c>
      <c r="R18" s="116">
        <v>14704309401</v>
      </c>
      <c r="S18" s="116">
        <v>264852.96999999997</v>
      </c>
      <c r="T18" s="130">
        <f t="shared" ref="T18" si="6">Q18/S18</f>
        <v>44.052781435677318</v>
      </c>
      <c r="U18" s="78"/>
    </row>
    <row r="19" spans="1:21" hidden="1">
      <c r="A19" s="129" t="s">
        <v>114</v>
      </c>
      <c r="B19" s="131">
        <f>SUM(F17:F19)</f>
        <v>1952494.45</v>
      </c>
      <c r="C19" s="131">
        <f>AVERAGE(F17:F19)</f>
        <v>650831.48333333328</v>
      </c>
      <c r="D19" s="90">
        <f>C19/C16-1</f>
        <v>9.7449206033162428E-2</v>
      </c>
      <c r="E19" s="286">
        <f>C19/C7-1</f>
        <v>0.33885484964312362</v>
      </c>
      <c r="F19" s="78">
        <f>Q19/22</f>
        <v>533254.5</v>
      </c>
      <c r="G19" s="90">
        <f t="shared" si="3"/>
        <v>-8.5915503822152295E-2</v>
      </c>
      <c r="H19" s="90">
        <f t="shared" si="4"/>
        <v>1.6670076770227249E-2</v>
      </c>
      <c r="I19" s="130">
        <f t="shared" si="0"/>
        <v>46.804860626702279</v>
      </c>
      <c r="J19" s="130">
        <f t="shared" si="5"/>
        <v>0.20613773662646495</v>
      </c>
      <c r="K19" s="78">
        <f>R17+R18+R19</f>
        <v>51059155548</v>
      </c>
      <c r="L19" s="87">
        <f>U19/U16-1</f>
        <v>5.345257673556203E-2</v>
      </c>
      <c r="M19" s="87">
        <f>U19/U7-1</f>
        <v>0.37092232740633002</v>
      </c>
      <c r="N19" s="88">
        <f>AVERAGE(T17:T19)</f>
        <v>45.706772194401957</v>
      </c>
      <c r="O19" s="89">
        <f>N19/N16-1</f>
        <v>0.16533781444135753</v>
      </c>
      <c r="P19" s="129" t="s">
        <v>115</v>
      </c>
      <c r="Q19" s="116">
        <v>11731599</v>
      </c>
      <c r="R19" s="116">
        <v>15322656541</v>
      </c>
      <c r="S19" s="116">
        <v>250649.16</v>
      </c>
      <c r="T19" s="130">
        <f t="shared" ref="T19" si="7">Q19/S19</f>
        <v>46.804860626702279</v>
      </c>
      <c r="U19" s="85">
        <f>Q17+Q18+Q19</f>
        <v>40116398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1139583.75</v>
      </c>
      <c r="G20" s="90">
        <f t="shared" si="3"/>
        <v>1.137035411796806</v>
      </c>
      <c r="H20" s="90">
        <f t="shared" si="4"/>
        <v>1.5573890175055984</v>
      </c>
      <c r="I20" s="130">
        <f t="shared" si="0"/>
        <v>83.271907003916866</v>
      </c>
      <c r="J20" s="130">
        <f t="shared" si="5"/>
        <v>0.84847213190590054</v>
      </c>
      <c r="O20" s="89"/>
      <c r="P20" s="129" t="s">
        <v>132</v>
      </c>
      <c r="Q20" s="116">
        <v>22791675</v>
      </c>
      <c r="R20" s="116">
        <v>29938789395</v>
      </c>
      <c r="S20" s="116">
        <v>273701.84999999998</v>
      </c>
      <c r="T20" s="130">
        <f t="shared" ref="T20" si="8">Q20/S20</f>
        <v>83.271907003916866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623511.28571428568</v>
      </c>
      <c r="G21" s="90">
        <f t="shared" si="3"/>
        <v>-0.45286049777887261</v>
      </c>
      <c r="H21" s="90">
        <f t="shared" si="4"/>
        <v>0.53898630081921461</v>
      </c>
      <c r="I21" s="130">
        <f t="shared" si="0"/>
        <v>48.327735953265467</v>
      </c>
      <c r="J21" s="130">
        <f t="shared" si="5"/>
        <v>0.2868012962852684</v>
      </c>
      <c r="O21" s="89"/>
      <c r="P21" s="129" t="s">
        <v>141</v>
      </c>
      <c r="Q21" s="116">
        <v>13093737</v>
      </c>
      <c r="R21" s="116">
        <v>17454309738</v>
      </c>
      <c r="S21" s="116">
        <v>270936.28000000003</v>
      </c>
      <c r="T21" s="130">
        <f t="shared" ref="T21" si="9">Q21/S21</f>
        <v>48.327735953265467</v>
      </c>
      <c r="U21" s="78"/>
    </row>
    <row r="22" spans="1:21" hidden="1">
      <c r="A22" s="129" t="s">
        <v>156</v>
      </c>
      <c r="B22" s="131">
        <f>SUM(F20:F22)</f>
        <v>2293852.6547619049</v>
      </c>
      <c r="C22" s="131">
        <f>AVERAGE(F20:F22)</f>
        <v>764617.55158730166</v>
      </c>
      <c r="D22" s="90">
        <f>C22/C19-1</f>
        <v>0.17483184383028849</v>
      </c>
      <c r="E22" s="286">
        <f>C22/C10-1</f>
        <v>0.76832609588728573</v>
      </c>
      <c r="F22" s="78">
        <f>Q22/21</f>
        <v>530757.61904761905</v>
      </c>
      <c r="G22" s="90">
        <f t="shared" si="3"/>
        <v>-0.14876020497433229</v>
      </c>
      <c r="H22" s="90">
        <f t="shared" si="4"/>
        <v>0.18886612444433437</v>
      </c>
      <c r="I22" s="130">
        <f t="shared" si="0"/>
        <v>39.898505343958604</v>
      </c>
      <c r="J22" s="130">
        <f t="shared" si="5"/>
        <v>-0.1105447247914747</v>
      </c>
      <c r="K22" s="78">
        <f>R20+R21+R22</f>
        <v>61868525491</v>
      </c>
      <c r="L22" s="87">
        <f>U22/U19-1</f>
        <v>0.17237150753165831</v>
      </c>
      <c r="M22" s="87">
        <f>U22/U10-1</f>
        <v>0.72649263537416053</v>
      </c>
      <c r="N22" s="88">
        <f>AVERAGE(T20:T22)</f>
        <v>57.166049433713646</v>
      </c>
      <c r="O22" s="89">
        <f>N22/N19-1</f>
        <v>0.25071289634220095</v>
      </c>
      <c r="P22" s="129" t="s">
        <v>156</v>
      </c>
      <c r="Q22" s="116">
        <v>11145910</v>
      </c>
      <c r="R22" s="116">
        <v>14475426358</v>
      </c>
      <c r="S22" s="116">
        <v>279356.58</v>
      </c>
      <c r="T22" s="130">
        <f t="shared" ref="T22:T23" si="10">Q22/S22</f>
        <v>39.898505343958604</v>
      </c>
      <c r="U22" s="85">
        <f>Q20+Q21+Q22</f>
        <v>47031322</v>
      </c>
    </row>
    <row r="23" spans="1:21" hidden="1">
      <c r="A23" s="129" t="s">
        <v>189</v>
      </c>
      <c r="B23" s="131"/>
      <c r="C23" s="131"/>
      <c r="F23" s="78">
        <f>Q23/21</f>
        <v>489714.04761904763</v>
      </c>
      <c r="G23" s="90">
        <f t="shared" ref="G23" si="11">F23/F22-1</f>
        <v>-7.733015967292034E-2</v>
      </c>
      <c r="H23" s="90">
        <f t="shared" ref="H23" si="12">F23/F11-1</f>
        <v>-8.422115126030949E-2</v>
      </c>
      <c r="I23" s="130">
        <f t="shared" si="0"/>
        <v>46.861571833757445</v>
      </c>
      <c r="J23" s="130">
        <f t="shared" si="5"/>
        <v>-9.2539723107334715E-2</v>
      </c>
      <c r="O23" s="89"/>
      <c r="P23" s="129" t="s">
        <v>189</v>
      </c>
      <c r="Q23" s="116">
        <v>10283995</v>
      </c>
      <c r="R23" s="116">
        <v>13250530343</v>
      </c>
      <c r="S23" s="116">
        <v>219454.76</v>
      </c>
      <c r="T23" s="130">
        <f t="shared" si="10"/>
        <v>46.861571833757445</v>
      </c>
      <c r="U23" s="78"/>
    </row>
    <row r="24" spans="1:21" hidden="1">
      <c r="A24" s="129" t="s">
        <v>204</v>
      </c>
      <c r="B24" s="131"/>
      <c r="C24" s="131"/>
      <c r="F24" s="78">
        <f>Q24/22</f>
        <v>568724.09090909094</v>
      </c>
      <c r="G24" s="90">
        <f t="shared" ref="G24" si="13">F24/F23-1</f>
        <v>0.16133914000258742</v>
      </c>
      <c r="H24" s="90">
        <f t="shared" ref="H24" si="14">F24/F12-1</f>
        <v>0.2536756538974132</v>
      </c>
      <c r="I24" s="130">
        <f t="shared" si="0"/>
        <v>42.386372921677321</v>
      </c>
      <c r="J24" s="130">
        <f t="shared" si="5"/>
        <v>8.7345239946079456E-3</v>
      </c>
      <c r="O24" s="89"/>
      <c r="P24" s="129" t="s">
        <v>204</v>
      </c>
      <c r="Q24" s="116">
        <v>12511930</v>
      </c>
      <c r="R24" s="116">
        <v>16454370989</v>
      </c>
      <c r="S24" s="116">
        <v>295187.56</v>
      </c>
      <c r="T24" s="130">
        <f t="shared" ref="T24" si="15">Q24/S24</f>
        <v>42.386372921677321</v>
      </c>
      <c r="U24" s="78"/>
    </row>
    <row r="25" spans="1:21" s="79" customFormat="1" ht="13.2" hidden="1">
      <c r="A25" s="129" t="s">
        <v>218</v>
      </c>
      <c r="B25" s="131">
        <f>SUM(F23:F25)</f>
        <v>1832922.9806334018</v>
      </c>
      <c r="C25" s="131">
        <f>AVERAGE(F23:F25)</f>
        <v>610974.32687780063</v>
      </c>
      <c r="D25" s="90">
        <f>C25/C22-1</f>
        <v>-0.20094127370022652</v>
      </c>
      <c r="E25" s="286">
        <f>C25/C13-1</f>
        <v>0.18326626228322995</v>
      </c>
      <c r="F25" s="78">
        <f>Q25/19</f>
        <v>774484.84210526315</v>
      </c>
      <c r="G25" s="90">
        <f t="shared" ref="G25" si="16">F25/F24-1</f>
        <v>0.36179362626835254</v>
      </c>
      <c r="H25" s="90">
        <f t="shared" ref="H25" si="17">F25/F13-1</f>
        <v>0.38142974642154637</v>
      </c>
      <c r="I25" s="130">
        <f t="shared" si="0"/>
        <v>52.024235060315071</v>
      </c>
      <c r="J25" s="130">
        <f t="shared" si="5"/>
        <v>0.43211958905039549</v>
      </c>
      <c r="K25" s="78">
        <f>R23+R24+R25</f>
        <v>49222627753</v>
      </c>
      <c r="L25" s="90">
        <f>U25/U22-1</f>
        <v>-0.20242222831839596</v>
      </c>
      <c r="M25" s="90">
        <f>U25/U13-1</f>
        <v>0.15693778614528342</v>
      </c>
      <c r="N25" s="88">
        <f>AVERAGE(T23:T25)</f>
        <v>47.090726605249948</v>
      </c>
      <c r="O25" s="91">
        <f>N25/N22-1</f>
        <v>-0.17624661714898526</v>
      </c>
      <c r="P25" s="129" t="s">
        <v>224</v>
      </c>
      <c r="Q25" s="116">
        <v>14715212</v>
      </c>
      <c r="R25" s="116">
        <v>19517726421</v>
      </c>
      <c r="S25" s="116">
        <v>282853.02</v>
      </c>
      <c r="T25" s="130">
        <f t="shared" ref="T25" si="18">Q25/S25</f>
        <v>52.024235060315071</v>
      </c>
      <c r="U25" s="85">
        <f>Q23+Q24+Q25</f>
        <v>37511137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759858.15789473685</v>
      </c>
      <c r="G26" s="90">
        <f t="shared" ref="G26" si="19">F26/F25-1</f>
        <v>-1.8885694613166248E-2</v>
      </c>
      <c r="H26" s="90">
        <f t="shared" ref="H26" si="20">F26/F14-1</f>
        <v>0.43399848287615828</v>
      </c>
      <c r="I26" s="130">
        <f t="shared" si="0"/>
        <v>43.597051926775656</v>
      </c>
      <c r="J26" s="130">
        <f t="shared" si="5"/>
        <v>0.20195357620330978</v>
      </c>
      <c r="L26" s="90"/>
      <c r="M26" s="90"/>
      <c r="P26" s="129" t="s">
        <v>312</v>
      </c>
      <c r="Q26" s="116">
        <v>14437305</v>
      </c>
      <c r="R26" s="116">
        <v>19487141676</v>
      </c>
      <c r="S26" s="116">
        <v>331153.24</v>
      </c>
      <c r="T26" s="130">
        <f t="shared" ref="T26" si="21">Q26/S26</f>
        <v>43.597051926775656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896807.40909090906</v>
      </c>
      <c r="G27" s="90">
        <f t="shared" ref="G27" si="22">F27/F26-1</f>
        <v>0.18023002026536616</v>
      </c>
      <c r="H27" s="90">
        <f t="shared" ref="H27" si="23">F27/F15-1</f>
        <v>0.96981986065528591</v>
      </c>
      <c r="I27" s="130">
        <f t="shared" si="0"/>
        <v>49.537719396607763</v>
      </c>
      <c r="J27" s="130">
        <f t="shared" si="5"/>
        <v>0.10633002205186171</v>
      </c>
      <c r="L27" s="90"/>
      <c r="M27" s="90"/>
      <c r="P27" s="129" t="s">
        <v>375</v>
      </c>
      <c r="Q27" s="116">
        <v>19729763</v>
      </c>
      <c r="R27" s="116">
        <v>26165483597</v>
      </c>
      <c r="S27" s="116">
        <v>398277.58</v>
      </c>
      <c r="T27" s="130">
        <f t="shared" ref="T27" si="24">Q27/S27</f>
        <v>49.537719396607763</v>
      </c>
      <c r="U27" s="78"/>
    </row>
    <row r="28" spans="1:21" s="79" customFormat="1" ht="13.2" hidden="1">
      <c r="A28" s="123" t="s">
        <v>413</v>
      </c>
      <c r="B28" s="131">
        <f>SUM(F26:F28)</f>
        <v>2428046.0406698566</v>
      </c>
      <c r="C28" s="131">
        <f>AVERAGE(F26:F28)</f>
        <v>809348.68022328557</v>
      </c>
      <c r="D28" s="90">
        <f>C28/C25-1</f>
        <v>0.32468525209433441</v>
      </c>
      <c r="E28" s="286">
        <f>C28/C16-1</f>
        <v>0.36474508265316619</v>
      </c>
      <c r="F28" s="78">
        <f>Q28/19</f>
        <v>771380.47368421056</v>
      </c>
      <c r="G28" s="90">
        <f t="shared" ref="G28" si="25">F28/F27-1</f>
        <v>-0.13985938801937803</v>
      </c>
      <c r="H28" s="90">
        <f t="shared" ref="H28" si="26">F28/F16-1</f>
        <v>-2.8437955206377818E-2</v>
      </c>
      <c r="I28" s="130">
        <f t="shared" si="0"/>
        <v>55.939397541033195</v>
      </c>
      <c r="J28" s="130">
        <f t="shared" si="5"/>
        <v>0.52767774531080525</v>
      </c>
      <c r="K28" s="78">
        <f>R26+R27+R28</f>
        <v>64793846628</v>
      </c>
      <c r="L28" s="90">
        <f>U28/U25-1</f>
        <v>0.30156803831352796</v>
      </c>
      <c r="M28" s="90">
        <f>U28/U16-1</f>
        <v>0.28209486877101075</v>
      </c>
      <c r="N28" s="88">
        <f>AVERAGE(T26:T28)</f>
        <v>49.691389621472204</v>
      </c>
      <c r="O28" s="91">
        <f>N28/N25-1</f>
        <v>5.5226648720521521E-2</v>
      </c>
      <c r="P28" s="129" t="s">
        <v>413</v>
      </c>
      <c r="Q28" s="116">
        <v>14656229</v>
      </c>
      <c r="R28" s="116">
        <v>19141221355</v>
      </c>
      <c r="S28" s="116">
        <v>262001.91</v>
      </c>
      <c r="T28" s="130">
        <f t="shared" ref="T28" si="27">Q28/S28</f>
        <v>55.939397541033195</v>
      </c>
      <c r="U28" s="85">
        <f>Q26+Q27+Q28</f>
        <v>48823297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606101.45454545459</v>
      </c>
      <c r="G29" s="190">
        <f t="shared" ref="G29" si="28">F29/F28-1</f>
        <v>-0.21426393949196365</v>
      </c>
      <c r="H29" s="190">
        <f t="shared" ref="H29" si="29">F29/F17-1</f>
        <v>-0.2748806884352426</v>
      </c>
      <c r="I29" s="130">
        <f t="shared" si="0"/>
        <v>39.481976113435131</v>
      </c>
      <c r="J29" s="130">
        <f t="shared" si="5"/>
        <v>-0.14656952883989927</v>
      </c>
      <c r="K29" s="136"/>
      <c r="L29" s="190"/>
      <c r="M29" s="190"/>
      <c r="N29" s="191"/>
      <c r="O29" s="192"/>
      <c r="P29" s="129" t="s">
        <v>435</v>
      </c>
      <c r="Q29" s="116">
        <v>13334232</v>
      </c>
      <c r="R29" s="116">
        <v>17526632224</v>
      </c>
      <c r="S29" s="116">
        <v>337729.6</v>
      </c>
      <c r="T29" s="130">
        <f t="shared" ref="T29" si="30">Q29/S29</f>
        <v>39.481976113435131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552953.52631578944</v>
      </c>
      <c r="G30" s="190">
        <f t="shared" ref="G30" si="31">F30/F29-1</f>
        <v>-8.7688171396195336E-2</v>
      </c>
      <c r="H30" s="190">
        <f t="shared" ref="H30" si="32">F30/F18-1</f>
        <v>-5.2148185318393714E-2</v>
      </c>
      <c r="I30" s="130">
        <f t="shared" si="0"/>
        <v>45.764211347803744</v>
      </c>
      <c r="J30" s="130">
        <f t="shared" si="5"/>
        <v>3.8849531320180875E-2</v>
      </c>
      <c r="K30" s="136"/>
      <c r="L30" s="190"/>
      <c r="M30" s="190"/>
      <c r="N30" s="191"/>
      <c r="O30" s="192"/>
      <c r="P30" s="129" t="s">
        <v>466</v>
      </c>
      <c r="Q30" s="116">
        <v>10506117</v>
      </c>
      <c r="R30" s="116">
        <v>14001989614</v>
      </c>
      <c r="S30" s="116">
        <v>229570.59</v>
      </c>
      <c r="T30" s="130">
        <f t="shared" ref="T30" si="33">Q30/S30</f>
        <v>45.764211347803744</v>
      </c>
      <c r="U30" s="85"/>
    </row>
    <row r="31" spans="1:21" s="79" customFormat="1" ht="13.2" hidden="1">
      <c r="A31" s="129" t="s">
        <v>505</v>
      </c>
      <c r="B31" s="188">
        <f>SUM(F29:F31)</f>
        <v>1756922.180861244</v>
      </c>
      <c r="C31" s="188">
        <f>AVERAGE(F29:F31)</f>
        <v>585640.72695374803</v>
      </c>
      <c r="D31" s="190">
        <f>C31/C28-1</f>
        <v>-0.27640491513227683</v>
      </c>
      <c r="E31" s="287">
        <f>C31/C19-1</f>
        <v>-0.10016533933745919</v>
      </c>
      <c r="F31" s="136">
        <f>Q31/20</f>
        <v>597867.19999999995</v>
      </c>
      <c r="G31" s="190">
        <f t="shared" ref="G31" si="34">F31/F30-1</f>
        <v>8.1225042515707724E-2</v>
      </c>
      <c r="H31" s="190">
        <f t="shared" ref="H31" si="35">F31/F19-1</f>
        <v>0.121166722456163</v>
      </c>
      <c r="I31" s="130">
        <f t="shared" si="0"/>
        <v>39.427089465989503</v>
      </c>
      <c r="J31" s="130">
        <f t="shared" si="5"/>
        <v>-0.15762831171649172</v>
      </c>
      <c r="K31" s="136">
        <f>R29+R30+R31</f>
        <v>47399034631</v>
      </c>
      <c r="L31" s="190">
        <f>U31/U28-1</f>
        <v>-0.26679074950632686</v>
      </c>
      <c r="M31" s="190">
        <f>U31/U19-1</f>
        <v>-0.10765435620615793</v>
      </c>
      <c r="N31" s="191">
        <f>AVERAGE(T29:T31)</f>
        <v>41.557758975742793</v>
      </c>
      <c r="O31" s="192">
        <f>N31/N28-1</f>
        <v>-0.16368289773515976</v>
      </c>
      <c r="P31" s="129" t="s">
        <v>505</v>
      </c>
      <c r="Q31" s="116">
        <v>11957344</v>
      </c>
      <c r="R31" s="116">
        <v>15870412793</v>
      </c>
      <c r="S31" s="116">
        <v>303277.37</v>
      </c>
      <c r="T31" s="130">
        <f t="shared" ref="T31" si="36">Q31/S31</f>
        <v>39.427089465989503</v>
      </c>
      <c r="U31" s="85">
        <f>Q29+Q30+Q31</f>
        <v>35797693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615994.38095238095</v>
      </c>
      <c r="G32" s="190">
        <f t="shared" ref="G32" si="37">F32/F31-1</f>
        <v>3.0319744840293872E-2</v>
      </c>
      <c r="H32" s="190">
        <f t="shared" ref="H32" si="38">F32/F20-1</f>
        <v>-0.45945668236109816</v>
      </c>
      <c r="I32" s="130">
        <f t="shared" si="0"/>
        <v>37.767977426362137</v>
      </c>
      <c r="J32" s="130">
        <f t="shared" si="5"/>
        <v>-0.54644995190772272</v>
      </c>
      <c r="K32" s="136"/>
      <c r="L32" s="190"/>
      <c r="M32" s="190"/>
      <c r="N32" s="191"/>
      <c r="O32" s="192"/>
      <c r="P32" s="129" t="s">
        <v>566</v>
      </c>
      <c r="Q32" s="116">
        <v>12935882</v>
      </c>
      <c r="R32" s="116">
        <v>17639041111</v>
      </c>
      <c r="S32" s="116">
        <v>342509.26</v>
      </c>
      <c r="T32" s="130">
        <f t="shared" ref="T32" si="39">Q32/S32</f>
        <v>37.767977426362137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543704.38095238095</v>
      </c>
      <c r="G33" s="190">
        <f t="shared" ref="G33" si="40">F33/F32-1</f>
        <v>-0.11735496659601563</v>
      </c>
      <c r="H33" s="190">
        <f t="shared" ref="H33" si="41">F33/F21-1</f>
        <v>-0.12799592660216097</v>
      </c>
      <c r="I33" s="130">
        <f t="shared" si="0"/>
        <v>41.292783500755149</v>
      </c>
      <c r="J33" s="130">
        <f t="shared" si="5"/>
        <v>-0.14556759826931165</v>
      </c>
      <c r="K33" s="136"/>
      <c r="L33" s="190"/>
      <c r="M33" s="190"/>
      <c r="N33" s="191"/>
      <c r="O33" s="192"/>
      <c r="P33" s="129" t="s">
        <v>607</v>
      </c>
      <c r="Q33" s="116">
        <v>11417792</v>
      </c>
      <c r="R33" s="116">
        <v>15605504039</v>
      </c>
      <c r="S33" s="116">
        <v>276508.17</v>
      </c>
      <c r="T33" s="130">
        <f t="shared" ref="T33" si="42">Q33/S33</f>
        <v>41.292783500755149</v>
      </c>
      <c r="U33" s="85"/>
    </row>
    <row r="34" spans="1:21" s="79" customFormat="1" ht="13.2" hidden="1">
      <c r="A34" s="129" t="s">
        <v>652</v>
      </c>
      <c r="B34" s="188">
        <f>SUM(F32:F34)</f>
        <v>1767273.1303258145</v>
      </c>
      <c r="C34" s="188">
        <f>AVERAGE(F32:F34)</f>
        <v>589091.04344193812</v>
      </c>
      <c r="D34" s="190">
        <f>C34/C31-1</f>
        <v>5.8915241536174889E-3</v>
      </c>
      <c r="E34" s="287">
        <f>C34/C22-1</f>
        <v>-0.22956118098646927</v>
      </c>
      <c r="F34" s="136">
        <f>Q34/19</f>
        <v>607574.36842105258</v>
      </c>
      <c r="G34" s="190">
        <f t="shared" ref="G34" si="43">F34/F33-1</f>
        <v>0.11747190147115183</v>
      </c>
      <c r="H34" s="190">
        <f t="shared" ref="H34" si="44">F34/F22-1</f>
        <v>0.14473037525353294</v>
      </c>
      <c r="I34" s="130">
        <f t="shared" si="0"/>
        <v>36.081312964616046</v>
      </c>
      <c r="J34" s="130">
        <f t="shared" si="5"/>
        <v>-9.5672565837621071E-2</v>
      </c>
      <c r="K34" s="136">
        <f>R32+R33+R34</f>
        <v>49120130575</v>
      </c>
      <c r="L34" s="190">
        <f>U34/U31-1</f>
        <v>2.7905150200600026E-3</v>
      </c>
      <c r="M34" s="190">
        <f>U34/U22-1</f>
        <v>-0.23673021566351038</v>
      </c>
      <c r="N34" s="191">
        <f>AVERAGE(T32:T34)</f>
        <v>38.380691297244447</v>
      </c>
      <c r="O34" s="192">
        <f>N34/N31-1</f>
        <v>-7.6449446668979348E-2</v>
      </c>
      <c r="P34" s="129" t="s">
        <v>652</v>
      </c>
      <c r="Q34" s="116">
        <v>11543913</v>
      </c>
      <c r="R34" s="116">
        <v>15875585425</v>
      </c>
      <c r="S34" s="116">
        <v>319941.59999999998</v>
      </c>
      <c r="T34" s="130">
        <f t="shared" ref="T34" si="45">Q34/S34</f>
        <v>36.081312964616046</v>
      </c>
      <c r="U34" s="85">
        <f>Q32+Q33+Q34</f>
        <v>35897587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606138.82608695654</v>
      </c>
      <c r="G35" s="190">
        <f t="shared" ref="G35" si="46">F35/F34-1</f>
        <v>-2.3627434083940413E-3</v>
      </c>
      <c r="H35" s="190">
        <f t="shared" ref="H35" si="47">F35/F23-1</f>
        <v>0.23774032832825065</v>
      </c>
      <c r="I35" s="130">
        <f t="shared" si="0"/>
        <v>38.264004195615641</v>
      </c>
      <c r="J35" s="130">
        <f t="shared" si="5"/>
        <v>-0.18346733371731283</v>
      </c>
      <c r="K35" s="136"/>
      <c r="L35" s="190"/>
      <c r="M35" s="190"/>
      <c r="N35" s="191"/>
      <c r="O35" s="192"/>
      <c r="P35" s="129" t="s">
        <v>660</v>
      </c>
      <c r="Q35" s="116">
        <v>13941193</v>
      </c>
      <c r="R35" s="116">
        <v>19293762686</v>
      </c>
      <c r="S35" s="116">
        <v>364342.24</v>
      </c>
      <c r="T35" s="130">
        <f t="shared" ref="T35" si="48">Q35/S35</f>
        <v>38.264004195615641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499045.28571428574</v>
      </c>
      <c r="G36" s="190">
        <f t="shared" ref="G36" si="49">F36/F35-1</f>
        <v>-0.1766815385578141</v>
      </c>
      <c r="H36" s="190">
        <f t="shared" ref="H36" si="50">F36/F24-1</f>
        <v>-0.12251776618680843</v>
      </c>
      <c r="I36" s="130">
        <f t="shared" si="0"/>
        <v>34.545134863617442</v>
      </c>
      <c r="J36" s="130">
        <f t="shared" si="5"/>
        <v>-0.18499431580402337</v>
      </c>
      <c r="K36" s="136"/>
      <c r="L36" s="190"/>
      <c r="M36" s="190"/>
      <c r="N36" s="191"/>
      <c r="O36" s="192"/>
      <c r="P36" s="129" t="s">
        <v>664</v>
      </c>
      <c r="Q36" s="116">
        <v>10479951</v>
      </c>
      <c r="R36" s="116">
        <v>14303000425</v>
      </c>
      <c r="S36" s="116">
        <v>303369.81</v>
      </c>
      <c r="T36" s="130">
        <f t="shared" ref="T36" si="51">Q36/S36</f>
        <v>34.545134863617442</v>
      </c>
      <c r="U36" s="85"/>
    </row>
    <row r="37" spans="1:21" s="79" customFormat="1" ht="13.2" hidden="1">
      <c r="A37" s="129" t="s">
        <v>702</v>
      </c>
      <c r="B37" s="188">
        <f>SUM(F35:F37)</f>
        <v>1937364.7229123535</v>
      </c>
      <c r="C37" s="188">
        <f>AVERAGE(F35:F37)</f>
        <v>645788.24097078445</v>
      </c>
      <c r="D37" s="190">
        <f>C37/C34-1</f>
        <v>9.6245220768552464E-2</v>
      </c>
      <c r="E37" s="287">
        <f>C37/C25-1</f>
        <v>5.6980977041850123E-2</v>
      </c>
      <c r="F37" s="136">
        <f>Q37/18</f>
        <v>832180.61111111112</v>
      </c>
      <c r="G37" s="190">
        <f t="shared" ref="G37" si="52">F37/F36-1</f>
        <v>0.66754528082558151</v>
      </c>
      <c r="H37" s="190">
        <f t="shared" ref="H37" si="53">F37/F25-1</f>
        <v>7.4495672309111916E-2</v>
      </c>
      <c r="I37" s="130">
        <f t="shared" si="0"/>
        <v>39.845350281949209</v>
      </c>
      <c r="J37" s="130">
        <f t="shared" si="5"/>
        <v>-0.2341002181818933</v>
      </c>
      <c r="K37" s="136">
        <f>R35+R36+R37</f>
        <v>53589592168</v>
      </c>
      <c r="L37" s="190">
        <f>U37/U34-1</f>
        <v>9.7577812124252317E-2</v>
      </c>
      <c r="M37" s="190">
        <f>U37/U25-1</f>
        <v>5.0365255523979524E-2</v>
      </c>
      <c r="N37" s="191">
        <f>AVERAGE(T35:T37)</f>
        <v>37.551496447060764</v>
      </c>
      <c r="O37" s="192">
        <f>N37/N34-1</f>
        <v>-2.1604479287823941E-2</v>
      </c>
      <c r="P37" s="129" t="s">
        <v>702</v>
      </c>
      <c r="Q37" s="116">
        <v>14979251</v>
      </c>
      <c r="R37" s="116">
        <v>19992829057</v>
      </c>
      <c r="S37" s="116">
        <v>375934.73</v>
      </c>
      <c r="T37" s="130">
        <f t="shared" ref="T37" si="54">Q37/S37</f>
        <v>39.845350281949209</v>
      </c>
      <c r="U37" s="85">
        <f>Q35+Q36+Q37</f>
        <v>39400395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738614.35</v>
      </c>
      <c r="G38" s="190">
        <f t="shared" ref="G38" si="55">F38/F37-1</f>
        <v>-0.11243504097768309</v>
      </c>
      <c r="H38" s="190">
        <f t="shared" ref="H38" si="56">F38/F26-1</f>
        <v>-2.7957596656716821E-2</v>
      </c>
      <c r="I38" s="130">
        <f t="shared" si="0"/>
        <v>36.34257471068458</v>
      </c>
      <c r="J38" s="130">
        <f t="shared" si="5"/>
        <v>-0.16639834336219539</v>
      </c>
      <c r="K38" s="136"/>
      <c r="L38" s="190"/>
      <c r="M38" s="190"/>
      <c r="N38" s="191"/>
      <c r="O38" s="192"/>
      <c r="P38" s="129" t="s">
        <v>756</v>
      </c>
      <c r="Q38" s="116">
        <v>14772287</v>
      </c>
      <c r="R38" s="116">
        <v>19843807418</v>
      </c>
      <c r="S38" s="116">
        <v>406473.32</v>
      </c>
      <c r="T38" s="130">
        <f t="shared" ref="T38" si="57">Q38/S38</f>
        <v>36.34257471068458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580047.57142857148</v>
      </c>
      <c r="G39" s="190">
        <f t="shared" ref="G39" si="58">F39/F38-1</f>
        <v>-0.21468142146362101</v>
      </c>
      <c r="H39" s="190">
        <f t="shared" ref="H39" si="59">F39/F27-1</f>
        <v>-0.3532083192571257</v>
      </c>
      <c r="I39" s="130">
        <f t="shared" si="0"/>
        <v>35.013539757919339</v>
      </c>
      <c r="J39" s="130">
        <f t="shared" si="5"/>
        <v>-0.29319435403162719</v>
      </c>
      <c r="K39" s="136"/>
      <c r="L39" s="190"/>
      <c r="M39" s="190"/>
      <c r="N39" s="191"/>
      <c r="O39" s="192"/>
      <c r="P39" s="129" t="s">
        <v>762</v>
      </c>
      <c r="Q39" s="116">
        <v>12180999</v>
      </c>
      <c r="R39" s="116">
        <v>16944952417</v>
      </c>
      <c r="S39" s="116">
        <v>347893.96</v>
      </c>
      <c r="T39" s="130">
        <f t="shared" ref="T39" si="60">Q39/S39</f>
        <v>35.013539757919339</v>
      </c>
      <c r="U39" s="85"/>
    </row>
    <row r="40" spans="1:21" s="79" customFormat="1" ht="13.2" hidden="1">
      <c r="A40" s="129" t="s">
        <v>778</v>
      </c>
      <c r="B40" s="188">
        <f>SUM(F38:F40)</f>
        <v>2107818.8738095239</v>
      </c>
      <c r="C40" s="188">
        <f>AVERAGE(F38:F40)</f>
        <v>702606.29126984125</v>
      </c>
      <c r="D40" s="190">
        <f>C40/C37-1</f>
        <v>8.7982478921642793E-2</v>
      </c>
      <c r="E40" s="287">
        <f>C40/C28-1</f>
        <v>-0.13188677706127339</v>
      </c>
      <c r="F40" s="136">
        <f>Q40/21</f>
        <v>789156.95238095243</v>
      </c>
      <c r="G40" s="190">
        <f t="shared" ref="G40" si="61">F40/F39-1</f>
        <v>0.36050384701616012</v>
      </c>
      <c r="H40" s="190">
        <f t="shared" ref="H40" si="62">F40/F28-1</f>
        <v>2.3045020328086752E-2</v>
      </c>
      <c r="I40" s="130">
        <f t="shared" si="0"/>
        <v>34.81393918336974</v>
      </c>
      <c r="J40" s="130">
        <f t="shared" si="5"/>
        <v>-0.37764901458166955</v>
      </c>
      <c r="K40" s="136">
        <f>R38+R39+R40</f>
        <v>60386591886</v>
      </c>
      <c r="L40" s="190">
        <f>U40/U37-1</f>
        <v>0.10469912801635628</v>
      </c>
      <c r="M40" s="190">
        <f>U40/U28-1</f>
        <v>-0.1085079321865543</v>
      </c>
      <c r="N40" s="191">
        <f>AVERAGE(T38:T40)</f>
        <v>35.39001788399122</v>
      </c>
      <c r="O40" s="192">
        <f>N40/N37-1</f>
        <v>-5.7560384207770432E-2</v>
      </c>
      <c r="P40" s="129" t="s">
        <v>778</v>
      </c>
      <c r="Q40" s="116">
        <v>16572296</v>
      </c>
      <c r="R40" s="116">
        <v>23597832051</v>
      </c>
      <c r="S40" s="116">
        <v>476024.73</v>
      </c>
      <c r="T40" s="130">
        <f t="shared" ref="T40" si="63">Q40/S40</f>
        <v>34.81393918336974</v>
      </c>
      <c r="U40" s="85">
        <f>Q38+Q39+Q40</f>
        <v>43525582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423454.11111111112</v>
      </c>
      <c r="G41" s="190">
        <f t="shared" ref="G41" si="64">F41/F40-1</f>
        <v>-0.46340951589729429</v>
      </c>
      <c r="H41" s="190">
        <f t="shared" ref="H41" si="65">F41/F29-1</f>
        <v>-0.30134780582455412</v>
      </c>
      <c r="I41" s="130">
        <f t="shared" si="0"/>
        <v>33.392662149720742</v>
      </c>
      <c r="J41" s="130">
        <f t="shared" si="5"/>
        <v>-0.15423022257597396</v>
      </c>
      <c r="K41" s="193"/>
      <c r="L41" s="190"/>
      <c r="M41" s="190"/>
      <c r="N41" s="193"/>
      <c r="O41" s="193"/>
      <c r="P41" s="129" t="s">
        <v>793</v>
      </c>
      <c r="Q41" s="116">
        <v>7622174</v>
      </c>
      <c r="R41" s="116">
        <v>11160165431</v>
      </c>
      <c r="S41" s="116">
        <v>228258.95</v>
      </c>
      <c r="T41" s="130">
        <f t="shared" ref="T41" si="66">Q41/S41</f>
        <v>33.392662149720742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471112.05</v>
      </c>
      <c r="G42" s="190">
        <f t="shared" ref="G42" si="67">F42/F41-1</f>
        <v>0.1125456989042759</v>
      </c>
      <c r="H42" s="190">
        <f t="shared" ref="H42" si="68">F42/F30-1</f>
        <v>-0.14800787484091404</v>
      </c>
      <c r="I42" s="130">
        <f t="shared" si="0"/>
        <v>32.459645066890587</v>
      </c>
      <c r="J42" s="130">
        <f t="shared" si="5"/>
        <v>-0.29071988545371608</v>
      </c>
      <c r="K42" s="193"/>
      <c r="L42" s="190"/>
      <c r="M42" s="190"/>
      <c r="N42" s="193"/>
      <c r="O42" s="193"/>
      <c r="P42" s="129" t="s">
        <v>826</v>
      </c>
      <c r="Q42" s="116">
        <v>9422241</v>
      </c>
      <c r="R42" s="116">
        <v>13634856963</v>
      </c>
      <c r="S42" s="116">
        <v>290275.53999999998</v>
      </c>
      <c r="T42" s="130">
        <f t="shared" ref="T42" si="69">Q42/S42</f>
        <v>32.459645066890587</v>
      </c>
      <c r="U42" s="78"/>
    </row>
    <row r="43" spans="1:21" s="79" customFormat="1" ht="13.2">
      <c r="A43" s="129" t="s">
        <v>835</v>
      </c>
      <c r="B43" s="188">
        <f>SUM(F41:F43)</f>
        <v>1682172.5111111109</v>
      </c>
      <c r="C43" s="188">
        <f>AVERAGE(F41:F43)</f>
        <v>560724.17037037027</v>
      </c>
      <c r="D43" s="190">
        <f>C43/C40-1</f>
        <v>-0.20193687796766413</v>
      </c>
      <c r="E43" s="287">
        <f>C43/C31-1</f>
        <v>-4.2545805707507767E-2</v>
      </c>
      <c r="F43" s="136">
        <f>Q43/20</f>
        <v>787606.35</v>
      </c>
      <c r="G43" s="190">
        <f t="shared" ref="G43" si="70">F43/F42-1</f>
        <v>0.67180259982736601</v>
      </c>
      <c r="H43" s="190">
        <f t="shared" ref="H43" si="71">F43/F31-1</f>
        <v>0.3173600257716096</v>
      </c>
      <c r="I43" s="130">
        <f t="shared" si="0"/>
        <v>34.780612764452627</v>
      </c>
      <c r="J43" s="130">
        <f t="shared" si="5"/>
        <v>-0.11784985309516716</v>
      </c>
      <c r="K43" s="136">
        <f>R41+R42+R43</f>
        <v>47656621959</v>
      </c>
      <c r="L43" s="190">
        <f>U43/U40-1</f>
        <v>-0.24649963325016544</v>
      </c>
      <c r="M43" s="190">
        <f>K43/K31-1</f>
        <v>5.4344424945635961E-3</v>
      </c>
      <c r="N43" s="191">
        <f>AVERAGE(T41:T43)</f>
        <v>33.544306660354657</v>
      </c>
      <c r="O43" s="192">
        <f>N43/N40-1</f>
        <v>-5.2153441393751776E-2</v>
      </c>
      <c r="P43" s="129" t="s">
        <v>835</v>
      </c>
      <c r="Q43" s="116">
        <v>15752127</v>
      </c>
      <c r="R43" s="116">
        <v>22861599565</v>
      </c>
      <c r="S43" s="116">
        <v>452899.64</v>
      </c>
      <c r="T43" s="130">
        <f t="shared" ref="T43" si="72">Q43/S43</f>
        <v>34.780612764452627</v>
      </c>
      <c r="U43" s="85">
        <f>Q41+Q42+Q43</f>
        <v>32796542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649771.40909090906</v>
      </c>
      <c r="G44" s="190">
        <f t="shared" ref="G44" si="73">F44/F43-1</f>
        <v>-0.17500486240250723</v>
      </c>
      <c r="H44" s="190">
        <f t="shared" ref="H44" si="74">F44/F32-1</f>
        <v>5.4833338067639348E-2</v>
      </c>
      <c r="I44" s="130">
        <f t="shared" si="0"/>
        <v>30.00250367675709</v>
      </c>
      <c r="J44" s="130">
        <f t="shared" si="5"/>
        <v>-0.20560999764273125</v>
      </c>
      <c r="K44" s="136"/>
      <c r="L44" s="190"/>
      <c r="M44" s="190"/>
      <c r="N44" s="191"/>
      <c r="O44" s="192"/>
      <c r="P44" s="129" t="s">
        <v>843</v>
      </c>
      <c r="Q44" s="116">
        <v>14294971</v>
      </c>
      <c r="R44" s="116">
        <v>20767498657</v>
      </c>
      <c r="S44" s="116">
        <v>476459.27</v>
      </c>
      <c r="T44" s="130">
        <f t="shared" ref="T44" si="75">Q44/S44</f>
        <v>30.00250367675709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465489.75</v>
      </c>
      <c r="G45" s="190">
        <f t="shared" ref="G45" si="76">F45/F44-1</f>
        <v>-0.28360998423851291</v>
      </c>
      <c r="H45" s="190">
        <f t="shared" ref="H45" si="77">F45/F33-1</f>
        <v>-0.14385506847558616</v>
      </c>
      <c r="I45" s="130">
        <f t="shared" si="0"/>
        <v>34.122889383178723</v>
      </c>
      <c r="J45" s="130">
        <f t="shared" si="5"/>
        <v>-0.17363552441179719</v>
      </c>
      <c r="K45" s="136"/>
      <c r="L45" s="190"/>
      <c r="M45" s="190"/>
      <c r="N45" s="191"/>
      <c r="O45" s="192"/>
      <c r="P45" s="129" t="s">
        <v>849</v>
      </c>
      <c r="Q45" s="116">
        <v>9309795</v>
      </c>
      <c r="R45" s="116">
        <v>13136299556</v>
      </c>
      <c r="S45" s="116">
        <v>272831.38</v>
      </c>
      <c r="T45" s="130">
        <f t="shared" ref="T45" si="78">Q45/S45</f>
        <v>34.122889383178723</v>
      </c>
      <c r="U45" s="85"/>
    </row>
    <row r="46" spans="1:21" s="79" customFormat="1" ht="13.2">
      <c r="A46" s="129" t="s">
        <v>888</v>
      </c>
      <c r="B46" s="188">
        <f>SUM(F44:F46)</f>
        <v>1827637.5801435406</v>
      </c>
      <c r="C46" s="188">
        <f>AVERAGE(F44:F46)</f>
        <v>609212.52671451354</v>
      </c>
      <c r="D46" s="190">
        <f>C46/C43-1</f>
        <v>8.6474525098705346E-2</v>
      </c>
      <c r="E46" s="287">
        <f>C46/C34-1</f>
        <v>3.4156831098652862E-2</v>
      </c>
      <c r="F46" s="136">
        <f>Q46/19</f>
        <v>712376.42105263157</v>
      </c>
      <c r="G46" s="190">
        <f t="shared" ref="G46" si="79">F46/F45-1</f>
        <v>0.53038046713731424</v>
      </c>
      <c r="H46" s="190">
        <f t="shared" ref="H46" si="80">F46/F34-1</f>
        <v>0.17249255083609882</v>
      </c>
      <c r="I46" s="130">
        <f t="shared" si="0"/>
        <v>38.931239459237204</v>
      </c>
      <c r="J46" s="130">
        <f t="shared" si="5"/>
        <v>7.8986219193741825E-2</v>
      </c>
      <c r="K46" s="136">
        <f>R44+R45+R46</f>
        <v>52431159745</v>
      </c>
      <c r="L46" s="190">
        <f>U46/U43-1</f>
        <v>0.13243396209271086</v>
      </c>
      <c r="M46" s="190">
        <f>K46/K34-1</f>
        <v>6.7406766456870271E-2</v>
      </c>
      <c r="N46" s="191">
        <f>AVERAGE(T44:T46)</f>
        <v>34.352210839724343</v>
      </c>
      <c r="O46" s="192">
        <f>N46/N43-1</f>
        <v>2.4084688574724122E-2</v>
      </c>
      <c r="P46" s="129" t="s">
        <v>888</v>
      </c>
      <c r="Q46" s="116">
        <v>13535152</v>
      </c>
      <c r="R46" s="116">
        <v>18527361532</v>
      </c>
      <c r="S46" s="116">
        <v>347668.15</v>
      </c>
      <c r="T46" s="130">
        <f t="shared" ref="T46" si="81">Q46/S46</f>
        <v>38.931239459237204</v>
      </c>
      <c r="U46" s="85">
        <f t="shared" ref="U46:U51" si="82">Q44+Q45+Q46</f>
        <v>37139918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700090.86956521741</v>
      </c>
      <c r="G47" s="190">
        <f t="shared" ref="G47" si="83">F47/F46-1</f>
        <v>-1.7245870475696812E-2</v>
      </c>
      <c r="H47" s="190">
        <f t="shared" ref="H47" si="84">F47/F35-1</f>
        <v>0.15500086685551229</v>
      </c>
      <c r="I47" s="130">
        <f t="shared" si="0"/>
        <v>37.799262343372618</v>
      </c>
      <c r="J47" s="130">
        <f t="shared" si="5"/>
        <v>-1.2145666979000436E-2</v>
      </c>
      <c r="K47" s="136"/>
      <c r="L47" s="190"/>
      <c r="M47" s="190"/>
      <c r="N47" s="191"/>
      <c r="O47" s="192"/>
      <c r="P47" s="129" t="s">
        <v>1048</v>
      </c>
      <c r="Q47" s="116">
        <v>16102090</v>
      </c>
      <c r="R47" s="116">
        <v>22020802353</v>
      </c>
      <c r="S47" s="116">
        <v>425989.53</v>
      </c>
      <c r="T47" s="130">
        <f t="shared" ref="T47" si="85">Q47/S47</f>
        <v>37.799262343372618</v>
      </c>
      <c r="U47" s="85">
        <f t="shared" si="82"/>
        <v>38947037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703886.5</v>
      </c>
      <c r="G48" s="190">
        <f t="shared" ref="G48" si="86">F48/F47-1</f>
        <v>5.4216253914864954E-3</v>
      </c>
      <c r="H48" s="190">
        <f t="shared" ref="H48" si="87">F48/F36-1</f>
        <v>0.41046618443158733</v>
      </c>
      <c r="I48" s="130">
        <f t="shared" si="0"/>
        <v>35.631217169321637</v>
      </c>
      <c r="J48" s="130">
        <f t="shared" si="5"/>
        <v>3.1439515578445265E-2</v>
      </c>
      <c r="K48" s="136"/>
      <c r="L48" s="190"/>
      <c r="M48" s="190"/>
      <c r="N48" s="191"/>
      <c r="O48" s="192"/>
      <c r="P48" s="129" t="s">
        <v>1070</v>
      </c>
      <c r="Q48" s="116">
        <v>14077730</v>
      </c>
      <c r="R48" s="116">
        <v>19526696709</v>
      </c>
      <c r="S48" s="116">
        <v>395095.4</v>
      </c>
      <c r="T48" s="130">
        <f t="shared" ref="T48" si="88">Q48/S48</f>
        <v>35.631217169321637</v>
      </c>
      <c r="U48" s="85">
        <f t="shared" si="82"/>
        <v>43714972</v>
      </c>
    </row>
    <row r="49" spans="1:26" ht="13.2">
      <c r="A49" s="129" t="s">
        <v>1158</v>
      </c>
      <c r="B49" s="188">
        <f>SUM(F47:F49)</f>
        <v>2013721.14229249</v>
      </c>
      <c r="C49" s="188">
        <f>AVERAGE(F47:F49)</f>
        <v>671240.38076416333</v>
      </c>
      <c r="D49" s="190">
        <f>C49/C46-1</f>
        <v>0.1018164455418642</v>
      </c>
      <c r="E49" s="287">
        <f>C49/C37-1</f>
        <v>3.941251664031209E-2</v>
      </c>
      <c r="F49" s="136">
        <f>Q49/22</f>
        <v>609743.77272727271</v>
      </c>
      <c r="G49" s="190">
        <f t="shared" ref="G49" si="89">F49/F48-1</f>
        <v>-0.13374702778463188</v>
      </c>
      <c r="H49" s="190">
        <f t="shared" ref="H49" si="90">F49/F37-1</f>
        <v>-0.26729394486473934</v>
      </c>
      <c r="I49" s="130">
        <f t="shared" si="0"/>
        <v>37.389349168105312</v>
      </c>
      <c r="J49" s="130">
        <f t="shared" si="5"/>
        <v>-6.1638336630623569E-2</v>
      </c>
      <c r="K49" s="136">
        <f>R47+R48+R49</f>
        <v>60190423968</v>
      </c>
      <c r="L49" s="190">
        <f>U49/U46-1</f>
        <v>0.17378242461386151</v>
      </c>
      <c r="M49" s="190">
        <f>K49/K37-1</f>
        <v>0.12317376440012473</v>
      </c>
      <c r="N49" s="191">
        <f>AVERAGE(T47:T49)</f>
        <v>36.939942893599856</v>
      </c>
      <c r="O49" s="192">
        <f>N49/N46-1</f>
        <v>7.5329418125342329E-2</v>
      </c>
      <c r="P49" s="129" t="s">
        <v>1158</v>
      </c>
      <c r="Q49" s="116">
        <v>13414363</v>
      </c>
      <c r="R49" s="116">
        <v>18642924906</v>
      </c>
      <c r="S49" s="116">
        <v>358774.98</v>
      </c>
      <c r="T49" s="130">
        <f t="shared" ref="T49" si="91">Q49/S49</f>
        <v>37.389349168105312</v>
      </c>
      <c r="U49" s="85">
        <f t="shared" si="82"/>
        <v>43594183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499637.16666666669</v>
      </c>
      <c r="G50" s="190">
        <f t="shared" ref="G50" si="92">F50/F49-1</f>
        <v>-0.18057848392304077</v>
      </c>
      <c r="H50" s="190">
        <f t="shared" ref="H50" si="93">F50/F38-1</f>
        <v>-0.32354798323825318</v>
      </c>
      <c r="I50" s="130">
        <f t="shared" ref="I50" si="94">T50</f>
        <v>34.889736066490407</v>
      </c>
      <c r="J50" s="130">
        <f t="shared" ref="J50" si="95">I50/I38-1</f>
        <v>-3.9976216758441319E-2</v>
      </c>
      <c r="K50" s="136"/>
      <c r="L50" s="190"/>
      <c r="M50" s="190"/>
      <c r="N50" s="191"/>
      <c r="O50" s="192"/>
      <c r="P50" s="129" t="s">
        <v>1359</v>
      </c>
      <c r="Q50" s="116">
        <v>8993469</v>
      </c>
      <c r="R50" s="116">
        <v>12713180500</v>
      </c>
      <c r="S50" s="116">
        <v>257768.33</v>
      </c>
      <c r="T50" s="130">
        <f t="shared" ref="T50" si="96">Q50/S50</f>
        <v>34.889736066490407</v>
      </c>
      <c r="U50" s="85">
        <f t="shared" si="82"/>
        <v>36485562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573914.75</v>
      </c>
      <c r="G51" s="190">
        <f t="shared" ref="G51:G52" si="97">F51/F50-1</f>
        <v>0.14866304648406525</v>
      </c>
      <c r="H51" s="190">
        <f t="shared" ref="H51:H52" si="98">F51/F39-1</f>
        <v>-1.0572962857972601E-2</v>
      </c>
      <c r="I51" s="130">
        <f t="shared" ref="I51:I52" si="99">T51</f>
        <v>36.436840908676793</v>
      </c>
      <c r="J51" s="130">
        <f t="shared" ref="J51:J52" si="100">I51/I39-1</f>
        <v>4.0650021694408345E-2</v>
      </c>
      <c r="K51" s="136"/>
      <c r="L51" s="190"/>
      <c r="M51" s="190"/>
      <c r="N51" s="191"/>
      <c r="O51" s="192"/>
      <c r="P51" s="129" t="s">
        <v>1402</v>
      </c>
      <c r="Q51" s="116">
        <v>11478295</v>
      </c>
      <c r="R51" s="116">
        <v>16622538425</v>
      </c>
      <c r="S51" s="116">
        <v>315018.94</v>
      </c>
      <c r="T51" s="130">
        <f t="shared" ref="T51:T52" si="101">Q51/S51</f>
        <v>36.436840908676793</v>
      </c>
      <c r="U51" s="85">
        <f t="shared" si="82"/>
        <v>33886127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1628300.2348484849</v>
      </c>
      <c r="C52" s="188">
        <f>AVERAGE(F50:F52)</f>
        <v>542766.74494949495</v>
      </c>
      <c r="D52" s="190">
        <f>C52/C49-1</f>
        <v>-0.19139735852662731</v>
      </c>
      <c r="E52" s="287">
        <f>C52/C40-1</f>
        <v>-0.22749518230396648</v>
      </c>
      <c r="F52" s="136">
        <f>Q52/22</f>
        <v>554748.31818181823</v>
      </c>
      <c r="G52" s="190">
        <f t="shared" si="97"/>
        <v>-3.3395956138401628E-2</v>
      </c>
      <c r="H52" s="190">
        <f t="shared" si="98"/>
        <v>-0.29703677258611705</v>
      </c>
      <c r="I52" s="130">
        <f t="shared" si="99"/>
        <v>35.040721809187993</v>
      </c>
      <c r="J52" s="130">
        <f t="shared" si="100"/>
        <v>6.514132877171841E-3</v>
      </c>
      <c r="K52" s="136">
        <f>R50+R51+R52</f>
        <v>47298724027</v>
      </c>
      <c r="L52" s="190">
        <f>U52/U49-1</f>
        <v>-0.25044524862411111</v>
      </c>
      <c r="M52" s="190">
        <f>K52/K40-1</f>
        <v>-0.21673466659134788</v>
      </c>
      <c r="N52" s="191">
        <f>AVERAGE(T50:T52)</f>
        <v>35.455766261451735</v>
      </c>
      <c r="O52" s="192">
        <f>N52/N49-1</f>
        <v>-4.0178097633314591E-2</v>
      </c>
      <c r="P52" s="129" t="s">
        <v>1403</v>
      </c>
      <c r="Q52" s="116">
        <v>12204463</v>
      </c>
      <c r="R52" s="116">
        <v>17963005102</v>
      </c>
      <c r="S52" s="116">
        <v>348293.71</v>
      </c>
      <c r="T52" s="130">
        <f t="shared" si="101"/>
        <v>35.040721809187993</v>
      </c>
      <c r="U52" s="85">
        <f t="shared" ref="U52" si="102">Q50+Q51+Q52</f>
        <v>32676227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488266.19047619047</v>
      </c>
      <c r="G53" s="190">
        <f t="shared" ref="G53" si="103">F53/F52-1</f>
        <v>-0.11984196351152943</v>
      </c>
      <c r="H53" s="190">
        <f t="shared" ref="H53" si="104">F53/F41-1</f>
        <v>0.15305573299316277</v>
      </c>
      <c r="I53" s="130">
        <f t="shared" ref="I53" si="105">T53</f>
        <v>31.266623636493982</v>
      </c>
      <c r="J53" s="130">
        <f t="shared" ref="J53" si="106">I53/I41-1</f>
        <v>-6.3667835277533835E-2</v>
      </c>
      <c r="K53" s="136"/>
      <c r="L53" s="190"/>
      <c r="M53" s="190"/>
      <c r="N53" s="191"/>
      <c r="O53" s="192"/>
      <c r="P53" s="129" t="s">
        <v>1414</v>
      </c>
      <c r="Q53" s="116">
        <v>10253590</v>
      </c>
      <c r="R53" s="116">
        <v>14918639529</v>
      </c>
      <c r="S53" s="116">
        <v>327940.43</v>
      </c>
      <c r="T53" s="130">
        <f t="shared" ref="T53" si="107">Q53/S53</f>
        <v>31.266623636493982</v>
      </c>
      <c r="U53" s="85">
        <f t="shared" ref="U53" si="108">Q51+Q52+Q53</f>
        <v>33936348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527839.29411764711</v>
      </c>
      <c r="G54" s="190">
        <f t="shared" ref="G54" si="109">F54/F53-1</f>
        <v>8.1048215939060197E-2</v>
      </c>
      <c r="H54" s="190">
        <f t="shared" ref="H54" si="110">F54/F42-1</f>
        <v>0.12041136310915235</v>
      </c>
      <c r="I54" s="130">
        <f t="shared" ref="I54" si="111">T54</f>
        <v>33.988777334098117</v>
      </c>
      <c r="J54" s="130">
        <f t="shared" ref="J54" si="112">I54/I42-1</f>
        <v>4.7108718042246034E-2</v>
      </c>
      <c r="K54" s="136"/>
      <c r="L54" s="190"/>
      <c r="M54" s="190"/>
      <c r="N54" s="191"/>
      <c r="O54" s="192"/>
      <c r="P54" s="129" t="s">
        <v>1417</v>
      </c>
      <c r="Q54" s="116">
        <v>8973268</v>
      </c>
      <c r="R54" s="116">
        <v>12996961449</v>
      </c>
      <c r="S54" s="116">
        <v>264006.78999999998</v>
      </c>
      <c r="T54" s="130">
        <f t="shared" ref="T54" si="113">Q54/S54</f>
        <v>33.988777334098117</v>
      </c>
      <c r="U54" s="85">
        <f t="shared" ref="U54" si="114">Q52+Q53+Q54</f>
        <v>31431321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1721950.6274509802</v>
      </c>
      <c r="C55" s="188">
        <f>AVERAGE(F53:F55)</f>
        <v>573983.54248366004</v>
      </c>
      <c r="D55" s="190">
        <f>C55/C52-1</f>
        <v>5.7514204443512629E-2</v>
      </c>
      <c r="E55" s="287">
        <f>C55/C43-1</f>
        <v>2.3646870982093837E-2</v>
      </c>
      <c r="F55" s="136">
        <f>Q55/21</f>
        <v>705845.14285714284</v>
      </c>
      <c r="G55" s="190">
        <f t="shared" ref="G55" si="115">F55/F54-1</f>
        <v>0.33723493253198589</v>
      </c>
      <c r="H55" s="190">
        <f t="shared" ref="H55" si="116">F55/F43-1</f>
        <v>-0.10380973584438102</v>
      </c>
      <c r="I55" s="130">
        <f>T55</f>
        <v>32.320990770012124</v>
      </c>
      <c r="J55" s="130">
        <f t="shared" ref="J55" si="117">I55/I43-1</f>
        <v>-7.0718190363637023E-2</v>
      </c>
      <c r="K55" s="136">
        <f>R53+R54+R55</f>
        <v>49723335940</v>
      </c>
      <c r="L55" s="190">
        <f>U55/U52-1</f>
        <v>4.2029913673937935E-2</v>
      </c>
      <c r="M55" s="190">
        <f>K55/K43-1</f>
        <v>4.336677456446747E-2</v>
      </c>
      <c r="N55" s="191">
        <f>AVERAGE(T53:T55)</f>
        <v>32.525463913534736</v>
      </c>
      <c r="O55" s="192">
        <f>N55/N52-1</f>
        <v>-8.2646707627438531E-2</v>
      </c>
      <c r="P55" s="129" t="s">
        <v>1418</v>
      </c>
      <c r="Q55" s="116">
        <v>14822748</v>
      </c>
      <c r="R55" s="116">
        <v>21807734962</v>
      </c>
      <c r="S55" s="116">
        <v>458610.57</v>
      </c>
      <c r="T55" s="130">
        <f t="shared" ref="T55" si="118">Q55/S55</f>
        <v>32.320990770012124</v>
      </c>
      <c r="U55" s="85">
        <f t="shared" ref="U55" si="119">Q53+Q54+Q55</f>
        <v>34049606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619673</v>
      </c>
      <c r="G56" s="190">
        <f t="shared" ref="G56" si="120">F56/F55-1</f>
        <v>-0.12208363793272337</v>
      </c>
      <c r="H56" s="190">
        <f t="shared" ref="H56" si="121">F56/F44-1</f>
        <v>-4.6321535034943406E-2</v>
      </c>
      <c r="I56" s="291">
        <f>T56</f>
        <v>36.042813433180903</v>
      </c>
      <c r="J56" s="130">
        <f t="shared" ref="J56" si="122">I56/I44-1</f>
        <v>0.20132685663507588</v>
      </c>
      <c r="K56" s="136"/>
      <c r="L56" s="190"/>
      <c r="M56" s="190"/>
      <c r="N56" s="191"/>
      <c r="O56" s="192"/>
      <c r="P56" s="129" t="s">
        <v>1420</v>
      </c>
      <c r="Q56" s="116">
        <v>13632806</v>
      </c>
      <c r="R56" s="116">
        <v>20359459006</v>
      </c>
      <c r="S56" s="116">
        <v>378239.23</v>
      </c>
      <c r="T56" s="130">
        <f t="shared" ref="T56" si="123">Q56/S56</f>
        <v>36.042813433180903</v>
      </c>
      <c r="U56" s="85">
        <f t="shared" ref="U56" si="124">Q54+Q55+Q56</f>
        <v>37428822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454482.33333333331</v>
      </c>
      <c r="G57" s="254">
        <f t="shared" ref="G57" si="125">F57/F56-1</f>
        <v>-0.26657715709199314</v>
      </c>
      <c r="H57" s="254">
        <f t="shared" ref="H57" si="126">F57/F45-1</f>
        <v>-2.3646958212649505E-2</v>
      </c>
      <c r="I57" s="282">
        <f>T57</f>
        <v>44.275896154942757</v>
      </c>
      <c r="J57" s="277">
        <f t="shared" ref="J57" si="127">I57/I45-1</f>
        <v>0.29754241083608468</v>
      </c>
      <c r="K57" s="204"/>
      <c r="L57" s="254"/>
      <c r="M57" s="254"/>
      <c r="N57" s="257"/>
      <c r="O57" s="258"/>
      <c r="P57" s="129" t="s">
        <v>1436</v>
      </c>
      <c r="Q57" s="116">
        <v>5453788</v>
      </c>
      <c r="R57" s="116">
        <v>8034201306</v>
      </c>
      <c r="S57" s="116">
        <v>123177.36</v>
      </c>
      <c r="T57" s="130">
        <f t="shared" ref="T57" si="128">Q57/S57</f>
        <v>44.275896154942757</v>
      </c>
      <c r="U57" s="85">
        <f t="shared" ref="U57" si="129">Q55+Q56+Q57</f>
        <v>33909342</v>
      </c>
      <c r="V57" s="79"/>
      <c r="W57" s="79"/>
      <c r="X57" s="79"/>
      <c r="Y57" s="79"/>
      <c r="Z57" s="79"/>
    </row>
    <row r="58" spans="1:26">
      <c r="B58" s="196">
        <f>SUM(F56:F58)</f>
        <v>1074155.3333333333</v>
      </c>
      <c r="C58" s="196">
        <f>AVERAGE(F56:F58)</f>
        <v>537077.66666666663</v>
      </c>
      <c r="D58" s="197">
        <f>C58/C55-1</f>
        <v>-6.4297794423337606E-2</v>
      </c>
      <c r="E58" s="233">
        <f>C58/C46-1</f>
        <v>-0.11840672488609283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53136200</v>
      </c>
      <c r="R66" s="212">
        <v>78116996252</v>
      </c>
      <c r="S66" s="213">
        <v>1551974.39</v>
      </c>
      <c r="T66" s="214">
        <v>364</v>
      </c>
      <c r="U66" s="214">
        <v>705</v>
      </c>
    </row>
    <row r="67" spans="16:21" ht="18" thickBot="1">
      <c r="P67" s="180" t="s">
        <v>976</v>
      </c>
      <c r="Q67" s="181">
        <v>10253590</v>
      </c>
      <c r="R67" s="181">
        <v>14918639529</v>
      </c>
      <c r="S67" s="182">
        <v>327940.43</v>
      </c>
      <c r="T67" s="210">
        <v>157</v>
      </c>
      <c r="U67" s="210">
        <v>295</v>
      </c>
    </row>
    <row r="68" spans="16:21" ht="18" thickBot="1">
      <c r="P68" s="180" t="s">
        <v>977</v>
      </c>
      <c r="Q68" s="181">
        <v>8973268</v>
      </c>
      <c r="R68" s="181">
        <v>12996961449</v>
      </c>
      <c r="S68" s="182">
        <v>264006.78999999998</v>
      </c>
      <c r="T68" s="210">
        <v>134</v>
      </c>
      <c r="U68" s="210">
        <v>275</v>
      </c>
    </row>
    <row r="69" spans="16:21" ht="18" thickBot="1">
      <c r="P69" s="180" t="s">
        <v>978</v>
      </c>
      <c r="Q69" s="181">
        <v>14822748</v>
      </c>
      <c r="R69" s="181">
        <v>21807734962</v>
      </c>
      <c r="S69" s="182">
        <v>458610.57</v>
      </c>
      <c r="T69" s="210">
        <v>146</v>
      </c>
      <c r="U69" s="210">
        <v>285</v>
      </c>
    </row>
    <row r="70" spans="16:21" ht="18" thickBot="1">
      <c r="P70" s="180" t="s">
        <v>979</v>
      </c>
      <c r="Q70" s="181">
        <v>13632806</v>
      </c>
      <c r="R70" s="181">
        <v>20359459006</v>
      </c>
      <c r="S70" s="182">
        <v>378239.23</v>
      </c>
      <c r="T70" s="210">
        <v>168</v>
      </c>
      <c r="U70" s="210">
        <v>339</v>
      </c>
    </row>
    <row r="71" spans="16:21" ht="18" thickBot="1">
      <c r="P71" s="180" t="s">
        <v>980</v>
      </c>
      <c r="Q71" s="181">
        <v>5453788</v>
      </c>
      <c r="R71" s="181">
        <v>8034201306</v>
      </c>
      <c r="S71" s="182">
        <v>123177.36</v>
      </c>
      <c r="T71" s="210">
        <v>102</v>
      </c>
      <c r="U71" s="210">
        <v>196</v>
      </c>
    </row>
    <row r="72" spans="16:21" ht="18" thickBot="1">
      <c r="P72" s="215" t="s">
        <v>975</v>
      </c>
      <c r="Q72" s="217" t="s">
        <v>1512</v>
      </c>
      <c r="R72"/>
      <c r="S72"/>
      <c r="T72"/>
      <c r="U72"/>
    </row>
  </sheetData>
  <phoneticPr fontId="1" type="noConversion"/>
  <conditionalFormatting sqref="C29:C30">
    <cfRule type="cellIs" dxfId="1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63"/>
  <sheetViews>
    <sheetView zoomScale="85" zoomScaleNormal="85" workbookViewId="0">
      <selection activeCell="M51" sqref="M51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645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2008995010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2009843.1</v>
      </c>
      <c r="F5" s="90"/>
      <c r="G5" s="90"/>
      <c r="H5" s="129" t="s">
        <v>0</v>
      </c>
      <c r="I5" s="116">
        <v>40196862</v>
      </c>
      <c r="J5" s="116"/>
      <c r="K5" s="116">
        <v>1439326.17</v>
      </c>
      <c r="L5" s="130">
        <f t="shared" ref="L5:L33" si="0">I5/K5</f>
        <v>27.927555850665872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2126347.5555555555</v>
      </c>
      <c r="F6" s="90">
        <f t="shared" ref="F6:F33" si="1">E6/E5-1</f>
        <v>5.7966940581359427E-2</v>
      </c>
      <c r="G6" s="90"/>
      <c r="H6" s="129" t="s">
        <v>1</v>
      </c>
      <c r="I6" s="116">
        <v>38274256</v>
      </c>
      <c r="J6" s="116"/>
      <c r="K6" s="116">
        <v>1382237.79</v>
      </c>
      <c r="L6" s="130">
        <f t="shared" si="0"/>
        <v>27.690066265660409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6161474.0191919189</v>
      </c>
      <c r="B7" s="131">
        <f>AVERAGE(E5:E7)</f>
        <v>2053824.673063973</v>
      </c>
      <c r="C7" s="117"/>
      <c r="D7" s="117"/>
      <c r="E7" s="78">
        <f>I7/22</f>
        <v>2025283.3636363635</v>
      </c>
      <c r="F7" s="90">
        <f t="shared" si="1"/>
        <v>-4.752947920256001E-2</v>
      </c>
      <c r="G7" s="90"/>
      <c r="H7" s="129" t="s">
        <v>2</v>
      </c>
      <c r="I7" s="116">
        <v>44556234</v>
      </c>
      <c r="J7" s="116"/>
      <c r="K7" s="116">
        <v>1619468.7</v>
      </c>
      <c r="L7" s="130">
        <f t="shared" si="0"/>
        <v>27.512871350956026</v>
      </c>
      <c r="M7" s="85">
        <f>I5+I6+I7</f>
        <v>123027352</v>
      </c>
      <c r="N7" s="85">
        <f>J5+J6+J7</f>
        <v>0</v>
      </c>
      <c r="O7" s="87"/>
      <c r="P7" s="87"/>
      <c r="Q7" s="88">
        <f>AVERAGE(L5:L7)</f>
        <v>27.710164489094101</v>
      </c>
      <c r="R7" s="79"/>
    </row>
    <row r="8" spans="1:18" ht="15" hidden="1" customHeight="1">
      <c r="A8" s="79"/>
      <c r="B8" s="79"/>
      <c r="C8" s="117"/>
      <c r="D8" s="117"/>
      <c r="E8" s="78">
        <f>I8/21</f>
        <v>2111982.1904761903</v>
      </c>
      <c r="F8" s="90">
        <f t="shared" si="1"/>
        <v>4.2808245204839057E-2</v>
      </c>
      <c r="G8" s="90"/>
      <c r="H8" s="129" t="s">
        <v>3</v>
      </c>
      <c r="I8" s="116">
        <v>44351626</v>
      </c>
      <c r="J8" s="116"/>
      <c r="K8" s="116">
        <v>1666571.39</v>
      </c>
      <c r="L8" s="130">
        <f t="shared" si="0"/>
        <v>26.612496929999502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1910995.8095238095</v>
      </c>
      <c r="F9" s="90">
        <f t="shared" si="1"/>
        <v>-9.5164808613781071E-2</v>
      </c>
      <c r="G9" s="90"/>
      <c r="H9" s="129" t="s">
        <v>4</v>
      </c>
      <c r="I9" s="116">
        <v>40130912</v>
      </c>
      <c r="J9" s="116"/>
      <c r="K9" s="116">
        <v>1480952.09</v>
      </c>
      <c r="L9" s="130">
        <f t="shared" si="0"/>
        <v>27.098048796433378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5934754.666666667</v>
      </c>
      <c r="B10" s="131">
        <f>AVERAGE(E8:E10)</f>
        <v>1978251.5555555557</v>
      </c>
      <c r="C10" s="90">
        <f>B10/B7-1</f>
        <v>-3.6796284755735487E-2</v>
      </c>
      <c r="D10" s="90"/>
      <c r="E10" s="78">
        <f>I10/21</f>
        <v>1911776.6666666667</v>
      </c>
      <c r="F10" s="90">
        <f t="shared" si="1"/>
        <v>4.0861269238035014E-4</v>
      </c>
      <c r="G10" s="90"/>
      <c r="H10" s="129" t="s">
        <v>5</v>
      </c>
      <c r="I10" s="116">
        <v>40147310</v>
      </c>
      <c r="J10" s="116"/>
      <c r="K10" s="116">
        <v>1354765.84</v>
      </c>
      <c r="L10" s="130">
        <f t="shared" si="0"/>
        <v>29.634132198077861</v>
      </c>
      <c r="M10" s="85">
        <f>I8+I9+I10</f>
        <v>124629848</v>
      </c>
      <c r="N10" s="85">
        <f>J8+J9+J10</f>
        <v>0</v>
      </c>
      <c r="O10" s="87">
        <f>M10/M7-1</f>
        <v>1.3025526226070339E-2</v>
      </c>
      <c r="P10" s="87"/>
      <c r="Q10" s="88">
        <f>AVERAGE(L8:L10)</f>
        <v>27.781559308170248</v>
      </c>
      <c r="R10" s="89">
        <f>Q10/Q7-1</f>
        <v>2.5764848528504469E-3</v>
      </c>
    </row>
    <row r="11" spans="1:18" ht="15" hidden="1" customHeight="1">
      <c r="A11" s="79"/>
      <c r="B11" s="79"/>
      <c r="C11" s="117"/>
      <c r="D11" s="117"/>
      <c r="E11" s="78">
        <f>I11/21</f>
        <v>1470191.2857142857</v>
      </c>
      <c r="F11" s="90">
        <f t="shared" si="1"/>
        <v>-0.23098167722818796</v>
      </c>
      <c r="G11" s="90"/>
      <c r="H11" s="129" t="s">
        <v>6</v>
      </c>
      <c r="I11" s="116">
        <v>30874017</v>
      </c>
      <c r="J11" s="116"/>
      <c r="K11" s="116">
        <v>1255360.31</v>
      </c>
      <c r="L11" s="130">
        <f t="shared" si="0"/>
        <v>24.593749502881764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1489365.1363636365</v>
      </c>
      <c r="F12" s="90">
        <f t="shared" si="1"/>
        <v>1.3041738742204156E-2</v>
      </c>
      <c r="G12" s="90"/>
      <c r="H12" s="129" t="s">
        <v>7</v>
      </c>
      <c r="I12" s="116">
        <v>32766033</v>
      </c>
      <c r="J12" s="116"/>
      <c r="K12" s="116">
        <v>1221469.23</v>
      </c>
      <c r="L12" s="130">
        <f t="shared" si="0"/>
        <v>26.825098983459451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4452650.972077922</v>
      </c>
      <c r="B13" s="131">
        <f>AVERAGE(E11:E13)</f>
        <v>1484216.9906926407</v>
      </c>
      <c r="C13" s="90">
        <f>B13/B10-1</f>
        <v>-0.24973293385035378</v>
      </c>
      <c r="D13" s="90"/>
      <c r="E13" s="78">
        <f>I13/20</f>
        <v>1493094.55</v>
      </c>
      <c r="F13" s="90">
        <f t="shared" si="1"/>
        <v>2.5040290962290435E-3</v>
      </c>
      <c r="G13" s="90"/>
      <c r="H13" s="129" t="s">
        <v>96</v>
      </c>
      <c r="I13" s="116">
        <v>29861891</v>
      </c>
      <c r="J13" s="116"/>
      <c r="K13" s="116">
        <v>1229415.07</v>
      </c>
      <c r="L13" s="130">
        <f t="shared" si="0"/>
        <v>24.289511108725875</v>
      </c>
      <c r="M13" s="85">
        <f>I11+I12+I13</f>
        <v>93501941</v>
      </c>
      <c r="N13" s="78">
        <f>J11+J12+J13</f>
        <v>0</v>
      </c>
      <c r="O13" s="87">
        <f>M13/M10-1</f>
        <v>-0.24976285777063612</v>
      </c>
      <c r="P13" s="87"/>
      <c r="Q13" s="88">
        <f>AVERAGE(L11:L13)</f>
        <v>25.236119865022363</v>
      </c>
      <c r="R13" s="89">
        <f>Q13/Q10-1</f>
        <v>-9.1623346800382754E-2</v>
      </c>
    </row>
    <row r="14" spans="1:18" ht="15" hidden="1" customHeight="1">
      <c r="A14" s="79"/>
      <c r="B14" s="79"/>
      <c r="C14" s="117"/>
      <c r="D14" s="117"/>
      <c r="E14" s="78">
        <f>I14/20</f>
        <v>1513269.1</v>
      </c>
      <c r="F14" s="90">
        <f t="shared" si="1"/>
        <v>1.3511903850965234E-2</v>
      </c>
      <c r="G14" s="90"/>
      <c r="H14" s="129" t="s">
        <v>97</v>
      </c>
      <c r="I14" s="116">
        <v>30265382</v>
      </c>
      <c r="J14" s="116"/>
      <c r="K14" s="116">
        <v>1317874.76</v>
      </c>
      <c r="L14" s="130">
        <f t="shared" si="0"/>
        <v>22.96529451706018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1343471.7272727273</v>
      </c>
      <c r="F15" s="90">
        <f t="shared" si="1"/>
        <v>-0.11220566965074008</v>
      </c>
      <c r="G15" s="90"/>
      <c r="H15" s="129" t="s">
        <v>98</v>
      </c>
      <c r="I15" s="116">
        <v>29556378</v>
      </c>
      <c r="J15" s="116"/>
      <c r="K15" s="116">
        <v>1256715.7</v>
      </c>
      <c r="L15" s="130">
        <f t="shared" si="0"/>
        <v>23.518746523179427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4331587.6909090905</v>
      </c>
      <c r="B16" s="131">
        <f>AVERAGE(E14:E16)</f>
        <v>1443862.5636363635</v>
      </c>
      <c r="C16" s="90">
        <f>B16/B13-1</f>
        <v>-2.7189034561209913E-2</v>
      </c>
      <c r="D16" s="90"/>
      <c r="E16" s="78">
        <f>I16/22</f>
        <v>1474846.8636363635</v>
      </c>
      <c r="F16" s="90">
        <f t="shared" si="1"/>
        <v>9.7787793890036001E-2</v>
      </c>
      <c r="G16" s="90"/>
      <c r="H16" s="129" t="s">
        <v>99</v>
      </c>
      <c r="I16" s="116">
        <v>32446631</v>
      </c>
      <c r="J16" s="116"/>
      <c r="K16" s="116">
        <v>1325545.1399999999</v>
      </c>
      <c r="L16" s="130">
        <f t="shared" si="0"/>
        <v>24.477952519972277</v>
      </c>
      <c r="M16" s="85">
        <f>I14+I15+I16</f>
        <v>92268391</v>
      </c>
      <c r="N16" s="78">
        <f>J14+J15+J16</f>
        <v>0</v>
      </c>
      <c r="O16" s="87">
        <f>M16/M13-1</f>
        <v>-1.3192774254814688E-2</v>
      </c>
      <c r="P16" s="87"/>
      <c r="Q16" s="88">
        <f>AVERAGE(L14:L16)</f>
        <v>23.653997853403961</v>
      </c>
      <c r="R16" s="89">
        <f>Q16/Q13-1</f>
        <v>-6.269276022148107E-2</v>
      </c>
    </row>
    <row r="17" spans="1:18" ht="15" customHeight="1">
      <c r="A17" s="79"/>
      <c r="B17" s="79"/>
      <c r="C17" s="117"/>
      <c r="D17" s="117"/>
      <c r="E17" s="78">
        <f>I17/20</f>
        <v>1350391.9</v>
      </c>
      <c r="F17" s="90">
        <f t="shared" si="1"/>
        <v>-8.4385007491224573E-2</v>
      </c>
      <c r="G17" s="90">
        <f t="shared" ref="G17:G32" si="2">E17/E5-1</f>
        <v>-0.32811078635939306</v>
      </c>
      <c r="H17" s="129" t="s">
        <v>100</v>
      </c>
      <c r="I17" s="116">
        <v>27007838</v>
      </c>
      <c r="J17" s="116"/>
      <c r="K17" s="116">
        <v>1084924.57</v>
      </c>
      <c r="L17" s="130">
        <f t="shared" si="0"/>
        <v>24.893747221523427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1944403.35</v>
      </c>
      <c r="F18" s="90">
        <f t="shared" si="1"/>
        <v>0.43988078571857558</v>
      </c>
      <c r="G18" s="90">
        <f t="shared" si="2"/>
        <v>-8.5566541123620943E-2</v>
      </c>
      <c r="H18" s="129" t="s">
        <v>106</v>
      </c>
      <c r="I18" s="116">
        <v>38888067</v>
      </c>
      <c r="J18" s="116"/>
      <c r="K18" s="116">
        <v>1474423.65</v>
      </c>
      <c r="L18" s="130">
        <f t="shared" si="0"/>
        <v>26.37509714389077</v>
      </c>
      <c r="M18" s="78"/>
      <c r="N18" s="78"/>
      <c r="O18" s="87"/>
      <c r="P18" s="87"/>
      <c r="Q18" s="79"/>
      <c r="R18" s="89"/>
    </row>
    <row r="19" spans="1:18">
      <c r="A19" s="131">
        <f>SUM(E17:E19)</f>
        <v>5332524.7045454551</v>
      </c>
      <c r="B19" s="131">
        <f>AVERAGE(E17:E19)</f>
        <v>1777508.2348484851</v>
      </c>
      <c r="C19" s="90">
        <f>B19/B16-1</f>
        <v>0.23107855249867826</v>
      </c>
      <c r="D19" s="90">
        <f>B19/B7-1</f>
        <v>-0.13453750061502012</v>
      </c>
      <c r="E19" s="78">
        <f>I19/22</f>
        <v>2037729.4545454546</v>
      </c>
      <c r="F19" s="90">
        <f t="shared" si="1"/>
        <v>4.7997296726244754E-2</v>
      </c>
      <c r="G19" s="90">
        <f t="shared" si="2"/>
        <v>6.145357796621731E-3</v>
      </c>
      <c r="H19" s="129" t="s">
        <v>114</v>
      </c>
      <c r="I19" s="116">
        <v>44830048</v>
      </c>
      <c r="J19" s="116"/>
      <c r="K19" s="116">
        <v>1776126.22</v>
      </c>
      <c r="L19" s="130">
        <f t="shared" si="0"/>
        <v>25.240350316994927</v>
      </c>
      <c r="M19" s="85">
        <f>I17+I18+I19</f>
        <v>110725953</v>
      </c>
      <c r="N19" s="78">
        <f>J17+J18+J19</f>
        <v>0</v>
      </c>
      <c r="O19" s="87">
        <f>M19/M16-1</f>
        <v>0.20004209242144477</v>
      </c>
      <c r="P19" s="87">
        <f>M19/M7-1</f>
        <v>-9.9989139000569605E-2</v>
      </c>
      <c r="Q19" s="88">
        <f>AVERAGE(L17:L19)</f>
        <v>25.503064894136372</v>
      </c>
      <c r="R19" s="89">
        <f>Q19/Q16-1</f>
        <v>7.8171438595371345E-2</v>
      </c>
    </row>
    <row r="20" spans="1:18">
      <c r="A20" s="131"/>
      <c r="B20" s="131"/>
      <c r="C20" s="90"/>
      <c r="D20" s="90"/>
      <c r="E20" s="78">
        <f>I20/20</f>
        <v>2024516.8</v>
      </c>
      <c r="F20" s="90">
        <f t="shared" si="1"/>
        <v>-6.4840082259113307E-3</v>
      </c>
      <c r="G20" s="90">
        <f t="shared" si="2"/>
        <v>-4.1413886381527321E-2</v>
      </c>
      <c r="H20" s="129" t="s">
        <v>131</v>
      </c>
      <c r="I20" s="116">
        <v>40490336</v>
      </c>
      <c r="J20" s="116"/>
      <c r="K20" s="116">
        <v>1553037.44</v>
      </c>
      <c r="L20" s="130">
        <f t="shared" si="0"/>
        <v>26.07170629447285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2093126.4761904762</v>
      </c>
      <c r="F21" s="90">
        <f t="shared" si="1"/>
        <v>3.388940817407704E-2</v>
      </c>
      <c r="G21" s="90">
        <f t="shared" si="2"/>
        <v>9.5306680296724844E-2</v>
      </c>
      <c r="H21" s="129" t="s">
        <v>141</v>
      </c>
      <c r="I21" s="116">
        <v>43955656</v>
      </c>
      <c r="J21" s="116"/>
      <c r="K21" s="116">
        <v>1574497.08</v>
      </c>
      <c r="L21" s="130">
        <f t="shared" si="0"/>
        <v>27.917267398171358</v>
      </c>
      <c r="M21" s="78"/>
      <c r="N21" s="78"/>
      <c r="O21" s="87"/>
      <c r="P21" s="87"/>
      <c r="Q21" s="79"/>
      <c r="R21" s="89"/>
    </row>
    <row r="22" spans="1:18">
      <c r="A22" s="131">
        <f>SUM(E20:E22)</f>
        <v>6280998.7523809522</v>
      </c>
      <c r="B22" s="131">
        <f>AVERAGE(E20:E22)</f>
        <v>2093666.2507936507</v>
      </c>
      <c r="C22" s="90">
        <f>B22/B19-1</f>
        <v>0.17786585161565505</v>
      </c>
      <c r="D22" s="90">
        <f>B22/B10-1</f>
        <v>5.8341768979771169E-2</v>
      </c>
      <c r="E22" s="78">
        <f>I22/21</f>
        <v>2163355.4761904762</v>
      </c>
      <c r="F22" s="90">
        <f t="shared" si="1"/>
        <v>3.3552200881725058E-2</v>
      </c>
      <c r="G22" s="90">
        <f t="shared" si="2"/>
        <v>0.13159424628947747</v>
      </c>
      <c r="H22" s="129" t="s">
        <v>155</v>
      </c>
      <c r="I22" s="116">
        <v>45430465</v>
      </c>
      <c r="J22" s="116"/>
      <c r="K22" s="116">
        <v>1659870.53</v>
      </c>
      <c r="L22" s="130">
        <f t="shared" si="0"/>
        <v>27.369884686126696</v>
      </c>
      <c r="M22" s="85">
        <f>I20+I21+I22</f>
        <v>129876457</v>
      </c>
      <c r="N22" s="78">
        <f>J20+J21+J22</f>
        <v>0</v>
      </c>
      <c r="O22" s="87">
        <f>M22/M19-1</f>
        <v>0.17295406795911705</v>
      </c>
      <c r="P22" s="87">
        <f>M22/M10-1</f>
        <v>4.2097531884978334E-2</v>
      </c>
      <c r="Q22" s="88">
        <f>AVERAGE(L20:L22)</f>
        <v>27.1196194595903</v>
      </c>
      <c r="R22" s="89">
        <f>Q22/Q19-1</f>
        <v>6.3386678117483886E-2</v>
      </c>
    </row>
    <row r="23" spans="1:18">
      <c r="A23" s="131"/>
      <c r="B23" s="131"/>
      <c r="C23" s="117"/>
      <c r="D23" s="117"/>
      <c r="E23" s="78">
        <f>I23/21</f>
        <v>1860447.7619047619</v>
      </c>
      <c r="F23" s="90">
        <f t="shared" si="1"/>
        <v>-0.14001754109274467</v>
      </c>
      <c r="G23" s="90">
        <f t="shared" si="2"/>
        <v>0.26544605452539582</v>
      </c>
      <c r="H23" s="129" t="s">
        <v>189</v>
      </c>
      <c r="I23" s="116">
        <v>39069403</v>
      </c>
      <c r="J23" s="116"/>
      <c r="K23" s="116">
        <v>1444471.46</v>
      </c>
      <c r="L23" s="130">
        <f t="shared" si="0"/>
        <v>27.047542358503922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1940678.3181818181</v>
      </c>
      <c r="F24" s="90">
        <f t="shared" si="1"/>
        <v>4.3124326261606338E-2</v>
      </c>
      <c r="G24" s="90">
        <f t="shared" si="2"/>
        <v>0.30302386620925392</v>
      </c>
      <c r="H24" s="129" t="s">
        <v>204</v>
      </c>
      <c r="I24" s="116">
        <v>42694923</v>
      </c>
      <c r="J24" s="116"/>
      <c r="K24" s="116">
        <v>1588660.35</v>
      </c>
      <c r="L24" s="130">
        <f t="shared" si="0"/>
        <v>26.87479611359344</v>
      </c>
      <c r="M24" s="78"/>
      <c r="N24" s="78"/>
      <c r="O24" s="87"/>
      <c r="P24" s="87"/>
      <c r="Q24" s="79"/>
      <c r="R24" s="89"/>
    </row>
    <row r="25" spans="1:18">
      <c r="A25" s="131">
        <f>SUM(E23:E25)</f>
        <v>6181473.8169286847</v>
      </c>
      <c r="B25" s="131">
        <f>AVERAGE(E23:E25)</f>
        <v>2060491.2723095615</v>
      </c>
      <c r="C25" s="90">
        <f>B25/B22-1</f>
        <v>-1.5845399653126924E-2</v>
      </c>
      <c r="D25" s="90">
        <f>B25/B13-1</f>
        <v>0.38826821497845176</v>
      </c>
      <c r="E25" s="78">
        <f>I25/19</f>
        <v>2380347.7368421052</v>
      </c>
      <c r="F25" s="90">
        <f t="shared" si="1"/>
        <v>0.22655450650482067</v>
      </c>
      <c r="G25" s="90">
        <f t="shared" si="2"/>
        <v>0.59423777740137429</v>
      </c>
      <c r="H25" s="129" t="s">
        <v>217</v>
      </c>
      <c r="I25" s="116">
        <v>45226607</v>
      </c>
      <c r="J25" s="116"/>
      <c r="K25" s="116">
        <v>1635227.56</v>
      </c>
      <c r="L25" s="130">
        <f t="shared" si="0"/>
        <v>27.657683925043436</v>
      </c>
      <c r="M25" s="85">
        <f>I23+I24+I25</f>
        <v>126990933</v>
      </c>
      <c r="N25" s="78">
        <f>J23+J24+J25</f>
        <v>0</v>
      </c>
      <c r="O25" s="90">
        <f>M25/M22-1</f>
        <v>-2.221745239015871E-2</v>
      </c>
      <c r="P25" s="90">
        <f>M25/M13-1</f>
        <v>0.35816360218661125</v>
      </c>
      <c r="Q25" s="88">
        <f>AVERAGE(L23:L25)</f>
        <v>27.193340799046933</v>
      </c>
      <c r="R25" s="91">
        <f>Q25/Q22-1</f>
        <v>2.7183766190554959E-3</v>
      </c>
    </row>
    <row r="26" spans="1:18">
      <c r="A26" s="131"/>
      <c r="B26" s="131"/>
      <c r="C26" s="132"/>
      <c r="D26" s="132"/>
      <c r="E26" s="78">
        <f>I26/19</f>
        <v>2335514.5263157897</v>
      </c>
      <c r="F26" s="90">
        <f t="shared" si="1"/>
        <v>-1.8834731511032765E-2</v>
      </c>
      <c r="G26" s="90">
        <f t="shared" si="2"/>
        <v>0.54335704490086356</v>
      </c>
      <c r="H26" s="129" t="s">
        <v>312</v>
      </c>
      <c r="I26" s="116">
        <v>44374776</v>
      </c>
      <c r="J26" s="116"/>
      <c r="K26" s="116">
        <v>1637623.95</v>
      </c>
      <c r="L26" s="130">
        <f t="shared" si="0"/>
        <v>27.097048745531598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2010188.1363636365</v>
      </c>
      <c r="F27" s="90">
        <f t="shared" si="1"/>
        <v>-0.13929538278888232</v>
      </c>
      <c r="G27" s="90">
        <f t="shared" si="2"/>
        <v>0.49626381825269661</v>
      </c>
      <c r="H27" s="129" t="s">
        <v>373</v>
      </c>
      <c r="I27" s="116">
        <v>44224139</v>
      </c>
      <c r="J27" s="116"/>
      <c r="K27" s="116">
        <v>1618211.43</v>
      </c>
      <c r="L27" s="130">
        <f t="shared" si="0"/>
        <v>27.329023995337867</v>
      </c>
      <c r="M27" s="78"/>
      <c r="N27" s="78"/>
      <c r="O27" s="90"/>
      <c r="P27" s="90"/>
      <c r="Q27" s="79"/>
      <c r="R27" s="79"/>
    </row>
    <row r="28" spans="1:18">
      <c r="A28" s="131">
        <f>SUM(E26:E28)</f>
        <v>6571856.7153110057</v>
      </c>
      <c r="B28" s="131">
        <f>AVERAGE(E26:E28)</f>
        <v>2190618.9051036686</v>
      </c>
      <c r="C28" s="90">
        <f>B28/B25-1</f>
        <v>6.3153692783298965E-2</v>
      </c>
      <c r="D28" s="90">
        <f>B28/B16-1</f>
        <v>0.51719350599866054</v>
      </c>
      <c r="E28" s="78">
        <f>I28/19</f>
        <v>2226154.0526315789</v>
      </c>
      <c r="F28" s="90">
        <f t="shared" si="1"/>
        <v>0.10743567348806349</v>
      </c>
      <c r="G28" s="90">
        <f t="shared" si="2"/>
        <v>0.50941369407180481</v>
      </c>
      <c r="H28" s="129" t="s">
        <v>413</v>
      </c>
      <c r="I28" s="116">
        <v>42296927</v>
      </c>
      <c r="J28" s="116"/>
      <c r="K28" s="116">
        <v>1551895.91</v>
      </c>
      <c r="L28" s="130">
        <f t="shared" si="0"/>
        <v>27.255002560062163</v>
      </c>
      <c r="M28" s="85">
        <f>I26+I27+I28</f>
        <v>130895842</v>
      </c>
      <c r="N28" s="78">
        <f>J26+J27+J28</f>
        <v>0</v>
      </c>
      <c r="O28" s="90">
        <f>M28/M25-1</f>
        <v>3.0749510281966375E-2</v>
      </c>
      <c r="P28" s="90">
        <f>M28/M16-1</f>
        <v>0.41864229538802733</v>
      </c>
      <c r="Q28" s="88">
        <f>AVERAGE(L26:L28)</f>
        <v>27.227025100310541</v>
      </c>
      <c r="R28" s="91">
        <f>Q28/Q25-1</f>
        <v>1.2386966909483377E-3</v>
      </c>
    </row>
    <row r="29" spans="1:18">
      <c r="A29" s="131"/>
      <c r="B29" s="131"/>
      <c r="C29" s="132"/>
      <c r="D29" s="132"/>
      <c r="E29" s="78">
        <f>I29/22</f>
        <v>1852617.7727272727</v>
      </c>
      <c r="F29" s="90">
        <f t="shared" si="1"/>
        <v>-0.16779444327437354</v>
      </c>
      <c r="G29" s="90">
        <f t="shared" si="2"/>
        <v>0.37191120053909743</v>
      </c>
      <c r="H29" s="129" t="s">
        <v>426</v>
      </c>
      <c r="I29" s="116">
        <v>40757591</v>
      </c>
      <c r="J29" s="116">
        <v>53583450750</v>
      </c>
      <c r="K29" s="116">
        <v>1541362.59</v>
      </c>
      <c r="L29" s="130">
        <f t="shared" si="0"/>
        <v>26.442571828605232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2193720.3157894737</v>
      </c>
      <c r="F30" s="90">
        <f t="shared" si="1"/>
        <v>0.18411922204549391</v>
      </c>
      <c r="G30" s="90">
        <f t="shared" si="2"/>
        <v>0.12822286373322367</v>
      </c>
      <c r="H30" s="129" t="s">
        <v>466</v>
      </c>
      <c r="I30" s="116">
        <v>41680686</v>
      </c>
      <c r="J30" s="116">
        <v>55538209312</v>
      </c>
      <c r="K30" s="116">
        <v>1479463.35</v>
      </c>
      <c r="L30" s="130">
        <f t="shared" si="0"/>
        <v>28.172841185961111</v>
      </c>
      <c r="M30" s="85"/>
      <c r="N30" s="78"/>
      <c r="O30" s="90"/>
      <c r="P30" s="90"/>
      <c r="Q30" s="88"/>
      <c r="R30" s="91"/>
    </row>
    <row r="31" spans="1:18">
      <c r="A31" s="131">
        <f>SUM(E29:E31)</f>
        <v>6494436.0385167468</v>
      </c>
      <c r="B31" s="131">
        <f>AVERAGE(E29:E31)</f>
        <v>2164812.0128389155</v>
      </c>
      <c r="C31" s="90">
        <f>B31/B28-1</f>
        <v>-1.1780639802125625E-2</v>
      </c>
      <c r="D31" s="90">
        <f>B31/B19-1</f>
        <v>0.2178914113573398</v>
      </c>
      <c r="E31" s="78">
        <f>I31/20</f>
        <v>2448097.9500000002</v>
      </c>
      <c r="F31" s="90">
        <f t="shared" si="1"/>
        <v>0.11595718578144321</v>
      </c>
      <c r="G31" s="90">
        <f t="shared" si="2"/>
        <v>0.2013851713921877</v>
      </c>
      <c r="H31" s="129" t="s">
        <v>505</v>
      </c>
      <c r="I31" s="116">
        <v>48961959</v>
      </c>
      <c r="J31" s="116">
        <v>65029268856</v>
      </c>
      <c r="K31" s="116">
        <v>1699073.99</v>
      </c>
      <c r="L31" s="130">
        <f t="shared" si="0"/>
        <v>28.81684922973837</v>
      </c>
      <c r="M31" s="85">
        <f>I29+I30+I31</f>
        <v>131400236</v>
      </c>
      <c r="N31" s="78">
        <f>J29+J30+J31</f>
        <v>174150928918</v>
      </c>
      <c r="O31" s="90">
        <f>M31/M28-1</f>
        <v>3.8533997130330011E-3</v>
      </c>
      <c r="P31" s="90">
        <f>M31/M19-1</f>
        <v>0.18671578288425295</v>
      </c>
      <c r="Q31" s="88">
        <f>AVERAGE(L29:L31)</f>
        <v>27.810754081434904</v>
      </c>
      <c r="R31" s="91">
        <f>Q31/Q28-1</f>
        <v>2.1439322840955732E-2</v>
      </c>
    </row>
    <row r="32" spans="1:18">
      <c r="A32" s="131"/>
      <c r="B32" s="131"/>
      <c r="C32" s="90"/>
      <c r="D32" s="90"/>
      <c r="E32" s="78">
        <f>I32/21</f>
        <v>2546088</v>
      </c>
      <c r="F32" s="90">
        <f t="shared" si="1"/>
        <v>4.0027013625006269E-2</v>
      </c>
      <c r="G32" s="90">
        <f t="shared" si="2"/>
        <v>0.2576274990654559</v>
      </c>
      <c r="H32" s="129" t="s">
        <v>561</v>
      </c>
      <c r="I32" s="116">
        <v>53467848</v>
      </c>
      <c r="J32" s="116">
        <v>72725318903</v>
      </c>
      <c r="K32" s="116">
        <v>1712975.92</v>
      </c>
      <c r="L32" s="130">
        <f t="shared" si="0"/>
        <v>31.213426514483636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2462751.5238095238</v>
      </c>
      <c r="F33" s="90">
        <f t="shared" si="1"/>
        <v>-3.2731184542905134E-2</v>
      </c>
      <c r="G33" s="90">
        <f t="shared" ref="G33:G38" si="3">E33/E21-1</f>
        <v>0.17658992508267879</v>
      </c>
      <c r="H33" s="129" t="s">
        <v>606</v>
      </c>
      <c r="I33" s="116">
        <v>51717782</v>
      </c>
      <c r="J33" s="116">
        <v>70740986311</v>
      </c>
      <c r="K33" s="116">
        <v>1648858.28</v>
      </c>
      <c r="L33" s="130">
        <f t="shared" si="0"/>
        <v>31.365813925500014</v>
      </c>
      <c r="M33" s="85"/>
      <c r="N33" s="78"/>
      <c r="O33" s="90"/>
      <c r="P33" s="90"/>
      <c r="Q33" s="88"/>
      <c r="R33" s="91"/>
    </row>
    <row r="34" spans="1:18">
      <c r="A34" s="131">
        <f>SUM(E32:E34)</f>
        <v>7686927.4711779449</v>
      </c>
      <c r="B34" s="131">
        <f>AVERAGE(E32:E34)</f>
        <v>2562309.1570593151</v>
      </c>
      <c r="C34" s="90">
        <f>B34/B31-1</f>
        <v>0.1836173958121774</v>
      </c>
      <c r="D34" s="90">
        <f>B34/B22-1</f>
        <v>0.22383840121987686</v>
      </c>
      <c r="E34" s="78">
        <f>I34/19</f>
        <v>2678087.9473684211</v>
      </c>
      <c r="F34" s="90">
        <f t="shared" ref="F34" si="4">E34/E33-1</f>
        <v>8.7437332380898347E-2</v>
      </c>
      <c r="G34" s="90">
        <f t="shared" si="3"/>
        <v>0.23793245115886097</v>
      </c>
      <c r="H34" s="129" t="s">
        <v>652</v>
      </c>
      <c r="I34" s="116">
        <v>50883671</v>
      </c>
      <c r="J34" s="116">
        <v>69951831415</v>
      </c>
      <c r="K34" s="116">
        <v>1548485.46</v>
      </c>
      <c r="L34" s="130">
        <f t="shared" ref="L34" si="5">I34/K34</f>
        <v>32.860283363590639</v>
      </c>
      <c r="M34" s="85">
        <f>I32+I33+I34</f>
        <v>156069301</v>
      </c>
      <c r="N34" s="78">
        <f>J32+J33+J34</f>
        <v>213418136629</v>
      </c>
      <c r="O34" s="90">
        <f>M34/M31-1</f>
        <v>0.18773988351132043</v>
      </c>
      <c r="P34" s="90">
        <f>M34/M22-1</f>
        <v>0.20167507341226587</v>
      </c>
      <c r="Q34" s="88">
        <f>AVERAGE(L32:L34)</f>
        <v>31.813174601191431</v>
      </c>
      <c r="R34" s="91">
        <f>Q34/Q31-1</f>
        <v>0.14391628893041575</v>
      </c>
    </row>
    <row r="35" spans="1:18">
      <c r="A35" s="131"/>
      <c r="B35" s="131"/>
      <c r="C35" s="90"/>
      <c r="D35" s="90"/>
      <c r="E35" s="78">
        <f>I35/23</f>
        <v>2278908.6956521738</v>
      </c>
      <c r="F35" s="90">
        <f t="shared" ref="F35" si="6">E35/E34-1</f>
        <v>-0.1490538248038098</v>
      </c>
      <c r="G35" s="90">
        <f t="shared" si="3"/>
        <v>0.22492484998287932</v>
      </c>
      <c r="H35" s="129" t="s">
        <v>660</v>
      </c>
      <c r="I35" s="116">
        <v>52414900</v>
      </c>
      <c r="J35" s="116">
        <v>72552795833</v>
      </c>
      <c r="K35" s="116">
        <v>1589891.09</v>
      </c>
      <c r="L35" s="130">
        <f t="shared" ref="L35" si="7">I35/K35</f>
        <v>32.96760408915808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2182983.6190476189</v>
      </c>
      <c r="F36" s="90">
        <f t="shared" ref="F36" si="8">E36/E35-1</f>
        <v>-4.2092549292372272E-2</v>
      </c>
      <c r="G36" s="90">
        <f t="shared" si="3"/>
        <v>0.124855983908148</v>
      </c>
      <c r="H36" s="129" t="s">
        <v>664</v>
      </c>
      <c r="I36" s="116">
        <v>45842656</v>
      </c>
      <c r="J36" s="116">
        <v>62561652340</v>
      </c>
      <c r="K36" s="116">
        <v>1347667.59</v>
      </c>
      <c r="L36" s="130">
        <f t="shared" ref="L36" si="9">I36/K36</f>
        <v>34.016293290840359</v>
      </c>
      <c r="M36" s="85"/>
      <c r="N36" s="78"/>
      <c r="O36" s="90"/>
      <c r="P36" s="90"/>
      <c r="Q36" s="88"/>
      <c r="R36" s="91"/>
    </row>
    <row r="37" spans="1:18">
      <c r="A37" s="131">
        <f>SUM(E35:E37)</f>
        <v>7151088.3702553492</v>
      </c>
      <c r="B37" s="131">
        <f>AVERAGE(E35:E37)</f>
        <v>2383696.1234184499</v>
      </c>
      <c r="C37" s="90">
        <f>B37/B34-1</f>
        <v>-6.9707838786266518E-2</v>
      </c>
      <c r="D37" s="90">
        <f>B37/B25-1</f>
        <v>0.15685815099163936</v>
      </c>
      <c r="E37" s="78">
        <f>I37/18</f>
        <v>2689196.0555555555</v>
      </c>
      <c r="F37" s="90">
        <f t="shared" ref="F37" si="10">E37/E36-1</f>
        <v>0.23189016724220046</v>
      </c>
      <c r="G37" s="90">
        <f t="shared" si="3"/>
        <v>0.12974924374838803</v>
      </c>
      <c r="H37" s="129" t="s">
        <v>702</v>
      </c>
      <c r="I37" s="116">
        <v>48405529</v>
      </c>
      <c r="J37" s="116">
        <v>64599272852</v>
      </c>
      <c r="K37" s="116">
        <v>1469380.72</v>
      </c>
      <c r="L37" s="130">
        <f t="shared" ref="L37" si="11">I37/K37</f>
        <v>32.942809403406358</v>
      </c>
      <c r="M37" s="85">
        <f>I35+I36+I37</f>
        <v>146663085</v>
      </c>
      <c r="N37" s="78">
        <f>J35+J36+J37</f>
        <v>199713721025</v>
      </c>
      <c r="O37" s="90">
        <f>M37/M34-1</f>
        <v>-6.0269482465356794E-2</v>
      </c>
      <c r="P37" s="90">
        <f>M37/M25-1</f>
        <v>0.15490989423630741</v>
      </c>
      <c r="Q37" s="88">
        <f>AVERAGE(L35:L37)</f>
        <v>33.308902261134932</v>
      </c>
      <c r="R37" s="91">
        <f>Q37/Q34-1</f>
        <v>4.701598248819483E-2</v>
      </c>
    </row>
    <row r="38" spans="1:18">
      <c r="A38" s="131"/>
      <c r="B38" s="131"/>
      <c r="C38" s="90"/>
      <c r="D38" s="90"/>
      <c r="E38" s="143">
        <f>I38/20</f>
        <v>2629361</v>
      </c>
      <c r="F38" s="109">
        <f t="shared" ref="F38" si="12">E38/E37-1</f>
        <v>-2.2250164852035792E-2</v>
      </c>
      <c r="G38" s="109">
        <f t="shared" si="3"/>
        <v>0.12581659003754742</v>
      </c>
      <c r="H38" s="144" t="s">
        <v>728</v>
      </c>
      <c r="I38" s="145">
        <v>52587220</v>
      </c>
      <c r="J38" s="145">
        <v>70791396732</v>
      </c>
      <c r="K38" s="145">
        <v>1628408.65</v>
      </c>
      <c r="L38" s="146">
        <f t="shared" ref="L38" si="13">I38/K38</f>
        <v>32.29362605019324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I39/14</f>
        <v>2510918.3571428573</v>
      </c>
      <c r="F39" s="109">
        <f t="shared" ref="F39" si="14">E39/E38-1</f>
        <v>-4.5046170098796856E-2</v>
      </c>
      <c r="G39" s="109">
        <f t="shared" ref="G39" si="15">E39/E27-1</f>
        <v>0.2490961973763437</v>
      </c>
      <c r="H39" s="144" t="s">
        <v>762</v>
      </c>
      <c r="I39" s="145">
        <v>35152857</v>
      </c>
      <c r="J39" s="145">
        <v>48761163355</v>
      </c>
      <c r="K39" s="145">
        <v>1107996.8700000001</v>
      </c>
      <c r="L39" s="146">
        <f t="shared" ref="L39" si="16">I39/K39</f>
        <v>31.72649485914161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2570139.6785714286</v>
      </c>
      <c r="C40" s="90">
        <f>B40/B37-1</f>
        <v>7.8216159065443547E-2</v>
      </c>
      <c r="D40" s="90">
        <f>B40/B28-1</f>
        <v>0.17324819601600194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 ht="17.399999999999999">
      <c r="F48" s="174"/>
      <c r="G48" s="174"/>
      <c r="H48" s="176" t="s">
        <v>764</v>
      </c>
      <c r="I48"/>
      <c r="J48"/>
      <c r="K48"/>
      <c r="M48" s="175"/>
    </row>
    <row r="49" spans="6:13" ht="13.8">
      <c r="F49" s="174"/>
      <c r="G49" s="174"/>
      <c r="H49" s="177"/>
      <c r="I49" s="177"/>
      <c r="J49" s="177"/>
      <c r="K49" s="177"/>
      <c r="M49" s="175"/>
    </row>
    <row r="50" spans="6:13" ht="13.8">
      <c r="H50" s="178"/>
      <c r="I50" s="178"/>
      <c r="J50" s="178"/>
      <c r="K50" s="178"/>
    </row>
    <row r="51" spans="6:13" ht="13.8">
      <c r="H51" s="178" t="s">
        <v>8</v>
      </c>
      <c r="I51" s="178" t="s">
        <v>9</v>
      </c>
      <c r="J51" s="178" t="s">
        <v>10</v>
      </c>
      <c r="K51" s="178" t="s">
        <v>11</v>
      </c>
    </row>
    <row r="52" spans="6:13" ht="14.4" thickBot="1">
      <c r="H52" s="179"/>
      <c r="I52" s="179"/>
      <c r="J52" s="179"/>
      <c r="K52" s="179"/>
    </row>
    <row r="53" spans="6:13" ht="14.4" thickBot="1">
      <c r="H53" s="180" t="s">
        <v>765</v>
      </c>
      <c r="I53" s="181">
        <v>40757591</v>
      </c>
      <c r="J53" s="181">
        <v>53583450750</v>
      </c>
      <c r="K53" s="182">
        <v>1541362.59</v>
      </c>
    </row>
    <row r="54" spans="6:13" ht="14.4" thickBot="1">
      <c r="H54" s="180" t="s">
        <v>766</v>
      </c>
      <c r="I54" s="181">
        <v>41680686</v>
      </c>
      <c r="J54" s="181">
        <v>55538209312</v>
      </c>
      <c r="K54" s="182">
        <v>1479463.35</v>
      </c>
    </row>
    <row r="55" spans="6:13" ht="14.4" thickBot="1">
      <c r="H55" s="180" t="s">
        <v>767</v>
      </c>
      <c r="I55" s="181">
        <v>48961959</v>
      </c>
      <c r="J55" s="181">
        <v>65029268856</v>
      </c>
      <c r="K55" s="182">
        <v>1699073.99</v>
      </c>
    </row>
    <row r="56" spans="6:13" ht="14.4" thickBot="1">
      <c r="H56" s="180" t="s">
        <v>768</v>
      </c>
      <c r="I56" s="181">
        <v>53467848</v>
      </c>
      <c r="J56" s="181">
        <v>72725318903</v>
      </c>
      <c r="K56" s="182">
        <v>1712975.92</v>
      </c>
    </row>
    <row r="57" spans="6:13" ht="14.4" thickBot="1">
      <c r="H57" s="180" t="s">
        <v>769</v>
      </c>
      <c r="I57" s="181">
        <v>51717782</v>
      </c>
      <c r="J57" s="181">
        <v>70740986311</v>
      </c>
      <c r="K57" s="182">
        <v>1648858.28</v>
      </c>
    </row>
    <row r="58" spans="6:13" ht="14.4" thickBot="1">
      <c r="H58" s="180" t="s">
        <v>770</v>
      </c>
      <c r="I58" s="181">
        <v>50883671</v>
      </c>
      <c r="J58" s="181">
        <v>69951831415</v>
      </c>
      <c r="K58" s="182">
        <v>1548485.46</v>
      </c>
    </row>
    <row r="59" spans="6:13" ht="14.4" thickBot="1">
      <c r="H59" s="180" t="s">
        <v>771</v>
      </c>
      <c r="I59" s="181">
        <v>52414900</v>
      </c>
      <c r="J59" s="181">
        <v>72552795833</v>
      </c>
      <c r="K59" s="182">
        <v>1589891.09</v>
      </c>
    </row>
    <row r="60" spans="6:13" ht="14.4" thickBot="1">
      <c r="H60" s="180" t="s">
        <v>772</v>
      </c>
      <c r="I60" s="181">
        <v>45842656</v>
      </c>
      <c r="J60" s="181">
        <v>62561652340</v>
      </c>
      <c r="K60" s="182">
        <v>1347667.59</v>
      </c>
    </row>
    <row r="61" spans="6:13" ht="14.4" thickBot="1">
      <c r="H61" s="180" t="s">
        <v>773</v>
      </c>
      <c r="I61" s="181">
        <v>48405529</v>
      </c>
      <c r="J61" s="181">
        <v>64599272852</v>
      </c>
      <c r="K61" s="182">
        <v>1469380.72</v>
      </c>
    </row>
    <row r="62" spans="6:13" ht="14.4" thickBot="1">
      <c r="H62" s="180" t="s">
        <v>774</v>
      </c>
      <c r="I62" s="181">
        <v>52587220</v>
      </c>
      <c r="J62" s="181">
        <v>70791396732</v>
      </c>
      <c r="K62" s="182">
        <v>1628408.65</v>
      </c>
    </row>
    <row r="63" spans="6:13" ht="14.4" thickBot="1">
      <c r="H63" s="180" t="s">
        <v>775</v>
      </c>
      <c r="I63" s="181">
        <v>35152857</v>
      </c>
      <c r="J63" s="181">
        <v>48761163355</v>
      </c>
      <c r="K63" s="182">
        <v>1107996.8700000001</v>
      </c>
    </row>
  </sheetData>
  <phoneticPr fontId="1" type="noConversion"/>
  <conditionalFormatting sqref="B29:B30">
    <cfRule type="cellIs" dxfId="12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74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3923900000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270</v>
      </c>
      <c r="F4" s="84" t="s">
        <v>72</v>
      </c>
      <c r="G4" s="172" t="s">
        <v>282</v>
      </c>
      <c r="H4" s="172" t="s">
        <v>270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1134012.8500000001</v>
      </c>
      <c r="G5" s="90"/>
      <c r="H5" s="90"/>
      <c r="I5" s="130">
        <f t="shared" ref="I5:I49" si="0">T5</f>
        <v>3.8595606144919929</v>
      </c>
      <c r="J5" s="130"/>
      <c r="L5" s="80"/>
      <c r="M5" s="80"/>
      <c r="P5" s="129" t="s">
        <v>0</v>
      </c>
      <c r="Q5" s="116">
        <v>22680257</v>
      </c>
      <c r="R5" s="116">
        <v>26761333672</v>
      </c>
      <c r="S5" s="116">
        <v>5876383.1600000001</v>
      </c>
      <c r="T5" s="130">
        <f t="shared" ref="T5:T17" si="1">Q5/S5</f>
        <v>3.8595606144919929</v>
      </c>
      <c r="U5" s="85"/>
    </row>
    <row r="6" spans="1:21" ht="15" hidden="1" customHeight="1">
      <c r="A6" s="129" t="s">
        <v>1</v>
      </c>
      <c r="C6" s="79"/>
      <c r="F6" s="78">
        <f>Q6/18</f>
        <v>1068965.7222222222</v>
      </c>
      <c r="G6" s="90">
        <f t="shared" ref="G6:G16" si="2">F6/F5-1</f>
        <v>-5.73601328924781E-2</v>
      </c>
      <c r="H6" s="90"/>
      <c r="I6" s="130">
        <f t="shared" si="0"/>
        <v>3.7112013159668331</v>
      </c>
      <c r="J6" s="130"/>
      <c r="P6" s="129" t="s">
        <v>1</v>
      </c>
      <c r="Q6" s="116">
        <v>19241383</v>
      </c>
      <c r="R6" s="116">
        <v>22861527131</v>
      </c>
      <c r="S6" s="116">
        <v>5184677.78</v>
      </c>
      <c r="T6" s="130">
        <f t="shared" si="1"/>
        <v>3.7112013159668331</v>
      </c>
      <c r="U6" s="85"/>
    </row>
    <row r="7" spans="1:21" ht="15" hidden="1" customHeight="1">
      <c r="A7" s="129" t="s">
        <v>2</v>
      </c>
      <c r="B7" s="131">
        <f>F5+F6+F7</f>
        <v>3235096.8904040409</v>
      </c>
      <c r="C7" s="131">
        <f>AVERAGE(F5:F7)</f>
        <v>1078365.6301346803</v>
      </c>
      <c r="F7" s="78">
        <f>Q7/22</f>
        <v>1032118.3181818182</v>
      </c>
      <c r="G7" s="90">
        <f t="shared" si="2"/>
        <v>-3.4470145556962928E-2</v>
      </c>
      <c r="H7" s="90"/>
      <c r="I7" s="130">
        <f t="shared" si="0"/>
        <v>3.6335150005249464</v>
      </c>
      <c r="J7" s="130"/>
      <c r="K7" s="79">
        <f>R5+R6+R7</f>
        <v>76982659704</v>
      </c>
      <c r="N7" s="88">
        <f>AVERAGE(T5:T7)</f>
        <v>3.7347589769945908</v>
      </c>
      <c r="P7" s="129" t="s">
        <v>2</v>
      </c>
      <c r="Q7" s="116">
        <v>22706603</v>
      </c>
      <c r="R7" s="116">
        <v>27359798901</v>
      </c>
      <c r="S7" s="116">
        <v>6249211.2999999998</v>
      </c>
      <c r="T7" s="130">
        <f t="shared" si="1"/>
        <v>3.6335150005249464</v>
      </c>
      <c r="U7" s="85">
        <f>Q5+Q6+Q7</f>
        <v>64628243</v>
      </c>
    </row>
    <row r="8" spans="1:21" ht="15" hidden="1" customHeight="1">
      <c r="A8" s="129" t="s">
        <v>3</v>
      </c>
      <c r="C8" s="79"/>
      <c r="F8" s="78">
        <f>Q8/21</f>
        <v>1050760.5714285714</v>
      </c>
      <c r="G8" s="90">
        <f t="shared" si="2"/>
        <v>1.8062128070349015E-2</v>
      </c>
      <c r="H8" s="90"/>
      <c r="I8" s="130">
        <f t="shared" si="0"/>
        <v>3.8134326467252908</v>
      </c>
      <c r="J8" s="130"/>
      <c r="K8" s="78"/>
      <c r="P8" s="129" t="s">
        <v>3</v>
      </c>
      <c r="Q8" s="116">
        <v>22065972</v>
      </c>
      <c r="R8" s="116">
        <v>26736359739</v>
      </c>
      <c r="S8" s="116">
        <v>5786380.4199999999</v>
      </c>
      <c r="T8" s="130">
        <f t="shared" si="1"/>
        <v>3.8134326467252908</v>
      </c>
      <c r="U8" s="85"/>
    </row>
    <row r="9" spans="1:21" ht="15" hidden="1" customHeight="1">
      <c r="A9" s="129" t="s">
        <v>4</v>
      </c>
      <c r="C9" s="79"/>
      <c r="F9" s="78">
        <f>Q9/21</f>
        <v>1158506.857142857</v>
      </c>
      <c r="G9" s="90">
        <f t="shared" si="2"/>
        <v>0.10254123407751981</v>
      </c>
      <c r="H9" s="90"/>
      <c r="I9" s="130">
        <f t="shared" si="0"/>
        <v>3.8455940463016645</v>
      </c>
      <c r="J9" s="130"/>
      <c r="K9" s="78"/>
      <c r="P9" s="129" t="s">
        <v>4</v>
      </c>
      <c r="Q9" s="116">
        <v>24328644</v>
      </c>
      <c r="R9" s="116">
        <v>30581209402</v>
      </c>
      <c r="S9" s="116">
        <v>6326368.2300000004</v>
      </c>
      <c r="T9" s="130">
        <f t="shared" si="1"/>
        <v>3.8455940463016645</v>
      </c>
      <c r="U9" s="85"/>
    </row>
    <row r="10" spans="1:21" ht="15" hidden="1" customHeight="1">
      <c r="A10" s="129" t="s">
        <v>5</v>
      </c>
      <c r="B10" s="131">
        <f>F8+F9+F10</f>
        <v>3164609.0476190471</v>
      </c>
      <c r="C10" s="131">
        <f>AVERAGE(F8:F10)</f>
        <v>1054869.6825396824</v>
      </c>
      <c r="D10" s="90">
        <f>C10/C7-1</f>
        <v>-2.1788479657000481E-2</v>
      </c>
      <c r="E10" s="286"/>
      <c r="F10" s="78">
        <f>Q10/21</f>
        <v>955341.61904761905</v>
      </c>
      <c r="G10" s="90">
        <f t="shared" si="2"/>
        <v>-0.17536817917184366</v>
      </c>
      <c r="H10" s="90"/>
      <c r="I10" s="130">
        <f t="shared" si="0"/>
        <v>3.892271927162942</v>
      </c>
      <c r="J10" s="130"/>
      <c r="K10" s="79">
        <f>R8+R9+R10</f>
        <v>82577798439</v>
      </c>
      <c r="L10" s="87">
        <f>U10/U7-1</f>
        <v>2.8293311331394122E-2</v>
      </c>
      <c r="N10" s="88">
        <f>AVERAGE(T8:T10)</f>
        <v>3.8504328733966324</v>
      </c>
      <c r="O10" s="89">
        <f>N10/N7-1</f>
        <v>3.0972252055506466E-2</v>
      </c>
      <c r="P10" s="129" t="s">
        <v>5</v>
      </c>
      <c r="Q10" s="116">
        <v>20062174</v>
      </c>
      <c r="R10" s="116">
        <v>25260229298</v>
      </c>
      <c r="S10" s="116">
        <v>5154360.84</v>
      </c>
      <c r="T10" s="130">
        <f t="shared" si="1"/>
        <v>3.892271927162942</v>
      </c>
      <c r="U10" s="85">
        <f>Q8+Q9+Q10</f>
        <v>66456790</v>
      </c>
    </row>
    <row r="11" spans="1:21" ht="15" hidden="1" customHeight="1">
      <c r="A11" s="129" t="s">
        <v>6</v>
      </c>
      <c r="C11" s="79"/>
      <c r="F11" s="78">
        <f>Q11/21</f>
        <v>894550.71428571432</v>
      </c>
      <c r="G11" s="90">
        <f t="shared" si="2"/>
        <v>-6.3632635226870238E-2</v>
      </c>
      <c r="H11" s="90"/>
      <c r="I11" s="130">
        <f t="shared" si="0"/>
        <v>3.6371844305687184</v>
      </c>
      <c r="J11" s="130"/>
      <c r="K11" s="78"/>
      <c r="O11" s="89"/>
      <c r="P11" s="129" t="s">
        <v>6</v>
      </c>
      <c r="Q11" s="116">
        <v>18785565</v>
      </c>
      <c r="R11" s="116">
        <v>24239580950</v>
      </c>
      <c r="S11" s="116">
        <v>5164864.57</v>
      </c>
      <c r="T11" s="130">
        <f t="shared" si="1"/>
        <v>3.6371844305687184</v>
      </c>
      <c r="U11" s="85"/>
    </row>
    <row r="12" spans="1:21" ht="15" hidden="1" customHeight="1">
      <c r="A12" s="129" t="s">
        <v>7</v>
      </c>
      <c r="C12" s="79"/>
      <c r="F12" s="78">
        <f>Q12/22</f>
        <v>798141.86363636365</v>
      </c>
      <c r="G12" s="90">
        <f t="shared" si="2"/>
        <v>-0.10777348797528119</v>
      </c>
      <c r="H12" s="90"/>
      <c r="I12" s="130">
        <f t="shared" si="0"/>
        <v>3.689532883099258</v>
      </c>
      <c r="J12" s="130"/>
      <c r="K12" s="78"/>
      <c r="O12" s="89"/>
      <c r="P12" s="129" t="s">
        <v>7</v>
      </c>
      <c r="Q12" s="116">
        <v>17559121</v>
      </c>
      <c r="R12" s="116">
        <v>22793771867</v>
      </c>
      <c r="S12" s="116">
        <v>4759171.84</v>
      </c>
      <c r="T12" s="130">
        <f t="shared" si="1"/>
        <v>3.689532883099258</v>
      </c>
      <c r="U12" s="85"/>
    </row>
    <row r="13" spans="1:21" ht="15" hidden="1" customHeight="1">
      <c r="A13" s="129" t="s">
        <v>96</v>
      </c>
      <c r="B13" s="131">
        <f>F11+F12+F13</f>
        <v>2571790.6779220779</v>
      </c>
      <c r="C13" s="131">
        <f>AVERAGE(F11:F13)</f>
        <v>857263.55930735928</v>
      </c>
      <c r="D13" s="90">
        <f>C13/C10-1</f>
        <v>-0.18732752159164412</v>
      </c>
      <c r="E13" s="286"/>
      <c r="F13" s="78">
        <f>Q13/20</f>
        <v>879098.1</v>
      </c>
      <c r="G13" s="90">
        <f t="shared" si="2"/>
        <v>0.10143088597658156</v>
      </c>
      <c r="H13" s="90"/>
      <c r="I13" s="130">
        <f t="shared" si="0"/>
        <v>3.6901830853810873</v>
      </c>
      <c r="J13" s="130"/>
      <c r="K13" s="78">
        <f>R11+R12+R13</f>
        <v>71045809550</v>
      </c>
      <c r="L13" s="87">
        <f>U13/U10-1</f>
        <v>-0.18854570014591432</v>
      </c>
      <c r="N13" s="88">
        <f>AVERAGE(T11:T13)</f>
        <v>3.6723001330163547</v>
      </c>
      <c r="O13" s="89">
        <f>N13/N10-1</f>
        <v>-4.6263042685675826E-2</v>
      </c>
      <c r="P13" s="129" t="s">
        <v>96</v>
      </c>
      <c r="Q13" s="116">
        <v>17581962</v>
      </c>
      <c r="R13" s="116">
        <v>24012456733</v>
      </c>
      <c r="S13" s="116">
        <v>4764522.95</v>
      </c>
      <c r="T13" s="130">
        <f t="shared" si="1"/>
        <v>3.6901830853810873</v>
      </c>
      <c r="U13" s="85">
        <f>Q11+Q12+Q13</f>
        <v>53926648</v>
      </c>
    </row>
    <row r="14" spans="1:21" ht="15" hidden="1" customHeight="1">
      <c r="A14" s="129" t="s">
        <v>97</v>
      </c>
      <c r="C14" s="79"/>
      <c r="F14" s="78">
        <f>Q14/20</f>
        <v>855206.6</v>
      </c>
      <c r="G14" s="90">
        <f t="shared" si="2"/>
        <v>-2.7177285447437582E-2</v>
      </c>
      <c r="H14" s="90"/>
      <c r="I14" s="130">
        <f t="shared" si="0"/>
        <v>3.8356519686240977</v>
      </c>
      <c r="J14" s="130"/>
      <c r="O14" s="89"/>
      <c r="P14" s="129" t="s">
        <v>97</v>
      </c>
      <c r="Q14" s="116">
        <v>17104132</v>
      </c>
      <c r="R14" s="116">
        <v>24390726169</v>
      </c>
      <c r="S14" s="116">
        <v>4459250.25</v>
      </c>
      <c r="T14" s="130">
        <f t="shared" si="1"/>
        <v>3.8356519686240977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779742.63636363635</v>
      </c>
      <c r="G15" s="90">
        <f t="shared" si="2"/>
        <v>-8.824062353630524E-2</v>
      </c>
      <c r="H15" s="90"/>
      <c r="I15" s="130">
        <f t="shared" si="0"/>
        <v>3.3987736533486124</v>
      </c>
      <c r="J15" s="130"/>
      <c r="O15" s="89"/>
      <c r="P15" s="129" t="s">
        <v>98</v>
      </c>
      <c r="Q15" s="116">
        <v>17154338</v>
      </c>
      <c r="R15" s="116">
        <v>23729371432</v>
      </c>
      <c r="S15" s="116">
        <v>5047214.01</v>
      </c>
      <c r="T15" s="130">
        <f t="shared" si="1"/>
        <v>3.3987736533486124</v>
      </c>
      <c r="U15" s="85"/>
    </row>
    <row r="16" spans="1:21" ht="15" hidden="1" customHeight="1">
      <c r="A16" s="129" t="s">
        <v>99</v>
      </c>
      <c r="B16" s="131">
        <f>F14+F15+F16</f>
        <v>2506529.1</v>
      </c>
      <c r="C16" s="131">
        <f>AVERAGE(F14:F16)</f>
        <v>835509.70000000007</v>
      </c>
      <c r="D16" s="90">
        <f>C16/C13-1</f>
        <v>-2.5375929107421258E-2</v>
      </c>
      <c r="E16" s="286"/>
      <c r="F16" s="78">
        <f>Q16/22</f>
        <v>871579.86363636365</v>
      </c>
      <c r="G16" s="90">
        <f t="shared" si="2"/>
        <v>0.11777889651002571</v>
      </c>
      <c r="H16" s="90"/>
      <c r="I16" s="130">
        <f t="shared" si="0"/>
        <v>3.4038408205256574</v>
      </c>
      <c r="J16" s="130"/>
      <c r="K16" s="78">
        <f>R14+R15+R16</f>
        <v>73219421981</v>
      </c>
      <c r="L16" s="87">
        <f>U16/U13-1</f>
        <v>-9.1498548176033312E-3</v>
      </c>
      <c r="N16" s="88">
        <f>AVERAGE(T14:T16)</f>
        <v>3.5460888141661222</v>
      </c>
      <c r="O16" s="89">
        <f>N16/N13-1</f>
        <v>-3.4368465070572785E-2</v>
      </c>
      <c r="P16" s="129" t="s">
        <v>99</v>
      </c>
      <c r="Q16" s="116">
        <v>19174757</v>
      </c>
      <c r="R16" s="116">
        <v>25099324380</v>
      </c>
      <c r="S16" s="116">
        <v>5633270.7699999996</v>
      </c>
      <c r="T16" s="130">
        <f t="shared" si="1"/>
        <v>3.4038408205256574</v>
      </c>
      <c r="U16" s="85">
        <f>Q14+Q15+Q16</f>
        <v>53433227</v>
      </c>
    </row>
    <row r="17" spans="1:21" ht="15" hidden="1" customHeight="1">
      <c r="A17" s="129" t="s">
        <v>100</v>
      </c>
      <c r="C17" s="79"/>
      <c r="F17" s="78">
        <f>Q17/20</f>
        <v>813733.8</v>
      </c>
      <c r="G17" s="90">
        <f t="shared" ref="G17:G22" si="3">F17/F16-1</f>
        <v>-6.6369206139092141E-2</v>
      </c>
      <c r="H17" s="90">
        <f t="shared" ref="H17:H22" si="4">F17/F5-1</f>
        <v>-0.28242982431812835</v>
      </c>
      <c r="I17" s="130">
        <f t="shared" si="0"/>
        <v>3.4451984186954769</v>
      </c>
      <c r="J17" s="130">
        <f t="shared" ref="J17:J49" si="5">I17/I5-1</f>
        <v>-0.10735993994773818</v>
      </c>
      <c r="O17" s="89"/>
      <c r="P17" s="129" t="s">
        <v>100</v>
      </c>
      <c r="Q17" s="116">
        <v>16274676</v>
      </c>
      <c r="R17" s="116">
        <v>20470483772</v>
      </c>
      <c r="S17" s="116">
        <v>4723871.9000000004</v>
      </c>
      <c r="T17" s="130">
        <f t="shared" si="1"/>
        <v>3.4451984186954769</v>
      </c>
      <c r="U17" s="78"/>
    </row>
    <row r="18" spans="1:21" ht="15" hidden="1" customHeight="1">
      <c r="A18" s="129" t="s">
        <v>106</v>
      </c>
      <c r="C18" s="79"/>
      <c r="F18" s="78">
        <f>Q18/20</f>
        <v>893460.1</v>
      </c>
      <c r="G18" s="90">
        <f t="shared" si="3"/>
        <v>9.7975898260585836E-2</v>
      </c>
      <c r="H18" s="90">
        <f t="shared" si="4"/>
        <v>-0.16418264736999422</v>
      </c>
      <c r="I18" s="130">
        <f t="shared" si="0"/>
        <v>3.2795967806209205</v>
      </c>
      <c r="J18" s="130">
        <f t="shared" si="5"/>
        <v>-0.11629779648142635</v>
      </c>
      <c r="O18" s="89"/>
      <c r="P18" s="129" t="s">
        <v>106</v>
      </c>
      <c r="Q18" s="116">
        <v>17869202</v>
      </c>
      <c r="R18" s="116">
        <v>22387336921</v>
      </c>
      <c r="S18" s="116">
        <v>5448597.25</v>
      </c>
      <c r="T18" s="130">
        <f t="shared" ref="T18" si="6">Q18/S18</f>
        <v>3.2795967806209205</v>
      </c>
      <c r="U18" s="78"/>
    </row>
    <row r="19" spans="1:21" hidden="1">
      <c r="A19" s="129" t="s">
        <v>114</v>
      </c>
      <c r="B19" s="131">
        <f>SUM(F17:F19)</f>
        <v>2623954.9909090907</v>
      </c>
      <c r="C19" s="131">
        <f>AVERAGE(F17:F19)</f>
        <v>874651.66363636358</v>
      </c>
      <c r="D19" s="90">
        <f>C19/C16-1</f>
        <v>4.6848006236628326E-2</v>
      </c>
      <c r="E19" s="286">
        <f>C19/C7-1</f>
        <v>-0.18890992146409036</v>
      </c>
      <c r="F19" s="78">
        <f>Q19/22</f>
        <v>916761.09090909094</v>
      </c>
      <c r="G19" s="90">
        <f t="shared" si="3"/>
        <v>2.6079498020214809E-2</v>
      </c>
      <c r="H19" s="90">
        <f t="shared" si="4"/>
        <v>-0.11176744491459156</v>
      </c>
      <c r="I19" s="130">
        <f t="shared" si="0"/>
        <v>3.2238007305066296</v>
      </c>
      <c r="J19" s="130">
        <f t="shared" si="5"/>
        <v>-0.11275975741372302</v>
      </c>
      <c r="K19" s="78">
        <f>R17+R18+R19</f>
        <v>69220280276</v>
      </c>
      <c r="L19" s="87">
        <f>U19/U16-1</f>
        <v>1.6457830630367987E-2</v>
      </c>
      <c r="M19" s="87">
        <f>U19/U7-1</f>
        <v>-0.15961475233049427</v>
      </c>
      <c r="N19" s="88">
        <f>AVERAGE(T17:T19)</f>
        <v>3.3161986432743422</v>
      </c>
      <c r="O19" s="89">
        <f>N19/N16-1</f>
        <v>-6.4829219723262832E-2</v>
      </c>
      <c r="P19" s="129" t="s">
        <v>115</v>
      </c>
      <c r="Q19" s="116">
        <v>20168744</v>
      </c>
      <c r="R19" s="116">
        <v>26362459583</v>
      </c>
      <c r="S19" s="116">
        <v>6256200.5800000001</v>
      </c>
      <c r="T19" s="130">
        <f t="shared" ref="T19" si="7">Q19/S19</f>
        <v>3.2238007305066296</v>
      </c>
      <c r="U19" s="85">
        <f>Q17+Q18+Q19</f>
        <v>54312622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988637.95</v>
      </c>
      <c r="G20" s="90">
        <f t="shared" si="3"/>
        <v>7.8403042846892035E-2</v>
      </c>
      <c r="H20" s="90">
        <f t="shared" si="4"/>
        <v>-5.9121576425457234E-2</v>
      </c>
      <c r="I20" s="130">
        <f t="shared" si="0"/>
        <v>3.2896738288989025</v>
      </c>
      <c r="J20" s="130">
        <f t="shared" si="5"/>
        <v>-0.13734576334425519</v>
      </c>
      <c r="O20" s="89"/>
      <c r="P20" s="129" t="s">
        <v>132</v>
      </c>
      <c r="Q20" s="116">
        <v>19772759</v>
      </c>
      <c r="R20" s="116">
        <v>25920215516</v>
      </c>
      <c r="S20" s="116">
        <v>6010553.0300000003</v>
      </c>
      <c r="T20" s="130">
        <f t="shared" ref="T20" si="8">Q20/S20</f>
        <v>3.2896738288989025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977427.52380952379</v>
      </c>
      <c r="G21" s="90">
        <f t="shared" si="3"/>
        <v>-1.1339263468973848E-2</v>
      </c>
      <c r="H21" s="90">
        <f t="shared" si="4"/>
        <v>-0.15630406692621257</v>
      </c>
      <c r="I21" s="130">
        <f t="shared" si="0"/>
        <v>3.3466552998526389</v>
      </c>
      <c r="J21" s="130">
        <f t="shared" si="5"/>
        <v>-0.12974295789979662</v>
      </c>
      <c r="O21" s="89"/>
      <c r="P21" s="129" t="s">
        <v>141</v>
      </c>
      <c r="Q21" s="116">
        <v>20525978</v>
      </c>
      <c r="R21" s="116">
        <v>27343317149</v>
      </c>
      <c r="S21" s="116">
        <v>6133281.1900000004</v>
      </c>
      <c r="T21" s="130">
        <f t="shared" ref="T21" si="9">Q21/S21</f>
        <v>3.3466552998526389</v>
      </c>
      <c r="U21" s="78"/>
    </row>
    <row r="22" spans="1:21" hidden="1">
      <c r="A22" s="129" t="s">
        <v>156</v>
      </c>
      <c r="B22" s="131">
        <f>SUM(F20:F22)</f>
        <v>3013442.9023809521</v>
      </c>
      <c r="C22" s="131">
        <f>AVERAGE(F20:F22)</f>
        <v>1004480.9674603174</v>
      </c>
      <c r="D22" s="90">
        <f>C22/C19-1</f>
        <v>0.14843543918294122</v>
      </c>
      <c r="E22" s="286">
        <f>C22/C10-1</f>
        <v>-4.7767715684130851E-2</v>
      </c>
      <c r="F22" s="78">
        <f>Q22/21</f>
        <v>1047377.4285714285</v>
      </c>
      <c r="G22" s="90">
        <f t="shared" si="3"/>
        <v>7.1565311041452029E-2</v>
      </c>
      <c r="H22" s="90">
        <f t="shared" si="4"/>
        <v>9.6338113705922268E-2</v>
      </c>
      <c r="I22" s="130">
        <f t="shared" si="0"/>
        <v>3.4001309272005975</v>
      </c>
      <c r="J22" s="130">
        <f t="shared" si="5"/>
        <v>-0.12644054916303438</v>
      </c>
      <c r="K22" s="78">
        <f>R20+R21+R22</f>
        <v>81860349342</v>
      </c>
      <c r="L22" s="87">
        <f>U22/U19-1</f>
        <v>0.14694633965563297</v>
      </c>
      <c r="M22" s="87">
        <f>U22/U10-1</f>
        <v>-6.2644118080334654E-2</v>
      </c>
      <c r="N22" s="88">
        <f>AVERAGE(T20:T22)</f>
        <v>3.3454866853173795</v>
      </c>
      <c r="O22" s="89">
        <f>N22/N19-1</f>
        <v>8.8318117198549206E-3</v>
      </c>
      <c r="P22" s="129" t="s">
        <v>156</v>
      </c>
      <c r="Q22" s="116">
        <v>21994926</v>
      </c>
      <c r="R22" s="116">
        <v>28596816677</v>
      </c>
      <c r="S22" s="116">
        <v>6468846.7800000003</v>
      </c>
      <c r="T22" s="130">
        <f t="shared" ref="T22:T23" si="10">Q22/S22</f>
        <v>3.4001309272005975</v>
      </c>
      <c r="U22" s="85">
        <f>Q20+Q21+Q22</f>
        <v>62293663</v>
      </c>
    </row>
    <row r="23" spans="1:21" hidden="1">
      <c r="A23" s="129" t="s">
        <v>189</v>
      </c>
      <c r="B23" s="131"/>
      <c r="C23" s="131"/>
      <c r="F23" s="78">
        <f>Q23/21</f>
        <v>911183.28571428568</v>
      </c>
      <c r="G23" s="90">
        <f t="shared" ref="G23" si="11">F23/F22-1</f>
        <v>-0.13003349045138868</v>
      </c>
      <c r="H23" s="90">
        <f t="shared" ref="H23" si="12">F23/F11-1</f>
        <v>1.8593212394729663E-2</v>
      </c>
      <c r="I23" s="130">
        <f t="shared" si="0"/>
        <v>3.5158408114672399</v>
      </c>
      <c r="J23" s="130">
        <f t="shared" si="5"/>
        <v>-3.3361964843367842E-2</v>
      </c>
      <c r="O23" s="89"/>
      <c r="P23" s="129" t="s">
        <v>189</v>
      </c>
      <c r="Q23" s="116">
        <v>19134849</v>
      </c>
      <c r="R23" s="116">
        <v>24732155731</v>
      </c>
      <c r="S23" s="116">
        <v>5442467.4000000004</v>
      </c>
      <c r="T23" s="130">
        <f t="shared" si="10"/>
        <v>3.5158408114672399</v>
      </c>
      <c r="U23" s="78"/>
    </row>
    <row r="24" spans="1:21" hidden="1">
      <c r="A24" s="129" t="s">
        <v>204</v>
      </c>
      <c r="B24" s="131"/>
      <c r="C24" s="131"/>
      <c r="F24" s="78">
        <f>Q24/22</f>
        <v>763341.63636363635</v>
      </c>
      <c r="G24" s="90">
        <f t="shared" ref="G24" si="13">F24/F23-1</f>
        <v>-0.16225237190863828</v>
      </c>
      <c r="H24" s="90">
        <f t="shared" ref="H24" si="14">F24/F12-1</f>
        <v>-4.3601556137121023E-2</v>
      </c>
      <c r="I24" s="130">
        <f t="shared" si="0"/>
        <v>3.3630412676441246</v>
      </c>
      <c r="J24" s="130">
        <f t="shared" si="5"/>
        <v>-8.8491314700216428E-2</v>
      </c>
      <c r="O24" s="89"/>
      <c r="P24" s="129" t="s">
        <v>204</v>
      </c>
      <c r="Q24" s="116">
        <v>16793516</v>
      </c>
      <c r="R24" s="116">
        <v>22056383449</v>
      </c>
      <c r="S24" s="116">
        <v>4993550.38</v>
      </c>
      <c r="T24" s="130">
        <f t="shared" ref="T24" si="15">Q24/S24</f>
        <v>3.3630412676441246</v>
      </c>
      <c r="U24" s="78"/>
    </row>
    <row r="25" spans="1:21" s="79" customFormat="1" ht="13.2" hidden="1">
      <c r="A25" s="129" t="s">
        <v>218</v>
      </c>
      <c r="B25" s="131">
        <f>SUM(F23:F25)</f>
        <v>2554043.185235817</v>
      </c>
      <c r="C25" s="131">
        <f>AVERAGE(F23:F25)</f>
        <v>851347.728411939</v>
      </c>
      <c r="D25" s="90">
        <f>C25/C22-1</f>
        <v>-0.15245011504354666</v>
      </c>
      <c r="E25" s="286">
        <f>C25/C13-1</f>
        <v>-6.9008309418868707E-3</v>
      </c>
      <c r="F25" s="78">
        <f>Q25/19</f>
        <v>879518.26315789472</v>
      </c>
      <c r="G25" s="90">
        <f t="shared" ref="G25" si="16">F25/F24-1</f>
        <v>0.15219479884222475</v>
      </c>
      <c r="H25" s="90">
        <f t="shared" ref="H25" si="17">F25/F13-1</f>
        <v>4.7794797633482489E-4</v>
      </c>
      <c r="I25" s="130">
        <f t="shared" si="0"/>
        <v>3.2048370741401899</v>
      </c>
      <c r="J25" s="130">
        <f t="shared" si="5"/>
        <v>-0.13152355859079967</v>
      </c>
      <c r="K25" s="78">
        <f>R23+R24+R25</f>
        <v>68965166988</v>
      </c>
      <c r="L25" s="90">
        <f>U25/U22-1</f>
        <v>-0.15498287522440279</v>
      </c>
      <c r="M25" s="90">
        <f>U25/U13-1</f>
        <v>-2.3873836920106695E-2</v>
      </c>
      <c r="N25" s="88">
        <f>AVERAGE(T23:T25)</f>
        <v>3.361239717750518</v>
      </c>
      <c r="O25" s="91">
        <f>N25/N22-1</f>
        <v>4.7087416316062836E-3</v>
      </c>
      <c r="P25" s="129" t="s">
        <v>234</v>
      </c>
      <c r="Q25" s="116">
        <v>16710847</v>
      </c>
      <c r="R25" s="116">
        <v>22176627808</v>
      </c>
      <c r="S25" s="116">
        <v>5214257.8899999997</v>
      </c>
      <c r="T25" s="130">
        <f t="shared" ref="T25" si="18">Q25/S25</f>
        <v>3.2048370741401899</v>
      </c>
      <c r="U25" s="85">
        <f>Q23+Q24+Q25</f>
        <v>52639212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898564.15789473685</v>
      </c>
      <c r="G26" s="90">
        <f t="shared" ref="G26" si="19">F26/F25-1</f>
        <v>2.165491671367703E-2</v>
      </c>
      <c r="H26" s="90">
        <f t="shared" ref="H26" si="20">F26/F14-1</f>
        <v>5.069834341168189E-2</v>
      </c>
      <c r="I26" s="130">
        <f t="shared" si="0"/>
        <v>3.3178554600334005</v>
      </c>
      <c r="J26" s="130">
        <f t="shared" si="5"/>
        <v>-0.13499569638390263</v>
      </c>
      <c r="L26" s="90"/>
      <c r="M26" s="90"/>
      <c r="P26" s="129" t="s">
        <v>312</v>
      </c>
      <c r="Q26" s="116">
        <v>17072719</v>
      </c>
      <c r="R26" s="116">
        <v>23015269725</v>
      </c>
      <c r="S26" s="116">
        <v>5145709.09</v>
      </c>
      <c r="T26" s="130">
        <f t="shared" ref="T26" si="21">Q26/S26</f>
        <v>3.3178554600334005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923032.54545454541</v>
      </c>
      <c r="G27" s="90">
        <f t="shared" ref="G27" si="22">F27/F26-1</f>
        <v>2.723054035132666E-2</v>
      </c>
      <c r="H27" s="90">
        <f t="shared" ref="H27" si="23">F27/F15-1</f>
        <v>0.18376564575094645</v>
      </c>
      <c r="I27" s="130">
        <f t="shared" si="0"/>
        <v>3.6470040042947067</v>
      </c>
      <c r="J27" s="130">
        <f t="shared" si="5"/>
        <v>7.3035269854327511E-2</v>
      </c>
      <c r="L27" s="90"/>
      <c r="M27" s="90"/>
      <c r="P27" s="129" t="s">
        <v>378</v>
      </c>
      <c r="Q27" s="116">
        <v>20306716</v>
      </c>
      <c r="R27" s="116">
        <v>26833641698</v>
      </c>
      <c r="S27" s="116">
        <v>5568054.21</v>
      </c>
      <c r="T27" s="130">
        <f t="shared" ref="T27" si="24">Q27/S27</f>
        <v>3.6470040042947067</v>
      </c>
      <c r="U27" s="78"/>
    </row>
    <row r="28" spans="1:21" s="79" customFormat="1" ht="13.2" hidden="1">
      <c r="A28" s="123" t="s">
        <v>413</v>
      </c>
      <c r="B28" s="131">
        <f>SUM(F26:F28)</f>
        <v>2706985.3349282295</v>
      </c>
      <c r="C28" s="131">
        <f>AVERAGE(F26:F28)</f>
        <v>902328.44497607648</v>
      </c>
      <c r="D28" s="90">
        <f>C28/C25-1</f>
        <v>5.9882366350156646E-2</v>
      </c>
      <c r="E28" s="286">
        <f>C28/C16-1</f>
        <v>7.9973631635965825E-2</v>
      </c>
      <c r="F28" s="78">
        <f>Q28/19</f>
        <v>885388.63157894742</v>
      </c>
      <c r="G28" s="90">
        <f t="shared" ref="G28" si="25">F28/F27-1</f>
        <v>-4.0782867365809272E-2</v>
      </c>
      <c r="H28" s="90">
        <f t="shared" ref="H28" si="26">F28/F16-1</f>
        <v>1.5843376515115359E-2</v>
      </c>
      <c r="I28" s="130">
        <f t="shared" si="0"/>
        <v>3.7440921613043616</v>
      </c>
      <c r="J28" s="130">
        <f t="shared" si="5"/>
        <v>9.9961002502507945E-2</v>
      </c>
      <c r="K28" s="78">
        <f>R26+R27+R28</f>
        <v>71787574532</v>
      </c>
      <c r="L28" s="90">
        <f>U28/U25-1</f>
        <v>2.968522781078109E-2</v>
      </c>
      <c r="M28" s="90">
        <f>U28/U16-1</f>
        <v>1.4384158381450574E-2</v>
      </c>
      <c r="N28" s="88">
        <f>AVERAGE(T26:T28)</f>
        <v>3.5696505418774898</v>
      </c>
      <c r="O28" s="91">
        <f>N28/N25-1</f>
        <v>6.2004153713395072E-2</v>
      </c>
      <c r="P28" s="129" t="s">
        <v>413</v>
      </c>
      <c r="Q28" s="116">
        <v>16822384</v>
      </c>
      <c r="R28" s="116">
        <v>21938663109</v>
      </c>
      <c r="S28" s="116">
        <v>4493047.5199999996</v>
      </c>
      <c r="T28" s="130">
        <f t="shared" ref="T28" si="27">Q28/S28</f>
        <v>3.7440921613043616</v>
      </c>
      <c r="U28" s="85">
        <f>Q26+Q27+Q28</f>
        <v>54201819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921862.5</v>
      </c>
      <c r="G29" s="190">
        <f t="shared" ref="G29" si="28">F29/F28-1</f>
        <v>4.1195320473007779E-2</v>
      </c>
      <c r="H29" s="190">
        <f t="shared" ref="H29" si="29">F29/F17-1</f>
        <v>0.13287969603818839</v>
      </c>
      <c r="I29" s="130">
        <f t="shared" si="0"/>
        <v>3.6794976222090421</v>
      </c>
      <c r="J29" s="130">
        <f t="shared" si="5"/>
        <v>6.8007462862554879E-2</v>
      </c>
      <c r="K29" s="136"/>
      <c r="L29" s="190"/>
      <c r="M29" s="190"/>
      <c r="N29" s="191"/>
      <c r="O29" s="192"/>
      <c r="P29" s="129" t="s">
        <v>427</v>
      </c>
      <c r="Q29" s="116">
        <v>20280975</v>
      </c>
      <c r="R29" s="116">
        <v>26671531630</v>
      </c>
      <c r="S29" s="116">
        <v>5511886.9699999997</v>
      </c>
      <c r="T29" s="130">
        <f t="shared" ref="T29" si="30">Q29/S29</f>
        <v>3.6794976222090421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1090633.6315789474</v>
      </c>
      <c r="G30" s="190">
        <f t="shared" ref="G30" si="31">F30/F29-1</f>
        <v>0.18307625223821056</v>
      </c>
      <c r="H30" s="190">
        <f t="shared" ref="H30" si="32">F30/F18-1</f>
        <v>0.22068532392095341</v>
      </c>
      <c r="I30" s="130">
        <f t="shared" si="0"/>
        <v>3.5517304965272012</v>
      </c>
      <c r="J30" s="130">
        <f t="shared" si="5"/>
        <v>8.2977797000629572E-2</v>
      </c>
      <c r="K30" s="136"/>
      <c r="L30" s="190"/>
      <c r="M30" s="190"/>
      <c r="N30" s="191"/>
      <c r="O30" s="192"/>
      <c r="P30" s="129" t="s">
        <v>466</v>
      </c>
      <c r="Q30" s="116">
        <v>20722039</v>
      </c>
      <c r="R30" s="116">
        <v>27615091449</v>
      </c>
      <c r="S30" s="116">
        <v>5834350.0499999998</v>
      </c>
      <c r="T30" s="130">
        <f t="shared" ref="T30" si="33">Q30/S30</f>
        <v>3.5517304965272012</v>
      </c>
      <c r="U30" s="85"/>
    </row>
    <row r="31" spans="1:21" s="79" customFormat="1" ht="13.2" hidden="1">
      <c r="A31" s="129" t="s">
        <v>505</v>
      </c>
      <c r="B31" s="188">
        <f>SUM(F29:F31)</f>
        <v>3111741.9815789475</v>
      </c>
      <c r="C31" s="188">
        <f>AVERAGE(F29:F31)</f>
        <v>1037247.3271929825</v>
      </c>
      <c r="D31" s="190">
        <f>C31/C28-1</f>
        <v>0.14952302896810843</v>
      </c>
      <c r="E31" s="287">
        <f>C31/C19-1</f>
        <v>0.18589762109481112</v>
      </c>
      <c r="F31" s="136">
        <f>Q31/20</f>
        <v>1099245.8500000001</v>
      </c>
      <c r="G31" s="190">
        <f t="shared" ref="G31" si="34">F31/F30-1</f>
        <v>7.8965274604492208E-3</v>
      </c>
      <c r="H31" s="190">
        <f t="shared" ref="H31" si="35">F31/F19-1</f>
        <v>0.19905377846037409</v>
      </c>
      <c r="I31" s="130">
        <f t="shared" si="0"/>
        <v>3.6792868870106883</v>
      </c>
      <c r="J31" s="130">
        <f t="shared" si="5"/>
        <v>0.14128855800354567</v>
      </c>
      <c r="K31" s="136">
        <f>R29+R30+R31</f>
        <v>83471181160</v>
      </c>
      <c r="L31" s="190">
        <f>U31/U28-1</f>
        <v>0.16209994723608823</v>
      </c>
      <c r="M31" s="190">
        <f>U31/U19-1</f>
        <v>0.15972915098814422</v>
      </c>
      <c r="N31" s="191">
        <f>AVERAGE(T29:T31)</f>
        <v>3.6368383352489775</v>
      </c>
      <c r="O31" s="192">
        <f>N31/N28-1</f>
        <v>1.8821952620647675E-2</v>
      </c>
      <c r="P31" s="129" t="s">
        <v>505</v>
      </c>
      <c r="Q31" s="116">
        <v>21984917</v>
      </c>
      <c r="R31" s="116">
        <v>29184558081</v>
      </c>
      <c r="S31" s="116">
        <v>5975320.1299999999</v>
      </c>
      <c r="T31" s="130">
        <f t="shared" ref="T31" si="36">Q31/S31</f>
        <v>3.6792868870106883</v>
      </c>
      <c r="U31" s="85">
        <f>Q29+Q30+Q31</f>
        <v>62987931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1175139.6666666667</v>
      </c>
      <c r="G32" s="190">
        <f t="shared" ref="G32" si="37">F32/F31-1</f>
        <v>6.9041713158768392E-2</v>
      </c>
      <c r="H32" s="190">
        <f t="shared" ref="H32" si="38">F32/F20-1</f>
        <v>0.1886451118598742</v>
      </c>
      <c r="I32" s="130">
        <f t="shared" si="0"/>
        <v>3.7991602927733426</v>
      </c>
      <c r="J32" s="130">
        <f t="shared" si="5"/>
        <v>0.15487446183835551</v>
      </c>
      <c r="K32" s="136"/>
      <c r="L32" s="190"/>
      <c r="M32" s="190"/>
      <c r="N32" s="191"/>
      <c r="O32" s="192"/>
      <c r="P32" s="129" t="s">
        <v>562</v>
      </c>
      <c r="Q32" s="116">
        <v>24677933</v>
      </c>
      <c r="R32" s="116">
        <v>33508821855</v>
      </c>
      <c r="S32" s="116">
        <v>6495628.2699999996</v>
      </c>
      <c r="T32" s="130">
        <f t="shared" ref="T32" si="39">Q32/S32</f>
        <v>3.7991602927733426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1100027.0476190476</v>
      </c>
      <c r="G33" s="190">
        <f t="shared" ref="G33" si="40">F33/F32-1</f>
        <v>-6.3918035598848677E-2</v>
      </c>
      <c r="H33" s="190">
        <f t="shared" ref="H33" si="41">F33/F21-1</f>
        <v>0.12543080773057436</v>
      </c>
      <c r="I33" s="130">
        <f t="shared" si="0"/>
        <v>3.7825124907772003</v>
      </c>
      <c r="J33" s="130">
        <f t="shared" si="5"/>
        <v>0.13023665477103452</v>
      </c>
      <c r="K33" s="136"/>
      <c r="L33" s="190"/>
      <c r="M33" s="190"/>
      <c r="N33" s="191"/>
      <c r="O33" s="192"/>
      <c r="P33" s="129" t="s">
        <v>607</v>
      </c>
      <c r="Q33" s="116">
        <v>23100568</v>
      </c>
      <c r="R33" s="116">
        <v>31577438946</v>
      </c>
      <c r="S33" s="116">
        <v>6107202.04</v>
      </c>
      <c r="T33" s="130">
        <f t="shared" ref="T33" si="42">Q33/S33</f>
        <v>3.7825124907772003</v>
      </c>
      <c r="U33" s="85"/>
    </row>
    <row r="34" spans="1:21" s="79" customFormat="1" ht="13.2" hidden="1">
      <c r="A34" s="129" t="s">
        <v>652</v>
      </c>
      <c r="B34" s="188">
        <f>SUM(F32:F34)</f>
        <v>3362880.1879699249</v>
      </c>
      <c r="C34" s="188">
        <f>AVERAGE(F32:F34)</f>
        <v>1120960.0626566417</v>
      </c>
      <c r="D34" s="190">
        <f>C34/C31-1</f>
        <v>8.0706629237796257E-2</v>
      </c>
      <c r="E34" s="287">
        <f>C34/C22-1</f>
        <v>0.11595948451947735</v>
      </c>
      <c r="F34" s="136">
        <f>Q34/19</f>
        <v>1087713.4736842106</v>
      </c>
      <c r="G34" s="190">
        <f t="shared" ref="G34" si="43">F34/F33-1</f>
        <v>-1.1193882879051986E-2</v>
      </c>
      <c r="H34" s="190">
        <f t="shared" ref="H34" si="44">F34/F22-1</f>
        <v>3.851147066229843E-2</v>
      </c>
      <c r="I34" s="130">
        <f t="shared" si="0"/>
        <v>3.7778689906476508</v>
      </c>
      <c r="J34" s="130">
        <f t="shared" si="5"/>
        <v>0.11109515237345668</v>
      </c>
      <c r="K34" s="136">
        <f>R32+R33+R34</f>
        <v>93497878489</v>
      </c>
      <c r="L34" s="190">
        <f>U34/U31-1</f>
        <v>8.6637644916452317E-2</v>
      </c>
      <c r="M34" s="190">
        <f>U34/U22-1</f>
        <v>9.8748310883564505E-2</v>
      </c>
      <c r="N34" s="191">
        <f>AVERAGE(T32:T34)</f>
        <v>3.7865139247327311</v>
      </c>
      <c r="O34" s="192">
        <f>N34/N31-1</f>
        <v>4.1155414589938655E-2</v>
      </c>
      <c r="P34" s="129" t="s">
        <v>652</v>
      </c>
      <c r="Q34" s="116">
        <v>20666556</v>
      </c>
      <c r="R34" s="116">
        <v>28411617688</v>
      </c>
      <c r="S34" s="116">
        <v>5470426.8600000003</v>
      </c>
      <c r="T34" s="130">
        <f t="shared" ref="T34" si="45">Q34/S34</f>
        <v>3.7778689906476508</v>
      </c>
      <c r="U34" s="85">
        <f>Q32+Q33+Q34</f>
        <v>68445057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980547</v>
      </c>
      <c r="G35" s="190">
        <f t="shared" ref="G35" si="46">F35/F34-1</f>
        <v>-9.8524543712072865E-2</v>
      </c>
      <c r="H35" s="190">
        <f t="shared" ref="H35" si="47">F35/F23-1</f>
        <v>7.612487561307657E-2</v>
      </c>
      <c r="I35" s="130">
        <f t="shared" si="0"/>
        <v>3.506749159809865</v>
      </c>
      <c r="J35" s="130">
        <f t="shared" si="5"/>
        <v>-2.5859110650634509E-3</v>
      </c>
      <c r="K35" s="136"/>
      <c r="L35" s="190"/>
      <c r="M35" s="190"/>
      <c r="N35" s="191"/>
      <c r="O35" s="192"/>
      <c r="P35" s="129" t="s">
        <v>660</v>
      </c>
      <c r="Q35" s="116">
        <v>22552581</v>
      </c>
      <c r="R35" s="116">
        <v>31210822051</v>
      </c>
      <c r="S35" s="116">
        <v>6431193.0999999996</v>
      </c>
      <c r="T35" s="130">
        <f t="shared" ref="T35" si="48">Q35/S35</f>
        <v>3.506749159809865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892481.47619047621</v>
      </c>
      <c r="G36" s="190">
        <f t="shared" ref="G36" si="49">F36/F35-1</f>
        <v>-8.9812649275887613E-2</v>
      </c>
      <c r="H36" s="190">
        <f t="shared" ref="H36" si="50">F36/F24-1</f>
        <v>0.16917698927315028</v>
      </c>
      <c r="I36" s="130">
        <f t="shared" si="0"/>
        <v>3.5666625851312279</v>
      </c>
      <c r="J36" s="130">
        <f t="shared" si="5"/>
        <v>6.0546779323271238E-2</v>
      </c>
      <c r="K36" s="136"/>
      <c r="L36" s="190"/>
      <c r="M36" s="190"/>
      <c r="N36" s="191"/>
      <c r="O36" s="192"/>
      <c r="P36" s="129" t="s">
        <v>664</v>
      </c>
      <c r="Q36" s="116">
        <v>18742111</v>
      </c>
      <c r="R36" s="116">
        <v>25556051901</v>
      </c>
      <c r="S36" s="116">
        <v>5254803.49</v>
      </c>
      <c r="T36" s="130">
        <f t="shared" ref="T36" si="51">Q36/S36</f>
        <v>3.5666625851312279</v>
      </c>
      <c r="U36" s="85"/>
    </row>
    <row r="37" spans="1:21" s="79" customFormat="1" ht="13.2" hidden="1">
      <c r="A37" s="129" t="s">
        <v>702</v>
      </c>
      <c r="B37" s="188">
        <f>SUM(F35:F37)</f>
        <v>2981817.1428571427</v>
      </c>
      <c r="C37" s="188">
        <f>AVERAGE(F35:F37)</f>
        <v>993939.04761904757</v>
      </c>
      <c r="D37" s="190">
        <f>C37/C34-1</f>
        <v>-0.11331448752648521</v>
      </c>
      <c r="E37" s="287">
        <f>C37/C25-1</f>
        <v>0.16748892896336409</v>
      </c>
      <c r="F37" s="136">
        <f>Q37/18</f>
        <v>1108788.6666666667</v>
      </c>
      <c r="G37" s="190">
        <f t="shared" ref="G37" si="52">F37/F36-1</f>
        <v>0.24236602803174101</v>
      </c>
      <c r="H37" s="190">
        <f t="shared" ref="H37" si="53">F37/F25-1</f>
        <v>0.26067725152810439</v>
      </c>
      <c r="I37" s="130">
        <f t="shared" si="0"/>
        <v>3.5889248384847732</v>
      </c>
      <c r="J37" s="130">
        <f t="shared" si="5"/>
        <v>0.11984626845582413</v>
      </c>
      <c r="K37" s="136">
        <f>R35+R36+R37</f>
        <v>83400382600</v>
      </c>
      <c r="L37" s="190">
        <f>U37/U34-1</f>
        <v>-0.10507945080679826</v>
      </c>
      <c r="M37" s="190">
        <f>U37/U25-1</f>
        <v>0.16363611218192253</v>
      </c>
      <c r="N37" s="191">
        <f>AVERAGE(T35:T37)</f>
        <v>3.5541121944752887</v>
      </c>
      <c r="O37" s="192">
        <f>N37/N34-1</f>
        <v>-6.1376172087851621E-2</v>
      </c>
      <c r="P37" s="129" t="s">
        <v>702</v>
      </c>
      <c r="Q37" s="116">
        <v>19958196</v>
      </c>
      <c r="R37" s="116">
        <v>26633508648</v>
      </c>
      <c r="S37" s="116">
        <v>5561051.54</v>
      </c>
      <c r="T37" s="130">
        <f t="shared" ref="T37" si="54">Q37/S37</f>
        <v>3.5889248384847732</v>
      </c>
      <c r="U37" s="85">
        <f>Q35+Q36+Q37</f>
        <v>61252888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979469.4</v>
      </c>
      <c r="G38" s="190">
        <f t="shared" ref="G38" si="55">F38/F37-1</f>
        <v>-0.11663112237198192</v>
      </c>
      <c r="H38" s="190">
        <f t="shared" ref="H38" si="56">F38/F26-1</f>
        <v>9.0038358857777778E-2</v>
      </c>
      <c r="I38" s="130">
        <f t="shared" si="0"/>
        <v>3.3108756444797964</v>
      </c>
      <c r="J38" s="130">
        <f t="shared" si="5"/>
        <v>-2.1037129669095878E-3</v>
      </c>
      <c r="K38" s="136"/>
      <c r="L38" s="190"/>
      <c r="M38" s="190"/>
      <c r="N38" s="191"/>
      <c r="O38" s="192"/>
      <c r="P38" s="129" t="s">
        <v>728</v>
      </c>
      <c r="Q38" s="116">
        <v>19589388</v>
      </c>
      <c r="R38" s="116">
        <v>26375872487</v>
      </c>
      <c r="S38" s="116">
        <v>5916678.8799999999</v>
      </c>
      <c r="T38" s="130">
        <f t="shared" ref="T38" si="57">Q38/S38</f>
        <v>3.3108756444797964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1047274.4285714285</v>
      </c>
      <c r="G39" s="190">
        <f t="shared" ref="G39" si="58">F39/F38-1</f>
        <v>6.9226285753723804E-2</v>
      </c>
      <c r="H39" s="190">
        <f t="shared" ref="H39" si="59">F39/F27-1</f>
        <v>0.13460184446226697</v>
      </c>
      <c r="I39" s="130">
        <f t="shared" si="0"/>
        <v>3.5541840272763756</v>
      </c>
      <c r="J39" s="130">
        <f t="shared" si="5"/>
        <v>-2.5451021416216246E-2</v>
      </c>
      <c r="K39" s="136"/>
      <c r="L39" s="190"/>
      <c r="M39" s="190"/>
      <c r="N39" s="191"/>
      <c r="O39" s="192"/>
      <c r="P39" s="129" t="s">
        <v>762</v>
      </c>
      <c r="Q39" s="116">
        <v>21992763</v>
      </c>
      <c r="R39" s="116">
        <v>30558173363</v>
      </c>
      <c r="S39" s="116">
        <v>6187851.5099999998</v>
      </c>
      <c r="T39" s="130">
        <f t="shared" ref="T39" si="60">Q39/S39</f>
        <v>3.5541840272763756</v>
      </c>
      <c r="U39" s="85"/>
    </row>
    <row r="40" spans="1:21" s="79" customFormat="1" ht="13.2" hidden="1">
      <c r="A40" s="129" t="s">
        <v>778</v>
      </c>
      <c r="B40" s="188">
        <f>SUM(F38:F40)</f>
        <v>2924114.3047619048</v>
      </c>
      <c r="C40" s="188">
        <f>AVERAGE(F38:F40)</f>
        <v>974704.76825396821</v>
      </c>
      <c r="D40" s="190">
        <f>C40/C37-1</f>
        <v>-1.9351568299036614E-2</v>
      </c>
      <c r="E40" s="287">
        <f>C40/C28-1</f>
        <v>8.0210619182919274E-2</v>
      </c>
      <c r="F40" s="136">
        <f>Q40/21</f>
        <v>897370.47619047621</v>
      </c>
      <c r="G40" s="190">
        <f t="shared" ref="G40" si="61">F40/F39-1</f>
        <v>-0.14313722200343804</v>
      </c>
      <c r="H40" s="190">
        <f t="shared" ref="H40" si="62">F40/F28-1</f>
        <v>1.3532864760372076E-2</v>
      </c>
      <c r="I40" s="130">
        <f t="shared" si="0"/>
        <v>3.2840821277580372</v>
      </c>
      <c r="J40" s="130">
        <f t="shared" si="5"/>
        <v>-0.12286290340301531</v>
      </c>
      <c r="K40" s="136">
        <f>R38+R39+R40</f>
        <v>83681231532</v>
      </c>
      <c r="L40" s="190">
        <f>U40/U37-1</f>
        <v>-1.3484376442789103E-2</v>
      </c>
      <c r="M40" s="190">
        <f>U40/U28-1</f>
        <v>0.11485061045644973</v>
      </c>
      <c r="N40" s="191">
        <f>AVERAGE(T38:T40)</f>
        <v>3.3830472665047364</v>
      </c>
      <c r="O40" s="192">
        <f>N40/N37-1</f>
        <v>-4.8131549768312132E-2</v>
      </c>
      <c r="P40" s="129" t="s">
        <v>778</v>
      </c>
      <c r="Q40" s="116">
        <v>18844780</v>
      </c>
      <c r="R40" s="116">
        <v>26747185682</v>
      </c>
      <c r="S40" s="116">
        <v>5738218.25</v>
      </c>
      <c r="T40" s="130">
        <f t="shared" ref="T40" si="63">Q40/S40</f>
        <v>3.2840821277580372</v>
      </c>
      <c r="U40" s="85">
        <f>Q38+Q39+Q40</f>
        <v>60426931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917838.11111111112</v>
      </c>
      <c r="G41" s="190">
        <f t="shared" ref="G41" si="64">F41/F40-1</f>
        <v>2.2808455887165291E-2</v>
      </c>
      <c r="H41" s="190">
        <f t="shared" ref="H41" si="65">F41/F29-1</f>
        <v>-4.365497987919964E-3</v>
      </c>
      <c r="I41" s="130">
        <f t="shared" si="0"/>
        <v>3.1616828039072544</v>
      </c>
      <c r="J41" s="130">
        <f t="shared" si="5"/>
        <v>-0.1407297602738794</v>
      </c>
      <c r="K41" s="193"/>
      <c r="L41" s="190"/>
      <c r="M41" s="190"/>
      <c r="N41" s="193"/>
      <c r="O41" s="193"/>
      <c r="P41" s="129" t="s">
        <v>814</v>
      </c>
      <c r="Q41" s="116">
        <v>16521086</v>
      </c>
      <c r="R41" s="116">
        <v>24168501515</v>
      </c>
      <c r="S41" s="116">
        <v>5225409.07</v>
      </c>
      <c r="T41" s="130">
        <f t="shared" ref="T41" si="66">Q41/S41</f>
        <v>3.1616828039072544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1009141.55</v>
      </c>
      <c r="G42" s="190">
        <f t="shared" ref="G42" si="67">F42/F41-1</f>
        <v>9.9476626415478941E-2</v>
      </c>
      <c r="H42" s="190">
        <f t="shared" ref="H42" si="68">F42/F30-1</f>
        <v>-7.4719941893748976E-2</v>
      </c>
      <c r="I42" s="130">
        <f t="shared" si="0"/>
        <v>3.3073877248076462</v>
      </c>
      <c r="J42" s="130">
        <f t="shared" si="5"/>
        <v>-6.8795414505258057E-2</v>
      </c>
      <c r="K42" s="193"/>
      <c r="L42" s="190"/>
      <c r="M42" s="190"/>
      <c r="N42" s="193"/>
      <c r="O42" s="193"/>
      <c r="P42" s="129" t="s">
        <v>826</v>
      </c>
      <c r="Q42" s="116">
        <v>20182831</v>
      </c>
      <c r="R42" s="116">
        <v>29178041885</v>
      </c>
      <c r="S42" s="116">
        <v>6102348.04</v>
      </c>
      <c r="T42" s="130">
        <f t="shared" ref="T42" si="69">Q42/S42</f>
        <v>3.3073877248076462</v>
      </c>
      <c r="U42" s="78"/>
    </row>
    <row r="43" spans="1:21" s="79" customFormat="1" ht="13.2">
      <c r="A43" s="129" t="s">
        <v>835</v>
      </c>
      <c r="B43" s="188">
        <f>SUM(F41:F43)</f>
        <v>2860424.3111111112</v>
      </c>
      <c r="C43" s="188">
        <f>AVERAGE(F41:F43)</f>
        <v>953474.77037037036</v>
      </c>
      <c r="D43" s="190">
        <f>C43/C40-1</f>
        <v>-2.1780952114995866E-2</v>
      </c>
      <c r="E43" s="287">
        <f>C43/C31-1</f>
        <v>-8.0764302424686907E-2</v>
      </c>
      <c r="F43" s="136">
        <f>Q43/20</f>
        <v>933444.65</v>
      </c>
      <c r="G43" s="190">
        <f t="shared" ref="G43" si="70">F43/F42-1</f>
        <v>-7.5011181533452875E-2</v>
      </c>
      <c r="H43" s="190">
        <f t="shared" ref="H43" si="71">F43/F31-1</f>
        <v>-0.15083177252841118</v>
      </c>
      <c r="I43" s="130">
        <f t="shared" si="0"/>
        <v>3.199098226463859</v>
      </c>
      <c r="J43" s="130">
        <f t="shared" si="5"/>
        <v>-0.13051133964086403</v>
      </c>
      <c r="K43" s="136">
        <f>R41+R42+R43</f>
        <v>80416605388</v>
      </c>
      <c r="L43" s="190">
        <f>U43/U40-1</f>
        <v>-8.3640206715115184E-2</v>
      </c>
      <c r="M43" s="190">
        <f>K43/K31-1</f>
        <v>-3.6594375801929813E-2</v>
      </c>
      <c r="N43" s="191">
        <f>AVERAGE(T41:T43)</f>
        <v>3.22272291839292</v>
      </c>
      <c r="O43" s="192">
        <f>N43/N40-1</f>
        <v>-4.7390513782995081E-2</v>
      </c>
      <c r="P43" s="129" t="s">
        <v>835</v>
      </c>
      <c r="Q43" s="116">
        <v>18668893</v>
      </c>
      <c r="R43" s="116">
        <v>27070061988</v>
      </c>
      <c r="S43" s="116">
        <v>5835673.5800000001</v>
      </c>
      <c r="T43" s="130">
        <f t="shared" ref="T43" si="72">Q43/S43</f>
        <v>3.199098226463859</v>
      </c>
      <c r="U43" s="85">
        <f>Q41+Q42+Q43</f>
        <v>55372810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1044099.3181818182</v>
      </c>
      <c r="G44" s="190">
        <f t="shared" ref="G44" si="73">F44/F43-1</f>
        <v>0.11854443451126762</v>
      </c>
      <c r="H44" s="190">
        <f t="shared" ref="H44" si="74">F44/F32-1</f>
        <v>-0.11151044612131078</v>
      </c>
      <c r="I44" s="130">
        <f t="shared" si="0"/>
        <v>3.6458244334481282</v>
      </c>
      <c r="J44" s="130">
        <f t="shared" si="5"/>
        <v>-4.0360460604119686E-2</v>
      </c>
      <c r="K44" s="136"/>
      <c r="L44" s="190"/>
      <c r="M44" s="190"/>
      <c r="N44" s="191"/>
      <c r="O44" s="192"/>
      <c r="P44" s="129" t="s">
        <v>843</v>
      </c>
      <c r="Q44" s="116">
        <v>22970185</v>
      </c>
      <c r="R44" s="116">
        <v>33347109583</v>
      </c>
      <c r="S44" s="116">
        <v>6300408.9800000004</v>
      </c>
      <c r="T44" s="130">
        <f t="shared" ref="T44" si="75">Q44/S44</f>
        <v>3.6458244334481282</v>
      </c>
      <c r="U44" s="85"/>
    </row>
    <row r="45" spans="1:21" s="79" customFormat="1" ht="13.2">
      <c r="A45" s="129" t="s">
        <v>869</v>
      </c>
      <c r="B45" s="188"/>
      <c r="C45" s="188"/>
      <c r="D45" s="190"/>
      <c r="E45" s="287"/>
      <c r="F45" s="136">
        <f>Q45/20</f>
        <v>1042625.05</v>
      </c>
      <c r="G45" s="190">
        <f t="shared" ref="G45" si="76">F45/F44-1</f>
        <v>-1.4119999468876765E-3</v>
      </c>
      <c r="H45" s="190">
        <f t="shared" ref="H45" si="77">F45/F33-1</f>
        <v>-5.2182351100630853E-2</v>
      </c>
      <c r="I45" s="130">
        <f t="shared" si="0"/>
        <v>3.0614451756468282</v>
      </c>
      <c r="J45" s="130">
        <f t="shared" si="5"/>
        <v>-0.19063183978599707</v>
      </c>
      <c r="K45" s="136"/>
      <c r="L45" s="190"/>
      <c r="M45" s="190"/>
      <c r="N45" s="191"/>
      <c r="O45" s="192"/>
      <c r="P45" s="129" t="s">
        <v>869</v>
      </c>
      <c r="Q45" s="116">
        <v>20852501</v>
      </c>
      <c r="R45" s="116">
        <v>29342558707</v>
      </c>
      <c r="S45" s="116">
        <v>6811325.96</v>
      </c>
      <c r="T45" s="130">
        <f t="shared" ref="T45" si="78">Q45/S45</f>
        <v>3.0614451756468282</v>
      </c>
      <c r="U45" s="85"/>
    </row>
    <row r="46" spans="1:21" s="79" customFormat="1" ht="13.2">
      <c r="A46" s="129" t="s">
        <v>913</v>
      </c>
      <c r="B46" s="188">
        <f>SUM(F44:F46)</f>
        <v>3116339.8944976078</v>
      </c>
      <c r="C46" s="188">
        <f>AVERAGE(F44:F46)</f>
        <v>1038779.9648325359</v>
      </c>
      <c r="D46" s="190">
        <f>C46/C43-1</f>
        <v>8.9467699736857753E-2</v>
      </c>
      <c r="E46" s="287">
        <f>C46/C34-1</f>
        <v>-7.3312244175177343E-2</v>
      </c>
      <c r="F46" s="136">
        <f>Q46/19</f>
        <v>1029615.5263157894</v>
      </c>
      <c r="G46" s="190">
        <f t="shared" ref="G46" si="79">F46/F45-1</f>
        <v>-1.2477662688241242E-2</v>
      </c>
      <c r="H46" s="190">
        <f t="shared" ref="H46" si="80">F46/F34-1</f>
        <v>-5.3412915049803278E-2</v>
      </c>
      <c r="I46" s="130">
        <f t="shared" si="0"/>
        <v>3.4183257910135412</v>
      </c>
      <c r="J46" s="130">
        <f t="shared" si="5"/>
        <v>-9.5170902041383898E-2</v>
      </c>
      <c r="K46" s="136">
        <f>R44+R45+R46</f>
        <v>89474922679</v>
      </c>
      <c r="L46" s="190">
        <f>U46/U43-1</f>
        <v>0.14470226452296719</v>
      </c>
      <c r="M46" s="190">
        <f>K46/K34-1</f>
        <v>-4.3027241633865509E-2</v>
      </c>
      <c r="N46" s="191">
        <f>AVERAGE(T44:T46)</f>
        <v>3.3751984667028325</v>
      </c>
      <c r="O46" s="192">
        <f>N46/N43-1</f>
        <v>4.7312645911845141E-2</v>
      </c>
      <c r="P46" s="129" t="s">
        <v>888</v>
      </c>
      <c r="Q46" s="116">
        <v>19562695</v>
      </c>
      <c r="R46" s="116">
        <v>26785254389</v>
      </c>
      <c r="S46" s="116">
        <v>5722887.8099999996</v>
      </c>
      <c r="T46" s="130">
        <f t="shared" ref="T46" si="81">Q46/S46</f>
        <v>3.4183257910135412</v>
      </c>
      <c r="U46" s="85">
        <f t="shared" ref="U46:U51" si="82">Q44+Q45+Q46</f>
        <v>63385381</v>
      </c>
    </row>
    <row r="47" spans="1:21" s="79" customFormat="1" ht="13.2">
      <c r="A47" s="129" t="s">
        <v>1011</v>
      </c>
      <c r="B47" s="188"/>
      <c r="C47" s="188"/>
      <c r="D47" s="190"/>
      <c r="E47" s="287"/>
      <c r="F47" s="136">
        <f>Q47/23</f>
        <v>988212.60869565222</v>
      </c>
      <c r="G47" s="190">
        <f t="shared" ref="G47" si="83">F47/F46-1</f>
        <v>-4.0212017555996571E-2</v>
      </c>
      <c r="H47" s="190">
        <f t="shared" ref="H47" si="84">F47/F35-1</f>
        <v>7.8176861442156298E-3</v>
      </c>
      <c r="I47" s="130">
        <f t="shared" si="0"/>
        <v>3.14330777939941</v>
      </c>
      <c r="J47" s="130">
        <f t="shared" si="5"/>
        <v>-0.10364054109594789</v>
      </c>
      <c r="K47" s="136"/>
      <c r="L47" s="190"/>
      <c r="M47" s="190"/>
      <c r="N47" s="191"/>
      <c r="O47" s="192"/>
      <c r="P47" s="129" t="s">
        <v>1047</v>
      </c>
      <c r="Q47" s="116">
        <v>22728890</v>
      </c>
      <c r="R47" s="116">
        <v>31164071924</v>
      </c>
      <c r="S47" s="116">
        <v>7230882.75</v>
      </c>
      <c r="T47" s="130">
        <f t="shared" ref="T47" si="85">Q47/S47</f>
        <v>3.14330777939941</v>
      </c>
      <c r="U47" s="85">
        <f t="shared" si="82"/>
        <v>63144086</v>
      </c>
    </row>
    <row r="48" spans="1:21" s="79" customFormat="1" ht="13.2">
      <c r="A48" s="129" t="s">
        <v>1096</v>
      </c>
      <c r="B48" s="188"/>
      <c r="C48" s="188"/>
      <c r="D48" s="190"/>
      <c r="E48" s="287"/>
      <c r="F48" s="136">
        <f>Q48/20</f>
        <v>947955.85</v>
      </c>
      <c r="G48" s="190">
        <f t="shared" ref="G48" si="86">F48/F47-1</f>
        <v>-4.0736940959281376E-2</v>
      </c>
      <c r="H48" s="190">
        <f t="shared" ref="H48" si="87">F48/F36-1</f>
        <v>6.2157451207070391E-2</v>
      </c>
      <c r="I48" s="130">
        <f t="shared" si="0"/>
        <v>3.2566205335035354</v>
      </c>
      <c r="J48" s="130">
        <f t="shared" si="5"/>
        <v>-8.6927777502756154E-2</v>
      </c>
      <c r="K48" s="136"/>
      <c r="L48" s="190"/>
      <c r="M48" s="190"/>
      <c r="N48" s="191"/>
      <c r="O48" s="192"/>
      <c r="P48" s="129" t="s">
        <v>1129</v>
      </c>
      <c r="Q48" s="116">
        <v>18959117</v>
      </c>
      <c r="R48" s="116">
        <v>26302659085</v>
      </c>
      <c r="S48" s="116">
        <v>5821715.1200000001</v>
      </c>
      <c r="T48" s="130">
        <f t="shared" ref="T48" si="88">Q48/S48</f>
        <v>3.2566205335035354</v>
      </c>
      <c r="U48" s="85">
        <f t="shared" si="82"/>
        <v>61250702</v>
      </c>
    </row>
    <row r="49" spans="1:26" ht="13.2">
      <c r="A49" s="129" t="s">
        <v>1233</v>
      </c>
      <c r="B49" s="188">
        <f>SUM(F47:F49)</f>
        <v>2887673.413241107</v>
      </c>
      <c r="C49" s="188">
        <f>AVERAGE(F47:F49)</f>
        <v>962557.80441370234</v>
      </c>
      <c r="D49" s="190">
        <f>C49/C46-1</f>
        <v>-7.3376617762474394E-2</v>
      </c>
      <c r="E49" s="287">
        <f>C49/C37-1</f>
        <v>-3.1572603250187292E-2</v>
      </c>
      <c r="F49" s="136">
        <f>Q49/22</f>
        <v>951504.95454545459</v>
      </c>
      <c r="G49" s="190">
        <f t="shared" ref="G49" si="89">F49/F48-1</f>
        <v>3.743955528577203E-3</v>
      </c>
      <c r="H49" s="190">
        <f t="shared" ref="H49" si="90">F49/F37-1</f>
        <v>-0.14185183962427361</v>
      </c>
      <c r="I49" s="130">
        <f t="shared" si="0"/>
        <v>3.1758764454710255</v>
      </c>
      <c r="J49" s="130">
        <f t="shared" si="5"/>
        <v>-0.11508973065820316</v>
      </c>
      <c r="K49" s="136">
        <f>R47+R48+R49</f>
        <v>86561333300</v>
      </c>
      <c r="L49" s="190">
        <f>U49/U46-1</f>
        <v>-1.2057433243163773E-2</v>
      </c>
      <c r="M49" s="190">
        <f>K49/K37-1</f>
        <v>3.7900913658398538E-2</v>
      </c>
      <c r="N49" s="191">
        <f>AVERAGE(T47:T49)</f>
        <v>3.1919349194579905</v>
      </c>
      <c r="O49" s="192">
        <f>N49/N46-1</f>
        <v>-5.4297117355551761E-2</v>
      </c>
      <c r="P49" s="129" t="s">
        <v>1165</v>
      </c>
      <c r="Q49" s="116">
        <v>20933109</v>
      </c>
      <c r="R49" s="116">
        <v>29094602291</v>
      </c>
      <c r="S49" s="116">
        <v>6591285.7000000002</v>
      </c>
      <c r="T49" s="130">
        <f t="shared" ref="T49" si="91">Q49/S49</f>
        <v>3.1758764454710255</v>
      </c>
      <c r="U49" s="85">
        <f t="shared" si="82"/>
        <v>62621116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914862.11111111112</v>
      </c>
      <c r="G50" s="190">
        <f t="shared" ref="G50" si="92">F50/F49-1</f>
        <v>-3.8510407391255441E-2</v>
      </c>
      <c r="H50" s="190">
        <f t="shared" ref="H50" si="93">F50/F38-1</f>
        <v>-6.5961518439360045E-2</v>
      </c>
      <c r="I50" s="130">
        <f t="shared" ref="I50" si="94">T50</f>
        <v>3.410194438088396</v>
      </c>
      <c r="J50" s="130">
        <f t="shared" ref="J50" si="95">I50/I38-1</f>
        <v>2.9997742069894251E-2</v>
      </c>
      <c r="K50" s="136"/>
      <c r="L50" s="190"/>
      <c r="M50" s="190"/>
      <c r="N50" s="191"/>
      <c r="O50" s="192"/>
      <c r="P50" s="129" t="s">
        <v>1291</v>
      </c>
      <c r="Q50" s="116">
        <v>16467518</v>
      </c>
      <c r="R50" s="116">
        <v>23301696807</v>
      </c>
      <c r="S50" s="116">
        <v>4828908.82</v>
      </c>
      <c r="T50" s="130">
        <f t="shared" ref="T50" si="96">Q50/S50</f>
        <v>3.410194438088396</v>
      </c>
      <c r="U50" s="85">
        <f t="shared" si="82"/>
        <v>56359744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1002937.9</v>
      </c>
      <c r="G51" s="190">
        <f t="shared" ref="G51:G52" si="97">F51/F50-1</f>
        <v>9.6272200825892496E-2</v>
      </c>
      <c r="H51" s="190">
        <f t="shared" ref="H51:H52" si="98">F51/F39-1</f>
        <v>-4.2335158160891284E-2</v>
      </c>
      <c r="I51" s="130">
        <f t="shared" ref="I51:I52" si="99">T51</f>
        <v>3.559730480767517</v>
      </c>
      <c r="J51" s="130">
        <f t="shared" ref="J51:J52" si="100">I51/I39-1</f>
        <v>1.5605420114928048E-3</v>
      </c>
      <c r="K51" s="136"/>
      <c r="L51" s="190"/>
      <c r="M51" s="190"/>
      <c r="N51" s="191"/>
      <c r="O51" s="192"/>
      <c r="P51" s="129" t="s">
        <v>1402</v>
      </c>
      <c r="Q51" s="116">
        <v>20058758</v>
      </c>
      <c r="R51" s="116">
        <v>29068638302</v>
      </c>
      <c r="S51" s="116">
        <v>5634909.1900000004</v>
      </c>
      <c r="T51" s="130">
        <f t="shared" ref="T51:T52" si="101">Q51/S51</f>
        <v>3.559730480767517</v>
      </c>
      <c r="U51" s="85">
        <f t="shared" si="82"/>
        <v>57459385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2755401.192929293</v>
      </c>
      <c r="C52" s="188">
        <f>AVERAGE(F50:F52)</f>
        <v>918467.0643097643</v>
      </c>
      <c r="D52" s="190">
        <f>C52/C49-1</f>
        <v>-4.5805810208763398E-2</v>
      </c>
      <c r="E52" s="287">
        <f>C52/C40-1</f>
        <v>-5.7697167158569429E-2</v>
      </c>
      <c r="F52" s="136">
        <f>Q52/22</f>
        <v>837601.18181818177</v>
      </c>
      <c r="G52" s="190">
        <f t="shared" si="97"/>
        <v>-0.16485239832079157</v>
      </c>
      <c r="H52" s="190">
        <f t="shared" si="98"/>
        <v>-6.6604926235179329E-2</v>
      </c>
      <c r="I52" s="130">
        <f t="shared" si="99"/>
        <v>3.2728871275922802</v>
      </c>
      <c r="J52" s="130">
        <f t="shared" si="100"/>
        <v>-3.4088672969331268E-3</v>
      </c>
      <c r="K52" s="136">
        <f>R50+R51+R52</f>
        <v>79488900927</v>
      </c>
      <c r="L52" s="190">
        <f>U52/U49-1</f>
        <v>-0.12244454410553784</v>
      </c>
      <c r="M52" s="190">
        <f>K52/K40-1</f>
        <v>-5.0098815806706165E-2</v>
      </c>
      <c r="N52" s="191">
        <f>AVERAGE(T50:T52)</f>
        <v>3.414270682149398</v>
      </c>
      <c r="O52" s="192">
        <f>N52/N49-1</f>
        <v>6.9655481174146772E-2</v>
      </c>
      <c r="P52" s="129" t="s">
        <v>1403</v>
      </c>
      <c r="Q52" s="116">
        <v>18427226</v>
      </c>
      <c r="R52" s="116">
        <v>27118565818</v>
      </c>
      <c r="S52" s="116">
        <v>5630266.2699999996</v>
      </c>
      <c r="T52" s="130">
        <f t="shared" si="101"/>
        <v>3.2728871275922802</v>
      </c>
      <c r="U52" s="85">
        <f t="shared" ref="U52" si="102">Q50+Q51+Q52</f>
        <v>54953502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835304.85714285716</v>
      </c>
      <c r="G53" s="190">
        <f t="shared" ref="G53" si="103">F53/F52-1</f>
        <v>-2.7415489915378899E-3</v>
      </c>
      <c r="H53" s="190">
        <f t="shared" ref="H53" si="104">F53/F41-1</f>
        <v>-8.9921363004137334E-2</v>
      </c>
      <c r="I53" s="130">
        <f t="shared" ref="I53" si="105">T53</f>
        <v>3.2924755138796256</v>
      </c>
      <c r="J53" s="130">
        <f t="shared" ref="J53" si="106">I53/I41-1</f>
        <v>4.1368068235920319E-2</v>
      </c>
      <c r="K53" s="136"/>
      <c r="L53" s="190"/>
      <c r="M53" s="190"/>
      <c r="N53" s="191"/>
      <c r="O53" s="192"/>
      <c r="P53" s="129" t="s">
        <v>1414</v>
      </c>
      <c r="Q53" s="116">
        <v>17541402</v>
      </c>
      <c r="R53" s="116">
        <v>25590081675</v>
      </c>
      <c r="S53" s="116">
        <v>5327724.3600000003</v>
      </c>
      <c r="T53" s="130">
        <f t="shared" ref="T53" si="107">Q53/S53</f>
        <v>3.2924755138796256</v>
      </c>
      <c r="U53" s="85">
        <f t="shared" ref="U53" si="108">Q51+Q52+Q53</f>
        <v>56027386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859900.5294117647</v>
      </c>
      <c r="G54" s="190">
        <f t="shared" ref="G54" si="109">F54/F53-1</f>
        <v>2.9445144558402969E-2</v>
      </c>
      <c r="H54" s="190">
        <f t="shared" ref="H54" si="110">F54/F42-1</f>
        <v>-0.14788908512213705</v>
      </c>
      <c r="I54" s="130">
        <f t="shared" ref="I54" si="111">T54</f>
        <v>3.2037542226480551</v>
      </c>
      <c r="J54" s="130">
        <f t="shared" ref="J54" si="112">I54/I42-1</f>
        <v>-3.133394412220547E-2</v>
      </c>
      <c r="K54" s="136"/>
      <c r="L54" s="190"/>
      <c r="M54" s="190"/>
      <c r="N54" s="191"/>
      <c r="O54" s="192"/>
      <c r="P54" s="129" t="s">
        <v>1417</v>
      </c>
      <c r="Q54" s="116">
        <v>14618309</v>
      </c>
      <c r="R54" s="116">
        <v>21167850785</v>
      </c>
      <c r="S54" s="116">
        <v>4562868.43</v>
      </c>
      <c r="T54" s="130">
        <f t="shared" ref="T54" si="113">Q54/S54</f>
        <v>3.2037542226480551</v>
      </c>
      <c r="U54" s="85">
        <f t="shared" ref="U54" si="114">Q52+Q53+Q54</f>
        <v>50586937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2693663.3389355745</v>
      </c>
      <c r="C55" s="188">
        <f>AVERAGE(F53:F55)</f>
        <v>897887.77964519151</v>
      </c>
      <c r="D55" s="190">
        <f>C55/C52-1</f>
        <v>-2.2406121530376577E-2</v>
      </c>
      <c r="E55" s="287">
        <f>C55/C43-1</f>
        <v>-5.829938290195813E-2</v>
      </c>
      <c r="F55" s="136">
        <f>Q55/21</f>
        <v>998457.95238095243</v>
      </c>
      <c r="G55" s="190">
        <f t="shared" ref="G55" si="115">F55/F54-1</f>
        <v>0.16113191960001605</v>
      </c>
      <c r="H55" s="190">
        <f t="shared" ref="H55" si="116">F55/F43-1</f>
        <v>6.9648802830411416E-2</v>
      </c>
      <c r="I55" s="130">
        <f>T55</f>
        <v>3.2120123182799905</v>
      </c>
      <c r="J55" s="130">
        <f t="shared" ref="J55" si="117">I55/I43-1</f>
        <v>4.0367912773988657E-3</v>
      </c>
      <c r="K55" s="136">
        <f>R53+R54+R55</f>
        <v>77595056727</v>
      </c>
      <c r="L55" s="190">
        <f>U55/U52-1</f>
        <v>-3.3231257946035875E-2</v>
      </c>
      <c r="M55" s="190">
        <f>K55/K43-1</f>
        <v>-3.508664221010549E-2</v>
      </c>
      <c r="N55" s="191">
        <f>AVERAGE(T53:T55)</f>
        <v>3.2360806849358905</v>
      </c>
      <c r="O55" s="192">
        <f>N55/N52-1</f>
        <v>-5.2189768709647533E-2</v>
      </c>
      <c r="P55" s="129" t="s">
        <v>1418</v>
      </c>
      <c r="Q55" s="116">
        <v>20967617</v>
      </c>
      <c r="R55" s="116">
        <v>30837124267</v>
      </c>
      <c r="S55" s="116">
        <v>6527875.6500000004</v>
      </c>
      <c r="T55" s="130">
        <f t="shared" ref="T55" si="118">Q55/S55</f>
        <v>3.2120123182799905</v>
      </c>
      <c r="U55" s="85">
        <f t="shared" ref="U55" si="119">Q53+Q54+Q55</f>
        <v>53127328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921036.54545454541</v>
      </c>
      <c r="G56" s="190">
        <f t="shared" ref="G56" si="120">F56/F55-1</f>
        <v>-7.7540978808156802E-2</v>
      </c>
      <c r="H56" s="190">
        <f t="shared" ref="H56" si="121">F56/F44-1</f>
        <v>-0.11786500631144248</v>
      </c>
      <c r="I56" s="291">
        <f>T56</f>
        <v>3.2678433905604103</v>
      </c>
      <c r="J56" s="130">
        <f t="shared" ref="J56" si="122">I56/I44-1</f>
        <v>-0.10367505341726868</v>
      </c>
      <c r="K56" s="136"/>
      <c r="L56" s="190"/>
      <c r="M56" s="190"/>
      <c r="N56" s="191"/>
      <c r="O56" s="192"/>
      <c r="P56" s="129" t="s">
        <v>1420</v>
      </c>
      <c r="Q56" s="116">
        <v>20262804</v>
      </c>
      <c r="R56" s="116">
        <v>30249152330</v>
      </c>
      <c r="S56" s="116">
        <v>6200665.5700000003</v>
      </c>
      <c r="T56" s="130">
        <f t="shared" ref="T56" si="123">Q56/S56</f>
        <v>3.2678433905604103</v>
      </c>
      <c r="U56" s="85">
        <f t="shared" ref="U56" si="124">Q54+Q55+Q56</f>
        <v>55848730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903230.25</v>
      </c>
      <c r="G57" s="254">
        <f t="shared" ref="G57" si="125">F57/F56-1</f>
        <v>-1.9332886998265297E-2</v>
      </c>
      <c r="H57" s="254">
        <f t="shared" ref="H57" si="126">F57/F45-1</f>
        <v>-0.13369600126143144</v>
      </c>
      <c r="I57" s="282">
        <f>T57</f>
        <v>3.2653524055373055</v>
      </c>
      <c r="J57" s="277">
        <f t="shared" ref="J57" si="127">I57/I45-1</f>
        <v>6.660489350340737E-2</v>
      </c>
      <c r="K57" s="204"/>
      <c r="L57" s="254"/>
      <c r="M57" s="254"/>
      <c r="N57" s="257"/>
      <c r="O57" s="258"/>
      <c r="P57" s="129" t="s">
        <v>1436</v>
      </c>
      <c r="Q57" s="116">
        <v>10838763</v>
      </c>
      <c r="R57" s="116">
        <v>15968348973</v>
      </c>
      <c r="S57" s="116">
        <v>3319324.12</v>
      </c>
      <c r="T57" s="130">
        <f t="shared" ref="T57" si="128">Q57/S57</f>
        <v>3.2653524055373055</v>
      </c>
      <c r="U57" s="85">
        <f t="shared" ref="U57" si="129">Q55+Q56+Q57</f>
        <v>52069184</v>
      </c>
      <c r="V57" s="79"/>
      <c r="W57" s="79"/>
      <c r="X57" s="79"/>
      <c r="Y57" s="79"/>
      <c r="Z57" s="79"/>
    </row>
    <row r="58" spans="1:26">
      <c r="B58" s="196">
        <f>SUM(F56:F58)</f>
        <v>1824266.7954545454</v>
      </c>
      <c r="C58" s="196">
        <f>AVERAGE(F56:F58)</f>
        <v>912133.39772727271</v>
      </c>
      <c r="D58" s="197">
        <f>C58/C55-1</f>
        <v>1.5865699929350274E-2</v>
      </c>
      <c r="E58" s="233">
        <f>C58/C46-1</f>
        <v>-0.12191856927629541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84228895</v>
      </c>
      <c r="R65" s="212">
        <v>123812558030</v>
      </c>
      <c r="S65" s="213">
        <v>25938458.140000001</v>
      </c>
      <c r="T65" s="214">
        <v>947</v>
      </c>
      <c r="U65" s="214">
        <v>1436</v>
      </c>
    </row>
    <row r="66" spans="16:21" ht="18" thickBot="1">
      <c r="P66" s="180" t="s">
        <v>976</v>
      </c>
      <c r="Q66" s="181">
        <v>17541402</v>
      </c>
      <c r="R66" s="181">
        <v>25590081675</v>
      </c>
      <c r="S66" s="182">
        <v>5327724.3600000003</v>
      </c>
      <c r="T66" s="210">
        <v>497</v>
      </c>
      <c r="U66" s="210">
        <v>738</v>
      </c>
    </row>
    <row r="67" spans="16:21" ht="18" thickBot="1">
      <c r="P67" s="180" t="s">
        <v>977</v>
      </c>
      <c r="Q67" s="181">
        <v>14618309</v>
      </c>
      <c r="R67" s="181">
        <v>21167850785</v>
      </c>
      <c r="S67" s="182">
        <v>4562868.43</v>
      </c>
      <c r="T67" s="210">
        <v>446</v>
      </c>
      <c r="U67" s="210">
        <v>620</v>
      </c>
    </row>
    <row r="68" spans="16:21" ht="18" thickBot="1">
      <c r="P68" s="180" t="s">
        <v>978</v>
      </c>
      <c r="Q68" s="181">
        <v>20967617</v>
      </c>
      <c r="R68" s="181">
        <v>30837124267</v>
      </c>
      <c r="S68" s="182">
        <v>6527875.6500000004</v>
      </c>
      <c r="T68" s="210">
        <v>503</v>
      </c>
      <c r="U68" s="210">
        <v>746</v>
      </c>
    </row>
    <row r="69" spans="16:21" ht="18" thickBot="1">
      <c r="P69" s="180" t="s">
        <v>979</v>
      </c>
      <c r="Q69" s="181">
        <v>20262804</v>
      </c>
      <c r="R69" s="181">
        <v>30249152330</v>
      </c>
      <c r="S69" s="182">
        <v>6200665.5700000003</v>
      </c>
      <c r="T69" s="210">
        <v>498</v>
      </c>
      <c r="U69" s="210">
        <v>702</v>
      </c>
    </row>
    <row r="70" spans="16:21" ht="18" thickBot="1">
      <c r="P70" s="180" t="s">
        <v>980</v>
      </c>
      <c r="Q70" s="181">
        <v>10838763</v>
      </c>
      <c r="R70" s="181">
        <v>15968348973</v>
      </c>
      <c r="S70" s="182">
        <v>3319324.12</v>
      </c>
      <c r="T70" s="210">
        <v>377</v>
      </c>
      <c r="U70" s="210">
        <v>527</v>
      </c>
    </row>
    <row r="71" spans="16:21" ht="18" thickBot="1">
      <c r="P71" s="180" t="s">
        <v>975</v>
      </c>
      <c r="Q71" s="181">
        <v>236101107</v>
      </c>
      <c r="R71" s="181">
        <v>335609084045</v>
      </c>
      <c r="S71" s="182">
        <v>71683868.269999996</v>
      </c>
      <c r="T71" s="210">
        <v>1531</v>
      </c>
      <c r="U71" s="210">
        <v>2925</v>
      </c>
    </row>
    <row r="72" spans="16:21" ht="18" thickBot="1">
      <c r="P72" s="215" t="s">
        <v>982</v>
      </c>
      <c r="Q72" s="217">
        <v>25</v>
      </c>
      <c r="R72"/>
      <c r="S72"/>
      <c r="T72"/>
      <c r="U72"/>
    </row>
  </sheetData>
  <phoneticPr fontId="1" type="noConversion"/>
  <conditionalFormatting sqref="C29:C30">
    <cfRule type="cellIs" dxfId="12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69"/>
  <dimension ref="A1:Z70"/>
  <sheetViews>
    <sheetView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5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5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90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90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85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90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si="2"/>
        <v>-0.15286669069998671</v>
      </c>
      <c r="H17" s="90">
        <f t="shared" ref="H17:H25" si="3">F17/F5-1</f>
        <v>1.6237087227870761E-2</v>
      </c>
      <c r="I17" s="130">
        <f t="shared" si="0"/>
        <v>33.986002165725594</v>
      </c>
      <c r="J17" s="130">
        <f t="shared" ref="J17:J49" si="4">I17/I5-1</f>
        <v>0.23629456411704397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2"/>
        <v>0.38854142734436947</v>
      </c>
      <c r="H18" s="90">
        <f t="shared" si="3"/>
        <v>0.16644720927300161</v>
      </c>
      <c r="I18" s="130">
        <f t="shared" si="0"/>
        <v>32.898208778154611</v>
      </c>
      <c r="J18" s="130">
        <f t="shared" si="4"/>
        <v>0.18923342966062906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si="1"/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7.3514380990310269E-2</v>
      </c>
      <c r="E19" s="90">
        <f>C19/C7-1</f>
        <v>0.14781965319065238</v>
      </c>
      <c r="F19" s="78">
        <f>Q19/22</f>
        <v>8895010.1363636367</v>
      </c>
      <c r="G19" s="90">
        <f t="shared" si="2"/>
        <v>6.2616488093379274E-2</v>
      </c>
      <c r="H19" s="90">
        <f t="shared" si="3"/>
        <v>0.23784269105138289</v>
      </c>
      <c r="I19" s="130">
        <f t="shared" si="0"/>
        <v>30.417712277249134</v>
      </c>
      <c r="J19" s="130">
        <f t="shared" si="4"/>
        <v>5.3361927624911987E-2</v>
      </c>
      <c r="K19" s="78">
        <f>R17+R18+R19</f>
        <v>616875511602</v>
      </c>
      <c r="L19" s="87">
        <f>U19/U16-1</f>
        <v>4.4589411193163064E-2</v>
      </c>
      <c r="M19" s="87">
        <f>U19/U7-1</f>
        <v>0.19159343747001634</v>
      </c>
      <c r="N19" s="88">
        <f>AVERAGE(T17:T19)</f>
        <v>32.433974407043117</v>
      </c>
      <c r="O19" s="89">
        <f>N19/N16-1</f>
        <v>6.5717974303794779E-2</v>
      </c>
      <c r="P19" s="129" t="s">
        <v>114</v>
      </c>
      <c r="Q19" s="116">
        <v>195690223</v>
      </c>
      <c r="R19" s="116">
        <v>255777419524</v>
      </c>
      <c r="S19" s="116">
        <v>6433430.0099999998</v>
      </c>
      <c r="T19" s="130">
        <f t="shared" si="1"/>
        <v>30.417712277249134</v>
      </c>
      <c r="U19" s="85">
        <f>Q17+Q18+Q19</f>
        <v>483677850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8304799</v>
      </c>
      <c r="G20" s="90">
        <f t="shared" si="2"/>
        <v>-6.6353059447430862E-2</v>
      </c>
      <c r="H20" s="90">
        <f t="shared" si="3"/>
        <v>0.1333957638378751</v>
      </c>
      <c r="I20" s="130">
        <f t="shared" si="0"/>
        <v>31.839581336905567</v>
      </c>
      <c r="J20" s="130">
        <f t="shared" si="4"/>
        <v>2.5276827624611586E-2</v>
      </c>
      <c r="O20" s="89"/>
      <c r="P20" s="129" t="s">
        <v>131</v>
      </c>
      <c r="Q20" s="116">
        <v>166095980</v>
      </c>
      <c r="R20" s="116">
        <v>217837533024</v>
      </c>
      <c r="S20" s="116">
        <v>5216650.88</v>
      </c>
      <c r="T20" s="130">
        <f t="shared" si="1"/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8023294.0476190476</v>
      </c>
      <c r="G21" s="90">
        <f t="shared" si="2"/>
        <v>-3.3896660518930366E-2</v>
      </c>
      <c r="H21" s="90">
        <f t="shared" si="3"/>
        <v>-0.10492417678837562</v>
      </c>
      <c r="I21" s="130">
        <f t="shared" si="0"/>
        <v>34.174175227169776</v>
      </c>
      <c r="J21" s="130">
        <f t="shared" si="4"/>
        <v>7.3464664776623501E-2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si="1"/>
        <v>34.174175227169776</v>
      </c>
      <c r="U21" s="78"/>
    </row>
    <row r="22" spans="1:21" hidden="1">
      <c r="A22" s="129" t="s">
        <v>155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90">
        <f>C22/C10-1</f>
        <v>5.4376643177895145E-2</v>
      </c>
      <c r="F22" s="78">
        <f>Q22/21</f>
        <v>8999182.2380952388</v>
      </c>
      <c r="G22" s="90">
        <f t="shared" si="2"/>
        <v>0.12163186151276495</v>
      </c>
      <c r="H22" s="90">
        <f t="shared" si="3"/>
        <v>0.16420212353377228</v>
      </c>
      <c r="I22" s="130">
        <f t="shared" si="0"/>
        <v>36.618733504183581</v>
      </c>
      <c r="J22" s="130">
        <f t="shared" si="4"/>
        <v>0.2276018489143341</v>
      </c>
      <c r="K22" s="78">
        <f>R20+R21+R22</f>
        <v>687987019207</v>
      </c>
      <c r="L22" s="87">
        <f>U22/U19-1</f>
        <v>8.2472521741485671E-2</v>
      </c>
      <c r="M22" s="87">
        <f>U22/U10-1</f>
        <v>3.7913333896634649E-2</v>
      </c>
      <c r="N22" s="88">
        <f>AVERAGE(T20:T22)</f>
        <v>34.21083002275298</v>
      </c>
      <c r="O22" s="89">
        <f>N22/N19-1</f>
        <v>5.4783776832604714E-2</v>
      </c>
      <c r="P22" s="129" t="s">
        <v>155</v>
      </c>
      <c r="Q22" s="116">
        <v>188982827</v>
      </c>
      <c r="R22" s="116">
        <v>245787938970</v>
      </c>
      <c r="S22" s="116">
        <v>5160823.68</v>
      </c>
      <c r="T22" s="130">
        <f t="shared" si="1"/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si="2"/>
        <v>-0.18296148675985269</v>
      </c>
      <c r="H23" s="90">
        <f t="shared" si="3"/>
        <v>6.5324239493799396E-2</v>
      </c>
      <c r="I23" s="130">
        <f t="shared" si="0"/>
        <v>33.300489538364978</v>
      </c>
      <c r="J23" s="130">
        <f t="shared" si="4"/>
        <v>0.23441980026389309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si="2"/>
        <v>-3.1373375100492207E-2</v>
      </c>
      <c r="H24" s="90">
        <f t="shared" si="3"/>
        <v>6.8637695393957809E-2</v>
      </c>
      <c r="I24" s="130">
        <f t="shared" si="0"/>
        <v>31.236116849724883</v>
      </c>
      <c r="J24" s="130">
        <f t="shared" si="4"/>
        <v>4.2571400604795029E-2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si="1"/>
        <v>31.236116849724883</v>
      </c>
      <c r="U24" s="78"/>
    </row>
    <row r="25" spans="1:21" s="79" customFormat="1" ht="13.2" hidden="1">
      <c r="A25" s="129" t="s">
        <v>217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90">
        <f>C25/C13-1</f>
        <v>0.11720686060163876</v>
      </c>
      <c r="F25" s="78">
        <f>Q25/19</f>
        <v>9994959.2105263155</v>
      </c>
      <c r="G25" s="90">
        <f t="shared" si="2"/>
        <v>0.40339216781166187</v>
      </c>
      <c r="H25" s="90">
        <f t="shared" si="3"/>
        <v>0.19899261543208335</v>
      </c>
      <c r="I25" s="130">
        <f t="shared" si="0"/>
        <v>31.866415260842821</v>
      </c>
      <c r="J25" s="130">
        <f t="shared" si="4"/>
        <v>0.18911235208634358</v>
      </c>
      <c r="K25" s="78">
        <f>R23+R24+R25</f>
        <v>657080674708</v>
      </c>
      <c r="L25" s="90">
        <f>U25/U22-1</f>
        <v>-4.3114756394710185E-2</v>
      </c>
      <c r="M25" s="90">
        <f>U25/U13-1</f>
        <v>9.3203196466253413E-2</v>
      </c>
      <c r="N25" s="88">
        <f>AVERAGE(T23:T25)</f>
        <v>32.134340549644229</v>
      </c>
      <c r="O25" s="91">
        <f>N25/N22-1</f>
        <v>-6.0696845756963991E-2</v>
      </c>
      <c r="P25" s="129" t="s">
        <v>217</v>
      </c>
      <c r="Q25" s="116">
        <v>189904225</v>
      </c>
      <c r="R25" s="116">
        <v>252032559663</v>
      </c>
      <c r="S25" s="116">
        <v>5959384.6200000001</v>
      </c>
      <c r="T25" s="130">
        <f t="shared" si="1"/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9252655.5263157897</v>
      </c>
      <c r="G26" s="90">
        <f t="shared" ref="G26" si="5">F26/F25-1</f>
        <v>-7.4267805258150466E-2</v>
      </c>
      <c r="H26" s="90">
        <f t="shared" ref="H26" si="6">F26/F14-1</f>
        <v>0.28951364729397322</v>
      </c>
      <c r="I26" s="130">
        <f t="shared" si="0"/>
        <v>32.976491416489104</v>
      </c>
      <c r="J26" s="130">
        <f t="shared" si="4"/>
        <v>0.22127097184536448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7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8422569</v>
      </c>
      <c r="G27" s="90">
        <f t="shared" ref="G27" si="8">F27/F26-1</f>
        <v>-8.9713328671419013E-2</v>
      </c>
      <c r="H27" s="90">
        <f t="shared" ref="H27" si="9">F27/F15-1</f>
        <v>0.13703261604679051</v>
      </c>
      <c r="I27" s="130">
        <f t="shared" si="0"/>
        <v>30.812250155222326</v>
      </c>
      <c r="J27" s="130">
        <f t="shared" si="4"/>
        <v>-2.7259525207482205E-2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10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90">
        <f>C28/C16-1</f>
        <v>0.24598252845966617</v>
      </c>
      <c r="F28" s="78">
        <f>Q28/19</f>
        <v>9361585.8947368413</v>
      </c>
      <c r="G28" s="90">
        <f t="shared" ref="G28" si="11">F28/F27-1</f>
        <v>0.11148818071265931</v>
      </c>
      <c r="H28" s="90">
        <f t="shared" ref="H28" si="12">F28/F16-1</f>
        <v>0.31549781026526702</v>
      </c>
      <c r="I28" s="130">
        <f t="shared" si="0"/>
        <v>33.050659080603033</v>
      </c>
      <c r="J28" s="130">
        <f t="shared" si="4"/>
        <v>1.3069983514986339E-2</v>
      </c>
      <c r="K28" s="78">
        <f>R26+R27+R28</f>
        <v>713953689481</v>
      </c>
      <c r="L28" s="90">
        <f>U28/U25-1</f>
        <v>7.5794506364976311E-2</v>
      </c>
      <c r="M28" s="90">
        <f>U28/U16-1</f>
        <v>0.16399651310150687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13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189"/>
      <c r="F29" s="136">
        <f>Q29/22</f>
        <v>8439686.6818181816</v>
      </c>
      <c r="G29" s="190">
        <f t="shared" ref="G29" si="14">F29/F28-1</f>
        <v>-9.8476820411054322E-2</v>
      </c>
      <c r="H29" s="190">
        <f t="shared" ref="H29" si="15">F29/F17-1</f>
        <v>0.39995884429640904</v>
      </c>
      <c r="I29" s="130">
        <f t="shared" si="0"/>
        <v>30.603406181061025</v>
      </c>
      <c r="J29" s="130">
        <f t="shared" si="4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16">Q29/S29</f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9390227.8947368413</v>
      </c>
      <c r="G30" s="190">
        <f t="shared" ref="G30" si="17">F30/F29-1</f>
        <v>0.11262754753282889</v>
      </c>
      <c r="H30" s="190">
        <f t="shared" ref="H30" si="18">F30/F18-1</f>
        <v>0.12177623576952268</v>
      </c>
      <c r="I30" s="130">
        <f t="shared" si="0"/>
        <v>35.935152547586505</v>
      </c>
      <c r="J30" s="130">
        <f t="shared" si="4"/>
        <v>9.2313347207174212E-2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ref="T30" si="19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190">
        <f>C31/C19-1</f>
        <v>0.16896258451290391</v>
      </c>
      <c r="F31" s="136">
        <f>Q31/20</f>
        <v>9400357.5</v>
      </c>
      <c r="G31" s="190">
        <f t="shared" ref="G31" si="20">F31/F30-1</f>
        <v>1.0787390228128579E-3</v>
      </c>
      <c r="H31" s="190">
        <f t="shared" ref="H31" si="21">F31/F19-1</f>
        <v>5.6812455060669897E-2</v>
      </c>
      <c r="I31" s="130">
        <f t="shared" si="0"/>
        <v>33.520612051402018</v>
      </c>
      <c r="J31" s="130">
        <f t="shared" si="4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22">Q31/S31</f>
        <v>33.520612051402018</v>
      </c>
      <c r="U31" s="85">
        <f>Q29+Q30+Q31</f>
        <v>552094587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9133590.5714285709</v>
      </c>
      <c r="G32" s="190">
        <f t="shared" ref="G32" si="23">F32/F31-1</f>
        <v>-2.8378381202143532E-2</v>
      </c>
      <c r="H32" s="190">
        <f t="shared" ref="H32" si="24">F32/F20-1</f>
        <v>9.9796704463114727E-2</v>
      </c>
      <c r="I32" s="130">
        <f t="shared" si="0"/>
        <v>32.340331361370566</v>
      </c>
      <c r="J32" s="130">
        <f t="shared" si="4"/>
        <v>1.5727280430178681E-2</v>
      </c>
      <c r="K32" s="136"/>
      <c r="L32" s="190"/>
      <c r="M32" s="190"/>
      <c r="N32" s="191"/>
      <c r="O32" s="192"/>
      <c r="P32" s="129" t="s">
        <v>562</v>
      </c>
      <c r="Q32" s="116">
        <v>191805402</v>
      </c>
      <c r="R32" s="116">
        <v>260858626371</v>
      </c>
      <c r="S32" s="116">
        <v>5930842.2000000002</v>
      </c>
      <c r="T32" s="130">
        <f t="shared" ref="T32" si="25">Q32/S32</f>
        <v>32.340331361370566</v>
      </c>
      <c r="U32" s="85"/>
    </row>
    <row r="33" spans="1:21" s="79" customFormat="1" ht="13.2" hidden="1">
      <c r="A33" s="129" t="s">
        <v>630</v>
      </c>
      <c r="B33" s="188"/>
      <c r="C33" s="188"/>
      <c r="D33" s="190"/>
      <c r="E33" s="190"/>
      <c r="F33" s="136">
        <f>Q33/21</f>
        <v>9623524.9047619049</v>
      </c>
      <c r="G33" s="190">
        <f t="shared" ref="G33" si="26">F33/F32-1</f>
        <v>5.3640934471699708E-2</v>
      </c>
      <c r="H33" s="190">
        <f t="shared" ref="H33" si="27">F33/F21-1</f>
        <v>0.19944811291289199</v>
      </c>
      <c r="I33" s="130">
        <f t="shared" si="0"/>
        <v>32.687243022916746</v>
      </c>
      <c r="J33" s="130">
        <f t="shared" si="4"/>
        <v>-4.3510404987648799E-2</v>
      </c>
      <c r="K33" s="136"/>
      <c r="L33" s="190"/>
      <c r="M33" s="190"/>
      <c r="N33" s="191"/>
      <c r="O33" s="192"/>
      <c r="P33" s="129" t="s">
        <v>630</v>
      </c>
      <c r="Q33" s="116">
        <v>202094023</v>
      </c>
      <c r="R33" s="116">
        <v>276342170813</v>
      </c>
      <c r="S33" s="116">
        <v>6182657.3399999999</v>
      </c>
      <c r="T33" s="130">
        <f t="shared" ref="T33" si="28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190">
        <f>C34/C22-1</f>
        <v>0.14872285606326519</v>
      </c>
      <c r="F34" s="136">
        <f>Q34/19</f>
        <v>10336904.52631579</v>
      </c>
      <c r="G34" s="190">
        <f t="shared" ref="G34" si="29">F34/F33-1</f>
        <v>7.4128723998094559E-2</v>
      </c>
      <c r="H34" s="190">
        <f t="shared" ref="H34" si="30">F34/F22-1</f>
        <v>0.14864931644096724</v>
      </c>
      <c r="I34" s="130">
        <f t="shared" si="0"/>
        <v>36.724792393562055</v>
      </c>
      <c r="J34" s="130">
        <f t="shared" si="4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31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8235076.8695652178</v>
      </c>
      <c r="G35" s="190">
        <f t="shared" ref="G35" si="32">F35/F34-1</f>
        <v>-0.20333240491867943</v>
      </c>
      <c r="H35" s="190">
        <f t="shared" ref="H35" si="33">F35/F23-1</f>
        <v>0.12001046914156976</v>
      </c>
      <c r="I35" s="130">
        <f t="shared" si="0"/>
        <v>31.110720012634641</v>
      </c>
      <c r="J35" s="130">
        <f t="shared" si="4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34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8816647.2857142854</v>
      </c>
      <c r="G36" s="190">
        <f t="shared" ref="G36" si="35">F36/F35-1</f>
        <v>7.0621127812225515E-2</v>
      </c>
      <c r="H36" s="190">
        <f t="shared" ref="H36" si="36">F36/F24-1</f>
        <v>0.23794539692551941</v>
      </c>
      <c r="I36" s="130">
        <f t="shared" si="0"/>
        <v>33.704545988500513</v>
      </c>
      <c r="J36" s="130">
        <f t="shared" si="4"/>
        <v>7.902484008018984E-2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ref="T36" si="37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190">
        <f>C37/C25-1</f>
        <v>0.20779995837502141</v>
      </c>
      <c r="F37" s="136">
        <f>Q37/18</f>
        <v>12502703.388888888</v>
      </c>
      <c r="G37" s="190">
        <f t="shared" ref="G37" si="38">F37/F36-1</f>
        <v>0.41807911598631842</v>
      </c>
      <c r="H37" s="190">
        <f t="shared" ref="H37" si="39">F37/F25-1</f>
        <v>0.25090089169363594</v>
      </c>
      <c r="I37" s="130">
        <f t="shared" si="0"/>
        <v>35.161555473599797</v>
      </c>
      <c r="J37" s="130">
        <f t="shared" si="4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40">Q37/S37</f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10313917.35</v>
      </c>
      <c r="G38" s="190">
        <f t="shared" ref="G38" si="41">F38/F37-1</f>
        <v>-0.17506502160437198</v>
      </c>
      <c r="H38" s="190">
        <f t="shared" ref="H38" si="42">F38/F26-1</f>
        <v>0.11469807999074844</v>
      </c>
      <c r="I38" s="130">
        <f t="shared" si="0"/>
        <v>33.258857971568503</v>
      </c>
      <c r="J38" s="130">
        <f t="shared" si="4"/>
        <v>8.5626621556897931E-3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43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10882717.761904761</v>
      </c>
      <c r="G39" s="190">
        <f t="shared" ref="G39" si="44">F39/F38-1</f>
        <v>5.5148823924283441E-2</v>
      </c>
      <c r="H39" s="190">
        <f t="shared" ref="H39" si="45">F39/F27-1</f>
        <v>0.29209006918254521</v>
      </c>
      <c r="I39" s="130">
        <f t="shared" si="0"/>
        <v>36.427053102920475</v>
      </c>
      <c r="J39" s="130">
        <f t="shared" si="4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46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190">
        <f>C40/C28-1</f>
        <v>0.21180707521668629</v>
      </c>
      <c r="F40" s="136">
        <f>Q40/21</f>
        <v>11566763.047619049</v>
      </c>
      <c r="G40" s="190">
        <f t="shared" ref="G40" si="47">F40/F39-1</f>
        <v>6.28561082516359E-2</v>
      </c>
      <c r="H40" s="190">
        <f t="shared" ref="H40" si="48">F40/F28-1</f>
        <v>0.23555593867081592</v>
      </c>
      <c r="I40" s="130">
        <f t="shared" si="0"/>
        <v>30.118300150992731</v>
      </c>
      <c r="J40" s="130">
        <f t="shared" si="4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49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10585697.611111112</v>
      </c>
      <c r="G41" s="190">
        <f t="shared" ref="G41" si="50">F41/F40-1</f>
        <v>-8.48176306948627E-2</v>
      </c>
      <c r="H41" s="190">
        <f t="shared" ref="H41" si="51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52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10663368.35</v>
      </c>
      <c r="G42" s="190">
        <f t="shared" ref="G42" si="53">F42/F41-1</f>
        <v>7.3373283218822749E-3</v>
      </c>
      <c r="H42" s="190">
        <f t="shared" ref="H42" si="54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55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190">
        <f>C43/C31-1</f>
        <v>0.20946660277651175</v>
      </c>
      <c r="F43" s="136">
        <f>Q43/20</f>
        <v>11685038.699999999</v>
      </c>
      <c r="G43" s="190">
        <f t="shared" ref="G43" si="56">F43/F42-1</f>
        <v>9.5811221789032563E-2</v>
      </c>
      <c r="H43" s="190">
        <f t="shared" ref="H43" si="57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U43/U31-1</f>
        <v>0.15471282097536676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58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11952388.954545455</v>
      </c>
      <c r="G44" s="190">
        <f t="shared" ref="G44" si="59">F44/F43-1</f>
        <v>2.2879706384323351E-2</v>
      </c>
      <c r="H44" s="190">
        <f t="shared" ref="H44" si="60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61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12001606.4</v>
      </c>
      <c r="G45" s="190">
        <f t="shared" ref="G45" si="62">F45/F44-1</f>
        <v>4.1177914843397723E-3</v>
      </c>
      <c r="H45" s="190">
        <f t="shared" ref="H45" si="63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64">Q45/S45</f>
        <v>32.413961896119282</v>
      </c>
      <c r="U45" s="85"/>
    </row>
    <row r="46" spans="1:21" s="79" customFormat="1" ht="13.2">
      <c r="A46" s="129" t="s">
        <v>913</v>
      </c>
      <c r="B46" s="188">
        <f>SUM(F44:F46)</f>
        <v>36033932.880861245</v>
      </c>
      <c r="C46" s="188">
        <f>AVERAGE(F44:F46)</f>
        <v>12011310.960287081</v>
      </c>
      <c r="D46" s="190">
        <f>C46/C43-1</f>
        <v>9.4122134232798471E-2</v>
      </c>
      <c r="E46" s="190">
        <f>C46/C34-1</f>
        <v>0.23853399694360378</v>
      </c>
      <c r="F46" s="136">
        <f>Q46/19</f>
        <v>12079937.52631579</v>
      </c>
      <c r="G46" s="190">
        <f t="shared" ref="G46" si="65">F46/F45-1</f>
        <v>6.5267201493783844E-3</v>
      </c>
      <c r="H46" s="190">
        <f t="shared" ref="H46" si="66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U46/U34-1</f>
        <v>0.2408991018306772</v>
      </c>
      <c r="N46" s="191">
        <f>AVERAGE(T44:T46)</f>
        <v>32.345689035149825</v>
      </c>
      <c r="O46" s="192">
        <f>N46/N43-1</f>
        <v>-6.8285356645550799E-2</v>
      </c>
      <c r="P46" s="129" t="s">
        <v>928</v>
      </c>
      <c r="Q46" s="116">
        <v>229518813</v>
      </c>
      <c r="R46" s="116">
        <v>314240852398</v>
      </c>
      <c r="S46" s="116">
        <v>7231438.4000000004</v>
      </c>
      <c r="T46" s="130">
        <f t="shared" ref="T46" si="67">Q46/S46</f>
        <v>31.739026221947764</v>
      </c>
      <c r="U46" s="85">
        <f t="shared" ref="U46:U51" si="68">Q44+Q45+Q46</f>
        <v>732503498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10534087.260869564</v>
      </c>
      <c r="G47" s="190">
        <f t="shared" ref="G47" si="69">F47/F46-1</f>
        <v>-0.12796839901519652</v>
      </c>
      <c r="H47" s="190">
        <f t="shared" ref="H47" si="70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192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71">Q47/S47</f>
        <v>30.226442449240864</v>
      </c>
      <c r="U47" s="85">
        <f t="shared" si="68"/>
        <v>711834948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10829751.75</v>
      </c>
      <c r="G48" s="190">
        <f t="shared" ref="G48" si="72">F48/F47-1</f>
        <v>2.8067404589358746E-2</v>
      </c>
      <c r="H48" s="190">
        <f t="shared" ref="H48" si="73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192"/>
      <c r="P48" s="129" t="s">
        <v>1070</v>
      </c>
      <c r="Q48" s="116">
        <v>216595035</v>
      </c>
      <c r="R48" s="116">
        <v>300530481061</v>
      </c>
      <c r="S48" s="116">
        <v>6613771.3200000003</v>
      </c>
      <c r="T48" s="130">
        <f t="shared" ref="T48" si="74">Q48/S48</f>
        <v>32.749096471633067</v>
      </c>
      <c r="U48" s="85">
        <f t="shared" si="68"/>
        <v>688397855</v>
      </c>
    </row>
    <row r="49" spans="1:26" ht="13.2">
      <c r="A49" s="129" t="s">
        <v>1232</v>
      </c>
      <c r="B49" s="188">
        <f>SUM(F47:F49)</f>
        <v>35119371.465415016</v>
      </c>
      <c r="C49" s="188">
        <f>AVERAGE(F47:F49)</f>
        <v>11706457.155138338</v>
      </c>
      <c r="D49" s="190">
        <f>C49/C46-1</f>
        <v>-2.5380560553021958E-2</v>
      </c>
      <c r="E49" s="190">
        <f>C49/C37-1</f>
        <v>0.18829476270281154</v>
      </c>
      <c r="F49" s="136">
        <f>Q49/22</f>
        <v>13755532.454545455</v>
      </c>
      <c r="G49" s="190">
        <f t="shared" ref="G49" si="75">F49/F48-1</f>
        <v>0.27016138246617283</v>
      </c>
      <c r="H49" s="190">
        <f t="shared" ref="H49" si="76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U49/U37-1</f>
        <v>0.2700039660441671</v>
      </c>
      <c r="N49" s="191">
        <f>AVERAGE(T47:T49)</f>
        <v>31.391280790412079</v>
      </c>
      <c r="O49" s="192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77">Q49/S49</f>
        <v>31.198303450362303</v>
      </c>
      <c r="U49" s="85">
        <f t="shared" si="68"/>
        <v>761500756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190"/>
      <c r="F50" s="136">
        <f>Q50/18</f>
        <v>12864105.666666666</v>
      </c>
      <c r="G50" s="190">
        <f t="shared" ref="G50" si="78">F50/F49-1</f>
        <v>-6.4804964171650159E-2</v>
      </c>
      <c r="H50" s="190">
        <f t="shared" ref="H50" si="79">F50/F38-1</f>
        <v>0.24725700528002248</v>
      </c>
      <c r="I50" s="130">
        <f t="shared" ref="I50" si="80">T50</f>
        <v>32.320241416284595</v>
      </c>
      <c r="J50" s="130">
        <f t="shared" ref="J50" si="81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82">Q50/S50</f>
        <v>32.320241416284595</v>
      </c>
      <c r="U50" s="85">
        <f t="shared" si="68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12552812.199999999</v>
      </c>
      <c r="G51" s="190">
        <f t="shared" ref="G51:G52" si="83">F51/F50-1</f>
        <v>-2.4198609272410354E-2</v>
      </c>
      <c r="H51" s="190">
        <f t="shared" ref="H51:H52" si="84">F51/F39-1</f>
        <v>0.15346299285105491</v>
      </c>
      <c r="I51" s="130">
        <f t="shared" ref="I51:I52" si="85">T51</f>
        <v>33.701741911719012</v>
      </c>
      <c r="J51" s="130">
        <f t="shared" ref="J51:J52" si="86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87">Q51/S51</f>
        <v>33.701741911719012</v>
      </c>
      <c r="U51" s="85">
        <f t="shared" si="68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39121030.0030303</v>
      </c>
      <c r="C52" s="253">
        <f>AVERAGE(F50:F52)</f>
        <v>13040343.334343433</v>
      </c>
      <c r="D52" s="254">
        <f>C52/C49-1</f>
        <v>0.11394448051429551</v>
      </c>
      <c r="E52" s="254">
        <f>C52/C40-1</f>
        <v>0.1940467778266286</v>
      </c>
      <c r="F52" s="136">
        <f>Q52/22</f>
        <v>13704112.136363637</v>
      </c>
      <c r="G52" s="190">
        <f t="shared" si="83"/>
        <v>9.1716494919253044E-2</v>
      </c>
      <c r="H52" s="190">
        <f t="shared" si="84"/>
        <v>0.1847836840735273</v>
      </c>
      <c r="I52" s="130">
        <f t="shared" si="85"/>
        <v>36.199274095756614</v>
      </c>
      <c r="J52" s="130">
        <f t="shared" si="86"/>
        <v>0.20190295980443795</v>
      </c>
      <c r="K52" s="204">
        <f>R50+R51+R52</f>
        <v>1134887102035</v>
      </c>
      <c r="L52" s="254">
        <f>U52/U49-1</f>
        <v>2.9678049328161205E-2</v>
      </c>
      <c r="M52" s="254">
        <f>U52/U40-1</f>
        <v>0.15697274718518228</v>
      </c>
      <c r="N52" s="257">
        <f>AVERAGE(T50:T52)</f>
        <v>34.07375247458674</v>
      </c>
      <c r="O52" s="258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87"/>
        <v>36.199274095756614</v>
      </c>
      <c r="U52" s="85">
        <f t="shared" ref="U52" si="88">Q50+Q51+Q52</f>
        <v>784100613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13789922.619047619</v>
      </c>
      <c r="G53" s="197">
        <f t="shared" ref="G53" si="89">F53/F52-1</f>
        <v>6.2616594077835597E-3</v>
      </c>
      <c r="H53" s="197">
        <f t="shared" ref="H53" si="90">F53/F41-1</f>
        <v>0.30269379739066449</v>
      </c>
      <c r="I53" s="146">
        <f t="shared" ref="I53" si="91">T53</f>
        <v>32.977525259398433</v>
      </c>
      <c r="J53" s="146">
        <f t="shared" ref="J53" si="92">I53/I41-1</f>
        <v>-6.2906407114462382E-2</v>
      </c>
      <c r="K53" s="147"/>
      <c r="L53" s="197"/>
      <c r="M53" s="197"/>
      <c r="N53" s="198"/>
      <c r="O53" s="199"/>
      <c r="P53" s="129" t="s">
        <v>1414</v>
      </c>
      <c r="Q53" s="116">
        <v>289588375</v>
      </c>
      <c r="R53" s="116">
        <v>422318335608</v>
      </c>
      <c r="S53" s="116">
        <v>8781385.8900000006</v>
      </c>
      <c r="T53" s="130">
        <f t="shared" ref="T53" si="93">Q53/S53</f>
        <v>32.977525259398433</v>
      </c>
      <c r="U53" s="85">
        <f t="shared" ref="U53" si="94">Q51+Q52+Q53</f>
        <v>842135086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14851351.352941176</v>
      </c>
      <c r="G54" s="197">
        <f t="shared" ref="G54" si="95">F54/F53-1</f>
        <v>7.6971333575682088E-2</v>
      </c>
      <c r="H54" s="197">
        <f t="shared" ref="H54" si="96">F54/F42-1</f>
        <v>0.39274484998365233</v>
      </c>
      <c r="I54" s="146">
        <f t="shared" ref="I54" si="97">T54</f>
        <v>33.041629794749511</v>
      </c>
      <c r="J54" s="146">
        <f t="shared" ref="J54" si="98">I54/I42-1</f>
        <v>-3.3041828423999942E-2</v>
      </c>
      <c r="K54" s="147"/>
      <c r="L54" s="197"/>
      <c r="M54" s="197"/>
      <c r="N54" s="198"/>
      <c r="O54" s="199"/>
      <c r="P54" s="129" t="s">
        <v>1417</v>
      </c>
      <c r="Q54" s="116">
        <v>252472973</v>
      </c>
      <c r="R54" s="116">
        <v>365732971250</v>
      </c>
      <c r="S54" s="116">
        <v>7641056.8899999997</v>
      </c>
      <c r="T54" s="130">
        <f t="shared" ref="T54" si="99">Q54/S54</f>
        <v>33.041629794749511</v>
      </c>
      <c r="U54" s="85">
        <f t="shared" ref="U54" si="100">Q52+Q53+Q54</f>
        <v>843551815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34750627.829131655</v>
      </c>
      <c r="C55" s="253">
        <f>AVERAGE(F53:F55)</f>
        <v>11583542.609710552</v>
      </c>
      <c r="D55" s="254">
        <f>C55/C52-1</f>
        <v>-0.11171490560345965</v>
      </c>
      <c r="E55" s="254">
        <f>C55/C43-1</f>
        <v>5.5156294264331773E-2</v>
      </c>
      <c r="F55" s="147">
        <f>Q55/14</f>
        <v>6109353.8571428573</v>
      </c>
      <c r="G55" s="197">
        <f t="shared" ref="G55" si="101">F55/F54-1</f>
        <v>-0.58863313432195152</v>
      </c>
      <c r="H55" s="197">
        <f t="shared" ref="H55" si="102">F55/F43-1</f>
        <v>-0.47716443103069417</v>
      </c>
      <c r="I55" s="146">
        <f>T55</f>
        <v>32.022178104267319</v>
      </c>
      <c r="J55" s="146">
        <f t="shared" ref="J55" si="103">I55/I43-1</f>
        <v>-7.947696597226328E-2</v>
      </c>
      <c r="K55" s="204">
        <f>R53+R54+R55</f>
        <v>911683100009</v>
      </c>
      <c r="L55" s="254">
        <f>U55/U52-1</f>
        <v>-0.19960233215631984</v>
      </c>
      <c r="M55" s="254">
        <f>U55/U43-1</f>
        <v>-1.5558007153630538E-2</v>
      </c>
      <c r="N55" s="257">
        <f>AVERAGE(T53:T55)</f>
        <v>32.680444386138419</v>
      </c>
      <c r="O55" s="258">
        <f>N55/N52-1</f>
        <v>-4.0890949404163601E-2</v>
      </c>
      <c r="P55" s="129" t="s">
        <v>1418</v>
      </c>
      <c r="Q55" s="116">
        <v>85530954</v>
      </c>
      <c r="R55" s="116">
        <v>123631793151</v>
      </c>
      <c r="S55" s="116">
        <v>2670991.14</v>
      </c>
      <c r="T55" s="130">
        <f t="shared" ref="T55" si="104">Q55/S55</f>
        <v>32.022178104267319</v>
      </c>
      <c r="U55" s="85">
        <f t="shared" ref="U55" si="105">Q53+Q54+Q55</f>
        <v>627592302</v>
      </c>
      <c r="V55" s="79"/>
      <c r="W55" s="79"/>
      <c r="X55" s="79"/>
      <c r="Y55" s="79"/>
      <c r="Z55" s="79"/>
    </row>
    <row r="61" spans="1:26">
      <c r="P61"/>
      <c r="Q61"/>
      <c r="R61"/>
      <c r="S61"/>
      <c r="T61"/>
      <c r="U61"/>
    </row>
    <row r="62" spans="1:26">
      <c r="P62" s="178"/>
      <c r="Q62" s="178"/>
      <c r="R62" s="178"/>
      <c r="S62" s="178"/>
      <c r="T62" s="178"/>
      <c r="U62" s="178"/>
    </row>
    <row r="63" spans="1:26">
      <c r="P63" s="178" t="s">
        <v>971</v>
      </c>
      <c r="Q63" s="178" t="s">
        <v>9</v>
      </c>
      <c r="R63" s="178" t="s">
        <v>10</v>
      </c>
      <c r="S63" s="178" t="s">
        <v>972</v>
      </c>
      <c r="T63" s="178" t="s">
        <v>973</v>
      </c>
      <c r="U63" s="178" t="s">
        <v>974</v>
      </c>
    </row>
    <row r="64" spans="1:26" ht="18" thickBot="1">
      <c r="P64" s="224"/>
      <c r="Q64" s="224"/>
      <c r="R64" s="224"/>
      <c r="S64" s="224"/>
      <c r="T64" s="224"/>
      <c r="U64" s="224"/>
    </row>
    <row r="65" spans="16:21" ht="18" thickBot="1">
      <c r="P65" s="225" t="s">
        <v>1415</v>
      </c>
      <c r="Q65" s="226">
        <v>627592302</v>
      </c>
      <c r="R65" s="226">
        <v>911683100009</v>
      </c>
      <c r="S65" s="227">
        <v>19093433.920000002</v>
      </c>
      <c r="T65" s="252">
        <v>2600</v>
      </c>
      <c r="U65" s="252">
        <v>6445</v>
      </c>
    </row>
    <row r="66" spans="16:21" ht="18" thickBot="1">
      <c r="P66" s="228" t="s">
        <v>976</v>
      </c>
      <c r="Q66" s="229">
        <v>289588375</v>
      </c>
      <c r="R66" s="229">
        <v>422318335608</v>
      </c>
      <c r="S66" s="230">
        <v>8781385.8900000006</v>
      </c>
      <c r="T66" s="231">
        <v>1911</v>
      </c>
      <c r="U66" s="231">
        <v>5661</v>
      </c>
    </row>
    <row r="67" spans="16:21" ht="18" thickBot="1">
      <c r="P67" s="228" t="s">
        <v>977</v>
      </c>
      <c r="Q67" s="229">
        <v>252472973</v>
      </c>
      <c r="R67" s="229">
        <v>365732971250</v>
      </c>
      <c r="S67" s="230">
        <v>7641056.8899999997</v>
      </c>
      <c r="T67" s="231">
        <v>1831</v>
      </c>
      <c r="U67" s="231">
        <v>5283</v>
      </c>
    </row>
    <row r="68" spans="16:21" ht="18" thickBot="1">
      <c r="P68" s="228" t="s">
        <v>978</v>
      </c>
      <c r="Q68" s="229">
        <v>85530954</v>
      </c>
      <c r="R68" s="229">
        <v>123631793151</v>
      </c>
      <c r="S68" s="230">
        <v>2670991.14</v>
      </c>
      <c r="T68" s="231">
        <v>1059</v>
      </c>
      <c r="U68" s="231">
        <v>2181</v>
      </c>
    </row>
    <row r="69" spans="16:21" ht="18" thickBot="1">
      <c r="P69" s="228" t="s">
        <v>975</v>
      </c>
      <c r="Q69" s="229">
        <v>2906911471</v>
      </c>
      <c r="R69" s="229">
        <v>4135618979100</v>
      </c>
      <c r="S69" s="230">
        <v>88244459.170000002</v>
      </c>
      <c r="T69" s="231">
        <v>5084</v>
      </c>
      <c r="U69" s="231">
        <v>28629</v>
      </c>
    </row>
    <row r="70" spans="16:21" ht="18" thickBot="1">
      <c r="P70" s="255" t="s">
        <v>982</v>
      </c>
      <c r="Q70" s="256"/>
      <c r="R70" s="223"/>
      <c r="S70" s="223"/>
      <c r="T70" s="223"/>
      <c r="U70" s="223"/>
    </row>
  </sheetData>
  <phoneticPr fontId="1" type="noConversion"/>
  <conditionalFormatting sqref="C29:C30">
    <cfRule type="cellIs" dxfId="1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Z75"/>
  <sheetViews>
    <sheetView topLeftCell="C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697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842139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1271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592724.19999999995</v>
      </c>
      <c r="G5" s="90"/>
      <c r="H5" s="90"/>
      <c r="I5" s="130">
        <f t="shared" ref="I5:I49" si="0">T5</f>
        <v>21.832642737367898</v>
      </c>
      <c r="J5" s="130"/>
      <c r="K5" s="86"/>
      <c r="L5" s="80"/>
      <c r="M5" s="80"/>
      <c r="N5" s="79"/>
      <c r="O5" s="79"/>
      <c r="P5" s="129" t="s">
        <v>0</v>
      </c>
      <c r="Q5" s="116">
        <v>11854484</v>
      </c>
      <c r="R5" s="116">
        <v>13987687185</v>
      </c>
      <c r="S5" s="116">
        <v>542970.64</v>
      </c>
      <c r="T5" s="130">
        <f t="shared" ref="T5:T33" si="1">Q5/S5</f>
        <v>21.832642737367898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427786.11111111112</v>
      </c>
      <c r="G6" s="90">
        <f t="shared" ref="G6:G33" si="2">F6/F5-1</f>
        <v>-0.27827122443944219</v>
      </c>
      <c r="H6" s="90"/>
      <c r="I6" s="130">
        <f t="shared" si="0"/>
        <v>31.288340168009427</v>
      </c>
      <c r="J6" s="130"/>
      <c r="K6" s="78"/>
      <c r="L6" s="87"/>
      <c r="M6" s="87"/>
      <c r="N6" s="79"/>
      <c r="O6" s="79"/>
      <c r="P6" s="129" t="s">
        <v>1</v>
      </c>
      <c r="Q6" s="116">
        <v>7700150</v>
      </c>
      <c r="R6" s="116">
        <v>9142470631</v>
      </c>
      <c r="S6" s="116">
        <v>246102.86</v>
      </c>
      <c r="T6" s="130">
        <f t="shared" si="1"/>
        <v>31.288340168009427</v>
      </c>
      <c r="U6" s="85"/>
    </row>
    <row r="7" spans="1:21" ht="15" hidden="1" customHeight="1">
      <c r="A7" s="129" t="s">
        <v>2</v>
      </c>
      <c r="B7" s="131">
        <f>F5+F6+F7</f>
        <v>1447990.1292929293</v>
      </c>
      <c r="C7" s="131">
        <f>AVERAGE(F5:F7)</f>
        <v>482663.37643097644</v>
      </c>
      <c r="D7" s="117"/>
      <c r="F7" s="78">
        <f>Q7/22</f>
        <v>427479.81818181818</v>
      </c>
      <c r="G7" s="90">
        <f t="shared" si="2"/>
        <v>-7.1599549713619037E-4</v>
      </c>
      <c r="H7" s="90"/>
      <c r="I7" s="130">
        <f t="shared" si="0"/>
        <v>32.639209242166807</v>
      </c>
      <c r="J7" s="130"/>
      <c r="K7" s="85">
        <f>R5+R6+R7</f>
        <v>34426772921</v>
      </c>
      <c r="L7" s="87"/>
      <c r="M7" s="87"/>
      <c r="N7" s="88">
        <f>AVERAGE(T5:T7)</f>
        <v>28.586730715848045</v>
      </c>
      <c r="O7" s="79"/>
      <c r="P7" s="129" t="s">
        <v>2</v>
      </c>
      <c r="Q7" s="116">
        <v>9404556</v>
      </c>
      <c r="R7" s="116">
        <v>11296615105</v>
      </c>
      <c r="S7" s="116">
        <v>288136.76</v>
      </c>
      <c r="T7" s="130">
        <f t="shared" si="1"/>
        <v>32.639209242166807</v>
      </c>
      <c r="U7" s="85">
        <f>Q5+Q6+Q7</f>
        <v>28959190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449205.23809523811</v>
      </c>
      <c r="G8" s="90">
        <f t="shared" si="2"/>
        <v>5.0822094960701891E-2</v>
      </c>
      <c r="H8" s="90"/>
      <c r="I8" s="130">
        <f t="shared" si="0"/>
        <v>28.094944508723785</v>
      </c>
      <c r="J8" s="130"/>
      <c r="K8" s="78"/>
      <c r="L8" s="87"/>
      <c r="M8" s="87"/>
      <c r="N8" s="79"/>
      <c r="O8" s="79"/>
      <c r="P8" s="129" t="s">
        <v>3</v>
      </c>
      <c r="Q8" s="116">
        <v>9433310</v>
      </c>
      <c r="R8" s="116">
        <v>11446108482</v>
      </c>
      <c r="S8" s="116">
        <v>335765.39</v>
      </c>
      <c r="T8" s="130">
        <f t="shared" si="1"/>
        <v>28.094944508723785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462983.04761904763</v>
      </c>
      <c r="G9" s="90">
        <f t="shared" si="2"/>
        <v>3.0671524629212854E-2</v>
      </c>
      <c r="H9" s="90"/>
      <c r="I9" s="130">
        <f t="shared" si="0"/>
        <v>20.725881788739574</v>
      </c>
      <c r="J9" s="130"/>
      <c r="K9" s="78"/>
      <c r="L9" s="87"/>
      <c r="M9" s="87"/>
      <c r="N9" s="79"/>
      <c r="O9" s="79"/>
      <c r="P9" s="129" t="s">
        <v>4</v>
      </c>
      <c r="Q9" s="116">
        <v>9722644</v>
      </c>
      <c r="R9" s="116">
        <v>12229463916</v>
      </c>
      <c r="S9" s="116">
        <v>469106.41</v>
      </c>
      <c r="T9" s="130">
        <f t="shared" si="1"/>
        <v>20.725881788739574</v>
      </c>
      <c r="U9" s="85"/>
    </row>
    <row r="10" spans="1:21" ht="15" hidden="1" customHeight="1">
      <c r="A10" s="129" t="s">
        <v>5</v>
      </c>
      <c r="B10" s="131">
        <f>F8+F9+F10</f>
        <v>1491654.6190476189</v>
      </c>
      <c r="C10" s="131">
        <f>AVERAGE(F8:F10)</f>
        <v>497218.20634920633</v>
      </c>
      <c r="D10" s="90">
        <f>C10/C7-1</f>
        <v>3.015523992281044E-2</v>
      </c>
      <c r="E10" s="286"/>
      <c r="F10" s="78">
        <f>Q10/21</f>
        <v>579466.33333333337</v>
      </c>
      <c r="G10" s="90">
        <f t="shared" si="2"/>
        <v>0.25159298232044702</v>
      </c>
      <c r="H10" s="90"/>
      <c r="I10" s="130">
        <f t="shared" si="0"/>
        <v>25.817293871316984</v>
      </c>
      <c r="J10" s="130"/>
      <c r="K10" s="85">
        <f>R8+R9+R10</f>
        <v>39073408212</v>
      </c>
      <c r="L10" s="87">
        <f>U10/U7-1</f>
        <v>8.1685882788848696E-2</v>
      </c>
      <c r="M10" s="87"/>
      <c r="N10" s="88">
        <f>AVERAGE(T8:T10)</f>
        <v>24.87937338959345</v>
      </c>
      <c r="O10" s="89">
        <f>N10/N7-1</f>
        <v>-0.12968804873511797</v>
      </c>
      <c r="P10" s="129" t="s">
        <v>5</v>
      </c>
      <c r="Q10" s="116">
        <v>12168793</v>
      </c>
      <c r="R10" s="116">
        <v>15397835814</v>
      </c>
      <c r="S10" s="116">
        <v>471342.7</v>
      </c>
      <c r="T10" s="130">
        <f t="shared" si="1"/>
        <v>25.817293871316984</v>
      </c>
      <c r="U10" s="85">
        <f>Q8+Q9+Q10</f>
        <v>31324747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464105.76190476189</v>
      </c>
      <c r="G11" s="90">
        <f t="shared" si="2"/>
        <v>-0.19908071408561234</v>
      </c>
      <c r="H11" s="90"/>
      <c r="I11" s="130">
        <f t="shared" si="0"/>
        <v>22.165146886025539</v>
      </c>
      <c r="J11" s="130"/>
      <c r="K11" s="78"/>
      <c r="L11" s="87"/>
      <c r="M11" s="87"/>
      <c r="N11" s="79"/>
      <c r="O11" s="89"/>
      <c r="P11" s="129" t="s">
        <v>6</v>
      </c>
      <c r="Q11" s="116">
        <v>9746221</v>
      </c>
      <c r="R11" s="116">
        <v>12584219721</v>
      </c>
      <c r="S11" s="116">
        <v>439709.29</v>
      </c>
      <c r="T11" s="130">
        <f t="shared" si="1"/>
        <v>22.165146886025539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344741.27272727271</v>
      </c>
      <c r="G12" s="90">
        <f t="shared" si="2"/>
        <v>-0.25719243106915723</v>
      </c>
      <c r="H12" s="90"/>
      <c r="I12" s="130">
        <f t="shared" si="0"/>
        <v>20.510508653209047</v>
      </c>
      <c r="J12" s="130"/>
      <c r="K12" s="78"/>
      <c r="L12" s="87"/>
      <c r="M12" s="87"/>
      <c r="N12" s="79"/>
      <c r="O12" s="89"/>
      <c r="P12" s="129" t="s">
        <v>7</v>
      </c>
      <c r="Q12" s="116">
        <v>7584308</v>
      </c>
      <c r="R12" s="116">
        <v>9830220636</v>
      </c>
      <c r="S12" s="116">
        <v>369776.69</v>
      </c>
      <c r="T12" s="130">
        <f t="shared" si="1"/>
        <v>20.510508653209047</v>
      </c>
      <c r="U12" s="85"/>
    </row>
    <row r="13" spans="1:21" ht="15" hidden="1" customHeight="1">
      <c r="A13" s="129" t="s">
        <v>96</v>
      </c>
      <c r="B13" s="131">
        <f>F11+F12+F13</f>
        <v>1422767.5846320346</v>
      </c>
      <c r="C13" s="131">
        <f>AVERAGE(F11:F13)</f>
        <v>474255.86154401157</v>
      </c>
      <c r="D13" s="90">
        <f>C13/C10-1</f>
        <v>-4.6181625113437264E-2</v>
      </c>
      <c r="E13" s="286"/>
      <c r="F13" s="78">
        <f>Q13/20</f>
        <v>613920.55000000005</v>
      </c>
      <c r="G13" s="90">
        <f t="shared" si="2"/>
        <v>0.78081534927115337</v>
      </c>
      <c r="H13" s="90"/>
      <c r="I13" s="130">
        <f t="shared" si="0"/>
        <v>30.642319175065904</v>
      </c>
      <c r="J13" s="130"/>
      <c r="K13" s="78">
        <f>R11+R12+R13</f>
        <v>39224601874</v>
      </c>
      <c r="L13" s="87">
        <f>U13/U10-1</f>
        <v>-5.4774807917842061E-2</v>
      </c>
      <c r="M13" s="87"/>
      <c r="N13" s="88">
        <f>AVERAGE(T11:T13)</f>
        <v>24.439324904766831</v>
      </c>
      <c r="O13" s="89">
        <f>N13/N10-1</f>
        <v>-1.7687281666453947E-2</v>
      </c>
      <c r="P13" s="129" t="s">
        <v>96</v>
      </c>
      <c r="Q13" s="116">
        <v>12278411</v>
      </c>
      <c r="R13" s="116">
        <v>16810161517</v>
      </c>
      <c r="S13" s="116">
        <v>400701.1</v>
      </c>
      <c r="T13" s="130">
        <f t="shared" si="1"/>
        <v>30.642319175065904</v>
      </c>
      <c r="U13" s="85">
        <f>Q11+Q12+Q13</f>
        <v>29608940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566255.05000000005</v>
      </c>
      <c r="G14" s="90">
        <f t="shared" si="2"/>
        <v>-7.7641154054869155E-2</v>
      </c>
      <c r="H14" s="90"/>
      <c r="I14" s="130">
        <f t="shared" si="0"/>
        <v>46.976892801387372</v>
      </c>
      <c r="J14" s="130"/>
      <c r="K14" s="78"/>
      <c r="L14" s="87"/>
      <c r="M14" s="87"/>
      <c r="N14" s="79"/>
      <c r="O14" s="89"/>
      <c r="P14" s="129" t="s">
        <v>97</v>
      </c>
      <c r="Q14" s="116">
        <v>11325101</v>
      </c>
      <c r="R14" s="116">
        <v>16156700712</v>
      </c>
      <c r="S14" s="116">
        <v>241078.12</v>
      </c>
      <c r="T14" s="130">
        <f t="shared" si="1"/>
        <v>46.976892801387372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438476.54545454547</v>
      </c>
      <c r="G15" s="90">
        <f t="shared" si="2"/>
        <v>-0.22565539070327856</v>
      </c>
      <c r="H15" s="90"/>
      <c r="I15" s="130">
        <f t="shared" si="0"/>
        <v>60.40574140100474</v>
      </c>
      <c r="J15" s="130"/>
      <c r="K15" s="78"/>
      <c r="L15" s="87"/>
      <c r="M15" s="87"/>
      <c r="N15" s="79"/>
      <c r="O15" s="89"/>
      <c r="P15" s="129" t="s">
        <v>98</v>
      </c>
      <c r="Q15" s="116">
        <v>9646484</v>
      </c>
      <c r="R15" s="116">
        <v>13352517872</v>
      </c>
      <c r="S15" s="116">
        <v>159694.82</v>
      </c>
      <c r="T15" s="130">
        <f t="shared" si="1"/>
        <v>60.40574140100474</v>
      </c>
      <c r="U15" s="78"/>
    </row>
    <row r="16" spans="1:21" ht="15" hidden="1" customHeight="1">
      <c r="A16" s="129" t="s">
        <v>99</v>
      </c>
      <c r="B16" s="131">
        <f>F14+F15+F16</f>
        <v>1439857.5954545455</v>
      </c>
      <c r="C16" s="131">
        <f>AVERAGE(F14:F16)</f>
        <v>479952.5318181818</v>
      </c>
      <c r="D16" s="90">
        <f>C16/C13-1</f>
        <v>1.2011807836436406E-2</v>
      </c>
      <c r="E16" s="286"/>
      <c r="F16" s="78">
        <f>Q16/22</f>
        <v>435126</v>
      </c>
      <c r="G16" s="90">
        <f t="shared" si="2"/>
        <v>-7.6413333604243849E-3</v>
      </c>
      <c r="H16" s="90"/>
      <c r="I16" s="130">
        <f t="shared" si="0"/>
        <v>41.552769302150786</v>
      </c>
      <c r="J16" s="130"/>
      <c r="K16" s="78">
        <f>R14+R15+R16</f>
        <v>42100250330</v>
      </c>
      <c r="L16" s="87">
        <f>U16/U13-1</f>
        <v>3.1592383921883016E-2</v>
      </c>
      <c r="M16" s="87"/>
      <c r="N16" s="88">
        <f>AVERAGE(T14:T16)</f>
        <v>49.645134501514299</v>
      </c>
      <c r="O16" s="89">
        <f>N16/N13-1</f>
        <v>1.0313627604267879</v>
      </c>
      <c r="P16" s="129" t="s">
        <v>99</v>
      </c>
      <c r="Q16" s="116">
        <v>9572772</v>
      </c>
      <c r="R16" s="116">
        <v>12591031746</v>
      </c>
      <c r="S16" s="116">
        <v>230376.27</v>
      </c>
      <c r="T16" s="130">
        <f t="shared" si="1"/>
        <v>41.552769302150786</v>
      </c>
      <c r="U16" s="85">
        <f>Q14+Q15+Q16</f>
        <v>30544357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275553.5</v>
      </c>
      <c r="G17" s="90">
        <f t="shared" si="2"/>
        <v>-0.36672710892936755</v>
      </c>
      <c r="H17" s="90">
        <f t="shared" ref="H17:H33" si="3">F17/F5-1</f>
        <v>-0.53510671573726865</v>
      </c>
      <c r="I17" s="130">
        <f t="shared" si="0"/>
        <v>34.067004019064179</v>
      </c>
      <c r="J17" s="130">
        <f t="shared" ref="J17:J49" si="4">I17/I5-1</f>
        <v>0.560370149819583</v>
      </c>
      <c r="K17" s="78"/>
      <c r="L17" s="87"/>
      <c r="M17" s="87"/>
      <c r="N17" s="79"/>
      <c r="O17" s="89"/>
      <c r="P17" s="129" t="s">
        <v>100</v>
      </c>
      <c r="Q17" s="116">
        <v>5511070</v>
      </c>
      <c r="R17" s="116">
        <v>6913169865</v>
      </c>
      <c r="S17" s="116">
        <v>161771.49</v>
      </c>
      <c r="T17" s="130">
        <f t="shared" si="1"/>
        <v>34.067004019064179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373957.35</v>
      </c>
      <c r="G18" s="90">
        <f t="shared" si="2"/>
        <v>0.35711340991858198</v>
      </c>
      <c r="H18" s="90">
        <f t="shared" si="3"/>
        <v>-0.1258310162789037</v>
      </c>
      <c r="I18" s="130">
        <f t="shared" si="0"/>
        <v>32.813121691468922</v>
      </c>
      <c r="J18" s="130">
        <f t="shared" si="4"/>
        <v>4.8733218677368573E-2</v>
      </c>
      <c r="K18" s="78"/>
      <c r="L18" s="87"/>
      <c r="M18" s="87"/>
      <c r="N18" s="79"/>
      <c r="O18" s="89"/>
      <c r="P18" s="129" t="s">
        <v>106</v>
      </c>
      <c r="Q18" s="116">
        <v>7479147</v>
      </c>
      <c r="R18" s="116">
        <v>9393526993</v>
      </c>
      <c r="S18" s="116">
        <v>227931.59</v>
      </c>
      <c r="T18" s="130">
        <f t="shared" si="1"/>
        <v>32.813121691468922</v>
      </c>
      <c r="U18" s="78"/>
    </row>
    <row r="19" spans="1:21" hidden="1">
      <c r="A19" s="129" t="s">
        <v>114</v>
      </c>
      <c r="B19" s="131">
        <f>SUM(F17:F19)</f>
        <v>1207581.6681818182</v>
      </c>
      <c r="C19" s="131">
        <f>AVERAGE(F17:F19)</f>
        <v>402527.22272727272</v>
      </c>
      <c r="D19" s="90">
        <f>C19/C16-1</f>
        <v>-0.1613186804070027</v>
      </c>
      <c r="E19" s="286">
        <f>C19/C7-1</f>
        <v>-0.1660290745410713</v>
      </c>
      <c r="F19" s="78">
        <f>Q19/22</f>
        <v>558070.81818181823</v>
      </c>
      <c r="G19" s="90">
        <f t="shared" si="2"/>
        <v>0.49233814546449817</v>
      </c>
      <c r="H19" s="90">
        <f t="shared" si="3"/>
        <v>0.30549044526929303</v>
      </c>
      <c r="I19" s="130">
        <f t="shared" si="0"/>
        <v>27.401746427634848</v>
      </c>
      <c r="J19" s="130">
        <f t="shared" si="4"/>
        <v>-0.1604653708266206</v>
      </c>
      <c r="K19" s="78">
        <f>R17+R18+R19</f>
        <v>32359483527</v>
      </c>
      <c r="L19" s="87">
        <f>U19/U16-1</f>
        <v>-0.17275145127461677</v>
      </c>
      <c r="M19" s="87">
        <f>U19/U7-1</f>
        <v>-0.1274695528431562</v>
      </c>
      <c r="N19" s="88">
        <f>AVERAGE(T17:T19)</f>
        <v>31.427290712722648</v>
      </c>
      <c r="O19" s="89">
        <f>N19/N16-1</f>
        <v>-0.36696131396795717</v>
      </c>
      <c r="P19" s="129" t="s">
        <v>114</v>
      </c>
      <c r="Q19" s="116">
        <v>12277558</v>
      </c>
      <c r="R19" s="116">
        <v>16052786669</v>
      </c>
      <c r="S19" s="116">
        <v>448057.5</v>
      </c>
      <c r="T19" s="130">
        <f t="shared" si="1"/>
        <v>27.401746427634848</v>
      </c>
      <c r="U19" s="85">
        <f>Q17+Q18+Q19</f>
        <v>25267775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619892.25</v>
      </c>
      <c r="G20" s="90">
        <f t="shared" si="2"/>
        <v>0.1107770372577348</v>
      </c>
      <c r="H20" s="90">
        <f t="shared" si="3"/>
        <v>0.37997556001021904</v>
      </c>
      <c r="I20" s="130">
        <f t="shared" si="0"/>
        <v>23.046092854906227</v>
      </c>
      <c r="J20" s="130">
        <f t="shared" si="4"/>
        <v>-0.17970676725308476</v>
      </c>
      <c r="K20" s="78"/>
      <c r="L20" s="87"/>
      <c r="M20" s="87"/>
      <c r="N20" s="79"/>
      <c r="O20" s="89"/>
      <c r="P20" s="129" t="s">
        <v>131</v>
      </c>
      <c r="Q20" s="116">
        <v>12397845</v>
      </c>
      <c r="R20" s="116">
        <v>16224729113</v>
      </c>
      <c r="S20" s="116">
        <v>537958.65</v>
      </c>
      <c r="T20" s="130">
        <f t="shared" si="1"/>
        <v>23.046092854906227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1424546.1904761905</v>
      </c>
      <c r="G21" s="90">
        <f t="shared" si="2"/>
        <v>1.2980545255666458</v>
      </c>
      <c r="H21" s="90">
        <f t="shared" si="3"/>
        <v>2.0768862873103244</v>
      </c>
      <c r="I21" s="130">
        <f t="shared" si="0"/>
        <v>17.148228731593566</v>
      </c>
      <c r="J21" s="130">
        <f t="shared" si="4"/>
        <v>-0.17261765234470061</v>
      </c>
      <c r="K21" s="78"/>
      <c r="L21" s="87"/>
      <c r="M21" s="87"/>
      <c r="N21" s="79"/>
      <c r="O21" s="89"/>
      <c r="P21" s="129" t="s">
        <v>141</v>
      </c>
      <c r="Q21" s="116">
        <v>29915470</v>
      </c>
      <c r="R21" s="116">
        <v>39699985145</v>
      </c>
      <c r="S21" s="116">
        <v>1744522.45</v>
      </c>
      <c r="T21" s="130">
        <f t="shared" si="1"/>
        <v>17.148228731593566</v>
      </c>
      <c r="U21" s="78"/>
    </row>
    <row r="22" spans="1:21" hidden="1">
      <c r="A22" s="129" t="s">
        <v>156</v>
      </c>
      <c r="B22" s="131">
        <f>SUM(F20:F22)</f>
        <v>2302728.9642857146</v>
      </c>
      <c r="C22" s="131">
        <f>AVERAGE(F20:F22)</f>
        <v>767576.32142857148</v>
      </c>
      <c r="D22" s="90">
        <f>C22/C19-1</f>
        <v>0.90689294559496969</v>
      </c>
      <c r="E22" s="286">
        <f>C22/C10-1</f>
        <v>0.54374138281148787</v>
      </c>
      <c r="F22" s="78">
        <f>Q22/21</f>
        <v>258290.52380952382</v>
      </c>
      <c r="G22" s="90">
        <f t="shared" si="2"/>
        <v>-0.81868575021552392</v>
      </c>
      <c r="H22" s="90">
        <f t="shared" si="3"/>
        <v>-0.55426137990842639</v>
      </c>
      <c r="I22" s="130">
        <f t="shared" si="0"/>
        <v>19.524953480612716</v>
      </c>
      <c r="J22" s="130">
        <f t="shared" si="4"/>
        <v>-0.24372579179164311</v>
      </c>
      <c r="K22" s="78">
        <f>R20+R21+R22</f>
        <v>62958469586</v>
      </c>
      <c r="L22" s="87">
        <f>U22/U19-1</f>
        <v>0.88926076791486386</v>
      </c>
      <c r="M22" s="87">
        <f>U22/U10-1</f>
        <v>0.52395216472139428</v>
      </c>
      <c r="N22" s="88">
        <f>AVERAGE(T20:T22)</f>
        <v>19.906425022370836</v>
      </c>
      <c r="O22" s="89">
        <f>N22/N19-1</f>
        <v>-0.36658793771516052</v>
      </c>
      <c r="P22" s="129" t="s">
        <v>156</v>
      </c>
      <c r="Q22" s="116">
        <v>5424101</v>
      </c>
      <c r="R22" s="116">
        <v>7033755328</v>
      </c>
      <c r="S22" s="116">
        <v>277803.53000000003</v>
      </c>
      <c r="T22" s="130">
        <f t="shared" si="1"/>
        <v>19.524953480612716</v>
      </c>
      <c r="U22" s="85">
        <f>Q20+Q21+Q22</f>
        <v>47737416</v>
      </c>
    </row>
    <row r="23" spans="1:21" hidden="1">
      <c r="A23" s="129" t="s">
        <v>189</v>
      </c>
      <c r="B23" s="131"/>
      <c r="C23" s="131"/>
      <c r="D23" s="117"/>
      <c r="F23" s="78">
        <f>Q23/21</f>
        <v>1307526.2857142857</v>
      </c>
      <c r="G23" s="90">
        <f t="shared" si="2"/>
        <v>4.062230957719998</v>
      </c>
      <c r="H23" s="90">
        <f t="shared" si="3"/>
        <v>1.8173024190606801</v>
      </c>
      <c r="I23" s="130">
        <f t="shared" si="0"/>
        <v>19.599968806285425</v>
      </c>
      <c r="J23" s="130">
        <f t="shared" si="4"/>
        <v>-0.11573025403036619</v>
      </c>
      <c r="K23" s="78"/>
      <c r="L23" s="87"/>
      <c r="M23" s="87"/>
      <c r="N23" s="79"/>
      <c r="O23" s="89"/>
      <c r="P23" s="129" t="s">
        <v>189</v>
      </c>
      <c r="Q23" s="116">
        <v>27458052</v>
      </c>
      <c r="R23" s="116">
        <v>35238454970</v>
      </c>
      <c r="S23" s="116">
        <v>1400923.25</v>
      </c>
      <c r="T23" s="130">
        <f t="shared" si="1"/>
        <v>19.599968806285425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637236.18181818177</v>
      </c>
      <c r="G24" s="90">
        <f t="shared" si="2"/>
        <v>-0.51263986905619463</v>
      </c>
      <c r="H24" s="90">
        <f t="shared" si="3"/>
        <v>0.84844761051370798</v>
      </c>
      <c r="I24" s="130">
        <f t="shared" si="0"/>
        <v>28.42506209924472</v>
      </c>
      <c r="J24" s="130">
        <f t="shared" si="4"/>
        <v>0.38587797015932956</v>
      </c>
      <c r="K24" s="78"/>
      <c r="L24" s="87"/>
      <c r="M24" s="87"/>
      <c r="N24" s="79"/>
      <c r="O24" s="89"/>
      <c r="P24" s="129" t="s">
        <v>204</v>
      </c>
      <c r="Q24" s="116">
        <v>14019196</v>
      </c>
      <c r="R24" s="116">
        <v>18477427507</v>
      </c>
      <c r="S24" s="116">
        <v>493198.43</v>
      </c>
      <c r="T24" s="130">
        <f t="shared" si="1"/>
        <v>28.42506209924472</v>
      </c>
      <c r="U24" s="78"/>
    </row>
    <row r="25" spans="1:21" s="92" customFormat="1" ht="13.2" hidden="1">
      <c r="A25" s="129" t="s">
        <v>219</v>
      </c>
      <c r="B25" s="131">
        <f>SUM(F23:F25)</f>
        <v>2817065.2570061516</v>
      </c>
      <c r="C25" s="131">
        <f>AVERAGE(F23:F25)</f>
        <v>939021.75233538391</v>
      </c>
      <c r="D25" s="90">
        <f>C25/C22-1</f>
        <v>0.22335945771194132</v>
      </c>
      <c r="E25" s="286">
        <f>C25/C13-1</f>
        <v>0.97998976602683796</v>
      </c>
      <c r="F25" s="78">
        <f>Q25/19</f>
        <v>872302.78947368416</v>
      </c>
      <c r="G25" s="90">
        <f t="shared" si="2"/>
        <v>0.36888458998797446</v>
      </c>
      <c r="H25" s="90">
        <f t="shared" si="3"/>
        <v>0.42087243939575592</v>
      </c>
      <c r="I25" s="130">
        <f t="shared" si="0"/>
        <v>26.479452835028429</v>
      </c>
      <c r="J25" s="130">
        <f t="shared" si="4"/>
        <v>-0.13585350104390459</v>
      </c>
      <c r="K25" s="78">
        <f>R23+R24+R25</f>
        <v>75728196049</v>
      </c>
      <c r="L25" s="90">
        <f>U25/U22-1</f>
        <v>0.21604824609693996</v>
      </c>
      <c r="M25" s="90">
        <f>U25/U13-1</f>
        <v>0.96059031495217329</v>
      </c>
      <c r="N25" s="88">
        <f>AVERAGE(T23:T25)</f>
        <v>24.834827913519522</v>
      </c>
      <c r="O25" s="91">
        <f>N25/N22-1</f>
        <v>0.24757850219766464</v>
      </c>
      <c r="P25" s="129" t="s">
        <v>219</v>
      </c>
      <c r="Q25" s="116">
        <v>16573753</v>
      </c>
      <c r="R25" s="116">
        <v>22012313572</v>
      </c>
      <c r="S25" s="116">
        <v>625909.94999999995</v>
      </c>
      <c r="T25" s="130">
        <f t="shared" si="1"/>
        <v>26.479452835028429</v>
      </c>
      <c r="U25" s="85">
        <f>Q23+Q24+Q25</f>
        <v>58051001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455372.36842105264</v>
      </c>
      <c r="G26" s="90">
        <f t="shared" si="2"/>
        <v>-0.47796525023632241</v>
      </c>
      <c r="H26" s="90">
        <f t="shared" si="3"/>
        <v>-0.19581755885258312</v>
      </c>
      <c r="I26" s="130">
        <f t="shared" si="0"/>
        <v>32.317053242182503</v>
      </c>
      <c r="J26" s="130">
        <f t="shared" si="4"/>
        <v>-0.31206490436021173</v>
      </c>
      <c r="K26" s="78"/>
      <c r="L26" s="90"/>
      <c r="M26" s="90"/>
      <c r="N26" s="79"/>
      <c r="O26" s="79"/>
      <c r="P26" s="129" t="s">
        <v>312</v>
      </c>
      <c r="Q26" s="116">
        <v>8652075</v>
      </c>
      <c r="R26" s="116">
        <v>11675917571</v>
      </c>
      <c r="S26" s="116">
        <v>267724.75</v>
      </c>
      <c r="T26" s="130">
        <f t="shared" si="1"/>
        <v>32.317053242182503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86"/>
      <c r="F27" s="78">
        <f>Q27/22</f>
        <v>340406.68181818182</v>
      </c>
      <c r="G27" s="90">
        <f t="shared" si="2"/>
        <v>-0.25246522313486019</v>
      </c>
      <c r="H27" s="90">
        <f t="shared" si="3"/>
        <v>-0.22366045493881503</v>
      </c>
      <c r="I27" s="130">
        <f t="shared" si="0"/>
        <v>24.964511407485716</v>
      </c>
      <c r="J27" s="130">
        <f t="shared" si="4"/>
        <v>-0.58671955962334277</v>
      </c>
      <c r="K27" s="78"/>
      <c r="L27" s="90"/>
      <c r="M27" s="90"/>
      <c r="N27" s="79"/>
      <c r="O27" s="79"/>
      <c r="P27" s="129" t="s">
        <v>373</v>
      </c>
      <c r="Q27" s="116">
        <v>7488947</v>
      </c>
      <c r="R27" s="116">
        <v>9890812782</v>
      </c>
      <c r="S27" s="116">
        <v>299983.71999999997</v>
      </c>
      <c r="T27" s="130">
        <f t="shared" si="1"/>
        <v>24.964511407485716</v>
      </c>
      <c r="U27" s="78"/>
    </row>
    <row r="28" spans="1:21" s="92" customFormat="1" ht="13.2" hidden="1">
      <c r="A28" s="123" t="s">
        <v>413</v>
      </c>
      <c r="B28" s="131">
        <f>SUM(F26:F28)</f>
        <v>1626509.9976076554</v>
      </c>
      <c r="C28" s="131">
        <f>AVERAGE(F26:F28)</f>
        <v>542169.99920255179</v>
      </c>
      <c r="D28" s="90">
        <f>C28/C25-1</f>
        <v>-0.42262253472387223</v>
      </c>
      <c r="E28" s="286">
        <f>C28/C16-1</f>
        <v>0.12963254334480623</v>
      </c>
      <c r="F28" s="78">
        <f>Q28/19</f>
        <v>830730.94736842101</v>
      </c>
      <c r="G28" s="90">
        <f t="shared" si="2"/>
        <v>1.4404072885153631</v>
      </c>
      <c r="H28" s="90">
        <f t="shared" si="3"/>
        <v>0.90917331386407851</v>
      </c>
      <c r="I28" s="130">
        <f t="shared" si="0"/>
        <v>30.934437322718342</v>
      </c>
      <c r="J28" s="130">
        <f t="shared" si="4"/>
        <v>-0.25553849136314566</v>
      </c>
      <c r="K28" s="78">
        <f>R26+R27+R28</f>
        <v>42139479471</v>
      </c>
      <c r="L28" s="90">
        <f>U28/U25-1</f>
        <v>-0.45005409984230937</v>
      </c>
      <c r="M28" s="90">
        <f>U28/U16-1</f>
        <v>4.519829964009392E-2</v>
      </c>
      <c r="N28" s="88">
        <f>AVERAGE(T26:T28)</f>
        <v>29.405333990795523</v>
      </c>
      <c r="O28" s="91">
        <f>N28/N25-1</f>
        <v>0.18403614847630645</v>
      </c>
      <c r="P28" s="129" t="s">
        <v>413</v>
      </c>
      <c r="Q28" s="116">
        <v>15783888</v>
      </c>
      <c r="R28" s="116">
        <v>20572749118</v>
      </c>
      <c r="S28" s="116">
        <v>510236.79</v>
      </c>
      <c r="T28" s="130">
        <f t="shared" si="1"/>
        <v>30.934437322718342</v>
      </c>
      <c r="U28" s="85">
        <f>Q26+Q27+Q28</f>
        <v>31924910</v>
      </c>
    </row>
    <row r="29" spans="1:21" s="92" customFormat="1" ht="13.2" hidden="1">
      <c r="A29" s="129" t="s">
        <v>426</v>
      </c>
      <c r="B29" s="188"/>
      <c r="C29" s="188"/>
      <c r="D29" s="189"/>
      <c r="E29" s="287"/>
      <c r="F29" s="136">
        <f>Q29/22</f>
        <v>488580.81818181818</v>
      </c>
      <c r="G29" s="190">
        <f t="shared" si="2"/>
        <v>-0.41186635729710286</v>
      </c>
      <c r="H29" s="190">
        <f t="shared" si="3"/>
        <v>0.77308877652368113</v>
      </c>
      <c r="I29" s="130">
        <f t="shared" si="0"/>
        <v>32.345372295431382</v>
      </c>
      <c r="J29" s="130">
        <f t="shared" si="4"/>
        <v>-5.0536634294854887E-2</v>
      </c>
      <c r="K29" s="136"/>
      <c r="L29" s="190"/>
      <c r="M29" s="190"/>
      <c r="N29" s="191"/>
      <c r="O29" s="192"/>
      <c r="P29" s="129" t="s">
        <v>426</v>
      </c>
      <c r="Q29" s="116">
        <v>10748778</v>
      </c>
      <c r="R29" s="116">
        <v>14135663236</v>
      </c>
      <c r="S29" s="116">
        <v>332312.7</v>
      </c>
      <c r="T29" s="130">
        <f t="shared" si="1"/>
        <v>32.345372295431382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383643.94736842107</v>
      </c>
      <c r="G30" s="190">
        <f t="shared" si="2"/>
        <v>-0.21477894118705743</v>
      </c>
      <c r="H30" s="190">
        <f t="shared" si="3"/>
        <v>2.5902946869264865E-2</v>
      </c>
      <c r="I30" s="130">
        <f t="shared" si="0"/>
        <v>26.792157050127543</v>
      </c>
      <c r="J30" s="130">
        <f t="shared" si="4"/>
        <v>-0.18349258866481966</v>
      </c>
      <c r="K30" s="136"/>
      <c r="L30" s="190"/>
      <c r="M30" s="190"/>
      <c r="N30" s="191"/>
      <c r="O30" s="192"/>
      <c r="P30" s="129" t="s">
        <v>466</v>
      </c>
      <c r="Q30" s="116">
        <v>7289235</v>
      </c>
      <c r="R30" s="116">
        <v>9718314081</v>
      </c>
      <c r="S30" s="116">
        <v>272066</v>
      </c>
      <c r="T30" s="130">
        <f t="shared" si="1"/>
        <v>26.792157050127543</v>
      </c>
      <c r="U30" s="85"/>
    </row>
    <row r="31" spans="1:21" s="92" customFormat="1" ht="13.2" hidden="1">
      <c r="A31" s="129" t="s">
        <v>505</v>
      </c>
      <c r="B31" s="188">
        <f>SUM(F29:F31)</f>
        <v>1551752.8655502391</v>
      </c>
      <c r="C31" s="188">
        <f>AVERAGE(F29:F31)</f>
        <v>517250.95518341305</v>
      </c>
      <c r="D31" s="190">
        <f>C31/C28-1</f>
        <v>-4.5961680018796303E-2</v>
      </c>
      <c r="E31" s="287">
        <f>C31/C19-1</f>
        <v>0.28500863041968705</v>
      </c>
      <c r="F31" s="136">
        <f>Q31/20</f>
        <v>679528.1</v>
      </c>
      <c r="G31" s="190">
        <f t="shared" si="2"/>
        <v>0.7712467632062896</v>
      </c>
      <c r="H31" s="190">
        <f t="shared" si="3"/>
        <v>0.21763775825779019</v>
      </c>
      <c r="I31" s="130">
        <f t="shared" si="0"/>
        <v>20.722059345371321</v>
      </c>
      <c r="J31" s="130">
        <f t="shared" si="4"/>
        <v>-0.24376866269833875</v>
      </c>
      <c r="K31" s="136">
        <f>R29+R30+R31</f>
        <v>41846814542</v>
      </c>
      <c r="L31" s="190">
        <f>U31/U28-1</f>
        <v>-9.2822501300708904E-3</v>
      </c>
      <c r="M31" s="190">
        <f>U31/U19-1</f>
        <v>0.25173565935267361</v>
      </c>
      <c r="N31" s="191">
        <f>AVERAGE(T29:T31)</f>
        <v>26.619862896976752</v>
      </c>
      <c r="O31" s="192">
        <f>N31/N28-1</f>
        <v>-9.4726728650342151E-2</v>
      </c>
      <c r="P31" s="129" t="s">
        <v>505</v>
      </c>
      <c r="Q31" s="116">
        <v>13590562</v>
      </c>
      <c r="R31" s="116">
        <v>17992837225</v>
      </c>
      <c r="S31" s="116">
        <v>655849.97</v>
      </c>
      <c r="T31" s="130">
        <f t="shared" si="1"/>
        <v>20.722059345371321</v>
      </c>
      <c r="U31" s="85">
        <f>Q29+Q30+Q31</f>
        <v>31628575</v>
      </c>
    </row>
    <row r="32" spans="1:21" s="92" customFormat="1" ht="13.2" hidden="1">
      <c r="A32" s="129" t="s">
        <v>561</v>
      </c>
      <c r="B32" s="188"/>
      <c r="C32" s="188"/>
      <c r="D32" s="190"/>
      <c r="E32" s="287"/>
      <c r="F32" s="136">
        <f>Q32/21</f>
        <v>378600.95238095237</v>
      </c>
      <c r="G32" s="190">
        <f t="shared" si="2"/>
        <v>-0.44284724593294611</v>
      </c>
      <c r="H32" s="190">
        <f t="shared" si="3"/>
        <v>-0.38924715967823054</v>
      </c>
      <c r="I32" s="130">
        <f t="shared" si="0"/>
        <v>34.395080753568166</v>
      </c>
      <c r="J32" s="130">
        <f t="shared" si="4"/>
        <v>0.49244737362263469</v>
      </c>
      <c r="K32" s="136"/>
      <c r="L32" s="190"/>
      <c r="M32" s="190"/>
      <c r="N32" s="191"/>
      <c r="O32" s="192"/>
      <c r="P32" s="129" t="s">
        <v>561</v>
      </c>
      <c r="Q32" s="116">
        <v>7950620</v>
      </c>
      <c r="R32" s="116">
        <v>10825566726</v>
      </c>
      <c r="S32" s="116">
        <v>231155.73</v>
      </c>
      <c r="T32" s="130">
        <f t="shared" si="1"/>
        <v>34.395080753568166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498120.42857142858</v>
      </c>
      <c r="G33" s="190">
        <f t="shared" si="2"/>
        <v>0.31568720426834651</v>
      </c>
      <c r="H33" s="190">
        <f t="shared" si="3"/>
        <v>-0.65033044775830029</v>
      </c>
      <c r="I33" s="130">
        <f t="shared" si="0"/>
        <v>30.700816653253103</v>
      </c>
      <c r="J33" s="130">
        <f t="shared" si="4"/>
        <v>0.79031998778337442</v>
      </c>
      <c r="K33" s="136"/>
      <c r="L33" s="190"/>
      <c r="M33" s="190"/>
      <c r="N33" s="191"/>
      <c r="O33" s="192"/>
      <c r="P33" s="129" t="s">
        <v>606</v>
      </c>
      <c r="Q33" s="116">
        <v>10460529</v>
      </c>
      <c r="R33" s="116">
        <v>14286347660</v>
      </c>
      <c r="S33" s="116">
        <v>340724.78</v>
      </c>
      <c r="T33" s="130">
        <f t="shared" si="1"/>
        <v>30.700816653253103</v>
      </c>
      <c r="U33" s="85"/>
    </row>
    <row r="34" spans="1:21" s="92" customFormat="1" ht="13.2" hidden="1">
      <c r="A34" s="129" t="s">
        <v>652</v>
      </c>
      <c r="B34" s="188">
        <f>SUM(F32:F34)</f>
        <v>1582833.4335839599</v>
      </c>
      <c r="C34" s="188">
        <f>AVERAGE(F32:F34)</f>
        <v>527611.14452798665</v>
      </c>
      <c r="D34" s="190">
        <f>C34/C31-1</f>
        <v>2.0029328589446393E-2</v>
      </c>
      <c r="E34" s="287">
        <f>C34/C22-1</f>
        <v>-0.31262712280385963</v>
      </c>
      <c r="F34" s="136">
        <f>Q34/19</f>
        <v>706112.05263157899</v>
      </c>
      <c r="G34" s="190">
        <f t="shared" ref="G34" si="5">F34/F33-1</f>
        <v>0.41755288908076804</v>
      </c>
      <c r="H34" s="190">
        <f t="shared" ref="H34" si="6">F34/F22-1</f>
        <v>1.7337900059868279</v>
      </c>
      <c r="I34" s="130">
        <f t="shared" si="0"/>
        <v>30.312915482457406</v>
      </c>
      <c r="J34" s="130">
        <f t="shared" si="4"/>
        <v>0.55252177745553088</v>
      </c>
      <c r="K34" s="136">
        <f>R32+R33+R34</f>
        <v>43566572593</v>
      </c>
      <c r="L34" s="190">
        <f>U34/U31-1</f>
        <v>6.2823886311667021E-3</v>
      </c>
      <c r="M34" s="190">
        <f>U34/U22-1</f>
        <v>-0.33328444086709674</v>
      </c>
      <c r="N34" s="191">
        <f>AVERAGE(T32:T34)</f>
        <v>31.802937629759555</v>
      </c>
      <c r="O34" s="192">
        <f>N34/N31-1</f>
        <v>0.19470704086050916</v>
      </c>
      <c r="P34" s="129" t="s">
        <v>652</v>
      </c>
      <c r="Q34" s="116">
        <v>13416129</v>
      </c>
      <c r="R34" s="116">
        <v>18454658207</v>
      </c>
      <c r="S34" s="116">
        <v>442587.88</v>
      </c>
      <c r="T34" s="130">
        <f t="shared" ref="T34" si="7">Q34/S34</f>
        <v>30.312915482457406</v>
      </c>
      <c r="U34" s="85">
        <f>Q32+Q33+Q34</f>
        <v>31827278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967256.56521739135</v>
      </c>
      <c r="G35" s="190">
        <f t="shared" ref="G35" si="8">F35/F34-1</f>
        <v>0.36983437913651795</v>
      </c>
      <c r="H35" s="190">
        <f t="shared" ref="H35" si="9">F35/F23-1</f>
        <v>-0.260239296306773</v>
      </c>
      <c r="I35" s="130">
        <f t="shared" si="0"/>
        <v>25.339710474722288</v>
      </c>
      <c r="J35" s="130">
        <f t="shared" si="4"/>
        <v>0.29284442874195871</v>
      </c>
      <c r="K35" s="136"/>
      <c r="L35" s="190"/>
      <c r="M35" s="190"/>
      <c r="N35" s="191"/>
      <c r="O35" s="192"/>
      <c r="P35" s="129" t="s">
        <v>660</v>
      </c>
      <c r="Q35" s="116">
        <v>22246901</v>
      </c>
      <c r="R35" s="116">
        <v>30805266794</v>
      </c>
      <c r="S35" s="116">
        <v>877946.14</v>
      </c>
      <c r="T35" s="130">
        <f t="shared" ref="T35" si="10">Q35/S35</f>
        <v>25.339710474722288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991674.23809523811</v>
      </c>
      <c r="G36" s="190">
        <f t="shared" ref="G36" si="11">F36/F35-1</f>
        <v>2.524425654568585E-2</v>
      </c>
      <c r="H36" s="190">
        <f t="shared" ref="H36" si="12">F36/F24-1</f>
        <v>0.55621144308812287</v>
      </c>
      <c r="I36" s="130">
        <f t="shared" si="0"/>
        <v>25.606998978174801</v>
      </c>
      <c r="J36" s="130">
        <f t="shared" si="4"/>
        <v>-9.9140086703444652E-2</v>
      </c>
      <c r="K36" s="136"/>
      <c r="L36" s="190"/>
      <c r="M36" s="190"/>
      <c r="N36" s="191"/>
      <c r="O36" s="192"/>
      <c r="P36" s="129" t="s">
        <v>666</v>
      </c>
      <c r="Q36" s="116">
        <v>20825159</v>
      </c>
      <c r="R36" s="116">
        <v>28554776380</v>
      </c>
      <c r="S36" s="116">
        <v>813260.43</v>
      </c>
      <c r="T36" s="130">
        <f t="shared" ref="T36" si="13">Q36/S36</f>
        <v>25.606998978174801</v>
      </c>
      <c r="U36" s="85"/>
    </row>
    <row r="37" spans="1:21" s="92" customFormat="1" ht="13.2" hidden="1">
      <c r="A37" s="129" t="s">
        <v>702</v>
      </c>
      <c r="B37" s="188">
        <f>SUM(F35:F37)</f>
        <v>2701217.469979296</v>
      </c>
      <c r="C37" s="188">
        <f>AVERAGE(F35:F37)</f>
        <v>900405.82332643203</v>
      </c>
      <c r="D37" s="190">
        <f>C37/C34-1</f>
        <v>0.7065708953740093</v>
      </c>
      <c r="E37" s="287">
        <f>C37/C25-1</f>
        <v>-4.112357239106823E-2</v>
      </c>
      <c r="F37" s="136">
        <f>Q37/18</f>
        <v>742286.66666666663</v>
      </c>
      <c r="G37" s="190">
        <f t="shared" ref="G37" si="14">F37/F36-1</f>
        <v>-0.25148134523246624</v>
      </c>
      <c r="H37" s="190">
        <f t="shared" ref="H37" si="15">F37/F25-1</f>
        <v>-0.14904930303554864</v>
      </c>
      <c r="I37" s="130">
        <f t="shared" si="0"/>
        <v>33.966704841996084</v>
      </c>
      <c r="J37" s="130">
        <f t="shared" si="4"/>
        <v>0.28275705142453389</v>
      </c>
      <c r="K37" s="136">
        <f>R35+R36+R37</f>
        <v>77177282501</v>
      </c>
      <c r="L37" s="190">
        <f>U37/U34-1</f>
        <v>0.77310858943073923</v>
      </c>
      <c r="M37" s="190">
        <f>U37/U25-1</f>
        <v>-2.7868270523018213E-2</v>
      </c>
      <c r="N37" s="191">
        <f>AVERAGE(T35:T37)</f>
        <v>28.304471431631057</v>
      </c>
      <c r="O37" s="192">
        <f>N37/N34-1</f>
        <v>-0.11000449829058601</v>
      </c>
      <c r="P37" s="129" t="s">
        <v>702</v>
      </c>
      <c r="Q37" s="116">
        <v>13361160</v>
      </c>
      <c r="R37" s="116">
        <v>17817239327</v>
      </c>
      <c r="S37" s="116">
        <v>393360.5</v>
      </c>
      <c r="T37" s="130">
        <f t="shared" ref="T37" si="16">Q37/S37</f>
        <v>33.966704841996084</v>
      </c>
      <c r="U37" s="85">
        <f>Q35+Q36+Q37</f>
        <v>56433220</v>
      </c>
    </row>
    <row r="38" spans="1:21" s="92" customFormat="1" ht="13.2" hidden="1">
      <c r="A38" s="129" t="s">
        <v>725</v>
      </c>
      <c r="B38" s="188"/>
      <c r="C38" s="188"/>
      <c r="D38" s="190"/>
      <c r="E38" s="287"/>
      <c r="F38" s="136">
        <f>Q38/20</f>
        <v>660736.69999999995</v>
      </c>
      <c r="G38" s="190">
        <f t="shared" ref="G38" si="17">F38/F37-1</f>
        <v>-0.10986317056303496</v>
      </c>
      <c r="H38" s="190">
        <f t="shared" ref="H38" si="18">F38/F26-1</f>
        <v>0.45098109990955915</v>
      </c>
      <c r="I38" s="130">
        <f t="shared" si="0"/>
        <v>37.210578097607154</v>
      </c>
      <c r="J38" s="130">
        <f t="shared" si="4"/>
        <v>0.15142237192088026</v>
      </c>
      <c r="K38" s="136"/>
      <c r="L38" s="190"/>
      <c r="M38" s="190"/>
      <c r="N38" s="191"/>
      <c r="O38" s="192"/>
      <c r="P38" s="129" t="s">
        <v>728</v>
      </c>
      <c r="Q38" s="116">
        <v>13214734</v>
      </c>
      <c r="R38" s="116">
        <v>17719374060</v>
      </c>
      <c r="S38" s="116">
        <v>355133.8</v>
      </c>
      <c r="T38" s="130">
        <f t="shared" ref="T38" si="19">Q38/S38</f>
        <v>37.210578097607154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506150.23809523811</v>
      </c>
      <c r="G39" s="190">
        <f t="shared" ref="G39" si="20">F39/F38-1</f>
        <v>-0.23396076213832506</v>
      </c>
      <c r="H39" s="190">
        <f t="shared" ref="H39" si="21">F39/F27-1</f>
        <v>0.48689865719376013</v>
      </c>
      <c r="I39" s="130">
        <f t="shared" si="0"/>
        <v>41.798495103092016</v>
      </c>
      <c r="J39" s="130">
        <f t="shared" si="4"/>
        <v>0.67431656966290787</v>
      </c>
      <c r="K39" s="136"/>
      <c r="L39" s="190"/>
      <c r="M39" s="190"/>
      <c r="N39" s="191"/>
      <c r="O39" s="192"/>
      <c r="P39" s="129" t="s">
        <v>762</v>
      </c>
      <c r="Q39" s="116">
        <v>10629155</v>
      </c>
      <c r="R39" s="116">
        <v>14786307656</v>
      </c>
      <c r="S39" s="116">
        <v>254295.16</v>
      </c>
      <c r="T39" s="130">
        <f t="shared" ref="T39" si="22">Q39/S39</f>
        <v>41.798495103092016</v>
      </c>
      <c r="U39" s="85"/>
    </row>
    <row r="40" spans="1:21" s="92" customFormat="1" ht="13.2" hidden="1">
      <c r="A40" s="129" t="s">
        <v>778</v>
      </c>
      <c r="B40" s="188">
        <f>SUM(F38:F40)</f>
        <v>1849278.7</v>
      </c>
      <c r="C40" s="188">
        <f>AVERAGE(F38:F40)</f>
        <v>616426.23333333328</v>
      </c>
      <c r="D40" s="190">
        <f>C40/C37-1</f>
        <v>-0.31539066344992428</v>
      </c>
      <c r="E40" s="287">
        <f>C40/C28-1</f>
        <v>0.13696116391537871</v>
      </c>
      <c r="F40" s="136">
        <f>Q40/21</f>
        <v>682391.76190476189</v>
      </c>
      <c r="G40" s="190">
        <f t="shared" ref="G40" si="23">F40/F39-1</f>
        <v>0.34820002154451601</v>
      </c>
      <c r="H40" s="190">
        <f t="shared" ref="H40" si="24">F40/F28-1</f>
        <v>-0.17856465554048051</v>
      </c>
      <c r="I40" s="130">
        <f t="shared" si="0"/>
        <v>35.458842400710196</v>
      </c>
      <c r="J40" s="130">
        <f t="shared" si="4"/>
        <v>0.14625787535075419</v>
      </c>
      <c r="K40" s="136">
        <f>R38+R39+R40</f>
        <v>52805562879</v>
      </c>
      <c r="L40" s="190">
        <f>U40/U37-1</f>
        <v>-0.32355240406271346</v>
      </c>
      <c r="M40" s="190">
        <f>U40/U28-1</f>
        <v>0.19574702011689316</v>
      </c>
      <c r="N40" s="191">
        <f>AVERAGE(T38:T40)</f>
        <v>38.155971867136451</v>
      </c>
      <c r="O40" s="192">
        <f>N40/N37-1</f>
        <v>0.34805456301494675</v>
      </c>
      <c r="P40" s="129" t="s">
        <v>778</v>
      </c>
      <c r="Q40" s="116">
        <v>14330227</v>
      </c>
      <c r="R40" s="116">
        <v>20299881163</v>
      </c>
      <c r="S40" s="116">
        <v>404136.91</v>
      </c>
      <c r="T40" s="130">
        <f t="shared" ref="T40" si="25">Q40/S40</f>
        <v>35.458842400710196</v>
      </c>
      <c r="U40" s="85">
        <f>Q38+Q39+Q40</f>
        <v>38174116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736055.5</v>
      </c>
      <c r="G41" s="190">
        <f t="shared" ref="G41" si="26">F41/F40-1</f>
        <v>7.8640659355919462E-2</v>
      </c>
      <c r="H41" s="190">
        <f t="shared" ref="H41" si="27">F41/F29-1</f>
        <v>0.50651739202353974</v>
      </c>
      <c r="I41" s="130">
        <f t="shared" si="0"/>
        <v>37.16582523426478</v>
      </c>
      <c r="J41" s="130">
        <f t="shared" si="4"/>
        <v>0.14903068342528436</v>
      </c>
      <c r="K41" s="194"/>
      <c r="L41" s="202"/>
      <c r="M41" s="202"/>
      <c r="N41" s="194"/>
      <c r="O41" s="194"/>
      <c r="P41" s="129" t="s">
        <v>792</v>
      </c>
      <c r="Q41" s="116">
        <v>13248999</v>
      </c>
      <c r="R41" s="116">
        <v>19368382788</v>
      </c>
      <c r="S41" s="116">
        <v>356483.38</v>
      </c>
      <c r="T41" s="130">
        <f t="shared" ref="T41" si="28">Q41/S41</f>
        <v>37.16582523426478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776437.5</v>
      </c>
      <c r="G42" s="190">
        <f t="shared" ref="G42" si="29">F42/F41-1</f>
        <v>5.4862710760261946E-2</v>
      </c>
      <c r="H42" s="190">
        <f t="shared" ref="H42" si="30">F42/F30-1</f>
        <v>1.0238492105138604</v>
      </c>
      <c r="I42" s="130">
        <f t="shared" si="0"/>
        <v>33.08883199954861</v>
      </c>
      <c r="J42" s="130">
        <f t="shared" si="4"/>
        <v>0.23501933560780963</v>
      </c>
      <c r="K42" s="194"/>
      <c r="L42" s="202"/>
      <c r="M42" s="202"/>
      <c r="N42" s="194"/>
      <c r="O42" s="194"/>
      <c r="P42" s="129" t="s">
        <v>826</v>
      </c>
      <c r="Q42" s="116">
        <v>15528750</v>
      </c>
      <c r="R42" s="116">
        <v>22409013088</v>
      </c>
      <c r="S42" s="116">
        <v>469304.87</v>
      </c>
      <c r="T42" s="130">
        <f t="shared" ref="T42" si="31">Q42/S42</f>
        <v>33.08883199954861</v>
      </c>
      <c r="U42" s="175"/>
    </row>
    <row r="43" spans="1:21" s="92" customFormat="1" ht="13.2">
      <c r="A43" s="129" t="s">
        <v>835</v>
      </c>
      <c r="B43" s="188">
        <f>SUM(F41:F43)</f>
        <v>2248834</v>
      </c>
      <c r="C43" s="188">
        <f>AVERAGE(F41:F43)</f>
        <v>749611.33333333337</v>
      </c>
      <c r="D43" s="190">
        <f>C43/C40-1</f>
        <v>0.21606007791037674</v>
      </c>
      <c r="E43" s="287">
        <f>C43/C31-1</f>
        <v>0.44922174782166846</v>
      </c>
      <c r="F43" s="136">
        <f>Q43/20</f>
        <v>736341</v>
      </c>
      <c r="G43" s="190">
        <f t="shared" ref="G43" si="32">F43/F42-1</f>
        <v>-5.1641632455928566E-2</v>
      </c>
      <c r="H43" s="190">
        <f t="shared" ref="H43" si="33">F43/F31-1</f>
        <v>8.3606402737429253E-2</v>
      </c>
      <c r="I43" s="130">
        <f t="shared" si="0"/>
        <v>24.751611924940267</v>
      </c>
      <c r="J43" s="130">
        <f t="shared" si="4"/>
        <v>0.1944571488966913</v>
      </c>
      <c r="K43" s="136">
        <f>R41+R42+R43</f>
        <v>63131917948</v>
      </c>
      <c r="L43" s="190">
        <f>U43/U40-1</f>
        <v>0.13963527013958887</v>
      </c>
      <c r="M43" s="190">
        <f>K43/K31-1</f>
        <v>0.50864333734738598</v>
      </c>
      <c r="N43" s="191">
        <f>AVERAGE(T41:T43)</f>
        <v>31.668756386251218</v>
      </c>
      <c r="O43" s="192">
        <f>N43/N40-1</f>
        <v>-0.17001835265720588</v>
      </c>
      <c r="P43" s="129" t="s">
        <v>835</v>
      </c>
      <c r="Q43" s="116">
        <v>14726820</v>
      </c>
      <c r="R43" s="116">
        <v>21354522072</v>
      </c>
      <c r="S43" s="116">
        <v>594984.28</v>
      </c>
      <c r="T43" s="130">
        <f t="shared" ref="T43" si="34">Q43/S43</f>
        <v>24.751611924940267</v>
      </c>
      <c r="U43" s="85">
        <f>Q41+Q42+Q43</f>
        <v>43504569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957827.40909090906</v>
      </c>
      <c r="G44" s="190">
        <f t="shared" ref="G44" si="35">F44/F43-1</f>
        <v>0.30079325895326892</v>
      </c>
      <c r="H44" s="190">
        <f t="shared" ref="H44" si="36">F44/F32-1</f>
        <v>1.5299128358428766</v>
      </c>
      <c r="I44" s="130">
        <f t="shared" si="0"/>
        <v>28.548192744886489</v>
      </c>
      <c r="J44" s="130">
        <f t="shared" si="4"/>
        <v>-0.16999198375410463</v>
      </c>
      <c r="K44" s="136"/>
      <c r="L44" s="190"/>
      <c r="M44" s="190"/>
      <c r="N44" s="191"/>
      <c r="O44" s="192"/>
      <c r="P44" s="129" t="s">
        <v>843</v>
      </c>
      <c r="Q44" s="116">
        <v>21072203</v>
      </c>
      <c r="R44" s="116">
        <v>30632798838</v>
      </c>
      <c r="S44" s="116">
        <v>738127.39</v>
      </c>
      <c r="T44" s="130">
        <f t="shared" ref="T44" si="37">Q44/S44</f>
        <v>28.548192744886489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87"/>
      <c r="F45" s="136">
        <f>Q45/20</f>
        <v>796918.85</v>
      </c>
      <c r="G45" s="190">
        <f t="shared" ref="G45" si="38">F45/F44-1</f>
        <v>-0.16799327056596791</v>
      </c>
      <c r="H45" s="190">
        <f t="shared" ref="H45" si="39">F45/F33-1</f>
        <v>0.59985177135879075</v>
      </c>
      <c r="I45" s="130">
        <f t="shared" si="0"/>
        <v>24.209290241957763</v>
      </c>
      <c r="J45" s="130">
        <f t="shared" si="4"/>
        <v>-0.21144474704413074</v>
      </c>
      <c r="K45" s="136"/>
      <c r="L45" s="190"/>
      <c r="M45" s="190"/>
      <c r="N45" s="191"/>
      <c r="O45" s="192"/>
      <c r="P45" s="129" t="s">
        <v>850</v>
      </c>
      <c r="Q45" s="116">
        <v>15938377</v>
      </c>
      <c r="R45" s="116">
        <v>22404150262</v>
      </c>
      <c r="S45" s="116">
        <v>658357.88</v>
      </c>
      <c r="T45" s="130">
        <f t="shared" ref="T45" si="40">Q45/S45</f>
        <v>24.209290241957763</v>
      </c>
      <c r="U45" s="85"/>
    </row>
    <row r="46" spans="1:21" s="92" customFormat="1" ht="13.2">
      <c r="A46" s="129" t="s">
        <v>888</v>
      </c>
      <c r="B46" s="188">
        <f>SUM(F44:F46)</f>
        <v>2619444.4696172248</v>
      </c>
      <c r="C46" s="188">
        <f>AVERAGE(F44:F46)</f>
        <v>873148.15653907496</v>
      </c>
      <c r="D46" s="190">
        <f>C46/C43-1</f>
        <v>0.1648011679017769</v>
      </c>
      <c r="E46" s="287">
        <f>C46/C34-1</f>
        <v>0.65490847870587321</v>
      </c>
      <c r="F46" s="136">
        <f>Q46/19</f>
        <v>864698.21052631584</v>
      </c>
      <c r="G46" s="190">
        <f t="shared" ref="G46" si="41">F46/F45-1</f>
        <v>8.5051772242952906E-2</v>
      </c>
      <c r="H46" s="190">
        <f t="shared" ref="H46" si="42">F46/F34-1</f>
        <v>0.2245906401168325</v>
      </c>
      <c r="I46" s="130">
        <f t="shared" si="0"/>
        <v>36.507330935118951</v>
      </c>
      <c r="J46" s="130">
        <f t="shared" si="4"/>
        <v>0.2043490490463169</v>
      </c>
      <c r="K46" s="136">
        <f>R44+R45+R46</f>
        <v>75553670698</v>
      </c>
      <c r="L46" s="190">
        <f>U46/U43-1</f>
        <v>0.22837318535439355</v>
      </c>
      <c r="M46" s="190">
        <f>K46/K34-1</f>
        <v>0.73421194739885243</v>
      </c>
      <c r="N46" s="191">
        <f>AVERAGE(T44:T46)</f>
        <v>29.754937973987733</v>
      </c>
      <c r="O46" s="192">
        <f>N46/N43-1</f>
        <v>-6.0432382911453919E-2</v>
      </c>
      <c r="P46" s="129" t="s">
        <v>947</v>
      </c>
      <c r="Q46" s="116">
        <v>16429266</v>
      </c>
      <c r="R46" s="116">
        <v>22516721598</v>
      </c>
      <c r="S46" s="116">
        <v>450026.49</v>
      </c>
      <c r="T46" s="130">
        <f t="shared" ref="T46" si="43">Q46/S46</f>
        <v>36.507330935118951</v>
      </c>
      <c r="U46" s="85">
        <f t="shared" ref="U46:U51" si="44">Q44+Q45+Q46</f>
        <v>53439846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415110.73913043475</v>
      </c>
      <c r="G47" s="190">
        <f t="shared" ref="G47" si="45">F47/F46-1</f>
        <v>-0.51993570233276032</v>
      </c>
      <c r="H47" s="190">
        <f t="shared" ref="H47" si="46">F47/F35-1</f>
        <v>-0.57083698983512354</v>
      </c>
      <c r="I47" s="130">
        <f t="shared" si="0"/>
        <v>48.169682173990608</v>
      </c>
      <c r="J47" s="130">
        <f t="shared" si="4"/>
        <v>0.90095629632558083</v>
      </c>
      <c r="K47" s="136"/>
      <c r="L47" s="190"/>
      <c r="M47" s="190"/>
      <c r="N47" s="191"/>
      <c r="O47" s="192"/>
      <c r="P47" s="129" t="s">
        <v>991</v>
      </c>
      <c r="Q47" s="116">
        <v>9547547</v>
      </c>
      <c r="R47" s="116">
        <v>13082196566</v>
      </c>
      <c r="S47" s="116">
        <v>198206.56</v>
      </c>
      <c r="T47" s="130">
        <f t="shared" ref="T47" si="47">Q47/S47</f>
        <v>48.169682173990608</v>
      </c>
      <c r="U47" s="85">
        <f t="shared" si="44"/>
        <v>41915190</v>
      </c>
    </row>
    <row r="48" spans="1:21" s="92" customFormat="1" ht="13.2">
      <c r="A48" s="129" t="s">
        <v>1070</v>
      </c>
      <c r="B48" s="188"/>
      <c r="C48" s="188"/>
      <c r="D48" s="190"/>
      <c r="E48" s="287"/>
      <c r="F48" s="136">
        <f>Q48/20</f>
        <v>434312.65</v>
      </c>
      <c r="G48" s="190">
        <f t="shared" ref="G48" si="48">F48/F47-1</f>
        <v>4.6257321383178507E-2</v>
      </c>
      <c r="H48" s="190">
        <f t="shared" ref="H48" si="49">F48/F36-1</f>
        <v>-0.56204100770611154</v>
      </c>
      <c r="I48" s="130">
        <f t="shared" si="0"/>
        <v>49.986534068289309</v>
      </c>
      <c r="J48" s="130">
        <f t="shared" si="4"/>
        <v>0.95206529710465193</v>
      </c>
      <c r="K48" s="136"/>
      <c r="L48" s="190"/>
      <c r="M48" s="190"/>
      <c r="N48" s="191"/>
      <c r="O48" s="192"/>
      <c r="P48" s="129" t="s">
        <v>1070</v>
      </c>
      <c r="Q48" s="116">
        <v>8686253</v>
      </c>
      <c r="R48" s="116">
        <v>12050413488</v>
      </c>
      <c r="S48" s="116">
        <v>173771.86</v>
      </c>
      <c r="T48" s="130">
        <f t="shared" ref="T48" si="50">Q48/S48</f>
        <v>49.986534068289309</v>
      </c>
      <c r="U48" s="85">
        <f t="shared" si="44"/>
        <v>34663066</v>
      </c>
    </row>
    <row r="49" spans="1:26" ht="13.2">
      <c r="A49" s="129" t="s">
        <v>1207</v>
      </c>
      <c r="B49" s="188">
        <f>SUM(F47:F49)</f>
        <v>1355415.5709486166</v>
      </c>
      <c r="C49" s="188">
        <f>AVERAGE(F47:F49)</f>
        <v>451805.19031620555</v>
      </c>
      <c r="D49" s="190">
        <f>C49/C46-1</f>
        <v>-0.48255609665713539</v>
      </c>
      <c r="E49" s="287">
        <f>C49/C37-1</f>
        <v>-0.49822049279171687</v>
      </c>
      <c r="F49" s="136">
        <f>Q49/22</f>
        <v>505992.18181818182</v>
      </c>
      <c r="G49" s="190">
        <f t="shared" ref="G49" si="51">F49/F48-1</f>
        <v>0.16504131716675019</v>
      </c>
      <c r="H49" s="190">
        <f t="shared" ref="H49" si="52">F49/F37-1</f>
        <v>-0.31833319317130604</v>
      </c>
      <c r="I49" s="130">
        <f t="shared" si="0"/>
        <v>39.054949640544713</v>
      </c>
      <c r="J49" s="130">
        <f t="shared" si="4"/>
        <v>0.14980095426441187</v>
      </c>
      <c r="K49" s="136">
        <f>R47+R48+R49</f>
        <v>40613783682</v>
      </c>
      <c r="L49" s="190">
        <f>U49/U46-1</f>
        <v>-0.45049190448640142</v>
      </c>
      <c r="M49" s="190">
        <f>K49/K37-1</f>
        <v>-0.47375986344849907</v>
      </c>
      <c r="N49" s="191">
        <f>AVERAGE(T47:T49)</f>
        <v>45.737055294274882</v>
      </c>
      <c r="O49" s="192">
        <f>N49/N46-1</f>
        <v>0.53712487434048706</v>
      </c>
      <c r="P49" s="129" t="s">
        <v>1158</v>
      </c>
      <c r="Q49" s="116">
        <v>11131828</v>
      </c>
      <c r="R49" s="116">
        <v>15481173628</v>
      </c>
      <c r="S49" s="116">
        <v>285029.89</v>
      </c>
      <c r="T49" s="130">
        <f t="shared" ref="T49" si="53">Q49/S49</f>
        <v>39.054949640544713</v>
      </c>
      <c r="U49" s="85">
        <f t="shared" si="44"/>
        <v>29365628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87"/>
      <c r="F50" s="136">
        <f>Q50/18</f>
        <v>571979.88888888888</v>
      </c>
      <c r="G50" s="190">
        <f t="shared" ref="G50" si="54">F50/F49-1</f>
        <v>0.13041250327938547</v>
      </c>
      <c r="H50" s="190">
        <f t="shared" ref="H50" si="55">F50/F38-1</f>
        <v>-0.13433007597596902</v>
      </c>
      <c r="I50" s="130">
        <f t="shared" ref="I50" si="56">T50</f>
        <v>43.200194625901524</v>
      </c>
      <c r="J50" s="130">
        <f t="shared" ref="J50" si="57">I50/I38-1</f>
        <v>0.16096542527726898</v>
      </c>
      <c r="K50" s="136"/>
      <c r="L50" s="190"/>
      <c r="M50" s="190"/>
      <c r="N50" s="191"/>
      <c r="O50" s="192"/>
      <c r="P50" s="129" t="s">
        <v>1291</v>
      </c>
      <c r="Q50" s="116">
        <v>10295638</v>
      </c>
      <c r="R50" s="116">
        <v>14564522424</v>
      </c>
      <c r="S50" s="116">
        <v>238323.88</v>
      </c>
      <c r="T50" s="130">
        <f t="shared" ref="T50" si="58">Q50/S50</f>
        <v>43.200194625901524</v>
      </c>
      <c r="U50" s="85">
        <f t="shared" si="44"/>
        <v>30113719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611220.55000000005</v>
      </c>
      <c r="G51" s="190">
        <f t="shared" ref="G51:G52" si="59">F51/F50-1</f>
        <v>6.8604966491634611E-2</v>
      </c>
      <c r="H51" s="190">
        <f t="shared" ref="H51:H52" si="60">F51/F39-1</f>
        <v>0.20758720236933237</v>
      </c>
      <c r="I51" s="130">
        <f t="shared" ref="I51:I52" si="61">T51</f>
        <v>42.496848563448658</v>
      </c>
      <c r="J51" s="130">
        <f t="shared" ref="J51:J52" si="62">I51/I39-1</f>
        <v>1.6707622095824659E-2</v>
      </c>
      <c r="K51" s="136"/>
      <c r="L51" s="190"/>
      <c r="M51" s="190"/>
      <c r="N51" s="191"/>
      <c r="O51" s="192"/>
      <c r="P51" s="129" t="s">
        <v>1402</v>
      </c>
      <c r="Q51" s="116">
        <v>12224411</v>
      </c>
      <c r="R51" s="116">
        <v>17686041837</v>
      </c>
      <c r="S51" s="116">
        <v>287654.53000000003</v>
      </c>
      <c r="T51" s="130">
        <f t="shared" ref="T51:T52" si="63">Q51/S51</f>
        <v>42.496848563448658</v>
      </c>
      <c r="U51" s="85">
        <f t="shared" si="44"/>
        <v>33651877</v>
      </c>
    </row>
    <row r="52" spans="1:26" s="79" customFormat="1" ht="13.2">
      <c r="A52" s="129" t="s">
        <v>1403</v>
      </c>
      <c r="B52" s="188">
        <f>SUM(F50:F52)</f>
        <v>2061372.7570707072</v>
      </c>
      <c r="C52" s="188">
        <f>AVERAGE(F50:F52)</f>
        <v>687124.25235690235</v>
      </c>
      <c r="D52" s="190">
        <f>C52/C49-1</f>
        <v>0.52084187407409743</v>
      </c>
      <c r="E52" s="287">
        <f>C52/C40-1</f>
        <v>0.11469015301517671</v>
      </c>
      <c r="F52" s="136">
        <f>Q52/22</f>
        <v>878172.31818181823</v>
      </c>
      <c r="G52" s="190">
        <f t="shared" si="59"/>
        <v>0.43675195178208281</v>
      </c>
      <c r="H52" s="190">
        <f t="shared" si="60"/>
        <v>0.28690345811117868</v>
      </c>
      <c r="I52" s="130">
        <f t="shared" si="61"/>
        <v>28.783783207973038</v>
      </c>
      <c r="J52" s="130">
        <f t="shared" si="62"/>
        <v>-0.18824808540854865</v>
      </c>
      <c r="K52" s="136">
        <f>R50+R51+R52</f>
        <v>60668855875</v>
      </c>
      <c r="L52" s="190">
        <f>U52/U49-1</f>
        <v>0.42478955328317847</v>
      </c>
      <c r="M52" s="190">
        <f>K52/K40-1</f>
        <v>0.14891031488515982</v>
      </c>
      <c r="N52" s="191">
        <f>AVERAGE(T50:T52)</f>
        <v>38.160275465774411</v>
      </c>
      <c r="O52" s="192">
        <f>N52/N49-1</f>
        <v>-0.16565954628585133</v>
      </c>
      <c r="P52" s="129" t="s">
        <v>1403</v>
      </c>
      <c r="Q52" s="116">
        <v>19319791</v>
      </c>
      <c r="R52" s="116">
        <v>28418291614</v>
      </c>
      <c r="S52" s="116">
        <v>671204.02</v>
      </c>
      <c r="T52" s="130">
        <f t="shared" si="63"/>
        <v>28.783783207973038</v>
      </c>
      <c r="U52" s="85">
        <f t="shared" ref="U52" si="64">Q50+Q51+Q52</f>
        <v>41839840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640605.57142857148</v>
      </c>
      <c r="G53" s="190">
        <f t="shared" ref="G53" si="65">F53/F52-1</f>
        <v>-0.2705240666719132</v>
      </c>
      <c r="H53" s="190">
        <f t="shared" ref="H53" si="66">F53/F41-1</f>
        <v>-0.1296776242707629</v>
      </c>
      <c r="I53" s="130">
        <f t="shared" ref="I53" si="67">T53</f>
        <v>28.371366027234934</v>
      </c>
      <c r="J53" s="130">
        <f t="shared" ref="J53" si="68">I53/I41-1</f>
        <v>-0.23662757793204747</v>
      </c>
      <c r="K53" s="136"/>
      <c r="L53" s="190"/>
      <c r="M53" s="190"/>
      <c r="N53" s="191"/>
      <c r="O53" s="192"/>
      <c r="P53" s="129" t="s">
        <v>1414</v>
      </c>
      <c r="Q53" s="116">
        <v>13452717</v>
      </c>
      <c r="R53" s="116">
        <v>19650370166</v>
      </c>
      <c r="S53" s="116">
        <v>474165.29</v>
      </c>
      <c r="T53" s="130">
        <f t="shared" ref="T53" si="69">Q53/S53</f>
        <v>28.371366027234934</v>
      </c>
      <c r="U53" s="85">
        <f t="shared" ref="U53" si="70">Q51+Q52+Q53</f>
        <v>44996919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1469368.3529411764</v>
      </c>
      <c r="G54" s="190">
        <f t="shared" ref="G54" si="71">F54/F53-1</f>
        <v>1.2937177234728643</v>
      </c>
      <c r="H54" s="190">
        <f t="shared" ref="H54" si="72">F54/F42-1</f>
        <v>0.89244897746589569</v>
      </c>
      <c r="I54" s="130">
        <f t="shared" ref="I54" si="73">T54</f>
        <v>39.525661591382743</v>
      </c>
      <c r="J54" s="130">
        <f t="shared" ref="J54" si="74">I54/I42-1</f>
        <v>0.19453178619063816</v>
      </c>
      <c r="K54" s="136"/>
      <c r="L54" s="190"/>
      <c r="M54" s="190"/>
      <c r="N54" s="191"/>
      <c r="O54" s="192"/>
      <c r="P54" s="129" t="s">
        <v>1417</v>
      </c>
      <c r="Q54" s="116">
        <v>24979262</v>
      </c>
      <c r="R54" s="116">
        <v>36182672933</v>
      </c>
      <c r="S54" s="116">
        <v>631975.81000000006</v>
      </c>
      <c r="T54" s="130">
        <f t="shared" ref="T54" si="75">Q54/S54</f>
        <v>39.525661591382743</v>
      </c>
      <c r="U54" s="85">
        <f t="shared" ref="U54" si="76">Q52+Q53+Q54</f>
        <v>57751770</v>
      </c>
    </row>
    <row r="55" spans="1:26" s="79" customFormat="1" ht="13.2">
      <c r="A55" s="129" t="s">
        <v>1418</v>
      </c>
      <c r="B55" s="188">
        <f>SUM(F53:F55)</f>
        <v>3487170.5910364147</v>
      </c>
      <c r="C55" s="188">
        <f>AVERAGE(F53:F55)</f>
        <v>1162390.1970121383</v>
      </c>
      <c r="D55" s="190">
        <f>C55/C52-1</f>
        <v>0.69167394837982799</v>
      </c>
      <c r="E55" s="287">
        <f>C55/C43-1</f>
        <v>0.55065718102644068</v>
      </c>
      <c r="F55" s="136">
        <f>Q55/21</f>
        <v>1377196.6666666667</v>
      </c>
      <c r="G55" s="190">
        <f t="shared" ref="G55" si="77">F55/F54-1</f>
        <v>-6.2728781445451243E-2</v>
      </c>
      <c r="H55" s="190">
        <f t="shared" ref="H55" si="78">F55/F43-1</f>
        <v>0.870324573352111</v>
      </c>
      <c r="I55" s="130">
        <f>T55</f>
        <v>36.30705767940406</v>
      </c>
      <c r="J55" s="130">
        <f t="shared" ref="J55" si="79">I55/I43-1</f>
        <v>0.46685629160257935</v>
      </c>
      <c r="K55" s="136">
        <f>R53+R54+R55</f>
        <v>98209681019</v>
      </c>
      <c r="L55" s="190">
        <f>U55/U52-1</f>
        <v>0.60978409573267967</v>
      </c>
      <c r="M55" s="190">
        <f>K55/K43-1</f>
        <v>0.55562644397866356</v>
      </c>
      <c r="N55" s="191">
        <f>AVERAGE(T53:T55)</f>
        <v>34.734695099340577</v>
      </c>
      <c r="O55" s="192">
        <f>N55/N52-1</f>
        <v>-8.9768229516744569E-2</v>
      </c>
      <c r="P55" s="129" t="s">
        <v>1418</v>
      </c>
      <c r="Q55" s="116">
        <v>28921130</v>
      </c>
      <c r="R55" s="116">
        <v>42376637920</v>
      </c>
      <c r="S55" s="116">
        <v>796570.47</v>
      </c>
      <c r="T55" s="130">
        <f t="shared" ref="T55" si="80">Q55/S55</f>
        <v>36.30705767940406</v>
      </c>
      <c r="U55" s="85">
        <f t="shared" ref="U55" si="81">Q53+Q54+Q55</f>
        <v>67353109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1196118.0454545454</v>
      </c>
      <c r="G56" s="190">
        <f t="shared" ref="G56" si="82">F56/F55-1</f>
        <v>-0.13148348786698683</v>
      </c>
      <c r="H56" s="190">
        <f t="shared" ref="H56" si="83">F56/F44-1</f>
        <v>0.24878243627398611</v>
      </c>
      <c r="I56" s="291">
        <f>T56</f>
        <v>34.002466201819196</v>
      </c>
      <c r="J56" s="130">
        <f t="shared" ref="J56" si="84">I56/I44-1</f>
        <v>0.19105494717908789</v>
      </c>
      <c r="K56" s="136"/>
      <c r="L56" s="190"/>
      <c r="M56" s="190"/>
      <c r="N56" s="191"/>
      <c r="O56" s="192"/>
      <c r="P56" s="129" t="s">
        <v>1420</v>
      </c>
      <c r="Q56" s="116">
        <v>26314597</v>
      </c>
      <c r="R56" s="116">
        <v>39308482528</v>
      </c>
      <c r="S56" s="116">
        <v>773902.6</v>
      </c>
      <c r="T56" s="130">
        <f t="shared" ref="T56" si="85">Q56/S56</f>
        <v>34.002466201819196</v>
      </c>
      <c r="U56" s="85">
        <f t="shared" ref="U56" si="86">Q54+Q55+Q56</f>
        <v>80214989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1207871.8333333333</v>
      </c>
      <c r="G57" s="254">
        <f t="shared" ref="G57" si="87">F57/F56-1</f>
        <v>9.8266119497605331E-3</v>
      </c>
      <c r="H57" s="254">
        <f t="shared" ref="H57" si="88">F57/F45-1</f>
        <v>0.51567732816626588</v>
      </c>
      <c r="I57" s="282">
        <f>T57</f>
        <v>37.614521264852932</v>
      </c>
      <c r="J57" s="277">
        <f t="shared" ref="J57" si="89">I57/I45-1</f>
        <v>0.55372259528956391</v>
      </c>
      <c r="K57" s="204"/>
      <c r="L57" s="254"/>
      <c r="M57" s="254"/>
      <c r="N57" s="257"/>
      <c r="O57" s="258"/>
      <c r="P57" s="129" t="s">
        <v>1436</v>
      </c>
      <c r="Q57" s="116">
        <v>14494462</v>
      </c>
      <c r="R57" s="116">
        <v>21318819036</v>
      </c>
      <c r="S57" s="116">
        <v>385342.19</v>
      </c>
      <c r="T57" s="130">
        <f t="shared" ref="T57" si="90">Q57/S57</f>
        <v>37.614521264852932</v>
      </c>
      <c r="U57" s="85">
        <f t="shared" ref="U57" si="91">Q55+Q56+Q57</f>
        <v>69730189</v>
      </c>
    </row>
    <row r="58" spans="1:26">
      <c r="B58" s="196">
        <f>SUM(F56:F58)</f>
        <v>2403989.8787878789</v>
      </c>
      <c r="C58" s="196">
        <f>AVERAGE(F56:F58)</f>
        <v>1201994.9393939395</v>
      </c>
      <c r="D58" s="197">
        <f>C58/C55-1</f>
        <v>3.4071813822589947E-2</v>
      </c>
      <c r="E58" s="233">
        <f>C58/C46-1</f>
        <v>0.37662197462378533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108162168</v>
      </c>
      <c r="R67" s="212">
        <v>158836982583</v>
      </c>
      <c r="S67" s="213">
        <v>3061956.36</v>
      </c>
    </row>
    <row r="68" spans="16:19" ht="18" thickBot="1">
      <c r="P68" s="180" t="s">
        <v>976</v>
      </c>
      <c r="Q68" s="181">
        <v>13452717</v>
      </c>
      <c r="R68" s="181">
        <v>19650370166</v>
      </c>
      <c r="S68" s="182">
        <v>474165.29</v>
      </c>
    </row>
    <row r="69" spans="16:19" ht="18" thickBot="1">
      <c r="P69" s="180" t="s">
        <v>977</v>
      </c>
      <c r="Q69" s="181">
        <v>24979262</v>
      </c>
      <c r="R69" s="181">
        <v>36182672933</v>
      </c>
      <c r="S69" s="182">
        <v>631975.81000000006</v>
      </c>
    </row>
    <row r="70" spans="16:19" ht="18" thickBot="1">
      <c r="P70" s="180" t="s">
        <v>978</v>
      </c>
      <c r="Q70" s="181">
        <v>28921130</v>
      </c>
      <c r="R70" s="181">
        <v>42376637920</v>
      </c>
      <c r="S70" s="182">
        <v>796570.47</v>
      </c>
    </row>
    <row r="71" spans="16:19" ht="18" thickBot="1">
      <c r="P71" s="180" t="s">
        <v>979</v>
      </c>
      <c r="Q71" s="181">
        <v>26314597</v>
      </c>
      <c r="R71" s="181">
        <v>39308482528</v>
      </c>
      <c r="S71" s="182">
        <v>773902.6</v>
      </c>
    </row>
    <row r="72" spans="16:19" ht="18" thickBot="1">
      <c r="P72" s="180" t="s">
        <v>980</v>
      </c>
      <c r="Q72" s="181">
        <v>14494462</v>
      </c>
      <c r="R72" s="181">
        <v>21318819036</v>
      </c>
      <c r="S72" s="182">
        <v>385342.19</v>
      </c>
    </row>
    <row r="73" spans="16:19" ht="18" thickBot="1">
      <c r="P73" s="180" t="s">
        <v>975</v>
      </c>
      <c r="Q73" s="181">
        <v>168149492</v>
      </c>
      <c r="R73" s="181">
        <v>239967656592</v>
      </c>
      <c r="S73" s="182">
        <v>5121475.09</v>
      </c>
    </row>
    <row r="74" spans="16:19" ht="18" thickBot="1">
      <c r="P74" s="180" t="s">
        <v>982</v>
      </c>
      <c r="Q74" s="181">
        <v>158063189</v>
      </c>
      <c r="R74" s="181">
        <v>215396232515</v>
      </c>
      <c r="S74" s="182">
        <v>5372830.1100000003</v>
      </c>
    </row>
    <row r="75" spans="16:19" ht="18" thickBot="1">
      <c r="P75" s="215" t="s">
        <v>1386</v>
      </c>
      <c r="Q75" s="217"/>
      <c r="R75"/>
      <c r="S75"/>
    </row>
  </sheetData>
  <phoneticPr fontId="1" type="noConversion"/>
  <conditionalFormatting sqref="C29:C30">
    <cfRule type="cellIs" dxfId="12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50"/>
  <sheetViews>
    <sheetView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34787813.350000001</v>
      </c>
      <c r="G5" s="90"/>
      <c r="H5" s="90"/>
      <c r="I5" s="130">
        <f t="shared" ref="I5:I49" si="0">T5</f>
        <v>81661533.685446009</v>
      </c>
      <c r="J5" s="130"/>
      <c r="K5" s="86"/>
      <c r="L5" s="80"/>
      <c r="M5" s="80"/>
      <c r="N5" s="79"/>
      <c r="O5" s="79"/>
      <c r="P5" s="129" t="s">
        <v>0</v>
      </c>
      <c r="Q5" s="116">
        <f>'자동차부품 멕시코'!Q5+'자동차부품 미국'!Q5</f>
        <v>695756267</v>
      </c>
      <c r="R5" s="116">
        <f>'자동차부품 멕시코'!R5+'자동차부품 미국'!R5</f>
        <v>820877623841</v>
      </c>
      <c r="S5" s="116">
        <f>'자동차부품 멕시코'!S5+'자동차부품 미국'!S5</f>
        <v>8.52</v>
      </c>
      <c r="T5" s="130">
        <f t="shared" ref="T5:T33" si="1">Q5/S5</f>
        <v>81661533.685446009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33797598.833333336</v>
      </c>
      <c r="G6" s="90">
        <f t="shared" ref="G6:G34" si="2">F6/F5-1</f>
        <v>-2.846440811625961E-2</v>
      </c>
      <c r="H6" s="90"/>
      <c r="I6" s="130">
        <f t="shared" si="0"/>
        <v>80152408.300395265</v>
      </c>
      <c r="J6" s="130"/>
      <c r="K6" s="78"/>
      <c r="L6" s="87"/>
      <c r="M6" s="87"/>
      <c r="N6" s="79"/>
      <c r="O6" s="79"/>
      <c r="P6" s="129" t="s">
        <v>1</v>
      </c>
      <c r="Q6" s="116">
        <f>'자동차부품 멕시코'!Q6+'자동차부품 미국'!Q6</f>
        <v>608356779</v>
      </c>
      <c r="R6" s="116">
        <f>'자동차부품 멕시코'!R6+'자동차부품 미국'!R6</f>
        <v>722651591620</v>
      </c>
      <c r="S6" s="116">
        <f>'자동차부품 멕시코'!S6+'자동차부품 미국'!S6</f>
        <v>7.59</v>
      </c>
      <c r="T6" s="130">
        <f t="shared" si="1"/>
        <v>80152408.300395265</v>
      </c>
      <c r="U6" s="85"/>
    </row>
    <row r="7" spans="1:21" ht="15" hidden="1" customHeight="1">
      <c r="A7" s="129" t="s">
        <v>2</v>
      </c>
      <c r="B7" s="131">
        <f>F5+F6+F7</f>
        <v>103438514.68333334</v>
      </c>
      <c r="C7" s="131">
        <f>AVERAGE(F5:F7)</f>
        <v>34479504.894444443</v>
      </c>
      <c r="D7" s="117"/>
      <c r="E7" s="117"/>
      <c r="F7" s="78">
        <f>Q7/22</f>
        <v>34853102.5</v>
      </c>
      <c r="G7" s="90">
        <f t="shared" si="2"/>
        <v>3.123013773468597E-2</v>
      </c>
      <c r="H7" s="90"/>
      <c r="I7" s="130">
        <f t="shared" si="0"/>
        <v>81745016.524520248</v>
      </c>
      <c r="J7" s="130"/>
      <c r="K7" s="85">
        <f>R5+R6+R7</f>
        <v>2466732339229</v>
      </c>
      <c r="L7" s="87"/>
      <c r="M7" s="87"/>
      <c r="N7" s="88">
        <f>AVERAGE(T5:T7)</f>
        <v>81186319.503453836</v>
      </c>
      <c r="O7" s="79"/>
      <c r="P7" s="129" t="s">
        <v>2</v>
      </c>
      <c r="Q7" s="116">
        <f>'자동차부품 멕시코'!Q7+'자동차부품 미국'!Q7</f>
        <v>766768255</v>
      </c>
      <c r="R7" s="116">
        <f>'자동차부품 멕시코'!R7+'자동차부품 미국'!R7</f>
        <v>923203123768</v>
      </c>
      <c r="S7" s="116">
        <f>'자동차부품 멕시코'!S7+'자동차부품 미국'!S7</f>
        <v>9.3800000000000008</v>
      </c>
      <c r="T7" s="130">
        <f t="shared" si="1"/>
        <v>81745016.524520248</v>
      </c>
      <c r="U7" s="85">
        <f>Q5+Q6+Q7</f>
        <v>2070881301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34616485.714285716</v>
      </c>
      <c r="G8" s="90">
        <f t="shared" si="2"/>
        <v>-6.7889733981152389E-3</v>
      </c>
      <c r="H8" s="90"/>
      <c r="I8" s="130">
        <f t="shared" si="0"/>
        <v>81587676.767676771</v>
      </c>
      <c r="J8" s="130"/>
      <c r="K8" s="78"/>
      <c r="L8" s="87"/>
      <c r="M8" s="87"/>
      <c r="N8" s="79"/>
      <c r="O8" s="79"/>
      <c r="P8" s="129" t="s">
        <v>3</v>
      </c>
      <c r="Q8" s="116">
        <f>'자동차부품 멕시코'!Q8+'자동차부품 미국'!Q8</f>
        <v>726946200</v>
      </c>
      <c r="R8" s="116">
        <f>'자동차부품 멕시코'!R8+'자동차부품 미국'!R8</f>
        <v>881261470764</v>
      </c>
      <c r="S8" s="116">
        <f>'자동차부품 멕시코'!S8+'자동차부품 미국'!S8</f>
        <v>8.91</v>
      </c>
      <c r="T8" s="130">
        <f t="shared" si="1"/>
        <v>81587676.767676771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33602179.619047619</v>
      </c>
      <c r="G9" s="90">
        <f t="shared" si="2"/>
        <v>-2.9301244026036621E-2</v>
      </c>
      <c r="H9" s="90"/>
      <c r="I9" s="130">
        <f t="shared" si="0"/>
        <v>81577545.89595376</v>
      </c>
      <c r="J9" s="130"/>
      <c r="K9" s="78"/>
      <c r="L9" s="87"/>
      <c r="M9" s="87"/>
      <c r="N9" s="79"/>
      <c r="O9" s="79"/>
      <c r="P9" s="129" t="s">
        <v>4</v>
      </c>
      <c r="Q9" s="116">
        <f>'자동차부품 멕시코'!Q9+'자동차부품 미국'!Q9</f>
        <v>705645772</v>
      </c>
      <c r="R9" s="116">
        <f>'자동차부품 멕시코'!R9+'자동차부품 미국'!R9</f>
        <v>886879419106</v>
      </c>
      <c r="S9" s="116">
        <f>'자동차부품 멕시코'!S9+'자동차부품 미국'!S9</f>
        <v>8.65</v>
      </c>
      <c r="T9" s="130">
        <f t="shared" si="1"/>
        <v>81577545.89595376</v>
      </c>
      <c r="U9" s="85"/>
    </row>
    <row r="10" spans="1:21" ht="15" hidden="1" customHeight="1">
      <c r="A10" s="129" t="s">
        <v>5</v>
      </c>
      <c r="B10" s="131">
        <f>F8+F9+F10</f>
        <v>103386744</v>
      </c>
      <c r="C10" s="131">
        <f>AVERAGE(F8:F10)</f>
        <v>34462248</v>
      </c>
      <c r="D10" s="90">
        <f>C10/C7-1</f>
        <v>-5.0049716483091533E-4</v>
      </c>
      <c r="E10" s="90"/>
      <c r="F10" s="78">
        <f>Q10/21</f>
        <v>35168078.666666664</v>
      </c>
      <c r="G10" s="90">
        <f t="shared" si="2"/>
        <v>4.6601115325608289E-2</v>
      </c>
      <c r="H10" s="90"/>
      <c r="I10" s="130">
        <f t="shared" si="0"/>
        <v>85875540.930232555</v>
      </c>
      <c r="J10" s="130"/>
      <c r="K10" s="85">
        <f>R8+R9+R10</f>
        <v>2697376439576</v>
      </c>
      <c r="L10" s="87">
        <f>U10/U7-1</f>
        <v>4.8404668559031139E-2</v>
      </c>
      <c r="M10" s="87"/>
      <c r="N10" s="88">
        <f>AVERAGE(T8:T10)</f>
        <v>83013587.864621028</v>
      </c>
      <c r="O10" s="89">
        <f>N10/N7-1</f>
        <v>2.2507096914147651E-2</v>
      </c>
      <c r="P10" s="129" t="s">
        <v>5</v>
      </c>
      <c r="Q10" s="116">
        <f>'자동차부품 멕시코'!Q10+'자동차부품 미국'!Q10</f>
        <v>738529652</v>
      </c>
      <c r="R10" s="116">
        <f>'자동차부품 멕시코'!R10+'자동차부품 미국'!R10</f>
        <v>929235549706</v>
      </c>
      <c r="S10" s="116">
        <f>'자동차부품 멕시코'!S10+'자동차부품 미국'!S10</f>
        <v>8.6</v>
      </c>
      <c r="T10" s="130">
        <f t="shared" si="1"/>
        <v>85875540.930232555</v>
      </c>
      <c r="U10" s="85">
        <f>Q8+Q9+Q10</f>
        <v>2171121624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35721739.190476194</v>
      </c>
      <c r="G11" s="90">
        <f t="shared" si="2"/>
        <v>1.5743269032615803E-2</v>
      </c>
      <c r="H11" s="90"/>
      <c r="I11" s="130">
        <f t="shared" si="0"/>
        <v>85928582.245131731</v>
      </c>
      <c r="J11" s="130"/>
      <c r="K11" s="78"/>
      <c r="L11" s="87"/>
      <c r="M11" s="87"/>
      <c r="N11" s="79"/>
      <c r="O11" s="89"/>
      <c r="P11" s="129" t="s">
        <v>6</v>
      </c>
      <c r="Q11" s="116">
        <f>'자동차부품 멕시코'!Q11+'자동차부품 미국'!Q11</f>
        <v>750156523</v>
      </c>
      <c r="R11" s="116">
        <f>'자동차부품 멕시코'!R11+'자동차부품 미국'!R11</f>
        <v>968536324680</v>
      </c>
      <c r="S11" s="116">
        <f>'자동차부품 멕시코'!S11+'자동차부품 미국'!S11</f>
        <v>8.73</v>
      </c>
      <c r="T11" s="130">
        <f t="shared" si="1"/>
        <v>85928582.245131731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29828985.818181816</v>
      </c>
      <c r="G12" s="90">
        <f t="shared" si="2"/>
        <v>-0.16496266715550767</v>
      </c>
      <c r="H12" s="90"/>
      <c r="I12" s="130">
        <f t="shared" si="0"/>
        <v>82132376.470588237</v>
      </c>
      <c r="J12" s="130"/>
      <c r="K12" s="78"/>
      <c r="L12" s="87"/>
      <c r="M12" s="87"/>
      <c r="N12" s="79"/>
      <c r="O12" s="89"/>
      <c r="P12" s="129" t="s">
        <v>7</v>
      </c>
      <c r="Q12" s="116">
        <f>'자동차부품 멕시코'!Q12+'자동차부품 미국'!Q12</f>
        <v>656237688</v>
      </c>
      <c r="R12" s="116">
        <f>'자동차부품 멕시코'!R12+'자동차부품 미국'!R12</f>
        <v>852299275858</v>
      </c>
      <c r="S12" s="116">
        <f>'자동차부품 멕시코'!S12+'자동차부품 미국'!S12</f>
        <v>7.99</v>
      </c>
      <c r="T12" s="130">
        <f t="shared" si="1"/>
        <v>82132376.470588237</v>
      </c>
      <c r="U12" s="85"/>
    </row>
    <row r="13" spans="1:21" ht="15" hidden="1" customHeight="1">
      <c r="A13" s="129" t="s">
        <v>96</v>
      </c>
      <c r="B13" s="131">
        <f>F11+F12+F13</f>
        <v>102711090.158658</v>
      </c>
      <c r="C13" s="131">
        <f>AVERAGE(F11:F13)</f>
        <v>34237030.052886002</v>
      </c>
      <c r="D13" s="90">
        <f>C13/C10-1</f>
        <v>-6.5352076601038478E-3</v>
      </c>
      <c r="E13" s="90"/>
      <c r="F13" s="78">
        <f>Q13/20</f>
        <v>37160365.149999999</v>
      </c>
      <c r="G13" s="90">
        <f t="shared" si="2"/>
        <v>0.24578037538740083</v>
      </c>
      <c r="H13" s="90"/>
      <c r="I13" s="130">
        <f t="shared" si="0"/>
        <v>84551456.541524455</v>
      </c>
      <c r="J13" s="130"/>
      <c r="K13" s="78">
        <f>R11+R12+R13</f>
        <v>2836871611066</v>
      </c>
      <c r="L13" s="87">
        <f>U13/U10-1</f>
        <v>-9.9119781048249145E-3</v>
      </c>
      <c r="M13" s="87"/>
      <c r="N13" s="88">
        <f>AVERAGE(T11:T13)</f>
        <v>84204138.419081464</v>
      </c>
      <c r="O13" s="89">
        <f>N13/N10-1</f>
        <v>1.4341634726136476E-2</v>
      </c>
      <c r="P13" s="129" t="s">
        <v>96</v>
      </c>
      <c r="Q13" s="116">
        <f>'자동차부품 멕시코'!Q13+'자동차부품 미국'!Q13</f>
        <v>743207303</v>
      </c>
      <c r="R13" s="116">
        <f>'자동차부품 멕시코'!R13+'자동차부품 미국'!R13</f>
        <v>1016036010528</v>
      </c>
      <c r="S13" s="116">
        <f>'자동차부품 멕시코'!S13+'자동차부품 미국'!S13</f>
        <v>8.7900000000000009</v>
      </c>
      <c r="T13" s="130">
        <f t="shared" si="1"/>
        <v>84551456.541524455</v>
      </c>
      <c r="U13" s="85">
        <f>Q11+Q12+Q13</f>
        <v>2149601514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33098063.550000001</v>
      </c>
      <c r="G14" s="90">
        <f t="shared" si="2"/>
        <v>-0.10931812923802764</v>
      </c>
      <c r="H14" s="90"/>
      <c r="I14" s="130">
        <f t="shared" si="0"/>
        <v>82129189.950372204</v>
      </c>
      <c r="J14" s="130"/>
      <c r="K14" s="78"/>
      <c r="L14" s="87"/>
      <c r="M14" s="87"/>
      <c r="N14" s="79"/>
      <c r="O14" s="89"/>
      <c r="P14" s="129" t="s">
        <v>97</v>
      </c>
      <c r="Q14" s="116">
        <f>'자동차부품 멕시코'!Q14+'자동차부품 미국'!Q14</f>
        <v>661961271</v>
      </c>
      <c r="R14" s="116">
        <f>'자동차부품 멕시코'!R14+'자동차부품 미국'!R14</f>
        <v>943940292191</v>
      </c>
      <c r="S14" s="116">
        <f>'자동차부품 멕시코'!S14+'자동차부품 미국'!S14</f>
        <v>8.06</v>
      </c>
      <c r="T14" s="130">
        <f t="shared" si="1"/>
        <v>82129189.950372204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28501469.181818184</v>
      </c>
      <c r="G15" s="90">
        <f t="shared" si="2"/>
        <v>-0.13887804527409631</v>
      </c>
      <c r="H15" s="90"/>
      <c r="I15" s="130">
        <f t="shared" si="0"/>
        <v>81011927.906976745</v>
      </c>
      <c r="J15" s="130"/>
      <c r="K15" s="78"/>
      <c r="L15" s="87"/>
      <c r="M15" s="87"/>
      <c r="N15" s="79"/>
      <c r="O15" s="89"/>
      <c r="P15" s="129" t="s">
        <v>98</v>
      </c>
      <c r="Q15" s="116">
        <f>'자동차부품 멕시코'!Q15+'자동차부품 미국'!Q15</f>
        <v>627032322</v>
      </c>
      <c r="R15" s="116">
        <f>'자동차부품 멕시코'!R15+'자동차부품 미국'!R15</f>
        <v>869426936030</v>
      </c>
      <c r="S15" s="116">
        <f>'자동차부품 멕시코'!S15+'자동차부품 미국'!S15</f>
        <v>7.74</v>
      </c>
      <c r="T15" s="130">
        <f t="shared" si="1"/>
        <v>81011927.906976745</v>
      </c>
      <c r="U15" s="78"/>
    </row>
    <row r="16" spans="1:21" ht="15" hidden="1" customHeight="1">
      <c r="A16" s="129" t="s">
        <v>99</v>
      </c>
      <c r="B16" s="131">
        <f>F14+F15+F16</f>
        <v>93815267.549999997</v>
      </c>
      <c r="C16" s="131">
        <f>AVERAGE(F14:F16)</f>
        <v>31271755.849999998</v>
      </c>
      <c r="D16" s="90">
        <f>C16/C13-1</f>
        <v>-8.6610146917111108E-2</v>
      </c>
      <c r="E16" s="90"/>
      <c r="F16" s="78">
        <f>Q16/22</f>
        <v>32215734.818181816</v>
      </c>
      <c r="G16" s="90">
        <f t="shared" si="2"/>
        <v>0.13031839210355711</v>
      </c>
      <c r="H16" s="90"/>
      <c r="I16" s="130">
        <f t="shared" si="0"/>
        <v>83283920.799059927</v>
      </c>
      <c r="J16" s="130"/>
      <c r="K16" s="78">
        <f>R14+R15+R16</f>
        <v>2741342213999</v>
      </c>
      <c r="L16" s="87">
        <f>U16/U13-1</f>
        <v>-7.064646819931486E-2</v>
      </c>
      <c r="M16" s="87"/>
      <c r="N16" s="88">
        <f>AVERAGE(T14:T16)</f>
        <v>82141679.552136287</v>
      </c>
      <c r="O16" s="89">
        <f>N16/N13-1</f>
        <v>-2.4493557034933167E-2</v>
      </c>
      <c r="P16" s="129" t="s">
        <v>99</v>
      </c>
      <c r="Q16" s="116">
        <f>'자동차부품 멕시코'!Q16+'자동차부품 미국'!Q16</f>
        <v>708746166</v>
      </c>
      <c r="R16" s="116">
        <f>'자동차부품 멕시코'!R16+'자동차부품 미국'!R16</f>
        <v>927974985778</v>
      </c>
      <c r="S16" s="116">
        <f>'자동차부품 멕시코'!S16+'자동차부품 미국'!S16</f>
        <v>8.51</v>
      </c>
      <c r="T16" s="130">
        <f t="shared" si="1"/>
        <v>83283920.799059927</v>
      </c>
      <c r="U16" s="85">
        <f>Q14+Q15+Q16</f>
        <v>1997739759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31937991.350000001</v>
      </c>
      <c r="G17" s="90">
        <f t="shared" si="2"/>
        <v>-8.6213606409828447E-3</v>
      </c>
      <c r="H17" s="90">
        <f t="shared" ref="H17:H34" si="3">F17/F5-1</f>
        <v>-8.1920124479453627E-2</v>
      </c>
      <c r="I17" s="130">
        <f t="shared" si="0"/>
        <v>79944909.51188986</v>
      </c>
      <c r="J17" s="130">
        <f t="shared" ref="J17:J49" si="4">I17/I5-1</f>
        <v>-2.1021209081970693E-2</v>
      </c>
      <c r="K17" s="78"/>
      <c r="L17" s="87"/>
      <c r="M17" s="87"/>
      <c r="N17" s="79"/>
      <c r="O17" s="89"/>
      <c r="P17" s="129" t="s">
        <v>100</v>
      </c>
      <c r="Q17" s="116">
        <f>'자동차부품 멕시코'!Q17+'자동차부품 미국'!Q17</f>
        <v>638759827</v>
      </c>
      <c r="R17" s="116">
        <f>'자동차부품 멕시코'!R17+'자동차부품 미국'!R17</f>
        <v>802672616511</v>
      </c>
      <c r="S17" s="116">
        <f>'자동차부품 멕시코'!S17+'자동차부품 미국'!S17</f>
        <v>7.99</v>
      </c>
      <c r="T17" s="130">
        <f t="shared" si="1"/>
        <v>79944909.51188986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35766863.600000001</v>
      </c>
      <c r="G18" s="90">
        <f t="shared" si="2"/>
        <v>0.11988456656651958</v>
      </c>
      <c r="H18" s="90">
        <f t="shared" si="3"/>
        <v>5.8266410474239194E-2</v>
      </c>
      <c r="I18" s="130">
        <f t="shared" si="0"/>
        <v>84256451.354534745</v>
      </c>
      <c r="J18" s="130">
        <f t="shared" si="4"/>
        <v>5.1202991166009015E-2</v>
      </c>
      <c r="K18" s="78"/>
      <c r="L18" s="87"/>
      <c r="M18" s="87"/>
      <c r="N18" s="79"/>
      <c r="O18" s="89"/>
      <c r="P18" s="129" t="s">
        <v>106</v>
      </c>
      <c r="Q18" s="116">
        <f>'자동차부품 멕시코'!Q18+'자동차부품 미국'!Q18</f>
        <v>715337272</v>
      </c>
      <c r="R18" s="116">
        <f>'자동차부품 멕시코'!R18+'자동차부품 미국'!R18</f>
        <v>898367661792</v>
      </c>
      <c r="S18" s="116">
        <f>'자동차부품 멕시코'!S18+'자동차부품 미국'!S18</f>
        <v>8.49</v>
      </c>
      <c r="T18" s="130">
        <f t="shared" si="1"/>
        <v>84256451.354534745</v>
      </c>
      <c r="U18" s="78"/>
    </row>
    <row r="19" spans="1:21" hidden="1">
      <c r="A19" s="129" t="s">
        <v>114</v>
      </c>
      <c r="B19" s="131">
        <f>SUM(F17:F19)</f>
        <v>100195148.63181819</v>
      </c>
      <c r="C19" s="131">
        <f>AVERAGE(F17:F19)</f>
        <v>33398382.877272729</v>
      </c>
      <c r="D19" s="90">
        <f>C19/C16-1</f>
        <v>6.8004720856527534E-2</v>
      </c>
      <c r="E19" s="90">
        <f>C19/C7-1</f>
        <v>-3.1355497141895228E-2</v>
      </c>
      <c r="F19" s="78">
        <f>Q19/22</f>
        <v>32490293.681818184</v>
      </c>
      <c r="G19" s="90">
        <f t="shared" si="2"/>
        <v>-9.160909256191585E-2</v>
      </c>
      <c r="H19" s="90">
        <f t="shared" si="3"/>
        <v>-6.7793356938075089E-2</v>
      </c>
      <c r="I19" s="130">
        <f t="shared" si="0"/>
        <v>81596627.968036532</v>
      </c>
      <c r="J19" s="130">
        <f t="shared" si="4"/>
        <v>-1.815261196249307E-3</v>
      </c>
      <c r="K19" s="78">
        <f>R17+R18+R19</f>
        <v>2635706667288</v>
      </c>
      <c r="L19" s="87">
        <f>U19/U16-1</f>
        <v>3.5612146516827758E-2</v>
      </c>
      <c r="M19" s="87">
        <f>U19/U7-1</f>
        <v>-9.6468155805706779E-4</v>
      </c>
      <c r="N19" s="88">
        <f>AVERAGE(T17:T19)</f>
        <v>81932662.944820389</v>
      </c>
      <c r="O19" s="89">
        <f>N19/N16-1</f>
        <v>-2.5445864810109686E-3</v>
      </c>
      <c r="P19" s="129" t="s">
        <v>115</v>
      </c>
      <c r="Q19" s="116">
        <f>'자동차부품 멕시코'!Q19+'자동차부품 미국'!Q19</f>
        <v>714786461</v>
      </c>
      <c r="R19" s="116">
        <f>'자동차부품 멕시코'!R19+'자동차부품 미국'!R19</f>
        <v>934666388985</v>
      </c>
      <c r="S19" s="116">
        <f>'자동차부품 멕시코'!S19+'자동차부품 미국'!S19</f>
        <v>8.76</v>
      </c>
      <c r="T19" s="130">
        <f t="shared" si="1"/>
        <v>81596627.968036532</v>
      </c>
      <c r="U19" s="85">
        <f>Q17+Q18+Q19</f>
        <v>2068883560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34308387</v>
      </c>
      <c r="G20" s="90">
        <f t="shared" si="2"/>
        <v>5.5958045069910645E-2</v>
      </c>
      <c r="H20" s="90">
        <f t="shared" si="3"/>
        <v>-8.9003464080286143E-3</v>
      </c>
      <c r="I20" s="130">
        <f t="shared" si="0"/>
        <v>83272783.98058252</v>
      </c>
      <c r="J20" s="130">
        <f t="shared" si="4"/>
        <v>2.0653942846101003E-2</v>
      </c>
      <c r="K20" s="78"/>
      <c r="L20" s="87"/>
      <c r="M20" s="87"/>
      <c r="N20" s="79"/>
      <c r="O20" s="89"/>
      <c r="P20" s="129" t="s">
        <v>132</v>
      </c>
      <c r="Q20" s="116">
        <f>'자동차부품 멕시코'!Q20+'자동차부품 미국'!Q20</f>
        <v>686167740</v>
      </c>
      <c r="R20" s="116">
        <f>'자동차부품 멕시코'!R20+'자동차부품 미국'!R20</f>
        <v>899557153428</v>
      </c>
      <c r="S20" s="116">
        <f>'자동차부품 멕시코'!S20+'자동차부품 미국'!S20</f>
        <v>8.24</v>
      </c>
      <c r="T20" s="130">
        <f t="shared" si="1"/>
        <v>83272783.98058252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34398228.666666664</v>
      </c>
      <c r="G21" s="90">
        <f t="shared" si="2"/>
        <v>2.6186502637581821E-3</v>
      </c>
      <c r="H21" s="90">
        <f t="shared" si="3"/>
        <v>2.36903991539823E-2</v>
      </c>
      <c r="I21" s="130">
        <f t="shared" si="0"/>
        <v>83703685.052143678</v>
      </c>
      <c r="J21" s="130">
        <f t="shared" si="4"/>
        <v>2.6062798688522237E-2</v>
      </c>
      <c r="K21" s="78"/>
      <c r="L21" s="87"/>
      <c r="M21" s="87"/>
      <c r="N21" s="79"/>
      <c r="O21" s="89"/>
      <c r="P21" s="129" t="s">
        <v>141</v>
      </c>
      <c r="Q21" s="116">
        <f>'자동차부품 멕시코'!Q21+'자동차부품 미국'!Q21</f>
        <v>722362802</v>
      </c>
      <c r="R21" s="116">
        <f>'자동차부품 멕시코'!R21+'자동차부품 미국'!R21</f>
        <v>961736785563</v>
      </c>
      <c r="S21" s="116">
        <f>'자동차부품 멕시코'!S21+'자동차부품 미국'!S21</f>
        <v>8.6300000000000008</v>
      </c>
      <c r="T21" s="130">
        <f t="shared" si="1"/>
        <v>83703685.052143678</v>
      </c>
      <c r="U21" s="78"/>
    </row>
    <row r="22" spans="1:21" hidden="1">
      <c r="A22" s="129" t="s">
        <v>155</v>
      </c>
      <c r="B22" s="131">
        <f>SUM(F20:F22)</f>
        <v>103418704.95238094</v>
      </c>
      <c r="C22" s="131">
        <f>AVERAGE(F20:F22)</f>
        <v>34472901.650793649</v>
      </c>
      <c r="D22" s="90">
        <f>C22/C19-1</f>
        <v>3.2172778468628094E-2</v>
      </c>
      <c r="E22" s="90">
        <f>C22/C10-1</f>
        <v>3.0913975181334763E-4</v>
      </c>
      <c r="F22" s="78">
        <f>Q22/21</f>
        <v>34712089.285714284</v>
      </c>
      <c r="G22" s="90">
        <f t="shared" si="2"/>
        <v>9.1243250368808759E-3</v>
      </c>
      <c r="H22" s="90">
        <f t="shared" si="3"/>
        <v>-1.2966002074619509E-2</v>
      </c>
      <c r="I22" s="130">
        <f t="shared" si="0"/>
        <v>83404333.524027452</v>
      </c>
      <c r="J22" s="130">
        <f t="shared" si="4"/>
        <v>-2.8776615313698906E-2</v>
      </c>
      <c r="K22" s="78">
        <f>R20+R21+R22</f>
        <v>2808865512839</v>
      </c>
      <c r="L22" s="87">
        <f>U22/U19-1</f>
        <v>3.3158394375756961E-2</v>
      </c>
      <c r="M22" s="87">
        <f>U22/U10-1</f>
        <v>-1.5493009064148078E-2</v>
      </c>
      <c r="N22" s="88">
        <f>AVERAGE(T20:T22)</f>
        <v>83460267.518917874</v>
      </c>
      <c r="O22" s="89">
        <f>N22/N19-1</f>
        <v>1.864463474263367E-2</v>
      </c>
      <c r="P22" s="129" t="s">
        <v>155</v>
      </c>
      <c r="Q22" s="116">
        <f>'자동차부품 멕시코'!Q22+'자동차부품 미국'!Q22</f>
        <v>728953875</v>
      </c>
      <c r="R22" s="116">
        <f>'자동차부품 멕시코'!R22+'자동차부품 미국'!R22</f>
        <v>947571573848</v>
      </c>
      <c r="S22" s="116">
        <f>'자동차부품 멕시코'!S22+'자동차부품 미국'!S22</f>
        <v>8.74</v>
      </c>
      <c r="T22" s="130">
        <f t="shared" si="1"/>
        <v>83404333.524027452</v>
      </c>
      <c r="U22" s="85">
        <f>Q20+Q21+Q22</f>
        <v>2137484417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34657303.809523806</v>
      </c>
      <c r="G23" s="90">
        <f t="shared" si="2"/>
        <v>-1.5782823021552872E-3</v>
      </c>
      <c r="H23" s="90">
        <f t="shared" si="3"/>
        <v>-2.9797971909390597E-2</v>
      </c>
      <c r="I23" s="130">
        <f t="shared" si="0"/>
        <v>83945026.528258368</v>
      </c>
      <c r="J23" s="130">
        <f t="shared" si="4"/>
        <v>-2.3083771022950228E-2</v>
      </c>
      <c r="K23" s="78"/>
      <c r="L23" s="87"/>
      <c r="M23" s="87"/>
      <c r="N23" s="79"/>
      <c r="O23" s="89"/>
      <c r="P23" s="129" t="s">
        <v>189</v>
      </c>
      <c r="Q23" s="116">
        <f>'자동차부품 멕시코'!Q23+'자동차부품 미국'!Q23</f>
        <v>727803380</v>
      </c>
      <c r="R23" s="116">
        <f>'자동차부품 멕시코'!R23+'자동차부품 미국'!R23</f>
        <v>939816913294</v>
      </c>
      <c r="S23" s="116">
        <f>'자동차부품 멕시코'!S23+'자동차부품 미국'!S23</f>
        <v>8.67</v>
      </c>
      <c r="T23" s="130">
        <f t="shared" si="1"/>
        <v>83945026.528258368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33266387.636363637</v>
      </c>
      <c r="G24" s="90">
        <f t="shared" si="2"/>
        <v>-4.0133421249518686E-2</v>
      </c>
      <c r="H24" s="90">
        <f t="shared" si="3"/>
        <v>0.1152369657867014</v>
      </c>
      <c r="I24" s="130">
        <f t="shared" si="0"/>
        <v>81863593.736017898</v>
      </c>
      <c r="J24" s="130">
        <f t="shared" si="4"/>
        <v>-3.2725551861584323E-3</v>
      </c>
      <c r="K24" s="78"/>
      <c r="L24" s="87"/>
      <c r="M24" s="87"/>
      <c r="N24" s="79"/>
      <c r="O24" s="89"/>
      <c r="P24" s="129" t="s">
        <v>204</v>
      </c>
      <c r="Q24" s="116">
        <f>'자동차부품 멕시코'!Q24+'자동차부품 미국'!Q24</f>
        <v>731860528</v>
      </c>
      <c r="R24" s="116">
        <f>'자동차부품 멕시코'!R24+'자동차부품 미국'!R24</f>
        <v>962607479140</v>
      </c>
      <c r="S24" s="116">
        <f>'자동차부품 멕시코'!S24+'자동차부품 미국'!S24</f>
        <v>8.94</v>
      </c>
      <c r="T24" s="130">
        <f t="shared" si="1"/>
        <v>81863593.736017898</v>
      </c>
      <c r="U24" s="78"/>
    </row>
    <row r="25" spans="1:21" s="92" customFormat="1" ht="13.2" hidden="1">
      <c r="A25" s="129" t="s">
        <v>217</v>
      </c>
      <c r="B25" s="131">
        <f>SUM(F23:F25)</f>
        <v>105225344.28799272</v>
      </c>
      <c r="C25" s="131">
        <f>AVERAGE(F23:F25)</f>
        <v>35075114.762664236</v>
      </c>
      <c r="D25" s="90">
        <f>C25/C22-1</f>
        <v>1.7469173844747221E-2</v>
      </c>
      <c r="E25" s="90">
        <f>C25/C13-1</f>
        <v>2.4478896343626877E-2</v>
      </c>
      <c r="F25" s="78">
        <f>Q25/19</f>
        <v>37301652.842105262</v>
      </c>
      <c r="G25" s="90">
        <f t="shared" si="2"/>
        <v>0.12130157472615566</v>
      </c>
      <c r="H25" s="90">
        <f t="shared" si="3"/>
        <v>3.8021072057539129E-3</v>
      </c>
      <c r="I25" s="130">
        <f t="shared" si="0"/>
        <v>84172375.771971494</v>
      </c>
      <c r="J25" s="130">
        <f t="shared" si="4"/>
        <v>-4.4834327527732976E-3</v>
      </c>
      <c r="K25" s="78">
        <f>R23+R24+R25</f>
        <v>2842946430801</v>
      </c>
      <c r="L25" s="90">
        <f>U25/U22-1</f>
        <v>1.4461342854318548E-2</v>
      </c>
      <c r="M25" s="90">
        <f>U25/U13-1</f>
        <v>8.7429218288128663E-3</v>
      </c>
      <c r="N25" s="88">
        <f>AVERAGE(T23:T25)</f>
        <v>83326998.678749248</v>
      </c>
      <c r="O25" s="91">
        <f>N25/N22-1</f>
        <v>-1.5967938293321993E-3</v>
      </c>
      <c r="P25" s="129" t="s">
        <v>217</v>
      </c>
      <c r="Q25" s="116">
        <f>'자동차부품 멕시코'!Q25+'자동차부품 미국'!Q25</f>
        <v>708731404</v>
      </c>
      <c r="R25" s="116">
        <f>'자동차부품 멕시코'!R25+'자동차부품 미국'!R25</f>
        <v>940522038367</v>
      </c>
      <c r="S25" s="116">
        <f>'자동차부품 멕시코'!S25+'자동차부품 미국'!S25</f>
        <v>8.42</v>
      </c>
      <c r="T25" s="130">
        <f t="shared" si="1"/>
        <v>84172375.771971494</v>
      </c>
      <c r="U25" s="85">
        <f>Q23+Q24+Q25</f>
        <v>2168395312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34115992.894736841</v>
      </c>
      <c r="G26" s="90">
        <f t="shared" si="2"/>
        <v>-8.5402648532842518E-2</v>
      </c>
      <c r="H26" s="90">
        <f t="shared" si="3"/>
        <v>3.075495166655573E-2</v>
      </c>
      <c r="I26" s="130">
        <f t="shared" si="0"/>
        <v>82363896.442185506</v>
      </c>
      <c r="J26" s="130">
        <f t="shared" si="4"/>
        <v>2.8577719073465957E-3</v>
      </c>
      <c r="K26" s="78"/>
      <c r="L26" s="90"/>
      <c r="M26" s="90"/>
      <c r="N26" s="79"/>
      <c r="O26" s="79"/>
      <c r="P26" s="129" t="s">
        <v>312</v>
      </c>
      <c r="Q26" s="116">
        <f>'자동차부품 멕시코'!Q26+'자동차부품 미국'!Q26</f>
        <v>648203865</v>
      </c>
      <c r="R26" s="116">
        <f>'자동차부품 멕시코'!R26+'자동차부품 미국'!R26</f>
        <v>873922716376</v>
      </c>
      <c r="S26" s="116">
        <f>'자동차부품 멕시코'!S26+'자동차부품 미국'!S26</f>
        <v>7.87</v>
      </c>
      <c r="T26" s="130">
        <f t="shared" si="1"/>
        <v>82363896.442185506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31401620.954545453</v>
      </c>
      <c r="G27" s="90">
        <f t="shared" si="2"/>
        <v>-7.9563035101057888E-2</v>
      </c>
      <c r="H27" s="90">
        <f t="shared" si="3"/>
        <v>0.10175446585670578</v>
      </c>
      <c r="I27" s="130">
        <f t="shared" si="0"/>
        <v>83941149.574726611</v>
      </c>
      <c r="J27" s="130">
        <f t="shared" si="4"/>
        <v>3.6157905921130551E-2</v>
      </c>
      <c r="K27" s="78"/>
      <c r="L27" s="90"/>
      <c r="M27" s="90"/>
      <c r="N27" s="79"/>
      <c r="O27" s="79"/>
      <c r="P27" s="129" t="s">
        <v>373</v>
      </c>
      <c r="Q27" s="116">
        <f>'자동차부품 멕시코'!Q27+'자동차부품 미국'!Q27</f>
        <v>690835661</v>
      </c>
      <c r="R27" s="116">
        <f>'자동차부품 멕시코'!R27+'자동차부품 미국'!R27</f>
        <v>912725276564</v>
      </c>
      <c r="S27" s="116">
        <f>'자동차부품 멕시코'!S27+'자동차부품 미국'!S27</f>
        <v>8.23</v>
      </c>
      <c r="T27" s="130">
        <f t="shared" si="1"/>
        <v>83941149.574726611</v>
      </c>
      <c r="U27" s="78"/>
    </row>
    <row r="28" spans="1:21" s="92" customFormat="1" ht="13.2" hidden="1">
      <c r="A28" s="123" t="s">
        <v>413</v>
      </c>
      <c r="B28" s="131">
        <f>SUM(F26:F28)</f>
        <v>101897394.42822966</v>
      </c>
      <c r="C28" s="131">
        <f>AVERAGE(F26:F28)</f>
        <v>33965798.142743222</v>
      </c>
      <c r="D28" s="90">
        <f>C28/C25-1</f>
        <v>-3.1626884970361591E-2</v>
      </c>
      <c r="E28" s="90">
        <f>C28/C16-1</f>
        <v>8.6149377274036931E-2</v>
      </c>
      <c r="F28" s="78">
        <f>Q28/19</f>
        <v>36379780.578947365</v>
      </c>
      <c r="G28" s="90">
        <f t="shared" si="2"/>
        <v>0.15853193157155521</v>
      </c>
      <c r="H28" s="90">
        <f t="shared" si="3"/>
        <v>0.12925502970105951</v>
      </c>
      <c r="I28" s="130">
        <f t="shared" si="0"/>
        <v>83581116.203143895</v>
      </c>
      <c r="J28" s="130">
        <f t="shared" si="4"/>
        <v>3.5684607692882953E-3</v>
      </c>
      <c r="K28" s="78">
        <f>R26+R27+R28</f>
        <v>2688009373401</v>
      </c>
      <c r="L28" s="90">
        <f>U28/U25-1</f>
        <v>-6.370607528780714E-2</v>
      </c>
      <c r="M28" s="90">
        <f>U28/U16-1</f>
        <v>1.6276193059438393E-2</v>
      </c>
      <c r="N28" s="88">
        <f>AVERAGE(T26:T28)</f>
        <v>83295387.406685337</v>
      </c>
      <c r="O28" s="91">
        <f>N28/N25-1</f>
        <v>-3.793641024535388E-4</v>
      </c>
      <c r="P28" s="129" t="s">
        <v>413</v>
      </c>
      <c r="Q28" s="116">
        <f>'자동차부품 멕시코'!Q28+'자동차부품 미국'!Q28</f>
        <v>691215831</v>
      </c>
      <c r="R28" s="116">
        <f>'자동차부품 멕시코'!R28+'자동차부품 미국'!R28</f>
        <v>901361380461</v>
      </c>
      <c r="S28" s="116">
        <f>'자동차부품 멕시코'!S28+'자동차부품 미국'!S28</f>
        <v>8.27</v>
      </c>
      <c r="T28" s="130">
        <f t="shared" si="1"/>
        <v>83581116.203143895</v>
      </c>
      <c r="U28" s="85">
        <f>Q26+Q27+Q28</f>
        <v>2030255357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32417805.318181816</v>
      </c>
      <c r="G29" s="190">
        <f t="shared" si="2"/>
        <v>-0.10890596913215866</v>
      </c>
      <c r="H29" s="190">
        <f t="shared" si="3"/>
        <v>1.5023298206942926E-2</v>
      </c>
      <c r="I29" s="130">
        <f t="shared" si="0"/>
        <v>8.2592301108519521</v>
      </c>
      <c r="J29" s="130">
        <f t="shared" si="4"/>
        <v>-0.99999989668848011</v>
      </c>
      <c r="K29" s="136"/>
      <c r="L29" s="190"/>
      <c r="M29" s="190"/>
      <c r="N29" s="191"/>
      <c r="O29" s="192"/>
      <c r="P29" s="129" t="s">
        <v>426</v>
      </c>
      <c r="Q29" s="116">
        <f>'자동차부품 멕시코'!Q29+'자동차부품 미국'!Q29</f>
        <v>713191717</v>
      </c>
      <c r="R29" s="116">
        <f>'자동차부품 멕시코'!R29+'자동차부품 미국'!R29</f>
        <v>938801083946</v>
      </c>
      <c r="S29" s="116">
        <f>'자동차부품 멕시코'!S29+'자동차부품 미국'!S29</f>
        <v>86350871.379999995</v>
      </c>
      <c r="T29" s="130">
        <f t="shared" si="1"/>
        <v>8.2592301108519521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39097331.736842103</v>
      </c>
      <c r="G30" s="190">
        <f t="shared" si="2"/>
        <v>0.20604499142062571</v>
      </c>
      <c r="H30" s="190">
        <f t="shared" si="3"/>
        <v>9.3116024208566683E-2</v>
      </c>
      <c r="I30" s="130">
        <f t="shared" si="0"/>
        <v>8.5484965229110532</v>
      </c>
      <c r="J30" s="130">
        <f t="shared" si="4"/>
        <v>-0.99999989854193494</v>
      </c>
      <c r="K30" s="136"/>
      <c r="L30" s="190"/>
      <c r="M30" s="190"/>
      <c r="N30" s="191"/>
      <c r="O30" s="192"/>
      <c r="P30" s="129" t="s">
        <v>466</v>
      </c>
      <c r="Q30" s="116">
        <f>'자동차부품 멕시코'!Q30+'자동차부품 미국'!Q30</f>
        <v>742849303</v>
      </c>
      <c r="R30" s="116">
        <f>'자동차부품 멕시코'!R30+'자동차부품 미국'!R30</f>
        <v>990038298920</v>
      </c>
      <c r="S30" s="116">
        <f>'자동차부품 멕시코'!S30+'자동차부품 미국'!S30</f>
        <v>86898240.060000002</v>
      </c>
      <c r="T30" s="130">
        <f t="shared" si="1"/>
        <v>8.5484965229110532</v>
      </c>
      <c r="U30" s="85"/>
    </row>
    <row r="31" spans="1:21" s="92" customFormat="1" ht="13.2">
      <c r="A31" s="129" t="s">
        <v>505</v>
      </c>
      <c r="B31" s="188">
        <f>SUM(F29:F31)</f>
        <v>108370264.85502392</v>
      </c>
      <c r="C31" s="188">
        <f>AVERAGE(F29:F31)</f>
        <v>36123421.618341304</v>
      </c>
      <c r="D31" s="190">
        <f>C31/C28-1</f>
        <v>6.3523414539842227E-2</v>
      </c>
      <c r="E31" s="190">
        <f>C31/C19-1</f>
        <v>8.1591936683944599E-2</v>
      </c>
      <c r="F31" s="136">
        <f>Q31/20</f>
        <v>36855127.799999997</v>
      </c>
      <c r="G31" s="190">
        <f t="shared" si="2"/>
        <v>-5.7349282859864292E-2</v>
      </c>
      <c r="H31" s="190">
        <f t="shared" si="3"/>
        <v>0.13434271050077973</v>
      </c>
      <c r="I31" s="130">
        <f t="shared" si="0"/>
        <v>8.1935223455259756</v>
      </c>
      <c r="J31" s="130">
        <f t="shared" si="4"/>
        <v>-0.99999989958503743</v>
      </c>
      <c r="K31" s="136">
        <f>R29+R30+R31</f>
        <v>2907981058489</v>
      </c>
      <c r="L31" s="190">
        <f>U31/U28-1</f>
        <v>8.0230409656788737E-2</v>
      </c>
      <c r="M31" s="190">
        <f>U31/U19-1</f>
        <v>6.0061386925033045E-2</v>
      </c>
      <c r="N31" s="191">
        <f>AVERAGE(T29:T31)</f>
        <v>8.3337496597629936</v>
      </c>
      <c r="O31" s="192">
        <f>N31/N28-1</f>
        <v>-0.99999989994944594</v>
      </c>
      <c r="P31" s="129" t="s">
        <v>505</v>
      </c>
      <c r="Q31" s="116">
        <f>'자동차부품 멕시코'!Q31+'자동차부품 미국'!Q31</f>
        <v>737102556</v>
      </c>
      <c r="R31" s="116">
        <f>'자동차부품 멕시코'!R31+'자동차부품 미국'!R31</f>
        <v>979141675623</v>
      </c>
      <c r="S31" s="116">
        <f>'자동차부품 멕시코'!S31+'자동차부품 미국'!S31</f>
        <v>89961621.5</v>
      </c>
      <c r="T31" s="130">
        <f t="shared" si="1"/>
        <v>8.1935223455259756</v>
      </c>
      <c r="U31" s="85">
        <f>Q29+Q30+Q31</f>
        <v>2193143576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36940983.428571425</v>
      </c>
      <c r="G32" s="190">
        <f t="shared" si="2"/>
        <v>2.3295436400962988E-3</v>
      </c>
      <c r="H32" s="190">
        <f t="shared" si="3"/>
        <v>7.6733319714838988E-2</v>
      </c>
      <c r="I32" s="130">
        <f t="shared" si="0"/>
        <v>8.1513474737660534</v>
      </c>
      <c r="J32" s="130">
        <f t="shared" si="4"/>
        <v>-0.99999990211270617</v>
      </c>
      <c r="K32" s="136"/>
      <c r="L32" s="190"/>
      <c r="M32" s="190"/>
      <c r="N32" s="191"/>
      <c r="O32" s="192"/>
      <c r="P32" s="129" t="s">
        <v>561</v>
      </c>
      <c r="Q32" s="116">
        <f>'자동차부품 멕시코'!Q32+'자동차부품 미국'!Q32</f>
        <v>775760652</v>
      </c>
      <c r="R32" s="116">
        <f>'자동차부품 멕시코'!R32+'자동차부품 미국'!R32</f>
        <v>1054893397158</v>
      </c>
      <c r="S32" s="116">
        <f>'자동차부품 멕시코'!S32+'자동차부품 미국'!S32</f>
        <v>95169621.280000001</v>
      </c>
      <c r="T32" s="130">
        <f t="shared" si="1"/>
        <v>8.1513474737660534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32556152.952380951</v>
      </c>
      <c r="G33" s="190">
        <f t="shared" si="2"/>
        <v>-0.11869826055575705</v>
      </c>
      <c r="H33" s="190">
        <f t="shared" si="3"/>
        <v>-5.3551470110167698E-2</v>
      </c>
      <c r="I33" s="130">
        <f t="shared" si="0"/>
        <v>7.9806358798863419</v>
      </c>
      <c r="J33" s="130">
        <f t="shared" si="4"/>
        <v>-0.99999990465609878</v>
      </c>
      <c r="K33" s="136"/>
      <c r="L33" s="190"/>
      <c r="M33" s="190"/>
      <c r="N33" s="191"/>
      <c r="O33" s="192"/>
      <c r="P33" s="129" t="s">
        <v>606</v>
      </c>
      <c r="Q33" s="116">
        <f>'자동차부품 멕시코'!Q33+'자동차부품 미국'!Q33</f>
        <v>683679212</v>
      </c>
      <c r="R33" s="116">
        <f>'자동차부품 멕시코'!R33+'자동차부품 미국'!R33</f>
        <v>934731166896</v>
      </c>
      <c r="S33" s="116">
        <f>'자동차부품 멕시코'!S33+'자동차부품 미국'!S33</f>
        <v>85667260.390000001</v>
      </c>
      <c r="T33" s="130">
        <f t="shared" si="1"/>
        <v>7.9806358798863419</v>
      </c>
      <c r="U33" s="85"/>
    </row>
    <row r="34" spans="1:21" s="92" customFormat="1" ht="13.2">
      <c r="A34" s="129" t="s">
        <v>652</v>
      </c>
      <c r="B34" s="188">
        <f>SUM(F32:F34)</f>
        <v>105790800.27568921</v>
      </c>
      <c r="C34" s="188">
        <f>AVERAGE(F32:F34)</f>
        <v>35263600.091896407</v>
      </c>
      <c r="D34" s="190">
        <f>C34/C31-1</f>
        <v>-2.3802327905957044E-2</v>
      </c>
      <c r="E34" s="190">
        <f>C34/C22-1</f>
        <v>2.2936811328284401E-2</v>
      </c>
      <c r="F34" s="136">
        <f>Q34/19</f>
        <v>36293663.894736841</v>
      </c>
      <c r="G34" s="190">
        <f t="shared" si="2"/>
        <v>0.11480198375473449</v>
      </c>
      <c r="H34" s="190">
        <f t="shared" si="3"/>
        <v>4.5562645221515208E-2</v>
      </c>
      <c r="I34" s="130">
        <f t="shared" si="0"/>
        <v>8.269729660000797</v>
      </c>
      <c r="J34" s="130">
        <f t="shared" si="4"/>
        <v>-0.99999990084772206</v>
      </c>
      <c r="K34" s="136">
        <f>R32+R33+R34</f>
        <v>2937568817066</v>
      </c>
      <c r="L34" s="190">
        <f>U34/U31-1</f>
        <v>-2.0119110523751704E-2</v>
      </c>
      <c r="M34" s="190">
        <f>U34/U22-1</f>
        <v>5.3965591085756159E-3</v>
      </c>
      <c r="N34" s="191">
        <f>AVERAGE(T32:T34)</f>
        <v>8.1339043378843972</v>
      </c>
      <c r="O34" s="192">
        <f>N34/N31-1</f>
        <v>-2.3980240592477831E-2</v>
      </c>
      <c r="P34" s="129" t="s">
        <v>652</v>
      </c>
      <c r="Q34" s="116">
        <f>'자동차부품 멕시코'!Q34+'자동차부품 미국'!Q34</f>
        <v>689579614</v>
      </c>
      <c r="R34" s="116">
        <f>'자동차부품 멕시코'!R34+'자동차부품 미국'!R34</f>
        <v>947944253012</v>
      </c>
      <c r="S34" s="116">
        <f>'자동차부품 멕시코'!S34+'자동차부품 미국'!S34</f>
        <v>83385992.329999998</v>
      </c>
      <c r="T34" s="130">
        <f t="shared" ref="T34:T39" si="5">Q34/S34</f>
        <v>8.269729660000797</v>
      </c>
      <c r="U34" s="85">
        <f>Q32+Q33+Q34</f>
        <v>2149019478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36923981.304347828</v>
      </c>
      <c r="G35" s="190">
        <f t="shared" ref="G35" si="6">F35/F34-1</f>
        <v>1.7367147374238945E-2</v>
      </c>
      <c r="H35" s="190">
        <f t="shared" ref="H35" si="7">F35/F23-1</f>
        <v>6.5402591825424627E-2</v>
      </c>
      <c r="I35" s="130">
        <f t="shared" si="0"/>
        <v>8.3190591097809676</v>
      </c>
      <c r="J35" s="130">
        <f t="shared" si="4"/>
        <v>-0.99999990089872559</v>
      </c>
      <c r="K35" s="136"/>
      <c r="L35" s="190"/>
      <c r="M35" s="190"/>
      <c r="N35" s="191"/>
      <c r="O35" s="192"/>
      <c r="P35" s="129" t="s">
        <v>660</v>
      </c>
      <c r="Q35" s="116">
        <f>'자동차부품 멕시코'!Q35+'자동차부품 미국'!Q35</f>
        <v>849251570</v>
      </c>
      <c r="R35" s="116">
        <f>'자동차부품 멕시코'!R35+'자동차부품 미국'!R35</f>
        <v>1175361747088</v>
      </c>
      <c r="S35" s="116">
        <f>'자동차부품 멕시코'!S35+'자동차부품 미국'!S35</f>
        <v>102085050.58000001</v>
      </c>
      <c r="T35" s="130">
        <f t="shared" si="5"/>
        <v>8.3190591097809676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36362639.142857142</v>
      </c>
      <c r="G36" s="190">
        <f t="shared" ref="G36" si="8">F36/F35-1</f>
        <v>-1.5202644505309282E-2</v>
      </c>
      <c r="H36" s="190">
        <f t="shared" ref="H36" si="9">F36/F24-1</f>
        <v>9.307447325927809E-2</v>
      </c>
      <c r="I36" s="130">
        <f t="shared" si="0"/>
        <v>8.2864120612162857</v>
      </c>
      <c r="J36" s="130">
        <f t="shared" si="4"/>
        <v>-0.99999989877781215</v>
      </c>
      <c r="K36" s="136"/>
      <c r="L36" s="190"/>
      <c r="M36" s="190"/>
      <c r="N36" s="191"/>
      <c r="O36" s="192"/>
      <c r="P36" s="129" t="s">
        <v>664</v>
      </c>
      <c r="Q36" s="116">
        <f>'자동차부품 멕시코'!Q36+'자동차부품 미국'!Q36</f>
        <v>763615422</v>
      </c>
      <c r="R36" s="116">
        <f>'자동차부품 멕시코'!R36+'자동차부품 미국'!R36</f>
        <v>1041663086760</v>
      </c>
      <c r="S36" s="116">
        <f>'자동차부품 멕시코'!S36+'자동차부품 미국'!S36</f>
        <v>92152721.390000001</v>
      </c>
      <c r="T36" s="130">
        <f t="shared" si="5"/>
        <v>8.2864120612162857</v>
      </c>
      <c r="U36" s="85"/>
    </row>
    <row r="37" spans="1:21" s="92" customFormat="1" ht="13.2">
      <c r="A37" s="129" t="s">
        <v>702</v>
      </c>
      <c r="B37" s="188">
        <f>SUM(F35:F37)</f>
        <v>113634687.61387163</v>
      </c>
      <c r="C37" s="188">
        <f>AVERAGE(F35:F37)</f>
        <v>37878229.204623878</v>
      </c>
      <c r="D37" s="190">
        <f>C37/C34-1</f>
        <v>7.4145268943436982E-2</v>
      </c>
      <c r="E37" s="190">
        <f>C37/C25-1</f>
        <v>7.9917470289888382E-2</v>
      </c>
      <c r="F37" s="136">
        <f>Q37/18</f>
        <v>40348067.166666664</v>
      </c>
      <c r="G37" s="190">
        <f t="shared" ref="G37" si="10">F37/F36-1</f>
        <v>0.10960227634061592</v>
      </c>
      <c r="H37" s="190">
        <f t="shared" ref="H37" si="11">F37/F25-1</f>
        <v>8.1669687331459961E-2</v>
      </c>
      <c r="I37" s="130">
        <f t="shared" si="0"/>
        <v>8.3120982564061805</v>
      </c>
      <c r="J37" s="130">
        <f t="shared" si="4"/>
        <v>-0.99999990124909532</v>
      </c>
      <c r="K37" s="136">
        <f>R35+R36+R37</f>
        <v>3186307239529</v>
      </c>
      <c r="L37" s="190">
        <f>U37/U34-1</f>
        <v>8.8464867324948404E-2</v>
      </c>
      <c r="M37" s="190">
        <f>U37/U25-1</f>
        <v>7.8738820387193265E-2</v>
      </c>
      <c r="N37" s="191">
        <f>AVERAGE(T35:T37)</f>
        <v>8.3058564758011446</v>
      </c>
      <c r="O37" s="192">
        <f>N37/N34-1</f>
        <v>2.1140172145357683E-2</v>
      </c>
      <c r="P37" s="129" t="s">
        <v>702</v>
      </c>
      <c r="Q37" s="116">
        <f>'자동차부품 멕시코'!Q37+'자동차부품 미국'!Q37</f>
        <v>726265209</v>
      </c>
      <c r="R37" s="116">
        <f>'자동차부품 멕시코'!R37+'자동차부품 미국'!R37</f>
        <v>969282405681</v>
      </c>
      <c r="S37" s="116">
        <f>'자동차부품 멕시코'!S37+'자동차부품 미국'!S37</f>
        <v>87374473.520000011</v>
      </c>
      <c r="T37" s="130">
        <f t="shared" si="5"/>
        <v>8.3120982564061805</v>
      </c>
      <c r="U37" s="85">
        <f>Q35+Q36+Q37</f>
        <v>2339132201</v>
      </c>
    </row>
    <row r="38" spans="1:21" s="92" customFormat="1" ht="13.2">
      <c r="A38" s="129" t="s">
        <v>752</v>
      </c>
      <c r="B38" s="188"/>
      <c r="C38" s="188"/>
      <c r="D38" s="190"/>
      <c r="E38" s="190"/>
      <c r="F38" s="136">
        <f>Q38/20</f>
        <v>37360247.850000001</v>
      </c>
      <c r="G38" s="190">
        <f t="shared" ref="G38" si="12">F38/F37-1</f>
        <v>-7.4051113881733466E-2</v>
      </c>
      <c r="H38" s="190">
        <f t="shared" ref="H38" si="13">F38/F26-1</f>
        <v>9.5094842037080518E-2</v>
      </c>
      <c r="I38" s="130">
        <f t="shared" si="0"/>
        <v>8.2432850702936005</v>
      </c>
      <c r="J38" s="130">
        <f t="shared" si="4"/>
        <v>-0.99999989991628091</v>
      </c>
      <c r="K38" s="136"/>
      <c r="L38" s="190"/>
      <c r="M38" s="190"/>
      <c r="N38" s="191"/>
      <c r="O38" s="192"/>
      <c r="P38" s="129" t="s">
        <v>752</v>
      </c>
      <c r="Q38" s="116">
        <f>'자동차부품 멕시코'!Q38+'자동차부품 미국'!Q38</f>
        <v>747204957</v>
      </c>
      <c r="R38" s="116">
        <f>'자동차부품 멕시코'!R38+'자동차부품 미국'!R38</f>
        <v>1006764916204</v>
      </c>
      <c r="S38" s="116">
        <f>'자동차부품 멕시코'!S38+'자동차부품 미국'!S38</f>
        <v>90644075.829999998</v>
      </c>
      <c r="T38" s="130">
        <f t="shared" si="5"/>
        <v>8.2432850702936005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32265181.523809522</v>
      </c>
      <c r="G39" s="190">
        <f t="shared" ref="G39" si="14">F39/F38-1</f>
        <v>-0.13637667358757843</v>
      </c>
      <c r="H39" s="190">
        <f t="shared" ref="H39" si="15">F39/F27-1</f>
        <v>2.7500509305366405E-2</v>
      </c>
      <c r="I39" s="130">
        <f t="shared" si="0"/>
        <v>8.1104402620544782</v>
      </c>
      <c r="J39" s="130">
        <f t="shared" si="4"/>
        <v>-0.99999990337944733</v>
      </c>
      <c r="K39" s="136"/>
      <c r="L39" s="190"/>
      <c r="M39" s="190"/>
      <c r="N39" s="191"/>
      <c r="O39" s="192"/>
      <c r="P39" s="129" t="s">
        <v>762</v>
      </c>
      <c r="Q39" s="116">
        <f>'자동차부품 멕시코'!Q39+'자동차부품 미국'!Q39</f>
        <v>677568812</v>
      </c>
      <c r="R39" s="116">
        <f>'자동차부품 멕시코'!R39+'자동차부품 미국'!R39</f>
        <v>941794289242</v>
      </c>
      <c r="S39" s="116">
        <f>'자동차부품 멕시코'!S39+'자동차부품 미국'!S39</f>
        <v>83542790.540000007</v>
      </c>
      <c r="T39" s="130">
        <f t="shared" si="5"/>
        <v>8.1104402620544782</v>
      </c>
      <c r="U39" s="85"/>
    </row>
    <row r="40" spans="1:21" s="92" customFormat="1" ht="13.2">
      <c r="A40" s="129" t="s">
        <v>778</v>
      </c>
      <c r="B40" s="188">
        <f>SUM(F38:F40)</f>
        <v>104436482.61190476</v>
      </c>
      <c r="C40" s="188">
        <f>AVERAGE(F38:F40)</f>
        <v>34812160.870634921</v>
      </c>
      <c r="D40" s="190">
        <f>C40/C37-1</f>
        <v>-8.0945397880814229E-2</v>
      </c>
      <c r="E40" s="190">
        <f>C40/C28-1</f>
        <v>2.4918087434153913E-2</v>
      </c>
      <c r="F40" s="136">
        <f>Q40/21</f>
        <v>34811053.238095239</v>
      </c>
      <c r="G40" s="190">
        <f t="shared" ref="G40" si="16">F40/F39-1</f>
        <v>7.8904614635657122E-2</v>
      </c>
      <c r="H40" s="190">
        <f t="shared" ref="H40" si="17">F40/F28-1</f>
        <v>-4.3120857682136027E-2</v>
      </c>
      <c r="I40" s="130">
        <f t="shared" si="0"/>
        <v>8.3300588752219831</v>
      </c>
      <c r="J40" s="130">
        <f t="shared" si="4"/>
        <v>-0.99999990033563502</v>
      </c>
      <c r="K40" s="136">
        <f>R38+R39+R40</f>
        <v>2987772276688</v>
      </c>
      <c r="L40" s="190">
        <f>U40/U37-1</f>
        <v>-7.8373643833224316E-2</v>
      </c>
      <c r="M40" s="190">
        <f>U40/U28-1</f>
        <v>6.1839772798589987E-2</v>
      </c>
      <c r="N40" s="191">
        <f>AVERAGE(T38:T40)</f>
        <v>8.2279280691900194</v>
      </c>
      <c r="O40" s="192">
        <f>N40/N37-1</f>
        <v>-9.3823444744279838E-3</v>
      </c>
      <c r="P40" s="129" t="s">
        <v>778</v>
      </c>
      <c r="Q40" s="116">
        <f>'자동차부품 멕시코'!Q40+'자동차부품 미국'!Q40</f>
        <v>731032118</v>
      </c>
      <c r="R40" s="116">
        <f>'자동차부품 멕시코'!R40+'자동차부품 미국'!R40</f>
        <v>1039213071242</v>
      </c>
      <c r="S40" s="116">
        <f>'자동차부품 멕시코'!S40+'자동차부품 미국'!S40</f>
        <v>87758337.480000004</v>
      </c>
      <c r="T40" s="130">
        <f t="shared" ref="T40" si="18">Q40/S40</f>
        <v>8.3300588752219831</v>
      </c>
      <c r="U40" s="85">
        <f>Q38+Q39+Q40</f>
        <v>2155805887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35653289.222222224</v>
      </c>
      <c r="G41" s="190">
        <f t="shared" ref="G41" si="19">F41/F40-1</f>
        <v>2.4194498752059923E-2</v>
      </c>
      <c r="H41" s="190">
        <f t="shared" ref="H41" si="20">F41/F29-1</f>
        <v>9.9805766376965588E-2</v>
      </c>
      <c r="I41" s="130">
        <f t="shared" si="0"/>
        <v>8.3764952376081965</v>
      </c>
      <c r="J41" s="130">
        <f t="shared" si="4"/>
        <v>1.4198069939008962E-2</v>
      </c>
      <c r="K41" s="194"/>
      <c r="L41" s="202"/>
      <c r="M41" s="202"/>
      <c r="N41" s="194"/>
      <c r="O41" s="194"/>
      <c r="P41" s="129" t="s">
        <v>792</v>
      </c>
      <c r="Q41" s="116">
        <f>'자동차부품 멕시코'!Q41+'자동차부품 미국'!Q41</f>
        <v>641759206</v>
      </c>
      <c r="R41" s="116">
        <f>'자동차부품 멕시코'!R41+'자동차부품 미국'!R41</f>
        <v>938780321301</v>
      </c>
      <c r="S41" s="116">
        <f>'자동차부품 멕시코'!S41+'자동차부품 미국'!S41</f>
        <v>76614286.5</v>
      </c>
      <c r="T41" s="130">
        <f t="shared" ref="T41" si="21">Q41/S41</f>
        <v>8.3764952376081965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37007384.600000001</v>
      </c>
      <c r="G42" s="190">
        <f t="shared" ref="G42" si="22">F42/F41-1</f>
        <v>3.7979535894651528E-2</v>
      </c>
      <c r="H42" s="190">
        <f t="shared" ref="H42" si="23">F42/F30-1</f>
        <v>-5.3454981299214999E-2</v>
      </c>
      <c r="I42" s="130">
        <f t="shared" si="0"/>
        <v>8.3860705190142237</v>
      </c>
      <c r="J42" s="130">
        <f t="shared" si="4"/>
        <v>-1.9000534592428897E-2</v>
      </c>
      <c r="K42" s="194"/>
      <c r="L42" s="202"/>
      <c r="M42" s="202"/>
      <c r="N42" s="194"/>
      <c r="O42" s="194"/>
      <c r="P42" s="129" t="s">
        <v>826</v>
      </c>
      <c r="Q42" s="116">
        <f>'자동차부품 멕시코'!Q42+'자동차부품 미국'!Q42</f>
        <v>740147692</v>
      </c>
      <c r="R42" s="116">
        <f>'자동차부품 멕시코'!R42+'자동차부품 미국'!R42</f>
        <v>1070222069723</v>
      </c>
      <c r="S42" s="116">
        <f>'자동차부품 멕시코'!S42+'자동차부품 미국'!S42</f>
        <v>88259178.159999996</v>
      </c>
      <c r="T42" s="130">
        <f t="shared" ref="T42" si="24">Q42/S42</f>
        <v>8.3860705190142237</v>
      </c>
      <c r="U42" s="175"/>
    </row>
    <row r="43" spans="1:21" s="92" customFormat="1" ht="13.2">
      <c r="A43" s="129" t="s">
        <v>835</v>
      </c>
      <c r="B43" s="188">
        <f>SUM(F41:F43)</f>
        <v>110211546.92222223</v>
      </c>
      <c r="C43" s="188">
        <f>AVERAGE(F41:F43)</f>
        <v>36737182.307407409</v>
      </c>
      <c r="D43" s="190">
        <f>C43/C40-1</f>
        <v>5.5297384265401872E-2</v>
      </c>
      <c r="E43" s="190">
        <f>C43/C31-1</f>
        <v>1.6990657627916184E-2</v>
      </c>
      <c r="F43" s="136">
        <f>Q43/20</f>
        <v>37550873.100000001</v>
      </c>
      <c r="G43" s="190">
        <f t="shared" ref="G43" si="25">F43/F42-1</f>
        <v>1.4685947301447566E-2</v>
      </c>
      <c r="H43" s="190">
        <f t="shared" ref="H43" si="26">F43/F31-1</f>
        <v>1.8877842556280777E-2</v>
      </c>
      <c r="I43" s="130">
        <f t="shared" si="0"/>
        <v>8.4195755970404331</v>
      </c>
      <c r="J43" s="130">
        <f t="shared" si="4"/>
        <v>2.7589264052949369E-2</v>
      </c>
      <c r="K43" s="136">
        <f>R41+R42+R43</f>
        <v>3097571767439</v>
      </c>
      <c r="L43" s="190">
        <f>U43/U40-1</f>
        <v>-1.0613908765154001E-2</v>
      </c>
      <c r="M43" s="190">
        <f>U43/U31-1</f>
        <v>-2.74579451427579E-2</v>
      </c>
      <c r="N43" s="191">
        <f>AVERAGE(T41:T43)</f>
        <v>8.3940471178876184</v>
      </c>
      <c r="O43" s="192">
        <f>N43/N40-1</f>
        <v>2.0189657384055426E-2</v>
      </c>
      <c r="P43" s="129" t="s">
        <v>835</v>
      </c>
      <c r="Q43" s="116">
        <f>'자동차부품 멕시코'!Q43+'자동차부품 미국'!Q43</f>
        <v>751017462</v>
      </c>
      <c r="R43" s="116">
        <f>'자동차부품 멕시코'!R43+'자동차부품 미국'!R43</f>
        <v>1088569376415</v>
      </c>
      <c r="S43" s="116">
        <f>'자동차부품 멕시코'!S43+'자동차부품 미국'!S43</f>
        <v>89198968.920000002</v>
      </c>
      <c r="T43" s="130">
        <f t="shared" ref="T43" si="27">Q43/S43</f>
        <v>8.4195755970404331</v>
      </c>
      <c r="U43" s="85">
        <f>Q41+Q42+Q43</f>
        <v>2132924360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37041817.590909094</v>
      </c>
      <c r="G44" s="190">
        <f t="shared" ref="G44" si="28">F44/F43-1</f>
        <v>-1.3556422715798488E-2</v>
      </c>
      <c r="H44" s="190">
        <f t="shared" ref="H44" si="29">F44/F32-1</f>
        <v>2.7296014610072028E-3</v>
      </c>
      <c r="I44" s="130">
        <f t="shared" si="0"/>
        <v>8.2640296604210928</v>
      </c>
      <c r="J44" s="130">
        <f t="shared" si="4"/>
        <v>1.382374963374966E-2</v>
      </c>
      <c r="K44" s="136"/>
      <c r="L44" s="190"/>
      <c r="M44" s="190"/>
      <c r="N44" s="191"/>
      <c r="O44" s="192"/>
      <c r="P44" s="129" t="s">
        <v>843</v>
      </c>
      <c r="Q44" s="116">
        <f>'자동차부품 멕시코'!Q44+'자동차부품 미국'!Q44</f>
        <v>814919987</v>
      </c>
      <c r="R44" s="116">
        <f>'자동차부품 멕시코'!R44+'자동차부품 미국'!R44</f>
        <v>1182625273248</v>
      </c>
      <c r="S44" s="116">
        <f>'자동차부품 멕시코'!S44+'자동차부품 미국'!S44</f>
        <v>98610486.710000008</v>
      </c>
      <c r="T44" s="130">
        <f t="shared" ref="T44" si="30">Q44/S44</f>
        <v>8.2640296604210928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31960926.949999999</v>
      </c>
      <c r="G45" s="190">
        <f t="shared" ref="G45" si="31">F45/F44-1</f>
        <v>-0.13716634256511373</v>
      </c>
      <c r="H45" s="190">
        <f t="shared" ref="H45" si="32">F45/F33-1</f>
        <v>-1.8283057069168329E-2</v>
      </c>
      <c r="I45" s="130">
        <f t="shared" si="0"/>
        <v>7.9172298567180226</v>
      </c>
      <c r="J45" s="130">
        <f t="shared" si="4"/>
        <v>-7.9449838487334334E-3</v>
      </c>
      <c r="K45" s="136"/>
      <c r="L45" s="190"/>
      <c r="M45" s="190"/>
      <c r="N45" s="191"/>
      <c r="O45" s="192"/>
      <c r="P45" s="129" t="s">
        <v>849</v>
      </c>
      <c r="Q45" s="116">
        <f>'자동차부품 멕시코'!Q45+'자동차부품 미국'!Q45</f>
        <v>639218539</v>
      </c>
      <c r="R45" s="116">
        <f>'자동차부품 멕시코'!R45+'자동차부품 미국'!R45</f>
        <v>899269392542</v>
      </c>
      <c r="S45" s="116">
        <f>'자동차부품 멕시코'!S45+'자동차부품 미국'!S45</f>
        <v>80737650.74000001</v>
      </c>
      <c r="T45" s="130">
        <f t="shared" ref="T45" si="33">Q45/S45</f>
        <v>7.9172298567180226</v>
      </c>
      <c r="U45" s="85"/>
    </row>
    <row r="46" spans="1:21" s="92" customFormat="1" ht="13.2">
      <c r="A46" s="129" t="s">
        <v>888</v>
      </c>
      <c r="B46" s="188">
        <f>SUM(F44:F46)</f>
        <v>106636476.85669857</v>
      </c>
      <c r="C46" s="188">
        <f>AVERAGE(F44:F46)</f>
        <v>35545492.285566188</v>
      </c>
      <c r="D46" s="190">
        <f>C46/C43-1</f>
        <v>-3.2438253208138312E-2</v>
      </c>
      <c r="E46" s="190">
        <f>C46/C34-1</f>
        <v>7.9938574886051494E-3</v>
      </c>
      <c r="F46" s="136">
        <f>Q46/19</f>
        <v>37633732.315789476</v>
      </c>
      <c r="G46" s="190">
        <f t="shared" ref="G46" si="34">F46/F45-1</f>
        <v>0.17749189110391161</v>
      </c>
      <c r="H46" s="190">
        <f t="shared" ref="H46" si="35">F46/F34-1</f>
        <v>3.6922930265163023E-2</v>
      </c>
      <c r="I46" s="130">
        <f t="shared" si="0"/>
        <v>7.8928692172389576</v>
      </c>
      <c r="J46" s="130">
        <f t="shared" si="4"/>
        <v>-4.5571071637885097E-2</v>
      </c>
      <c r="K46" s="136">
        <f>R44+R45+R46</f>
        <v>3061246188835</v>
      </c>
      <c r="L46" s="190">
        <f>U46/U43-1</f>
        <v>1.6997827339737537E-2</v>
      </c>
      <c r="M46" s="190">
        <f>U46/U34-1</f>
        <v>9.3810047821261122E-3</v>
      </c>
      <c r="N46" s="191">
        <f>AVERAGE(T44:T46)</f>
        <v>8.0247095781260231</v>
      </c>
      <c r="O46" s="192">
        <f>N46/N43-1</f>
        <v>-4.3999936451934007E-2</v>
      </c>
      <c r="P46" s="129" t="s">
        <v>888</v>
      </c>
      <c r="Q46" s="116">
        <f>'자동차부품 멕시코'!Q46+'자동차부품 미국'!Q46</f>
        <v>715040914</v>
      </c>
      <c r="R46" s="116">
        <f>'자동차부품 멕시코'!R46+'자동차부품 미국'!R46</f>
        <v>979351523045</v>
      </c>
      <c r="S46" s="116">
        <f>'자동차부품 멕시코'!S46+'자동차부품 미국'!S46</f>
        <v>90593280.379999995</v>
      </c>
      <c r="T46" s="130">
        <f t="shared" ref="T46" si="36">Q46/S46</f>
        <v>7.8928692172389576</v>
      </c>
      <c r="U46" s="85">
        <f>Q44+Q45+Q46</f>
        <v>2169179440</v>
      </c>
    </row>
    <row r="47" spans="1:21" s="92" customFormat="1" ht="13.2">
      <c r="A47" s="129" t="s">
        <v>992</v>
      </c>
      <c r="B47" s="188"/>
      <c r="C47" s="188"/>
      <c r="D47" s="190"/>
      <c r="E47" s="190"/>
      <c r="F47" s="136">
        <f>Q47/23</f>
        <v>31829595.521739129</v>
      </c>
      <c r="G47" s="190">
        <f t="shared" ref="G47" si="37">F47/F46-1</f>
        <v>-0.15422697768446381</v>
      </c>
      <c r="H47" s="190">
        <f t="shared" ref="H47" si="38">F47/F35-1</f>
        <v>-0.13796956889935463</v>
      </c>
      <c r="I47" s="130">
        <f t="shared" si="0"/>
        <v>7.5987515912788979</v>
      </c>
      <c r="J47" s="130">
        <f t="shared" si="4"/>
        <v>-8.6585214625435558E-2</v>
      </c>
      <c r="K47" s="136"/>
      <c r="L47" s="190"/>
      <c r="M47" s="190"/>
      <c r="N47" s="191"/>
      <c r="O47" s="192"/>
      <c r="P47" s="129" t="s">
        <v>991</v>
      </c>
      <c r="Q47" s="116">
        <f>'자동차부품 멕시코'!Q47+'자동차부품 미국'!Q47</f>
        <v>732080697</v>
      </c>
      <c r="R47" s="116">
        <f>'자동차부품 멕시코'!R47+'자동차부품 미국'!R47</f>
        <v>1003431899599</v>
      </c>
      <c r="S47" s="116">
        <f>'자동차부품 멕시코'!S47+'자동차부품 미국'!S47</f>
        <v>96342233.090000004</v>
      </c>
      <c r="T47" s="130">
        <f t="shared" ref="T47" si="39">Q47/S47</f>
        <v>7.5987515912788979</v>
      </c>
      <c r="U47" s="85">
        <f>Q45+Q46+Q47</f>
        <v>2086340150</v>
      </c>
    </row>
    <row r="48" spans="1:21" s="92" customFormat="1" ht="13.2">
      <c r="A48" s="129" t="s">
        <v>1095</v>
      </c>
      <c r="B48" s="188"/>
      <c r="C48" s="188"/>
      <c r="D48" s="190"/>
      <c r="E48" s="190"/>
      <c r="F48" s="136">
        <f>Q48/20</f>
        <v>31256501.649999999</v>
      </c>
      <c r="G48" s="190">
        <f t="shared" ref="G48" si="40">F48/F47-1</f>
        <v>-1.8005062971903518E-2</v>
      </c>
      <c r="H48" s="190">
        <f t="shared" ref="H48" si="41">F48/F36-1</f>
        <v>-0.14042263194364879</v>
      </c>
      <c r="I48" s="130">
        <f t="shared" si="0"/>
        <v>7.5171907855597437</v>
      </c>
      <c r="J48" s="130">
        <f t="shared" si="4"/>
        <v>-9.2829232962816866E-2</v>
      </c>
      <c r="K48" s="136"/>
      <c r="L48" s="190"/>
      <c r="M48" s="190"/>
      <c r="N48" s="191"/>
      <c r="O48" s="192"/>
      <c r="P48" s="129" t="s">
        <v>1070</v>
      </c>
      <c r="Q48" s="116">
        <f>'자동차부품 멕시코'!Q48+'자동차부품 미국'!Q48</f>
        <v>625130033</v>
      </c>
      <c r="R48" s="116">
        <f>'자동차부품 멕시코'!R48+'자동차부품 미국'!R48</f>
        <v>867529857454</v>
      </c>
      <c r="S48" s="116">
        <f>'자동차부품 멕시코'!S48+'자동차부품 미국'!S48</f>
        <v>83160059.5</v>
      </c>
      <c r="T48" s="130">
        <f t="shared" ref="T48" si="42">Q48/S48</f>
        <v>7.5171907855597437</v>
      </c>
      <c r="U48" s="85">
        <f>Q46+Q47+Q48</f>
        <v>2072251644</v>
      </c>
    </row>
    <row r="49" spans="1:21" s="92" customFormat="1" ht="13.2">
      <c r="A49" s="129" t="s">
        <v>1207</v>
      </c>
      <c r="B49" s="188">
        <f>SUM(F47:F49)</f>
        <v>95219336.535375491</v>
      </c>
      <c r="C49" s="188">
        <f>AVERAGE(F47:F49)</f>
        <v>31739778.845125165</v>
      </c>
      <c r="D49" s="190">
        <f>C49/C46-1</f>
        <v>-0.10706599334358902</v>
      </c>
      <c r="E49" s="190">
        <f>C49/C37-1</f>
        <v>-0.16205747967619821</v>
      </c>
      <c r="F49" s="136">
        <f>Q49/22</f>
        <v>32133239.363636363</v>
      </c>
      <c r="G49" s="190">
        <f t="shared" ref="G49" si="43">F49/F48-1</f>
        <v>2.8049771002967239E-2</v>
      </c>
      <c r="H49" s="190">
        <f t="shared" ref="H49" si="44">F49/F37-1</f>
        <v>-0.20359904153765607</v>
      </c>
      <c r="I49" s="130">
        <f t="shared" si="0"/>
        <v>7.4544393380058178</v>
      </c>
      <c r="J49" s="130">
        <f t="shared" si="4"/>
        <v>-0.10318199953175</v>
      </c>
      <c r="K49" s="136">
        <f>R47+R48+R49</f>
        <v>2853624389014</v>
      </c>
      <c r="L49" s="190">
        <f>U49/U46-1</f>
        <v>-4.8422662534548078E-2</v>
      </c>
      <c r="M49" s="190">
        <f>U49/U37-1</f>
        <v>-0.11756077954142108</v>
      </c>
      <c r="N49" s="191">
        <f>AVERAGE(T47:T49)</f>
        <v>7.5234605716148195</v>
      </c>
      <c r="O49" s="192">
        <f>N49/N46-1</f>
        <v>-6.2463195911478531E-2</v>
      </c>
      <c r="P49" s="129" t="s">
        <v>1158</v>
      </c>
      <c r="Q49" s="116">
        <f>'자동차부품 멕시코'!Q49+'자동차부품 미국'!Q49</f>
        <v>706931266</v>
      </c>
      <c r="R49" s="116">
        <f>'자동차부품 멕시코'!R49+'자동차부품 미국'!R49</f>
        <v>982662631961</v>
      </c>
      <c r="S49" s="116">
        <f>'자동차부품 멕시코'!S49+'자동차부품 미국'!S49</f>
        <v>94833592.969999999</v>
      </c>
      <c r="T49" s="130">
        <f t="shared" ref="T49" si="45">Q49/S49</f>
        <v>7.4544393380058178</v>
      </c>
      <c r="U49" s="85">
        <f>Q47+Q48+Q49</f>
        <v>2064141996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10513447.444444444</v>
      </c>
      <c r="G50" s="233">
        <f t="shared" ref="G50" si="46">F50/F49-1</f>
        <v>-0.672817068784481</v>
      </c>
      <c r="H50" s="233">
        <f t="shared" ref="H50" si="47">F50/F38-1</f>
        <v>-0.71859267404607319</v>
      </c>
      <c r="I50" s="220">
        <f t="shared" ref="I50" si="48">T50</f>
        <v>6.8526408846212314</v>
      </c>
      <c r="J50" s="220">
        <f t="shared" ref="J50" si="49">I50/I38-1</f>
        <v>-0.16870024193192656</v>
      </c>
      <c r="K50" s="232"/>
      <c r="L50" s="233"/>
      <c r="M50" s="233"/>
      <c r="N50" s="237"/>
      <c r="O50" s="234"/>
      <c r="P50" s="235" t="s">
        <v>1291</v>
      </c>
      <c r="Q50" s="238">
        <f>'자동차부품 멕시코'!Q50+'자동차부품 미국'!Q50</f>
        <v>94621027</v>
      </c>
      <c r="R50" s="238">
        <f>'자동차부품 멕시코'!R50+'자동차부품 미국'!R50</f>
        <v>132144743698</v>
      </c>
      <c r="S50" s="238">
        <f>'자동차부품 멕시코'!S50+'자동차부품 미국'!S50</f>
        <v>13807965.220000001</v>
      </c>
      <c r="T50" s="220">
        <f t="shared" ref="T50" si="50">Q50/S50</f>
        <v>6.8526408846212314</v>
      </c>
      <c r="U50" s="240">
        <f>Q48+Q49+Q50</f>
        <v>1426682326</v>
      </c>
    </row>
  </sheetData>
  <phoneticPr fontId="1" type="noConversion"/>
  <conditionalFormatting sqref="C29:C30">
    <cfRule type="cellIs" dxfId="12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71"/>
  <sheetViews>
    <sheetView topLeftCell="M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29302640.300000001</v>
      </c>
      <c r="G5" s="90"/>
      <c r="H5" s="90"/>
      <c r="I5" s="130">
        <f t="shared" ref="I5:I49" si="0">T5</f>
        <v>83246137.215909094</v>
      </c>
      <c r="J5" s="130"/>
      <c r="K5" s="86"/>
      <c r="L5" s="80"/>
      <c r="M5" s="80"/>
      <c r="N5" s="79"/>
      <c r="O5" s="79"/>
      <c r="P5" s="129" t="s">
        <v>0</v>
      </c>
      <c r="Q5" s="116">
        <v>586052806</v>
      </c>
      <c r="R5" s="116">
        <v>691445725243</v>
      </c>
      <c r="S5" s="116">
        <v>7.04</v>
      </c>
      <c r="T5" s="130">
        <f t="shared" ref="T5:T34" si="1">Q5/S5</f>
        <v>83246137.215909094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28300271.611111112</v>
      </c>
      <c r="G6" s="90">
        <f t="shared" ref="G6:G34" si="2">F6/F5-1</f>
        <v>-3.4207452933478155E-2</v>
      </c>
      <c r="H6" s="90"/>
      <c r="I6" s="130">
        <f t="shared" si="0"/>
        <v>82964965.635179162</v>
      </c>
      <c r="J6" s="130"/>
      <c r="K6" s="78"/>
      <c r="L6" s="87"/>
      <c r="M6" s="87"/>
      <c r="N6" s="79"/>
      <c r="O6" s="79"/>
      <c r="P6" s="129" t="s">
        <v>1</v>
      </c>
      <c r="Q6" s="116">
        <v>509404889</v>
      </c>
      <c r="R6" s="116">
        <v>605062182398</v>
      </c>
      <c r="S6" s="116">
        <v>6.14</v>
      </c>
      <c r="T6" s="130">
        <f t="shared" si="1"/>
        <v>82964965.635179162</v>
      </c>
      <c r="U6" s="85"/>
    </row>
    <row r="7" spans="1:21" ht="15" hidden="1" customHeight="1">
      <c r="A7" s="129" t="s">
        <v>2</v>
      </c>
      <c r="B7" s="131">
        <f>F5+F6+F7</f>
        <v>86608083.820202023</v>
      </c>
      <c r="C7" s="131">
        <f>AVERAGE(F5:F7)</f>
        <v>28869361.273400676</v>
      </c>
      <c r="D7" s="117"/>
      <c r="E7" s="117"/>
      <c r="F7" s="78">
        <f>Q7/22</f>
        <v>29005171.90909091</v>
      </c>
      <c r="G7" s="90">
        <f t="shared" si="2"/>
        <v>2.4907898682606344E-2</v>
      </c>
      <c r="H7" s="90"/>
      <c r="I7" s="130">
        <f t="shared" si="0"/>
        <v>84183876.253298149</v>
      </c>
      <c r="J7" s="130"/>
      <c r="K7" s="85">
        <f>R5+R6+R7</f>
        <v>2064691016128</v>
      </c>
      <c r="L7" s="87"/>
      <c r="M7" s="87"/>
      <c r="N7" s="88">
        <f>AVERAGE(T5:T7)</f>
        <v>83464993.034795463</v>
      </c>
      <c r="O7" s="79"/>
      <c r="P7" s="129" t="s">
        <v>2</v>
      </c>
      <c r="Q7" s="116">
        <v>638113782</v>
      </c>
      <c r="R7" s="116">
        <v>768183108487</v>
      </c>
      <c r="S7" s="116">
        <v>7.58</v>
      </c>
      <c r="T7" s="130">
        <f t="shared" si="1"/>
        <v>84183876.253298149</v>
      </c>
      <c r="U7" s="85">
        <f>Q5+Q6+Q7</f>
        <v>1733571477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29021459.142857142</v>
      </c>
      <c r="G8" s="90">
        <f t="shared" si="2"/>
        <v>5.6152860659741677E-4</v>
      </c>
      <c r="H8" s="90"/>
      <c r="I8" s="130">
        <f t="shared" si="0"/>
        <v>83486389.315068498</v>
      </c>
      <c r="J8" s="130"/>
      <c r="K8" s="78"/>
      <c r="L8" s="87"/>
      <c r="M8" s="87"/>
      <c r="N8" s="79"/>
      <c r="O8" s="79"/>
      <c r="P8" s="129" t="s">
        <v>3</v>
      </c>
      <c r="Q8" s="116">
        <v>609450642</v>
      </c>
      <c r="R8" s="116">
        <v>738902309691</v>
      </c>
      <c r="S8" s="116">
        <v>7.3</v>
      </c>
      <c r="T8" s="130">
        <f t="shared" si="1"/>
        <v>83486389.315068498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27855490.333333332</v>
      </c>
      <c r="G9" s="90">
        <f t="shared" si="2"/>
        <v>-4.0176091897528909E-2</v>
      </c>
      <c r="H9" s="90"/>
      <c r="I9" s="130">
        <f t="shared" si="0"/>
        <v>84654891.027496383</v>
      </c>
      <c r="J9" s="130"/>
      <c r="K9" s="78"/>
      <c r="L9" s="87"/>
      <c r="M9" s="87"/>
      <c r="N9" s="79"/>
      <c r="O9" s="79"/>
      <c r="P9" s="129" t="s">
        <v>4</v>
      </c>
      <c r="Q9" s="116">
        <v>584965297</v>
      </c>
      <c r="R9" s="116">
        <v>735288628943</v>
      </c>
      <c r="S9" s="116">
        <v>6.91</v>
      </c>
      <c r="T9" s="130">
        <f t="shared" si="1"/>
        <v>84654891.027496383</v>
      </c>
      <c r="U9" s="85"/>
    </row>
    <row r="10" spans="1:21" ht="15" hidden="1" customHeight="1">
      <c r="A10" s="129" t="s">
        <v>5</v>
      </c>
      <c r="B10" s="131">
        <f>F8+F9+F10</f>
        <v>86406501.571428567</v>
      </c>
      <c r="C10" s="131">
        <f>AVERAGE(F8:F10)</f>
        <v>28802167.19047619</v>
      </c>
      <c r="D10" s="90">
        <f>C10/C7-1</f>
        <v>-2.3275223268065526E-3</v>
      </c>
      <c r="E10" s="90"/>
      <c r="F10" s="78">
        <f>Q10/21</f>
        <v>29529552.095238097</v>
      </c>
      <c r="G10" s="90">
        <f t="shared" si="2"/>
        <v>6.0098089887202333E-2</v>
      </c>
      <c r="H10" s="90"/>
      <c r="I10" s="130">
        <f t="shared" si="0"/>
        <v>88715392.560801148</v>
      </c>
      <c r="J10" s="130"/>
      <c r="K10" s="85">
        <f>R8+R9+R10</f>
        <v>2254416902846</v>
      </c>
      <c r="L10" s="87">
        <f>U10/U7-1</f>
        <v>4.6704192514814835E-2</v>
      </c>
      <c r="M10" s="87"/>
      <c r="N10" s="88">
        <f>AVERAGE(T8:T10)</f>
        <v>85618890.967788681</v>
      </c>
      <c r="O10" s="89">
        <f>N10/N7-1</f>
        <v>2.5806003866738259E-2</v>
      </c>
      <c r="P10" s="129" t="s">
        <v>5</v>
      </c>
      <c r="Q10" s="116">
        <v>620120594</v>
      </c>
      <c r="R10" s="116">
        <v>780225964212</v>
      </c>
      <c r="S10" s="116">
        <v>6.99</v>
      </c>
      <c r="T10" s="130">
        <f t="shared" si="1"/>
        <v>88715392.560801148</v>
      </c>
      <c r="U10" s="85">
        <f>Q8+Q9+Q10</f>
        <v>1814536533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29651188.095238097</v>
      </c>
      <c r="G11" s="90">
        <f t="shared" si="2"/>
        <v>4.1191278353189809E-3</v>
      </c>
      <c r="H11" s="90"/>
      <c r="I11" s="130">
        <f t="shared" si="0"/>
        <v>88573961.593172118</v>
      </c>
      <c r="J11" s="130"/>
      <c r="K11" s="78"/>
      <c r="L11" s="87"/>
      <c r="M11" s="87"/>
      <c r="N11" s="79"/>
      <c r="O11" s="89"/>
      <c r="P11" s="129" t="s">
        <v>6</v>
      </c>
      <c r="Q11" s="116">
        <v>622674950</v>
      </c>
      <c r="R11" s="116">
        <v>803853487724</v>
      </c>
      <c r="S11" s="116">
        <v>7.03</v>
      </c>
      <c r="T11" s="130">
        <f t="shared" si="1"/>
        <v>88573961.593172118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24568695.5</v>
      </c>
      <c r="G12" s="90">
        <f t="shared" si="2"/>
        <v>-0.17140940791017856</v>
      </c>
      <c r="H12" s="90"/>
      <c r="I12" s="130">
        <f t="shared" si="0"/>
        <v>84719639.655172423</v>
      </c>
      <c r="J12" s="130"/>
      <c r="K12" s="78"/>
      <c r="L12" s="87"/>
      <c r="M12" s="87"/>
      <c r="N12" s="79"/>
      <c r="O12" s="89"/>
      <c r="P12" s="129" t="s">
        <v>7</v>
      </c>
      <c r="Q12" s="116">
        <v>540511301</v>
      </c>
      <c r="R12" s="116">
        <v>701872848408</v>
      </c>
      <c r="S12" s="116">
        <v>6.38</v>
      </c>
      <c r="T12" s="130">
        <f t="shared" si="1"/>
        <v>84719639.655172423</v>
      </c>
      <c r="U12" s="85"/>
    </row>
    <row r="13" spans="1:21" ht="15" hidden="1" customHeight="1">
      <c r="A13" s="129" t="s">
        <v>96</v>
      </c>
      <c r="B13" s="131">
        <f>F11+F12+F13</f>
        <v>84988942.145238101</v>
      </c>
      <c r="C13" s="131">
        <f>AVERAGE(F11:F13)</f>
        <v>28329647.381746035</v>
      </c>
      <c r="D13" s="90">
        <f>C13/C10-1</f>
        <v>-1.6405703279383732E-2</v>
      </c>
      <c r="E13" s="90"/>
      <c r="F13" s="78">
        <f>Q13/20</f>
        <v>30769058.550000001</v>
      </c>
      <c r="G13" s="90">
        <f t="shared" si="2"/>
        <v>0.2523684275382061</v>
      </c>
      <c r="H13" s="90"/>
      <c r="I13" s="130">
        <f t="shared" si="0"/>
        <v>88037363.519313306</v>
      </c>
      <c r="J13" s="130"/>
      <c r="K13" s="78">
        <f>R11+R12+R13</f>
        <v>2347122025902</v>
      </c>
      <c r="L13" s="87">
        <f>U13/U10-1</f>
        <v>-1.9822753824929484E-2</v>
      </c>
      <c r="M13" s="87"/>
      <c r="N13" s="88">
        <f>AVERAGE(T11:T13)</f>
        <v>87110321.589219287</v>
      </c>
      <c r="O13" s="89">
        <f>N13/N10-1</f>
        <v>1.741941065309649E-2</v>
      </c>
      <c r="P13" s="129" t="s">
        <v>96</v>
      </c>
      <c r="Q13" s="116">
        <v>615381171</v>
      </c>
      <c r="R13" s="116">
        <v>841395689770</v>
      </c>
      <c r="S13" s="116">
        <v>6.99</v>
      </c>
      <c r="T13" s="130">
        <f t="shared" si="1"/>
        <v>88037363.519313306</v>
      </c>
      <c r="U13" s="85">
        <f>Q11+Q12+Q13</f>
        <v>1778567422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27630185.75</v>
      </c>
      <c r="G14" s="90">
        <f t="shared" si="2"/>
        <v>-0.10201393698475703</v>
      </c>
      <c r="H14" s="90"/>
      <c r="I14" s="130">
        <f t="shared" si="0"/>
        <v>85015956.15384616</v>
      </c>
      <c r="J14" s="130"/>
      <c r="K14" s="78"/>
      <c r="L14" s="87"/>
      <c r="M14" s="87"/>
      <c r="N14" s="79"/>
      <c r="O14" s="89"/>
      <c r="P14" s="129" t="s">
        <v>97</v>
      </c>
      <c r="Q14" s="116">
        <v>552603715</v>
      </c>
      <c r="R14" s="116">
        <v>787993852866</v>
      </c>
      <c r="S14" s="116">
        <v>6.5</v>
      </c>
      <c r="T14" s="130">
        <f t="shared" si="1"/>
        <v>85015956.15384616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23100181.636363637</v>
      </c>
      <c r="G15" s="90">
        <f t="shared" si="2"/>
        <v>-0.16395127251854846</v>
      </c>
      <c r="H15" s="90"/>
      <c r="I15" s="130">
        <f t="shared" si="0"/>
        <v>83175776.759410799</v>
      </c>
      <c r="J15" s="130"/>
      <c r="K15" s="78"/>
      <c r="L15" s="87"/>
      <c r="M15" s="87"/>
      <c r="N15" s="79"/>
      <c r="O15" s="89"/>
      <c r="P15" s="129" t="s">
        <v>98</v>
      </c>
      <c r="Q15" s="116">
        <v>508203996</v>
      </c>
      <c r="R15" s="116">
        <v>704412028498</v>
      </c>
      <c r="S15" s="116">
        <v>6.11</v>
      </c>
      <c r="T15" s="130">
        <f t="shared" si="1"/>
        <v>83175776.759410799</v>
      </c>
      <c r="U15" s="78"/>
    </row>
    <row r="16" spans="1:21" ht="15" hidden="1" customHeight="1">
      <c r="A16" s="129" t="s">
        <v>99</v>
      </c>
      <c r="B16" s="131">
        <f>F14+F15+F16</f>
        <v>78040862.204545453</v>
      </c>
      <c r="C16" s="131">
        <f>AVERAGE(F14:F16)</f>
        <v>26013620.734848484</v>
      </c>
      <c r="D16" s="90">
        <f>C16/C13-1</f>
        <v>-8.1752752361819447E-2</v>
      </c>
      <c r="E16" s="90"/>
      <c r="F16" s="78">
        <f>Q16/22</f>
        <v>27310494.818181816</v>
      </c>
      <c r="G16" s="90">
        <f t="shared" si="2"/>
        <v>0.18226320676156194</v>
      </c>
      <c r="H16" s="90"/>
      <c r="I16" s="130">
        <f t="shared" si="0"/>
        <v>85588445.299145311</v>
      </c>
      <c r="J16" s="130"/>
      <c r="K16" s="78">
        <f>R14+R15+R16</f>
        <v>2279025464433</v>
      </c>
      <c r="L16" s="87">
        <f>U16/U13-1</f>
        <v>-6.5743262557071636E-2</v>
      </c>
      <c r="M16" s="87"/>
      <c r="N16" s="88">
        <f>AVERAGE(T14:T16)</f>
        <v>84593392.737467423</v>
      </c>
      <c r="O16" s="89">
        <f>N16/N13-1</f>
        <v>-2.8893577773949519E-2</v>
      </c>
      <c r="P16" s="129" t="s">
        <v>99</v>
      </c>
      <c r="Q16" s="116">
        <v>600830886</v>
      </c>
      <c r="R16" s="116">
        <v>786619583069</v>
      </c>
      <c r="S16" s="116">
        <v>7.02</v>
      </c>
      <c r="T16" s="130">
        <f t="shared" si="1"/>
        <v>85588445.299145311</v>
      </c>
      <c r="U16" s="85">
        <f>Q14+Q15+Q16</f>
        <v>1661638597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25819846.300000001</v>
      </c>
      <c r="G17" s="90">
        <f t="shared" si="2"/>
        <v>-5.4581527288528831E-2</v>
      </c>
      <c r="H17" s="90">
        <f t="shared" ref="H17:H34" si="3">F17/F5-1</f>
        <v>-0.11885597899517608</v>
      </c>
      <c r="I17" s="130">
        <f t="shared" si="0"/>
        <v>81708374.367088601</v>
      </c>
      <c r="J17" s="130">
        <f t="shared" ref="J17:J49" si="4">I17/I5-1</f>
        <v>-1.8472482931335521E-2</v>
      </c>
      <c r="K17" s="78"/>
      <c r="L17" s="87"/>
      <c r="M17" s="87"/>
      <c r="N17" s="79"/>
      <c r="O17" s="89"/>
      <c r="P17" s="129" t="s">
        <v>100</v>
      </c>
      <c r="Q17" s="116">
        <v>516396926</v>
      </c>
      <c r="R17" s="116">
        <v>648952216187</v>
      </c>
      <c r="S17" s="116">
        <v>6.32</v>
      </c>
      <c r="T17" s="130">
        <f t="shared" si="1"/>
        <v>81708374.367088601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30323528.550000001</v>
      </c>
      <c r="G18" s="90">
        <f t="shared" si="2"/>
        <v>0.17442715179911827</v>
      </c>
      <c r="H18" s="90">
        <f t="shared" si="3"/>
        <v>7.1492491898718313E-2</v>
      </c>
      <c r="I18" s="130">
        <f t="shared" si="0"/>
        <v>86886901.289398283</v>
      </c>
      <c r="J18" s="130">
        <f t="shared" si="4"/>
        <v>4.7272190426318028E-2</v>
      </c>
      <c r="K18" s="78"/>
      <c r="L18" s="87"/>
      <c r="M18" s="87"/>
      <c r="N18" s="79"/>
      <c r="O18" s="89"/>
      <c r="P18" s="129" t="s">
        <v>106</v>
      </c>
      <c r="Q18" s="116">
        <v>606470571</v>
      </c>
      <c r="R18" s="116">
        <v>761595932087</v>
      </c>
      <c r="S18" s="116">
        <v>6.98</v>
      </c>
      <c r="T18" s="130">
        <f t="shared" si="1"/>
        <v>86886901.289398283</v>
      </c>
      <c r="U18" s="78"/>
    </row>
    <row r="19" spans="1:21" hidden="1">
      <c r="A19" s="129" t="s">
        <v>114</v>
      </c>
      <c r="B19" s="131">
        <f>SUM(F17:F19)</f>
        <v>83300753.759090915</v>
      </c>
      <c r="C19" s="131">
        <f>AVERAGE(F17:F19)</f>
        <v>27766917.919696972</v>
      </c>
      <c r="D19" s="90">
        <f>C19/C16-1</f>
        <v>6.7399198393775617E-2</v>
      </c>
      <c r="E19" s="90">
        <f>C19/C7-1</f>
        <v>-3.8187313645884569E-2</v>
      </c>
      <c r="F19" s="78">
        <f>Q19/22</f>
        <v>27157378.90909091</v>
      </c>
      <c r="G19" s="90">
        <f t="shared" si="2"/>
        <v>-0.10441230926303569</v>
      </c>
      <c r="H19" s="90">
        <f t="shared" si="3"/>
        <v>-6.3705638628566708E-2</v>
      </c>
      <c r="I19" s="130">
        <f t="shared" si="0"/>
        <v>84031270.886075944</v>
      </c>
      <c r="J19" s="130">
        <f t="shared" si="4"/>
        <v>-1.812762419765912E-3</v>
      </c>
      <c r="K19" s="78">
        <f>R17+R18+R19</f>
        <v>2191829461629</v>
      </c>
      <c r="L19" s="87">
        <f>U19/U16-1</f>
        <v>3.5321300375402931E-2</v>
      </c>
      <c r="M19" s="87">
        <f>U19/U7-1</f>
        <v>-7.6383605612357908E-3</v>
      </c>
      <c r="N19" s="88">
        <f>AVERAGE(T17:T19)</f>
        <v>84208848.847520933</v>
      </c>
      <c r="O19" s="89">
        <f>N19/N16-1</f>
        <v>-4.5457910777961796E-3</v>
      </c>
      <c r="P19" s="129" t="s">
        <v>115</v>
      </c>
      <c r="Q19" s="116">
        <v>597462336</v>
      </c>
      <c r="R19" s="116">
        <v>781281313355</v>
      </c>
      <c r="S19" s="116">
        <v>7.11</v>
      </c>
      <c r="T19" s="130">
        <f t="shared" si="1"/>
        <v>84031270.886075944</v>
      </c>
      <c r="U19" s="85">
        <f>Q17+Q18+Q19</f>
        <v>1720329833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28977429.949999999</v>
      </c>
      <c r="G20" s="90">
        <f t="shared" si="2"/>
        <v>6.7018656218690742E-2</v>
      </c>
      <c r="H20" s="90">
        <f t="shared" si="3"/>
        <v>-1.5171254016006497E-3</v>
      </c>
      <c r="I20" s="130">
        <f t="shared" si="0"/>
        <v>85353254.639175251</v>
      </c>
      <c r="J20" s="130">
        <f t="shared" si="4"/>
        <v>2.2361313495801172E-2</v>
      </c>
      <c r="K20" s="78"/>
      <c r="L20" s="87"/>
      <c r="M20" s="87"/>
      <c r="N20" s="79"/>
      <c r="O20" s="89"/>
      <c r="P20" s="129" t="s">
        <v>132</v>
      </c>
      <c r="Q20" s="116">
        <v>579548599</v>
      </c>
      <c r="R20" s="116">
        <v>759762966381</v>
      </c>
      <c r="S20" s="116">
        <v>6.79</v>
      </c>
      <c r="T20" s="130">
        <f t="shared" si="1"/>
        <v>85353254.639175251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28654157.523809522</v>
      </c>
      <c r="G21" s="90">
        <f t="shared" si="2"/>
        <v>-1.1156007511648802E-2</v>
      </c>
      <c r="H21" s="90">
        <f t="shared" si="3"/>
        <v>2.867180512419365E-2</v>
      </c>
      <c r="I21" s="130">
        <f t="shared" si="0"/>
        <v>85595634.139402553</v>
      </c>
      <c r="J21" s="130">
        <f t="shared" si="4"/>
        <v>1.1112684695330888E-2</v>
      </c>
      <c r="K21" s="78"/>
      <c r="L21" s="87"/>
      <c r="M21" s="87"/>
      <c r="N21" s="79"/>
      <c r="O21" s="89"/>
      <c r="P21" s="129" t="s">
        <v>141</v>
      </c>
      <c r="Q21" s="116">
        <v>601737308</v>
      </c>
      <c r="R21" s="116">
        <v>801185856463</v>
      </c>
      <c r="S21" s="116">
        <v>7.03</v>
      </c>
      <c r="T21" s="130">
        <f t="shared" si="1"/>
        <v>85595634.139402553</v>
      </c>
      <c r="U21" s="78"/>
    </row>
    <row r="22" spans="1:21" hidden="1">
      <c r="A22" s="129" t="s">
        <v>155</v>
      </c>
      <c r="B22" s="131">
        <f>SUM(F20:F22)</f>
        <v>86359077.283333331</v>
      </c>
      <c r="C22" s="131">
        <f>AVERAGE(F20:F22)</f>
        <v>28786359.094444443</v>
      </c>
      <c r="D22" s="90">
        <f>C22/C19-1</f>
        <v>3.6714235901000425E-2</v>
      </c>
      <c r="E22" s="90">
        <f>C22/C10-1</f>
        <v>-5.4885092247414224E-4</v>
      </c>
      <c r="F22" s="78">
        <f>Q22/21</f>
        <v>28727489.80952381</v>
      </c>
      <c r="G22" s="90">
        <f t="shared" si="2"/>
        <v>2.5592197451052012E-3</v>
      </c>
      <c r="H22" s="90">
        <f t="shared" si="3"/>
        <v>-2.7161342750052331E-2</v>
      </c>
      <c r="I22" s="130">
        <f t="shared" si="0"/>
        <v>86802487.194244608</v>
      </c>
      <c r="J22" s="130">
        <f t="shared" si="4"/>
        <v>-2.1562271341419414E-2</v>
      </c>
      <c r="K22" s="78">
        <f>R20+R21+R22</f>
        <v>2345168161216</v>
      </c>
      <c r="L22" s="87">
        <f>U22/U19-1</f>
        <v>3.7337816718545414E-2</v>
      </c>
      <c r="M22" s="87">
        <f>U22/U10-1</f>
        <v>-1.6518454963507789E-2</v>
      </c>
      <c r="N22" s="88">
        <f>AVERAGE(T20:T22)</f>
        <v>85917125.324274138</v>
      </c>
      <c r="O22" s="89">
        <f>N22/N19-1</f>
        <v>2.0286187260989852E-2</v>
      </c>
      <c r="P22" s="129" t="s">
        <v>155</v>
      </c>
      <c r="Q22" s="116">
        <v>603277286</v>
      </c>
      <c r="R22" s="116">
        <v>784219338372</v>
      </c>
      <c r="S22" s="116">
        <v>6.95</v>
      </c>
      <c r="T22" s="130">
        <f t="shared" si="1"/>
        <v>86802487.194244608</v>
      </c>
      <c r="U22" s="85">
        <f>Q20+Q21+Q22</f>
        <v>1784563193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28709749.714285713</v>
      </c>
      <c r="G23" s="90">
        <f t="shared" si="2"/>
        <v>-6.1753029435296369E-4</v>
      </c>
      <c r="H23" s="90">
        <f t="shared" si="3"/>
        <v>-3.1750443790937943E-2</v>
      </c>
      <c r="I23" s="130">
        <f t="shared" si="0"/>
        <v>87759060.262008727</v>
      </c>
      <c r="J23" s="130">
        <f t="shared" si="4"/>
        <v>-9.2002357860688777E-3</v>
      </c>
      <c r="K23" s="78"/>
      <c r="L23" s="87"/>
      <c r="M23" s="87"/>
      <c r="N23" s="79"/>
      <c r="O23" s="89"/>
      <c r="P23" s="129" t="s">
        <v>189</v>
      </c>
      <c r="Q23" s="116">
        <v>602904744</v>
      </c>
      <c r="R23" s="116">
        <v>778529020613</v>
      </c>
      <c r="S23" s="116">
        <v>6.87</v>
      </c>
      <c r="T23" s="130">
        <f t="shared" si="1"/>
        <v>87759060.262008727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27773540.818181816</v>
      </c>
      <c r="G24" s="90">
        <f t="shared" si="2"/>
        <v>-3.2609441232364644E-2</v>
      </c>
      <c r="H24" s="90">
        <f t="shared" si="3"/>
        <v>0.13044426059095482</v>
      </c>
      <c r="I24" s="130">
        <f t="shared" si="0"/>
        <v>84745894.31345354</v>
      </c>
      <c r="J24" s="130">
        <f t="shared" si="4"/>
        <v>3.0990049518608842E-4</v>
      </c>
      <c r="K24" s="78"/>
      <c r="L24" s="87"/>
      <c r="M24" s="87"/>
      <c r="N24" s="79"/>
      <c r="O24" s="89"/>
      <c r="P24" s="129" t="s">
        <v>204</v>
      </c>
      <c r="Q24" s="116">
        <v>611017898</v>
      </c>
      <c r="R24" s="116">
        <v>803775928723</v>
      </c>
      <c r="S24" s="116">
        <v>7.21</v>
      </c>
      <c r="T24" s="130">
        <f t="shared" si="1"/>
        <v>84745894.31345354</v>
      </c>
      <c r="U24" s="78"/>
    </row>
    <row r="25" spans="1:21" s="92" customFormat="1" ht="13.2" hidden="1">
      <c r="A25" s="129" t="s">
        <v>217</v>
      </c>
      <c r="B25" s="131">
        <f>SUM(F23:F25)</f>
        <v>87318246.164046481</v>
      </c>
      <c r="C25" s="131">
        <f>AVERAGE(F23:F25)</f>
        <v>29106082.054682162</v>
      </c>
      <c r="D25" s="90">
        <f>C25/C22-1</f>
        <v>1.1106752305449552E-2</v>
      </c>
      <c r="E25" s="90">
        <f>C25/C13-1</f>
        <v>2.7407142153008879E-2</v>
      </c>
      <c r="F25" s="78">
        <f>Q25/19</f>
        <v>30834955.631578948</v>
      </c>
      <c r="G25" s="90">
        <f t="shared" si="2"/>
        <v>0.11022774638057631</v>
      </c>
      <c r="H25" s="90">
        <f t="shared" si="3"/>
        <v>2.1416671384943964E-3</v>
      </c>
      <c r="I25" s="130">
        <f t="shared" si="0"/>
        <v>87052623.625557199</v>
      </c>
      <c r="J25" s="130">
        <f t="shared" si="4"/>
        <v>-1.1185476874714384E-2</v>
      </c>
      <c r="K25" s="78">
        <f>R23+R24+R25</f>
        <v>2359740477235</v>
      </c>
      <c r="L25" s="90">
        <f>U25/U22-1</f>
        <v>8.530718362742773E-3</v>
      </c>
      <c r="M25" s="90">
        <f>U25/U13-1</f>
        <v>1.1930600289607796E-2</v>
      </c>
      <c r="N25" s="88">
        <f>AVERAGE(T23:T25)</f>
        <v>86519192.733673155</v>
      </c>
      <c r="O25" s="91">
        <f>N25/N22-1</f>
        <v>7.0075367061765981E-3</v>
      </c>
      <c r="P25" s="129" t="s">
        <v>217</v>
      </c>
      <c r="Q25" s="116">
        <v>585864157</v>
      </c>
      <c r="R25" s="116">
        <v>777435527899</v>
      </c>
      <c r="S25" s="116">
        <v>6.73</v>
      </c>
      <c r="T25" s="130">
        <f t="shared" si="1"/>
        <v>87052623.625557199</v>
      </c>
      <c r="U25" s="85">
        <f>Q23+Q24+Q25</f>
        <v>1799786799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28060906.315789472</v>
      </c>
      <c r="G26" s="90">
        <f t="shared" si="2"/>
        <v>-8.9964433512869868E-2</v>
      </c>
      <c r="H26" s="90">
        <f t="shared" si="3"/>
        <v>1.5588768374076967E-2</v>
      </c>
      <c r="I26" s="130">
        <f t="shared" si="0"/>
        <v>85305155.200000003</v>
      </c>
      <c r="J26" s="130">
        <f t="shared" si="4"/>
        <v>3.4017031535880093E-3</v>
      </c>
      <c r="K26" s="78"/>
      <c r="L26" s="90"/>
      <c r="M26" s="90"/>
      <c r="N26" s="79"/>
      <c r="O26" s="79"/>
      <c r="P26" s="129" t="s">
        <v>312</v>
      </c>
      <c r="Q26" s="116">
        <v>533157220</v>
      </c>
      <c r="R26" s="116">
        <v>718820009476</v>
      </c>
      <c r="S26" s="116">
        <v>6.25</v>
      </c>
      <c r="T26" s="130">
        <f t="shared" si="1"/>
        <v>85305155.200000003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25946580.772727273</v>
      </c>
      <c r="G27" s="90">
        <f t="shared" si="2"/>
        <v>-7.5347728233300049E-2</v>
      </c>
      <c r="H27" s="90">
        <f t="shared" si="3"/>
        <v>0.12321977295117525</v>
      </c>
      <c r="I27" s="130">
        <f t="shared" si="0"/>
        <v>87415739.203675345</v>
      </c>
      <c r="J27" s="130">
        <f t="shared" si="4"/>
        <v>5.0975928442830165E-2</v>
      </c>
      <c r="K27" s="78"/>
      <c r="L27" s="90"/>
      <c r="M27" s="90"/>
      <c r="N27" s="79"/>
      <c r="O27" s="79"/>
      <c r="P27" s="129" t="s">
        <v>373</v>
      </c>
      <c r="Q27" s="116">
        <v>570824777</v>
      </c>
      <c r="R27" s="116">
        <v>754082401532</v>
      </c>
      <c r="S27" s="116">
        <v>6.53</v>
      </c>
      <c r="T27" s="130">
        <f t="shared" si="1"/>
        <v>87415739.203675345</v>
      </c>
      <c r="U27" s="78"/>
    </row>
    <row r="28" spans="1:21" s="92" customFormat="1" ht="13.2" hidden="1">
      <c r="A28" s="123" t="s">
        <v>413</v>
      </c>
      <c r="B28" s="131">
        <f>SUM(F26:F28)</f>
        <v>84629336.614832535</v>
      </c>
      <c r="C28" s="131">
        <f>AVERAGE(F26:F28)</f>
        <v>28209778.871610846</v>
      </c>
      <c r="D28" s="90">
        <f>C28/C25-1</f>
        <v>-3.0794360484087568E-2</v>
      </c>
      <c r="E28" s="90">
        <f>C28/C16-1</f>
        <v>8.4423393388692425E-2</v>
      </c>
      <c r="F28" s="78">
        <f>Q28/19</f>
        <v>30621849.52631579</v>
      </c>
      <c r="G28" s="90">
        <f t="shared" si="2"/>
        <v>0.18018824116134557</v>
      </c>
      <c r="H28" s="90">
        <f t="shared" si="3"/>
        <v>0.12124843325538937</v>
      </c>
      <c r="I28" s="130">
        <f t="shared" si="0"/>
        <v>86579634.077380955</v>
      </c>
      <c r="J28" s="130">
        <f t="shared" si="4"/>
        <v>1.1580871398835235E-2</v>
      </c>
      <c r="K28" s="78">
        <f>R26+R27+R28</f>
        <v>2231543992920</v>
      </c>
      <c r="L28" s="90">
        <f>U28/U25-1</f>
        <v>-6.3335091169318014E-2</v>
      </c>
      <c r="M28" s="90">
        <f>U28/U16-1</f>
        <v>1.4538986421967381E-2</v>
      </c>
      <c r="N28" s="88">
        <f>AVERAGE(T26:T28)</f>
        <v>86433509.493685439</v>
      </c>
      <c r="O28" s="91">
        <f>N28/N25-1</f>
        <v>-9.9033795023339977E-4</v>
      </c>
      <c r="P28" s="129" t="s">
        <v>413</v>
      </c>
      <c r="Q28" s="116">
        <v>581815141</v>
      </c>
      <c r="R28" s="116">
        <v>758641581912</v>
      </c>
      <c r="S28" s="116">
        <v>6.72</v>
      </c>
      <c r="T28" s="130">
        <f t="shared" si="1"/>
        <v>86579634.077380955</v>
      </c>
      <c r="U28" s="85">
        <f>Q26+Q27+Q28</f>
        <v>1685797138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26802716.5</v>
      </c>
      <c r="G29" s="190">
        <f t="shared" si="2"/>
        <v>-0.12471921472390834</v>
      </c>
      <c r="H29" s="190">
        <f t="shared" si="3"/>
        <v>3.8066462076499663E-2</v>
      </c>
      <c r="I29" s="130">
        <f t="shared" si="0"/>
        <v>8.5343445997244132</v>
      </c>
      <c r="J29" s="130">
        <f t="shared" si="4"/>
        <v>-0.99999989555116398</v>
      </c>
      <c r="K29" s="136"/>
      <c r="L29" s="190"/>
      <c r="M29" s="190"/>
      <c r="N29" s="191"/>
      <c r="O29" s="192"/>
      <c r="P29" s="129" t="s">
        <v>426</v>
      </c>
      <c r="Q29" s="116">
        <v>589659763</v>
      </c>
      <c r="R29" s="116">
        <v>776298894882</v>
      </c>
      <c r="S29" s="116">
        <v>69092565.469999999</v>
      </c>
      <c r="T29" s="130">
        <f t="shared" si="1"/>
        <v>8.5343445997244132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33022423.684210528</v>
      </c>
      <c r="G30" s="190">
        <f t="shared" si="2"/>
        <v>0.23205510472084145</v>
      </c>
      <c r="H30" s="190">
        <f t="shared" si="3"/>
        <v>8.9003333822459396E-2</v>
      </c>
      <c r="I30" s="130">
        <f t="shared" si="0"/>
        <v>8.8707342198406156</v>
      </c>
      <c r="J30" s="130">
        <f t="shared" si="4"/>
        <v>-0.99999989790481547</v>
      </c>
      <c r="K30" s="136"/>
      <c r="L30" s="190"/>
      <c r="M30" s="190"/>
      <c r="N30" s="191"/>
      <c r="O30" s="192"/>
      <c r="P30" s="129" t="s">
        <v>466</v>
      </c>
      <c r="Q30" s="116">
        <v>627426050</v>
      </c>
      <c r="R30" s="116">
        <v>836210310003</v>
      </c>
      <c r="S30" s="116">
        <v>70729889.370000005</v>
      </c>
      <c r="T30" s="130">
        <f t="shared" si="1"/>
        <v>8.8707342198406156</v>
      </c>
      <c r="U30" s="85"/>
    </row>
    <row r="31" spans="1:21" s="92" customFormat="1" ht="13.2">
      <c r="A31" s="129" t="s">
        <v>505</v>
      </c>
      <c r="B31" s="188">
        <f>SUM(F29:F31)</f>
        <v>90298375.834210515</v>
      </c>
      <c r="C31" s="188">
        <f>AVERAGE(F29:F31)</f>
        <v>30099458.611403506</v>
      </c>
      <c r="D31" s="190">
        <f>C31/C28-1</f>
        <v>6.6986690976665431E-2</v>
      </c>
      <c r="E31" s="190">
        <f>C31/C19-1</f>
        <v>8.4004306796034545E-2</v>
      </c>
      <c r="F31" s="136">
        <f>Q31/20</f>
        <v>30473235.649999999</v>
      </c>
      <c r="G31" s="190">
        <f t="shared" si="2"/>
        <v>-7.7195667361914633E-2</v>
      </c>
      <c r="H31" s="190">
        <f t="shared" si="3"/>
        <v>0.12209781923391394</v>
      </c>
      <c r="I31" s="130">
        <f t="shared" si="0"/>
        <v>8.4292436486683808</v>
      </c>
      <c r="J31" s="130">
        <f t="shared" si="4"/>
        <v>-0.99999989968920422</v>
      </c>
      <c r="K31" s="136">
        <f>R29+R30+R31</f>
        <v>2422149729399</v>
      </c>
      <c r="L31" s="190">
        <f>U31/U28-1</f>
        <v>8.34936688568515E-2</v>
      </c>
      <c r="M31" s="190">
        <f>U31/U19-1</f>
        <v>6.1744376550610047E-2</v>
      </c>
      <c r="N31" s="191">
        <f>AVERAGE(T29:T31)</f>
        <v>8.6114408227444699</v>
      </c>
      <c r="O31" s="192">
        <f>N31/N28-1</f>
        <v>-0.99999990036918696</v>
      </c>
      <c r="P31" s="129" t="s">
        <v>505</v>
      </c>
      <c r="Q31" s="116">
        <v>609464713</v>
      </c>
      <c r="R31" s="116">
        <v>809640524514</v>
      </c>
      <c r="S31" s="116">
        <v>72303606.159999996</v>
      </c>
      <c r="T31" s="130">
        <f t="shared" si="1"/>
        <v>8.4292436486683808</v>
      </c>
      <c r="U31" s="85">
        <f>Q29+Q30+Q31</f>
        <v>1826550526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30170102</v>
      </c>
      <c r="G32" s="190">
        <f t="shared" si="2"/>
        <v>-9.9475373564408276E-3</v>
      </c>
      <c r="H32" s="190">
        <f t="shared" si="3"/>
        <v>4.1158655272670375E-2</v>
      </c>
      <c r="I32" s="130">
        <f t="shared" si="0"/>
        <v>8.452830905497775</v>
      </c>
      <c r="J32" s="130">
        <f t="shared" si="4"/>
        <v>-0.99999990096650748</v>
      </c>
      <c r="K32" s="136"/>
      <c r="L32" s="190"/>
      <c r="M32" s="190"/>
      <c r="N32" s="191"/>
      <c r="O32" s="192"/>
      <c r="P32" s="129" t="s">
        <v>561</v>
      </c>
      <c r="Q32" s="116">
        <v>633572142</v>
      </c>
      <c r="R32" s="116">
        <v>861457417200</v>
      </c>
      <c r="S32" s="116">
        <v>74953840.799999997</v>
      </c>
      <c r="T32" s="130">
        <f t="shared" si="1"/>
        <v>8.452830905497775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25513883.428571429</v>
      </c>
      <c r="G33" s="190">
        <f t="shared" si="2"/>
        <v>-0.15433221178465262</v>
      </c>
      <c r="H33" s="190">
        <f t="shared" si="3"/>
        <v>-0.10959226746166773</v>
      </c>
      <c r="I33" s="130">
        <f t="shared" si="0"/>
        <v>8.2837575327387025</v>
      </c>
      <c r="J33" s="130">
        <f t="shared" si="4"/>
        <v>-0.99999990322219567</v>
      </c>
      <c r="K33" s="136"/>
      <c r="L33" s="190"/>
      <c r="M33" s="190"/>
      <c r="N33" s="191"/>
      <c r="O33" s="192"/>
      <c r="P33" s="129" t="s">
        <v>606</v>
      </c>
      <c r="Q33" s="116">
        <v>535791552</v>
      </c>
      <c r="R33" s="116">
        <v>732490640792</v>
      </c>
      <c r="S33" s="116">
        <v>64679772.420000002</v>
      </c>
      <c r="T33" s="130">
        <f t="shared" si="1"/>
        <v>8.2837575327387025</v>
      </c>
      <c r="U33" s="85"/>
    </row>
    <row r="34" spans="1:21" s="92" customFormat="1" ht="13.2">
      <c r="A34" s="129" t="s">
        <v>652</v>
      </c>
      <c r="B34" s="188">
        <f>SUM(F32:F34)</f>
        <v>84420983.902255639</v>
      </c>
      <c r="C34" s="188">
        <f>AVERAGE(F32:F34)</f>
        <v>28140327.967418548</v>
      </c>
      <c r="D34" s="190">
        <f>C34/C31-1</f>
        <v>-6.5088567514723361E-2</v>
      </c>
      <c r="E34" s="190">
        <f>C34/C22-1</f>
        <v>-2.2442265967236308E-2</v>
      </c>
      <c r="F34" s="136">
        <f>Q34/19</f>
        <v>28736998.47368421</v>
      </c>
      <c r="G34" s="190">
        <f t="shared" si="2"/>
        <v>0.12632788944639506</v>
      </c>
      <c r="H34" s="190">
        <f t="shared" si="3"/>
        <v>3.3099530183267056E-4</v>
      </c>
      <c r="I34" s="130">
        <f t="shared" si="0"/>
        <v>8.5037951033344044</v>
      </c>
      <c r="J34" s="130">
        <f t="shared" si="4"/>
        <v>-0.99999990203281752</v>
      </c>
      <c r="K34" s="136">
        <f>R32+R33+R34</f>
        <v>2344548745955</v>
      </c>
      <c r="L34" s="190">
        <f>U34/U31-1</f>
        <v>-6.0870947404605191E-2</v>
      </c>
      <c r="M34" s="190">
        <f>U34/U22-1</f>
        <v>-3.877505053977659E-2</v>
      </c>
      <c r="N34" s="191">
        <f>AVERAGE(T32:T34)</f>
        <v>8.4134611805236279</v>
      </c>
      <c r="O34" s="192">
        <f>N34/N31-1</f>
        <v>-2.2990303980019222E-2</v>
      </c>
      <c r="P34" s="129" t="s">
        <v>652</v>
      </c>
      <c r="Q34" s="116">
        <v>546002971</v>
      </c>
      <c r="R34" s="116">
        <v>750600687963</v>
      </c>
      <c r="S34" s="116">
        <v>64206976.340000004</v>
      </c>
      <c r="T34" s="130">
        <f t="shared" si="1"/>
        <v>8.5037951033344044</v>
      </c>
      <c r="U34" s="85">
        <f>Q32+Q33+Q34</f>
        <v>1715366665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29049485.695652176</v>
      </c>
      <c r="G35" s="190">
        <f t="shared" ref="G35" si="5">F35/F34-1</f>
        <v>1.087403829784539E-2</v>
      </c>
      <c r="H35" s="190">
        <f t="shared" ref="H35" si="6">F35/F23-1</f>
        <v>1.1833470676249513E-2</v>
      </c>
      <c r="I35" s="130">
        <f t="shared" si="0"/>
        <v>8.5268194672397293</v>
      </c>
      <c r="J35" s="130">
        <f t="shared" si="4"/>
        <v>-0.9999999028383002</v>
      </c>
      <c r="K35" s="136"/>
      <c r="L35" s="190"/>
      <c r="M35" s="190"/>
      <c r="N35" s="191"/>
      <c r="O35" s="192"/>
      <c r="P35" s="129" t="s">
        <v>660</v>
      </c>
      <c r="Q35" s="116">
        <v>668138171</v>
      </c>
      <c r="R35" s="116">
        <v>924703975566</v>
      </c>
      <c r="S35" s="116">
        <v>78357255.430000007</v>
      </c>
      <c r="T35" s="130">
        <f t="shared" ref="T35" si="7">Q35/S35</f>
        <v>8.5268194672397293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28856846.285714287</v>
      </c>
      <c r="G36" s="190">
        <f t="shared" ref="G36" si="8">F36/F35-1</f>
        <v>-6.6314223926766669E-3</v>
      </c>
      <c r="H36" s="190">
        <f t="shared" ref="H36" si="9">F36/F24-1</f>
        <v>3.9004946276899988E-2</v>
      </c>
      <c r="I36" s="130">
        <f t="shared" si="0"/>
        <v>8.4917286951235553</v>
      </c>
      <c r="J36" s="130">
        <f t="shared" si="4"/>
        <v>-0.99999989979775705</v>
      </c>
      <c r="K36" s="136"/>
      <c r="L36" s="190"/>
      <c r="M36" s="190"/>
      <c r="N36" s="191"/>
      <c r="O36" s="192"/>
      <c r="P36" s="129" t="s">
        <v>664</v>
      </c>
      <c r="Q36" s="116">
        <v>605993772</v>
      </c>
      <c r="R36" s="116">
        <v>826677638789</v>
      </c>
      <c r="S36" s="116">
        <v>71362827.730000004</v>
      </c>
      <c r="T36" s="130">
        <f t="shared" ref="T36" si="10">Q36/S36</f>
        <v>8.4917286951235553</v>
      </c>
      <c r="U36" s="85"/>
    </row>
    <row r="37" spans="1:21" s="92" customFormat="1" ht="13.2">
      <c r="A37" s="129" t="s">
        <v>702</v>
      </c>
      <c r="B37" s="188">
        <f>SUM(F35:F37)</f>
        <v>89609251.814699799</v>
      </c>
      <c r="C37" s="188">
        <f>AVERAGE(F35:F37)</f>
        <v>29869750.604899932</v>
      </c>
      <c r="D37" s="190">
        <f>C37/C34-1</f>
        <v>6.1457088896893719E-2</v>
      </c>
      <c r="E37" s="190">
        <f>C37/C25-1</f>
        <v>2.6237421745154643E-2</v>
      </c>
      <c r="F37" s="136">
        <f>Q37/18</f>
        <v>31702919.833333332</v>
      </c>
      <c r="G37" s="190">
        <f t="shared" ref="G37" si="11">F37/F36-1</f>
        <v>9.8627324671580752E-2</v>
      </c>
      <c r="H37" s="190">
        <f t="shared" ref="H37" si="12">F37/F25-1</f>
        <v>2.814870928062807E-2</v>
      </c>
      <c r="I37" s="130">
        <f t="shared" si="0"/>
        <v>8.3965622487891043</v>
      </c>
      <c r="J37" s="130">
        <f t="shared" si="4"/>
        <v>-0.99999990354613222</v>
      </c>
      <c r="K37" s="136">
        <f>R35+R36+R37</f>
        <v>2512934409519</v>
      </c>
      <c r="L37" s="190">
        <f>U37/U34-1</f>
        <v>7.5446164158728068E-2</v>
      </c>
      <c r="M37" s="190">
        <f>U37/U25-1</f>
        <v>2.5001684102251343E-2</v>
      </c>
      <c r="N37" s="191">
        <f>AVERAGE(T35:T37)</f>
        <v>8.4717034703841296</v>
      </c>
      <c r="O37" s="192">
        <f>N37/N34-1</f>
        <v>6.9225124607845689E-3</v>
      </c>
      <c r="P37" s="129" t="s">
        <v>702</v>
      </c>
      <c r="Q37" s="116">
        <v>570652557</v>
      </c>
      <c r="R37" s="116">
        <v>761552795164</v>
      </c>
      <c r="S37" s="116">
        <v>67962642.340000004</v>
      </c>
      <c r="T37" s="130">
        <f t="shared" ref="T37" si="13">Q37/S37</f>
        <v>8.3965622487891043</v>
      </c>
      <c r="U37" s="85">
        <f>Q35+Q36+Q37</f>
        <v>1844784500</v>
      </c>
    </row>
    <row r="38" spans="1:21" s="92" customFormat="1" ht="13.2">
      <c r="A38" s="129" t="s">
        <v>727</v>
      </c>
      <c r="B38" s="188"/>
      <c r="C38" s="188"/>
      <c r="D38" s="190"/>
      <c r="E38" s="190"/>
      <c r="F38" s="136">
        <f>Q38/20</f>
        <v>28003363.800000001</v>
      </c>
      <c r="G38" s="190">
        <f t="shared" ref="G38" si="14">F38/F37-1</f>
        <v>-0.11669448911275093</v>
      </c>
      <c r="H38" s="190">
        <f t="shared" ref="H38" si="15">F38/F26-1</f>
        <v>-2.0506292684172589E-3</v>
      </c>
      <c r="I38" s="130">
        <f t="shared" si="0"/>
        <v>8.4547343350500928</v>
      </c>
      <c r="J38" s="130">
        <f t="shared" si="4"/>
        <v>-0.99999990088835411</v>
      </c>
      <c r="K38" s="136"/>
      <c r="L38" s="190"/>
      <c r="M38" s="190"/>
      <c r="N38" s="191"/>
      <c r="O38" s="192"/>
      <c r="P38" s="129" t="s">
        <v>727</v>
      </c>
      <c r="Q38" s="116">
        <v>560067276</v>
      </c>
      <c r="R38" s="116">
        <v>754854536034</v>
      </c>
      <c r="S38" s="116">
        <v>66243036.600000001</v>
      </c>
      <c r="T38" s="130">
        <f t="shared" ref="T38" si="16">Q38/S38</f>
        <v>8.4547343350500928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25669186.476190478</v>
      </c>
      <c r="G39" s="190">
        <f t="shared" ref="G39" si="17">F39/F38-1</f>
        <v>-8.335346212262984E-2</v>
      </c>
      <c r="H39" s="190">
        <f t="shared" ref="H39" si="18">F39/F27-1</f>
        <v>-1.0690976933206087E-2</v>
      </c>
      <c r="I39" s="130">
        <f t="shared" si="0"/>
        <v>8.2887650515801408</v>
      </c>
      <c r="J39" s="130">
        <f t="shared" si="4"/>
        <v>-0.99999990517994664</v>
      </c>
      <c r="K39" s="136"/>
      <c r="L39" s="190"/>
      <c r="M39" s="190"/>
      <c r="N39" s="191"/>
      <c r="O39" s="192"/>
      <c r="P39" s="129" t="s">
        <v>762</v>
      </c>
      <c r="Q39" s="116">
        <v>539052916</v>
      </c>
      <c r="R39" s="116">
        <v>749301369296</v>
      </c>
      <c r="S39" s="116">
        <v>65034165.240000002</v>
      </c>
      <c r="T39" s="130">
        <f t="shared" ref="T39" si="19">Q39/S39</f>
        <v>8.2887650515801408</v>
      </c>
      <c r="U39" s="85"/>
    </row>
    <row r="40" spans="1:21" s="92" customFormat="1" ht="13.2">
      <c r="A40" s="129" t="s">
        <v>778</v>
      </c>
      <c r="B40" s="188">
        <f>SUM(F38:F40)</f>
        <v>81568238.847619042</v>
      </c>
      <c r="C40" s="188">
        <f>AVERAGE(F38:F40)</f>
        <v>27189412.949206349</v>
      </c>
      <c r="D40" s="190">
        <f>C40/C37-1</f>
        <v>-8.9734182623335768E-2</v>
      </c>
      <c r="E40" s="190">
        <f>C40/C28-1</f>
        <v>-3.6170645897240727E-2</v>
      </c>
      <c r="F40" s="136">
        <f>Q40/21</f>
        <v>27895688.571428571</v>
      </c>
      <c r="G40" s="190">
        <f t="shared" ref="G40" si="20">F40/F39-1</f>
        <v>8.6738319397199781E-2</v>
      </c>
      <c r="H40" s="190">
        <f t="shared" ref="H40" si="21">F40/F28-1</f>
        <v>-8.9026658972522599E-2</v>
      </c>
      <c r="I40" s="130">
        <f t="shared" si="0"/>
        <v>8.6524427649267697</v>
      </c>
      <c r="J40" s="130">
        <f t="shared" si="4"/>
        <v>-0.99999990006376371</v>
      </c>
      <c r="K40" s="136">
        <f>R38+R39+R40</f>
        <v>2336937108880</v>
      </c>
      <c r="L40" s="190">
        <f>U40/U37-1</f>
        <v>-8.6652315216221742E-2</v>
      </c>
      <c r="M40" s="190">
        <f>U40/U28-1</f>
        <v>-5.1458504730239607E-4</v>
      </c>
      <c r="N40" s="191">
        <f>AVERAGE(T38:T40)</f>
        <v>8.4653140505189999</v>
      </c>
      <c r="O40" s="192">
        <f>N40/N37-1</f>
        <v>-7.542072131615507E-4</v>
      </c>
      <c r="P40" s="129" t="s">
        <v>778</v>
      </c>
      <c r="Q40" s="116">
        <v>585809460</v>
      </c>
      <c r="R40" s="116">
        <v>832781203550</v>
      </c>
      <c r="S40" s="116">
        <v>67704517.200000003</v>
      </c>
      <c r="T40" s="130">
        <f t="shared" ref="T40" si="22">Q40/S40</f>
        <v>8.6524427649267697</v>
      </c>
      <c r="U40" s="85">
        <f>Q38+Q39+Q40</f>
        <v>1684929652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29018506.722222224</v>
      </c>
      <c r="G41" s="190">
        <f t="shared" ref="G41" si="23">F41/F40-1</f>
        <v>4.0250598149553118E-2</v>
      </c>
      <c r="H41" s="190">
        <f t="shared" ref="H41" si="24">F41/F29-1</f>
        <v>8.2670360007062182E-2</v>
      </c>
      <c r="I41" s="130">
        <f t="shared" si="0"/>
        <v>8.775366576416868</v>
      </c>
      <c r="J41" s="130">
        <f t="shared" si="4"/>
        <v>2.8241416066119296E-2</v>
      </c>
      <c r="K41" s="194"/>
      <c r="L41" s="202"/>
      <c r="M41" s="202"/>
      <c r="N41" s="194"/>
      <c r="O41" s="194"/>
      <c r="P41" s="129" t="s">
        <v>792</v>
      </c>
      <c r="Q41" s="116">
        <v>522333121</v>
      </c>
      <c r="R41" s="116">
        <v>764038006787</v>
      </c>
      <c r="S41" s="116">
        <v>59522655.43</v>
      </c>
      <c r="T41" s="130">
        <f t="shared" ref="T41" si="25">Q41/S41</f>
        <v>8.775366576416868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30512235.199999999</v>
      </c>
      <c r="G42" s="190">
        <f t="shared" ref="G42" si="26">F42/F41-1</f>
        <v>5.1475029093550395E-2</v>
      </c>
      <c r="H42" s="190">
        <f t="shared" ref="H42" si="27">F42/F30-1</f>
        <v>-7.6014665313944185E-2</v>
      </c>
      <c r="I42" s="130">
        <f t="shared" si="0"/>
        <v>8.642066544403507</v>
      </c>
      <c r="J42" s="130">
        <f t="shared" si="4"/>
        <v>-2.5777761994679294E-2</v>
      </c>
      <c r="K42" s="194"/>
      <c r="L42" s="202"/>
      <c r="M42" s="202"/>
      <c r="N42" s="194"/>
      <c r="O42" s="194"/>
      <c r="P42" s="129" t="s">
        <v>826</v>
      </c>
      <c r="Q42" s="116">
        <v>610244704</v>
      </c>
      <c r="R42" s="116">
        <v>882414709636</v>
      </c>
      <c r="S42" s="116">
        <v>70613284.549999997</v>
      </c>
      <c r="T42" s="130">
        <f t="shared" ref="T42" si="28">Q42/S42</f>
        <v>8.642066544403507</v>
      </c>
      <c r="U42" s="175"/>
    </row>
    <row r="43" spans="1:21" s="92" customFormat="1" ht="13.2">
      <c r="A43" s="129" t="s">
        <v>835</v>
      </c>
      <c r="B43" s="188">
        <f>SUM(F41:F43)</f>
        <v>90641464.62222223</v>
      </c>
      <c r="C43" s="188">
        <f>AVERAGE(F41:F43)</f>
        <v>30213821.540740743</v>
      </c>
      <c r="D43" s="190">
        <f>C43/C40-1</f>
        <v>0.11123478823115507</v>
      </c>
      <c r="E43" s="190">
        <f>C43/C31-1</f>
        <v>3.799501207437217E-3</v>
      </c>
      <c r="F43" s="136">
        <f>Q43/20</f>
        <v>31110722.699999999</v>
      </c>
      <c r="G43" s="190">
        <f t="shared" ref="G43" si="29">F43/F42-1</f>
        <v>1.9614672477354267E-2</v>
      </c>
      <c r="H43" s="190">
        <f t="shared" ref="H43" si="30">F43/F31-1</f>
        <v>2.0919572090140059E-2</v>
      </c>
      <c r="I43" s="130">
        <f t="shared" si="0"/>
        <v>8.6967415123207239</v>
      </c>
      <c r="J43" s="130">
        <f t="shared" si="4"/>
        <v>3.173450368759978E-2</v>
      </c>
      <c r="K43" s="136">
        <f>R41+R42+R43</f>
        <v>2548434778705</v>
      </c>
      <c r="L43" s="190">
        <f>U43/U40-1</f>
        <v>4.1463230774693605E-2</v>
      </c>
      <c r="M43" s="190">
        <f>U43/U31-1</f>
        <v>-3.9286209704335384E-2</v>
      </c>
      <c r="N43" s="191">
        <f>AVERAGE(T41:T43)</f>
        <v>8.7047248777136996</v>
      </c>
      <c r="O43" s="192">
        <f>N43/N40-1</f>
        <v>2.8281387526316593E-2</v>
      </c>
      <c r="P43" s="129" t="s">
        <v>835</v>
      </c>
      <c r="Q43" s="116">
        <v>622214454</v>
      </c>
      <c r="R43" s="116">
        <v>901982062282</v>
      </c>
      <c r="S43" s="116">
        <v>71545699.400000006</v>
      </c>
      <c r="T43" s="130">
        <f t="shared" ref="T43" si="31">Q43/S43</f>
        <v>8.6967415123207239</v>
      </c>
      <c r="U43" s="85">
        <f>Q41+Q42+Q43</f>
        <v>1754792279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30648683.045454547</v>
      </c>
      <c r="G44" s="190">
        <f t="shared" ref="G44" si="32">F44/F43-1</f>
        <v>-1.4851460025563923E-2</v>
      </c>
      <c r="H44" s="190">
        <f t="shared" ref="H44" si="33">F44/F32-1</f>
        <v>1.5862758616280059E-2</v>
      </c>
      <c r="I44" s="130">
        <f t="shared" si="0"/>
        <v>8.5023948042868156</v>
      </c>
      <c r="J44" s="130">
        <f t="shared" si="4"/>
        <v>5.8635857434228278E-3</v>
      </c>
      <c r="K44" s="136"/>
      <c r="L44" s="190"/>
      <c r="M44" s="190"/>
      <c r="N44" s="191"/>
      <c r="O44" s="192"/>
      <c r="P44" s="129" t="s">
        <v>843</v>
      </c>
      <c r="Q44" s="116">
        <v>674271027</v>
      </c>
      <c r="R44" s="116">
        <v>978447253984</v>
      </c>
      <c r="S44" s="116">
        <v>79303660.030000001</v>
      </c>
      <c r="T44" s="130">
        <f t="shared" ref="T44" si="34">Q44/S44</f>
        <v>8.5023948042868156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25896968.600000001</v>
      </c>
      <c r="G45" s="190">
        <f t="shared" ref="G45" si="35">F45/F44-1</f>
        <v>-0.15503812801376682</v>
      </c>
      <c r="H45" s="190">
        <f t="shared" ref="H45" si="36">F45/F33-1</f>
        <v>1.5014773133265047E-2</v>
      </c>
      <c r="I45" s="130">
        <f t="shared" si="0"/>
        <v>8.1473481253167623</v>
      </c>
      <c r="J45" s="130">
        <f t="shared" si="4"/>
        <v>-1.6467093210156047E-2</v>
      </c>
      <c r="K45" s="136"/>
      <c r="L45" s="190"/>
      <c r="M45" s="190"/>
      <c r="N45" s="191"/>
      <c r="O45" s="192"/>
      <c r="P45" s="129" t="s">
        <v>849</v>
      </c>
      <c r="Q45" s="116">
        <v>517939372</v>
      </c>
      <c r="R45" s="116">
        <v>728521386892</v>
      </c>
      <c r="S45" s="116">
        <v>63571528.310000002</v>
      </c>
      <c r="T45" s="130">
        <f t="shared" ref="T45" si="37">Q45/S45</f>
        <v>8.1473481253167623</v>
      </c>
      <c r="U45" s="85"/>
    </row>
    <row r="46" spans="1:21" s="92" customFormat="1" ht="13.2">
      <c r="A46" s="129" t="s">
        <v>912</v>
      </c>
      <c r="B46" s="188">
        <f>SUM(F44:F46)</f>
        <v>87376083.961244017</v>
      </c>
      <c r="C46" s="188">
        <f>AVERAGE(F44:F46)</f>
        <v>29125361.320414674</v>
      </c>
      <c r="D46" s="190">
        <f>C46/C43-1</f>
        <v>-3.6025241588799828E-2</v>
      </c>
      <c r="E46" s="190">
        <f>C46/C34-1</f>
        <v>3.500433094229094E-2</v>
      </c>
      <c r="F46" s="136">
        <f>Q46/19</f>
        <v>30830432.315789472</v>
      </c>
      <c r="G46" s="190">
        <f t="shared" ref="G46" si="38">F46/F45-1</f>
        <v>0.19050352155076067</v>
      </c>
      <c r="H46" s="190">
        <f t="shared" ref="H46" si="39">F46/F34-1</f>
        <v>7.2848034008225149E-2</v>
      </c>
      <c r="I46" s="130">
        <f t="shared" si="0"/>
        <v>8.0637413193366623</v>
      </c>
      <c r="J46" s="130">
        <f t="shared" si="4"/>
        <v>-5.1747928854164571E-2</v>
      </c>
      <c r="K46" s="136">
        <f>R44+R45+R46</f>
        <v>2509304326624</v>
      </c>
      <c r="L46" s="190">
        <f>U46/U43-1</f>
        <v>1.3218848907415426E-2</v>
      </c>
      <c r="M46" s="190">
        <f>U46/U34-1</f>
        <v>3.6506450357072673E-2</v>
      </c>
      <c r="N46" s="191">
        <f>AVERAGE(T44:T46)</f>
        <v>8.2378280829800801</v>
      </c>
      <c r="O46" s="192">
        <f>N46/N43-1</f>
        <v>-5.3637168468011365E-2</v>
      </c>
      <c r="P46" s="129" t="s">
        <v>888</v>
      </c>
      <c r="Q46" s="116">
        <v>585778214</v>
      </c>
      <c r="R46" s="116">
        <v>802335685748</v>
      </c>
      <c r="S46" s="116">
        <v>72643477.859999999</v>
      </c>
      <c r="T46" s="130">
        <f t="shared" ref="T46" si="40">Q46/S46</f>
        <v>8.0637413193366623</v>
      </c>
      <c r="U46" s="85">
        <f>Q44+Q45+Q46</f>
        <v>1777988613</v>
      </c>
    </row>
    <row r="47" spans="1:21" s="92" customFormat="1" ht="13.2">
      <c r="A47" s="129" t="s">
        <v>1010</v>
      </c>
      <c r="B47" s="188"/>
      <c r="C47" s="188"/>
      <c r="D47" s="190"/>
      <c r="E47" s="190"/>
      <c r="F47" s="136">
        <f>Q47/23</f>
        <v>25256684.217391305</v>
      </c>
      <c r="G47" s="190">
        <f t="shared" ref="G47" si="41">F47/F46-1</f>
        <v>-0.18078721833373812</v>
      </c>
      <c r="H47" s="190">
        <f t="shared" ref="H47" si="42">F47/F35-1</f>
        <v>-0.13056346394554375</v>
      </c>
      <c r="I47" s="130">
        <f t="shared" si="0"/>
        <v>7.7476978384466069</v>
      </c>
      <c r="J47" s="130">
        <f t="shared" si="4"/>
        <v>-9.1373064926087433E-2</v>
      </c>
      <c r="K47" s="136"/>
      <c r="L47" s="190"/>
      <c r="M47" s="190"/>
      <c r="N47" s="191"/>
      <c r="O47" s="192"/>
      <c r="P47" s="129" t="s">
        <v>991</v>
      </c>
      <c r="Q47" s="116">
        <v>580903737</v>
      </c>
      <c r="R47" s="116">
        <v>796204635262</v>
      </c>
      <c r="S47" s="116">
        <v>74977593.230000004</v>
      </c>
      <c r="T47" s="130">
        <f t="shared" ref="T47" si="43">Q47/S47</f>
        <v>7.7476978384466069</v>
      </c>
      <c r="U47" s="85">
        <f>Q45+Q46+Q47</f>
        <v>1684621323</v>
      </c>
    </row>
    <row r="48" spans="1:21" s="92" customFormat="1" ht="13.2">
      <c r="A48" s="129" t="s">
        <v>1070</v>
      </c>
      <c r="B48" s="188"/>
      <c r="C48" s="188"/>
      <c r="D48" s="190"/>
      <c r="E48" s="190"/>
      <c r="F48" s="136">
        <f>Q48/20</f>
        <v>24672442.300000001</v>
      </c>
      <c r="G48" s="190">
        <f t="shared" ref="G48" si="44">F48/F47-1</f>
        <v>-2.313217017572744E-2</v>
      </c>
      <c r="H48" s="190">
        <f t="shared" ref="H48" si="45">F48/F36-1</f>
        <v>-0.14500558877030834</v>
      </c>
      <c r="I48" s="130">
        <f t="shared" si="0"/>
        <v>7.6700462196263031</v>
      </c>
      <c r="J48" s="130">
        <f t="shared" si="4"/>
        <v>-9.676268578494629E-2</v>
      </c>
      <c r="K48" s="136"/>
      <c r="L48" s="190"/>
      <c r="M48" s="190"/>
      <c r="N48" s="191"/>
      <c r="O48" s="192"/>
      <c r="P48" s="129" t="s">
        <v>1070</v>
      </c>
      <c r="Q48" s="116">
        <v>493448846</v>
      </c>
      <c r="R48" s="116">
        <v>684789102350</v>
      </c>
      <c r="S48" s="116">
        <v>64334533.57</v>
      </c>
      <c r="T48" s="130">
        <f t="shared" ref="T48" si="46">Q48/S48</f>
        <v>7.6700462196263031</v>
      </c>
      <c r="U48" s="85">
        <f>Q46+Q47+Q48</f>
        <v>1660130797</v>
      </c>
    </row>
    <row r="49" spans="1:21" s="92" customFormat="1" ht="13.2">
      <c r="A49" s="129" t="s">
        <v>1158</v>
      </c>
      <c r="B49" s="188">
        <f>SUM(F47:F49)</f>
        <v>75003961.062845856</v>
      </c>
      <c r="C49" s="188">
        <f>AVERAGE(F47:F49)</f>
        <v>25001320.354281951</v>
      </c>
      <c r="D49" s="190">
        <f>C49/C46-1</f>
        <v>-0.14159621646451759</v>
      </c>
      <c r="E49" s="190">
        <f>C49/C37-1</f>
        <v>-0.16298864744519659</v>
      </c>
      <c r="F49" s="136">
        <f>Q49/22</f>
        <v>25074834.545454547</v>
      </c>
      <c r="G49" s="190">
        <f t="shared" ref="G49" si="47">F49/F48-1</f>
        <v>1.6309380342721225E-2</v>
      </c>
      <c r="H49" s="190">
        <f t="shared" ref="H49" si="48">F49/F37-1</f>
        <v>-0.20906860701549113</v>
      </c>
      <c r="I49" s="130">
        <f t="shared" si="0"/>
        <v>7.6298340474004034</v>
      </c>
      <c r="J49" s="130">
        <f t="shared" si="4"/>
        <v>-9.1314537863311007E-2</v>
      </c>
      <c r="K49" s="136">
        <f>R47+R48+R49</f>
        <v>2247824999495</v>
      </c>
      <c r="L49" s="190">
        <f>U49/U46-1</f>
        <v>-8.54840514099513E-2</v>
      </c>
      <c r="M49" s="190">
        <f>U49/U37-1</f>
        <v>-0.11859681008811596</v>
      </c>
      <c r="N49" s="191">
        <f>AVERAGE(T47:T49)</f>
        <v>7.6825260351577711</v>
      </c>
      <c r="O49" s="192">
        <f>N49/N46-1</f>
        <v>-6.7408792976585863E-2</v>
      </c>
      <c r="P49" s="129" t="s">
        <v>1158</v>
      </c>
      <c r="Q49" s="116">
        <v>551646360</v>
      </c>
      <c r="R49" s="116">
        <v>766831261883</v>
      </c>
      <c r="S49" s="116">
        <v>72301226.549999997</v>
      </c>
      <c r="T49" s="130">
        <f t="shared" ref="T49" si="49">Q49/S49</f>
        <v>7.6298340474004034</v>
      </c>
      <c r="U49" s="85">
        <f>Q47+Q48+Q49</f>
        <v>1625998943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8083352</v>
      </c>
      <c r="G50" s="233">
        <f t="shared" ref="G50" si="50">F50/F49-1</f>
        <v>-0.67763089382117925</v>
      </c>
      <c r="H50" s="233">
        <f t="shared" ref="H50" si="51">F50/F38-1</f>
        <v>-0.71134353509345183</v>
      </c>
      <c r="I50" s="220">
        <f t="shared" ref="I50" si="52">T50</f>
        <v>7.2191502149021938</v>
      </c>
      <c r="J50" s="220">
        <f t="shared" ref="J50" si="53">I50/I38-1</f>
        <v>-0.14614109340202919</v>
      </c>
      <c r="K50" s="232"/>
      <c r="L50" s="233"/>
      <c r="M50" s="233"/>
      <c r="N50" s="237"/>
      <c r="O50" s="234"/>
      <c r="P50" s="235" t="s">
        <v>1293</v>
      </c>
      <c r="Q50" s="238">
        <v>72750168</v>
      </c>
      <c r="R50" s="238">
        <v>101570471620</v>
      </c>
      <c r="S50" s="238">
        <v>10077386.65</v>
      </c>
      <c r="T50" s="220">
        <f t="shared" ref="T50" si="54">Q50/S50</f>
        <v>7.2191502149021938</v>
      </c>
      <c r="U50" s="240">
        <f>Q48+Q49+Q50</f>
        <v>1117845374</v>
      </c>
    </row>
    <row r="56" spans="1:21">
      <c r="P56" s="178"/>
      <c r="Q56" s="178"/>
      <c r="R56" s="178"/>
      <c r="S56" s="178"/>
    </row>
    <row r="57" spans="1:21">
      <c r="P57" s="178" t="s">
        <v>971</v>
      </c>
      <c r="Q57" s="178" t="s">
        <v>9</v>
      </c>
      <c r="R57" s="178" t="s">
        <v>10</v>
      </c>
      <c r="S57" s="178" t="s">
        <v>1388</v>
      </c>
    </row>
    <row r="58" spans="1:21" ht="18" thickBot="1">
      <c r="P58" s="179"/>
      <c r="Q58" s="179"/>
      <c r="R58" s="179"/>
      <c r="S58" s="179"/>
    </row>
    <row r="59" spans="1:21" ht="18" thickBot="1">
      <c r="P59" s="211" t="s">
        <v>975</v>
      </c>
      <c r="Q59" s="212">
        <v>5231530003</v>
      </c>
      <c r="R59" s="212">
        <v>7407134576444</v>
      </c>
      <c r="S59" s="213">
        <v>638891045.63</v>
      </c>
    </row>
    <row r="60" spans="1:21" ht="18" thickBot="1">
      <c r="P60" s="180" t="s">
        <v>976</v>
      </c>
      <c r="Q60" s="181">
        <v>522333121</v>
      </c>
      <c r="R60" s="181">
        <v>764038006787</v>
      </c>
      <c r="S60" s="182">
        <v>59522655.43</v>
      </c>
    </row>
    <row r="61" spans="1:21" ht="18" thickBot="1">
      <c r="P61" s="180" t="s">
        <v>977</v>
      </c>
      <c r="Q61" s="181">
        <v>610244704</v>
      </c>
      <c r="R61" s="181">
        <v>882414709636</v>
      </c>
      <c r="S61" s="182">
        <v>70613284.549999997</v>
      </c>
    </row>
    <row r="62" spans="1:21" ht="18" thickBot="1">
      <c r="P62" s="180" t="s">
        <v>978</v>
      </c>
      <c r="Q62" s="181">
        <v>622214454</v>
      </c>
      <c r="R62" s="181">
        <v>901982062282</v>
      </c>
      <c r="S62" s="182">
        <v>71545699.400000006</v>
      </c>
    </row>
    <row r="63" spans="1:21" ht="18" thickBot="1">
      <c r="P63" s="180" t="s">
        <v>979</v>
      </c>
      <c r="Q63" s="181">
        <v>674271027</v>
      </c>
      <c r="R63" s="181">
        <v>978447253984</v>
      </c>
      <c r="S63" s="182">
        <v>79303660.030000001</v>
      </c>
    </row>
    <row r="64" spans="1:21" ht="18" thickBot="1">
      <c r="P64" s="180" t="s">
        <v>980</v>
      </c>
      <c r="Q64" s="181">
        <v>517939372</v>
      </c>
      <c r="R64" s="181">
        <v>728521386892</v>
      </c>
      <c r="S64" s="182">
        <v>63571528.310000002</v>
      </c>
    </row>
    <row r="65" spans="16:19" ht="18" thickBot="1">
      <c r="P65" s="180" t="s">
        <v>981</v>
      </c>
      <c r="Q65" s="181">
        <v>585778214</v>
      </c>
      <c r="R65" s="181">
        <v>802335685748</v>
      </c>
      <c r="S65" s="182">
        <v>72643477.859999999</v>
      </c>
    </row>
    <row r="66" spans="16:19" ht="18" thickBot="1">
      <c r="P66" s="180" t="s">
        <v>1382</v>
      </c>
      <c r="Q66" s="181">
        <v>580903737</v>
      </c>
      <c r="R66" s="181">
        <v>796204635262</v>
      </c>
      <c r="S66" s="182">
        <v>74977593.230000004</v>
      </c>
    </row>
    <row r="67" spans="16:19" ht="18" thickBot="1">
      <c r="P67" s="180" t="s">
        <v>1383</v>
      </c>
      <c r="Q67" s="181">
        <v>493448846</v>
      </c>
      <c r="R67" s="181">
        <v>684789102350</v>
      </c>
      <c r="S67" s="182">
        <v>64334533.57</v>
      </c>
    </row>
    <row r="68" spans="16:19" ht="18" thickBot="1">
      <c r="P68" s="180" t="s">
        <v>1384</v>
      </c>
      <c r="Q68" s="181">
        <v>551646360</v>
      </c>
      <c r="R68" s="181">
        <v>766831261883</v>
      </c>
      <c r="S68" s="182">
        <v>72301226.549999997</v>
      </c>
    </row>
    <row r="69" spans="16:19" ht="18" thickBot="1">
      <c r="P69" s="180" t="s">
        <v>1385</v>
      </c>
      <c r="Q69" s="181">
        <v>72750168</v>
      </c>
      <c r="R69" s="181">
        <v>101570471620</v>
      </c>
      <c r="S69" s="182">
        <v>10077386.65</v>
      </c>
    </row>
    <row r="70" spans="16:19" ht="18" thickBot="1">
      <c r="P70" s="180" t="s">
        <v>982</v>
      </c>
      <c r="Q70" s="181">
        <v>7071503760</v>
      </c>
      <c r="R70" s="181">
        <v>9616419103123</v>
      </c>
      <c r="S70" s="182">
        <v>832626688.99000001</v>
      </c>
    </row>
    <row r="71" spans="16:19" ht="18" thickBot="1">
      <c r="P71" s="215" t="s">
        <v>1386</v>
      </c>
      <c r="Q71" s="217" t="s">
        <v>1389</v>
      </c>
      <c r="R71"/>
      <c r="S71"/>
    </row>
  </sheetData>
  <phoneticPr fontId="1" type="noConversion"/>
  <conditionalFormatting sqref="C29:C30">
    <cfRule type="cellIs" dxfId="11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72"/>
  <sheetViews>
    <sheetView topLeftCell="A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5485173.0499999998</v>
      </c>
      <c r="G5" s="90"/>
      <c r="H5" s="90"/>
      <c r="I5" s="130">
        <f t="shared" ref="I5:I49" si="0">T5</f>
        <v>74123960.135135129</v>
      </c>
      <c r="J5" s="130"/>
      <c r="K5" s="86"/>
      <c r="L5" s="80"/>
      <c r="M5" s="80"/>
      <c r="N5" s="79"/>
      <c r="O5" s="79"/>
      <c r="P5" s="129" t="s">
        <v>0</v>
      </c>
      <c r="Q5" s="116">
        <v>109703461</v>
      </c>
      <c r="R5" s="116">
        <v>129431898598</v>
      </c>
      <c r="S5" s="116">
        <v>1.48</v>
      </c>
      <c r="T5" s="130">
        <f t="shared" ref="T5:T34" si="1">Q5/S5</f>
        <v>74123960.135135129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5497327.222222222</v>
      </c>
      <c r="G6" s="90">
        <f t="shared" ref="G6:G34" si="2">F6/F5-1</f>
        <v>2.2158229305495603E-3</v>
      </c>
      <c r="H6" s="90"/>
      <c r="I6" s="130">
        <f t="shared" si="0"/>
        <v>68242682.758620694</v>
      </c>
      <c r="J6" s="130"/>
      <c r="K6" s="78"/>
      <c r="L6" s="87"/>
      <c r="M6" s="87"/>
      <c r="N6" s="79"/>
      <c r="O6" s="79"/>
      <c r="P6" s="129" t="s">
        <v>1</v>
      </c>
      <c r="Q6" s="116">
        <v>98951890</v>
      </c>
      <c r="R6" s="116">
        <v>117589409222</v>
      </c>
      <c r="S6" s="116">
        <v>1.45</v>
      </c>
      <c r="T6" s="130">
        <f t="shared" si="1"/>
        <v>68242682.758620694</v>
      </c>
      <c r="U6" s="85"/>
    </row>
    <row r="7" spans="1:21" ht="15" hidden="1" customHeight="1">
      <c r="A7" s="129" t="s">
        <v>2</v>
      </c>
      <c r="B7" s="131">
        <f>F5+F6+F7</f>
        <v>16830430.863131311</v>
      </c>
      <c r="C7" s="131">
        <f>AVERAGE(F5:F7)</f>
        <v>5610143.6210437706</v>
      </c>
      <c r="D7" s="117"/>
      <c r="E7" s="117"/>
      <c r="F7" s="78">
        <f>Q7/22</f>
        <v>5847930.5909090908</v>
      </c>
      <c r="G7" s="90">
        <f t="shared" si="2"/>
        <v>6.3777060108337835E-2</v>
      </c>
      <c r="H7" s="90"/>
      <c r="I7" s="130">
        <f t="shared" si="0"/>
        <v>71474707.222222224</v>
      </c>
      <c r="J7" s="130"/>
      <c r="K7" s="85">
        <f>R5+R6+R7</f>
        <v>402041323101</v>
      </c>
      <c r="L7" s="87"/>
      <c r="M7" s="87"/>
      <c r="N7" s="88">
        <f>AVERAGE(T5:T7)</f>
        <v>71280450.038659349</v>
      </c>
      <c r="O7" s="79"/>
      <c r="P7" s="129" t="s">
        <v>2</v>
      </c>
      <c r="Q7" s="116">
        <v>128654473</v>
      </c>
      <c r="R7" s="116">
        <v>155020015281</v>
      </c>
      <c r="S7" s="116">
        <v>1.8</v>
      </c>
      <c r="T7" s="130">
        <f t="shared" si="1"/>
        <v>71474707.222222224</v>
      </c>
      <c r="U7" s="85">
        <f>Q5+Q6+Q7</f>
        <v>337309824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5595026.5714285718</v>
      </c>
      <c r="G8" s="90">
        <f t="shared" si="2"/>
        <v>-4.3246754650896779E-2</v>
      </c>
      <c r="H8" s="90"/>
      <c r="I8" s="130">
        <f t="shared" si="0"/>
        <v>72978607.453416139</v>
      </c>
      <c r="J8" s="130"/>
      <c r="K8" s="78"/>
      <c r="L8" s="87"/>
      <c r="M8" s="87"/>
      <c r="N8" s="79"/>
      <c r="O8" s="79"/>
      <c r="P8" s="129" t="s">
        <v>3</v>
      </c>
      <c r="Q8" s="116">
        <v>117495558</v>
      </c>
      <c r="R8" s="116">
        <v>142359161073</v>
      </c>
      <c r="S8" s="116">
        <v>1.61</v>
      </c>
      <c r="T8" s="130">
        <f t="shared" si="1"/>
        <v>72978607.453416139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5746689.2857142854</v>
      </c>
      <c r="G9" s="90">
        <f t="shared" si="2"/>
        <v>2.7106701344403072E-2</v>
      </c>
      <c r="H9" s="90"/>
      <c r="I9" s="130">
        <f t="shared" si="0"/>
        <v>69356594.827586204</v>
      </c>
      <c r="J9" s="130"/>
      <c r="K9" s="78"/>
      <c r="L9" s="87"/>
      <c r="M9" s="87"/>
      <c r="N9" s="79"/>
      <c r="O9" s="79"/>
      <c r="P9" s="129" t="s">
        <v>4</v>
      </c>
      <c r="Q9" s="116">
        <v>120680475</v>
      </c>
      <c r="R9" s="116">
        <v>151590790163</v>
      </c>
      <c r="S9" s="116">
        <v>1.74</v>
      </c>
      <c r="T9" s="130">
        <f t="shared" si="1"/>
        <v>69356594.827586204</v>
      </c>
      <c r="U9" s="85"/>
    </row>
    <row r="10" spans="1:21" ht="15" hidden="1" customHeight="1">
      <c r="A10" s="129" t="s">
        <v>5</v>
      </c>
      <c r="B10" s="131">
        <f>F8+F9+F10</f>
        <v>16980242.428571429</v>
      </c>
      <c r="C10" s="131">
        <f>AVERAGE(F8:F10)</f>
        <v>5660080.8095238097</v>
      </c>
      <c r="D10" s="90">
        <f>C10/C7-1</f>
        <v>8.9012317425749554E-3</v>
      </c>
      <c r="E10" s="90"/>
      <c r="F10" s="78">
        <f>Q10/21</f>
        <v>5638526.5714285718</v>
      </c>
      <c r="G10" s="90">
        <f t="shared" si="2"/>
        <v>-1.8821743948223446E-2</v>
      </c>
      <c r="H10" s="90"/>
      <c r="I10" s="130">
        <f t="shared" si="0"/>
        <v>73545998.757763967</v>
      </c>
      <c r="J10" s="130"/>
      <c r="K10" s="85">
        <f>R8+R9+R10</f>
        <v>442959536730</v>
      </c>
      <c r="L10" s="87">
        <f>U10/U7-1</f>
        <v>5.7144102034810684E-2</v>
      </c>
      <c r="M10" s="87"/>
      <c r="N10" s="88">
        <f>AVERAGE(T8:T10)</f>
        <v>71960400.346255437</v>
      </c>
      <c r="O10" s="89">
        <f>N10/N7-1</f>
        <v>9.5390855027894794E-3</v>
      </c>
      <c r="P10" s="129" t="s">
        <v>5</v>
      </c>
      <c r="Q10" s="116">
        <v>118409058</v>
      </c>
      <c r="R10" s="116">
        <v>149009585494</v>
      </c>
      <c r="S10" s="116">
        <v>1.61</v>
      </c>
      <c r="T10" s="130">
        <f t="shared" si="1"/>
        <v>73545998.757763967</v>
      </c>
      <c r="U10" s="85">
        <f>Q8+Q9+Q10</f>
        <v>356585091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6070551.0952380951</v>
      </c>
      <c r="G11" s="90">
        <f t="shared" si="2"/>
        <v>7.6620109586548635E-2</v>
      </c>
      <c r="H11" s="90"/>
      <c r="I11" s="130">
        <f t="shared" si="0"/>
        <v>74989160.588235289</v>
      </c>
      <c r="J11" s="130"/>
      <c r="K11" s="78"/>
      <c r="L11" s="87"/>
      <c r="M11" s="87"/>
      <c r="N11" s="79"/>
      <c r="O11" s="89"/>
      <c r="P11" s="129" t="s">
        <v>6</v>
      </c>
      <c r="Q11" s="116">
        <v>127481573</v>
      </c>
      <c r="R11" s="116">
        <v>164682836956</v>
      </c>
      <c r="S11" s="116">
        <v>1.7</v>
      </c>
      <c r="T11" s="130">
        <f t="shared" si="1"/>
        <v>74989160.588235289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5260290.3181818184</v>
      </c>
      <c r="G12" s="90">
        <f t="shared" si="2"/>
        <v>-0.1334740066172686</v>
      </c>
      <c r="H12" s="90"/>
      <c r="I12" s="130">
        <f t="shared" si="0"/>
        <v>71879743.47826086</v>
      </c>
      <c r="J12" s="130"/>
      <c r="K12" s="78"/>
      <c r="L12" s="87"/>
      <c r="M12" s="87"/>
      <c r="N12" s="79"/>
      <c r="O12" s="89"/>
      <c r="P12" s="129" t="s">
        <v>7</v>
      </c>
      <c r="Q12" s="116">
        <v>115726387</v>
      </c>
      <c r="R12" s="116">
        <v>150426427450</v>
      </c>
      <c r="S12" s="116">
        <v>1.61</v>
      </c>
      <c r="T12" s="130">
        <f t="shared" si="1"/>
        <v>71879743.47826086</v>
      </c>
      <c r="U12" s="85"/>
    </row>
    <row r="13" spans="1:21" ht="15" hidden="1" customHeight="1">
      <c r="A13" s="129" t="s">
        <v>96</v>
      </c>
      <c r="B13" s="131">
        <f>F11+F12+F13</f>
        <v>17722148.013419911</v>
      </c>
      <c r="C13" s="131">
        <f>AVERAGE(F11:F13)</f>
        <v>5907382.6711399704</v>
      </c>
      <c r="D13" s="90">
        <f>C13/C10-1</f>
        <v>4.3692284604849307E-2</v>
      </c>
      <c r="E13" s="90"/>
      <c r="F13" s="78">
        <f>Q13/20</f>
        <v>6391306.5999999996</v>
      </c>
      <c r="G13" s="90">
        <f t="shared" si="2"/>
        <v>0.21501023962668064</v>
      </c>
      <c r="H13" s="90"/>
      <c r="I13" s="130">
        <f t="shared" si="0"/>
        <v>71014517.777777776</v>
      </c>
      <c r="J13" s="130"/>
      <c r="K13" s="78">
        <f>R11+R12+R13</f>
        <v>489749585164</v>
      </c>
      <c r="L13" s="87">
        <f>U13/U10-1</f>
        <v>4.0520485473690249E-2</v>
      </c>
      <c r="M13" s="87"/>
      <c r="N13" s="88">
        <f>AVERAGE(T11:T13)</f>
        <v>72627807.281424642</v>
      </c>
      <c r="O13" s="89">
        <f>N13/N10-1</f>
        <v>9.2746417746123466E-3</v>
      </c>
      <c r="P13" s="129" t="s">
        <v>96</v>
      </c>
      <c r="Q13" s="116">
        <v>127826132</v>
      </c>
      <c r="R13" s="116">
        <v>174640320758</v>
      </c>
      <c r="S13" s="116">
        <v>1.8</v>
      </c>
      <c r="T13" s="130">
        <f t="shared" si="1"/>
        <v>71014517.777777776</v>
      </c>
      <c r="U13" s="85">
        <f>Q11+Q12+Q13</f>
        <v>371034092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5467877.7999999998</v>
      </c>
      <c r="G14" s="90">
        <f t="shared" si="2"/>
        <v>-0.14448200623015017</v>
      </c>
      <c r="H14" s="90"/>
      <c r="I14" s="130">
        <f t="shared" si="0"/>
        <v>70100997.43589744</v>
      </c>
      <c r="J14" s="130"/>
      <c r="K14" s="78"/>
      <c r="L14" s="87"/>
      <c r="M14" s="87"/>
      <c r="N14" s="79"/>
      <c r="O14" s="89"/>
      <c r="P14" s="129" t="s">
        <v>97</v>
      </c>
      <c r="Q14" s="116">
        <v>109357556</v>
      </c>
      <c r="R14" s="116">
        <v>155946439325</v>
      </c>
      <c r="S14" s="116">
        <v>1.56</v>
      </c>
      <c r="T14" s="130">
        <f t="shared" si="1"/>
        <v>70100997.43589744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5401287.5454545459</v>
      </c>
      <c r="G15" s="90">
        <f t="shared" si="2"/>
        <v>-1.2178446004307952E-2</v>
      </c>
      <c r="H15" s="90"/>
      <c r="I15" s="130">
        <f t="shared" si="0"/>
        <v>72900813.496932521</v>
      </c>
      <c r="J15" s="130"/>
      <c r="K15" s="78"/>
      <c r="L15" s="87"/>
      <c r="M15" s="87"/>
      <c r="N15" s="79"/>
      <c r="O15" s="89"/>
      <c r="P15" s="129" t="s">
        <v>98</v>
      </c>
      <c r="Q15" s="116">
        <v>118828326</v>
      </c>
      <c r="R15" s="116">
        <v>165014907532</v>
      </c>
      <c r="S15" s="116">
        <v>1.63</v>
      </c>
      <c r="T15" s="130">
        <f t="shared" si="1"/>
        <v>72900813.496932521</v>
      </c>
      <c r="U15" s="78"/>
    </row>
    <row r="16" spans="1:21" ht="15" hidden="1" customHeight="1">
      <c r="A16" s="129" t="s">
        <v>99</v>
      </c>
      <c r="B16" s="131">
        <f>F14+F15+F16</f>
        <v>15774405.345454546</v>
      </c>
      <c r="C16" s="131">
        <f>AVERAGE(F14:F16)</f>
        <v>5258135.1151515152</v>
      </c>
      <c r="D16" s="90">
        <f>C16/C13-1</f>
        <v>-0.10990443520110871</v>
      </c>
      <c r="E16" s="90"/>
      <c r="F16" s="78">
        <f>Q16/22</f>
        <v>4905240</v>
      </c>
      <c r="G16" s="90">
        <f t="shared" si="2"/>
        <v>-9.1838759051440344E-2</v>
      </c>
      <c r="H16" s="90"/>
      <c r="I16" s="130">
        <f t="shared" si="0"/>
        <v>72426362.416107386</v>
      </c>
      <c r="J16" s="130"/>
      <c r="K16" s="78">
        <f>R14+R15+R16</f>
        <v>462316749566</v>
      </c>
      <c r="L16" s="87">
        <f>U16/U13-1</f>
        <v>-9.4150189303898291E-2</v>
      </c>
      <c r="M16" s="87"/>
      <c r="N16" s="88">
        <f>AVERAGE(T14:T16)</f>
        <v>71809391.116312459</v>
      </c>
      <c r="O16" s="89">
        <f>N16/N13-1</f>
        <v>-1.1268633815983309E-2</v>
      </c>
      <c r="P16" s="129" t="s">
        <v>99</v>
      </c>
      <c r="Q16" s="116">
        <v>107915280</v>
      </c>
      <c r="R16" s="116">
        <v>141355402709</v>
      </c>
      <c r="S16" s="116">
        <v>1.49</v>
      </c>
      <c r="T16" s="130">
        <f t="shared" si="1"/>
        <v>72426362.416107386</v>
      </c>
      <c r="U16" s="85">
        <f>Q14+Q15+Q16</f>
        <v>336101162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6118145.0499999998</v>
      </c>
      <c r="G17" s="90">
        <f t="shared" si="2"/>
        <v>0.24726721832163157</v>
      </c>
      <c r="H17" s="90">
        <f t="shared" ref="H17:H34" si="3">F17/F5-1</f>
        <v>0.11539690621064369</v>
      </c>
      <c r="I17" s="130">
        <f t="shared" si="0"/>
        <v>73271198.203592822</v>
      </c>
      <c r="J17" s="130">
        <f t="shared" ref="J17:J49" si="4">I17/I5-1</f>
        <v>-1.1504538208531256E-2</v>
      </c>
      <c r="K17" s="78"/>
      <c r="L17" s="87"/>
      <c r="M17" s="87"/>
      <c r="N17" s="79"/>
      <c r="O17" s="89"/>
      <c r="P17" s="129" t="s">
        <v>100</v>
      </c>
      <c r="Q17" s="116">
        <v>122362901</v>
      </c>
      <c r="R17" s="116">
        <v>153720400324</v>
      </c>
      <c r="S17" s="116">
        <v>1.67</v>
      </c>
      <c r="T17" s="130">
        <f t="shared" si="1"/>
        <v>73271198.203592822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5443335.0499999998</v>
      </c>
      <c r="G18" s="90">
        <f t="shared" si="2"/>
        <v>-0.11029650236880217</v>
      </c>
      <c r="H18" s="90">
        <f t="shared" si="3"/>
        <v>-9.8215314533153242E-3</v>
      </c>
      <c r="I18" s="130">
        <f t="shared" si="0"/>
        <v>72097152.980132446</v>
      </c>
      <c r="J18" s="130">
        <f t="shared" si="4"/>
        <v>5.6481809707647157E-2</v>
      </c>
      <c r="K18" s="78"/>
      <c r="L18" s="87"/>
      <c r="M18" s="87"/>
      <c r="N18" s="79"/>
      <c r="O18" s="89"/>
      <c r="P18" s="129" t="s">
        <v>106</v>
      </c>
      <c r="Q18" s="116">
        <v>108866701</v>
      </c>
      <c r="R18" s="116">
        <v>136771729705</v>
      </c>
      <c r="S18" s="116">
        <v>1.51</v>
      </c>
      <c r="T18" s="130">
        <f t="shared" si="1"/>
        <v>72097152.980132446</v>
      </c>
      <c r="U18" s="78"/>
    </row>
    <row r="19" spans="1:21" hidden="1">
      <c r="A19" s="129" t="s">
        <v>114</v>
      </c>
      <c r="B19" s="131">
        <f>SUM(F17:F19)</f>
        <v>16894394.872727271</v>
      </c>
      <c r="C19" s="131">
        <f>AVERAGE(F17:F19)</f>
        <v>5631464.9575757571</v>
      </c>
      <c r="D19" s="90">
        <f>C19/C16-1</f>
        <v>7.1000427765440577E-2</v>
      </c>
      <c r="E19" s="90">
        <f>C19/C7-1</f>
        <v>3.8004974510830181E-3</v>
      </c>
      <c r="F19" s="78">
        <f>Q19/22</f>
        <v>5332914.7727272725</v>
      </c>
      <c r="G19" s="90">
        <f t="shared" si="2"/>
        <v>-2.0285408900693636E-2</v>
      </c>
      <c r="H19" s="90">
        <f t="shared" si="3"/>
        <v>-8.8068045640356418E-2</v>
      </c>
      <c r="I19" s="130">
        <f t="shared" si="0"/>
        <v>71105530.303030312</v>
      </c>
      <c r="J19" s="130">
        <f t="shared" si="4"/>
        <v>-5.1651406985705473E-3</v>
      </c>
      <c r="K19" s="78">
        <f>R17+R18+R19</f>
        <v>443877205659</v>
      </c>
      <c r="L19" s="87">
        <f>U19/U16-1</f>
        <v>3.705005042499665E-2</v>
      </c>
      <c r="M19" s="87">
        <f>U19/U7-1</f>
        <v>3.3334051367564177E-2</v>
      </c>
      <c r="N19" s="88">
        <f>AVERAGE(T17:T19)</f>
        <v>72157960.495585188</v>
      </c>
      <c r="O19" s="89">
        <f>N19/N16-1</f>
        <v>4.8540918374886388E-3</v>
      </c>
      <c r="P19" s="129" t="s">
        <v>115</v>
      </c>
      <c r="Q19" s="116">
        <v>117324125</v>
      </c>
      <c r="R19" s="116">
        <v>153385075630</v>
      </c>
      <c r="S19" s="116">
        <v>1.65</v>
      </c>
      <c r="T19" s="130">
        <f t="shared" si="1"/>
        <v>71105530.303030312</v>
      </c>
      <c r="U19" s="85">
        <f>Q17+Q18+Q19</f>
        <v>348553727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5330957.05</v>
      </c>
      <c r="G20" s="90">
        <f t="shared" si="2"/>
        <v>-3.6710182155630378E-4</v>
      </c>
      <c r="H20" s="90">
        <f t="shared" si="3"/>
        <v>-4.7197188084336039E-2</v>
      </c>
      <c r="I20" s="130">
        <f t="shared" si="0"/>
        <v>73530442.068965524</v>
      </c>
      <c r="J20" s="130">
        <f t="shared" si="4"/>
        <v>7.5615942096680655E-3</v>
      </c>
      <c r="K20" s="78"/>
      <c r="L20" s="87"/>
      <c r="M20" s="87"/>
      <c r="N20" s="79"/>
      <c r="O20" s="89"/>
      <c r="P20" s="129" t="s">
        <v>132</v>
      </c>
      <c r="Q20" s="116">
        <v>106619141</v>
      </c>
      <c r="R20" s="116">
        <v>139794187047</v>
      </c>
      <c r="S20" s="116">
        <v>1.45</v>
      </c>
      <c r="T20" s="130">
        <f t="shared" si="1"/>
        <v>73530442.068965524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5744071.1428571427</v>
      </c>
      <c r="G21" s="90">
        <f t="shared" si="2"/>
        <v>7.7493419846093703E-2</v>
      </c>
      <c r="H21" s="90">
        <f t="shared" si="3"/>
        <v>-4.555915113857445E-4</v>
      </c>
      <c r="I21" s="130">
        <f t="shared" si="0"/>
        <v>75390933.75</v>
      </c>
      <c r="J21" s="130">
        <f t="shared" si="4"/>
        <v>8.7004544231368053E-2</v>
      </c>
      <c r="K21" s="78"/>
      <c r="L21" s="87"/>
      <c r="M21" s="87"/>
      <c r="N21" s="79"/>
      <c r="O21" s="89"/>
      <c r="P21" s="129" t="s">
        <v>141</v>
      </c>
      <c r="Q21" s="116">
        <v>120625494</v>
      </c>
      <c r="R21" s="116">
        <v>160550929100</v>
      </c>
      <c r="S21" s="116">
        <v>1.6</v>
      </c>
      <c r="T21" s="130">
        <f t="shared" si="1"/>
        <v>75390933.75</v>
      </c>
      <c r="U21" s="78"/>
    </row>
    <row r="22" spans="1:21" hidden="1">
      <c r="A22" s="129" t="s">
        <v>155</v>
      </c>
      <c r="B22" s="131">
        <f>SUM(F20:F22)</f>
        <v>17059627.669047616</v>
      </c>
      <c r="C22" s="131">
        <f>AVERAGE(F20:F22)</f>
        <v>5686542.5563492058</v>
      </c>
      <c r="D22" s="90">
        <f>C22/C19-1</f>
        <v>9.7803323270893028E-3</v>
      </c>
      <c r="E22" s="90">
        <f>C22/C10-1</f>
        <v>4.6751535385980425E-3</v>
      </c>
      <c r="F22" s="78">
        <f>Q22/21</f>
        <v>5984599.4761904757</v>
      </c>
      <c r="G22" s="90">
        <f t="shared" si="2"/>
        <v>4.1874191205384825E-2</v>
      </c>
      <c r="H22" s="90">
        <f t="shared" si="3"/>
        <v>6.1376478478529783E-2</v>
      </c>
      <c r="I22" s="130">
        <f t="shared" si="0"/>
        <v>70210384.916201115</v>
      </c>
      <c r="J22" s="130">
        <f t="shared" si="4"/>
        <v>-4.5354117122663018E-2</v>
      </c>
      <c r="K22" s="78">
        <f>R20+R21+R22</f>
        <v>463697351623</v>
      </c>
      <c r="L22" s="87">
        <f>U22/U19-1</f>
        <v>1.2530340838960541E-2</v>
      </c>
      <c r="M22" s="87">
        <f>U22/U10-1</f>
        <v>-1.0274874335674311E-2</v>
      </c>
      <c r="N22" s="88">
        <f>AVERAGE(T20:T22)</f>
        <v>73043920.245055541</v>
      </c>
      <c r="O22" s="89">
        <f>N22/N19-1</f>
        <v>1.2278059737075742E-2</v>
      </c>
      <c r="P22" s="129" t="s">
        <v>155</v>
      </c>
      <c r="Q22" s="116">
        <v>125676589</v>
      </c>
      <c r="R22" s="116">
        <v>163352235476</v>
      </c>
      <c r="S22" s="116">
        <v>1.79</v>
      </c>
      <c r="T22" s="130">
        <f t="shared" si="1"/>
        <v>70210384.916201115</v>
      </c>
      <c r="U22" s="85">
        <f>Q20+Q21+Q22</f>
        <v>352921224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5947554.0952380951</v>
      </c>
      <c r="G23" s="90">
        <f t="shared" si="2"/>
        <v>-6.1901186703913202E-3</v>
      </c>
      <c r="H23" s="90">
        <f t="shared" si="3"/>
        <v>-2.0261257679962896E-2</v>
      </c>
      <c r="I23" s="130">
        <f t="shared" si="0"/>
        <v>69388131.111111104</v>
      </c>
      <c r="J23" s="130">
        <f t="shared" si="4"/>
        <v>-7.4691187808853865E-2</v>
      </c>
      <c r="K23" s="78"/>
      <c r="L23" s="87"/>
      <c r="M23" s="87"/>
      <c r="N23" s="79"/>
      <c r="O23" s="89"/>
      <c r="P23" s="129" t="s">
        <v>189</v>
      </c>
      <c r="Q23" s="116">
        <v>124898636</v>
      </c>
      <c r="R23" s="116">
        <v>161287892681</v>
      </c>
      <c r="S23" s="116">
        <v>1.8</v>
      </c>
      <c r="T23" s="130">
        <f t="shared" si="1"/>
        <v>69388131.111111104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5492846.8181818184</v>
      </c>
      <c r="G24" s="90">
        <f t="shared" si="2"/>
        <v>-7.6452819053859145E-2</v>
      </c>
      <c r="H24" s="90">
        <f t="shared" si="3"/>
        <v>4.420982225946446E-2</v>
      </c>
      <c r="I24" s="130">
        <f t="shared" si="0"/>
        <v>69851231.213872835</v>
      </c>
      <c r="J24" s="130">
        <f t="shared" si="4"/>
        <v>-2.8220916856798839E-2</v>
      </c>
      <c r="K24" s="78"/>
      <c r="L24" s="87"/>
      <c r="M24" s="87"/>
      <c r="N24" s="79"/>
      <c r="O24" s="89"/>
      <c r="P24" s="129" t="s">
        <v>204</v>
      </c>
      <c r="Q24" s="116">
        <v>120842630</v>
      </c>
      <c r="R24" s="116">
        <v>158831550417</v>
      </c>
      <c r="S24" s="116">
        <v>1.73</v>
      </c>
      <c r="T24" s="130">
        <f t="shared" si="1"/>
        <v>69851231.213872835</v>
      </c>
      <c r="U24" s="78"/>
    </row>
    <row r="25" spans="1:21" s="92" customFormat="1" ht="13.2" hidden="1">
      <c r="A25" s="129" t="s">
        <v>217</v>
      </c>
      <c r="B25" s="131">
        <f>SUM(F23:F25)</f>
        <v>17907098.123946227</v>
      </c>
      <c r="C25" s="131">
        <f>AVERAGE(F23:F25)</f>
        <v>5969032.7079820754</v>
      </c>
      <c r="D25" s="90">
        <f>C25/C22-1</f>
        <v>4.9676960795353553E-2</v>
      </c>
      <c r="E25" s="90">
        <f>C25/C13-1</f>
        <v>1.0436100092735101E-2</v>
      </c>
      <c r="F25" s="78">
        <f>Q25/19</f>
        <v>6466697.2105263155</v>
      </c>
      <c r="G25" s="90">
        <f t="shared" si="2"/>
        <v>0.17729429284664633</v>
      </c>
      <c r="H25" s="90">
        <f t="shared" si="3"/>
        <v>1.1795805653622704E-2</v>
      </c>
      <c r="I25" s="130">
        <f t="shared" si="0"/>
        <v>72702513.017751485</v>
      </c>
      <c r="J25" s="130">
        <f t="shared" si="4"/>
        <v>2.3769720513428849E-2</v>
      </c>
      <c r="K25" s="78">
        <f>R23+R24+R25</f>
        <v>483205953566</v>
      </c>
      <c r="L25" s="90">
        <f>U25/U22-1</f>
        <v>4.444983167121741E-2</v>
      </c>
      <c r="M25" s="90">
        <f>U25/U13-1</f>
        <v>-6.5373480558762465E-3</v>
      </c>
      <c r="N25" s="88">
        <f>AVERAGE(T23:T25)</f>
        <v>70647291.780911818</v>
      </c>
      <c r="O25" s="91">
        <f>N25/N22-1</f>
        <v>-3.2810786388562607E-2</v>
      </c>
      <c r="P25" s="129" t="s">
        <v>217</v>
      </c>
      <c r="Q25" s="116">
        <v>122867247</v>
      </c>
      <c r="R25" s="116">
        <v>163086510468</v>
      </c>
      <c r="S25" s="116">
        <v>1.69</v>
      </c>
      <c r="T25" s="130">
        <f t="shared" si="1"/>
        <v>72702513.017751485</v>
      </c>
      <c r="U25" s="85">
        <f>Q23+Q24+Q25</f>
        <v>368608513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6055086.5789473681</v>
      </c>
      <c r="G26" s="90">
        <f t="shared" si="2"/>
        <v>-6.3650827954173983E-2</v>
      </c>
      <c r="H26" s="90">
        <f t="shared" si="3"/>
        <v>0.10739244738559606</v>
      </c>
      <c r="I26" s="130">
        <f t="shared" si="0"/>
        <v>71016447.530864194</v>
      </c>
      <c r="J26" s="130">
        <f t="shared" si="4"/>
        <v>1.3059016682378521E-2</v>
      </c>
      <c r="K26" s="78"/>
      <c r="L26" s="90"/>
      <c r="M26" s="90"/>
      <c r="N26" s="79"/>
      <c r="O26" s="79"/>
      <c r="P26" s="129" t="s">
        <v>312</v>
      </c>
      <c r="Q26" s="116">
        <v>115046645</v>
      </c>
      <c r="R26" s="116">
        <v>155102706900</v>
      </c>
      <c r="S26" s="116">
        <v>1.62</v>
      </c>
      <c r="T26" s="130">
        <f t="shared" si="1"/>
        <v>71016447.530864194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5455040.1818181816</v>
      </c>
      <c r="G27" s="90">
        <f t="shared" si="2"/>
        <v>-9.9097905423096377E-2</v>
      </c>
      <c r="H27" s="90">
        <f t="shared" si="3"/>
        <v>9.9518190637473136E-3</v>
      </c>
      <c r="I27" s="130">
        <f t="shared" si="0"/>
        <v>70594637.64705883</v>
      </c>
      <c r="J27" s="130">
        <f t="shared" si="4"/>
        <v>-3.163443230946561E-2</v>
      </c>
      <c r="K27" s="78"/>
      <c r="L27" s="90"/>
      <c r="M27" s="90"/>
      <c r="N27" s="79"/>
      <c r="O27" s="79"/>
      <c r="P27" s="129" t="s">
        <v>373</v>
      </c>
      <c r="Q27" s="116">
        <v>120010884</v>
      </c>
      <c r="R27" s="116">
        <v>158642875032</v>
      </c>
      <c r="S27" s="116">
        <v>1.7</v>
      </c>
      <c r="T27" s="130">
        <f t="shared" si="1"/>
        <v>70594637.64705883</v>
      </c>
      <c r="U27" s="78"/>
    </row>
    <row r="28" spans="1:21" s="92" customFormat="1" ht="13.2" hidden="1">
      <c r="A28" s="123" t="s">
        <v>413</v>
      </c>
      <c r="B28" s="131">
        <f>SUM(F26:F28)</f>
        <v>17268057.813397128</v>
      </c>
      <c r="C28" s="131">
        <f>AVERAGE(F26:F28)</f>
        <v>5756019.271132376</v>
      </c>
      <c r="D28" s="90">
        <f>C28/C25-1</f>
        <v>-3.5686424797915395E-2</v>
      </c>
      <c r="E28" s="90">
        <f>C28/C16-1</f>
        <v>9.4688353394759339E-2</v>
      </c>
      <c r="F28" s="78">
        <f>Q28/19</f>
        <v>5757931.0526315793</v>
      </c>
      <c r="G28" s="90">
        <f t="shared" si="2"/>
        <v>5.5524956868868269E-2</v>
      </c>
      <c r="H28" s="90">
        <f t="shared" si="3"/>
        <v>0.17383268762213056</v>
      </c>
      <c r="I28" s="130">
        <f t="shared" si="0"/>
        <v>70581090.32258065</v>
      </c>
      <c r="J28" s="130">
        <f t="shared" si="4"/>
        <v>-2.5477906551832463E-2</v>
      </c>
      <c r="K28" s="78">
        <f>R26+R27+R28</f>
        <v>456465380481</v>
      </c>
      <c r="L28" s="90">
        <f>U28/U25-1</f>
        <v>-6.5517461339803629E-2</v>
      </c>
      <c r="M28" s="90">
        <f>U28/U16-1</f>
        <v>2.486470725144363E-2</v>
      </c>
      <c r="N28" s="88">
        <f>AVERAGE(T26:T28)</f>
        <v>70730725.166834548</v>
      </c>
      <c r="O28" s="91">
        <f>N28/N25-1</f>
        <v>1.1809849156210195E-3</v>
      </c>
      <c r="P28" s="129" t="s">
        <v>413</v>
      </c>
      <c r="Q28" s="116">
        <v>109400690</v>
      </c>
      <c r="R28" s="116">
        <v>142719798549</v>
      </c>
      <c r="S28" s="116">
        <v>1.55</v>
      </c>
      <c r="T28" s="130">
        <f t="shared" si="1"/>
        <v>70581090.32258065</v>
      </c>
      <c r="U28" s="85">
        <f>Q26+Q27+Q28</f>
        <v>344458219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5615088.8181818184</v>
      </c>
      <c r="G29" s="190">
        <f t="shared" si="2"/>
        <v>-2.480790984540826E-2</v>
      </c>
      <c r="H29" s="190">
        <f t="shared" si="3"/>
        <v>-8.2223652382707346E-2</v>
      </c>
      <c r="I29" s="130">
        <f t="shared" si="0"/>
        <v>7.1578261878196132</v>
      </c>
      <c r="J29" s="130">
        <f t="shared" si="4"/>
        <v>-0.99999990231050717</v>
      </c>
      <c r="K29" s="136"/>
      <c r="L29" s="190"/>
      <c r="M29" s="190"/>
      <c r="N29" s="191"/>
      <c r="O29" s="192"/>
      <c r="P29" s="129" t="s">
        <v>426</v>
      </c>
      <c r="Q29" s="116">
        <v>123531954</v>
      </c>
      <c r="R29" s="116">
        <v>162502189064</v>
      </c>
      <c r="S29" s="116">
        <v>17258305.91</v>
      </c>
      <c r="T29" s="130">
        <f t="shared" si="1"/>
        <v>7.1578261878196132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6074908.0526315793</v>
      </c>
      <c r="G30" s="190">
        <f t="shared" si="2"/>
        <v>8.1889930745325579E-2</v>
      </c>
      <c r="H30" s="190">
        <f t="shared" si="3"/>
        <v>0.11602684692936172</v>
      </c>
      <c r="I30" s="130">
        <f t="shared" si="0"/>
        <v>7.1388390326904769</v>
      </c>
      <c r="J30" s="130">
        <f t="shared" si="4"/>
        <v>-0.99999990098306613</v>
      </c>
      <c r="K30" s="136"/>
      <c r="L30" s="190"/>
      <c r="M30" s="190"/>
      <c r="N30" s="191"/>
      <c r="O30" s="192"/>
      <c r="P30" s="129" t="s">
        <v>466</v>
      </c>
      <c r="Q30" s="116">
        <v>115423253</v>
      </c>
      <c r="R30" s="116">
        <v>153827988917</v>
      </c>
      <c r="S30" s="116">
        <v>16168350.689999999</v>
      </c>
      <c r="T30" s="130">
        <f t="shared" si="1"/>
        <v>7.1388390326904769</v>
      </c>
      <c r="U30" s="85"/>
    </row>
    <row r="31" spans="1:21" s="92" customFormat="1" ht="13.2">
      <c r="A31" s="129" t="s">
        <v>505</v>
      </c>
      <c r="B31" s="188">
        <f>SUM(F29:F31)</f>
        <v>18071889.020813398</v>
      </c>
      <c r="C31" s="188">
        <f>AVERAGE(F29:F31)</f>
        <v>6023963.006937799</v>
      </c>
      <c r="D31" s="190">
        <f>C31/C28-1</f>
        <v>4.6550180460516621E-2</v>
      </c>
      <c r="E31" s="190">
        <f>C31/C19-1</f>
        <v>6.9697326063270948E-2</v>
      </c>
      <c r="F31" s="136">
        <f>Q31/20</f>
        <v>6381892.1500000004</v>
      </c>
      <c r="G31" s="190">
        <f t="shared" si="2"/>
        <v>5.0533126544267448E-2</v>
      </c>
      <c r="H31" s="190">
        <f t="shared" si="3"/>
        <v>0.19669869517458594</v>
      </c>
      <c r="I31" s="130">
        <f t="shared" si="0"/>
        <v>7.2283232595719333</v>
      </c>
      <c r="J31" s="130">
        <f t="shared" si="4"/>
        <v>-0.99999989834372616</v>
      </c>
      <c r="K31" s="136">
        <f>R29+R30+R31</f>
        <v>485831329090</v>
      </c>
      <c r="L31" s="190">
        <f>U31/U28-1</f>
        <v>6.4259842788074062E-2</v>
      </c>
      <c r="M31" s="190">
        <f>U31/U19-1</f>
        <v>5.1754784420939393E-2</v>
      </c>
      <c r="N31" s="191">
        <f>AVERAGE(T29:T31)</f>
        <v>7.1749961600273409</v>
      </c>
      <c r="O31" s="192">
        <f>N31/N28-1</f>
        <v>-0.99999989855899052</v>
      </c>
      <c r="P31" s="129" t="s">
        <v>505</v>
      </c>
      <c r="Q31" s="116">
        <v>127637843</v>
      </c>
      <c r="R31" s="116">
        <v>169501151109</v>
      </c>
      <c r="S31" s="116">
        <v>17658015.34</v>
      </c>
      <c r="T31" s="130">
        <f t="shared" si="1"/>
        <v>7.2283232595719333</v>
      </c>
      <c r="U31" s="85">
        <f>Q29+Q30+Q31</f>
        <v>366593050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6770881.4285714282</v>
      </c>
      <c r="G32" s="190">
        <f t="shared" si="2"/>
        <v>6.0952029496679661E-2</v>
      </c>
      <c r="H32" s="190">
        <f t="shared" si="3"/>
        <v>0.2701061676292118</v>
      </c>
      <c r="I32" s="130">
        <f t="shared" si="0"/>
        <v>7.0335404631382303</v>
      </c>
      <c r="J32" s="130">
        <f t="shared" si="4"/>
        <v>-0.99999990434519004</v>
      </c>
      <c r="K32" s="136"/>
      <c r="L32" s="190"/>
      <c r="M32" s="190"/>
      <c r="N32" s="191"/>
      <c r="O32" s="192"/>
      <c r="P32" s="129" t="s">
        <v>561</v>
      </c>
      <c r="Q32" s="116">
        <v>142188510</v>
      </c>
      <c r="R32" s="116">
        <v>193435979958</v>
      </c>
      <c r="S32" s="116">
        <v>20215780.48</v>
      </c>
      <c r="T32" s="130">
        <f t="shared" si="1"/>
        <v>7.0335404631382303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7042269.5238095243</v>
      </c>
      <c r="G33" s="190">
        <f t="shared" si="2"/>
        <v>4.0081649354086535E-2</v>
      </c>
      <c r="H33" s="190">
        <f t="shared" si="3"/>
        <v>0.22600666820896098</v>
      </c>
      <c r="I33" s="130">
        <f t="shared" si="0"/>
        <v>7.0464678865519321</v>
      </c>
      <c r="J33" s="130">
        <f t="shared" si="4"/>
        <v>-0.99999990653428028</v>
      </c>
      <c r="K33" s="136"/>
      <c r="L33" s="190"/>
      <c r="M33" s="190"/>
      <c r="N33" s="191"/>
      <c r="O33" s="192"/>
      <c r="P33" s="129" t="s">
        <v>606</v>
      </c>
      <c r="Q33" s="116">
        <v>147887660</v>
      </c>
      <c r="R33" s="116">
        <v>202240526104</v>
      </c>
      <c r="S33" s="116">
        <v>20987487.969999999</v>
      </c>
      <c r="T33" s="130">
        <f t="shared" si="1"/>
        <v>7.0464678865519321</v>
      </c>
      <c r="U33" s="85"/>
    </row>
    <row r="34" spans="1:21" s="92" customFormat="1" ht="13.2">
      <c r="A34" s="129" t="s">
        <v>652</v>
      </c>
      <c r="B34" s="188">
        <f>SUM(F32:F34)</f>
        <v>21369816.373433582</v>
      </c>
      <c r="C34" s="188">
        <f>AVERAGE(F32:F34)</f>
        <v>7123272.1244778605</v>
      </c>
      <c r="D34" s="190">
        <f>C34/C31-1</f>
        <v>0.18248935398075772</v>
      </c>
      <c r="E34" s="190">
        <f>C34/C22-1</f>
        <v>0.25265432446724589</v>
      </c>
      <c r="F34" s="136">
        <f>Q34/19</f>
        <v>7556665.4210526319</v>
      </c>
      <c r="G34" s="190">
        <f t="shared" si="2"/>
        <v>7.3044051424610235E-2</v>
      </c>
      <c r="H34" s="190">
        <f t="shared" si="3"/>
        <v>0.26268523919045328</v>
      </c>
      <c r="I34" s="130">
        <f t="shared" si="0"/>
        <v>7.4861318784478481</v>
      </c>
      <c r="J34" s="130">
        <f t="shared" si="4"/>
        <v>-0.99999989337571804</v>
      </c>
      <c r="K34" s="136">
        <f>R32+R33+R34</f>
        <v>593020071111</v>
      </c>
      <c r="L34" s="190">
        <f>U34/U31-1</f>
        <v>0.18292698947784203</v>
      </c>
      <c r="M34" s="190">
        <f>U34/U22-1</f>
        <v>0.22875243399926548</v>
      </c>
      <c r="N34" s="191">
        <f>AVERAGE(T32:T34)</f>
        <v>7.1887134093793366</v>
      </c>
      <c r="O34" s="192">
        <f>N34/N31-1</f>
        <v>1.9118127795545448E-3</v>
      </c>
      <c r="P34" s="129" t="s">
        <v>652</v>
      </c>
      <c r="Q34" s="116">
        <v>143576643</v>
      </c>
      <c r="R34" s="116">
        <v>197343565049</v>
      </c>
      <c r="S34" s="116">
        <v>19179015.989999998</v>
      </c>
      <c r="T34" s="130">
        <f t="shared" si="1"/>
        <v>7.4861318784478481</v>
      </c>
      <c r="U34" s="85">
        <f>Q32+Q33+Q34</f>
        <v>433652813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7874495.6086956523</v>
      </c>
      <c r="G35" s="190">
        <f t="shared" ref="G35" si="5">F35/F34-1</f>
        <v>4.2059581830572457E-2</v>
      </c>
      <c r="H35" s="190">
        <f t="shared" ref="H35" si="6">F35/F23-1</f>
        <v>0.32398890074835318</v>
      </c>
      <c r="I35" s="130">
        <f t="shared" si="0"/>
        <v>7.6329636974297639</v>
      </c>
      <c r="J35" s="130">
        <f t="shared" si="4"/>
        <v>-0.99999988999611933</v>
      </c>
      <c r="K35" s="136"/>
      <c r="L35" s="190"/>
      <c r="M35" s="190"/>
      <c r="N35" s="191"/>
      <c r="O35" s="192"/>
      <c r="P35" s="129" t="s">
        <v>660</v>
      </c>
      <c r="Q35" s="116">
        <v>181113399</v>
      </c>
      <c r="R35" s="116">
        <v>250657771522</v>
      </c>
      <c r="S35" s="116">
        <v>23727795.149999999</v>
      </c>
      <c r="T35" s="130">
        <f t="shared" ref="T35" si="7">Q35/S35</f>
        <v>7.6329636974297639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7505792.8571428573</v>
      </c>
      <c r="G36" s="190">
        <f t="shared" ref="G36" si="8">F36/F35-1</f>
        <v>-4.682239598249871E-2</v>
      </c>
      <c r="H36" s="190">
        <f t="shared" ref="H36" si="9">F36/F24-1</f>
        <v>0.36646680775768337</v>
      </c>
      <c r="I36" s="130">
        <f t="shared" si="0"/>
        <v>7.5816477264270912</v>
      </c>
      <c r="J36" s="130">
        <f t="shared" si="4"/>
        <v>-0.99999989146007029</v>
      </c>
      <c r="K36" s="136"/>
      <c r="L36" s="190"/>
      <c r="M36" s="190"/>
      <c r="N36" s="191"/>
      <c r="O36" s="192"/>
      <c r="P36" s="129" t="s">
        <v>664</v>
      </c>
      <c r="Q36" s="116">
        <v>157621650</v>
      </c>
      <c r="R36" s="116">
        <v>214985447971</v>
      </c>
      <c r="S36" s="116">
        <v>20789893.66</v>
      </c>
      <c r="T36" s="130">
        <f t="shared" ref="T36" si="10">Q36/S36</f>
        <v>7.5816477264270912</v>
      </c>
      <c r="U36" s="85"/>
    </row>
    <row r="37" spans="1:21" s="92" customFormat="1" ht="13.2">
      <c r="A37" s="129" t="s">
        <v>702</v>
      </c>
      <c r="B37" s="188">
        <f>SUM(F35:F37)</f>
        <v>24025435.799171843</v>
      </c>
      <c r="C37" s="188">
        <f>AVERAGE(F35:F37)</f>
        <v>8008478.5997239472</v>
      </c>
      <c r="D37" s="190">
        <f>C37/C34-1</f>
        <v>0.12426964178502065</v>
      </c>
      <c r="E37" s="190">
        <f>C37/C25-1</f>
        <v>0.34167108667617585</v>
      </c>
      <c r="F37" s="136">
        <f>Q37/18</f>
        <v>8645147.333333334</v>
      </c>
      <c r="G37" s="190">
        <f t="shared" ref="G37" si="11">F37/F36-1</f>
        <v>0.15179668529037738</v>
      </c>
      <c r="H37" s="190">
        <f t="shared" ref="H37" si="12">F37/F25-1</f>
        <v>0.33687213919046588</v>
      </c>
      <c r="I37" s="130">
        <f t="shared" si="0"/>
        <v>8.0163818939620519</v>
      </c>
      <c r="J37" s="130">
        <f t="shared" si="4"/>
        <v>-0.99999988973721043</v>
      </c>
      <c r="K37" s="136">
        <f>R35+R36+R37</f>
        <v>673372830010</v>
      </c>
      <c r="L37" s="190">
        <f>U37/U34-1</f>
        <v>0.13996193770798859</v>
      </c>
      <c r="M37" s="190">
        <f>U37/U25-1</f>
        <v>0.34111851345115296</v>
      </c>
      <c r="N37" s="191">
        <f>AVERAGE(T35:T37)</f>
        <v>7.743664439272969</v>
      </c>
      <c r="O37" s="192">
        <f>N37/N34-1</f>
        <v>7.7197545414673385E-2</v>
      </c>
      <c r="P37" s="129" t="s">
        <v>702</v>
      </c>
      <c r="Q37" s="116">
        <v>155612652</v>
      </c>
      <c r="R37" s="116">
        <v>207729610517</v>
      </c>
      <c r="S37" s="116">
        <v>19411831.18</v>
      </c>
      <c r="T37" s="130">
        <f t="shared" ref="T37" si="13">Q37/S37</f>
        <v>8.0163818939620519</v>
      </c>
      <c r="U37" s="85">
        <f>Q35+Q36+Q37</f>
        <v>494347701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9356884.0500000007</v>
      </c>
      <c r="G38" s="190">
        <f t="shared" ref="G38" si="14">F38/F37-1</f>
        <v>8.2327887452236181E-2</v>
      </c>
      <c r="H38" s="190">
        <f t="shared" ref="H38" si="15">F38/F26-1</f>
        <v>0.54529318912342051</v>
      </c>
      <c r="I38" s="130">
        <f t="shared" si="0"/>
        <v>7.669250446100774</v>
      </c>
      <c r="J38" s="130">
        <f t="shared" si="4"/>
        <v>-0.99999989200740513</v>
      </c>
      <c r="K38" s="136"/>
      <c r="L38" s="190"/>
      <c r="M38" s="190"/>
      <c r="N38" s="191"/>
      <c r="O38" s="192"/>
      <c r="P38" s="129" t="s">
        <v>728</v>
      </c>
      <c r="Q38" s="116">
        <v>187137681</v>
      </c>
      <c r="R38" s="116">
        <v>251910380170</v>
      </c>
      <c r="S38" s="116">
        <v>24401039.23</v>
      </c>
      <c r="T38" s="130">
        <f t="shared" ref="T38" si="16">Q38/S38</f>
        <v>7.669250446100774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6595995.0476190476</v>
      </c>
      <c r="G39" s="190">
        <f t="shared" ref="G39" si="17">F39/F38-1</f>
        <v>-0.29506500108665479</v>
      </c>
      <c r="H39" s="190">
        <f t="shared" ref="H39" si="18">F39/F27-1</f>
        <v>0.2091560882729524</v>
      </c>
      <c r="I39" s="130">
        <f t="shared" si="0"/>
        <v>7.4838565131036496</v>
      </c>
      <c r="J39" s="130">
        <f t="shared" si="4"/>
        <v>-0.99999989398831468</v>
      </c>
      <c r="K39" s="136"/>
      <c r="L39" s="190"/>
      <c r="M39" s="190"/>
      <c r="N39" s="191"/>
      <c r="O39" s="192"/>
      <c r="P39" s="129" t="s">
        <v>762</v>
      </c>
      <c r="Q39" s="116">
        <v>138515896</v>
      </c>
      <c r="R39" s="116">
        <v>192492919946</v>
      </c>
      <c r="S39" s="116">
        <v>18508625.300000001</v>
      </c>
      <c r="T39" s="130">
        <f t="shared" ref="T39" si="19">Q39/S39</f>
        <v>7.4838565131036496</v>
      </c>
      <c r="U39" s="85"/>
    </row>
    <row r="40" spans="1:21" s="92" customFormat="1" ht="13.2">
      <c r="A40" s="129" t="s">
        <v>778</v>
      </c>
      <c r="B40" s="188">
        <f>SUM(F38:F40)</f>
        <v>22868243.764285717</v>
      </c>
      <c r="C40" s="188">
        <f>AVERAGE(F38:F40)</f>
        <v>7622747.9214285724</v>
      </c>
      <c r="D40" s="190">
        <f>C40/C37-1</f>
        <v>-4.8165288012216312E-2</v>
      </c>
      <c r="E40" s="190">
        <f>C40/C28-1</f>
        <v>0.32430896464475478</v>
      </c>
      <c r="F40" s="136">
        <f>Q40/21</f>
        <v>6915364.666666667</v>
      </c>
      <c r="G40" s="190">
        <f t="shared" ref="G40" si="20">F40/F39-1</f>
        <v>4.8418717227949104E-2</v>
      </c>
      <c r="H40" s="190">
        <f t="shared" ref="H40" si="21">F40/F28-1</f>
        <v>0.20101553899401048</v>
      </c>
      <c r="I40" s="130">
        <f t="shared" si="0"/>
        <v>7.2416455304944014</v>
      </c>
      <c r="J40" s="130">
        <f t="shared" si="4"/>
        <v>-0.99999989739963635</v>
      </c>
      <c r="K40" s="136">
        <f>R38+R39+R40</f>
        <v>650835167808</v>
      </c>
      <c r="L40" s="190">
        <f>U40/U37-1</f>
        <v>-4.7479670589183121E-2</v>
      </c>
      <c r="M40" s="190">
        <f>U40/U28-1</f>
        <v>0.36700536967010211</v>
      </c>
      <c r="N40" s="191">
        <f>AVERAGE(T38:T40)</f>
        <v>7.464917496566275</v>
      </c>
      <c r="O40" s="192">
        <f>N40/N37-1</f>
        <v>-3.5996774510655971E-2</v>
      </c>
      <c r="P40" s="129" t="s">
        <v>778</v>
      </c>
      <c r="Q40" s="116">
        <v>145222658</v>
      </c>
      <c r="R40" s="116">
        <v>206431867692</v>
      </c>
      <c r="S40" s="116">
        <v>20053820.280000001</v>
      </c>
      <c r="T40" s="130">
        <f t="shared" ref="T40" si="22">Q40/S40</f>
        <v>7.2416455304944014</v>
      </c>
      <c r="U40" s="85">
        <f>Q38+Q39+Q40</f>
        <v>470876235</v>
      </c>
    </row>
    <row r="41" spans="1:21" s="92" customFormat="1" ht="13.2">
      <c r="A41" s="129" t="s">
        <v>795</v>
      </c>
      <c r="B41" s="194"/>
      <c r="C41" s="194"/>
      <c r="D41" s="201"/>
      <c r="E41" s="201"/>
      <c r="F41" s="136">
        <f>Q41/18</f>
        <v>6634782.5</v>
      </c>
      <c r="G41" s="190">
        <f t="shared" ref="G41" si="23">F41/F40-1</f>
        <v>-4.0573734024342167E-2</v>
      </c>
      <c r="H41" s="190">
        <f t="shared" ref="H41" si="24">F41/F29-1</f>
        <v>0.18159885174325008</v>
      </c>
      <c r="I41" s="130">
        <f t="shared" si="0"/>
        <v>6.9874012907768668</v>
      </c>
      <c r="J41" s="130">
        <f t="shared" si="4"/>
        <v>-2.3809588633593282E-2</v>
      </c>
      <c r="K41" s="194"/>
      <c r="L41" s="202"/>
      <c r="M41" s="202"/>
      <c r="N41" s="194"/>
      <c r="O41" s="194"/>
      <c r="P41" s="129" t="s">
        <v>813</v>
      </c>
      <c r="Q41" s="116">
        <v>119426085</v>
      </c>
      <c r="R41" s="116">
        <v>174742314514</v>
      </c>
      <c r="S41" s="116">
        <v>17091631.07</v>
      </c>
      <c r="T41" s="130">
        <f t="shared" ref="T41" si="25">Q41/S41</f>
        <v>6.9874012907768668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6495149.4000000004</v>
      </c>
      <c r="G42" s="190">
        <f t="shared" ref="G42" si="26">F42/F41-1</f>
        <v>-2.1045618300223001E-2</v>
      </c>
      <c r="H42" s="190">
        <f t="shared" ref="H42" si="27">F42/F30-1</f>
        <v>6.917657744406136E-2</v>
      </c>
      <c r="I42" s="130">
        <f t="shared" si="0"/>
        <v>7.3616554010267548</v>
      </c>
      <c r="J42" s="130">
        <f t="shared" si="4"/>
        <v>3.1211849337959174E-2</v>
      </c>
      <c r="K42" s="194"/>
      <c r="L42" s="202"/>
      <c r="M42" s="202"/>
      <c r="N42" s="194"/>
      <c r="O42" s="194"/>
      <c r="P42" s="129" t="s">
        <v>826</v>
      </c>
      <c r="Q42" s="116">
        <v>129902988</v>
      </c>
      <c r="R42" s="116">
        <v>187807360087</v>
      </c>
      <c r="S42" s="116">
        <v>17645893.609999999</v>
      </c>
      <c r="T42" s="130">
        <f t="shared" ref="T42" si="28">Q42/S42</f>
        <v>7.3616554010267548</v>
      </c>
      <c r="U42" s="175"/>
    </row>
    <row r="43" spans="1:21" s="92" customFormat="1" ht="13.2">
      <c r="A43" s="129" t="s">
        <v>835</v>
      </c>
      <c r="B43" s="188">
        <f>SUM(F41:F43)</f>
        <v>19570082.300000001</v>
      </c>
      <c r="C43" s="188">
        <f>AVERAGE(F41:F43)</f>
        <v>6523360.7666666666</v>
      </c>
      <c r="D43" s="190">
        <f>C43/C40-1</f>
        <v>-0.14422451930640134</v>
      </c>
      <c r="E43" s="190">
        <f>C43/C31-1</f>
        <v>8.2901863632580675E-2</v>
      </c>
      <c r="F43" s="136">
        <f>Q43/20</f>
        <v>6440150.4000000004</v>
      </c>
      <c r="G43" s="190">
        <f t="shared" ref="G43" si="29">F43/F42-1</f>
        <v>-8.4677036066329592E-3</v>
      </c>
      <c r="H43" s="190">
        <f t="shared" ref="H43" si="30">F43/F31-1</f>
        <v>9.1286798069754038E-3</v>
      </c>
      <c r="I43" s="130">
        <f t="shared" si="0"/>
        <v>7.2962692748827411</v>
      </c>
      <c r="J43" s="130">
        <f t="shared" si="4"/>
        <v>9.3999691035997479E-3</v>
      </c>
      <c r="K43" s="136">
        <f>R41+R42+R43</f>
        <v>549136988734</v>
      </c>
      <c r="L43" s="190">
        <f>U43/U40-1</f>
        <v>-0.19696078737122935</v>
      </c>
      <c r="M43" s="190">
        <f>U43/U31-1</f>
        <v>3.1476404148960357E-2</v>
      </c>
      <c r="N43" s="191">
        <f>AVERAGE(T41:T43)</f>
        <v>7.2151086555621218</v>
      </c>
      <c r="O43" s="192">
        <f>N43/N40-1</f>
        <v>-3.3464380700665597E-2</v>
      </c>
      <c r="P43" s="129" t="s">
        <v>835</v>
      </c>
      <c r="Q43" s="116">
        <v>128803008</v>
      </c>
      <c r="R43" s="116">
        <v>186587314133</v>
      </c>
      <c r="S43" s="116">
        <v>17653269.52</v>
      </c>
      <c r="T43" s="130">
        <f t="shared" ref="T43" si="31">Q43/S43</f>
        <v>7.2962692748827411</v>
      </c>
      <c r="U43" s="85">
        <f>Q41+Q42+Q43</f>
        <v>378132081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6393134.5454545459</v>
      </c>
      <c r="G44" s="190">
        <f t="shared" ref="G44" si="32">F44/F43-1</f>
        <v>-7.3004280374344699E-3</v>
      </c>
      <c r="H44" s="190">
        <f t="shared" ref="H44" si="33">F44/F32-1</f>
        <v>-5.5789912598806501E-2</v>
      </c>
      <c r="I44" s="130">
        <f t="shared" si="0"/>
        <v>7.2849340977250643</v>
      </c>
      <c r="J44" s="130">
        <f t="shared" si="4"/>
        <v>3.5742118198416772E-2</v>
      </c>
      <c r="K44" s="136"/>
      <c r="L44" s="190"/>
      <c r="M44" s="190"/>
      <c r="N44" s="191"/>
      <c r="O44" s="192"/>
      <c r="P44" s="129" t="s">
        <v>843</v>
      </c>
      <c r="Q44" s="116">
        <v>140648960</v>
      </c>
      <c r="R44" s="116">
        <v>204178019264</v>
      </c>
      <c r="S44" s="116">
        <v>19306826.68</v>
      </c>
      <c r="T44" s="130">
        <f t="shared" ref="T44" si="34">Q44/S44</f>
        <v>7.2849340977250643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6063958.3499999996</v>
      </c>
      <c r="G45" s="190">
        <f t="shared" ref="G45" si="35">F45/F44-1</f>
        <v>-5.1489014209561312E-2</v>
      </c>
      <c r="H45" s="190">
        <f t="shared" ref="H45" si="36">F45/F33-1</f>
        <v>-0.13891987100208369</v>
      </c>
      <c r="I45" s="130">
        <f t="shared" si="0"/>
        <v>7.0650298280553505</v>
      </c>
      <c r="J45" s="130">
        <f t="shared" si="4"/>
        <v>2.6342192715933521E-3</v>
      </c>
      <c r="K45" s="136"/>
      <c r="L45" s="190"/>
      <c r="M45" s="190"/>
      <c r="N45" s="191"/>
      <c r="O45" s="192"/>
      <c r="P45" s="129" t="s">
        <v>849</v>
      </c>
      <c r="Q45" s="116">
        <v>121279167</v>
      </c>
      <c r="R45" s="116">
        <v>170748005650</v>
      </c>
      <c r="S45" s="116">
        <v>17166122.43</v>
      </c>
      <c r="T45" s="130">
        <f t="shared" ref="T45" si="37">Q45/S45</f>
        <v>7.0650298280553505</v>
      </c>
      <c r="U45" s="85"/>
    </row>
    <row r="46" spans="1:21" s="92" customFormat="1" ht="13.2">
      <c r="A46" s="129" t="s">
        <v>893</v>
      </c>
      <c r="B46" s="188">
        <f>SUM(F44:F46)</f>
        <v>19260392.895454545</v>
      </c>
      <c r="C46" s="188">
        <f>AVERAGE(F44:F46)</f>
        <v>6420130.9651515149</v>
      </c>
      <c r="D46" s="190">
        <f>C46/C43-1</f>
        <v>-1.582463475615814E-2</v>
      </c>
      <c r="E46" s="190">
        <f>C46/C34-1</f>
        <v>-9.8710416651095811E-2</v>
      </c>
      <c r="F46" s="136">
        <f>Q46/19</f>
        <v>6803300</v>
      </c>
      <c r="G46" s="190">
        <f t="shared" ref="G46" si="38">F46/F45-1</f>
        <v>0.12192393273941282</v>
      </c>
      <c r="H46" s="190">
        <f t="shared" ref="H46" si="39">F46/F34-1</f>
        <v>-9.9695484592156158E-2</v>
      </c>
      <c r="I46" s="130">
        <f t="shared" si="0"/>
        <v>7.2013438507734628</v>
      </c>
      <c r="J46" s="130">
        <f t="shared" si="4"/>
        <v>-3.804207998182263E-2</v>
      </c>
      <c r="K46" s="136">
        <f>R44+R45+R46</f>
        <v>551941862211</v>
      </c>
      <c r="L46" s="190">
        <f>U46/U43-1</f>
        <v>3.4534879890288916E-2</v>
      </c>
      <c r="M46" s="190">
        <f>U46/U34-1</f>
        <v>-9.7917008092831215E-2</v>
      </c>
      <c r="N46" s="191">
        <f>AVERAGE(T44:T46)</f>
        <v>7.1837692588512922</v>
      </c>
      <c r="O46" s="192">
        <f>N46/N43-1</f>
        <v>-4.3435793148686175E-3</v>
      </c>
      <c r="P46" s="129" t="s">
        <v>888</v>
      </c>
      <c r="Q46" s="116">
        <v>129262700</v>
      </c>
      <c r="R46" s="116">
        <v>177015837297</v>
      </c>
      <c r="S46" s="116">
        <v>17949802.52</v>
      </c>
      <c r="T46" s="130">
        <f t="shared" ref="T46" si="40">Q46/S46</f>
        <v>7.2013438507734628</v>
      </c>
      <c r="U46" s="85">
        <f>Q44+Q45+Q46</f>
        <v>391190827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6572911.3043478262</v>
      </c>
      <c r="G47" s="190">
        <f t="shared" ref="G47" si="41">F47/F46-1</f>
        <v>-3.3864256412648785E-2</v>
      </c>
      <c r="H47" s="190">
        <f t="shared" ref="H47" si="42">F47/F35-1</f>
        <v>-0.16529113342961443</v>
      </c>
      <c r="I47" s="130">
        <f t="shared" si="0"/>
        <v>7.0760359636598151</v>
      </c>
      <c r="J47" s="130">
        <f t="shared" si="4"/>
        <v>-7.2963498301122809E-2</v>
      </c>
      <c r="K47" s="136"/>
      <c r="L47" s="190"/>
      <c r="M47" s="190"/>
      <c r="N47" s="191"/>
      <c r="O47" s="192"/>
      <c r="P47" s="129" t="s">
        <v>991</v>
      </c>
      <c r="Q47" s="116">
        <v>151176960</v>
      </c>
      <c r="R47" s="116">
        <v>207227264337</v>
      </c>
      <c r="S47" s="116">
        <v>21364639.859999999</v>
      </c>
      <c r="T47" s="130">
        <f t="shared" ref="T47" si="43">Q47/S47</f>
        <v>7.0760359636598151</v>
      </c>
      <c r="U47" s="85">
        <f>Q45+Q46+Q47</f>
        <v>401718827</v>
      </c>
    </row>
    <row r="48" spans="1:21" s="92" customFormat="1" ht="13.2">
      <c r="A48" s="129" t="s">
        <v>1071</v>
      </c>
      <c r="B48" s="188"/>
      <c r="C48" s="188"/>
      <c r="D48" s="190"/>
      <c r="E48" s="190"/>
      <c r="F48" s="136">
        <f>Q48/20</f>
        <v>6584059.3499999996</v>
      </c>
      <c r="G48" s="190">
        <f t="shared" ref="G48" si="44">F48/F47-1</f>
        <v>1.6960590423302779E-3</v>
      </c>
      <c r="H48" s="190">
        <f t="shared" ref="H48" si="45">F48/F36-1</f>
        <v>-0.12280295029267874</v>
      </c>
      <c r="I48" s="130">
        <f t="shared" si="0"/>
        <v>6.9948211534507712</v>
      </c>
      <c r="J48" s="130">
        <f t="shared" si="4"/>
        <v>-7.7400928419667725E-2</v>
      </c>
      <c r="K48" s="136"/>
      <c r="L48" s="190"/>
      <c r="M48" s="190"/>
      <c r="N48" s="191"/>
      <c r="O48" s="192"/>
      <c r="P48" s="129" t="s">
        <v>1070</v>
      </c>
      <c r="Q48" s="116">
        <v>131681187</v>
      </c>
      <c r="R48" s="116">
        <v>182740755104</v>
      </c>
      <c r="S48" s="116">
        <v>18825525.93</v>
      </c>
      <c r="T48" s="130">
        <f t="shared" ref="T48" si="46">Q48/S48</f>
        <v>6.9948211534507712</v>
      </c>
      <c r="U48" s="85">
        <f>Q46+Q47+Q48</f>
        <v>412120847</v>
      </c>
    </row>
    <row r="49" spans="1:21" s="92" customFormat="1" ht="13.2">
      <c r="A49" s="129" t="s">
        <v>1158</v>
      </c>
      <c r="B49" s="188">
        <f>SUM(F47:F49)</f>
        <v>20215375.472529642</v>
      </c>
      <c r="C49" s="188">
        <f>AVERAGE(F47:F49)</f>
        <v>6738458.4908432141</v>
      </c>
      <c r="D49" s="190">
        <f>C49/C46-1</f>
        <v>4.9582715277862954E-2</v>
      </c>
      <c r="E49" s="190">
        <f>C49/C37-1</f>
        <v>-0.15858444185947018</v>
      </c>
      <c r="F49" s="136">
        <f>Q49/22</f>
        <v>7058404.8181818184</v>
      </c>
      <c r="G49" s="190">
        <f t="shared" ref="G49" si="47">F49/F48-1</f>
        <v>7.204453103567765E-2</v>
      </c>
      <c r="H49" s="190">
        <f t="shared" ref="H49" si="48">F49/F37-1</f>
        <v>-0.18354140814159048</v>
      </c>
      <c r="I49" s="130">
        <f t="shared" si="0"/>
        <v>6.8916377048691713</v>
      </c>
      <c r="J49" s="130">
        <f t="shared" si="4"/>
        <v>-0.14030571446952134</v>
      </c>
      <c r="K49" s="136">
        <f>R47+R48+R49</f>
        <v>605799389519</v>
      </c>
      <c r="L49" s="190">
        <f>U49/U46-1</f>
        <v>0.12002384197009808</v>
      </c>
      <c r="M49" s="190">
        <f>U49/U37-1</f>
        <v>-0.11369456737900352</v>
      </c>
      <c r="N49" s="191">
        <f>AVERAGE(T47:T49)</f>
        <v>6.9874982739932525</v>
      </c>
      <c r="O49" s="192">
        <f>N49/N46-1</f>
        <v>-2.7321448919898073E-2</v>
      </c>
      <c r="P49" s="129" t="s">
        <v>1158</v>
      </c>
      <c r="Q49" s="116">
        <v>155284906</v>
      </c>
      <c r="R49" s="116">
        <v>215831370078</v>
      </c>
      <c r="S49" s="116">
        <v>22532366.420000002</v>
      </c>
      <c r="T49" s="130">
        <f t="shared" ref="T49" si="49">Q49/S49</f>
        <v>6.8916377048691713</v>
      </c>
      <c r="U49" s="85">
        <f>Q47+Q48+Q49</f>
        <v>438143053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2430095.4444444445</v>
      </c>
      <c r="G50" s="233">
        <f t="shared" ref="G50" si="50">F50/F49-1</f>
        <v>-0.65571605666697719</v>
      </c>
      <c r="H50" s="233">
        <f t="shared" ref="H50" si="51">F50/F38-1</f>
        <v>-0.74028796002399488</v>
      </c>
      <c r="I50" s="220">
        <f t="shared" ref="I50" si="52">T50</f>
        <v>5.8625917105399559</v>
      </c>
      <c r="J50" s="220">
        <f t="shared" ref="J50" si="53">I50/I38-1</f>
        <v>-0.23557174827683003</v>
      </c>
      <c r="K50" s="232"/>
      <c r="L50" s="233"/>
      <c r="M50" s="233"/>
      <c r="N50" s="237"/>
      <c r="O50" s="234"/>
      <c r="P50" s="235" t="s">
        <v>1291</v>
      </c>
      <c r="Q50" s="238">
        <v>21870859</v>
      </c>
      <c r="R50" s="238">
        <v>30574272078</v>
      </c>
      <c r="S50" s="238">
        <v>3730578.57</v>
      </c>
      <c r="T50" s="220">
        <f t="shared" ref="T50" si="54">Q50/S50</f>
        <v>5.8625917105399559</v>
      </c>
      <c r="U50" s="240">
        <f>Q48+Q49+Q50</f>
        <v>308836952</v>
      </c>
    </row>
    <row r="56" spans="1:21">
      <c r="P56"/>
      <c r="Q56"/>
      <c r="R56"/>
      <c r="S56"/>
    </row>
    <row r="57" spans="1:21">
      <c r="P57" s="178"/>
      <c r="Q57" s="178"/>
      <c r="R57" s="178"/>
      <c r="S57" s="178"/>
    </row>
    <row r="58" spans="1:21">
      <c r="P58" s="178" t="s">
        <v>971</v>
      </c>
      <c r="Q58" s="178" t="s">
        <v>9</v>
      </c>
      <c r="R58" s="178" t="s">
        <v>10</v>
      </c>
      <c r="S58" s="178" t="s">
        <v>1388</v>
      </c>
    </row>
    <row r="59" spans="1:21" ht="18" thickBot="1">
      <c r="P59" s="224"/>
      <c r="Q59" s="224"/>
      <c r="R59" s="224"/>
      <c r="S59" s="224"/>
    </row>
    <row r="60" spans="1:21" ht="18" thickBot="1">
      <c r="P60" s="225" t="s">
        <v>975</v>
      </c>
      <c r="Q60" s="226">
        <v>1229336820</v>
      </c>
      <c r="R60" s="226">
        <v>1737452512542</v>
      </c>
      <c r="S60" s="227">
        <v>173266656.65000001</v>
      </c>
    </row>
    <row r="61" spans="1:21" ht="18" thickBot="1">
      <c r="P61" s="228" t="s">
        <v>976</v>
      </c>
      <c r="Q61" s="229">
        <v>119426085</v>
      </c>
      <c r="R61" s="229">
        <v>174742314514</v>
      </c>
      <c r="S61" s="230">
        <v>17091631.07</v>
      </c>
    </row>
    <row r="62" spans="1:21" ht="18" thickBot="1">
      <c r="P62" s="228" t="s">
        <v>977</v>
      </c>
      <c r="Q62" s="229">
        <v>129902988</v>
      </c>
      <c r="R62" s="229">
        <v>187807360087</v>
      </c>
      <c r="S62" s="230">
        <v>17645893.609999999</v>
      </c>
    </row>
    <row r="63" spans="1:21" ht="18" thickBot="1">
      <c r="P63" s="228" t="s">
        <v>978</v>
      </c>
      <c r="Q63" s="229">
        <v>128803008</v>
      </c>
      <c r="R63" s="229">
        <v>186587314133</v>
      </c>
      <c r="S63" s="230">
        <v>17653269.52</v>
      </c>
    </row>
    <row r="64" spans="1:21" ht="18" thickBot="1">
      <c r="P64" s="228" t="s">
        <v>979</v>
      </c>
      <c r="Q64" s="229">
        <v>140648960</v>
      </c>
      <c r="R64" s="229">
        <v>204178019264</v>
      </c>
      <c r="S64" s="230">
        <v>19306826.68</v>
      </c>
    </row>
    <row r="65" spans="16:19" ht="18" thickBot="1">
      <c r="P65" s="228" t="s">
        <v>980</v>
      </c>
      <c r="Q65" s="229">
        <v>121279167</v>
      </c>
      <c r="R65" s="229">
        <v>170748005650</v>
      </c>
      <c r="S65" s="230">
        <v>17166122.43</v>
      </c>
    </row>
    <row r="66" spans="16:19" ht="18" thickBot="1">
      <c r="P66" s="228" t="s">
        <v>981</v>
      </c>
      <c r="Q66" s="229">
        <v>129262700</v>
      </c>
      <c r="R66" s="229">
        <v>177015837297</v>
      </c>
      <c r="S66" s="230">
        <v>17949802.52</v>
      </c>
    </row>
    <row r="67" spans="16:19" ht="18" thickBot="1">
      <c r="P67" s="228" t="s">
        <v>1382</v>
      </c>
      <c r="Q67" s="229">
        <v>151176960</v>
      </c>
      <c r="R67" s="229">
        <v>207227264337</v>
      </c>
      <c r="S67" s="230">
        <v>21364639.859999999</v>
      </c>
    </row>
    <row r="68" spans="16:19" ht="18" thickBot="1">
      <c r="P68" s="228" t="s">
        <v>1383</v>
      </c>
      <c r="Q68" s="229">
        <v>131681187</v>
      </c>
      <c r="R68" s="229">
        <v>182740755104</v>
      </c>
      <c r="S68" s="230">
        <v>18825525.93</v>
      </c>
    </row>
    <row r="69" spans="16:19" ht="18" thickBot="1">
      <c r="P69" s="228" t="s">
        <v>1384</v>
      </c>
      <c r="Q69" s="229">
        <v>155284906</v>
      </c>
      <c r="R69" s="229">
        <v>215831370078</v>
      </c>
      <c r="S69" s="230">
        <v>22532366.420000002</v>
      </c>
    </row>
    <row r="70" spans="16:19" ht="18" thickBot="1">
      <c r="P70" s="228" t="s">
        <v>1385</v>
      </c>
      <c r="Q70" s="229">
        <v>21870859</v>
      </c>
      <c r="R70" s="229">
        <v>30574272078</v>
      </c>
      <c r="S70" s="230">
        <v>3730578.57</v>
      </c>
    </row>
    <row r="71" spans="16:19" ht="18" thickBot="1">
      <c r="P71" s="228" t="s">
        <v>982</v>
      </c>
      <c r="Q71" s="229">
        <v>1766587443</v>
      </c>
      <c r="R71" s="229">
        <v>2404558731124</v>
      </c>
      <c r="S71" s="230">
        <v>238964880.34999999</v>
      </c>
    </row>
    <row r="72" spans="16:19" ht="18" thickBot="1">
      <c r="P72" s="228" t="s">
        <v>1386</v>
      </c>
      <c r="Q72" s="229">
        <v>1414541683</v>
      </c>
      <c r="R72" s="231"/>
      <c r="S72" s="223"/>
    </row>
  </sheetData>
  <phoneticPr fontId="1" type="noConversion"/>
  <conditionalFormatting sqref="C29:C30">
    <cfRule type="cellIs" dxfId="11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49"/>
  <sheetViews>
    <sheetView topLeftCell="G1" zoomScaleNormal="100" workbookViewId="0">
      <selection activeCell="J3" sqref="J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9.59765625" style="94" customWidth="1"/>
    <col min="12" max="12" width="5.59765625" style="94" customWidth="1"/>
    <col min="13" max="13" width="10.59765625" style="92" customWidth="1"/>
    <col min="14" max="14" width="6" style="92" bestFit="1" customWidth="1"/>
    <col min="15" max="15" width="20.69921875" style="92" customWidth="1"/>
    <col min="16" max="16" width="20.69921875" style="93" customWidth="1"/>
    <col min="17" max="17" width="17.398437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/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>
      <c r="A2" s="125"/>
      <c r="B2" s="79"/>
      <c r="C2" s="79"/>
      <c r="D2" s="117"/>
      <c r="E2" s="117"/>
      <c r="F2" s="79"/>
      <c r="G2" s="90"/>
      <c r="H2" s="90"/>
      <c r="I2" s="79"/>
      <c r="J2" s="79" t="s">
        <v>656</v>
      </c>
      <c r="K2" s="80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>
        <v>8708</v>
      </c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3249532.65</v>
      </c>
      <c r="G5" s="90"/>
      <c r="H5" s="90"/>
      <c r="I5" s="130" t="e">
        <f t="shared" ref="I5:I28" si="0">F5/H5</f>
        <v>#DIV/0!</v>
      </c>
      <c r="J5" s="86"/>
      <c r="K5" s="80"/>
      <c r="L5" s="80"/>
      <c r="M5" s="79"/>
      <c r="N5" s="79"/>
      <c r="O5" s="129" t="s">
        <v>0</v>
      </c>
      <c r="P5" s="116">
        <v>64990653</v>
      </c>
      <c r="Q5" s="116">
        <v>76643102944</v>
      </c>
      <c r="R5" s="116">
        <v>5612814.1900000004</v>
      </c>
      <c r="S5" s="130">
        <f t="shared" ref="S5:S34" si="1">P5/R5</f>
        <v>11.578978173870388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3490114.611111111</v>
      </c>
      <c r="G6" s="90">
        <f t="shared" ref="G6:G34" si="2">F6/F5-1</f>
        <v>7.4035865160828829E-2</v>
      </c>
      <c r="H6" s="90"/>
      <c r="I6" s="130" t="e">
        <f t="shared" si="0"/>
        <v>#DIV/0!</v>
      </c>
      <c r="J6" s="78"/>
      <c r="K6" s="87"/>
      <c r="L6" s="87"/>
      <c r="M6" s="79"/>
      <c r="N6" s="79"/>
      <c r="O6" s="129" t="s">
        <v>1</v>
      </c>
      <c r="P6" s="116">
        <v>62822063</v>
      </c>
      <c r="Q6" s="116">
        <v>74696348809</v>
      </c>
      <c r="R6" s="116">
        <v>5714243.3700000001</v>
      </c>
      <c r="S6" s="130">
        <f t="shared" si="1"/>
        <v>10.993942492862358</v>
      </c>
      <c r="T6" s="85"/>
    </row>
    <row r="7" spans="1:20" ht="15" hidden="1" customHeight="1">
      <c r="A7" s="129" t="s">
        <v>2</v>
      </c>
      <c r="B7" s="131">
        <f>F5+F6+F7</f>
        <v>9762116.4429292921</v>
      </c>
      <c r="C7" s="131">
        <f>AVERAGE(F5:F7)</f>
        <v>3254038.8143097642</v>
      </c>
      <c r="D7" s="117"/>
      <c r="E7" s="117"/>
      <c r="F7" s="78">
        <f>P7/22</f>
        <v>3022469.1818181816</v>
      </c>
      <c r="G7" s="90">
        <f t="shared" si="2"/>
        <v>-0.13399142475268166</v>
      </c>
      <c r="H7" s="90"/>
      <c r="I7" s="130" t="e">
        <f t="shared" si="0"/>
        <v>#DIV/0!</v>
      </c>
      <c r="J7" s="85">
        <f>Q5+Q6+Q7</f>
        <v>231496188391</v>
      </c>
      <c r="K7" s="87"/>
      <c r="L7" s="87"/>
      <c r="M7" s="88">
        <f>AVERAGE(S5:S7)</f>
        <v>11.27074441770767</v>
      </c>
      <c r="N7" s="79"/>
      <c r="O7" s="129" t="s">
        <v>2</v>
      </c>
      <c r="P7" s="116">
        <v>66494322</v>
      </c>
      <c r="Q7" s="116">
        <v>80156736638</v>
      </c>
      <c r="R7" s="116">
        <v>5916226.7699999996</v>
      </c>
      <c r="S7" s="130">
        <f t="shared" si="1"/>
        <v>11.239312586390263</v>
      </c>
      <c r="T7" s="85">
        <f>P5+P6+P7</f>
        <v>194307038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3411563.5714285714</v>
      </c>
      <c r="G8" s="90">
        <f t="shared" si="2"/>
        <v>0.12873394771103275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71642835</v>
      </c>
      <c r="Q8" s="116">
        <v>86636337900</v>
      </c>
      <c r="R8" s="116">
        <v>6383269.9699999997</v>
      </c>
      <c r="S8" s="130">
        <f t="shared" si="1"/>
        <v>11.223532035572044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4144877</v>
      </c>
      <c r="G9" s="90">
        <f t="shared" si="2"/>
        <v>0.21494936653469954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87042417</v>
      </c>
      <c r="Q9" s="116">
        <v>109312152845</v>
      </c>
      <c r="R9" s="116">
        <v>7782558.5899999999</v>
      </c>
      <c r="S9" s="130">
        <f t="shared" si="1"/>
        <v>11.184293184999973</v>
      </c>
      <c r="T9" s="85"/>
    </row>
    <row r="10" spans="1:20" ht="15" hidden="1" customHeight="1">
      <c r="A10" s="129" t="s">
        <v>5</v>
      </c>
      <c r="B10" s="131">
        <f>F8+F9+F10</f>
        <v>11494674.904761905</v>
      </c>
      <c r="C10" s="131">
        <f>AVERAGE(F8:F10)</f>
        <v>3831558.3015873018</v>
      </c>
      <c r="D10" s="90">
        <f>C10/C7-1</f>
        <v>0.17747775003109156</v>
      </c>
      <c r="E10" s="90"/>
      <c r="F10" s="78">
        <f>P10/21</f>
        <v>3938234.3333333335</v>
      </c>
      <c r="G10" s="90">
        <f t="shared" si="2"/>
        <v>-4.9854957497331376E-2</v>
      </c>
      <c r="H10" s="90"/>
      <c r="I10" s="130" t="e">
        <f t="shared" si="0"/>
        <v>#DIV/0!</v>
      </c>
      <c r="J10" s="85">
        <f>Q8+Q9+Q10</f>
        <v>300340796743</v>
      </c>
      <c r="K10" s="87">
        <f>T10/T7-1</f>
        <v>0.2423027775247133</v>
      </c>
      <c r="L10" s="87"/>
      <c r="M10" s="88">
        <f>AVERAGE(S8:S10)</f>
        <v>11.418137878279758</v>
      </c>
      <c r="N10" s="89">
        <f>M10/M7-1</f>
        <v>1.3077526657468752E-2</v>
      </c>
      <c r="O10" s="129" t="s">
        <v>5</v>
      </c>
      <c r="P10" s="116">
        <v>82702921</v>
      </c>
      <c r="Q10" s="116">
        <v>104392305998</v>
      </c>
      <c r="R10" s="116">
        <v>6981159.3099999996</v>
      </c>
      <c r="S10" s="130">
        <f t="shared" si="1"/>
        <v>11.846588414267258</v>
      </c>
      <c r="T10" s="85">
        <f>P8+P9+P10</f>
        <v>241388173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3652076.1428571427</v>
      </c>
      <c r="G11" s="90">
        <f t="shared" si="2"/>
        <v>-7.2661544808072853E-2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76693599</v>
      </c>
      <c r="Q11" s="116">
        <v>98862500543</v>
      </c>
      <c r="R11" s="116">
        <v>6708206.3099999996</v>
      </c>
      <c r="S11" s="130">
        <f t="shared" si="1"/>
        <v>11.432802668229208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3252004.1818181816</v>
      </c>
      <c r="G12" s="90">
        <f t="shared" si="2"/>
        <v>-0.10954644574468575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71544092</v>
      </c>
      <c r="Q12" s="116">
        <v>92848690978</v>
      </c>
      <c r="R12" s="116">
        <v>6353978.4800000004</v>
      </c>
      <c r="S12" s="130">
        <f t="shared" si="1"/>
        <v>11.259731556409047</v>
      </c>
      <c r="T12" s="85"/>
    </row>
    <row r="13" spans="1:20" ht="15" hidden="1" customHeight="1">
      <c r="A13" s="129" t="s">
        <v>96</v>
      </c>
      <c r="B13" s="131">
        <f>F11+F12+F13</f>
        <v>10280871.324675325</v>
      </c>
      <c r="C13" s="131">
        <f>AVERAGE(F11:F13)</f>
        <v>3426957.1082251086</v>
      </c>
      <c r="D13" s="90">
        <f>C13/C10-1</f>
        <v>-0.10559703429139489</v>
      </c>
      <c r="E13" s="90"/>
      <c r="F13" s="78">
        <f>P13/20</f>
        <v>3376791</v>
      </c>
      <c r="G13" s="90">
        <f t="shared" si="2"/>
        <v>3.8372280970453865E-2</v>
      </c>
      <c r="H13" s="90"/>
      <c r="I13" s="130" t="e">
        <f t="shared" si="0"/>
        <v>#DIV/0!</v>
      </c>
      <c r="J13" s="78">
        <f>Q11+Q12+Q13</f>
        <v>283828706185</v>
      </c>
      <c r="K13" s="87">
        <f>T13/T10-1</f>
        <v>-0.10611398927154558</v>
      </c>
      <c r="L13" s="87"/>
      <c r="M13" s="88">
        <f>AVERAGE(S11:S13)</f>
        <v>11.23686783502796</v>
      </c>
      <c r="N13" s="89">
        <f>M13/M10-1</f>
        <v>-1.5875622206018458E-2</v>
      </c>
      <c r="O13" s="129" t="s">
        <v>96</v>
      </c>
      <c r="P13" s="116">
        <v>67535820</v>
      </c>
      <c r="Q13" s="116">
        <v>92117514664</v>
      </c>
      <c r="R13" s="116">
        <v>6129551.2199999997</v>
      </c>
      <c r="S13" s="130">
        <f t="shared" si="1"/>
        <v>11.018069280445625</v>
      </c>
      <c r="T13" s="85">
        <f>P11+P12+P13</f>
        <v>215773511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4063637.5</v>
      </c>
      <c r="G14" s="90">
        <f t="shared" si="2"/>
        <v>0.20340213534091989</v>
      </c>
      <c r="H14" s="90"/>
      <c r="I14" s="130" t="e">
        <f t="shared" si="0"/>
        <v>#DIV/0!</v>
      </c>
      <c r="J14" s="78"/>
      <c r="K14" s="87"/>
      <c r="L14" s="87"/>
      <c r="M14" s="79"/>
      <c r="N14" s="89"/>
      <c r="O14" s="129" t="s">
        <v>97</v>
      </c>
      <c r="P14" s="116">
        <v>81272750</v>
      </c>
      <c r="Q14" s="116">
        <v>115929882830</v>
      </c>
      <c r="R14" s="116">
        <v>7164977.4400000004</v>
      </c>
      <c r="S14" s="130">
        <f t="shared" si="1"/>
        <v>11.343057348133115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3763234.1363636362</v>
      </c>
      <c r="G15" s="90">
        <f t="shared" si="2"/>
        <v>-7.3924744428203515E-2</v>
      </c>
      <c r="H15" s="90"/>
      <c r="I15" s="130" t="e">
        <f t="shared" si="0"/>
        <v>#DIV/0!</v>
      </c>
      <c r="J15" s="78"/>
      <c r="K15" s="87"/>
      <c r="L15" s="87"/>
      <c r="M15" s="79"/>
      <c r="N15" s="89"/>
      <c r="O15" s="129" t="s">
        <v>98</v>
      </c>
      <c r="P15" s="116">
        <v>82791151</v>
      </c>
      <c r="Q15" s="116">
        <v>114261490418</v>
      </c>
      <c r="R15" s="116">
        <v>7683396.46</v>
      </c>
      <c r="S15" s="130">
        <f t="shared" si="1"/>
        <v>10.775332423754689</v>
      </c>
      <c r="T15" s="78"/>
    </row>
    <row r="16" spans="1:20" ht="15" hidden="1" customHeight="1">
      <c r="A16" s="129" t="s">
        <v>99</v>
      </c>
      <c r="B16" s="131">
        <f>F14+F15+F16</f>
        <v>11978749.136363637</v>
      </c>
      <c r="C16" s="131">
        <f>AVERAGE(F14:F16)</f>
        <v>3992916.3787878789</v>
      </c>
      <c r="D16" s="90">
        <f>C16/C13-1</f>
        <v>0.16514921333692789</v>
      </c>
      <c r="E16" s="90"/>
      <c r="F16" s="78">
        <f>P16/22</f>
        <v>4151877.5</v>
      </c>
      <c r="G16" s="90">
        <f t="shared" si="2"/>
        <v>0.10327376654058118</v>
      </c>
      <c r="H16" s="90"/>
      <c r="I16" s="130" t="e">
        <f t="shared" si="0"/>
        <v>#DIV/0!</v>
      </c>
      <c r="J16" s="78">
        <f>Q14+Q15+Q16</f>
        <v>349714795825</v>
      </c>
      <c r="K16" s="87">
        <f>T16/T13-1</f>
        <v>0.18367266128417414</v>
      </c>
      <c r="L16" s="87"/>
      <c r="M16" s="88">
        <f>AVERAGE(S14:S16)</f>
        <v>11.287016540102904</v>
      </c>
      <c r="N16" s="89">
        <f>M16/M13-1</f>
        <v>4.4628721999042664E-3</v>
      </c>
      <c r="O16" s="129" t="s">
        <v>99</v>
      </c>
      <c r="P16" s="116">
        <v>91341305</v>
      </c>
      <c r="Q16" s="116">
        <v>119523422577</v>
      </c>
      <c r="R16" s="116">
        <v>7778587.3200000003</v>
      </c>
      <c r="S16" s="130">
        <f t="shared" si="1"/>
        <v>11.742659848420908</v>
      </c>
      <c r="T16" s="85">
        <f>P14+P15+P16</f>
        <v>255405206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3518902.5</v>
      </c>
      <c r="G17" s="90">
        <f t="shared" si="2"/>
        <v>-0.15245512421789897</v>
      </c>
      <c r="H17" s="90">
        <f t="shared" ref="H17:H34" si="3">F17/F5-1</f>
        <v>8.2894951063193778E-2</v>
      </c>
      <c r="I17" s="130">
        <f t="shared" si="0"/>
        <v>42450142.678984337</v>
      </c>
      <c r="J17" s="78"/>
      <c r="K17" s="87"/>
      <c r="L17" s="87"/>
      <c r="M17" s="79"/>
      <c r="N17" s="89"/>
      <c r="O17" s="129" t="s">
        <v>100</v>
      </c>
      <c r="P17" s="116">
        <v>70378050</v>
      </c>
      <c r="Q17" s="116">
        <v>88420276248</v>
      </c>
      <c r="R17" s="116">
        <v>5688886.5599999996</v>
      </c>
      <c r="S17" s="130">
        <f t="shared" si="1"/>
        <v>12.371146666000667</v>
      </c>
      <c r="T17" s="78"/>
    </row>
    <row r="18" spans="1:20" hidden="1">
      <c r="A18" s="129" t="s">
        <v>106</v>
      </c>
      <c r="B18" s="79"/>
      <c r="C18" s="79"/>
      <c r="D18" s="117"/>
      <c r="E18" s="117"/>
      <c r="F18" s="78">
        <f>P18/20</f>
        <v>4476241.45</v>
      </c>
      <c r="G18" s="90">
        <f t="shared" si="2"/>
        <v>0.27205611692850251</v>
      </c>
      <c r="H18" s="90">
        <f t="shared" si="3"/>
        <v>0.28254855463756434</v>
      </c>
      <c r="I18" s="130">
        <f t="shared" si="0"/>
        <v>15842379.571687575</v>
      </c>
      <c r="J18" s="78"/>
      <c r="K18" s="87"/>
      <c r="L18" s="87"/>
      <c r="M18" s="79"/>
      <c r="N18" s="89"/>
      <c r="O18" s="129" t="s">
        <v>106</v>
      </c>
      <c r="P18" s="116">
        <v>89524829</v>
      </c>
      <c r="Q18" s="116">
        <v>111832066635</v>
      </c>
      <c r="R18" s="116">
        <v>7295506.04</v>
      </c>
      <c r="S18" s="130">
        <f t="shared" si="1"/>
        <v>12.271229508844325</v>
      </c>
      <c r="T18" s="78"/>
    </row>
    <row r="19" spans="1:20" hidden="1">
      <c r="A19" s="129" t="s">
        <v>114</v>
      </c>
      <c r="B19" s="131">
        <f>SUM(F17:F19)</f>
        <v>12276624.995454546</v>
      </c>
      <c r="C19" s="131">
        <f>AVERAGE(F17:F19)</f>
        <v>4092208.331818182</v>
      </c>
      <c r="D19" s="90">
        <f>C19/C16-1</f>
        <v>2.4867025404735621E-2</v>
      </c>
      <c r="E19" s="90">
        <f>C19/C7-1</f>
        <v>0.25757821751312071</v>
      </c>
      <c r="F19" s="78">
        <f>P19/22</f>
        <v>4281481.0454545459</v>
      </c>
      <c r="G19" s="90">
        <f t="shared" si="2"/>
        <v>-4.3509807663626887E-2</v>
      </c>
      <c r="H19" s="90">
        <f t="shared" si="3"/>
        <v>0.41655076955292536</v>
      </c>
      <c r="I19" s="130">
        <f t="shared" si="0"/>
        <v>10278413.481386108</v>
      </c>
      <c r="J19" s="78">
        <f>Q17+Q18+Q19</f>
        <v>323352940529</v>
      </c>
      <c r="K19" s="87">
        <f>T19/T16-1</f>
        <v>-5.1281022047765523E-3</v>
      </c>
      <c r="L19" s="87">
        <f>T19/T7-1</f>
        <v>0.30770076377778977</v>
      </c>
      <c r="M19" s="88">
        <f>AVERAGE(S17:S19)</f>
        <v>12.266701482559377</v>
      </c>
      <c r="N19" s="89">
        <f>M19/M16-1</f>
        <v>8.6797511014149897E-2</v>
      </c>
      <c r="O19" s="129" t="s">
        <v>114</v>
      </c>
      <c r="P19" s="116">
        <v>94192583</v>
      </c>
      <c r="Q19" s="116">
        <v>123100597646</v>
      </c>
      <c r="R19" s="116">
        <v>7747547.9699999997</v>
      </c>
      <c r="S19" s="130">
        <f t="shared" si="1"/>
        <v>12.15772827283314</v>
      </c>
      <c r="T19" s="85">
        <f>P17+P18+P19</f>
        <v>254095462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4558562.7</v>
      </c>
      <c r="G20" s="90">
        <f t="shared" si="2"/>
        <v>6.4716309988016807E-2</v>
      </c>
      <c r="H20" s="90">
        <f t="shared" si="3"/>
        <v>0.33620922036376699</v>
      </c>
      <c r="I20" s="130">
        <f t="shared" si="0"/>
        <v>13558708.161149744</v>
      </c>
      <c r="J20" s="78"/>
      <c r="K20" s="87"/>
      <c r="L20" s="87"/>
      <c r="M20" s="79"/>
      <c r="N20" s="89"/>
      <c r="O20" s="129" t="s">
        <v>131</v>
      </c>
      <c r="P20" s="116">
        <v>91171254</v>
      </c>
      <c r="Q20" s="116">
        <v>119594204854</v>
      </c>
      <c r="R20" s="116">
        <v>7362259.3499999996</v>
      </c>
      <c r="S20" s="130">
        <f t="shared" si="1"/>
        <v>12.383597163009478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3631323.6666666665</v>
      </c>
      <c r="G21" s="90">
        <f t="shared" si="2"/>
        <v>-0.20340600631276473</v>
      </c>
      <c r="H21" s="90">
        <f t="shared" si="3"/>
        <v>-0.12390074140519336</v>
      </c>
      <c r="I21" s="130">
        <f t="shared" si="0"/>
        <v>-29308328.791924872</v>
      </c>
      <c r="J21" s="78"/>
      <c r="K21" s="87"/>
      <c r="L21" s="87"/>
      <c r="M21" s="79"/>
      <c r="N21" s="89"/>
      <c r="O21" s="129" t="s">
        <v>141</v>
      </c>
      <c r="P21" s="116">
        <v>76257797</v>
      </c>
      <c r="Q21" s="116">
        <v>101686117611</v>
      </c>
      <c r="R21" s="116">
        <v>6120945.2599999998</v>
      </c>
      <c r="S21" s="130">
        <f t="shared" si="1"/>
        <v>12.458500078139892</v>
      </c>
      <c r="T21" s="78"/>
    </row>
    <row r="22" spans="1:20" hidden="1">
      <c r="A22" s="129" t="s">
        <v>155</v>
      </c>
      <c r="B22" s="131">
        <f>SUM(F20:F22)</f>
        <v>11876506.271428572</v>
      </c>
      <c r="C22" s="131">
        <f>AVERAGE(F20:F22)</f>
        <v>3958835.4238095242</v>
      </c>
      <c r="D22" s="90">
        <f>C22/C19-1</f>
        <v>-3.2591915463257903E-2</v>
      </c>
      <c r="E22" s="90">
        <f>C22/C10-1</f>
        <v>3.3218109240173987E-2</v>
      </c>
      <c r="F22" s="78">
        <f>P22/21</f>
        <v>3686619.9047619049</v>
      </c>
      <c r="G22" s="90">
        <f t="shared" si="2"/>
        <v>1.5227570762370801E-2</v>
      </c>
      <c r="H22" s="90">
        <f t="shared" si="3"/>
        <v>-6.3890161751360641E-2</v>
      </c>
      <c r="I22" s="130">
        <f t="shared" si="0"/>
        <v>-57702466.290647522</v>
      </c>
      <c r="J22" s="78">
        <f>Q20+Q21+Q22</f>
        <v>322117344886</v>
      </c>
      <c r="K22" s="87">
        <f>T22/T19-1</f>
        <v>-3.639338116160451E-2</v>
      </c>
      <c r="L22" s="87">
        <f>T22/T10-1</f>
        <v>1.4333328584412497E-2</v>
      </c>
      <c r="M22" s="88">
        <f>AVERAGE(S20:S22)</f>
        <v>12.433786154866569</v>
      </c>
      <c r="N22" s="89">
        <f>M22/M19-1</f>
        <v>1.3620994408704901E-2</v>
      </c>
      <c r="O22" s="129" t="s">
        <v>155</v>
      </c>
      <c r="P22" s="116">
        <v>77419018</v>
      </c>
      <c r="Q22" s="116">
        <v>100837022421</v>
      </c>
      <c r="R22" s="116">
        <v>6213772.7599999998</v>
      </c>
      <c r="S22" s="130">
        <f t="shared" si="1"/>
        <v>12.459261223450341</v>
      </c>
      <c r="T22" s="85">
        <f>P20+P21+P22</f>
        <v>244848069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4139946.5238095238</v>
      </c>
      <c r="G23" s="90">
        <f t="shared" si="2"/>
        <v>0.12296538041854266</v>
      </c>
      <c r="H23" s="90">
        <f t="shared" si="3"/>
        <v>0.13358713287141466</v>
      </c>
      <c r="I23" s="130">
        <f t="shared" si="0"/>
        <v>30990608.412821177</v>
      </c>
      <c r="J23" s="78"/>
      <c r="K23" s="87"/>
      <c r="L23" s="87"/>
      <c r="M23" s="79"/>
      <c r="N23" s="89"/>
      <c r="O23" s="129" t="s">
        <v>189</v>
      </c>
      <c r="P23" s="116">
        <v>86938877</v>
      </c>
      <c r="Q23" s="116">
        <v>112380153400</v>
      </c>
      <c r="R23" s="116">
        <v>6974216.25</v>
      </c>
      <c r="S23" s="130">
        <f t="shared" si="1"/>
        <v>12.465755847476052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3074856.3636363638</v>
      </c>
      <c r="G24" s="90">
        <f t="shared" si="2"/>
        <v>-0.25727147779509918</v>
      </c>
      <c r="H24" s="90">
        <f t="shared" si="3"/>
        <v>-5.4473428777319532E-2</v>
      </c>
      <c r="I24" s="130">
        <f t="shared" si="0"/>
        <v>-56446903.24535998</v>
      </c>
      <c r="J24" s="78"/>
      <c r="K24" s="87"/>
      <c r="L24" s="87"/>
      <c r="M24" s="79"/>
      <c r="N24" s="89"/>
      <c r="O24" s="129" t="s">
        <v>204</v>
      </c>
      <c r="P24" s="116">
        <v>67646840</v>
      </c>
      <c r="Q24" s="116">
        <v>88796457575</v>
      </c>
      <c r="R24" s="116">
        <v>5569875.7699999996</v>
      </c>
      <c r="S24" s="130">
        <f t="shared" si="1"/>
        <v>12.145125455823228</v>
      </c>
      <c r="T24" s="78"/>
    </row>
    <row r="25" spans="1:20" s="92" customFormat="1" ht="13.2" hidden="1">
      <c r="A25" s="129" t="s">
        <v>217</v>
      </c>
      <c r="B25" s="131">
        <f>SUM(F23:F25)</f>
        <v>11231353.150603782</v>
      </c>
      <c r="C25" s="131">
        <f>AVERAGE(F23:F25)</f>
        <v>3743784.383534594</v>
      </c>
      <c r="D25" s="90">
        <f>C25/C22-1</f>
        <v>-5.4321793470260005E-2</v>
      </c>
      <c r="E25" s="90">
        <f>C25/C13-1</f>
        <v>9.2451485473530326E-2</v>
      </c>
      <c r="F25" s="78">
        <f>P25/19</f>
        <v>4016550.2631578948</v>
      </c>
      <c r="G25" s="90">
        <f t="shared" si="2"/>
        <v>0.30625622408191844</v>
      </c>
      <c r="H25" s="90">
        <f t="shared" si="3"/>
        <v>0.18945776127628111</v>
      </c>
      <c r="I25" s="130">
        <f t="shared" si="0"/>
        <v>21200241.341924593</v>
      </c>
      <c r="J25" s="78">
        <f>Q23+Q24+Q25</f>
        <v>302521806964</v>
      </c>
      <c r="K25" s="90">
        <f>T25/T22-1</f>
        <v>-5.6965517665569121E-2</v>
      </c>
      <c r="L25" s="90">
        <f>T25/T13-1</f>
        <v>7.0104346589605182E-2</v>
      </c>
      <c r="M25" s="88">
        <f>AVERAGE(S23:S25)</f>
        <v>12.489662416726143</v>
      </c>
      <c r="N25" s="91">
        <f>M25/M22-1</f>
        <v>4.4939056505892694E-3</v>
      </c>
      <c r="O25" s="129" t="s">
        <v>217</v>
      </c>
      <c r="P25" s="116">
        <v>76314455</v>
      </c>
      <c r="Q25" s="116">
        <v>101345195989</v>
      </c>
      <c r="R25" s="116">
        <v>5935124.1399999997</v>
      </c>
      <c r="S25" s="130">
        <f t="shared" si="1"/>
        <v>12.858105946879151</v>
      </c>
      <c r="T25" s="85">
        <f>P23+P24+P25</f>
        <v>230900172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3021657.3157894737</v>
      </c>
      <c r="G26" s="90">
        <f t="shared" si="2"/>
        <v>-0.24769836854629967</v>
      </c>
      <c r="H26" s="90">
        <f t="shared" si="3"/>
        <v>-0.25641563358211117</v>
      </c>
      <c r="I26" s="130">
        <f t="shared" si="0"/>
        <v>-11784216.40512749</v>
      </c>
      <c r="J26" s="78"/>
      <c r="K26" s="90"/>
      <c r="L26" s="90"/>
      <c r="M26" s="79"/>
      <c r="N26" s="79"/>
      <c r="O26" s="129" t="s">
        <v>312</v>
      </c>
      <c r="P26" s="116">
        <v>57411489</v>
      </c>
      <c r="Q26" s="116">
        <v>77580725327</v>
      </c>
      <c r="R26" s="116">
        <v>4709084.01</v>
      </c>
      <c r="S26" s="130">
        <f t="shared" si="1"/>
        <v>12.191646799692581</v>
      </c>
      <c r="T26" s="78"/>
    </row>
    <row r="27" spans="1:20" s="92" customFormat="1" ht="13.2" hidden="1">
      <c r="A27" s="129" t="s">
        <v>373</v>
      </c>
      <c r="B27" s="131"/>
      <c r="C27" s="131"/>
      <c r="D27" s="132"/>
      <c r="E27" s="132"/>
      <c r="F27" s="78">
        <f>P27/22</f>
        <v>3662186.7272727271</v>
      </c>
      <c r="G27" s="90">
        <f t="shared" si="2"/>
        <v>0.2119795014928425</v>
      </c>
      <c r="H27" s="90">
        <f t="shared" si="3"/>
        <v>-2.6851215053164346E-2</v>
      </c>
      <c r="I27" s="130">
        <f t="shared" si="0"/>
        <v>-136388119.49558863</v>
      </c>
      <c r="J27" s="78"/>
      <c r="K27" s="90"/>
      <c r="L27" s="90"/>
      <c r="M27" s="79"/>
      <c r="N27" s="79"/>
      <c r="O27" s="129" t="s">
        <v>373</v>
      </c>
      <c r="P27" s="116">
        <v>80568108</v>
      </c>
      <c r="Q27" s="116">
        <v>106426552489</v>
      </c>
      <c r="R27" s="116">
        <v>6442292.4199999999</v>
      </c>
      <c r="S27" s="130">
        <f t="shared" si="1"/>
        <v>12.506124023472999</v>
      </c>
      <c r="T27" s="78"/>
    </row>
    <row r="28" spans="1:20" s="92" customFormat="1" ht="13.2" hidden="1">
      <c r="A28" s="123" t="s">
        <v>413</v>
      </c>
      <c r="B28" s="131">
        <f>SUM(F26:F28)</f>
        <v>9687327.3062200956</v>
      </c>
      <c r="C28" s="131">
        <f>AVERAGE(F26:F28)</f>
        <v>3229109.1020733654</v>
      </c>
      <c r="D28" s="90">
        <f>C28/C25-1</f>
        <v>-0.13747460556884739</v>
      </c>
      <c r="E28" s="90">
        <f>C28/C16-1</f>
        <v>-0.19129057667528238</v>
      </c>
      <c r="F28" s="78">
        <f>P28/19</f>
        <v>3003483.2631578948</v>
      </c>
      <c r="G28" s="90">
        <f t="shared" si="2"/>
        <v>-0.17986616007572509</v>
      </c>
      <c r="H28" s="90">
        <f t="shared" si="3"/>
        <v>-0.27659636799065124</v>
      </c>
      <c r="I28" s="130">
        <f t="shared" si="0"/>
        <v>-10858722.712003978</v>
      </c>
      <c r="J28" s="78">
        <f>Q26+Q27+Q28</f>
        <v>258433819086</v>
      </c>
      <c r="K28" s="90">
        <f>T28/T25-1</f>
        <v>-0.1552809280713745</v>
      </c>
      <c r="L28" s="90">
        <f>T28/T16-1</f>
        <v>-0.23632809974907087</v>
      </c>
      <c r="M28" s="88">
        <f>AVERAGE(S26:S28)</f>
        <v>12.275127814728085</v>
      </c>
      <c r="N28" s="91">
        <f>M28/M25-1</f>
        <v>-1.7176973631469195E-2</v>
      </c>
      <c r="O28" s="129" t="s">
        <v>413</v>
      </c>
      <c r="P28" s="116">
        <v>57066182</v>
      </c>
      <c r="Q28" s="116">
        <v>74426541270</v>
      </c>
      <c r="R28" s="116">
        <v>4705475.33</v>
      </c>
      <c r="S28" s="130">
        <f t="shared" si="1"/>
        <v>12.127612621018672</v>
      </c>
      <c r="T28" s="85">
        <f>P26+P27+P28</f>
        <v>195045779</v>
      </c>
    </row>
    <row r="29" spans="1:20" s="92" customFormat="1" ht="13.2">
      <c r="A29" s="129" t="s">
        <v>426</v>
      </c>
      <c r="B29" s="188"/>
      <c r="C29" s="188"/>
      <c r="D29" s="189"/>
      <c r="E29" s="189"/>
      <c r="F29" s="136">
        <f>P29/22</f>
        <v>2578534</v>
      </c>
      <c r="G29" s="190">
        <f t="shared" si="2"/>
        <v>-0.14148547733577133</v>
      </c>
      <c r="H29" s="190">
        <f t="shared" si="3"/>
        <v>-0.26723346270605675</v>
      </c>
      <c r="I29" s="130">
        <f>S29</f>
        <v>12.707204082179221</v>
      </c>
      <c r="J29" s="136"/>
      <c r="K29" s="190"/>
      <c r="L29" s="190"/>
      <c r="M29" s="191"/>
      <c r="N29" s="192"/>
      <c r="O29" s="129" t="s">
        <v>426</v>
      </c>
      <c r="P29" s="116">
        <v>56727748</v>
      </c>
      <c r="Q29" s="116">
        <v>74411975649</v>
      </c>
      <c r="R29" s="116">
        <v>4464219.4800000004</v>
      </c>
      <c r="S29" s="130">
        <f t="shared" si="1"/>
        <v>12.707204082179221</v>
      </c>
      <c r="T29" s="85"/>
    </row>
    <row r="30" spans="1:20" s="92" customFormat="1" ht="13.2">
      <c r="A30" s="129" t="s">
        <v>466</v>
      </c>
      <c r="B30" s="188"/>
      <c r="C30" s="188"/>
      <c r="D30" s="189"/>
      <c r="E30" s="189"/>
      <c r="F30" s="136">
        <f>P30/19</f>
        <v>3409167.8947368423</v>
      </c>
      <c r="G30" s="190">
        <f t="shared" si="2"/>
        <v>0.32213416411683626</v>
      </c>
      <c r="H30" s="190">
        <f t="shared" si="3"/>
        <v>-0.23838605829968307</v>
      </c>
      <c r="I30" s="130">
        <f t="shared" ref="I30:I45" si="4">S30</f>
        <v>12.28580947798239</v>
      </c>
      <c r="J30" s="136"/>
      <c r="K30" s="190"/>
      <c r="L30" s="190"/>
      <c r="M30" s="191"/>
      <c r="N30" s="192"/>
      <c r="O30" s="129" t="s">
        <v>466</v>
      </c>
      <c r="P30" s="116">
        <v>64774190</v>
      </c>
      <c r="Q30" s="116">
        <v>86342210159</v>
      </c>
      <c r="R30" s="116">
        <v>5272276.9400000004</v>
      </c>
      <c r="S30" s="130">
        <f t="shared" si="1"/>
        <v>12.28580947798239</v>
      </c>
      <c r="T30" s="85"/>
    </row>
    <row r="31" spans="1:20" s="92" customFormat="1" ht="13.2">
      <c r="A31" s="129" t="s">
        <v>505</v>
      </c>
      <c r="B31" s="188">
        <f>SUM(F29:F31)</f>
        <v>8395321.6447368413</v>
      </c>
      <c r="C31" s="188">
        <f>AVERAGE(F29:F31)</f>
        <v>2798440.5482456139</v>
      </c>
      <c r="D31" s="190">
        <f>C31/C28-1</f>
        <v>-0.13337070387346939</v>
      </c>
      <c r="E31" s="190">
        <f>C31/C19-1</f>
        <v>-0.31615393906344513</v>
      </c>
      <c r="F31" s="136">
        <f>P31/20</f>
        <v>2407619.75</v>
      </c>
      <c r="G31" s="190">
        <f t="shared" si="2"/>
        <v>-0.29378082149695739</v>
      </c>
      <c r="H31" s="190">
        <f t="shared" si="3"/>
        <v>-0.43766661011939767</v>
      </c>
      <c r="I31" s="130">
        <f t="shared" si="4"/>
        <v>11.854279038483366</v>
      </c>
      <c r="J31" s="136">
        <f>Q29+Q30+Q31</f>
        <v>224692794428</v>
      </c>
      <c r="K31" s="190">
        <f>T31/T28-1</f>
        <v>-0.13018198153367877</v>
      </c>
      <c r="L31" s="190">
        <f>T31/T19-1</f>
        <v>-0.33232049220934134</v>
      </c>
      <c r="M31" s="191">
        <f>AVERAGE(S29:S31)</f>
        <v>12.282430866214993</v>
      </c>
      <c r="N31" s="192">
        <f>M31/M28-1</f>
        <v>5.9494708300666943E-4</v>
      </c>
      <c r="O31" s="129" t="s">
        <v>505</v>
      </c>
      <c r="P31" s="116">
        <v>48152395</v>
      </c>
      <c r="Q31" s="116">
        <v>63938608620</v>
      </c>
      <c r="R31" s="116">
        <v>4062026.45</v>
      </c>
      <c r="S31" s="130">
        <f t="shared" si="1"/>
        <v>11.854279038483366</v>
      </c>
      <c r="T31" s="85">
        <f>P29+P30+P31</f>
        <v>169654333</v>
      </c>
    </row>
    <row r="32" spans="1:20" s="92" customFormat="1" ht="13.2">
      <c r="A32" s="129" t="s">
        <v>561</v>
      </c>
      <c r="B32" s="188"/>
      <c r="C32" s="188"/>
      <c r="D32" s="190"/>
      <c r="E32" s="190"/>
      <c r="F32" s="136">
        <f>P32/21</f>
        <v>2291160.6190476189</v>
      </c>
      <c r="G32" s="190">
        <f t="shared" si="2"/>
        <v>-4.8371064804723085E-2</v>
      </c>
      <c r="H32" s="190">
        <f t="shared" si="3"/>
        <v>-0.49739407575821681</v>
      </c>
      <c r="I32" s="130">
        <f t="shared" si="4"/>
        <v>11.211528318297654</v>
      </c>
      <c r="J32" s="136"/>
      <c r="K32" s="190"/>
      <c r="L32" s="190"/>
      <c r="M32" s="191"/>
      <c r="N32" s="192"/>
      <c r="O32" s="129" t="s">
        <v>561</v>
      </c>
      <c r="P32" s="116">
        <v>48114373</v>
      </c>
      <c r="Q32" s="116">
        <v>65284948665</v>
      </c>
      <c r="R32" s="116">
        <v>4291508.8499999996</v>
      </c>
      <c r="S32" s="130">
        <f t="shared" si="1"/>
        <v>11.211528318297654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2648455.1428571427</v>
      </c>
      <c r="G33" s="190">
        <f t="shared" si="2"/>
        <v>0.15594477350873936</v>
      </c>
      <c r="H33" s="190">
        <f t="shared" si="3"/>
        <v>-0.27066398207123665</v>
      </c>
      <c r="I33" s="130">
        <f t="shared" si="4"/>
        <v>11.286914931170479</v>
      </c>
      <c r="J33" s="136"/>
      <c r="K33" s="190"/>
      <c r="L33" s="190"/>
      <c r="M33" s="191"/>
      <c r="N33" s="192"/>
      <c r="O33" s="129" t="s">
        <v>606</v>
      </c>
      <c r="P33" s="116">
        <v>55617558</v>
      </c>
      <c r="Q33" s="116">
        <v>76112139784</v>
      </c>
      <c r="R33" s="116">
        <v>4927613.82</v>
      </c>
      <c r="S33" s="130">
        <f t="shared" si="1"/>
        <v>11.286914931170479</v>
      </c>
      <c r="T33" s="85"/>
    </row>
    <row r="34" spans="1:20" s="92" customFormat="1" ht="13.2">
      <c r="A34" s="129" t="s">
        <v>652</v>
      </c>
      <c r="B34" s="188">
        <f>SUM(F32:F34)</f>
        <v>7980497.5513784457</v>
      </c>
      <c r="C34" s="188">
        <f>AVERAGE(F32:F34)</f>
        <v>2660165.8504594821</v>
      </c>
      <c r="D34" s="190">
        <f>C34/C31-1</f>
        <v>-4.9411340138284632E-2</v>
      </c>
      <c r="E34" s="190">
        <f>C34/C22-1</f>
        <v>-0.32804333454719703</v>
      </c>
      <c r="F34" s="136">
        <f>P34/19</f>
        <v>3040881.789473684</v>
      </c>
      <c r="G34" s="190">
        <f t="shared" si="2"/>
        <v>0.14817190605433206</v>
      </c>
      <c r="H34" s="190">
        <f t="shared" si="3"/>
        <v>-0.17515722585182669</v>
      </c>
      <c r="I34" s="130">
        <f t="shared" si="4"/>
        <v>11.640759330586739</v>
      </c>
      <c r="J34" s="136">
        <f>Q32+Q33+Q34</f>
        <v>220801681381</v>
      </c>
      <c r="K34" s="190">
        <f>T34/T31-1</f>
        <v>-4.8013203411668814E-2</v>
      </c>
      <c r="L34" s="190">
        <f>T34/T22-1</f>
        <v>-0.34037182461912741</v>
      </c>
      <c r="M34" s="191">
        <f>AVERAGE(S32:S34)</f>
        <v>11.379734193351624</v>
      </c>
      <c r="N34" s="192">
        <f>M34/M31-1</f>
        <v>-7.3494952480978037E-2</v>
      </c>
      <c r="O34" s="129" t="s">
        <v>652</v>
      </c>
      <c r="P34" s="116">
        <v>57776754</v>
      </c>
      <c r="Q34" s="116">
        <v>79404592932</v>
      </c>
      <c r="R34" s="116">
        <v>4963314.88</v>
      </c>
      <c r="S34" s="130">
        <f t="shared" si="1"/>
        <v>11.640759330586739</v>
      </c>
      <c r="T34" s="85">
        <f>P32+P33+P34</f>
        <v>161508685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2989749</v>
      </c>
      <c r="G35" s="190">
        <f t="shared" ref="G35" si="5">F35/F34-1</f>
        <v>-1.6815119104821918E-2</v>
      </c>
      <c r="H35" s="190">
        <f t="shared" ref="H35" si="6">F35/F23-1</f>
        <v>-0.27782907754835617</v>
      </c>
      <c r="I35" s="130">
        <f t="shared" si="4"/>
        <v>11.868735054280773</v>
      </c>
      <c r="J35" s="136"/>
      <c r="K35" s="190"/>
      <c r="L35" s="190"/>
      <c r="M35" s="191"/>
      <c r="N35" s="192"/>
      <c r="O35" s="129" t="s">
        <v>660</v>
      </c>
      <c r="P35" s="116">
        <v>68764227</v>
      </c>
      <c r="Q35" s="116">
        <v>95180322783</v>
      </c>
      <c r="R35" s="116">
        <v>5793728.3700000001</v>
      </c>
      <c r="S35" s="130">
        <f t="shared" ref="S35" si="7">P35/R35</f>
        <v>11.868735054280773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2449959.6190476189</v>
      </c>
      <c r="G36" s="190">
        <f t="shared" ref="G36" si="8">F36/F35-1</f>
        <v>-0.18054672179918152</v>
      </c>
      <c r="H36" s="190">
        <f t="shared" ref="H36" si="9">F36/F24-1</f>
        <v>-0.20322794650795784</v>
      </c>
      <c r="I36" s="130">
        <f t="shared" si="4"/>
        <v>11.457424852573805</v>
      </c>
      <c r="J36" s="136"/>
      <c r="K36" s="190"/>
      <c r="L36" s="190"/>
      <c r="M36" s="191"/>
      <c r="N36" s="192"/>
      <c r="O36" s="129" t="s">
        <v>664</v>
      </c>
      <c r="P36" s="116">
        <v>51449152</v>
      </c>
      <c r="Q36" s="116">
        <v>70234455451</v>
      </c>
      <c r="R36" s="116">
        <v>4490463.84</v>
      </c>
      <c r="S36" s="130">
        <f t="shared" ref="S36" si="10">P36/R36</f>
        <v>11.457424852573805</v>
      </c>
      <c r="T36" s="85"/>
    </row>
    <row r="37" spans="1:20" s="92" customFormat="1" ht="13.2">
      <c r="A37" s="129" t="s">
        <v>702</v>
      </c>
      <c r="B37" s="188">
        <f>SUM(F35:F37)</f>
        <v>8324673.6190476194</v>
      </c>
      <c r="C37" s="188">
        <f>AVERAGE(F35:F37)</f>
        <v>2774891.2063492066</v>
      </c>
      <c r="D37" s="190">
        <f>C37/C34-1</f>
        <v>4.3127144072580448E-2</v>
      </c>
      <c r="E37" s="190">
        <f>C37/C25-1</f>
        <v>-0.25880047511460391</v>
      </c>
      <c r="F37" s="136">
        <f>P37/18</f>
        <v>2884965</v>
      </c>
      <c r="G37" s="190">
        <f t="shared" ref="G37" si="11">F37/F36-1</f>
        <v>0.17755614319940594</v>
      </c>
      <c r="H37" s="190">
        <f t="shared" ref="H37" si="12">F37/F25-1</f>
        <v>-0.28173063674503085</v>
      </c>
      <c r="I37" s="130">
        <f t="shared" si="4"/>
        <v>11.204859404301452</v>
      </c>
      <c r="J37" s="136">
        <f>Q35+Q36+Q37</f>
        <v>234720356682</v>
      </c>
      <c r="K37" s="190">
        <f>T37/T34-1</f>
        <v>6.5842056729023657E-2</v>
      </c>
      <c r="L37" s="190">
        <f>T37/T25-1</f>
        <v>-0.25447110970536657</v>
      </c>
      <c r="M37" s="191">
        <f>AVERAGE(S35:S37)</f>
        <v>11.510339770385343</v>
      </c>
      <c r="N37" s="192">
        <f>M37/M34-1</f>
        <v>1.1477032311530078E-2</v>
      </c>
      <c r="O37" s="129" t="s">
        <v>702</v>
      </c>
      <c r="P37" s="116">
        <v>51929370</v>
      </c>
      <c r="Q37" s="116">
        <v>69305578448</v>
      </c>
      <c r="R37" s="116">
        <v>4634540.08</v>
      </c>
      <c r="S37" s="130">
        <f t="shared" ref="S37" si="13">P37/R37</f>
        <v>11.204859404301452</v>
      </c>
      <c r="T37" s="85">
        <f>P35+P36+P37</f>
        <v>172142749</v>
      </c>
    </row>
    <row r="38" spans="1:20" s="92" customFormat="1" ht="13.2">
      <c r="A38" s="129" t="s">
        <v>725</v>
      </c>
      <c r="B38" s="188"/>
      <c r="C38" s="188"/>
      <c r="D38" s="190"/>
      <c r="E38" s="190"/>
      <c r="F38" s="136">
        <f>P38/20</f>
        <v>2479483.9500000002</v>
      </c>
      <c r="G38" s="190">
        <f t="shared" ref="G38" si="14">F38/F37-1</f>
        <v>-0.14054972937279997</v>
      </c>
      <c r="H38" s="190">
        <f t="shared" ref="H38" si="15">F38/F26-1</f>
        <v>-0.17942913743275313</v>
      </c>
      <c r="I38" s="130">
        <f t="shared" si="4"/>
        <v>11.449475404106126</v>
      </c>
      <c r="J38" s="136"/>
      <c r="K38" s="190"/>
      <c r="L38" s="190"/>
      <c r="M38" s="191"/>
      <c r="N38" s="192"/>
      <c r="O38" s="129" t="s">
        <v>728</v>
      </c>
      <c r="P38" s="116">
        <v>49589679</v>
      </c>
      <c r="Q38" s="116">
        <v>66743673833</v>
      </c>
      <c r="R38" s="116">
        <v>4331174.7699999996</v>
      </c>
      <c r="S38" s="130">
        <f t="shared" ref="S38" si="16">P38/R38</f>
        <v>11.449475404106126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2270610.8571428573</v>
      </c>
      <c r="G39" s="190">
        <f t="shared" ref="G39" si="17">F39/F38-1</f>
        <v>-8.4240550481136545E-2</v>
      </c>
      <c r="H39" s="190">
        <f t="shared" ref="H39" si="18">F39/F27-1</f>
        <v>-0.37998495810348598</v>
      </c>
      <c r="I39" s="130">
        <f t="shared" si="4"/>
        <v>11.192494934563854</v>
      </c>
      <c r="J39" s="136"/>
      <c r="K39" s="190"/>
      <c r="L39" s="190"/>
      <c r="M39" s="191"/>
      <c r="N39" s="192"/>
      <c r="O39" s="129" t="s">
        <v>762</v>
      </c>
      <c r="P39" s="116">
        <v>47682828</v>
      </c>
      <c r="Q39" s="116">
        <v>66184757500</v>
      </c>
      <c r="R39" s="116">
        <v>4260250.13</v>
      </c>
      <c r="S39" s="130">
        <f t="shared" ref="S39" si="19">P39/R39</f>
        <v>11.192494934563854</v>
      </c>
      <c r="T39" s="85"/>
    </row>
    <row r="40" spans="1:20" s="92" customFormat="1" ht="13.2">
      <c r="A40" s="129" t="s">
        <v>778</v>
      </c>
      <c r="B40" s="188">
        <f>SUM(F38:F40)</f>
        <v>7877381.3785714284</v>
      </c>
      <c r="C40" s="188">
        <f>AVERAGE(F38:F40)</f>
        <v>2625793.7928571426</v>
      </c>
      <c r="D40" s="190">
        <f>C40/C37-1</f>
        <v>-5.3730904170554594E-2</v>
      </c>
      <c r="E40" s="190">
        <f>C40/C28-1</f>
        <v>-0.1868364586470127</v>
      </c>
      <c r="F40" s="136">
        <f>P40/21</f>
        <v>3127286.5714285714</v>
      </c>
      <c r="G40" s="190">
        <f t="shared" ref="G40" si="20">F40/F39-1</f>
        <v>0.37728865410415668</v>
      </c>
      <c r="H40" s="190">
        <f t="shared" ref="H40" si="21">F40/F28-1</f>
        <v>4.1219909492856033E-2</v>
      </c>
      <c r="I40" s="130">
        <f t="shared" si="4"/>
        <v>12.483964844557857</v>
      </c>
      <c r="J40" s="136">
        <f>Q38+Q39+Q40</f>
        <v>226081148847</v>
      </c>
      <c r="K40" s="190">
        <f>T40/T37-1</f>
        <v>-5.3427890825654245E-2</v>
      </c>
      <c r="L40" s="190">
        <f>T40/T28-1</f>
        <v>-0.16457805016123928</v>
      </c>
      <c r="M40" s="191">
        <f>AVERAGE(S38:S40)</f>
        <v>11.708645061075947</v>
      </c>
      <c r="N40" s="192">
        <f>M40/M37-1</f>
        <v>1.722844804293433E-2</v>
      </c>
      <c r="O40" s="129" t="s">
        <v>778</v>
      </c>
      <c r="P40" s="116">
        <v>65673018</v>
      </c>
      <c r="Q40" s="116">
        <v>93152717514</v>
      </c>
      <c r="R40" s="116">
        <v>5260589.79</v>
      </c>
      <c r="S40" s="130">
        <f t="shared" ref="S40" si="22">P40/R40</f>
        <v>12.483964844557857</v>
      </c>
      <c r="T40" s="85">
        <f>P38+P39+P40</f>
        <v>162945525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3645681.1666666665</v>
      </c>
      <c r="G41" s="190">
        <f t="shared" ref="G41" si="23">F41/F40-1</f>
        <v>0.16576497976688076</v>
      </c>
      <c r="H41" s="190">
        <f t="shared" ref="H41" si="24">F41/F29-1</f>
        <v>0.41385809404361806</v>
      </c>
      <c r="I41" s="130">
        <f t="shared" si="4"/>
        <v>12.426974699583456</v>
      </c>
      <c r="J41" s="194"/>
      <c r="K41" s="202"/>
      <c r="L41" s="202"/>
      <c r="M41" s="194"/>
      <c r="N41" s="194"/>
      <c r="O41" s="129" t="s">
        <v>812</v>
      </c>
      <c r="P41" s="116">
        <v>65622261</v>
      </c>
      <c r="Q41" s="116">
        <v>95957304761</v>
      </c>
      <c r="R41" s="116">
        <v>5280630.45</v>
      </c>
      <c r="S41" s="130">
        <f t="shared" ref="S41" si="25">P41/R41</f>
        <v>12.426974699583456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3213349.65</v>
      </c>
      <c r="G42" s="190">
        <f t="shared" ref="G42" si="26">F42/F41-1</f>
        <v>-0.11858730835257258</v>
      </c>
      <c r="H42" s="190">
        <f t="shared" ref="H42" si="27">F42/F30-1</f>
        <v>-5.7438721348734845E-2</v>
      </c>
      <c r="I42" s="130">
        <f t="shared" si="4"/>
        <v>11.997785792494462</v>
      </c>
      <c r="J42" s="194"/>
      <c r="K42" s="202"/>
      <c r="L42" s="202"/>
      <c r="M42" s="194"/>
      <c r="N42" s="194"/>
      <c r="O42" s="129" t="s">
        <v>826</v>
      </c>
      <c r="P42" s="116">
        <v>64266993</v>
      </c>
      <c r="Q42" s="116">
        <v>92954890362</v>
      </c>
      <c r="R42" s="116">
        <v>5356571.13</v>
      </c>
      <c r="S42" s="130">
        <f t="shared" ref="S42" si="28">P42/R42</f>
        <v>11.997785792494462</v>
      </c>
      <c r="T42" s="175"/>
    </row>
    <row r="43" spans="1:20" s="92" customFormat="1" ht="13.2">
      <c r="A43" s="129" t="s">
        <v>835</v>
      </c>
      <c r="B43" s="188">
        <f>SUM(F41:F43)</f>
        <v>9369345.8166666664</v>
      </c>
      <c r="C43" s="188">
        <f>AVERAGE(F41:F43)</f>
        <v>3123115.2722222223</v>
      </c>
      <c r="D43" s="190">
        <f>C43/C40-1</f>
        <v>0.18939852806337121</v>
      </c>
      <c r="E43" s="190">
        <f>C43/C31-1</f>
        <v>0.11601987549106663</v>
      </c>
      <c r="F43" s="136">
        <f>P43/20</f>
        <v>2510315</v>
      </c>
      <c r="G43" s="190">
        <f t="shared" ref="G43" si="29">F43/F42-1</f>
        <v>-0.2187856058552482</v>
      </c>
      <c r="H43" s="190">
        <f t="shared" ref="H43" si="30">F43/F31-1</f>
        <v>4.2654264652879581E-2</v>
      </c>
      <c r="I43" s="130">
        <f t="shared" si="4"/>
        <v>10.927157577398303</v>
      </c>
      <c r="J43" s="136">
        <f>Q41+Q42+Q43</f>
        <v>261682282265</v>
      </c>
      <c r="K43" s="190">
        <f>T43/T40-1</f>
        <v>0.10525007667439779</v>
      </c>
      <c r="L43" s="190">
        <f>T43/T31-1</f>
        <v>6.1544086822704402E-2</v>
      </c>
      <c r="M43" s="191">
        <f>AVERAGE(S41:S43)</f>
        <v>11.783972689825406</v>
      </c>
      <c r="N43" s="192">
        <f>M43/M40-1</f>
        <v>6.433505188390809E-3</v>
      </c>
      <c r="O43" s="129" t="s">
        <v>835</v>
      </c>
      <c r="P43" s="116">
        <v>50206300</v>
      </c>
      <c r="Q43" s="116">
        <v>72770087142</v>
      </c>
      <c r="R43" s="116">
        <v>4594634.9400000004</v>
      </c>
      <c r="S43" s="130">
        <f t="shared" ref="S43" si="31">P43/R43</f>
        <v>10.927157577398303</v>
      </c>
      <c r="T43" s="85">
        <f>P41+P42+P43</f>
        <v>180095554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2539335.3181818184</v>
      </c>
      <c r="G44" s="190">
        <f t="shared" ref="G44" si="32">F44/F43-1</f>
        <v>1.1560428942908985E-2</v>
      </c>
      <c r="H44" s="190">
        <f t="shared" ref="H44" si="33">F44/F32-1</f>
        <v>0.10831833310637107</v>
      </c>
      <c r="I44" s="130">
        <f t="shared" si="4"/>
        <v>11.129283450308389</v>
      </c>
      <c r="J44" s="136"/>
      <c r="K44" s="190"/>
      <c r="L44" s="190"/>
      <c r="M44" s="191"/>
      <c r="N44" s="192"/>
      <c r="O44" s="129" t="s">
        <v>843</v>
      </c>
      <c r="P44" s="116">
        <v>55865377</v>
      </c>
      <c r="Q44" s="116">
        <v>81208169569</v>
      </c>
      <c r="R44" s="116">
        <v>5019674.2</v>
      </c>
      <c r="S44" s="130">
        <f t="shared" ref="S44" si="34">P44/R44</f>
        <v>11.129283450308389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2527403.6</v>
      </c>
      <c r="G45" s="190">
        <f t="shared" ref="G45" si="35">F45/F44-1</f>
        <v>-4.6987564408632609E-3</v>
      </c>
      <c r="H45" s="190">
        <f t="shared" ref="H45" si="36">F45/F33-1</f>
        <v>-4.5706472765309036E-2</v>
      </c>
      <c r="I45" s="130">
        <f t="shared" si="4"/>
        <v>11.380980704383896</v>
      </c>
      <c r="J45" s="136"/>
      <c r="K45" s="190"/>
      <c r="L45" s="190"/>
      <c r="M45" s="191"/>
      <c r="N45" s="192"/>
      <c r="O45" s="129" t="s">
        <v>849</v>
      </c>
      <c r="P45" s="116">
        <v>50548072</v>
      </c>
      <c r="Q45" s="116">
        <v>71096082301</v>
      </c>
      <c r="R45" s="116">
        <v>4441451.34</v>
      </c>
      <c r="S45" s="130">
        <f t="shared" ref="S45" si="37">P45/R45</f>
        <v>11.380980704383896</v>
      </c>
      <c r="T45" s="85"/>
    </row>
    <row r="46" spans="1:20" s="168" customFormat="1" ht="13.2">
      <c r="A46" s="144" t="s">
        <v>888</v>
      </c>
      <c r="B46" s="196">
        <f>SUM(F44:F46)</f>
        <v>7589923.0760765541</v>
      </c>
      <c r="C46" s="196">
        <f>AVERAGE(F44:F46)</f>
        <v>2529974.3586921846</v>
      </c>
      <c r="D46" s="197">
        <f>C46/C43-1</f>
        <v>-0.18991963530952027</v>
      </c>
      <c r="E46" s="197">
        <f>C46/C34-1</f>
        <v>-4.8941118368544534E-2</v>
      </c>
      <c r="F46" s="147">
        <f>P46/19</f>
        <v>2523184.1578947366</v>
      </c>
      <c r="G46" s="197">
        <f t="shared" ref="G46" si="38">F46/F45-1</f>
        <v>-1.6694769704622692E-3</v>
      </c>
      <c r="H46" s="197">
        <f t="shared" ref="H46" si="39">F46/F34-1</f>
        <v>-0.17024589162624126</v>
      </c>
      <c r="I46" s="146">
        <f t="shared" ref="I46" si="40">S46</f>
        <v>11.233415609708901</v>
      </c>
      <c r="J46" s="147">
        <f>Q44+Q45+Q46</f>
        <v>217965040194</v>
      </c>
      <c r="K46" s="197">
        <f>T46/T43-1</f>
        <v>-0.14293304542098806</v>
      </c>
      <c r="L46" s="197">
        <f>T46/T34-1</f>
        <v>-4.4299394797251979E-2</v>
      </c>
      <c r="M46" s="198">
        <f>AVERAGE(S44:S46)</f>
        <v>11.247893254800395</v>
      </c>
      <c r="N46" s="199">
        <f>M46/M43-1</f>
        <v>-4.5492250290759428E-2</v>
      </c>
      <c r="O46" s="144" t="s">
        <v>928</v>
      </c>
      <c r="P46" s="145">
        <v>47940499</v>
      </c>
      <c r="Q46" s="145">
        <v>65660788324</v>
      </c>
      <c r="R46" s="145">
        <v>4267668.95</v>
      </c>
      <c r="S46" s="146">
        <f t="shared" ref="S46" si="41">P46/R46</f>
        <v>11.233415609708901</v>
      </c>
      <c r="T46" s="187">
        <f>P44+P45+P46</f>
        <v>154353948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2020954.043478261</v>
      </c>
      <c r="G47" s="197">
        <f t="shared" ref="G47" si="42">F47/F46-1</f>
        <v>-0.19904615873758502</v>
      </c>
      <c r="H47" s="197">
        <f t="shared" ref="H47" si="43">F47/F35-1</f>
        <v>-0.32403889307153844</v>
      </c>
      <c r="I47" s="146">
        <f t="shared" ref="I47" si="44">S47</f>
        <v>10.994280008419922</v>
      </c>
      <c r="J47" s="147"/>
      <c r="K47" s="197"/>
      <c r="L47" s="197"/>
      <c r="M47" s="198"/>
      <c r="N47" s="199"/>
      <c r="O47" s="144" t="s">
        <v>1029</v>
      </c>
      <c r="P47" s="145">
        <v>46481943</v>
      </c>
      <c r="Q47" s="145">
        <v>63728126097</v>
      </c>
      <c r="R47" s="145">
        <v>4227829.6500000004</v>
      </c>
      <c r="S47" s="146">
        <f t="shared" ref="S47" si="45">P47/R47</f>
        <v>10.994280008419922</v>
      </c>
      <c r="T47" s="187">
        <f>P45+P46+P47</f>
        <v>144970514</v>
      </c>
    </row>
    <row r="48" spans="1:20" s="168" customFormat="1" ht="13.2">
      <c r="A48" s="144" t="s">
        <v>1094</v>
      </c>
      <c r="B48" s="196"/>
      <c r="C48" s="196"/>
      <c r="D48" s="197"/>
      <c r="E48" s="197"/>
      <c r="F48" s="147">
        <f>P48/6</f>
        <v>7746990.5</v>
      </c>
      <c r="G48" s="197">
        <f t="shared" ref="G48" si="46">F48/F47-1</f>
        <v>2.833333333333333</v>
      </c>
      <c r="H48" s="197">
        <f t="shared" ref="H48" si="47">F48/F36-1</f>
        <v>2.1620890563949433</v>
      </c>
      <c r="I48" s="146">
        <f t="shared" ref="I48" si="48">S48</f>
        <v>10.994280008419922</v>
      </c>
      <c r="J48" s="147"/>
      <c r="K48" s="197"/>
      <c r="L48" s="197"/>
      <c r="M48" s="198"/>
      <c r="N48" s="199"/>
      <c r="O48" s="144" t="s">
        <v>1070</v>
      </c>
      <c r="P48" s="145">
        <v>46481943</v>
      </c>
      <c r="Q48" s="145">
        <v>63728126097</v>
      </c>
      <c r="R48" s="145">
        <v>4227829.6500000004</v>
      </c>
      <c r="S48" s="146">
        <f t="shared" ref="S48" si="49">P48/R48</f>
        <v>10.994280008419922</v>
      </c>
      <c r="T48" s="187">
        <f>P46+P47+P48</f>
        <v>140904385</v>
      </c>
    </row>
    <row r="49" spans="3:5">
      <c r="C49" s="196">
        <f>AVERAGE(F47:F49)</f>
        <v>4883972.2717391308</v>
      </c>
      <c r="D49" s="197">
        <f>C49/C46-1</f>
        <v>0.93044338768073298</v>
      </c>
      <c r="E49" s="197">
        <f>C49/C37-1</f>
        <v>0.76005901080523541</v>
      </c>
    </row>
  </sheetData>
  <phoneticPr fontId="1" type="noConversion"/>
  <conditionalFormatting sqref="C29:C30">
    <cfRule type="cellIs" dxfId="11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44"/>
  <dimension ref="A1:Z75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8486105030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187100</v>
      </c>
      <c r="G5" s="90"/>
      <c r="H5" s="90"/>
      <c r="I5" s="130">
        <f t="shared" ref="I5:I49" si="0">T5</f>
        <v>528.13571761252172</v>
      </c>
      <c r="J5" s="130"/>
      <c r="K5" s="86"/>
      <c r="L5" s="80"/>
      <c r="M5" s="80"/>
      <c r="P5" s="129" t="s">
        <v>0</v>
      </c>
      <c r="Q5" s="116">
        <v>3742000</v>
      </c>
      <c r="R5" s="116"/>
      <c r="S5" s="116">
        <v>7085.3</v>
      </c>
      <c r="T5" s="130">
        <f t="shared" ref="T5:T26" si="1">Q5/S5</f>
        <v>528.13571761252172</v>
      </c>
      <c r="U5" s="85"/>
    </row>
    <row r="6" spans="1:21" ht="15" hidden="1" customHeight="1">
      <c r="A6" s="129" t="s">
        <v>1</v>
      </c>
      <c r="C6" s="79"/>
      <c r="F6" s="78">
        <f>Q6/18</f>
        <v>1166.6666666666667</v>
      </c>
      <c r="G6" s="90">
        <f t="shared" ref="G6:G26" si="2">F6/F5-1</f>
        <v>-0.99376447532513812</v>
      </c>
      <c r="H6" s="90"/>
      <c r="I6" s="130">
        <f t="shared" si="0"/>
        <v>411.76470588235293</v>
      </c>
      <c r="J6" s="130"/>
      <c r="K6" s="78"/>
      <c r="P6" s="129" t="s">
        <v>1</v>
      </c>
      <c r="Q6" s="116">
        <v>21000</v>
      </c>
      <c r="R6" s="116"/>
      <c r="S6" s="116">
        <v>51</v>
      </c>
      <c r="T6" s="130">
        <f t="shared" si="1"/>
        <v>411.76470588235293</v>
      </c>
      <c r="U6" s="85"/>
    </row>
    <row r="7" spans="1:21" ht="15" hidden="1" customHeight="1">
      <c r="A7" s="129" t="s">
        <v>2</v>
      </c>
      <c r="B7" s="131">
        <f>F5+F6+F7</f>
        <v>580812.12121212122</v>
      </c>
      <c r="C7" s="131">
        <f>AVERAGE(F5:F7)</f>
        <v>193604.0404040404</v>
      </c>
      <c r="F7" s="78">
        <f>Q7/22</f>
        <v>392545.45454545453</v>
      </c>
      <c r="G7" s="90">
        <f t="shared" si="2"/>
        <v>335.46753246753241</v>
      </c>
      <c r="H7" s="90"/>
      <c r="I7" s="130">
        <f t="shared" si="0"/>
        <v>411.65366941865125</v>
      </c>
      <c r="J7" s="130"/>
      <c r="K7" s="85">
        <f>R5+R6+R7</f>
        <v>0</v>
      </c>
      <c r="N7" s="88">
        <f>AVERAGE(T5:T7)</f>
        <v>450.51803097117528</v>
      </c>
      <c r="P7" s="129" t="s">
        <v>2</v>
      </c>
      <c r="Q7" s="116">
        <v>8636000</v>
      </c>
      <c r="R7" s="116"/>
      <c r="S7" s="116">
        <v>20978.799999999999</v>
      </c>
      <c r="T7" s="130">
        <f t="shared" si="1"/>
        <v>411.65366941865125</v>
      </c>
      <c r="U7" s="85">
        <f>Q5+Q6+Q7</f>
        <v>12399000</v>
      </c>
    </row>
    <row r="8" spans="1:21" ht="15" hidden="1" customHeight="1">
      <c r="A8" s="129" t="s">
        <v>3</v>
      </c>
      <c r="C8" s="79"/>
      <c r="F8" s="78">
        <f>Q8/21</f>
        <v>274015.90476190473</v>
      </c>
      <c r="G8" s="90">
        <f t="shared" si="2"/>
        <v>-0.30195114581265581</v>
      </c>
      <c r="H8" s="90"/>
      <c r="I8" s="130">
        <f t="shared" si="0"/>
        <v>417.08650744754107</v>
      </c>
      <c r="J8" s="130"/>
      <c r="K8" s="78"/>
      <c r="P8" s="129" t="s">
        <v>3</v>
      </c>
      <c r="Q8" s="116">
        <v>5754334</v>
      </c>
      <c r="R8" s="116"/>
      <c r="S8" s="116">
        <v>13796.5</v>
      </c>
      <c r="T8" s="130">
        <f t="shared" si="1"/>
        <v>417.08650744754107</v>
      </c>
      <c r="U8" s="85"/>
    </row>
    <row r="9" spans="1:21" ht="15" hidden="1" customHeight="1">
      <c r="A9" s="129" t="s">
        <v>4</v>
      </c>
      <c r="C9" s="79"/>
      <c r="F9" s="78">
        <f>Q9/21</f>
        <v>460188.57142857142</v>
      </c>
      <c r="G9" s="90">
        <f t="shared" si="2"/>
        <v>0.67942284893438587</v>
      </c>
      <c r="H9" s="90"/>
      <c r="I9" s="130">
        <f t="shared" si="0"/>
        <v>449.59734260073412</v>
      </c>
      <c r="J9" s="130"/>
      <c r="K9" s="78"/>
      <c r="P9" s="129" t="s">
        <v>4</v>
      </c>
      <c r="Q9" s="116">
        <v>9663960</v>
      </c>
      <c r="R9" s="116"/>
      <c r="S9" s="116">
        <v>21494.7</v>
      </c>
      <c r="T9" s="130">
        <f t="shared" si="1"/>
        <v>449.59734260073412</v>
      </c>
      <c r="U9" s="85"/>
    </row>
    <row r="10" spans="1:21" ht="15" hidden="1" customHeight="1">
      <c r="A10" s="129" t="s">
        <v>5</v>
      </c>
      <c r="B10" s="131">
        <f>F8+F9+F10</f>
        <v>1217212.5714285714</v>
      </c>
      <c r="C10" s="131">
        <f>AVERAGE(F8:F10)</f>
        <v>405737.52380952379</v>
      </c>
      <c r="D10" s="90">
        <f>C10/C7-1</f>
        <v>1.0957079354479022</v>
      </c>
      <c r="E10" s="286"/>
      <c r="F10" s="78">
        <f>Q10/21</f>
        <v>483008.09523809527</v>
      </c>
      <c r="G10" s="90">
        <f t="shared" si="2"/>
        <v>4.9587332729026379E-2</v>
      </c>
      <c r="H10" s="90"/>
      <c r="I10" s="130">
        <f t="shared" si="0"/>
        <v>465.48801306997575</v>
      </c>
      <c r="J10" s="130"/>
      <c r="K10" s="85">
        <f>R8+R9+R10</f>
        <v>0</v>
      </c>
      <c r="L10" s="87">
        <f>U10/U7-1</f>
        <v>1.0615746431163804</v>
      </c>
      <c r="N10" s="88">
        <f>AVERAGE(T8:T10)</f>
        <v>444.05728770608363</v>
      </c>
      <c r="O10" s="89">
        <f>N10/N7-1</f>
        <v>-1.4340698531342455E-2</v>
      </c>
      <c r="P10" s="129" t="s">
        <v>5</v>
      </c>
      <c r="Q10" s="116">
        <v>10143170</v>
      </c>
      <c r="R10" s="116"/>
      <c r="S10" s="116">
        <v>21790.400000000001</v>
      </c>
      <c r="T10" s="130">
        <f t="shared" si="1"/>
        <v>465.48801306997575</v>
      </c>
      <c r="U10" s="85">
        <f>Q8+Q9+Q10</f>
        <v>25561464</v>
      </c>
    </row>
    <row r="11" spans="1:21" ht="15" hidden="1" customHeight="1">
      <c r="A11" s="129" t="s">
        <v>6</v>
      </c>
      <c r="C11" s="79"/>
      <c r="F11" s="78">
        <f>Q11/21</f>
        <v>598405.66666666663</v>
      </c>
      <c r="G11" s="90">
        <f t="shared" si="2"/>
        <v>0.23891436306401248</v>
      </c>
      <c r="H11" s="90"/>
      <c r="I11" s="130">
        <f t="shared" si="0"/>
        <v>451.83152119198627</v>
      </c>
      <c r="J11" s="130"/>
      <c r="K11" s="78"/>
      <c r="O11" s="89"/>
      <c r="P11" s="129" t="s">
        <v>6</v>
      </c>
      <c r="Q11" s="116">
        <v>12566519</v>
      </c>
      <c r="R11" s="116"/>
      <c r="S11" s="116">
        <v>27812.400000000001</v>
      </c>
      <c r="T11" s="130">
        <f t="shared" si="1"/>
        <v>451.83152119198627</v>
      </c>
      <c r="U11" s="85"/>
    </row>
    <row r="12" spans="1:21" ht="15" hidden="1" customHeight="1">
      <c r="A12" s="129" t="s">
        <v>7</v>
      </c>
      <c r="C12" s="79"/>
      <c r="F12" s="78">
        <f>Q12/22</f>
        <v>394957.45454545453</v>
      </c>
      <c r="G12" s="90">
        <f t="shared" si="2"/>
        <v>-0.33998376595343982</v>
      </c>
      <c r="H12" s="90"/>
      <c r="I12" s="130">
        <f t="shared" si="0"/>
        <v>419.202609081611</v>
      </c>
      <c r="J12" s="130"/>
      <c r="K12" s="78"/>
      <c r="O12" s="89"/>
      <c r="P12" s="129" t="s">
        <v>7</v>
      </c>
      <c r="Q12" s="116">
        <v>8689064</v>
      </c>
      <c r="R12" s="116"/>
      <c r="S12" s="116">
        <v>20727.599999999999</v>
      </c>
      <c r="T12" s="130">
        <f t="shared" si="1"/>
        <v>419.202609081611</v>
      </c>
      <c r="U12" s="85"/>
    </row>
    <row r="13" spans="1:21" ht="15" hidden="1" customHeight="1">
      <c r="A13" s="129" t="s">
        <v>96</v>
      </c>
      <c r="B13" s="131">
        <f>F11+F12+F13</f>
        <v>2061243.2212121212</v>
      </c>
      <c r="C13" s="131">
        <f>AVERAGE(F11:F13)</f>
        <v>687081.07373737369</v>
      </c>
      <c r="D13" s="90">
        <f>C13/C10-1</f>
        <v>0.69341269519830884</v>
      </c>
      <c r="E13" s="286"/>
      <c r="F13" s="78">
        <f>Q13/20</f>
        <v>1067880.1000000001</v>
      </c>
      <c r="G13" s="90">
        <f t="shared" si="2"/>
        <v>1.7037851487801223</v>
      </c>
      <c r="H13" s="90"/>
      <c r="I13" s="130">
        <f t="shared" si="0"/>
        <v>430.59507824565225</v>
      </c>
      <c r="J13" s="130"/>
      <c r="K13" s="78">
        <f>R11+R12+R13</f>
        <v>0</v>
      </c>
      <c r="L13" s="87">
        <f>U13/U10-1</f>
        <v>0.66708702600132752</v>
      </c>
      <c r="N13" s="88">
        <f>AVERAGE(T11:T13)</f>
        <v>433.8764028397498</v>
      </c>
      <c r="O13" s="89">
        <f>N13/N10-1</f>
        <v>-2.292696268746397E-2</v>
      </c>
      <c r="P13" s="129" t="s">
        <v>96</v>
      </c>
      <c r="Q13" s="116">
        <v>21357602</v>
      </c>
      <c r="R13" s="116"/>
      <c r="S13" s="116">
        <v>49600.2</v>
      </c>
      <c r="T13" s="130">
        <f t="shared" si="1"/>
        <v>430.59507824565225</v>
      </c>
      <c r="U13" s="85">
        <f>Q11+Q12+Q13</f>
        <v>42613185</v>
      </c>
    </row>
    <row r="14" spans="1:21" ht="15" hidden="1" customHeight="1">
      <c r="A14" s="129" t="s">
        <v>97</v>
      </c>
      <c r="C14" s="79"/>
      <c r="F14" s="78">
        <f>Q14/20</f>
        <v>202830.3</v>
      </c>
      <c r="G14" s="90">
        <f t="shared" si="2"/>
        <v>-0.81006266527487503</v>
      </c>
      <c r="H14" s="90"/>
      <c r="I14" s="130">
        <f t="shared" si="0"/>
        <v>513.72202874691322</v>
      </c>
      <c r="J14" s="130"/>
      <c r="K14" s="78"/>
      <c r="O14" s="89"/>
      <c r="P14" s="129" t="s">
        <v>97</v>
      </c>
      <c r="Q14" s="116">
        <v>4056606</v>
      </c>
      <c r="R14" s="116"/>
      <c r="S14" s="116">
        <v>7896.5</v>
      </c>
      <c r="T14" s="130">
        <f t="shared" si="1"/>
        <v>513.72202874691322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392468.18181818182</v>
      </c>
      <c r="G15" s="90">
        <f t="shared" si="2"/>
        <v>0.93495834605668793</v>
      </c>
      <c r="H15" s="90"/>
      <c r="I15" s="130">
        <f t="shared" si="0"/>
        <v>416.98097717164006</v>
      </c>
      <c r="J15" s="130"/>
      <c r="K15" s="78"/>
      <c r="O15" s="89"/>
      <c r="P15" s="129" t="s">
        <v>98</v>
      </c>
      <c r="Q15" s="116">
        <v>8634300</v>
      </c>
      <c r="R15" s="116"/>
      <c r="S15" s="116">
        <v>20706.7</v>
      </c>
      <c r="T15" s="130">
        <f t="shared" si="1"/>
        <v>416.98097717164006</v>
      </c>
      <c r="U15" s="78"/>
    </row>
    <row r="16" spans="1:21" ht="15" hidden="1" customHeight="1">
      <c r="A16" s="129" t="s">
        <v>99</v>
      </c>
      <c r="B16" s="131">
        <f>F14+F15+F16</f>
        <v>902765.3</v>
      </c>
      <c r="C16" s="131">
        <f>AVERAGE(F14:F16)</f>
        <v>300921.76666666666</v>
      </c>
      <c r="D16" s="90">
        <f>C16/C13-1</f>
        <v>-0.56202873551762322</v>
      </c>
      <c r="E16" s="286"/>
      <c r="F16" s="78">
        <f>Q16/22</f>
        <v>307466.81818181818</v>
      </c>
      <c r="G16" s="90">
        <f t="shared" si="2"/>
        <v>-0.21658154106296978</v>
      </c>
      <c r="H16" s="90"/>
      <c r="I16" s="130">
        <f t="shared" si="0"/>
        <v>469.31728300839518</v>
      </c>
      <c r="J16" s="130"/>
      <c r="K16" s="78">
        <f>R14+R15+R16</f>
        <v>0</v>
      </c>
      <c r="L16" s="87">
        <f>U16/U13-1</f>
        <v>-0.54344703405765138</v>
      </c>
      <c r="N16" s="88">
        <f>AVERAGE(T14:T16)</f>
        <v>466.67342964231619</v>
      </c>
      <c r="O16" s="89">
        <f>N16/N13-1</f>
        <v>7.5590713364238393E-2</v>
      </c>
      <c r="P16" s="129" t="s">
        <v>99</v>
      </c>
      <c r="Q16" s="116">
        <v>6764270</v>
      </c>
      <c r="R16" s="116"/>
      <c r="S16" s="116">
        <v>14413</v>
      </c>
      <c r="T16" s="130">
        <f t="shared" si="1"/>
        <v>469.31728300839518</v>
      </c>
      <c r="U16" s="85">
        <f>Q14+Q15+Q16</f>
        <v>19455176</v>
      </c>
    </row>
    <row r="17" spans="1:21" ht="15" hidden="1" customHeight="1">
      <c r="A17" s="129" t="s">
        <v>100</v>
      </c>
      <c r="C17" s="79"/>
      <c r="F17" s="78">
        <f>Q17/20</f>
        <v>477617.15</v>
      </c>
      <c r="G17" s="90">
        <f t="shared" si="2"/>
        <v>0.55339412826513446</v>
      </c>
      <c r="H17" s="90">
        <f t="shared" ref="H17:H26" si="3">F17/F5-1</f>
        <v>1.5527373062533405</v>
      </c>
      <c r="I17" s="130">
        <f t="shared" si="0"/>
        <v>333.41511343804535</v>
      </c>
      <c r="J17" s="130">
        <f t="shared" ref="J17:J49" si="4">I17/I5-1</f>
        <v>-0.36869425354286944</v>
      </c>
      <c r="K17" s="78"/>
      <c r="O17" s="89"/>
      <c r="P17" s="129" t="s">
        <v>100</v>
      </c>
      <c r="Q17" s="116">
        <v>9552343</v>
      </c>
      <c r="R17" s="116">
        <v>12017422719</v>
      </c>
      <c r="S17" s="116">
        <v>28650</v>
      </c>
      <c r="T17" s="130">
        <f t="shared" si="1"/>
        <v>333.41511343804535</v>
      </c>
      <c r="U17" s="78"/>
    </row>
    <row r="18" spans="1:21" ht="15" hidden="1" customHeight="1">
      <c r="A18" s="129" t="s">
        <v>107</v>
      </c>
      <c r="C18" s="79"/>
      <c r="F18" s="78">
        <f>Q18/20</f>
        <v>296709.40000000002</v>
      </c>
      <c r="G18" s="90">
        <f t="shared" si="2"/>
        <v>-0.37877146999432498</v>
      </c>
      <c r="H18" s="90">
        <f t="shared" si="3"/>
        <v>253.32234285714287</v>
      </c>
      <c r="I18" s="130">
        <f t="shared" si="0"/>
        <v>411.66185692879736</v>
      </c>
      <c r="J18" s="130">
        <f t="shared" si="4"/>
        <v>-2.4977603006348659E-4</v>
      </c>
      <c r="K18" s="78"/>
      <c r="O18" s="89"/>
      <c r="P18" s="129" t="s">
        <v>107</v>
      </c>
      <c r="Q18" s="116">
        <v>5934188</v>
      </c>
      <c r="R18" s="116">
        <v>7354421645</v>
      </c>
      <c r="S18" s="116">
        <v>14415.2</v>
      </c>
      <c r="T18" s="130">
        <f t="shared" si="1"/>
        <v>411.66185692879736</v>
      </c>
      <c r="U18" s="78"/>
    </row>
    <row r="19" spans="1:21" hidden="1">
      <c r="A19" s="129" t="s">
        <v>114</v>
      </c>
      <c r="B19" s="131">
        <f>SUM(F17:F19)</f>
        <v>1387940.1863636365</v>
      </c>
      <c r="C19" s="131">
        <f>AVERAGE(F17:F19)</f>
        <v>462646.72878787882</v>
      </c>
      <c r="D19" s="90">
        <f>C19/C16-1</f>
        <v>0.53743191764640974</v>
      </c>
      <c r="E19" s="286">
        <f>C19/C7-1</f>
        <v>1.3896543058830897</v>
      </c>
      <c r="F19" s="78">
        <f>Q19/22</f>
        <v>613613.63636363635</v>
      </c>
      <c r="G19" s="90">
        <f t="shared" si="2"/>
        <v>1.0680626780399822</v>
      </c>
      <c r="H19" s="90">
        <f t="shared" si="3"/>
        <v>0.56316581750810557</v>
      </c>
      <c r="I19" s="130">
        <f t="shared" si="0"/>
        <v>486.35629980833249</v>
      </c>
      <c r="J19" s="130">
        <f t="shared" si="4"/>
        <v>0.18146960889521124</v>
      </c>
      <c r="K19" s="78">
        <f>R17+R18+R19</f>
        <v>37018180304</v>
      </c>
      <c r="L19" s="87">
        <f>U19/U16-1</f>
        <v>0.48988788382073745</v>
      </c>
      <c r="M19" s="87">
        <f>U19/U7-1</f>
        <v>1.3377716751350914</v>
      </c>
      <c r="N19" s="88">
        <f>AVERAGE(T17:T19)</f>
        <v>410.47775672505844</v>
      </c>
      <c r="O19" s="89">
        <f>N19/N16-1</f>
        <v>-0.12041755400629761</v>
      </c>
      <c r="P19" s="129" t="s">
        <v>114</v>
      </c>
      <c r="Q19" s="116">
        <v>13499500</v>
      </c>
      <c r="R19" s="116">
        <v>17646335940</v>
      </c>
      <c r="S19" s="116">
        <v>27756.400000000001</v>
      </c>
      <c r="T19" s="130">
        <f t="shared" si="1"/>
        <v>486.35629980833249</v>
      </c>
      <c r="U19" s="85">
        <f>Q17+Q18+Q19</f>
        <v>28986031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319875</v>
      </c>
      <c r="G20" s="90">
        <f t="shared" si="2"/>
        <v>-0.47870291492277495</v>
      </c>
      <c r="H20" s="90">
        <f t="shared" si="3"/>
        <v>0.16735924609172859</v>
      </c>
      <c r="I20" s="130">
        <f t="shared" si="0"/>
        <v>346.11014931832938</v>
      </c>
      <c r="J20" s="130">
        <f t="shared" si="4"/>
        <v>-0.17017179137145477</v>
      </c>
      <c r="K20" s="78"/>
      <c r="O20" s="89"/>
      <c r="P20" s="129" t="s">
        <v>131</v>
      </c>
      <c r="Q20" s="116">
        <v>6397500</v>
      </c>
      <c r="R20" s="116">
        <v>8390747700</v>
      </c>
      <c r="S20" s="116">
        <v>18484</v>
      </c>
      <c r="T20" s="130">
        <f t="shared" si="1"/>
        <v>346.11014931832938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407171.42857142858</v>
      </c>
      <c r="G21" s="90">
        <f t="shared" si="2"/>
        <v>0.27290794395132023</v>
      </c>
      <c r="H21" s="90">
        <f t="shared" si="3"/>
        <v>-0.11520743049433146</v>
      </c>
      <c r="I21" s="130">
        <f t="shared" si="0"/>
        <v>406.97762970014281</v>
      </c>
      <c r="J21" s="130">
        <f t="shared" si="4"/>
        <v>-9.4795295394883627E-2</v>
      </c>
      <c r="K21" s="78"/>
      <c r="O21" s="89"/>
      <c r="P21" s="129" t="s">
        <v>141</v>
      </c>
      <c r="Q21" s="116">
        <v>8550600</v>
      </c>
      <c r="R21" s="116">
        <v>11376853855</v>
      </c>
      <c r="S21" s="116">
        <v>21010</v>
      </c>
      <c r="T21" s="130">
        <f t="shared" si="1"/>
        <v>406.97762970014281</v>
      </c>
      <c r="U21" s="78"/>
    </row>
    <row r="22" spans="1:21" hidden="1">
      <c r="A22" s="129" t="s">
        <v>155</v>
      </c>
      <c r="B22" s="131">
        <f>SUM(F20:F22)</f>
        <v>1142978.6666666667</v>
      </c>
      <c r="C22" s="131">
        <f>AVERAGE(F20:F22)</f>
        <v>380992.88888888893</v>
      </c>
      <c r="D22" s="90">
        <f>C22/C19-1</f>
        <v>-0.17649285041509022</v>
      </c>
      <c r="E22" s="286">
        <f>C22/C10-1</f>
        <v>-6.0986804198695177E-2</v>
      </c>
      <c r="F22" s="78">
        <f>Q22/21</f>
        <v>415932.23809523811</v>
      </c>
      <c r="G22" s="90">
        <f t="shared" si="2"/>
        <v>2.1516267864243543E-2</v>
      </c>
      <c r="H22" s="90">
        <f t="shared" si="3"/>
        <v>-0.13887108270885729</v>
      </c>
      <c r="I22" s="130">
        <f t="shared" si="0"/>
        <v>420.6657291330543</v>
      </c>
      <c r="J22" s="130">
        <f t="shared" si="4"/>
        <v>-9.6290952029700061E-2</v>
      </c>
      <c r="K22" s="78">
        <f>R20+R21+R22</f>
        <v>31086178316</v>
      </c>
      <c r="L22" s="87">
        <f>U22/U19-1</f>
        <v>-0.18296240696078747</v>
      </c>
      <c r="M22" s="87">
        <f>U22/U10-1</f>
        <v>-7.3500758798478838E-2</v>
      </c>
      <c r="N22" s="88">
        <f>AVERAGE(T20:T22)</f>
        <v>391.25116938384218</v>
      </c>
      <c r="O22" s="89">
        <f>N22/N19-1</f>
        <v>-4.6839535215289163E-2</v>
      </c>
      <c r="P22" s="129" t="s">
        <v>155</v>
      </c>
      <c r="Q22" s="116">
        <v>8734577</v>
      </c>
      <c r="R22" s="116">
        <v>11318576761</v>
      </c>
      <c r="S22" s="116">
        <v>20763.7</v>
      </c>
      <c r="T22" s="130">
        <f t="shared" si="1"/>
        <v>420.6657291330543</v>
      </c>
      <c r="U22" s="85">
        <f>Q20+Q21+Q22</f>
        <v>23682677</v>
      </c>
    </row>
    <row r="23" spans="1:21" hidden="1">
      <c r="A23" s="129" t="s">
        <v>189</v>
      </c>
      <c r="B23" s="131"/>
      <c r="C23" s="131"/>
      <c r="F23" s="78">
        <f>Q23/21</f>
        <v>272831.90476190473</v>
      </c>
      <c r="G23" s="90">
        <f t="shared" si="2"/>
        <v>-0.34404722747306493</v>
      </c>
      <c r="H23" s="90">
        <f t="shared" si="3"/>
        <v>-0.54406864780930975</v>
      </c>
      <c r="I23" s="130">
        <f t="shared" si="0"/>
        <v>392.94620322616043</v>
      </c>
      <c r="J23" s="130">
        <f t="shared" si="4"/>
        <v>-0.13032582988118946</v>
      </c>
      <c r="K23" s="98"/>
      <c r="O23" s="89"/>
      <c r="P23" s="129" t="s">
        <v>189</v>
      </c>
      <c r="Q23" s="116">
        <v>5729470</v>
      </c>
      <c r="R23" s="116">
        <v>7247479098</v>
      </c>
      <c r="S23" s="116">
        <v>14580.8</v>
      </c>
      <c r="T23" s="130">
        <f t="shared" si="1"/>
        <v>392.94620322616043</v>
      </c>
      <c r="U23" s="78"/>
    </row>
    <row r="24" spans="1:21" hidden="1">
      <c r="A24" s="129" t="s">
        <v>204</v>
      </c>
      <c r="B24" s="131"/>
      <c r="C24" s="131"/>
      <c r="F24" s="78">
        <f>Q24/22</f>
        <v>195886.68181818182</v>
      </c>
      <c r="G24" s="90">
        <f t="shared" si="2"/>
        <v>-0.28202428528610524</v>
      </c>
      <c r="H24" s="90">
        <f t="shared" si="3"/>
        <v>-0.50403092899304225</v>
      </c>
      <c r="I24" s="130">
        <f t="shared" si="0"/>
        <v>603.69923653428589</v>
      </c>
      <c r="J24" s="130">
        <f t="shared" si="4"/>
        <v>0.44011326135796258</v>
      </c>
      <c r="K24" s="98"/>
      <c r="O24" s="89"/>
      <c r="P24" s="129" t="s">
        <v>204</v>
      </c>
      <c r="Q24" s="116">
        <v>4309507</v>
      </c>
      <c r="R24" s="116">
        <v>5539067803</v>
      </c>
      <c r="S24" s="116">
        <v>7138.5</v>
      </c>
      <c r="T24" s="130">
        <f t="shared" si="1"/>
        <v>603.69923653428589</v>
      </c>
      <c r="U24" s="78"/>
    </row>
    <row r="25" spans="1:21" s="79" customFormat="1" ht="13.2" hidden="1">
      <c r="A25" s="129" t="s">
        <v>217</v>
      </c>
      <c r="B25" s="131">
        <f>SUM(F23:F25)</f>
        <v>468718.58658008656</v>
      </c>
      <c r="C25" s="131">
        <f>AVERAGE(F23:F25)</f>
        <v>156239.52886002886</v>
      </c>
      <c r="D25" s="90">
        <f>C25/C22-1</f>
        <v>-0.58991484246417558</v>
      </c>
      <c r="E25" s="286">
        <f>C25/C13-1</f>
        <v>-0.77260394030334034</v>
      </c>
      <c r="F25" s="78">
        <f>Q25/19</f>
        <v>0</v>
      </c>
      <c r="G25" s="90">
        <f t="shared" si="2"/>
        <v>-1</v>
      </c>
      <c r="H25" s="90">
        <f t="shared" si="3"/>
        <v>-1</v>
      </c>
      <c r="I25" s="130" t="e">
        <f t="shared" si="0"/>
        <v>#DIV/0!</v>
      </c>
      <c r="J25" s="130" t="e">
        <f t="shared" si="4"/>
        <v>#DIV/0!</v>
      </c>
      <c r="K25" s="78">
        <f>R23+R24+R25</f>
        <v>12786546901</v>
      </c>
      <c r="L25" s="90">
        <f>U25/U22-1</f>
        <v>-0.57610463546836366</v>
      </c>
      <c r="M25" s="90">
        <f>U25/U13-1</f>
        <v>-0.76441617776282156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/>
      <c r="R25" s="116"/>
      <c r="S25" s="116"/>
      <c r="T25" s="130" t="e">
        <f t="shared" si="1"/>
        <v>#DIV/0!</v>
      </c>
      <c r="U25" s="85">
        <f>Q23+Q24+Q25</f>
        <v>10038977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222831.57894736843</v>
      </c>
      <c r="G26" s="90" t="e">
        <f t="shared" si="2"/>
        <v>#DIV/0!</v>
      </c>
      <c r="H26" s="90">
        <f t="shared" si="3"/>
        <v>9.8610902549414181E-2</v>
      </c>
      <c r="I26" s="130">
        <f t="shared" si="0"/>
        <v>540.64614991699659</v>
      </c>
      <c r="J26" s="130">
        <f t="shared" si="4"/>
        <v>5.2409901977062523E-2</v>
      </c>
      <c r="K26" s="78"/>
      <c r="L26" s="90"/>
      <c r="M26" s="90"/>
      <c r="P26" s="129" t="s">
        <v>312</v>
      </c>
      <c r="Q26" s="116">
        <v>4233800</v>
      </c>
      <c r="R26" s="116">
        <v>5692613604</v>
      </c>
      <c r="S26" s="116">
        <v>7831</v>
      </c>
      <c r="T26" s="130">
        <f t="shared" si="1"/>
        <v>540.64614991699659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180840.90909090909</v>
      </c>
      <c r="G27" s="90">
        <f t="shared" ref="G27" si="5">F27/F26-1</f>
        <v>-0.18844128850506103</v>
      </c>
      <c r="H27" s="90">
        <f t="shared" ref="H27" si="6">F27/F15-1</f>
        <v>-0.53922147713190416</v>
      </c>
      <c r="I27" s="130">
        <f t="shared" si="0"/>
        <v>556.7839899237282</v>
      </c>
      <c r="J27" s="130">
        <f t="shared" si="4"/>
        <v>0.33527431802852159</v>
      </c>
      <c r="K27" s="78"/>
      <c r="L27" s="90"/>
      <c r="M27" s="90"/>
      <c r="P27" s="129" t="s">
        <v>375</v>
      </c>
      <c r="Q27" s="116">
        <v>3978500</v>
      </c>
      <c r="R27" s="116">
        <v>5212234920</v>
      </c>
      <c r="S27" s="116">
        <v>7145.5</v>
      </c>
      <c r="T27" s="130">
        <f t="shared" ref="T27" si="7">Q27/S27</f>
        <v>556.7839899237282</v>
      </c>
      <c r="U27" s="78"/>
    </row>
    <row r="28" spans="1:21" s="79" customFormat="1" ht="13.2" hidden="1">
      <c r="A28" s="123" t="s">
        <v>413</v>
      </c>
      <c r="B28" s="131">
        <f>SUM(F26:F28)</f>
        <v>1001081.7511961722</v>
      </c>
      <c r="C28" s="131">
        <f>AVERAGE(F26:F28)</f>
        <v>333693.91706539073</v>
      </c>
      <c r="D28" s="90">
        <f>C28/C25-1</f>
        <v>1.1357841994284228</v>
      </c>
      <c r="E28" s="286">
        <f>C28/C16-1</f>
        <v>0.10890588195644235</v>
      </c>
      <c r="F28" s="78">
        <f>Q28/19</f>
        <v>597409.26315789472</v>
      </c>
      <c r="G28" s="90">
        <f t="shared" ref="G28" si="8">F28/F27-1</f>
        <v>2.3035072991010894</v>
      </c>
      <c r="H28" s="90">
        <f t="shared" ref="H28" si="9">F28/F16-1</f>
        <v>0.94300401809414525</v>
      </c>
      <c r="I28" s="130">
        <f t="shared" si="0"/>
        <v>518.64366818212977</v>
      </c>
      <c r="J28" s="130">
        <f t="shared" si="4"/>
        <v>0.10510242635332956</v>
      </c>
      <c r="K28" s="78">
        <f>R26+R27+R28</f>
        <v>25727290010</v>
      </c>
      <c r="L28" s="90">
        <f>U28/U25-1</f>
        <v>0.94871210482900792</v>
      </c>
      <c r="M28" s="90">
        <f>U28/U16-1</f>
        <v>5.5460819269894657E-3</v>
      </c>
      <c r="N28" s="88">
        <f>AVERAGE(T26:T28)</f>
        <v>538.69126934095141</v>
      </c>
      <c r="O28" s="91" t="e">
        <f>N28/N25-1</f>
        <v>#DIV/0!</v>
      </c>
      <c r="P28" s="129" t="s">
        <v>413</v>
      </c>
      <c r="Q28" s="116">
        <v>11350776</v>
      </c>
      <c r="R28" s="116">
        <v>14822441486</v>
      </c>
      <c r="S28" s="116">
        <v>21885.5</v>
      </c>
      <c r="T28" s="130">
        <f t="shared" ref="T28" si="10">Q28/S28</f>
        <v>518.64366818212977</v>
      </c>
      <c r="U28" s="85">
        <f>Q26+Q27+Q28</f>
        <v>19563076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492150</v>
      </c>
      <c r="G29" s="190">
        <f t="shared" ref="G29" si="11">F29/F28-1</f>
        <v>-0.17619288760521745</v>
      </c>
      <c r="H29" s="190">
        <f t="shared" ref="H29" si="12">F29/F17-1</f>
        <v>3.0427822786514236E-2</v>
      </c>
      <c r="I29" s="130">
        <f t="shared" si="0"/>
        <v>503.05252007136482</v>
      </c>
      <c r="J29" s="130">
        <f t="shared" si="4"/>
        <v>0.50878739384092508</v>
      </c>
      <c r="K29" s="136"/>
      <c r="L29" s="190"/>
      <c r="M29" s="190"/>
      <c r="N29" s="191"/>
      <c r="O29" s="192"/>
      <c r="P29" s="129" t="s">
        <v>430</v>
      </c>
      <c r="Q29" s="116">
        <v>10827300</v>
      </c>
      <c r="R29" s="116">
        <v>14161382703</v>
      </c>
      <c r="S29" s="116">
        <v>21523.200000000001</v>
      </c>
      <c r="T29" s="130">
        <f t="shared" ref="T29" si="13">Q29/S29</f>
        <v>503.05252007136482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368600</v>
      </c>
      <c r="G30" s="190">
        <f t="shared" ref="G30" si="14">F30/F29-1</f>
        <v>-0.25104134918215992</v>
      </c>
      <c r="H30" s="190">
        <f t="shared" ref="H30" si="15">F30/F18-1</f>
        <v>0.24229296409213852</v>
      </c>
      <c r="I30" s="130">
        <f t="shared" si="0"/>
        <v>501.67621776504296</v>
      </c>
      <c r="J30" s="130">
        <f t="shared" si="4"/>
        <v>0.2186609211448387</v>
      </c>
      <c r="K30" s="136"/>
      <c r="L30" s="190"/>
      <c r="M30" s="190"/>
      <c r="N30" s="191"/>
      <c r="O30" s="192"/>
      <c r="P30" s="129" t="s">
        <v>466</v>
      </c>
      <c r="Q30" s="116">
        <v>7003400</v>
      </c>
      <c r="R30" s="116">
        <v>9343516076</v>
      </c>
      <c r="S30" s="116">
        <v>13960</v>
      </c>
      <c r="T30" s="130">
        <f t="shared" ref="T30" si="16">Q30/S30</f>
        <v>501.67621776504296</v>
      </c>
      <c r="U30" s="85"/>
    </row>
    <row r="31" spans="1:21" s="79" customFormat="1" ht="13.2" hidden="1">
      <c r="A31" s="129" t="s">
        <v>505</v>
      </c>
      <c r="B31" s="188">
        <f>SUM(F29:F31)</f>
        <v>864928.65</v>
      </c>
      <c r="C31" s="188">
        <f>AVERAGE(F29:F31)</f>
        <v>288309.55</v>
      </c>
      <c r="D31" s="190">
        <f>C31/C28-1</f>
        <v>-0.13600597656833291</v>
      </c>
      <c r="E31" s="287">
        <f>C31/C19-1</f>
        <v>-0.37682570293890816</v>
      </c>
      <c r="F31" s="136">
        <f>Q31/20</f>
        <v>4178.6499999999996</v>
      </c>
      <c r="G31" s="190">
        <f t="shared" ref="G31" si="17">F31/F30-1</f>
        <v>-0.98866345632121544</v>
      </c>
      <c r="H31" s="190">
        <f t="shared" ref="H31" si="18">F31/F19-1</f>
        <v>-0.99319009592947882</v>
      </c>
      <c r="I31" s="130">
        <f t="shared" si="0"/>
        <v>22.867266807125073</v>
      </c>
      <c r="J31" s="130">
        <f t="shared" si="4"/>
        <v>-0.95298248050629386</v>
      </c>
      <c r="K31" s="136">
        <f>R29+R30+R31</f>
        <v>23616176294</v>
      </c>
      <c r="L31" s="190">
        <f>U31/U28-1</f>
        <v>-8.4281377836491589E-2</v>
      </c>
      <c r="M31" s="190">
        <f>U31/U19-1</f>
        <v>-0.38196874901568967</v>
      </c>
      <c r="N31" s="191">
        <f>AVERAGE(T29:T31)</f>
        <v>342.53200154784435</v>
      </c>
      <c r="O31" s="192">
        <f>N31/N28-1</f>
        <v>-0.36414042505848165</v>
      </c>
      <c r="P31" s="129" t="s">
        <v>506</v>
      </c>
      <c r="Q31" s="116">
        <v>83573</v>
      </c>
      <c r="R31" s="116">
        <v>111277515</v>
      </c>
      <c r="S31" s="116">
        <v>3654.7</v>
      </c>
      <c r="T31" s="130">
        <f t="shared" ref="T31" si="19">Q31/S31</f>
        <v>22.867266807125073</v>
      </c>
      <c r="U31" s="85">
        <f>Q29+Q30+Q31</f>
        <v>17914273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356484.76190476189</v>
      </c>
      <c r="G32" s="190">
        <f t="shared" ref="G32" si="20">F32/F31-1</f>
        <v>84.310988454348163</v>
      </c>
      <c r="H32" s="190">
        <f t="shared" ref="H32" si="21">F32/F20-1</f>
        <v>0.1144502130668601</v>
      </c>
      <c r="I32" s="130">
        <f t="shared" si="0"/>
        <v>535.19352578675705</v>
      </c>
      <c r="J32" s="130">
        <f t="shared" si="4"/>
        <v>0.54630982893980717</v>
      </c>
      <c r="K32" s="136"/>
      <c r="L32" s="190"/>
      <c r="M32" s="190"/>
      <c r="N32" s="191"/>
      <c r="O32" s="192"/>
      <c r="P32" s="129" t="s">
        <v>588</v>
      </c>
      <c r="Q32" s="116">
        <v>7486180</v>
      </c>
      <c r="R32" s="116">
        <v>10350093130</v>
      </c>
      <c r="S32" s="116">
        <v>13987.8</v>
      </c>
      <c r="T32" s="130">
        <f t="shared" ref="T32" si="22">Q32/S32</f>
        <v>535.19352578675705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182693.47619047618</v>
      </c>
      <c r="G33" s="190">
        <f t="shared" ref="G33" si="23">F33/F32-1</f>
        <v>-0.48751392566035012</v>
      </c>
      <c r="H33" s="190">
        <f t="shared" ref="H33" si="24">F33/F21-1</f>
        <v>-0.55131066825719843</v>
      </c>
      <c r="I33" s="130">
        <f t="shared" si="0"/>
        <v>518.66472894416654</v>
      </c>
      <c r="J33" s="130">
        <f t="shared" si="4"/>
        <v>0.27443056102693819</v>
      </c>
      <c r="K33" s="136"/>
      <c r="L33" s="190"/>
      <c r="M33" s="190"/>
      <c r="N33" s="191"/>
      <c r="O33" s="192"/>
      <c r="P33" s="129" t="s">
        <v>607</v>
      </c>
      <c r="Q33" s="116">
        <v>3836563</v>
      </c>
      <c r="R33" s="116">
        <v>5232934540</v>
      </c>
      <c r="S33" s="116">
        <v>7397</v>
      </c>
      <c r="T33" s="130">
        <f t="shared" ref="T33" si="25">Q33/S33</f>
        <v>518.66472894416654</v>
      </c>
      <c r="U33" s="85"/>
    </row>
    <row r="34" spans="1:21" s="79" customFormat="1" ht="13.2" hidden="1">
      <c r="A34" s="129" t="s">
        <v>652</v>
      </c>
      <c r="B34" s="188">
        <f>SUM(F32:F34)</f>
        <v>1604186.6065162907</v>
      </c>
      <c r="C34" s="188">
        <f>AVERAGE(F32:F34)</f>
        <v>534728.86883876356</v>
      </c>
      <c r="D34" s="190">
        <f>C34/C31-1</f>
        <v>0.8547039764682216</v>
      </c>
      <c r="E34" s="287">
        <f>C34/C22-1</f>
        <v>0.4035140403754609</v>
      </c>
      <c r="F34" s="136">
        <f>Q34/19</f>
        <v>1065008.3684210526</v>
      </c>
      <c r="G34" s="190">
        <f t="shared" ref="G34" si="26">F34/F33-1</f>
        <v>4.8294822049949673</v>
      </c>
      <c r="H34" s="190">
        <f t="shared" ref="H34" si="27">F34/F22-1</f>
        <v>1.5605333534574259</v>
      </c>
      <c r="I34" s="130">
        <f t="shared" si="0"/>
        <v>581.73755174793007</v>
      </c>
      <c r="J34" s="130">
        <f t="shared" si="4"/>
        <v>0.38289742058814014</v>
      </c>
      <c r="K34" s="136">
        <f>R32+R33+R34</f>
        <v>43439280463</v>
      </c>
      <c r="L34" s="190">
        <f>U34/U31-1</f>
        <v>0.76160662506371324</v>
      </c>
      <c r="M34" s="190">
        <f>U34/U22-1</f>
        <v>0.33253103101477932</v>
      </c>
      <c r="N34" s="191">
        <f>AVERAGE(T32:T34)</f>
        <v>545.19860215961796</v>
      </c>
      <c r="O34" s="192">
        <f>N34/N31-1</f>
        <v>0.59167201807701897</v>
      </c>
      <c r="P34" s="129" t="s">
        <v>652</v>
      </c>
      <c r="Q34" s="116">
        <v>20235159</v>
      </c>
      <c r="R34" s="116">
        <v>27856252793</v>
      </c>
      <c r="S34" s="116">
        <v>34784</v>
      </c>
      <c r="T34" s="130">
        <f t="shared" ref="T34" si="28">Q34/S34</f>
        <v>581.73755174793007</v>
      </c>
      <c r="U34" s="85">
        <f>Q32+Q33+Q34</f>
        <v>31557902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291890.95652173914</v>
      </c>
      <c r="G35" s="190">
        <f t="shared" ref="G35" si="29">F35/F34-1</f>
        <v>-0.72592613806923656</v>
      </c>
      <c r="H35" s="190">
        <f t="shared" ref="H35" si="30">F35/F23-1</f>
        <v>6.9856389326852675E-2</v>
      </c>
      <c r="I35" s="130">
        <f t="shared" si="0"/>
        <v>411.94143779299509</v>
      </c>
      <c r="J35" s="130">
        <f t="shared" si="4"/>
        <v>4.8340547410511414E-2</v>
      </c>
      <c r="K35" s="136"/>
      <c r="L35" s="190"/>
      <c r="M35" s="190"/>
      <c r="N35" s="191"/>
      <c r="O35" s="192"/>
      <c r="P35" s="129" t="s">
        <v>660</v>
      </c>
      <c r="Q35" s="116">
        <v>6713492</v>
      </c>
      <c r="R35" s="116">
        <v>9293445709</v>
      </c>
      <c r="S35" s="116">
        <v>16297.2</v>
      </c>
      <c r="T35" s="130">
        <f t="shared" ref="T35" si="31">Q35/S35</f>
        <v>411.94143779299509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315698.57142857142</v>
      </c>
      <c r="G36" s="190">
        <f t="shared" ref="G36" si="32">F36/F35-1</f>
        <v>8.1563386514371672E-2</v>
      </c>
      <c r="H36" s="190">
        <f t="shared" ref="H36" si="33">F36/F24-1</f>
        <v>0.61163877246946607</v>
      </c>
      <c r="I36" s="130">
        <f t="shared" si="0"/>
        <v>382.56335980057247</v>
      </c>
      <c r="J36" s="130">
        <f t="shared" si="4"/>
        <v>-0.36630140200807504</v>
      </c>
      <c r="K36" s="136"/>
      <c r="L36" s="190"/>
      <c r="M36" s="190"/>
      <c r="N36" s="191"/>
      <c r="O36" s="192"/>
      <c r="P36" s="129" t="s">
        <v>664</v>
      </c>
      <c r="Q36" s="116">
        <v>6629670</v>
      </c>
      <c r="R36" s="116">
        <v>9064420160</v>
      </c>
      <c r="S36" s="116">
        <v>17329.599999999999</v>
      </c>
      <c r="T36" s="130">
        <f t="shared" ref="T36" si="34">Q36/S36</f>
        <v>382.56335980057247</v>
      </c>
      <c r="U36" s="85"/>
    </row>
    <row r="37" spans="1:21" s="79" customFormat="1" ht="13.2" hidden="1">
      <c r="A37" s="129" t="s">
        <v>702</v>
      </c>
      <c r="B37" s="188">
        <f>SUM(F35:F37)</f>
        <v>1891195.0835058661</v>
      </c>
      <c r="C37" s="188">
        <f>AVERAGE(F35:F37)</f>
        <v>630398.36116862204</v>
      </c>
      <c r="D37" s="190">
        <f>C37/C34-1</f>
        <v>0.17891215138172312</v>
      </c>
      <c r="E37" s="287">
        <f>C37/C25-1</f>
        <v>3.0348199061287513</v>
      </c>
      <c r="F37" s="136">
        <f>Q37/18</f>
        <v>1283605.5555555555</v>
      </c>
      <c r="G37" s="190">
        <f t="shared" ref="G37" si="35">F37/F36-1</f>
        <v>3.0659213304231834</v>
      </c>
      <c r="H37" s="190" t="e">
        <f t="shared" ref="H37" si="36">F37/F25-1</f>
        <v>#DIV/0!</v>
      </c>
      <c r="I37" s="130">
        <f t="shared" si="0"/>
        <v>514.6705693143191</v>
      </c>
      <c r="J37" s="130" t="e">
        <f t="shared" si="4"/>
        <v>#DIV/0!</v>
      </c>
      <c r="K37" s="136">
        <f>R35+R36+R37</f>
        <v>49232605355</v>
      </c>
      <c r="L37" s="190">
        <f>U37/U34-1</f>
        <v>0.15495833658397196</v>
      </c>
      <c r="M37" s="190">
        <f>U37/U25-1</f>
        <v>2.6306549960220051</v>
      </c>
      <c r="N37" s="191">
        <f>AVERAGE(T35:T37)</f>
        <v>436.39178896929553</v>
      </c>
      <c r="O37" s="192">
        <f>N37/N34-1</f>
        <v>-0.19957280293698743</v>
      </c>
      <c r="P37" s="129" t="s">
        <v>702</v>
      </c>
      <c r="Q37" s="116">
        <v>23104900</v>
      </c>
      <c r="R37" s="116">
        <v>30874739486</v>
      </c>
      <c r="S37" s="116">
        <v>44892.6</v>
      </c>
      <c r="T37" s="130">
        <f t="shared" ref="T37" si="37">Q37/S37</f>
        <v>514.6705693143191</v>
      </c>
      <c r="U37" s="85">
        <f>Q35+Q36+Q37</f>
        <v>36448062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384314.1</v>
      </c>
      <c r="G38" s="190">
        <f t="shared" ref="G38" si="38">F38/F37-1</f>
        <v>-0.70059797705248672</v>
      </c>
      <c r="H38" s="190">
        <f t="shared" ref="H38" si="39">F38/F26-1</f>
        <v>0.72468418442061489</v>
      </c>
      <c r="I38" s="130">
        <f t="shared" si="0"/>
        <v>546.56062006684203</v>
      </c>
      <c r="J38" s="130">
        <f t="shared" si="4"/>
        <v>1.0939632420860601E-2</v>
      </c>
      <c r="K38" s="136"/>
      <c r="L38" s="190"/>
      <c r="M38" s="190"/>
      <c r="N38" s="191"/>
      <c r="O38" s="192"/>
      <c r="P38" s="129" t="s">
        <v>727</v>
      </c>
      <c r="Q38" s="116">
        <v>7686282</v>
      </c>
      <c r="R38" s="116">
        <v>10390559663</v>
      </c>
      <c r="S38" s="116">
        <v>14063</v>
      </c>
      <c r="T38" s="130">
        <f t="shared" ref="T38" si="40">Q38/S38</f>
        <v>546.56062006684203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653675</v>
      </c>
      <c r="G39" s="190">
        <f t="shared" ref="G39" si="41">F39/F38-1</f>
        <v>0.70088737311485594</v>
      </c>
      <c r="H39" s="190">
        <f t="shared" ref="H39" si="42">F39/F27-1</f>
        <v>2.6146411964308158</v>
      </c>
      <c r="I39" s="130">
        <f t="shared" si="0"/>
        <v>638.23874018383935</v>
      </c>
      <c r="J39" s="130">
        <f t="shared" si="4"/>
        <v>0.14629506547282256</v>
      </c>
      <c r="K39" s="136"/>
      <c r="L39" s="190"/>
      <c r="M39" s="190"/>
      <c r="N39" s="191"/>
      <c r="O39" s="192"/>
      <c r="P39" s="129" t="s">
        <v>762</v>
      </c>
      <c r="Q39" s="116">
        <v>13727175</v>
      </c>
      <c r="R39" s="116">
        <v>18957590982</v>
      </c>
      <c r="S39" s="116">
        <v>21507.9</v>
      </c>
      <c r="T39" s="130">
        <f t="shared" ref="T39" si="43">Q39/S39</f>
        <v>638.23874018383935</v>
      </c>
      <c r="U39" s="85"/>
    </row>
    <row r="40" spans="1:21" s="79" customFormat="1" ht="13.2" hidden="1">
      <c r="A40" s="129" t="s">
        <v>778</v>
      </c>
      <c r="B40" s="188">
        <f>SUM(F38:F40)</f>
        <v>1776741.9095238093</v>
      </c>
      <c r="C40" s="188">
        <f>AVERAGE(F38:F40)</f>
        <v>592247.30317460315</v>
      </c>
      <c r="D40" s="190">
        <f>C40/C37-1</f>
        <v>-6.0518967598987894E-2</v>
      </c>
      <c r="E40" s="287">
        <f>C40/C28-1</f>
        <v>0.77482199370912186</v>
      </c>
      <c r="F40" s="136">
        <f>Q40/21</f>
        <v>738752.80952380947</v>
      </c>
      <c r="G40" s="190">
        <f t="shared" ref="G40" si="44">F40/F39-1</f>
        <v>0.13015307228180584</v>
      </c>
      <c r="H40" s="190">
        <f t="shared" ref="H40" si="45">F40/F28-1</f>
        <v>0.2365941659805797</v>
      </c>
      <c r="I40" s="130">
        <f t="shared" si="0"/>
        <v>435.6587756248245</v>
      </c>
      <c r="J40" s="130">
        <f t="shared" si="4"/>
        <v>-0.16000367429177564</v>
      </c>
      <c r="K40" s="136">
        <f>R38+R39+R40</f>
        <v>51542318317</v>
      </c>
      <c r="L40" s="190">
        <f>U40/U37-1</f>
        <v>1.3147585185736332E-2</v>
      </c>
      <c r="M40" s="190">
        <f>U40/U28-1</f>
        <v>0.88760019129915979</v>
      </c>
      <c r="N40" s="191">
        <f>AVERAGE(T38:T40)</f>
        <v>540.15271195850198</v>
      </c>
      <c r="O40" s="192">
        <f>N40/N37-1</f>
        <v>0.23777010844836743</v>
      </c>
      <c r="P40" s="129" t="s">
        <v>778</v>
      </c>
      <c r="Q40" s="116">
        <v>15513809</v>
      </c>
      <c r="R40" s="116">
        <v>22194167672</v>
      </c>
      <c r="S40" s="116">
        <v>35610</v>
      </c>
      <c r="T40" s="130">
        <f t="shared" ref="T40" si="46">Q40/S40</f>
        <v>435.6587756248245</v>
      </c>
      <c r="U40" s="85">
        <f>Q38+Q39+Q40</f>
        <v>36927266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853333.27777777775</v>
      </c>
      <c r="G41" s="190">
        <f t="shared" ref="G41" si="47">F41/F40-1</f>
        <v>0.15509987478467302</v>
      </c>
      <c r="H41" s="190">
        <f t="shared" ref="H41" si="48">F41/F29-1</f>
        <v>0.73388860668043843</v>
      </c>
      <c r="I41" s="130">
        <f t="shared" si="0"/>
        <v>537.18686829827857</v>
      </c>
      <c r="J41" s="130">
        <f t="shared" si="4"/>
        <v>6.7854442359361E-2</v>
      </c>
      <c r="K41" s="193"/>
      <c r="L41" s="190"/>
      <c r="M41" s="190"/>
      <c r="N41" s="193"/>
      <c r="O41" s="193"/>
      <c r="P41" s="129" t="s">
        <v>793</v>
      </c>
      <c r="Q41" s="116">
        <v>15359999</v>
      </c>
      <c r="R41" s="116">
        <v>22473118204</v>
      </c>
      <c r="S41" s="116">
        <v>28593.4</v>
      </c>
      <c r="T41" s="130">
        <f t="shared" ref="T41" si="49">Q41/S41</f>
        <v>537.18686829827857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370350</v>
      </c>
      <c r="G42" s="190">
        <f t="shared" ref="G42" si="50">F42/F41-1</f>
        <v>-0.56599606549453552</v>
      </c>
      <c r="H42" s="190">
        <f t="shared" ref="H42" si="51">F42/F30-1</f>
        <v>4.7476939772110871E-3</v>
      </c>
      <c r="I42" s="130">
        <f t="shared" si="0"/>
        <v>533.9917814144618</v>
      </c>
      <c r="J42" s="130">
        <f t="shared" si="4"/>
        <v>6.4415179562196556E-2</v>
      </c>
      <c r="K42" s="193"/>
      <c r="L42" s="190"/>
      <c r="M42" s="190"/>
      <c r="N42" s="193"/>
      <c r="O42" s="193"/>
      <c r="P42" s="129" t="s">
        <v>826</v>
      </c>
      <c r="Q42" s="116">
        <v>7407000</v>
      </c>
      <c r="R42" s="116">
        <v>10731013980</v>
      </c>
      <c r="S42" s="116">
        <v>13871</v>
      </c>
      <c r="T42" s="130">
        <f t="shared" ref="T42" si="52">Q42/S42</f>
        <v>533.9917814144618</v>
      </c>
      <c r="U42" s="78"/>
    </row>
    <row r="43" spans="1:21" s="79" customFormat="1" ht="13.2">
      <c r="A43" s="129" t="s">
        <v>835</v>
      </c>
      <c r="B43" s="188">
        <f>SUM(F41:F43)</f>
        <v>1695793.3277777778</v>
      </c>
      <c r="C43" s="188">
        <f>AVERAGE(F41:F43)</f>
        <v>565264.44259259256</v>
      </c>
      <c r="D43" s="190">
        <f>C43/C40-1</f>
        <v>-4.5560124018083736E-2</v>
      </c>
      <c r="E43" s="287">
        <f>C43/C31-1</f>
        <v>0.96061643671738439</v>
      </c>
      <c r="F43" s="136">
        <f>Q43/20</f>
        <v>472110.05</v>
      </c>
      <c r="G43" s="190">
        <f t="shared" ref="G43" si="53">F43/F42-1</f>
        <v>0.2747672471985958</v>
      </c>
      <c r="H43" s="190">
        <f t="shared" ref="H43" si="54">F43/F31-1</f>
        <v>111.98147727136755</v>
      </c>
      <c r="I43" s="130">
        <f t="shared" si="0"/>
        <v>655.27610257122035</v>
      </c>
      <c r="J43" s="130">
        <f t="shared" si="4"/>
        <v>27.655637252067521</v>
      </c>
      <c r="K43" s="136">
        <f>R41+R42+R43</f>
        <v>46915106552</v>
      </c>
      <c r="L43" s="190">
        <f>U43/U40-1</f>
        <v>-0.12776645852958624</v>
      </c>
      <c r="M43" s="190">
        <f>K43/K31-1</f>
        <v>0.98656657910871881</v>
      </c>
      <c r="N43" s="191">
        <f>AVERAGE(T41:T43)</f>
        <v>575.48491742798694</v>
      </c>
      <c r="O43" s="192">
        <f>N43/N40-1</f>
        <v>6.5411511758177499E-2</v>
      </c>
      <c r="P43" s="129" t="s">
        <v>835</v>
      </c>
      <c r="Q43" s="116">
        <v>9442201</v>
      </c>
      <c r="R43" s="116">
        <v>13710974368</v>
      </c>
      <c r="S43" s="116">
        <v>14409.5</v>
      </c>
      <c r="T43" s="130">
        <f t="shared" ref="T43" si="55">Q43/S43</f>
        <v>655.27610257122035</v>
      </c>
      <c r="U43" s="85">
        <f>Q41+Q42+Q43</f>
        <v>32209200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2370.818181818182</v>
      </c>
      <c r="G44" s="190">
        <f t="shared" ref="G44" si="56">F44/F43-1</f>
        <v>-0.99497825097809678</v>
      </c>
      <c r="H44" s="190">
        <f t="shared" ref="H44" si="57">F44/F32-1</f>
        <v>-0.99334945435212862</v>
      </c>
      <c r="I44" s="130">
        <f t="shared" si="0"/>
        <v>22.557054323240799</v>
      </c>
      <c r="J44" s="130">
        <f t="shared" si="4"/>
        <v>-0.95785252766262263</v>
      </c>
      <c r="K44" s="136"/>
      <c r="L44" s="190"/>
      <c r="M44" s="190"/>
      <c r="N44" s="191"/>
      <c r="O44" s="192"/>
      <c r="P44" s="129" t="s">
        <v>843</v>
      </c>
      <c r="Q44" s="116">
        <v>52158</v>
      </c>
      <c r="R44" s="116">
        <v>76321716</v>
      </c>
      <c r="S44" s="116">
        <v>2312.27</v>
      </c>
      <c r="T44" s="130">
        <f t="shared" ref="T44" si="58">Q44/S44</f>
        <v>22.557054323240799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377167.05</v>
      </c>
      <c r="G45" s="190">
        <f t="shared" ref="G45" si="59">F45/F44-1</f>
        <v>158.08729437478431</v>
      </c>
      <c r="H45" s="190">
        <f t="shared" ref="H45" si="60">F45/F33-1</f>
        <v>1.0644801219216262</v>
      </c>
      <c r="I45" s="130">
        <f t="shared" si="0"/>
        <v>456.95062999757693</v>
      </c>
      <c r="J45" s="130">
        <f t="shared" si="4"/>
        <v>-0.11898649648342108</v>
      </c>
      <c r="K45" s="136"/>
      <c r="L45" s="190"/>
      <c r="M45" s="190"/>
      <c r="N45" s="191"/>
      <c r="O45" s="192"/>
      <c r="P45" s="129" t="s">
        <v>849</v>
      </c>
      <c r="Q45" s="116">
        <v>7543341</v>
      </c>
      <c r="R45" s="116">
        <v>10711040447</v>
      </c>
      <c r="S45" s="116">
        <v>16508</v>
      </c>
      <c r="T45" s="130">
        <f t="shared" ref="T45" si="61">Q45/S45</f>
        <v>456.95062999757693</v>
      </c>
      <c r="U45" s="85"/>
    </row>
    <row r="46" spans="1:21" s="79" customFormat="1" ht="13.2">
      <c r="A46" s="129" t="s">
        <v>888</v>
      </c>
      <c r="B46" s="188">
        <f>SUM(F44:F46)</f>
        <v>768801.02607655502</v>
      </c>
      <c r="C46" s="188">
        <f>AVERAGE(F44:F46)</f>
        <v>256267.00869218502</v>
      </c>
      <c r="D46" s="190">
        <f>C46/C43-1</f>
        <v>-0.54664226266061755</v>
      </c>
      <c r="E46" s="287">
        <f>C46/C34-1</f>
        <v>-0.52075336936884731</v>
      </c>
      <c r="F46" s="136">
        <f>Q46/19</f>
        <v>389263.15789473685</v>
      </c>
      <c r="G46" s="190">
        <f t="shared" ref="G46" si="62">F46/F45-1</f>
        <v>3.2070956078313007E-2</v>
      </c>
      <c r="H46" s="190">
        <f t="shared" ref="H46" si="63">F46/F34-1</f>
        <v>-0.63449755942120345</v>
      </c>
      <c r="I46" s="130">
        <f t="shared" si="0"/>
        <v>534.18078075909136</v>
      </c>
      <c r="J46" s="130">
        <f t="shared" si="4"/>
        <v>-8.1749529226618156E-2</v>
      </c>
      <c r="K46" s="136">
        <f>R44+R45+R46</f>
        <v>20936260383</v>
      </c>
      <c r="L46" s="190">
        <f>U46/U43-1</f>
        <v>-0.53455848018578545</v>
      </c>
      <c r="M46" s="190">
        <f>K46/K34-1</f>
        <v>-0.51803390480114553</v>
      </c>
      <c r="N46" s="191">
        <f>AVERAGE(T44:T46)</f>
        <v>337.89615502663634</v>
      </c>
      <c r="O46" s="192">
        <f>N46/N43-1</f>
        <v>-0.41284967721344523</v>
      </c>
      <c r="P46" s="129" t="s">
        <v>888</v>
      </c>
      <c r="Q46" s="116">
        <v>7396000</v>
      </c>
      <c r="R46" s="116">
        <v>10148898220</v>
      </c>
      <c r="S46" s="116">
        <v>13845.5</v>
      </c>
      <c r="T46" s="130">
        <f t="shared" ref="T46" si="64">Q46/S46</f>
        <v>534.18078075909136</v>
      </c>
      <c r="U46" s="85">
        <f t="shared" ref="U46:U51" si="65">Q44+Q45+Q46</f>
        <v>14991499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226483</v>
      </c>
      <c r="G47" s="190">
        <f t="shared" ref="G47" si="66">F47/F46-1</f>
        <v>-0.41817509464575453</v>
      </c>
      <c r="H47" s="190">
        <f t="shared" ref="H47" si="67">F47/F35-1</f>
        <v>-0.22408353208732501</v>
      </c>
      <c r="I47" s="130">
        <f t="shared" si="0"/>
        <v>711.20912578676462</v>
      </c>
      <c r="J47" s="130">
        <f t="shared" si="4"/>
        <v>0.72648114643944783</v>
      </c>
      <c r="K47" s="136"/>
      <c r="L47" s="190"/>
      <c r="M47" s="190"/>
      <c r="N47" s="191"/>
      <c r="O47" s="192"/>
      <c r="P47" s="129" t="s">
        <v>1045</v>
      </c>
      <c r="Q47" s="116">
        <v>5209109</v>
      </c>
      <c r="R47" s="116">
        <v>7202628471</v>
      </c>
      <c r="S47" s="116">
        <v>7324.3</v>
      </c>
      <c r="T47" s="130">
        <f t="shared" ref="T47" si="68">Q47/S47</f>
        <v>711.20912578676462</v>
      </c>
      <c r="U47" s="85">
        <f t="shared" si="65"/>
        <v>20148450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431.9</v>
      </c>
      <c r="G48" s="190">
        <f t="shared" ref="G48" si="69">F48/F47-1</f>
        <v>-0.99809301360367009</v>
      </c>
      <c r="H48" s="190">
        <f t="shared" ref="H48" si="70">F48/F36-1</f>
        <v>-0.99863192285588875</v>
      </c>
      <c r="I48" s="130">
        <f t="shared" si="0"/>
        <v>390.85972850678729</v>
      </c>
      <c r="J48" s="130">
        <f t="shared" si="4"/>
        <v>2.1686260572731486E-2</v>
      </c>
      <c r="K48" s="136"/>
      <c r="L48" s="190"/>
      <c r="M48" s="190"/>
      <c r="N48" s="191"/>
      <c r="O48" s="192"/>
      <c r="P48" s="129" t="s">
        <v>1120</v>
      </c>
      <c r="Q48" s="116">
        <v>8638</v>
      </c>
      <c r="R48" s="116">
        <v>11995955</v>
      </c>
      <c r="S48" s="116">
        <v>22.1</v>
      </c>
      <c r="T48" s="130">
        <f t="shared" ref="T48" si="71">Q48/S48</f>
        <v>390.85972850678729</v>
      </c>
      <c r="U48" s="85">
        <f t="shared" si="65"/>
        <v>12613747</v>
      </c>
    </row>
    <row r="49" spans="1:26" ht="13.2">
      <c r="A49" s="129" t="s">
        <v>1158</v>
      </c>
      <c r="B49" s="188">
        <f>SUM(F47:F49)</f>
        <v>1295805.8545454545</v>
      </c>
      <c r="C49" s="188">
        <f>AVERAGE(F47:F49)</f>
        <v>431935.28484848485</v>
      </c>
      <c r="D49" s="190">
        <f>C49/C46-1</f>
        <v>0.68548923660830519</v>
      </c>
      <c r="E49" s="287">
        <f>C49/C37-1</f>
        <v>-0.31482168822937551</v>
      </c>
      <c r="F49" s="136">
        <f>Q49/22</f>
        <v>1068890.9545454546</v>
      </c>
      <c r="G49" s="190">
        <f t="shared" ref="G49" si="72">F49/F48-1</f>
        <v>2473.8575006840811</v>
      </c>
      <c r="H49" s="190">
        <f t="shared" ref="H49" si="73">F49/F37-1</f>
        <v>-0.16727459621906249</v>
      </c>
      <c r="I49" s="130">
        <f t="shared" si="0"/>
        <v>505.20664281954606</v>
      </c>
      <c r="J49" s="130">
        <f t="shared" si="4"/>
        <v>-1.8388318779100854E-2</v>
      </c>
      <c r="K49" s="136">
        <f>R47+R48+R49</f>
        <v>39827443193</v>
      </c>
      <c r="L49" s="190">
        <f>U49/U46-1</f>
        <v>0.91664275867276523</v>
      </c>
      <c r="M49" s="190">
        <f>K49/K37-1</f>
        <v>-0.1910352315133943</v>
      </c>
      <c r="N49" s="191">
        <f>AVERAGE(T47:T49)</f>
        <v>535.75849903769927</v>
      </c>
      <c r="O49" s="192">
        <f>N49/N46-1</f>
        <v>0.58557145758425522</v>
      </c>
      <c r="P49" s="129" t="s">
        <v>1182</v>
      </c>
      <c r="Q49" s="116">
        <v>23515601</v>
      </c>
      <c r="R49" s="116">
        <v>32612818767</v>
      </c>
      <c r="S49" s="116">
        <v>46546.5</v>
      </c>
      <c r="T49" s="130">
        <f t="shared" ref="T49" si="74">Q49/S49</f>
        <v>505.20664281954606</v>
      </c>
      <c r="U49" s="85">
        <f t="shared" si="65"/>
        <v>28733348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554500</v>
      </c>
      <c r="G50" s="190">
        <f t="shared" ref="G50" si="75">F50/F49-1</f>
        <v>-0.48123800875852585</v>
      </c>
      <c r="H50" s="190">
        <f t="shared" ref="H50" si="76">F50/F38-1</f>
        <v>0.44283022662972815</v>
      </c>
      <c r="I50" s="130">
        <f t="shared" ref="I50" si="77">T50</f>
        <v>700.62263528453798</v>
      </c>
      <c r="J50" s="130">
        <f t="shared" ref="J50" si="78">I50/I38-1</f>
        <v>0.28187543990793706</v>
      </c>
      <c r="K50" s="136"/>
      <c r="L50" s="190"/>
      <c r="M50" s="190"/>
      <c r="N50" s="191"/>
      <c r="O50" s="192"/>
      <c r="P50" s="129" t="s">
        <v>1293</v>
      </c>
      <c r="Q50" s="116">
        <v>9981000</v>
      </c>
      <c r="R50" s="116">
        <v>14070345220</v>
      </c>
      <c r="S50" s="116">
        <v>14245.9</v>
      </c>
      <c r="T50" s="130">
        <f t="shared" ref="T50" si="79">Q50/S50</f>
        <v>700.62263528453798</v>
      </c>
      <c r="U50" s="85">
        <f t="shared" si="65"/>
        <v>33505239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252525</v>
      </c>
      <c r="G51" s="190">
        <f t="shared" ref="G51:G52" si="80">F51/F50-1</f>
        <v>-0.54458972046889087</v>
      </c>
      <c r="H51" s="190">
        <f t="shared" ref="H51:H52" si="81">F51/F39-1</f>
        <v>-0.61368417026809952</v>
      </c>
      <c r="I51" s="130">
        <f t="shared" ref="I51:I52" si="82">T51</f>
        <v>720.43992411166425</v>
      </c>
      <c r="J51" s="130">
        <f t="shared" ref="J51:J52" si="83">I51/I39-1</f>
        <v>0.12879378632539207</v>
      </c>
      <c r="K51" s="136"/>
      <c r="L51" s="190"/>
      <c r="M51" s="190"/>
      <c r="N51" s="191"/>
      <c r="O51" s="192"/>
      <c r="P51" s="129" t="s">
        <v>1402</v>
      </c>
      <c r="Q51" s="116">
        <v>5050500</v>
      </c>
      <c r="R51" s="116">
        <v>7380442640</v>
      </c>
      <c r="S51" s="116">
        <v>7010.3</v>
      </c>
      <c r="T51" s="130">
        <f t="shared" ref="T51:T52" si="84">Q51/S51</f>
        <v>720.43992411166425</v>
      </c>
      <c r="U51" s="85">
        <f t="shared" si="65"/>
        <v>38547101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1484354.2727272727</v>
      </c>
      <c r="C52" s="188">
        <f>AVERAGE(F50:F52)</f>
        <v>494784.75757575757</v>
      </c>
      <c r="D52" s="190">
        <f>C52/C49-1</f>
        <v>0.14550668799683542</v>
      </c>
      <c r="E52" s="287">
        <f>C52/C40-1</f>
        <v>-0.16456393313472328</v>
      </c>
      <c r="F52" s="136">
        <f>Q52/22</f>
        <v>677329.27272727271</v>
      </c>
      <c r="G52" s="190">
        <f t="shared" si="80"/>
        <v>1.6822266022266024</v>
      </c>
      <c r="H52" s="190">
        <f t="shared" si="81"/>
        <v>-8.3144911267585719E-2</v>
      </c>
      <c r="I52" s="130">
        <f t="shared" si="82"/>
        <v>708.75953653849808</v>
      </c>
      <c r="J52" s="130">
        <f t="shared" si="83"/>
        <v>0.62686849478009665</v>
      </c>
      <c r="K52" s="136">
        <f>R50+R51+R52</f>
        <v>43348404552</v>
      </c>
      <c r="L52" s="190">
        <f>U52/U49-1</f>
        <v>4.1742298878640893E-2</v>
      </c>
      <c r="M52" s="190">
        <f>K52/K40-1</f>
        <v>-0.15897448994445862</v>
      </c>
      <c r="N52" s="191">
        <f>AVERAGE(T50:T52)</f>
        <v>709.94069864490018</v>
      </c>
      <c r="O52" s="192">
        <f>N52/N49-1</f>
        <v>0.32511327383524047</v>
      </c>
      <c r="P52" s="129" t="s">
        <v>1403</v>
      </c>
      <c r="Q52" s="116">
        <v>14901244</v>
      </c>
      <c r="R52" s="116">
        <v>21897616692</v>
      </c>
      <c r="S52" s="116">
        <v>21024.400000000001</v>
      </c>
      <c r="T52" s="130">
        <f t="shared" si="84"/>
        <v>708.75953653849808</v>
      </c>
      <c r="U52" s="85">
        <f t="shared" ref="U52" si="85">Q50+Q51+Q52</f>
        <v>29932744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175523.80952380953</v>
      </c>
      <c r="G53" s="190">
        <f t="shared" ref="G53" si="86">F53/F52-1</f>
        <v>-0.74085896388759154</v>
      </c>
      <c r="H53" s="190">
        <f t="shared" ref="H53" si="87">F53/F41-1</f>
        <v>-0.79430802232288089</v>
      </c>
      <c r="I53" s="130">
        <f t="shared" ref="I53" si="88">T53</f>
        <v>533.42981186685961</v>
      </c>
      <c r="J53" s="130">
        <f t="shared" ref="J53" si="89">I53/I41-1</f>
        <v>-6.9939468984427933E-3</v>
      </c>
      <c r="K53" s="136"/>
      <c r="L53" s="190"/>
      <c r="M53" s="190"/>
      <c r="N53" s="191"/>
      <c r="O53" s="192"/>
      <c r="P53" s="129" t="s">
        <v>1414</v>
      </c>
      <c r="Q53" s="116">
        <v>3686000</v>
      </c>
      <c r="R53" s="116">
        <v>5429699160</v>
      </c>
      <c r="S53" s="116">
        <v>6910</v>
      </c>
      <c r="T53" s="130">
        <f t="shared" ref="T53" si="90">Q53/S53</f>
        <v>533.42981186685961</v>
      </c>
      <c r="U53" s="85">
        <f t="shared" ref="U53" si="91">Q51+Q52+Q53</f>
        <v>23637744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235200</v>
      </c>
      <c r="G54" s="190">
        <f t="shared" ref="G54" si="92">F54/F53-1</f>
        <v>0.33998914812805214</v>
      </c>
      <c r="H54" s="190">
        <f t="shared" ref="H54" si="93">F54/F42-1</f>
        <v>-0.36492507087889836</v>
      </c>
      <c r="I54" s="130">
        <f t="shared" ref="I54" si="94">T54</f>
        <v>557.31489741302414</v>
      </c>
      <c r="J54" s="130">
        <f t="shared" ref="J54" si="95">I54/I42-1</f>
        <v>4.3676919402735104E-2</v>
      </c>
      <c r="K54" s="136"/>
      <c r="L54" s="190"/>
      <c r="M54" s="190"/>
      <c r="N54" s="191"/>
      <c r="O54" s="192"/>
      <c r="P54" s="129" t="s">
        <v>1417</v>
      </c>
      <c r="Q54" s="116">
        <v>3998400</v>
      </c>
      <c r="R54" s="116">
        <v>5785289500</v>
      </c>
      <c r="S54" s="116">
        <v>7174.4</v>
      </c>
      <c r="T54" s="130">
        <f t="shared" ref="T54" si="96">Q54/S54</f>
        <v>557.31489741302414</v>
      </c>
      <c r="U54" s="85">
        <f t="shared" ref="U54" si="97">Q52+Q53+Q54</f>
        <v>22585644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813295.23809523811</v>
      </c>
      <c r="C55" s="188">
        <f>AVERAGE(F53:F55)</f>
        <v>271098.41269841272</v>
      </c>
      <c r="D55" s="190">
        <f>C55/C52-1</f>
        <v>-0.45208818875770596</v>
      </c>
      <c r="E55" s="287">
        <f>C55/C43-1</f>
        <v>-0.52040427051272431</v>
      </c>
      <c r="F55" s="136">
        <f>Q55/21</f>
        <v>402571.42857142858</v>
      </c>
      <c r="G55" s="190">
        <f t="shared" ref="G55" si="98">F55/F54-1</f>
        <v>0.71161321671525757</v>
      </c>
      <c r="H55" s="190">
        <f t="shared" ref="H55" si="99">F55/F43-1</f>
        <v>-0.14729324535364463</v>
      </c>
      <c r="I55" s="130">
        <f>T55</f>
        <v>588.28441401194107</v>
      </c>
      <c r="J55" s="130">
        <f t="shared" ref="J55" si="100">I55/I43-1</f>
        <v>-0.10223429222645597</v>
      </c>
      <c r="K55" s="136">
        <f>R53+R54+R55</f>
        <v>23473610300</v>
      </c>
      <c r="L55" s="190">
        <f>U55/U52-1</f>
        <v>-0.4608446188561931</v>
      </c>
      <c r="M55" s="190">
        <f>K55/K43-1</f>
        <v>-0.49965774299196775</v>
      </c>
      <c r="N55" s="191">
        <f>AVERAGE(T53:T55)</f>
        <v>559.67637443060823</v>
      </c>
      <c r="O55" s="192">
        <f>N55/N52-1</f>
        <v>-0.21165757154239651</v>
      </c>
      <c r="P55" s="129" t="s">
        <v>1418</v>
      </c>
      <c r="Q55" s="116">
        <v>8454000</v>
      </c>
      <c r="R55" s="116">
        <v>12258621640</v>
      </c>
      <c r="S55" s="116">
        <v>14370.6</v>
      </c>
      <c r="T55" s="130">
        <f t="shared" ref="T55" si="101">Q55/S55</f>
        <v>588.28441401194107</v>
      </c>
      <c r="U55" s="85">
        <f t="shared" ref="U55" si="102">Q53+Q54+Q55</f>
        <v>16138400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194659.09090909091</v>
      </c>
      <c r="G56" s="190">
        <f t="shared" ref="G56" si="103">F56/F55-1</f>
        <v>-0.51646073940254211</v>
      </c>
      <c r="H56" s="190">
        <f t="shared" ref="H56" si="104">F56/F44-1</f>
        <v>81.106292419187852</v>
      </c>
      <c r="I56" s="291">
        <f>T56</f>
        <v>614.38367955927924</v>
      </c>
      <c r="J56" s="130">
        <f t="shared" ref="J56" si="105">I56/I44-1</f>
        <v>26.236875469430089</v>
      </c>
      <c r="K56" s="136"/>
      <c r="L56" s="190"/>
      <c r="M56" s="190"/>
      <c r="N56" s="191"/>
      <c r="O56" s="192"/>
      <c r="P56" s="129" t="s">
        <v>1420</v>
      </c>
      <c r="Q56" s="116">
        <v>4282500</v>
      </c>
      <c r="R56" s="116">
        <v>6490203830</v>
      </c>
      <c r="S56" s="116">
        <v>6970.4</v>
      </c>
      <c r="T56" s="130">
        <f t="shared" ref="T56" si="106">Q56/S56</f>
        <v>614.38367955927924</v>
      </c>
      <c r="U56" s="85">
        <f t="shared" ref="U56" si="107">Q54+Q55+Q56</f>
        <v>16734900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340125</v>
      </c>
      <c r="G57" s="254">
        <f t="shared" ref="G57" si="108">F57/F56-1</f>
        <v>0.7472854640980735</v>
      </c>
      <c r="H57" s="254">
        <f t="shared" ref="H57" si="109">F57/F45-1</f>
        <v>-9.8211256789266121E-2</v>
      </c>
      <c r="I57" s="282">
        <f>T57</f>
        <v>586.76806739602353</v>
      </c>
      <c r="J57" s="277">
        <f t="shared" ref="J57" si="110">I57/I45-1</f>
        <v>0.28409510541463745</v>
      </c>
      <c r="K57" s="204"/>
      <c r="L57" s="254"/>
      <c r="M57" s="254"/>
      <c r="N57" s="257"/>
      <c r="O57" s="258"/>
      <c r="P57" s="129" t="s">
        <v>1436</v>
      </c>
      <c r="Q57" s="116">
        <v>4081500</v>
      </c>
      <c r="R57" s="116">
        <v>6025722525</v>
      </c>
      <c r="S57" s="116">
        <v>6955.9</v>
      </c>
      <c r="T57" s="130">
        <f t="shared" ref="T57" si="111">Q57/S57</f>
        <v>586.76806739602353</v>
      </c>
      <c r="U57" s="85">
        <f t="shared" ref="U57" si="112">Q55+Q56+Q57</f>
        <v>16818000</v>
      </c>
      <c r="V57" s="79"/>
      <c r="W57" s="79"/>
      <c r="X57" s="79"/>
      <c r="Y57" s="79"/>
      <c r="Z57" s="79"/>
    </row>
    <row r="58" spans="1:26">
      <c r="B58" s="196">
        <f>SUM(F56:F58)</f>
        <v>534784.09090909094</v>
      </c>
      <c r="C58" s="196">
        <f>AVERAGE(F56:F58)</f>
        <v>267392.04545454547</v>
      </c>
      <c r="D58" s="197">
        <f>C58/C55-1</f>
        <v>-1.3671667078296257E-2</v>
      </c>
      <c r="E58" s="233">
        <f>C58/C46-1</f>
        <v>4.341189612792995E-2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24502400</v>
      </c>
      <c r="R67" s="212">
        <v>35989536655</v>
      </c>
      <c r="S67" s="213">
        <v>42381.3</v>
      </c>
      <c r="T67" s="214" t="s">
        <v>1421</v>
      </c>
      <c r="U67" s="214">
        <v>5</v>
      </c>
    </row>
    <row r="68" spans="16:21" ht="18" thickBot="1">
      <c r="P68" s="180" t="s">
        <v>976</v>
      </c>
      <c r="Q68" s="181">
        <v>3686000</v>
      </c>
      <c r="R68" s="181">
        <v>5429699160</v>
      </c>
      <c r="S68" s="182">
        <v>6910</v>
      </c>
      <c r="T68" s="210" t="s">
        <v>1421</v>
      </c>
      <c r="U68" s="210" t="s">
        <v>1421</v>
      </c>
    </row>
    <row r="69" spans="16:21" ht="18" thickBot="1">
      <c r="P69" s="180" t="s">
        <v>977</v>
      </c>
      <c r="Q69" s="181">
        <v>3998400</v>
      </c>
      <c r="R69" s="181">
        <v>5785289500</v>
      </c>
      <c r="S69" s="182">
        <v>7174.4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8454000</v>
      </c>
      <c r="R70" s="181">
        <v>12258621640</v>
      </c>
      <c r="S70" s="182">
        <v>14370.6</v>
      </c>
      <c r="T70" s="210" t="s">
        <v>1421</v>
      </c>
      <c r="U70" s="210" t="s">
        <v>1421</v>
      </c>
    </row>
    <row r="71" spans="16:21" ht="18" thickBot="1">
      <c r="P71" s="180" t="s">
        <v>979</v>
      </c>
      <c r="Q71" s="181">
        <v>4282500</v>
      </c>
      <c r="R71" s="181">
        <v>6490203830</v>
      </c>
      <c r="S71" s="182">
        <v>6970.4</v>
      </c>
      <c r="T71" s="210" t="s">
        <v>1421</v>
      </c>
      <c r="U71" s="210" t="s">
        <v>1421</v>
      </c>
    </row>
    <row r="72" spans="16:21" ht="18" thickBot="1">
      <c r="P72" s="180" t="s">
        <v>980</v>
      </c>
      <c r="Q72" s="181">
        <v>4081500</v>
      </c>
      <c r="R72" s="181">
        <v>6025722525</v>
      </c>
      <c r="S72" s="182">
        <v>6955.9</v>
      </c>
      <c r="T72" s="210" t="s">
        <v>1421</v>
      </c>
      <c r="U72" s="210" t="s">
        <v>1421</v>
      </c>
    </row>
    <row r="73" spans="16:21" ht="18" thickBot="1">
      <c r="P73" s="180" t="s">
        <v>975</v>
      </c>
      <c r="Q73" s="181">
        <v>105866791</v>
      </c>
      <c r="R73" s="181">
        <v>151027214680</v>
      </c>
      <c r="S73" s="182">
        <v>185713.17</v>
      </c>
      <c r="T73" s="210">
        <v>11</v>
      </c>
      <c r="U73" s="210">
        <v>28</v>
      </c>
    </row>
    <row r="74" spans="16:21" ht="18" thickBot="1">
      <c r="P74" s="180" t="s">
        <v>982</v>
      </c>
      <c r="Q74" s="181">
        <v>123000503</v>
      </c>
      <c r="R74" s="181">
        <v>168052847019</v>
      </c>
      <c r="S74" s="182">
        <v>245007</v>
      </c>
      <c r="T74" s="210">
        <v>10</v>
      </c>
      <c r="U74" s="210">
        <v>35</v>
      </c>
    </row>
    <row r="75" spans="16:21" ht="18" thickBot="1">
      <c r="P75" s="215" t="s">
        <v>1386</v>
      </c>
      <c r="Q75" s="216">
        <v>82270761</v>
      </c>
      <c r="R75"/>
      <c r="S75"/>
      <c r="T75"/>
      <c r="U75"/>
    </row>
  </sheetData>
  <phoneticPr fontId="1" type="noConversion"/>
  <conditionalFormatting sqref="C29:C30">
    <cfRule type="cellIs" dxfId="1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8"/>
  <dimension ref="A1:Z72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9021290000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1998948.85</v>
      </c>
      <c r="G5" s="90"/>
      <c r="H5" s="90"/>
      <c r="I5" s="130">
        <f t="shared" ref="I5:I49" si="0">T5</f>
        <v>807.62885373362155</v>
      </c>
      <c r="J5" s="130"/>
      <c r="K5" s="86"/>
      <c r="L5" s="80"/>
      <c r="M5" s="80"/>
      <c r="P5" s="129" t="s">
        <v>0</v>
      </c>
      <c r="Q5" s="116">
        <v>39978977</v>
      </c>
      <c r="R5" s="116">
        <v>47191596095</v>
      </c>
      <c r="S5" s="116">
        <v>49501.67</v>
      </c>
      <c r="T5" s="130">
        <f t="shared" ref="T5" si="1">Q5/S5</f>
        <v>807.62885373362155</v>
      </c>
      <c r="U5" s="85"/>
    </row>
    <row r="6" spans="1:21" ht="15" hidden="1" customHeight="1">
      <c r="A6" s="129" t="s">
        <v>1</v>
      </c>
      <c r="C6" s="79"/>
      <c r="F6" s="78">
        <f>Q6/18</f>
        <v>2718277.777777778</v>
      </c>
      <c r="G6" s="90">
        <f t="shared" ref="G6:G16" si="2">F6/F5-1</f>
        <v>0.35985359394152483</v>
      </c>
      <c r="H6" s="90"/>
      <c r="I6" s="130">
        <f t="shared" si="0"/>
        <v>931.58684678348459</v>
      </c>
      <c r="J6" s="130"/>
      <c r="K6" s="78"/>
      <c r="P6" s="129" t="s">
        <v>1</v>
      </c>
      <c r="Q6" s="116">
        <v>48929000</v>
      </c>
      <c r="R6" s="116">
        <v>58144593170</v>
      </c>
      <c r="S6" s="116">
        <v>52522.21</v>
      </c>
      <c r="T6" s="130">
        <f t="shared" ref="T6:T11" si="3">Q6/S6</f>
        <v>931.58684678348459</v>
      </c>
      <c r="U6" s="85"/>
    </row>
    <row r="7" spans="1:21" ht="15" hidden="1" customHeight="1">
      <c r="A7" s="129" t="s">
        <v>2</v>
      </c>
      <c r="B7" s="131">
        <f>F5+F6+F7</f>
        <v>7311598.3095959593</v>
      </c>
      <c r="C7" s="131">
        <f>AVERAGE(F5:F7)</f>
        <v>2437199.4365319866</v>
      </c>
      <c r="F7" s="78">
        <f>Q7/22</f>
        <v>2594371.6818181816</v>
      </c>
      <c r="G7" s="90">
        <f t="shared" si="2"/>
        <v>-4.558257326478643E-2</v>
      </c>
      <c r="H7" s="90"/>
      <c r="I7" s="130">
        <f t="shared" si="0"/>
        <v>900.28540391025751</v>
      </c>
      <c r="J7" s="130"/>
      <c r="K7" s="85">
        <f>R5+R6+R7</f>
        <v>174124626222</v>
      </c>
      <c r="N7" s="88">
        <f>AVERAGE(T5:T7)</f>
        <v>879.83370147578796</v>
      </c>
      <c r="P7" s="129" t="s">
        <v>2</v>
      </c>
      <c r="Q7" s="116">
        <v>57076177</v>
      </c>
      <c r="R7" s="116">
        <v>68788436957</v>
      </c>
      <c r="S7" s="116">
        <v>63397.87</v>
      </c>
      <c r="T7" s="130">
        <f t="shared" si="3"/>
        <v>900.28540391025751</v>
      </c>
      <c r="U7" s="85">
        <f>Q5+Q6+Q7</f>
        <v>145984154</v>
      </c>
    </row>
    <row r="8" spans="1:21" ht="15" hidden="1" customHeight="1">
      <c r="A8" s="129" t="s">
        <v>3</v>
      </c>
      <c r="C8" s="79"/>
      <c r="F8" s="78">
        <f>Q8/21</f>
        <v>2665629.3809523811</v>
      </c>
      <c r="G8" s="90">
        <f t="shared" si="2"/>
        <v>2.7466264619516956E-2</v>
      </c>
      <c r="H8" s="90"/>
      <c r="I8" s="130">
        <f t="shared" si="0"/>
        <v>825.05963375500471</v>
      </c>
      <c r="J8" s="130"/>
      <c r="K8" s="78"/>
      <c r="P8" s="129" t="s">
        <v>3</v>
      </c>
      <c r="Q8" s="116">
        <v>55978217</v>
      </c>
      <c r="R8" s="116">
        <v>67837710154</v>
      </c>
      <c r="S8" s="116">
        <v>67847.48</v>
      </c>
      <c r="T8" s="130">
        <f t="shared" si="3"/>
        <v>825.05963375500471</v>
      </c>
      <c r="U8" s="85"/>
    </row>
    <row r="9" spans="1:21" ht="15" hidden="1" customHeight="1">
      <c r="A9" s="129" t="s">
        <v>4</v>
      </c>
      <c r="C9" s="79"/>
      <c r="F9" s="78">
        <f>Q9/21</f>
        <v>3027064.3809523811</v>
      </c>
      <c r="G9" s="90">
        <f t="shared" si="2"/>
        <v>0.13559086742616322</v>
      </c>
      <c r="H9" s="90"/>
      <c r="I9" s="130">
        <f t="shared" si="0"/>
        <v>871.50645654001175</v>
      </c>
      <c r="J9" s="130"/>
      <c r="K9" s="78"/>
      <c r="P9" s="129" t="s">
        <v>4</v>
      </c>
      <c r="Q9" s="116">
        <v>63568352</v>
      </c>
      <c r="R9" s="116">
        <v>79955311041</v>
      </c>
      <c r="S9" s="116">
        <v>72940.77</v>
      </c>
      <c r="T9" s="130">
        <f t="shared" si="3"/>
        <v>871.50645654001175</v>
      </c>
      <c r="U9" s="85"/>
    </row>
    <row r="10" spans="1:21" ht="15" hidden="1" customHeight="1">
      <c r="A10" s="129" t="s">
        <v>5</v>
      </c>
      <c r="B10" s="131">
        <f>F8+F9+F10</f>
        <v>9094473.4285714291</v>
      </c>
      <c r="C10" s="131">
        <f>AVERAGE(F8:F10)</f>
        <v>3031491.1428571432</v>
      </c>
      <c r="D10" s="90">
        <f>C10/C7-1</f>
        <v>0.24384204977939938</v>
      </c>
      <c r="E10" s="286"/>
      <c r="F10" s="78">
        <f>Q10/21</f>
        <v>3401779.6666666665</v>
      </c>
      <c r="G10" s="90">
        <f t="shared" si="2"/>
        <v>0.12378834360846724</v>
      </c>
      <c r="H10" s="90"/>
      <c r="I10" s="130">
        <f t="shared" si="0"/>
        <v>872.33598039565265</v>
      </c>
      <c r="J10" s="130"/>
      <c r="K10" s="85">
        <f>R8+R9+R10</f>
        <v>237402864839</v>
      </c>
      <c r="L10" s="87">
        <f>U10/U7-1</f>
        <v>0.30825118183717382</v>
      </c>
      <c r="N10" s="88">
        <f>AVERAGE(T8:T10)</f>
        <v>856.30069023022304</v>
      </c>
      <c r="O10" s="89">
        <f>N10/N7-1</f>
        <v>-2.674711278516817E-2</v>
      </c>
      <c r="P10" s="129" t="s">
        <v>5</v>
      </c>
      <c r="Q10" s="116">
        <v>71437373</v>
      </c>
      <c r="R10" s="116">
        <v>89609843644</v>
      </c>
      <c r="S10" s="116">
        <v>81892.039999999994</v>
      </c>
      <c r="T10" s="130">
        <f t="shared" si="3"/>
        <v>872.33598039565265</v>
      </c>
      <c r="U10" s="85">
        <f>Q8+Q9+Q10</f>
        <v>190983942</v>
      </c>
    </row>
    <row r="11" spans="1:21" ht="15" hidden="1" customHeight="1">
      <c r="A11" s="129" t="s">
        <v>6</v>
      </c>
      <c r="C11" s="79"/>
      <c r="F11" s="78">
        <f>Q11/21</f>
        <v>2829544.3333333335</v>
      </c>
      <c r="G11" s="90">
        <f t="shared" si="2"/>
        <v>-0.16821646003136193</v>
      </c>
      <c r="H11" s="90"/>
      <c r="I11" s="130">
        <f t="shared" si="0"/>
        <v>785.90241231405719</v>
      </c>
      <c r="J11" s="130"/>
      <c r="K11" s="78"/>
      <c r="O11" s="89"/>
      <c r="P11" s="129" t="s">
        <v>6</v>
      </c>
      <c r="Q11" s="116">
        <v>59420431</v>
      </c>
      <c r="R11" s="116">
        <v>76722065852</v>
      </c>
      <c r="S11" s="116">
        <v>75607.899999999994</v>
      </c>
      <c r="T11" s="130">
        <f t="shared" si="3"/>
        <v>785.90241231405719</v>
      </c>
      <c r="U11" s="85"/>
    </row>
    <row r="12" spans="1:21" ht="15" hidden="1" customHeight="1">
      <c r="A12" s="129" t="s">
        <v>7</v>
      </c>
      <c r="C12" s="79"/>
      <c r="F12" s="78">
        <f>Q12/22</f>
        <v>2599008.1363636362</v>
      </c>
      <c r="G12" s="90">
        <f t="shared" si="2"/>
        <v>-8.1474672177380247E-2</v>
      </c>
      <c r="H12" s="90"/>
      <c r="I12" s="130">
        <f t="shared" si="0"/>
        <v>792.95282681846879</v>
      </c>
      <c r="J12" s="130"/>
      <c r="K12" s="78"/>
      <c r="O12" s="89"/>
      <c r="P12" s="129" t="s">
        <v>7</v>
      </c>
      <c r="Q12" s="116">
        <v>57178179</v>
      </c>
      <c r="R12" s="116">
        <v>74189007948</v>
      </c>
      <c r="S12" s="116">
        <v>72107.92</v>
      </c>
      <c r="T12" s="130">
        <f>Q12/S12</f>
        <v>792.95282681846879</v>
      </c>
      <c r="U12" s="85"/>
    </row>
    <row r="13" spans="1:21" ht="15" hidden="1" customHeight="1">
      <c r="A13" s="129" t="s">
        <v>96</v>
      </c>
      <c r="B13" s="131">
        <f>F11+F12+F13</f>
        <v>8370392.1696969699</v>
      </c>
      <c r="C13" s="131">
        <f>AVERAGE(F11:F13)</f>
        <v>2790130.7232323233</v>
      </c>
      <c r="D13" s="90">
        <f>C13/C10-1</f>
        <v>-7.9617722187154572E-2</v>
      </c>
      <c r="E13" s="286"/>
      <c r="F13" s="78">
        <f>Q13/20</f>
        <v>2941839.7</v>
      </c>
      <c r="G13" s="90">
        <f t="shared" si="2"/>
        <v>0.13190861499803974</v>
      </c>
      <c r="H13" s="90"/>
      <c r="I13" s="130">
        <f t="shared" si="0"/>
        <v>858.03893877374821</v>
      </c>
      <c r="J13" s="130"/>
      <c r="K13" s="78">
        <f>R11+R12+R13</f>
        <v>231232038057</v>
      </c>
      <c r="L13" s="87">
        <f>U13/U10-1</f>
        <v>-8.1412802758045522E-2</v>
      </c>
      <c r="N13" s="88">
        <f>AVERAGE(T11:T13)</f>
        <v>812.29805930209147</v>
      </c>
      <c r="O13" s="89">
        <f>N13/N10-1</f>
        <v>-5.138689181285272E-2</v>
      </c>
      <c r="P13" s="129" t="s">
        <v>96</v>
      </c>
      <c r="Q13" s="116">
        <v>58836794</v>
      </c>
      <c r="R13" s="116">
        <v>80320964257</v>
      </c>
      <c r="S13" s="116">
        <v>68571.240000000005</v>
      </c>
      <c r="T13" s="130">
        <f>Q13/S13</f>
        <v>858.03893877374821</v>
      </c>
      <c r="U13" s="85">
        <f>Q11+Q12+Q13</f>
        <v>175435404</v>
      </c>
    </row>
    <row r="14" spans="1:21" ht="15" hidden="1" customHeight="1">
      <c r="A14" s="129" t="s">
        <v>97</v>
      </c>
      <c r="C14" s="79"/>
      <c r="F14" s="78">
        <f>Q14/20</f>
        <v>2602308.75</v>
      </c>
      <c r="G14" s="90">
        <f t="shared" si="2"/>
        <v>-0.1154144972616965</v>
      </c>
      <c r="H14" s="90"/>
      <c r="I14" s="130">
        <f t="shared" si="0"/>
        <v>773.53008450601237</v>
      </c>
      <c r="J14" s="130"/>
      <c r="K14" s="78"/>
      <c r="O14" s="89"/>
      <c r="P14" s="129" t="s">
        <v>97</v>
      </c>
      <c r="Q14" s="116">
        <v>52046175</v>
      </c>
      <c r="R14" s="116">
        <v>74215666955</v>
      </c>
      <c r="S14" s="116">
        <v>67283.97</v>
      </c>
      <c r="T14" s="130">
        <f>Q14/S14</f>
        <v>773.53008450601237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2853155.8636363638</v>
      </c>
      <c r="G15" s="90">
        <f t="shared" si="2"/>
        <v>9.6394063016682408E-2</v>
      </c>
      <c r="H15" s="90"/>
      <c r="I15" s="130">
        <f t="shared" si="0"/>
        <v>822.90981038816074</v>
      </c>
      <c r="J15" s="130"/>
      <c r="K15" s="78"/>
      <c r="O15" s="89"/>
      <c r="P15" s="129" t="s">
        <v>98</v>
      </c>
      <c r="Q15" s="116">
        <v>62769429</v>
      </c>
      <c r="R15" s="116">
        <v>86900086711</v>
      </c>
      <c r="S15" s="116">
        <v>76277.41</v>
      </c>
      <c r="T15" s="130">
        <f t="shared" ref="T15:T17" si="4">Q15/S15</f>
        <v>822.90981038816074</v>
      </c>
      <c r="U15" s="85"/>
    </row>
    <row r="16" spans="1:21" ht="15" hidden="1" customHeight="1">
      <c r="A16" s="129" t="s">
        <v>99</v>
      </c>
      <c r="B16" s="131">
        <f>F14+F15+F16</f>
        <v>8720697.0227272734</v>
      </c>
      <c r="C16" s="131">
        <f>AVERAGE(F14:F16)</f>
        <v>2906899.0075757578</v>
      </c>
      <c r="D16" s="90">
        <f>C16/C13-1</f>
        <v>4.1850470793769912E-2</v>
      </c>
      <c r="E16" s="286"/>
      <c r="F16" s="78">
        <f>Q16/22</f>
        <v>3265232.4090909092</v>
      </c>
      <c r="G16" s="90">
        <f t="shared" si="2"/>
        <v>0.14442833309826675</v>
      </c>
      <c r="H16" s="90"/>
      <c r="I16" s="130">
        <f t="shared" si="0"/>
        <v>791.15965419213182</v>
      </c>
      <c r="J16" s="130"/>
      <c r="K16" s="78">
        <f>R14+R15+R16</f>
        <v>255408439129</v>
      </c>
      <c r="L16" s="87">
        <f>U16/U13-1</f>
        <v>6.3928447418743373E-2</v>
      </c>
      <c r="N16" s="88">
        <f>AVERAGE(T14:T16)</f>
        <v>795.86651636210161</v>
      </c>
      <c r="O16" s="89">
        <f>N16/N13-1</f>
        <v>-2.0228465095814108E-2</v>
      </c>
      <c r="P16" s="129" t="s">
        <v>99</v>
      </c>
      <c r="Q16" s="116">
        <v>71835113</v>
      </c>
      <c r="R16" s="116">
        <v>94292685463</v>
      </c>
      <c r="S16" s="116">
        <v>90797.24</v>
      </c>
      <c r="T16" s="130">
        <f t="shared" si="4"/>
        <v>791.15965419213182</v>
      </c>
      <c r="U16" s="85">
        <f>Q14+Q15+Q16</f>
        <v>186650717</v>
      </c>
    </row>
    <row r="17" spans="1:21" ht="15" hidden="1" customHeight="1">
      <c r="A17" s="129" t="s">
        <v>100</v>
      </c>
      <c r="C17" s="79"/>
      <c r="F17" s="78">
        <f>Q17/20</f>
        <v>2121596.4</v>
      </c>
      <c r="G17" s="90">
        <f t="shared" ref="G17:G22" si="5">F17/F16-1</f>
        <v>-0.35024643449784787</v>
      </c>
      <c r="H17" s="90">
        <f t="shared" ref="H17:H22" si="6">F17/F5-1</f>
        <v>6.1356022191363158E-2</v>
      </c>
      <c r="I17" s="130">
        <f t="shared" si="0"/>
        <v>812.85412048314629</v>
      </c>
      <c r="J17" s="130">
        <f t="shared" ref="J17:J49" si="7">I17/I5-1</f>
        <v>6.4698861678462727E-3</v>
      </c>
      <c r="K17" s="78"/>
      <c r="O17" s="89"/>
      <c r="P17" s="129" t="s">
        <v>100</v>
      </c>
      <c r="Q17" s="116">
        <v>42431928</v>
      </c>
      <c r="R17" s="116">
        <v>53416166277</v>
      </c>
      <c r="S17" s="116">
        <v>52201.16</v>
      </c>
      <c r="T17" s="130">
        <f t="shared" si="4"/>
        <v>812.85412048314629</v>
      </c>
      <c r="U17" s="78"/>
    </row>
    <row r="18" spans="1:21" ht="15" hidden="1" customHeight="1">
      <c r="A18" s="129" t="s">
        <v>106</v>
      </c>
      <c r="C18" s="79"/>
      <c r="F18" s="78">
        <f>Q18/20</f>
        <v>2255769.25</v>
      </c>
      <c r="G18" s="90">
        <f t="shared" si="5"/>
        <v>6.3241458177436538E-2</v>
      </c>
      <c r="H18" s="90">
        <f t="shared" si="6"/>
        <v>-0.17014763228351293</v>
      </c>
      <c r="I18" s="130">
        <f t="shared" si="0"/>
        <v>732.49452074744818</v>
      </c>
      <c r="J18" s="130">
        <f t="shared" si="7"/>
        <v>-0.21371311405205851</v>
      </c>
      <c r="K18" s="78"/>
      <c r="O18" s="89"/>
      <c r="P18" s="129" t="s">
        <v>106</v>
      </c>
      <c r="Q18" s="116">
        <v>45115385</v>
      </c>
      <c r="R18" s="116">
        <v>56434838959</v>
      </c>
      <c r="S18" s="116">
        <v>61591.43</v>
      </c>
      <c r="T18" s="130">
        <f t="shared" ref="T18" si="8">Q18/S18</f>
        <v>732.49452074744818</v>
      </c>
      <c r="U18" s="78"/>
    </row>
    <row r="19" spans="1:21" hidden="1">
      <c r="A19" s="129" t="s">
        <v>114</v>
      </c>
      <c r="B19" s="131">
        <f>SUM(F17:F19)</f>
        <v>7280701.5590909095</v>
      </c>
      <c r="C19" s="131">
        <f>AVERAGE(F17:F19)</f>
        <v>2426900.51969697</v>
      </c>
      <c r="D19" s="90">
        <f>C19/C16-1</f>
        <v>-0.16512389547344064</v>
      </c>
      <c r="E19" s="286">
        <f>C19/C7-1</f>
        <v>-4.225717715441224E-3</v>
      </c>
      <c r="F19" s="78">
        <f>Q19/22</f>
        <v>2903335.9090909092</v>
      </c>
      <c r="G19" s="90">
        <f t="shared" si="5"/>
        <v>0.28707132127583934</v>
      </c>
      <c r="H19" s="90">
        <f t="shared" si="6"/>
        <v>0.11909019414527378</v>
      </c>
      <c r="I19" s="130">
        <f t="shared" si="0"/>
        <v>809.22825993865035</v>
      </c>
      <c r="J19" s="130">
        <f t="shared" si="7"/>
        <v>-0.10114253055321543</v>
      </c>
      <c r="K19" s="78">
        <f>R17+R18+R19</f>
        <v>193354289780</v>
      </c>
      <c r="L19" s="87">
        <f>U19/U16-1</f>
        <v>-0.18874834539210472</v>
      </c>
      <c r="M19" s="87">
        <f>U19/U7-1</f>
        <v>3.7240678875325006E-2</v>
      </c>
      <c r="N19" s="88">
        <f>AVERAGE(T17:T19)</f>
        <v>784.85896705641483</v>
      </c>
      <c r="O19" s="89">
        <f>N19/N16-1</f>
        <v>-1.3830898874854225E-2</v>
      </c>
      <c r="P19" s="129" t="s">
        <v>115</v>
      </c>
      <c r="Q19" s="116">
        <v>63873390</v>
      </c>
      <c r="R19" s="116">
        <v>83503284544</v>
      </c>
      <c r="S19" s="116">
        <v>78931.240000000005</v>
      </c>
      <c r="T19" s="130">
        <f t="shared" ref="T19" si="9">Q19/S19</f>
        <v>809.22825993865035</v>
      </c>
      <c r="U19" s="85">
        <f>Q17+Q18+Q19</f>
        <v>151420703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3172513.4</v>
      </c>
      <c r="G20" s="90">
        <f t="shared" si="5"/>
        <v>9.2713175236197598E-2</v>
      </c>
      <c r="H20" s="90">
        <f t="shared" si="6"/>
        <v>0.19015547422669776</v>
      </c>
      <c r="I20" s="130">
        <f t="shared" si="0"/>
        <v>841.76578765197814</v>
      </c>
      <c r="J20" s="130">
        <f t="shared" si="7"/>
        <v>2.0248419888075908E-2</v>
      </c>
      <c r="K20" s="78"/>
      <c r="O20" s="89"/>
      <c r="P20" s="129" t="s">
        <v>132</v>
      </c>
      <c r="Q20" s="116">
        <v>63450268</v>
      </c>
      <c r="R20" s="116">
        <v>83194088871</v>
      </c>
      <c r="S20" s="116">
        <v>75377.58</v>
      </c>
      <c r="T20" s="130">
        <f t="shared" ref="T20" si="10">Q20/S20</f>
        <v>841.76578765197814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3475709.2857142859</v>
      </c>
      <c r="G21" s="90">
        <f t="shared" si="5"/>
        <v>9.5569615470902702E-2</v>
      </c>
      <c r="H21" s="90">
        <f t="shared" si="6"/>
        <v>0.14821121994793884</v>
      </c>
      <c r="I21" s="130">
        <f t="shared" si="0"/>
        <v>784.80804485852684</v>
      </c>
      <c r="J21" s="130">
        <f t="shared" si="7"/>
        <v>-9.9481089360701103E-2</v>
      </c>
      <c r="K21" s="78"/>
      <c r="O21" s="89"/>
      <c r="P21" s="129" t="s">
        <v>141</v>
      </c>
      <c r="Q21" s="116">
        <v>72989895</v>
      </c>
      <c r="R21" s="116">
        <v>97111011899</v>
      </c>
      <c r="S21" s="116">
        <v>93003.5</v>
      </c>
      <c r="T21" s="130">
        <f t="shared" ref="T21" si="11">Q21/S21</f>
        <v>784.80804485852684</v>
      </c>
      <c r="U21" s="78"/>
    </row>
    <row r="22" spans="1:21" hidden="1">
      <c r="A22" s="129" t="s">
        <v>156</v>
      </c>
      <c r="B22" s="131">
        <f>SUM(F20:F22)</f>
        <v>10506888.447619047</v>
      </c>
      <c r="C22" s="131">
        <f>AVERAGE(F20:F22)</f>
        <v>3502296.1492063492</v>
      </c>
      <c r="D22" s="90">
        <f>C22/C19-1</f>
        <v>0.44311483753922309</v>
      </c>
      <c r="E22" s="286">
        <f>C22/C10-1</f>
        <v>0.15530476064841081</v>
      </c>
      <c r="F22" s="78">
        <f>Q22/21</f>
        <v>3858665.7619047621</v>
      </c>
      <c r="G22" s="90">
        <f t="shared" si="5"/>
        <v>0.11018081338519536</v>
      </c>
      <c r="H22" s="90">
        <f t="shared" si="6"/>
        <v>0.13430796230426911</v>
      </c>
      <c r="I22" s="130">
        <f t="shared" si="0"/>
        <v>777.59839190864511</v>
      </c>
      <c r="J22" s="130">
        <f t="shared" si="7"/>
        <v>-0.10860217922461346</v>
      </c>
      <c r="K22" s="78">
        <f>R20+R21+R22</f>
        <v>285479977394</v>
      </c>
      <c r="L22" s="87">
        <f>U22/U19-1</f>
        <v>0.43621142744265295</v>
      </c>
      <c r="M22" s="87">
        <f>U22/U10-1</f>
        <v>0.13869334627096563</v>
      </c>
      <c r="N22" s="88">
        <f>AVERAGE(T20:T22)</f>
        <v>801.39074147305007</v>
      </c>
      <c r="O22" s="89">
        <f>N22/N19-1</f>
        <v>2.1063369484886074E-2</v>
      </c>
      <c r="P22" s="129" t="s">
        <v>156</v>
      </c>
      <c r="Q22" s="116">
        <v>81031981</v>
      </c>
      <c r="R22" s="116">
        <v>105174876624</v>
      </c>
      <c r="S22" s="116">
        <v>104208.01</v>
      </c>
      <c r="T22" s="130">
        <f t="shared" ref="T22:T23" si="12">Q22/S22</f>
        <v>777.59839190864511</v>
      </c>
      <c r="U22" s="85">
        <f>Q20+Q21+Q22</f>
        <v>217472144</v>
      </c>
    </row>
    <row r="23" spans="1:21" hidden="1">
      <c r="A23" s="129" t="s">
        <v>189</v>
      </c>
      <c r="B23" s="131"/>
      <c r="C23" s="131"/>
      <c r="F23" s="78">
        <f>Q23/21</f>
        <v>2947358.5714285714</v>
      </c>
      <c r="G23" s="90">
        <f t="shared" ref="G23" si="13">F23/F22-1</f>
        <v>-0.23617158020609175</v>
      </c>
      <c r="H23" s="90">
        <f t="shared" ref="H23" si="14">F23/F11-1</f>
        <v>4.1637176950130028E-2</v>
      </c>
      <c r="I23" s="130">
        <f t="shared" si="0"/>
        <v>713.37150381053573</v>
      </c>
      <c r="J23" s="130">
        <f t="shared" si="7"/>
        <v>-9.2289968025364821E-2</v>
      </c>
      <c r="K23" s="78"/>
      <c r="O23" s="89"/>
      <c r="P23" s="129" t="s">
        <v>189</v>
      </c>
      <c r="Q23" s="116">
        <v>61894530</v>
      </c>
      <c r="R23" s="116">
        <v>80038431388</v>
      </c>
      <c r="S23" s="116">
        <v>86763.39</v>
      </c>
      <c r="T23" s="130">
        <f t="shared" si="12"/>
        <v>713.37150381053573</v>
      </c>
      <c r="U23" s="78"/>
    </row>
    <row r="24" spans="1:21" hidden="1">
      <c r="A24" s="129" t="s">
        <v>204</v>
      </c>
      <c r="B24" s="131"/>
      <c r="C24" s="131"/>
      <c r="F24" s="78">
        <f>Q24/22</f>
        <v>2771718.8636363638</v>
      </c>
      <c r="G24" s="90">
        <f t="shared" ref="G24" si="15">F24/F23-1</f>
        <v>-5.9592242862759548E-2</v>
      </c>
      <c r="H24" s="90">
        <f t="shared" ref="H24" si="16">F24/F12-1</f>
        <v>6.6452553516963331E-2</v>
      </c>
      <c r="I24" s="130">
        <f t="shared" si="0"/>
        <v>700.64533379110173</v>
      </c>
      <c r="J24" s="130">
        <f t="shared" si="7"/>
        <v>-0.11640981645494419</v>
      </c>
      <c r="K24" s="78"/>
      <c r="O24" s="89"/>
      <c r="P24" s="129" t="s">
        <v>204</v>
      </c>
      <c r="Q24" s="116">
        <v>60977815</v>
      </c>
      <c r="R24" s="116">
        <v>79946020929</v>
      </c>
      <c r="S24" s="116">
        <v>87030.93</v>
      </c>
      <c r="T24" s="130">
        <f t="shared" ref="T24" si="17">Q24/S24</f>
        <v>700.64533379110173</v>
      </c>
      <c r="U24" s="78"/>
    </row>
    <row r="25" spans="1:21" s="79" customFormat="1" ht="13.2" hidden="1">
      <c r="A25" s="129" t="s">
        <v>219</v>
      </c>
      <c r="B25" s="131">
        <f>SUM(F23:F25)</f>
        <v>8784070.6982228309</v>
      </c>
      <c r="C25" s="131">
        <f>AVERAGE(F23:F25)</f>
        <v>2928023.5660742768</v>
      </c>
      <c r="D25" s="90">
        <f>C25/C22-1</f>
        <v>-0.1639703093818059</v>
      </c>
      <c r="E25" s="286">
        <f>C25/C13-1</f>
        <v>4.9421642396097809E-2</v>
      </c>
      <c r="F25" s="78">
        <f>Q25/19</f>
        <v>3064993.2631578948</v>
      </c>
      <c r="G25" s="90">
        <f t="shared" ref="G25" si="18">F25/F24-1</f>
        <v>0.10580957663821966</v>
      </c>
      <c r="H25" s="90">
        <f t="shared" ref="H25" si="19">F25/F13-1</f>
        <v>4.1862771502436003E-2</v>
      </c>
      <c r="I25" s="130">
        <f t="shared" si="0"/>
        <v>785.48049566780958</v>
      </c>
      <c r="J25" s="130">
        <f t="shared" si="7"/>
        <v>-8.4563112263453144E-2</v>
      </c>
      <c r="K25" s="78">
        <f>R23+R24+R25</f>
        <v>237289248211</v>
      </c>
      <c r="L25" s="90">
        <f>U25/U22-1</f>
        <v>-0.16721648267743205</v>
      </c>
      <c r="M25" s="90">
        <f>U25/U13-1</f>
        <v>3.2329922414064072E-2</v>
      </c>
      <c r="N25" s="88">
        <f>AVERAGE(T23:T25)</f>
        <v>733.16577775648238</v>
      </c>
      <c r="O25" s="91">
        <f>N25/N22-1</f>
        <v>-8.5133206793931993E-2</v>
      </c>
      <c r="P25" s="129" t="s">
        <v>219</v>
      </c>
      <c r="Q25" s="116">
        <v>58234872</v>
      </c>
      <c r="R25" s="116">
        <v>77304795894</v>
      </c>
      <c r="S25" s="116">
        <v>74139.17</v>
      </c>
      <c r="T25" s="130">
        <f t="shared" ref="T25" si="20">Q25/S25</f>
        <v>785.48049566780958</v>
      </c>
      <c r="U25" s="85">
        <f>Q23+Q24+Q25</f>
        <v>181107217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3210288.3157894737</v>
      </c>
      <c r="G26" s="90">
        <f t="shared" ref="G26" si="21">F26/F25-1</f>
        <v>4.740468906671591E-2</v>
      </c>
      <c r="H26" s="90">
        <f t="shared" ref="H26" si="22">F26/F14-1</f>
        <v>0.23363083484597036</v>
      </c>
      <c r="I26" s="130">
        <f t="shared" si="0"/>
        <v>775.92211505081207</v>
      </c>
      <c r="J26" s="130">
        <f t="shared" si="7"/>
        <v>3.0923561897755469E-3</v>
      </c>
      <c r="K26" s="78"/>
      <c r="L26" s="90"/>
      <c r="M26" s="90"/>
      <c r="P26" s="129" t="s">
        <v>312</v>
      </c>
      <c r="Q26" s="116">
        <v>60995478</v>
      </c>
      <c r="R26" s="116">
        <v>82294803723</v>
      </c>
      <c r="S26" s="116">
        <v>78610.31</v>
      </c>
      <c r="T26" s="130">
        <f t="shared" ref="T26" si="23">Q26/S26</f>
        <v>775.92211505081207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3321984.5</v>
      </c>
      <c r="G27" s="90">
        <f t="shared" ref="G27" si="24">F27/F26-1</f>
        <v>3.479319401349712E-2</v>
      </c>
      <c r="H27" s="90">
        <f t="shared" ref="H27" si="25">F27/F15-1</f>
        <v>0.16431932175135766</v>
      </c>
      <c r="I27" s="130">
        <f t="shared" si="0"/>
        <v>747.04187047956498</v>
      </c>
      <c r="J27" s="130">
        <f t="shared" si="7"/>
        <v>-9.2194720430917476E-2</v>
      </c>
      <c r="K27" s="78"/>
      <c r="L27" s="90"/>
      <c r="M27" s="90"/>
      <c r="P27" s="129" t="s">
        <v>375</v>
      </c>
      <c r="Q27" s="116">
        <v>73083659</v>
      </c>
      <c r="R27" s="116">
        <v>96737303303</v>
      </c>
      <c r="S27" s="116">
        <v>97830.74</v>
      </c>
      <c r="T27" s="130">
        <f t="shared" ref="T27" si="26">Q27/S27</f>
        <v>747.04187047956498</v>
      </c>
      <c r="U27" s="78"/>
    </row>
    <row r="28" spans="1:21" s="79" customFormat="1" ht="13.2" hidden="1">
      <c r="A28" s="123" t="s">
        <v>413</v>
      </c>
      <c r="B28" s="131">
        <f>SUM(F26:F28)</f>
        <v>11548108.605263159</v>
      </c>
      <c r="C28" s="131">
        <f>AVERAGE(F26:F28)</f>
        <v>3849369.5350877196</v>
      </c>
      <c r="D28" s="90">
        <f>C28/C25-1</f>
        <v>0.31466480655711715</v>
      </c>
      <c r="E28" s="286">
        <f>C28/C16-1</f>
        <v>0.32421853151958868</v>
      </c>
      <c r="F28" s="78">
        <f>Q28/19</f>
        <v>5015835.7894736845</v>
      </c>
      <c r="G28" s="90">
        <f t="shared" ref="G28" si="27">F28/F27-1</f>
        <v>0.50989138855815996</v>
      </c>
      <c r="H28" s="90">
        <f t="shared" ref="H28" si="28">F28/F16-1</f>
        <v>0.53613438832373039</v>
      </c>
      <c r="I28" s="130">
        <f t="shared" si="0"/>
        <v>752.80004670002916</v>
      </c>
      <c r="J28" s="130">
        <f t="shared" si="7"/>
        <v>-4.8485292808911451E-2</v>
      </c>
      <c r="K28" s="78">
        <f>R26+R27+R28</f>
        <v>303376736408</v>
      </c>
      <c r="L28" s="90">
        <f>U28/U25-1</f>
        <v>0.26654266350964906</v>
      </c>
      <c r="M28" s="90">
        <f>U28/U16-1</f>
        <v>0.22892652483086895</v>
      </c>
      <c r="N28" s="88">
        <f>AVERAGE(T26:T28)</f>
        <v>758.58801074346877</v>
      </c>
      <c r="O28" s="91">
        <f>N28/N25-1</f>
        <v>3.4674603968531503E-2</v>
      </c>
      <c r="P28" s="129" t="s">
        <v>413</v>
      </c>
      <c r="Q28" s="116">
        <v>95300880</v>
      </c>
      <c r="R28" s="116">
        <v>124344629382</v>
      </c>
      <c r="S28" s="116">
        <v>126595.21</v>
      </c>
      <c r="T28" s="130">
        <f t="shared" ref="T28" si="29">Q28/S28</f>
        <v>752.80004670002916</v>
      </c>
      <c r="U28" s="85">
        <f>Q26+Q27+Q28</f>
        <v>229380017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3187864.2727272729</v>
      </c>
      <c r="G29" s="190">
        <f t="shared" ref="G29" si="30">F29/F28-1</f>
        <v>-0.36444006412303664</v>
      </c>
      <c r="H29" s="190">
        <f t="shared" ref="H29" si="31">F29/F17-1</f>
        <v>0.50257809295268085</v>
      </c>
      <c r="I29" s="130">
        <f t="shared" si="0"/>
        <v>837.69198721669841</v>
      </c>
      <c r="J29" s="130">
        <f t="shared" si="7"/>
        <v>3.0556364429559446E-2</v>
      </c>
      <c r="K29" s="136"/>
      <c r="L29" s="190"/>
      <c r="M29" s="190"/>
      <c r="N29" s="191"/>
      <c r="O29" s="192"/>
      <c r="P29" s="129" t="s">
        <v>457</v>
      </c>
      <c r="Q29" s="116">
        <v>70133014</v>
      </c>
      <c r="R29" s="116">
        <v>92321040202</v>
      </c>
      <c r="S29" s="116">
        <v>83721.72</v>
      </c>
      <c r="T29" s="130">
        <f t="shared" ref="T29" si="32">Q29/S29</f>
        <v>837.69198721669841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3824482.5263157897</v>
      </c>
      <c r="G30" s="190">
        <f t="shared" ref="G30" si="33">F30/F29-1</f>
        <v>0.1997005515683008</v>
      </c>
      <c r="H30" s="190">
        <f t="shared" ref="H30" si="34">F30/F18-1</f>
        <v>0.69542275936059927</v>
      </c>
      <c r="I30" s="130">
        <f t="shared" si="0"/>
        <v>768.59083825761661</v>
      </c>
      <c r="J30" s="130">
        <f t="shared" si="7"/>
        <v>4.927861777496334E-2</v>
      </c>
      <c r="K30" s="136"/>
      <c r="L30" s="190"/>
      <c r="M30" s="190"/>
      <c r="N30" s="191"/>
      <c r="O30" s="192"/>
      <c r="P30" s="129" t="s">
        <v>469</v>
      </c>
      <c r="Q30" s="116">
        <v>72665168</v>
      </c>
      <c r="R30" s="116">
        <v>96821658383</v>
      </c>
      <c r="S30" s="116">
        <v>94543.37</v>
      </c>
      <c r="T30" s="130">
        <f t="shared" ref="T30" si="35">Q30/S30</f>
        <v>768.59083825761661</v>
      </c>
      <c r="U30" s="85"/>
    </row>
    <row r="31" spans="1:21" s="79" customFormat="1" ht="13.2" hidden="1">
      <c r="A31" s="129" t="s">
        <v>529</v>
      </c>
      <c r="B31" s="188">
        <f>SUM(F29:F31)</f>
        <v>11375138.399043063</v>
      </c>
      <c r="C31" s="188">
        <f>AVERAGE(F29:F31)</f>
        <v>3791712.7996810209</v>
      </c>
      <c r="D31" s="190">
        <f>C31/C28-1</f>
        <v>-1.4978228221828704E-2</v>
      </c>
      <c r="E31" s="287">
        <f>C31/C19-1</f>
        <v>0.56236844852399037</v>
      </c>
      <c r="F31" s="136">
        <f>Q31/20</f>
        <v>4362791.5999999996</v>
      </c>
      <c r="G31" s="190">
        <f t="shared" ref="G31" si="36">F31/F30-1</f>
        <v>0.14075344049297445</v>
      </c>
      <c r="H31" s="190">
        <f t="shared" ref="H31" si="37">F31/F19-1</f>
        <v>0.50268234079950957</v>
      </c>
      <c r="I31" s="130">
        <f t="shared" si="0"/>
        <v>762.65893820672886</v>
      </c>
      <c r="J31" s="130">
        <f t="shared" si="7"/>
        <v>-5.7547819369842657E-2</v>
      </c>
      <c r="K31" s="136">
        <f>R29+R30+R31</f>
        <v>304971499925</v>
      </c>
      <c r="L31" s="190">
        <f>U31/U28-1</f>
        <v>2.9383422706783513E-3</v>
      </c>
      <c r="M31" s="190">
        <f>U31/U19-1</f>
        <v>0.51930356577462189</v>
      </c>
      <c r="N31" s="191">
        <f>AVERAGE(T29:T31)</f>
        <v>789.64725456034796</v>
      </c>
      <c r="O31" s="192">
        <f>N31/N28-1</f>
        <v>4.0943494198437236E-2</v>
      </c>
      <c r="P31" s="129" t="s">
        <v>529</v>
      </c>
      <c r="Q31" s="116">
        <v>87255832</v>
      </c>
      <c r="R31" s="116">
        <v>115828801340</v>
      </c>
      <c r="S31" s="116">
        <v>114410.03</v>
      </c>
      <c r="T31" s="130">
        <f t="shared" ref="T31" si="38">Q31/S31</f>
        <v>762.65893820672886</v>
      </c>
      <c r="U31" s="85">
        <f>Q29+Q30+Q31</f>
        <v>230054014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3828361.3809523811</v>
      </c>
      <c r="G32" s="190">
        <f t="shared" ref="G32" si="39">F32/F31-1</f>
        <v>-0.12249730632277245</v>
      </c>
      <c r="H32" s="190">
        <f t="shared" ref="H32" si="40">F32/F20-1</f>
        <v>0.20672819883199911</v>
      </c>
      <c r="I32" s="130">
        <f t="shared" si="0"/>
        <v>813.40990935344223</v>
      </c>
      <c r="J32" s="130">
        <f t="shared" si="7"/>
        <v>-3.3686185295831339E-2</v>
      </c>
      <c r="K32" s="136"/>
      <c r="L32" s="190"/>
      <c r="M32" s="190"/>
      <c r="N32" s="191"/>
      <c r="O32" s="192"/>
      <c r="P32" s="129" t="s">
        <v>566</v>
      </c>
      <c r="Q32" s="116">
        <v>80395589</v>
      </c>
      <c r="R32" s="116">
        <v>109232673647</v>
      </c>
      <c r="S32" s="116">
        <v>98837.73</v>
      </c>
      <c r="T32" s="130">
        <f t="shared" ref="T32" si="41">Q32/S32</f>
        <v>813.40990935344223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4381302.1904761903</v>
      </c>
      <c r="G33" s="190">
        <f t="shared" ref="G33" si="42">F33/F32-1</f>
        <v>0.1444327623496855</v>
      </c>
      <c r="H33" s="190">
        <f t="shared" ref="H33" si="43">F33/F21-1</f>
        <v>0.26054909381634261</v>
      </c>
      <c r="I33" s="130">
        <f t="shared" si="0"/>
        <v>758.59786359619568</v>
      </c>
      <c r="J33" s="130">
        <f t="shared" si="7"/>
        <v>-3.3396932452515737E-2</v>
      </c>
      <c r="K33" s="136"/>
      <c r="L33" s="190"/>
      <c r="M33" s="190"/>
      <c r="N33" s="191"/>
      <c r="O33" s="192"/>
      <c r="P33" s="129" t="s">
        <v>624</v>
      </c>
      <c r="Q33" s="116">
        <v>92007346</v>
      </c>
      <c r="R33" s="116">
        <v>125905850431</v>
      </c>
      <c r="S33" s="116">
        <v>121286.06</v>
      </c>
      <c r="T33" s="130">
        <f t="shared" ref="T33" si="44">Q33/S33</f>
        <v>758.59786359619568</v>
      </c>
      <c r="U33" s="85"/>
    </row>
    <row r="34" spans="1:21" s="79" customFormat="1" ht="13.2" hidden="1">
      <c r="A34" s="129" t="s">
        <v>652</v>
      </c>
      <c r="B34" s="188">
        <f>SUM(F32:F34)</f>
        <v>12261564.67669173</v>
      </c>
      <c r="C34" s="188">
        <f>AVERAGE(F32:F34)</f>
        <v>4087188.2255639099</v>
      </c>
      <c r="D34" s="190">
        <f>C34/C31-1</f>
        <v>7.7926636718832265E-2</v>
      </c>
      <c r="E34" s="287">
        <f>C34/C22-1</f>
        <v>0.16700246108259642</v>
      </c>
      <c r="F34" s="136">
        <f>Q34/19</f>
        <v>4051901.1052631577</v>
      </c>
      <c r="G34" s="190">
        <f t="shared" ref="G34" si="45">F34/F33-1</f>
        <v>-7.5183374917408008E-2</v>
      </c>
      <c r="H34" s="190">
        <f t="shared" ref="H34" si="46">F34/F22-1</f>
        <v>5.0078279716823326E-2</v>
      </c>
      <c r="I34" s="130">
        <f t="shared" si="0"/>
        <v>776.14120130209574</v>
      </c>
      <c r="J34" s="130">
        <f t="shared" si="7"/>
        <v>-1.8739629887513098E-3</v>
      </c>
      <c r="K34" s="136">
        <f>R32+R33+R34</f>
        <v>340973446374</v>
      </c>
      <c r="L34" s="190">
        <f>U34/U31-1</f>
        <v>8.4045662424303558E-2</v>
      </c>
      <c r="M34" s="190">
        <f>U34/U22-1</f>
        <v>0.14676321947697346</v>
      </c>
      <c r="N34" s="191">
        <f>AVERAGE(T32:T34)</f>
        <v>782.71632475057788</v>
      </c>
      <c r="O34" s="192">
        <f>N34/N31-1</f>
        <v>-8.7772480303613953E-3</v>
      </c>
      <c r="P34" s="129" t="s">
        <v>652</v>
      </c>
      <c r="Q34" s="116">
        <v>76986121</v>
      </c>
      <c r="R34" s="116">
        <v>105834922296</v>
      </c>
      <c r="S34" s="116">
        <v>99190.87</v>
      </c>
      <c r="T34" s="130">
        <f t="shared" ref="T34" si="47">Q34/S34</f>
        <v>776.14120130209574</v>
      </c>
      <c r="U34" s="85">
        <f>Q32+Q33+Q34</f>
        <v>249389056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2679144.7826086958</v>
      </c>
      <c r="G35" s="190">
        <f t="shared" ref="G35" si="48">F35/F34-1</f>
        <v>-0.33879314598062138</v>
      </c>
      <c r="H35" s="190">
        <f t="shared" ref="H35" si="49">F35/F23-1</f>
        <v>-9.1001411032887503E-2</v>
      </c>
      <c r="I35" s="130">
        <f t="shared" si="0"/>
        <v>659.89826569340937</v>
      </c>
      <c r="J35" s="130">
        <f t="shared" si="7"/>
        <v>-7.4958472312805391E-2</v>
      </c>
      <c r="K35" s="136"/>
      <c r="L35" s="190"/>
      <c r="M35" s="190"/>
      <c r="N35" s="191"/>
      <c r="O35" s="192"/>
      <c r="P35" s="129" t="s">
        <v>660</v>
      </c>
      <c r="Q35" s="116">
        <v>61620330</v>
      </c>
      <c r="R35" s="116">
        <v>85288881608</v>
      </c>
      <c r="S35" s="116">
        <v>93378.53</v>
      </c>
      <c r="T35" s="130">
        <f t="shared" ref="T35" si="50">Q35/S35</f>
        <v>659.89826569340937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2408699.4285714286</v>
      </c>
      <c r="G36" s="190">
        <f t="shared" ref="G36" si="51">F36/F35-1</f>
        <v>-0.10094465808373865</v>
      </c>
      <c r="H36" s="190">
        <f t="shared" ref="H36" si="52">F36/F24-1</f>
        <v>-0.13097267541364954</v>
      </c>
      <c r="I36" s="130">
        <f t="shared" si="0"/>
        <v>676.08783809612657</v>
      </c>
      <c r="J36" s="130">
        <f t="shared" si="7"/>
        <v>-3.5049824084459003E-2</v>
      </c>
      <c r="K36" s="136"/>
      <c r="L36" s="190"/>
      <c r="M36" s="190"/>
      <c r="N36" s="191"/>
      <c r="O36" s="192"/>
      <c r="P36" s="129" t="s">
        <v>664</v>
      </c>
      <c r="Q36" s="116">
        <v>50582688</v>
      </c>
      <c r="R36" s="116">
        <v>69113432978</v>
      </c>
      <c r="S36" s="116">
        <v>74816.740000000005</v>
      </c>
      <c r="T36" s="130">
        <f t="shared" ref="T36" si="53">Q36/S36</f>
        <v>676.08783809612657</v>
      </c>
      <c r="U36" s="85"/>
    </row>
    <row r="37" spans="1:21" s="79" customFormat="1" ht="13.2" hidden="1">
      <c r="A37" s="129" t="s">
        <v>702</v>
      </c>
      <c r="B37" s="188">
        <f>SUM(F35:F37)</f>
        <v>8096893.1556245685</v>
      </c>
      <c r="C37" s="188">
        <f>AVERAGE(F35:F37)</f>
        <v>2698964.3852081895</v>
      </c>
      <c r="D37" s="190">
        <f>C37/C34-1</f>
        <v>-0.33965253463808531</v>
      </c>
      <c r="E37" s="287">
        <f>C37/C25-1</f>
        <v>-7.8229964922446493E-2</v>
      </c>
      <c r="F37" s="136">
        <f>Q37/18</f>
        <v>3009048.9444444445</v>
      </c>
      <c r="G37" s="190">
        <f t="shared" ref="G37" si="54">F37/F36-1</f>
        <v>0.24924218802554221</v>
      </c>
      <c r="H37" s="190">
        <f t="shared" ref="H37" si="55">F37/F25-1</f>
        <v>-1.8252672652144808E-2</v>
      </c>
      <c r="I37" s="130">
        <f t="shared" si="0"/>
        <v>711.60311212578938</v>
      </c>
      <c r="J37" s="130">
        <f t="shared" si="7"/>
        <v>-9.4053746655046067E-2</v>
      </c>
      <c r="K37" s="136">
        <f>R35+R36+R37</f>
        <v>226683267759</v>
      </c>
      <c r="L37" s="190">
        <f>U37/U34-1</f>
        <v>-0.33290617612346229</v>
      </c>
      <c r="M37" s="190">
        <f>U37/U25-1</f>
        <v>-8.1395530471875088E-2</v>
      </c>
      <c r="N37" s="191">
        <f>AVERAGE(T35:T37)</f>
        <v>682.52973863844181</v>
      </c>
      <c r="O37" s="192">
        <f>N37/N34-1</f>
        <v>-0.12799859022240501</v>
      </c>
      <c r="P37" s="129" t="s">
        <v>702</v>
      </c>
      <c r="Q37" s="116">
        <v>54162881</v>
      </c>
      <c r="R37" s="116">
        <v>72280953173</v>
      </c>
      <c r="S37" s="116">
        <v>76113.89</v>
      </c>
      <c r="T37" s="130">
        <f t="shared" ref="T37" si="56">Q37/S37</f>
        <v>711.60311212578938</v>
      </c>
      <c r="U37" s="85">
        <f>Q35+Q36+Q37</f>
        <v>166365899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3159205.2</v>
      </c>
      <c r="G38" s="190">
        <f t="shared" ref="G38" si="57">F38/F37-1</f>
        <v>4.9901566351317372E-2</v>
      </c>
      <c r="H38" s="190">
        <f t="shared" ref="H38" si="58">F38/F26-1</f>
        <v>-1.5912314024328134E-2</v>
      </c>
      <c r="I38" s="130">
        <f t="shared" si="0"/>
        <v>697.07737464482307</v>
      </c>
      <c r="J38" s="130">
        <f t="shared" si="7"/>
        <v>-0.10161424565251087</v>
      </c>
      <c r="K38" s="136"/>
      <c r="L38" s="190"/>
      <c r="M38" s="190"/>
      <c r="N38" s="191"/>
      <c r="O38" s="192"/>
      <c r="P38" s="129" t="s">
        <v>728</v>
      </c>
      <c r="Q38" s="116">
        <v>63184104</v>
      </c>
      <c r="R38" s="116">
        <v>84567942900</v>
      </c>
      <c r="S38" s="116">
        <v>90641.45</v>
      </c>
      <c r="T38" s="130">
        <f t="shared" ref="T38" si="59">Q38/S38</f>
        <v>697.07737464482307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3519669.8095238097</v>
      </c>
      <c r="G39" s="190">
        <f t="shared" ref="G39" si="60">F39/F38-1</f>
        <v>0.11409977722365405</v>
      </c>
      <c r="H39" s="190">
        <f t="shared" ref="H39" si="61">F39/F27-1</f>
        <v>5.9508197441562327E-2</v>
      </c>
      <c r="I39" s="130">
        <f t="shared" si="0"/>
        <v>710.11978150623497</v>
      </c>
      <c r="J39" s="130">
        <f t="shared" si="7"/>
        <v>-4.9424390295055076E-2</v>
      </c>
      <c r="K39" s="136"/>
      <c r="L39" s="190"/>
      <c r="M39" s="190"/>
      <c r="N39" s="191"/>
      <c r="O39" s="192"/>
      <c r="P39" s="129" t="s">
        <v>762</v>
      </c>
      <c r="Q39" s="116">
        <v>73913066</v>
      </c>
      <c r="R39" s="116">
        <v>102803234692</v>
      </c>
      <c r="S39" s="116">
        <v>104085.35</v>
      </c>
      <c r="T39" s="130">
        <f t="shared" ref="T39" si="62">Q39/S39</f>
        <v>710.11978150623497</v>
      </c>
      <c r="U39" s="85"/>
    </row>
    <row r="40" spans="1:21" s="79" customFormat="1" ht="13.2" hidden="1">
      <c r="A40" s="129" t="s">
        <v>778</v>
      </c>
      <c r="B40" s="188">
        <f>SUM(F38:F40)</f>
        <v>10688663.771428572</v>
      </c>
      <c r="C40" s="188">
        <f>AVERAGE(F38:F40)</f>
        <v>3562887.9238095242</v>
      </c>
      <c r="D40" s="190">
        <f>C40/C37-1</f>
        <v>0.3200944567242574</v>
      </c>
      <c r="E40" s="287">
        <f>C40/C28-1</f>
        <v>-7.4422995419603732E-2</v>
      </c>
      <c r="F40" s="136">
        <f>Q40/21</f>
        <v>4009788.7619047621</v>
      </c>
      <c r="G40" s="190">
        <f t="shared" ref="G40" si="63">F40/F39-1</f>
        <v>0.13925140109869072</v>
      </c>
      <c r="H40" s="190">
        <f t="shared" ref="H40" si="64">F40/F28-1</f>
        <v>-0.20057415549373236</v>
      </c>
      <c r="I40" s="130">
        <f t="shared" si="0"/>
        <v>632.57923902440496</v>
      </c>
      <c r="J40" s="130">
        <f t="shared" si="7"/>
        <v>-0.15969819370047011</v>
      </c>
      <c r="K40" s="136">
        <f>R38+R39+R40</f>
        <v>307139865361</v>
      </c>
      <c r="L40" s="190">
        <f>U40/U37-1</f>
        <v>0.33021692143772796</v>
      </c>
      <c r="M40" s="190">
        <f>U40/U28-1</f>
        <v>-3.5213542599048631E-2</v>
      </c>
      <c r="N40" s="191">
        <f>AVERAGE(T38:T40)</f>
        <v>679.9254650584877</v>
      </c>
      <c r="O40" s="192">
        <f>N40/N37-1</f>
        <v>-3.8156192067898553E-3</v>
      </c>
      <c r="P40" s="129" t="s">
        <v>778</v>
      </c>
      <c r="Q40" s="116">
        <v>84205564</v>
      </c>
      <c r="R40" s="116">
        <v>119768687769</v>
      </c>
      <c r="S40" s="116">
        <v>133114.65</v>
      </c>
      <c r="T40" s="130">
        <f t="shared" ref="T40" si="65">Q40/S40</f>
        <v>632.57923902440496</v>
      </c>
      <c r="U40" s="85">
        <f>Q38+Q39+Q40</f>
        <v>221302734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2691629.5555555555</v>
      </c>
      <c r="G41" s="190">
        <f t="shared" ref="G41" si="66">F41/F40-1</f>
        <v>-0.32873532363411684</v>
      </c>
      <c r="H41" s="190">
        <f t="shared" ref="H41" si="67">F41/F29-1</f>
        <v>-0.15566369039519368</v>
      </c>
      <c r="I41" s="130">
        <f t="shared" si="0"/>
        <v>596.59861449297784</v>
      </c>
      <c r="J41" s="130">
        <f t="shared" si="7"/>
        <v>-0.28780670748060211</v>
      </c>
      <c r="K41" s="193"/>
      <c r="L41" s="190"/>
      <c r="M41" s="190"/>
      <c r="N41" s="193"/>
      <c r="O41" s="193"/>
      <c r="P41" s="129" t="s">
        <v>793</v>
      </c>
      <c r="Q41" s="116">
        <v>48449332</v>
      </c>
      <c r="R41" s="116">
        <v>70870714266</v>
      </c>
      <c r="S41" s="116">
        <v>81209.259999999995</v>
      </c>
      <c r="T41" s="130">
        <f t="shared" ref="T41" si="68">Q41/S41</f>
        <v>596.59861449297784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2978724.15</v>
      </c>
      <c r="G42" s="190">
        <f t="shared" ref="G42" si="69">F42/F41-1</f>
        <v>0.10666200103646428</v>
      </c>
      <c r="H42" s="190">
        <f t="shared" ref="H42" si="70">F42/F30-1</f>
        <v>-0.22114321885280719</v>
      </c>
      <c r="I42" s="130">
        <f t="shared" si="0"/>
        <v>657.53569486811978</v>
      </c>
      <c r="J42" s="130">
        <f t="shared" si="7"/>
        <v>-0.14449189069343726</v>
      </c>
      <c r="K42" s="193"/>
      <c r="L42" s="190"/>
      <c r="M42" s="190"/>
      <c r="N42" s="193"/>
      <c r="O42" s="193"/>
      <c r="P42" s="129" t="s">
        <v>826</v>
      </c>
      <c r="Q42" s="116">
        <v>59574483</v>
      </c>
      <c r="R42" s="116">
        <v>86167682754</v>
      </c>
      <c r="S42" s="116">
        <v>90602.66</v>
      </c>
      <c r="T42" s="130">
        <f t="shared" ref="T42" si="71">Q42/S42</f>
        <v>657.53569486811978</v>
      </c>
      <c r="U42" s="78"/>
    </row>
    <row r="43" spans="1:21" s="79" customFormat="1" ht="13.2">
      <c r="A43" s="129" t="s">
        <v>835</v>
      </c>
      <c r="B43" s="188">
        <f>SUM(F41:F43)</f>
        <v>8838908.9055555556</v>
      </c>
      <c r="C43" s="188">
        <f>AVERAGE(F41:F43)</f>
        <v>2946302.9685185184</v>
      </c>
      <c r="D43" s="190">
        <f>C43/C40-1</f>
        <v>-0.17305763427768406</v>
      </c>
      <c r="E43" s="287">
        <f>C43/C31-1</f>
        <v>-0.22296251742316109</v>
      </c>
      <c r="F43" s="136">
        <f>Q43/20</f>
        <v>3168555.2</v>
      </c>
      <c r="G43" s="190">
        <f t="shared" ref="G43" si="72">F43/F42-1</f>
        <v>6.3728979402137842E-2</v>
      </c>
      <c r="H43" s="190">
        <f t="shared" ref="H43" si="73">F43/F31-1</f>
        <v>-0.27373216726648131</v>
      </c>
      <c r="I43" s="130">
        <f t="shared" si="0"/>
        <v>652.05839839055398</v>
      </c>
      <c r="J43" s="130">
        <f t="shared" si="7"/>
        <v>-0.14501965987081256</v>
      </c>
      <c r="K43" s="136">
        <f>R41+R42+R43</f>
        <v>248909237648</v>
      </c>
      <c r="L43" s="190">
        <f>U43/U40-1</f>
        <v>-0.22551829386798272</v>
      </c>
      <c r="M43" s="190">
        <f>K43/K31-1</f>
        <v>-0.18382787339402895</v>
      </c>
      <c r="N43" s="191">
        <f>AVERAGE(T41:T43)</f>
        <v>635.39756925055053</v>
      </c>
      <c r="O43" s="192">
        <f>N43/N40-1</f>
        <v>-6.5489378021908351E-2</v>
      </c>
      <c r="P43" s="129" t="s">
        <v>835</v>
      </c>
      <c r="Q43" s="116">
        <v>63371104</v>
      </c>
      <c r="R43" s="116">
        <v>91870840628</v>
      </c>
      <c r="S43" s="116">
        <v>97186.240000000005</v>
      </c>
      <c r="T43" s="130">
        <f t="shared" ref="T43" si="74">Q43/S43</f>
        <v>652.05839839055398</v>
      </c>
      <c r="U43" s="85">
        <f>Q41+Q42+Q43</f>
        <v>171394919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2726613.9545454546</v>
      </c>
      <c r="G44" s="190">
        <f t="shared" ref="G44" si="75">F44/F43-1</f>
        <v>-0.13947721202854402</v>
      </c>
      <c r="H44" s="190">
        <f t="shared" ref="H44" si="76">F44/F32-1</f>
        <v>-0.28778563901740251</v>
      </c>
      <c r="I44" s="130">
        <f t="shared" si="0"/>
        <v>644.20642783386404</v>
      </c>
      <c r="J44" s="130">
        <f t="shared" si="7"/>
        <v>-0.20801748242048523</v>
      </c>
      <c r="K44" s="136"/>
      <c r="L44" s="190"/>
      <c r="M44" s="190"/>
      <c r="N44" s="191"/>
      <c r="O44" s="192"/>
      <c r="P44" s="129" t="s">
        <v>843</v>
      </c>
      <c r="Q44" s="116">
        <v>59985507</v>
      </c>
      <c r="R44" s="116">
        <v>86950039966</v>
      </c>
      <c r="S44" s="116">
        <v>93115.35</v>
      </c>
      <c r="T44" s="130">
        <f t="shared" ref="T44" si="77">Q44/S44</f>
        <v>644.20642783386404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3099329.1</v>
      </c>
      <c r="G45" s="190">
        <f t="shared" ref="G45" si="78">F45/F44-1</f>
        <v>0.13669523873491651</v>
      </c>
      <c r="H45" s="190">
        <f t="shared" ref="H45" si="79">F45/F33-1</f>
        <v>-0.29260092884322519</v>
      </c>
      <c r="I45" s="130">
        <f t="shared" si="0"/>
        <v>650.7328785825481</v>
      </c>
      <c r="J45" s="130">
        <f t="shared" si="7"/>
        <v>-0.14218994040176269</v>
      </c>
      <c r="K45" s="136"/>
      <c r="L45" s="190"/>
      <c r="M45" s="190"/>
      <c r="N45" s="191"/>
      <c r="O45" s="192"/>
      <c r="P45" s="129" t="s">
        <v>849</v>
      </c>
      <c r="Q45" s="116">
        <v>61986582</v>
      </c>
      <c r="R45" s="116">
        <v>87398765336</v>
      </c>
      <c r="S45" s="116">
        <v>95256.57</v>
      </c>
      <c r="T45" s="130">
        <f t="shared" ref="T45" si="80">Q45/S45</f>
        <v>650.7328785825481</v>
      </c>
      <c r="U45" s="85"/>
    </row>
    <row r="46" spans="1:21" s="79" customFormat="1" ht="13.2">
      <c r="A46" s="129" t="s">
        <v>888</v>
      </c>
      <c r="B46" s="188">
        <f>SUM(F44:F46)</f>
        <v>10062892.686124403</v>
      </c>
      <c r="C46" s="188">
        <f>AVERAGE(F44:F46)</f>
        <v>3354297.5620414675</v>
      </c>
      <c r="D46" s="190">
        <f>C46/C43-1</f>
        <v>0.13847679545600156</v>
      </c>
      <c r="E46" s="287">
        <f>C46/C34-1</f>
        <v>-0.17931414534287204</v>
      </c>
      <c r="F46" s="136">
        <f>Q46/19</f>
        <v>4236949.6315789474</v>
      </c>
      <c r="G46" s="190">
        <f t="shared" ref="G46" si="81">F46/F45-1</f>
        <v>0.36705380257261067</v>
      </c>
      <c r="H46" s="190">
        <f t="shared" ref="H46" si="82">F46/F34-1</f>
        <v>4.5669556464599692E-2</v>
      </c>
      <c r="I46" s="130">
        <f t="shared" si="0"/>
        <v>623.5109638715935</v>
      </c>
      <c r="J46" s="130">
        <f t="shared" si="7"/>
        <v>-0.19665266729100539</v>
      </c>
      <c r="K46" s="136">
        <f>R44+R45+R46</f>
        <v>284575386557</v>
      </c>
      <c r="L46" s="190">
        <f>U46/U43-1</f>
        <v>0.1813310055008106</v>
      </c>
      <c r="M46" s="190">
        <f>K46/K34-1</f>
        <v>-0.1654030846587955</v>
      </c>
      <c r="N46" s="191">
        <f>AVERAGE(T44:T46)</f>
        <v>639.48342342933518</v>
      </c>
      <c r="O46" s="192">
        <f>N46/N43-1</f>
        <v>6.4303900054321073E-3</v>
      </c>
      <c r="P46" s="129" t="s">
        <v>888</v>
      </c>
      <c r="Q46" s="116">
        <v>80502043</v>
      </c>
      <c r="R46" s="116">
        <v>110226581255</v>
      </c>
      <c r="S46" s="116">
        <v>129110.87</v>
      </c>
      <c r="T46" s="130">
        <f t="shared" ref="T46" si="83">Q46/S46</f>
        <v>623.5109638715935</v>
      </c>
      <c r="U46" s="85">
        <f t="shared" ref="U46:U51" si="84">Q44+Q45+Q46</f>
        <v>202474132</v>
      </c>
    </row>
    <row r="47" spans="1:21" s="79" customFormat="1" ht="13.2">
      <c r="A47" s="129" t="s">
        <v>1009</v>
      </c>
      <c r="B47" s="188"/>
      <c r="C47" s="188"/>
      <c r="D47" s="190"/>
      <c r="E47" s="287"/>
      <c r="F47" s="136">
        <f>Q47/23</f>
        <v>3093829.5217391304</v>
      </c>
      <c r="G47" s="190">
        <f t="shared" ref="G47" si="85">F47/F46-1</f>
        <v>-0.26979789925277453</v>
      </c>
      <c r="H47" s="190">
        <f t="shared" ref="H47" si="86">F47/F35-1</f>
        <v>0.15478250441047603</v>
      </c>
      <c r="I47" s="130">
        <f t="shared" si="0"/>
        <v>619.75206461133246</v>
      </c>
      <c r="J47" s="130">
        <f t="shared" si="7"/>
        <v>-6.0836954981071223E-2</v>
      </c>
      <c r="K47" s="136"/>
      <c r="L47" s="190"/>
      <c r="M47" s="190"/>
      <c r="N47" s="191"/>
      <c r="O47" s="192"/>
      <c r="P47" s="129" t="s">
        <v>991</v>
      </c>
      <c r="Q47" s="116">
        <v>71158079</v>
      </c>
      <c r="R47" s="116">
        <v>97534291870</v>
      </c>
      <c r="S47" s="116">
        <v>114817.01</v>
      </c>
      <c r="T47" s="130">
        <f t="shared" ref="T47" si="87">Q47/S47</f>
        <v>619.75206461133246</v>
      </c>
      <c r="U47" s="85">
        <f t="shared" si="84"/>
        <v>213646704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2340186.85</v>
      </c>
      <c r="G48" s="190">
        <f t="shared" ref="G48" si="88">F48/F47-1</f>
        <v>-0.24359541029768383</v>
      </c>
      <c r="H48" s="190">
        <f t="shared" ref="H48" si="89">F48/F36-1</f>
        <v>-2.8443805714714054E-2</v>
      </c>
      <c r="I48" s="130">
        <f t="shared" si="0"/>
        <v>628.50719972713148</v>
      </c>
      <c r="J48" s="130">
        <f t="shared" si="7"/>
        <v>-7.037641514597115E-2</v>
      </c>
      <c r="K48" s="136"/>
      <c r="L48" s="190"/>
      <c r="M48" s="190"/>
      <c r="N48" s="191"/>
      <c r="O48" s="192"/>
      <c r="P48" s="129" t="s">
        <v>1070</v>
      </c>
      <c r="Q48" s="116">
        <v>46803737</v>
      </c>
      <c r="R48" s="116">
        <v>64967481152</v>
      </c>
      <c r="S48" s="116">
        <v>74468.100000000006</v>
      </c>
      <c r="T48" s="130">
        <f t="shared" ref="T48" si="90">Q48/S48</f>
        <v>628.50719972713148</v>
      </c>
      <c r="U48" s="85">
        <f t="shared" si="84"/>
        <v>198463859</v>
      </c>
    </row>
    <row r="49" spans="1:26" ht="13.2">
      <c r="A49" s="129" t="s">
        <v>1158</v>
      </c>
      <c r="B49" s="188">
        <f>SUM(F47:F49)</f>
        <v>8971397.8717391305</v>
      </c>
      <c r="C49" s="188">
        <f>AVERAGE(F47:F49)</f>
        <v>2990465.9572463767</v>
      </c>
      <c r="D49" s="190">
        <f>C49/C46-1</f>
        <v>-0.1084673014440789</v>
      </c>
      <c r="E49" s="287">
        <f>C49/C37-1</f>
        <v>0.10800497169795054</v>
      </c>
      <c r="F49" s="136">
        <f>Q49/22</f>
        <v>3537381.5</v>
      </c>
      <c r="G49" s="190">
        <f t="shared" ref="G49" si="91">F49/F48-1</f>
        <v>0.51158079535401191</v>
      </c>
      <c r="H49" s="190">
        <f t="shared" ref="H49" si="92">F49/F37-1</f>
        <v>0.17558124354574112</v>
      </c>
      <c r="I49" s="130">
        <f t="shared" si="0"/>
        <v>641.29067192208902</v>
      </c>
      <c r="J49" s="130">
        <f t="shared" si="7"/>
        <v>-9.8808505760541565E-2</v>
      </c>
      <c r="K49" s="136">
        <f>R47+R48+R49</f>
        <v>270581433730</v>
      </c>
      <c r="L49" s="190">
        <f>U49/U46-1</f>
        <v>-3.3040877537877322E-2</v>
      </c>
      <c r="M49" s="190">
        <f>K49/K37-1</f>
        <v>0.19365419602857781</v>
      </c>
      <c r="N49" s="191">
        <f>AVERAGE(T47:T49)</f>
        <v>629.84997875351758</v>
      </c>
      <c r="O49" s="192">
        <f>N49/N46-1</f>
        <v>-1.5064416563226435E-2</v>
      </c>
      <c r="P49" s="129" t="s">
        <v>1158</v>
      </c>
      <c r="Q49" s="116">
        <v>77822393</v>
      </c>
      <c r="R49" s="116">
        <v>108079660708</v>
      </c>
      <c r="S49" s="116">
        <v>121352.76</v>
      </c>
      <c r="T49" s="130">
        <f t="shared" ref="T49" si="93">Q49/S49</f>
        <v>641.29067192208902</v>
      </c>
      <c r="U49" s="85">
        <f t="shared" si="84"/>
        <v>195784209</v>
      </c>
      <c r="V49" s="79"/>
      <c r="W49" s="79"/>
      <c r="X49" s="79"/>
      <c r="Y49" s="79"/>
      <c r="Z49" s="79"/>
    </row>
    <row r="50" spans="1:26" ht="13.2">
      <c r="A50" s="129" t="s">
        <v>1310</v>
      </c>
      <c r="B50" s="188"/>
      <c r="C50" s="188"/>
      <c r="D50" s="190"/>
      <c r="E50" s="287"/>
      <c r="F50" s="136">
        <f>Q50/18</f>
        <v>3156882.4444444445</v>
      </c>
      <c r="G50" s="190">
        <f t="shared" ref="G50" si="94">F50/F49-1</f>
        <v>-0.10756517371834373</v>
      </c>
      <c r="H50" s="190">
        <f t="shared" ref="H50" si="95">F50/F38-1</f>
        <v>-7.3523415179099771E-4</v>
      </c>
      <c r="I50" s="130">
        <f t="shared" ref="I50" si="96">T50</f>
        <v>612.22909206016197</v>
      </c>
      <c r="J50" s="130">
        <f t="shared" ref="J50" si="97">I50/I38-1</f>
        <v>-0.1217200352082769</v>
      </c>
      <c r="K50" s="136"/>
      <c r="L50" s="190"/>
      <c r="M50" s="190"/>
      <c r="N50" s="191"/>
      <c r="O50" s="192"/>
      <c r="P50" s="129" t="s">
        <v>1291</v>
      </c>
      <c r="Q50" s="116">
        <v>56823884</v>
      </c>
      <c r="R50" s="116">
        <v>80348450984</v>
      </c>
      <c r="S50" s="116">
        <v>92814.74</v>
      </c>
      <c r="T50" s="130">
        <f t="shared" ref="T50" si="98">Q50/S50</f>
        <v>612.22909206016197</v>
      </c>
      <c r="U50" s="85">
        <f t="shared" si="84"/>
        <v>181450014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3187005.8</v>
      </c>
      <c r="G51" s="190">
        <f t="shared" ref="G51:G52" si="99">F51/F50-1</f>
        <v>9.5421214079627337E-3</v>
      </c>
      <c r="H51" s="190">
        <f t="shared" ref="H51:H52" si="100">F51/F39-1</f>
        <v>-9.4515686847573166E-2</v>
      </c>
      <c r="I51" s="130">
        <f t="shared" ref="I51:I52" si="101">T51</f>
        <v>626.93652362854937</v>
      </c>
      <c r="J51" s="130">
        <f t="shared" ref="J51:J52" si="102">I51/I39-1</f>
        <v>-0.1171397559172983</v>
      </c>
      <c r="K51" s="136"/>
      <c r="L51" s="190"/>
      <c r="M51" s="190"/>
      <c r="N51" s="191"/>
      <c r="O51" s="192"/>
      <c r="P51" s="129" t="s">
        <v>1402</v>
      </c>
      <c r="Q51" s="116">
        <v>63740116</v>
      </c>
      <c r="R51" s="116">
        <v>92508364989</v>
      </c>
      <c r="S51" s="116">
        <v>101669.17</v>
      </c>
      <c r="T51" s="130">
        <f t="shared" ref="T51:T52" si="103">Q51/S51</f>
        <v>626.93652362854937</v>
      </c>
      <c r="U51" s="85">
        <f t="shared" si="84"/>
        <v>198386393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11081408.608080808</v>
      </c>
      <c r="C52" s="188">
        <f>AVERAGE(F50:F52)</f>
        <v>3693802.8693602695</v>
      </c>
      <c r="D52" s="190">
        <f>C52/C49-1</f>
        <v>0.23519308434513198</v>
      </c>
      <c r="E52" s="287">
        <f>C52/C40-1</f>
        <v>3.6744053798573706E-2</v>
      </c>
      <c r="F52" s="136">
        <f>Q52/22</f>
        <v>4737520.3636363633</v>
      </c>
      <c r="G52" s="190">
        <f t="shared" si="99"/>
        <v>0.48651137178236814</v>
      </c>
      <c r="H52" s="190">
        <f t="shared" si="100"/>
        <v>0.18148876286089144</v>
      </c>
      <c r="I52" s="130">
        <f t="shared" si="101"/>
        <v>608.63135703157593</v>
      </c>
      <c r="J52" s="130">
        <f t="shared" si="102"/>
        <v>-3.7857521264470617E-2</v>
      </c>
      <c r="K52" s="136">
        <f>R50+R51+R52</f>
        <v>326268216400</v>
      </c>
      <c r="L52" s="190">
        <f>U52/U49-1</f>
        <v>0.14814902155873044</v>
      </c>
      <c r="M52" s="190">
        <f>K52/K40-1</f>
        <v>6.2278958859727673E-2</v>
      </c>
      <c r="N52" s="191">
        <f>AVERAGE(T50:T52)</f>
        <v>615.93232424009568</v>
      </c>
      <c r="O52" s="192">
        <f>N52/N49-1</f>
        <v>-2.2096776983251076E-2</v>
      </c>
      <c r="P52" s="129" t="s">
        <v>1403</v>
      </c>
      <c r="Q52" s="116">
        <v>104225448</v>
      </c>
      <c r="R52" s="116">
        <v>153411400427</v>
      </c>
      <c r="S52" s="116">
        <v>171245.61</v>
      </c>
      <c r="T52" s="130">
        <f t="shared" si="103"/>
        <v>608.63135703157593</v>
      </c>
      <c r="U52" s="85">
        <f t="shared" ref="U52" si="104">Q50+Q51+Q52</f>
        <v>224789448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2253776.4285714286</v>
      </c>
      <c r="G53" s="190">
        <f t="shared" ref="G53" si="105">F53/F52-1</f>
        <v>-0.52427087261288208</v>
      </c>
      <c r="H53" s="190">
        <f t="shared" ref="H53" si="106">F53/F41-1</f>
        <v>-0.16267213520537871</v>
      </c>
      <c r="I53" s="130">
        <f t="shared" ref="I53" si="107">T53</f>
        <v>672.89495803337206</v>
      </c>
      <c r="J53" s="130">
        <f t="shared" ref="J53" si="108">I53/I41-1</f>
        <v>0.12788555267637536</v>
      </c>
      <c r="K53" s="136"/>
      <c r="L53" s="190"/>
      <c r="M53" s="190"/>
      <c r="N53" s="191"/>
      <c r="O53" s="192"/>
      <c r="P53" s="129" t="s">
        <v>1414</v>
      </c>
      <c r="Q53" s="116">
        <v>47329305</v>
      </c>
      <c r="R53" s="116">
        <v>69062470009</v>
      </c>
      <c r="S53" s="116">
        <v>70336.84</v>
      </c>
      <c r="T53" s="130">
        <f t="shared" ref="T53" si="109">Q53/S53</f>
        <v>672.89495803337206</v>
      </c>
      <c r="U53" s="85">
        <f t="shared" ref="U53" si="110">Q51+Q52+Q53</f>
        <v>215294869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2923262.8235294116</v>
      </c>
      <c r="G54" s="190">
        <f t="shared" ref="G54" si="111">F54/F53-1</f>
        <v>0.29705093480915568</v>
      </c>
      <c r="H54" s="190">
        <f t="shared" ref="H54" si="112">F54/F42-1</f>
        <v>-1.8619154939401916E-2</v>
      </c>
      <c r="I54" s="130">
        <f t="shared" ref="I54" si="113">T54</f>
        <v>638.68321071296657</v>
      </c>
      <c r="J54" s="130">
        <f t="shared" ref="J54" si="114">I54/I42-1</f>
        <v>-2.8671423167276666E-2</v>
      </c>
      <c r="K54" s="136"/>
      <c r="L54" s="190"/>
      <c r="M54" s="190"/>
      <c r="N54" s="191"/>
      <c r="O54" s="192"/>
      <c r="P54" s="129" t="s">
        <v>1417</v>
      </c>
      <c r="Q54" s="116">
        <v>49695468</v>
      </c>
      <c r="R54" s="116">
        <v>71991228018</v>
      </c>
      <c r="S54" s="116">
        <v>77809.259999999995</v>
      </c>
      <c r="T54" s="130">
        <f t="shared" ref="T54" si="115">Q54/S54</f>
        <v>638.68321071296657</v>
      </c>
      <c r="U54" s="85">
        <f t="shared" ref="U54" si="116">Q52+Q53+Q54</f>
        <v>201250221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8817044.8235294111</v>
      </c>
      <c r="C55" s="188">
        <f>AVERAGE(F53:F55)</f>
        <v>2939014.9411764704</v>
      </c>
      <c r="D55" s="190">
        <f>C55/C52-1</f>
        <v>-0.20433898474785717</v>
      </c>
      <c r="E55" s="287">
        <f>C55/C43-1</f>
        <v>-2.4736177575493956E-3</v>
      </c>
      <c r="F55" s="136">
        <f>Q55/21</f>
        <v>3640005.5714285714</v>
      </c>
      <c r="G55" s="190">
        <f t="shared" ref="G55" si="117">F55/F54-1</f>
        <v>0.24518587317229246</v>
      </c>
      <c r="H55" s="190">
        <f t="shared" ref="H55" si="118">F55/F43-1</f>
        <v>0.14879032924172231</v>
      </c>
      <c r="I55" s="130">
        <f>T55</f>
        <v>609.81122047737199</v>
      </c>
      <c r="J55" s="130">
        <f t="shared" ref="J55" si="119">I55/I43-1</f>
        <v>-6.4790481983605708E-2</v>
      </c>
      <c r="K55" s="136">
        <f>R53+R54+R55</f>
        <v>253579262173</v>
      </c>
      <c r="L55" s="190">
        <f>U55/U52-1</f>
        <v>-0.22832280810618832</v>
      </c>
      <c r="M55" s="190">
        <f>K55/K43-1</f>
        <v>1.8761957447333444E-2</v>
      </c>
      <c r="N55" s="191">
        <f>AVERAGE(T53:T55)</f>
        <v>640.46312974123691</v>
      </c>
      <c r="O55" s="192">
        <f>N55/N52-1</f>
        <v>3.9827111738949705E-2</v>
      </c>
      <c r="P55" s="129" t="s">
        <v>1418</v>
      </c>
      <c r="Q55" s="116">
        <v>76440117</v>
      </c>
      <c r="R55" s="116">
        <v>112525564146</v>
      </c>
      <c r="S55" s="116">
        <v>125350.46</v>
      </c>
      <c r="T55" s="130">
        <f t="shared" ref="T55" si="120">Q55/S55</f>
        <v>609.81122047737199</v>
      </c>
      <c r="U55" s="85">
        <f t="shared" ref="U55" si="121">Q53+Q54+Q55</f>
        <v>173464890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2958168</v>
      </c>
      <c r="G56" s="190">
        <f t="shared" ref="G56" si="122">F56/F55-1</f>
        <v>-0.18731772741792108</v>
      </c>
      <c r="H56" s="190">
        <f t="shared" ref="H56" si="123">F56/F44-1</f>
        <v>8.4923663310872755E-2</v>
      </c>
      <c r="I56" s="291">
        <f>T56</f>
        <v>598.03298790365113</v>
      </c>
      <c r="J56" s="130">
        <f t="shared" ref="J56" si="124">I56/I44-1</f>
        <v>-7.1674913405428975E-2</v>
      </c>
      <c r="K56" s="136"/>
      <c r="L56" s="190"/>
      <c r="M56" s="190"/>
      <c r="N56" s="191"/>
      <c r="O56" s="192"/>
      <c r="P56" s="129" t="s">
        <v>1420</v>
      </c>
      <c r="Q56" s="116">
        <v>65079696</v>
      </c>
      <c r="R56" s="116">
        <v>97114730391</v>
      </c>
      <c r="S56" s="116">
        <v>108822.92</v>
      </c>
      <c r="T56" s="130">
        <f t="shared" ref="T56" si="125">Q56/S56</f>
        <v>598.03298790365113</v>
      </c>
      <c r="U56" s="85">
        <f t="shared" ref="U56" si="126">Q54+Q55+Q56</f>
        <v>191215281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3056686.4166666665</v>
      </c>
      <c r="G57" s="254">
        <f t="shared" ref="G57" si="127">F57/F56-1</f>
        <v>3.3303861263682899E-2</v>
      </c>
      <c r="H57" s="254">
        <f t="shared" ref="H57" si="128">F57/F45-1</f>
        <v>-1.3758681946145601E-2</v>
      </c>
      <c r="I57" s="282">
        <f>T57</f>
        <v>575.1581125778489</v>
      </c>
      <c r="J57" s="277">
        <f t="shared" ref="J57" si="129">I57/I45-1</f>
        <v>-0.11613792462633687</v>
      </c>
      <c r="K57" s="204"/>
      <c r="L57" s="254"/>
      <c r="M57" s="254"/>
      <c r="N57" s="257"/>
      <c r="O57" s="258"/>
      <c r="P57" s="129" t="s">
        <v>1436</v>
      </c>
      <c r="Q57" s="116">
        <v>36680237</v>
      </c>
      <c r="R57" s="116">
        <v>54090121573</v>
      </c>
      <c r="S57" s="116">
        <v>63774.18</v>
      </c>
      <c r="T57" s="130">
        <f t="shared" ref="T57" si="130">Q57/S57</f>
        <v>575.1581125778489</v>
      </c>
      <c r="U57" s="85">
        <f t="shared" ref="U57" si="131">Q55+Q56+Q57</f>
        <v>178200050</v>
      </c>
      <c r="V57" s="79"/>
      <c r="W57" s="79"/>
      <c r="X57" s="79"/>
      <c r="Y57" s="79"/>
      <c r="Z57" s="79"/>
    </row>
    <row r="58" spans="1:26">
      <c r="B58" s="196">
        <f>SUM(F56:F58)</f>
        <v>6014854.416666666</v>
      </c>
      <c r="C58" s="196">
        <f>AVERAGE(F56:F58)</f>
        <v>3007427.208333333</v>
      </c>
      <c r="D58" s="197">
        <f>C58/C55-1</f>
        <v>2.3277277770312299E-2</v>
      </c>
      <c r="E58" s="233">
        <f>C58/C46-1</f>
        <v>-0.10341072826497388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275224823</v>
      </c>
      <c r="R65" s="212">
        <v>404784114137</v>
      </c>
      <c r="S65" s="213">
        <v>446093.69</v>
      </c>
      <c r="T65" s="214">
        <v>170</v>
      </c>
      <c r="U65" s="214">
        <v>1393</v>
      </c>
    </row>
    <row r="66" spans="16:21" ht="18" thickBot="1">
      <c r="P66" s="180" t="s">
        <v>976</v>
      </c>
      <c r="Q66" s="181">
        <v>47329305</v>
      </c>
      <c r="R66" s="181">
        <v>69062470009</v>
      </c>
      <c r="S66" s="182">
        <v>70336.84</v>
      </c>
      <c r="T66" s="210">
        <v>103</v>
      </c>
      <c r="U66" s="210">
        <v>574</v>
      </c>
    </row>
    <row r="67" spans="16:21" ht="18" thickBot="1">
      <c r="P67" s="180" t="s">
        <v>977</v>
      </c>
      <c r="Q67" s="181">
        <v>49695468</v>
      </c>
      <c r="R67" s="181">
        <v>71991228018</v>
      </c>
      <c r="S67" s="182">
        <v>77809.259999999995</v>
      </c>
      <c r="T67" s="210">
        <v>104</v>
      </c>
      <c r="U67" s="210">
        <v>577</v>
      </c>
    </row>
    <row r="68" spans="16:21" ht="18" thickBot="1">
      <c r="P68" s="180" t="s">
        <v>978</v>
      </c>
      <c r="Q68" s="181">
        <v>76440117</v>
      </c>
      <c r="R68" s="181">
        <v>112525564146</v>
      </c>
      <c r="S68" s="182">
        <v>125350.46</v>
      </c>
      <c r="T68" s="210">
        <v>112</v>
      </c>
      <c r="U68" s="210">
        <v>654</v>
      </c>
    </row>
    <row r="69" spans="16:21" ht="18" thickBot="1">
      <c r="P69" s="180" t="s">
        <v>979</v>
      </c>
      <c r="Q69" s="181">
        <v>65079696</v>
      </c>
      <c r="R69" s="181">
        <v>97114730391</v>
      </c>
      <c r="S69" s="182">
        <v>108822.92</v>
      </c>
      <c r="T69" s="210">
        <v>123</v>
      </c>
      <c r="U69" s="210">
        <v>657</v>
      </c>
    </row>
    <row r="70" spans="16:21" ht="18" thickBot="1">
      <c r="P70" s="180" t="s">
        <v>980</v>
      </c>
      <c r="Q70" s="181">
        <v>36680237</v>
      </c>
      <c r="R70" s="181">
        <v>54090121573</v>
      </c>
      <c r="S70" s="182">
        <v>63774.18</v>
      </c>
      <c r="T70" s="210">
        <v>91</v>
      </c>
      <c r="U70" s="210">
        <v>413</v>
      </c>
    </row>
    <row r="71" spans="16:21" ht="18" thickBot="1">
      <c r="P71" s="215" t="s">
        <v>975</v>
      </c>
      <c r="Q71" s="217"/>
      <c r="R71"/>
      <c r="S71"/>
      <c r="T71"/>
      <c r="U71"/>
    </row>
    <row r="72" spans="16:21" ht="18" thickBot="1">
      <c r="P72" s="215" t="s">
        <v>1386</v>
      </c>
      <c r="Q72" s="217" t="s">
        <v>1447</v>
      </c>
      <c r="R72"/>
      <c r="S72"/>
      <c r="T72"/>
      <c r="U72"/>
    </row>
  </sheetData>
  <phoneticPr fontId="1" type="noConversion"/>
  <conditionalFormatting sqref="C29:C30">
    <cfRule type="cellIs" dxfId="11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74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 t="s">
        <v>460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33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794453.15</v>
      </c>
      <c r="G5" s="90"/>
      <c r="H5" s="90"/>
      <c r="I5" s="130">
        <f t="shared" ref="I5:I49" si="0">T5</f>
        <v>1059.1204715597053</v>
      </c>
      <c r="J5" s="130"/>
      <c r="L5" s="80"/>
      <c r="M5" s="80"/>
      <c r="P5" s="129" t="s">
        <v>0</v>
      </c>
      <c r="Q5" s="116">
        <v>15889063</v>
      </c>
      <c r="R5" s="116">
        <v>18765771065</v>
      </c>
      <c r="S5" s="116">
        <v>15002.13</v>
      </c>
      <c r="T5" s="130">
        <f t="shared" ref="T5:T11" si="1">Q5/S5</f>
        <v>1059.1204715597053</v>
      </c>
      <c r="U5" s="85"/>
    </row>
    <row r="6" spans="1:21" ht="15" hidden="1" customHeight="1">
      <c r="A6" s="129" t="s">
        <v>1</v>
      </c>
      <c r="C6" s="79"/>
      <c r="F6" s="78">
        <f>Q6/18</f>
        <v>1218049.4444444445</v>
      </c>
      <c r="G6" s="90">
        <f t="shared" ref="G6:G29" si="2">F6/F5-1</f>
        <v>0.53319229012364611</v>
      </c>
      <c r="H6" s="90"/>
      <c r="I6" s="130">
        <f t="shared" si="0"/>
        <v>1115.942560099598</v>
      </c>
      <c r="J6" s="130"/>
      <c r="P6" s="129" t="s">
        <v>1</v>
      </c>
      <c r="Q6" s="116">
        <v>21924890</v>
      </c>
      <c r="R6" s="116">
        <v>26051171605</v>
      </c>
      <c r="S6" s="116">
        <v>19646.97</v>
      </c>
      <c r="T6" s="130">
        <f t="shared" si="1"/>
        <v>1115.942560099598</v>
      </c>
      <c r="U6" s="85"/>
    </row>
    <row r="7" spans="1:21" ht="15" hidden="1" customHeight="1">
      <c r="A7" s="129" t="s">
        <v>2</v>
      </c>
      <c r="B7" s="131">
        <f>F5+F6+F7</f>
        <v>2868527.6398989898</v>
      </c>
      <c r="C7" s="131">
        <f>AVERAGE(F5:F7)</f>
        <v>956175.8799663299</v>
      </c>
      <c r="F7" s="78">
        <f>Q7/22</f>
        <v>856025.04545454541</v>
      </c>
      <c r="G7" s="90">
        <f t="shared" si="2"/>
        <v>-0.29721650516003428</v>
      </c>
      <c r="H7" s="90"/>
      <c r="I7" s="130">
        <f t="shared" si="0"/>
        <v>1174.0318510409627</v>
      </c>
      <c r="J7" s="130"/>
      <c r="K7" s="79">
        <f>R5+R6+R7</f>
        <v>67585431567</v>
      </c>
      <c r="N7" s="88">
        <f>AVERAGE(T5:T7)</f>
        <v>1116.3649609000886</v>
      </c>
      <c r="P7" s="129" t="s">
        <v>2</v>
      </c>
      <c r="Q7" s="116">
        <v>18832551</v>
      </c>
      <c r="R7" s="116">
        <v>22768488897</v>
      </c>
      <c r="S7" s="116">
        <v>16040.92</v>
      </c>
      <c r="T7" s="130">
        <f t="shared" si="1"/>
        <v>1174.0318510409627</v>
      </c>
      <c r="U7" s="85">
        <f>Q5+Q6+Q7</f>
        <v>56646504</v>
      </c>
    </row>
    <row r="8" spans="1:21" ht="15" hidden="1" customHeight="1">
      <c r="A8" s="129" t="s">
        <v>3</v>
      </c>
      <c r="C8" s="79"/>
      <c r="F8" s="78">
        <f>Q8/21</f>
        <v>913236.28571428568</v>
      </c>
      <c r="G8" s="90">
        <f t="shared" si="2"/>
        <v>6.6833605586109179E-2</v>
      </c>
      <c r="H8" s="90"/>
      <c r="I8" s="130">
        <f t="shared" si="0"/>
        <v>1149.0635155733225</v>
      </c>
      <c r="J8" s="130"/>
      <c r="K8" s="78"/>
      <c r="P8" s="129" t="s">
        <v>3</v>
      </c>
      <c r="Q8" s="116">
        <v>19177962</v>
      </c>
      <c r="R8" s="116">
        <v>23216119568</v>
      </c>
      <c r="S8" s="116">
        <v>16690.080000000002</v>
      </c>
      <c r="T8" s="130">
        <f t="shared" si="1"/>
        <v>1149.0635155733225</v>
      </c>
      <c r="U8" s="85"/>
    </row>
    <row r="9" spans="1:21" ht="15" hidden="1" customHeight="1">
      <c r="A9" s="129" t="s">
        <v>4</v>
      </c>
      <c r="C9" s="79"/>
      <c r="F9" s="78">
        <f>Q9/21</f>
        <v>1105220.4285714286</v>
      </c>
      <c r="G9" s="90">
        <f t="shared" si="2"/>
        <v>0.2102239539321229</v>
      </c>
      <c r="H9" s="90"/>
      <c r="I9" s="130">
        <f t="shared" si="0"/>
        <v>1054.8656626875643</v>
      </c>
      <c r="J9" s="130"/>
      <c r="K9" s="78"/>
      <c r="P9" s="129" t="s">
        <v>4</v>
      </c>
      <c r="Q9" s="116">
        <v>23209629</v>
      </c>
      <c r="R9" s="116">
        <v>29226810412</v>
      </c>
      <c r="S9" s="116">
        <v>22002.45</v>
      </c>
      <c r="T9" s="130">
        <f t="shared" si="1"/>
        <v>1054.8656626875643</v>
      </c>
      <c r="U9" s="85"/>
    </row>
    <row r="10" spans="1:21" ht="15" hidden="1" customHeight="1">
      <c r="A10" s="129" t="s">
        <v>5</v>
      </c>
      <c r="B10" s="131">
        <f>F8+F9+F10</f>
        <v>3469151.6190476194</v>
      </c>
      <c r="C10" s="131">
        <f>AVERAGE(F8:F10)</f>
        <v>1156383.8730158731</v>
      </c>
      <c r="D10" s="90">
        <f>C10/C7-1</f>
        <v>0.20938406546773924</v>
      </c>
      <c r="E10" s="286"/>
      <c r="F10" s="78">
        <f>Q10/21</f>
        <v>1450694.9047619049</v>
      </c>
      <c r="G10" s="90">
        <f t="shared" si="2"/>
        <v>0.31258422958850396</v>
      </c>
      <c r="H10" s="90"/>
      <c r="I10" s="130">
        <f t="shared" si="0"/>
        <v>1023.0306020027019</v>
      </c>
      <c r="J10" s="130"/>
      <c r="K10" s="79">
        <f>R8+R9+R10</f>
        <v>90574155940</v>
      </c>
      <c r="L10" s="87">
        <f>U10/U7-1</f>
        <v>0.28608438042354734</v>
      </c>
      <c r="N10" s="88">
        <f>AVERAGE(T8:T10)</f>
        <v>1075.6532600878629</v>
      </c>
      <c r="O10" s="89">
        <f>N10/N7-1</f>
        <v>-3.6468092638272331E-2</v>
      </c>
      <c r="P10" s="129" t="s">
        <v>5</v>
      </c>
      <c r="Q10" s="116">
        <v>30464593</v>
      </c>
      <c r="R10" s="116">
        <v>38131225960</v>
      </c>
      <c r="S10" s="116">
        <v>29778.77</v>
      </c>
      <c r="T10" s="130">
        <f t="shared" si="1"/>
        <v>1023.0306020027019</v>
      </c>
      <c r="U10" s="85">
        <f>Q8+Q9+Q10</f>
        <v>72852184</v>
      </c>
    </row>
    <row r="11" spans="1:21" ht="15" hidden="1" customHeight="1">
      <c r="A11" s="129" t="s">
        <v>6</v>
      </c>
      <c r="C11" s="79"/>
      <c r="F11" s="78">
        <f>Q11/21</f>
        <v>1401748.6666666667</v>
      </c>
      <c r="G11" s="90">
        <f t="shared" si="2"/>
        <v>-3.3739856626346487E-2</v>
      </c>
      <c r="H11" s="90"/>
      <c r="I11" s="130">
        <f t="shared" si="0"/>
        <v>982.87332811123736</v>
      </c>
      <c r="J11" s="130"/>
      <c r="K11" s="78"/>
      <c r="O11" s="89"/>
      <c r="P11" s="129" t="s">
        <v>6</v>
      </c>
      <c r="Q11" s="116">
        <v>29436722</v>
      </c>
      <c r="R11" s="116">
        <v>38043572993</v>
      </c>
      <c r="S11" s="116">
        <v>29949.66</v>
      </c>
      <c r="T11" s="130">
        <f t="shared" si="1"/>
        <v>982.87332811123736</v>
      </c>
      <c r="U11" s="85"/>
    </row>
    <row r="12" spans="1:21" ht="15" hidden="1" customHeight="1">
      <c r="A12" s="129" t="s">
        <v>7</v>
      </c>
      <c r="C12" s="79"/>
      <c r="F12" s="78">
        <f>Q12/22</f>
        <v>1067791.6818181819</v>
      </c>
      <c r="G12" s="90">
        <f t="shared" si="2"/>
        <v>-0.23824312645335244</v>
      </c>
      <c r="H12" s="90"/>
      <c r="I12" s="130">
        <f t="shared" si="0"/>
        <v>965.16760404302363</v>
      </c>
      <c r="J12" s="130"/>
      <c r="K12" s="78"/>
      <c r="O12" s="89"/>
      <c r="P12" s="129" t="s">
        <v>7</v>
      </c>
      <c r="Q12" s="116">
        <v>23491417</v>
      </c>
      <c r="R12" s="116">
        <v>30455788570</v>
      </c>
      <c r="S12" s="116">
        <v>24339.21</v>
      </c>
      <c r="T12" s="130">
        <f>Q12/S12</f>
        <v>965.16760404302363</v>
      </c>
      <c r="U12" s="85"/>
    </row>
    <row r="13" spans="1:21" ht="15" hidden="1" customHeight="1">
      <c r="A13" s="129" t="s">
        <v>96</v>
      </c>
      <c r="B13" s="131">
        <f>F11+F12+F13</f>
        <v>3758748.6984848487</v>
      </c>
      <c r="C13" s="131">
        <f>AVERAGE(F11:F13)</f>
        <v>1252916.232828283</v>
      </c>
      <c r="D13" s="90">
        <f>C13/C10-1</f>
        <v>8.3477781094137393E-2</v>
      </c>
      <c r="E13" s="286"/>
      <c r="F13" s="78">
        <f>Q13/20</f>
        <v>1289208.3500000001</v>
      </c>
      <c r="G13" s="90">
        <f t="shared" si="2"/>
        <v>0.20735942408242125</v>
      </c>
      <c r="H13" s="90"/>
      <c r="I13" s="130">
        <f t="shared" si="0"/>
        <v>1060.6054510752424</v>
      </c>
      <c r="J13" s="130"/>
      <c r="K13" s="78">
        <f>R11+R12+R13</f>
        <v>103516322858</v>
      </c>
      <c r="L13" s="87">
        <f>U13/U10-1</f>
        <v>8.0438521925437323E-2</v>
      </c>
      <c r="N13" s="88">
        <f>AVERAGE(T11:T13)</f>
        <v>1002.8821277431679</v>
      </c>
      <c r="O13" s="89">
        <f>N13/N10-1</f>
        <v>-6.7652964988690556E-2</v>
      </c>
      <c r="P13" s="129" t="s">
        <v>96</v>
      </c>
      <c r="Q13" s="116">
        <v>25784167</v>
      </c>
      <c r="R13" s="116">
        <v>35016961295</v>
      </c>
      <c r="S13" s="116">
        <v>24310.799999999999</v>
      </c>
      <c r="T13" s="130">
        <f>Q13/S13</f>
        <v>1060.6054510752424</v>
      </c>
      <c r="U13" s="85">
        <f>Q11+Q12+Q13</f>
        <v>78712306</v>
      </c>
    </row>
    <row r="14" spans="1:21" ht="15" hidden="1" customHeight="1">
      <c r="A14" s="129" t="s">
        <v>97</v>
      </c>
      <c r="C14" s="79"/>
      <c r="F14" s="78">
        <f>Q14/20</f>
        <v>1170279.1499999999</v>
      </c>
      <c r="G14" s="90">
        <f t="shared" si="2"/>
        <v>-9.2249790346145555E-2</v>
      </c>
      <c r="H14" s="90"/>
      <c r="I14" s="130">
        <f t="shared" si="0"/>
        <v>931.54658353203581</v>
      </c>
      <c r="J14" s="130"/>
      <c r="O14" s="89"/>
      <c r="P14" s="129" t="s">
        <v>97</v>
      </c>
      <c r="Q14" s="116">
        <v>23405583</v>
      </c>
      <c r="R14" s="116">
        <v>33366721017</v>
      </c>
      <c r="S14" s="116">
        <v>25125.51</v>
      </c>
      <c r="T14" s="130">
        <f>Q14/S14</f>
        <v>931.54658353203581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1310887.1363636365</v>
      </c>
      <c r="G15" s="90">
        <f t="shared" si="2"/>
        <v>0.12014909977985733</v>
      </c>
      <c r="H15" s="90"/>
      <c r="I15" s="130">
        <f t="shared" si="0"/>
        <v>922.80223639299868</v>
      </c>
      <c r="J15" s="130"/>
      <c r="O15" s="89"/>
      <c r="P15" s="129" t="s">
        <v>98</v>
      </c>
      <c r="Q15" s="116">
        <v>28839517</v>
      </c>
      <c r="R15" s="116">
        <v>39966591847</v>
      </c>
      <c r="S15" s="116">
        <v>31252.11</v>
      </c>
      <c r="T15" s="130">
        <f t="shared" ref="T15:T29" si="3">Q15/S15</f>
        <v>922.80223639299868</v>
      </c>
      <c r="U15" s="85"/>
    </row>
    <row r="16" spans="1:21" ht="15" hidden="1" customHeight="1">
      <c r="A16" s="129" t="s">
        <v>99</v>
      </c>
      <c r="B16" s="131">
        <f>F14+F15+F16</f>
        <v>3339449.6045454545</v>
      </c>
      <c r="C16" s="131">
        <f>AVERAGE(F14:F16)</f>
        <v>1113149.8681818182</v>
      </c>
      <c r="D16" s="90">
        <f>C16/C13-1</f>
        <v>-0.1115528404727919</v>
      </c>
      <c r="E16" s="286"/>
      <c r="F16" s="78">
        <f>Q16/22</f>
        <v>858283.31818181823</v>
      </c>
      <c r="G16" s="90">
        <f t="shared" si="2"/>
        <v>-0.34526528304894988</v>
      </c>
      <c r="H16" s="90"/>
      <c r="I16" s="130">
        <f t="shared" si="0"/>
        <v>962.69159783827877</v>
      </c>
      <c r="J16" s="130"/>
      <c r="K16" s="78">
        <f>R14+R15+R16</f>
        <v>98203982097</v>
      </c>
      <c r="L16" s="87">
        <f>U16/U13-1</f>
        <v>-9.6363242108546521E-2</v>
      </c>
      <c r="N16" s="88">
        <f>AVERAGE(T14:T16)</f>
        <v>939.01347258777116</v>
      </c>
      <c r="O16" s="89">
        <f>N16/N13-1</f>
        <v>-6.3685106543002523E-2</v>
      </c>
      <c r="P16" s="129" t="s">
        <v>99</v>
      </c>
      <c r="Q16" s="116">
        <v>18882233</v>
      </c>
      <c r="R16" s="116">
        <v>24870669233</v>
      </c>
      <c r="S16" s="116">
        <v>19614</v>
      </c>
      <c r="T16" s="130">
        <f t="shared" si="3"/>
        <v>962.69159783827877</v>
      </c>
      <c r="U16" s="85">
        <f>Q14+Q15+Q16</f>
        <v>71127333</v>
      </c>
    </row>
    <row r="17" spans="1:21" ht="15" hidden="1" customHeight="1">
      <c r="A17" s="129" t="s">
        <v>100</v>
      </c>
      <c r="C17" s="79"/>
      <c r="F17" s="78">
        <f>Q17/20</f>
        <v>595734.75</v>
      </c>
      <c r="G17" s="90">
        <f t="shared" si="2"/>
        <v>-0.30589965180495338</v>
      </c>
      <c r="H17" s="90">
        <f t="shared" ref="H17:H29" si="4">F17/F5-1</f>
        <v>-0.25013230799072295</v>
      </c>
      <c r="I17" s="130">
        <f t="shared" si="0"/>
        <v>948.70227901399323</v>
      </c>
      <c r="J17" s="130">
        <f t="shared" ref="J17:J49" si="5">I17/I5-1</f>
        <v>-0.10425461079333642</v>
      </c>
      <c r="O17" s="89"/>
      <c r="P17" s="129" t="s">
        <v>100</v>
      </c>
      <c r="Q17" s="116">
        <v>11914695</v>
      </c>
      <c r="R17" s="116">
        <v>15053315819</v>
      </c>
      <c r="S17" s="116">
        <v>12558.94</v>
      </c>
      <c r="T17" s="130">
        <f t="shared" si="3"/>
        <v>948.70227901399323</v>
      </c>
      <c r="U17" s="78"/>
    </row>
    <row r="18" spans="1:21" ht="15" hidden="1" customHeight="1">
      <c r="A18" s="129" t="s">
        <v>106</v>
      </c>
      <c r="C18" s="79"/>
      <c r="F18" s="78">
        <f>Q18/20</f>
        <v>657996.35</v>
      </c>
      <c r="G18" s="90">
        <f t="shared" si="2"/>
        <v>0.10451228503960852</v>
      </c>
      <c r="H18" s="90">
        <f t="shared" si="4"/>
        <v>-0.45979504116098191</v>
      </c>
      <c r="I18" s="130">
        <f t="shared" si="0"/>
        <v>866.77404800874683</v>
      </c>
      <c r="J18" s="130">
        <f t="shared" si="5"/>
        <v>-0.22328076820424603</v>
      </c>
      <c r="O18" s="89"/>
      <c r="P18" s="129" t="s">
        <v>106</v>
      </c>
      <c r="Q18" s="116">
        <v>13159927</v>
      </c>
      <c r="R18" s="116">
        <v>16288107833</v>
      </c>
      <c r="S18" s="116">
        <v>15182.65</v>
      </c>
      <c r="T18" s="130">
        <f t="shared" si="3"/>
        <v>866.77404800874683</v>
      </c>
      <c r="U18" s="78"/>
    </row>
    <row r="19" spans="1:21" hidden="1">
      <c r="A19" s="129" t="s">
        <v>114</v>
      </c>
      <c r="B19" s="131">
        <f>SUM(F17:F19)</f>
        <v>2317426.0090909093</v>
      </c>
      <c r="C19" s="131">
        <f>AVERAGE(F17:F19)</f>
        <v>772475.33636363642</v>
      </c>
      <c r="D19" s="90">
        <f>C19/C16-1</f>
        <v>-0.30604552141269903</v>
      </c>
      <c r="E19" s="286">
        <f>C19/C7-1</f>
        <v>-0.1921200350809541</v>
      </c>
      <c r="F19" s="78">
        <f>Q19/22</f>
        <v>1063694.9090909092</v>
      </c>
      <c r="G19" s="90">
        <f t="shared" si="2"/>
        <v>0.61656657987678698</v>
      </c>
      <c r="H19" s="90">
        <f t="shared" si="4"/>
        <v>0.24259788278284788</v>
      </c>
      <c r="I19" s="130">
        <f t="shared" si="0"/>
        <v>938.24438477609874</v>
      </c>
      <c r="J19" s="130">
        <f t="shared" si="5"/>
        <v>-0.200835663918148</v>
      </c>
      <c r="K19" s="78">
        <f>R17+R18+R19</f>
        <v>61948458723</v>
      </c>
      <c r="L19" s="87">
        <f>U19/U16-1</f>
        <v>-0.31846298806114381</v>
      </c>
      <c r="M19" s="87">
        <f>U19/U7-1</f>
        <v>-0.14423827461620575</v>
      </c>
      <c r="N19" s="88">
        <f>AVERAGE(T17:T19)</f>
        <v>917.90690393294619</v>
      </c>
      <c r="O19" s="89">
        <f>N19/N16-1</f>
        <v>-2.2477386396447141E-2</v>
      </c>
      <c r="P19" s="129" t="s">
        <v>114</v>
      </c>
      <c r="Q19" s="116">
        <v>23401288</v>
      </c>
      <c r="R19" s="116">
        <v>30607035071</v>
      </c>
      <c r="S19" s="116">
        <v>24941.57</v>
      </c>
      <c r="T19" s="130">
        <f t="shared" si="3"/>
        <v>938.24438477609874</v>
      </c>
      <c r="U19" s="85">
        <f>Q17+Q18+Q19</f>
        <v>48475910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1629863.7</v>
      </c>
      <c r="G20" s="90">
        <f t="shared" si="2"/>
        <v>0.53226614705993947</v>
      </c>
      <c r="H20" s="90">
        <f t="shared" si="4"/>
        <v>0.78471193654466509</v>
      </c>
      <c r="I20" s="130">
        <f t="shared" si="0"/>
        <v>917.79976551915206</v>
      </c>
      <c r="J20" s="130">
        <f t="shared" si="5"/>
        <v>-0.20126280829548571</v>
      </c>
      <c r="O20" s="89"/>
      <c r="P20" s="129" t="s">
        <v>131</v>
      </c>
      <c r="Q20" s="116">
        <v>32597274</v>
      </c>
      <c r="R20" s="116">
        <v>42723437500</v>
      </c>
      <c r="S20" s="116">
        <v>35516.76</v>
      </c>
      <c r="T20" s="130">
        <f t="shared" si="3"/>
        <v>917.79976551915206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1634579.6666666667</v>
      </c>
      <c r="G21" s="90">
        <f t="shared" si="2"/>
        <v>2.8934730349947646E-3</v>
      </c>
      <c r="H21" s="90">
        <f t="shared" si="4"/>
        <v>0.4789625891908913</v>
      </c>
      <c r="I21" s="130">
        <f t="shared" si="0"/>
        <v>819.94665572327085</v>
      </c>
      <c r="J21" s="130">
        <f t="shared" si="5"/>
        <v>-0.22270040183673412</v>
      </c>
      <c r="O21" s="89"/>
      <c r="P21" s="129" t="s">
        <v>141</v>
      </c>
      <c r="Q21" s="116">
        <v>34326173</v>
      </c>
      <c r="R21" s="116">
        <v>45641781908</v>
      </c>
      <c r="S21" s="116">
        <v>41863.910000000003</v>
      </c>
      <c r="T21" s="130">
        <f t="shared" si="3"/>
        <v>819.94665572327085</v>
      </c>
      <c r="U21" s="78"/>
    </row>
    <row r="22" spans="1:21" hidden="1">
      <c r="A22" s="129" t="s">
        <v>155</v>
      </c>
      <c r="B22" s="131">
        <f>SUM(F20:F22)</f>
        <v>4852581.8428571429</v>
      </c>
      <c r="C22" s="131">
        <f>AVERAGE(F20:F22)</f>
        <v>1617527.280952381</v>
      </c>
      <c r="D22" s="90">
        <f>C22/C19-1</f>
        <v>1.0939533015600946</v>
      </c>
      <c r="E22" s="286">
        <f>C22/C10-1</f>
        <v>0.39878055955055491</v>
      </c>
      <c r="F22" s="78">
        <f>Q22/21</f>
        <v>1588138.4761904762</v>
      </c>
      <c r="G22" s="90">
        <f t="shared" si="2"/>
        <v>-2.8411702056037602E-2</v>
      </c>
      <c r="H22" s="90">
        <f t="shared" si="4"/>
        <v>9.4743264746717459E-2</v>
      </c>
      <c r="I22" s="130">
        <f t="shared" si="0"/>
        <v>851.74015864665114</v>
      </c>
      <c r="J22" s="130">
        <f t="shared" si="5"/>
        <v>-0.16743432994157725</v>
      </c>
      <c r="K22" s="78">
        <f>R20+R21+R22</f>
        <v>131716389544</v>
      </c>
      <c r="L22" s="87">
        <f>U22/U19-1</f>
        <v>1.0685399201376518</v>
      </c>
      <c r="M22" s="87">
        <f>U22/U10-1</f>
        <v>0.37640835860185051</v>
      </c>
      <c r="N22" s="88">
        <f>AVERAGE(T20:T22)</f>
        <v>863.16219329635805</v>
      </c>
      <c r="O22" s="89">
        <f>N22/N19-1</f>
        <v>-5.9640809326113597E-2</v>
      </c>
      <c r="P22" s="129" t="s">
        <v>155</v>
      </c>
      <c r="Q22" s="116">
        <v>33350908</v>
      </c>
      <c r="R22" s="116">
        <v>43351170136</v>
      </c>
      <c r="S22" s="116">
        <v>39156.199999999997</v>
      </c>
      <c r="T22" s="130">
        <f t="shared" si="3"/>
        <v>851.74015864665114</v>
      </c>
      <c r="U22" s="85">
        <f>Q20+Q21+Q22</f>
        <v>100274355</v>
      </c>
    </row>
    <row r="23" spans="1:21" hidden="1">
      <c r="A23" s="129" t="s">
        <v>189</v>
      </c>
      <c r="B23" s="131"/>
      <c r="C23" s="131"/>
      <c r="F23" s="78">
        <f>Q23/21</f>
        <v>1542737.2857142857</v>
      </c>
      <c r="G23" s="90">
        <f t="shared" si="2"/>
        <v>-2.858767743295032E-2</v>
      </c>
      <c r="H23" s="90">
        <f t="shared" si="4"/>
        <v>0.10058052659531858</v>
      </c>
      <c r="I23" s="130">
        <f t="shared" si="0"/>
        <v>797.06507188781563</v>
      </c>
      <c r="J23" s="130">
        <f t="shared" si="5"/>
        <v>-0.18904598477657819</v>
      </c>
      <c r="O23" s="89"/>
      <c r="P23" s="129" t="s">
        <v>189</v>
      </c>
      <c r="Q23" s="116">
        <v>32397483</v>
      </c>
      <c r="R23" s="116">
        <v>41967232827</v>
      </c>
      <c r="S23" s="116">
        <v>40645.97</v>
      </c>
      <c r="T23" s="130">
        <f t="shared" si="3"/>
        <v>797.06507188781563</v>
      </c>
      <c r="U23" s="78"/>
    </row>
    <row r="24" spans="1:21" hidden="1">
      <c r="A24" s="129" t="s">
        <v>204</v>
      </c>
      <c r="B24" s="131"/>
      <c r="C24" s="131"/>
      <c r="F24" s="78">
        <f>Q24/22</f>
        <v>1283788.4545454546</v>
      </c>
      <c r="G24" s="90">
        <f t="shared" si="2"/>
        <v>-0.16785024486456102</v>
      </c>
      <c r="H24" s="90">
        <f t="shared" si="4"/>
        <v>0.20228362554715185</v>
      </c>
      <c r="I24" s="130">
        <f t="shared" si="0"/>
        <v>782.97188011304058</v>
      </c>
      <c r="J24" s="130">
        <f t="shared" si="5"/>
        <v>-0.18877107267875248</v>
      </c>
      <c r="O24" s="89"/>
      <c r="P24" s="129" t="s">
        <v>204</v>
      </c>
      <c r="Q24" s="116">
        <v>28243346</v>
      </c>
      <c r="R24" s="116">
        <v>37045680609</v>
      </c>
      <c r="S24" s="116">
        <v>36071.980000000003</v>
      </c>
      <c r="T24" s="130">
        <f t="shared" si="3"/>
        <v>782.97188011304058</v>
      </c>
      <c r="U24" s="78"/>
    </row>
    <row r="25" spans="1:21" s="79" customFormat="1" ht="13.2" hidden="1">
      <c r="A25" s="129" t="s">
        <v>217</v>
      </c>
      <c r="B25" s="131">
        <f>SUM(F23:F25)</f>
        <v>3989672.2665755302</v>
      </c>
      <c r="C25" s="131">
        <f>AVERAGE(F23:F25)</f>
        <v>1329890.7555251766</v>
      </c>
      <c r="D25" s="90">
        <f>C25/C22-1</f>
        <v>-0.17782483721563402</v>
      </c>
      <c r="E25" s="286">
        <f>C25/C13-1</f>
        <v>6.143628814125468E-2</v>
      </c>
      <c r="F25" s="78">
        <f>Q25/19</f>
        <v>1163146.5263157894</v>
      </c>
      <c r="G25" s="90">
        <f t="shared" si="2"/>
        <v>-9.3973370614538143E-2</v>
      </c>
      <c r="H25" s="90">
        <f t="shared" si="4"/>
        <v>-9.7782351226790132E-2</v>
      </c>
      <c r="I25" s="130">
        <f t="shared" si="0"/>
        <v>782.17058351557614</v>
      </c>
      <c r="J25" s="130">
        <f t="shared" si="5"/>
        <v>-0.26252445457204543</v>
      </c>
      <c r="K25" s="78">
        <f>R23+R24+R25</f>
        <v>108339905388</v>
      </c>
      <c r="L25" s="90">
        <f>U25/U22-1</f>
        <v>-0.17485768918683142</v>
      </c>
      <c r="M25" s="90">
        <f>U25/U13-1</f>
        <v>5.1177601123768346E-2</v>
      </c>
      <c r="N25" s="88">
        <f>AVERAGE(T23:T25)</f>
        <v>787.40251183881082</v>
      </c>
      <c r="O25" s="91">
        <f>N25/N22-1</f>
        <v>-8.7769925566626328E-2</v>
      </c>
      <c r="P25" s="129" t="s">
        <v>217</v>
      </c>
      <c r="Q25" s="116">
        <v>22099784</v>
      </c>
      <c r="R25" s="116">
        <v>29326991952</v>
      </c>
      <c r="S25" s="116">
        <v>28254.43</v>
      </c>
      <c r="T25" s="130">
        <f t="shared" si="3"/>
        <v>782.17058351557614</v>
      </c>
      <c r="U25" s="85">
        <f>Q23+Q24+Q25</f>
        <v>82740613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1163580.6315789474</v>
      </c>
      <c r="G26" s="90">
        <f t="shared" si="2"/>
        <v>3.732163174083869E-4</v>
      </c>
      <c r="H26" s="90">
        <f t="shared" si="4"/>
        <v>-5.7238637645150581E-3</v>
      </c>
      <c r="I26" s="130">
        <f t="shared" si="0"/>
        <v>778.0269296591897</v>
      </c>
      <c r="J26" s="130">
        <f t="shared" si="5"/>
        <v>-0.16480083399668932</v>
      </c>
      <c r="L26" s="90"/>
      <c r="M26" s="90"/>
      <c r="P26" s="129" t="s">
        <v>312</v>
      </c>
      <c r="Q26" s="116">
        <v>22108032</v>
      </c>
      <c r="R26" s="116">
        <v>29884748986</v>
      </c>
      <c r="S26" s="116">
        <v>28415.51</v>
      </c>
      <c r="T26" s="130">
        <f t="shared" si="3"/>
        <v>778.0269296591897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1357361.8636363635</v>
      </c>
      <c r="G27" s="90">
        <f t="shared" si="2"/>
        <v>0.16653872262763625</v>
      </c>
      <c r="H27" s="90">
        <f t="shared" si="4"/>
        <v>3.5452882237937411E-2</v>
      </c>
      <c r="I27" s="130">
        <f t="shared" si="0"/>
        <v>843.5961106727674</v>
      </c>
      <c r="J27" s="130">
        <f t="shared" si="5"/>
        <v>-8.5832177899598627E-2</v>
      </c>
      <c r="L27" s="90"/>
      <c r="M27" s="90"/>
      <c r="P27" s="129" t="s">
        <v>373</v>
      </c>
      <c r="Q27" s="116">
        <v>29861961</v>
      </c>
      <c r="R27" s="116">
        <v>39542824598</v>
      </c>
      <c r="S27" s="116">
        <v>35398.410000000003</v>
      </c>
      <c r="T27" s="130">
        <f t="shared" si="3"/>
        <v>843.5961106727674</v>
      </c>
      <c r="U27" s="78"/>
    </row>
    <row r="28" spans="1:21" s="79" customFormat="1" ht="13.2" hidden="1">
      <c r="A28" s="123" t="s">
        <v>413</v>
      </c>
      <c r="B28" s="131">
        <f>SUM(F26:F28)</f>
        <v>4257732.2846889952</v>
      </c>
      <c r="C28" s="131">
        <f>AVERAGE(F26:F28)</f>
        <v>1419244.0948963317</v>
      </c>
      <c r="D28" s="90">
        <f>C28/C25-1</f>
        <v>6.718848070785266E-2</v>
      </c>
      <c r="E28" s="286">
        <f>C28/C16-1</f>
        <v>0.27498024791080256</v>
      </c>
      <c r="F28" s="78">
        <f>Q28/19</f>
        <v>1736789.7894736843</v>
      </c>
      <c r="G28" s="90">
        <f t="shared" si="2"/>
        <v>0.27953336247479044</v>
      </c>
      <c r="H28" s="90">
        <f t="shared" si="4"/>
        <v>1.0235623280583952</v>
      </c>
      <c r="I28" s="130">
        <f t="shared" si="0"/>
        <v>776.67088121378958</v>
      </c>
      <c r="J28" s="130">
        <f t="shared" si="5"/>
        <v>-0.19322981216642809</v>
      </c>
      <c r="K28" s="78">
        <f>R26+R27+R28</f>
        <v>112522508389</v>
      </c>
      <c r="L28" s="90">
        <f>U28/U25-1</f>
        <v>2.6932191087344348E-2</v>
      </c>
      <c r="M28" s="90">
        <f>U28/U16-1</f>
        <v>0.19460403499172396</v>
      </c>
      <c r="N28" s="88">
        <f>AVERAGE(T26:T28)</f>
        <v>799.4313071819156</v>
      </c>
      <c r="O28" s="91">
        <f>N28/N25-1</f>
        <v>1.5276551906107105E-2</v>
      </c>
      <c r="P28" s="129" t="s">
        <v>413</v>
      </c>
      <c r="Q28" s="116">
        <v>32999006</v>
      </c>
      <c r="R28" s="116">
        <v>43094934805</v>
      </c>
      <c r="S28" s="116">
        <v>42487.76</v>
      </c>
      <c r="T28" s="130">
        <f t="shared" si="3"/>
        <v>776.67088121378958</v>
      </c>
      <c r="U28" s="85">
        <f>Q26+Q27+Q28</f>
        <v>84968999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1355031.9545454546</v>
      </c>
      <c r="G29" s="190">
        <f t="shared" si="2"/>
        <v>-0.21980658640555306</v>
      </c>
      <c r="H29" s="190">
        <f t="shared" si="4"/>
        <v>1.2745558397348056</v>
      </c>
      <c r="I29" s="130">
        <f t="shared" si="0"/>
        <v>782.26971477874963</v>
      </c>
      <c r="J29" s="130">
        <f t="shared" si="5"/>
        <v>-0.17543181661608376</v>
      </c>
      <c r="K29" s="136"/>
      <c r="L29" s="190"/>
      <c r="M29" s="190"/>
      <c r="N29" s="191"/>
      <c r="O29" s="192"/>
      <c r="P29" s="129" t="s">
        <v>426</v>
      </c>
      <c r="Q29" s="116">
        <v>29810703</v>
      </c>
      <c r="R29" s="116">
        <v>39220012433</v>
      </c>
      <c r="S29" s="116">
        <v>38107.96</v>
      </c>
      <c r="T29" s="130">
        <f t="shared" si="3"/>
        <v>782.26971477874963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1101108.894736842</v>
      </c>
      <c r="G30" s="190">
        <f t="shared" ref="G30" si="6">F30/F29-1</f>
        <v>-0.18739267288629446</v>
      </c>
      <c r="H30" s="190">
        <f t="shared" ref="H30" si="7">F30/F18-1</f>
        <v>0.67342705584437068</v>
      </c>
      <c r="I30" s="130">
        <f t="shared" si="0"/>
        <v>769.31703435347208</v>
      </c>
      <c r="J30" s="130">
        <f t="shared" si="5"/>
        <v>-0.11243646931880835</v>
      </c>
      <c r="K30" s="136"/>
      <c r="L30" s="190"/>
      <c r="M30" s="190"/>
      <c r="N30" s="191"/>
      <c r="O30" s="192"/>
      <c r="P30" s="129" t="s">
        <v>466</v>
      </c>
      <c r="Q30" s="116">
        <v>20921069</v>
      </c>
      <c r="R30" s="116">
        <v>27883979895</v>
      </c>
      <c r="S30" s="116">
        <v>27194.34</v>
      </c>
      <c r="T30" s="130">
        <f t="shared" ref="T30" si="8">Q30/S30</f>
        <v>769.31703435347208</v>
      </c>
      <c r="U30" s="85"/>
    </row>
    <row r="31" spans="1:21" s="79" customFormat="1" ht="13.2" hidden="1">
      <c r="A31" s="129" t="s">
        <v>505</v>
      </c>
      <c r="B31" s="188">
        <f>SUM(F29:F31)</f>
        <v>3833665.0992822964</v>
      </c>
      <c r="C31" s="188">
        <f>AVERAGE(F29:F31)</f>
        <v>1277888.366427432</v>
      </c>
      <c r="D31" s="190">
        <f>C31/C28-1</f>
        <v>-9.959930710807352E-2</v>
      </c>
      <c r="E31" s="287">
        <f>C31/C19-1</f>
        <v>0.65427723873099364</v>
      </c>
      <c r="F31" s="136">
        <f>Q31/20</f>
        <v>1377524.25</v>
      </c>
      <c r="G31" s="190">
        <f t="shared" ref="G31" si="9">F31/F30-1</f>
        <v>0.2510336230906749</v>
      </c>
      <c r="H31" s="190">
        <f t="shared" ref="H31" si="10">F31/F19-1</f>
        <v>0.29503698685303115</v>
      </c>
      <c r="I31" s="130">
        <f t="shared" si="0"/>
        <v>769.29994379043455</v>
      </c>
      <c r="J31" s="130">
        <f t="shared" si="5"/>
        <v>-0.18006443068239719</v>
      </c>
      <c r="K31" s="136">
        <f>R29+R30+R31</f>
        <v>103635802832</v>
      </c>
      <c r="L31" s="190">
        <f>U31/U28-1</f>
        <v>-7.8696254854079162E-2</v>
      </c>
      <c r="M31" s="190">
        <f>U31/U19-1</f>
        <v>0.61486926186635804</v>
      </c>
      <c r="N31" s="191">
        <f>AVERAGE(T29:T31)</f>
        <v>773.62889764088538</v>
      </c>
      <c r="O31" s="192">
        <f>N31/N28-1</f>
        <v>-3.2275955806617795E-2</v>
      </c>
      <c r="P31" s="129" t="s">
        <v>505</v>
      </c>
      <c r="Q31" s="116">
        <v>27550485</v>
      </c>
      <c r="R31" s="116">
        <v>36531810504</v>
      </c>
      <c r="S31" s="116">
        <v>35812.410000000003</v>
      </c>
      <c r="T31" s="130">
        <f t="shared" ref="T31" si="11">Q31/S31</f>
        <v>769.29994379043455</v>
      </c>
      <c r="U31" s="85">
        <f>Q29+Q30+Q31</f>
        <v>78282257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1721774</v>
      </c>
      <c r="G32" s="190">
        <f t="shared" ref="G32" si="12">F32/F31-1</f>
        <v>0.24990467499936941</v>
      </c>
      <c r="H32" s="190">
        <f t="shared" ref="H32" si="13">F32/F20-1</f>
        <v>5.6391402544887725E-2</v>
      </c>
      <c r="I32" s="130">
        <f t="shared" si="0"/>
        <v>787.39510310193214</v>
      </c>
      <c r="J32" s="130">
        <f t="shared" si="5"/>
        <v>-0.14208400058095105</v>
      </c>
      <c r="K32" s="136"/>
      <c r="L32" s="190"/>
      <c r="M32" s="190"/>
      <c r="N32" s="191"/>
      <c r="O32" s="192"/>
      <c r="P32" s="129" t="s">
        <v>562</v>
      </c>
      <c r="Q32" s="116">
        <v>36157254</v>
      </c>
      <c r="R32" s="116">
        <v>49036702854</v>
      </c>
      <c r="S32" s="116">
        <v>45920.09</v>
      </c>
      <c r="T32" s="130">
        <f t="shared" ref="T32" si="14">Q32/S32</f>
        <v>787.39510310193214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1554819.5714285714</v>
      </c>
      <c r="G33" s="190">
        <f t="shared" ref="G33" si="15">F33/F32-1</f>
        <v>-9.6966517424138532E-2</v>
      </c>
      <c r="H33" s="190">
        <f t="shared" ref="H33" si="16">F33/F21-1</f>
        <v>-4.8795477433502543E-2</v>
      </c>
      <c r="I33" s="130">
        <f t="shared" si="0"/>
        <v>771.23822724299771</v>
      </c>
      <c r="J33" s="130">
        <f t="shared" si="5"/>
        <v>-5.9404387029675321E-2</v>
      </c>
      <c r="K33" s="136"/>
      <c r="L33" s="190"/>
      <c r="M33" s="190"/>
      <c r="N33" s="191"/>
      <c r="O33" s="192"/>
      <c r="P33" s="129" t="s">
        <v>607</v>
      </c>
      <c r="Q33" s="116">
        <v>32651211</v>
      </c>
      <c r="R33" s="116">
        <v>44709070887</v>
      </c>
      <c r="S33" s="116">
        <v>42336.09</v>
      </c>
      <c r="T33" s="130">
        <f t="shared" ref="T33" si="17">Q33/S33</f>
        <v>771.23822724299771</v>
      </c>
      <c r="U33" s="85"/>
    </row>
    <row r="34" spans="1:21" s="79" customFormat="1" ht="13.2" hidden="1">
      <c r="A34" s="129" t="s">
        <v>652</v>
      </c>
      <c r="B34" s="188">
        <f>SUM(F32:F34)</f>
        <v>5276418.5714285709</v>
      </c>
      <c r="C34" s="188">
        <f>AVERAGE(F32:F34)</f>
        <v>1758806.1904761903</v>
      </c>
      <c r="D34" s="190">
        <f>C34/C31-1</f>
        <v>0.37633789983803601</v>
      </c>
      <c r="E34" s="287">
        <f>C34/C22-1</f>
        <v>8.7342520393613343E-2</v>
      </c>
      <c r="F34" s="136">
        <f>Q34/19</f>
        <v>1999825</v>
      </c>
      <c r="G34" s="190">
        <f t="shared" ref="G34" si="18">F34/F33-1</f>
        <v>0.28621033382192174</v>
      </c>
      <c r="H34" s="190">
        <f t="shared" ref="H34" si="19">F34/F22-1</f>
        <v>0.25922583577034852</v>
      </c>
      <c r="I34" s="130">
        <f t="shared" si="0"/>
        <v>779.03528949126792</v>
      </c>
      <c r="J34" s="130">
        <f t="shared" si="5"/>
        <v>-8.5360386518472442E-2</v>
      </c>
      <c r="K34" s="136">
        <f>R32+R33+R34</f>
        <v>145955911176</v>
      </c>
      <c r="L34" s="190">
        <f>U34/U31-1</f>
        <v>0.36435948697800069</v>
      </c>
      <c r="M34" s="190">
        <f>U34/U22-1</f>
        <v>6.5129164879694335E-2</v>
      </c>
      <c r="N34" s="191">
        <f>AVERAGE(T32:T34)</f>
        <v>779.22287327873255</v>
      </c>
      <c r="O34" s="192">
        <f>N34/N31-1</f>
        <v>7.2308255998521087E-3</v>
      </c>
      <c r="P34" s="129" t="s">
        <v>652</v>
      </c>
      <c r="Q34" s="116">
        <v>37996675</v>
      </c>
      <c r="R34" s="116">
        <v>52210137435</v>
      </c>
      <c r="S34" s="116">
        <v>48774.01</v>
      </c>
      <c r="T34" s="130">
        <f t="shared" ref="T34" si="20">Q34/S34</f>
        <v>779.03528949126792</v>
      </c>
      <c r="U34" s="85">
        <f>Q32+Q33+Q34</f>
        <v>106805140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1278805.7826086956</v>
      </c>
      <c r="G35" s="190">
        <f t="shared" ref="G35" si="21">F35/F34-1</f>
        <v>-0.36054115604680637</v>
      </c>
      <c r="H35" s="190">
        <f t="shared" ref="H35" si="22">F35/F23-1</f>
        <v>-0.17108000535774315</v>
      </c>
      <c r="I35" s="130">
        <f t="shared" si="0"/>
        <v>769.07937020935674</v>
      </c>
      <c r="J35" s="130">
        <f t="shared" si="5"/>
        <v>-3.5110937193842839E-2</v>
      </c>
      <c r="K35" s="136"/>
      <c r="L35" s="190"/>
      <c r="M35" s="190"/>
      <c r="N35" s="191"/>
      <c r="O35" s="192"/>
      <c r="P35" s="129" t="s">
        <v>660</v>
      </c>
      <c r="Q35" s="116">
        <v>29412533</v>
      </c>
      <c r="R35" s="116">
        <v>40709514936</v>
      </c>
      <c r="S35" s="116">
        <v>38243.82</v>
      </c>
      <c r="T35" s="130">
        <f t="shared" ref="T35" si="23">Q35/S35</f>
        <v>769.07937020935674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1079364.4285714286</v>
      </c>
      <c r="G36" s="190">
        <f t="shared" ref="G36" si="24">F36/F35-1</f>
        <v>-0.15595906489444955</v>
      </c>
      <c r="H36" s="190">
        <f t="shared" ref="H36" si="25">F36/F24-1</f>
        <v>-0.15923497773346584</v>
      </c>
      <c r="I36" s="130">
        <f t="shared" si="0"/>
        <v>705.7448077129651</v>
      </c>
      <c r="J36" s="130">
        <f t="shared" si="5"/>
        <v>-9.8633264312028568E-2</v>
      </c>
      <c r="K36" s="136"/>
      <c r="L36" s="190"/>
      <c r="M36" s="190"/>
      <c r="N36" s="191"/>
      <c r="O36" s="192"/>
      <c r="P36" s="129" t="s">
        <v>666</v>
      </c>
      <c r="Q36" s="116">
        <v>22666653</v>
      </c>
      <c r="R36" s="116">
        <v>31017810689</v>
      </c>
      <c r="S36" s="116">
        <v>32117.35</v>
      </c>
      <c r="T36" s="130">
        <f t="shared" ref="T36" si="26">Q36/S36</f>
        <v>705.7448077129651</v>
      </c>
      <c r="U36" s="85"/>
    </row>
    <row r="37" spans="1:21" s="79" customFormat="1" ht="13.2" hidden="1">
      <c r="A37" s="129" t="s">
        <v>702</v>
      </c>
      <c r="B37" s="188">
        <f>SUM(F35:F37)</f>
        <v>3288853.4889579024</v>
      </c>
      <c r="C37" s="188">
        <f>AVERAGE(F35:F37)</f>
        <v>1096284.4963193007</v>
      </c>
      <c r="D37" s="190">
        <f>C37/C34-1</f>
        <v>-0.37668828876336524</v>
      </c>
      <c r="E37" s="287">
        <f>C37/C25-1</f>
        <v>-0.17565823225353894</v>
      </c>
      <c r="F37" s="136">
        <f>Q37/18</f>
        <v>930683.27777777775</v>
      </c>
      <c r="G37" s="190">
        <f t="shared" ref="G37" si="27">F37/F36-1</f>
        <v>-0.13774879628971548</v>
      </c>
      <c r="H37" s="190">
        <f t="shared" ref="H37" si="28">F37/F25-1</f>
        <v>-0.19985723490429685</v>
      </c>
      <c r="I37" s="130">
        <f t="shared" si="0"/>
        <v>687.41396707349156</v>
      </c>
      <c r="J37" s="130">
        <f t="shared" si="5"/>
        <v>-0.12114571736537005</v>
      </c>
      <c r="K37" s="136">
        <f>R35+R36+R37</f>
        <v>94110284308</v>
      </c>
      <c r="L37" s="190">
        <f>U37/U34-1</f>
        <v>-0.35554145615089316</v>
      </c>
      <c r="M37" s="190">
        <f>U37/U25-1</f>
        <v>-0.16810520850262489</v>
      </c>
      <c r="N37" s="191">
        <f>AVERAGE(T35:T37)</f>
        <v>720.7460483319378</v>
      </c>
      <c r="O37" s="192">
        <f>N37/N34-1</f>
        <v>-7.5045057007556926E-2</v>
      </c>
      <c r="P37" s="129" t="s">
        <v>702</v>
      </c>
      <c r="Q37" s="116">
        <v>16752299</v>
      </c>
      <c r="R37" s="116">
        <v>22382958683</v>
      </c>
      <c r="S37" s="116">
        <v>24370.03</v>
      </c>
      <c r="T37" s="130">
        <f t="shared" ref="T37" si="29">Q37/S37</f>
        <v>687.41396707349156</v>
      </c>
      <c r="U37" s="85">
        <f>Q35+Q36+Q37</f>
        <v>68831485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1227486.6499999999</v>
      </c>
      <c r="G38" s="190">
        <f t="shared" ref="G38" si="30">F38/F37-1</f>
        <v>0.31890910614716228</v>
      </c>
      <c r="H38" s="190">
        <f t="shared" ref="H38" si="31">F38/F26-1</f>
        <v>5.4921865048865426E-2</v>
      </c>
      <c r="I38" s="130">
        <f t="shared" si="0"/>
        <v>730.58332430634005</v>
      </c>
      <c r="J38" s="130">
        <f t="shared" si="5"/>
        <v>-6.097938714490525E-2</v>
      </c>
      <c r="K38" s="136"/>
      <c r="L38" s="190"/>
      <c r="M38" s="190"/>
      <c r="N38" s="191"/>
      <c r="O38" s="192"/>
      <c r="P38" s="129" t="s">
        <v>728</v>
      </c>
      <c r="Q38" s="116">
        <v>24549733</v>
      </c>
      <c r="R38" s="116">
        <v>32812476824</v>
      </c>
      <c r="S38" s="116">
        <v>33602.92</v>
      </c>
      <c r="T38" s="130">
        <f t="shared" ref="T38" si="32">Q38/S38</f>
        <v>730.58332430634005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1416294.9523809524</v>
      </c>
      <c r="G39" s="190">
        <f t="shared" ref="G39" si="33">F39/F38-1</f>
        <v>0.15381699049920616</v>
      </c>
      <c r="H39" s="190">
        <f t="shared" ref="H39" si="34">F39/F27-1</f>
        <v>4.3417374779270324E-2</v>
      </c>
      <c r="I39" s="130">
        <f t="shared" si="0"/>
        <v>765.52838539220147</v>
      </c>
      <c r="J39" s="130">
        <f t="shared" si="5"/>
        <v>-9.2541589859046369E-2</v>
      </c>
      <c r="K39" s="136"/>
      <c r="L39" s="190"/>
      <c r="M39" s="190"/>
      <c r="N39" s="191"/>
      <c r="O39" s="192"/>
      <c r="P39" s="129" t="s">
        <v>762</v>
      </c>
      <c r="Q39" s="116">
        <v>29742194</v>
      </c>
      <c r="R39" s="116">
        <v>41411620554</v>
      </c>
      <c r="S39" s="116">
        <v>38851.85</v>
      </c>
      <c r="T39" s="130">
        <f t="shared" ref="T39" si="35">Q39/S39</f>
        <v>765.52838539220147</v>
      </c>
      <c r="U39" s="85"/>
    </row>
    <row r="40" spans="1:21" s="79" customFormat="1" ht="13.2" hidden="1">
      <c r="A40" s="129" t="s">
        <v>778</v>
      </c>
      <c r="B40" s="188">
        <f>SUM(F38:F40)</f>
        <v>3981228.9833333334</v>
      </c>
      <c r="C40" s="188">
        <f>AVERAGE(F38:F40)</f>
        <v>1327076.3277777778</v>
      </c>
      <c r="D40" s="190">
        <f>C40/C37-1</f>
        <v>0.21052184194280277</v>
      </c>
      <c r="E40" s="287">
        <f>C40/C28-1</f>
        <v>-6.4941448373816324E-2</v>
      </c>
      <c r="F40" s="136">
        <f>Q40/21</f>
        <v>1337447.3809523811</v>
      </c>
      <c r="G40" s="190">
        <f t="shared" ref="G40" si="36">F40/F39-1</f>
        <v>-5.567171675364635E-2</v>
      </c>
      <c r="H40" s="190">
        <f t="shared" ref="H40" si="37">F40/F28-1</f>
        <v>-0.22993134283816796</v>
      </c>
      <c r="I40" s="130">
        <f t="shared" si="0"/>
        <v>641.88685937628202</v>
      </c>
      <c r="J40" s="130">
        <f t="shared" si="5"/>
        <v>-0.17354071730726617</v>
      </c>
      <c r="K40" s="136">
        <f>R38+R39+R40</f>
        <v>114123292181</v>
      </c>
      <c r="L40" s="190">
        <f>U40/U37-1</f>
        <v>0.19681163351335518</v>
      </c>
      <c r="M40" s="190">
        <f>U40/U28-1</f>
        <v>-3.0489673062995548E-2</v>
      </c>
      <c r="N40" s="191">
        <f>AVERAGE(T38:T40)</f>
        <v>712.66618969160788</v>
      </c>
      <c r="O40" s="192">
        <f>N40/N37-1</f>
        <v>-1.1210409906553864E-2</v>
      </c>
      <c r="P40" s="129" t="s">
        <v>778</v>
      </c>
      <c r="Q40" s="116">
        <v>28086395</v>
      </c>
      <c r="R40" s="116">
        <v>39899194803</v>
      </c>
      <c r="S40" s="116">
        <v>43755.99</v>
      </c>
      <c r="T40" s="130">
        <f t="shared" ref="T40" si="38">Q40/S40</f>
        <v>641.88685937628202</v>
      </c>
      <c r="U40" s="85">
        <f>Q38+Q39+Q40</f>
        <v>82378322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1075740</v>
      </c>
      <c r="G41" s="190">
        <f t="shared" ref="G41" si="39">F41/F40-1</f>
        <v>-0.19567676805798684</v>
      </c>
      <c r="H41" s="190">
        <f t="shared" ref="H41" si="40">F41/F29-1</f>
        <v>-0.20611466291150538</v>
      </c>
      <c r="I41" s="130">
        <f t="shared" si="0"/>
        <v>545.74171790103594</v>
      </c>
      <c r="J41" s="130">
        <f t="shared" si="5"/>
        <v>-0.30236118362911601</v>
      </c>
      <c r="K41" s="193"/>
      <c r="L41" s="190"/>
      <c r="M41" s="190"/>
      <c r="N41" s="193"/>
      <c r="O41" s="193"/>
      <c r="P41" s="129" t="s">
        <v>792</v>
      </c>
      <c r="Q41" s="116">
        <v>19363320</v>
      </c>
      <c r="R41" s="116">
        <v>28353060803</v>
      </c>
      <c r="S41" s="116">
        <v>35480.74</v>
      </c>
      <c r="T41" s="130">
        <f t="shared" ref="T41" si="41">Q41/S41</f>
        <v>545.74171790103594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859010.2</v>
      </c>
      <c r="G42" s="190">
        <f t="shared" ref="G42" si="42">F42/F41-1</f>
        <v>-0.20147042965772399</v>
      </c>
      <c r="H42" s="190">
        <f t="shared" ref="H42" si="43">F42/F30-1</f>
        <v>-0.21986807653088858</v>
      </c>
      <c r="I42" s="130">
        <f t="shared" si="0"/>
        <v>566.22809229210554</v>
      </c>
      <c r="J42" s="130">
        <f t="shared" si="5"/>
        <v>-0.26398602005744076</v>
      </c>
      <c r="K42" s="193"/>
      <c r="L42" s="190"/>
      <c r="M42" s="190"/>
      <c r="N42" s="193"/>
      <c r="O42" s="193"/>
      <c r="P42" s="129" t="s">
        <v>826</v>
      </c>
      <c r="Q42" s="116">
        <v>17180204</v>
      </c>
      <c r="R42" s="116">
        <v>24927464930</v>
      </c>
      <c r="S42" s="116">
        <v>30341.49</v>
      </c>
      <c r="T42" s="130">
        <f t="shared" ref="T42" si="44">Q42/S42</f>
        <v>566.22809229210554</v>
      </c>
      <c r="U42" s="78"/>
    </row>
    <row r="43" spans="1:21" s="79" customFormat="1" ht="13.2">
      <c r="A43" s="129" t="s">
        <v>835</v>
      </c>
      <c r="B43" s="188">
        <f>SUM(F41:F43)</f>
        <v>3037618.4</v>
      </c>
      <c r="C43" s="188">
        <f>AVERAGE(F41:F43)</f>
        <v>1012539.4666666667</v>
      </c>
      <c r="D43" s="190">
        <f>C43/C40-1</f>
        <v>-0.23701489848576451</v>
      </c>
      <c r="E43" s="287">
        <f>C43/C31-1</f>
        <v>-0.20764638503016986</v>
      </c>
      <c r="F43" s="136">
        <f>Q43/20</f>
        <v>1102868.2</v>
      </c>
      <c r="G43" s="190">
        <f t="shared" ref="G43" si="45">F43/F42-1</f>
        <v>0.2838825429546703</v>
      </c>
      <c r="H43" s="190">
        <f t="shared" ref="H43" si="46">F43/F31-1</f>
        <v>-0.19938382209968353</v>
      </c>
      <c r="I43" s="130">
        <f t="shared" si="0"/>
        <v>600.89431168947215</v>
      </c>
      <c r="J43" s="130">
        <f t="shared" si="5"/>
        <v>-0.21890763604012153</v>
      </c>
      <c r="K43" s="136">
        <f>R41+R42+R43</f>
        <v>85241212550</v>
      </c>
      <c r="L43" s="190">
        <f>U43/U40-1</f>
        <v>-0.28863702759082666</v>
      </c>
      <c r="M43" s="190">
        <f>K43/K31-1</f>
        <v>-0.17749262107631625</v>
      </c>
      <c r="N43" s="191">
        <f>AVERAGE(T41:T43)</f>
        <v>570.95470729420458</v>
      </c>
      <c r="O43" s="192">
        <f>N43/N40-1</f>
        <v>-0.19884692784250946</v>
      </c>
      <c r="P43" s="129" t="s">
        <v>835</v>
      </c>
      <c r="Q43" s="116">
        <v>22057364</v>
      </c>
      <c r="R43" s="116">
        <v>31960686817</v>
      </c>
      <c r="S43" s="116">
        <v>36707.56</v>
      </c>
      <c r="T43" s="130">
        <f t="shared" ref="T43" si="47">Q43/S43</f>
        <v>600.89431168947215</v>
      </c>
      <c r="U43" s="85">
        <f>Q41+Q42+Q43</f>
        <v>58600888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841497.90909090906</v>
      </c>
      <c r="G44" s="190">
        <f t="shared" ref="G44" si="48">F44/F43-1</f>
        <v>-0.23699141103995103</v>
      </c>
      <c r="H44" s="190">
        <f t="shared" ref="H44" si="49">F44/F32-1</f>
        <v>-0.51126111261355489</v>
      </c>
      <c r="I44" s="130">
        <f t="shared" si="0"/>
        <v>573.30716339991534</v>
      </c>
      <c r="J44" s="130">
        <f t="shared" si="5"/>
        <v>-0.27189391813413666</v>
      </c>
      <c r="K44" s="136"/>
      <c r="L44" s="190"/>
      <c r="M44" s="190"/>
      <c r="N44" s="191"/>
      <c r="O44" s="192"/>
      <c r="P44" s="129" t="s">
        <v>843</v>
      </c>
      <c r="Q44" s="116">
        <v>18512954</v>
      </c>
      <c r="R44" s="116">
        <v>26833796303</v>
      </c>
      <c r="S44" s="116">
        <v>32291.51</v>
      </c>
      <c r="T44" s="130">
        <f t="shared" ref="T44" si="50">Q44/S44</f>
        <v>573.30716339991534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1283351.25</v>
      </c>
      <c r="G45" s="190">
        <f t="shared" ref="G45" si="51">F45/F44-1</f>
        <v>0.52507954700260151</v>
      </c>
      <c r="H45" s="190">
        <f t="shared" ref="H45" si="52">F45/F33-1</f>
        <v>-0.17459795748463969</v>
      </c>
      <c r="I45" s="130">
        <f t="shared" si="0"/>
        <v>618.07043352059009</v>
      </c>
      <c r="J45" s="130">
        <f t="shared" si="5"/>
        <v>-0.19859984672952202</v>
      </c>
      <c r="K45" s="136"/>
      <c r="L45" s="190"/>
      <c r="M45" s="190"/>
      <c r="N45" s="191"/>
      <c r="O45" s="192"/>
      <c r="P45" s="129" t="s">
        <v>868</v>
      </c>
      <c r="Q45" s="116">
        <v>25667025</v>
      </c>
      <c r="R45" s="116">
        <v>36193735779</v>
      </c>
      <c r="S45" s="116">
        <v>41527.67</v>
      </c>
      <c r="T45" s="130">
        <f t="shared" ref="T45" si="53">Q45/S45</f>
        <v>618.07043352059009</v>
      </c>
      <c r="U45" s="85"/>
    </row>
    <row r="46" spans="1:21" s="79" customFormat="1" ht="13.2">
      <c r="A46" s="129" t="s">
        <v>893</v>
      </c>
      <c r="B46" s="188">
        <f>SUM(F44:F46)</f>
        <v>3527065.6854066988</v>
      </c>
      <c r="C46" s="188">
        <f>AVERAGE(F44:F46)</f>
        <v>1175688.5618022329</v>
      </c>
      <c r="D46" s="190">
        <f>C46/C43-1</f>
        <v>0.16112862807477679</v>
      </c>
      <c r="E46" s="287">
        <f>C46/C34-1</f>
        <v>-0.33154171950923172</v>
      </c>
      <c r="F46" s="136">
        <f>Q46/19</f>
        <v>1402216.5263157894</v>
      </c>
      <c r="G46" s="190">
        <f t="shared" ref="G46" si="54">F46/F45-1</f>
        <v>9.2621000147691035E-2</v>
      </c>
      <c r="H46" s="190">
        <f t="shared" ref="H46" si="55">F46/F34-1</f>
        <v>-0.29883038450074906</v>
      </c>
      <c r="I46" s="130">
        <f t="shared" si="0"/>
        <v>558.71807863207141</v>
      </c>
      <c r="J46" s="130">
        <f t="shared" si="5"/>
        <v>-0.28280774161472177</v>
      </c>
      <c r="K46" s="136">
        <f>R44+R45+R46</f>
        <v>99504930836</v>
      </c>
      <c r="L46" s="190">
        <f>U46/U43-1</f>
        <v>0.20854982607089512</v>
      </c>
      <c r="M46" s="190">
        <f>K46/K34-1</f>
        <v>-0.31825350522451523</v>
      </c>
      <c r="N46" s="191">
        <f>AVERAGE(T44:T46)</f>
        <v>583.36522518419224</v>
      </c>
      <c r="O46" s="192">
        <f>N46/N43-1</f>
        <v>2.173643150925586E-2</v>
      </c>
      <c r="P46" s="129" t="s">
        <v>888</v>
      </c>
      <c r="Q46" s="116">
        <v>26642114</v>
      </c>
      <c r="R46" s="116">
        <v>36477398754</v>
      </c>
      <c r="S46" s="116">
        <v>47684.36</v>
      </c>
      <c r="T46" s="130">
        <f t="shared" ref="T46" si="56">Q46/S46</f>
        <v>558.71807863207141</v>
      </c>
      <c r="U46" s="85">
        <f t="shared" ref="U46:U51" si="57">Q44+Q45+Q46</f>
        <v>70822093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1106002.4782608696</v>
      </c>
      <c r="G47" s="190">
        <f t="shared" ref="G47" si="58">F47/F46-1</f>
        <v>-0.21124700964208309</v>
      </c>
      <c r="H47" s="190">
        <f t="shared" ref="H47" si="59">F47/F35-1</f>
        <v>-0.13512865416929565</v>
      </c>
      <c r="I47" s="130">
        <f t="shared" si="0"/>
        <v>615.54592374148865</v>
      </c>
      <c r="J47" s="130">
        <f t="shared" si="5"/>
        <v>-0.1996327718764237</v>
      </c>
      <c r="K47" s="136"/>
      <c r="L47" s="190"/>
      <c r="M47" s="190"/>
      <c r="N47" s="191"/>
      <c r="O47" s="192"/>
      <c r="P47" s="129" t="s">
        <v>991</v>
      </c>
      <c r="Q47" s="116">
        <v>25438057</v>
      </c>
      <c r="R47" s="116">
        <v>34848612593</v>
      </c>
      <c r="S47" s="116">
        <v>41326.01</v>
      </c>
      <c r="T47" s="130">
        <f t="shared" ref="T47" si="60">Q47/S47</f>
        <v>615.54592374148865</v>
      </c>
      <c r="U47" s="85">
        <f t="shared" si="57"/>
        <v>77747196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780071.8</v>
      </c>
      <c r="G48" s="190">
        <f t="shared" ref="G48" si="61">F48/F47-1</f>
        <v>-0.29469253882086988</v>
      </c>
      <c r="H48" s="190">
        <f t="shared" ref="H48" si="62">F48/F36-1</f>
        <v>-0.27728598483419675</v>
      </c>
      <c r="I48" s="130">
        <f t="shared" si="0"/>
        <v>581.96355079980913</v>
      </c>
      <c r="J48" s="130">
        <f t="shared" si="5"/>
        <v>-0.17539095656159509</v>
      </c>
      <c r="K48" s="136"/>
      <c r="L48" s="190"/>
      <c r="M48" s="190"/>
      <c r="N48" s="191"/>
      <c r="O48" s="192"/>
      <c r="P48" s="129" t="s">
        <v>1134</v>
      </c>
      <c r="Q48" s="116">
        <v>15601436</v>
      </c>
      <c r="R48" s="116">
        <v>21650346737</v>
      </c>
      <c r="S48" s="116">
        <v>26808.27</v>
      </c>
      <c r="T48" s="130">
        <f t="shared" ref="T48" si="63">Q48/S48</f>
        <v>581.96355079980913</v>
      </c>
      <c r="U48" s="85">
        <f t="shared" si="57"/>
        <v>67681607</v>
      </c>
    </row>
    <row r="49" spans="1:26" ht="13.2">
      <c r="A49" s="129" t="s">
        <v>1158</v>
      </c>
      <c r="B49" s="188">
        <f>SUM(F47:F49)</f>
        <v>2988287.005533597</v>
      </c>
      <c r="C49" s="188">
        <f>AVERAGE(F47:F49)</f>
        <v>996095.66851119895</v>
      </c>
      <c r="D49" s="190">
        <f>C49/C46-1</f>
        <v>-0.15275549930989629</v>
      </c>
      <c r="E49" s="287">
        <f>C49/C37-1</f>
        <v>-9.1389441467501165E-2</v>
      </c>
      <c r="F49" s="136">
        <f>Q49/22</f>
        <v>1102212.7272727273</v>
      </c>
      <c r="G49" s="190">
        <f t="shared" ref="G49" si="64">F49/F48-1</f>
        <v>0.41296317502148816</v>
      </c>
      <c r="H49" s="190">
        <f t="shared" ref="H49" si="65">F49/F37-1</f>
        <v>0.18430485815165376</v>
      </c>
      <c r="I49" s="130">
        <f t="shared" si="0"/>
        <v>583.43573087543939</v>
      </c>
      <c r="J49" s="130">
        <f t="shared" si="5"/>
        <v>-0.15125999932866629</v>
      </c>
      <c r="K49" s="136">
        <f>R47+R48+R49</f>
        <v>90197021690</v>
      </c>
      <c r="L49" s="190">
        <f>U49/U46-1</f>
        <v>-7.8138328953367697E-2</v>
      </c>
      <c r="M49" s="190">
        <f>K49/K37-1</f>
        <v>-4.1581668218032886E-2</v>
      </c>
      <c r="N49" s="191">
        <f>AVERAGE(T47:T49)</f>
        <v>593.64840180557906</v>
      </c>
      <c r="O49" s="192">
        <f>N49/N46-1</f>
        <v>1.7627339062145753E-2</v>
      </c>
      <c r="P49" s="129" t="s">
        <v>1158</v>
      </c>
      <c r="Q49" s="116">
        <v>24248680</v>
      </c>
      <c r="R49" s="116">
        <v>33698062360</v>
      </c>
      <c r="S49" s="116">
        <v>41561.870000000003</v>
      </c>
      <c r="T49" s="130">
        <f t="shared" ref="T49" si="66">Q49/S49</f>
        <v>583.43573087543939</v>
      </c>
      <c r="U49" s="85">
        <f t="shared" si="57"/>
        <v>65288173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971692.5</v>
      </c>
      <c r="G50" s="190">
        <f t="shared" ref="G50" si="67">F50/F49-1</f>
        <v>-0.11841654885956676</v>
      </c>
      <c r="H50" s="190">
        <f t="shared" ref="H50" si="68">F50/F38-1</f>
        <v>-0.20838853929694467</v>
      </c>
      <c r="I50" s="130">
        <f t="shared" ref="I50" si="69">T50</f>
        <v>540.72018675218203</v>
      </c>
      <c r="J50" s="130">
        <f t="shared" ref="J50" si="70">I50/I38-1</f>
        <v>-0.25987882728424649</v>
      </c>
      <c r="K50" s="136"/>
      <c r="L50" s="190"/>
      <c r="M50" s="190"/>
      <c r="N50" s="191"/>
      <c r="O50" s="192"/>
      <c r="P50" s="129" t="s">
        <v>1291</v>
      </c>
      <c r="Q50" s="116">
        <v>17490465</v>
      </c>
      <c r="R50" s="116">
        <v>24740098911</v>
      </c>
      <c r="S50" s="116">
        <v>32346.61</v>
      </c>
      <c r="T50" s="130">
        <f t="shared" ref="T50" si="71">Q50/S50</f>
        <v>540.72018675218203</v>
      </c>
      <c r="U50" s="85">
        <f t="shared" si="57"/>
        <v>57340581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1003541.7</v>
      </c>
      <c r="G51" s="190">
        <f t="shared" ref="G51:G52" si="72">F51/F50-1</f>
        <v>3.2777035945013466E-2</v>
      </c>
      <c r="H51" s="190">
        <f t="shared" ref="H51:H52" si="73">F51/F39-1</f>
        <v>-0.29143170473570312</v>
      </c>
      <c r="I51" s="130">
        <f t="shared" ref="I51:I52" si="74">T51</f>
        <v>538.51941487078216</v>
      </c>
      <c r="J51" s="130">
        <f t="shared" ref="J51:J52" si="75">I51/I39-1</f>
        <v>-0.29653893291640165</v>
      </c>
      <c r="K51" s="136"/>
      <c r="L51" s="190"/>
      <c r="M51" s="190"/>
      <c r="N51" s="191"/>
      <c r="O51" s="192"/>
      <c r="P51" s="129" t="s">
        <v>1402</v>
      </c>
      <c r="Q51" s="116">
        <v>20070834</v>
      </c>
      <c r="R51" s="116">
        <v>29116710385</v>
      </c>
      <c r="S51" s="116">
        <v>37270.400000000001</v>
      </c>
      <c r="T51" s="130">
        <f t="shared" ref="T51:T52" si="76">Q51/S51</f>
        <v>538.51941487078216</v>
      </c>
      <c r="U51" s="85">
        <f t="shared" si="57"/>
        <v>61809979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3307185.3818181818</v>
      </c>
      <c r="C52" s="188">
        <f>AVERAGE(F50:F52)</f>
        <v>1102395.1272727272</v>
      </c>
      <c r="D52" s="190">
        <f>C52/C49-1</f>
        <v>0.10671611384517643</v>
      </c>
      <c r="E52" s="287">
        <f>C52/C40-1</f>
        <v>-0.16930540904251135</v>
      </c>
      <c r="F52" s="136">
        <f>Q52/22</f>
        <v>1331951.1818181819</v>
      </c>
      <c r="G52" s="190">
        <f t="shared" si="72"/>
        <v>0.32725045886800919</v>
      </c>
      <c r="H52" s="190">
        <f t="shared" si="73"/>
        <v>-4.1094694359380401E-3</v>
      </c>
      <c r="I52" s="130">
        <f t="shared" si="74"/>
        <v>504.98360431988425</v>
      </c>
      <c r="J52" s="130">
        <f t="shared" si="75"/>
        <v>-0.21328253267160813</v>
      </c>
      <c r="K52" s="136">
        <f>R50+R51+R52</f>
        <v>96979725176</v>
      </c>
      <c r="L52" s="190">
        <f>U52/U49-1</f>
        <v>2.4139931132703074E-2</v>
      </c>
      <c r="M52" s="190">
        <f>K52/K40-1</f>
        <v>-0.15021970254599937</v>
      </c>
      <c r="N52" s="191">
        <f>AVERAGE(T50:T52)</f>
        <v>528.07440198094946</v>
      </c>
      <c r="O52" s="192">
        <f>N52/N49-1</f>
        <v>-0.11045932175541373</v>
      </c>
      <c r="P52" s="129" t="s">
        <v>1403</v>
      </c>
      <c r="Q52" s="116">
        <v>29302926</v>
      </c>
      <c r="R52" s="116">
        <v>43122915880</v>
      </c>
      <c r="S52" s="116">
        <v>58027.48</v>
      </c>
      <c r="T52" s="130">
        <f t="shared" si="76"/>
        <v>504.98360431988425</v>
      </c>
      <c r="U52" s="85">
        <f t="shared" ref="U52" si="77">Q50+Q51+Q52</f>
        <v>66864225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695919.47619047621</v>
      </c>
      <c r="G53" s="190">
        <f t="shared" ref="G53" si="78">F53/F52-1</f>
        <v>-0.47751878170151074</v>
      </c>
      <c r="H53" s="190">
        <f t="shared" ref="H53" si="79">F53/F41-1</f>
        <v>-0.35307836820191107</v>
      </c>
      <c r="I53" s="130">
        <f t="shared" ref="I53" si="80">T53</f>
        <v>546.13310881586085</v>
      </c>
      <c r="J53" s="130">
        <f t="shared" ref="J53" si="81">I53/I41-1</f>
        <v>7.1717243154911792E-4</v>
      </c>
      <c r="K53" s="136"/>
      <c r="L53" s="190"/>
      <c r="M53" s="190"/>
      <c r="N53" s="191"/>
      <c r="O53" s="192"/>
      <c r="P53" s="129" t="s">
        <v>1414</v>
      </c>
      <c r="Q53" s="116">
        <v>14614309</v>
      </c>
      <c r="R53" s="116">
        <v>21328957894</v>
      </c>
      <c r="S53" s="116">
        <v>26759.61</v>
      </c>
      <c r="T53" s="130">
        <f t="shared" ref="T53" si="82">Q53/S53</f>
        <v>546.13310881586085</v>
      </c>
      <c r="U53" s="85">
        <f t="shared" ref="U53" si="83">Q51+Q52+Q53</f>
        <v>63988069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671787.23529411759</v>
      </c>
      <c r="G54" s="190">
        <f t="shared" ref="G54" si="84">F54/F53-1</f>
        <v>-3.4676771842139797E-2</v>
      </c>
      <c r="H54" s="190">
        <f t="shared" ref="H54" si="85">F54/F42-1</f>
        <v>-0.21795196926169491</v>
      </c>
      <c r="I54" s="130">
        <f t="shared" ref="I54" si="86">T54</f>
        <v>534.02734296638971</v>
      </c>
      <c r="J54" s="130">
        <f t="shared" ref="J54" si="87">I54/I42-1</f>
        <v>-5.6868865681613201E-2</v>
      </c>
      <c r="K54" s="136"/>
      <c r="L54" s="190"/>
      <c r="M54" s="190"/>
      <c r="N54" s="191"/>
      <c r="O54" s="192"/>
      <c r="P54" s="129" t="s">
        <v>1417</v>
      </c>
      <c r="Q54" s="116">
        <v>11420383</v>
      </c>
      <c r="R54" s="116">
        <v>16559510820</v>
      </c>
      <c r="S54" s="116">
        <v>21385.39</v>
      </c>
      <c r="T54" s="130">
        <f t="shared" ref="T54" si="88">Q54/S54</f>
        <v>534.02734296638971</v>
      </c>
      <c r="U54" s="85">
        <f t="shared" ref="U54" si="89">Q52+Q53+Q54</f>
        <v>55337618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2534094.3305322127</v>
      </c>
      <c r="C55" s="188">
        <f>AVERAGE(F53:F55)</f>
        <v>844698.11017740425</v>
      </c>
      <c r="D55" s="190">
        <f>C55/C52-1</f>
        <v>-0.23376102698571699</v>
      </c>
      <c r="E55" s="287">
        <f>C55/C43-1</f>
        <v>-0.16576277963940012</v>
      </c>
      <c r="F55" s="136">
        <f>Q55/21</f>
        <v>1166387.6190476189</v>
      </c>
      <c r="G55" s="190">
        <f t="shared" ref="G55" si="90">F55/F54-1</f>
        <v>0.7362455815894724</v>
      </c>
      <c r="H55" s="190">
        <f t="shared" ref="H55" si="91">F55/F43-1</f>
        <v>5.7594750712387066E-2</v>
      </c>
      <c r="I55" s="130">
        <f>T55</f>
        <v>519.65795355989337</v>
      </c>
      <c r="J55" s="130">
        <f t="shared" ref="J55" si="92">I55/I43-1</f>
        <v>-0.13519242327519287</v>
      </c>
      <c r="K55" s="136">
        <f>R53+R54+R55</f>
        <v>73801052299</v>
      </c>
      <c r="L55" s="190">
        <f>U55/U52-1</f>
        <v>-0.24430692197509207</v>
      </c>
      <c r="M55" s="190">
        <f>K55/K43-1</f>
        <v>-0.134209262266061</v>
      </c>
      <c r="N55" s="191">
        <f>AVERAGE(T53:T55)</f>
        <v>533.27280178071476</v>
      </c>
      <c r="O55" s="192">
        <f>N55/N52-1</f>
        <v>9.844067010755797E-3</v>
      </c>
      <c r="P55" s="129" t="s">
        <v>1418</v>
      </c>
      <c r="Q55" s="116">
        <v>24494140</v>
      </c>
      <c r="R55" s="116">
        <v>35912583585</v>
      </c>
      <c r="S55" s="116">
        <v>47135.12</v>
      </c>
      <c r="T55" s="130">
        <f t="shared" ref="T55" si="93">Q55/S55</f>
        <v>519.65795355989337</v>
      </c>
      <c r="U55" s="85">
        <f t="shared" ref="U55" si="94">Q53+Q54+Q55</f>
        <v>50528832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974062.68181818177</v>
      </c>
      <c r="G56" s="190">
        <f t="shared" ref="G56" si="95">F56/F55-1</f>
        <v>-0.16488938504549178</v>
      </c>
      <c r="H56" s="190">
        <f t="shared" ref="H56" si="96">F56/F44-1</f>
        <v>0.15753428653255441</v>
      </c>
      <c r="I56" s="291">
        <f>T56</f>
        <v>504.692480759072</v>
      </c>
      <c r="J56" s="130">
        <f t="shared" ref="J56" si="97">I56/I44-1</f>
        <v>-0.11968223497144859</v>
      </c>
      <c r="K56" s="136"/>
      <c r="L56" s="190"/>
      <c r="M56" s="190"/>
      <c r="N56" s="191"/>
      <c r="O56" s="192"/>
      <c r="P56" s="129" t="s">
        <v>1420</v>
      </c>
      <c r="Q56" s="116">
        <v>21429379</v>
      </c>
      <c r="R56" s="116">
        <v>31966060665</v>
      </c>
      <c r="S56" s="116">
        <v>42460.27</v>
      </c>
      <c r="T56" s="130">
        <f t="shared" ref="T56" si="98">Q56/S56</f>
        <v>504.692480759072</v>
      </c>
      <c r="U56" s="85">
        <f t="shared" ref="U56" si="99">Q54+Q55+Q56</f>
        <v>57343902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1060559.5833333333</v>
      </c>
      <c r="G57" s="254">
        <f t="shared" ref="G57" si="100">F57/F56-1</f>
        <v>8.8800138974318044E-2</v>
      </c>
      <c r="H57" s="254">
        <f t="shared" ref="H57" si="101">F57/F45-1</f>
        <v>-0.17360147244697566</v>
      </c>
      <c r="I57" s="282">
        <f>T57</f>
        <v>456.93882548258449</v>
      </c>
      <c r="J57" s="277">
        <f t="shared" ref="J57" si="102">I57/I45-1</f>
        <v>-0.26070104521936777</v>
      </c>
      <c r="K57" s="204"/>
      <c r="L57" s="254"/>
      <c r="M57" s="254"/>
      <c r="N57" s="257"/>
      <c r="O57" s="258"/>
      <c r="P57" s="129" t="s">
        <v>1436</v>
      </c>
      <c r="Q57" s="116">
        <v>12726715</v>
      </c>
      <c r="R57" s="116">
        <v>18774110855</v>
      </c>
      <c r="S57" s="116">
        <v>27852.12</v>
      </c>
      <c r="T57" s="130">
        <f t="shared" ref="T57" si="103">Q57/S57</f>
        <v>456.93882548258449</v>
      </c>
      <c r="U57" s="85">
        <f t="shared" ref="U57" si="104">Q55+Q56+Q57</f>
        <v>58650234</v>
      </c>
      <c r="V57" s="79"/>
      <c r="W57" s="79"/>
      <c r="X57" s="79"/>
      <c r="Y57" s="79"/>
      <c r="Z57" s="79"/>
    </row>
    <row r="58" spans="1:26">
      <c r="B58" s="196">
        <f>SUM(F56:F58)</f>
        <v>2034622.2651515151</v>
      </c>
      <c r="C58" s="196">
        <f>AVERAGE(F56:F58)</f>
        <v>1017311.1325757576</v>
      </c>
      <c r="D58" s="197">
        <f>C58/C55-1</f>
        <v>0.2043487730333633</v>
      </c>
      <c r="E58" s="233">
        <f>C58/C46-1</f>
        <v>-0.13471035984537938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84684926</v>
      </c>
      <c r="R66" s="212">
        <v>124541223819</v>
      </c>
      <c r="S66" s="213">
        <v>165592.51</v>
      </c>
    </row>
    <row r="67" spans="16:19" ht="18" thickBot="1">
      <c r="P67" s="180" t="s">
        <v>976</v>
      </c>
      <c r="Q67" s="181">
        <v>14614309</v>
      </c>
      <c r="R67" s="181">
        <v>21328957894</v>
      </c>
      <c r="S67" s="182">
        <v>26759.61</v>
      </c>
    </row>
    <row r="68" spans="16:19" ht="18" thickBot="1">
      <c r="P68" s="180" t="s">
        <v>977</v>
      </c>
      <c r="Q68" s="181">
        <v>11420383</v>
      </c>
      <c r="R68" s="181">
        <v>16559510820</v>
      </c>
      <c r="S68" s="182">
        <v>21385.39</v>
      </c>
    </row>
    <row r="69" spans="16:19" ht="18" thickBot="1">
      <c r="P69" s="180" t="s">
        <v>978</v>
      </c>
      <c r="Q69" s="181">
        <v>24494140</v>
      </c>
      <c r="R69" s="181">
        <v>35912583585</v>
      </c>
      <c r="S69" s="182">
        <v>47135.12</v>
      </c>
    </row>
    <row r="70" spans="16:19" ht="18" thickBot="1">
      <c r="P70" s="180" t="s">
        <v>979</v>
      </c>
      <c r="Q70" s="181">
        <v>21429379</v>
      </c>
      <c r="R70" s="181">
        <v>31966060665</v>
      </c>
      <c r="S70" s="182">
        <v>42460.27</v>
      </c>
    </row>
    <row r="71" spans="16:19" ht="18" thickBot="1">
      <c r="P71" s="180" t="s">
        <v>980</v>
      </c>
      <c r="Q71" s="181">
        <v>12726715</v>
      </c>
      <c r="R71" s="181">
        <v>18774110855</v>
      </c>
      <c r="S71" s="182">
        <v>27852.12</v>
      </c>
    </row>
    <row r="72" spans="16:19" ht="18" thickBot="1">
      <c r="P72" s="180" t="s">
        <v>975</v>
      </c>
      <c r="Q72" s="181">
        <v>261522879</v>
      </c>
      <c r="R72" s="181">
        <v>371851124852</v>
      </c>
      <c r="S72" s="182">
        <v>461278.16</v>
      </c>
    </row>
    <row r="73" spans="16:19" ht="18" thickBot="1">
      <c r="P73" s="180" t="s">
        <v>982</v>
      </c>
      <c r="Q73" s="181">
        <v>336297204</v>
      </c>
      <c r="R73" s="181">
        <v>457825290497</v>
      </c>
      <c r="S73" s="182">
        <v>449086.87</v>
      </c>
    </row>
    <row r="74" spans="16:19" ht="18" thickBot="1">
      <c r="P74" s="215" t="s">
        <v>1386</v>
      </c>
      <c r="Q74" s="216">
        <v>316426</v>
      </c>
      <c r="R74"/>
      <c r="S74"/>
    </row>
  </sheetData>
  <phoneticPr fontId="1" type="noConversion"/>
  <conditionalFormatting sqref="C29:C30">
    <cfRule type="cellIs" dxfId="1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6">
    <tabColor rgb="FFFFFF00"/>
  </sheetPr>
  <dimension ref="A1:Z72"/>
  <sheetViews>
    <sheetView topLeftCell="C1" zoomScale="90" zoomScaleNormal="90" workbookViewId="0">
      <selection activeCell="F66" sqref="F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8534002000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13065089.6</v>
      </c>
      <c r="G5" s="90"/>
      <c r="H5" s="90"/>
      <c r="I5" s="130">
        <f t="shared" ref="I5:I49" si="0">T5</f>
        <v>680.61191410147887</v>
      </c>
      <c r="J5" s="130"/>
      <c r="L5" s="80"/>
      <c r="M5" s="80"/>
      <c r="P5" s="129" t="s">
        <v>0</v>
      </c>
      <c r="Q5" s="116">
        <v>261301792</v>
      </c>
      <c r="R5" s="116">
        <v>308275901536</v>
      </c>
      <c r="S5" s="116">
        <v>383921.86</v>
      </c>
      <c r="T5" s="130">
        <f t="shared" ref="T5:T17" si="1">Q5/S5</f>
        <v>680.61191410147887</v>
      </c>
      <c r="U5" s="85"/>
    </row>
    <row r="6" spans="1:21" ht="15" hidden="1" customHeight="1">
      <c r="A6" s="129" t="s">
        <v>1</v>
      </c>
      <c r="C6" s="79"/>
      <c r="F6" s="78">
        <f>Q6/18</f>
        <v>14442260.555555556</v>
      </c>
      <c r="G6" s="90">
        <f t="shared" ref="G6:G16" si="2">F6/F5-1</f>
        <v>0.10540845855014691</v>
      </c>
      <c r="H6" s="90"/>
      <c r="I6" s="130">
        <f t="shared" si="0"/>
        <v>700.15739494307036</v>
      </c>
      <c r="J6" s="130"/>
      <c r="P6" s="129" t="s">
        <v>1</v>
      </c>
      <c r="Q6" s="116">
        <v>259960690</v>
      </c>
      <c r="R6" s="116">
        <v>308869283646</v>
      </c>
      <c r="S6" s="116">
        <v>371288.93</v>
      </c>
      <c r="T6" s="130">
        <f t="shared" si="1"/>
        <v>700.15739494307036</v>
      </c>
      <c r="U6" s="85"/>
    </row>
    <row r="7" spans="1:21" ht="15" hidden="1" customHeight="1">
      <c r="A7" s="129" t="s">
        <v>2</v>
      </c>
      <c r="B7" s="131">
        <f>F5+F6+F7</f>
        <v>40689061.610101007</v>
      </c>
      <c r="C7" s="131">
        <f>AVERAGE(F5:F7)</f>
        <v>13563020.536700336</v>
      </c>
      <c r="F7" s="78">
        <f>Q7/22</f>
        <v>13181711.454545455</v>
      </c>
      <c r="G7" s="90">
        <f t="shared" si="2"/>
        <v>-8.7281980280102367E-2</v>
      </c>
      <c r="H7" s="90"/>
      <c r="I7" s="130">
        <f t="shared" si="0"/>
        <v>691.78977722041873</v>
      </c>
      <c r="J7" s="130"/>
      <c r="K7" s="79">
        <f>R5+R6+R7</f>
        <v>966564241127</v>
      </c>
      <c r="N7" s="88">
        <f>AVERAGE(T5:T7)</f>
        <v>690.85302875498928</v>
      </c>
      <c r="P7" s="129" t="s">
        <v>2</v>
      </c>
      <c r="Q7" s="116">
        <v>289997652</v>
      </c>
      <c r="R7" s="116">
        <v>349419055945</v>
      </c>
      <c r="S7" s="116">
        <v>419199.1</v>
      </c>
      <c r="T7" s="130">
        <f t="shared" si="1"/>
        <v>691.78977722041873</v>
      </c>
      <c r="U7" s="85">
        <f>Q5+Q6+Q7</f>
        <v>811260134</v>
      </c>
    </row>
    <row r="8" spans="1:21" ht="15" hidden="1" customHeight="1">
      <c r="A8" s="129" t="s">
        <v>3</v>
      </c>
      <c r="C8" s="79"/>
      <c r="F8" s="78">
        <f>Q8/21</f>
        <v>13115108.571428571</v>
      </c>
      <c r="G8" s="90">
        <f t="shared" si="2"/>
        <v>-5.052673421547027E-3</v>
      </c>
      <c r="H8" s="90"/>
      <c r="I8" s="130">
        <f t="shared" si="0"/>
        <v>715.52545006428932</v>
      </c>
      <c r="J8" s="130"/>
      <c r="K8" s="78"/>
      <c r="P8" s="129" t="s">
        <v>3</v>
      </c>
      <c r="Q8" s="116">
        <v>275417280</v>
      </c>
      <c r="R8" s="116">
        <v>333972357389</v>
      </c>
      <c r="S8" s="116">
        <v>384916.12</v>
      </c>
      <c r="T8" s="130">
        <f t="shared" si="1"/>
        <v>715.52545006428932</v>
      </c>
      <c r="U8" s="85"/>
    </row>
    <row r="9" spans="1:21" ht="15" hidden="1" customHeight="1">
      <c r="A9" s="129" t="s">
        <v>4</v>
      </c>
      <c r="C9" s="79"/>
      <c r="F9" s="78">
        <f>Q9/21</f>
        <v>13791179.666666666</v>
      </c>
      <c r="G9" s="90">
        <f t="shared" si="2"/>
        <v>5.1549027715326989E-2</v>
      </c>
      <c r="H9" s="90"/>
      <c r="I9" s="130">
        <f t="shared" si="0"/>
        <v>736.32136845871514</v>
      </c>
      <c r="J9" s="130"/>
      <c r="K9" s="78"/>
      <c r="P9" s="129" t="s">
        <v>4</v>
      </c>
      <c r="Q9" s="116">
        <v>289614773</v>
      </c>
      <c r="R9" s="116">
        <v>363798208385</v>
      </c>
      <c r="S9" s="116">
        <v>393326.59</v>
      </c>
      <c r="T9" s="130">
        <f t="shared" si="1"/>
        <v>736.32136845871514</v>
      </c>
      <c r="U9" s="85"/>
    </row>
    <row r="10" spans="1:21" ht="15" hidden="1" customHeight="1">
      <c r="A10" s="129" t="s">
        <v>5</v>
      </c>
      <c r="B10" s="131">
        <f>F8+F9+F10</f>
        <v>38814362.095238097</v>
      </c>
      <c r="C10" s="131">
        <f>AVERAGE(F8:F10)</f>
        <v>12938120.6984127</v>
      </c>
      <c r="D10" s="90">
        <f>C10/C7-1</f>
        <v>-4.6073795774083881E-2</v>
      </c>
      <c r="E10" s="286"/>
      <c r="F10" s="78">
        <f>Q10/21</f>
        <v>11908073.857142856</v>
      </c>
      <c r="G10" s="90">
        <f t="shared" si="2"/>
        <v>-0.13654421558115759</v>
      </c>
      <c r="H10" s="90"/>
      <c r="I10" s="130">
        <f t="shared" si="0"/>
        <v>746.06072695211344</v>
      </c>
      <c r="J10" s="130"/>
      <c r="K10" s="79">
        <f>R8+R9+R10</f>
        <v>1011925254498</v>
      </c>
      <c r="L10" s="87">
        <f>U10/U7-1</f>
        <v>4.7351889227678079E-3</v>
      </c>
      <c r="N10" s="88">
        <f>AVERAGE(T8:T10)</f>
        <v>732.63584849170593</v>
      </c>
      <c r="O10" s="89">
        <f>N10/N7-1</f>
        <v>6.0480041336744117E-2</v>
      </c>
      <c r="P10" s="129" t="s">
        <v>5</v>
      </c>
      <c r="Q10" s="116">
        <v>250069551</v>
      </c>
      <c r="R10" s="116">
        <v>314154688724</v>
      </c>
      <c r="S10" s="116">
        <v>335186.59000000003</v>
      </c>
      <c r="T10" s="130">
        <f t="shared" si="1"/>
        <v>746.06072695211344</v>
      </c>
      <c r="U10" s="85">
        <f>Q8+Q9+Q10</f>
        <v>815101604</v>
      </c>
    </row>
    <row r="11" spans="1:21" ht="15" hidden="1" customHeight="1">
      <c r="A11" s="129" t="s">
        <v>6</v>
      </c>
      <c r="C11" s="79"/>
      <c r="F11" s="78">
        <f>Q11/21</f>
        <v>12227177.571428571</v>
      </c>
      <c r="G11" s="90">
        <f t="shared" si="2"/>
        <v>2.6797256895942478E-2</v>
      </c>
      <c r="H11" s="90"/>
      <c r="I11" s="130">
        <f t="shared" si="0"/>
        <v>754.72289503320735</v>
      </c>
      <c r="J11" s="130"/>
      <c r="K11" s="78"/>
      <c r="O11" s="89"/>
      <c r="P11" s="129" t="s">
        <v>6</v>
      </c>
      <c r="Q11" s="116">
        <v>256770729</v>
      </c>
      <c r="R11" s="116">
        <v>331454168246</v>
      </c>
      <c r="S11" s="116">
        <v>340218.55</v>
      </c>
      <c r="T11" s="130">
        <f t="shared" si="1"/>
        <v>754.72289503320735</v>
      </c>
      <c r="U11" s="85"/>
    </row>
    <row r="12" spans="1:21" ht="15" hidden="1" customHeight="1">
      <c r="A12" s="129" t="s">
        <v>7</v>
      </c>
      <c r="C12" s="79"/>
      <c r="F12" s="78">
        <f>Q12/22</f>
        <v>12459377.409090908</v>
      </c>
      <c r="G12" s="90">
        <f t="shared" si="2"/>
        <v>1.899046908461699E-2</v>
      </c>
      <c r="H12" s="90"/>
      <c r="I12" s="130">
        <f t="shared" si="0"/>
        <v>772.96976728420475</v>
      </c>
      <c r="J12" s="130"/>
      <c r="K12" s="78"/>
      <c r="O12" s="89"/>
      <c r="P12" s="129" t="s">
        <v>7</v>
      </c>
      <c r="Q12" s="116">
        <v>274106303</v>
      </c>
      <c r="R12" s="116">
        <v>356368229207</v>
      </c>
      <c r="S12" s="116">
        <v>354614.52</v>
      </c>
      <c r="T12" s="130">
        <f t="shared" si="1"/>
        <v>772.96976728420475</v>
      </c>
      <c r="U12" s="85"/>
    </row>
    <row r="13" spans="1:21" ht="15" hidden="1" customHeight="1">
      <c r="A13" s="129" t="s">
        <v>96</v>
      </c>
      <c r="B13" s="131">
        <f>F11+F12+F13</f>
        <v>37973110.680519477</v>
      </c>
      <c r="C13" s="131">
        <f>AVERAGE(F11:F13)</f>
        <v>12657703.560173159</v>
      </c>
      <c r="D13" s="90">
        <f>C13/C10-1</f>
        <v>-2.1673714813461475E-2</v>
      </c>
      <c r="E13" s="286"/>
      <c r="F13" s="78">
        <f>Q13/20</f>
        <v>13286555.699999999</v>
      </c>
      <c r="G13" s="90">
        <f t="shared" si="2"/>
        <v>6.6390018036177834E-2</v>
      </c>
      <c r="H13" s="90"/>
      <c r="I13" s="130">
        <f t="shared" si="0"/>
        <v>813.06300659605415</v>
      </c>
      <c r="J13" s="130"/>
      <c r="K13" s="78">
        <f>R11+R12+R13</f>
        <v>1050649191643</v>
      </c>
      <c r="L13" s="87">
        <f>U13/U10-1</f>
        <v>-2.2688530987113653E-2</v>
      </c>
      <c r="N13" s="88">
        <f>AVERAGE(T11:T13)</f>
        <v>780.25188963782205</v>
      </c>
      <c r="O13" s="89">
        <f>N13/N10-1</f>
        <v>6.4992780853058596E-2</v>
      </c>
      <c r="P13" s="129" t="s">
        <v>96</v>
      </c>
      <c r="Q13" s="116">
        <v>265731114</v>
      </c>
      <c r="R13" s="116">
        <v>362826794190</v>
      </c>
      <c r="S13" s="116">
        <v>326827.21000000002</v>
      </c>
      <c r="T13" s="130">
        <f t="shared" si="1"/>
        <v>813.06300659605415</v>
      </c>
      <c r="U13" s="85">
        <f>Q11+Q12+Q13</f>
        <v>796608146</v>
      </c>
    </row>
    <row r="14" spans="1:21" ht="15" hidden="1" customHeight="1">
      <c r="A14" s="129" t="s">
        <v>97</v>
      </c>
      <c r="C14" s="79"/>
      <c r="F14" s="78">
        <f>Q14/20</f>
        <v>12106880.1</v>
      </c>
      <c r="G14" s="90">
        <f t="shared" si="2"/>
        <v>-8.87871640051906E-2</v>
      </c>
      <c r="H14" s="90"/>
      <c r="I14" s="130">
        <f t="shared" si="0"/>
        <v>818.59372899742345</v>
      </c>
      <c r="J14" s="130"/>
      <c r="O14" s="89"/>
      <c r="P14" s="129" t="s">
        <v>97</v>
      </c>
      <c r="Q14" s="116">
        <v>242137602</v>
      </c>
      <c r="R14" s="116">
        <v>345221730778</v>
      </c>
      <c r="S14" s="116">
        <v>295797.03999999998</v>
      </c>
      <c r="T14" s="130">
        <f t="shared" si="1"/>
        <v>818.59372899742345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9172696.5</v>
      </c>
      <c r="G15" s="90">
        <f t="shared" si="2"/>
        <v>-0.24235670757158978</v>
      </c>
      <c r="H15" s="90"/>
      <c r="I15" s="130">
        <f t="shared" si="0"/>
        <v>660.63839096495064</v>
      </c>
      <c r="J15" s="130"/>
      <c r="O15" s="89"/>
      <c r="P15" s="129" t="s">
        <v>98</v>
      </c>
      <c r="Q15" s="116">
        <v>201799323</v>
      </c>
      <c r="R15" s="116">
        <v>279104520541</v>
      </c>
      <c r="S15" s="116">
        <v>305461.09000000003</v>
      </c>
      <c r="T15" s="130">
        <f t="shared" si="1"/>
        <v>660.63839096495064</v>
      </c>
      <c r="U15" s="85"/>
    </row>
    <row r="16" spans="1:21" ht="15" hidden="1" customHeight="1">
      <c r="A16" s="129" t="s">
        <v>99</v>
      </c>
      <c r="B16" s="131">
        <f>F14+F15+F16</f>
        <v>29600290.327272728</v>
      </c>
      <c r="C16" s="131">
        <f>AVERAGE(F14:F16)</f>
        <v>9866763.4424242433</v>
      </c>
      <c r="D16" s="90">
        <f>C16/C13-1</f>
        <v>-0.22049340186244148</v>
      </c>
      <c r="E16" s="286"/>
      <c r="F16" s="78">
        <f>Q16/22</f>
        <v>8320713.7272727275</v>
      </c>
      <c r="G16" s="90">
        <f t="shared" si="2"/>
        <v>-9.2882477113166551E-2</v>
      </c>
      <c r="H16" s="90"/>
      <c r="I16" s="130">
        <f t="shared" si="0"/>
        <v>618.08803183501595</v>
      </c>
      <c r="J16" s="130"/>
      <c r="K16" s="78">
        <f>R14+R15+R16</f>
        <v>864528419174</v>
      </c>
      <c r="L16" s="87">
        <f>U16/U13-1</f>
        <v>-0.21292214980688884</v>
      </c>
      <c r="N16" s="88">
        <f>AVERAGE(T14:T16)</f>
        <v>699.10671726579676</v>
      </c>
      <c r="O16" s="89">
        <f>N16/N13-1</f>
        <v>-0.10399868741066598</v>
      </c>
      <c r="P16" s="129" t="s">
        <v>99</v>
      </c>
      <c r="Q16" s="116">
        <v>183055702</v>
      </c>
      <c r="R16" s="116">
        <v>240202167855</v>
      </c>
      <c r="S16" s="116">
        <v>296164.45</v>
      </c>
      <c r="T16" s="130">
        <f t="shared" si="1"/>
        <v>618.08803183501595</v>
      </c>
      <c r="U16" s="85">
        <f>Q14+Q15+Q16</f>
        <v>626992627</v>
      </c>
    </row>
    <row r="17" spans="1:21" ht="15" hidden="1" customHeight="1">
      <c r="A17" s="129" t="s">
        <v>100</v>
      </c>
      <c r="C17" s="79"/>
      <c r="F17" s="78">
        <f>Q17/20</f>
        <v>8398309.75</v>
      </c>
      <c r="G17" s="90">
        <f t="shared" ref="G17:G22" si="3">F17/F16-1</f>
        <v>9.3256450432774862E-3</v>
      </c>
      <c r="H17" s="90">
        <f t="shared" ref="H17:H22" si="4">F17/F5-1</f>
        <v>-0.35719463033762888</v>
      </c>
      <c r="I17" s="130">
        <f t="shared" si="0"/>
        <v>593.63908223446481</v>
      </c>
      <c r="J17" s="130">
        <f t="shared" ref="J17:J49" si="5">I17/I5-1</f>
        <v>-0.12778623186729354</v>
      </c>
      <c r="O17" s="89"/>
      <c r="P17" s="129" t="s">
        <v>100</v>
      </c>
      <c r="Q17" s="116">
        <v>167966195</v>
      </c>
      <c r="R17" s="116">
        <v>211206537890</v>
      </c>
      <c r="S17" s="116">
        <v>282943.28999999998</v>
      </c>
      <c r="T17" s="130">
        <f t="shared" si="1"/>
        <v>593.63908223446481</v>
      </c>
      <c r="U17" s="78"/>
    </row>
    <row r="18" spans="1:21" hidden="1">
      <c r="A18" s="129" t="s">
        <v>106</v>
      </c>
      <c r="C18" s="79"/>
      <c r="F18" s="78">
        <f>Q18/20</f>
        <v>6639992.1500000004</v>
      </c>
      <c r="G18" s="90">
        <f t="shared" si="3"/>
        <v>-0.20936565241595184</v>
      </c>
      <c r="H18" s="90">
        <f t="shared" si="4"/>
        <v>-0.54023872340083412</v>
      </c>
      <c r="I18" s="130">
        <f t="shared" si="0"/>
        <v>531.38822737600947</v>
      </c>
      <c r="J18" s="130">
        <f t="shared" si="5"/>
        <v>-0.24104461194869398</v>
      </c>
      <c r="O18" s="89"/>
      <c r="P18" s="129" t="s">
        <v>106</v>
      </c>
      <c r="Q18" s="116">
        <v>132799843</v>
      </c>
      <c r="R18" s="116">
        <v>166538296297</v>
      </c>
      <c r="S18" s="116">
        <v>249911.15</v>
      </c>
      <c r="T18" s="130">
        <f t="shared" ref="T18" si="6">Q18/S18</f>
        <v>531.38822737600947</v>
      </c>
      <c r="U18" s="78"/>
    </row>
    <row r="19" spans="1:21" hidden="1">
      <c r="A19" s="129" t="s">
        <v>114</v>
      </c>
      <c r="B19" s="131">
        <f>SUM(F17:F19)</f>
        <v>22166050.081818182</v>
      </c>
      <c r="C19" s="131">
        <f>AVERAGE(F17:F19)</f>
        <v>7388683.3606060604</v>
      </c>
      <c r="D19" s="90">
        <f>C19/C16-1</f>
        <v>-0.25115430163888919</v>
      </c>
      <c r="E19" s="286">
        <f>C19/C7-1</f>
        <v>-0.4552331952448988</v>
      </c>
      <c r="F19" s="78">
        <f>Q19/22</f>
        <v>7127748.1818181816</v>
      </c>
      <c r="G19" s="90">
        <f t="shared" si="3"/>
        <v>7.3457320550925909E-2</v>
      </c>
      <c r="H19" s="90">
        <f t="shared" si="4"/>
        <v>-0.45926989781282779</v>
      </c>
      <c r="I19" s="130">
        <f t="shared" si="0"/>
        <v>515.33953022836567</v>
      </c>
      <c r="J19" s="130">
        <f t="shared" si="5"/>
        <v>-0.25506339180238036</v>
      </c>
      <c r="K19" s="78">
        <f>R17+R18+R19</f>
        <v>582688283611</v>
      </c>
      <c r="L19" s="87">
        <f>U19/U16-1</f>
        <v>-0.27020434005837202</v>
      </c>
      <c r="M19" s="87">
        <f>U19/U7-1</f>
        <v>-0.43596821928883289</v>
      </c>
      <c r="N19" s="88">
        <f>AVERAGE(T17:T19)</f>
        <v>546.78894661294669</v>
      </c>
      <c r="O19" s="89">
        <f>N19/N16-1</f>
        <v>-0.21787484927703771</v>
      </c>
      <c r="P19" s="129" t="s">
        <v>115</v>
      </c>
      <c r="Q19" s="116">
        <v>156810460</v>
      </c>
      <c r="R19" s="116">
        <v>204943449424</v>
      </c>
      <c r="S19" s="116">
        <v>304285.71999999997</v>
      </c>
      <c r="T19" s="130">
        <f t="shared" ref="T19" si="7">Q19/S19</f>
        <v>515.33953022836567</v>
      </c>
      <c r="U19" s="85">
        <f>Q17+Q18+Q19</f>
        <v>457576498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7325264.4500000002</v>
      </c>
      <c r="G20" s="90">
        <f t="shared" si="3"/>
        <v>2.7710893138123582E-2</v>
      </c>
      <c r="H20" s="90">
        <f t="shared" si="4"/>
        <v>-0.44146368212626308</v>
      </c>
      <c r="I20" s="130">
        <f t="shared" si="0"/>
        <v>570.13928758822783</v>
      </c>
      <c r="J20" s="130">
        <f t="shared" si="5"/>
        <v>-0.20318796831475205</v>
      </c>
      <c r="O20" s="89"/>
      <c r="P20" s="129" t="s">
        <v>132</v>
      </c>
      <c r="Q20" s="116">
        <v>146505289</v>
      </c>
      <c r="R20" s="116">
        <v>192103242915</v>
      </c>
      <c r="S20" s="116">
        <v>256964.03</v>
      </c>
      <c r="T20" s="130">
        <f t="shared" ref="T20" si="8">Q20/S20</f>
        <v>570.13928758822783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9055541.0476190485</v>
      </c>
      <c r="G21" s="90">
        <f t="shared" si="3"/>
        <v>0.23620670754337736</v>
      </c>
      <c r="H21" s="90">
        <f t="shared" si="4"/>
        <v>-0.34338169275639807</v>
      </c>
      <c r="I21" s="130">
        <f t="shared" si="0"/>
        <v>581.47568981804875</v>
      </c>
      <c r="J21" s="130">
        <f t="shared" si="5"/>
        <v>-0.21029632613378169</v>
      </c>
      <c r="O21" s="89"/>
      <c r="P21" s="129" t="s">
        <v>141</v>
      </c>
      <c r="Q21" s="116">
        <v>190166362</v>
      </c>
      <c r="R21" s="116">
        <v>253117306707</v>
      </c>
      <c r="S21" s="116">
        <v>327040.95</v>
      </c>
      <c r="T21" s="130">
        <f t="shared" ref="T21" si="9">Q21/S21</f>
        <v>581.47568981804875</v>
      </c>
      <c r="U21" s="78"/>
    </row>
    <row r="22" spans="1:21" hidden="1">
      <c r="A22" s="129" t="s">
        <v>156</v>
      </c>
      <c r="B22" s="131">
        <f>SUM(F20:F22)</f>
        <v>26221049.973809525</v>
      </c>
      <c r="C22" s="131">
        <f>AVERAGE(F20:F22)</f>
        <v>8740349.9912698418</v>
      </c>
      <c r="D22" s="90">
        <f>C22/C19-1</f>
        <v>0.18293741451560996</v>
      </c>
      <c r="E22" s="286">
        <f>C22/C10-1</f>
        <v>-0.32444980264080059</v>
      </c>
      <c r="F22" s="78">
        <f>Q22/21</f>
        <v>9840244.4761904757</v>
      </c>
      <c r="G22" s="90">
        <f t="shared" si="3"/>
        <v>8.6654505174790009E-2</v>
      </c>
      <c r="H22" s="90">
        <f t="shared" si="4"/>
        <v>-0.17364935805399195</v>
      </c>
      <c r="I22" s="130">
        <f t="shared" si="0"/>
        <v>627.97710092080354</v>
      </c>
      <c r="J22" s="130">
        <f t="shared" si="5"/>
        <v>-0.15827615871662037</v>
      </c>
      <c r="K22" s="78">
        <f>R20+R21+R22</f>
        <v>713994762666</v>
      </c>
      <c r="L22" s="87">
        <f>U22/U19-1</f>
        <v>0.18737913195882716</v>
      </c>
      <c r="M22" s="87">
        <f>U22/U10-1</f>
        <v>-0.33343673680220121</v>
      </c>
      <c r="N22" s="88">
        <f>AVERAGE(T20:T22)</f>
        <v>593.19735944235993</v>
      </c>
      <c r="O22" s="89">
        <f>N22/N19-1</f>
        <v>8.4874453144833106E-2</v>
      </c>
      <c r="P22" s="129" t="s">
        <v>156</v>
      </c>
      <c r="Q22" s="116">
        <v>206645134</v>
      </c>
      <c r="R22" s="116">
        <v>268774213044</v>
      </c>
      <c r="S22" s="116">
        <v>329064.76</v>
      </c>
      <c r="T22" s="130">
        <f t="shared" ref="T22:T23" si="10">Q22/S22</f>
        <v>627.97710092080354</v>
      </c>
      <c r="U22" s="85">
        <f>Q20+Q21+Q22</f>
        <v>543316785</v>
      </c>
    </row>
    <row r="23" spans="1:21" hidden="1">
      <c r="A23" s="129" t="s">
        <v>189</v>
      </c>
      <c r="B23" s="131"/>
      <c r="C23" s="131"/>
      <c r="F23" s="78">
        <f>Q23/21</f>
        <v>10021031.333333334</v>
      </c>
      <c r="G23" s="90">
        <f t="shared" ref="G23" si="11">F23/F22-1</f>
        <v>1.8372191623926781E-2</v>
      </c>
      <c r="H23" s="90">
        <f t="shared" ref="H23" si="12">F23/F11-1</f>
        <v>-0.18042972102166666</v>
      </c>
      <c r="I23" s="130">
        <f t="shared" si="0"/>
        <v>637.47709974559882</v>
      </c>
      <c r="J23" s="130">
        <f t="shared" si="5"/>
        <v>-0.15534946145028472</v>
      </c>
      <c r="O23" s="89"/>
      <c r="P23" s="129" t="s">
        <v>189</v>
      </c>
      <c r="Q23" s="116">
        <v>210441658</v>
      </c>
      <c r="R23" s="116">
        <v>271621193937</v>
      </c>
      <c r="S23" s="116">
        <v>330116.42</v>
      </c>
      <c r="T23" s="130">
        <f t="shared" si="10"/>
        <v>637.47709974559882</v>
      </c>
      <c r="U23" s="78"/>
    </row>
    <row r="24" spans="1:21" hidden="1">
      <c r="A24" s="129" t="s">
        <v>204</v>
      </c>
      <c r="B24" s="131"/>
      <c r="C24" s="131"/>
      <c r="F24" s="78">
        <f>Q24/22</f>
        <v>9862520.1363636367</v>
      </c>
      <c r="G24" s="90">
        <f t="shared" ref="G24" si="13">F24/F23-1</f>
        <v>-1.5817852643812746E-2</v>
      </c>
      <c r="H24" s="90">
        <f t="shared" ref="H24" si="14">F24/F12-1</f>
        <v>-0.20842592590802256</v>
      </c>
      <c r="I24" s="130">
        <f t="shared" si="0"/>
        <v>622.18709637495715</v>
      </c>
      <c r="J24" s="130">
        <f t="shared" si="5"/>
        <v>-0.19506929933238637</v>
      </c>
      <c r="O24" s="89"/>
      <c r="P24" s="129" t="s">
        <v>204</v>
      </c>
      <c r="Q24" s="116">
        <v>216975443</v>
      </c>
      <c r="R24" s="116">
        <v>284182662084</v>
      </c>
      <c r="S24" s="116">
        <v>348730.22</v>
      </c>
      <c r="T24" s="130">
        <f t="shared" ref="T24" si="15">Q24/S24</f>
        <v>622.18709637495715</v>
      </c>
      <c r="U24" s="78"/>
    </row>
    <row r="25" spans="1:21" s="79" customFormat="1" ht="13.2" hidden="1">
      <c r="A25" s="129" t="s">
        <v>218</v>
      </c>
      <c r="B25" s="131">
        <f>SUM(F23:F25)</f>
        <v>30549490.785486445</v>
      </c>
      <c r="C25" s="131">
        <f>AVERAGE(F23:F25)</f>
        <v>10183163.595162148</v>
      </c>
      <c r="D25" s="90">
        <f>C25/C22-1</f>
        <v>0.16507503765105946</v>
      </c>
      <c r="E25" s="286">
        <f>C25/C13-1</f>
        <v>-0.19549675446634962</v>
      </c>
      <c r="F25" s="78">
        <f>Q25/19</f>
        <v>10665939.315789474</v>
      </c>
      <c r="G25" s="90">
        <f t="shared" ref="G25" si="16">F25/F24-1</f>
        <v>8.1461854406115641E-2</v>
      </c>
      <c r="H25" s="90">
        <f t="shared" ref="H25" si="17">F25/F13-1</f>
        <v>-0.19723820404489967</v>
      </c>
      <c r="I25" s="130">
        <f t="shared" si="0"/>
        <v>617.46814317430176</v>
      </c>
      <c r="J25" s="130">
        <f t="shared" si="5"/>
        <v>-0.24056544429517723</v>
      </c>
      <c r="K25" s="78">
        <f>R23+R24+R25</f>
        <v>824799964881</v>
      </c>
      <c r="L25" s="90">
        <f>U25/U22-1</f>
        <v>0.15967326133684612</v>
      </c>
      <c r="M25" s="90">
        <f>U25/U13-1</f>
        <v>-0.20905912001557669</v>
      </c>
      <c r="N25" s="88">
        <f>AVERAGE(T23:T25)</f>
        <v>625.71077976495258</v>
      </c>
      <c r="O25" s="91">
        <f>N25/N22-1</f>
        <v>5.4810460304741015E-2</v>
      </c>
      <c r="P25" s="129" t="s">
        <v>243</v>
      </c>
      <c r="Q25" s="116">
        <v>202652847</v>
      </c>
      <c r="R25" s="116">
        <v>268996108860</v>
      </c>
      <c r="S25" s="116">
        <v>328199.67999999999</v>
      </c>
      <c r="T25" s="130">
        <f t="shared" ref="T25" si="18">Q25/S25</f>
        <v>617.46814317430176</v>
      </c>
      <c r="U25" s="85">
        <f>Q23+Q24+Q25</f>
        <v>630069948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10719769.47368421</v>
      </c>
      <c r="G26" s="90">
        <f t="shared" ref="G26" si="19">F26/F25-1</f>
        <v>5.0469214478885416E-3</v>
      </c>
      <c r="H26" s="90">
        <f t="shared" ref="H26" si="20">F26/F14-1</f>
        <v>-0.11457209577187344</v>
      </c>
      <c r="I26" s="130">
        <f t="shared" si="0"/>
        <v>616.79811661756719</v>
      </c>
      <c r="J26" s="130">
        <f t="shared" si="5"/>
        <v>-0.24651497468348116</v>
      </c>
      <c r="L26" s="90"/>
      <c r="M26" s="90"/>
      <c r="P26" s="129" t="s">
        <v>312</v>
      </c>
      <c r="Q26" s="116">
        <v>203675620</v>
      </c>
      <c r="R26" s="116">
        <v>274550437841</v>
      </c>
      <c r="S26" s="116">
        <v>330214.40000000002</v>
      </c>
      <c r="T26" s="130">
        <f t="shared" ref="T26" si="21">Q26/S26</f>
        <v>616.79811661756719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9150811</v>
      </c>
      <c r="G27" s="90">
        <f t="shared" ref="G27" si="22">F27/F26-1</f>
        <v>-0.14636121397347412</v>
      </c>
      <c r="H27" s="90">
        <f t="shared" ref="H27" si="23">F27/F15-1</f>
        <v>-2.3859396198271376E-3</v>
      </c>
      <c r="I27" s="130">
        <f t="shared" si="0"/>
        <v>629.70449145327757</v>
      </c>
      <c r="J27" s="130">
        <f t="shared" si="5"/>
        <v>-4.6824253532238735E-2</v>
      </c>
      <c r="L27" s="90"/>
      <c r="M27" s="90"/>
      <c r="P27" s="129" t="s">
        <v>378</v>
      </c>
      <c r="Q27" s="116">
        <v>201317842</v>
      </c>
      <c r="R27" s="116">
        <v>266445645882</v>
      </c>
      <c r="S27" s="116">
        <v>319702.09000000003</v>
      </c>
      <c r="T27" s="130">
        <f t="shared" ref="T27" si="24">Q27/S27</f>
        <v>629.70449145327757</v>
      </c>
      <c r="U27" s="78"/>
    </row>
    <row r="28" spans="1:21" s="79" customFormat="1" ht="13.2" hidden="1">
      <c r="A28" s="123" t="s">
        <v>413</v>
      </c>
      <c r="B28" s="131">
        <f>SUM(F26:F28)</f>
        <v>29060385.789473683</v>
      </c>
      <c r="C28" s="131">
        <f>AVERAGE(F26:F28)</f>
        <v>9686795.2631578948</v>
      </c>
      <c r="D28" s="90">
        <f>C28/C25-1</f>
        <v>-4.8744020202137306E-2</v>
      </c>
      <c r="E28" s="286">
        <f>C28/C16-1</f>
        <v>-1.8239839266089741E-2</v>
      </c>
      <c r="F28" s="78">
        <f>Q28/19</f>
        <v>9189805.3157894742</v>
      </c>
      <c r="G28" s="90">
        <f t="shared" ref="G28" si="25">F28/F27-1</f>
        <v>4.2612961615613454E-3</v>
      </c>
      <c r="H28" s="90">
        <f t="shared" ref="H28" si="26">F28/F16-1</f>
        <v>0.10444916349761346</v>
      </c>
      <c r="I28" s="130">
        <f t="shared" si="0"/>
        <v>623.01664047367535</v>
      </c>
      <c r="J28" s="130">
        <f t="shared" si="5"/>
        <v>7.9739590233240953E-3</v>
      </c>
      <c r="K28" s="78">
        <f>R26+R27+R28</f>
        <v>768603168051</v>
      </c>
      <c r="L28" s="90">
        <f>U28/U25-1</f>
        <v>-8.0102511094530149E-2</v>
      </c>
      <c r="M28" s="90">
        <f>U28/U16-1</f>
        <v>-7.5587593791593299E-2</v>
      </c>
      <c r="N28" s="88">
        <f>AVERAGE(T26:T28)</f>
        <v>623.17308284817341</v>
      </c>
      <c r="O28" s="91">
        <f>N28/N25-1</f>
        <v>-4.055702728555266E-3</v>
      </c>
      <c r="P28" s="129" t="s">
        <v>413</v>
      </c>
      <c r="Q28" s="116">
        <v>174606301</v>
      </c>
      <c r="R28" s="116">
        <v>227607084328</v>
      </c>
      <c r="S28" s="116">
        <v>280259.45</v>
      </c>
      <c r="T28" s="130">
        <f t="shared" ref="T28" si="27">Q28/S28</f>
        <v>623.01664047367535</v>
      </c>
      <c r="U28" s="85">
        <f>Q26+Q27+Q28</f>
        <v>579599763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8575597.3636363633</v>
      </c>
      <c r="G29" s="190">
        <f t="shared" ref="G29" si="28">F29/F28-1</f>
        <v>-6.6835795868037451E-2</v>
      </c>
      <c r="H29" s="190">
        <f t="shared" ref="H29" si="29">F29/F17-1</f>
        <v>2.1109916032373555E-2</v>
      </c>
      <c r="I29" s="130">
        <f t="shared" si="0"/>
        <v>639.67257419846032</v>
      </c>
      <c r="J29" s="130">
        <f t="shared" si="5"/>
        <v>7.7544577743643206E-2</v>
      </c>
      <c r="K29" s="136"/>
      <c r="L29" s="190"/>
      <c r="M29" s="190"/>
      <c r="N29" s="191"/>
      <c r="O29" s="192"/>
      <c r="P29" s="129" t="s">
        <v>427</v>
      </c>
      <c r="Q29" s="116">
        <v>188663142</v>
      </c>
      <c r="R29" s="116">
        <v>247897109403</v>
      </c>
      <c r="S29" s="116">
        <v>294937.05</v>
      </c>
      <c r="T29" s="130">
        <f t="shared" ref="T29" si="30">Q29/S29</f>
        <v>639.67257419846032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8253511.5263157897</v>
      </c>
      <c r="G30" s="190">
        <f t="shared" ref="G30" si="31">F30/F29-1</f>
        <v>-3.7558414144574281E-2</v>
      </c>
      <c r="H30" s="190">
        <f t="shared" ref="H30" si="32">F30/F18-1</f>
        <v>0.2430001933535102</v>
      </c>
      <c r="I30" s="130">
        <f t="shared" si="0"/>
        <v>612.32611870363144</v>
      </c>
      <c r="J30" s="130">
        <f t="shared" si="5"/>
        <v>0.15231404678890348</v>
      </c>
      <c r="K30" s="136"/>
      <c r="L30" s="190"/>
      <c r="M30" s="190"/>
      <c r="N30" s="191"/>
      <c r="O30" s="192"/>
      <c r="P30" s="129" t="s">
        <v>466</v>
      </c>
      <c r="Q30" s="116">
        <v>156816719</v>
      </c>
      <c r="R30" s="116">
        <v>208958873193</v>
      </c>
      <c r="S30" s="116">
        <v>256100</v>
      </c>
      <c r="T30" s="130">
        <f t="shared" ref="T30" si="33">Q30/S30</f>
        <v>612.32611870363144</v>
      </c>
      <c r="U30" s="85"/>
    </row>
    <row r="31" spans="1:21" s="79" customFormat="1" ht="13.2" hidden="1">
      <c r="A31" s="129" t="s">
        <v>505</v>
      </c>
      <c r="B31" s="188">
        <f>SUM(F29:F31)</f>
        <v>25002609.889952153</v>
      </c>
      <c r="C31" s="188">
        <f>AVERAGE(F29:F31)</f>
        <v>8334203.296650718</v>
      </c>
      <c r="D31" s="190">
        <f>C31/C28-1</f>
        <v>-0.13963255439614108</v>
      </c>
      <c r="E31" s="287">
        <f>C31/C19-1</f>
        <v>0.12796866368449988</v>
      </c>
      <c r="F31" s="136">
        <f>Q31/20</f>
        <v>8173501</v>
      </c>
      <c r="G31" s="190">
        <f t="shared" ref="G31" si="34">F31/F30-1</f>
        <v>-9.6941194133771669E-3</v>
      </c>
      <c r="H31" s="190">
        <f t="shared" ref="H31" si="35">F31/F19-1</f>
        <v>0.14671573567222485</v>
      </c>
      <c r="I31" s="130">
        <f t="shared" si="0"/>
        <v>594.4899404582776</v>
      </c>
      <c r="J31" s="130">
        <f t="shared" si="5"/>
        <v>0.15358885858190918</v>
      </c>
      <c r="K31" s="136">
        <f>R29+R30+R31</f>
        <v>674005964480</v>
      </c>
      <c r="L31" s="190">
        <f>U31/U28-1</f>
        <v>-0.12189425619209582</v>
      </c>
      <c r="M31" s="190">
        <f>U31/U19-1</f>
        <v>0.11227277455145868</v>
      </c>
      <c r="N31" s="191">
        <f>AVERAGE(T29:T31)</f>
        <v>615.49621112012312</v>
      </c>
      <c r="O31" s="192">
        <f>N31/N28-1</f>
        <v>-1.2319004044532234E-2</v>
      </c>
      <c r="P31" s="129" t="s">
        <v>505</v>
      </c>
      <c r="Q31" s="116">
        <v>163470020</v>
      </c>
      <c r="R31" s="116">
        <v>217149981884</v>
      </c>
      <c r="S31" s="116">
        <v>274975.25</v>
      </c>
      <c r="T31" s="130">
        <f t="shared" ref="T31" si="36">Q31/S31</f>
        <v>594.4899404582776</v>
      </c>
      <c r="U31" s="85">
        <f>Q29+Q30+Q31</f>
        <v>508949881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8118196.8095238097</v>
      </c>
      <c r="G32" s="190">
        <f t="shared" ref="G32" si="37">F32/F31-1</f>
        <v>-6.7662792818145023E-3</v>
      </c>
      <c r="H32" s="190">
        <f t="shared" ref="H32" si="38">F32/F20-1</f>
        <v>0.1082462435228273</v>
      </c>
      <c r="I32" s="130">
        <f t="shared" si="0"/>
        <v>557.74609600611291</v>
      </c>
      <c r="J32" s="130">
        <f t="shared" si="5"/>
        <v>-2.173712959606755E-2</v>
      </c>
      <c r="K32" s="136"/>
      <c r="L32" s="190"/>
      <c r="M32" s="190"/>
      <c r="N32" s="191"/>
      <c r="O32" s="192"/>
      <c r="P32" s="129" t="s">
        <v>575</v>
      </c>
      <c r="Q32" s="116">
        <v>170482133</v>
      </c>
      <c r="R32" s="116">
        <v>231675818873</v>
      </c>
      <c r="S32" s="116">
        <v>305662.62</v>
      </c>
      <c r="T32" s="130">
        <f t="shared" ref="T32" si="39">Q32/S32</f>
        <v>557.74609600611291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9100558.1428571437</v>
      </c>
      <c r="G33" s="190">
        <f t="shared" ref="G33" si="40">F33/F32-1</f>
        <v>0.12100733160113619</v>
      </c>
      <c r="H33" s="190">
        <f t="shared" ref="H33" si="41">F33/F21-1</f>
        <v>4.9712209354879633E-3</v>
      </c>
      <c r="I33" s="130">
        <f t="shared" si="0"/>
        <v>601.39796153384896</v>
      </c>
      <c r="J33" s="130">
        <f t="shared" si="5"/>
        <v>3.4261572864781487E-2</v>
      </c>
      <c r="K33" s="136"/>
      <c r="L33" s="190"/>
      <c r="M33" s="190"/>
      <c r="N33" s="191"/>
      <c r="O33" s="192"/>
      <c r="P33" s="129" t="s">
        <v>607</v>
      </c>
      <c r="Q33" s="116">
        <v>191111721</v>
      </c>
      <c r="R33" s="116">
        <v>261389684653</v>
      </c>
      <c r="S33" s="116">
        <v>317779.13</v>
      </c>
      <c r="T33" s="130">
        <f t="shared" ref="T33" si="42">Q33/S33</f>
        <v>601.39796153384896</v>
      </c>
      <c r="U33" s="85"/>
    </row>
    <row r="34" spans="1:21" s="79" customFormat="1" ht="13.2" hidden="1">
      <c r="A34" s="129" t="s">
        <v>652</v>
      </c>
      <c r="B34" s="188">
        <f>SUM(F32:F34)</f>
        <v>26916499.426065166</v>
      </c>
      <c r="C34" s="188">
        <f>AVERAGE(F32:F34)</f>
        <v>8972166.4753550552</v>
      </c>
      <c r="D34" s="190">
        <f>C34/C31-1</f>
        <v>7.6547590213058125E-2</v>
      </c>
      <c r="E34" s="287">
        <f>C34/C22-1</f>
        <v>2.6522563091496254E-2</v>
      </c>
      <c r="F34" s="136">
        <f>Q34/19</f>
        <v>9697744.4736842103</v>
      </c>
      <c r="G34" s="190">
        <f t="shared" ref="G34" si="43">F34/F33-1</f>
        <v>6.5620846705516378E-2</v>
      </c>
      <c r="H34" s="190">
        <f t="shared" ref="H34" si="44">F34/F22-1</f>
        <v>-1.4481347780643028E-2</v>
      </c>
      <c r="I34" s="130">
        <f t="shared" si="0"/>
        <v>637.64835477357917</v>
      </c>
      <c r="J34" s="130">
        <f t="shared" si="5"/>
        <v>1.5400647314360194E-2</v>
      </c>
      <c r="K34" s="136">
        <f>R32+R33+R34</f>
        <v>746280395901</v>
      </c>
      <c r="L34" s="190">
        <f>U34/U31-1</f>
        <v>7.2504424065284345E-2</v>
      </c>
      <c r="M34" s="190">
        <f>U34/U22-1</f>
        <v>4.6643396080612298E-3</v>
      </c>
      <c r="N34" s="191">
        <f>AVERAGE(T32:T34)</f>
        <v>598.93080410451375</v>
      </c>
      <c r="O34" s="192">
        <f>N34/N31-1</f>
        <v>-2.691390575006547E-2</v>
      </c>
      <c r="P34" s="129" t="s">
        <v>652</v>
      </c>
      <c r="Q34" s="116">
        <v>184257145</v>
      </c>
      <c r="R34" s="116">
        <v>253214892375</v>
      </c>
      <c r="S34" s="116">
        <v>288963.57</v>
      </c>
      <c r="T34" s="130">
        <f t="shared" ref="T34" si="45">Q34/S34</f>
        <v>637.64835477357917</v>
      </c>
      <c r="U34" s="85">
        <f>Q32+Q33+Q34</f>
        <v>545850999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8800396.3913043477</v>
      </c>
      <c r="G35" s="190">
        <f t="shared" ref="G35" si="46">F35/F34-1</f>
        <v>-9.2531627824893214E-2</v>
      </c>
      <c r="H35" s="190">
        <f t="shared" ref="H35" si="47">F35/F23-1</f>
        <v>-0.12180731717390625</v>
      </c>
      <c r="I35" s="130">
        <f t="shared" si="0"/>
        <v>643.28812785144328</v>
      </c>
      <c r="J35" s="130">
        <f t="shared" si="5"/>
        <v>9.115665657893457E-3</v>
      </c>
      <c r="K35" s="136"/>
      <c r="L35" s="190"/>
      <c r="M35" s="190"/>
      <c r="N35" s="191"/>
      <c r="O35" s="192"/>
      <c r="P35" s="129" t="s">
        <v>660</v>
      </c>
      <c r="Q35" s="116">
        <v>202409117</v>
      </c>
      <c r="R35" s="116">
        <v>280188770522</v>
      </c>
      <c r="S35" s="116">
        <v>314647.67999999999</v>
      </c>
      <c r="T35" s="130">
        <f t="shared" ref="T35" si="48">Q35/S35</f>
        <v>643.28812785144328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9153162</v>
      </c>
      <c r="G36" s="190">
        <f t="shared" ref="G36" si="49">F36/F35-1</f>
        <v>4.0085195371906135E-2</v>
      </c>
      <c r="H36" s="190">
        <f t="shared" ref="H36" si="50">F36/F24-1</f>
        <v>-7.1924632503227559E-2</v>
      </c>
      <c r="I36" s="130">
        <f t="shared" si="0"/>
        <v>680.86022926808744</v>
      </c>
      <c r="J36" s="130">
        <f t="shared" si="5"/>
        <v>9.4301429963715044E-2</v>
      </c>
      <c r="K36" s="136"/>
      <c r="L36" s="190"/>
      <c r="M36" s="190"/>
      <c r="N36" s="191"/>
      <c r="O36" s="192"/>
      <c r="P36" s="129" t="s">
        <v>687</v>
      </c>
      <c r="Q36" s="116">
        <v>192216402</v>
      </c>
      <c r="R36" s="116">
        <v>262676694892</v>
      </c>
      <c r="S36" s="116">
        <v>282314.03999999998</v>
      </c>
      <c r="T36" s="130">
        <f t="shared" ref="T36" si="51">Q36/S36</f>
        <v>680.86022926808744</v>
      </c>
      <c r="U36" s="85"/>
    </row>
    <row r="37" spans="1:21" s="79" customFormat="1" ht="13.2" hidden="1">
      <c r="A37" s="129" t="s">
        <v>702</v>
      </c>
      <c r="B37" s="188">
        <f>SUM(F35:F37)</f>
        <v>26888162.613526568</v>
      </c>
      <c r="C37" s="188">
        <f>AVERAGE(F35:F37)</f>
        <v>8962720.871175522</v>
      </c>
      <c r="D37" s="190">
        <f>C37/C34-1</f>
        <v>-1.0527673784785918E-3</v>
      </c>
      <c r="E37" s="287">
        <f>C37/C25-1</f>
        <v>-0.1198490736775002</v>
      </c>
      <c r="F37" s="136">
        <f>Q37/18</f>
        <v>8934604.222222222</v>
      </c>
      <c r="G37" s="190">
        <f t="shared" ref="G37" si="52">F37/F36-1</f>
        <v>-2.3877844375285617E-2</v>
      </c>
      <c r="H37" s="190">
        <f t="shared" ref="H37" si="53">F37/F25-1</f>
        <v>-0.16232373373850395</v>
      </c>
      <c r="I37" s="130">
        <f t="shared" si="0"/>
        <v>683.16027298225902</v>
      </c>
      <c r="J37" s="130">
        <f t="shared" si="5"/>
        <v>0.1063895045179899</v>
      </c>
      <c r="K37" s="136">
        <f>R35+R36+R37</f>
        <v>757518924514</v>
      </c>
      <c r="L37" s="190">
        <f>U37/U34-1</f>
        <v>1.7582446524019302E-2</v>
      </c>
      <c r="M37" s="190">
        <f>U37/U25-1</f>
        <v>-0.11843375999262862</v>
      </c>
      <c r="N37" s="191">
        <f>AVERAGE(T35:T37)</f>
        <v>669.10287670059654</v>
      </c>
      <c r="O37" s="192">
        <f>N37/N34-1</f>
        <v>0.11716223663099101</v>
      </c>
      <c r="P37" s="129" t="s">
        <v>702</v>
      </c>
      <c r="Q37" s="116">
        <v>160822876</v>
      </c>
      <c r="R37" s="116">
        <v>214653459100</v>
      </c>
      <c r="S37" s="116">
        <v>235410.17</v>
      </c>
      <c r="T37" s="130">
        <f t="shared" ref="T37" si="54">Q37/S37</f>
        <v>683.16027298225902</v>
      </c>
      <c r="U37" s="85">
        <f>Q35+Q36+Q37</f>
        <v>555448395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8562572.5999999996</v>
      </c>
      <c r="G38" s="190">
        <f t="shared" ref="G38" si="55">F38/F37-1</f>
        <v>-4.1639407070422019E-2</v>
      </c>
      <c r="H38" s="190">
        <f t="shared" ref="H38" si="56">F38/F26-1</f>
        <v>-0.20123537907973477</v>
      </c>
      <c r="I38" s="130">
        <f t="shared" si="0"/>
        <v>616.77562163252367</v>
      </c>
      <c r="J38" s="130">
        <f t="shared" si="5"/>
        <v>-3.647057997979708E-5</v>
      </c>
      <c r="K38" s="136"/>
      <c r="L38" s="190"/>
      <c r="M38" s="190"/>
      <c r="N38" s="191"/>
      <c r="O38" s="192"/>
      <c r="P38" s="129" t="s">
        <v>728</v>
      </c>
      <c r="Q38" s="116">
        <v>171251452</v>
      </c>
      <c r="R38" s="116">
        <v>230443840241</v>
      </c>
      <c r="S38" s="116">
        <v>277656</v>
      </c>
      <c r="T38" s="130">
        <f t="shared" ref="T38" si="57">Q38/S38</f>
        <v>616.77562163252367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7717262.2857142854</v>
      </c>
      <c r="G39" s="190">
        <f t="shared" ref="G39" si="58">F39/F38-1</f>
        <v>-9.8721535427999108E-2</v>
      </c>
      <c r="H39" s="190">
        <f t="shared" ref="H39" si="59">F39/F27-1</f>
        <v>-0.15665810541663627</v>
      </c>
      <c r="I39" s="130">
        <f t="shared" si="0"/>
        <v>584.10771520608603</v>
      </c>
      <c r="J39" s="130">
        <f t="shared" si="5"/>
        <v>-7.2409799939587516E-2</v>
      </c>
      <c r="K39" s="136"/>
      <c r="L39" s="190"/>
      <c r="M39" s="190"/>
      <c r="N39" s="191"/>
      <c r="O39" s="192"/>
      <c r="P39" s="129" t="s">
        <v>762</v>
      </c>
      <c r="Q39" s="116">
        <v>162062508</v>
      </c>
      <c r="R39" s="116">
        <v>225199608090</v>
      </c>
      <c r="S39" s="116">
        <v>277453.12</v>
      </c>
      <c r="T39" s="130">
        <f t="shared" ref="T39" si="60">Q39/S39</f>
        <v>584.10771520608603</v>
      </c>
      <c r="U39" s="85"/>
    </row>
    <row r="40" spans="1:21" s="79" customFormat="1" ht="13.2" hidden="1">
      <c r="A40" s="129" t="s">
        <v>778</v>
      </c>
      <c r="B40" s="188">
        <f>SUM(F38:F40)</f>
        <v>23211296.076190475</v>
      </c>
      <c r="C40" s="188">
        <f>AVERAGE(F38:F40)</f>
        <v>7737098.6920634918</v>
      </c>
      <c r="D40" s="190">
        <f>C40/C37-1</f>
        <v>-0.13674666395711166</v>
      </c>
      <c r="E40" s="287">
        <f>C40/C28-1</f>
        <v>-0.20127364294667693</v>
      </c>
      <c r="F40" s="136">
        <f>Q40/21</f>
        <v>6931461.1904761903</v>
      </c>
      <c r="G40" s="190">
        <f t="shared" ref="G40" si="61">F40/F39-1</f>
        <v>-0.10182381603029367</v>
      </c>
      <c r="H40" s="190">
        <f t="shared" ref="H40" si="62">F40/F28-1</f>
        <v>-0.24574450140234283</v>
      </c>
      <c r="I40" s="130">
        <f t="shared" si="0"/>
        <v>548.75372681233307</v>
      </c>
      <c r="J40" s="130">
        <f t="shared" si="5"/>
        <v>-0.11919892477491567</v>
      </c>
      <c r="K40" s="136">
        <f>R38+R39+R40</f>
        <v>662307706399</v>
      </c>
      <c r="L40" s="190">
        <f>U40/U37-1</f>
        <v>-0.13785934155053237</v>
      </c>
      <c r="M40" s="190">
        <f>U40/U28-1</f>
        <v>-0.17378391854173347</v>
      </c>
      <c r="N40" s="191">
        <f>AVERAGE(T38:T40)</f>
        <v>583.21235455031422</v>
      </c>
      <c r="O40" s="192">
        <f>N40/N37-1</f>
        <v>-0.12836669089485286</v>
      </c>
      <c r="P40" s="129" t="s">
        <v>778</v>
      </c>
      <c r="Q40" s="116">
        <v>145560685</v>
      </c>
      <c r="R40" s="116">
        <v>206664258068</v>
      </c>
      <c r="S40" s="116">
        <v>265256.84999999998</v>
      </c>
      <c r="T40" s="130">
        <f t="shared" ref="T40" si="63">Q40/S40</f>
        <v>548.75372681233307</v>
      </c>
      <c r="U40" s="85">
        <f>Q38+Q39+Q40</f>
        <v>478874645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8463530.055555556</v>
      </c>
      <c r="G41" s="190">
        <f t="shared" ref="G41" si="64">F41/F40-1</f>
        <v>0.2210311538906724</v>
      </c>
      <c r="H41" s="190">
        <f t="shared" ref="H41" si="65">F41/F29-1</f>
        <v>-1.3068163455995929E-2</v>
      </c>
      <c r="I41" s="130">
        <f t="shared" si="0"/>
        <v>578.62538606888256</v>
      </c>
      <c r="J41" s="130">
        <f t="shared" si="5"/>
        <v>-9.5435056295906873E-2</v>
      </c>
      <c r="K41" s="193"/>
      <c r="L41" s="190"/>
      <c r="M41" s="190"/>
      <c r="N41" s="193"/>
      <c r="O41" s="193"/>
      <c r="P41" s="129" t="s">
        <v>792</v>
      </c>
      <c r="Q41" s="116">
        <v>152343541</v>
      </c>
      <c r="R41" s="116">
        <v>222682025405</v>
      </c>
      <c r="S41" s="116">
        <v>263285.27</v>
      </c>
      <c r="T41" s="130">
        <f t="shared" ref="T41" si="66">Q41/S41</f>
        <v>578.62538606888256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7542128.7000000002</v>
      </c>
      <c r="G42" s="190">
        <f t="shared" ref="G42" si="67">F42/F41-1</f>
        <v>-0.10886726336497587</v>
      </c>
      <c r="H42" s="190">
        <f t="shared" ref="H42" si="68">F42/F30-1</f>
        <v>-8.6191534845209916E-2</v>
      </c>
      <c r="I42" s="130">
        <f t="shared" si="0"/>
        <v>543.34548575640736</v>
      </c>
      <c r="J42" s="130">
        <f t="shared" si="5"/>
        <v>-0.11265342248222965</v>
      </c>
      <c r="K42" s="193"/>
      <c r="L42" s="190"/>
      <c r="M42" s="190"/>
      <c r="N42" s="193"/>
      <c r="O42" s="193"/>
      <c r="P42" s="129" t="s">
        <v>826</v>
      </c>
      <c r="Q42" s="116">
        <v>150842574</v>
      </c>
      <c r="R42" s="116">
        <v>217992809829</v>
      </c>
      <c r="S42" s="116">
        <v>277618.15999999997</v>
      </c>
      <c r="T42" s="130">
        <f t="shared" ref="T42" si="69">Q42/S42</f>
        <v>543.34548575640736</v>
      </c>
      <c r="U42" s="78"/>
    </row>
    <row r="43" spans="1:21" s="79" customFormat="1" ht="13.2">
      <c r="A43" s="129" t="s">
        <v>835</v>
      </c>
      <c r="B43" s="188">
        <f>SUM(F41:F43)</f>
        <v>24276362.905555554</v>
      </c>
      <c r="C43" s="188">
        <f>AVERAGE(F41:F43)</f>
        <v>8092120.9685185179</v>
      </c>
      <c r="D43" s="190">
        <f>C43/C40-1</f>
        <v>4.5885711244603611E-2</v>
      </c>
      <c r="E43" s="287">
        <f>C43/C31-1</f>
        <v>-2.9046847012897614E-2</v>
      </c>
      <c r="F43" s="136">
        <f>Q43/20</f>
        <v>8270704.1500000004</v>
      </c>
      <c r="G43" s="190">
        <f t="shared" ref="G43" si="70">F43/F42-1</f>
        <v>9.6600771344567571E-2</v>
      </c>
      <c r="H43" s="190">
        <f t="shared" ref="H43" si="71">F43/F31-1</f>
        <v>1.189247422860773E-2</v>
      </c>
      <c r="I43" s="130">
        <f t="shared" si="0"/>
        <v>580.33675962491122</v>
      </c>
      <c r="J43" s="130">
        <f t="shared" si="5"/>
        <v>-2.3807267154858924E-2</v>
      </c>
      <c r="K43" s="136">
        <f>R41+R42+R43</f>
        <v>680339295718</v>
      </c>
      <c r="L43" s="190">
        <f>U43/U40-1</f>
        <v>-2.1455399878187342E-2</v>
      </c>
      <c r="M43" s="190">
        <f>K43/K31-1</f>
        <v>9.3965507306543739E-3</v>
      </c>
      <c r="N43" s="191">
        <f>AVERAGE(T41:T43)</f>
        <v>567.43587715006709</v>
      </c>
      <c r="O43" s="192">
        <f>N43/N40-1</f>
        <v>-2.7050999995381741E-2</v>
      </c>
      <c r="P43" s="129" t="s">
        <v>835</v>
      </c>
      <c r="Q43" s="116">
        <v>165414083</v>
      </c>
      <c r="R43" s="116">
        <v>239664460484</v>
      </c>
      <c r="S43" s="116">
        <v>285031.2</v>
      </c>
      <c r="T43" s="130">
        <f t="shared" ref="T43" si="72">Q43/S43</f>
        <v>580.33675962491122</v>
      </c>
      <c r="U43" s="85">
        <f>Q41+Q42+Q43</f>
        <v>468600198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7522672.8181818184</v>
      </c>
      <c r="G44" s="190">
        <f t="shared" ref="G44" si="73">F44/F43-1</f>
        <v>-9.0443488033383757E-2</v>
      </c>
      <c r="H44" s="190">
        <f t="shared" ref="H44" si="74">F44/F32-1</f>
        <v>-7.3356683179121251E-2</v>
      </c>
      <c r="I44" s="130">
        <f t="shared" si="0"/>
        <v>560.81989005004107</v>
      </c>
      <c r="J44" s="130">
        <f t="shared" si="5"/>
        <v>5.5110991649047758E-3</v>
      </c>
      <c r="K44" s="136"/>
      <c r="L44" s="190"/>
      <c r="M44" s="190"/>
      <c r="N44" s="191"/>
      <c r="O44" s="192"/>
      <c r="P44" s="129" t="s">
        <v>843</v>
      </c>
      <c r="Q44" s="116">
        <v>165498802</v>
      </c>
      <c r="R44" s="116">
        <v>240251401884</v>
      </c>
      <c r="S44" s="116">
        <v>295101.52</v>
      </c>
      <c r="T44" s="130">
        <f t="shared" ref="T44" si="75">Q44/S44</f>
        <v>560.81989005004107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7480726.5499999998</v>
      </c>
      <c r="G45" s="190">
        <f t="shared" ref="G45" si="76">F45/F44-1</f>
        <v>-5.5759793354879239E-3</v>
      </c>
      <c r="H45" s="190">
        <f t="shared" ref="H45" si="77">F45/F33-1</f>
        <v>-0.17799255467957409</v>
      </c>
      <c r="I45" s="130">
        <f t="shared" si="0"/>
        <v>567.48635320288372</v>
      </c>
      <c r="J45" s="130">
        <f t="shared" si="5"/>
        <v>-5.6387966870513839E-2</v>
      </c>
      <c r="K45" s="136"/>
      <c r="L45" s="190"/>
      <c r="M45" s="190"/>
      <c r="N45" s="191"/>
      <c r="O45" s="192"/>
      <c r="P45" s="129" t="s">
        <v>853</v>
      </c>
      <c r="Q45" s="116">
        <v>149614531</v>
      </c>
      <c r="R45" s="116">
        <v>210929107167</v>
      </c>
      <c r="S45" s="116">
        <v>263644.28000000003</v>
      </c>
      <c r="T45" s="130">
        <f t="shared" ref="T45" si="78">Q45/S45</f>
        <v>567.48635320288372</v>
      </c>
      <c r="U45" s="85"/>
    </row>
    <row r="46" spans="1:21" s="79" customFormat="1" ht="13.2">
      <c r="A46" s="129" t="s">
        <v>893</v>
      </c>
      <c r="B46" s="188">
        <f>SUM(F44:F46)</f>
        <v>23594098.368181817</v>
      </c>
      <c r="C46" s="188">
        <f>AVERAGE(F44:F46)</f>
        <v>7864699.4560606061</v>
      </c>
      <c r="D46" s="190">
        <f>C46/C43-1</f>
        <v>-2.8104067319639658E-2</v>
      </c>
      <c r="E46" s="287">
        <f>C46/C34-1</f>
        <v>-0.12343362356644449</v>
      </c>
      <c r="F46" s="136">
        <f>Q46/19</f>
        <v>8590699</v>
      </c>
      <c r="G46" s="190">
        <f t="shared" ref="G46" si="79">F46/F45-1</f>
        <v>0.14837762650206754</v>
      </c>
      <c r="H46" s="190">
        <f t="shared" ref="H46" si="80">F46/F34-1</f>
        <v>-0.11415494362511691</v>
      </c>
      <c r="I46" s="130">
        <f t="shared" si="0"/>
        <v>572.76463461073911</v>
      </c>
      <c r="J46" s="130">
        <f t="shared" si="5"/>
        <v>-0.10175470488884031</v>
      </c>
      <c r="K46" s="136">
        <f>R44+R45+R46</f>
        <v>674751863050</v>
      </c>
      <c r="L46" s="190">
        <f>U46/U43-1</f>
        <v>2.0777660874996107E-2</v>
      </c>
      <c r="M46" s="190">
        <f>K46/K34-1</f>
        <v>-9.5846726302708407E-2</v>
      </c>
      <c r="N46" s="191">
        <f>AVERAGE(T44:T46)</f>
        <v>567.02362595455463</v>
      </c>
      <c r="O46" s="192">
        <f>N46/N43-1</f>
        <v>-7.2651591503691826E-4</v>
      </c>
      <c r="P46" s="129" t="s">
        <v>888</v>
      </c>
      <c r="Q46" s="116">
        <v>163223281</v>
      </c>
      <c r="R46" s="116">
        <v>223571353999</v>
      </c>
      <c r="S46" s="116">
        <v>284974.44</v>
      </c>
      <c r="T46" s="130">
        <f t="shared" ref="T46" si="81">Q46/S46</f>
        <v>572.76463461073911</v>
      </c>
      <c r="U46" s="85">
        <f t="shared" ref="U46:U51" si="82">Q44+Q45+Q46</f>
        <v>478336614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7891728.8260869561</v>
      </c>
      <c r="G47" s="190">
        <f t="shared" ref="G47" si="83">F47/F46-1</f>
        <v>-8.1363597294358048E-2</v>
      </c>
      <c r="H47" s="190">
        <f t="shared" ref="H47" si="84">F47/F35-1</f>
        <v>-0.103253026888112</v>
      </c>
      <c r="I47" s="130">
        <f t="shared" si="0"/>
        <v>577.64998909525491</v>
      </c>
      <c r="J47" s="130">
        <f t="shared" si="5"/>
        <v>-0.1020353647368204</v>
      </c>
      <c r="K47" s="136"/>
      <c r="L47" s="190"/>
      <c r="M47" s="190"/>
      <c r="N47" s="191"/>
      <c r="O47" s="192"/>
      <c r="P47" s="129" t="s">
        <v>991</v>
      </c>
      <c r="Q47" s="116">
        <v>181509763</v>
      </c>
      <c r="R47" s="116">
        <v>248992281413</v>
      </c>
      <c r="S47" s="116">
        <v>314221.01</v>
      </c>
      <c r="T47" s="130">
        <f t="shared" ref="T47" si="85">Q47/S47</f>
        <v>577.64998909525491</v>
      </c>
      <c r="U47" s="85">
        <f t="shared" si="82"/>
        <v>494347575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8910495.6999999993</v>
      </c>
      <c r="G48" s="190">
        <f t="shared" ref="G48" si="86">F48/F47-1</f>
        <v>0.12909299044151146</v>
      </c>
      <c r="H48" s="190">
        <f t="shared" ref="H48" si="87">F48/F36-1</f>
        <v>-2.6511745340025761E-2</v>
      </c>
      <c r="I48" s="130">
        <f t="shared" si="0"/>
        <v>608.17842539147694</v>
      </c>
      <c r="J48" s="130">
        <f t="shared" si="5"/>
        <v>-0.1067499624037993</v>
      </c>
      <c r="K48" s="136"/>
      <c r="L48" s="190"/>
      <c r="M48" s="190"/>
      <c r="N48" s="191"/>
      <c r="O48" s="192"/>
      <c r="P48" s="129" t="s">
        <v>1120</v>
      </c>
      <c r="Q48" s="116">
        <v>178209914</v>
      </c>
      <c r="R48" s="116">
        <v>247273820831</v>
      </c>
      <c r="S48" s="116">
        <v>293022.42</v>
      </c>
      <c r="T48" s="130">
        <f t="shared" ref="T48" si="88">Q48/S48</f>
        <v>608.17842539147694</v>
      </c>
      <c r="U48" s="85">
        <f t="shared" si="82"/>
        <v>522942958</v>
      </c>
    </row>
    <row r="49" spans="1:26" ht="13.2">
      <c r="A49" s="129" t="s">
        <v>1158</v>
      </c>
      <c r="B49" s="188">
        <f>SUM(F47:F49)</f>
        <v>25544124.88972332</v>
      </c>
      <c r="C49" s="188">
        <f>AVERAGE(F47:F49)</f>
        <v>8514708.2965744399</v>
      </c>
      <c r="D49" s="190">
        <f>C49/C46-1</f>
        <v>8.2648910380539897E-2</v>
      </c>
      <c r="E49" s="287">
        <f>C49/C37-1</f>
        <v>-4.9986224165689319E-2</v>
      </c>
      <c r="F49" s="136">
        <f>Q49/22</f>
        <v>8741900.3636363633</v>
      </c>
      <c r="G49" s="190">
        <f t="shared" ref="G49" si="89">F49/F48-1</f>
        <v>-1.8920982854369828E-2</v>
      </c>
      <c r="H49" s="190">
        <f t="shared" ref="H49" si="90">F49/F37-1</f>
        <v>-2.1568259073699525E-2</v>
      </c>
      <c r="I49" s="130">
        <f t="shared" si="0"/>
        <v>572.45374998478246</v>
      </c>
      <c r="J49" s="130">
        <f t="shared" si="5"/>
        <v>-0.16205058662764404</v>
      </c>
      <c r="K49" s="136">
        <f>R47+R48+R49</f>
        <v>763565811132</v>
      </c>
      <c r="L49" s="190">
        <f>U49/U46-1</f>
        <v>0.15408578152455621</v>
      </c>
      <c r="M49" s="190">
        <f>K49/K37-1</f>
        <v>7.9824891792366071E-3</v>
      </c>
      <c r="N49" s="191">
        <f>AVERAGE(T47:T49)</f>
        <v>586.09405482383806</v>
      </c>
      <c r="O49" s="192">
        <f>N49/N46-1</f>
        <v>3.3632511938421095E-2</v>
      </c>
      <c r="P49" s="129" t="s">
        <v>1165</v>
      </c>
      <c r="Q49" s="116">
        <v>192321808</v>
      </c>
      <c r="R49" s="116">
        <v>267299708888</v>
      </c>
      <c r="S49" s="116">
        <v>335960.43</v>
      </c>
      <c r="T49" s="130">
        <f t="shared" ref="T49" si="91">Q49/S49</f>
        <v>572.45374998478246</v>
      </c>
      <c r="U49" s="85">
        <f t="shared" si="82"/>
        <v>552041485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11444894.944444444</v>
      </c>
      <c r="G50" s="190">
        <f t="shared" ref="G50" si="92">F50/F49-1</f>
        <v>0.30919988427821865</v>
      </c>
      <c r="H50" s="190">
        <f t="shared" ref="H50" si="93">F50/F38-1</f>
        <v>0.33661873353861482</v>
      </c>
      <c r="I50" s="130">
        <f t="shared" ref="I50" si="94">T50</f>
        <v>617.52232457668185</v>
      </c>
      <c r="J50" s="130">
        <f t="shared" ref="J50" si="95">I50/I38-1</f>
        <v>1.2106557360060943E-3</v>
      </c>
      <c r="K50" s="136"/>
      <c r="L50" s="190"/>
      <c r="M50" s="190"/>
      <c r="N50" s="191"/>
      <c r="O50" s="192"/>
      <c r="P50" s="129" t="s">
        <v>1291</v>
      </c>
      <c r="Q50" s="116">
        <v>206008109</v>
      </c>
      <c r="R50" s="116">
        <v>290941126929</v>
      </c>
      <c r="S50" s="116">
        <v>333604.31</v>
      </c>
      <c r="T50" s="130">
        <f t="shared" ref="T50" si="96">Q50/S50</f>
        <v>617.52232457668185</v>
      </c>
      <c r="U50" s="85">
        <f t="shared" si="82"/>
        <v>576539831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9179961.1500000004</v>
      </c>
      <c r="G51" s="190">
        <f t="shared" ref="G51:G52" si="97">F51/F50-1</f>
        <v>-0.19789904629433774</v>
      </c>
      <c r="H51" s="190">
        <f t="shared" ref="H51:H52" si="98">F51/F39-1</f>
        <v>0.18953597922845922</v>
      </c>
      <c r="I51" s="130">
        <f t="shared" ref="I51:I52" si="99">T51</f>
        <v>611.69160497695191</v>
      </c>
      <c r="J51" s="130">
        <f t="shared" ref="J51:J52" si="100">I51/I39-1</f>
        <v>4.7223977791722271E-2</v>
      </c>
      <c r="K51" s="136"/>
      <c r="L51" s="190"/>
      <c r="M51" s="190"/>
      <c r="N51" s="191"/>
      <c r="O51" s="192"/>
      <c r="P51" s="129" t="s">
        <v>1402</v>
      </c>
      <c r="Q51" s="116">
        <v>183599223</v>
      </c>
      <c r="R51" s="116">
        <v>265881037574</v>
      </c>
      <c r="S51" s="116">
        <v>300149.98</v>
      </c>
      <c r="T51" s="130">
        <f t="shared" ref="T51:T52" si="101">Q51/S51</f>
        <v>611.69160497695191</v>
      </c>
      <c r="U51" s="85">
        <f t="shared" si="82"/>
        <v>581929140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29820401.68535354</v>
      </c>
      <c r="C52" s="188">
        <f>AVERAGE(F50:F52)</f>
        <v>9940133.8951178472</v>
      </c>
      <c r="D52" s="190">
        <f>C52/C49-1</f>
        <v>0.16740744942687846</v>
      </c>
      <c r="E52" s="287">
        <f>C52/C40-1</f>
        <v>0.2847366035687473</v>
      </c>
      <c r="F52" s="136">
        <f>Q52/22</f>
        <v>9195545.5909090918</v>
      </c>
      <c r="G52" s="190">
        <f t="shared" si="97"/>
        <v>1.6976586996875209E-3</v>
      </c>
      <c r="H52" s="190">
        <f t="shared" si="98"/>
        <v>0.32663883389316917</v>
      </c>
      <c r="I52" s="130">
        <f t="shared" si="99"/>
        <v>596.46918798349679</v>
      </c>
      <c r="J52" s="130">
        <f t="shared" si="100"/>
        <v>8.6952413878515378E-2</v>
      </c>
      <c r="K52" s="136">
        <f>R50+R51+R52</f>
        <v>854445814642</v>
      </c>
      <c r="L52" s="190">
        <f>U52/U49-1</f>
        <v>7.2218938400979038E-2</v>
      </c>
      <c r="M52" s="190">
        <f>K52/K40-1</f>
        <v>0.29010399001344034</v>
      </c>
      <c r="N52" s="191">
        <f>AVERAGE(T50:T52)</f>
        <v>608.56103917904352</v>
      </c>
      <c r="O52" s="192">
        <f>N52/N49-1</f>
        <v>3.8333411114293447E-2</v>
      </c>
      <c r="P52" s="129" t="s">
        <v>1403</v>
      </c>
      <c r="Q52" s="116">
        <v>202302003</v>
      </c>
      <c r="R52" s="116">
        <v>297623650139</v>
      </c>
      <c r="S52" s="116">
        <v>339165.89</v>
      </c>
      <c r="T52" s="130">
        <f t="shared" si="101"/>
        <v>596.46918798349679</v>
      </c>
      <c r="U52" s="85">
        <f t="shared" ref="U52" si="102">Q50+Q51+Q52</f>
        <v>591909335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8724581</v>
      </c>
      <c r="G53" s="190">
        <f t="shared" ref="G53" si="103">F53/F52-1</f>
        <v>-5.1216601152485941E-2</v>
      </c>
      <c r="H53" s="190">
        <f t="shared" ref="H53" si="104">F53/F41-1</f>
        <v>3.0844215443305067E-2</v>
      </c>
      <c r="I53" s="130">
        <f t="shared" ref="I53" si="105">T53</f>
        <v>549.84188341885942</v>
      </c>
      <c r="J53" s="130">
        <f t="shared" ref="J53" si="106">I53/I41-1</f>
        <v>-4.9744624662210413E-2</v>
      </c>
      <c r="K53" s="136"/>
      <c r="L53" s="190"/>
      <c r="M53" s="190"/>
      <c r="N53" s="191"/>
      <c r="O53" s="192"/>
      <c r="P53" s="129" t="s">
        <v>1414</v>
      </c>
      <c r="Q53" s="116">
        <v>183216201</v>
      </c>
      <c r="R53" s="116">
        <v>266791895016</v>
      </c>
      <c r="S53" s="116">
        <v>333216.15999999997</v>
      </c>
      <c r="T53" s="130">
        <f t="shared" ref="T53" si="107">Q53/S53</f>
        <v>549.84188341885942</v>
      </c>
      <c r="U53" s="85">
        <f t="shared" ref="U53" si="108">Q51+Q52+Q53</f>
        <v>569117427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8834074.4117647056</v>
      </c>
      <c r="G54" s="190">
        <f t="shared" ref="G54" si="109">F54/F53-1</f>
        <v>1.2549990855114546E-2</v>
      </c>
      <c r="H54" s="190">
        <f t="shared" ref="H54" si="110">F54/F42-1</f>
        <v>0.17129722431873984</v>
      </c>
      <c r="I54" s="130">
        <f t="shared" ref="I54" si="111">T54</f>
        <v>550.2234904593389</v>
      </c>
      <c r="J54" s="130">
        <f t="shared" ref="J54" si="112">I54/I42-1</f>
        <v>1.2658621233148759E-2</v>
      </c>
      <c r="K54" s="136"/>
      <c r="L54" s="190"/>
      <c r="M54" s="190"/>
      <c r="N54" s="191"/>
      <c r="O54" s="192"/>
      <c r="P54" s="129" t="s">
        <v>1417</v>
      </c>
      <c r="Q54" s="116">
        <v>150179265</v>
      </c>
      <c r="R54" s="116">
        <v>217526983255</v>
      </c>
      <c r="S54" s="116">
        <v>272942.3</v>
      </c>
      <c r="T54" s="130">
        <f t="shared" ref="T54" si="113">Q54/S54</f>
        <v>550.2234904593389</v>
      </c>
      <c r="U54" s="85">
        <f t="shared" ref="U54" si="114">Q52+Q53+Q54</f>
        <v>535697469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25921234.459383752</v>
      </c>
      <c r="C55" s="188">
        <f>AVERAGE(F53:F55)</f>
        <v>8640411.4864612501</v>
      </c>
      <c r="D55" s="190">
        <f>C55/C52-1</f>
        <v>-0.13075502024122265</v>
      </c>
      <c r="E55" s="287">
        <f>C55/C43-1</f>
        <v>6.7756095104830383E-2</v>
      </c>
      <c r="F55" s="136">
        <f>Q55/21</f>
        <v>8362579.0476190476</v>
      </c>
      <c r="G55" s="190">
        <f t="shared" ref="G55" si="115">F55/F54-1</f>
        <v>-5.3372355967224783E-2</v>
      </c>
      <c r="H55" s="190">
        <f t="shared" ref="H55" si="116">F55/F43-1</f>
        <v>1.1108473468857794E-2</v>
      </c>
      <c r="I55" s="130">
        <f>T55</f>
        <v>562.80321342414584</v>
      </c>
      <c r="J55" s="130">
        <f t="shared" ref="J55" si="117">I55/I43-1</f>
        <v>-3.0212709965327433E-2</v>
      </c>
      <c r="K55" s="136">
        <f>R53+R54+R55</f>
        <v>742498158931</v>
      </c>
      <c r="L55" s="190">
        <f>U55/U52-1</f>
        <v>-0.14005474166073084</v>
      </c>
      <c r="M55" s="190">
        <f>K55/K43-1</f>
        <v>9.1364505334651014E-2</v>
      </c>
      <c r="N55" s="191">
        <f>AVERAGE(T53:T55)</f>
        <v>554.28952910078135</v>
      </c>
      <c r="O55" s="192">
        <f>N55/N52-1</f>
        <v>-8.9180060148896678E-2</v>
      </c>
      <c r="P55" s="129" t="s">
        <v>1418</v>
      </c>
      <c r="Q55" s="116">
        <v>175614160</v>
      </c>
      <c r="R55" s="116">
        <v>258179280660</v>
      </c>
      <c r="S55" s="116">
        <v>312034.75</v>
      </c>
      <c r="T55" s="130">
        <f t="shared" ref="T55" si="118">Q55/S55</f>
        <v>562.80321342414584</v>
      </c>
      <c r="U55" s="85">
        <f t="shared" ref="U55" si="119">Q53+Q54+Q55</f>
        <v>509009626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7601430.9090909092</v>
      </c>
      <c r="G56" s="190">
        <f t="shared" ref="G56" si="120">F56/F55-1</f>
        <v>-9.1018349027725987E-2</v>
      </c>
      <c r="H56" s="190">
        <f t="shared" ref="H56" si="121">F56/F44-1</f>
        <v>1.0469429259071017E-2</v>
      </c>
      <c r="I56" s="291">
        <f>T56</f>
        <v>556.42168424954275</v>
      </c>
      <c r="J56" s="130">
        <f t="shared" ref="J56" si="122">I56/I44-1</f>
        <v>-7.8424568716809473E-3</v>
      </c>
      <c r="K56" s="136"/>
      <c r="L56" s="190"/>
      <c r="M56" s="190"/>
      <c r="N56" s="191"/>
      <c r="O56" s="192"/>
      <c r="P56" s="129" t="s">
        <v>1420</v>
      </c>
      <c r="Q56" s="116">
        <v>167231480</v>
      </c>
      <c r="R56" s="116">
        <v>249956351810</v>
      </c>
      <c r="S56" s="116">
        <v>300548.09999999998</v>
      </c>
      <c r="T56" s="130">
        <f t="shared" ref="T56" si="123">Q56/S56</f>
        <v>556.42168424954275</v>
      </c>
      <c r="U56" s="85">
        <f t="shared" ref="U56" si="124">Q54+Q55+Q56</f>
        <v>493024905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8775481.416666666</v>
      </c>
      <c r="G57" s="254">
        <f t="shared" ref="G57" si="125">F57/F56-1</f>
        <v>0.15445125024706274</v>
      </c>
      <c r="H57" s="254">
        <f t="shared" ref="H57" si="126">F57/F45-1</f>
        <v>0.1730787588628897</v>
      </c>
      <c r="I57" s="282">
        <f>T57</f>
        <v>582.42606138975941</v>
      </c>
      <c r="J57" s="277">
        <f t="shared" ref="J57" si="127">I57/I45-1</f>
        <v>2.632611005102814E-2</v>
      </c>
      <c r="K57" s="204"/>
      <c r="L57" s="254"/>
      <c r="M57" s="254"/>
      <c r="N57" s="257"/>
      <c r="O57" s="258"/>
      <c r="P57" s="129" t="s">
        <v>1436</v>
      </c>
      <c r="Q57" s="116">
        <v>105305777</v>
      </c>
      <c r="R57" s="116">
        <v>155192849775</v>
      </c>
      <c r="S57" s="116">
        <v>180805.4</v>
      </c>
      <c r="T57" s="130">
        <f t="shared" ref="T57" si="128">Q57/S57</f>
        <v>582.42606138975941</v>
      </c>
      <c r="U57" s="85">
        <f t="shared" ref="U57" si="129">Q55+Q56+Q57</f>
        <v>448151417</v>
      </c>
      <c r="V57" s="79"/>
      <c r="W57" s="79"/>
      <c r="X57" s="79"/>
      <c r="Y57" s="79"/>
      <c r="Z57" s="79"/>
    </row>
    <row r="58" spans="1:26">
      <c r="B58" s="196">
        <f>SUM(F56:F58)</f>
        <v>16376912.325757574</v>
      </c>
      <c r="C58" s="196">
        <f>AVERAGE(F56:F58)</f>
        <v>8188456.1628787871</v>
      </c>
      <c r="D58" s="197">
        <f>C58/C55-1</f>
        <v>-5.2307152765888154E-2</v>
      </c>
      <c r="E58" s="233">
        <f>C58/C46-1</f>
        <v>4.1165807876954785E-2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781546883</v>
      </c>
      <c r="R65" s="212">
        <v>1147647360516</v>
      </c>
      <c r="S65" s="213">
        <v>1399546.72</v>
      </c>
      <c r="T65" s="214">
        <v>115</v>
      </c>
      <c r="U65" s="214">
        <v>504</v>
      </c>
    </row>
    <row r="66" spans="16:21" ht="18" thickBot="1">
      <c r="P66" s="180" t="s">
        <v>976</v>
      </c>
      <c r="Q66" s="181">
        <v>183216201</v>
      </c>
      <c r="R66" s="181">
        <v>266791895016</v>
      </c>
      <c r="S66" s="182">
        <v>333216.15999999997</v>
      </c>
      <c r="T66" s="210">
        <v>77</v>
      </c>
      <c r="U66" s="210">
        <v>320</v>
      </c>
    </row>
    <row r="67" spans="16:21" ht="18" thickBot="1">
      <c r="P67" s="180" t="s">
        <v>977</v>
      </c>
      <c r="Q67" s="181">
        <v>150179265</v>
      </c>
      <c r="R67" s="181">
        <v>217526983255</v>
      </c>
      <c r="S67" s="182">
        <v>272942.3</v>
      </c>
      <c r="T67" s="210">
        <v>78</v>
      </c>
      <c r="U67" s="210">
        <v>288</v>
      </c>
    </row>
    <row r="68" spans="16:21" ht="18" thickBot="1">
      <c r="P68" s="180" t="s">
        <v>978</v>
      </c>
      <c r="Q68" s="181">
        <v>175614160</v>
      </c>
      <c r="R68" s="181">
        <v>258179280660</v>
      </c>
      <c r="S68" s="182">
        <v>312034.75</v>
      </c>
      <c r="T68" s="210">
        <v>89</v>
      </c>
      <c r="U68" s="210">
        <v>321</v>
      </c>
    </row>
    <row r="69" spans="16:21" ht="18" thickBot="1">
      <c r="P69" s="180" t="s">
        <v>979</v>
      </c>
      <c r="Q69" s="181">
        <v>167231480</v>
      </c>
      <c r="R69" s="181">
        <v>249956351810</v>
      </c>
      <c r="S69" s="182">
        <v>300548.09999999998</v>
      </c>
      <c r="T69" s="210">
        <v>84</v>
      </c>
      <c r="U69" s="210">
        <v>310</v>
      </c>
    </row>
    <row r="70" spans="16:21" ht="18" thickBot="1">
      <c r="P70" s="180" t="s">
        <v>980</v>
      </c>
      <c r="Q70" s="181">
        <v>105305777</v>
      </c>
      <c r="R70" s="181">
        <v>155192849775</v>
      </c>
      <c r="S70" s="182">
        <v>180805.4</v>
      </c>
      <c r="T70" s="210">
        <v>68</v>
      </c>
      <c r="U70" s="210">
        <v>257</v>
      </c>
    </row>
    <row r="71" spans="16:21" ht="18" thickBot="1">
      <c r="P71" s="215" t="s">
        <v>975</v>
      </c>
      <c r="Q71" s="217" t="s">
        <v>1513</v>
      </c>
      <c r="R71"/>
      <c r="S71"/>
      <c r="T71"/>
      <c r="U71"/>
    </row>
    <row r="72" spans="16:21" ht="18" thickBot="1">
      <c r="P72" s="215" t="s">
        <v>982</v>
      </c>
      <c r="Q72" s="217" t="s">
        <v>1446</v>
      </c>
      <c r="R72"/>
      <c r="S72"/>
      <c r="T72"/>
      <c r="U72"/>
    </row>
  </sheetData>
  <phoneticPr fontId="1" type="noConversion"/>
  <conditionalFormatting sqref="C29:C30">
    <cfRule type="cellIs" dxfId="11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"/>
  <dimension ref="A1:Z73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9.5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1965957.1</v>
      </c>
      <c r="G5" s="90"/>
      <c r="H5" s="90"/>
      <c r="I5" s="130">
        <f t="shared" ref="I5:I49" si="0">T5</f>
        <v>26.929500952514907</v>
      </c>
      <c r="J5" s="130"/>
      <c r="L5" s="80"/>
      <c r="M5" s="80"/>
      <c r="P5" s="129" t="s">
        <v>0</v>
      </c>
      <c r="Q5" s="116">
        <v>39319142</v>
      </c>
      <c r="R5" s="116"/>
      <c r="S5" s="116">
        <v>1460076.89</v>
      </c>
      <c r="T5" s="130">
        <f t="shared" ref="T5:T31" si="1">Q5/S5</f>
        <v>26.929500952514907</v>
      </c>
      <c r="U5" s="85"/>
    </row>
    <row r="6" spans="1:21" ht="15" hidden="1" customHeight="1">
      <c r="A6" s="129" t="s">
        <v>1</v>
      </c>
      <c r="C6" s="79"/>
      <c r="F6" s="78">
        <f>Q6/18</f>
        <v>1979111.111111111</v>
      </c>
      <c r="G6" s="90">
        <f t="shared" ref="G6:G31" si="2">F6/F5-1</f>
        <v>6.6908942779630998E-3</v>
      </c>
      <c r="H6" s="90"/>
      <c r="I6" s="130">
        <f t="shared" si="0"/>
        <v>24.464645479755344</v>
      </c>
      <c r="J6" s="130"/>
      <c r="P6" s="129" t="s">
        <v>1</v>
      </c>
      <c r="Q6" s="116">
        <v>35624000</v>
      </c>
      <c r="R6" s="116"/>
      <c r="S6" s="116">
        <v>1456142.09</v>
      </c>
      <c r="T6" s="130">
        <f t="shared" si="1"/>
        <v>24.464645479755344</v>
      </c>
      <c r="U6" s="85"/>
    </row>
    <row r="7" spans="1:21" ht="15" hidden="1" customHeight="1">
      <c r="A7" s="129" t="s">
        <v>2</v>
      </c>
      <c r="B7" s="131">
        <f>F5+F6+F7</f>
        <v>5830262.1656565657</v>
      </c>
      <c r="C7" s="131">
        <f>AVERAGE(F5:F7)</f>
        <v>1943420.7218855219</v>
      </c>
      <c r="F7" s="78">
        <f>Q7/22</f>
        <v>1885193.9545454546</v>
      </c>
      <c r="G7" s="90">
        <f t="shared" si="2"/>
        <v>-4.7454211154890347E-2</v>
      </c>
      <c r="H7" s="90"/>
      <c r="I7" s="130">
        <f t="shared" si="0"/>
        <v>22.458776478275656</v>
      </c>
      <c r="J7" s="130"/>
      <c r="K7" s="79">
        <f>R5+R6+R7</f>
        <v>0</v>
      </c>
      <c r="N7" s="88">
        <f>AVERAGE(T5:T7)</f>
        <v>24.617640970181967</v>
      </c>
      <c r="P7" s="129" t="s">
        <v>2</v>
      </c>
      <c r="Q7" s="116">
        <v>41474267</v>
      </c>
      <c r="R7" s="116"/>
      <c r="S7" s="116">
        <v>1846684.17</v>
      </c>
      <c r="T7" s="130">
        <f t="shared" si="1"/>
        <v>22.458776478275656</v>
      </c>
      <c r="U7" s="85">
        <f>Q5+Q6+Q7</f>
        <v>116417409</v>
      </c>
    </row>
    <row r="8" spans="1:21" ht="15" hidden="1" customHeight="1">
      <c r="A8" s="129" t="s">
        <v>3</v>
      </c>
      <c r="C8" s="79"/>
      <c r="F8" s="78">
        <f>Q8/21</f>
        <v>1833012.1904761905</v>
      </c>
      <c r="G8" s="90">
        <f t="shared" si="2"/>
        <v>-2.7679785384122857E-2</v>
      </c>
      <c r="H8" s="90"/>
      <c r="I8" s="130">
        <f t="shared" si="0"/>
        <v>22.95203821514885</v>
      </c>
      <c r="J8" s="130"/>
      <c r="K8" s="78"/>
      <c r="P8" s="129" t="s">
        <v>3</v>
      </c>
      <c r="Q8" s="116">
        <v>38493256</v>
      </c>
      <c r="R8" s="116"/>
      <c r="S8" s="116">
        <v>1677117.11</v>
      </c>
      <c r="T8" s="130">
        <f t="shared" si="1"/>
        <v>22.95203821514885</v>
      </c>
      <c r="U8" s="85"/>
    </row>
    <row r="9" spans="1:21" ht="15" hidden="1" customHeight="1">
      <c r="A9" s="129" t="s">
        <v>4</v>
      </c>
      <c r="C9" s="79"/>
      <c r="F9" s="78">
        <f>Q9/21</f>
        <v>1863924.5714285714</v>
      </c>
      <c r="G9" s="90">
        <f t="shared" si="2"/>
        <v>1.6864252792748946E-2</v>
      </c>
      <c r="H9" s="90"/>
      <c r="I9" s="130">
        <f t="shared" si="0"/>
        <v>21.678872658319499</v>
      </c>
      <c r="J9" s="130"/>
      <c r="K9" s="78"/>
      <c r="P9" s="129" t="s">
        <v>4</v>
      </c>
      <c r="Q9" s="116">
        <v>39142416</v>
      </c>
      <c r="R9" s="116"/>
      <c r="S9" s="116">
        <v>1805555.88</v>
      </c>
      <c r="T9" s="130">
        <f t="shared" si="1"/>
        <v>21.678872658319499</v>
      </c>
      <c r="U9" s="85"/>
    </row>
    <row r="10" spans="1:21" ht="15" hidden="1" customHeight="1">
      <c r="A10" s="129" t="s">
        <v>5</v>
      </c>
      <c r="B10" s="131">
        <f>F8+F9+F10</f>
        <v>5463546.0476190476</v>
      </c>
      <c r="C10" s="131">
        <f>AVERAGE(F8:F10)</f>
        <v>1821182.0158730159</v>
      </c>
      <c r="D10" s="90">
        <f>C10/C7-1</f>
        <v>-6.2898735531598637E-2</v>
      </c>
      <c r="E10" s="286"/>
      <c r="F10" s="78">
        <f>Q10/21</f>
        <v>1766609.2857142857</v>
      </c>
      <c r="G10" s="90">
        <f t="shared" si="2"/>
        <v>-5.2209884029641884E-2</v>
      </c>
      <c r="H10" s="90"/>
      <c r="I10" s="130">
        <f t="shared" si="0"/>
        <v>24.511777746672724</v>
      </c>
      <c r="J10" s="130"/>
      <c r="K10" s="79">
        <f>R8+R9+R10</f>
        <v>0</v>
      </c>
      <c r="L10" s="87">
        <f>U10/U7-1</f>
        <v>-1.4456102523291881E-2</v>
      </c>
      <c r="N10" s="88">
        <f>AVERAGE(T8:T10)</f>
        <v>23.047562873380357</v>
      </c>
      <c r="O10" s="89">
        <f>N10/N7-1</f>
        <v>-6.3778576456751557E-2</v>
      </c>
      <c r="P10" s="129" t="s">
        <v>5</v>
      </c>
      <c r="Q10" s="116">
        <v>37098795</v>
      </c>
      <c r="R10" s="116"/>
      <c r="S10" s="116">
        <v>1513508.95</v>
      </c>
      <c r="T10" s="130">
        <f t="shared" si="1"/>
        <v>24.511777746672724</v>
      </c>
      <c r="U10" s="85">
        <f>Q8+Q9+Q10</f>
        <v>114734467</v>
      </c>
    </row>
    <row r="11" spans="1:21" ht="15" hidden="1" customHeight="1">
      <c r="A11" s="129" t="s">
        <v>6</v>
      </c>
      <c r="C11" s="79"/>
      <c r="F11" s="78">
        <f>Q11/21</f>
        <v>1668302.3809523811</v>
      </c>
      <c r="G11" s="90">
        <f t="shared" si="2"/>
        <v>-5.5647225199632389E-2</v>
      </c>
      <c r="H11" s="90"/>
      <c r="I11" s="130">
        <f t="shared" si="0"/>
        <v>23.148653646087631</v>
      </c>
      <c r="J11" s="130"/>
      <c r="K11" s="78"/>
      <c r="O11" s="89"/>
      <c r="P11" s="129" t="s">
        <v>6</v>
      </c>
      <c r="Q11" s="116">
        <v>35034350</v>
      </c>
      <c r="R11" s="116"/>
      <c r="S11" s="116">
        <v>1513450.87</v>
      </c>
      <c r="T11" s="130">
        <f t="shared" si="1"/>
        <v>23.148653646087631</v>
      </c>
      <c r="U11" s="85"/>
    </row>
    <row r="12" spans="1:21" ht="15" hidden="1" customHeight="1">
      <c r="A12" s="129" t="s">
        <v>7</v>
      </c>
      <c r="C12" s="79"/>
      <c r="F12" s="78">
        <f>Q12/22</f>
        <v>1772055.6363636365</v>
      </c>
      <c r="G12" s="90">
        <f t="shared" si="2"/>
        <v>6.2190917303628135E-2</v>
      </c>
      <c r="H12" s="90"/>
      <c r="I12" s="130">
        <f t="shared" si="0"/>
        <v>23.171209774719721</v>
      </c>
      <c r="J12" s="130"/>
      <c r="K12" s="78"/>
      <c r="O12" s="89"/>
      <c r="P12" s="129" t="s">
        <v>7</v>
      </c>
      <c r="Q12" s="116">
        <v>38985224</v>
      </c>
      <c r="R12" s="116"/>
      <c r="S12" s="116">
        <v>1682485.48</v>
      </c>
      <c r="T12" s="130">
        <f t="shared" si="1"/>
        <v>23.171209774719721</v>
      </c>
      <c r="U12" s="85"/>
    </row>
    <row r="13" spans="1:21" ht="15" hidden="1" customHeight="1">
      <c r="A13" s="129" t="s">
        <v>96</v>
      </c>
      <c r="B13" s="131">
        <f>F11+F12+F13</f>
        <v>5311372.6173160169</v>
      </c>
      <c r="C13" s="131">
        <f>AVERAGE(F11:F13)</f>
        <v>1770457.539105339</v>
      </c>
      <c r="D13" s="90">
        <f>C13/C10-1</f>
        <v>-2.7852502564583714E-2</v>
      </c>
      <c r="E13" s="286"/>
      <c r="F13" s="78">
        <f>Q13/20</f>
        <v>1871014.6</v>
      </c>
      <c r="G13" s="90">
        <f t="shared" si="2"/>
        <v>5.5844162906438566E-2</v>
      </c>
      <c r="H13" s="90"/>
      <c r="I13" s="130">
        <f t="shared" si="0"/>
        <v>22.31557584745034</v>
      </c>
      <c r="J13" s="130"/>
      <c r="K13" s="78">
        <f>R11+R12+R13</f>
        <v>0</v>
      </c>
      <c r="L13" s="87">
        <f>U13/U10-1</f>
        <v>-2.8715006799133858E-2</v>
      </c>
      <c r="N13" s="88">
        <f>AVERAGE(T11:T13)</f>
        <v>22.878479756085898</v>
      </c>
      <c r="O13" s="89">
        <f>N13/N10-1</f>
        <v>-7.3362688377671681E-3</v>
      </c>
      <c r="P13" s="129" t="s">
        <v>96</v>
      </c>
      <c r="Q13" s="116">
        <v>37420292</v>
      </c>
      <c r="R13" s="116"/>
      <c r="S13" s="116">
        <v>1676868.76</v>
      </c>
      <c r="T13" s="130">
        <f t="shared" si="1"/>
        <v>22.31557584745034</v>
      </c>
      <c r="U13" s="85">
        <f>Q11+Q12+Q13</f>
        <v>111439866</v>
      </c>
    </row>
    <row r="14" spans="1:21" ht="15" hidden="1" customHeight="1">
      <c r="A14" s="129" t="s">
        <v>97</v>
      </c>
      <c r="C14" s="79"/>
      <c r="F14" s="78">
        <f>Q14/20</f>
        <v>1616197.4</v>
      </c>
      <c r="G14" s="90">
        <f t="shared" si="2"/>
        <v>-0.13619198909511454</v>
      </c>
      <c r="H14" s="90"/>
      <c r="I14" s="130">
        <f t="shared" si="0"/>
        <v>23.061122353184569</v>
      </c>
      <c r="J14" s="130"/>
      <c r="O14" s="89"/>
      <c r="P14" s="129" t="s">
        <v>97</v>
      </c>
      <c r="Q14" s="116">
        <v>32323948</v>
      </c>
      <c r="R14" s="116"/>
      <c r="S14" s="116">
        <v>1401664.13</v>
      </c>
      <c r="T14" s="130">
        <f t="shared" si="1"/>
        <v>23.061122353184569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1238985.3636363635</v>
      </c>
      <c r="G15" s="90">
        <f t="shared" si="2"/>
        <v>-0.23339477984783075</v>
      </c>
      <c r="H15" s="90"/>
      <c r="I15" s="130">
        <f t="shared" si="0"/>
        <v>22.546914232470581</v>
      </c>
      <c r="J15" s="130"/>
      <c r="O15" s="89"/>
      <c r="P15" s="129" t="s">
        <v>98</v>
      </c>
      <c r="Q15" s="116">
        <v>27257678</v>
      </c>
      <c r="R15" s="116"/>
      <c r="S15" s="116">
        <v>1208931.6399999999</v>
      </c>
      <c r="T15" s="130">
        <f t="shared" si="1"/>
        <v>22.546914232470581</v>
      </c>
      <c r="U15" s="85"/>
    </row>
    <row r="16" spans="1:21" ht="15" hidden="1" customHeight="1">
      <c r="A16" s="129" t="s">
        <v>99</v>
      </c>
      <c r="B16" s="131">
        <f>F14+F15+F16</f>
        <v>3955965.3545454545</v>
      </c>
      <c r="C16" s="131">
        <f>AVERAGE(F14:F16)</f>
        <v>1318655.1181818182</v>
      </c>
      <c r="D16" s="90">
        <f>C16/C13-1</f>
        <v>-0.25518963936962247</v>
      </c>
      <c r="E16" s="286"/>
      <c r="F16" s="78">
        <f>Q16/22</f>
        <v>1100782.5909090908</v>
      </c>
      <c r="G16" s="90">
        <f t="shared" si="2"/>
        <v>-0.11154512134159045</v>
      </c>
      <c r="H16" s="90"/>
      <c r="I16" s="130">
        <f t="shared" si="0"/>
        <v>18.878492130182426</v>
      </c>
      <c r="J16" s="130"/>
      <c r="K16" s="78">
        <f>R14+R15+R16</f>
        <v>0</v>
      </c>
      <c r="L16" s="87">
        <f>U16/U13-1</f>
        <v>-0.24803532157872477</v>
      </c>
      <c r="N16" s="88">
        <f>AVERAGE(T14:T16)</f>
        <v>21.49550957194586</v>
      </c>
      <c r="O16" s="89">
        <f>N16/N13-1</f>
        <v>-6.0448517510091726E-2</v>
      </c>
      <c r="P16" s="129" t="s">
        <v>99</v>
      </c>
      <c r="Q16" s="116">
        <v>24217217</v>
      </c>
      <c r="R16" s="116"/>
      <c r="S16" s="116">
        <v>1282794.03</v>
      </c>
      <c r="T16" s="130">
        <f t="shared" si="1"/>
        <v>18.878492130182426</v>
      </c>
      <c r="U16" s="85">
        <f>Q14+Q15+Q16</f>
        <v>83798843</v>
      </c>
    </row>
    <row r="17" spans="1:21" ht="15" hidden="1" customHeight="1">
      <c r="A17" s="129" t="s">
        <v>100</v>
      </c>
      <c r="C17" s="79"/>
      <c r="F17" s="78">
        <f>Q17/20</f>
        <v>952131.8</v>
      </c>
      <c r="G17" s="90">
        <f t="shared" si="2"/>
        <v>-0.13504100822154741</v>
      </c>
      <c r="H17" s="90">
        <f t="shared" ref="H17:H31" si="3">F17/F5-1</f>
        <v>-0.51569044919647533</v>
      </c>
      <c r="I17" s="130">
        <f t="shared" si="0"/>
        <v>20.927646688237989</v>
      </c>
      <c r="J17" s="130">
        <f t="shared" ref="J17:J49" si="4">I17/I5-1</f>
        <v>-0.22287283655423307</v>
      </c>
      <c r="O17" s="89"/>
      <c r="P17" s="129" t="s">
        <v>100</v>
      </c>
      <c r="Q17" s="116">
        <v>19042636</v>
      </c>
      <c r="R17" s="116"/>
      <c r="S17" s="116">
        <v>909927.25</v>
      </c>
      <c r="T17" s="130">
        <f t="shared" si="1"/>
        <v>20.927646688237989</v>
      </c>
      <c r="U17" s="78"/>
    </row>
    <row r="18" spans="1:21" ht="15" hidden="1" customHeight="1">
      <c r="A18" s="129" t="s">
        <v>106</v>
      </c>
      <c r="C18" s="79"/>
      <c r="F18" s="78">
        <f>Q18/20</f>
        <v>1216289.55</v>
      </c>
      <c r="G18" s="90">
        <f t="shared" si="2"/>
        <v>0.27743821811224034</v>
      </c>
      <c r="H18" s="90">
        <f t="shared" si="3"/>
        <v>-0.38543645014596895</v>
      </c>
      <c r="I18" s="130">
        <f t="shared" si="0"/>
        <v>22.160604636421667</v>
      </c>
      <c r="J18" s="130">
        <f t="shared" si="4"/>
        <v>-9.4178386735270125E-2</v>
      </c>
      <c r="O18" s="89"/>
      <c r="P18" s="129" t="s">
        <v>106</v>
      </c>
      <c r="Q18" s="116">
        <v>24325791</v>
      </c>
      <c r="R18" s="116"/>
      <c r="S18" s="116">
        <v>1097704.3</v>
      </c>
      <c r="T18" s="130">
        <f t="shared" si="1"/>
        <v>22.160604636421667</v>
      </c>
      <c r="U18" s="78"/>
    </row>
    <row r="19" spans="1:21" hidden="1">
      <c r="A19" s="129" t="s">
        <v>114</v>
      </c>
      <c r="B19" s="131">
        <f>SUM(F17:F19)</f>
        <v>3361648.35</v>
      </c>
      <c r="C19" s="131">
        <f>AVERAGE(F17:F19)</f>
        <v>1120549.45</v>
      </c>
      <c r="D19" s="90">
        <f>C19/C16-1</f>
        <v>-0.15023311664309114</v>
      </c>
      <c r="E19" s="286">
        <f>C19/C7-1</f>
        <v>-0.42341386124933655</v>
      </c>
      <c r="F19" s="78">
        <f>Q19/22</f>
        <v>1193227</v>
      </c>
      <c r="G19" s="90">
        <f t="shared" si="2"/>
        <v>-1.8961397802028324E-2</v>
      </c>
      <c r="H19" s="90">
        <f t="shared" si="3"/>
        <v>-0.36705345509783216</v>
      </c>
      <c r="I19" s="130">
        <f t="shared" si="0"/>
        <v>23.387252108523715</v>
      </c>
      <c r="J19" s="130">
        <f t="shared" si="4"/>
        <v>4.1341327349073254E-2</v>
      </c>
      <c r="K19" s="78">
        <f>R17+R18+R19</f>
        <v>0</v>
      </c>
      <c r="L19" s="87">
        <f>U19/U16-1</f>
        <v>-0.16920784932555688</v>
      </c>
      <c r="M19" s="87">
        <f>U19/U7-1</f>
        <v>-0.40198444890660645</v>
      </c>
      <c r="N19" s="88">
        <f>AVERAGE(T17:T19)</f>
        <v>22.158501144394453</v>
      </c>
      <c r="O19" s="89">
        <f>N19/N16-1</f>
        <v>3.0843259157432357E-2</v>
      </c>
      <c r="P19" s="129" t="s">
        <v>114</v>
      </c>
      <c r="Q19" s="116">
        <v>26250994</v>
      </c>
      <c r="R19" s="116"/>
      <c r="S19" s="116">
        <v>1122448.8400000001</v>
      </c>
      <c r="T19" s="130">
        <f t="shared" si="1"/>
        <v>23.387252108523715</v>
      </c>
      <c r="U19" s="85">
        <f>Q17+Q18+Q19</f>
        <v>69619421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1441015.4</v>
      </c>
      <c r="G20" s="90">
        <f t="shared" si="2"/>
        <v>0.20766241461180468</v>
      </c>
      <c r="H20" s="90">
        <f t="shared" si="3"/>
        <v>-0.21385389170508218</v>
      </c>
      <c r="I20" s="130">
        <f t="shared" si="0"/>
        <v>23.839378568139672</v>
      </c>
      <c r="J20" s="130">
        <f t="shared" si="4"/>
        <v>3.8660634174317421E-2</v>
      </c>
      <c r="O20" s="89"/>
      <c r="P20" s="129" t="s">
        <v>131</v>
      </c>
      <c r="Q20" s="116">
        <v>28820308</v>
      </c>
      <c r="R20" s="116"/>
      <c r="S20" s="116">
        <v>1208937.05</v>
      </c>
      <c r="T20" s="130">
        <f t="shared" si="1"/>
        <v>23.839378568139672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1460040.2857142857</v>
      </c>
      <c r="G21" s="90">
        <f t="shared" si="2"/>
        <v>1.3202416653066873E-2</v>
      </c>
      <c r="H21" s="90">
        <f t="shared" si="3"/>
        <v>-0.21668488730997082</v>
      </c>
      <c r="I21" s="130">
        <f t="shared" si="0"/>
        <v>24.201538600752059</v>
      </c>
      <c r="J21" s="130">
        <f t="shared" si="4"/>
        <v>0.1163651810770916</v>
      </c>
      <c r="O21" s="89"/>
      <c r="P21" s="129" t="s">
        <v>141</v>
      </c>
      <c r="Q21" s="116">
        <v>30660846</v>
      </c>
      <c r="R21" s="116"/>
      <c r="S21" s="116">
        <v>1266896.56</v>
      </c>
      <c r="T21" s="130">
        <f t="shared" si="1"/>
        <v>24.201538600752059</v>
      </c>
      <c r="U21" s="78"/>
    </row>
    <row r="22" spans="1:21" hidden="1">
      <c r="A22" s="129" t="s">
        <v>155</v>
      </c>
      <c r="B22" s="131">
        <f>SUM(F20:F22)</f>
        <v>4337760.9714285713</v>
      </c>
      <c r="C22" s="131">
        <f>AVERAGE(F20:F22)</f>
        <v>1445920.3238095238</v>
      </c>
      <c r="D22" s="90">
        <f>C22/C19-1</f>
        <v>0.29036726028425064</v>
      </c>
      <c r="E22" s="286">
        <f>C22/C10-1</f>
        <v>-0.20605391926385985</v>
      </c>
      <c r="F22" s="78">
        <f>Q22/21</f>
        <v>1436705.2857142857</v>
      </c>
      <c r="G22" s="90">
        <f t="shared" si="2"/>
        <v>-1.5982435709699594E-2</v>
      </c>
      <c r="H22" s="90">
        <f t="shared" si="3"/>
        <v>-0.18674417861820036</v>
      </c>
      <c r="I22" s="130">
        <f t="shared" si="0"/>
        <v>23.136924326216157</v>
      </c>
      <c r="J22" s="130">
        <f t="shared" si="4"/>
        <v>-5.6089502551204928E-2</v>
      </c>
      <c r="K22" s="78">
        <f>R20+R21+R22</f>
        <v>0</v>
      </c>
      <c r="L22" s="87">
        <f>U22/U19-1</f>
        <v>0.28774361682783889</v>
      </c>
      <c r="M22" s="87">
        <f>U22/U10-1</f>
        <v>-0.21861348778479961</v>
      </c>
      <c r="N22" s="88">
        <f>AVERAGE(T20:T22)</f>
        <v>23.725947165035961</v>
      </c>
      <c r="O22" s="89">
        <f>N22/N19-1</f>
        <v>7.073790823789694E-2</v>
      </c>
      <c r="P22" s="129" t="s">
        <v>155</v>
      </c>
      <c r="Q22" s="116">
        <v>30170811</v>
      </c>
      <c r="R22" s="116"/>
      <c r="S22" s="116">
        <v>1304011.31</v>
      </c>
      <c r="T22" s="130">
        <f t="shared" si="1"/>
        <v>23.136924326216157</v>
      </c>
      <c r="U22" s="85">
        <f>Q20+Q21+Q22</f>
        <v>89651965</v>
      </c>
    </row>
    <row r="23" spans="1:21" hidden="1">
      <c r="A23" s="129" t="s">
        <v>189</v>
      </c>
      <c r="B23" s="131"/>
      <c r="C23" s="131"/>
      <c r="F23" s="78">
        <f>Q23/21</f>
        <v>1520986.0476190476</v>
      </c>
      <c r="G23" s="90">
        <f t="shared" si="2"/>
        <v>5.8662526506165102E-2</v>
      </c>
      <c r="H23" s="90">
        <f t="shared" si="3"/>
        <v>-8.8303136778618785E-2</v>
      </c>
      <c r="I23" s="130">
        <f t="shared" si="0"/>
        <v>23.011317556948402</v>
      </c>
      <c r="J23" s="130">
        <f t="shared" si="4"/>
        <v>-5.9327894934589898E-3</v>
      </c>
      <c r="O23" s="89"/>
      <c r="P23" s="129" t="s">
        <v>189</v>
      </c>
      <c r="Q23" s="116">
        <v>31940707</v>
      </c>
      <c r="R23" s="116"/>
      <c r="S23" s="116">
        <v>1388043.38</v>
      </c>
      <c r="T23" s="130">
        <f t="shared" si="1"/>
        <v>23.011317556948402</v>
      </c>
      <c r="U23" s="78"/>
    </row>
    <row r="24" spans="1:21" hidden="1">
      <c r="A24" s="129" t="s">
        <v>204</v>
      </c>
      <c r="B24" s="131"/>
      <c r="C24" s="131"/>
      <c r="F24" s="78">
        <f>Q24/22</f>
        <v>1592845.8181818181</v>
      </c>
      <c r="G24" s="90">
        <f t="shared" si="2"/>
        <v>4.7245515943594496E-2</v>
      </c>
      <c r="H24" s="90">
        <f t="shared" si="3"/>
        <v>-0.10113103364495235</v>
      </c>
      <c r="I24" s="130">
        <f t="shared" si="0"/>
        <v>26.111389678934358</v>
      </c>
      <c r="J24" s="130">
        <f t="shared" si="4"/>
        <v>0.12688935678371172</v>
      </c>
      <c r="O24" s="89"/>
      <c r="P24" s="129" t="s">
        <v>204</v>
      </c>
      <c r="Q24" s="116">
        <v>35042608</v>
      </c>
      <c r="R24" s="116"/>
      <c r="S24" s="116">
        <v>1342043.01</v>
      </c>
      <c r="T24" s="130">
        <f t="shared" si="1"/>
        <v>26.111389678934358</v>
      </c>
      <c r="U24" s="78"/>
    </row>
    <row r="25" spans="1:21" s="79" customFormat="1" ht="13.2" hidden="1">
      <c r="A25" s="129" t="s">
        <v>217</v>
      </c>
      <c r="B25" s="131">
        <f>SUM(F23:F25)</f>
        <v>4986643.3921166556</v>
      </c>
      <c r="C25" s="131">
        <f>AVERAGE(F23:F25)</f>
        <v>1662214.4640388852</v>
      </c>
      <c r="D25" s="90">
        <f>C25/C22-1</f>
        <v>0.14958925237283993</v>
      </c>
      <c r="E25" s="286">
        <f>C25/C13-1</f>
        <v>-6.113847560622776E-2</v>
      </c>
      <c r="F25" s="78">
        <f>Q25/19</f>
        <v>1872811.5263157894</v>
      </c>
      <c r="G25" s="90">
        <f t="shared" si="2"/>
        <v>0.17576447446341237</v>
      </c>
      <c r="H25" s="90">
        <f t="shared" si="3"/>
        <v>9.6040208119663184E-4</v>
      </c>
      <c r="I25" s="130">
        <f t="shared" si="0"/>
        <v>24.549181694955362</v>
      </c>
      <c r="J25" s="130">
        <f t="shared" si="4"/>
        <v>0.10009178623818582</v>
      </c>
      <c r="K25" s="78">
        <f>R23+R24+R25</f>
        <v>0</v>
      </c>
      <c r="L25" s="90">
        <f>U25/U22-1</f>
        <v>0.14405450008820209</v>
      </c>
      <c r="M25" s="90">
        <f>U25/U13-1</f>
        <v>-7.9622601125525438E-2</v>
      </c>
      <c r="N25" s="88">
        <f>AVERAGE(T23:T25)</f>
        <v>24.557296310279373</v>
      </c>
      <c r="O25" s="91">
        <f>N25/N22-1</f>
        <v>3.5039660986371013E-2</v>
      </c>
      <c r="P25" s="129" t="s">
        <v>217</v>
      </c>
      <c r="Q25" s="116">
        <v>35583419</v>
      </c>
      <c r="R25" s="116"/>
      <c r="S25" s="116">
        <v>1449474.75</v>
      </c>
      <c r="T25" s="130">
        <f t="shared" si="1"/>
        <v>24.549181694955362</v>
      </c>
      <c r="U25" s="85">
        <f>Q23+Q24+Q25</f>
        <v>102566734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1485902.6842105263</v>
      </c>
      <c r="G26" s="90">
        <f t="shared" si="2"/>
        <v>-0.20659251433933312</v>
      </c>
      <c r="H26" s="90">
        <f t="shared" si="3"/>
        <v>-8.0618070409885334E-2</v>
      </c>
      <c r="I26" s="130">
        <f t="shared" si="0"/>
        <v>20.797901568372332</v>
      </c>
      <c r="J26" s="130">
        <f t="shared" si="4"/>
        <v>-9.8140097006150451E-2</v>
      </c>
      <c r="L26" s="90"/>
      <c r="M26" s="90"/>
      <c r="P26" s="129" t="s">
        <v>312</v>
      </c>
      <c r="Q26" s="116">
        <v>28232151</v>
      </c>
      <c r="R26" s="116"/>
      <c r="S26" s="116">
        <v>1357451.9</v>
      </c>
      <c r="T26" s="130">
        <f t="shared" si="1"/>
        <v>20.797901568372332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1585403.5909090908</v>
      </c>
      <c r="G27" s="90">
        <f t="shared" si="2"/>
        <v>6.6963272733725709E-2</v>
      </c>
      <c r="H27" s="90">
        <f t="shared" si="3"/>
        <v>0.27959832088411929</v>
      </c>
      <c r="I27" s="130">
        <f t="shared" si="0"/>
        <v>25.556886368650755</v>
      </c>
      <c r="J27" s="130">
        <f t="shared" si="4"/>
        <v>0.13349818539006142</v>
      </c>
      <c r="L27" s="90"/>
      <c r="M27" s="90"/>
      <c r="P27" s="129" t="s">
        <v>373</v>
      </c>
      <c r="Q27" s="116">
        <v>34878879</v>
      </c>
      <c r="R27" s="116"/>
      <c r="S27" s="116">
        <v>1364754.63</v>
      </c>
      <c r="T27" s="130">
        <f t="shared" si="1"/>
        <v>25.556886368650755</v>
      </c>
      <c r="U27" s="78"/>
    </row>
    <row r="28" spans="1:21" s="79" customFormat="1" ht="13.2" hidden="1">
      <c r="A28" s="123" t="s">
        <v>413</v>
      </c>
      <c r="B28" s="131">
        <f>SUM(F26:F28)</f>
        <v>4605629.3803827753</v>
      </c>
      <c r="C28" s="131">
        <f>AVERAGE(F26:F28)</f>
        <v>1535209.7934609251</v>
      </c>
      <c r="D28" s="90">
        <f>C28/C25-1</f>
        <v>-7.6406909773460541E-2</v>
      </c>
      <c r="E28" s="286">
        <f>C28/C16-1</f>
        <v>0.16422389167054985</v>
      </c>
      <c r="F28" s="78">
        <f>Q28/19</f>
        <v>1534323.105263158</v>
      </c>
      <c r="G28" s="90">
        <f t="shared" si="2"/>
        <v>-3.2219231707834473E-2</v>
      </c>
      <c r="H28" s="90">
        <f t="shared" si="3"/>
        <v>0.39384753895501201</v>
      </c>
      <c r="I28" s="130">
        <f t="shared" si="0"/>
        <v>23.321576121431104</v>
      </c>
      <c r="J28" s="130">
        <f t="shared" si="4"/>
        <v>0.23535163510994583</v>
      </c>
      <c r="K28" s="78">
        <f>R26+R27+R28</f>
        <v>0</v>
      </c>
      <c r="L28" s="90">
        <f>U28/U25-1</f>
        <v>-0.10045718137032622</v>
      </c>
      <c r="M28" s="90">
        <f>U28/U16-1</f>
        <v>0.10100767143049927</v>
      </c>
      <c r="N28" s="88">
        <f>AVERAGE(T26:T28)</f>
        <v>23.225454686151398</v>
      </c>
      <c r="O28" s="91">
        <f>N28/N25-1</f>
        <v>-5.4234049518329219E-2</v>
      </c>
      <c r="P28" s="129" t="s">
        <v>413</v>
      </c>
      <c r="Q28" s="116">
        <v>29152139</v>
      </c>
      <c r="R28" s="116"/>
      <c r="S28" s="116">
        <v>1250007.24</v>
      </c>
      <c r="T28" s="130">
        <f t="shared" si="1"/>
        <v>23.321576121431104</v>
      </c>
      <c r="U28" s="85">
        <f>Q26+Q27+Q28</f>
        <v>92263169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1538681.7727272727</v>
      </c>
      <c r="G29" s="190">
        <f t="shared" si="2"/>
        <v>2.8407754854002931E-3</v>
      </c>
      <c r="H29" s="190">
        <f t="shared" si="3"/>
        <v>0.6160386332304757</v>
      </c>
      <c r="I29" s="130">
        <f t="shared" si="0"/>
        <v>26.422090563698703</v>
      </c>
      <c r="J29" s="130">
        <f t="shared" si="4"/>
        <v>0.26254475514195152</v>
      </c>
      <c r="K29" s="136"/>
      <c r="L29" s="190"/>
      <c r="M29" s="190"/>
      <c r="N29" s="191"/>
      <c r="O29" s="192"/>
      <c r="P29" s="129" t="s">
        <v>426</v>
      </c>
      <c r="Q29" s="116">
        <v>33850999</v>
      </c>
      <c r="R29" s="116">
        <v>44584353925</v>
      </c>
      <c r="S29" s="116">
        <v>1281162.78</v>
      </c>
      <c r="T29" s="130">
        <f t="shared" si="1"/>
        <v>26.422090563698703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1395891.2105263157</v>
      </c>
      <c r="G30" s="190">
        <f t="shared" si="2"/>
        <v>-9.2800580816567724E-2</v>
      </c>
      <c r="H30" s="190">
        <f t="shared" si="3"/>
        <v>0.14766357281151987</v>
      </c>
      <c r="I30" s="130">
        <f t="shared" si="0"/>
        <v>19.416278088775119</v>
      </c>
      <c r="J30" s="130">
        <f t="shared" si="4"/>
        <v>-0.12383807177969142</v>
      </c>
      <c r="K30" s="136"/>
      <c r="L30" s="190"/>
      <c r="M30" s="190"/>
      <c r="N30" s="191"/>
      <c r="O30" s="192"/>
      <c r="P30" s="129" t="s">
        <v>466</v>
      </c>
      <c r="Q30" s="116">
        <v>26521933</v>
      </c>
      <c r="R30" s="116">
        <v>35343237421</v>
      </c>
      <c r="S30" s="116">
        <v>1365963.8</v>
      </c>
      <c r="T30" s="130">
        <f t="shared" si="1"/>
        <v>19.416278088775119</v>
      </c>
      <c r="U30" s="85"/>
    </row>
    <row r="31" spans="1:21" s="79" customFormat="1" ht="13.2" hidden="1">
      <c r="A31" s="129" t="s">
        <v>505</v>
      </c>
      <c r="B31" s="188">
        <f>SUM(F29:F31)</f>
        <v>4583995.1332535883</v>
      </c>
      <c r="C31" s="188">
        <f>AVERAGE(F29:F31)</f>
        <v>1527998.377751196</v>
      </c>
      <c r="D31" s="190">
        <f>C31/C28-1</f>
        <v>-4.6973486883977733E-3</v>
      </c>
      <c r="E31" s="287">
        <f>C31/C19-1</f>
        <v>0.36361530296694733</v>
      </c>
      <c r="F31" s="136">
        <f>Q31/20</f>
        <v>1649422.15</v>
      </c>
      <c r="G31" s="190">
        <f t="shared" si="2"/>
        <v>0.18162657488049616</v>
      </c>
      <c r="H31" s="190">
        <f t="shared" si="3"/>
        <v>0.38232050565399534</v>
      </c>
      <c r="I31" s="130">
        <f t="shared" si="0"/>
        <v>23.775036659175676</v>
      </c>
      <c r="J31" s="130">
        <f t="shared" si="4"/>
        <v>1.6581022381446431E-2</v>
      </c>
      <c r="K31" s="136">
        <f>R29+R30+R31</f>
        <v>123761192762</v>
      </c>
      <c r="L31" s="190">
        <f>U31/U28-1</f>
        <v>1.1902972897018138E-2</v>
      </c>
      <c r="M31" s="190">
        <f>U31/U19-1</f>
        <v>0.34102487005745141</v>
      </c>
      <c r="N31" s="191">
        <f>AVERAGE(T29:T31)</f>
        <v>23.204468437216502</v>
      </c>
      <c r="O31" s="192">
        <f>N31/N28-1</f>
        <v>-9.0358829217707104E-4</v>
      </c>
      <c r="P31" s="129" t="s">
        <v>506</v>
      </c>
      <c r="Q31" s="116">
        <v>32988443</v>
      </c>
      <c r="R31" s="116">
        <v>43833601416</v>
      </c>
      <c r="S31" s="116">
        <v>1387524.38</v>
      </c>
      <c r="T31" s="130">
        <f t="shared" si="1"/>
        <v>23.775036659175676</v>
      </c>
      <c r="U31" s="85">
        <f>Q29+Q30+Q31</f>
        <v>93361375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1565642.4761904762</v>
      </c>
      <c r="G32" s="190">
        <f t="shared" ref="G32" si="5">F32/F31-1</f>
        <v>-5.0793348330822274E-2</v>
      </c>
      <c r="H32" s="190">
        <f t="shared" ref="H32" si="6">F32/F20-1</f>
        <v>8.6485596330529324E-2</v>
      </c>
      <c r="I32" s="130">
        <f t="shared" si="0"/>
        <v>23.940398024168328</v>
      </c>
      <c r="J32" s="130">
        <f t="shared" si="4"/>
        <v>4.2375037478394884E-3</v>
      </c>
      <c r="K32" s="136"/>
      <c r="L32" s="190"/>
      <c r="M32" s="190"/>
      <c r="N32" s="191"/>
      <c r="O32" s="192"/>
      <c r="P32" s="129" t="s">
        <v>566</v>
      </c>
      <c r="Q32" s="116">
        <v>32878492</v>
      </c>
      <c r="R32" s="116">
        <v>44661913211</v>
      </c>
      <c r="S32" s="116">
        <v>1373347.76</v>
      </c>
      <c r="T32" s="135">
        <f t="shared" ref="T32" si="7">Q32/S32</f>
        <v>23.940398024168328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1763419.3333333333</v>
      </c>
      <c r="G33" s="190">
        <f t="shared" ref="G33" si="8">F33/F32-1</f>
        <v>0.12632312941846591</v>
      </c>
      <c r="H33" s="190">
        <f t="shared" ref="H33" si="9">F33/F21-1</f>
        <v>0.20778813474357483</v>
      </c>
      <c r="I33" s="130">
        <f t="shared" si="0"/>
        <v>24.818901062067809</v>
      </c>
      <c r="J33" s="130">
        <f t="shared" si="4"/>
        <v>2.5509223669629266E-2</v>
      </c>
      <c r="K33" s="136"/>
      <c r="L33" s="190"/>
      <c r="M33" s="190"/>
      <c r="N33" s="191"/>
      <c r="O33" s="192"/>
      <c r="P33" s="129" t="s">
        <v>607</v>
      </c>
      <c r="Q33" s="116">
        <v>37031806</v>
      </c>
      <c r="R33" s="116">
        <v>50651022291</v>
      </c>
      <c r="S33" s="116">
        <v>1492080.81</v>
      </c>
      <c r="T33" s="135">
        <f t="shared" ref="T33" si="10">Q33/S33</f>
        <v>24.818901062067809</v>
      </c>
      <c r="U33" s="85"/>
    </row>
    <row r="34" spans="1:21" s="79" customFormat="1" ht="13.2" hidden="1">
      <c r="A34" s="129" t="s">
        <v>652</v>
      </c>
      <c r="B34" s="188">
        <f>SUM(F32:F34)</f>
        <v>4939970.1779448623</v>
      </c>
      <c r="C34" s="188">
        <f>AVERAGE(F32:F34)</f>
        <v>1646656.7259816208</v>
      </c>
      <c r="D34" s="190">
        <f>C34/C31-1</f>
        <v>7.7656069507781922E-2</v>
      </c>
      <c r="E34" s="287">
        <f>C34/C22-1</f>
        <v>0.1388295045492014</v>
      </c>
      <c r="F34" s="136">
        <f>Q34/19</f>
        <v>1610908.3684210526</v>
      </c>
      <c r="G34" s="190">
        <f t="shared" ref="G34" si="11">F34/F33-1</f>
        <v>-8.6485932205355942E-2</v>
      </c>
      <c r="H34" s="190">
        <f t="shared" ref="H34" si="12">F34/F22-1</f>
        <v>0.12125178659738722</v>
      </c>
      <c r="I34" s="130">
        <f t="shared" si="0"/>
        <v>19.972974230643882</v>
      </c>
      <c r="J34" s="130">
        <f t="shared" si="4"/>
        <v>-0.1367489494697981</v>
      </c>
      <c r="K34" s="136">
        <f>R32+R33+R34</f>
        <v>137385958412</v>
      </c>
      <c r="L34" s="190">
        <f>U34/U31-1</f>
        <v>7.6650349247748384E-2</v>
      </c>
      <c r="M34" s="190">
        <f>U34/U22-1</f>
        <v>0.12119747737821474</v>
      </c>
      <c r="N34" s="191">
        <f>AVERAGE(T32:T34)</f>
        <v>22.910757772293341</v>
      </c>
      <c r="O34" s="192">
        <f>N34/N31-1</f>
        <v>-1.2657504554256183E-2</v>
      </c>
      <c r="P34" s="129" t="s">
        <v>652</v>
      </c>
      <c r="Q34" s="116">
        <v>30607259</v>
      </c>
      <c r="R34" s="116">
        <v>42073022910</v>
      </c>
      <c r="S34" s="116">
        <v>1532433.71</v>
      </c>
      <c r="T34" s="135">
        <f t="shared" ref="T34" si="13">Q34/S34</f>
        <v>19.972974230643882</v>
      </c>
      <c r="U34" s="85">
        <f>Q32+Q33+Q34</f>
        <v>100517557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1544522.043478261</v>
      </c>
      <c r="G35" s="190">
        <f t="shared" ref="G35" si="14">F35/F34-1</f>
        <v>-4.1210491077068978E-2</v>
      </c>
      <c r="H35" s="190">
        <f t="shared" ref="H35" si="15">F35/F23-1</f>
        <v>1.5474169467929455E-2</v>
      </c>
      <c r="I35" s="130">
        <f t="shared" si="0"/>
        <v>23.658983801025187</v>
      </c>
      <c r="J35" s="130">
        <f t="shared" si="4"/>
        <v>2.8145552399333029E-2</v>
      </c>
      <c r="K35" s="136"/>
      <c r="L35" s="190"/>
      <c r="M35" s="190"/>
      <c r="N35" s="191"/>
      <c r="O35" s="192"/>
      <c r="P35" s="129" t="s">
        <v>660</v>
      </c>
      <c r="Q35" s="116">
        <v>35524007</v>
      </c>
      <c r="R35" s="116">
        <v>49163956873</v>
      </c>
      <c r="S35" s="116">
        <v>1501501.81</v>
      </c>
      <c r="T35" s="135">
        <f t="shared" ref="T35" si="16">Q35/S35</f>
        <v>23.658983801025187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1518251.5714285714</v>
      </c>
      <c r="G36" s="190">
        <f t="shared" ref="G36" si="17">F36/F35-1</f>
        <v>-1.7008803571704645E-2</v>
      </c>
      <c r="H36" s="190">
        <f t="shared" ref="H36" si="18">F36/F24-1</f>
        <v>-4.6830801764852326E-2</v>
      </c>
      <c r="I36" s="130">
        <f t="shared" si="0"/>
        <v>20.330185475986291</v>
      </c>
      <c r="J36" s="130">
        <f t="shared" si="4"/>
        <v>-0.22140545846214055</v>
      </c>
      <c r="K36" s="136"/>
      <c r="L36" s="190"/>
      <c r="M36" s="190"/>
      <c r="N36" s="191"/>
      <c r="O36" s="192"/>
      <c r="P36" s="129" t="s">
        <v>666</v>
      </c>
      <c r="Q36" s="116">
        <v>31883283</v>
      </c>
      <c r="R36" s="116">
        <v>43579874708</v>
      </c>
      <c r="S36" s="116">
        <v>1568273.1</v>
      </c>
      <c r="T36" s="135">
        <f t="shared" ref="T36" si="19">Q36/S36</f>
        <v>20.330185475986291</v>
      </c>
      <c r="U36" s="85"/>
    </row>
    <row r="37" spans="1:21" s="79" customFormat="1" ht="13.2" hidden="1">
      <c r="A37" s="129" t="s">
        <v>702</v>
      </c>
      <c r="B37" s="188">
        <f>SUM(F35:F37)</f>
        <v>4830163.8926846106</v>
      </c>
      <c r="C37" s="188">
        <f>AVERAGE(F35:F37)</f>
        <v>1610054.6308948703</v>
      </c>
      <c r="D37" s="190">
        <f>C37/C34-1</f>
        <v>-2.2228127155604294E-2</v>
      </c>
      <c r="E37" s="287">
        <f>C37/C25-1</f>
        <v>-3.1379725223468324E-2</v>
      </c>
      <c r="F37" s="136">
        <f>Q37/18</f>
        <v>1767390.2777777778</v>
      </c>
      <c r="G37" s="190">
        <f t="shared" ref="G37" si="20">F37/F36-1</f>
        <v>0.16409580008850821</v>
      </c>
      <c r="H37" s="190">
        <f t="shared" ref="H37" si="21">F37/F25-1</f>
        <v>-5.6290367213510883E-2</v>
      </c>
      <c r="I37" s="130">
        <f t="shared" si="0"/>
        <v>25.098280087134267</v>
      </c>
      <c r="J37" s="130">
        <f t="shared" si="4"/>
        <v>2.2367278836497473E-2</v>
      </c>
      <c r="K37" s="136">
        <f>R35+R36+R37</f>
        <v>135201730645</v>
      </c>
      <c r="L37" s="190">
        <f>U37/U34-1</f>
        <v>-1.2905626029092621E-2</v>
      </c>
      <c r="M37" s="190">
        <f>U37/U25-1</f>
        <v>-3.262674816183575E-2</v>
      </c>
      <c r="N37" s="191">
        <f>AVERAGE(T35:T37)</f>
        <v>23.029149788048581</v>
      </c>
      <c r="O37" s="192">
        <f>N37/N34-1</f>
        <v>5.1675294606978728E-3</v>
      </c>
      <c r="P37" s="129" t="s">
        <v>702</v>
      </c>
      <c r="Q37" s="116">
        <v>31813025</v>
      </c>
      <c r="R37" s="116">
        <v>42457899064</v>
      </c>
      <c r="S37" s="116">
        <v>1267538.05</v>
      </c>
      <c r="T37" s="135">
        <f t="shared" ref="T37" si="22">Q37/S37</f>
        <v>25.098280087134267</v>
      </c>
      <c r="U37" s="85">
        <f>Q35+Q36+Q37</f>
        <v>99220315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1709337.4</v>
      </c>
      <c r="G38" s="190">
        <f t="shared" ref="G38" si="23">F38/F37-1</f>
        <v>-3.2846665791762986E-2</v>
      </c>
      <c r="H38" s="190">
        <f t="shared" ref="H38" si="24">F38/F26-1</f>
        <v>0.15036968313183086</v>
      </c>
      <c r="I38" s="130">
        <f t="shared" si="0"/>
        <v>25.134333330402306</v>
      </c>
      <c r="J38" s="130">
        <f t="shared" si="4"/>
        <v>0.20850333134687249</v>
      </c>
      <c r="K38" s="136"/>
      <c r="L38" s="190"/>
      <c r="M38" s="190"/>
      <c r="N38" s="191"/>
      <c r="O38" s="192"/>
      <c r="P38" s="129" t="s">
        <v>728</v>
      </c>
      <c r="Q38" s="116">
        <v>34186748</v>
      </c>
      <c r="R38" s="116">
        <v>45847310740</v>
      </c>
      <c r="S38" s="116">
        <v>1360161.32</v>
      </c>
      <c r="T38" s="135">
        <f t="shared" ref="T38" si="25">Q38/S38</f>
        <v>25.134333330402306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1545460</v>
      </c>
      <c r="G39" s="190">
        <f t="shared" ref="G39" si="26">F39/F38-1</f>
        <v>-9.5871885796215528E-2</v>
      </c>
      <c r="H39" s="190">
        <f t="shared" ref="H39" si="27">F39/F27-1</f>
        <v>-2.5194588392591366E-2</v>
      </c>
      <c r="I39" s="130">
        <f t="shared" si="0"/>
        <v>23.157229610842872</v>
      </c>
      <c r="J39" s="130">
        <f t="shared" si="4"/>
        <v>-9.3894722666662989E-2</v>
      </c>
      <c r="K39" s="136"/>
      <c r="L39" s="190"/>
      <c r="M39" s="190"/>
      <c r="N39" s="191"/>
      <c r="O39" s="192"/>
      <c r="P39" s="129" t="s">
        <v>762</v>
      </c>
      <c r="Q39" s="116">
        <v>32454660</v>
      </c>
      <c r="R39" s="116">
        <v>45077786357</v>
      </c>
      <c r="S39" s="116">
        <v>1401491.48</v>
      </c>
      <c r="T39" s="135">
        <f t="shared" ref="T39" si="28">Q39/S39</f>
        <v>23.157229610842872</v>
      </c>
      <c r="U39" s="85"/>
    </row>
    <row r="40" spans="1:21" s="79" customFormat="1" ht="13.2" hidden="1">
      <c r="A40" s="129" t="s">
        <v>778</v>
      </c>
      <c r="B40" s="188">
        <f>SUM(F38:F40)</f>
        <v>4692324.3523809519</v>
      </c>
      <c r="C40" s="188">
        <f>AVERAGE(F38:F40)</f>
        <v>1564108.1174603172</v>
      </c>
      <c r="D40" s="190">
        <f>C40/C37-1</f>
        <v>-2.8537238769976381E-2</v>
      </c>
      <c r="E40" s="287">
        <f>C40/C28-1</f>
        <v>1.8823697010325047E-2</v>
      </c>
      <c r="F40" s="136">
        <f>Q40/21</f>
        <v>1437526.9523809524</v>
      </c>
      <c r="G40" s="190">
        <f t="shared" ref="G40" si="29">F40/F39-1</f>
        <v>-6.9838784322497904E-2</v>
      </c>
      <c r="H40" s="190">
        <f t="shared" ref="H40" si="30">F40/F28-1</f>
        <v>-6.3087202786797358E-2</v>
      </c>
      <c r="I40" s="130">
        <f t="shared" si="0"/>
        <v>21.88566786229952</v>
      </c>
      <c r="J40" s="130">
        <f t="shared" si="4"/>
        <v>-6.1569949288807768E-2</v>
      </c>
      <c r="K40" s="136">
        <f>R38+R39+R40</f>
        <v>133895402706</v>
      </c>
      <c r="L40" s="190">
        <f>U40/U37-1</f>
        <v>-2.409628512064288E-2</v>
      </c>
      <c r="M40" s="190">
        <f>U40/U28-1</f>
        <v>4.9492176016629141E-2</v>
      </c>
      <c r="N40" s="191">
        <f>AVERAGE(T38:T40)</f>
        <v>23.392410267848231</v>
      </c>
      <c r="O40" s="192">
        <f>N40/N37-1</f>
        <v>1.5773942292397258E-2</v>
      </c>
      <c r="P40" s="129" t="s">
        <v>778</v>
      </c>
      <c r="Q40" s="116">
        <v>30188066</v>
      </c>
      <c r="R40" s="116">
        <v>42970305609</v>
      </c>
      <c r="S40" s="116">
        <v>1379353.2</v>
      </c>
      <c r="T40" s="135">
        <f t="shared" ref="T40" si="31">Q40/S40</f>
        <v>21.88566786229952</v>
      </c>
      <c r="U40" s="85">
        <f>Q38+Q39+Q40</f>
        <v>96829474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1633950.0555555555</v>
      </c>
      <c r="G41" s="190">
        <f t="shared" ref="G41" si="32">F41/F40-1</f>
        <v>0.13663959680844284</v>
      </c>
      <c r="H41" s="190">
        <f t="shared" ref="H41" si="33">F41/F29-1</f>
        <v>6.1915520490908538E-2</v>
      </c>
      <c r="I41" s="130">
        <f t="shared" si="0"/>
        <v>232</v>
      </c>
      <c r="J41" s="130">
        <f t="shared" si="4"/>
        <v>7.7805315571336617</v>
      </c>
      <c r="K41" s="193"/>
      <c r="L41" s="190"/>
      <c r="M41" s="190"/>
      <c r="N41" s="193"/>
      <c r="O41" s="193"/>
      <c r="P41" s="129" t="s">
        <v>792</v>
      </c>
      <c r="Q41" s="116">
        <v>29411101</v>
      </c>
      <c r="R41" s="116">
        <v>43030354307</v>
      </c>
      <c r="S41" s="116">
        <v>1142350.96</v>
      </c>
      <c r="T41" s="135">
        <v>232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1719731.55</v>
      </c>
      <c r="G42" s="190">
        <f t="shared" ref="G42" si="34">F42/F41-1</f>
        <v>5.2499459302798757E-2</v>
      </c>
      <c r="H42" s="190">
        <f t="shared" ref="H42" si="35">F42/F30-1</f>
        <v>0.23199539980739714</v>
      </c>
      <c r="I42" s="130">
        <f t="shared" si="0"/>
        <v>259</v>
      </c>
      <c r="J42" s="130">
        <f t="shared" si="4"/>
        <v>12.339322748458795</v>
      </c>
      <c r="K42" s="193"/>
      <c r="L42" s="190"/>
      <c r="M42" s="190"/>
      <c r="N42" s="193"/>
      <c r="O42" s="193"/>
      <c r="P42" s="129" t="s">
        <v>826</v>
      </c>
      <c r="Q42" s="116">
        <v>34394631</v>
      </c>
      <c r="R42" s="116">
        <v>49723721624</v>
      </c>
      <c r="S42" s="116">
        <v>1398481.78</v>
      </c>
      <c r="T42" s="135">
        <v>259</v>
      </c>
      <c r="U42" s="78"/>
    </row>
    <row r="43" spans="1:21" s="79" customFormat="1" ht="13.2">
      <c r="A43" s="129" t="s">
        <v>835</v>
      </c>
      <c r="B43" s="188">
        <f>SUM(F41:F43)</f>
        <v>4833927.055555556</v>
      </c>
      <c r="C43" s="188">
        <f>AVERAGE(F41:F43)</f>
        <v>1611309.0185185187</v>
      </c>
      <c r="D43" s="190">
        <f>C43/C40-1</f>
        <v>3.0177518121217162E-2</v>
      </c>
      <c r="E43" s="287">
        <f>C43/C31-1</f>
        <v>5.4522728544995847E-2</v>
      </c>
      <c r="F43" s="136">
        <f>Q43/20</f>
        <v>1480245.45</v>
      </c>
      <c r="G43" s="190">
        <f t="shared" ref="G43" si="36">F43/F42-1</f>
        <v>-0.13925783939941094</v>
      </c>
      <c r="H43" s="190">
        <f t="shared" ref="H43" si="37">F43/F31-1</f>
        <v>-0.1025672536287936</v>
      </c>
      <c r="I43" s="130">
        <f t="shared" si="0"/>
        <v>268</v>
      </c>
      <c r="J43" s="130">
        <f t="shared" si="4"/>
        <v>10.272327519064783</v>
      </c>
      <c r="K43" s="136">
        <f>R41+R42+R43</f>
        <v>135649360080</v>
      </c>
      <c r="L43" s="190">
        <f>U43/U40-1</f>
        <v>-3.5307772094269607E-2</v>
      </c>
      <c r="M43" s="190">
        <f>K43/K31-1</f>
        <v>9.6057310475842206E-2</v>
      </c>
      <c r="N43" s="191">
        <f>AVERAGE(T41:T43)</f>
        <v>253</v>
      </c>
      <c r="O43" s="192">
        <f>N43/N40-1</f>
        <v>9.8154737841502637</v>
      </c>
      <c r="P43" s="129" t="s">
        <v>835</v>
      </c>
      <c r="Q43" s="116">
        <v>29604909</v>
      </c>
      <c r="R43" s="116">
        <v>42895284149</v>
      </c>
      <c r="S43" s="116">
        <v>1497087.95</v>
      </c>
      <c r="T43" s="135">
        <v>268</v>
      </c>
      <c r="U43" s="85">
        <f>Q41+Q42+Q43</f>
        <v>93410641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1683689.3636363635</v>
      </c>
      <c r="G44" s="190">
        <f t="shared" ref="G44" si="38">F44/F43-1</f>
        <v>0.13743931024166534</v>
      </c>
      <c r="H44" s="190">
        <f t="shared" ref="H44" si="39">F44/F32-1</f>
        <v>7.5398367916741149E-2</v>
      </c>
      <c r="I44" s="130">
        <f t="shared" si="0"/>
        <v>270</v>
      </c>
      <c r="J44" s="130">
        <f t="shared" si="4"/>
        <v>10.278007981631275</v>
      </c>
      <c r="K44" s="136"/>
      <c r="L44" s="190"/>
      <c r="M44" s="190"/>
      <c r="N44" s="191"/>
      <c r="O44" s="192"/>
      <c r="P44" s="129" t="s">
        <v>843</v>
      </c>
      <c r="Q44" s="116">
        <v>37041166</v>
      </c>
      <c r="R44" s="116">
        <v>53789614844</v>
      </c>
      <c r="S44" s="116">
        <v>1534789.42</v>
      </c>
      <c r="T44" s="135">
        <v>270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1443093.05</v>
      </c>
      <c r="G45" s="190">
        <f t="shared" ref="G45" si="40">F45/F44-1</f>
        <v>-0.14289827971398084</v>
      </c>
      <c r="H45" s="190">
        <f t="shared" ref="H45" si="41">F45/F33-1</f>
        <v>-0.18165065862572294</v>
      </c>
      <c r="I45" s="130">
        <f t="shared" si="0"/>
        <v>252</v>
      </c>
      <c r="J45" s="130">
        <f t="shared" si="4"/>
        <v>9.1535518986030553</v>
      </c>
      <c r="K45" s="136"/>
      <c r="L45" s="190"/>
      <c r="M45" s="190"/>
      <c r="N45" s="191"/>
      <c r="O45" s="192"/>
      <c r="P45" s="129" t="s">
        <v>849</v>
      </c>
      <c r="Q45" s="116">
        <v>28861861</v>
      </c>
      <c r="R45" s="116">
        <v>40602331391</v>
      </c>
      <c r="S45" s="116">
        <v>1233775.1499999999</v>
      </c>
      <c r="T45" s="135">
        <v>252</v>
      </c>
      <c r="U45" s="85"/>
    </row>
    <row r="46" spans="1:21" s="79" customFormat="1" ht="13.2">
      <c r="A46" s="129" t="s">
        <v>888</v>
      </c>
      <c r="B46" s="188">
        <f>SUM(F44:F46)</f>
        <v>4873025.2031100476</v>
      </c>
      <c r="C46" s="188">
        <f>AVERAGE(F44:F46)</f>
        <v>1624341.7343700158</v>
      </c>
      <c r="D46" s="190">
        <f>C46/C43-1</f>
        <v>8.0882783511506684E-3</v>
      </c>
      <c r="E46" s="287">
        <f>C46/C34-1</f>
        <v>-1.3551696148632608E-2</v>
      </c>
      <c r="F46" s="136">
        <f>Q46/19</f>
        <v>1746242.7894736843</v>
      </c>
      <c r="G46" s="190">
        <f t="shared" ref="G46" si="42">F46/F45-1</f>
        <v>0.21006943348087237</v>
      </c>
      <c r="H46" s="190">
        <f t="shared" ref="H46" si="43">F46/F34-1</f>
        <v>8.4011247135851175E-2</v>
      </c>
      <c r="I46" s="130">
        <f t="shared" si="0"/>
        <v>268</v>
      </c>
      <c r="J46" s="130">
        <f t="shared" si="4"/>
        <v>12.418131766715863</v>
      </c>
      <c r="K46" s="136">
        <f>R44+R45+R46</f>
        <v>139844080969</v>
      </c>
      <c r="L46" s="190">
        <f>U46/U43-1</f>
        <v>6.0710417349560952E-2</v>
      </c>
      <c r="M46" s="190">
        <f>K46/K34-1</f>
        <v>1.789209454454177E-2</v>
      </c>
      <c r="N46" s="191">
        <f>AVERAGE(T44:T46)</f>
        <v>263.33333333333331</v>
      </c>
      <c r="O46" s="192">
        <f>N46/N43-1</f>
        <v>4.0843214756258073E-2</v>
      </c>
      <c r="P46" s="129" t="s">
        <v>888</v>
      </c>
      <c r="Q46" s="116">
        <v>33178613</v>
      </c>
      <c r="R46" s="116">
        <v>45452134734</v>
      </c>
      <c r="S46" s="116">
        <v>1365304.1</v>
      </c>
      <c r="T46" s="135">
        <v>268</v>
      </c>
      <c r="U46" s="85">
        <f t="shared" ref="U46:U51" si="44">Q44+Q45+Q46</f>
        <v>99081640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1402988</v>
      </c>
      <c r="G47" s="190">
        <f t="shared" ref="G47" si="45">F47/F46-1</f>
        <v>-0.1965676202317439</v>
      </c>
      <c r="H47" s="190">
        <f t="shared" ref="H47" si="46">F47/F35-1</f>
        <v>-9.1636143411411908E-2</v>
      </c>
      <c r="I47" s="130">
        <f t="shared" si="0"/>
        <v>272</v>
      </c>
      <c r="J47" s="130">
        <f t="shared" si="4"/>
        <v>10.49668989537132</v>
      </c>
      <c r="K47" s="136"/>
      <c r="L47" s="190"/>
      <c r="M47" s="190"/>
      <c r="N47" s="191"/>
      <c r="O47" s="192"/>
      <c r="P47" s="129" t="s">
        <v>991</v>
      </c>
      <c r="Q47" s="116">
        <v>32268724</v>
      </c>
      <c r="R47" s="116">
        <v>44263698975</v>
      </c>
      <c r="S47" s="116">
        <v>1625078.07</v>
      </c>
      <c r="T47" s="135">
        <v>272</v>
      </c>
      <c r="U47" s="85">
        <f t="shared" si="44"/>
        <v>94309198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1686024.4</v>
      </c>
      <c r="G48" s="190">
        <f t="shared" ref="G48" si="47">F48/F47-1</f>
        <v>0.20173828999250154</v>
      </c>
      <c r="H48" s="190">
        <f t="shared" ref="H48" si="48">F48/F36-1</f>
        <v>0.11050397162676129</v>
      </c>
      <c r="I48" s="130">
        <f t="shared" si="0"/>
        <v>275</v>
      </c>
      <c r="J48" s="130">
        <f t="shared" si="4"/>
        <v>12.526684265858069</v>
      </c>
      <c r="K48" s="136"/>
      <c r="L48" s="190"/>
      <c r="M48" s="190"/>
      <c r="N48" s="191"/>
      <c r="O48" s="192"/>
      <c r="P48" s="129" t="s">
        <v>1070</v>
      </c>
      <c r="Q48" s="116">
        <v>33720488</v>
      </c>
      <c r="R48" s="116">
        <v>46787461518</v>
      </c>
      <c r="S48" s="116">
        <v>1595184.09</v>
      </c>
      <c r="T48" s="135">
        <v>275</v>
      </c>
      <c r="U48" s="85">
        <f t="shared" si="44"/>
        <v>99167825</v>
      </c>
    </row>
    <row r="49" spans="1:26" ht="13.2">
      <c r="A49" s="129" t="s">
        <v>1230</v>
      </c>
      <c r="B49" s="188">
        <f>SUM(F47:F49)</f>
        <v>4834960.4909090903</v>
      </c>
      <c r="C49" s="188">
        <f>AVERAGE(F47:F49)</f>
        <v>1611653.4969696968</v>
      </c>
      <c r="D49" s="190">
        <f>C49/C46-1</f>
        <v>-7.8113103491981306E-3</v>
      </c>
      <c r="E49" s="287">
        <f>C49/C37-1</f>
        <v>9.9305082209411033E-4</v>
      </c>
      <c r="F49" s="136">
        <f>Q49/22</f>
        <v>1745948.0909090908</v>
      </c>
      <c r="G49" s="190">
        <f t="shared" ref="G49" si="49">F49/F48-1</f>
        <v>3.5541413818857448E-2</v>
      </c>
      <c r="H49" s="190">
        <f t="shared" ref="H49" si="50">F49/F37-1</f>
        <v>-1.2132117698218425E-2</v>
      </c>
      <c r="I49" s="130">
        <f t="shared" si="0"/>
        <v>306</v>
      </c>
      <c r="J49" s="130">
        <f t="shared" si="4"/>
        <v>11.192070489995844</v>
      </c>
      <c r="K49" s="136">
        <f>R47+R48+R49</f>
        <v>144426141721</v>
      </c>
      <c r="L49" s="190">
        <f>U49/U46-1</f>
        <v>5.3677250396743537E-2</v>
      </c>
      <c r="M49" s="190">
        <f>K49/K37-1</f>
        <v>6.8227019225224117E-2</v>
      </c>
      <c r="N49" s="191">
        <f>AVERAGE(T47:T49)</f>
        <v>284.33333333333331</v>
      </c>
      <c r="O49" s="192">
        <f>N49/N46-1</f>
        <v>7.9746835443037956E-2</v>
      </c>
      <c r="P49" s="129" t="s">
        <v>1181</v>
      </c>
      <c r="Q49" s="116">
        <v>38410858</v>
      </c>
      <c r="R49" s="116">
        <v>53374981228</v>
      </c>
      <c r="S49" s="116">
        <v>1695026.78</v>
      </c>
      <c r="T49" s="135">
        <v>306</v>
      </c>
      <c r="U49" s="85">
        <f t="shared" si="44"/>
        <v>104400070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1647851.0555555555</v>
      </c>
      <c r="G50" s="190">
        <f t="shared" ref="G50" si="51">F50/F49-1</f>
        <v>-5.6185539458081801E-2</v>
      </c>
      <c r="H50" s="190">
        <f t="shared" ref="H50" si="52">F50/F38-1</f>
        <v>-3.5970864759903076E-2</v>
      </c>
      <c r="I50" s="130">
        <f t="shared" ref="I50" si="53">T50</f>
        <v>193</v>
      </c>
      <c r="J50" s="130">
        <f t="shared" ref="J50" si="54">I50/I38-1</f>
        <v>6.6787395735914989</v>
      </c>
      <c r="K50" s="136"/>
      <c r="L50" s="190"/>
      <c r="M50" s="190"/>
      <c r="N50" s="191"/>
      <c r="O50" s="192"/>
      <c r="P50" s="129" t="s">
        <v>1291</v>
      </c>
      <c r="Q50" s="116">
        <v>29661319</v>
      </c>
      <c r="R50" s="116">
        <v>41918388981</v>
      </c>
      <c r="S50" s="116">
        <v>1268670.95</v>
      </c>
      <c r="T50" s="130">
        <v>193</v>
      </c>
      <c r="U50" s="85">
        <f t="shared" si="44"/>
        <v>101792665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1437365.05</v>
      </c>
      <c r="G51" s="190">
        <f t="shared" ref="G51:G52" si="55">F51/F50-1</f>
        <v>-0.12773363517650704</v>
      </c>
      <c r="H51" s="190">
        <f t="shared" ref="H51:H52" si="56">F51/F39-1</f>
        <v>-6.9943544316902417E-2</v>
      </c>
      <c r="I51" s="130">
        <f t="shared" ref="I51:I52" si="57">T51</f>
        <v>193</v>
      </c>
      <c r="J51" s="130">
        <f t="shared" ref="J51:J52" si="58">I51/I39-1</f>
        <v>7.3343302823076861</v>
      </c>
      <c r="K51" s="136"/>
      <c r="L51" s="190"/>
      <c r="M51" s="190"/>
      <c r="N51" s="191"/>
      <c r="O51" s="192"/>
      <c r="P51" s="129" t="s">
        <v>1402</v>
      </c>
      <c r="Q51" s="116">
        <v>28747301</v>
      </c>
      <c r="R51" s="116">
        <v>41670397667</v>
      </c>
      <c r="S51" s="116">
        <v>1433318.16</v>
      </c>
      <c r="T51" s="130">
        <v>193</v>
      </c>
      <c r="U51" s="85">
        <f t="shared" si="44"/>
        <v>96819478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4859053.8328282833</v>
      </c>
      <c r="C52" s="188">
        <f>AVERAGE(F50:F52)</f>
        <v>1619684.6109427612</v>
      </c>
      <c r="D52" s="190">
        <f>C52/C49-1</f>
        <v>4.9831517681466764E-3</v>
      </c>
      <c r="E52" s="287">
        <f>C52/C40-1</f>
        <v>3.5532386068480415E-2</v>
      </c>
      <c r="F52" s="136">
        <f>Q52/22</f>
        <v>1773837.7272727273</v>
      </c>
      <c r="G52" s="190">
        <f t="shared" si="55"/>
        <v>0.23408992536219464</v>
      </c>
      <c r="H52" s="190">
        <f t="shared" si="56"/>
        <v>0.23395093520490096</v>
      </c>
      <c r="I52" s="130">
        <f t="shared" si="57"/>
        <v>306</v>
      </c>
      <c r="J52" s="130">
        <f t="shared" si="58"/>
        <v>12.981752895332876</v>
      </c>
      <c r="K52" s="136">
        <f>R50+R51+R52</f>
        <v>141020862780</v>
      </c>
      <c r="L52" s="190">
        <f>U52/U49-1</f>
        <v>-6.6733863301049468E-2</v>
      </c>
      <c r="M52" s="190">
        <f>K52/K40-1</f>
        <v>5.3216614835131404E-2</v>
      </c>
      <c r="N52" s="191">
        <f>AVERAGE(T50:T52)</f>
        <v>230.66666666666666</v>
      </c>
      <c r="O52" s="192">
        <f>N52/N49-1</f>
        <v>-0.18874560375146543</v>
      </c>
      <c r="P52" s="129" t="s">
        <v>1403</v>
      </c>
      <c r="Q52" s="116">
        <v>39024430</v>
      </c>
      <c r="R52" s="116">
        <v>57432076132</v>
      </c>
      <c r="S52" s="116">
        <v>1610353.45</v>
      </c>
      <c r="T52" s="130">
        <v>306</v>
      </c>
      <c r="U52" s="85">
        <f t="shared" ref="U52" si="59">Q50+Q51+Q52</f>
        <v>97433050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1550062.7619047619</v>
      </c>
      <c r="G53" s="190">
        <f t="shared" ref="G53" si="60">F53/F52-1</f>
        <v>-0.12615300820781339</v>
      </c>
      <c r="H53" s="190">
        <f t="shared" ref="H53" si="61">F53/F41-1</f>
        <v>-5.1340182256838451E-2</v>
      </c>
      <c r="I53" s="130">
        <f t="shared" ref="I53" si="62">T53</f>
        <v>306</v>
      </c>
      <c r="J53" s="130">
        <f t="shared" ref="J53" si="63">I53/I41-1</f>
        <v>0.31896551724137923</v>
      </c>
      <c r="K53" s="136"/>
      <c r="L53" s="190"/>
      <c r="M53" s="190"/>
      <c r="N53" s="191"/>
      <c r="O53" s="192"/>
      <c r="P53" s="129" t="s">
        <v>1414</v>
      </c>
      <c r="Q53" s="116">
        <v>32551318</v>
      </c>
      <c r="R53" s="116">
        <v>47414027686</v>
      </c>
      <c r="S53" s="116">
        <v>1538701.57</v>
      </c>
      <c r="T53" s="130">
        <v>306</v>
      </c>
      <c r="U53" s="85">
        <f t="shared" ref="U53" si="64">Q51+Q52+Q53</f>
        <v>100323049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1374886.3529411764</v>
      </c>
      <c r="G54" s="190">
        <f t="shared" ref="G54" si="65">F54/F53-1</f>
        <v>-0.11301246199110271</v>
      </c>
      <c r="H54" s="190">
        <f t="shared" ref="H54" si="66">F54/F42-1</f>
        <v>-0.2005226903343279</v>
      </c>
      <c r="I54" s="130">
        <f t="shared" ref="I54" si="67">T54</f>
        <v>306</v>
      </c>
      <c r="J54" s="130">
        <f t="shared" ref="J54" si="68">I54/I42-1</f>
        <v>0.18146718146718155</v>
      </c>
      <c r="K54" s="136"/>
      <c r="L54" s="190"/>
      <c r="M54" s="190"/>
      <c r="N54" s="191"/>
      <c r="O54" s="192"/>
      <c r="P54" s="129" t="s">
        <v>1417</v>
      </c>
      <c r="Q54" s="116">
        <v>23373068</v>
      </c>
      <c r="R54" s="116">
        <v>33867328664</v>
      </c>
      <c r="S54" s="116">
        <v>1042717.41</v>
      </c>
      <c r="T54" s="130">
        <v>306</v>
      </c>
      <c r="U54" s="85">
        <f t="shared" ref="U54" si="69">Q52+Q53+Q54</f>
        <v>94948816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4608273.4481792711</v>
      </c>
      <c r="C55" s="188">
        <f>AVERAGE(F53:F55)</f>
        <v>1536091.1493930903</v>
      </c>
      <c r="D55" s="190">
        <f>C55/C52-1</f>
        <v>-5.1610950048487592E-2</v>
      </c>
      <c r="E55" s="287">
        <f>C55/C43-1</f>
        <v>-4.6681218972252636E-2</v>
      </c>
      <c r="F55" s="136">
        <f>Q55/21</f>
        <v>1683324.3333333333</v>
      </c>
      <c r="G55" s="190">
        <f t="shared" ref="G55" si="70">F55/F54-1</f>
        <v>0.22433707319324392</v>
      </c>
      <c r="H55" s="190">
        <f t="shared" ref="H55" si="71">F55/F43-1</f>
        <v>0.13719270904249914</v>
      </c>
      <c r="I55" s="130">
        <f>T55</f>
        <v>306</v>
      </c>
      <c r="J55" s="130">
        <f t="shared" ref="J55" si="72">I55/I43-1</f>
        <v>0.14179104477611948</v>
      </c>
      <c r="K55" s="136">
        <f>R53+R54+R55</f>
        <v>133311285229</v>
      </c>
      <c r="L55" s="190">
        <f>U55/U52-1</f>
        <v>-6.3211128051518406E-2</v>
      </c>
      <c r="M55" s="190">
        <f>K55/K43-1</f>
        <v>-1.7236165726259967E-2</v>
      </c>
      <c r="N55" s="191">
        <f>AVERAGE(T53:T55)</f>
        <v>306</v>
      </c>
      <c r="O55" s="192">
        <f>N55/N52-1</f>
        <v>0.32658959537572252</v>
      </c>
      <c r="P55" s="129" t="s">
        <v>1418</v>
      </c>
      <c r="Q55" s="116">
        <v>35349811</v>
      </c>
      <c r="R55" s="116">
        <v>52029928879</v>
      </c>
      <c r="S55" s="116">
        <v>1438077.58</v>
      </c>
      <c r="T55" s="130">
        <v>306</v>
      </c>
      <c r="U55" s="85">
        <f t="shared" ref="U55" si="73">Q53+Q54+Q55</f>
        <v>91274197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1589077.5454545454</v>
      </c>
      <c r="G56" s="190">
        <f t="shared" ref="G56" si="74">F56/F55-1</f>
        <v>-5.5988490163484728E-2</v>
      </c>
      <c r="H56" s="190">
        <f t="shared" ref="H56" si="75">F56/F44-1</f>
        <v>-5.6193155474641321E-2</v>
      </c>
      <c r="I56" s="291">
        <f>T56</f>
        <v>306</v>
      </c>
      <c r="J56" s="130">
        <f t="shared" ref="J56" si="76">I56/I44-1</f>
        <v>0.1333333333333333</v>
      </c>
      <c r="K56" s="136"/>
      <c r="L56" s="190"/>
      <c r="M56" s="190"/>
      <c r="N56" s="191"/>
      <c r="O56" s="192"/>
      <c r="P56" s="129" t="s">
        <v>1420</v>
      </c>
      <c r="Q56" s="116">
        <v>34959706</v>
      </c>
      <c r="R56" s="116">
        <v>52230374756</v>
      </c>
      <c r="S56" s="116">
        <v>1828373.77</v>
      </c>
      <c r="T56" s="130">
        <v>306</v>
      </c>
      <c r="U56" s="85">
        <f t="shared" ref="U56" si="77">Q54+Q55+Q56</f>
        <v>93682585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1454966</v>
      </c>
      <c r="G57" s="254">
        <f t="shared" ref="G57" si="78">F57/F56-1</f>
        <v>-8.4395847036013327E-2</v>
      </c>
      <c r="H57" s="254">
        <f t="shared" ref="H57" si="79">F57/F45-1</f>
        <v>8.2274320425836933E-3</v>
      </c>
      <c r="I57" s="282">
        <f>T57</f>
        <v>306</v>
      </c>
      <c r="J57" s="277">
        <f t="shared" ref="J57" si="80">I57/I45-1</f>
        <v>0.21428571428571419</v>
      </c>
      <c r="K57" s="204"/>
      <c r="L57" s="254"/>
      <c r="M57" s="254"/>
      <c r="N57" s="257"/>
      <c r="O57" s="258"/>
      <c r="P57" s="129" t="s">
        <v>1436</v>
      </c>
      <c r="Q57" s="116">
        <v>17459592</v>
      </c>
      <c r="R57" s="116">
        <v>25703416027</v>
      </c>
      <c r="S57" s="116">
        <v>1061648.6599999999</v>
      </c>
      <c r="T57" s="130">
        <v>306</v>
      </c>
      <c r="U57" s="85">
        <f t="shared" ref="U57" si="81">Q55+Q56+Q57</f>
        <v>87769109</v>
      </c>
      <c r="V57" s="79"/>
      <c r="W57" s="79"/>
      <c r="X57" s="79"/>
      <c r="Y57" s="79"/>
      <c r="Z57" s="79"/>
    </row>
    <row r="58" spans="1:26">
      <c r="B58" s="196">
        <f>SUM(F56:F58)</f>
        <v>3044043.5454545454</v>
      </c>
      <c r="C58" s="196">
        <f>AVERAGE(F56:F58)</f>
        <v>1522021.7727272727</v>
      </c>
      <c r="D58" s="197">
        <f>C58/C55-1</f>
        <v>-9.1592069073351823E-3</v>
      </c>
      <c r="E58" s="233">
        <f>C58/C46-1</f>
        <v>-6.2991647310242205E-2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143693495</v>
      </c>
      <c r="R65" s="212">
        <v>211245076012</v>
      </c>
      <c r="S65" s="213">
        <v>6909519</v>
      </c>
      <c r="T65" s="214">
        <v>503</v>
      </c>
      <c r="U65" s="214">
        <v>1017</v>
      </c>
    </row>
    <row r="66" spans="16:21" ht="18" thickBot="1">
      <c r="P66" s="180" t="s">
        <v>976</v>
      </c>
      <c r="Q66" s="181">
        <v>32551318</v>
      </c>
      <c r="R66" s="181">
        <v>47414027686</v>
      </c>
      <c r="S66" s="182">
        <v>1538701.57</v>
      </c>
      <c r="T66" s="210">
        <v>274</v>
      </c>
      <c r="U66" s="210">
        <v>518</v>
      </c>
    </row>
    <row r="67" spans="16:21" ht="18" thickBot="1">
      <c r="P67" s="180" t="s">
        <v>977</v>
      </c>
      <c r="Q67" s="181">
        <v>23373068</v>
      </c>
      <c r="R67" s="181">
        <v>33867328664</v>
      </c>
      <c r="S67" s="182">
        <v>1042717.41</v>
      </c>
      <c r="T67" s="210">
        <v>245</v>
      </c>
      <c r="U67" s="210">
        <v>473</v>
      </c>
    </row>
    <row r="68" spans="16:21" ht="18" thickBot="1">
      <c r="P68" s="180" t="s">
        <v>978</v>
      </c>
      <c r="Q68" s="181">
        <v>35349811</v>
      </c>
      <c r="R68" s="181">
        <v>52029928879</v>
      </c>
      <c r="S68" s="182">
        <v>1438077.58</v>
      </c>
      <c r="T68" s="210">
        <v>265</v>
      </c>
      <c r="U68" s="210">
        <v>551</v>
      </c>
    </row>
    <row r="69" spans="16:21" ht="18" thickBot="1">
      <c r="P69" s="180" t="s">
        <v>979</v>
      </c>
      <c r="Q69" s="181">
        <v>34959706</v>
      </c>
      <c r="R69" s="181">
        <v>52230374756</v>
      </c>
      <c r="S69" s="182">
        <v>1828373.77</v>
      </c>
      <c r="T69" s="210">
        <v>286</v>
      </c>
      <c r="U69" s="210">
        <v>553</v>
      </c>
    </row>
    <row r="70" spans="16:21" ht="18" thickBot="1">
      <c r="P70" s="180" t="s">
        <v>980</v>
      </c>
      <c r="Q70" s="181">
        <v>17459592</v>
      </c>
      <c r="R70" s="181">
        <v>25703416027</v>
      </c>
      <c r="S70" s="182">
        <v>1061648.6599999999</v>
      </c>
      <c r="T70" s="210">
        <v>215</v>
      </c>
      <c r="U70" s="210">
        <v>409</v>
      </c>
    </row>
    <row r="71" spans="16:21" ht="18" thickBot="1">
      <c r="P71" s="180" t="s">
        <v>975</v>
      </c>
      <c r="Q71" s="181">
        <v>394273288</v>
      </c>
      <c r="R71" s="181">
        <v>560864507191</v>
      </c>
      <c r="S71" s="182">
        <v>17374050.25</v>
      </c>
      <c r="T71" s="210">
        <v>797</v>
      </c>
      <c r="U71" s="210">
        <v>1746</v>
      </c>
    </row>
    <row r="72" spans="16:21" ht="18" thickBot="1">
      <c r="P72" s="215" t="s">
        <v>982</v>
      </c>
      <c r="Q72" s="217">
        <v>3</v>
      </c>
      <c r="R72"/>
      <c r="S72"/>
      <c r="T72"/>
      <c r="U72"/>
    </row>
    <row r="73" spans="16:21" ht="18" thickBot="1">
      <c r="P73" s="215" t="s">
        <v>982</v>
      </c>
      <c r="Q73" s="217" t="s">
        <v>1448</v>
      </c>
      <c r="R73"/>
      <c r="S73"/>
      <c r="T73"/>
      <c r="U73"/>
    </row>
  </sheetData>
  <phoneticPr fontId="1" type="noConversion"/>
  <conditionalFormatting sqref="C29:C30">
    <cfRule type="cellIs" dxfId="11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48"/>
  <dimension ref="A1:Z75"/>
  <sheetViews>
    <sheetView zoomScale="90" zoomScaleNormal="90" workbookViewId="0">
      <selection activeCell="E68" sqref="E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8529903020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6330276.75</v>
      </c>
      <c r="G5" s="90"/>
      <c r="H5" s="90"/>
      <c r="I5" s="130">
        <f t="shared" ref="I5:I49" si="0">T5</f>
        <v>1101.9198678171738</v>
      </c>
      <c r="J5" s="130"/>
      <c r="L5" s="80"/>
      <c r="M5" s="80"/>
      <c r="P5" s="129" t="s">
        <v>0</v>
      </c>
      <c r="Q5" s="116">
        <v>126605535</v>
      </c>
      <c r="R5" s="116"/>
      <c r="S5" s="116">
        <v>114895.41</v>
      </c>
      <c r="T5" s="130">
        <f t="shared" ref="T5:T19" si="1">Q5/S5</f>
        <v>1101.9198678171738</v>
      </c>
      <c r="U5" s="85"/>
    </row>
    <row r="6" spans="1:21" ht="15" hidden="1" customHeight="1">
      <c r="A6" s="129" t="s">
        <v>1</v>
      </c>
      <c r="C6" s="79"/>
      <c r="F6" s="78">
        <f>Q6/18</f>
        <v>6058482.222222222</v>
      </c>
      <c r="G6" s="90">
        <f t="shared" ref="G6:G16" si="2">F6/F5-1</f>
        <v>-4.2935646972745434E-2</v>
      </c>
      <c r="H6" s="90"/>
      <c r="I6" s="130">
        <f t="shared" si="0"/>
        <v>1142.3364411872508</v>
      </c>
      <c r="J6" s="130"/>
      <c r="P6" s="129" t="s">
        <v>1</v>
      </c>
      <c r="Q6" s="116">
        <v>109052680</v>
      </c>
      <c r="R6" s="116"/>
      <c r="S6" s="116">
        <v>95464.59</v>
      </c>
      <c r="T6" s="130">
        <f t="shared" si="1"/>
        <v>1142.3364411872508</v>
      </c>
      <c r="U6" s="85"/>
    </row>
    <row r="7" spans="1:21" ht="15" hidden="1" customHeight="1">
      <c r="A7" s="129" t="s">
        <v>2</v>
      </c>
      <c r="B7" s="131">
        <f>F5+F6+F7</f>
        <v>18126247.88131313</v>
      </c>
      <c r="C7" s="131">
        <f>AVERAGE(F5:F7)</f>
        <v>6042082.6271043764</v>
      </c>
      <c r="F7" s="78">
        <f>Q7/22</f>
        <v>5737488.9090909092</v>
      </c>
      <c r="G7" s="90">
        <f t="shared" si="2"/>
        <v>-5.2982463487954878E-2</v>
      </c>
      <c r="H7" s="90"/>
      <c r="I7" s="130">
        <f t="shared" si="0"/>
        <v>1088.1747483141125</v>
      </c>
      <c r="J7" s="130"/>
      <c r="K7" s="79">
        <f>R5+R6+R7</f>
        <v>0</v>
      </c>
      <c r="N7" s="88">
        <f>AVERAGE(T5:T7)</f>
        <v>1110.8103524395124</v>
      </c>
      <c r="P7" s="129" t="s">
        <v>2</v>
      </c>
      <c r="Q7" s="116">
        <v>126224756</v>
      </c>
      <c r="R7" s="116"/>
      <c r="S7" s="116">
        <v>115996.77</v>
      </c>
      <c r="T7" s="130">
        <f t="shared" si="1"/>
        <v>1088.1747483141125</v>
      </c>
      <c r="U7" s="85">
        <f>Q5+Q6+Q7</f>
        <v>361882971</v>
      </c>
    </row>
    <row r="8" spans="1:21" ht="15" hidden="1" customHeight="1">
      <c r="A8" s="129" t="s">
        <v>3</v>
      </c>
      <c r="C8" s="79"/>
      <c r="F8" s="78">
        <f>Q8/21</f>
        <v>6537898.4761904757</v>
      </c>
      <c r="G8" s="90">
        <f t="shared" si="2"/>
        <v>0.13950520511357101</v>
      </c>
      <c r="H8" s="90"/>
      <c r="I8" s="130">
        <f t="shared" si="0"/>
        <v>1297.2587049812641</v>
      </c>
      <c r="J8" s="130"/>
      <c r="K8" s="78"/>
      <c r="P8" s="129" t="s">
        <v>3</v>
      </c>
      <c r="Q8" s="116">
        <v>137295868</v>
      </c>
      <c r="R8" s="116"/>
      <c r="S8" s="116">
        <v>105835.38</v>
      </c>
      <c r="T8" s="130">
        <f t="shared" si="1"/>
        <v>1297.2587049812641</v>
      </c>
      <c r="U8" s="85"/>
    </row>
    <row r="9" spans="1:21" ht="15" hidden="1" customHeight="1">
      <c r="A9" s="129" t="s">
        <v>4</v>
      </c>
      <c r="C9" s="79"/>
      <c r="F9" s="78">
        <f>Q9/21</f>
        <v>3187690</v>
      </c>
      <c r="G9" s="90">
        <f t="shared" si="2"/>
        <v>-0.51242895379779374</v>
      </c>
      <c r="H9" s="90"/>
      <c r="I9" s="130">
        <f t="shared" si="0"/>
        <v>816.42096528227</v>
      </c>
      <c r="J9" s="130"/>
      <c r="K9" s="78"/>
      <c r="P9" s="129" t="s">
        <v>4</v>
      </c>
      <c r="Q9" s="116">
        <v>66941490</v>
      </c>
      <c r="R9" s="116"/>
      <c r="S9" s="116">
        <v>81993.84</v>
      </c>
      <c r="T9" s="130">
        <f t="shared" si="1"/>
        <v>816.42096528227</v>
      </c>
      <c r="U9" s="85"/>
    </row>
    <row r="10" spans="1:21" ht="15" hidden="1" customHeight="1">
      <c r="A10" s="129" t="s">
        <v>5</v>
      </c>
      <c r="B10" s="131">
        <f>F8+F9+F10</f>
        <v>13664055.523809522</v>
      </c>
      <c r="C10" s="131">
        <f>AVERAGE(F8:F10)</f>
        <v>4554685.1746031744</v>
      </c>
      <c r="D10" s="90">
        <f>C10/C7-1</f>
        <v>-0.24617297450200981</v>
      </c>
      <c r="E10" s="286"/>
      <c r="F10" s="78">
        <f>Q10/21</f>
        <v>3938467.0476190476</v>
      </c>
      <c r="G10" s="90">
        <f t="shared" si="2"/>
        <v>0.23552385822305411</v>
      </c>
      <c r="H10" s="90"/>
      <c r="I10" s="130">
        <f t="shared" si="0"/>
        <v>619.10906713787369</v>
      </c>
      <c r="J10" s="130"/>
      <c r="K10" s="79">
        <f>R8+R9+R10</f>
        <v>0</v>
      </c>
      <c r="L10" s="87">
        <f>U10/U7-1</f>
        <v>-0.20707745598783645</v>
      </c>
      <c r="N10" s="88">
        <f>AVERAGE(T8:T10)</f>
        <v>910.92957913380269</v>
      </c>
      <c r="O10" s="89">
        <f>N10/N7-1</f>
        <v>-0.17994140301874251</v>
      </c>
      <c r="P10" s="129" t="s">
        <v>5</v>
      </c>
      <c r="Q10" s="116">
        <v>82707808</v>
      </c>
      <c r="R10" s="116"/>
      <c r="S10" s="116">
        <v>133591.66</v>
      </c>
      <c r="T10" s="130">
        <f t="shared" si="1"/>
        <v>619.10906713787369</v>
      </c>
      <c r="U10" s="85">
        <f>Q8+Q9+Q10</f>
        <v>286945166</v>
      </c>
    </row>
    <row r="11" spans="1:21" ht="15" hidden="1" customHeight="1">
      <c r="A11" s="129" t="s">
        <v>6</v>
      </c>
      <c r="C11" s="79"/>
      <c r="F11" s="78">
        <f>Q11/21</f>
        <v>10583560.80952381</v>
      </c>
      <c r="G11" s="90">
        <f t="shared" si="2"/>
        <v>1.6872284778723672</v>
      </c>
      <c r="H11" s="90"/>
      <c r="I11" s="130">
        <f t="shared" si="0"/>
        <v>1937.1709179064221</v>
      </c>
      <c r="J11" s="130"/>
      <c r="K11" s="78"/>
      <c r="O11" s="89"/>
      <c r="P11" s="129" t="s">
        <v>6</v>
      </c>
      <c r="Q11" s="116">
        <v>222254777</v>
      </c>
      <c r="R11" s="116"/>
      <c r="S11" s="116">
        <v>114731.63</v>
      </c>
      <c r="T11" s="130">
        <f t="shared" si="1"/>
        <v>1937.1709179064221</v>
      </c>
      <c r="U11" s="85"/>
    </row>
    <row r="12" spans="1:21" ht="15" hidden="1" customHeight="1">
      <c r="A12" s="129" t="s">
        <v>7</v>
      </c>
      <c r="C12" s="79"/>
      <c r="F12" s="78">
        <f>Q12/22</f>
        <v>26770193.09090909</v>
      </c>
      <c r="G12" s="90">
        <f t="shared" si="2"/>
        <v>1.5294126969837452</v>
      </c>
      <c r="H12" s="90"/>
      <c r="I12" s="130">
        <f t="shared" si="0"/>
        <v>3731.3789447307659</v>
      </c>
      <c r="J12" s="130"/>
      <c r="K12" s="78"/>
      <c r="O12" s="89"/>
      <c r="P12" s="129" t="s">
        <v>7</v>
      </c>
      <c r="Q12" s="116">
        <v>588944248</v>
      </c>
      <c r="R12" s="116"/>
      <c r="S12" s="116">
        <v>157835.54999999999</v>
      </c>
      <c r="T12" s="130">
        <f t="shared" si="1"/>
        <v>3731.3789447307659</v>
      </c>
      <c r="U12" s="85"/>
    </row>
    <row r="13" spans="1:21" ht="15" hidden="1" customHeight="1">
      <c r="A13" s="129" t="s">
        <v>96</v>
      </c>
      <c r="B13" s="131">
        <f>F11+F12+F13</f>
        <v>78588241.1504329</v>
      </c>
      <c r="C13" s="131">
        <f>AVERAGE(F11:F13)</f>
        <v>26196080.383477632</v>
      </c>
      <c r="D13" s="90">
        <f>C13/C10-1</f>
        <v>4.7514579777207011</v>
      </c>
      <c r="E13" s="286"/>
      <c r="F13" s="78">
        <f>Q13/20</f>
        <v>41234487.25</v>
      </c>
      <c r="G13" s="90">
        <f t="shared" si="2"/>
        <v>0.54031340416453144</v>
      </c>
      <c r="H13" s="90"/>
      <c r="I13" s="130">
        <f t="shared" si="0"/>
        <v>4417.8947856193518</v>
      </c>
      <c r="J13" s="130"/>
      <c r="K13" s="78">
        <f>R11+R12+R13</f>
        <v>0</v>
      </c>
      <c r="L13" s="87">
        <f>U13/U10-1</f>
        <v>4.7010501093438881</v>
      </c>
      <c r="N13" s="88">
        <f>AVERAGE(T11:T13)</f>
        <v>3362.1482160855135</v>
      </c>
      <c r="O13" s="89">
        <f>N13/N10-1</f>
        <v>2.6908980596310852</v>
      </c>
      <c r="P13" s="129" t="s">
        <v>96</v>
      </c>
      <c r="Q13" s="116">
        <v>824689745</v>
      </c>
      <c r="R13" s="116"/>
      <c r="S13" s="116">
        <v>186670.3</v>
      </c>
      <c r="T13" s="130">
        <f t="shared" si="1"/>
        <v>4417.8947856193518</v>
      </c>
      <c r="U13" s="85">
        <f>Q11+Q12+Q13</f>
        <v>1635888770</v>
      </c>
    </row>
    <row r="14" spans="1:21" ht="15" hidden="1" customHeight="1">
      <c r="A14" s="129" t="s">
        <v>97</v>
      </c>
      <c r="C14" s="79"/>
      <c r="F14" s="78">
        <f>Q14/20</f>
        <v>47693261.200000003</v>
      </c>
      <c r="G14" s="90">
        <f t="shared" si="2"/>
        <v>0.15663524347571478</v>
      </c>
      <c r="H14" s="90"/>
      <c r="I14" s="130">
        <f t="shared" si="0"/>
        <v>4793.1926243749185</v>
      </c>
      <c r="J14" s="130"/>
      <c r="O14" s="89"/>
      <c r="P14" s="129" t="s">
        <v>97</v>
      </c>
      <c r="Q14" s="116">
        <v>953865224</v>
      </c>
      <c r="R14" s="116"/>
      <c r="S14" s="116">
        <v>199004.15</v>
      </c>
      <c r="T14" s="130">
        <f t="shared" si="1"/>
        <v>4793.1926243749185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38278718.909090906</v>
      </c>
      <c r="G15" s="90">
        <f t="shared" si="2"/>
        <v>-0.19739774664243548</v>
      </c>
      <c r="H15" s="90"/>
      <c r="I15" s="130">
        <f t="shared" si="0"/>
        <v>4623.5291353135772</v>
      </c>
      <c r="J15" s="130"/>
      <c r="O15" s="89"/>
      <c r="P15" s="129" t="s">
        <v>98</v>
      </c>
      <c r="Q15" s="116">
        <v>842131816</v>
      </c>
      <c r="R15" s="116"/>
      <c r="S15" s="116">
        <v>182140.48</v>
      </c>
      <c r="T15" s="130">
        <f t="shared" si="1"/>
        <v>4623.5291353135772</v>
      </c>
      <c r="U15" s="78"/>
    </row>
    <row r="16" spans="1:21" ht="15" hidden="1" customHeight="1">
      <c r="A16" s="129" t="s">
        <v>99</v>
      </c>
      <c r="B16" s="131">
        <f>F14+F15+F16</f>
        <v>111362503.83636364</v>
      </c>
      <c r="C16" s="131">
        <f>AVERAGE(F14:F16)</f>
        <v>37120834.612121217</v>
      </c>
      <c r="D16" s="90">
        <f>C16/C13-1</f>
        <v>0.4170377426209928</v>
      </c>
      <c r="E16" s="286"/>
      <c r="F16" s="78">
        <f>Q16/22</f>
        <v>25390523.727272727</v>
      </c>
      <c r="G16" s="90">
        <f t="shared" si="2"/>
        <v>-0.33669348267445098</v>
      </c>
      <c r="H16" s="90"/>
      <c r="I16" s="130">
        <f t="shared" si="0"/>
        <v>3547.0380322415795</v>
      </c>
      <c r="J16" s="130"/>
      <c r="K16" s="78">
        <f>R14+R15+R16</f>
        <v>0</v>
      </c>
      <c r="L16" s="87">
        <f>U16/U13-1</f>
        <v>0.43933292114964506</v>
      </c>
      <c r="N16" s="88">
        <f>AVERAGE(T14:T16)</f>
        <v>4321.2532639766914</v>
      </c>
      <c r="O16" s="89">
        <f>N16/N13-1</f>
        <v>0.28526554638565171</v>
      </c>
      <c r="P16" s="129" t="s">
        <v>99</v>
      </c>
      <c r="Q16" s="116">
        <v>558591522</v>
      </c>
      <c r="R16" s="116"/>
      <c r="S16" s="116">
        <v>157481.12</v>
      </c>
      <c r="T16" s="130">
        <f t="shared" si="1"/>
        <v>3547.0380322415795</v>
      </c>
      <c r="U16" s="85">
        <f>Q14+Q15+Q16</f>
        <v>2354588562</v>
      </c>
    </row>
    <row r="17" spans="1:21" ht="15" hidden="1" customHeight="1">
      <c r="A17" s="129" t="s">
        <v>100</v>
      </c>
      <c r="C17" s="79"/>
      <c r="F17" s="78">
        <f>Q17/20</f>
        <v>40062413.950000003</v>
      </c>
      <c r="G17" s="90">
        <f t="shared" ref="G17:G22" si="3">F17/F16-1</f>
        <v>0.57784905818889265</v>
      </c>
      <c r="H17" s="90">
        <f t="shared" ref="H17:H22" si="4">F17/F5-1</f>
        <v>5.3286986544466641</v>
      </c>
      <c r="I17" s="130">
        <f t="shared" si="0"/>
        <v>4898.1807643794846</v>
      </c>
      <c r="J17" s="130">
        <f t="shared" ref="J17:J49" si="5">I17/I5-1</f>
        <v>3.4451333599079561</v>
      </c>
      <c r="O17" s="89"/>
      <c r="P17" s="129" t="s">
        <v>100</v>
      </c>
      <c r="Q17" s="116">
        <v>801248279</v>
      </c>
      <c r="R17" s="116">
        <v>1005095054398</v>
      </c>
      <c r="S17" s="116">
        <v>163580.79</v>
      </c>
      <c r="T17" s="130">
        <f t="shared" si="1"/>
        <v>4898.1807643794846</v>
      </c>
      <c r="U17" s="78"/>
    </row>
    <row r="18" spans="1:21" hidden="1">
      <c r="A18" s="129" t="s">
        <v>106</v>
      </c>
      <c r="C18" s="79"/>
      <c r="F18" s="78">
        <f>Q18/20</f>
        <v>29883773.800000001</v>
      </c>
      <c r="G18" s="90">
        <f t="shared" si="3"/>
        <v>-0.25406956661931257</v>
      </c>
      <c r="H18" s="90">
        <f t="shared" si="4"/>
        <v>3.932551207361433</v>
      </c>
      <c r="I18" s="130">
        <f t="shared" si="0"/>
        <v>3937.3790459596694</v>
      </c>
      <c r="J18" s="130">
        <f t="shared" si="5"/>
        <v>2.4467770649665002</v>
      </c>
      <c r="O18" s="89"/>
      <c r="P18" s="129" t="s">
        <v>106</v>
      </c>
      <c r="Q18" s="116">
        <v>597675476</v>
      </c>
      <c r="R18" s="116">
        <v>745096234238</v>
      </c>
      <c r="S18" s="116">
        <v>151795.26</v>
      </c>
      <c r="T18" s="130">
        <f t="shared" si="1"/>
        <v>3937.3790459596694</v>
      </c>
      <c r="U18" s="78"/>
    </row>
    <row r="19" spans="1:21" hidden="1">
      <c r="A19" s="129" t="s">
        <v>114</v>
      </c>
      <c r="B19" s="131">
        <f>SUM(F17:F19)</f>
        <v>85037868.159090906</v>
      </c>
      <c r="C19" s="131">
        <f>AVERAGE(F17:F19)</f>
        <v>28345956.053030301</v>
      </c>
      <c r="D19" s="90">
        <f>C19/C16-1</f>
        <v>-0.23638688760046411</v>
      </c>
      <c r="E19" s="286">
        <f>C19/C7-1</f>
        <v>3.691421452244338</v>
      </c>
      <c r="F19" s="78">
        <f>Q19/22</f>
        <v>15091680.409090908</v>
      </c>
      <c r="G19" s="90">
        <f t="shared" si="3"/>
        <v>-0.49498746342769773</v>
      </c>
      <c r="H19" s="90">
        <f t="shared" si="4"/>
        <v>1.6303633258756309</v>
      </c>
      <c r="I19" s="130">
        <f t="shared" si="0"/>
        <v>2723.2945931667336</v>
      </c>
      <c r="J19" s="130">
        <f t="shared" si="5"/>
        <v>1.5026261612722402</v>
      </c>
      <c r="K19" s="78">
        <f>R17+R18+R19</f>
        <v>2184331019191</v>
      </c>
      <c r="L19" s="87">
        <f>U19/U16-1</f>
        <v>-0.26486488895124427</v>
      </c>
      <c r="M19" s="87">
        <f>U19/U7-1</f>
        <v>3.7831505285171323</v>
      </c>
      <c r="N19" s="88">
        <f>AVERAGE(T17:T19)</f>
        <v>3852.9514678352957</v>
      </c>
      <c r="O19" s="89">
        <f>N19/N16-1</f>
        <v>-0.10837175410321465</v>
      </c>
      <c r="P19" s="129" t="s">
        <v>115</v>
      </c>
      <c r="Q19" s="116">
        <v>332016969</v>
      </c>
      <c r="R19" s="116">
        <v>434139730555</v>
      </c>
      <c r="S19" s="116">
        <v>121917.39</v>
      </c>
      <c r="T19" s="130">
        <f t="shared" si="1"/>
        <v>2723.2945931667336</v>
      </c>
      <c r="U19" s="85">
        <f>Q17+Q18+Q19</f>
        <v>1730940724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13436569.9</v>
      </c>
      <c r="G20" s="90">
        <f t="shared" si="3"/>
        <v>-0.10967039217805752</v>
      </c>
      <c r="H20" s="90">
        <f t="shared" si="4"/>
        <v>1.0551817910499683</v>
      </c>
      <c r="I20" s="130">
        <f t="shared" si="0"/>
        <v>2609.201024334001</v>
      </c>
      <c r="J20" s="130">
        <f t="shared" si="5"/>
        <v>1.0113189561304079</v>
      </c>
      <c r="O20" s="89"/>
      <c r="P20" s="129" t="s">
        <v>132</v>
      </c>
      <c r="Q20" s="116">
        <v>268731398</v>
      </c>
      <c r="R20" s="116">
        <v>352089664036</v>
      </c>
      <c r="S20" s="116">
        <v>102993.75</v>
      </c>
      <c r="T20" s="130">
        <f t="shared" ref="T20" si="6">Q20/S20</f>
        <v>2609.201024334001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17732648.142857142</v>
      </c>
      <c r="G21" s="90">
        <f t="shared" si="3"/>
        <v>0.31973027899457751</v>
      </c>
      <c r="H21" s="90">
        <f t="shared" si="4"/>
        <v>4.5628521414745915</v>
      </c>
      <c r="I21" s="130">
        <f t="shared" si="0"/>
        <v>3139.2620948454596</v>
      </c>
      <c r="J21" s="130">
        <f t="shared" si="5"/>
        <v>2.8451512495886098</v>
      </c>
      <c r="O21" s="89"/>
      <c r="P21" s="129" t="s">
        <v>141</v>
      </c>
      <c r="Q21" s="116">
        <v>372385611</v>
      </c>
      <c r="R21" s="116">
        <v>495337239854</v>
      </c>
      <c r="S21" s="116">
        <v>118622.02</v>
      </c>
      <c r="T21" s="130">
        <f t="shared" ref="T21" si="7">Q21/S21</f>
        <v>3139.2620948454596</v>
      </c>
      <c r="U21" s="78"/>
    </row>
    <row r="22" spans="1:21" hidden="1">
      <c r="A22" s="129" t="s">
        <v>156</v>
      </c>
      <c r="B22" s="131">
        <f>SUM(F20:F22)</f>
        <v>45321701.709523804</v>
      </c>
      <c r="C22" s="131">
        <f>AVERAGE(F20:F22)</f>
        <v>15107233.903174601</v>
      </c>
      <c r="D22" s="90">
        <f>C22/C19-1</f>
        <v>-0.46704094669053942</v>
      </c>
      <c r="E22" s="286">
        <f>C22/C10-1</f>
        <v>2.3168557922317463</v>
      </c>
      <c r="F22" s="78">
        <f>Q22/21</f>
        <v>14152483.666666666</v>
      </c>
      <c r="G22" s="90">
        <f t="shared" si="3"/>
        <v>-0.2018967752220695</v>
      </c>
      <c r="H22" s="90">
        <f t="shared" si="4"/>
        <v>2.5933990295087979</v>
      </c>
      <c r="I22" s="130">
        <f t="shared" si="0"/>
        <v>2725.8843031935448</v>
      </c>
      <c r="J22" s="130">
        <f t="shared" si="5"/>
        <v>3.4029145232765563</v>
      </c>
      <c r="K22" s="78">
        <f>R20+R21+R22</f>
        <v>1235970002256</v>
      </c>
      <c r="L22" s="87">
        <f>U22/U19-1</f>
        <v>-0.45791375002625456</v>
      </c>
      <c r="M22" s="87">
        <f>U22/U10-1</f>
        <v>2.2700295289170334</v>
      </c>
      <c r="N22" s="88">
        <f>AVERAGE(T20:T22)</f>
        <v>2824.7824741243348</v>
      </c>
      <c r="O22" s="89">
        <f>N22/N19-1</f>
        <v>-0.26685230849497754</v>
      </c>
      <c r="P22" s="129" t="s">
        <v>156</v>
      </c>
      <c r="Q22" s="116">
        <v>297202157</v>
      </c>
      <c r="R22" s="116">
        <v>388543098366</v>
      </c>
      <c r="S22" s="116">
        <v>109029.63</v>
      </c>
      <c r="T22" s="130">
        <f t="shared" ref="T22:T23" si="8">Q22/S22</f>
        <v>2725.8843031935448</v>
      </c>
      <c r="U22" s="85">
        <f>Q20+Q21+Q22</f>
        <v>938319166</v>
      </c>
    </row>
    <row r="23" spans="1:21" hidden="1">
      <c r="A23" s="129" t="s">
        <v>189</v>
      </c>
      <c r="B23" s="131"/>
      <c r="C23" s="131"/>
      <c r="F23" s="78">
        <f>Q23/21</f>
        <v>8608232.0476190485</v>
      </c>
      <c r="G23" s="90">
        <f t="shared" ref="G23" si="9">F23/F22-1</f>
        <v>-0.39175114062176863</v>
      </c>
      <c r="H23" s="90">
        <f t="shared" ref="H23" si="10">F23/F11-1</f>
        <v>-0.18664122571367714</v>
      </c>
      <c r="I23" s="130">
        <f t="shared" si="0"/>
        <v>1785.0006734254089</v>
      </c>
      <c r="J23" s="130">
        <f t="shared" si="5"/>
        <v>-7.8552823126969984E-2</v>
      </c>
      <c r="O23" s="89"/>
      <c r="P23" s="129" t="s">
        <v>189</v>
      </c>
      <c r="Q23" s="116">
        <v>180772873</v>
      </c>
      <c r="R23" s="116">
        <v>233400704382</v>
      </c>
      <c r="S23" s="116">
        <v>101273.28</v>
      </c>
      <c r="T23" s="130">
        <f t="shared" si="8"/>
        <v>1785.0006734254089</v>
      </c>
      <c r="U23" s="78"/>
    </row>
    <row r="24" spans="1:21" hidden="1">
      <c r="A24" s="129" t="s">
        <v>204</v>
      </c>
      <c r="B24" s="131"/>
      <c r="C24" s="131"/>
      <c r="F24" s="78">
        <f>Q24/22</f>
        <v>23080762.545454547</v>
      </c>
      <c r="G24" s="90">
        <f t="shared" ref="G24" si="11">F24/F23-1</f>
        <v>1.6812430726514229</v>
      </c>
      <c r="H24" s="90">
        <f t="shared" ref="H24" si="12">F24/F12-1</f>
        <v>-0.13781860044586081</v>
      </c>
      <c r="I24" s="130">
        <f t="shared" si="0"/>
        <v>4006.4966602453005</v>
      </c>
      <c r="J24" s="130">
        <f t="shared" si="5"/>
        <v>7.3730843098377852E-2</v>
      </c>
      <c r="O24" s="89"/>
      <c r="P24" s="129" t="s">
        <v>204</v>
      </c>
      <c r="Q24" s="116">
        <v>507776776</v>
      </c>
      <c r="R24" s="116">
        <v>667075231155</v>
      </c>
      <c r="S24" s="116">
        <v>126738.35</v>
      </c>
      <c r="T24" s="130">
        <f t="shared" ref="T24" si="13">Q24/S24</f>
        <v>4006.4966602453005</v>
      </c>
      <c r="U24" s="78"/>
    </row>
    <row r="25" spans="1:21" s="79" customFormat="1" ht="13.2" hidden="1">
      <c r="A25" s="129" t="s">
        <v>218</v>
      </c>
      <c r="B25" s="131">
        <f>SUM(F23:F25)</f>
        <v>73389480.224652544</v>
      </c>
      <c r="C25" s="131">
        <f>AVERAGE(F23:F25)</f>
        <v>24463160.07488418</v>
      </c>
      <c r="D25" s="90">
        <f>C25/C22-1</f>
        <v>0.6193010733582105</v>
      </c>
      <c r="E25" s="286">
        <f>C25/C13-1</f>
        <v>-6.6151893078112423E-2</v>
      </c>
      <c r="F25" s="78">
        <f>Q25/19</f>
        <v>41700485.631578945</v>
      </c>
      <c r="G25" s="90">
        <f t="shared" ref="G25" si="14">F25/F24-1</f>
        <v>0.8067204473619658</v>
      </c>
      <c r="H25" s="90">
        <f t="shared" ref="H25" si="15">F25/F13-1</f>
        <v>1.1301180459784677E-2</v>
      </c>
      <c r="I25" s="130">
        <f t="shared" si="0"/>
        <v>4674.8033159740826</v>
      </c>
      <c r="J25" s="130">
        <f t="shared" si="5"/>
        <v>5.8151799176157759E-2</v>
      </c>
      <c r="K25" s="78">
        <f>R23+R24+R25</f>
        <v>1952279842453</v>
      </c>
      <c r="L25" s="90">
        <f>U25/U22-1</f>
        <v>0.57820380277727379</v>
      </c>
      <c r="M25" s="90">
        <f>U25/U13-1</f>
        <v>-9.4767992080537322E-2</v>
      </c>
      <c r="N25" s="88">
        <f>AVERAGE(T23:T25)</f>
        <v>3488.7668832149307</v>
      </c>
      <c r="O25" s="91">
        <f>N25/N22-1</f>
        <v>0.23505682833026875</v>
      </c>
      <c r="P25" s="129" t="s">
        <v>239</v>
      </c>
      <c r="Q25" s="116">
        <v>792309227</v>
      </c>
      <c r="R25" s="116">
        <v>1051803906916</v>
      </c>
      <c r="S25" s="116">
        <v>169485.04</v>
      </c>
      <c r="T25" s="130">
        <f t="shared" ref="T25" si="16">Q25/S25</f>
        <v>4674.8033159740826</v>
      </c>
      <c r="U25" s="85">
        <f>Q23+Q24+Q25</f>
        <v>1480858876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47799418.947368421</v>
      </c>
      <c r="G26" s="90">
        <f t="shared" ref="G26" si="17">F26/F25-1</f>
        <v>0.1462556903934682</v>
      </c>
      <c r="H26" s="90">
        <f t="shared" ref="H26" si="18">F26/F14-1</f>
        <v>2.2258437501945227E-3</v>
      </c>
      <c r="I26" s="130">
        <f t="shared" si="0"/>
        <v>4549.8474865769849</v>
      </c>
      <c r="J26" s="130">
        <f t="shared" si="5"/>
        <v>-5.0768904333292508E-2</v>
      </c>
      <c r="L26" s="90"/>
      <c r="M26" s="90"/>
      <c r="P26" s="129" t="s">
        <v>312</v>
      </c>
      <c r="Q26" s="116">
        <v>908188960</v>
      </c>
      <c r="R26" s="116">
        <v>1224292606041</v>
      </c>
      <c r="S26" s="116">
        <v>199608.66</v>
      </c>
      <c r="T26" s="130">
        <f t="shared" ref="T26" si="19">Q26/S26</f>
        <v>4549.8474865769849</v>
      </c>
      <c r="U26" s="78"/>
    </row>
    <row r="27" spans="1:21" s="79" customFormat="1" ht="13.2" hidden="1">
      <c r="A27" s="129" t="s">
        <v>398</v>
      </c>
      <c r="B27" s="131"/>
      <c r="C27" s="131"/>
      <c r="D27" s="132"/>
      <c r="E27" s="286"/>
      <c r="F27" s="78">
        <f>Q27/22</f>
        <v>41344955.363636367</v>
      </c>
      <c r="G27" s="90">
        <f t="shared" ref="G27" si="20">F27/F26-1</f>
        <v>-0.13503226034690952</v>
      </c>
      <c r="H27" s="90">
        <f t="shared" ref="H27" si="21">F27/F15-1</f>
        <v>8.0102901610358046E-2</v>
      </c>
      <c r="I27" s="130">
        <f t="shared" si="0"/>
        <v>4500.4467004563785</v>
      </c>
      <c r="J27" s="130">
        <f t="shared" si="5"/>
        <v>-2.6620884448876891E-2</v>
      </c>
      <c r="L27" s="90"/>
      <c r="M27" s="90"/>
      <c r="P27" s="129" t="s">
        <v>398</v>
      </c>
      <c r="Q27" s="116">
        <v>909589018</v>
      </c>
      <c r="R27" s="116">
        <v>1204709391960</v>
      </c>
      <c r="S27" s="116">
        <v>202110.83</v>
      </c>
      <c r="T27" s="130">
        <f t="shared" ref="T27" si="22">Q27/S27</f>
        <v>4500.4467004563785</v>
      </c>
      <c r="U27" s="78"/>
    </row>
    <row r="28" spans="1:21" s="79" customFormat="1" ht="13.2" hidden="1">
      <c r="A28" s="123" t="s">
        <v>413</v>
      </c>
      <c r="B28" s="131">
        <f>SUM(F26:F28)</f>
        <v>117245225.62679426</v>
      </c>
      <c r="C28" s="131">
        <f>AVERAGE(F26:F28)</f>
        <v>39081741.875598088</v>
      </c>
      <c r="D28" s="90">
        <f>C28/C25-1</f>
        <v>0.59757536458760718</v>
      </c>
      <c r="E28" s="286">
        <f>C28/C16-1</f>
        <v>5.282497777775097E-2</v>
      </c>
      <c r="F28" s="78">
        <f>Q28/19</f>
        <v>28100851.315789472</v>
      </c>
      <c r="G28" s="90">
        <f t="shared" ref="G28" si="23">F28/F27-1</f>
        <v>-0.32033180182110732</v>
      </c>
      <c r="H28" s="90">
        <f t="shared" ref="H28" si="24">F28/F16-1</f>
        <v>0.1067456354043419</v>
      </c>
      <c r="I28" s="130">
        <f t="shared" si="0"/>
        <v>3593.7463505800333</v>
      </c>
      <c r="J28" s="130">
        <f t="shared" si="5"/>
        <v>1.3168259802654569E-2</v>
      </c>
      <c r="K28" s="78">
        <f>R26+R27+R28</f>
        <v>3125006518284</v>
      </c>
      <c r="L28" s="90">
        <f>U28/U25-1</f>
        <v>0.58806094970524381</v>
      </c>
      <c r="M28" s="90">
        <f>U28/U16-1</f>
        <v>-1.2292631700977497E-3</v>
      </c>
      <c r="N28" s="88">
        <f>AVERAGE(T26:T28)</f>
        <v>4214.6801792044653</v>
      </c>
      <c r="O28" s="91">
        <f>N28/N25-1</f>
        <v>0.20807159672434139</v>
      </c>
      <c r="P28" s="129" t="s">
        <v>413</v>
      </c>
      <c r="Q28" s="116">
        <v>533916175</v>
      </c>
      <c r="R28" s="116">
        <v>696004520283</v>
      </c>
      <c r="S28" s="116">
        <v>148568.13</v>
      </c>
      <c r="T28" s="130">
        <f t="shared" ref="T28" si="25">Q28/S28</f>
        <v>3593.7463505800333</v>
      </c>
      <c r="U28" s="85">
        <f>Q26+Q27+Q28</f>
        <v>2351694153</v>
      </c>
    </row>
    <row r="29" spans="1:21" s="79" customFormat="1" ht="13.2" hidden="1">
      <c r="A29" s="129" t="s">
        <v>444</v>
      </c>
      <c r="B29" s="188"/>
      <c r="C29" s="188"/>
      <c r="D29" s="189"/>
      <c r="E29" s="287"/>
      <c r="F29" s="136">
        <f>Q29/22</f>
        <v>24496191.181818184</v>
      </c>
      <c r="G29" s="190">
        <f t="shared" ref="G29" si="26">F29/F28-1</f>
        <v>-0.12827583383375585</v>
      </c>
      <c r="H29" s="190">
        <f t="shared" ref="H29" si="27">F29/F17-1</f>
        <v>-0.38854929679497807</v>
      </c>
      <c r="I29" s="130">
        <f t="shared" si="0"/>
        <v>3324.766600876641</v>
      </c>
      <c r="J29" s="130">
        <f t="shared" si="5"/>
        <v>-0.32122419306061856</v>
      </c>
      <c r="K29" s="136"/>
      <c r="L29" s="190"/>
      <c r="M29" s="190"/>
      <c r="N29" s="191"/>
      <c r="O29" s="192"/>
      <c r="P29" s="129" t="s">
        <v>444</v>
      </c>
      <c r="Q29" s="116">
        <v>538916206</v>
      </c>
      <c r="R29" s="116">
        <v>708457180654</v>
      </c>
      <c r="S29" s="116">
        <v>162091.44</v>
      </c>
      <c r="T29" s="130">
        <f t="shared" ref="T29" si="28">Q29/S29</f>
        <v>3324.766600876641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17019938.578947369</v>
      </c>
      <c r="G30" s="190">
        <f t="shared" ref="G30" si="29">F30/F29-1</f>
        <v>-0.30520061455186209</v>
      </c>
      <c r="H30" s="190">
        <f t="shared" ref="H30" si="30">F30/F18-1</f>
        <v>-0.43046220692021941</v>
      </c>
      <c r="I30" s="130">
        <f t="shared" si="0"/>
        <v>2516.7910525879543</v>
      </c>
      <c r="J30" s="130">
        <f t="shared" si="5"/>
        <v>-0.36079533537149477</v>
      </c>
      <c r="K30" s="136"/>
      <c r="L30" s="190"/>
      <c r="M30" s="190"/>
      <c r="N30" s="191"/>
      <c r="O30" s="192"/>
      <c r="P30" s="129" t="s">
        <v>469</v>
      </c>
      <c r="Q30" s="116">
        <v>323378833</v>
      </c>
      <c r="R30" s="116">
        <v>430963649203</v>
      </c>
      <c r="S30" s="116">
        <v>128488.55</v>
      </c>
      <c r="T30" s="130">
        <f t="shared" ref="T30" si="31">Q30/S30</f>
        <v>2516.7910525879543</v>
      </c>
      <c r="U30" s="85"/>
    </row>
    <row r="31" spans="1:21" s="79" customFormat="1" ht="13.2" hidden="1">
      <c r="A31" s="129" t="s">
        <v>505</v>
      </c>
      <c r="B31" s="188">
        <f>SUM(F29:F31)</f>
        <v>60752961.760765553</v>
      </c>
      <c r="C31" s="188">
        <f>AVERAGE(F29:F31)</f>
        <v>20250987.253588516</v>
      </c>
      <c r="D31" s="190">
        <f>C31/C28-1</f>
        <v>-0.48182997272614259</v>
      </c>
      <c r="E31" s="287">
        <f>C31/C19-1</f>
        <v>-0.28557755414202723</v>
      </c>
      <c r="F31" s="136">
        <f>Q31/20</f>
        <v>19236832</v>
      </c>
      <c r="G31" s="190">
        <f t="shared" ref="G31" si="32">F31/F30-1</f>
        <v>0.1302527274566545</v>
      </c>
      <c r="H31" s="190">
        <f t="shared" ref="H31" si="33">F31/F19-1</f>
        <v>0.27466468137054778</v>
      </c>
      <c r="I31" s="130">
        <f t="shared" si="0"/>
        <v>2935.5441234279128</v>
      </c>
      <c r="J31" s="130">
        <f t="shared" si="5"/>
        <v>7.7938512709478269E-2</v>
      </c>
      <c r="K31" s="136">
        <f>R29+R30+R31</f>
        <v>1650724543977</v>
      </c>
      <c r="L31" s="190">
        <f>U31/U28-1</f>
        <v>-0.46973050155812501</v>
      </c>
      <c r="M31" s="190">
        <f>U31/U19-1</f>
        <v>-0.27956419205490946</v>
      </c>
      <c r="N31" s="191">
        <f>AVERAGE(T29:T31)</f>
        <v>2925.7005922975027</v>
      </c>
      <c r="O31" s="192">
        <f>N31/N28-1</f>
        <v>-0.30583093665490457</v>
      </c>
      <c r="P31" s="129" t="s">
        <v>505</v>
      </c>
      <c r="Q31" s="116">
        <v>384736640</v>
      </c>
      <c r="R31" s="116">
        <v>511303714120</v>
      </c>
      <c r="S31" s="116">
        <v>131061.44</v>
      </c>
      <c r="T31" s="130">
        <f t="shared" ref="T31" si="34">Q31/S31</f>
        <v>2935.5441234279128</v>
      </c>
      <c r="U31" s="85">
        <f>Q29+Q30+Q31</f>
        <v>1247031679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18356404.380952381</v>
      </c>
      <c r="G32" s="190">
        <f t="shared" ref="G32" si="35">F32/F31-1</f>
        <v>-4.5767807248491832E-2</v>
      </c>
      <c r="H32" s="190">
        <f t="shared" ref="H32" si="36">F32/F20-1</f>
        <v>0.36615256107530691</v>
      </c>
      <c r="I32" s="130">
        <f t="shared" si="0"/>
        <v>2926.7859674138053</v>
      </c>
      <c r="J32" s="130">
        <f t="shared" si="5"/>
        <v>0.12171731503933003</v>
      </c>
      <c r="K32" s="136"/>
      <c r="L32" s="190"/>
      <c r="M32" s="190"/>
      <c r="N32" s="191"/>
      <c r="O32" s="192"/>
      <c r="P32" s="129" t="s">
        <v>562</v>
      </c>
      <c r="Q32" s="116">
        <v>385484492</v>
      </c>
      <c r="R32" s="116">
        <v>523673668022</v>
      </c>
      <c r="S32" s="116">
        <v>131709.15</v>
      </c>
      <c r="T32" s="130">
        <f t="shared" ref="T32" si="37">Q32/S32</f>
        <v>2926.7859674138053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87"/>
      <c r="F33" s="136">
        <f>Q33/21</f>
        <v>20350292.047619049</v>
      </c>
      <c r="G33" s="190">
        <f t="shared" ref="G33" si="38">F33/F32-1</f>
        <v>0.10862081839598359</v>
      </c>
      <c r="H33" s="190">
        <f t="shared" ref="H33" si="39">F33/F21-1</f>
        <v>0.14761720210505147</v>
      </c>
      <c r="I33" s="130">
        <f t="shared" si="0"/>
        <v>3072.8421242608315</v>
      </c>
      <c r="J33" s="130">
        <f t="shared" si="5"/>
        <v>-2.1157828998632167E-2</v>
      </c>
      <c r="K33" s="136"/>
      <c r="L33" s="190"/>
      <c r="M33" s="190"/>
      <c r="N33" s="191"/>
      <c r="O33" s="192"/>
      <c r="P33" s="129" t="s">
        <v>623</v>
      </c>
      <c r="Q33" s="116">
        <v>427356133</v>
      </c>
      <c r="R33" s="116">
        <v>584740456145</v>
      </c>
      <c r="S33" s="116">
        <v>139075.20000000001</v>
      </c>
      <c r="T33" s="130">
        <f t="shared" ref="T33" si="40">Q33/S33</f>
        <v>3072.8421242608315</v>
      </c>
      <c r="U33" s="85"/>
    </row>
    <row r="34" spans="1:21" s="79" customFormat="1" ht="13.2" hidden="1">
      <c r="A34" s="129" t="s">
        <v>652</v>
      </c>
      <c r="B34" s="188">
        <f>SUM(F32:F34)</f>
        <v>57320046.796992481</v>
      </c>
      <c r="C34" s="188">
        <f>AVERAGE(F32:F34)</f>
        <v>19106682.26566416</v>
      </c>
      <c r="D34" s="190">
        <f>C34/C31-1</f>
        <v>-5.6506133434140793E-2</v>
      </c>
      <c r="E34" s="287">
        <f>C34/C22-1</f>
        <v>0.26473730321002864</v>
      </c>
      <c r="F34" s="136">
        <f>Q34/19</f>
        <v>18613350.368421052</v>
      </c>
      <c r="G34" s="190">
        <f t="shared" ref="G34" si="41">F34/F33-1</f>
        <v>-8.5352174560129557E-2</v>
      </c>
      <c r="H34" s="190">
        <f t="shared" ref="H34" si="42">F34/F22-1</f>
        <v>0.31520027203854406</v>
      </c>
      <c r="I34" s="130">
        <f t="shared" si="0"/>
        <v>2828.6433873816054</v>
      </c>
      <c r="J34" s="130">
        <f t="shared" si="5"/>
        <v>3.7697522256418425E-2</v>
      </c>
      <c r="K34" s="136">
        <f>R32+R33+R34</f>
        <v>1594562937052</v>
      </c>
      <c r="L34" s="190">
        <f>U34/U31-1</f>
        <v>-6.4583280726744019E-2</v>
      </c>
      <c r="M34" s="190">
        <f>U34/U22-1</f>
        <v>0.24317431026448832</v>
      </c>
      <c r="N34" s="191">
        <f>AVERAGE(T32:T34)</f>
        <v>2942.7571596854141</v>
      </c>
      <c r="O34" s="192">
        <f>N34/N31-1</f>
        <v>5.8299087175277542E-3</v>
      </c>
      <c r="P34" s="129" t="s">
        <v>652</v>
      </c>
      <c r="Q34" s="116">
        <v>353653657</v>
      </c>
      <c r="R34" s="116">
        <v>486148812885</v>
      </c>
      <c r="S34" s="116">
        <v>125025.89</v>
      </c>
      <c r="T34" s="130">
        <f t="shared" ref="T34" si="43">Q34/S34</f>
        <v>2828.6433873816054</v>
      </c>
      <c r="U34" s="85">
        <f>Q32+Q33+Q34</f>
        <v>1166494282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30131489.478260871</v>
      </c>
      <c r="G35" s="190">
        <f t="shared" ref="G35" si="44">F35/F34-1</f>
        <v>0.61881063225356825</v>
      </c>
      <c r="H35" s="190">
        <f t="shared" ref="H35" si="45">F35/F23-1</f>
        <v>2.5003110175909979</v>
      </c>
      <c r="I35" s="130">
        <f t="shared" si="0"/>
        <v>3901.2324592120153</v>
      </c>
      <c r="J35" s="130">
        <f t="shared" si="5"/>
        <v>1.1855635783742122</v>
      </c>
      <c r="K35" s="136"/>
      <c r="L35" s="190"/>
      <c r="M35" s="190"/>
      <c r="N35" s="191"/>
      <c r="O35" s="192"/>
      <c r="P35" s="129" t="s">
        <v>660</v>
      </c>
      <c r="Q35" s="116">
        <v>693024258</v>
      </c>
      <c r="R35" s="116">
        <v>959183992597</v>
      </c>
      <c r="S35" s="116">
        <v>177642.39</v>
      </c>
      <c r="T35" s="130">
        <f t="shared" ref="T35" si="46">Q35/S35</f>
        <v>3901.2324592120153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42780739.761904761</v>
      </c>
      <c r="G36" s="190">
        <f t="shared" ref="G36" si="47">F36/F35-1</f>
        <v>0.41980169260368005</v>
      </c>
      <c r="H36" s="190">
        <f t="shared" ref="H36" si="48">F36/F24-1</f>
        <v>0.85352367269728124</v>
      </c>
      <c r="I36" s="130">
        <f t="shared" si="0"/>
        <v>4155.1150210374562</v>
      </c>
      <c r="J36" s="130">
        <f t="shared" si="5"/>
        <v>3.7094342862389107E-2</v>
      </c>
      <c r="K36" s="136"/>
      <c r="L36" s="190"/>
      <c r="M36" s="190"/>
      <c r="N36" s="191"/>
      <c r="O36" s="192"/>
      <c r="P36" s="129" t="s">
        <v>664</v>
      </c>
      <c r="Q36" s="116">
        <v>898395535</v>
      </c>
      <c r="R36" s="116">
        <v>1228064420590</v>
      </c>
      <c r="S36" s="116">
        <v>216214.36</v>
      </c>
      <c r="T36" s="130">
        <f t="shared" ref="T36" si="49">Q36/S36</f>
        <v>4155.1150210374562</v>
      </c>
      <c r="U36" s="85"/>
    </row>
    <row r="37" spans="1:21" s="79" customFormat="1" ht="13.2" hidden="1">
      <c r="A37" s="129" t="s">
        <v>702</v>
      </c>
      <c r="B37" s="188">
        <f>SUM(F35:F37)</f>
        <v>133095610.96238786</v>
      </c>
      <c r="C37" s="188">
        <f>AVERAGE(F35:F37)</f>
        <v>44365203.654129289</v>
      </c>
      <c r="D37" s="190">
        <f>C37/C34-1</f>
        <v>1.3219731734303339</v>
      </c>
      <c r="E37" s="287">
        <f>C37/C25-1</f>
        <v>0.81355162286159932</v>
      </c>
      <c r="F37" s="136">
        <f>Q37/18</f>
        <v>60183381.722222224</v>
      </c>
      <c r="G37" s="190">
        <f t="shared" ref="G37" si="50">F37/F36-1</f>
        <v>0.40678684046071845</v>
      </c>
      <c r="H37" s="190">
        <f t="shared" ref="H37" si="51">F37/F25-1</f>
        <v>0.44322975645747764</v>
      </c>
      <c r="I37" s="130">
        <f t="shared" si="0"/>
        <v>4690.1788089726297</v>
      </c>
      <c r="J37" s="130">
        <f t="shared" si="5"/>
        <v>3.2890138812917691E-3</v>
      </c>
      <c r="K37" s="136">
        <f>R35+R36+R37</f>
        <v>3633741479888</v>
      </c>
      <c r="L37" s="190">
        <f>U37/U34-1</f>
        <v>1.2929565153239215</v>
      </c>
      <c r="M37" s="190">
        <f>U37/U25-1</f>
        <v>0.80619551758016406</v>
      </c>
      <c r="N37" s="191">
        <f>AVERAGE(T35:T37)</f>
        <v>4248.8420964073666</v>
      </c>
      <c r="O37" s="192">
        <f>N37/N34-1</f>
        <v>0.44383034883570738</v>
      </c>
      <c r="P37" s="129" t="s">
        <v>702</v>
      </c>
      <c r="Q37" s="116">
        <v>1083300871</v>
      </c>
      <c r="R37" s="116">
        <v>1446493066701</v>
      </c>
      <c r="S37" s="116">
        <v>230972.19</v>
      </c>
      <c r="T37" s="130">
        <f t="shared" ref="T37" si="52">Q37/S37</f>
        <v>4690.1788089726297</v>
      </c>
      <c r="U37" s="85">
        <f>Q35+Q36+Q37</f>
        <v>2674720664</v>
      </c>
    </row>
    <row r="38" spans="1:21" s="79" customFormat="1" ht="13.2" hidden="1">
      <c r="A38" s="129" t="s">
        <v>750</v>
      </c>
      <c r="B38" s="188"/>
      <c r="C38" s="188"/>
      <c r="D38" s="190"/>
      <c r="E38" s="287"/>
      <c r="F38" s="136">
        <f>Q38/20</f>
        <v>57594951.049999997</v>
      </c>
      <c r="G38" s="190">
        <f t="shared" ref="G38" si="53">F38/F37-1</f>
        <v>-4.3009059945637307E-2</v>
      </c>
      <c r="H38" s="190">
        <f t="shared" ref="H38" si="54">F38/F26-1</f>
        <v>0.2049299409563401</v>
      </c>
      <c r="I38" s="130">
        <f t="shared" si="0"/>
        <v>4675.9515756273395</v>
      </c>
      <c r="J38" s="130">
        <f t="shared" si="5"/>
        <v>2.7716113435096057E-2</v>
      </c>
      <c r="K38" s="136"/>
      <c r="L38" s="190"/>
      <c r="M38" s="190"/>
      <c r="N38" s="191"/>
      <c r="O38" s="192"/>
      <c r="P38" s="129" t="s">
        <v>750</v>
      </c>
      <c r="Q38" s="116">
        <v>1151899021</v>
      </c>
      <c r="R38" s="116">
        <v>1546183460124</v>
      </c>
      <c r="S38" s="116">
        <v>246345.37</v>
      </c>
      <c r="T38" s="130">
        <f t="shared" ref="T38" si="55">Q38/S38</f>
        <v>4675.9515756273395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37293479.428571425</v>
      </c>
      <c r="G39" s="190">
        <f t="shared" ref="G39" si="56">F39/F38-1</f>
        <v>-0.35248700192147442</v>
      </c>
      <c r="H39" s="190">
        <f t="shared" ref="H39" si="57">F39/F27-1</f>
        <v>-9.7992025857362219E-2</v>
      </c>
      <c r="I39" s="130">
        <f t="shared" si="0"/>
        <v>4072.6445320062708</v>
      </c>
      <c r="J39" s="130">
        <f t="shared" si="5"/>
        <v>-9.5057712472569778E-2</v>
      </c>
      <c r="K39" s="136"/>
      <c r="L39" s="190"/>
      <c r="M39" s="190"/>
      <c r="N39" s="191"/>
      <c r="O39" s="192"/>
      <c r="P39" s="129" t="s">
        <v>762</v>
      </c>
      <c r="Q39" s="116">
        <v>783163068</v>
      </c>
      <c r="R39" s="116">
        <v>1087841718185</v>
      </c>
      <c r="S39" s="116">
        <v>192298.41</v>
      </c>
      <c r="T39" s="130">
        <f t="shared" ref="T39" si="58">Q39/S39</f>
        <v>4072.6445320062708</v>
      </c>
      <c r="U39" s="85"/>
    </row>
    <row r="40" spans="1:21" s="79" customFormat="1" ht="13.2" hidden="1">
      <c r="A40" s="129" t="s">
        <v>778</v>
      </c>
      <c r="B40" s="188">
        <f>SUM(F38:F40)</f>
        <v>129986520.81190476</v>
      </c>
      <c r="C40" s="188">
        <f>AVERAGE(F38:F40)</f>
        <v>43328840.270634919</v>
      </c>
      <c r="D40" s="190">
        <f>C40/C37-1</f>
        <v>-2.3359824775602278E-2</v>
      </c>
      <c r="E40" s="287">
        <f>C40/C28-1</f>
        <v>0.10867218786091626</v>
      </c>
      <c r="F40" s="136">
        <f>Q40/21</f>
        <v>35098090.333333336</v>
      </c>
      <c r="G40" s="190">
        <f t="shared" ref="G40" si="59">F40/F39-1</f>
        <v>-5.8867907443255318E-2</v>
      </c>
      <c r="H40" s="190">
        <f t="shared" ref="H40" si="60">F40/F28-1</f>
        <v>0.24900452085635627</v>
      </c>
      <c r="I40" s="130">
        <f t="shared" si="0"/>
        <v>4118.0492168017508</v>
      </c>
      <c r="J40" s="130">
        <f t="shared" si="5"/>
        <v>0.14589311962350782</v>
      </c>
      <c r="K40" s="136">
        <f>R38+R39+R40</f>
        <v>3678456728904</v>
      </c>
      <c r="L40" s="190">
        <f>U40/U37-1</f>
        <v>-9.7156986708046844E-4</v>
      </c>
      <c r="M40" s="190">
        <f>U40/U28-1</f>
        <v>0.13625404161984145</v>
      </c>
      <c r="N40" s="191">
        <f>AVERAGE(T38:T40)</f>
        <v>4288.8817748117872</v>
      </c>
      <c r="O40" s="192">
        <f>N40/N37-1</f>
        <v>9.4236682597068633E-3</v>
      </c>
      <c r="P40" s="129" t="s">
        <v>778</v>
      </c>
      <c r="Q40" s="116">
        <v>737059897</v>
      </c>
      <c r="R40" s="116">
        <v>1044431550595</v>
      </c>
      <c r="S40" s="116">
        <v>178982.78</v>
      </c>
      <c r="T40" s="130">
        <f t="shared" ref="T40" si="61">Q40/S40</f>
        <v>4118.0492168017508</v>
      </c>
      <c r="U40" s="85">
        <f>Q38+Q39+Q40</f>
        <v>2672121986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35690714.666666664</v>
      </c>
      <c r="G41" s="190">
        <f t="shared" ref="G41" si="62">F41/F40-1</f>
        <v>1.6884802782859643E-2</v>
      </c>
      <c r="H41" s="190">
        <f t="shared" ref="H41" si="63">F41/F29-1</f>
        <v>0.45699037053390557</v>
      </c>
      <c r="I41" s="130">
        <f t="shared" si="0"/>
        <v>3941.8889751115944</v>
      </c>
      <c r="J41" s="130">
        <f t="shared" si="5"/>
        <v>0.18561374325410895</v>
      </c>
      <c r="K41" s="193"/>
      <c r="L41" s="190"/>
      <c r="M41" s="190"/>
      <c r="N41" s="193"/>
      <c r="O41" s="193"/>
      <c r="P41" s="129" t="s">
        <v>809</v>
      </c>
      <c r="Q41" s="116">
        <v>642432864</v>
      </c>
      <c r="R41" s="116">
        <v>939016434305</v>
      </c>
      <c r="S41" s="116">
        <v>162975.89000000001</v>
      </c>
      <c r="T41" s="130">
        <f t="shared" ref="T41" si="64">Q41/S41</f>
        <v>3941.8889751115944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31327091.699999999</v>
      </c>
      <c r="G42" s="190">
        <f t="shared" ref="G42" si="65">F42/F41-1</f>
        <v>-0.1222621347714864</v>
      </c>
      <c r="H42" s="190">
        <f t="shared" ref="H42" si="66">F42/F30-1</f>
        <v>0.84061132504612623</v>
      </c>
      <c r="I42" s="130">
        <f t="shared" si="0"/>
        <v>3460.8956995455951</v>
      </c>
      <c r="J42" s="130">
        <f t="shared" si="5"/>
        <v>0.37512237894633382</v>
      </c>
      <c r="K42" s="193"/>
      <c r="L42" s="190"/>
      <c r="M42" s="190"/>
      <c r="N42" s="193"/>
      <c r="O42" s="193"/>
      <c r="P42" s="129" t="s">
        <v>826</v>
      </c>
      <c r="Q42" s="116">
        <v>626541834</v>
      </c>
      <c r="R42" s="116">
        <v>905607518514</v>
      </c>
      <c r="S42" s="116">
        <v>181034.59</v>
      </c>
      <c r="T42" s="130">
        <f t="shared" ref="T42" si="67">Q42/S42</f>
        <v>3460.8956995455951</v>
      </c>
      <c r="U42" s="78"/>
    </row>
    <row r="43" spans="1:21" s="79" customFormat="1" ht="13.2">
      <c r="A43" s="129" t="s">
        <v>835</v>
      </c>
      <c r="B43" s="188">
        <f>SUM(F41:F43)</f>
        <v>93704562.666666657</v>
      </c>
      <c r="C43" s="188">
        <f>AVERAGE(F41:F43)</f>
        <v>31234854.22222222</v>
      </c>
      <c r="D43" s="190">
        <f>C43/C40-1</f>
        <v>-0.27912092668238586</v>
      </c>
      <c r="E43" s="287">
        <f>C43/C31-1</f>
        <v>0.54238674051248248</v>
      </c>
      <c r="F43" s="136">
        <f>Q43/20</f>
        <v>26686756.300000001</v>
      </c>
      <c r="G43" s="190">
        <f t="shared" ref="G43" si="68">F43/F42-1</f>
        <v>-0.14812531735909584</v>
      </c>
      <c r="H43" s="190">
        <f t="shared" ref="H43" si="69">F43/F31-1</f>
        <v>0.38727397005910325</v>
      </c>
      <c r="I43" s="130">
        <f t="shared" si="0"/>
        <v>3341.1881414594882</v>
      </c>
      <c r="J43" s="130">
        <f t="shared" si="5"/>
        <v>0.13818358742906378</v>
      </c>
      <c r="K43" s="136">
        <f>R41+R42+R43</f>
        <v>2617207804022</v>
      </c>
      <c r="L43" s="190">
        <f>U43/U40-1</f>
        <v>-0.32536394915916833</v>
      </c>
      <c r="M43" s="190">
        <f>K43/K31-1</f>
        <v>0.5854903312435793</v>
      </c>
      <c r="N43" s="191">
        <f>AVERAGE(T41:T43)</f>
        <v>3581.324272038893</v>
      </c>
      <c r="O43" s="192">
        <f>N43/N40-1</f>
        <v>-0.16497482092612459</v>
      </c>
      <c r="P43" s="129" t="s">
        <v>835</v>
      </c>
      <c r="Q43" s="116">
        <v>533735126</v>
      </c>
      <c r="R43" s="116">
        <v>772583851203</v>
      </c>
      <c r="S43" s="116">
        <v>159744.10999999999</v>
      </c>
      <c r="T43" s="130">
        <f t="shared" ref="T43" si="70">Q43/S43</f>
        <v>3341.1881414594882</v>
      </c>
      <c r="U43" s="85">
        <f>Q41+Q42+Q43</f>
        <v>1802709824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25020799.5</v>
      </c>
      <c r="G44" s="190">
        <f t="shared" ref="G44" si="71">F44/F43-1</f>
        <v>-6.2426350406624809E-2</v>
      </c>
      <c r="H44" s="190">
        <f t="shared" ref="H44" si="72">F44/F32-1</f>
        <v>0.36305558434760599</v>
      </c>
      <c r="I44" s="130">
        <f t="shared" si="0"/>
        <v>3126.5671044803721</v>
      </c>
      <c r="J44" s="130">
        <f t="shared" si="5"/>
        <v>6.8259565028289115E-2</v>
      </c>
      <c r="K44" s="136"/>
      <c r="L44" s="190"/>
      <c r="M44" s="190"/>
      <c r="N44" s="191"/>
      <c r="O44" s="192"/>
      <c r="P44" s="129" t="s">
        <v>843</v>
      </c>
      <c r="Q44" s="116">
        <v>550457589</v>
      </c>
      <c r="R44" s="116">
        <v>800432549338</v>
      </c>
      <c r="S44" s="116">
        <v>176058.14</v>
      </c>
      <c r="T44" s="130">
        <f t="shared" ref="T44" si="73">Q44/S44</f>
        <v>3126.5671044803721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22735778.25</v>
      </c>
      <c r="G45" s="190">
        <f t="shared" ref="G45" si="74">F45/F44-1</f>
        <v>-9.1324869535044262E-2</v>
      </c>
      <c r="H45" s="190">
        <f t="shared" ref="H45" si="75">F45/F33-1</f>
        <v>0.11722122693861037</v>
      </c>
      <c r="I45" s="130">
        <f t="shared" si="0"/>
        <v>2808.2216691196854</v>
      </c>
      <c r="J45" s="130">
        <f t="shared" si="5"/>
        <v>-8.6115864219610816E-2</v>
      </c>
      <c r="K45" s="136"/>
      <c r="L45" s="190"/>
      <c r="M45" s="190"/>
      <c r="N45" s="191"/>
      <c r="O45" s="192"/>
      <c r="P45" s="129" t="s">
        <v>849</v>
      </c>
      <c r="Q45" s="116">
        <v>454715565</v>
      </c>
      <c r="R45" s="116">
        <v>643078761409</v>
      </c>
      <c r="S45" s="116">
        <v>161922.96</v>
      </c>
      <c r="T45" s="130">
        <f t="shared" ref="T45" si="76">Q45/S45</f>
        <v>2808.2216691196854</v>
      </c>
      <c r="U45" s="85"/>
    </row>
    <row r="46" spans="1:21" s="79" customFormat="1" ht="13.2">
      <c r="A46" s="129" t="s">
        <v>888</v>
      </c>
      <c r="B46" s="188">
        <f>SUM(F44:F46)</f>
        <v>68390756.697368413</v>
      </c>
      <c r="C46" s="188">
        <f>AVERAGE(F44:F46)</f>
        <v>22796918.899122804</v>
      </c>
      <c r="D46" s="190">
        <f>C46/C43-1</f>
        <v>-0.27014486006776994</v>
      </c>
      <c r="E46" s="287">
        <f>C46/C34-1</f>
        <v>0.19313853562584327</v>
      </c>
      <c r="F46" s="136">
        <f>Q46/19</f>
        <v>20634178.947368421</v>
      </c>
      <c r="G46" s="190">
        <f t="shared" ref="G46" si="77">F46/F45-1</f>
        <v>-9.2435775873719206E-2</v>
      </c>
      <c r="H46" s="190">
        <f t="shared" ref="H46" si="78">F46/F34-1</f>
        <v>0.1085687712823511</v>
      </c>
      <c r="I46" s="130">
        <f t="shared" si="0"/>
        <v>2454.941992709616</v>
      </c>
      <c r="J46" s="130">
        <f t="shared" si="5"/>
        <v>-0.13211329372201785</v>
      </c>
      <c r="K46" s="136">
        <f>R44+R45+R46</f>
        <v>1980669158961</v>
      </c>
      <c r="L46" s="190">
        <f>U46/U43-1</f>
        <v>-0.22493207980653906</v>
      </c>
      <c r="M46" s="190">
        <f>K46/K34-1</f>
        <v>0.24213921754811785</v>
      </c>
      <c r="N46" s="191">
        <f>AVERAGE(T44:T46)</f>
        <v>2796.5769221032242</v>
      </c>
      <c r="O46" s="192">
        <f>N46/N43-1</f>
        <v>-0.21912211526405634</v>
      </c>
      <c r="P46" s="129" t="s">
        <v>888</v>
      </c>
      <c r="Q46" s="116">
        <v>392049400</v>
      </c>
      <c r="R46" s="116">
        <v>537157848214</v>
      </c>
      <c r="S46" s="116">
        <v>159698.03</v>
      </c>
      <c r="T46" s="130">
        <f t="shared" ref="T46" si="79">Q46/S46</f>
        <v>2454.941992709616</v>
      </c>
      <c r="U46" s="85">
        <f t="shared" ref="U46:U51" si="80">Q44+Q45+Q46</f>
        <v>1397222554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20836757.695652176</v>
      </c>
      <c r="G47" s="190">
        <f t="shared" ref="G47" si="81">F47/F46-1</f>
        <v>9.8176306796831092E-3</v>
      </c>
      <c r="H47" s="190">
        <f t="shared" ref="H47" si="82">F47/F35-1</f>
        <v>-0.3084723637480522</v>
      </c>
      <c r="I47" s="130">
        <f t="shared" si="0"/>
        <v>2523.3291150204145</v>
      </c>
      <c r="J47" s="130">
        <f t="shared" si="5"/>
        <v>-0.35319693419907472</v>
      </c>
      <c r="K47" s="136"/>
      <c r="L47" s="190"/>
      <c r="M47" s="190"/>
      <c r="N47" s="191"/>
      <c r="O47" s="192"/>
      <c r="P47" s="129" t="s">
        <v>991</v>
      </c>
      <c r="Q47" s="116">
        <v>479245427</v>
      </c>
      <c r="R47" s="116">
        <v>657697406570</v>
      </c>
      <c r="S47" s="116">
        <v>189925.85</v>
      </c>
      <c r="T47" s="130">
        <f t="shared" ref="T47" si="83">Q47/S47</f>
        <v>2523.3291150204145</v>
      </c>
      <c r="U47" s="85">
        <f t="shared" si="80"/>
        <v>1326010392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40532530.899999999</v>
      </c>
      <c r="G48" s="190">
        <f t="shared" ref="G48" si="84">F48/F47-1</f>
        <v>0.9452417449984345</v>
      </c>
      <c r="H48" s="190">
        <f t="shared" ref="H48" si="85">F48/F36-1</f>
        <v>-5.2551893081258516E-2</v>
      </c>
      <c r="I48" s="130">
        <f t="shared" si="0"/>
        <v>3780.900109595415</v>
      </c>
      <c r="J48" s="130">
        <f t="shared" si="5"/>
        <v>-9.0061264140073427E-2</v>
      </c>
      <c r="K48" s="136"/>
      <c r="L48" s="190"/>
      <c r="M48" s="190"/>
      <c r="N48" s="191"/>
      <c r="O48" s="192"/>
      <c r="P48" s="129" t="s">
        <v>1120</v>
      </c>
      <c r="Q48" s="116">
        <v>810650618</v>
      </c>
      <c r="R48" s="116">
        <v>1124766100383</v>
      </c>
      <c r="S48" s="116">
        <v>214406.78</v>
      </c>
      <c r="T48" s="130">
        <f t="shared" ref="T48" si="86">Q48/S48</f>
        <v>3780.900109595415</v>
      </c>
      <c r="U48" s="85">
        <f t="shared" si="80"/>
        <v>1681945445</v>
      </c>
    </row>
    <row r="49" spans="1:26" ht="13.2">
      <c r="A49" s="129" t="s">
        <v>1158</v>
      </c>
      <c r="B49" s="188">
        <f>SUM(F47:F49)</f>
        <v>100808302.00474308</v>
      </c>
      <c r="C49" s="188">
        <f>AVERAGE(F47:F49)</f>
        <v>33602767.334914364</v>
      </c>
      <c r="D49" s="190">
        <f>C49/C46-1</f>
        <v>0.47400477597906243</v>
      </c>
      <c r="E49" s="287">
        <f>C49/C37-1</f>
        <v>-0.24258733044750069</v>
      </c>
      <c r="F49" s="136">
        <f>Q49/22</f>
        <v>39439013.409090906</v>
      </c>
      <c r="G49" s="190">
        <f t="shared" ref="G49" si="87">F49/F48-1</f>
        <v>-2.6978761666942797E-2</v>
      </c>
      <c r="H49" s="190">
        <f t="shared" ref="H49" si="88">F49/F37-1</f>
        <v>-0.34468598672100925</v>
      </c>
      <c r="I49" s="130">
        <f t="shared" si="0"/>
        <v>3838.8540657860872</v>
      </c>
      <c r="J49" s="130">
        <f t="shared" si="5"/>
        <v>-0.18151221474923318</v>
      </c>
      <c r="K49" s="136">
        <f>R47+R48+R49</f>
        <v>2988810525322</v>
      </c>
      <c r="L49" s="190">
        <f>U49/U46-1</f>
        <v>0.54417371364590794</v>
      </c>
      <c r="M49" s="190">
        <f>K49/K37-1</f>
        <v>-0.17748399497750678</v>
      </c>
      <c r="N49" s="191">
        <f>AVERAGE(T47:T49)</f>
        <v>3381.0277634673057</v>
      </c>
      <c r="O49" s="192">
        <f>N49/N46-1</f>
        <v>0.20898793691129125</v>
      </c>
      <c r="P49" s="129" t="s">
        <v>1165</v>
      </c>
      <c r="Q49" s="116">
        <v>867658295</v>
      </c>
      <c r="R49" s="116">
        <v>1206347018369</v>
      </c>
      <c r="S49" s="116">
        <v>226020.13</v>
      </c>
      <c r="T49" s="130">
        <f t="shared" ref="T49" si="89">Q49/S49</f>
        <v>3838.8540657860872</v>
      </c>
      <c r="U49" s="85">
        <f t="shared" si="80"/>
        <v>2157554340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58652712.388888888</v>
      </c>
      <c r="G50" s="190">
        <f t="shared" ref="G50" si="90">F50/F49-1</f>
        <v>0.48717493971005665</v>
      </c>
      <c r="H50" s="190">
        <f t="shared" ref="H50" si="91">F50/F38-1</f>
        <v>1.83655219703307E-2</v>
      </c>
      <c r="I50" s="130">
        <f t="shared" ref="I50" si="92">T50</f>
        <v>4529.2759855782024</v>
      </c>
      <c r="J50" s="130">
        <f t="shared" ref="J50" si="93">I50/I38-1</f>
        <v>-3.1368072931648894E-2</v>
      </c>
      <c r="K50" s="136"/>
      <c r="L50" s="190"/>
      <c r="M50" s="190"/>
      <c r="N50" s="191"/>
      <c r="O50" s="192"/>
      <c r="P50" s="129" t="s">
        <v>1291</v>
      </c>
      <c r="Q50" s="116">
        <v>1055748823</v>
      </c>
      <c r="R50" s="116">
        <v>1489316854544</v>
      </c>
      <c r="S50" s="116">
        <v>233094.39</v>
      </c>
      <c r="T50" s="130">
        <f t="shared" ref="T50" si="94">Q50/S50</f>
        <v>4529.2759855782024</v>
      </c>
      <c r="U50" s="85">
        <f t="shared" si="80"/>
        <v>2734057736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46329554.899999999</v>
      </c>
      <c r="G51" s="190">
        <f t="shared" ref="G51:G52" si="95">F51/F50-1</f>
        <v>-0.21010379549340974</v>
      </c>
      <c r="H51" s="190">
        <f t="shared" ref="H51:H52" si="96">F51/F39-1</f>
        <v>0.24229639094779176</v>
      </c>
      <c r="I51" s="130">
        <f t="shared" ref="I51:I52" si="97">T51</f>
        <v>4263.6157271966495</v>
      </c>
      <c r="J51" s="130">
        <f t="shared" ref="J51:J52" si="98">I51/I39-1</f>
        <v>4.6891201451431996E-2</v>
      </c>
      <c r="K51" s="136"/>
      <c r="L51" s="190"/>
      <c r="M51" s="190"/>
      <c r="N51" s="191"/>
      <c r="O51" s="192"/>
      <c r="P51" s="129" t="s">
        <v>1402</v>
      </c>
      <c r="Q51" s="116">
        <v>926591098</v>
      </c>
      <c r="R51" s="116">
        <v>1341290996567</v>
      </c>
      <c r="S51" s="116">
        <v>217325.19</v>
      </c>
      <c r="T51" s="130">
        <f t="shared" ref="T51:T52" si="99">Q51/S51</f>
        <v>4263.6157271966495</v>
      </c>
      <c r="U51" s="85">
        <f t="shared" si="80"/>
        <v>2849998216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140928041.01616162</v>
      </c>
      <c r="C52" s="188">
        <f>AVERAGE(F50:F52)</f>
        <v>46976013.672053874</v>
      </c>
      <c r="D52" s="190">
        <f>C52/C49-1</f>
        <v>0.39798050570806032</v>
      </c>
      <c r="E52" s="287">
        <f>C52/C40-1</f>
        <v>8.4174267731110586E-2</v>
      </c>
      <c r="F52" s="136">
        <f>Q52/22</f>
        <v>35945773.727272727</v>
      </c>
      <c r="G52" s="190">
        <f t="shared" si="95"/>
        <v>-0.22412866247344998</v>
      </c>
      <c r="H52" s="190">
        <f t="shared" si="96"/>
        <v>2.4151838059814024E-2</v>
      </c>
      <c r="I52" s="130">
        <f t="shared" si="97"/>
        <v>3327.0760709330693</v>
      </c>
      <c r="J52" s="130">
        <f t="shared" si="98"/>
        <v>-0.19207471893281169</v>
      </c>
      <c r="K52" s="136">
        <f>R50+R51+R52</f>
        <v>3993840663197</v>
      </c>
      <c r="L52" s="190">
        <f>U52/U49-1</f>
        <v>0.28531962861245952</v>
      </c>
      <c r="M52" s="190">
        <f>K52/K40-1</f>
        <v>8.5738111805101713E-2</v>
      </c>
      <c r="N52" s="191">
        <f>AVERAGE(T50:T52)</f>
        <v>4039.989261235974</v>
      </c>
      <c r="O52" s="192">
        <f>N52/N49-1</f>
        <v>0.19489975944264093</v>
      </c>
      <c r="P52" s="129" t="s">
        <v>1403</v>
      </c>
      <c r="Q52" s="116">
        <v>790807022</v>
      </c>
      <c r="R52" s="116">
        <v>1163232812086</v>
      </c>
      <c r="S52" s="116">
        <v>237688.29</v>
      </c>
      <c r="T52" s="130">
        <f t="shared" si="99"/>
        <v>3327.0760709330693</v>
      </c>
      <c r="U52" s="85">
        <f t="shared" ref="U52" si="100">Q50+Q51+Q52</f>
        <v>2773146943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35030297.857142858</v>
      </c>
      <c r="G53" s="190">
        <f t="shared" ref="G53" si="101">F53/F52-1</f>
        <v>-2.5468247729921067E-2</v>
      </c>
      <c r="H53" s="190">
        <f t="shared" ref="H53" si="102">F53/F41-1</f>
        <v>-1.8503883032093049E-2</v>
      </c>
      <c r="I53" s="130">
        <f t="shared" ref="I53" si="103">T53</f>
        <v>3573.5346024099476</v>
      </c>
      <c r="J53" s="130">
        <f t="shared" ref="J53" si="104">I53/I41-1</f>
        <v>-9.3446156151878568E-2</v>
      </c>
      <c r="K53" s="136"/>
      <c r="L53" s="190"/>
      <c r="M53" s="190"/>
      <c r="N53" s="191"/>
      <c r="O53" s="192"/>
      <c r="P53" s="129" t="s">
        <v>1414</v>
      </c>
      <c r="Q53" s="116">
        <v>735636255</v>
      </c>
      <c r="R53" s="116">
        <v>1071969422733</v>
      </c>
      <c r="S53" s="116">
        <v>205856.76</v>
      </c>
      <c r="T53" s="130">
        <f t="shared" ref="T53" si="105">Q53/S53</f>
        <v>3573.5346024099476</v>
      </c>
      <c r="U53" s="85">
        <f t="shared" ref="U53" si="106">Q51+Q52+Q53</f>
        <v>2453034375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34351926.470588237</v>
      </c>
      <c r="G54" s="190">
        <f t="shared" ref="G54" si="107">F54/F53-1</f>
        <v>-1.9365276005390841E-2</v>
      </c>
      <c r="H54" s="190">
        <f t="shared" ref="H54" si="108">F54/F42-1</f>
        <v>9.6556514072713595E-2</v>
      </c>
      <c r="I54" s="130">
        <f t="shared" ref="I54" si="109">T54</f>
        <v>3632.49254819415</v>
      </c>
      <c r="J54" s="130">
        <f t="shared" ref="J54" si="110">I54/I42-1</f>
        <v>4.9581629596952226E-2</v>
      </c>
      <c r="K54" s="136"/>
      <c r="L54" s="190"/>
      <c r="M54" s="190"/>
      <c r="N54" s="191"/>
      <c r="O54" s="192"/>
      <c r="P54" s="129" t="s">
        <v>1417</v>
      </c>
      <c r="Q54" s="116">
        <v>583982750</v>
      </c>
      <c r="R54" s="116">
        <v>845693797059</v>
      </c>
      <c r="S54" s="116">
        <v>160766.39999999999</v>
      </c>
      <c r="T54" s="130">
        <f t="shared" ref="T54" si="111">Q54/S54</f>
        <v>3632.49254819415</v>
      </c>
      <c r="U54" s="85">
        <f t="shared" ref="U54" si="112">Q52+Q53+Q54</f>
        <v>2110426027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107495283.08963586</v>
      </c>
      <c r="C55" s="188">
        <f>AVERAGE(F53:F55)</f>
        <v>35831761.029878624</v>
      </c>
      <c r="D55" s="190">
        <f>C55/C52-1</f>
        <v>-0.23723282950262314</v>
      </c>
      <c r="E55" s="287">
        <f>C55/C43-1</f>
        <v>0.14717234711426652</v>
      </c>
      <c r="F55" s="136">
        <f>Q55/21</f>
        <v>38113058.761904761</v>
      </c>
      <c r="G55" s="190">
        <f t="shared" ref="G55" si="113">F55/F54-1</f>
        <v>0.10948824935733281</v>
      </c>
      <c r="H55" s="190">
        <f t="shared" ref="H55" si="114">F55/F43-1</f>
        <v>0.42816378032068148</v>
      </c>
      <c r="I55" s="130">
        <f>T55</f>
        <v>3550.7135948530208</v>
      </c>
      <c r="J55" s="130">
        <f t="shared" ref="J55" si="115">I55/I43-1</f>
        <v>6.2709863833650514E-2</v>
      </c>
      <c r="K55" s="136">
        <f>R53+R54+R55</f>
        <v>3094282397955</v>
      </c>
      <c r="L55" s="190">
        <f>U55/U52-1</f>
        <v>-0.23552798226170302</v>
      </c>
      <c r="M55" s="190">
        <f>K55/K43-1</f>
        <v>0.18228380383088205</v>
      </c>
      <c r="N55" s="191">
        <f>AVERAGE(T53:T55)</f>
        <v>3585.5802484857063</v>
      </c>
      <c r="O55" s="192">
        <f>N55/N52-1</f>
        <v>-0.11247777738182607</v>
      </c>
      <c r="P55" s="129" t="s">
        <v>1418</v>
      </c>
      <c r="Q55" s="116">
        <v>800374234</v>
      </c>
      <c r="R55" s="116">
        <v>1176619178163</v>
      </c>
      <c r="S55" s="116">
        <v>225412.22</v>
      </c>
      <c r="T55" s="130">
        <f t="shared" ref="T55" si="116">Q55/S55</f>
        <v>3550.7135948530208</v>
      </c>
      <c r="U55" s="85">
        <f t="shared" ref="U55" si="117">Q53+Q54+Q55</f>
        <v>2119993239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29168540.40909091</v>
      </c>
      <c r="G56" s="190">
        <f t="shared" ref="G56" si="118">F56/F55-1</f>
        <v>-0.23468382342889227</v>
      </c>
      <c r="H56" s="190">
        <f t="shared" ref="H56" si="119">F56/F44-1</f>
        <v>0.1657717176100193</v>
      </c>
      <c r="I56" s="291">
        <f>T56</f>
        <v>3420.7515848434582</v>
      </c>
      <c r="J56" s="130">
        <f t="shared" ref="J56" si="120">I56/I44-1</f>
        <v>9.4091849153507656E-2</v>
      </c>
      <c r="K56" s="136"/>
      <c r="L56" s="190"/>
      <c r="M56" s="190"/>
      <c r="N56" s="191"/>
      <c r="O56" s="192"/>
      <c r="P56" s="129" t="s">
        <v>1420</v>
      </c>
      <c r="Q56" s="116">
        <v>641707889</v>
      </c>
      <c r="R56" s="116">
        <v>959456143218</v>
      </c>
      <c r="S56" s="116">
        <v>187592.66</v>
      </c>
      <c r="T56" s="130">
        <f t="shared" ref="T56" si="121">Q56/S56</f>
        <v>3420.7515848434582</v>
      </c>
      <c r="U56" s="85">
        <f t="shared" ref="U56" si="122">Q54+Q55+Q56</f>
        <v>2026064873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32214458.333333332</v>
      </c>
      <c r="G57" s="254">
        <f t="shared" ref="G57" si="123">F57/F56-1</f>
        <v>0.10442476317029237</v>
      </c>
      <c r="H57" s="254">
        <f t="shared" ref="H57" si="124">F57/F45-1</f>
        <v>0.41690589955210045</v>
      </c>
      <c r="I57" s="282">
        <f>T57</f>
        <v>3477.225311402105</v>
      </c>
      <c r="J57" s="277">
        <f t="shared" ref="J57" si="125">I57/I45-1</f>
        <v>0.23823035397776748</v>
      </c>
      <c r="K57" s="204"/>
      <c r="L57" s="254"/>
      <c r="M57" s="254"/>
      <c r="N57" s="257"/>
      <c r="O57" s="258"/>
      <c r="P57" s="129" t="s">
        <v>1436</v>
      </c>
      <c r="Q57" s="116">
        <v>386573500</v>
      </c>
      <c r="R57" s="116">
        <v>569358805955</v>
      </c>
      <c r="S57" s="116">
        <v>111172.98</v>
      </c>
      <c r="T57" s="130">
        <f t="shared" ref="T57" si="126">Q57/S57</f>
        <v>3477.225311402105</v>
      </c>
      <c r="U57" s="85">
        <f t="shared" ref="U57" si="127">Q55+Q56+Q57</f>
        <v>1828655623</v>
      </c>
      <c r="V57" s="79"/>
      <c r="W57" s="79"/>
      <c r="X57" s="79"/>
      <c r="Y57" s="79"/>
      <c r="Z57" s="79"/>
    </row>
    <row r="58" spans="1:26">
      <c r="B58" s="196">
        <f>SUM(F56:F58)</f>
        <v>61382998.742424242</v>
      </c>
      <c r="C58" s="196">
        <f>AVERAGE(F56:F58)</f>
        <v>30691499.371212121</v>
      </c>
      <c r="D58" s="197">
        <f>C58/C55-1</f>
        <v>-0.14345545713983332</v>
      </c>
      <c r="E58" s="233">
        <f>C58/C46-1</f>
        <v>0.34630032711977976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3148274628</v>
      </c>
      <c r="R66" s="212">
        <v>4623097347128</v>
      </c>
      <c r="S66" s="213">
        <v>890801.03</v>
      </c>
      <c r="T66" s="214">
        <v>156</v>
      </c>
      <c r="U66" s="214">
        <v>441</v>
      </c>
    </row>
    <row r="67" spans="16:21" ht="18" thickBot="1">
      <c r="P67" s="180" t="s">
        <v>976</v>
      </c>
      <c r="Q67" s="181">
        <v>735636255</v>
      </c>
      <c r="R67" s="181">
        <v>1071969422733</v>
      </c>
      <c r="S67" s="182">
        <v>205856.76</v>
      </c>
      <c r="T67" s="210">
        <v>92</v>
      </c>
      <c r="U67" s="210">
        <v>210</v>
      </c>
    </row>
    <row r="68" spans="16:21" ht="18" thickBot="1">
      <c r="P68" s="180" t="s">
        <v>977</v>
      </c>
      <c r="Q68" s="181">
        <v>583982750</v>
      </c>
      <c r="R68" s="181">
        <v>845693797059</v>
      </c>
      <c r="S68" s="182">
        <v>160766.39999999999</v>
      </c>
      <c r="T68" s="210">
        <v>91</v>
      </c>
      <c r="U68" s="210">
        <v>222</v>
      </c>
    </row>
    <row r="69" spans="16:21" ht="18" thickBot="1">
      <c r="P69" s="180" t="s">
        <v>978</v>
      </c>
      <c r="Q69" s="181">
        <v>800374234</v>
      </c>
      <c r="R69" s="181">
        <v>1176619178163</v>
      </c>
      <c r="S69" s="182">
        <v>225412.22</v>
      </c>
      <c r="T69" s="210">
        <v>85</v>
      </c>
      <c r="U69" s="210">
        <v>206</v>
      </c>
    </row>
    <row r="70" spans="16:21" ht="18" thickBot="1">
      <c r="P70" s="180" t="s">
        <v>979</v>
      </c>
      <c r="Q70" s="181">
        <v>641707889</v>
      </c>
      <c r="R70" s="181">
        <v>959456143218</v>
      </c>
      <c r="S70" s="182">
        <v>187592.66</v>
      </c>
      <c r="T70" s="210">
        <v>88</v>
      </c>
      <c r="U70" s="210">
        <v>216</v>
      </c>
    </row>
    <row r="71" spans="16:21" ht="18" thickBot="1">
      <c r="P71" s="180" t="s">
        <v>980</v>
      </c>
      <c r="Q71" s="181">
        <v>386573500</v>
      </c>
      <c r="R71" s="181">
        <v>569358805955</v>
      </c>
      <c r="S71" s="182">
        <v>111172.98</v>
      </c>
      <c r="T71" s="210">
        <v>71</v>
      </c>
      <c r="U71" s="210">
        <v>165</v>
      </c>
    </row>
    <row r="72" spans="16:21" ht="18" thickBot="1">
      <c r="P72" s="180" t="s">
        <v>975</v>
      </c>
      <c r="Q72" s="181">
        <v>8124170124</v>
      </c>
      <c r="R72" s="181">
        <v>11571118341663</v>
      </c>
      <c r="S72" s="182">
        <v>2319894.4</v>
      </c>
      <c r="T72" s="210">
        <v>273</v>
      </c>
      <c r="U72" s="210">
        <v>1123</v>
      </c>
    </row>
    <row r="73" spans="16:21" ht="18" thickBot="1">
      <c r="P73" s="180" t="s">
        <v>982</v>
      </c>
      <c r="Q73" s="181">
        <v>7760379996</v>
      </c>
      <c r="R73" s="181">
        <v>10557501163896</v>
      </c>
      <c r="S73" s="182">
        <v>2059906.3</v>
      </c>
      <c r="T73" s="210">
        <v>241</v>
      </c>
      <c r="U73" s="210">
        <v>775</v>
      </c>
    </row>
    <row r="74" spans="16:21" ht="18" thickBot="1">
      <c r="P74" s="180" t="s">
        <v>1386</v>
      </c>
      <c r="Q74" s="181">
        <v>6501087342</v>
      </c>
      <c r="R74" s="181">
        <v>8496638614152</v>
      </c>
      <c r="S74" s="182">
        <v>1715685.42</v>
      </c>
      <c r="T74" s="210">
        <v>230</v>
      </c>
      <c r="U74" s="210">
        <v>755</v>
      </c>
    </row>
    <row r="75" spans="16:21" ht="18" thickBot="1">
      <c r="P75" s="215" t="s">
        <v>1387</v>
      </c>
      <c r="Q75" s="216">
        <v>4639305469</v>
      </c>
      <c r="R75" s="217" t="s">
        <v>1514</v>
      </c>
      <c r="S75"/>
      <c r="T75"/>
      <c r="U75"/>
    </row>
  </sheetData>
  <phoneticPr fontId="1" type="noConversion"/>
  <conditionalFormatting sqref="C29:C30">
    <cfRule type="cellIs" dxfId="1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49"/>
  <dimension ref="A1:Z76"/>
  <sheetViews>
    <sheetView zoomScale="90" zoomScaleNormal="90" workbookViewId="0">
      <selection activeCell="C71" sqref="C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8501101000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1525517.95</v>
      </c>
      <c r="G5" s="90"/>
      <c r="H5" s="90"/>
      <c r="I5" s="130">
        <f t="shared" ref="I5:I49" si="0">T5</f>
        <v>19.537065991763214</v>
      </c>
      <c r="J5" s="130"/>
      <c r="L5" s="80"/>
      <c r="M5" s="80"/>
      <c r="P5" s="129" t="s">
        <v>0</v>
      </c>
      <c r="Q5" s="116">
        <v>30510359</v>
      </c>
      <c r="R5" s="116"/>
      <c r="S5" s="116">
        <v>1561665.35</v>
      </c>
      <c r="T5" s="130">
        <f t="shared" ref="T5:T21" si="1">Q5/S5</f>
        <v>19.537065991763214</v>
      </c>
      <c r="U5" s="85"/>
    </row>
    <row r="6" spans="1:21" ht="15" hidden="1" customHeight="1">
      <c r="A6" s="129" t="s">
        <v>1</v>
      </c>
      <c r="C6" s="79"/>
      <c r="F6" s="78">
        <f>Q6/18</f>
        <v>1778196.5555555555</v>
      </c>
      <c r="G6" s="90">
        <f t="shared" ref="G6:G16" si="2">F6/F5-1</f>
        <v>0.16563463285080027</v>
      </c>
      <c r="H6" s="90"/>
      <c r="I6" s="130">
        <f t="shared" si="0"/>
        <v>22.774456367985884</v>
      </c>
      <c r="J6" s="130"/>
      <c r="P6" s="129" t="s">
        <v>1</v>
      </c>
      <c r="Q6" s="116">
        <v>32007538</v>
      </c>
      <c r="R6" s="116"/>
      <c r="S6" s="116">
        <v>1405413.92</v>
      </c>
      <c r="T6" s="130">
        <f t="shared" si="1"/>
        <v>22.774456367985884</v>
      </c>
      <c r="U6" s="85"/>
    </row>
    <row r="7" spans="1:21" ht="15" hidden="1" customHeight="1">
      <c r="A7" s="129" t="s">
        <v>2</v>
      </c>
      <c r="B7" s="131">
        <f>F5+F6+F7</f>
        <v>4818200.1873737369</v>
      </c>
      <c r="C7" s="131">
        <f>AVERAGE(F5:F7)</f>
        <v>1606066.7291245789</v>
      </c>
      <c r="F7" s="78">
        <f>Q7/22</f>
        <v>1514485.6818181819</v>
      </c>
      <c r="G7" s="90">
        <f t="shared" si="2"/>
        <v>-0.14830243198563808</v>
      </c>
      <c r="H7" s="90"/>
      <c r="I7" s="130">
        <f t="shared" si="0"/>
        <v>21.619532624876804</v>
      </c>
      <c r="J7" s="130"/>
      <c r="K7" s="79">
        <f>R5+R6+R7</f>
        <v>0</v>
      </c>
      <c r="N7" s="88">
        <f>AVERAGE(T5:T7)</f>
        <v>21.310351661541969</v>
      </c>
      <c r="P7" s="129" t="s">
        <v>2</v>
      </c>
      <c r="Q7" s="116">
        <v>33318685</v>
      </c>
      <c r="R7" s="116"/>
      <c r="S7" s="116">
        <v>1541138.08</v>
      </c>
      <c r="T7" s="130">
        <f t="shared" si="1"/>
        <v>21.619532624876804</v>
      </c>
      <c r="U7" s="85">
        <f>Q5+Q6+Q7</f>
        <v>95836582</v>
      </c>
    </row>
    <row r="8" spans="1:21" ht="15" hidden="1" customHeight="1">
      <c r="A8" s="129" t="s">
        <v>3</v>
      </c>
      <c r="C8" s="79"/>
      <c r="F8" s="78">
        <f>Q8/21</f>
        <v>1636052.2857142857</v>
      </c>
      <c r="G8" s="90">
        <f t="shared" si="2"/>
        <v>8.0269232885820108E-2</v>
      </c>
      <c r="H8" s="90"/>
      <c r="I8" s="130">
        <f t="shared" si="0"/>
        <v>22.291533523627582</v>
      </c>
      <c r="J8" s="130"/>
      <c r="K8" s="78"/>
      <c r="P8" s="129" t="s">
        <v>3</v>
      </c>
      <c r="Q8" s="116">
        <v>34357098</v>
      </c>
      <c r="R8" s="116"/>
      <c r="S8" s="116">
        <v>1541262.2</v>
      </c>
      <c r="T8" s="130">
        <f t="shared" si="1"/>
        <v>22.291533523627582</v>
      </c>
      <c r="U8" s="85"/>
    </row>
    <row r="9" spans="1:21" ht="15" hidden="1" customHeight="1">
      <c r="A9" s="129" t="s">
        <v>4</v>
      </c>
      <c r="C9" s="79"/>
      <c r="F9" s="78">
        <f>Q9/21</f>
        <v>1589080.4285714286</v>
      </c>
      <c r="G9" s="90">
        <f t="shared" si="2"/>
        <v>-2.8710486549242242E-2</v>
      </c>
      <c r="H9" s="90"/>
      <c r="I9" s="130">
        <f t="shared" si="0"/>
        <v>21.28379843808208</v>
      </c>
      <c r="J9" s="130"/>
      <c r="K9" s="78"/>
      <c r="P9" s="129" t="s">
        <v>4</v>
      </c>
      <c r="Q9" s="116">
        <v>33370689</v>
      </c>
      <c r="R9" s="116"/>
      <c r="S9" s="116">
        <v>1567891.61</v>
      </c>
      <c r="T9" s="130">
        <f t="shared" si="1"/>
        <v>21.28379843808208</v>
      </c>
      <c r="U9" s="85"/>
    </row>
    <row r="10" spans="1:21" ht="15" hidden="1" customHeight="1">
      <c r="A10" s="129" t="s">
        <v>5</v>
      </c>
      <c r="B10" s="131">
        <f>F8+F9+F10</f>
        <v>4586976.8095238097</v>
      </c>
      <c r="C10" s="131">
        <f>AVERAGE(F8:F10)</f>
        <v>1528992.2698412698</v>
      </c>
      <c r="D10" s="90">
        <f>C10/C7-1</f>
        <v>-4.7989574707970051E-2</v>
      </c>
      <c r="E10" s="286"/>
      <c r="F10" s="78">
        <f>Q10/21</f>
        <v>1361844.0952380951</v>
      </c>
      <c r="G10" s="90">
        <f t="shared" si="2"/>
        <v>-0.14299863571890903</v>
      </c>
      <c r="H10" s="90"/>
      <c r="I10" s="130">
        <f t="shared" si="0"/>
        <v>19.025895550378582</v>
      </c>
      <c r="J10" s="130"/>
      <c r="K10" s="79">
        <f>R8+R9+R10</f>
        <v>0</v>
      </c>
      <c r="L10" s="87">
        <f>U10/U7-1</f>
        <v>5.1121501808151226E-3</v>
      </c>
      <c r="N10" s="88">
        <f>AVERAGE(T8:T10)</f>
        <v>20.867075837362748</v>
      </c>
      <c r="O10" s="89">
        <f>N10/N7-1</f>
        <v>-2.0800962425185365E-2</v>
      </c>
      <c r="P10" s="129" t="s">
        <v>5</v>
      </c>
      <c r="Q10" s="116">
        <v>28598726</v>
      </c>
      <c r="R10" s="116"/>
      <c r="S10" s="116">
        <v>1503147.43</v>
      </c>
      <c r="T10" s="130">
        <f t="shared" si="1"/>
        <v>19.025895550378582</v>
      </c>
      <c r="U10" s="85">
        <f>Q8+Q9+Q10</f>
        <v>96326513</v>
      </c>
    </row>
    <row r="11" spans="1:21" ht="15" hidden="1" customHeight="1">
      <c r="A11" s="129" t="s">
        <v>6</v>
      </c>
      <c r="C11" s="79"/>
      <c r="F11" s="78">
        <f>Q11/21</f>
        <v>1287383.8095238095</v>
      </c>
      <c r="G11" s="90">
        <f t="shared" si="2"/>
        <v>-5.4676071934113391E-2</v>
      </c>
      <c r="H11" s="90"/>
      <c r="I11" s="130">
        <f t="shared" si="0"/>
        <v>19.114671199820901</v>
      </c>
      <c r="J11" s="130"/>
      <c r="K11" s="78"/>
      <c r="O11" s="89"/>
      <c r="P11" s="129" t="s">
        <v>6</v>
      </c>
      <c r="Q11" s="116">
        <v>27035060</v>
      </c>
      <c r="R11" s="116"/>
      <c r="S11" s="116">
        <v>1414361.76</v>
      </c>
      <c r="T11" s="130">
        <f t="shared" si="1"/>
        <v>19.114671199820901</v>
      </c>
      <c r="U11" s="85"/>
    </row>
    <row r="12" spans="1:21" ht="15" hidden="1" customHeight="1">
      <c r="A12" s="129" t="s">
        <v>7</v>
      </c>
      <c r="C12" s="79"/>
      <c r="F12" s="78">
        <f>Q12/22</f>
        <v>940831.72727272729</v>
      </c>
      <c r="G12" s="90">
        <f t="shared" si="2"/>
        <v>-0.26919095897226508</v>
      </c>
      <c r="H12" s="90"/>
      <c r="I12" s="130">
        <f t="shared" si="0"/>
        <v>18.638531180261285</v>
      </c>
      <c r="J12" s="130"/>
      <c r="K12" s="78"/>
      <c r="O12" s="89"/>
      <c r="P12" s="129" t="s">
        <v>7</v>
      </c>
      <c r="Q12" s="116">
        <v>20698298</v>
      </c>
      <c r="R12" s="116"/>
      <c r="S12" s="116">
        <v>1110511.22</v>
      </c>
      <c r="T12" s="130">
        <f t="shared" si="1"/>
        <v>18.638531180261285</v>
      </c>
      <c r="U12" s="85"/>
    </row>
    <row r="13" spans="1:21" ht="15" hidden="1" customHeight="1">
      <c r="A13" s="129" t="s">
        <v>96</v>
      </c>
      <c r="B13" s="131">
        <f>F11+F12+F13</f>
        <v>3732787.7867965368</v>
      </c>
      <c r="C13" s="131">
        <f>AVERAGE(F11:F13)</f>
        <v>1244262.5955988455</v>
      </c>
      <c r="D13" s="90">
        <f>C13/C10-1</f>
        <v>-0.18622047989293178</v>
      </c>
      <c r="E13" s="286"/>
      <c r="F13" s="78">
        <f>Q13/20</f>
        <v>1504572.25</v>
      </c>
      <c r="G13" s="90">
        <f t="shared" si="2"/>
        <v>0.59919378395267087</v>
      </c>
      <c r="H13" s="90"/>
      <c r="I13" s="130">
        <f t="shared" si="0"/>
        <v>20.299315048731433</v>
      </c>
      <c r="J13" s="130"/>
      <c r="K13" s="78">
        <f>R11+R12+R13</f>
        <v>0</v>
      </c>
      <c r="L13" s="87">
        <f>U13/U10-1</f>
        <v>-0.19207287198281542</v>
      </c>
      <c r="N13" s="88">
        <f>AVERAGE(T11:T13)</f>
        <v>19.350839142937872</v>
      </c>
      <c r="O13" s="89">
        <f>N13/N10-1</f>
        <v>-7.2661675562132988E-2</v>
      </c>
      <c r="P13" s="129" t="s">
        <v>96</v>
      </c>
      <c r="Q13" s="116">
        <v>30091445</v>
      </c>
      <c r="R13" s="116"/>
      <c r="S13" s="116">
        <v>1482387.21</v>
      </c>
      <c r="T13" s="130">
        <f t="shared" si="1"/>
        <v>20.299315048731433</v>
      </c>
      <c r="U13" s="85">
        <f>Q11+Q12+Q13</f>
        <v>77824803</v>
      </c>
    </row>
    <row r="14" spans="1:21" ht="15" hidden="1" customHeight="1">
      <c r="A14" s="129" t="s">
        <v>97</v>
      </c>
      <c r="C14" s="79"/>
      <c r="F14" s="78">
        <f>Q14/20</f>
        <v>1221846.3999999999</v>
      </c>
      <c r="G14" s="90">
        <f t="shared" si="2"/>
        <v>-0.18791111560112861</v>
      </c>
      <c r="H14" s="90"/>
      <c r="I14" s="130">
        <f t="shared" si="0"/>
        <v>20.343634528180381</v>
      </c>
      <c r="J14" s="130"/>
      <c r="O14" s="89"/>
      <c r="P14" s="129" t="s">
        <v>97</v>
      </c>
      <c r="Q14" s="116">
        <v>24436928</v>
      </c>
      <c r="R14" s="116"/>
      <c r="S14" s="116">
        <v>1201207.58</v>
      </c>
      <c r="T14" s="130">
        <f t="shared" si="1"/>
        <v>20.343634528180381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1737013.5909090908</v>
      </c>
      <c r="G15" s="90">
        <f t="shared" si="2"/>
        <v>0.42163007634109406</v>
      </c>
      <c r="H15" s="90"/>
      <c r="I15" s="130">
        <f t="shared" si="0"/>
        <v>27.674517029178109</v>
      </c>
      <c r="J15" s="130"/>
      <c r="O15" s="89"/>
      <c r="P15" s="129" t="s">
        <v>98</v>
      </c>
      <c r="Q15" s="116">
        <v>38214299</v>
      </c>
      <c r="R15" s="116"/>
      <c r="S15" s="116">
        <v>1380847.91</v>
      </c>
      <c r="T15" s="130">
        <f t="shared" si="1"/>
        <v>27.674517029178109</v>
      </c>
      <c r="U15" s="85"/>
    </row>
    <row r="16" spans="1:21" ht="15" hidden="1" customHeight="1">
      <c r="A16" s="129" t="s">
        <v>99</v>
      </c>
      <c r="B16" s="131">
        <f>F14+F15+F16</f>
        <v>4344027.2181818178</v>
      </c>
      <c r="C16" s="131">
        <f>AVERAGE(F14:F16)</f>
        <v>1448009.0727272725</v>
      </c>
      <c r="D16" s="90">
        <f>C16/C13-1</f>
        <v>0.16374877606150884</v>
      </c>
      <c r="E16" s="286"/>
      <c r="F16" s="78">
        <f>Q16/22</f>
        <v>1385167.2272727273</v>
      </c>
      <c r="G16" s="90">
        <f t="shared" si="2"/>
        <v>-0.20255820995172513</v>
      </c>
      <c r="H16" s="90"/>
      <c r="I16" s="130">
        <f t="shared" si="0"/>
        <v>19.890338813305373</v>
      </c>
      <c r="J16" s="130"/>
      <c r="K16" s="78">
        <f>R14+R15+R16</f>
        <v>0</v>
      </c>
      <c r="L16" s="87">
        <f>U16/U13-1</f>
        <v>0.19659674564161755</v>
      </c>
      <c r="N16" s="88">
        <f>AVERAGE(T14:T16)</f>
        <v>22.636163456887957</v>
      </c>
      <c r="O16" s="89">
        <f>N16/N13-1</f>
        <v>0.1697768396338033</v>
      </c>
      <c r="P16" s="129" t="s">
        <v>99</v>
      </c>
      <c r="Q16" s="116">
        <v>30473679</v>
      </c>
      <c r="R16" s="116"/>
      <c r="S16" s="116">
        <v>1532084.46</v>
      </c>
      <c r="T16" s="130">
        <f t="shared" si="1"/>
        <v>19.890338813305373</v>
      </c>
      <c r="U16" s="85">
        <f>Q14+Q15+Q16</f>
        <v>93124906</v>
      </c>
    </row>
    <row r="17" spans="1:21" ht="15" hidden="1" customHeight="1">
      <c r="A17" s="129" t="s">
        <v>100</v>
      </c>
      <c r="C17" s="79"/>
      <c r="F17" s="78">
        <f>Q17/20</f>
        <v>1274148.2</v>
      </c>
      <c r="G17" s="90">
        <f t="shared" ref="G17:G21" si="3">F17/F16-1</f>
        <v>-8.0148465172190098E-2</v>
      </c>
      <c r="H17" s="90">
        <f t="shared" ref="H17:H21" si="4">F17/F5-1</f>
        <v>-0.16477665831463995</v>
      </c>
      <c r="I17" s="130">
        <f t="shared" si="0"/>
        <v>18.368467495032405</v>
      </c>
      <c r="J17" s="130">
        <f t="shared" ref="J17:J49" si="5">I17/I5-1</f>
        <v>-5.9814431564262915E-2</v>
      </c>
      <c r="O17" s="89"/>
      <c r="P17" s="129" t="s">
        <v>100</v>
      </c>
      <c r="Q17" s="116">
        <v>25482964</v>
      </c>
      <c r="R17" s="116">
        <v>32002636178</v>
      </c>
      <c r="S17" s="116">
        <v>1387321.18</v>
      </c>
      <c r="T17" s="130">
        <f t="shared" si="1"/>
        <v>18.368467495032405</v>
      </c>
      <c r="U17" s="78"/>
    </row>
    <row r="18" spans="1:21" hidden="1">
      <c r="A18" s="129" t="s">
        <v>106</v>
      </c>
      <c r="C18" s="79"/>
      <c r="F18" s="78">
        <f>Q18/20</f>
        <v>1399584.95</v>
      </c>
      <c r="G18" s="90">
        <f t="shared" si="3"/>
        <v>9.8447535380892015E-2</v>
      </c>
      <c r="H18" s="90">
        <f t="shared" si="4"/>
        <v>-0.2129188724231148</v>
      </c>
      <c r="I18" s="130">
        <f t="shared" si="0"/>
        <v>19.200265892794526</v>
      </c>
      <c r="J18" s="130">
        <f t="shared" si="5"/>
        <v>-0.15693856386471672</v>
      </c>
      <c r="O18" s="89"/>
      <c r="P18" s="129" t="s">
        <v>106</v>
      </c>
      <c r="Q18" s="116">
        <v>27991699</v>
      </c>
      <c r="R18" s="116">
        <v>35055881918</v>
      </c>
      <c r="S18" s="116">
        <v>1457880.8</v>
      </c>
      <c r="T18" s="130">
        <f t="shared" si="1"/>
        <v>19.200265892794526</v>
      </c>
      <c r="U18" s="78"/>
    </row>
    <row r="19" spans="1:21" hidden="1">
      <c r="A19" s="129" t="s">
        <v>114</v>
      </c>
      <c r="B19" s="131">
        <f>SUM(F17:F19)</f>
        <v>4069179.0136363637</v>
      </c>
      <c r="C19" s="131">
        <f>AVERAGE(F17:F19)</f>
        <v>1356393.0045454546</v>
      </c>
      <c r="D19" s="90">
        <f>C19/C16-1</f>
        <v>-6.327036888606119E-2</v>
      </c>
      <c r="E19" s="286">
        <f>C19/C7-1</f>
        <v>-0.15545663206360938</v>
      </c>
      <c r="F19" s="78">
        <f>Q19/22</f>
        <v>1395445.8636363635</v>
      </c>
      <c r="G19" s="90">
        <f t="shared" si="3"/>
        <v>-2.9573670134395158E-3</v>
      </c>
      <c r="H19" s="90">
        <f t="shared" si="4"/>
        <v>-7.8600821130846099E-2</v>
      </c>
      <c r="I19" s="130">
        <f t="shared" si="0"/>
        <v>18.214669029928871</v>
      </c>
      <c r="J19" s="130">
        <f t="shared" si="5"/>
        <v>-0.15749015735104654</v>
      </c>
      <c r="K19" s="78">
        <f>R17+R18+R19</f>
        <v>107198380865</v>
      </c>
      <c r="L19" s="87">
        <f>U19/U16-1</f>
        <v>-9.6112139968227206E-2</v>
      </c>
      <c r="M19" s="87">
        <f>U19/U7-1</f>
        <v>-0.12168745750970122</v>
      </c>
      <c r="N19" s="88">
        <f>AVERAGE(T17:T19)</f>
        <v>18.594467472585269</v>
      </c>
      <c r="O19" s="89">
        <f>N19/N16-1</f>
        <v>-0.17855039755302882</v>
      </c>
      <c r="P19" s="129" t="s">
        <v>114</v>
      </c>
      <c r="Q19" s="116">
        <v>30699809</v>
      </c>
      <c r="R19" s="116">
        <v>40139862769</v>
      </c>
      <c r="S19" s="116">
        <v>1685444.24</v>
      </c>
      <c r="T19" s="130">
        <f t="shared" si="1"/>
        <v>18.214669029928871</v>
      </c>
      <c r="U19" s="85">
        <f>Q17+Q18+Q19</f>
        <v>84174472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1364722.95</v>
      </c>
      <c r="G20" s="90">
        <f t="shared" si="3"/>
        <v>-2.2016557171414264E-2</v>
      </c>
      <c r="H20" s="90">
        <f t="shared" si="4"/>
        <v>-0.16584392692304806</v>
      </c>
      <c r="I20" s="130">
        <f t="shared" si="0"/>
        <v>18.991623007913557</v>
      </c>
      <c r="J20" s="130">
        <f t="shared" si="5"/>
        <v>-0.14803425310404661</v>
      </c>
      <c r="O20" s="89"/>
      <c r="P20" s="129" t="s">
        <v>131</v>
      </c>
      <c r="Q20" s="116">
        <v>27294459</v>
      </c>
      <c r="R20" s="116">
        <v>35793532843</v>
      </c>
      <c r="S20" s="116">
        <v>1437184.12</v>
      </c>
      <c r="T20" s="130">
        <f t="shared" si="1"/>
        <v>18.991623007913557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1333895.1904761905</v>
      </c>
      <c r="G21" s="90">
        <f t="shared" si="3"/>
        <v>-2.2589024038768724E-2</v>
      </c>
      <c r="H21" s="90">
        <f t="shared" si="4"/>
        <v>-0.1605867352633924</v>
      </c>
      <c r="I21" s="130">
        <f t="shared" si="0"/>
        <v>18.736378579446036</v>
      </c>
      <c r="J21" s="130">
        <f t="shared" si="5"/>
        <v>-0.11968821571238275</v>
      </c>
      <c r="O21" s="89"/>
      <c r="P21" s="129" t="s">
        <v>141</v>
      </c>
      <c r="Q21" s="116">
        <v>28011799</v>
      </c>
      <c r="R21" s="116">
        <v>37303636976</v>
      </c>
      <c r="S21" s="116">
        <v>1495048.73</v>
      </c>
      <c r="T21" s="130">
        <f t="shared" si="1"/>
        <v>18.736378579446036</v>
      </c>
      <c r="U21" s="78"/>
    </row>
    <row r="22" spans="1:21" hidden="1">
      <c r="A22" s="129" t="s">
        <v>156</v>
      </c>
      <c r="B22" s="131">
        <f>SUM(F20:F22)</f>
        <v>4217558.3785714284</v>
      </c>
      <c r="C22" s="131">
        <f>AVERAGE(F20:F22)</f>
        <v>1405852.7928571429</v>
      </c>
      <c r="D22" s="90">
        <f>C22/C19-1</f>
        <v>3.646420185443433E-2</v>
      </c>
      <c r="E22" s="286">
        <f>C22/C10-1</f>
        <v>-8.0536363337474937E-2</v>
      </c>
      <c r="F22" s="78">
        <f>Q22/21</f>
        <v>1518940.2380952381</v>
      </c>
      <c r="G22" s="90">
        <f t="shared" ref="G22:G27" si="6">F22/F21-1</f>
        <v>0.13872532785202396</v>
      </c>
      <c r="H22" s="90">
        <f t="shared" ref="H22:H27" si="7">F22/F10-1</f>
        <v>0.11535545324641383</v>
      </c>
      <c r="I22" s="130">
        <f t="shared" si="0"/>
        <v>19.583381801536831</v>
      </c>
      <c r="J22" s="130">
        <f t="shared" si="5"/>
        <v>2.9301446004582621E-2</v>
      </c>
      <c r="K22" s="78">
        <f>R20+R21+R22</f>
        <v>114560148706</v>
      </c>
      <c r="L22" s="87">
        <f>U22/U19-1</f>
        <v>3.5991090030240924E-2</v>
      </c>
      <c r="M22" s="87">
        <f>U22/U10-1</f>
        <v>-9.4704040620675278E-2</v>
      </c>
      <c r="N22" s="88">
        <f>AVERAGE(T20:T22)</f>
        <v>19.103794462965475</v>
      </c>
      <c r="O22" s="89">
        <f>N22/N19-1</f>
        <v>2.7391319010944049E-2</v>
      </c>
      <c r="P22" s="129" t="s">
        <v>156</v>
      </c>
      <c r="Q22" s="116">
        <v>31897745</v>
      </c>
      <c r="R22" s="116">
        <v>41462978887</v>
      </c>
      <c r="S22" s="116">
        <v>1628816.99</v>
      </c>
      <c r="T22" s="130">
        <f t="shared" ref="T22:T23" si="8">Q22/S22</f>
        <v>19.583381801536831</v>
      </c>
      <c r="U22" s="85">
        <f>Q20+Q21+Q22</f>
        <v>87204003</v>
      </c>
    </row>
    <row r="23" spans="1:21" hidden="1">
      <c r="A23" s="129" t="s">
        <v>189</v>
      </c>
      <c r="B23" s="131"/>
      <c r="C23" s="131"/>
      <c r="F23" s="78">
        <f>Q23/21</f>
        <v>1367617.3333333333</v>
      </c>
      <c r="G23" s="90">
        <f t="shared" si="6"/>
        <v>-9.9624001633971337E-2</v>
      </c>
      <c r="H23" s="90">
        <f t="shared" si="7"/>
        <v>6.2322924380415534E-2</v>
      </c>
      <c r="I23" s="130">
        <f t="shared" si="0"/>
        <v>18.601409197116897</v>
      </c>
      <c r="J23" s="130">
        <f t="shared" si="5"/>
        <v>-2.6851730659579021E-2</v>
      </c>
      <c r="O23" s="89"/>
      <c r="P23" s="129" t="s">
        <v>189</v>
      </c>
      <c r="Q23" s="116">
        <v>28719964</v>
      </c>
      <c r="R23" s="116">
        <v>37082838606</v>
      </c>
      <c r="S23" s="116">
        <v>1543967.11</v>
      </c>
      <c r="T23" s="130">
        <f t="shared" si="8"/>
        <v>18.601409197116897</v>
      </c>
      <c r="U23" s="78"/>
    </row>
    <row r="24" spans="1:21" hidden="1">
      <c r="A24" s="129" t="s">
        <v>204</v>
      </c>
      <c r="B24" s="131"/>
      <c r="C24" s="131"/>
      <c r="F24" s="78">
        <f>Q24/22</f>
        <v>1340334.0454545454</v>
      </c>
      <c r="G24" s="90">
        <f t="shared" si="6"/>
        <v>-1.9949504304899057E-2</v>
      </c>
      <c r="H24" s="90">
        <f t="shared" si="7"/>
        <v>0.42462674950375145</v>
      </c>
      <c r="I24" s="130">
        <f t="shared" si="0"/>
        <v>19.180952763311158</v>
      </c>
      <c r="J24" s="130">
        <f t="shared" si="5"/>
        <v>2.9102163566639305E-2</v>
      </c>
      <c r="O24" s="89"/>
      <c r="P24" s="129" t="s">
        <v>204</v>
      </c>
      <c r="Q24" s="116">
        <v>29487349</v>
      </c>
      <c r="R24" s="116">
        <v>38758386092</v>
      </c>
      <c r="S24" s="116">
        <v>1537324.52</v>
      </c>
      <c r="T24" s="130">
        <f t="shared" ref="T24" si="9">Q24/S24</f>
        <v>19.180952763311158</v>
      </c>
      <c r="U24" s="78"/>
    </row>
    <row r="25" spans="1:21" s="79" customFormat="1" ht="13.2" hidden="1">
      <c r="A25" s="129" t="s">
        <v>219</v>
      </c>
      <c r="B25" s="131">
        <f>SUM(F23:F25)</f>
        <v>4145205.0103668263</v>
      </c>
      <c r="C25" s="131">
        <f>AVERAGE(F23:F25)</f>
        <v>1381735.0034556089</v>
      </c>
      <c r="D25" s="90">
        <f>C25/C22-1</f>
        <v>-1.7155273670238946E-2</v>
      </c>
      <c r="E25" s="286">
        <f>C25/C13-1</f>
        <v>0.11048504418844152</v>
      </c>
      <c r="F25" s="78">
        <f>Q25/19</f>
        <v>1437253.6315789474</v>
      </c>
      <c r="G25" s="90">
        <f t="shared" si="6"/>
        <v>7.2310023350584895E-2</v>
      </c>
      <c r="H25" s="90">
        <f t="shared" si="7"/>
        <v>-4.4742695753595463E-2</v>
      </c>
      <c r="I25" s="130">
        <f t="shared" si="0"/>
        <v>19.094000187389263</v>
      </c>
      <c r="J25" s="130">
        <f t="shared" si="5"/>
        <v>-5.9377119791906185E-2</v>
      </c>
      <c r="K25" s="78">
        <f>R23+R24+R25</f>
        <v>112086373581</v>
      </c>
      <c r="L25" s="90">
        <f>U25/U22-1</f>
        <v>-1.936689764115529E-2</v>
      </c>
      <c r="M25" s="90">
        <f>U25/U13-1</f>
        <v>9.8815913481978157E-2</v>
      </c>
      <c r="N25" s="88">
        <f>AVERAGE(T23:T25)</f>
        <v>18.958787382605774</v>
      </c>
      <c r="O25" s="91">
        <f>N25/N22-1</f>
        <v>-7.5904857875649379E-3</v>
      </c>
      <c r="P25" s="129" t="s">
        <v>219</v>
      </c>
      <c r="Q25" s="116">
        <v>27307819</v>
      </c>
      <c r="R25" s="116">
        <v>36245148883</v>
      </c>
      <c r="S25" s="116">
        <v>1430178</v>
      </c>
      <c r="T25" s="130">
        <f t="shared" ref="T25" si="10">Q25/S25</f>
        <v>19.094000187389263</v>
      </c>
      <c r="U25" s="85">
        <f>Q23+Q24+Q25</f>
        <v>85515132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1392918.3157894737</v>
      </c>
      <c r="G26" s="90">
        <f t="shared" si="6"/>
        <v>-3.0847245618553454E-2</v>
      </c>
      <c r="H26" s="90">
        <f t="shared" si="7"/>
        <v>0.14001098320498695</v>
      </c>
      <c r="I26" s="130">
        <f t="shared" si="0"/>
        <v>19.898885148962645</v>
      </c>
      <c r="J26" s="130">
        <f t="shared" si="5"/>
        <v>-2.1861844726008051E-2</v>
      </c>
      <c r="L26" s="90"/>
      <c r="M26" s="90"/>
      <c r="P26" s="129" t="s">
        <v>312</v>
      </c>
      <c r="Q26" s="116">
        <v>26465448</v>
      </c>
      <c r="R26" s="116">
        <v>35692923282</v>
      </c>
      <c r="S26" s="116">
        <v>1329996.52</v>
      </c>
      <c r="T26" s="130">
        <f t="shared" ref="T26" si="11">Q26/S26</f>
        <v>19.898885148962645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1423209.1818181819</v>
      </c>
      <c r="G27" s="90">
        <f t="shared" si="6"/>
        <v>2.1746333353036551E-2</v>
      </c>
      <c r="H27" s="90">
        <f t="shared" si="7"/>
        <v>-0.18065742878078173</v>
      </c>
      <c r="I27" s="130">
        <f t="shared" si="0"/>
        <v>21.034985782544403</v>
      </c>
      <c r="J27" s="130">
        <f t="shared" si="5"/>
        <v>-0.23991498170079861</v>
      </c>
      <c r="L27" s="90"/>
      <c r="M27" s="90"/>
      <c r="P27" s="129" t="s">
        <v>378</v>
      </c>
      <c r="Q27" s="116">
        <v>31310602</v>
      </c>
      <c r="R27" s="116">
        <v>41425625027</v>
      </c>
      <c r="S27" s="116">
        <v>1488501.22</v>
      </c>
      <c r="T27" s="130">
        <f t="shared" ref="T27" si="12">Q27/S27</f>
        <v>21.034985782544403</v>
      </c>
      <c r="U27" s="78"/>
    </row>
    <row r="28" spans="1:21" s="79" customFormat="1" ht="13.2" hidden="1">
      <c r="A28" s="123" t="s">
        <v>413</v>
      </c>
      <c r="B28" s="131">
        <f>SUM(F26:F28)</f>
        <v>4310921.5502392352</v>
      </c>
      <c r="C28" s="131">
        <f>AVERAGE(F26:F28)</f>
        <v>1436973.8500797451</v>
      </c>
      <c r="D28" s="90">
        <f>C28/C25-1</f>
        <v>3.9977887573223736E-2</v>
      </c>
      <c r="E28" s="286">
        <f>C28/C16-1</f>
        <v>-7.6209623650651537E-3</v>
      </c>
      <c r="F28" s="78">
        <f>Q28/19</f>
        <v>1494794.0526315789</v>
      </c>
      <c r="G28" s="90">
        <f t="shared" ref="G28" si="13">F28/F27-1</f>
        <v>5.0298207549466234E-2</v>
      </c>
      <c r="H28" s="90">
        <f t="shared" ref="H28" si="14">F28/F16-1</f>
        <v>7.914338658928366E-2</v>
      </c>
      <c r="I28" s="130">
        <f t="shared" si="0"/>
        <v>20.31407897474018</v>
      </c>
      <c r="J28" s="130">
        <f t="shared" si="5"/>
        <v>2.1303818170827382E-2</v>
      </c>
      <c r="K28" s="78">
        <f>R26+R27+R28</f>
        <v>114146109631</v>
      </c>
      <c r="L28" s="90">
        <f>U28/U25-1</f>
        <v>7.7413784498396865E-3</v>
      </c>
      <c r="M28" s="90">
        <f>U28/U16-1</f>
        <v>-7.46069907442376E-2</v>
      </c>
      <c r="N28" s="88">
        <f>AVERAGE(T26:T28)</f>
        <v>20.41598330208241</v>
      </c>
      <c r="O28" s="91">
        <f>N28/N25-1</f>
        <v>7.6861240651581841E-2</v>
      </c>
      <c r="P28" s="129" t="s">
        <v>413</v>
      </c>
      <c r="Q28" s="116">
        <v>28401087</v>
      </c>
      <c r="R28" s="116">
        <v>37027561322</v>
      </c>
      <c r="S28" s="116">
        <v>1398098.68</v>
      </c>
      <c r="T28" s="130">
        <f t="shared" ref="T28" si="15">Q28/S28</f>
        <v>20.31407897474018</v>
      </c>
      <c r="U28" s="85">
        <f>Q26+Q27+Q28</f>
        <v>86177137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1376582.7727272727</v>
      </c>
      <c r="G29" s="190">
        <f t="shared" ref="G29" si="16">F29/F28-1</f>
        <v>-7.908198436847913E-2</v>
      </c>
      <c r="H29" s="190">
        <f t="shared" ref="H29" si="17">F29/F17-1</f>
        <v>8.0394551220393851E-2</v>
      </c>
      <c r="I29" s="130">
        <f t="shared" si="0"/>
        <v>20.053755639692728</v>
      </c>
      <c r="J29" s="130">
        <f t="shared" si="5"/>
        <v>9.1748979337339609E-2</v>
      </c>
      <c r="K29" s="136"/>
      <c r="L29" s="190"/>
      <c r="M29" s="190"/>
      <c r="N29" s="191"/>
      <c r="O29" s="192"/>
      <c r="P29" s="129" t="s">
        <v>427</v>
      </c>
      <c r="Q29" s="116">
        <v>30284821</v>
      </c>
      <c r="R29" s="116">
        <v>39805314209</v>
      </c>
      <c r="S29" s="116">
        <v>1510182.01</v>
      </c>
      <c r="T29" s="130">
        <f t="shared" ref="T29" si="18">Q29/S29</f>
        <v>20.053755639692728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1583838.4736842106</v>
      </c>
      <c r="G30" s="190">
        <f t="shared" ref="G30" si="19">F30/F29-1</f>
        <v>0.15055811031713318</v>
      </c>
      <c r="H30" s="190">
        <f t="shared" ref="H30" si="20">F30/F18-1</f>
        <v>0.13164868890895876</v>
      </c>
      <c r="I30" s="130">
        <f t="shared" si="0"/>
        <v>19.798270861519327</v>
      </c>
      <c r="J30" s="130">
        <f t="shared" si="5"/>
        <v>3.1145660797813335E-2</v>
      </c>
      <c r="K30" s="136"/>
      <c r="L30" s="190"/>
      <c r="M30" s="190"/>
      <c r="N30" s="191"/>
      <c r="O30" s="192"/>
      <c r="P30" s="129" t="s">
        <v>466</v>
      </c>
      <c r="Q30" s="116">
        <v>30092931</v>
      </c>
      <c r="R30" s="116">
        <v>40102063644</v>
      </c>
      <c r="S30" s="116">
        <v>1519977.74</v>
      </c>
      <c r="T30" s="130">
        <f t="shared" ref="T30" si="21">Q30/S30</f>
        <v>19.798270861519327</v>
      </c>
      <c r="U30" s="85"/>
    </row>
    <row r="31" spans="1:21" s="79" customFormat="1" ht="13.2" hidden="1">
      <c r="A31" s="129" t="s">
        <v>505</v>
      </c>
      <c r="B31" s="188">
        <f>SUM(F29:F31)</f>
        <v>4410562.446411483</v>
      </c>
      <c r="C31" s="188">
        <f>AVERAGE(F29:F31)</f>
        <v>1470187.4821371611</v>
      </c>
      <c r="D31" s="190">
        <f>C31/C28-1</f>
        <v>2.3113595320870095E-2</v>
      </c>
      <c r="E31" s="287">
        <f>C31/C19-1</f>
        <v>8.3894916304025458E-2</v>
      </c>
      <c r="F31" s="136">
        <f>Q31/20</f>
        <v>1450141.2</v>
      </c>
      <c r="G31" s="190">
        <f t="shared" ref="G31" si="22">F31/F30-1</f>
        <v>-8.4413452448350745E-2</v>
      </c>
      <c r="H31" s="190">
        <f t="shared" ref="H31" si="23">F31/F19-1</f>
        <v>3.9195598904214757E-2</v>
      </c>
      <c r="I31" s="130">
        <f t="shared" si="0"/>
        <v>21.224291570480286</v>
      </c>
      <c r="J31" s="130">
        <f t="shared" si="5"/>
        <v>0.16523070145311158</v>
      </c>
      <c r="K31" s="136">
        <f>R29+R30+R31</f>
        <v>118417266778</v>
      </c>
      <c r="L31" s="190">
        <f>U31/U28-1</f>
        <v>3.7172724826075365E-2</v>
      </c>
      <c r="M31" s="190">
        <f>U31/U19-1</f>
        <v>6.1848965325259186E-2</v>
      </c>
      <c r="N31" s="191">
        <f>AVERAGE(T29:T31)</f>
        <v>20.358772690564113</v>
      </c>
      <c r="O31" s="192">
        <f>N31/N28-1</f>
        <v>-2.802246194649971E-3</v>
      </c>
      <c r="P31" s="129" t="s">
        <v>506</v>
      </c>
      <c r="Q31" s="116">
        <v>29002824</v>
      </c>
      <c r="R31" s="116">
        <v>38509888925</v>
      </c>
      <c r="S31" s="116">
        <v>1366491.97</v>
      </c>
      <c r="T31" s="130">
        <f t="shared" ref="T31" si="24">Q31/S31</f>
        <v>21.224291570480286</v>
      </c>
      <c r="U31" s="85">
        <f>Q29+Q30+Q31</f>
        <v>89380576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1620470.1904761905</v>
      </c>
      <c r="G32" s="190">
        <f t="shared" ref="G32" si="25">F32/F31-1</f>
        <v>0.11745683142868479</v>
      </c>
      <c r="H32" s="190">
        <f t="shared" ref="H32" si="26">F32/F20-1</f>
        <v>0.18739865148174628</v>
      </c>
      <c r="I32" s="130">
        <f t="shared" si="0"/>
        <v>20.790771966726332</v>
      </c>
      <c r="J32" s="130">
        <f t="shared" si="5"/>
        <v>9.4733818066159658E-2</v>
      </c>
      <c r="K32" s="136"/>
      <c r="L32" s="190"/>
      <c r="M32" s="190"/>
      <c r="N32" s="191"/>
      <c r="O32" s="192"/>
      <c r="P32" s="129" t="s">
        <v>562</v>
      </c>
      <c r="Q32" s="116">
        <v>34029874</v>
      </c>
      <c r="R32" s="116">
        <v>46221230258</v>
      </c>
      <c r="S32" s="116">
        <v>1636777.8</v>
      </c>
      <c r="T32" s="130">
        <f t="shared" ref="T32" si="27">Q32/S32</f>
        <v>20.790771966726332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1709102.2380952381</v>
      </c>
      <c r="G33" s="190">
        <f t="shared" ref="G33" si="28">F33/F32-1</f>
        <v>5.4695265695077211E-2</v>
      </c>
      <c r="H33" s="190">
        <f t="shared" ref="H33" si="29">F33/F21-1</f>
        <v>0.28128675348555787</v>
      </c>
      <c r="I33" s="130">
        <f t="shared" si="0"/>
        <v>21.139511540694194</v>
      </c>
      <c r="J33" s="130">
        <f t="shared" si="5"/>
        <v>0.12826026924351397</v>
      </c>
      <c r="K33" s="136"/>
      <c r="L33" s="190"/>
      <c r="M33" s="190"/>
      <c r="N33" s="191"/>
      <c r="O33" s="192"/>
      <c r="P33" s="129" t="s">
        <v>624</v>
      </c>
      <c r="Q33" s="116">
        <v>35891147</v>
      </c>
      <c r="R33" s="116">
        <v>49081778407</v>
      </c>
      <c r="S33" s="116">
        <v>1697822.91</v>
      </c>
      <c r="T33" s="130">
        <f t="shared" ref="T33" si="30">Q33/S33</f>
        <v>21.139511540694194</v>
      </c>
      <c r="U33" s="85"/>
    </row>
    <row r="34" spans="1:21" s="79" customFormat="1" ht="13.2" hidden="1">
      <c r="A34" s="129" t="s">
        <v>652</v>
      </c>
      <c r="B34" s="188">
        <f>SUM(F32:F34)</f>
        <v>4839139.3233082704</v>
      </c>
      <c r="C34" s="188">
        <f>AVERAGE(F32:F34)</f>
        <v>1613046.4411027569</v>
      </c>
      <c r="D34" s="190">
        <f>C34/C31-1</f>
        <v>9.7170572257850196E-2</v>
      </c>
      <c r="E34" s="287">
        <f>C34/C22-1</f>
        <v>0.14737933395183589</v>
      </c>
      <c r="F34" s="136">
        <f>Q34/19</f>
        <v>1509566.894736842</v>
      </c>
      <c r="G34" s="190">
        <f t="shared" ref="G34" si="31">F34/F33-1</f>
        <v>-0.11674862914039275</v>
      </c>
      <c r="H34" s="190">
        <f t="shared" ref="H34" si="32">F34/F22-1</f>
        <v>-6.1709757390786546E-3</v>
      </c>
      <c r="I34" s="130">
        <f t="shared" si="0"/>
        <v>21.133342723876495</v>
      </c>
      <c r="J34" s="130">
        <f t="shared" si="5"/>
        <v>7.914674482923223E-2</v>
      </c>
      <c r="K34" s="136">
        <f>R32+R33+R34</f>
        <v>134734411327</v>
      </c>
      <c r="L34" s="190">
        <f>U34/U31-1</f>
        <v>0.1031791963390345</v>
      </c>
      <c r="M34" s="190">
        <f>U34/U22-1</f>
        <v>0.13071405678475556</v>
      </c>
      <c r="N34" s="191">
        <f>AVERAGE(T32:T34)</f>
        <v>21.021208743765673</v>
      </c>
      <c r="O34" s="192">
        <f>N34/N31-1</f>
        <v>3.2538113336693764E-2</v>
      </c>
      <c r="P34" s="129" t="s">
        <v>652</v>
      </c>
      <c r="Q34" s="116">
        <v>28681771</v>
      </c>
      <c r="R34" s="116">
        <v>39431402662</v>
      </c>
      <c r="S34" s="116">
        <v>1357180.99</v>
      </c>
      <c r="T34" s="130">
        <f t="shared" ref="T34" si="33">Q34/S34</f>
        <v>21.133342723876495</v>
      </c>
      <c r="U34" s="85">
        <f>Q32+Q33+Q34</f>
        <v>98602792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1291940.956521739</v>
      </c>
      <c r="G35" s="190">
        <f t="shared" ref="G35" si="34">F35/F34-1</f>
        <v>-0.1441644878235363</v>
      </c>
      <c r="H35" s="190">
        <f t="shared" ref="H35" si="35">F35/F23-1</f>
        <v>-5.5334467447225144E-2</v>
      </c>
      <c r="I35" s="130">
        <f t="shared" si="0"/>
        <v>22.772186584493806</v>
      </c>
      <c r="J35" s="130">
        <f t="shared" si="5"/>
        <v>0.22421835588796957</v>
      </c>
      <c r="K35" s="136"/>
      <c r="L35" s="190"/>
      <c r="M35" s="190"/>
      <c r="N35" s="191"/>
      <c r="O35" s="192"/>
      <c r="P35" s="129" t="s">
        <v>660</v>
      </c>
      <c r="Q35" s="116">
        <v>29714642</v>
      </c>
      <c r="R35" s="116">
        <v>41119673717</v>
      </c>
      <c r="S35" s="116">
        <v>1304865.56</v>
      </c>
      <c r="T35" s="130">
        <f t="shared" ref="T35" si="36">Q35/S35</f>
        <v>22.772186584493806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1325833.3809523811</v>
      </c>
      <c r="G36" s="190">
        <f t="shared" ref="G36" si="37">F36/F35-1</f>
        <v>2.6233725511644046E-2</v>
      </c>
      <c r="H36" s="190">
        <f t="shared" ref="H36" si="38">F36/F24-1</f>
        <v>-1.0818694452580879E-2</v>
      </c>
      <c r="I36" s="130">
        <f t="shared" si="0"/>
        <v>20.889742513684517</v>
      </c>
      <c r="J36" s="130">
        <f t="shared" si="5"/>
        <v>8.9087845189937065E-2</v>
      </c>
      <c r="K36" s="136"/>
      <c r="L36" s="190"/>
      <c r="M36" s="190"/>
      <c r="N36" s="191"/>
      <c r="O36" s="192"/>
      <c r="P36" s="129" t="s">
        <v>686</v>
      </c>
      <c r="Q36" s="116">
        <v>27842501</v>
      </c>
      <c r="R36" s="116">
        <v>38010943418</v>
      </c>
      <c r="S36" s="116">
        <v>1332831.22</v>
      </c>
      <c r="T36" s="130">
        <f t="shared" ref="T36" si="39">Q36/S36</f>
        <v>20.889742513684517</v>
      </c>
      <c r="U36" s="85"/>
    </row>
    <row r="37" spans="1:21" s="79" customFormat="1" ht="13.2" hidden="1">
      <c r="A37" s="129" t="s">
        <v>702</v>
      </c>
      <c r="B37" s="188">
        <f>SUM(F35:F37)</f>
        <v>3949092.6708074529</v>
      </c>
      <c r="C37" s="188">
        <f>AVERAGE(F35:F37)</f>
        <v>1316364.2236024842</v>
      </c>
      <c r="D37" s="190">
        <f>C37/C34-1</f>
        <v>-0.18392664336275788</v>
      </c>
      <c r="E37" s="287">
        <f>C37/C25-1</f>
        <v>-4.7310649067757282E-2</v>
      </c>
      <c r="F37" s="136">
        <f>Q37/18</f>
        <v>1331318.3333333333</v>
      </c>
      <c r="G37" s="190">
        <f t="shared" ref="G37" si="40">F37/F36-1</f>
        <v>4.1369846767715934E-3</v>
      </c>
      <c r="H37" s="190">
        <f t="shared" ref="H37" si="41">F37/F25-1</f>
        <v>-7.3706752877872428E-2</v>
      </c>
      <c r="I37" s="130">
        <f t="shared" si="0"/>
        <v>21.022437283254664</v>
      </c>
      <c r="J37" s="130">
        <f t="shared" si="5"/>
        <v>0.10099701879855694</v>
      </c>
      <c r="K37" s="136">
        <f>R35+R36+R37</f>
        <v>111125573459</v>
      </c>
      <c r="L37" s="190">
        <f>U37/U34-1</f>
        <v>-0.1732397090743637</v>
      </c>
      <c r="M37" s="190">
        <f>U37/U25-1</f>
        <v>-4.6708212997905396E-2</v>
      </c>
      <c r="N37" s="191">
        <f>AVERAGE(T35:T37)</f>
        <v>21.56145546047766</v>
      </c>
      <c r="O37" s="192">
        <f>N37/N34-1</f>
        <v>2.5700078587165498E-2</v>
      </c>
      <c r="P37" s="129" t="s">
        <v>702</v>
      </c>
      <c r="Q37" s="116">
        <v>23963730</v>
      </c>
      <c r="R37" s="116">
        <v>31994956324</v>
      </c>
      <c r="S37" s="116">
        <v>1139912.07</v>
      </c>
      <c r="T37" s="130">
        <f t="shared" ref="T37" si="42">Q37/S37</f>
        <v>21.022437283254664</v>
      </c>
      <c r="U37" s="85">
        <f>Q35+Q36+Q37</f>
        <v>81520873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1458614.35</v>
      </c>
      <c r="G38" s="190">
        <f t="shared" ref="G38" si="43">F38/F37-1</f>
        <v>9.5616512955203792E-2</v>
      </c>
      <c r="H38" s="190">
        <f t="shared" ref="H38" si="44">F38/F26-1</f>
        <v>4.7164312125001606E-2</v>
      </c>
      <c r="I38" s="130">
        <f t="shared" si="0"/>
        <v>20.500310020920551</v>
      </c>
      <c r="J38" s="130">
        <f t="shared" si="5"/>
        <v>3.0224048606525056E-2</v>
      </c>
      <c r="K38" s="136"/>
      <c r="L38" s="190"/>
      <c r="M38" s="190"/>
      <c r="N38" s="191"/>
      <c r="O38" s="192"/>
      <c r="P38" s="129" t="s">
        <v>727</v>
      </c>
      <c r="Q38" s="116">
        <v>29172287</v>
      </c>
      <c r="R38" s="116">
        <v>39242807102</v>
      </c>
      <c r="S38" s="116">
        <v>1423016.87</v>
      </c>
      <c r="T38" s="130">
        <f t="shared" ref="T38" si="45">Q38/S38</f>
        <v>20.500310020920551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1381467.6190476189</v>
      </c>
      <c r="G39" s="190">
        <f t="shared" ref="G39" si="46">F39/F38-1</f>
        <v>-5.2890423676677178E-2</v>
      </c>
      <c r="H39" s="190">
        <f t="shared" ref="H39" si="47">F39/F27-1</f>
        <v>-2.9329183161421968E-2</v>
      </c>
      <c r="I39" s="130">
        <f t="shared" si="0"/>
        <v>20.762696862251158</v>
      </c>
      <c r="J39" s="130">
        <f t="shared" si="5"/>
        <v>-1.2944573536113335E-2</v>
      </c>
      <c r="K39" s="136"/>
      <c r="L39" s="190"/>
      <c r="M39" s="190"/>
      <c r="N39" s="191"/>
      <c r="O39" s="192"/>
      <c r="P39" s="129" t="s">
        <v>762</v>
      </c>
      <c r="Q39" s="116">
        <v>29010820</v>
      </c>
      <c r="R39" s="116">
        <v>40303167016</v>
      </c>
      <c r="S39" s="116">
        <v>1397256.83</v>
      </c>
      <c r="T39" s="130">
        <f t="shared" ref="T39" si="48">Q39/S39</f>
        <v>20.762696862251158</v>
      </c>
      <c r="U39" s="85"/>
    </row>
    <row r="40" spans="1:21" s="79" customFormat="1" ht="13.2" hidden="1">
      <c r="A40" s="129" t="s">
        <v>778</v>
      </c>
      <c r="B40" s="188">
        <f>SUM(F38:F40)</f>
        <v>4143839.0642857142</v>
      </c>
      <c r="C40" s="188">
        <f>AVERAGE(F38:F40)</f>
        <v>1381279.6880952381</v>
      </c>
      <c r="D40" s="190">
        <f>C40/C37-1</f>
        <v>4.9314212076578823E-2</v>
      </c>
      <c r="E40" s="287">
        <f>C40/C28-1</f>
        <v>-3.8757950940732977E-2</v>
      </c>
      <c r="F40" s="136">
        <f>Q40/21</f>
        <v>1303757.0952380951</v>
      </c>
      <c r="G40" s="190">
        <f t="shared" ref="G40" si="49">F40/F39-1</f>
        <v>-5.6252150059874162E-2</v>
      </c>
      <c r="H40" s="190">
        <f t="shared" ref="H40" si="50">F40/F28-1</f>
        <v>-0.12780152359929708</v>
      </c>
      <c r="I40" s="130">
        <f t="shared" si="0"/>
        <v>19.420206906579942</v>
      </c>
      <c r="J40" s="130">
        <f t="shared" si="5"/>
        <v>-4.4002589005966541E-2</v>
      </c>
      <c r="K40" s="136">
        <f>R38+R39+R40</f>
        <v>118413973898</v>
      </c>
      <c r="L40" s="190">
        <f>U40/U37-1</f>
        <v>4.9571758143463374E-2</v>
      </c>
      <c r="M40" s="190">
        <f>U40/U28-1</f>
        <v>-7.1379837090665976E-3</v>
      </c>
      <c r="N40" s="191">
        <f>AVERAGE(T38:T40)</f>
        <v>20.227737929917218</v>
      </c>
      <c r="O40" s="192">
        <f>N40/N37-1</f>
        <v>-6.1856563115841534E-2</v>
      </c>
      <c r="P40" s="129" t="s">
        <v>778</v>
      </c>
      <c r="Q40" s="116">
        <v>27378899</v>
      </c>
      <c r="R40" s="116">
        <v>38867999780</v>
      </c>
      <c r="S40" s="116">
        <v>1409815</v>
      </c>
      <c r="T40" s="130">
        <f t="shared" ref="T40" si="51">Q40/S40</f>
        <v>19.420206906579942</v>
      </c>
      <c r="U40" s="85">
        <f>Q38+Q39+Q40</f>
        <v>85562006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1310899</v>
      </c>
      <c r="G41" s="190">
        <f t="shared" ref="G41" si="52">F41/F40-1</f>
        <v>5.4779412422685247E-3</v>
      </c>
      <c r="H41" s="190">
        <f t="shared" ref="H41" si="53">F41/F29-1</f>
        <v>-4.7715091332387272E-2</v>
      </c>
      <c r="I41" s="130">
        <f t="shared" si="0"/>
        <v>19.056967164087688</v>
      </c>
      <c r="J41" s="130">
        <f t="shared" si="5"/>
        <v>-4.9705825358322464E-2</v>
      </c>
      <c r="K41" s="193"/>
      <c r="L41" s="190"/>
      <c r="M41" s="190"/>
      <c r="N41" s="193"/>
      <c r="O41" s="193"/>
      <c r="P41" s="129" t="s">
        <v>792</v>
      </c>
      <c r="Q41" s="116">
        <v>23596182</v>
      </c>
      <c r="R41" s="116">
        <v>34505716365</v>
      </c>
      <c r="S41" s="116">
        <v>1238191.8799999999</v>
      </c>
      <c r="T41" s="130">
        <f t="shared" ref="T41" si="54">Q41/S41</f>
        <v>19.056967164087688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1529603.35</v>
      </c>
      <c r="G42" s="190">
        <f t="shared" ref="G42" si="55">F42/F41-1</f>
        <v>0.16683539311571693</v>
      </c>
      <c r="H42" s="190">
        <f t="shared" ref="H42" si="56">F42/F30-1</f>
        <v>-3.4242837628544742E-2</v>
      </c>
      <c r="I42" s="130">
        <f t="shared" si="0"/>
        <v>20.729824844815489</v>
      </c>
      <c r="J42" s="130">
        <f t="shared" si="5"/>
        <v>4.7052290061692537E-2</v>
      </c>
      <c r="K42" s="193"/>
      <c r="L42" s="190"/>
      <c r="M42" s="190"/>
      <c r="N42" s="193"/>
      <c r="O42" s="193"/>
      <c r="P42" s="129" t="s">
        <v>826</v>
      </c>
      <c r="Q42" s="116">
        <v>30592067</v>
      </c>
      <c r="R42" s="116">
        <v>44194162870</v>
      </c>
      <c r="S42" s="116">
        <v>1475751.35</v>
      </c>
      <c r="T42" s="130">
        <f t="shared" ref="T42" si="57">Q42/S42</f>
        <v>20.729824844815489</v>
      </c>
      <c r="U42" s="78"/>
    </row>
    <row r="43" spans="1:21" s="79" customFormat="1" ht="13.2">
      <c r="A43" s="129" t="s">
        <v>835</v>
      </c>
      <c r="B43" s="188">
        <f>SUM(F41:F43)</f>
        <v>4169352.8</v>
      </c>
      <c r="C43" s="188">
        <f>AVERAGE(F41:F43)</f>
        <v>1389784.2666666666</v>
      </c>
      <c r="D43" s="190">
        <f>C43/C40-1</f>
        <v>6.1570286197114577E-3</v>
      </c>
      <c r="E43" s="287">
        <f>C43/C31-1</f>
        <v>-5.468908996124433E-2</v>
      </c>
      <c r="F43" s="136">
        <f>Q43/20</f>
        <v>1328850.45</v>
      </c>
      <c r="G43" s="190">
        <f t="shared" ref="G43" si="58">F43/F42-1</f>
        <v>-0.13124507082179193</v>
      </c>
      <c r="H43" s="190">
        <f t="shared" ref="H43" si="59">F43/F31-1</f>
        <v>-8.3640648234806325E-2</v>
      </c>
      <c r="I43" s="130">
        <f t="shared" si="0"/>
        <v>17.364629537642344</v>
      </c>
      <c r="J43" s="130">
        <f t="shared" si="5"/>
        <v>-0.18185115955559794</v>
      </c>
      <c r="K43" s="136">
        <f>R41+R42+R43</f>
        <v>117256877950</v>
      </c>
      <c r="L43" s="190">
        <f>U43/U40-1</f>
        <v>-5.6061658956429783E-2</v>
      </c>
      <c r="M43" s="190">
        <f>K43/K31-1</f>
        <v>-9.7991522653145813E-3</v>
      </c>
      <c r="N43" s="191">
        <f>AVERAGE(T41:T43)</f>
        <v>19.050473848848508</v>
      </c>
      <c r="O43" s="192">
        <f>N43/N40-1</f>
        <v>-5.8200481198024345E-2</v>
      </c>
      <c r="P43" s="129" t="s">
        <v>835</v>
      </c>
      <c r="Q43" s="116">
        <v>26577009</v>
      </c>
      <c r="R43" s="116">
        <v>38556998715</v>
      </c>
      <c r="S43" s="116">
        <v>1530525.54</v>
      </c>
      <c r="T43" s="130">
        <f t="shared" ref="T43" si="60">Q43/S43</f>
        <v>17.364629537642344</v>
      </c>
      <c r="U43" s="85">
        <f>Q41+Q42+Q43</f>
        <v>80765258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1444949.5</v>
      </c>
      <c r="G44" s="190">
        <f t="shared" ref="G44" si="61">F44/F43-1</f>
        <v>8.7368033024333158E-2</v>
      </c>
      <c r="H44" s="190">
        <f t="shared" ref="H44" si="62">F44/F32-1</f>
        <v>-0.10831466787094191</v>
      </c>
      <c r="I44" s="130">
        <f t="shared" si="0"/>
        <v>18.695096085507618</v>
      </c>
      <c r="J44" s="130">
        <f t="shared" si="5"/>
        <v>-0.1007983678803579</v>
      </c>
      <c r="K44" s="136"/>
      <c r="L44" s="190"/>
      <c r="M44" s="190"/>
      <c r="N44" s="191"/>
      <c r="O44" s="192"/>
      <c r="P44" s="129" t="s">
        <v>843</v>
      </c>
      <c r="Q44" s="116">
        <v>31788889</v>
      </c>
      <c r="R44" s="116">
        <v>46125975954</v>
      </c>
      <c r="S44" s="116">
        <v>1700386.5</v>
      </c>
      <c r="T44" s="130">
        <f t="shared" ref="T44" si="63">Q44/S44</f>
        <v>18.695096085507618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1492629.2</v>
      </c>
      <c r="G45" s="190">
        <f t="shared" ref="G45" si="64">F45/F44-1</f>
        <v>3.2997485379246738E-2</v>
      </c>
      <c r="H45" s="190">
        <f t="shared" ref="H45" si="65">F45/F33-1</f>
        <v>-0.12665891675181074</v>
      </c>
      <c r="I45" s="130">
        <f t="shared" si="0"/>
        <v>18.262738664080373</v>
      </c>
      <c r="J45" s="130">
        <f t="shared" si="5"/>
        <v>-0.13608511583041771</v>
      </c>
      <c r="K45" s="136"/>
      <c r="L45" s="190"/>
      <c r="M45" s="190"/>
      <c r="N45" s="191"/>
      <c r="O45" s="192"/>
      <c r="P45" s="129" t="s">
        <v>849</v>
      </c>
      <c r="Q45" s="116">
        <v>29852584</v>
      </c>
      <c r="R45" s="116">
        <v>41956719137</v>
      </c>
      <c r="S45" s="116">
        <v>1634617.05</v>
      </c>
      <c r="T45" s="130">
        <f t="shared" ref="T45" si="66">Q45/S45</f>
        <v>18.262738664080373</v>
      </c>
      <c r="U45" s="85"/>
    </row>
    <row r="46" spans="1:21" s="79" customFormat="1" ht="13.2">
      <c r="A46" s="129" t="s">
        <v>888</v>
      </c>
      <c r="B46" s="188">
        <f>SUM(F44:F46)</f>
        <v>4581067.963157895</v>
      </c>
      <c r="C46" s="188">
        <f>AVERAGE(F44:F46)</f>
        <v>1527022.6543859651</v>
      </c>
      <c r="D46" s="190">
        <f>C46/C43-1</f>
        <v>9.8747979100712202E-2</v>
      </c>
      <c r="E46" s="287">
        <f>C46/C34-1</f>
        <v>-5.3330012406823002E-2</v>
      </c>
      <c r="F46" s="136">
        <f>Q46/19</f>
        <v>1643489.2631578948</v>
      </c>
      <c r="G46" s="190">
        <f t="shared" ref="G46" si="67">F46/F45-1</f>
        <v>0.10107002004107568</v>
      </c>
      <c r="H46" s="190">
        <f t="shared" ref="H46" si="68">F46/F34-1</f>
        <v>8.871575608075255E-2</v>
      </c>
      <c r="I46" s="130">
        <f t="shared" si="0"/>
        <v>22.927450381256108</v>
      </c>
      <c r="J46" s="130">
        <f t="shared" si="5"/>
        <v>8.4894646380414995E-2</v>
      </c>
      <c r="K46" s="136">
        <f>R44+R45+R46</f>
        <v>130853786118</v>
      </c>
      <c r="L46" s="190">
        <f>U46/U43-1</f>
        <v>0.14984798290373824</v>
      </c>
      <c r="M46" s="190">
        <f>K46/K34-1</f>
        <v>-2.880203483861099E-2</v>
      </c>
      <c r="N46" s="191">
        <f>AVERAGE(T44:T46)</f>
        <v>19.961761710281365</v>
      </c>
      <c r="O46" s="192">
        <f>N46/N43-1</f>
        <v>4.7835443289403479E-2</v>
      </c>
      <c r="P46" s="129" t="s">
        <v>888</v>
      </c>
      <c r="Q46" s="116">
        <v>31226296</v>
      </c>
      <c r="R46" s="116">
        <v>42771091027</v>
      </c>
      <c r="S46" s="116">
        <v>1361961.12</v>
      </c>
      <c r="T46" s="130">
        <f t="shared" ref="T46" si="69">Q46/S46</f>
        <v>22.927450381256108</v>
      </c>
      <c r="U46" s="85">
        <f t="shared" ref="U46:U51" si="70">Q44+Q45+Q46</f>
        <v>92867769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1280863.7391304348</v>
      </c>
      <c r="G47" s="190">
        <f t="shared" ref="G47" si="71">F47/F46-1</f>
        <v>-0.22064368302028969</v>
      </c>
      <c r="H47" s="190">
        <f t="shared" ref="H47" si="72">F47/F35-1</f>
        <v>-8.5740895010613105E-3</v>
      </c>
      <c r="I47" s="130">
        <f t="shared" si="0"/>
        <v>20.889973505280675</v>
      </c>
      <c r="J47" s="130">
        <f t="shared" si="5"/>
        <v>-8.2654033780611091E-2</v>
      </c>
      <c r="K47" s="136"/>
      <c r="L47" s="190"/>
      <c r="M47" s="190"/>
      <c r="N47" s="191"/>
      <c r="O47" s="192"/>
      <c r="P47" s="129" t="s">
        <v>1029</v>
      </c>
      <c r="Q47" s="116">
        <v>29459866</v>
      </c>
      <c r="R47" s="116">
        <v>40384666047</v>
      </c>
      <c r="S47" s="116">
        <v>1410239.51</v>
      </c>
      <c r="T47" s="130">
        <f t="shared" ref="T47" si="73">Q47/S47</f>
        <v>20.889973505280675</v>
      </c>
      <c r="U47" s="85">
        <f t="shared" si="70"/>
        <v>90538746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1250095.8500000001</v>
      </c>
      <c r="G48" s="190">
        <f t="shared" ref="G48" si="74">F48/F47-1</f>
        <v>-2.4021203966100857E-2</v>
      </c>
      <c r="H48" s="190">
        <f t="shared" ref="H48" si="75">F48/F36-1</f>
        <v>-5.712447132533105E-2</v>
      </c>
      <c r="I48" s="130">
        <f t="shared" si="0"/>
        <v>19.110458918610277</v>
      </c>
      <c r="J48" s="130">
        <f t="shared" si="5"/>
        <v>-8.5174989299588666E-2</v>
      </c>
      <c r="K48" s="136"/>
      <c r="L48" s="190"/>
      <c r="M48" s="190"/>
      <c r="N48" s="191"/>
      <c r="O48" s="192"/>
      <c r="P48" s="129" t="s">
        <v>1070</v>
      </c>
      <c r="Q48" s="116">
        <v>25001917</v>
      </c>
      <c r="R48" s="116">
        <v>34699664580</v>
      </c>
      <c r="S48" s="116">
        <v>1308284.49</v>
      </c>
      <c r="T48" s="130">
        <f t="shared" ref="T48" si="76">Q48/S48</f>
        <v>19.110458918610277</v>
      </c>
      <c r="U48" s="85">
        <f t="shared" si="70"/>
        <v>85688079</v>
      </c>
    </row>
    <row r="49" spans="1:26" ht="13.2">
      <c r="A49" s="129" t="s">
        <v>1207</v>
      </c>
      <c r="B49" s="188">
        <f>SUM(F47:F49)</f>
        <v>4104630.9073122535</v>
      </c>
      <c r="C49" s="188">
        <f>AVERAGE(F47:F49)</f>
        <v>1368210.3024374179</v>
      </c>
      <c r="D49" s="190">
        <f>C49/C46-1</f>
        <v>-0.10400130704832777</v>
      </c>
      <c r="E49" s="287">
        <f>C49/C37-1</f>
        <v>3.9385815798796964E-2</v>
      </c>
      <c r="F49" s="136">
        <f>Q49/22</f>
        <v>1573671.3181818181</v>
      </c>
      <c r="G49" s="190">
        <f t="shared" ref="G49" si="77">F49/F48-1</f>
        <v>0.25884052665387047</v>
      </c>
      <c r="H49" s="190">
        <f t="shared" ref="H49" si="78">F49/F37-1</f>
        <v>0.18203984635416637</v>
      </c>
      <c r="I49" s="130">
        <f t="shared" si="0"/>
        <v>23.859497421394884</v>
      </c>
      <c r="J49" s="130">
        <f t="shared" si="5"/>
        <v>0.1349539113811542</v>
      </c>
      <c r="K49" s="136">
        <f>R47+R48+R49</f>
        <v>123194958762</v>
      </c>
      <c r="L49" s="190">
        <f>U49/U46-1</f>
        <v>-4.0759211088617797E-2</v>
      </c>
      <c r="M49" s="190">
        <f>K49/K37-1</f>
        <v>0.10861033088349381</v>
      </c>
      <c r="N49" s="191">
        <f>AVERAGE(T47:T49)</f>
        <v>21.286643281761947</v>
      </c>
      <c r="O49" s="192">
        <f>N49/N46-1</f>
        <v>6.6370974201049426E-2</v>
      </c>
      <c r="P49" s="129" t="s">
        <v>1165</v>
      </c>
      <c r="Q49" s="116">
        <v>34620769</v>
      </c>
      <c r="R49" s="116">
        <v>48110628135</v>
      </c>
      <c r="S49" s="116">
        <v>1451026.75</v>
      </c>
      <c r="T49" s="130">
        <f t="shared" ref="T49" si="79">Q49/S49</f>
        <v>23.859497421394884</v>
      </c>
      <c r="U49" s="85">
        <f t="shared" si="70"/>
        <v>89082552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1735838.4444444445</v>
      </c>
      <c r="G50" s="190">
        <f t="shared" ref="G50" si="80">F50/F49-1</f>
        <v>0.10305018868234206</v>
      </c>
      <c r="H50" s="190">
        <f t="shared" ref="H50" si="81">F50/F38-1</f>
        <v>0.19005989790546374</v>
      </c>
      <c r="I50" s="130">
        <f t="shared" ref="I50" si="82">T50</f>
        <v>24.231909854551656</v>
      </c>
      <c r="J50" s="130">
        <f t="shared" ref="J50" si="83">I50/I38-1</f>
        <v>0.18202650739540083</v>
      </c>
      <c r="K50" s="136"/>
      <c r="L50" s="190"/>
      <c r="M50" s="190"/>
      <c r="N50" s="191"/>
      <c r="O50" s="192"/>
      <c r="P50" s="129" t="s">
        <v>1356</v>
      </c>
      <c r="Q50" s="116">
        <v>31245092</v>
      </c>
      <c r="R50" s="116">
        <v>44161207713</v>
      </c>
      <c r="S50" s="116">
        <v>1289419.29</v>
      </c>
      <c r="T50" s="130">
        <f t="shared" ref="T50" si="84">Q50/S50</f>
        <v>24.231909854551656</v>
      </c>
      <c r="U50" s="85">
        <f t="shared" si="70"/>
        <v>90867778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1279136.1499999999</v>
      </c>
      <c r="G51" s="190">
        <f t="shared" ref="G51:G52" si="85">F51/F50-1</f>
        <v>-0.26310184332310504</v>
      </c>
      <c r="H51" s="190">
        <f t="shared" ref="H51:H52" si="86">F51/F39-1</f>
        <v>-7.4074460839093859E-2</v>
      </c>
      <c r="I51" s="130">
        <f t="shared" ref="I51:I52" si="87">T51</f>
        <v>21.212452327745464</v>
      </c>
      <c r="J51" s="130">
        <f t="shared" ref="J51:J52" si="88">I51/I39-1</f>
        <v>2.1661707459208257E-2</v>
      </c>
      <c r="K51" s="136"/>
      <c r="L51" s="190"/>
      <c r="M51" s="190"/>
      <c r="N51" s="191"/>
      <c r="O51" s="192"/>
      <c r="P51" s="129" t="s">
        <v>1402</v>
      </c>
      <c r="Q51" s="116">
        <v>25582723</v>
      </c>
      <c r="R51" s="116">
        <v>37062105909</v>
      </c>
      <c r="S51" s="116">
        <v>1206023.83</v>
      </c>
      <c r="T51" s="130">
        <f t="shared" ref="T51:T52" si="89">Q51/S51</f>
        <v>21.212452327745464</v>
      </c>
      <c r="U51" s="85">
        <f t="shared" si="70"/>
        <v>91448584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4214048.2762626261</v>
      </c>
      <c r="C52" s="188">
        <f>AVERAGE(F50:F52)</f>
        <v>1404682.7587542087</v>
      </c>
      <c r="D52" s="190">
        <f>C52/C49-1</f>
        <v>2.665705429334686E-2</v>
      </c>
      <c r="E52" s="287">
        <f>C52/C40-1</f>
        <v>1.6943035404540785E-2</v>
      </c>
      <c r="F52" s="136">
        <f>Q52/22</f>
        <v>1199073.6818181819</v>
      </c>
      <c r="G52" s="190">
        <f t="shared" si="85"/>
        <v>-6.259104488745626E-2</v>
      </c>
      <c r="H52" s="190">
        <f t="shared" si="86"/>
        <v>-8.0293648105359439E-2</v>
      </c>
      <c r="I52" s="130">
        <f t="shared" si="87"/>
        <v>21.456159012235997</v>
      </c>
      <c r="J52" s="130">
        <f t="shared" si="88"/>
        <v>0.10483678755071524</v>
      </c>
      <c r="K52" s="136">
        <f>R50+R51+R52</f>
        <v>120037486636</v>
      </c>
      <c r="L52" s="190">
        <f>U52/U49-1</f>
        <v>-6.5951366099166076E-2</v>
      </c>
      <c r="M52" s="190">
        <f>K52/K40-1</f>
        <v>1.3710482678323643E-2</v>
      </c>
      <c r="N52" s="191">
        <f>AVERAGE(T50:T52)</f>
        <v>22.300173731511038</v>
      </c>
      <c r="O52" s="192">
        <f>N52/N49-1</f>
        <v>4.7613446438380835E-2</v>
      </c>
      <c r="P52" s="129" t="s">
        <v>1403</v>
      </c>
      <c r="Q52" s="116">
        <v>26379621</v>
      </c>
      <c r="R52" s="116">
        <v>38814173014</v>
      </c>
      <c r="S52" s="116">
        <v>1229466.1399999999</v>
      </c>
      <c r="T52" s="130">
        <f t="shared" si="89"/>
        <v>21.456159012235997</v>
      </c>
      <c r="U52" s="85">
        <f t="shared" ref="U52" si="90">Q50+Q51+Q52</f>
        <v>83207436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1249830.857142857</v>
      </c>
      <c r="G53" s="190">
        <f t="shared" ref="G53" si="91">F53/F52-1</f>
        <v>4.2330322226496575E-2</v>
      </c>
      <c r="H53" s="190">
        <f t="shared" ref="H53" si="92">F53/F41-1</f>
        <v>-4.6584933589195576E-2</v>
      </c>
      <c r="I53" s="130">
        <f t="shared" ref="I53" si="93">T53</f>
        <v>22.790683845694403</v>
      </c>
      <c r="J53" s="130">
        <f t="shared" ref="J53" si="94">I53/I41-1</f>
        <v>0.19592397097911762</v>
      </c>
      <c r="K53" s="136"/>
      <c r="L53" s="190"/>
      <c r="M53" s="190"/>
      <c r="N53" s="191"/>
      <c r="O53" s="192"/>
      <c r="P53" s="129" t="s">
        <v>1414</v>
      </c>
      <c r="Q53" s="116">
        <v>26246448</v>
      </c>
      <c r="R53" s="116">
        <v>38284096075</v>
      </c>
      <c r="S53" s="116">
        <v>1151630.56</v>
      </c>
      <c r="T53" s="130">
        <f t="shared" ref="T53" si="95">Q53/S53</f>
        <v>22.790683845694403</v>
      </c>
      <c r="U53" s="85">
        <f t="shared" ref="U53" si="96">Q51+Q52+Q53</f>
        <v>78208792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1709088.0588235294</v>
      </c>
      <c r="G54" s="190">
        <f t="shared" ref="G54" si="97">F54/F53-1</f>
        <v>0.36745548332079525</v>
      </c>
      <c r="H54" s="190">
        <f t="shared" ref="H54" si="98">F54/F42-1</f>
        <v>0.11734068758644467</v>
      </c>
      <c r="I54" s="130">
        <f t="shared" ref="I54" si="99">T54</f>
        <v>25.761130681318736</v>
      </c>
      <c r="J54" s="130">
        <f t="shared" ref="J54" si="100">I54/I42-1</f>
        <v>0.24270855514544176</v>
      </c>
      <c r="K54" s="136"/>
      <c r="L54" s="190"/>
      <c r="M54" s="190"/>
      <c r="N54" s="191"/>
      <c r="O54" s="192"/>
      <c r="P54" s="129" t="s">
        <v>1417</v>
      </c>
      <c r="Q54" s="116">
        <v>29054497</v>
      </c>
      <c r="R54" s="116">
        <v>42095622914</v>
      </c>
      <c r="S54" s="116">
        <v>1127842.46</v>
      </c>
      <c r="T54" s="130">
        <f t="shared" ref="T54" si="101">Q54/S54</f>
        <v>25.761130681318736</v>
      </c>
      <c r="U54" s="85">
        <f t="shared" ref="U54" si="102">Q52+Q53+Q54</f>
        <v>81680566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4252467.5350140054</v>
      </c>
      <c r="C55" s="188">
        <f>AVERAGE(F53:F55)</f>
        <v>1417489.1783380017</v>
      </c>
      <c r="D55" s="190">
        <f>C55/C52-1</f>
        <v>9.1169479400108333E-3</v>
      </c>
      <c r="E55" s="287">
        <f>C55/C43-1</f>
        <v>1.9934685070067681E-2</v>
      </c>
      <c r="F55" s="136">
        <f>Q55/21</f>
        <v>1293548.6190476189</v>
      </c>
      <c r="G55" s="190">
        <f t="shared" ref="G55" si="103">F55/F54-1</f>
        <v>-0.24313518407117762</v>
      </c>
      <c r="H55" s="190">
        <f t="shared" ref="H55" si="104">F55/F43-1</f>
        <v>-2.6565691385649126E-2</v>
      </c>
      <c r="I55" s="130">
        <f>T55</f>
        <v>21.613602897096566</v>
      </c>
      <c r="J55" s="130">
        <f t="shared" ref="J55" si="105">I55/I43-1</f>
        <v>0.24469127603577534</v>
      </c>
      <c r="K55" s="136">
        <f>R53+R54+R55</f>
        <v>120298161794</v>
      </c>
      <c r="L55" s="190">
        <f>U55/U52-1</f>
        <v>-8.9171116869891653E-3</v>
      </c>
      <c r="M55" s="190">
        <f>K55/K43-1</f>
        <v>2.5936933484591362E-2</v>
      </c>
      <c r="N55" s="191">
        <f>AVERAGE(T53:T55)</f>
        <v>23.388472474703235</v>
      </c>
      <c r="O55" s="192">
        <f>N55/N52-1</f>
        <v>4.8802254022549896E-2</v>
      </c>
      <c r="P55" s="129" t="s">
        <v>1418</v>
      </c>
      <c r="Q55" s="116">
        <v>27164521</v>
      </c>
      <c r="R55" s="116">
        <v>39918442805</v>
      </c>
      <c r="S55" s="116">
        <v>1256825.21</v>
      </c>
      <c r="T55" s="130">
        <f t="shared" ref="T55" si="106">Q55/S55</f>
        <v>21.613602897096566</v>
      </c>
      <c r="U55" s="85">
        <f t="shared" ref="U55" si="107">Q53+Q54+Q55</f>
        <v>82465466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1264874</v>
      </c>
      <c r="G56" s="190">
        <f t="shared" ref="G56" si="108">F56/F55-1</f>
        <v>-2.2167407258902094E-2</v>
      </c>
      <c r="H56" s="190">
        <f t="shared" ref="H56" si="109">F56/F44-1</f>
        <v>-0.1246240785577627</v>
      </c>
      <c r="I56" s="291">
        <f>T56</f>
        <v>19.376549804033992</v>
      </c>
      <c r="J56" s="130">
        <f t="shared" ref="J56" si="110">I56/I44-1</f>
        <v>3.6450934266908375E-2</v>
      </c>
      <c r="K56" s="136"/>
      <c r="L56" s="190"/>
      <c r="M56" s="190"/>
      <c r="N56" s="191"/>
      <c r="O56" s="192"/>
      <c r="P56" s="129" t="s">
        <v>1420</v>
      </c>
      <c r="Q56" s="116">
        <v>27827228</v>
      </c>
      <c r="R56" s="116">
        <v>41557785357</v>
      </c>
      <c r="S56" s="116">
        <v>1436129.15</v>
      </c>
      <c r="T56" s="130">
        <f t="shared" ref="T56" si="111">Q56/S56</f>
        <v>19.376549804033992</v>
      </c>
      <c r="U56" s="85">
        <f t="shared" ref="U56" si="112">Q54+Q55+Q56</f>
        <v>84046246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1431897.4166666667</v>
      </c>
      <c r="G57" s="254">
        <f t="shared" ref="G57" si="113">F57/F56-1</f>
        <v>0.13204747403035144</v>
      </c>
      <c r="H57" s="254">
        <f t="shared" ref="H57" si="114">F57/F45-1</f>
        <v>-4.0687789930234031E-2</v>
      </c>
      <c r="I57" s="282">
        <f>T57</f>
        <v>15.414144509848013</v>
      </c>
      <c r="J57" s="277">
        <f t="shared" ref="J57" si="115">I57/I45-1</f>
        <v>-0.15597847653786168</v>
      </c>
      <c r="K57" s="204"/>
      <c r="L57" s="254"/>
      <c r="M57" s="254"/>
      <c r="N57" s="257"/>
      <c r="O57" s="258"/>
      <c r="P57" s="129" t="s">
        <v>1436</v>
      </c>
      <c r="Q57" s="116">
        <v>17182769</v>
      </c>
      <c r="R57" s="116">
        <v>25312172495</v>
      </c>
      <c r="S57" s="116">
        <v>1114740.3600000001</v>
      </c>
      <c r="T57" s="130">
        <f t="shared" ref="T57" si="116">Q57/S57</f>
        <v>15.414144509848013</v>
      </c>
      <c r="U57" s="85">
        <f t="shared" ref="U57" si="117">Q55+Q56+Q57</f>
        <v>72174518</v>
      </c>
      <c r="V57" s="79"/>
      <c r="W57" s="79"/>
      <c r="X57" s="79"/>
      <c r="Y57" s="79"/>
      <c r="Z57" s="79"/>
    </row>
    <row r="58" spans="1:26">
      <c r="B58" s="196">
        <f>SUM(F56:F58)</f>
        <v>2696771.416666667</v>
      </c>
      <c r="C58" s="196">
        <f>AVERAGE(F56:F58)</f>
        <v>1348385.7083333335</v>
      </c>
      <c r="D58" s="197">
        <f>C58/C55-1</f>
        <v>-4.8750615567796918E-2</v>
      </c>
      <c r="E58" s="233">
        <f>C58/C46-1</f>
        <v>-0.11698382177863875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127475463</v>
      </c>
      <c r="R68" s="212">
        <v>187168119646</v>
      </c>
      <c r="S68" s="213">
        <v>6087167.75</v>
      </c>
      <c r="T68" s="214">
        <v>407</v>
      </c>
      <c r="U68" s="214">
        <v>1071</v>
      </c>
    </row>
    <row r="69" spans="16:21" ht="18" thickBot="1">
      <c r="P69" s="180" t="s">
        <v>976</v>
      </c>
      <c r="Q69" s="181">
        <v>26246448</v>
      </c>
      <c r="R69" s="181">
        <v>38284096075</v>
      </c>
      <c r="S69" s="182">
        <v>1151630.56</v>
      </c>
      <c r="T69" s="210">
        <v>198</v>
      </c>
      <c r="U69" s="210">
        <v>526</v>
      </c>
    </row>
    <row r="70" spans="16:21" ht="18" thickBot="1">
      <c r="P70" s="180" t="s">
        <v>977</v>
      </c>
      <c r="Q70" s="181">
        <v>29054497</v>
      </c>
      <c r="R70" s="181">
        <v>42095622914</v>
      </c>
      <c r="S70" s="182">
        <v>1127842.46</v>
      </c>
      <c r="T70" s="210">
        <v>175</v>
      </c>
      <c r="U70" s="210">
        <v>478</v>
      </c>
    </row>
    <row r="71" spans="16:21" ht="18" thickBot="1">
      <c r="P71" s="180" t="s">
        <v>978</v>
      </c>
      <c r="Q71" s="181">
        <v>27164521</v>
      </c>
      <c r="R71" s="181">
        <v>39918442805</v>
      </c>
      <c r="S71" s="182">
        <v>1256825.21</v>
      </c>
      <c r="T71" s="210">
        <v>208</v>
      </c>
      <c r="U71" s="210">
        <v>576</v>
      </c>
    </row>
    <row r="72" spans="16:21" ht="18" thickBot="1">
      <c r="P72" s="180" t="s">
        <v>979</v>
      </c>
      <c r="Q72" s="181">
        <v>27827228</v>
      </c>
      <c r="R72" s="181">
        <v>41557785357</v>
      </c>
      <c r="S72" s="182">
        <v>1436129.15</v>
      </c>
      <c r="T72" s="210">
        <v>201</v>
      </c>
      <c r="U72" s="210">
        <v>575</v>
      </c>
    </row>
    <row r="73" spans="16:21" ht="18" thickBot="1">
      <c r="P73" s="180" t="s">
        <v>980</v>
      </c>
      <c r="Q73" s="181">
        <v>17182769</v>
      </c>
      <c r="R73" s="181">
        <v>25312172495</v>
      </c>
      <c r="S73" s="182">
        <v>1114740.3600000001</v>
      </c>
      <c r="T73" s="210">
        <v>154</v>
      </c>
      <c r="U73" s="210">
        <v>447</v>
      </c>
    </row>
    <row r="74" spans="16:21" ht="18" thickBot="1">
      <c r="P74" s="180" t="s">
        <v>975</v>
      </c>
      <c r="Q74" s="181">
        <v>345897082</v>
      </c>
      <c r="R74" s="181">
        <v>491306299641</v>
      </c>
      <c r="S74" s="182">
        <v>16835702.829999998</v>
      </c>
      <c r="T74" s="210">
        <v>704</v>
      </c>
      <c r="U74" s="210">
        <v>1950</v>
      </c>
    </row>
    <row r="75" spans="16:21" ht="18" thickBot="1">
      <c r="P75" s="180" t="s">
        <v>982</v>
      </c>
      <c r="Q75" s="181">
        <v>354842924</v>
      </c>
      <c r="R75" s="181">
        <v>482372161849</v>
      </c>
      <c r="S75" s="182">
        <v>17096029.109999999</v>
      </c>
      <c r="T75" s="210">
        <v>607</v>
      </c>
      <c r="U75" s="210">
        <v>1715</v>
      </c>
    </row>
    <row r="76" spans="16:21" ht="18" thickBot="1">
      <c r="P76" s="215" t="s">
        <v>1386</v>
      </c>
      <c r="Q76" s="217" t="s">
        <v>1515</v>
      </c>
      <c r="R76"/>
      <c r="S76"/>
      <c r="T76"/>
      <c r="U76"/>
    </row>
  </sheetData>
  <phoneticPr fontId="1" type="noConversion"/>
  <conditionalFormatting sqref="C29:C30">
    <cfRule type="cellIs" dxfId="1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"/>
  <dimension ref="A1:Z73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325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1195555.3999999999</v>
      </c>
      <c r="G5" s="90"/>
      <c r="H5" s="90"/>
      <c r="I5" s="130">
        <f t="shared" ref="I5:I49" si="0">T5</f>
        <v>28666.956000479557</v>
      </c>
      <c r="J5" s="130"/>
      <c r="K5" s="86"/>
      <c r="L5" s="80"/>
      <c r="M5" s="80"/>
      <c r="P5" s="129" t="s">
        <v>0</v>
      </c>
      <c r="Q5" s="116">
        <v>23911108</v>
      </c>
      <c r="R5" s="116">
        <v>28217279820</v>
      </c>
      <c r="S5" s="116">
        <v>834.1</v>
      </c>
      <c r="T5" s="130">
        <f t="shared" ref="T5:T17" si="1">Q5/S5</f>
        <v>28666.956000479557</v>
      </c>
      <c r="U5" s="85"/>
    </row>
    <row r="6" spans="1:21" ht="15" hidden="1" customHeight="1">
      <c r="A6" s="129" t="s">
        <v>1</v>
      </c>
      <c r="C6" s="79"/>
      <c r="F6" s="78">
        <f>Q6/18</f>
        <v>885585.22222222225</v>
      </c>
      <c r="G6" s="90">
        <f t="shared" ref="G6:G16" si="2">F6/F5-1</f>
        <v>-0.25926876979333424</v>
      </c>
      <c r="H6" s="90"/>
      <c r="I6" s="130">
        <f t="shared" si="0"/>
        <v>26859.881712639224</v>
      </c>
      <c r="J6" s="130"/>
      <c r="K6" s="78"/>
      <c r="P6" s="129" t="s">
        <v>1</v>
      </c>
      <c r="Q6" s="116">
        <v>15940534</v>
      </c>
      <c r="R6" s="116">
        <v>18951124600</v>
      </c>
      <c r="S6" s="116">
        <v>593.47</v>
      </c>
      <c r="T6" s="130">
        <f t="shared" si="1"/>
        <v>26859.881712639224</v>
      </c>
      <c r="U6" s="85"/>
    </row>
    <row r="7" spans="1:21" ht="15" hidden="1" customHeight="1">
      <c r="A7" s="129" t="s">
        <v>2</v>
      </c>
      <c r="B7" s="131">
        <f>F5+F6+F7</f>
        <v>2946146.3949494949</v>
      </c>
      <c r="C7" s="131">
        <f>AVERAGE(F5:F7)</f>
        <v>982048.79831649829</v>
      </c>
      <c r="F7" s="78">
        <f>Q7/22</f>
        <v>865005.77272727271</v>
      </c>
      <c r="G7" s="90">
        <f t="shared" si="2"/>
        <v>-2.3238248537288175E-2</v>
      </c>
      <c r="H7" s="90"/>
      <c r="I7" s="130">
        <f t="shared" si="0"/>
        <v>25827.025229700201</v>
      </c>
      <c r="J7" s="130"/>
      <c r="K7" s="85">
        <f>R5+R6+R7</f>
        <v>70045677942</v>
      </c>
      <c r="N7" s="88">
        <f>AVERAGE(T5:T7)</f>
        <v>27117.954314272996</v>
      </c>
      <c r="P7" s="129" t="s">
        <v>2</v>
      </c>
      <c r="Q7" s="116">
        <v>19030127</v>
      </c>
      <c r="R7" s="116">
        <v>22877273522</v>
      </c>
      <c r="S7" s="116">
        <v>736.83</v>
      </c>
      <c r="T7" s="130">
        <f t="shared" si="1"/>
        <v>25827.025229700201</v>
      </c>
      <c r="U7" s="85">
        <f>Q5+Q6+Q7</f>
        <v>58881769</v>
      </c>
    </row>
    <row r="8" spans="1:21" ht="15" hidden="1" customHeight="1">
      <c r="A8" s="129" t="s">
        <v>3</v>
      </c>
      <c r="C8" s="79"/>
      <c r="F8" s="78">
        <f>Q8/21</f>
        <v>1112100.3333333333</v>
      </c>
      <c r="G8" s="90">
        <f t="shared" si="2"/>
        <v>0.28565654518928496</v>
      </c>
      <c r="H8" s="90"/>
      <c r="I8" s="130">
        <f t="shared" si="0"/>
        <v>26781.925665990068</v>
      </c>
      <c r="J8" s="130"/>
      <c r="K8" s="78"/>
      <c r="P8" s="129" t="s">
        <v>3</v>
      </c>
      <c r="Q8" s="116">
        <v>23354107</v>
      </c>
      <c r="R8" s="116">
        <v>28240698063</v>
      </c>
      <c r="S8" s="116">
        <v>872.01</v>
      </c>
      <c r="T8" s="130">
        <f t="shared" si="1"/>
        <v>26781.925665990068</v>
      </c>
      <c r="U8" s="85"/>
    </row>
    <row r="9" spans="1:21" ht="15" hidden="1" customHeight="1">
      <c r="A9" s="129" t="s">
        <v>4</v>
      </c>
      <c r="C9" s="79"/>
      <c r="F9" s="78">
        <f>Q9/21</f>
        <v>825098.80952380947</v>
      </c>
      <c r="G9" s="90">
        <f t="shared" si="2"/>
        <v>-0.25807161027394454</v>
      </c>
      <c r="H9" s="90"/>
      <c r="I9" s="130">
        <f t="shared" si="0"/>
        <v>26604.647770544161</v>
      </c>
      <c r="J9" s="130"/>
      <c r="K9" s="78"/>
      <c r="P9" s="129" t="s">
        <v>4</v>
      </c>
      <c r="Q9" s="116">
        <v>17327075</v>
      </c>
      <c r="R9" s="116">
        <v>21784445848</v>
      </c>
      <c r="S9" s="116">
        <v>651.28</v>
      </c>
      <c r="T9" s="130">
        <f t="shared" si="1"/>
        <v>26604.647770544161</v>
      </c>
      <c r="U9" s="85"/>
    </row>
    <row r="10" spans="1:21" ht="15" hidden="1" customHeight="1">
      <c r="A10" s="129" t="s">
        <v>5</v>
      </c>
      <c r="B10" s="131">
        <f>F8+F9+F10</f>
        <v>2516054.3809523806</v>
      </c>
      <c r="C10" s="131">
        <f>AVERAGE(F8:F10)</f>
        <v>838684.79365079349</v>
      </c>
      <c r="D10" s="90">
        <f>C10/C7-1</f>
        <v>-0.14598460372994715</v>
      </c>
      <c r="E10" s="286"/>
      <c r="F10" s="78">
        <f>Q10/21</f>
        <v>578855.23809523811</v>
      </c>
      <c r="G10" s="90">
        <f t="shared" si="2"/>
        <v>-0.29844131222378845</v>
      </c>
      <c r="H10" s="90"/>
      <c r="I10" s="130">
        <f t="shared" si="0"/>
        <v>23712.93135399801</v>
      </c>
      <c r="J10" s="130"/>
      <c r="K10" s="85">
        <f>R8+R9+R10</f>
        <v>65233147865</v>
      </c>
      <c r="L10" s="87">
        <f>U10/U7-1</f>
        <v>-0.10265702105519281</v>
      </c>
      <c r="N10" s="88">
        <f>AVERAGE(T8:T10)</f>
        <v>25699.834930177414</v>
      </c>
      <c r="O10" s="89">
        <f>N10/N7-1</f>
        <v>-5.2294482380965679E-2</v>
      </c>
      <c r="P10" s="129" t="s">
        <v>5</v>
      </c>
      <c r="Q10" s="116">
        <v>12155960</v>
      </c>
      <c r="R10" s="116">
        <v>15208003954</v>
      </c>
      <c r="S10" s="116">
        <v>512.63</v>
      </c>
      <c r="T10" s="130">
        <f t="shared" si="1"/>
        <v>23712.93135399801</v>
      </c>
      <c r="U10" s="85">
        <f>Q8+Q9+Q10</f>
        <v>52837142</v>
      </c>
    </row>
    <row r="11" spans="1:21" ht="15" hidden="1" customHeight="1">
      <c r="A11" s="129" t="s">
        <v>6</v>
      </c>
      <c r="C11" s="79"/>
      <c r="F11" s="78">
        <f>Q11/21</f>
        <v>727066.52380952379</v>
      </c>
      <c r="G11" s="90">
        <f t="shared" si="2"/>
        <v>0.25604205673595493</v>
      </c>
      <c r="H11" s="90"/>
      <c r="I11" s="130">
        <f t="shared" si="0"/>
        <v>27115.375872418263</v>
      </c>
      <c r="J11" s="130"/>
      <c r="K11" s="78"/>
      <c r="O11" s="89"/>
      <c r="P11" s="129" t="s">
        <v>6</v>
      </c>
      <c r="Q11" s="116">
        <v>15268397</v>
      </c>
      <c r="R11" s="116">
        <v>19675423343</v>
      </c>
      <c r="S11" s="116">
        <v>563.09</v>
      </c>
      <c r="T11" s="130">
        <f t="shared" si="1"/>
        <v>27115.375872418263</v>
      </c>
      <c r="U11" s="85"/>
    </row>
    <row r="12" spans="1:21" ht="15" hidden="1" customHeight="1">
      <c r="A12" s="129" t="s">
        <v>7</v>
      </c>
      <c r="C12" s="79"/>
      <c r="F12" s="78">
        <f>Q12/22</f>
        <v>875442.68181818177</v>
      </c>
      <c r="G12" s="90">
        <f t="shared" si="2"/>
        <v>0.20407507862035668</v>
      </c>
      <c r="H12" s="90"/>
      <c r="I12" s="130">
        <f t="shared" si="0"/>
        <v>27503.30443971611</v>
      </c>
      <c r="J12" s="130"/>
      <c r="K12" s="78"/>
      <c r="O12" s="89"/>
      <c r="P12" s="129" t="s">
        <v>7</v>
      </c>
      <c r="Q12" s="116">
        <v>19259739</v>
      </c>
      <c r="R12" s="116">
        <v>24995306403</v>
      </c>
      <c r="S12" s="116">
        <v>700.27</v>
      </c>
      <c r="T12" s="130">
        <f t="shared" si="1"/>
        <v>27503.30443971611</v>
      </c>
      <c r="U12" s="85"/>
    </row>
    <row r="13" spans="1:21" ht="15" hidden="1" customHeight="1">
      <c r="A13" s="129" t="s">
        <v>96</v>
      </c>
      <c r="B13" s="131">
        <f>F11+F12+F13</f>
        <v>2687148.3556277053</v>
      </c>
      <c r="C13" s="131">
        <f>AVERAGE(F11:F13)</f>
        <v>895716.11854256841</v>
      </c>
      <c r="D13" s="90">
        <f>C13/C10-1</f>
        <v>6.8000904897199455E-2</v>
      </c>
      <c r="E13" s="286"/>
      <c r="F13" s="78">
        <f>Q13/20</f>
        <v>1084639.1499999999</v>
      </c>
      <c r="G13" s="90">
        <f t="shared" si="2"/>
        <v>0.23896078238651097</v>
      </c>
      <c r="H13" s="90"/>
      <c r="I13" s="130">
        <f t="shared" si="0"/>
        <v>28767.980001591386</v>
      </c>
      <c r="J13" s="130"/>
      <c r="K13" s="78">
        <f>R11+R12+R13</f>
        <v>74153883489</v>
      </c>
      <c r="L13" s="87">
        <f>U13/U10-1</f>
        <v>6.4041635711485023E-2</v>
      </c>
      <c r="N13" s="88">
        <f>AVERAGE(T11:T13)</f>
        <v>27795.553437908588</v>
      </c>
      <c r="O13" s="89">
        <f>N13/N10-1</f>
        <v>8.1545990992740736E-2</v>
      </c>
      <c r="P13" s="129" t="s">
        <v>96</v>
      </c>
      <c r="Q13" s="116">
        <v>21692783</v>
      </c>
      <c r="R13" s="116">
        <v>29483153743</v>
      </c>
      <c r="S13" s="116">
        <v>754.06</v>
      </c>
      <c r="T13" s="130">
        <f t="shared" si="1"/>
        <v>28767.980001591386</v>
      </c>
      <c r="U13" s="85">
        <f>Q11+Q12+Q13</f>
        <v>56220919</v>
      </c>
    </row>
    <row r="14" spans="1:21" ht="15" hidden="1" customHeight="1">
      <c r="A14" s="129" t="s">
        <v>97</v>
      </c>
      <c r="C14" s="79"/>
      <c r="F14" s="78">
        <f>Q14/20</f>
        <v>1265518.3999999999</v>
      </c>
      <c r="G14" s="90">
        <f t="shared" si="2"/>
        <v>0.16676444880308816</v>
      </c>
      <c r="H14" s="90"/>
      <c r="I14" s="130">
        <f t="shared" si="0"/>
        <v>26083.213619547183</v>
      </c>
      <c r="J14" s="130"/>
      <c r="K14" s="78"/>
      <c r="O14" s="89"/>
      <c r="P14" s="129" t="s">
        <v>97</v>
      </c>
      <c r="Q14" s="116">
        <v>25310368</v>
      </c>
      <c r="R14" s="116">
        <v>36080905337</v>
      </c>
      <c r="S14" s="116">
        <v>970.37</v>
      </c>
      <c r="T14" s="130">
        <f t="shared" si="1"/>
        <v>26083.213619547183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932090.90909090906</v>
      </c>
      <c r="G15" s="90">
        <f t="shared" si="2"/>
        <v>-0.26347107312631002</v>
      </c>
      <c r="H15" s="90"/>
      <c r="I15" s="130">
        <f t="shared" si="0"/>
        <v>28740.819644559062</v>
      </c>
      <c r="J15" s="130"/>
      <c r="K15" s="78"/>
      <c r="O15" s="89"/>
      <c r="P15" s="129" t="s">
        <v>98</v>
      </c>
      <c r="Q15" s="116">
        <v>20506000</v>
      </c>
      <c r="R15" s="116">
        <v>28378100522</v>
      </c>
      <c r="S15" s="116">
        <v>713.48</v>
      </c>
      <c r="T15" s="130">
        <f t="shared" si="1"/>
        <v>28740.819644559062</v>
      </c>
      <c r="U15" s="85"/>
    </row>
    <row r="16" spans="1:21" ht="15" hidden="1" customHeight="1">
      <c r="A16" s="129" t="s">
        <v>99</v>
      </c>
      <c r="B16" s="131">
        <f>F14+F15+F16</f>
        <v>2927289.6727272728</v>
      </c>
      <c r="C16" s="131">
        <f>AVERAGE(F14:F16)</f>
        <v>975763.22424242424</v>
      </c>
      <c r="D16" s="90">
        <f>C16/C13-1</f>
        <v>8.9366601809177659E-2</v>
      </c>
      <c r="E16" s="286"/>
      <c r="F16" s="78">
        <f>Q16/22</f>
        <v>729680.36363636365</v>
      </c>
      <c r="G16" s="90">
        <f t="shared" si="2"/>
        <v>-0.2171575148736955</v>
      </c>
      <c r="H16" s="90"/>
      <c r="I16" s="130">
        <f t="shared" si="0"/>
        <v>28912.284999009418</v>
      </c>
      <c r="J16" s="130"/>
      <c r="K16" s="78">
        <f>R14+R15+R16</f>
        <v>85530909436</v>
      </c>
      <c r="L16" s="87">
        <f>U16/U13-1</f>
        <v>0.10046824385777109</v>
      </c>
      <c r="N16" s="88">
        <f>AVERAGE(T14:T16)</f>
        <v>27912.106087705219</v>
      </c>
      <c r="O16" s="89">
        <f>N16/N13-1</f>
        <v>4.1932120566332554E-3</v>
      </c>
      <c r="P16" s="129" t="s">
        <v>99</v>
      </c>
      <c r="Q16" s="116">
        <v>16052968</v>
      </c>
      <c r="R16" s="116">
        <v>21071903577</v>
      </c>
      <c r="S16" s="116">
        <v>555.23</v>
      </c>
      <c r="T16" s="130">
        <f t="shared" si="1"/>
        <v>28912.284999009418</v>
      </c>
      <c r="U16" s="85">
        <f>Q14+Q15+Q16</f>
        <v>61869336</v>
      </c>
    </row>
    <row r="17" spans="1:21" ht="15" hidden="1" customHeight="1">
      <c r="A17" s="129" t="s">
        <v>100</v>
      </c>
      <c r="C17" s="79"/>
      <c r="F17" s="78">
        <f>Q17/20</f>
        <v>728996.15</v>
      </c>
      <c r="G17" s="90">
        <f t="shared" ref="G17:G22" si="3">F17/F16-1</f>
        <v>-9.3768952881478906E-4</v>
      </c>
      <c r="H17" s="90">
        <f t="shared" ref="H17:H22" si="4">F17/F5-1</f>
        <v>-0.39024477661177381</v>
      </c>
      <c r="I17" s="130">
        <f t="shared" si="0"/>
        <v>28537.165058425162</v>
      </c>
      <c r="J17" s="130">
        <f t="shared" ref="J17:J49" si="5">I17/I5-1</f>
        <v>-4.5275453052017189E-3</v>
      </c>
      <c r="K17" s="78"/>
      <c r="O17" s="89"/>
      <c r="P17" s="129" t="s">
        <v>100</v>
      </c>
      <c r="Q17" s="116">
        <v>14579923</v>
      </c>
      <c r="R17" s="116">
        <v>18343468555</v>
      </c>
      <c r="S17" s="116">
        <v>510.91</v>
      </c>
      <c r="T17" s="130">
        <f t="shared" si="1"/>
        <v>28537.165058425162</v>
      </c>
      <c r="U17" s="78"/>
    </row>
    <row r="18" spans="1:21" ht="15" hidden="1" customHeight="1">
      <c r="A18" s="129" t="s">
        <v>106</v>
      </c>
      <c r="C18" s="79"/>
      <c r="F18" s="78">
        <f>Q18/20</f>
        <v>916395.1</v>
      </c>
      <c r="G18" s="90">
        <f t="shared" si="3"/>
        <v>0.25706438916035412</v>
      </c>
      <c r="H18" s="90">
        <f t="shared" si="4"/>
        <v>3.4790415427738974E-2</v>
      </c>
      <c r="I18" s="130">
        <f t="shared" si="0"/>
        <v>27239.614172760237</v>
      </c>
      <c r="J18" s="130">
        <f t="shared" si="5"/>
        <v>1.4137532852288137E-2</v>
      </c>
      <c r="K18" s="78"/>
      <c r="O18" s="89"/>
      <c r="P18" s="129" t="s">
        <v>106</v>
      </c>
      <c r="Q18" s="116">
        <v>18327902</v>
      </c>
      <c r="R18" s="116">
        <v>23015747676</v>
      </c>
      <c r="S18" s="116">
        <v>672.84</v>
      </c>
      <c r="T18" s="130">
        <f t="shared" ref="T18" si="6">Q18/S18</f>
        <v>27239.614172760237</v>
      </c>
      <c r="U18" s="78"/>
    </row>
    <row r="19" spans="1:21" hidden="1">
      <c r="A19" s="129" t="s">
        <v>114</v>
      </c>
      <c r="B19" s="131">
        <f>SUM(F17:F19)</f>
        <v>2449918.0681818184</v>
      </c>
      <c r="C19" s="131">
        <f>AVERAGE(F17:F19)</f>
        <v>816639.35606060608</v>
      </c>
      <c r="D19" s="90">
        <f>C19/C16-1</f>
        <v>-0.16307631219178287</v>
      </c>
      <c r="E19" s="286">
        <f>C19/C7-1</f>
        <v>-0.16843301731996363</v>
      </c>
      <c r="F19" s="78">
        <f>Q19/22</f>
        <v>804526.81818181823</v>
      </c>
      <c r="G19" s="90">
        <f t="shared" si="3"/>
        <v>-0.12207429068333275</v>
      </c>
      <c r="H19" s="90">
        <f t="shared" si="4"/>
        <v>-6.9917399920662593E-2</v>
      </c>
      <c r="I19" s="130">
        <f t="shared" si="0"/>
        <v>26461.532711398158</v>
      </c>
      <c r="J19" s="130">
        <f t="shared" si="5"/>
        <v>2.45675789625317E-2</v>
      </c>
      <c r="K19" s="78">
        <f>R17+R18+R19</f>
        <v>64465851064</v>
      </c>
      <c r="L19" s="87">
        <f>U19/U16-1</f>
        <v>-0.18202750713212756</v>
      </c>
      <c r="M19" s="87">
        <f>U19/U7-1</f>
        <v>-0.14052488810246178</v>
      </c>
      <c r="N19" s="88">
        <f>AVERAGE(T17:T19)</f>
        <v>27412.770647527854</v>
      </c>
      <c r="O19" s="89">
        <f>N19/N16-1</f>
        <v>-1.7889565144541875E-2</v>
      </c>
      <c r="P19" s="129" t="s">
        <v>115</v>
      </c>
      <c r="Q19" s="116">
        <v>17699590</v>
      </c>
      <c r="R19" s="116">
        <v>23106634833</v>
      </c>
      <c r="S19" s="116">
        <v>668.88</v>
      </c>
      <c r="T19" s="130">
        <f t="shared" ref="T19" si="7">Q19/S19</f>
        <v>26461.532711398158</v>
      </c>
      <c r="U19" s="85">
        <f>Q17+Q18+Q19</f>
        <v>50607415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633102.65</v>
      </c>
      <c r="G20" s="90">
        <f t="shared" si="3"/>
        <v>-0.21307452319517006</v>
      </c>
      <c r="H20" s="90">
        <f t="shared" si="4"/>
        <v>-0.43071444992523156</v>
      </c>
      <c r="I20" s="130">
        <f t="shared" si="0"/>
        <v>27988.62290008842</v>
      </c>
      <c r="J20" s="130">
        <f t="shared" si="5"/>
        <v>4.5056402931874295E-2</v>
      </c>
      <c r="K20" s="78"/>
      <c r="O20" s="89"/>
      <c r="P20" s="129" t="s">
        <v>132</v>
      </c>
      <c r="Q20" s="116">
        <v>12662053</v>
      </c>
      <c r="R20" s="116">
        <v>16578691405</v>
      </c>
      <c r="S20" s="116">
        <v>452.4</v>
      </c>
      <c r="T20" s="130">
        <f t="shared" ref="T20" si="8">Q20/S20</f>
        <v>27988.62290008842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789719</v>
      </c>
      <c r="G21" s="90">
        <f t="shared" si="3"/>
        <v>0.24737907825847816</v>
      </c>
      <c r="H21" s="90">
        <f t="shared" si="4"/>
        <v>-4.2879481966806243E-2</v>
      </c>
      <c r="I21" s="130">
        <f t="shared" si="0"/>
        <v>27150.550080220029</v>
      </c>
      <c r="J21" s="130">
        <f t="shared" si="5"/>
        <v>2.0519057962506526E-2</v>
      </c>
      <c r="K21" s="78"/>
      <c r="O21" s="89"/>
      <c r="P21" s="129" t="s">
        <v>141</v>
      </c>
      <c r="Q21" s="116">
        <v>16584099</v>
      </c>
      <c r="R21" s="116">
        <v>22088517842</v>
      </c>
      <c r="S21" s="116">
        <v>610.82000000000005</v>
      </c>
      <c r="T21" s="130">
        <f t="shared" ref="T21" si="9">Q21/S21</f>
        <v>27150.550080220029</v>
      </c>
      <c r="U21" s="78"/>
    </row>
    <row r="22" spans="1:21" hidden="1">
      <c r="A22" s="129" t="s">
        <v>156</v>
      </c>
      <c r="B22" s="131">
        <f>SUM(F20:F22)</f>
        <v>2170125.0785714285</v>
      </c>
      <c r="C22" s="131">
        <f>AVERAGE(F20:F22)</f>
        <v>723375.02619047614</v>
      </c>
      <c r="D22" s="90">
        <f>C22/C19-1</f>
        <v>-0.11420503944363958</v>
      </c>
      <c r="E22" s="286">
        <f>C22/C10-1</f>
        <v>-0.13748880191135238</v>
      </c>
      <c r="F22" s="78">
        <f>Q22/21</f>
        <v>747303.42857142852</v>
      </c>
      <c r="G22" s="90">
        <f t="shared" si="3"/>
        <v>-5.3709701081741112E-2</v>
      </c>
      <c r="H22" s="90">
        <f t="shared" si="4"/>
        <v>0.2910022737817497</v>
      </c>
      <c r="I22" s="130">
        <f t="shared" si="0"/>
        <v>26979.390730298448</v>
      </c>
      <c r="J22" s="130">
        <f t="shared" si="5"/>
        <v>0.13775012998339031</v>
      </c>
      <c r="K22" s="78">
        <f>R20+R21+R22</f>
        <v>59073461018</v>
      </c>
      <c r="L22" s="87">
        <f>U22/U19-1</f>
        <v>-0.11199724388214649</v>
      </c>
      <c r="M22" s="87">
        <f>U22/U10-1</f>
        <v>-0.14947095359548401</v>
      </c>
      <c r="N22" s="88">
        <f>AVERAGE(T20:T22)</f>
        <v>27372.854570202297</v>
      </c>
      <c r="O22" s="89">
        <f>N22/N19-1</f>
        <v>-1.4561124754151056E-3</v>
      </c>
      <c r="P22" s="129" t="s">
        <v>156</v>
      </c>
      <c r="Q22" s="116">
        <v>15693372</v>
      </c>
      <c r="R22" s="116">
        <v>20406251771</v>
      </c>
      <c r="S22" s="116">
        <v>581.67999999999995</v>
      </c>
      <c r="T22" s="130">
        <f t="shared" ref="T22:T23" si="10">Q22/S22</f>
        <v>26979.390730298448</v>
      </c>
      <c r="U22" s="85">
        <f>Q20+Q21+Q22</f>
        <v>44939524</v>
      </c>
    </row>
    <row r="23" spans="1:21" hidden="1">
      <c r="A23" s="129" t="s">
        <v>189</v>
      </c>
      <c r="B23" s="131"/>
      <c r="C23" s="131"/>
      <c r="F23" s="78">
        <f>Q23/21</f>
        <v>618514</v>
      </c>
      <c r="G23" s="90">
        <f t="shared" ref="G23" si="11">F23/F22-1</f>
        <v>-0.17233887019309801</v>
      </c>
      <c r="H23" s="90">
        <f t="shared" ref="H23" si="12">F23/F11-1</f>
        <v>-0.1493020518132977</v>
      </c>
      <c r="I23" s="130">
        <f t="shared" si="0"/>
        <v>27219.334017896435</v>
      </c>
      <c r="J23" s="130">
        <f t="shared" si="5"/>
        <v>3.833918658082025E-3</v>
      </c>
      <c r="K23" s="78"/>
      <c r="O23" s="89"/>
      <c r="P23" s="129" t="s">
        <v>189</v>
      </c>
      <c r="Q23" s="116">
        <v>12988794</v>
      </c>
      <c r="R23" s="116">
        <v>16774545986</v>
      </c>
      <c r="S23" s="116">
        <v>477.19</v>
      </c>
      <c r="T23" s="130">
        <f t="shared" si="10"/>
        <v>27219.334017896435</v>
      </c>
      <c r="U23" s="78"/>
    </row>
    <row r="24" spans="1:21" hidden="1">
      <c r="A24" s="129" t="s">
        <v>204</v>
      </c>
      <c r="B24" s="131"/>
      <c r="C24" s="131"/>
      <c r="F24" s="78">
        <f>Q24/22</f>
        <v>638968.81818181823</v>
      </c>
      <c r="G24" s="90">
        <f t="shared" ref="G24" si="13">F24/F23-1</f>
        <v>3.3070905722131227E-2</v>
      </c>
      <c r="H24" s="90">
        <f t="shared" ref="H24" si="14">F24/F12-1</f>
        <v>-0.27011918489653453</v>
      </c>
      <c r="I24" s="130">
        <f t="shared" si="0"/>
        <v>27613.715206160254</v>
      </c>
      <c r="J24" s="130">
        <f t="shared" si="5"/>
        <v>4.0144545789453367E-3</v>
      </c>
      <c r="K24" s="78"/>
      <c r="O24" s="89"/>
      <c r="P24" s="129" t="s">
        <v>204</v>
      </c>
      <c r="Q24" s="116">
        <v>14057314</v>
      </c>
      <c r="R24" s="116">
        <v>18436510546</v>
      </c>
      <c r="S24" s="116">
        <v>509.07</v>
      </c>
      <c r="T24" s="130">
        <f t="shared" ref="T24" si="15">Q24/S24</f>
        <v>27613.715206160254</v>
      </c>
      <c r="U24" s="78"/>
    </row>
    <row r="25" spans="1:21" s="79" customFormat="1" ht="13.2" hidden="1">
      <c r="A25" s="129" t="s">
        <v>219</v>
      </c>
      <c r="B25" s="131">
        <f>SUM(F23:F25)</f>
        <v>2111610.2392344498</v>
      </c>
      <c r="C25" s="131">
        <f>AVERAGE(F23:F25)</f>
        <v>703870.07974481664</v>
      </c>
      <c r="D25" s="90">
        <f>C25/C22-1</f>
        <v>-2.696380955861688E-2</v>
      </c>
      <c r="E25" s="286">
        <f>C25/C13-1</f>
        <v>-0.21418174221304287</v>
      </c>
      <c r="F25" s="78">
        <f>Q25/19</f>
        <v>854127.42105263157</v>
      </c>
      <c r="G25" s="90">
        <f t="shared" ref="G25" si="16">F25/F24-1</f>
        <v>0.33672786018423517</v>
      </c>
      <c r="H25" s="90">
        <f t="shared" ref="H25" si="17">F25/F13-1</f>
        <v>-0.21252388773479947</v>
      </c>
      <c r="I25" s="130">
        <f t="shared" si="0"/>
        <v>26741.622449988463</v>
      </c>
      <c r="J25" s="130">
        <f t="shared" si="5"/>
        <v>-7.0437950509240843E-2</v>
      </c>
      <c r="K25" s="78">
        <f>R23+R24+R25</f>
        <v>56752889286</v>
      </c>
      <c r="L25" s="90">
        <f>U25/U22-1</f>
        <v>-3.7049680365995874E-2</v>
      </c>
      <c r="M25" s="90">
        <f>U25/U13-1</f>
        <v>-0.2302770966799742</v>
      </c>
      <c r="N25" s="88">
        <f>AVERAGE(T23:T25)</f>
        <v>27191.557224681717</v>
      </c>
      <c r="O25" s="91">
        <f>N25/N22-1</f>
        <v>-6.6232531596444044E-3</v>
      </c>
      <c r="P25" s="129" t="s">
        <v>219</v>
      </c>
      <c r="Q25" s="116">
        <v>16228421</v>
      </c>
      <c r="R25" s="116">
        <v>21541832754</v>
      </c>
      <c r="S25" s="116">
        <v>606.86</v>
      </c>
      <c r="T25" s="130">
        <f t="shared" ref="T25" si="18">Q25/S25</f>
        <v>26741.622449988463</v>
      </c>
      <c r="U25" s="85">
        <f>Q23+Q24+Q25</f>
        <v>43274529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1045122.6315789474</v>
      </c>
      <c r="G26" s="90">
        <f t="shared" ref="G26" si="19">F26/F25-1</f>
        <v>0.22361442311608748</v>
      </c>
      <c r="H26" s="90">
        <f t="shared" ref="H26" si="20">F26/F14-1</f>
        <v>-0.17415453494872335</v>
      </c>
      <c r="I26" s="130">
        <f t="shared" si="0"/>
        <v>26761.539601892156</v>
      </c>
      <c r="J26" s="130">
        <f t="shared" si="5"/>
        <v>2.6006227309223418E-2</v>
      </c>
      <c r="K26" s="78"/>
      <c r="L26" s="90"/>
      <c r="M26" s="90"/>
      <c r="P26" s="129" t="s">
        <v>312</v>
      </c>
      <c r="Q26" s="116">
        <v>19857330</v>
      </c>
      <c r="R26" s="116">
        <v>26777883595</v>
      </c>
      <c r="S26" s="116">
        <v>742.01</v>
      </c>
      <c r="T26" s="130">
        <f t="shared" ref="T26" si="21">Q26/S26</f>
        <v>26761.539601892156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727039.5</v>
      </c>
      <c r="G27" s="90">
        <f t="shared" ref="G27" si="22">F27/F26-1</f>
        <v>-0.30435005612537036</v>
      </c>
      <c r="H27" s="90">
        <f t="shared" ref="H27" si="23">F27/F15-1</f>
        <v>-0.2199907831854091</v>
      </c>
      <c r="I27" s="130">
        <f t="shared" si="0"/>
        <v>26419.459218393844</v>
      </c>
      <c r="J27" s="130">
        <f t="shared" si="5"/>
        <v>-8.0768762160360885E-2</v>
      </c>
      <c r="K27" s="78"/>
      <c r="L27" s="90"/>
      <c r="M27" s="90"/>
      <c r="P27" s="129" t="s">
        <v>375</v>
      </c>
      <c r="Q27" s="116">
        <v>15994869</v>
      </c>
      <c r="R27" s="116">
        <v>21104090394</v>
      </c>
      <c r="S27" s="116">
        <v>605.41999999999996</v>
      </c>
      <c r="T27" s="130">
        <f t="shared" ref="T27" si="24">Q27/S27</f>
        <v>26419.459218393844</v>
      </c>
      <c r="U27" s="78"/>
    </row>
    <row r="28" spans="1:21" s="79" customFormat="1" ht="13.2" hidden="1">
      <c r="A28" s="123" t="s">
        <v>417</v>
      </c>
      <c r="B28" s="131">
        <f>SUM(F26:F28)</f>
        <v>2561706.9210526315</v>
      </c>
      <c r="C28" s="131">
        <f>AVERAGE(F26:F28)</f>
        <v>853902.30701754382</v>
      </c>
      <c r="D28" s="90">
        <f>C28/C25-1</f>
        <v>0.21315329574332864</v>
      </c>
      <c r="E28" s="286">
        <f>C28/C16-1</f>
        <v>-0.12488779469987954</v>
      </c>
      <c r="F28" s="78">
        <f>Q28/19</f>
        <v>789544.78947368416</v>
      </c>
      <c r="G28" s="90">
        <f t="shared" ref="G28" si="25">F28/F27-1</f>
        <v>8.5972343282151975E-2</v>
      </c>
      <c r="H28" s="90">
        <f t="shared" ref="H28" si="26">F28/F16-1</f>
        <v>8.2041985533207962E-2</v>
      </c>
      <c r="I28" s="130">
        <f t="shared" si="0"/>
        <v>28976.919065095612</v>
      </c>
      <c r="J28" s="130">
        <f t="shared" si="5"/>
        <v>2.2355225845487325E-3</v>
      </c>
      <c r="K28" s="78">
        <f>R26+R27+R28</f>
        <v>67440010028</v>
      </c>
      <c r="L28" s="90">
        <f>U28/U25-1</f>
        <v>0.17513815112811515</v>
      </c>
      <c r="M28" s="90">
        <f>U28/U16-1</f>
        <v>-0.17804920356669096</v>
      </c>
      <c r="N28" s="88">
        <f>AVERAGE(T26:T28)</f>
        <v>27385.972628460539</v>
      </c>
      <c r="O28" s="91">
        <f>N28/N25-1</f>
        <v>7.1498444231192781E-3</v>
      </c>
      <c r="P28" s="129" t="s">
        <v>417</v>
      </c>
      <c r="Q28" s="116">
        <v>15001351</v>
      </c>
      <c r="R28" s="116">
        <v>19558036039</v>
      </c>
      <c r="S28" s="116">
        <v>517.70000000000005</v>
      </c>
      <c r="T28" s="130">
        <f t="shared" ref="T28" si="27">Q28/S28</f>
        <v>28976.919065095612</v>
      </c>
      <c r="U28" s="85">
        <f>Q26+Q27+Q28</f>
        <v>50853550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997811.54545454541</v>
      </c>
      <c r="G29" s="190">
        <f t="shared" ref="G29" si="28">F29/F28-1</f>
        <v>0.2637807997183963</v>
      </c>
      <c r="H29" s="190">
        <f t="shared" ref="H29" si="29">F29/F17-1</f>
        <v>0.36874734585984492</v>
      </c>
      <c r="I29" s="130">
        <f t="shared" si="0"/>
        <v>27142.605964686682</v>
      </c>
      <c r="J29" s="130">
        <f t="shared" si="5"/>
        <v>-4.8868172114621355E-2</v>
      </c>
      <c r="K29" s="136"/>
      <c r="L29" s="190"/>
      <c r="M29" s="190"/>
      <c r="N29" s="191"/>
      <c r="O29" s="192"/>
      <c r="P29" s="129" t="s">
        <v>429</v>
      </c>
      <c r="Q29" s="116">
        <v>21951854</v>
      </c>
      <c r="R29" s="116">
        <v>28863004792</v>
      </c>
      <c r="S29" s="116">
        <v>808.76</v>
      </c>
      <c r="T29" s="130">
        <f t="shared" ref="T29" si="30">Q29/S29</f>
        <v>27142.605964686682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1017021.3157894737</v>
      </c>
      <c r="G30" s="190">
        <f t="shared" ref="G30" si="31">F30/F29-1</f>
        <v>1.9251902247911401E-2</v>
      </c>
      <c r="H30" s="190">
        <f t="shared" ref="H30" si="32">F30/F18-1</f>
        <v>0.10980658428823298</v>
      </c>
      <c r="I30" s="130">
        <f t="shared" si="0"/>
        <v>25972.667643382305</v>
      </c>
      <c r="J30" s="130">
        <f t="shared" si="5"/>
        <v>-4.6511177483743005E-2</v>
      </c>
      <c r="K30" s="136"/>
      <c r="L30" s="190"/>
      <c r="M30" s="190"/>
      <c r="N30" s="191"/>
      <c r="O30" s="192"/>
      <c r="P30" s="129" t="s">
        <v>499</v>
      </c>
      <c r="Q30" s="116">
        <v>19323405</v>
      </c>
      <c r="R30" s="116">
        <v>25752351644</v>
      </c>
      <c r="S30" s="116">
        <v>743.99</v>
      </c>
      <c r="T30" s="130">
        <f t="shared" ref="T30" si="33">Q30/S30</f>
        <v>25972.667643382305</v>
      </c>
      <c r="U30" s="85"/>
    </row>
    <row r="31" spans="1:21" s="79" customFormat="1" ht="13.2" hidden="1">
      <c r="A31" s="129" t="s">
        <v>505</v>
      </c>
      <c r="B31" s="188">
        <f>SUM(F29:F31)</f>
        <v>2815697.9112440189</v>
      </c>
      <c r="C31" s="188">
        <f>AVERAGE(F29:F31)</f>
        <v>938565.97041467298</v>
      </c>
      <c r="D31" s="190">
        <f>C31/C28-1</f>
        <v>9.9149121276925767E-2</v>
      </c>
      <c r="E31" s="287">
        <f>C31/C19-1</f>
        <v>0.14930288804868508</v>
      </c>
      <c r="F31" s="136">
        <f>Q31/20</f>
        <v>800865.05</v>
      </c>
      <c r="G31" s="190">
        <f t="shared" ref="G31" si="34">F31/F30-1</f>
        <v>-0.21253857951018462</v>
      </c>
      <c r="H31" s="190">
        <f t="shared" ref="H31" si="35">F31/F19-1</f>
        <v>-4.5514557116860255E-3</v>
      </c>
      <c r="I31" s="130">
        <f t="shared" si="0"/>
        <v>28736.770246510459</v>
      </c>
      <c r="J31" s="130">
        <f t="shared" si="5"/>
        <v>8.5982832511143803E-2</v>
      </c>
      <c r="K31" s="136">
        <f>R29+R30+R31</f>
        <v>75901846100</v>
      </c>
      <c r="L31" s="190">
        <f>U31/U28-1</f>
        <v>0.12661869230368383</v>
      </c>
      <c r="M31" s="190">
        <f>U31/U19-1</f>
        <v>0.13209813225986755</v>
      </c>
      <c r="N31" s="191">
        <f>AVERAGE(T29:T31)</f>
        <v>27284.014618193149</v>
      </c>
      <c r="O31" s="192">
        <f>N31/N28-1</f>
        <v>-3.723001247778579E-3</v>
      </c>
      <c r="P31" s="129" t="s">
        <v>505</v>
      </c>
      <c r="Q31" s="116">
        <v>16017301</v>
      </c>
      <c r="R31" s="116">
        <v>21286489664</v>
      </c>
      <c r="S31" s="116">
        <v>557.38</v>
      </c>
      <c r="T31" s="130">
        <f t="shared" ref="T31" si="36">Q31/S31</f>
        <v>28736.770246510459</v>
      </c>
      <c r="U31" s="85">
        <f>Q29+Q30+Q31</f>
        <v>57292560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820632.80952380947</v>
      </c>
      <c r="G32" s="190">
        <f t="shared" ref="G32" si="37">F32/F31-1</f>
        <v>2.468300935820511E-2</v>
      </c>
      <c r="H32" s="190">
        <f t="shared" ref="H32" si="38">F32/F20-1</f>
        <v>0.29620814179787347</v>
      </c>
      <c r="I32" s="130">
        <f t="shared" si="0"/>
        <v>24340.803672316386</v>
      </c>
      <c r="J32" s="130">
        <f t="shared" si="5"/>
        <v>-0.1303322153717148</v>
      </c>
      <c r="K32" s="136"/>
      <c r="L32" s="190"/>
      <c r="M32" s="190"/>
      <c r="N32" s="191"/>
      <c r="O32" s="192"/>
      <c r="P32" s="129" t="s">
        <v>562</v>
      </c>
      <c r="Q32" s="116">
        <v>17233289</v>
      </c>
      <c r="R32" s="116">
        <v>23345180366</v>
      </c>
      <c r="S32" s="116">
        <v>708</v>
      </c>
      <c r="T32" s="130">
        <f t="shared" ref="T32" si="39">Q32/S32</f>
        <v>24340.803672316386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720930.33333333337</v>
      </c>
      <c r="G33" s="190">
        <f t="shared" ref="G33" si="40">F33/F32-1</f>
        <v>-0.12149462589526572</v>
      </c>
      <c r="H33" s="190">
        <f t="shared" ref="H33" si="41">F33/F21-1</f>
        <v>-8.7105244608103205E-2</v>
      </c>
      <c r="I33" s="130">
        <f t="shared" si="0"/>
        <v>25781.273095720586</v>
      </c>
      <c r="J33" s="130">
        <f t="shared" si="5"/>
        <v>-5.0432752944368553E-2</v>
      </c>
      <c r="K33" s="136"/>
      <c r="L33" s="190"/>
      <c r="M33" s="190"/>
      <c r="N33" s="191"/>
      <c r="O33" s="192"/>
      <c r="P33" s="129" t="s">
        <v>607</v>
      </c>
      <c r="Q33" s="116">
        <v>15139537</v>
      </c>
      <c r="R33" s="116">
        <v>20739790408</v>
      </c>
      <c r="S33" s="116">
        <v>587.23</v>
      </c>
      <c r="T33" s="130">
        <f t="shared" ref="T33" si="42">Q33/S33</f>
        <v>25781.273095720586</v>
      </c>
      <c r="U33" s="85"/>
    </row>
    <row r="34" spans="1:21" s="79" customFormat="1" ht="13.2" hidden="1">
      <c r="A34" s="129" t="s">
        <v>652</v>
      </c>
      <c r="B34" s="188">
        <f>SUM(F32:F34)</f>
        <v>2266651.2481203005</v>
      </c>
      <c r="C34" s="188">
        <f>AVERAGE(F32:F34)</f>
        <v>755550.41604010016</v>
      </c>
      <c r="D34" s="190">
        <f>C34/C31-1</f>
        <v>-0.19499487531357407</v>
      </c>
      <c r="E34" s="287">
        <f>C34/C22-1</f>
        <v>4.4479541986775395E-2</v>
      </c>
      <c r="F34" s="136">
        <f>Q34/19</f>
        <v>725088.10526315786</v>
      </c>
      <c r="G34" s="190">
        <f t="shared" ref="G34" si="43">F34/F33-1</f>
        <v>5.7672312255199198E-3</v>
      </c>
      <c r="H34" s="190">
        <f t="shared" ref="H34" si="44">F34/F22-1</f>
        <v>-2.9727313510039988E-2</v>
      </c>
      <c r="I34" s="130">
        <f t="shared" si="0"/>
        <v>26296.38098873831</v>
      </c>
      <c r="J34" s="130">
        <f t="shared" si="5"/>
        <v>-2.5315980942190119E-2</v>
      </c>
      <c r="K34" s="136">
        <f>R32+R33+R34</f>
        <v>63001991602</v>
      </c>
      <c r="L34" s="190">
        <f>U34/U31-1</f>
        <v>-0.19449401458060178</v>
      </c>
      <c r="M34" s="190">
        <f>U34/U22-1</f>
        <v>2.6924539743678588E-2</v>
      </c>
      <c r="N34" s="191">
        <f>AVERAGE(T32:T34)</f>
        <v>25472.819252258429</v>
      </c>
      <c r="O34" s="192">
        <f>N34/N31-1</f>
        <v>-6.6383022853499174E-2</v>
      </c>
      <c r="P34" s="129" t="s">
        <v>652</v>
      </c>
      <c r="Q34" s="116">
        <v>13776674</v>
      </c>
      <c r="R34" s="116">
        <v>18917020828</v>
      </c>
      <c r="S34" s="116">
        <v>523.9</v>
      </c>
      <c r="T34" s="130">
        <f t="shared" ref="T34" si="45">Q34/S34</f>
        <v>26296.38098873831</v>
      </c>
      <c r="U34" s="85">
        <f>Q32+Q33+Q34</f>
        <v>46149500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594264.65217391308</v>
      </c>
      <c r="G35" s="190">
        <f t="shared" ref="G35" si="46">F35/F34-1</f>
        <v>-0.18042421622923288</v>
      </c>
      <c r="H35" s="190">
        <f t="shared" ref="H35" si="47">F35/F23-1</f>
        <v>-3.9205818827200201E-2</v>
      </c>
      <c r="I35" s="130">
        <f t="shared" si="0"/>
        <v>26318.186544460274</v>
      </c>
      <c r="J35" s="130">
        <f t="shared" si="5"/>
        <v>-3.3106889126812034E-2</v>
      </c>
      <c r="K35" s="136"/>
      <c r="L35" s="190"/>
      <c r="M35" s="190"/>
      <c r="N35" s="191"/>
      <c r="O35" s="192"/>
      <c r="P35" s="129" t="s">
        <v>660</v>
      </c>
      <c r="Q35" s="116">
        <v>13668087</v>
      </c>
      <c r="R35" s="116">
        <v>18933487023</v>
      </c>
      <c r="S35" s="116">
        <v>519.34</v>
      </c>
      <c r="T35" s="130">
        <f t="shared" ref="T35" si="48">Q35/S35</f>
        <v>26318.186544460274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574132.47619047621</v>
      </c>
      <c r="G36" s="190">
        <f t="shared" ref="G36" si="49">F36/F35-1</f>
        <v>-3.3877458317250086E-2</v>
      </c>
      <c r="H36" s="190">
        <f t="shared" ref="H36" si="50">F36/F24-1</f>
        <v>-0.10147027546012877</v>
      </c>
      <c r="I36" s="130">
        <f t="shared" si="0"/>
        <v>28521.91048448145</v>
      </c>
      <c r="J36" s="130">
        <f t="shared" si="5"/>
        <v>3.2889282428703703E-2</v>
      </c>
      <c r="K36" s="136"/>
      <c r="L36" s="190"/>
      <c r="M36" s="190"/>
      <c r="N36" s="191"/>
      <c r="O36" s="192"/>
      <c r="P36" s="129" t="s">
        <v>664</v>
      </c>
      <c r="Q36" s="116">
        <v>12056782</v>
      </c>
      <c r="R36" s="116">
        <v>16474793663</v>
      </c>
      <c r="S36" s="116">
        <v>422.72</v>
      </c>
      <c r="T36" s="130">
        <f t="shared" ref="T36" si="51">Q36/S36</f>
        <v>28521.91048448145</v>
      </c>
      <c r="U36" s="85"/>
    </row>
    <row r="37" spans="1:21" s="79" customFormat="1" ht="13.2" hidden="1">
      <c r="A37" s="129" t="s">
        <v>702</v>
      </c>
      <c r="B37" s="188">
        <f>SUM(F35:F37)</f>
        <v>1831634.3505866115</v>
      </c>
      <c r="C37" s="188">
        <f>AVERAGE(F35:F37)</f>
        <v>610544.78352887055</v>
      </c>
      <c r="D37" s="190">
        <f>C37/C34-1</f>
        <v>-0.19192052500111856</v>
      </c>
      <c r="E37" s="287">
        <f>C37/C25-1</f>
        <v>-0.13258880992608824</v>
      </c>
      <c r="F37" s="136">
        <f>Q37/18</f>
        <v>663237.22222222225</v>
      </c>
      <c r="G37" s="190">
        <f t="shared" ref="G37" si="52">F37/F36-1</f>
        <v>0.15519893008488217</v>
      </c>
      <c r="H37" s="190">
        <f t="shared" ref="H37" si="53">F37/F25-1</f>
        <v>-0.22349147694515548</v>
      </c>
      <c r="I37" s="130">
        <f t="shared" si="0"/>
        <v>28208.856123437537</v>
      </c>
      <c r="J37" s="130">
        <f t="shared" si="5"/>
        <v>5.4867040180268001E-2</v>
      </c>
      <c r="K37" s="136">
        <f>R35+R36+R37</f>
        <v>51349148579</v>
      </c>
      <c r="L37" s="190">
        <f>U37/U34-1</f>
        <v>-0.18388847116436802</v>
      </c>
      <c r="M37" s="190">
        <f>U37/U25-1</f>
        <v>-0.12966957999704631</v>
      </c>
      <c r="N37" s="191">
        <f>AVERAGE(T35:T37)</f>
        <v>27682.984384126419</v>
      </c>
      <c r="O37" s="192">
        <f>N37/N34-1</f>
        <v>8.6765626921018413E-2</v>
      </c>
      <c r="P37" s="129" t="s">
        <v>702</v>
      </c>
      <c r="Q37" s="116">
        <v>11938270</v>
      </c>
      <c r="R37" s="116">
        <v>15940867893</v>
      </c>
      <c r="S37" s="116">
        <v>423.21</v>
      </c>
      <c r="T37" s="130">
        <f t="shared" ref="T37" si="54">Q37/S37</f>
        <v>28208.856123437537</v>
      </c>
      <c r="U37" s="85">
        <f>Q35+Q36+Q37</f>
        <v>37663139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651541.15</v>
      </c>
      <c r="G38" s="190">
        <f t="shared" ref="G38" si="55">F38/F37-1</f>
        <v>-1.7634824811300187E-2</v>
      </c>
      <c r="H38" s="190">
        <f t="shared" ref="H38" si="56">F38/F26-1</f>
        <v>-0.37658880373141812</v>
      </c>
      <c r="I38" s="130">
        <f t="shared" si="0"/>
        <v>26066.337940829348</v>
      </c>
      <c r="J38" s="130">
        <f t="shared" si="5"/>
        <v>-2.5977640726382423E-2</v>
      </c>
      <c r="K38" s="136"/>
      <c r="L38" s="190"/>
      <c r="M38" s="190"/>
      <c r="N38" s="191"/>
      <c r="O38" s="192"/>
      <c r="P38" s="129" t="s">
        <v>728</v>
      </c>
      <c r="Q38" s="116">
        <v>13030823</v>
      </c>
      <c r="R38" s="116">
        <v>17533333952</v>
      </c>
      <c r="S38" s="116">
        <v>499.91</v>
      </c>
      <c r="T38" s="130">
        <f t="shared" ref="T38" si="57">Q38/S38</f>
        <v>26066.337940829348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642981.19047619053</v>
      </c>
      <c r="G39" s="190">
        <f t="shared" ref="G39" si="58">F39/F38-1</f>
        <v>-1.3138018256881434E-2</v>
      </c>
      <c r="H39" s="190">
        <f t="shared" ref="H39" si="59">F39/F27-1</f>
        <v>-0.1156172526029321</v>
      </c>
      <c r="I39" s="130">
        <f t="shared" si="0"/>
        <v>26238.520432949223</v>
      </c>
      <c r="J39" s="130">
        <f t="shared" si="5"/>
        <v>-6.8486937582222795E-3</v>
      </c>
      <c r="K39" s="136"/>
      <c r="L39" s="190"/>
      <c r="M39" s="190"/>
      <c r="N39" s="191"/>
      <c r="O39" s="192"/>
      <c r="P39" s="129" t="s">
        <v>762</v>
      </c>
      <c r="Q39" s="116">
        <v>13502605</v>
      </c>
      <c r="R39" s="116">
        <v>18739045291</v>
      </c>
      <c r="S39" s="116">
        <v>514.61</v>
      </c>
      <c r="T39" s="130">
        <f t="shared" ref="T39" si="60">Q39/S39</f>
        <v>26238.520432949223</v>
      </c>
      <c r="U39" s="85"/>
    </row>
    <row r="40" spans="1:21" s="79" customFormat="1" ht="13.2" hidden="1">
      <c r="A40" s="129" t="s">
        <v>778</v>
      </c>
      <c r="B40" s="188">
        <f>SUM(F38:F40)</f>
        <v>2113294.9595238096</v>
      </c>
      <c r="C40" s="188">
        <f>AVERAGE(F38:F40)</f>
        <v>704431.65317460324</v>
      </c>
      <c r="D40" s="190">
        <f>C40/C37-1</f>
        <v>0.15377556598400299</v>
      </c>
      <c r="E40" s="287">
        <f>C40/C28-1</f>
        <v>-0.17504420893884487</v>
      </c>
      <c r="F40" s="136">
        <f>Q40/21</f>
        <v>818772.61904761905</v>
      </c>
      <c r="G40" s="190">
        <f t="shared" ref="G40" si="61">F40/F39-1</f>
        <v>0.2734005771478909</v>
      </c>
      <c r="H40" s="190">
        <f t="shared" ref="H40" si="62">F40/F28-1</f>
        <v>3.7018583319913256E-2</v>
      </c>
      <c r="I40" s="130">
        <f t="shared" si="0"/>
        <v>27621.24497991968</v>
      </c>
      <c r="J40" s="130">
        <f t="shared" si="5"/>
        <v>-4.6784617858456889E-2</v>
      </c>
      <c r="K40" s="136">
        <f>R38+R39+R40</f>
        <v>60757621974</v>
      </c>
      <c r="L40" s="190">
        <f>U40/U37-1</f>
        <v>0.16101987675536011</v>
      </c>
      <c r="M40" s="190">
        <f>U40/U28-1</f>
        <v>-0.14012585158754898</v>
      </c>
      <c r="N40" s="191">
        <f>AVERAGE(T38:T40)</f>
        <v>26642.034451232747</v>
      </c>
      <c r="O40" s="192">
        <f>N40/N37-1</f>
        <v>-3.7602518516412498E-2</v>
      </c>
      <c r="P40" s="129" t="s">
        <v>778</v>
      </c>
      <c r="Q40" s="116">
        <v>17194225</v>
      </c>
      <c r="R40" s="116">
        <v>24485242731</v>
      </c>
      <c r="S40" s="116">
        <v>622.5</v>
      </c>
      <c r="T40" s="130">
        <f t="shared" ref="T40" si="63">Q40/S40</f>
        <v>27621.24497991968</v>
      </c>
      <c r="U40" s="85">
        <f>Q38+Q39+Q40</f>
        <v>43727653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851820.22222222225</v>
      </c>
      <c r="G41" s="190">
        <f t="shared" ref="G41" si="64">F41/F40-1</f>
        <v>4.036236972975904E-2</v>
      </c>
      <c r="H41" s="190">
        <f t="shared" ref="H41" si="65">F41/F29-1</f>
        <v>-0.14631151934187925</v>
      </c>
      <c r="I41" s="130">
        <f t="shared" si="0"/>
        <v>5361.0125697103194</v>
      </c>
      <c r="J41" s="130">
        <f t="shared" si="5"/>
        <v>-0.80248718281932274</v>
      </c>
      <c r="K41" s="193"/>
      <c r="L41" s="190"/>
      <c r="M41" s="190"/>
      <c r="N41" s="193"/>
      <c r="O41" s="193"/>
      <c r="P41" s="129" t="s">
        <v>792</v>
      </c>
      <c r="Q41" s="116">
        <v>15332764</v>
      </c>
      <c r="R41" s="116">
        <v>22421563232</v>
      </c>
      <c r="S41" s="116">
        <v>2860.05</v>
      </c>
      <c r="T41" s="130">
        <f t="shared" ref="T41" si="66">Q41/S41</f>
        <v>5361.0125697103194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803305.25</v>
      </c>
      <c r="G42" s="190">
        <f t="shared" ref="G42" si="67">F42/F41-1</f>
        <v>-5.6954473440013809E-2</v>
      </c>
      <c r="H42" s="190">
        <f t="shared" ref="H42" si="68">F42/F30-1</f>
        <v>-0.21013921977001471</v>
      </c>
      <c r="I42" s="130">
        <f t="shared" si="0"/>
        <v>26714.507815098106</v>
      </c>
      <c r="J42" s="130">
        <f t="shared" si="5"/>
        <v>2.8562340299488564E-2</v>
      </c>
      <c r="K42" s="193"/>
      <c r="L42" s="190"/>
      <c r="M42" s="190"/>
      <c r="N42" s="193"/>
      <c r="O42" s="193"/>
      <c r="P42" s="129" t="s">
        <v>826</v>
      </c>
      <c r="Q42" s="116">
        <v>16066105</v>
      </c>
      <c r="R42" s="116">
        <v>23161499642</v>
      </c>
      <c r="S42" s="116">
        <v>601.4</v>
      </c>
      <c r="T42" s="130">
        <f t="shared" ref="T42" si="69">Q42/S42</f>
        <v>26714.507815098106</v>
      </c>
      <c r="U42" s="78"/>
    </row>
    <row r="43" spans="1:21" s="79" customFormat="1" ht="13.2">
      <c r="A43" s="129" t="s">
        <v>835</v>
      </c>
      <c r="B43" s="188">
        <f>SUM(F41:F43)</f>
        <v>2386983.6222222224</v>
      </c>
      <c r="C43" s="188">
        <f>AVERAGE(F41:F43)</f>
        <v>795661.20740740746</v>
      </c>
      <c r="D43" s="190">
        <f>C43/C40-1</f>
        <v>0.12950802795653438</v>
      </c>
      <c r="E43" s="287">
        <f>C43/C31-1</f>
        <v>-0.15225862380683586</v>
      </c>
      <c r="F43" s="136">
        <f>Q43/20</f>
        <v>731858.15</v>
      </c>
      <c r="G43" s="190">
        <f t="shared" ref="G43" si="70">F43/F42-1</f>
        <v>-8.8941408013952339E-2</v>
      </c>
      <c r="H43" s="190">
        <f t="shared" ref="H43" si="71">F43/F31-1</f>
        <v>-8.6165453218366883E-2</v>
      </c>
      <c r="I43" s="130">
        <f t="shared" si="0"/>
        <v>26228.654624950726</v>
      </c>
      <c r="J43" s="130">
        <f t="shared" si="5"/>
        <v>-8.7278966983573847E-2</v>
      </c>
      <c r="K43" s="136">
        <f>R41+R42+R43</f>
        <v>66771280495</v>
      </c>
      <c r="L43" s="190">
        <f>U43/U40-1</f>
        <v>5.278991305570413E-2</v>
      </c>
      <c r="M43" s="190">
        <f>K43/K31-1</f>
        <v>-0.12029438115339863</v>
      </c>
      <c r="N43" s="191">
        <f>AVERAGE(T41:T43)</f>
        <v>19434.725003253054</v>
      </c>
      <c r="O43" s="192">
        <f>N43/N40-1</f>
        <v>-0.2705239894938356</v>
      </c>
      <c r="P43" s="129" t="s">
        <v>835</v>
      </c>
      <c r="Q43" s="116">
        <v>14637163</v>
      </c>
      <c r="R43" s="116">
        <v>21188217621</v>
      </c>
      <c r="S43" s="116">
        <v>558.05999999999995</v>
      </c>
      <c r="T43" s="130">
        <f t="shared" ref="T43" si="72">Q43/S43</f>
        <v>26228.654624950726</v>
      </c>
      <c r="U43" s="85">
        <f>Q41+Q42+Q43</f>
        <v>46036032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814601.72727272729</v>
      </c>
      <c r="G44" s="190">
        <f t="shared" ref="G44" si="73">F44/F43-1</f>
        <v>0.11305958302538177</v>
      </c>
      <c r="H44" s="190">
        <f t="shared" ref="H44" si="74">F44/F32-1</f>
        <v>-7.3493067558215719E-3</v>
      </c>
      <c r="I44" s="130">
        <f t="shared" si="0"/>
        <v>23630.324367088608</v>
      </c>
      <c r="J44" s="130">
        <f t="shared" si="5"/>
        <v>-2.9188818692779228E-2</v>
      </c>
      <c r="K44" s="136"/>
      <c r="L44" s="190"/>
      <c r="M44" s="190"/>
      <c r="N44" s="191"/>
      <c r="O44" s="192"/>
      <c r="P44" s="129" t="s">
        <v>843</v>
      </c>
      <c r="Q44" s="116">
        <v>17921238</v>
      </c>
      <c r="R44" s="116">
        <v>26069068558</v>
      </c>
      <c r="S44" s="116">
        <v>758.4</v>
      </c>
      <c r="T44" s="130">
        <f t="shared" ref="T44" si="75">Q44/S44</f>
        <v>23630.324367088608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760246.05</v>
      </c>
      <c r="G45" s="190">
        <f t="shared" ref="G45" si="76">F45/F44-1</f>
        <v>-6.6726690421721968E-2</v>
      </c>
      <c r="H45" s="190">
        <f t="shared" ref="H45" si="77">F45/F33-1</f>
        <v>5.4534696140311256E-2</v>
      </c>
      <c r="I45" s="130">
        <f t="shared" si="0"/>
        <v>24272.725966603877</v>
      </c>
      <c r="J45" s="130">
        <f t="shared" si="5"/>
        <v>-5.8513290771785464E-2</v>
      </c>
      <c r="K45" s="136"/>
      <c r="L45" s="190"/>
      <c r="M45" s="190"/>
      <c r="N45" s="191"/>
      <c r="O45" s="192"/>
      <c r="P45" s="129" t="s">
        <v>849</v>
      </c>
      <c r="Q45" s="116">
        <v>15204921</v>
      </c>
      <c r="R45" s="116">
        <v>21474874022</v>
      </c>
      <c r="S45" s="116">
        <v>626.41999999999996</v>
      </c>
      <c r="T45" s="130">
        <f t="shared" ref="T45" si="78">Q45/S45</f>
        <v>24272.725966603877</v>
      </c>
      <c r="U45" s="85"/>
    </row>
    <row r="46" spans="1:21" s="79" customFormat="1" ht="13.2">
      <c r="A46" s="129" t="s">
        <v>888</v>
      </c>
      <c r="B46" s="188">
        <f>SUM(F44:F46)</f>
        <v>2384078.4088516748</v>
      </c>
      <c r="C46" s="188">
        <f>AVERAGE(F44:F46)</f>
        <v>794692.80295055825</v>
      </c>
      <c r="D46" s="190">
        <f>C46/C43-1</f>
        <v>-1.2171065370959466E-3</v>
      </c>
      <c r="E46" s="287">
        <f>C46/C34-1</f>
        <v>5.1806452725691621E-2</v>
      </c>
      <c r="F46" s="136">
        <f>Q46/19</f>
        <v>809230.63157894742</v>
      </c>
      <c r="G46" s="190">
        <f t="shared" ref="G46" si="79">F46/F45-1</f>
        <v>6.4432536780621774E-2</v>
      </c>
      <c r="H46" s="190">
        <f t="shared" ref="H46" si="80">F46/F34-1</f>
        <v>0.11604455473069919</v>
      </c>
      <c r="I46" s="130">
        <f t="shared" si="0"/>
        <v>25620.512564153836</v>
      </c>
      <c r="J46" s="130">
        <f t="shared" si="5"/>
        <v>-2.5701955903130624E-2</v>
      </c>
      <c r="K46" s="136">
        <f>R44+R45+R46</f>
        <v>68602010599</v>
      </c>
      <c r="L46" s="190">
        <f>U46/U43-1</f>
        <v>5.3556071035835595E-2</v>
      </c>
      <c r="M46" s="190">
        <f>K46/K34-1</f>
        <v>8.8886380487410266E-2</v>
      </c>
      <c r="N46" s="191">
        <f>AVERAGE(T44:T46)</f>
        <v>24507.854299282106</v>
      </c>
      <c r="O46" s="192">
        <f>N46/N43-1</f>
        <v>0.26103427216901154</v>
      </c>
      <c r="P46" s="129" t="s">
        <v>888</v>
      </c>
      <c r="Q46" s="116">
        <v>15375382</v>
      </c>
      <c r="R46" s="116">
        <v>21058068019</v>
      </c>
      <c r="S46" s="116">
        <v>600.12</v>
      </c>
      <c r="T46" s="130">
        <f t="shared" ref="T46" si="81">Q46/S46</f>
        <v>25620.512564153836</v>
      </c>
      <c r="U46" s="85">
        <f t="shared" ref="U46:U51" si="82">Q44+Q45+Q46</f>
        <v>48501541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579586.08695652173</v>
      </c>
      <c r="G47" s="190">
        <f t="shared" ref="G47" si="83">F47/F46-1</f>
        <v>-0.28378132964931135</v>
      </c>
      <c r="H47" s="190">
        <f t="shared" ref="H47" si="84">F47/F35-1</f>
        <v>-2.4700384186902014E-2</v>
      </c>
      <c r="I47" s="130">
        <f t="shared" si="0"/>
        <v>25389.939622497765</v>
      </c>
      <c r="J47" s="130">
        <f t="shared" si="5"/>
        <v>-3.5270170320982674E-2</v>
      </c>
      <c r="K47" s="136"/>
      <c r="L47" s="190"/>
      <c r="M47" s="190"/>
      <c r="N47" s="191"/>
      <c r="O47" s="192"/>
      <c r="P47" s="129" t="s">
        <v>991</v>
      </c>
      <c r="Q47" s="116">
        <v>13330480</v>
      </c>
      <c r="R47" s="116">
        <v>18318530236</v>
      </c>
      <c r="S47" s="116">
        <v>525.03</v>
      </c>
      <c r="T47" s="130">
        <f t="shared" ref="T47" si="85">Q47/S47</f>
        <v>25389.939622497765</v>
      </c>
      <c r="U47" s="85">
        <f t="shared" si="82"/>
        <v>43910783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771739.9</v>
      </c>
      <c r="G48" s="190">
        <f t="shared" ref="G48" si="86">F48/F47-1</f>
        <v>0.33153627626312043</v>
      </c>
      <c r="H48" s="190">
        <f t="shared" ref="H48" si="87">F48/F36-1</f>
        <v>0.34418436859851997</v>
      </c>
      <c r="I48" s="130">
        <f t="shared" si="0"/>
        <v>24008.832130413142</v>
      </c>
      <c r="J48" s="130">
        <f t="shared" si="5"/>
        <v>-0.15823197946448353</v>
      </c>
      <c r="K48" s="136"/>
      <c r="L48" s="190"/>
      <c r="M48" s="190"/>
      <c r="N48" s="191"/>
      <c r="O48" s="192"/>
      <c r="P48" s="129" t="s">
        <v>1070</v>
      </c>
      <c r="Q48" s="116">
        <v>15434798</v>
      </c>
      <c r="R48" s="116">
        <v>21409517786</v>
      </c>
      <c r="S48" s="116">
        <v>642.88</v>
      </c>
      <c r="T48" s="130">
        <f t="shared" ref="T48" si="88">Q48/S48</f>
        <v>24008.832130413142</v>
      </c>
      <c r="U48" s="85">
        <f t="shared" si="82"/>
        <v>44140660</v>
      </c>
    </row>
    <row r="49" spans="1:26" ht="13.2">
      <c r="A49" s="129" t="s">
        <v>1158</v>
      </c>
      <c r="B49" s="188">
        <f>SUM(F47:F49)</f>
        <v>2184308.4869565219</v>
      </c>
      <c r="C49" s="188">
        <f>AVERAGE(F47:F49)</f>
        <v>728102.82898550725</v>
      </c>
      <c r="D49" s="190">
        <f>C49/C46-1</f>
        <v>-8.3793352246067654E-2</v>
      </c>
      <c r="E49" s="287">
        <f>C49/C37-1</f>
        <v>0.19254614670060111</v>
      </c>
      <c r="F49" s="136">
        <f>Q49/22</f>
        <v>832982.5</v>
      </c>
      <c r="G49" s="190">
        <f t="shared" ref="G49" si="89">F49/F48-1</f>
        <v>7.9356529317714308E-2</v>
      </c>
      <c r="H49" s="190">
        <f t="shared" ref="H49" si="90">F49/F37-1</f>
        <v>0.25593448632004456</v>
      </c>
      <c r="I49" s="130">
        <f t="shared" si="0"/>
        <v>27719.044954017423</v>
      </c>
      <c r="J49" s="130">
        <f t="shared" si="5"/>
        <v>-1.7363737376545063E-2</v>
      </c>
      <c r="K49" s="136">
        <f>R47+R48+R49</f>
        <v>65194580632</v>
      </c>
      <c r="L49" s="190">
        <f>U49/U46-1</f>
        <v>-2.9084601662450305E-2</v>
      </c>
      <c r="M49" s="190">
        <f>K49/K37-1</f>
        <v>0.26963313776661724</v>
      </c>
      <c r="N49" s="191">
        <f>AVERAGE(T47:T49)</f>
        <v>25705.938902309445</v>
      </c>
      <c r="O49" s="192">
        <f>N49/N46-1</f>
        <v>4.8885740399657651E-2</v>
      </c>
      <c r="P49" s="129" t="s">
        <v>1158</v>
      </c>
      <c r="Q49" s="116">
        <v>18325615</v>
      </c>
      <c r="R49" s="116">
        <v>25466532610</v>
      </c>
      <c r="S49" s="116">
        <v>661.12</v>
      </c>
      <c r="T49" s="130">
        <f t="shared" ref="T49" si="91">Q49/S49</f>
        <v>27719.044954017423</v>
      </c>
      <c r="U49" s="85">
        <f t="shared" si="82"/>
        <v>47090893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630813.72222222225</v>
      </c>
      <c r="G50" s="190">
        <f t="shared" ref="G50" si="92">F50/F49-1</f>
        <v>-0.24270471201709254</v>
      </c>
      <c r="H50" s="190">
        <f t="shared" ref="H50" si="93">F50/F38-1</f>
        <v>-3.1812921989313736E-2</v>
      </c>
      <c r="I50" s="130">
        <f t="shared" ref="I50" si="94">T50</f>
        <v>22645.885520542481</v>
      </c>
      <c r="J50" s="130">
        <f t="shared" ref="J50" si="95">I50/I38-1</f>
        <v>-0.13122105713703636</v>
      </c>
      <c r="K50" s="136"/>
      <c r="L50" s="190"/>
      <c r="M50" s="190"/>
      <c r="N50" s="191"/>
      <c r="O50" s="192"/>
      <c r="P50" s="129" t="s">
        <v>1355</v>
      </c>
      <c r="Q50" s="116">
        <v>11354647</v>
      </c>
      <c r="R50" s="116">
        <v>16059906125</v>
      </c>
      <c r="S50" s="116">
        <v>501.4</v>
      </c>
      <c r="T50" s="130">
        <f t="shared" ref="T50" si="96">Q50/S50</f>
        <v>22645.885520542481</v>
      </c>
      <c r="U50" s="85">
        <f t="shared" si="82"/>
        <v>45115060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403024.25</v>
      </c>
      <c r="G51" s="190">
        <f t="shared" ref="G51:G52" si="97">F51/F50-1</f>
        <v>-0.36110418051745685</v>
      </c>
      <c r="H51" s="190">
        <f t="shared" ref="H51:H52" si="98">F51/F39-1</f>
        <v>-0.37319433916640532</v>
      </c>
      <c r="I51" s="130">
        <f t="shared" ref="I51:I52" si="99">T51</f>
        <v>27021.404626215219</v>
      </c>
      <c r="J51" s="130">
        <f t="shared" ref="J51:J52" si="100">I51/I39-1</f>
        <v>2.983720805700929E-2</v>
      </c>
      <c r="K51" s="136"/>
      <c r="L51" s="190"/>
      <c r="M51" s="190"/>
      <c r="N51" s="191"/>
      <c r="O51" s="192"/>
      <c r="P51" s="129" t="s">
        <v>1402</v>
      </c>
      <c r="Q51" s="116">
        <v>8060485</v>
      </c>
      <c r="R51" s="116">
        <v>11669254484</v>
      </c>
      <c r="S51" s="116">
        <v>298.3</v>
      </c>
      <c r="T51" s="130">
        <f t="shared" ref="T51:T52" si="101">Q51/S51</f>
        <v>27021.404626215219</v>
      </c>
      <c r="U51" s="85">
        <f t="shared" si="82"/>
        <v>37740747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1740085.4722222222</v>
      </c>
      <c r="C52" s="188">
        <f>AVERAGE(F50:F52)</f>
        <v>580028.49074074079</v>
      </c>
      <c r="D52" s="190">
        <f>C52/C49-1</f>
        <v>-0.20337009052839961</v>
      </c>
      <c r="E52" s="287">
        <f>C52/C40-1</f>
        <v>-0.17660075590474267</v>
      </c>
      <c r="F52" s="136">
        <f>Q52/22</f>
        <v>706247.5</v>
      </c>
      <c r="G52" s="190">
        <f t="shared" si="97"/>
        <v>0.75236973953800557</v>
      </c>
      <c r="H52" s="190">
        <f t="shared" si="98"/>
        <v>-0.13743146318022481</v>
      </c>
      <c r="I52" s="130">
        <f t="shared" si="99"/>
        <v>22742.827658889313</v>
      </c>
      <c r="J52" s="130">
        <f t="shared" si="100"/>
        <v>-0.17661829959427677</v>
      </c>
      <c r="K52" s="136">
        <f>R50+R51+R52</f>
        <v>50596398436</v>
      </c>
      <c r="L52" s="190">
        <f>U52/U49-1</f>
        <v>-0.25776355525897543</v>
      </c>
      <c r="M52" s="190">
        <f>K52/K40-1</f>
        <v>-0.16724195595325131</v>
      </c>
      <c r="N52" s="191">
        <f>AVERAGE(T50:T52)</f>
        <v>24136.705935215676</v>
      </c>
      <c r="O52" s="192">
        <f>N52/N49-1</f>
        <v>-6.1045541773725565E-2</v>
      </c>
      <c r="P52" s="129" t="s">
        <v>1403</v>
      </c>
      <c r="Q52" s="116">
        <v>15537445</v>
      </c>
      <c r="R52" s="116">
        <v>22867237827</v>
      </c>
      <c r="S52" s="116">
        <v>683.18</v>
      </c>
      <c r="T52" s="130">
        <f t="shared" si="101"/>
        <v>22742.827658889313</v>
      </c>
      <c r="U52" s="85">
        <f t="shared" ref="U52" si="102">Q50+Q51+Q52</f>
        <v>34952577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558525.47619047621</v>
      </c>
      <c r="G53" s="190">
        <f t="shared" ref="G53" si="103">F53/F52-1</f>
        <v>-0.20916466792381394</v>
      </c>
      <c r="H53" s="190">
        <f t="shared" ref="H53" si="104">F53/F41-1</f>
        <v>-0.34431531252756697</v>
      </c>
      <c r="I53" s="130">
        <f t="shared" ref="I53" si="105">T53</f>
        <v>30610.525354281388</v>
      </c>
      <c r="J53" s="130">
        <f t="shared" ref="J53" si="106">I53/I41-1</f>
        <v>4.7098402505583783</v>
      </c>
      <c r="K53" s="136"/>
      <c r="L53" s="190"/>
      <c r="M53" s="190"/>
      <c r="N53" s="191"/>
      <c r="O53" s="192"/>
      <c r="P53" s="129" t="s">
        <v>1414</v>
      </c>
      <c r="Q53" s="116">
        <v>11729035</v>
      </c>
      <c r="R53" s="116">
        <v>17091801019</v>
      </c>
      <c r="S53" s="116">
        <v>383.17</v>
      </c>
      <c r="T53" s="130">
        <f t="shared" ref="T53" si="107">Q53/S53</f>
        <v>30610.525354281388</v>
      </c>
      <c r="U53" s="85">
        <f t="shared" ref="U53" si="108">Q51+Q52+Q53</f>
        <v>35326965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626515.0588235294</v>
      </c>
      <c r="G54" s="190">
        <f t="shared" ref="G54" si="109">F54/F53-1</f>
        <v>0.12173049490381072</v>
      </c>
      <c r="H54" s="190">
        <f t="shared" ref="H54" si="110">F54/F42-1</f>
        <v>-0.22007847101269484</v>
      </c>
      <c r="I54" s="130">
        <f t="shared" ref="I54" si="111">T54</f>
        <v>22886.148953543343</v>
      </c>
      <c r="J54" s="130">
        <f t="shared" ref="J54" si="112">I54/I42-1</f>
        <v>-0.14330635952765369</v>
      </c>
      <c r="K54" s="136"/>
      <c r="L54" s="190"/>
      <c r="M54" s="190"/>
      <c r="N54" s="191"/>
      <c r="O54" s="192"/>
      <c r="P54" s="129" t="s">
        <v>1417</v>
      </c>
      <c r="Q54" s="116">
        <v>10650756</v>
      </c>
      <c r="R54" s="116">
        <v>15417964577</v>
      </c>
      <c r="S54" s="116">
        <v>465.38</v>
      </c>
      <c r="T54" s="130">
        <f t="shared" ref="T54" si="113">Q54/S54</f>
        <v>22886.148953543343</v>
      </c>
      <c r="U54" s="85">
        <f t="shared" ref="U54" si="114">Q52+Q53+Q54</f>
        <v>37917236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1710985.5826330532</v>
      </c>
      <c r="C55" s="188">
        <f>AVERAGE(F53:F55)</f>
        <v>570328.52754435106</v>
      </c>
      <c r="D55" s="190">
        <f>C55/C52-1</f>
        <v>-1.6723252997455584E-2</v>
      </c>
      <c r="E55" s="287">
        <f>C55/C43-1</f>
        <v>-0.28320179212617802</v>
      </c>
      <c r="F55" s="136">
        <f>Q55/21</f>
        <v>525945.04761904757</v>
      </c>
      <c r="G55" s="190">
        <f t="shared" ref="G55" si="115">F55/F54-1</f>
        <v>-0.16052289532087594</v>
      </c>
      <c r="H55" s="190">
        <f t="shared" ref="H55" si="116">F55/F43-1</f>
        <v>-0.28135657487855048</v>
      </c>
      <c r="I55" s="130">
        <f>T55</f>
        <v>28483.716731999175</v>
      </c>
      <c r="J55" s="130">
        <f t="shared" ref="J55" si="117">I55/I43-1</f>
        <v>8.5977040732514665E-2</v>
      </c>
      <c r="K55" s="136">
        <f>R53+R54+R55</f>
        <v>48805823672</v>
      </c>
      <c r="L55" s="190">
        <f>U55/U52-1</f>
        <v>-4.3714659436985159E-2</v>
      </c>
      <c r="M55" s="190">
        <f>K55/K43-1</f>
        <v>-0.2690596419570731</v>
      </c>
      <c r="N55" s="191">
        <f>AVERAGE(T53:T55)</f>
        <v>27326.797013274638</v>
      </c>
      <c r="O55" s="192">
        <f>N55/N52-1</f>
        <v>0.13216762414147776</v>
      </c>
      <c r="P55" s="129" t="s">
        <v>1418</v>
      </c>
      <c r="Q55" s="116">
        <v>11044846</v>
      </c>
      <c r="R55" s="116">
        <v>16296058076</v>
      </c>
      <c r="S55" s="116">
        <v>387.76</v>
      </c>
      <c r="T55" s="130">
        <f t="shared" ref="T55" si="118">Q55/S55</f>
        <v>28483.716731999175</v>
      </c>
      <c r="U55" s="85">
        <f t="shared" ref="U55" si="119">Q53+Q54+Q55</f>
        <v>33424637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676830.77272727271</v>
      </c>
      <c r="G56" s="190">
        <f t="shared" ref="G56" si="120">F56/F55-1</f>
        <v>0.28688496220524295</v>
      </c>
      <c r="H56" s="190">
        <f t="shared" ref="H56" si="121">F56/F44-1</f>
        <v>-0.16912676456838538</v>
      </c>
      <c r="I56" s="291">
        <f>T56</f>
        <v>26099.025467547719</v>
      </c>
      <c r="J56" s="130">
        <f t="shared" ref="J56" si="122">I56/I44-1</f>
        <v>0.10447173987579372</v>
      </c>
      <c r="K56" s="136"/>
      <c r="L56" s="190"/>
      <c r="M56" s="190"/>
      <c r="N56" s="191"/>
      <c r="O56" s="192"/>
      <c r="P56" s="129" t="s">
        <v>1420</v>
      </c>
      <c r="Q56" s="116">
        <v>14890277</v>
      </c>
      <c r="R56" s="116">
        <v>22226600378</v>
      </c>
      <c r="S56" s="116">
        <v>570.53</v>
      </c>
      <c r="T56" s="130">
        <f t="shared" ref="T56" si="123">Q56/S56</f>
        <v>26099.025467547719</v>
      </c>
      <c r="U56" s="85">
        <f t="shared" ref="U56" si="124">Q54+Q55+Q56</f>
        <v>36585879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586797.33333333337</v>
      </c>
      <c r="G57" s="254">
        <f t="shared" ref="G57" si="125">F57/F56-1</f>
        <v>-0.13302208324711928</v>
      </c>
      <c r="H57" s="254">
        <f t="shared" ref="H57" si="126">F57/F45-1</f>
        <v>-0.22814813265608769</v>
      </c>
      <c r="I57" s="282">
        <f>T57</f>
        <v>28443.884310874131</v>
      </c>
      <c r="J57" s="277">
        <f t="shared" ref="J57" si="127">I57/I45-1</f>
        <v>0.17184548410463774</v>
      </c>
      <c r="K57" s="204"/>
      <c r="L57" s="254"/>
      <c r="M57" s="254"/>
      <c r="N57" s="257"/>
      <c r="O57" s="258"/>
      <c r="P57" s="129" t="s">
        <v>1436</v>
      </c>
      <c r="Q57" s="116">
        <v>7041568</v>
      </c>
      <c r="R57" s="116">
        <v>10387658645</v>
      </c>
      <c r="S57" s="116">
        <v>247.56</v>
      </c>
      <c r="T57" s="130">
        <f t="shared" ref="T57" si="128">Q57/S57</f>
        <v>28443.884310874131</v>
      </c>
      <c r="U57" s="85">
        <f t="shared" ref="U57" si="129">Q55+Q56+Q57</f>
        <v>32976691</v>
      </c>
      <c r="V57" s="79"/>
      <c r="W57" s="79"/>
      <c r="X57" s="79"/>
      <c r="Y57" s="79"/>
      <c r="Z57" s="79"/>
    </row>
    <row r="58" spans="1:26">
      <c r="B58" s="196">
        <f>SUM(F56:F58)</f>
        <v>1263628.106060606</v>
      </c>
      <c r="C58" s="196">
        <f>AVERAGE(F56:F58)</f>
        <v>631814.05303030298</v>
      </c>
      <c r="D58" s="197">
        <f>C58/C55-1</f>
        <v>0.10780720675272648</v>
      </c>
      <c r="E58" s="233">
        <f>C58/C46-1</f>
        <v>-0.20495812887132536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55356482</v>
      </c>
      <c r="R66" s="212">
        <v>81420082695</v>
      </c>
      <c r="S66" s="213">
        <v>2054.42</v>
      </c>
      <c r="T66" s="214">
        <v>18</v>
      </c>
      <c r="U66" s="214">
        <v>69</v>
      </c>
    </row>
    <row r="67" spans="16:21" ht="18" thickBot="1">
      <c r="P67" s="180" t="s">
        <v>976</v>
      </c>
      <c r="Q67" s="181">
        <v>11729035</v>
      </c>
      <c r="R67" s="181">
        <v>17091801019</v>
      </c>
      <c r="S67" s="210">
        <v>383.17</v>
      </c>
      <c r="T67" s="210">
        <v>14</v>
      </c>
      <c r="U67" s="210">
        <v>41</v>
      </c>
    </row>
    <row r="68" spans="16:21" ht="18" thickBot="1">
      <c r="P68" s="180" t="s">
        <v>977</v>
      </c>
      <c r="Q68" s="181">
        <v>10650756</v>
      </c>
      <c r="R68" s="181">
        <v>15417964577</v>
      </c>
      <c r="S68" s="210">
        <v>465.38</v>
      </c>
      <c r="T68" s="210">
        <v>12</v>
      </c>
      <c r="U68" s="210">
        <v>40</v>
      </c>
    </row>
    <row r="69" spans="16:21" ht="18" thickBot="1">
      <c r="P69" s="180" t="s">
        <v>978</v>
      </c>
      <c r="Q69" s="181">
        <v>11044846</v>
      </c>
      <c r="R69" s="181">
        <v>16296058076</v>
      </c>
      <c r="S69" s="210">
        <v>387.76</v>
      </c>
      <c r="T69" s="210">
        <v>13</v>
      </c>
      <c r="U69" s="210">
        <v>39</v>
      </c>
    </row>
    <row r="70" spans="16:21" ht="18" thickBot="1">
      <c r="P70" s="180" t="s">
        <v>979</v>
      </c>
      <c r="Q70" s="181">
        <v>14890277</v>
      </c>
      <c r="R70" s="181">
        <v>22226600378</v>
      </c>
      <c r="S70" s="210">
        <v>570.53</v>
      </c>
      <c r="T70" s="210">
        <v>13</v>
      </c>
      <c r="U70" s="210">
        <v>49</v>
      </c>
    </row>
    <row r="71" spans="16:21" ht="18" thickBot="1">
      <c r="P71" s="180" t="s">
        <v>980</v>
      </c>
      <c r="Q71" s="181">
        <v>7041568</v>
      </c>
      <c r="R71" s="181">
        <v>10387658645</v>
      </c>
      <c r="S71" s="210">
        <v>247.56</v>
      </c>
      <c r="T71" s="210">
        <v>11</v>
      </c>
      <c r="U71" s="210">
        <v>33</v>
      </c>
    </row>
    <row r="72" spans="16:21" ht="18" thickBot="1">
      <c r="P72" s="180" t="s">
        <v>975</v>
      </c>
      <c r="Q72" s="181">
        <v>176581043</v>
      </c>
      <c r="R72" s="181">
        <v>251164270162</v>
      </c>
      <c r="S72" s="182">
        <v>9316.4</v>
      </c>
      <c r="T72" s="210">
        <v>20</v>
      </c>
      <c r="U72" s="210">
        <v>97</v>
      </c>
    </row>
    <row r="73" spans="16:21" ht="18" thickBot="1">
      <c r="P73" s="215" t="s">
        <v>982</v>
      </c>
      <c r="Q73" s="216">
        <v>184833</v>
      </c>
      <c r="R73"/>
      <c r="S73"/>
      <c r="T73"/>
      <c r="U73"/>
    </row>
  </sheetData>
  <phoneticPr fontId="1" type="noConversion"/>
  <conditionalFormatting sqref="C29:C30">
    <cfRule type="cellIs" dxfId="10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Z74"/>
  <sheetViews>
    <sheetView topLeftCell="B1"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1798413.15</v>
      </c>
      <c r="G5" s="90"/>
      <c r="H5" s="90"/>
      <c r="I5" s="130">
        <f t="shared" ref="I5:I49" si="0">T5</f>
        <v>43835.936966801542</v>
      </c>
      <c r="J5" s="130"/>
      <c r="K5" s="86"/>
      <c r="L5" s="80"/>
      <c r="M5" s="80"/>
      <c r="P5" s="129" t="s">
        <v>0</v>
      </c>
      <c r="Q5" s="116">
        <v>35968263</v>
      </c>
      <c r="R5" s="116"/>
      <c r="S5" s="116">
        <v>820.52</v>
      </c>
      <c r="T5" s="130">
        <f t="shared" ref="T5:T28" si="1">Q5/S5</f>
        <v>43835.936966801542</v>
      </c>
      <c r="U5" s="85"/>
    </row>
    <row r="6" spans="1:21" ht="15" hidden="1" customHeight="1">
      <c r="A6" s="129" t="s">
        <v>1</v>
      </c>
      <c r="C6" s="79"/>
      <c r="F6" s="78">
        <f>Q6/18</f>
        <v>2634186.0555555555</v>
      </c>
      <c r="G6" s="90">
        <f t="shared" ref="G6:G28" si="2">F6/F5-1</f>
        <v>0.464727977303522</v>
      </c>
      <c r="H6" s="90"/>
      <c r="I6" s="130">
        <f t="shared" si="0"/>
        <v>32113.559184281639</v>
      </c>
      <c r="J6" s="130"/>
      <c r="K6" s="78"/>
      <c r="P6" s="129" t="s">
        <v>1</v>
      </c>
      <c r="Q6" s="116">
        <v>47415349</v>
      </c>
      <c r="R6" s="116"/>
      <c r="S6" s="116">
        <v>1476.49</v>
      </c>
      <c r="T6" s="130">
        <f t="shared" si="1"/>
        <v>32113.559184281639</v>
      </c>
      <c r="U6" s="85"/>
    </row>
    <row r="7" spans="1:21" ht="15" hidden="1" customHeight="1">
      <c r="A7" s="129" t="s">
        <v>2</v>
      </c>
      <c r="B7" s="131">
        <f>F5+F6+F7</f>
        <v>5757038.9328282829</v>
      </c>
      <c r="C7" s="131">
        <f>AVERAGE(F5:F7)</f>
        <v>1919012.9776094276</v>
      </c>
      <c r="F7" s="78">
        <f>Q7/22</f>
        <v>1324439.7272727273</v>
      </c>
      <c r="G7" s="90">
        <f t="shared" si="2"/>
        <v>-0.49721101724023808</v>
      </c>
      <c r="H7" s="90"/>
      <c r="I7" s="130">
        <f t="shared" si="0"/>
        <v>20041.457626885487</v>
      </c>
      <c r="J7" s="130"/>
      <c r="K7" s="85">
        <f>R5+R6+R7</f>
        <v>0</v>
      </c>
      <c r="N7" s="88">
        <f>AVERAGE(T5:T7)</f>
        <v>31996.984592656223</v>
      </c>
      <c r="P7" s="129" t="s">
        <v>2</v>
      </c>
      <c r="Q7" s="116">
        <v>29137674</v>
      </c>
      <c r="R7" s="116"/>
      <c r="S7" s="116">
        <v>1453.87</v>
      </c>
      <c r="T7" s="130">
        <f t="shared" si="1"/>
        <v>20041.457626885487</v>
      </c>
      <c r="U7" s="85">
        <f>Q5+Q6+Q7</f>
        <v>112521286</v>
      </c>
    </row>
    <row r="8" spans="1:21" ht="15" hidden="1" customHeight="1">
      <c r="A8" s="129" t="s">
        <v>3</v>
      </c>
      <c r="C8" s="79"/>
      <c r="F8" s="78">
        <f>Q8/21</f>
        <v>1187399.6666666667</v>
      </c>
      <c r="G8" s="90">
        <f t="shared" si="2"/>
        <v>-0.10347021293921166</v>
      </c>
      <c r="H8" s="90"/>
      <c r="I8" s="130">
        <f t="shared" si="0"/>
        <v>23122.368116022662</v>
      </c>
      <c r="J8" s="130"/>
      <c r="K8" s="78"/>
      <c r="P8" s="129" t="s">
        <v>3</v>
      </c>
      <c r="Q8" s="116">
        <v>24935393</v>
      </c>
      <c r="R8" s="116"/>
      <c r="S8" s="116">
        <v>1078.4100000000001</v>
      </c>
      <c r="T8" s="130">
        <f t="shared" si="1"/>
        <v>23122.368116022662</v>
      </c>
      <c r="U8" s="85"/>
    </row>
    <row r="9" spans="1:21" ht="15" hidden="1" customHeight="1">
      <c r="A9" s="129" t="s">
        <v>4</v>
      </c>
      <c r="C9" s="79"/>
      <c r="F9" s="78">
        <f>Q9/21</f>
        <v>1923070.5714285714</v>
      </c>
      <c r="G9" s="90">
        <f t="shared" si="2"/>
        <v>0.61956468863354175</v>
      </c>
      <c r="H9" s="90"/>
      <c r="I9" s="130">
        <f t="shared" si="0"/>
        <v>34800.40845871465</v>
      </c>
      <c r="J9" s="130"/>
      <c r="K9" s="78"/>
      <c r="P9" s="129" t="s">
        <v>4</v>
      </c>
      <c r="Q9" s="116">
        <v>40384482</v>
      </c>
      <c r="R9" s="116"/>
      <c r="S9" s="116">
        <v>1160.46</v>
      </c>
      <c r="T9" s="130">
        <f t="shared" si="1"/>
        <v>34800.40845871465</v>
      </c>
      <c r="U9" s="85"/>
    </row>
    <row r="10" spans="1:21" ht="15" hidden="1" customHeight="1">
      <c r="A10" s="129" t="s">
        <v>5</v>
      </c>
      <c r="B10" s="131">
        <f>F8+F9+F10</f>
        <v>4364031.3809523806</v>
      </c>
      <c r="C10" s="131">
        <f>AVERAGE(F8:F10)</f>
        <v>1454677.1269841269</v>
      </c>
      <c r="D10" s="90">
        <f>C10/C7-1</f>
        <v>-0.24196597732431069</v>
      </c>
      <c r="E10" s="286"/>
      <c r="F10" s="78">
        <f>Q10/21</f>
        <v>1253561.142857143</v>
      </c>
      <c r="G10" s="90">
        <f t="shared" si="2"/>
        <v>-0.34814605273381982</v>
      </c>
      <c r="H10" s="90"/>
      <c r="I10" s="130">
        <f t="shared" si="0"/>
        <v>26863.395071177099</v>
      </c>
      <c r="J10" s="130"/>
      <c r="K10" s="85">
        <f>R8+R9+R10</f>
        <v>0</v>
      </c>
      <c r="L10" s="87">
        <f>U10/U7-1</f>
        <v>-0.18553491292305346</v>
      </c>
      <c r="N10" s="88">
        <f>AVERAGE(T8:T10)</f>
        <v>28262.057215304802</v>
      </c>
      <c r="O10" s="89">
        <f>N10/N7-1</f>
        <v>-0.1167274799453647</v>
      </c>
      <c r="P10" s="129" t="s">
        <v>5</v>
      </c>
      <c r="Q10" s="116">
        <v>26324784</v>
      </c>
      <c r="R10" s="116"/>
      <c r="S10" s="116">
        <v>979.95</v>
      </c>
      <c r="T10" s="130">
        <f t="shared" si="1"/>
        <v>26863.395071177099</v>
      </c>
      <c r="U10" s="85">
        <f>Q8+Q9+Q10</f>
        <v>91644659</v>
      </c>
    </row>
    <row r="11" spans="1:21" ht="15" hidden="1" customHeight="1">
      <c r="A11" s="129" t="s">
        <v>6</v>
      </c>
      <c r="C11" s="79"/>
      <c r="F11" s="78">
        <f>Q11/21</f>
        <v>2340181.6666666665</v>
      </c>
      <c r="G11" s="90">
        <f t="shared" si="2"/>
        <v>0.86682690349899905</v>
      </c>
      <c r="H11" s="90"/>
      <c r="I11" s="130">
        <f t="shared" si="0"/>
        <v>36390.156760239028</v>
      </c>
      <c r="J11" s="130"/>
      <c r="K11" s="78"/>
      <c r="O11" s="89"/>
      <c r="P11" s="129" t="s">
        <v>6</v>
      </c>
      <c r="Q11" s="116">
        <v>49143815</v>
      </c>
      <c r="R11" s="116"/>
      <c r="S11" s="116">
        <v>1350.47</v>
      </c>
      <c r="T11" s="130">
        <f t="shared" si="1"/>
        <v>36390.156760239028</v>
      </c>
      <c r="U11" s="85"/>
    </row>
    <row r="12" spans="1:21" ht="15" hidden="1" customHeight="1">
      <c r="A12" s="129" t="s">
        <v>7</v>
      </c>
      <c r="C12" s="79"/>
      <c r="F12" s="78">
        <f>Q12/22</f>
        <v>1641029.9090909092</v>
      </c>
      <c r="G12" s="90">
        <f t="shared" si="2"/>
        <v>-0.2987596080827446</v>
      </c>
      <c r="H12" s="90"/>
      <c r="I12" s="130">
        <f t="shared" si="0"/>
        <v>35418.722469121269</v>
      </c>
      <c r="J12" s="130"/>
      <c r="K12" s="78"/>
      <c r="O12" s="89"/>
      <c r="P12" s="129" t="s">
        <v>7</v>
      </c>
      <c r="Q12" s="116">
        <v>36102658</v>
      </c>
      <c r="R12" s="116"/>
      <c r="S12" s="116">
        <v>1019.31</v>
      </c>
      <c r="T12" s="130">
        <f t="shared" si="1"/>
        <v>35418.722469121269</v>
      </c>
      <c r="U12" s="85"/>
    </row>
    <row r="13" spans="1:21" ht="15" hidden="1" customHeight="1">
      <c r="A13" s="129" t="s">
        <v>96</v>
      </c>
      <c r="B13" s="131">
        <f>F11+F12+F13</f>
        <v>5668564.6757575758</v>
      </c>
      <c r="C13" s="131">
        <f>AVERAGE(F11:F13)</f>
        <v>1889521.5585858587</v>
      </c>
      <c r="D13" s="90">
        <f>C13/C10-1</f>
        <v>0.29892848628428093</v>
      </c>
      <c r="E13" s="286"/>
      <c r="F13" s="78">
        <f>Q13/20</f>
        <v>1687353.1</v>
      </c>
      <c r="G13" s="90">
        <f t="shared" si="2"/>
        <v>2.822812104305461E-2</v>
      </c>
      <c r="H13" s="90"/>
      <c r="I13" s="130">
        <f t="shared" si="0"/>
        <v>44096.513785443618</v>
      </c>
      <c r="J13" s="130"/>
      <c r="K13" s="78">
        <f>R11+R12+R13</f>
        <v>0</v>
      </c>
      <c r="L13" s="87">
        <f>U13/U10-1</f>
        <v>0.29842302102951801</v>
      </c>
      <c r="N13" s="88">
        <f>AVERAGE(T11:T13)</f>
        <v>38635.131004934636</v>
      </c>
      <c r="O13" s="89">
        <f>N13/N10-1</f>
        <v>0.36703180205906905</v>
      </c>
      <c r="P13" s="129" t="s">
        <v>96</v>
      </c>
      <c r="Q13" s="116">
        <v>33747062</v>
      </c>
      <c r="R13" s="116"/>
      <c r="S13" s="116">
        <v>765.3</v>
      </c>
      <c r="T13" s="130">
        <f t="shared" si="1"/>
        <v>44096.513785443618</v>
      </c>
      <c r="U13" s="85">
        <f>Q11+Q12+Q13</f>
        <v>118993535</v>
      </c>
    </row>
    <row r="14" spans="1:21" ht="15" hidden="1" customHeight="1">
      <c r="A14" s="129" t="s">
        <v>97</v>
      </c>
      <c r="C14" s="79"/>
      <c r="F14" s="78">
        <f>Q14/20</f>
        <v>2578579.85</v>
      </c>
      <c r="G14" s="90">
        <f t="shared" si="2"/>
        <v>0.5281803494479016</v>
      </c>
      <c r="H14" s="90"/>
      <c r="I14" s="130">
        <f t="shared" si="0"/>
        <v>61265.662829514004</v>
      </c>
      <c r="J14" s="130"/>
      <c r="K14" s="78"/>
      <c r="O14" s="89"/>
      <c r="P14" s="129" t="s">
        <v>97</v>
      </c>
      <c r="Q14" s="116">
        <v>51571597</v>
      </c>
      <c r="R14" s="116"/>
      <c r="S14" s="116">
        <v>841.77</v>
      </c>
      <c r="T14" s="130">
        <f t="shared" si="1"/>
        <v>61265.662829514004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1723230.0909090908</v>
      </c>
      <c r="G15" s="90">
        <f t="shared" si="2"/>
        <v>-0.3317135046606795</v>
      </c>
      <c r="H15" s="90"/>
      <c r="I15" s="130">
        <f t="shared" si="0"/>
        <v>57752.516604716344</v>
      </c>
      <c r="J15" s="130"/>
      <c r="K15" s="78"/>
      <c r="O15" s="89"/>
      <c r="P15" s="129" t="s">
        <v>98</v>
      </c>
      <c r="Q15" s="116">
        <v>37911062</v>
      </c>
      <c r="R15" s="116"/>
      <c r="S15" s="116">
        <v>656.44</v>
      </c>
      <c r="T15" s="130">
        <f t="shared" si="1"/>
        <v>57752.516604716344</v>
      </c>
      <c r="U15" s="85"/>
    </row>
    <row r="16" spans="1:21" ht="15" hidden="1" customHeight="1">
      <c r="A16" s="129" t="s">
        <v>99</v>
      </c>
      <c r="B16" s="131">
        <f>F14+F15+F16</f>
        <v>5815534.622727273</v>
      </c>
      <c r="C16" s="131">
        <f>AVERAGE(F14:F16)</f>
        <v>1938511.540909091</v>
      </c>
      <c r="D16" s="90">
        <f>C16/C13-1</f>
        <v>2.5927188869915296E-2</v>
      </c>
      <c r="E16" s="286"/>
      <c r="F16" s="78">
        <f>Q16/22</f>
        <v>1513724.6818181819</v>
      </c>
      <c r="G16" s="90">
        <f t="shared" si="2"/>
        <v>-0.12157715339127129</v>
      </c>
      <c r="H16" s="90"/>
      <c r="I16" s="130">
        <f t="shared" si="0"/>
        <v>67830.257047417312</v>
      </c>
      <c r="J16" s="130"/>
      <c r="K16" s="78">
        <f>R14+R15+R16</f>
        <v>0</v>
      </c>
      <c r="L16" s="87">
        <f>U16/U13-1</f>
        <v>3.1859436733264523E-2</v>
      </c>
      <c r="N16" s="88">
        <f>AVERAGE(T14:T16)</f>
        <v>62282.81216054922</v>
      </c>
      <c r="O16" s="89">
        <f>N16/N13-1</f>
        <v>0.6120771572534387</v>
      </c>
      <c r="P16" s="129" t="s">
        <v>99</v>
      </c>
      <c r="Q16" s="116">
        <v>33301943</v>
      </c>
      <c r="R16" s="116"/>
      <c r="S16" s="116">
        <v>490.96</v>
      </c>
      <c r="T16" s="130">
        <f t="shared" si="1"/>
        <v>67830.257047417312</v>
      </c>
      <c r="U16" s="85">
        <f>Q14+Q15+Q16</f>
        <v>122784602</v>
      </c>
    </row>
    <row r="17" spans="1:21" ht="15" hidden="1" customHeight="1">
      <c r="A17" s="129" t="s">
        <v>100</v>
      </c>
      <c r="C17" s="79"/>
      <c r="F17" s="78">
        <f>Q17/20</f>
        <v>1421166.45</v>
      </c>
      <c r="G17" s="90">
        <f t="shared" si="2"/>
        <v>-6.114601481361015E-2</v>
      </c>
      <c r="H17" s="90">
        <f t="shared" ref="H17:H28" si="3">F17/F5-1</f>
        <v>-0.20976642658557076</v>
      </c>
      <c r="I17" s="130">
        <f t="shared" si="0"/>
        <v>67045.640892579133</v>
      </c>
      <c r="J17" s="130">
        <f t="shared" ref="J17:J49" si="4">I17/I5-1</f>
        <v>0.52946749931124071</v>
      </c>
      <c r="K17" s="78"/>
      <c r="O17" s="89"/>
      <c r="P17" s="129" t="s">
        <v>100</v>
      </c>
      <c r="Q17" s="116">
        <v>28423329</v>
      </c>
      <c r="R17" s="116">
        <v>35802052290</v>
      </c>
      <c r="S17" s="116">
        <v>423.94</v>
      </c>
      <c r="T17" s="130">
        <f t="shared" si="1"/>
        <v>67045.640892579133</v>
      </c>
      <c r="U17" s="78"/>
    </row>
    <row r="18" spans="1:21" ht="15" hidden="1" customHeight="1">
      <c r="A18" s="129" t="s">
        <v>106</v>
      </c>
      <c r="C18" s="79"/>
      <c r="F18" s="78">
        <f>Q18/20</f>
        <v>1038803.1</v>
      </c>
      <c r="G18" s="90">
        <f t="shared" si="2"/>
        <v>-0.26904895622887803</v>
      </c>
      <c r="H18" s="90">
        <f t="shared" si="3"/>
        <v>-0.60564550943197748</v>
      </c>
      <c r="I18" s="130">
        <f t="shared" si="0"/>
        <v>64481.880819366852</v>
      </c>
      <c r="J18" s="130">
        <f t="shared" si="4"/>
        <v>1.0079331739388224</v>
      </c>
      <c r="K18" s="78"/>
      <c r="O18" s="89"/>
      <c r="P18" s="129" t="s">
        <v>106</v>
      </c>
      <c r="Q18" s="116">
        <v>20776062</v>
      </c>
      <c r="R18" s="116">
        <v>26049837315</v>
      </c>
      <c r="S18" s="116">
        <v>322.2</v>
      </c>
      <c r="T18" s="130">
        <f t="shared" si="1"/>
        <v>64481.880819366852</v>
      </c>
      <c r="U18" s="78"/>
    </row>
    <row r="19" spans="1:21" hidden="1">
      <c r="A19" s="129" t="s">
        <v>114</v>
      </c>
      <c r="B19" s="131">
        <f>SUM(F17:F19)</f>
        <v>3580596.5045454544</v>
      </c>
      <c r="C19" s="131">
        <f>AVERAGE(F17:F19)</f>
        <v>1193532.1681818182</v>
      </c>
      <c r="D19" s="90">
        <f>C19/C16-1</f>
        <v>-0.38430484266186249</v>
      </c>
      <c r="E19" s="286">
        <f>C19/C7-1</f>
        <v>-0.37804893343210355</v>
      </c>
      <c r="F19" s="78">
        <f>Q19/22</f>
        <v>1120626.9545454546</v>
      </c>
      <c r="G19" s="90">
        <f t="shared" si="2"/>
        <v>7.8767433929928243E-2</v>
      </c>
      <c r="H19" s="90">
        <f t="shared" si="3"/>
        <v>-0.15388603084789809</v>
      </c>
      <c r="I19" s="130">
        <f t="shared" si="0"/>
        <v>38081.237256719185</v>
      </c>
      <c r="J19" s="130">
        <f t="shared" si="4"/>
        <v>0.90012313304165303</v>
      </c>
      <c r="K19" s="78">
        <f>R17+R18+R19</f>
        <v>94092171181</v>
      </c>
      <c r="L19" s="87">
        <f>U19/U16-1</f>
        <v>-0.39851428601772065</v>
      </c>
      <c r="M19" s="87">
        <f>U19/U7-1</f>
        <v>-0.34365144031503514</v>
      </c>
      <c r="N19" s="88">
        <f>AVERAGE(T17:T19)</f>
        <v>56536.252989555062</v>
      </c>
      <c r="O19" s="89">
        <f>N19/N16-1</f>
        <v>-9.2265570093093996E-2</v>
      </c>
      <c r="P19" s="129" t="s">
        <v>114</v>
      </c>
      <c r="Q19" s="116">
        <v>24653793</v>
      </c>
      <c r="R19" s="116">
        <v>32240281576</v>
      </c>
      <c r="S19" s="116">
        <v>647.4</v>
      </c>
      <c r="T19" s="130">
        <f t="shared" si="1"/>
        <v>38081.237256719185</v>
      </c>
      <c r="U19" s="85">
        <f>Q17+Q18+Q19</f>
        <v>73853184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1972945.35</v>
      </c>
      <c r="G20" s="90">
        <f t="shared" si="2"/>
        <v>0.76057281327867066</v>
      </c>
      <c r="H20" s="90">
        <f t="shared" si="3"/>
        <v>0.66156805108305283</v>
      </c>
      <c r="I20" s="130">
        <f t="shared" si="0"/>
        <v>48745.391542823258</v>
      </c>
      <c r="J20" s="130">
        <f t="shared" si="4"/>
        <v>1.1081487544108901</v>
      </c>
      <c r="K20" s="78"/>
      <c r="O20" s="89"/>
      <c r="P20" s="129" t="s">
        <v>131</v>
      </c>
      <c r="Q20" s="116">
        <v>39458907</v>
      </c>
      <c r="R20" s="116">
        <v>51497675505</v>
      </c>
      <c r="S20" s="116">
        <v>809.49</v>
      </c>
      <c r="T20" s="130">
        <f t="shared" si="1"/>
        <v>48745.391542823258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946716.71428571432</v>
      </c>
      <c r="G21" s="90">
        <f t="shared" si="2"/>
        <v>-0.52015056357961753</v>
      </c>
      <c r="H21" s="90">
        <f t="shared" si="3"/>
        <v>-0.50770568259362592</v>
      </c>
      <c r="I21" s="130">
        <f t="shared" si="0"/>
        <v>25028.389606465746</v>
      </c>
      <c r="J21" s="130">
        <f t="shared" si="4"/>
        <v>-0.2808018435715175</v>
      </c>
      <c r="K21" s="78"/>
      <c r="O21" s="89"/>
      <c r="P21" s="129" t="s">
        <v>141</v>
      </c>
      <c r="Q21" s="116">
        <v>19881051</v>
      </c>
      <c r="R21" s="116">
        <v>26441259620</v>
      </c>
      <c r="S21" s="116">
        <v>794.34</v>
      </c>
      <c r="T21" s="130">
        <f t="shared" si="1"/>
        <v>25028.389606465746</v>
      </c>
      <c r="U21" s="78"/>
    </row>
    <row r="22" spans="1:21" hidden="1">
      <c r="A22" s="129" t="s">
        <v>156</v>
      </c>
      <c r="B22" s="131">
        <f>SUM(F20:F22)</f>
        <v>4029936.8738095239</v>
      </c>
      <c r="C22" s="131">
        <f>AVERAGE(F20:F22)</f>
        <v>1343312.2912698414</v>
      </c>
      <c r="D22" s="90">
        <f>C22/C19-1</f>
        <v>0.12549315978319431</v>
      </c>
      <c r="E22" s="286">
        <f>C22/C10-1</f>
        <v>-7.6556394301166897E-2</v>
      </c>
      <c r="F22" s="78">
        <f>Q22/21</f>
        <v>1110274.8095238095</v>
      </c>
      <c r="G22" s="90">
        <f t="shared" si="2"/>
        <v>0.17276350229170467</v>
      </c>
      <c r="H22" s="90">
        <f t="shared" si="3"/>
        <v>-0.11430342600341958</v>
      </c>
      <c r="I22" s="130">
        <f t="shared" si="0"/>
        <v>29185.573552974165</v>
      </c>
      <c r="J22" s="130">
        <f t="shared" si="4"/>
        <v>8.644396866606896E-2</v>
      </c>
      <c r="K22" s="78">
        <f>R20+R21+R22</f>
        <v>108167229445</v>
      </c>
      <c r="L22" s="87">
        <f>U22/U19-1</f>
        <v>0.1191897833409592</v>
      </c>
      <c r="M22" s="87">
        <f>U22/U10-1</f>
        <v>-9.8084603053626984E-2</v>
      </c>
      <c r="N22" s="88">
        <f>AVERAGE(T20:T22)</f>
        <v>34319.784900754392</v>
      </c>
      <c r="O22" s="89">
        <f>N22/N19-1</f>
        <v>-0.39295968363706579</v>
      </c>
      <c r="P22" s="129" t="s">
        <v>156</v>
      </c>
      <c r="Q22" s="116">
        <v>23315771</v>
      </c>
      <c r="R22" s="116">
        <v>30228294320</v>
      </c>
      <c r="S22" s="116">
        <v>798.88</v>
      </c>
      <c r="T22" s="130">
        <f t="shared" si="1"/>
        <v>29185.573552974165</v>
      </c>
      <c r="U22" s="85">
        <f>Q20+Q21+Q22</f>
        <v>82655729</v>
      </c>
    </row>
    <row r="23" spans="1:21" hidden="1">
      <c r="A23" s="129" t="s">
        <v>189</v>
      </c>
      <c r="B23" s="131"/>
      <c r="C23" s="131"/>
      <c r="F23" s="78">
        <f>Q23/21</f>
        <v>1607464.5238095238</v>
      </c>
      <c r="G23" s="90">
        <f t="shared" si="2"/>
        <v>0.44780779498992329</v>
      </c>
      <c r="H23" s="90">
        <f t="shared" si="3"/>
        <v>-0.31310267629812616</v>
      </c>
      <c r="I23" s="130">
        <f t="shared" si="0"/>
        <v>49044.378096441913</v>
      </c>
      <c r="J23" s="130">
        <f t="shared" si="4"/>
        <v>0.34773747801024224</v>
      </c>
      <c r="K23" s="78"/>
      <c r="O23" s="89"/>
      <c r="P23" s="129" t="s">
        <v>189</v>
      </c>
      <c r="Q23" s="116">
        <v>33756755</v>
      </c>
      <c r="R23" s="116">
        <v>43812314178</v>
      </c>
      <c r="S23" s="116">
        <v>688.29</v>
      </c>
      <c r="T23" s="130">
        <f t="shared" si="1"/>
        <v>49044.378096441913</v>
      </c>
      <c r="U23" s="78"/>
    </row>
    <row r="24" spans="1:21" hidden="1">
      <c r="A24" s="129" t="s">
        <v>204</v>
      </c>
      <c r="B24" s="131"/>
      <c r="C24" s="131"/>
      <c r="F24" s="78">
        <f>Q24/22</f>
        <v>1355110.4090909092</v>
      </c>
      <c r="G24" s="90">
        <f t="shared" si="2"/>
        <v>-0.15698891700611939</v>
      </c>
      <c r="H24" s="90">
        <f t="shared" si="3"/>
        <v>-0.17423174216147741</v>
      </c>
      <c r="I24" s="130">
        <f t="shared" si="0"/>
        <v>45871.626840639474</v>
      </c>
      <c r="J24" s="130">
        <f t="shared" si="4"/>
        <v>0.29512369850807718</v>
      </c>
      <c r="K24" s="78"/>
      <c r="O24" s="89"/>
      <c r="P24" s="129" t="s">
        <v>204</v>
      </c>
      <c r="Q24" s="116">
        <v>29812429</v>
      </c>
      <c r="R24" s="116">
        <v>39053853978</v>
      </c>
      <c r="S24" s="116">
        <v>649.91</v>
      </c>
      <c r="T24" s="130">
        <f t="shared" si="1"/>
        <v>45871.626840639474</v>
      </c>
      <c r="U24" s="78"/>
    </row>
    <row r="25" spans="1:21" s="79" customFormat="1" ht="13.2" hidden="1">
      <c r="A25" s="129" t="s">
        <v>217</v>
      </c>
      <c r="B25" s="131">
        <f>SUM(F23:F25)</f>
        <v>4281871.0381635912</v>
      </c>
      <c r="C25" s="131">
        <f>AVERAGE(F23:F25)</f>
        <v>1427290.3460545305</v>
      </c>
      <c r="D25" s="90">
        <f>C25/C22-1</f>
        <v>6.2515660230655801E-2</v>
      </c>
      <c r="E25" s="286">
        <f>C25/C13-1</f>
        <v>-0.24462870530954284</v>
      </c>
      <c r="F25" s="78">
        <f>Q25/19</f>
        <v>1319296.105263158</v>
      </c>
      <c r="G25" s="90">
        <f t="shared" si="2"/>
        <v>-2.6429067024713926E-2</v>
      </c>
      <c r="H25" s="90">
        <f t="shared" si="3"/>
        <v>-0.2181268370780497</v>
      </c>
      <c r="I25" s="130">
        <f t="shared" si="0"/>
        <v>28794.672211181696</v>
      </c>
      <c r="J25" s="130">
        <f t="shared" si="4"/>
        <v>-0.34700796640556886</v>
      </c>
      <c r="K25" s="78">
        <f>R23+R24+R25</f>
        <v>116155195871</v>
      </c>
      <c r="L25" s="90">
        <f>U25/U22-1</f>
        <v>7.2349262082002763E-2</v>
      </c>
      <c r="M25" s="90">
        <f>U25/U13-1</f>
        <v>-0.25512079290694234</v>
      </c>
      <c r="N25" s="88">
        <f>AVERAGE(T23:T25)</f>
        <v>41236.892382754362</v>
      </c>
      <c r="O25" s="91">
        <f>N25/N22-1</f>
        <v>0.20154868400261816</v>
      </c>
      <c r="P25" s="129" t="s">
        <v>217</v>
      </c>
      <c r="Q25" s="116">
        <v>25066626</v>
      </c>
      <c r="R25" s="116">
        <v>33289027715</v>
      </c>
      <c r="S25" s="116">
        <v>870.53</v>
      </c>
      <c r="T25" s="130">
        <f t="shared" si="1"/>
        <v>28794.672211181696</v>
      </c>
      <c r="U25" s="85">
        <f>Q23+Q24+Q25</f>
        <v>88635810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2288072.7368421052</v>
      </c>
      <c r="G26" s="90">
        <f t="shared" si="2"/>
        <v>0.73431326577418088</v>
      </c>
      <c r="H26" s="90">
        <f t="shared" si="3"/>
        <v>-0.11266167039888053</v>
      </c>
      <c r="I26" s="130">
        <f t="shared" si="0"/>
        <v>56740.429141977082</v>
      </c>
      <c r="J26" s="130">
        <f t="shared" si="4"/>
        <v>-7.3862478238902574E-2</v>
      </c>
      <c r="K26" s="78"/>
      <c r="L26" s="90"/>
      <c r="M26" s="90"/>
      <c r="P26" s="129" t="s">
        <v>312</v>
      </c>
      <c r="Q26" s="116">
        <v>43473382</v>
      </c>
      <c r="R26" s="116">
        <v>58386529938</v>
      </c>
      <c r="S26" s="116">
        <v>766.18</v>
      </c>
      <c r="T26" s="130">
        <f t="shared" si="1"/>
        <v>56740.429141977082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868175.68181818177</v>
      </c>
      <c r="G27" s="90">
        <f t="shared" si="2"/>
        <v>-0.62056464908698716</v>
      </c>
      <c r="H27" s="90">
        <f t="shared" si="3"/>
        <v>-0.49619282625213723</v>
      </c>
      <c r="I27" s="130">
        <f t="shared" si="0"/>
        <v>28812.588625735407</v>
      </c>
      <c r="J27" s="130">
        <f t="shared" si="4"/>
        <v>-0.50110245718049917</v>
      </c>
      <c r="K27" s="78"/>
      <c r="L27" s="90"/>
      <c r="M27" s="90"/>
      <c r="P27" s="129" t="s">
        <v>373</v>
      </c>
      <c r="Q27" s="116">
        <v>19099865</v>
      </c>
      <c r="R27" s="116">
        <v>25292197181</v>
      </c>
      <c r="S27" s="116">
        <v>662.9</v>
      </c>
      <c r="T27" s="130">
        <f t="shared" si="1"/>
        <v>28812.588625735407</v>
      </c>
      <c r="U27" s="78"/>
    </row>
    <row r="28" spans="1:21" s="79" customFormat="1" ht="13.2" hidden="1">
      <c r="A28" s="123" t="s">
        <v>417</v>
      </c>
      <c r="B28" s="131">
        <f>SUM(F26:F28)</f>
        <v>5536633.6291866023</v>
      </c>
      <c r="C28" s="131">
        <f>AVERAGE(F26:F28)</f>
        <v>1845544.5430622008</v>
      </c>
      <c r="D28" s="90">
        <f>C28/C25-1</f>
        <v>0.2930407244495512</v>
      </c>
      <c r="E28" s="286">
        <f>C28/C16-1</f>
        <v>-4.7957928485322321E-2</v>
      </c>
      <c r="F28" s="78">
        <f>Q28/19</f>
        <v>2380385.210526316</v>
      </c>
      <c r="G28" s="90">
        <f t="shared" si="2"/>
        <v>1.7418243339195829</v>
      </c>
      <c r="H28" s="90">
        <f t="shared" si="3"/>
        <v>0.57253511098673582</v>
      </c>
      <c r="I28" s="130">
        <f t="shared" si="0"/>
        <v>73182.179900001618</v>
      </c>
      <c r="J28" s="130">
        <f t="shared" si="4"/>
        <v>7.8901703834661774E-2</v>
      </c>
      <c r="K28" s="78">
        <f>R26+R27+R28</f>
        <v>142691059127</v>
      </c>
      <c r="L28" s="90">
        <f>U28/U25-1</f>
        <v>0.21621911053782883</v>
      </c>
      <c r="M28" s="90">
        <f>U28/U16-1</f>
        <v>-0.1220351392269855</v>
      </c>
      <c r="N28" s="88">
        <f>AVERAGE(T26:T28)</f>
        <v>52911.732555904695</v>
      </c>
      <c r="O28" s="91">
        <f>N28/N25-1</f>
        <v>0.28311639162297442</v>
      </c>
      <c r="P28" s="129" t="s">
        <v>417</v>
      </c>
      <c r="Q28" s="116">
        <v>45227319</v>
      </c>
      <c r="R28" s="116">
        <v>59012332008</v>
      </c>
      <c r="S28" s="116">
        <v>618.01</v>
      </c>
      <c r="T28" s="130">
        <f t="shared" si="1"/>
        <v>73182.179900001618</v>
      </c>
      <c r="U28" s="85">
        <f>Q26+Q27+Q28</f>
        <v>107800566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2003984.4090909092</v>
      </c>
      <c r="G29" s="190">
        <f t="shared" ref="G29" si="5">F29/F28-1</f>
        <v>-0.15812600404796773</v>
      </c>
      <c r="H29" s="190">
        <f t="shared" ref="H29" si="6">F29/F17-1</f>
        <v>0.41009830980101536</v>
      </c>
      <c r="I29" s="130">
        <f t="shared" si="0"/>
        <v>50806.864880437912</v>
      </c>
      <c r="J29" s="130">
        <f t="shared" si="4"/>
        <v>-0.24220479953587248</v>
      </c>
      <c r="K29" s="136"/>
      <c r="L29" s="190"/>
      <c r="M29" s="190"/>
      <c r="N29" s="191"/>
      <c r="O29" s="192"/>
      <c r="P29" s="129" t="s">
        <v>430</v>
      </c>
      <c r="Q29" s="116">
        <v>44087657</v>
      </c>
      <c r="R29" s="116">
        <v>57752780796</v>
      </c>
      <c r="S29" s="116">
        <v>867.75</v>
      </c>
      <c r="T29" s="130">
        <f t="shared" ref="T29" si="7">Q29/S29</f>
        <v>50806.864880437912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1339653.894736842</v>
      </c>
      <c r="G30" s="190">
        <f t="shared" ref="G30" si="8">F30/F29-1</f>
        <v>-0.33150483174439227</v>
      </c>
      <c r="H30" s="190">
        <f t="shared" ref="H30" si="9">F30/F18-1</f>
        <v>0.28961291580362247</v>
      </c>
      <c r="I30" s="130">
        <f t="shared" si="0"/>
        <v>30707.843018977186</v>
      </c>
      <c r="J30" s="130">
        <f t="shared" si="4"/>
        <v>-0.5237756307853505</v>
      </c>
      <c r="K30" s="136"/>
      <c r="L30" s="190"/>
      <c r="M30" s="190"/>
      <c r="N30" s="191"/>
      <c r="O30" s="192"/>
      <c r="P30" s="129" t="s">
        <v>466</v>
      </c>
      <c r="Q30" s="116">
        <v>25453424</v>
      </c>
      <c r="R30" s="116">
        <v>33895160264</v>
      </c>
      <c r="S30" s="116">
        <v>828.89</v>
      </c>
      <c r="T30" s="130">
        <f t="shared" ref="T30" si="10">Q30/S30</f>
        <v>30707.843018977186</v>
      </c>
      <c r="U30" s="85"/>
    </row>
    <row r="31" spans="1:21" s="79" customFormat="1" ht="13.2" hidden="1">
      <c r="A31" s="129" t="s">
        <v>505</v>
      </c>
      <c r="B31" s="188">
        <f>SUM(F29:F31)</f>
        <v>5439962.0538277514</v>
      </c>
      <c r="C31" s="188">
        <f>AVERAGE(F29:F31)</f>
        <v>1813320.6846092504</v>
      </c>
      <c r="D31" s="190">
        <f>C31/C28-1</f>
        <v>-1.7460352595707773E-2</v>
      </c>
      <c r="E31" s="287">
        <f>C31/C19-1</f>
        <v>0.51928932704980602</v>
      </c>
      <c r="F31" s="136">
        <f>Q31/20</f>
        <v>2096323.75</v>
      </c>
      <c r="G31" s="190">
        <f t="shared" ref="G31" si="11">F31/F30-1</f>
        <v>0.56482488367773231</v>
      </c>
      <c r="H31" s="190">
        <f t="shared" ref="H31" si="12">F31/F19-1</f>
        <v>0.8706704684346136</v>
      </c>
      <c r="I31" s="130">
        <f t="shared" si="0"/>
        <v>49108.033873688153</v>
      </c>
      <c r="J31" s="130">
        <f t="shared" si="4"/>
        <v>0.28955983080679348</v>
      </c>
      <c r="K31" s="136">
        <f>R29+R30+R31</f>
        <v>147352786063</v>
      </c>
      <c r="L31" s="190">
        <f>U31/U28-1</f>
        <v>3.4016426221732399E-2</v>
      </c>
      <c r="M31" s="190">
        <f>U31/U19-1</f>
        <v>0.50931280092135234</v>
      </c>
      <c r="N31" s="191">
        <f>AVERAGE(T29:T31)</f>
        <v>43540.913924367749</v>
      </c>
      <c r="O31" s="192">
        <f>N31/N28-1</f>
        <v>-0.17710284995177705</v>
      </c>
      <c r="P31" s="129" t="s">
        <v>506</v>
      </c>
      <c r="Q31" s="116">
        <v>41926475</v>
      </c>
      <c r="R31" s="116">
        <v>55704845003</v>
      </c>
      <c r="S31" s="116">
        <v>853.76</v>
      </c>
      <c r="T31" s="130">
        <f t="shared" ref="T31" si="13">Q31/S31</f>
        <v>49108.033873688153</v>
      </c>
      <c r="U31" s="85">
        <f>Q29+Q30+Q31</f>
        <v>111467556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2303734.7619047621</v>
      </c>
      <c r="G32" s="190">
        <f t="shared" ref="G32" si="14">F32/F31-1</f>
        <v>9.894035303695925E-2</v>
      </c>
      <c r="H32" s="190">
        <f t="shared" ref="H32" si="15">F32/F20-1</f>
        <v>0.16766273424895517</v>
      </c>
      <c r="I32" s="130">
        <f t="shared" si="0"/>
        <v>49457.089113566894</v>
      </c>
      <c r="J32" s="130">
        <f t="shared" si="4"/>
        <v>1.4600304730723268E-2</v>
      </c>
      <c r="K32" s="136"/>
      <c r="L32" s="190"/>
      <c r="M32" s="190"/>
      <c r="N32" s="191"/>
      <c r="O32" s="192"/>
      <c r="P32" s="129" t="s">
        <v>589</v>
      </c>
      <c r="Q32" s="116">
        <v>48378430</v>
      </c>
      <c r="R32" s="116">
        <v>65466059586</v>
      </c>
      <c r="S32" s="116">
        <v>978.19</v>
      </c>
      <c r="T32" s="130">
        <f t="shared" ref="T32" si="16">Q32/S32</f>
        <v>49457.089113566894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1863223.0476190476</v>
      </c>
      <c r="G33" s="190">
        <f t="shared" ref="G33" si="17">F33/F32-1</f>
        <v>-0.19121633339486221</v>
      </c>
      <c r="H33" s="190">
        <f t="shared" ref="H33" si="18">F33/F21-1</f>
        <v>0.96808931278331301</v>
      </c>
      <c r="I33" s="130">
        <f t="shared" si="0"/>
        <v>42815.371989451451</v>
      </c>
      <c r="J33" s="130">
        <f t="shared" si="4"/>
        <v>0.71067226707988751</v>
      </c>
      <c r="K33" s="136"/>
      <c r="L33" s="190"/>
      <c r="M33" s="190"/>
      <c r="N33" s="191"/>
      <c r="O33" s="192"/>
      <c r="P33" s="129" t="s">
        <v>607</v>
      </c>
      <c r="Q33" s="116">
        <v>39127684</v>
      </c>
      <c r="R33" s="116">
        <v>53460818371</v>
      </c>
      <c r="S33" s="116">
        <v>913.87</v>
      </c>
      <c r="T33" s="130">
        <f t="shared" ref="T33" si="19">Q33/S33</f>
        <v>42815.371989451451</v>
      </c>
      <c r="U33" s="85"/>
    </row>
    <row r="34" spans="1:21" s="79" customFormat="1" ht="13.2" hidden="1">
      <c r="A34" s="129" t="s">
        <v>652</v>
      </c>
      <c r="B34" s="188">
        <f>SUM(F32:F34)</f>
        <v>4984808.28320802</v>
      </c>
      <c r="C34" s="188">
        <f>AVERAGE(F32:F34)</f>
        <v>1661602.7610693399</v>
      </c>
      <c r="D34" s="190">
        <f>C34/C31-1</f>
        <v>-8.3668556161980767E-2</v>
      </c>
      <c r="E34" s="287">
        <f>C34/C22-1</f>
        <v>0.23694450789147226</v>
      </c>
      <c r="F34" s="136">
        <f>Q34/19</f>
        <v>817850.47368421056</v>
      </c>
      <c r="G34" s="190">
        <f t="shared" ref="G34" si="20">F34/F33-1</f>
        <v>-0.561056055672285</v>
      </c>
      <c r="H34" s="190">
        <f t="shared" ref="H34" si="21">F34/F22-1</f>
        <v>-0.26338014096259466</v>
      </c>
      <c r="I34" s="130">
        <f t="shared" si="0"/>
        <v>29267.25995404377</v>
      </c>
      <c r="J34" s="130">
        <f t="shared" si="4"/>
        <v>2.7988622845234179E-3</v>
      </c>
      <c r="K34" s="136">
        <f>R32+R33+R34</f>
        <v>140297470457</v>
      </c>
      <c r="L34" s="190">
        <f>U34/U31-1</f>
        <v>-7.5558156132893073E-2</v>
      </c>
      <c r="M34" s="190">
        <f>U34/U22-1</f>
        <v>0.24668034807363437</v>
      </c>
      <c r="N34" s="191">
        <f>AVERAGE(T32:T34)</f>
        <v>40513.240352354034</v>
      </c>
      <c r="O34" s="192">
        <f>N34/N31-1</f>
        <v>-6.9536288955094117E-2</v>
      </c>
      <c r="P34" s="129" t="s">
        <v>652</v>
      </c>
      <c r="Q34" s="116">
        <v>15539159</v>
      </c>
      <c r="R34" s="116">
        <v>21370592500</v>
      </c>
      <c r="S34" s="116">
        <v>530.94000000000005</v>
      </c>
      <c r="T34" s="130">
        <f t="shared" ref="T34" si="22">Q34/S34</f>
        <v>29267.25995404377</v>
      </c>
      <c r="U34" s="85">
        <f>Q32+Q33+Q34</f>
        <v>103045273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2393791.3043478262</v>
      </c>
      <c r="G35" s="190">
        <f t="shared" ref="G35" si="23">F35/F34-1</f>
        <v>1.926930265827687</v>
      </c>
      <c r="H35" s="190">
        <f t="shared" ref="H35" si="24">F35/F23-1</f>
        <v>0.48917208989147065</v>
      </c>
      <c r="I35" s="130">
        <f t="shared" si="0"/>
        <v>62553.626613343033</v>
      </c>
      <c r="J35" s="130">
        <f t="shared" si="4"/>
        <v>0.27544948149482584</v>
      </c>
      <c r="K35" s="136"/>
      <c r="L35" s="190"/>
      <c r="M35" s="190"/>
      <c r="N35" s="191"/>
      <c r="O35" s="192"/>
      <c r="P35" s="129" t="s">
        <v>660</v>
      </c>
      <c r="Q35" s="116">
        <v>55057200</v>
      </c>
      <c r="R35" s="116">
        <v>76263424235</v>
      </c>
      <c r="S35" s="116">
        <v>880.16</v>
      </c>
      <c r="T35" s="130">
        <f t="shared" ref="T35" si="25">Q35/S35</f>
        <v>62553.626613343033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1400280.5238095238</v>
      </c>
      <c r="G36" s="190">
        <f t="shared" ref="G36" si="26">F36/F35-1</f>
        <v>-0.41503650662185787</v>
      </c>
      <c r="H36" s="190">
        <f t="shared" ref="H36" si="27">F36/F24-1</f>
        <v>3.3333161944285816E-2</v>
      </c>
      <c r="I36" s="130">
        <f t="shared" si="0"/>
        <v>48731.238088924983</v>
      </c>
      <c r="J36" s="130">
        <f t="shared" si="4"/>
        <v>6.2339433877502515E-2</v>
      </c>
      <c r="K36" s="136"/>
      <c r="L36" s="190"/>
      <c r="M36" s="190"/>
      <c r="N36" s="191"/>
      <c r="O36" s="192"/>
      <c r="P36" s="129" t="s">
        <v>666</v>
      </c>
      <c r="Q36" s="116">
        <v>29405891</v>
      </c>
      <c r="R36" s="116">
        <v>40175015553</v>
      </c>
      <c r="S36" s="116">
        <v>603.42999999999995</v>
      </c>
      <c r="T36" s="130">
        <f t="shared" ref="T36" si="28">Q36/S36</f>
        <v>48731.238088924983</v>
      </c>
      <c r="U36" s="85"/>
    </row>
    <row r="37" spans="1:21" s="79" customFormat="1" ht="13.2" hidden="1">
      <c r="A37" s="129" t="s">
        <v>702</v>
      </c>
      <c r="B37" s="188">
        <f>SUM(F35:F37)</f>
        <v>5127389.5503795724</v>
      </c>
      <c r="C37" s="188">
        <f>AVERAGE(F35:F37)</f>
        <v>1709129.8501265242</v>
      </c>
      <c r="D37" s="190">
        <f>C37/C34-1</f>
        <v>2.8603159654475796E-2</v>
      </c>
      <c r="E37" s="287">
        <f>C37/C25-1</f>
        <v>0.19746473088050021</v>
      </c>
      <c r="F37" s="136">
        <f>Q37/18</f>
        <v>1333317.7222222222</v>
      </c>
      <c r="G37" s="190">
        <f t="shared" ref="G37" si="29">F37/F36-1</f>
        <v>-4.7820990472056457E-2</v>
      </c>
      <c r="H37" s="190">
        <f t="shared" ref="H37" si="30">F37/F25-1</f>
        <v>1.0628104565098662E-2</v>
      </c>
      <c r="I37" s="130">
        <f t="shared" si="0"/>
        <v>43766.356043475091</v>
      </c>
      <c r="J37" s="130">
        <f t="shared" si="4"/>
        <v>0.51994631932220825</v>
      </c>
      <c r="K37" s="136">
        <f>R35+R36+R37</f>
        <v>148454014635</v>
      </c>
      <c r="L37" s="190">
        <f>U37/U34-1</f>
        <v>5.2574337883504851E-2</v>
      </c>
      <c r="M37" s="190">
        <f>U37/U25-1</f>
        <v>0.22369062797530703</v>
      </c>
      <c r="N37" s="191">
        <f>AVERAGE(T35:T37)</f>
        <v>51683.740248581038</v>
      </c>
      <c r="O37" s="192">
        <f>N37/N34-1</f>
        <v>0.27572467171409398</v>
      </c>
      <c r="P37" s="129" t="s">
        <v>702</v>
      </c>
      <c r="Q37" s="116">
        <v>23999719</v>
      </c>
      <c r="R37" s="116">
        <v>32015574847</v>
      </c>
      <c r="S37" s="116">
        <v>548.36</v>
      </c>
      <c r="T37" s="130">
        <f t="shared" ref="T37" si="31">Q37/S37</f>
        <v>43766.356043475091</v>
      </c>
      <c r="U37" s="85">
        <f>Q35+Q36+Q37</f>
        <v>108462810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2265409.9</v>
      </c>
      <c r="G38" s="190">
        <f t="shared" ref="G38" si="32">F38/F37-1</f>
        <v>0.69907731836360232</v>
      </c>
      <c r="H38" s="190">
        <f t="shared" ref="H38" si="33">F38/F26-1</f>
        <v>-9.9047711539902439E-3</v>
      </c>
      <c r="I38" s="130">
        <f t="shared" si="0"/>
        <v>93272.805500658767</v>
      </c>
      <c r="J38" s="130">
        <f t="shared" si="4"/>
        <v>0.64385089981025012</v>
      </c>
      <c r="K38" s="136"/>
      <c r="L38" s="190"/>
      <c r="M38" s="190"/>
      <c r="N38" s="191"/>
      <c r="O38" s="192"/>
      <c r="P38" s="129" t="s">
        <v>728</v>
      </c>
      <c r="Q38" s="116">
        <v>45308198</v>
      </c>
      <c r="R38" s="116">
        <v>60777486763</v>
      </c>
      <c r="S38" s="116">
        <v>485.76</v>
      </c>
      <c r="T38" s="130">
        <f t="shared" ref="T38" si="34">Q38/S38</f>
        <v>93272.805500658767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1191973.857142857</v>
      </c>
      <c r="G39" s="190">
        <f t="shared" ref="G39" si="35">F39/F38-1</f>
        <v>-0.47383744674954542</v>
      </c>
      <c r="H39" s="190">
        <f t="shared" ref="H39" si="36">F39/F27-1</f>
        <v>0.37296388519724388</v>
      </c>
      <c r="I39" s="130">
        <f t="shared" si="0"/>
        <v>43535.229664156388</v>
      </c>
      <c r="J39" s="130">
        <f t="shared" si="4"/>
        <v>0.51097946212547929</v>
      </c>
      <c r="K39" s="136"/>
      <c r="L39" s="190"/>
      <c r="M39" s="190"/>
      <c r="N39" s="191"/>
      <c r="O39" s="192"/>
      <c r="P39" s="129" t="s">
        <v>762</v>
      </c>
      <c r="Q39" s="116">
        <v>25031451</v>
      </c>
      <c r="R39" s="116">
        <v>34824656250</v>
      </c>
      <c r="S39" s="116">
        <v>574.97</v>
      </c>
      <c r="T39" s="130">
        <f t="shared" ref="T39" si="37">Q39/S39</f>
        <v>43535.229664156388</v>
      </c>
      <c r="U39" s="85"/>
    </row>
    <row r="40" spans="1:21" s="79" customFormat="1" ht="13.2" hidden="1">
      <c r="A40" s="129" t="s">
        <v>778</v>
      </c>
      <c r="B40" s="188">
        <f>SUM(F38:F40)</f>
        <v>4681188.6619047616</v>
      </c>
      <c r="C40" s="188">
        <f>AVERAGE(F38:F40)</f>
        <v>1560396.2206349205</v>
      </c>
      <c r="D40" s="190">
        <f>C40/C37-1</f>
        <v>-8.7023013190362986E-2</v>
      </c>
      <c r="E40" s="287">
        <f>C40/C28-1</f>
        <v>-0.15450633445787809</v>
      </c>
      <c r="F40" s="136">
        <f>Q40/21</f>
        <v>1223804.9047619049</v>
      </c>
      <c r="G40" s="190">
        <f t="shared" ref="G40" si="38">F40/F39-1</f>
        <v>2.6704484690080577E-2</v>
      </c>
      <c r="H40" s="190">
        <f t="shared" ref="H40" si="39">F40/F28-1</f>
        <v>-0.48587947053690739</v>
      </c>
      <c r="I40" s="130">
        <f t="shared" si="0"/>
        <v>40306.618465833344</v>
      </c>
      <c r="J40" s="130">
        <f t="shared" si="4"/>
        <v>-0.44922905383647294</v>
      </c>
      <c r="K40" s="136">
        <f>R38+R39+R40</f>
        <v>132081640525</v>
      </c>
      <c r="L40" s="190">
        <f>U40/U37-1</f>
        <v>-0.11453933380483139</v>
      </c>
      <c r="M40" s="190">
        <f>U40/U28-1</f>
        <v>-0.10909974257463551</v>
      </c>
      <c r="N40" s="191">
        <f>AVERAGE(T38:T40)</f>
        <v>59038.217876882823</v>
      </c>
      <c r="O40" s="192">
        <f>N40/N37-1</f>
        <v>0.14229770509892026</v>
      </c>
      <c r="P40" s="129" t="s">
        <v>778</v>
      </c>
      <c r="Q40" s="116">
        <v>25699903</v>
      </c>
      <c r="R40" s="116">
        <v>36479497512</v>
      </c>
      <c r="S40" s="116">
        <v>637.61</v>
      </c>
      <c r="T40" s="130">
        <f t="shared" ref="T40" si="40">Q40/S40</f>
        <v>40306.618465833344</v>
      </c>
      <c r="U40" s="85">
        <f>Q38+Q39+Q40</f>
        <v>96039552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1773396.8333333333</v>
      </c>
      <c r="G41" s="190">
        <f t="shared" ref="G41" si="41">F41/F40-1</f>
        <v>0.44908459382122934</v>
      </c>
      <c r="H41" s="190">
        <f t="shared" ref="H41" si="42">F41/F29-1</f>
        <v>-0.1150645557478065</v>
      </c>
      <c r="I41" s="130">
        <f t="shared" si="0"/>
        <v>52545.091358024692</v>
      </c>
      <c r="J41" s="130">
        <f t="shared" si="4"/>
        <v>3.4212433333119296E-2</v>
      </c>
      <c r="K41" s="193"/>
      <c r="L41" s="190"/>
      <c r="M41" s="190"/>
      <c r="N41" s="193"/>
      <c r="O41" s="193"/>
      <c r="P41" s="129" t="s">
        <v>792</v>
      </c>
      <c r="Q41" s="116">
        <v>31921143</v>
      </c>
      <c r="R41" s="116">
        <v>46781368835</v>
      </c>
      <c r="S41" s="116">
        <v>607.5</v>
      </c>
      <c r="T41" s="130">
        <f t="shared" ref="T41" si="43">Q41/S41</f>
        <v>52545.091358024692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1969285.8</v>
      </c>
      <c r="G42" s="190">
        <f t="shared" ref="G42" si="44">F42/F41-1</f>
        <v>0.11045974763497668</v>
      </c>
      <c r="H42" s="190">
        <f t="shared" ref="H42" si="45">F42/F30-1</f>
        <v>0.46999595025015117</v>
      </c>
      <c r="I42" s="130">
        <f t="shared" si="0"/>
        <v>69031.138375251961</v>
      </c>
      <c r="J42" s="130">
        <f t="shared" si="4"/>
        <v>1.2479969802044155</v>
      </c>
      <c r="K42" s="193"/>
      <c r="L42" s="190"/>
      <c r="M42" s="190"/>
      <c r="N42" s="193"/>
      <c r="O42" s="193"/>
      <c r="P42" s="129" t="s">
        <v>826</v>
      </c>
      <c r="Q42" s="116">
        <v>39385716</v>
      </c>
      <c r="R42" s="116">
        <v>56841140004</v>
      </c>
      <c r="S42" s="116">
        <v>570.54999999999995</v>
      </c>
      <c r="T42" s="130">
        <f t="shared" ref="T42" si="46">Q42/S42</f>
        <v>69031.138375251961</v>
      </c>
      <c r="U42" s="78"/>
    </row>
    <row r="43" spans="1:21" s="79" customFormat="1" ht="13.2">
      <c r="A43" s="129" t="s">
        <v>835</v>
      </c>
      <c r="B43" s="188">
        <f>SUM(F41:F43)</f>
        <v>5041732.583333333</v>
      </c>
      <c r="C43" s="188">
        <f>AVERAGE(F41:F43)</f>
        <v>1680577.5277777778</v>
      </c>
      <c r="D43" s="190">
        <f>C43/C40-1</f>
        <v>7.7019737393337007E-2</v>
      </c>
      <c r="E43" s="287">
        <f>C43/C31-1</f>
        <v>-7.3204457412383905E-2</v>
      </c>
      <c r="F43" s="136">
        <f>Q43/20</f>
        <v>1299049.95</v>
      </c>
      <c r="G43" s="190">
        <f t="shared" ref="G43" si="47">F43/F42-1</f>
        <v>-0.34034463154103889</v>
      </c>
      <c r="H43" s="190">
        <f t="shared" ref="H43" si="48">F43/F31-1</f>
        <v>-0.38031997681655805</v>
      </c>
      <c r="I43" s="130">
        <f t="shared" si="0"/>
        <v>35409.964291555363</v>
      </c>
      <c r="J43" s="130">
        <f t="shared" si="4"/>
        <v>-0.27893744671932685</v>
      </c>
      <c r="K43" s="136">
        <f>R41+R42+R43</f>
        <v>141197866971</v>
      </c>
      <c r="L43" s="190">
        <f>U43/U40-1</f>
        <v>1.2997832393053965E-2</v>
      </c>
      <c r="M43" s="190">
        <f>K43/K31-1</f>
        <v>-4.176995397541039E-2</v>
      </c>
      <c r="N43" s="191">
        <f>AVERAGE(T41:T43)</f>
        <v>52328.73134161067</v>
      </c>
      <c r="O43" s="192">
        <f>N43/N40-1</f>
        <v>-0.11364649504265167</v>
      </c>
      <c r="P43" s="129" t="s">
        <v>835</v>
      </c>
      <c r="Q43" s="116">
        <v>25980999</v>
      </c>
      <c r="R43" s="116">
        <v>37575358132</v>
      </c>
      <c r="S43" s="116">
        <v>733.72</v>
      </c>
      <c r="T43" s="130">
        <f t="shared" ref="T43" si="49">Q43/S43</f>
        <v>35409.964291555363</v>
      </c>
      <c r="U43" s="85">
        <f>Q41+Q42+Q43</f>
        <v>97287858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1435107.1363636365</v>
      </c>
      <c r="G44" s="190">
        <f t="shared" ref="G44" si="50">F44/F43-1</f>
        <v>0.10473591593890319</v>
      </c>
      <c r="H44" s="190">
        <f t="shared" ref="H44" si="51">F44/F32-1</f>
        <v>-0.37705192451188763</v>
      </c>
      <c r="I44" s="130">
        <f t="shared" si="0"/>
        <v>34771.318281938329</v>
      </c>
      <c r="J44" s="130">
        <f t="shared" si="4"/>
        <v>-0.29693965202654871</v>
      </c>
      <c r="K44" s="136"/>
      <c r="L44" s="190"/>
      <c r="M44" s="190"/>
      <c r="N44" s="191"/>
      <c r="O44" s="192"/>
      <c r="P44" s="129" t="s">
        <v>843</v>
      </c>
      <c r="Q44" s="116">
        <v>31572357</v>
      </c>
      <c r="R44" s="116">
        <v>45762753387</v>
      </c>
      <c r="S44" s="116">
        <v>908</v>
      </c>
      <c r="T44" s="130">
        <f t="shared" ref="T44" si="52">Q44/S44</f>
        <v>34771.318281938329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1338040.05</v>
      </c>
      <c r="G45" s="190">
        <f t="shared" ref="G45" si="53">F45/F44-1</f>
        <v>-6.7637519112051181E-2</v>
      </c>
      <c r="H45" s="190">
        <f t="shared" ref="H45" si="54">F45/F33-1</f>
        <v>-0.28186802341789507</v>
      </c>
      <c r="I45" s="130">
        <f t="shared" si="0"/>
        <v>36381.039194094374</v>
      </c>
      <c r="J45" s="130">
        <f t="shared" si="4"/>
        <v>-0.15028090371239378</v>
      </c>
      <c r="K45" s="136"/>
      <c r="L45" s="190"/>
      <c r="M45" s="190"/>
      <c r="N45" s="191"/>
      <c r="O45" s="192"/>
      <c r="P45" s="129" t="s">
        <v>849</v>
      </c>
      <c r="Q45" s="116">
        <v>26760801</v>
      </c>
      <c r="R45" s="116">
        <v>37821657755</v>
      </c>
      <c r="S45" s="116">
        <v>735.57</v>
      </c>
      <c r="T45" s="130">
        <f t="shared" ref="T45" si="55">Q45/S45</f>
        <v>36381.039194094374</v>
      </c>
      <c r="U45" s="85"/>
    </row>
    <row r="46" spans="1:21" s="79" customFormat="1" ht="13.2">
      <c r="A46" s="129" t="s">
        <v>911</v>
      </c>
      <c r="B46" s="188">
        <f>SUM(F44:F46)</f>
        <v>4645752.5021531098</v>
      </c>
      <c r="C46" s="188">
        <f>AVERAGE(F44:F46)</f>
        <v>1548584.16738437</v>
      </c>
      <c r="D46" s="190">
        <f>C46/C43-1</f>
        <v>-7.8540476837115736E-2</v>
      </c>
      <c r="E46" s="287">
        <f>C46/C34-1</f>
        <v>-6.801781769563009E-2</v>
      </c>
      <c r="F46" s="136">
        <f>Q46/19</f>
        <v>1872605.3157894737</v>
      </c>
      <c r="G46" s="190">
        <f t="shared" ref="G46" si="56">F46/F45-1</f>
        <v>0.39951365117170723</v>
      </c>
      <c r="H46" s="190">
        <f t="shared" ref="H46" si="57">F46/F34-1</f>
        <v>1.2896670920221616</v>
      </c>
      <c r="I46" s="130">
        <f t="shared" si="0"/>
        <v>43077.585538901127</v>
      </c>
      <c r="J46" s="130">
        <f t="shared" si="4"/>
        <v>0.47186944068364101</v>
      </c>
      <c r="K46" s="136">
        <f>R44+R45+R46</f>
        <v>132276950551</v>
      </c>
      <c r="L46" s="190">
        <f>U46/U43-1</f>
        <v>-3.4692911010539507E-2</v>
      </c>
      <c r="M46" s="190">
        <f>K46/K34-1</f>
        <v>-5.7167958052801948E-2</v>
      </c>
      <c r="N46" s="191">
        <f>AVERAGE(T44:T46)</f>
        <v>38076.647671644612</v>
      </c>
      <c r="O46" s="192">
        <f>N46/N43-1</f>
        <v>-0.27235675898439204</v>
      </c>
      <c r="P46" s="129" t="s">
        <v>888</v>
      </c>
      <c r="Q46" s="116">
        <v>35579501</v>
      </c>
      <c r="R46" s="116">
        <v>48692539409</v>
      </c>
      <c r="S46" s="116">
        <v>825.94</v>
      </c>
      <c r="T46" s="130">
        <f t="shared" ref="T46" si="58">Q46/S46</f>
        <v>43077.585538901127</v>
      </c>
      <c r="U46" s="85">
        <f t="shared" ref="U46:U51" si="59">Q44+Q45+Q46</f>
        <v>93912659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1599833.1304347827</v>
      </c>
      <c r="G47" s="190">
        <f t="shared" ref="G47" si="60">F47/F46-1</f>
        <v>-0.14566453649080491</v>
      </c>
      <c r="H47" s="190">
        <f t="shared" ref="H47" si="61">F47/F35-1</f>
        <v>-0.33167393183816107</v>
      </c>
      <c r="I47" s="130">
        <f t="shared" si="0"/>
        <v>63479.965496420256</v>
      </c>
      <c r="J47" s="130">
        <f t="shared" si="4"/>
        <v>1.480871586875554E-2</v>
      </c>
      <c r="K47" s="136"/>
      <c r="L47" s="190"/>
      <c r="M47" s="190"/>
      <c r="N47" s="191"/>
      <c r="O47" s="192"/>
      <c r="P47" s="129" t="s">
        <v>1029</v>
      </c>
      <c r="Q47" s="116">
        <v>36796162</v>
      </c>
      <c r="R47" s="116">
        <v>50365529040</v>
      </c>
      <c r="S47" s="116">
        <v>579.65</v>
      </c>
      <c r="T47" s="130">
        <f t="shared" ref="T47" si="62">Q47/S47</f>
        <v>63479.965496420256</v>
      </c>
      <c r="U47" s="85">
        <f t="shared" si="59"/>
        <v>99136464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685988.35</v>
      </c>
      <c r="G48" s="190">
        <f t="shared" ref="G48" si="63">F48/F47-1</f>
        <v>-0.57121256151660604</v>
      </c>
      <c r="H48" s="190">
        <f t="shared" ref="H48" si="64">F48/F36-1</f>
        <v>-0.51010648342537901</v>
      </c>
      <c r="I48" s="130">
        <f t="shared" si="0"/>
        <v>39843.663239821108</v>
      </c>
      <c r="J48" s="130">
        <f t="shared" si="4"/>
        <v>-0.1823794181647056</v>
      </c>
      <c r="K48" s="136"/>
      <c r="L48" s="190"/>
      <c r="M48" s="190"/>
      <c r="N48" s="191"/>
      <c r="O48" s="192"/>
      <c r="P48" s="129" t="s">
        <v>1120</v>
      </c>
      <c r="Q48" s="116">
        <v>13719767</v>
      </c>
      <c r="R48" s="116">
        <v>19035111350</v>
      </c>
      <c r="S48" s="116">
        <v>344.34</v>
      </c>
      <c r="T48" s="130">
        <f t="shared" ref="T48" si="65">Q48/S48</f>
        <v>39843.663239821108</v>
      </c>
      <c r="U48" s="85">
        <f t="shared" si="59"/>
        <v>86095430</v>
      </c>
    </row>
    <row r="49" spans="1:26" ht="13.2">
      <c r="A49" s="129" t="s">
        <v>1207</v>
      </c>
      <c r="B49" s="188">
        <f>SUM(F47:F49)</f>
        <v>4591074.7531620562</v>
      </c>
      <c r="C49" s="188">
        <f>AVERAGE(F47:F49)</f>
        <v>1530358.2510540187</v>
      </c>
      <c r="D49" s="190">
        <f>C49/C46-1</f>
        <v>-1.176940634821011E-2</v>
      </c>
      <c r="E49" s="287">
        <f>C49/C37-1</f>
        <v>-0.10459802048350586</v>
      </c>
      <c r="F49" s="136">
        <f>Q49/22</f>
        <v>2305253.2727272729</v>
      </c>
      <c r="G49" s="190">
        <f t="shared" ref="G49" si="66">F49/F48-1</f>
        <v>2.3604845807181318</v>
      </c>
      <c r="H49" s="190">
        <f t="shared" ref="H49" si="67">F49/F37-1</f>
        <v>0.72896019778777044</v>
      </c>
      <c r="I49" s="130">
        <f t="shared" si="0"/>
        <v>58804.072120122903</v>
      </c>
      <c r="J49" s="130">
        <f t="shared" si="4"/>
        <v>0.34359077236656788</v>
      </c>
      <c r="K49" s="136">
        <f>R47+R48+R49</f>
        <v>139922822879</v>
      </c>
      <c r="L49" s="190">
        <f>U49/U46-1</f>
        <v>7.7932432942826146E-2</v>
      </c>
      <c r="M49" s="190">
        <f>K49/K37-1</f>
        <v>-5.7466898264593391E-2</v>
      </c>
      <c r="N49" s="191">
        <f>AVERAGE(T47:T49)</f>
        <v>54042.566952121422</v>
      </c>
      <c r="O49" s="192">
        <f>N49/N46-1</f>
        <v>0.41931000381544892</v>
      </c>
      <c r="P49" s="129" t="s">
        <v>1158</v>
      </c>
      <c r="Q49" s="116">
        <v>50715572</v>
      </c>
      <c r="R49" s="116">
        <v>70522182489</v>
      </c>
      <c r="S49" s="116">
        <v>862.45</v>
      </c>
      <c r="T49" s="130">
        <f t="shared" ref="T49" si="68">Q49/S49</f>
        <v>58804.072120122903</v>
      </c>
      <c r="U49" s="85">
        <f t="shared" si="59"/>
        <v>101231501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2144712.4444444445</v>
      </c>
      <c r="G50" s="190">
        <f t="shared" ref="G50" si="69">F50/F49-1</f>
        <v>-6.9641297198072105E-2</v>
      </c>
      <c r="H50" s="190">
        <f t="shared" ref="H50" si="70">F50/F38-1</f>
        <v>-5.3278417983233628E-2</v>
      </c>
      <c r="I50" s="130">
        <f t="shared" ref="I50" si="71">T50</f>
        <v>71511.60343805571</v>
      </c>
      <c r="J50" s="130">
        <f t="shared" ref="J50" si="72">I50/I38-1</f>
        <v>-0.23330703891446003</v>
      </c>
      <c r="K50" s="136"/>
      <c r="L50" s="190"/>
      <c r="M50" s="190"/>
      <c r="N50" s="191"/>
      <c r="O50" s="192"/>
      <c r="P50" s="129" t="s">
        <v>1291</v>
      </c>
      <c r="Q50" s="116">
        <v>38604824</v>
      </c>
      <c r="R50" s="116">
        <v>54472711795</v>
      </c>
      <c r="S50" s="116">
        <v>539.84</v>
      </c>
      <c r="T50" s="130">
        <f t="shared" ref="T50" si="73">Q50/S50</f>
        <v>71511.60343805571</v>
      </c>
      <c r="U50" s="85">
        <f t="shared" si="59"/>
        <v>103040163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1273392.6499999999</v>
      </c>
      <c r="G51" s="190">
        <f t="shared" ref="G51:G52" si="74">F51/F50-1</f>
        <v>-0.40626415755709711</v>
      </c>
      <c r="H51" s="190">
        <f t="shared" ref="H51:H52" si="75">F51/F39-1</f>
        <v>6.8305854502801244E-2</v>
      </c>
      <c r="I51" s="130">
        <f t="shared" ref="I51:I52" si="76">T51</f>
        <v>55974.533506230902</v>
      </c>
      <c r="J51" s="130">
        <f t="shared" ref="J51:J52" si="77">I51/I39-1</f>
        <v>0.28572960193468555</v>
      </c>
      <c r="K51" s="136"/>
      <c r="L51" s="190"/>
      <c r="M51" s="190"/>
      <c r="N51" s="191"/>
      <c r="O51" s="192"/>
      <c r="P51" s="129" t="s">
        <v>1402</v>
      </c>
      <c r="Q51" s="116">
        <v>25467853</v>
      </c>
      <c r="R51" s="116">
        <v>36999346700</v>
      </c>
      <c r="S51" s="116">
        <v>454.99</v>
      </c>
      <c r="T51" s="130">
        <f t="shared" ref="T51:T52" si="78">Q51/S51</f>
        <v>55974.533506230902</v>
      </c>
      <c r="U51" s="85">
        <f t="shared" si="59"/>
        <v>114788249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4728084.6398989893</v>
      </c>
      <c r="C52" s="188">
        <f>AVERAGE(F50:F52)</f>
        <v>1576028.213299663</v>
      </c>
      <c r="D52" s="190">
        <f>C52/C49-1</f>
        <v>2.9842660837218649E-2</v>
      </c>
      <c r="E52" s="287">
        <f>C52/C40-1</f>
        <v>1.0017963680008179E-2</v>
      </c>
      <c r="F52" s="136">
        <f>Q52/22</f>
        <v>1309979.5454545454</v>
      </c>
      <c r="G52" s="190">
        <f t="shared" si="74"/>
        <v>2.8731825532796629E-2</v>
      </c>
      <c r="H52" s="190">
        <f t="shared" si="75"/>
        <v>7.0415341822319455E-2</v>
      </c>
      <c r="I52" s="130">
        <f t="shared" si="76"/>
        <v>48599.578414839794</v>
      </c>
      <c r="J52" s="130">
        <f t="shared" si="77"/>
        <v>0.20574685410625881</v>
      </c>
      <c r="K52" s="136">
        <f>R50+R51+R52</f>
        <v>133867753023</v>
      </c>
      <c r="L52" s="190">
        <f>U52/U49-1</f>
        <v>-8.2378251014968207E-2</v>
      </c>
      <c r="M52" s="190">
        <f>K52/K40-1</f>
        <v>1.3522791592385897E-2</v>
      </c>
      <c r="N52" s="191">
        <f>AVERAGE(T50:T52)</f>
        <v>58695.238453042133</v>
      </c>
      <c r="O52" s="192">
        <f>N52/N49-1</f>
        <v>8.6092718449934269E-2</v>
      </c>
      <c r="P52" s="129" t="s">
        <v>1403</v>
      </c>
      <c r="Q52" s="116">
        <v>28819550</v>
      </c>
      <c r="R52" s="116">
        <v>42395694528</v>
      </c>
      <c r="S52" s="116">
        <v>593</v>
      </c>
      <c r="T52" s="130">
        <f t="shared" si="78"/>
        <v>48599.578414839794</v>
      </c>
      <c r="U52" s="85">
        <f t="shared" ref="U52" si="79">Q50+Q51+Q52</f>
        <v>92892227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2187529.6666666665</v>
      </c>
      <c r="G53" s="190">
        <f t="shared" ref="G53" si="80">F53/F52-1</f>
        <v>0.66989604857350882</v>
      </c>
      <c r="H53" s="190">
        <f t="shared" ref="H53" si="81">F53/F41-1</f>
        <v>0.23352519049834775</v>
      </c>
      <c r="I53" s="130">
        <f t="shared" ref="I53" si="82">T53</f>
        <v>98288.593863665534</v>
      </c>
      <c r="J53" s="130">
        <f t="shared" ref="J53" si="83">I53/I41-1</f>
        <v>0.87055710292632105</v>
      </c>
      <c r="K53" s="136"/>
      <c r="L53" s="190"/>
      <c r="M53" s="190"/>
      <c r="N53" s="191"/>
      <c r="O53" s="192"/>
      <c r="P53" s="129" t="s">
        <v>1414</v>
      </c>
      <c r="Q53" s="116">
        <v>45938123</v>
      </c>
      <c r="R53" s="116">
        <v>66777747894</v>
      </c>
      <c r="S53" s="116">
        <v>467.38</v>
      </c>
      <c r="T53" s="130">
        <f t="shared" ref="T53" si="84">Q53/S53</f>
        <v>98288.593863665534</v>
      </c>
      <c r="U53" s="85">
        <f t="shared" ref="U53" si="85">Q51+Q52+Q53</f>
        <v>100225526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1190822.3529411764</v>
      </c>
      <c r="G54" s="190">
        <f t="shared" ref="G54" si="86">F54/F53-1</f>
        <v>-0.45563144990132254</v>
      </c>
      <c r="H54" s="190">
        <f t="shared" ref="H54" si="87">F54/F42-1</f>
        <v>-0.39530242235983404</v>
      </c>
      <c r="I54" s="130">
        <f t="shared" ref="I54" si="88">T54</f>
        <v>44346.067907995617</v>
      </c>
      <c r="J54" s="130">
        <f t="shared" ref="J54" si="89">I54/I42-1</f>
        <v>-0.35759326947599746</v>
      </c>
      <c r="K54" s="136"/>
      <c r="L54" s="190"/>
      <c r="M54" s="190"/>
      <c r="N54" s="191"/>
      <c r="O54" s="192"/>
      <c r="P54" s="129" t="s">
        <v>1417</v>
      </c>
      <c r="Q54" s="116">
        <v>20243980</v>
      </c>
      <c r="R54" s="116">
        <v>29300287968</v>
      </c>
      <c r="S54" s="116">
        <v>456.5</v>
      </c>
      <c r="T54" s="130">
        <f t="shared" ref="T54" si="90">Q54/S54</f>
        <v>44346.067907995617</v>
      </c>
      <c r="U54" s="85">
        <f t="shared" ref="U54" si="91">Q52+Q53+Q54</f>
        <v>95001653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4854182.6862745099</v>
      </c>
      <c r="C55" s="188">
        <f>AVERAGE(F53:F55)</f>
        <v>1618060.8954248365</v>
      </c>
      <c r="D55" s="190">
        <f>C55/C52-1</f>
        <v>2.6670006139783098E-2</v>
      </c>
      <c r="E55" s="287">
        <f>C55/C43-1</f>
        <v>-3.71994932215991E-2</v>
      </c>
      <c r="F55" s="136">
        <f>Q55/21</f>
        <v>1475830.6666666667</v>
      </c>
      <c r="G55" s="190">
        <f t="shared" ref="G55" si="92">F55/F54-1</f>
        <v>0.23933738984791209</v>
      </c>
      <c r="H55" s="190">
        <f t="shared" ref="H55" si="93">F55/F43-1</f>
        <v>0.13608461835256347</v>
      </c>
      <c r="I55" s="130">
        <f>T55</f>
        <v>68233.733295171842</v>
      </c>
      <c r="J55" s="130">
        <f t="shared" ref="J55" si="94">I55/I43-1</f>
        <v>0.92696419384541295</v>
      </c>
      <c r="K55" s="136">
        <f>R53+R54+R55</f>
        <v>141685475547</v>
      </c>
      <c r="L55" s="190">
        <f>U55/U52-1</f>
        <v>4.6099874427598664E-2</v>
      </c>
      <c r="M55" s="190">
        <f>K55/K43-1</f>
        <v>3.4533706950412579E-3</v>
      </c>
      <c r="N55" s="191">
        <f>AVERAGE(T53:T55)</f>
        <v>70289.465022277654</v>
      </c>
      <c r="O55" s="192">
        <f>N55/N52-1</f>
        <v>0.1975326598001852</v>
      </c>
      <c r="P55" s="129" t="s">
        <v>1418</v>
      </c>
      <c r="Q55" s="116">
        <v>30992444</v>
      </c>
      <c r="R55" s="116">
        <v>45607439685</v>
      </c>
      <c r="S55" s="116">
        <v>454.21</v>
      </c>
      <c r="T55" s="130">
        <f t="shared" ref="T55" si="95">Q55/S55</f>
        <v>68233.733295171842</v>
      </c>
      <c r="U55" s="85">
        <f t="shared" ref="U55" si="96">Q53+Q54+Q55</f>
        <v>97174547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1861788.5454545454</v>
      </c>
      <c r="G56" s="190">
        <f t="shared" ref="G56" si="97">F56/F55-1</f>
        <v>0.26151908041022676</v>
      </c>
      <c r="H56" s="190">
        <f t="shared" ref="H56" si="98">F56/F44-1</f>
        <v>0.29731676352196312</v>
      </c>
      <c r="I56" s="291">
        <f>T56</f>
        <v>45523.537910952051</v>
      </c>
      <c r="J56" s="130">
        <f t="shared" ref="J56" si="99">I56/I44-1</f>
        <v>0.30922668913012918</v>
      </c>
      <c r="K56" s="136"/>
      <c r="L56" s="190"/>
      <c r="M56" s="190"/>
      <c r="N56" s="191"/>
      <c r="O56" s="192"/>
      <c r="P56" s="129" t="s">
        <v>1420</v>
      </c>
      <c r="Q56" s="116">
        <v>40959348</v>
      </c>
      <c r="R56" s="116">
        <v>61243143480</v>
      </c>
      <c r="S56" s="116">
        <v>899.74</v>
      </c>
      <c r="T56" s="130">
        <f t="shared" ref="T56" si="100">Q56/S56</f>
        <v>45523.537910952051</v>
      </c>
      <c r="U56" s="85">
        <f t="shared" ref="U56" si="101">Q54+Q55+Q56</f>
        <v>92195772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957763.25</v>
      </c>
      <c r="G57" s="254">
        <f t="shared" ref="G57" si="102">F57/F56-1</f>
        <v>-0.48556819068506651</v>
      </c>
      <c r="H57" s="254">
        <f t="shared" ref="H57" si="103">F57/F45-1</f>
        <v>-0.28420434799391847</v>
      </c>
      <c r="I57" s="282">
        <f>T57</f>
        <v>31146.772357723577</v>
      </c>
      <c r="J57" s="277">
        <f t="shared" ref="J57" si="104">I57/I45-1</f>
        <v>-0.14387348333965289</v>
      </c>
      <c r="K57" s="204"/>
      <c r="L57" s="254"/>
      <c r="M57" s="254"/>
      <c r="N57" s="257"/>
      <c r="O57" s="258"/>
      <c r="P57" s="129" t="s">
        <v>1436</v>
      </c>
      <c r="Q57" s="116">
        <v>11493159</v>
      </c>
      <c r="R57" s="116">
        <v>16958153528</v>
      </c>
      <c r="S57" s="116">
        <v>369</v>
      </c>
      <c r="T57" s="130">
        <f t="shared" ref="T57" si="105">Q57/S57</f>
        <v>31146.772357723577</v>
      </c>
      <c r="U57" s="85">
        <f t="shared" ref="U57" si="106">Q55+Q56+Q57</f>
        <v>83444951</v>
      </c>
      <c r="V57" s="79"/>
      <c r="W57" s="79"/>
      <c r="X57" s="79"/>
      <c r="Y57" s="79"/>
      <c r="Z57" s="79"/>
    </row>
    <row r="58" spans="1:26">
      <c r="B58" s="196">
        <f>SUM(F56:F58)</f>
        <v>2819551.7954545454</v>
      </c>
      <c r="C58" s="196">
        <f>AVERAGE(F56:F58)</f>
        <v>1409775.8977272727</v>
      </c>
      <c r="D58" s="197">
        <f>C58/C55-1</f>
        <v>-0.12872506732379607</v>
      </c>
      <c r="E58" s="233">
        <f>C58/C46-1</f>
        <v>-8.9635599136694499E-2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149627054</v>
      </c>
      <c r="R67" s="212">
        <v>219886772555</v>
      </c>
      <c r="S67" s="213">
        <v>2646.85</v>
      </c>
      <c r="T67" s="214">
        <v>21</v>
      </c>
      <c r="U67" s="214">
        <v>30</v>
      </c>
    </row>
    <row r="68" spans="16:21" ht="18" thickBot="1">
      <c r="P68" s="180" t="s">
        <v>976</v>
      </c>
      <c r="Q68" s="181">
        <v>45938123</v>
      </c>
      <c r="R68" s="181">
        <v>66777747894</v>
      </c>
      <c r="S68" s="210">
        <v>467.38</v>
      </c>
      <c r="T68" s="210">
        <v>14</v>
      </c>
      <c r="U68" s="210">
        <v>18</v>
      </c>
    </row>
    <row r="69" spans="16:21" ht="18" thickBot="1">
      <c r="P69" s="180" t="s">
        <v>977</v>
      </c>
      <c r="Q69" s="181">
        <v>20243980</v>
      </c>
      <c r="R69" s="181">
        <v>29300287968</v>
      </c>
      <c r="S69" s="210">
        <v>456.5</v>
      </c>
      <c r="T69" s="210">
        <v>12</v>
      </c>
      <c r="U69" s="210">
        <v>13</v>
      </c>
    </row>
    <row r="70" spans="16:21" ht="18" thickBot="1">
      <c r="P70" s="180" t="s">
        <v>978</v>
      </c>
      <c r="Q70" s="181">
        <v>30992444</v>
      </c>
      <c r="R70" s="181">
        <v>45607439685</v>
      </c>
      <c r="S70" s="210">
        <v>454.21</v>
      </c>
      <c r="T70" s="210">
        <v>12</v>
      </c>
      <c r="U70" s="210">
        <v>16</v>
      </c>
    </row>
    <row r="71" spans="16:21" ht="18" thickBot="1">
      <c r="P71" s="180" t="s">
        <v>979</v>
      </c>
      <c r="Q71" s="181">
        <v>40959348</v>
      </c>
      <c r="R71" s="181">
        <v>61243143480</v>
      </c>
      <c r="S71" s="210">
        <v>899.74</v>
      </c>
      <c r="T71" s="210">
        <v>15</v>
      </c>
      <c r="U71" s="210">
        <v>19</v>
      </c>
    </row>
    <row r="72" spans="16:21" ht="18" thickBot="1">
      <c r="P72" s="180" t="s">
        <v>980</v>
      </c>
      <c r="Q72" s="181">
        <v>11493159</v>
      </c>
      <c r="R72" s="181">
        <v>16958153528</v>
      </c>
      <c r="S72" s="210">
        <v>369</v>
      </c>
      <c r="T72" s="210">
        <v>11</v>
      </c>
      <c r="U72" s="210">
        <v>16</v>
      </c>
    </row>
    <row r="73" spans="16:21" ht="18" thickBot="1">
      <c r="P73" s="180" t="s">
        <v>975</v>
      </c>
      <c r="Q73" s="181">
        <v>385318796</v>
      </c>
      <c r="R73" s="181">
        <v>547257355072</v>
      </c>
      <c r="S73" s="182">
        <v>7763.63</v>
      </c>
      <c r="T73" s="210">
        <v>31</v>
      </c>
      <c r="U73" s="210">
        <v>51</v>
      </c>
    </row>
    <row r="74" spans="16:21" ht="18" thickBot="1">
      <c r="P74" s="215" t="s">
        <v>982</v>
      </c>
      <c r="Q74" s="217" t="s">
        <v>1516</v>
      </c>
      <c r="R74"/>
      <c r="S74"/>
      <c r="T74"/>
      <c r="U74"/>
    </row>
  </sheetData>
  <phoneticPr fontId="1" type="noConversion"/>
  <conditionalFormatting sqref="C29:C30">
    <cfRule type="cellIs" dxfId="1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89"/>
  <dimension ref="A1:R36"/>
  <sheetViews>
    <sheetView topLeftCell="A13" zoomScale="85" zoomScaleNormal="8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7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3984375" style="52" bestFit="1" customWidth="1"/>
    <col min="16" max="16" width="5.59765625" style="52" customWidth="1"/>
    <col min="17" max="17" width="10.59765625" style="24" customWidth="1"/>
    <col min="18" max="18" width="5.898437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68" t="s">
        <v>253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8537105090</v>
      </c>
      <c r="O3" s="59"/>
      <c r="P3" s="59"/>
      <c r="Q3" s="19"/>
      <c r="R3" s="19"/>
    </row>
    <row r="4" spans="1:18" ht="15" customHeight="1">
      <c r="A4" s="25" t="s">
        <v>348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282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4257257.25</v>
      </c>
      <c r="F5" s="54"/>
      <c r="G5" s="54"/>
      <c r="H5" s="76" t="s">
        <v>0</v>
      </c>
      <c r="I5" s="77">
        <v>85145145</v>
      </c>
      <c r="J5" s="77"/>
      <c r="K5" s="77">
        <v>1165746.07</v>
      </c>
      <c r="L5" s="64">
        <f t="shared" ref="L5:L25" si="0">I5/K5</f>
        <v>73.039186827367985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4281429.055555556</v>
      </c>
      <c r="F6" s="54">
        <f t="shared" ref="F6:F25" si="1">E6/E5-1</f>
        <v>5.6777883355665359E-3</v>
      </c>
      <c r="G6" s="54"/>
      <c r="H6" s="76" t="s">
        <v>1</v>
      </c>
      <c r="I6" s="77">
        <v>77065723</v>
      </c>
      <c r="J6" s="77"/>
      <c r="K6" s="77">
        <v>1129074.99</v>
      </c>
      <c r="L6" s="64">
        <f t="shared" si="0"/>
        <v>68.255628441473135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13094672.760101009</v>
      </c>
      <c r="B7" s="33">
        <f>AVERAGE(E5:E7)</f>
        <v>4364890.92003367</v>
      </c>
      <c r="C7" s="57"/>
      <c r="D7" s="57"/>
      <c r="E7" s="34">
        <f>I7/22</f>
        <v>4555986.4545454541</v>
      </c>
      <c r="F7" s="54">
        <f t="shared" si="1"/>
        <v>6.4127513366975863E-2</v>
      </c>
      <c r="G7" s="54"/>
      <c r="H7" s="76" t="s">
        <v>2</v>
      </c>
      <c r="I7" s="77">
        <v>100231702</v>
      </c>
      <c r="J7" s="77"/>
      <c r="K7" s="77">
        <v>1385028.24</v>
      </c>
      <c r="L7" s="64">
        <f t="shared" si="0"/>
        <v>72.367984352434576</v>
      </c>
      <c r="M7" s="53">
        <f>I5+I6+I7</f>
        <v>262442570</v>
      </c>
      <c r="N7" s="19">
        <f>J5+J6+J7</f>
        <v>0</v>
      </c>
      <c r="O7" s="58"/>
      <c r="P7" s="58"/>
      <c r="Q7" s="65">
        <f>AVERAGE(L5:L7)</f>
        <v>71.220933207091903</v>
      </c>
      <c r="R7" s="19"/>
    </row>
    <row r="8" spans="1:18" ht="15" customHeight="1">
      <c r="A8" s="19"/>
      <c r="B8" s="19"/>
      <c r="C8" s="57"/>
      <c r="D8" s="57"/>
      <c r="E8" s="34">
        <f>I8/21</f>
        <v>3969433.5714285714</v>
      </c>
      <c r="F8" s="54">
        <f t="shared" si="1"/>
        <v>-0.12874333340734279</v>
      </c>
      <c r="G8" s="54"/>
      <c r="H8" s="76" t="s">
        <v>3</v>
      </c>
      <c r="I8" s="77">
        <v>83358105</v>
      </c>
      <c r="J8" s="77"/>
      <c r="K8" s="77">
        <v>1104188.74</v>
      </c>
      <c r="L8" s="64">
        <f t="shared" si="0"/>
        <v>75.492623661422229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3948001.1904761903</v>
      </c>
      <c r="F9" s="54">
        <f t="shared" si="1"/>
        <v>-5.39935498773636E-3</v>
      </c>
      <c r="G9" s="54"/>
      <c r="H9" s="76" t="s">
        <v>4</v>
      </c>
      <c r="I9" s="77">
        <v>82908025</v>
      </c>
      <c r="J9" s="77"/>
      <c r="K9" s="77">
        <v>1248730</v>
      </c>
      <c r="L9" s="64">
        <f t="shared" si="0"/>
        <v>66.393876178197047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11725228.571428571</v>
      </c>
      <c r="B10" s="33">
        <f>AVERAGE(E8:E10)</f>
        <v>3908409.5238095238</v>
      </c>
      <c r="C10" s="54">
        <f>B10/B7-1</f>
        <v>-0.10458025288307204</v>
      </c>
      <c r="D10" s="54"/>
      <c r="E10" s="34">
        <f>I10/21</f>
        <v>3807793.8095238097</v>
      </c>
      <c r="F10" s="54">
        <f t="shared" si="1"/>
        <v>-3.5513510302530915E-2</v>
      </c>
      <c r="G10" s="54"/>
      <c r="H10" s="76" t="s">
        <v>5</v>
      </c>
      <c r="I10" s="77">
        <v>79963670</v>
      </c>
      <c r="J10" s="77"/>
      <c r="K10" s="77">
        <v>1157964.23</v>
      </c>
      <c r="L10" s="64">
        <f t="shared" si="0"/>
        <v>69.055388697110274</v>
      </c>
      <c r="M10" s="53">
        <f>I8+I9+I10</f>
        <v>246229800</v>
      </c>
      <c r="N10" s="19">
        <f>J8+J9+J10</f>
        <v>0</v>
      </c>
      <c r="O10" s="58">
        <f>M10/M7-1</f>
        <v>-6.1776448843646081E-2</v>
      </c>
      <c r="P10" s="58"/>
      <c r="Q10" s="65">
        <f>AVERAGE(L8:L10)</f>
        <v>70.313962845576512</v>
      </c>
      <c r="R10" s="66">
        <f>Q10/Q7-1</f>
        <v>-1.2734603727785454E-2</v>
      </c>
    </row>
    <row r="11" spans="1:18" ht="15" customHeight="1">
      <c r="A11" s="19"/>
      <c r="B11" s="19"/>
      <c r="C11" s="57"/>
      <c r="D11" s="57"/>
      <c r="E11" s="34">
        <f>I11/21</f>
        <v>4439792</v>
      </c>
      <c r="F11" s="54">
        <f t="shared" si="1"/>
        <v>0.16597489835071344</v>
      </c>
      <c r="G11" s="54"/>
      <c r="H11" s="76" t="s">
        <v>6</v>
      </c>
      <c r="I11" s="77">
        <v>93235632</v>
      </c>
      <c r="J11" s="77"/>
      <c r="K11" s="77">
        <v>1297389.44</v>
      </c>
      <c r="L11" s="64">
        <f t="shared" si="0"/>
        <v>71.864028737585528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3895420.6818181816</v>
      </c>
      <c r="F12" s="54">
        <f t="shared" si="1"/>
        <v>-0.1226118967244002</v>
      </c>
      <c r="G12" s="54"/>
      <c r="H12" s="76" t="s">
        <v>7</v>
      </c>
      <c r="I12" s="77">
        <v>85699255</v>
      </c>
      <c r="J12" s="77"/>
      <c r="K12" s="77">
        <v>1234199.3999999999</v>
      </c>
      <c r="L12" s="64">
        <f t="shared" si="0"/>
        <v>69.437122558964134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13314272.881818183</v>
      </c>
      <c r="B13" s="33">
        <f>AVERAGE(E11:E13)</f>
        <v>4438090.9606060609</v>
      </c>
      <c r="C13" s="54">
        <f>B13/B10-1</f>
        <v>0.13552352525235301</v>
      </c>
      <c r="D13" s="54"/>
      <c r="E13" s="34">
        <f>I13/20</f>
        <v>4979060.2</v>
      </c>
      <c r="F13" s="54">
        <f t="shared" si="1"/>
        <v>0.27818292469403616</v>
      </c>
      <c r="G13" s="54"/>
      <c r="H13" s="76" t="s">
        <v>96</v>
      </c>
      <c r="I13" s="77">
        <v>99581204</v>
      </c>
      <c r="J13" s="77"/>
      <c r="K13" s="77">
        <v>1489365.66</v>
      </c>
      <c r="L13" s="64">
        <f t="shared" si="0"/>
        <v>66.861487863228973</v>
      </c>
      <c r="M13" s="53">
        <f>I11+I12+I13</f>
        <v>278516091</v>
      </c>
      <c r="N13" s="34">
        <f>J11+J12+J13</f>
        <v>0</v>
      </c>
      <c r="O13" s="58">
        <f>M13/M10-1</f>
        <v>0.13112259767095624</v>
      </c>
      <c r="P13" s="58"/>
      <c r="Q13" s="65">
        <f>AVERAGE(L11:L13)</f>
        <v>69.387546386592888</v>
      </c>
      <c r="R13" s="66">
        <f>Q13/Q10-1</f>
        <v>-1.3175426636359844E-2</v>
      </c>
    </row>
    <row r="14" spans="1:18" ht="15" customHeight="1">
      <c r="A14" s="19"/>
      <c r="B14" s="19"/>
      <c r="C14" s="57"/>
      <c r="D14" s="57"/>
      <c r="E14" s="34">
        <f>I14/20</f>
        <v>4551683.4000000004</v>
      </c>
      <c r="F14" s="54">
        <f t="shared" si="1"/>
        <v>-8.5834832846568121E-2</v>
      </c>
      <c r="G14" s="54"/>
      <c r="H14" s="76" t="s">
        <v>97</v>
      </c>
      <c r="I14" s="77">
        <v>91033668</v>
      </c>
      <c r="J14" s="77"/>
      <c r="K14" s="77">
        <v>1346026</v>
      </c>
      <c r="L14" s="64">
        <f t="shared" si="0"/>
        <v>67.631433568148012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4026910.5</v>
      </c>
      <c r="F15" s="54">
        <f t="shared" si="1"/>
        <v>-0.11529204777291857</v>
      </c>
      <c r="G15" s="54"/>
      <c r="H15" s="76" t="s">
        <v>98</v>
      </c>
      <c r="I15" s="77">
        <v>88592031</v>
      </c>
      <c r="J15" s="77"/>
      <c r="K15" s="77">
        <v>1343203.58</v>
      </c>
      <c r="L15" s="64">
        <f t="shared" si="0"/>
        <v>65.955773435326904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12826785.490909092</v>
      </c>
      <c r="B16" s="33">
        <f>AVERAGE(E14:E16)</f>
        <v>4275595.163636364</v>
      </c>
      <c r="C16" s="54">
        <f>B16/B13-1</f>
        <v>-3.6613895121137108E-2</v>
      </c>
      <c r="D16" s="54"/>
      <c r="E16" s="34">
        <f>I16/22</f>
        <v>4248191.5909090908</v>
      </c>
      <c r="F16" s="54">
        <f t="shared" si="1"/>
        <v>5.4950585792530315E-2</v>
      </c>
      <c r="G16" s="54"/>
      <c r="H16" s="76" t="s">
        <v>99</v>
      </c>
      <c r="I16" s="77">
        <v>93460215</v>
      </c>
      <c r="J16" s="77"/>
      <c r="K16" s="77">
        <v>1496004.8</v>
      </c>
      <c r="L16" s="64">
        <f t="shared" si="0"/>
        <v>62.473205299876042</v>
      </c>
      <c r="M16" s="53">
        <f>I14+I15+I16</f>
        <v>273085914</v>
      </c>
      <c r="N16" s="34">
        <f>J14+J15+J16</f>
        <v>0</v>
      </c>
      <c r="O16" s="58">
        <f>M16/M13-1</f>
        <v>-1.9496816074443646E-2</v>
      </c>
      <c r="P16" s="58"/>
      <c r="Q16" s="65">
        <f>AVERAGE(L14:L16)</f>
        <v>65.353470767783662</v>
      </c>
      <c r="R16" s="66">
        <f>Q16/Q13-1</f>
        <v>-5.8138323501646272E-2</v>
      </c>
    </row>
    <row r="17" spans="1:18" ht="15" customHeight="1">
      <c r="A17" s="19"/>
      <c r="B17" s="19"/>
      <c r="C17" s="57"/>
      <c r="D17" s="57"/>
      <c r="E17" s="34">
        <f>I17/20</f>
        <v>4119026.55</v>
      </c>
      <c r="F17" s="54">
        <f t="shared" si="1"/>
        <v>-3.0404711780301352E-2</v>
      </c>
      <c r="G17" s="54">
        <f t="shared" ref="G17:G25" si="2">E17/E5-1</f>
        <v>-3.2469426178086902E-2</v>
      </c>
      <c r="H17" s="76" t="s">
        <v>100</v>
      </c>
      <c r="I17" s="77">
        <v>82380531</v>
      </c>
      <c r="J17" s="77">
        <v>103438610749</v>
      </c>
      <c r="K17" s="77">
        <v>1324613.3899999999</v>
      </c>
      <c r="L17" s="64">
        <f t="shared" si="0"/>
        <v>62.192132151102598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5067602.7</v>
      </c>
      <c r="F18" s="54">
        <f t="shared" si="1"/>
        <v>0.23029134153068287</v>
      </c>
      <c r="G18" s="54">
        <f t="shared" si="2"/>
        <v>0.18362412041472709</v>
      </c>
      <c r="H18" s="76" t="s">
        <v>106</v>
      </c>
      <c r="I18" s="77">
        <v>101352054</v>
      </c>
      <c r="J18" s="77">
        <v>126924620996</v>
      </c>
      <c r="K18" s="77">
        <v>1704717.53</v>
      </c>
      <c r="L18" s="64">
        <f t="shared" si="0"/>
        <v>59.453869756357818</v>
      </c>
      <c r="M18" s="34"/>
      <c r="N18" s="19"/>
      <c r="O18" s="58"/>
      <c r="P18" s="58"/>
      <c r="Q18" s="19"/>
      <c r="R18" s="66"/>
    </row>
    <row r="19" spans="1:18">
      <c r="A19" s="33">
        <f>SUM(E17:E19)</f>
        <v>14333714.65909091</v>
      </c>
      <c r="B19" s="33">
        <f>AVERAGE(E17:E19)</f>
        <v>4777904.8863636367</v>
      </c>
      <c r="C19" s="54">
        <f>B19/B16-1</f>
        <v>0.11748299441429388</v>
      </c>
      <c r="D19" s="54">
        <f>B19/B7-1</f>
        <v>9.4621829937225677E-2</v>
      </c>
      <c r="E19" s="34">
        <f>I19/22</f>
        <v>5147085.4090909092</v>
      </c>
      <c r="F19" s="54">
        <f t="shared" si="1"/>
        <v>1.5684479189915335E-2</v>
      </c>
      <c r="G19" s="54">
        <f t="shared" si="2"/>
        <v>0.12974115714407408</v>
      </c>
      <c r="H19" s="76" t="s">
        <v>115</v>
      </c>
      <c r="I19" s="77">
        <v>113235879</v>
      </c>
      <c r="J19" s="77">
        <v>147995052541</v>
      </c>
      <c r="K19" s="77">
        <v>1878858.06</v>
      </c>
      <c r="L19" s="64">
        <f t="shared" si="0"/>
        <v>60.2684584912178</v>
      </c>
      <c r="M19" s="53">
        <f>I17+I18+I19</f>
        <v>296968464</v>
      </c>
      <c r="N19" s="34">
        <f>J17+J18+J19</f>
        <v>378358284286</v>
      </c>
      <c r="O19" s="58">
        <f>M19/M16-1</f>
        <v>8.7454345960883195E-2</v>
      </c>
      <c r="P19" s="58">
        <f>M19/M7-1</f>
        <v>0.13155599718445066</v>
      </c>
      <c r="Q19" s="65">
        <f>AVERAGE(L17:L19)</f>
        <v>60.638153466226072</v>
      </c>
      <c r="R19" s="66">
        <f>Q19/Q16-1</f>
        <v>-7.2150985191164918E-2</v>
      </c>
    </row>
    <row r="20" spans="1:18">
      <c r="A20" s="33"/>
      <c r="B20" s="33"/>
      <c r="C20" s="54"/>
      <c r="D20" s="54"/>
      <c r="E20" s="34">
        <f>I20/20</f>
        <v>5132128.3499999996</v>
      </c>
      <c r="F20" s="54">
        <f t="shared" si="1"/>
        <v>-2.9059278994073567E-3</v>
      </c>
      <c r="G20" s="54">
        <f t="shared" si="2"/>
        <v>0.29291201317496363</v>
      </c>
      <c r="H20" s="76" t="s">
        <v>132</v>
      </c>
      <c r="I20" s="77">
        <v>102642567</v>
      </c>
      <c r="J20" s="77">
        <v>134541305738</v>
      </c>
      <c r="K20" s="77">
        <v>1637671.06</v>
      </c>
      <c r="L20" s="64">
        <f t="shared" si="0"/>
        <v>62.675936277459769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4599736.5238095243</v>
      </c>
      <c r="F21" s="54">
        <f t="shared" si="1"/>
        <v>-0.10373704433765285</v>
      </c>
      <c r="G21" s="54">
        <f t="shared" si="2"/>
        <v>0.16507982188696468</v>
      </c>
      <c r="H21" s="76" t="s">
        <v>141</v>
      </c>
      <c r="I21" s="77">
        <v>96594467</v>
      </c>
      <c r="J21" s="77">
        <v>128601777946</v>
      </c>
      <c r="K21" s="77">
        <v>1533952.34</v>
      </c>
      <c r="L21" s="64">
        <f t="shared" si="0"/>
        <v>62.970970141093169</v>
      </c>
      <c r="M21" s="34"/>
      <c r="N21" s="19"/>
      <c r="O21" s="58"/>
      <c r="P21" s="58"/>
      <c r="Q21" s="19"/>
      <c r="R21" s="66"/>
    </row>
    <row r="22" spans="1:18">
      <c r="A22" s="33">
        <f>SUM(E20:E22)</f>
        <v>14798103.064285714</v>
      </c>
      <c r="B22" s="33">
        <f>AVERAGE(E20:E22)</f>
        <v>4932701.0214285711</v>
      </c>
      <c r="C22" s="54">
        <f>B22/B19-1</f>
        <v>3.2398329130981507E-2</v>
      </c>
      <c r="D22" s="54">
        <f>B22/B10-1</f>
        <v>0.26207373904377129</v>
      </c>
      <c r="E22" s="34">
        <f>I22/21</f>
        <v>5066238.1904761903</v>
      </c>
      <c r="F22" s="54">
        <f t="shared" si="1"/>
        <v>0.10141921482935445</v>
      </c>
      <c r="G22" s="54">
        <f t="shared" si="2"/>
        <v>0.33049173455895642</v>
      </c>
      <c r="H22" s="76" t="s">
        <v>156</v>
      </c>
      <c r="I22" s="77">
        <v>106391002</v>
      </c>
      <c r="J22" s="77">
        <v>138308544452</v>
      </c>
      <c r="K22" s="77">
        <v>1620332.67</v>
      </c>
      <c r="L22" s="64">
        <f t="shared" si="0"/>
        <v>65.659974627309097</v>
      </c>
      <c r="M22" s="53">
        <f>I20+I21+I22</f>
        <v>305628036</v>
      </c>
      <c r="N22" s="34">
        <f>J20+J21+J22</f>
        <v>401451628136</v>
      </c>
      <c r="O22" s="58">
        <f>M22/M19-1</f>
        <v>2.9159904332468178E-2</v>
      </c>
      <c r="P22" s="58">
        <f>M22/M10-1</f>
        <v>0.24123089894074567</v>
      </c>
      <c r="Q22" s="65">
        <f>AVERAGE(L20:L22)</f>
        <v>63.768960348620681</v>
      </c>
      <c r="R22" s="66">
        <f>Q22/Q19-1</f>
        <v>5.1630973297008387E-2</v>
      </c>
    </row>
    <row r="23" spans="1:18">
      <c r="A23" s="33"/>
      <c r="B23" s="33"/>
      <c r="C23" s="57"/>
      <c r="D23" s="57"/>
      <c r="E23" s="34">
        <f>I23/21</f>
        <v>5007694.8571428573</v>
      </c>
      <c r="F23" s="54">
        <f t="shared" si="1"/>
        <v>-1.1555582491835081E-2</v>
      </c>
      <c r="G23" s="54">
        <f t="shared" si="2"/>
        <v>0.12791204118185195</v>
      </c>
      <c r="H23" s="76" t="s">
        <v>189</v>
      </c>
      <c r="I23" s="77">
        <v>105161592</v>
      </c>
      <c r="J23" s="77">
        <v>135811404278</v>
      </c>
      <c r="K23" s="77">
        <v>1559446.85</v>
      </c>
      <c r="L23" s="64">
        <f t="shared" si="0"/>
        <v>67.435188316934301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4758591.7727272725</v>
      </c>
      <c r="F24" s="54">
        <f t="shared" si="1"/>
        <v>-4.9744062192661365E-2</v>
      </c>
      <c r="G24" s="54">
        <f t="shared" si="2"/>
        <v>0.22158610363649012</v>
      </c>
      <c r="H24" s="76" t="s">
        <v>204</v>
      </c>
      <c r="I24" s="77">
        <v>104689019</v>
      </c>
      <c r="J24" s="77">
        <v>137565553187</v>
      </c>
      <c r="K24" s="77">
        <v>1520820.49</v>
      </c>
      <c r="L24" s="64">
        <f t="shared" si="0"/>
        <v>68.837196558286777</v>
      </c>
      <c r="M24" s="34"/>
      <c r="N24" s="19"/>
      <c r="O24" s="58"/>
      <c r="P24" s="58"/>
      <c r="Q24" s="19"/>
      <c r="R24" s="66"/>
    </row>
    <row r="25" spans="1:18">
      <c r="A25" s="33">
        <f>SUM(E23:E25)</f>
        <v>15376795.366712235</v>
      </c>
      <c r="B25" s="33">
        <f>AVERAGE(E23:E25)</f>
        <v>5125598.4555707453</v>
      </c>
      <c r="C25" s="54">
        <f>B25/B22-1</f>
        <v>3.9105843493086656E-2</v>
      </c>
      <c r="D25" s="54">
        <f>B25/B13-1</f>
        <v>0.15491063636757896</v>
      </c>
      <c r="E25" s="34">
        <f>I25/19</f>
        <v>5610508.7368421052</v>
      </c>
      <c r="F25" s="54">
        <f t="shared" si="1"/>
        <v>0.17902711659306236</v>
      </c>
      <c r="G25" s="54">
        <f t="shared" si="2"/>
        <v>0.12682082792292904</v>
      </c>
      <c r="H25" s="76" t="s">
        <v>219</v>
      </c>
      <c r="I25" s="77">
        <v>106599666</v>
      </c>
      <c r="J25" s="77">
        <v>141463771604</v>
      </c>
      <c r="K25" s="77">
        <v>1799608.26</v>
      </c>
      <c r="L25" s="64">
        <f t="shared" si="0"/>
        <v>59.234928161532224</v>
      </c>
      <c r="M25" s="53">
        <f>I23+I24+I25</f>
        <v>316450277</v>
      </c>
      <c r="N25" s="34">
        <f>J23+J24+J25</f>
        <v>414840729069</v>
      </c>
      <c r="O25" s="54">
        <f>M25/M22-1</f>
        <v>3.5409843748758663E-2</v>
      </c>
      <c r="P25" s="54">
        <f>M25/M13-1</f>
        <v>0.13620105705131413</v>
      </c>
      <c r="Q25" s="65">
        <f>AVERAGE(L23:L25)</f>
        <v>65.169104345584429</v>
      </c>
      <c r="R25" s="67">
        <f>Q25/Q22-1</f>
        <v>2.1956512844325093E-2</v>
      </c>
    </row>
    <row r="26" spans="1:18">
      <c r="A26" s="33"/>
      <c r="B26" s="33"/>
      <c r="C26" s="55"/>
      <c r="D26" s="55"/>
      <c r="E26" s="34">
        <f>I26/19</f>
        <v>5600384.0526315793</v>
      </c>
      <c r="F26" s="54">
        <f t="shared" ref="F26" si="3">E26/E25-1</f>
        <v>-1.8045928961915036E-3</v>
      </c>
      <c r="G26" s="54">
        <f t="shared" ref="G26" si="4">E26/E14-1</f>
        <v>0.23039841756822965</v>
      </c>
      <c r="H26" s="76" t="s">
        <v>312</v>
      </c>
      <c r="I26" s="77">
        <v>106407297</v>
      </c>
      <c r="J26" s="77">
        <v>143559926336</v>
      </c>
      <c r="K26" s="77">
        <v>1521211.15</v>
      </c>
      <c r="L26" s="64">
        <f t="shared" ref="L26" si="5">I26/K26</f>
        <v>69.949064598954592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5250695.4545454541</v>
      </c>
      <c r="F27" s="54">
        <f t="shared" ref="F27" si="6">E27/E26-1</f>
        <v>-6.244011032097152E-2</v>
      </c>
      <c r="G27" s="54">
        <f t="shared" ref="G27" si="7">E27/E15-1</f>
        <v>0.3039017019487904</v>
      </c>
      <c r="H27" s="76" t="s">
        <v>375</v>
      </c>
      <c r="I27" s="77">
        <v>115515300</v>
      </c>
      <c r="J27" s="77">
        <v>152973036347</v>
      </c>
      <c r="K27" s="77">
        <v>1737814.3</v>
      </c>
      <c r="L27" s="64">
        <f t="shared" ref="L27" si="8">I27/K27</f>
        <v>66.471601712565032</v>
      </c>
      <c r="M27" s="34"/>
      <c r="N27" s="19"/>
      <c r="O27" s="54"/>
      <c r="P27" s="54"/>
      <c r="Q27" s="19"/>
      <c r="R27" s="19"/>
    </row>
    <row r="28" spans="1:18">
      <c r="A28" s="33">
        <f>SUM(E26:E28)</f>
        <v>16658317.296650717</v>
      </c>
      <c r="B28" s="33">
        <f>AVERAGE(E26:E28)</f>
        <v>5552772.432216906</v>
      </c>
      <c r="C28" s="54">
        <f>B28/B25-1</f>
        <v>8.3341287919635576E-2</v>
      </c>
      <c r="D28" s="54">
        <f>B28/B16-1</f>
        <v>0.29871332988746091</v>
      </c>
      <c r="E28" s="34">
        <f>I28/19</f>
        <v>5807237.7894736845</v>
      </c>
      <c r="F28" s="54">
        <f t="shared" ref="F28" si="9">E28/E27-1</f>
        <v>0.1059940230291665</v>
      </c>
      <c r="G28" s="54">
        <f t="shared" ref="G28" si="10">E28/E16-1</f>
        <v>0.36699055708807293</v>
      </c>
      <c r="H28" s="76" t="s">
        <v>413</v>
      </c>
      <c r="I28" s="77">
        <v>110337518</v>
      </c>
      <c r="J28" s="77">
        <v>143919350541</v>
      </c>
      <c r="K28" s="77">
        <v>1550187.91</v>
      </c>
      <c r="L28" s="64">
        <f t="shared" ref="L28" si="11">I28/K28</f>
        <v>71.176866551616968</v>
      </c>
      <c r="M28" s="53">
        <f>I26+I27+I28</f>
        <v>332260115</v>
      </c>
      <c r="N28" s="34">
        <f>J26+J27+J28</f>
        <v>440452313224</v>
      </c>
      <c r="O28" s="54">
        <f>M28/M25-1</f>
        <v>4.9959943628047343E-2</v>
      </c>
      <c r="P28" s="54">
        <f>M28/M16-1</f>
        <v>0.2166871228663958</v>
      </c>
      <c r="Q28" s="65">
        <f>AVERAGE(L26:L28)</f>
        <v>69.199177621045536</v>
      </c>
      <c r="R28" s="67">
        <f>Q28/Q25-1</f>
        <v>6.1840243408749052E-2</v>
      </c>
    </row>
    <row r="29" spans="1:18">
      <c r="A29" s="33"/>
      <c r="B29" s="33"/>
      <c r="C29" s="55"/>
      <c r="D29" s="55"/>
      <c r="E29" s="34">
        <f>I29/22</f>
        <v>5541060.2272727275</v>
      </c>
      <c r="F29" s="54">
        <f t="shared" ref="F29" si="12">E29/E28-1</f>
        <v>-4.5835485277257892E-2</v>
      </c>
      <c r="G29" s="54">
        <f t="shared" ref="G29" si="13">E29/E17-1</f>
        <v>0.34523537540022109</v>
      </c>
      <c r="H29" s="76" t="s">
        <v>427</v>
      </c>
      <c r="I29" s="77">
        <v>121903325</v>
      </c>
      <c r="J29" s="77">
        <v>160296030476</v>
      </c>
      <c r="K29" s="77">
        <v>1910241.87</v>
      </c>
      <c r="L29" s="64">
        <f t="shared" ref="L29" si="14">I29/K29</f>
        <v>63.815649166982183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5995464.3684210526</v>
      </c>
      <c r="F30" s="54">
        <f t="shared" ref="F30" si="15">E30/E29-1</f>
        <v>8.2006713969968725E-2</v>
      </c>
      <c r="G30" s="54">
        <f t="shared" ref="G30" si="16">E30/E18-1</f>
        <v>0.18309676652849127</v>
      </c>
      <c r="H30" s="76" t="s">
        <v>466</v>
      </c>
      <c r="I30" s="77">
        <v>113913823</v>
      </c>
      <c r="J30" s="77">
        <v>151819914287</v>
      </c>
      <c r="K30" s="77">
        <v>1756118.63</v>
      </c>
      <c r="L30" s="64">
        <f t="shared" ref="L30" si="17">I30/K30</f>
        <v>64.866815404150685</v>
      </c>
      <c r="M30" s="53"/>
      <c r="N30" s="34"/>
      <c r="O30" s="54"/>
      <c r="P30" s="54"/>
      <c r="Q30" s="65"/>
      <c r="R30" s="67"/>
    </row>
    <row r="31" spans="1:18">
      <c r="A31" s="33">
        <f>SUM(E29:E31)</f>
        <v>18055868.69569378</v>
      </c>
      <c r="B31" s="33">
        <f>AVERAGE(E29:E31)</f>
        <v>6018622.8985645929</v>
      </c>
      <c r="C31" s="54">
        <f>B31/B28-1</f>
        <v>8.3895112222652335E-2</v>
      </c>
      <c r="D31" s="54">
        <f>B31/B19-1</f>
        <v>0.25967825683219936</v>
      </c>
      <c r="E31" s="34">
        <f>I31/20</f>
        <v>6519344.0999999996</v>
      </c>
      <c r="F31" s="54">
        <f t="shared" ref="F31" si="18">E31/E30-1</f>
        <v>8.737934201365527E-2</v>
      </c>
      <c r="G31" s="54">
        <f t="shared" ref="G31" si="19">E31/E19-1</f>
        <v>0.26660888286123519</v>
      </c>
      <c r="H31" s="76" t="s">
        <v>505</v>
      </c>
      <c r="I31" s="77">
        <v>130386882</v>
      </c>
      <c r="J31" s="77">
        <v>173167360003</v>
      </c>
      <c r="K31" s="77">
        <v>1881933.01</v>
      </c>
      <c r="L31" s="64">
        <f t="shared" ref="L31" si="20">I31/K31</f>
        <v>69.283487407450281</v>
      </c>
      <c r="M31" s="53">
        <f>I29+I30+I31</f>
        <v>366204030</v>
      </c>
      <c r="N31" s="34">
        <f>J29+J30+J31</f>
        <v>485283304766</v>
      </c>
      <c r="O31" s="54">
        <f>M31/M28-1</f>
        <v>0.10216066710264027</v>
      </c>
      <c r="P31" s="54">
        <f>M31/M19-1</f>
        <v>0.23314113918843593</v>
      </c>
      <c r="Q31" s="65">
        <f>AVERAGE(L29:L31)</f>
        <v>65.988650659527721</v>
      </c>
      <c r="R31" s="67">
        <f>Q31/Q28-1</f>
        <v>-4.6395449655479704E-2</v>
      </c>
    </row>
    <row r="32" spans="1:18">
      <c r="A32" s="33"/>
      <c r="B32" s="33"/>
      <c r="C32" s="54"/>
      <c r="D32" s="54"/>
      <c r="E32" s="34">
        <f>I32/14</f>
        <v>6162902.7142857146</v>
      </c>
      <c r="F32" s="54">
        <f t="shared" ref="F32" si="21">E32/E31-1</f>
        <v>-5.4674424335767968E-2</v>
      </c>
      <c r="G32" s="54">
        <f t="shared" ref="G32" si="22">E32/E20-1</f>
        <v>0.20084734714121377</v>
      </c>
      <c r="H32" s="76" t="s">
        <v>562</v>
      </c>
      <c r="I32" s="77">
        <v>86280638</v>
      </c>
      <c r="J32" s="77">
        <v>116368464792</v>
      </c>
      <c r="K32" s="77">
        <v>1293762.22</v>
      </c>
      <c r="L32" s="64">
        <f t="shared" ref="L32" si="23">I32/K32</f>
        <v>66.689718300786367</v>
      </c>
      <c r="M32" s="53">
        <f>I30+I31+I32</f>
        <v>330581343</v>
      </c>
      <c r="N32" s="34">
        <f>J30+J31+J32</f>
        <v>441355739082</v>
      </c>
      <c r="O32" s="54" t="e">
        <f>M32/M29-1</f>
        <v>#DIV/0!</v>
      </c>
      <c r="P32" s="54" t="e">
        <f>M32/M20-1</f>
        <v>#DIV/0!</v>
      </c>
      <c r="Q32" s="65">
        <f>AVERAGE(L30:L32)</f>
        <v>66.946673704129111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</sheetData>
  <phoneticPr fontId="1" type="noConversion"/>
  <conditionalFormatting sqref="B29:B30">
    <cfRule type="cellIs" dxfId="107" priority="4" operator="greaterThan">
      <formula>$B$25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91"/>
  <dimension ref="A1:R39"/>
  <sheetViews>
    <sheetView topLeftCell="A14"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252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8504409099</v>
      </c>
      <c r="O3" s="59"/>
      <c r="P3" s="59"/>
      <c r="Q3" s="19"/>
      <c r="R3" s="19"/>
    </row>
    <row r="4" spans="1:18" ht="15" customHeight="1">
      <c r="A4" s="25" t="s">
        <v>347</v>
      </c>
      <c r="B4" s="25" t="s">
        <v>353</v>
      </c>
      <c r="C4" s="60" t="s">
        <v>89</v>
      </c>
      <c r="D4" s="60" t="s">
        <v>260</v>
      </c>
      <c r="E4" s="25" t="s">
        <v>72</v>
      </c>
      <c r="F4" s="61" t="s">
        <v>282</v>
      </c>
      <c r="G4" s="61" t="s">
        <v>260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1966224.05</v>
      </c>
      <c r="F5" s="54"/>
      <c r="G5" s="54"/>
      <c r="H5" s="76" t="s">
        <v>0</v>
      </c>
      <c r="I5" s="77">
        <v>39324481</v>
      </c>
      <c r="J5" s="77"/>
      <c r="K5" s="77">
        <v>917704.83</v>
      </c>
      <c r="L5" s="64">
        <f t="shared" ref="L5:L25" si="0">I5/K5</f>
        <v>42.850903378159188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1915496.2222222222</v>
      </c>
      <c r="F6" s="54">
        <f t="shared" ref="F6:F25" si="1">E6/E5-1</f>
        <v>-2.5799617178814294E-2</v>
      </c>
      <c r="G6" s="54"/>
      <c r="H6" s="76" t="s">
        <v>1</v>
      </c>
      <c r="I6" s="77">
        <v>34478932</v>
      </c>
      <c r="J6" s="77"/>
      <c r="K6" s="77">
        <v>738153.38</v>
      </c>
      <c r="L6" s="64">
        <f t="shared" si="0"/>
        <v>46.709712282290162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5768124.1358585861</v>
      </c>
      <c r="B7" s="33">
        <f>AVERAGE(E5:E7)</f>
        <v>1922708.0452861954</v>
      </c>
      <c r="C7" s="57"/>
      <c r="D7" s="57"/>
      <c r="E7" s="34">
        <f>I7/22</f>
        <v>1886403.8636363635</v>
      </c>
      <c r="F7" s="54">
        <f t="shared" si="1"/>
        <v>-1.5187896613081175E-2</v>
      </c>
      <c r="G7" s="54"/>
      <c r="H7" s="76" t="s">
        <v>2</v>
      </c>
      <c r="I7" s="77">
        <v>41500885</v>
      </c>
      <c r="J7" s="77"/>
      <c r="K7" s="77">
        <v>846831.98</v>
      </c>
      <c r="L7" s="64">
        <f t="shared" si="0"/>
        <v>49.007224550022308</v>
      </c>
      <c r="M7" s="53">
        <f>I5+I6+I7</f>
        <v>115304298</v>
      </c>
      <c r="N7" s="19">
        <f>J5+J6+J7</f>
        <v>0</v>
      </c>
      <c r="O7" s="58"/>
      <c r="P7" s="58"/>
      <c r="Q7" s="65">
        <f>AVERAGE(L5:L7)</f>
        <v>46.189280070157217</v>
      </c>
      <c r="R7" s="19"/>
    </row>
    <row r="8" spans="1:18" ht="15" customHeight="1">
      <c r="A8" s="19"/>
      <c r="B8" s="19"/>
      <c r="C8" s="57"/>
      <c r="D8" s="57"/>
      <c r="E8" s="34">
        <f>I8/21</f>
        <v>1771655.2857142857</v>
      </c>
      <c r="F8" s="54">
        <f t="shared" si="1"/>
        <v>-6.0829274225976504E-2</v>
      </c>
      <c r="G8" s="54"/>
      <c r="H8" s="76" t="s">
        <v>3</v>
      </c>
      <c r="I8" s="77">
        <v>37204761</v>
      </c>
      <c r="J8" s="77"/>
      <c r="K8" s="77">
        <v>727295.7</v>
      </c>
      <c r="L8" s="64">
        <f t="shared" si="0"/>
        <v>51.154930518632248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1740256.6666666667</v>
      </c>
      <c r="F9" s="54">
        <f t="shared" si="1"/>
        <v>-1.7722758654463489E-2</v>
      </c>
      <c r="G9" s="54"/>
      <c r="H9" s="76" t="s">
        <v>4</v>
      </c>
      <c r="I9" s="77">
        <v>36545390</v>
      </c>
      <c r="J9" s="77"/>
      <c r="K9" s="77">
        <v>633249.19999999995</v>
      </c>
      <c r="L9" s="64">
        <f t="shared" si="0"/>
        <v>57.710913807707932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5498454.8571428573</v>
      </c>
      <c r="B10" s="33">
        <f>AVERAGE(E8:E10)</f>
        <v>1832818.2857142857</v>
      </c>
      <c r="C10" s="54">
        <f>B10/B7-1</f>
        <v>-4.6751642711584718E-2</v>
      </c>
      <c r="D10" s="54"/>
      <c r="E10" s="34">
        <f>I10/21</f>
        <v>1986542.9047619049</v>
      </c>
      <c r="F10" s="54">
        <f t="shared" si="1"/>
        <v>0.14152293900817581</v>
      </c>
      <c r="G10" s="54"/>
      <c r="H10" s="76" t="s">
        <v>5</v>
      </c>
      <c r="I10" s="77">
        <v>41717401</v>
      </c>
      <c r="J10" s="77"/>
      <c r="K10" s="77">
        <v>764696.88</v>
      </c>
      <c r="L10" s="64">
        <f t="shared" si="0"/>
        <v>54.554166613050647</v>
      </c>
      <c r="M10" s="53">
        <f>I8+I9+I10</f>
        <v>115467552</v>
      </c>
      <c r="N10" s="19">
        <f>J8+J9+J10</f>
        <v>0</v>
      </c>
      <c r="O10" s="58">
        <f>M10/M7-1</f>
        <v>1.4158535530046645E-3</v>
      </c>
      <c r="P10" s="58"/>
      <c r="Q10" s="65">
        <f>AVERAGE(L8:L10)</f>
        <v>54.473336979796947</v>
      </c>
      <c r="R10" s="66">
        <f>Q10/Q7-1</f>
        <v>0.17935020630451515</v>
      </c>
    </row>
    <row r="11" spans="1:18" ht="15" customHeight="1">
      <c r="A11" s="19"/>
      <c r="B11" s="19"/>
      <c r="C11" s="57"/>
      <c r="D11" s="57"/>
      <c r="E11" s="34">
        <f>I11/21</f>
        <v>1716613.142857143</v>
      </c>
      <c r="F11" s="54">
        <f t="shared" si="1"/>
        <v>-0.13587915028551278</v>
      </c>
      <c r="G11" s="54"/>
      <c r="H11" s="76" t="s">
        <v>6</v>
      </c>
      <c r="I11" s="77">
        <v>36048876</v>
      </c>
      <c r="J11" s="77"/>
      <c r="K11" s="77">
        <v>621798.71</v>
      </c>
      <c r="L11" s="64">
        <f t="shared" si="0"/>
        <v>57.975154049451149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1301923.0909090908</v>
      </c>
      <c r="F12" s="54">
        <f t="shared" si="1"/>
        <v>-0.24157455258547023</v>
      </c>
      <c r="G12" s="54"/>
      <c r="H12" s="76" t="s">
        <v>7</v>
      </c>
      <c r="I12" s="77">
        <v>28642308</v>
      </c>
      <c r="J12" s="77"/>
      <c r="K12" s="77">
        <v>488273.99</v>
      </c>
      <c r="L12" s="64">
        <f t="shared" si="0"/>
        <v>58.660318973779454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4867217.0837662332</v>
      </c>
      <c r="B13" s="33">
        <f>AVERAGE(E11:E13)</f>
        <v>1622405.6945887443</v>
      </c>
      <c r="C13" s="54">
        <f>B13/B10-1</f>
        <v>-0.11480275637011084</v>
      </c>
      <c r="D13" s="54"/>
      <c r="E13" s="34">
        <f>I13/20</f>
        <v>1848680.85</v>
      </c>
      <c r="F13" s="54">
        <f t="shared" si="1"/>
        <v>0.41996164205761644</v>
      </c>
      <c r="G13" s="54"/>
      <c r="H13" s="76" t="s">
        <v>96</v>
      </c>
      <c r="I13" s="77">
        <v>36973617</v>
      </c>
      <c r="J13" s="77"/>
      <c r="K13" s="77">
        <v>598828.74</v>
      </c>
      <c r="L13" s="64">
        <f t="shared" si="0"/>
        <v>61.743223947467854</v>
      </c>
      <c r="M13" s="53">
        <f>I11+I12+I13</f>
        <v>101664801</v>
      </c>
      <c r="N13" s="34">
        <f>J11+J12+J13</f>
        <v>0</v>
      </c>
      <c r="O13" s="58">
        <f>M13/M10-1</f>
        <v>-0.11953792005567065</v>
      </c>
      <c r="P13" s="58"/>
      <c r="Q13" s="65">
        <f>AVERAGE(L11:L13)</f>
        <v>59.459565656899485</v>
      </c>
      <c r="R13" s="66">
        <f>Q13/Q10-1</f>
        <v>9.153521619121352E-2</v>
      </c>
    </row>
    <row r="14" spans="1:18" ht="15" customHeight="1">
      <c r="A14" s="19"/>
      <c r="B14" s="19"/>
      <c r="C14" s="57"/>
      <c r="D14" s="57"/>
      <c r="E14" s="34">
        <f>I14/20</f>
        <v>1657734.55</v>
      </c>
      <c r="F14" s="54">
        <f t="shared" si="1"/>
        <v>-0.10328786604783624</v>
      </c>
      <c r="G14" s="54"/>
      <c r="H14" s="76" t="s">
        <v>97</v>
      </c>
      <c r="I14" s="77">
        <v>33154691</v>
      </c>
      <c r="J14" s="77"/>
      <c r="K14" s="77">
        <v>534049.29</v>
      </c>
      <c r="L14" s="64">
        <f t="shared" si="0"/>
        <v>62.081705978861983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1528360.3181818181</v>
      </c>
      <c r="F15" s="54">
        <f t="shared" si="1"/>
        <v>-7.8042791482014984E-2</v>
      </c>
      <c r="G15" s="54"/>
      <c r="H15" s="76" t="s">
        <v>98</v>
      </c>
      <c r="I15" s="77">
        <v>33623927</v>
      </c>
      <c r="J15" s="77"/>
      <c r="K15" s="77">
        <v>573988.34</v>
      </c>
      <c r="L15" s="64">
        <f t="shared" si="0"/>
        <v>58.579459993908593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4810423.7318181815</v>
      </c>
      <c r="B16" s="33">
        <f>AVERAGE(E14:E16)</f>
        <v>1603474.5772727272</v>
      </c>
      <c r="C16" s="54">
        <f>B16/B13-1</f>
        <v>-1.1668547132914209E-2</v>
      </c>
      <c r="D16" s="54"/>
      <c r="E16" s="34">
        <f>I16/22</f>
        <v>1624328.8636363635</v>
      </c>
      <c r="F16" s="54">
        <f t="shared" si="1"/>
        <v>6.2791832732684627E-2</v>
      </c>
      <c r="G16" s="54"/>
      <c r="H16" s="76" t="s">
        <v>99</v>
      </c>
      <c r="I16" s="77">
        <v>35735235</v>
      </c>
      <c r="J16" s="77"/>
      <c r="K16" s="77">
        <v>572650.68999999994</v>
      </c>
      <c r="L16" s="64">
        <f t="shared" si="0"/>
        <v>62.403199060146079</v>
      </c>
      <c r="M16" s="53">
        <f>I14+I15+I16</f>
        <v>102513853</v>
      </c>
      <c r="N16" s="34">
        <f>J14+J15+J16</f>
        <v>0</v>
      </c>
      <c r="O16" s="58">
        <f>M16/M13-1</f>
        <v>8.3514844041252534E-3</v>
      </c>
      <c r="P16" s="58"/>
      <c r="Q16" s="65">
        <f>AVERAGE(L14:L16)</f>
        <v>61.021455010972225</v>
      </c>
      <c r="R16" s="66">
        <f>Q16/Q13-1</f>
        <v>2.6268092220608219E-2</v>
      </c>
    </row>
    <row r="17" spans="1:18" ht="15" customHeight="1">
      <c r="A17" s="19"/>
      <c r="B17" s="19"/>
      <c r="C17" s="57"/>
      <c r="D17" s="57"/>
      <c r="E17" s="34">
        <f>I17/20</f>
        <v>1621721.75</v>
      </c>
      <c r="F17" s="54">
        <f t="shared" si="1"/>
        <v>-1.6050405153344993E-3</v>
      </c>
      <c r="G17" s="54">
        <f t="shared" ref="G17:G25" si="2">E17/E5-1</f>
        <v>-0.1752100936818467</v>
      </c>
      <c r="H17" s="76" t="s">
        <v>100</v>
      </c>
      <c r="I17" s="77">
        <v>32434435</v>
      </c>
      <c r="J17" s="77">
        <v>40742693163</v>
      </c>
      <c r="K17" s="77">
        <v>468605.98</v>
      </c>
      <c r="L17" s="64">
        <f t="shared" si="0"/>
        <v>69.214727050644981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2160819.9500000002</v>
      </c>
      <c r="F18" s="54">
        <f t="shared" si="1"/>
        <v>0.33242336424235552</v>
      </c>
      <c r="G18" s="54">
        <f t="shared" si="2"/>
        <v>0.12807319843897735</v>
      </c>
      <c r="H18" s="76" t="s">
        <v>106</v>
      </c>
      <c r="I18" s="77">
        <v>43216399</v>
      </c>
      <c r="J18" s="77">
        <v>54121680306</v>
      </c>
      <c r="K18" s="77">
        <v>692020.12</v>
      </c>
      <c r="L18" s="64">
        <f t="shared" si="0"/>
        <v>62.44962790966251</v>
      </c>
      <c r="M18" s="34"/>
      <c r="N18" s="19"/>
      <c r="O18" s="58"/>
      <c r="P18" s="58"/>
      <c r="Q18" s="19"/>
      <c r="R18" s="66"/>
    </row>
    <row r="19" spans="1:18">
      <c r="A19" s="33">
        <f>SUM(E17:E19)</f>
        <v>6250585.5636363644</v>
      </c>
      <c r="B19" s="33">
        <f>AVERAGE(E17:E19)</f>
        <v>2083528.5212121215</v>
      </c>
      <c r="C19" s="54">
        <f>B19/B16-1</f>
        <v>0.29938357036872709</v>
      </c>
      <c r="D19" s="54">
        <f>B19/B7-1</f>
        <v>8.3642691525737112E-2</v>
      </c>
      <c r="E19" s="34">
        <f>I19/22</f>
        <v>2468043.8636363638</v>
      </c>
      <c r="F19" s="54">
        <f t="shared" si="1"/>
        <v>0.14217932115832399</v>
      </c>
      <c r="G19" s="54">
        <f t="shared" si="2"/>
        <v>0.30833270182069628</v>
      </c>
      <c r="H19" s="76" t="s">
        <v>115</v>
      </c>
      <c r="I19" s="77">
        <v>54296965</v>
      </c>
      <c r="J19" s="77">
        <v>70966724267</v>
      </c>
      <c r="K19" s="77">
        <v>906487.68</v>
      </c>
      <c r="L19" s="64">
        <f t="shared" si="0"/>
        <v>59.898183061903275</v>
      </c>
      <c r="M19" s="53">
        <f>I17+I18+I19</f>
        <v>129947799</v>
      </c>
      <c r="N19" s="34">
        <f>J17+J18+J19</f>
        <v>165831097736</v>
      </c>
      <c r="O19" s="58">
        <f>M19/M16-1</f>
        <v>0.2676120855588171</v>
      </c>
      <c r="P19" s="58">
        <f>M19/M7-1</f>
        <v>0.1269987437935749</v>
      </c>
      <c r="Q19" s="65">
        <f>AVERAGE(L17:L19)</f>
        <v>63.85417934073692</v>
      </c>
      <c r="R19" s="66">
        <f>Q19/Q16-1</f>
        <v>4.6421776230267664E-2</v>
      </c>
    </row>
    <row r="20" spans="1:18">
      <c r="A20" s="33"/>
      <c r="B20" s="33"/>
      <c r="C20" s="54"/>
      <c r="D20" s="54"/>
      <c r="E20" s="34">
        <f>I20/20</f>
        <v>2152657.1</v>
      </c>
      <c r="F20" s="54">
        <f t="shared" si="1"/>
        <v>-0.12778815169503488</v>
      </c>
      <c r="G20" s="54">
        <f t="shared" si="2"/>
        <v>0.21505414589277971</v>
      </c>
      <c r="H20" s="76" t="s">
        <v>132</v>
      </c>
      <c r="I20" s="77">
        <v>43053142</v>
      </c>
      <c r="J20" s="77">
        <v>56472075703</v>
      </c>
      <c r="K20" s="77">
        <v>748402.64</v>
      </c>
      <c r="L20" s="64">
        <f t="shared" si="0"/>
        <v>57.526710488354233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2209270.0476190476</v>
      </c>
      <c r="F21" s="54">
        <f t="shared" si="1"/>
        <v>2.629910152390158E-2</v>
      </c>
      <c r="G21" s="54">
        <f t="shared" si="2"/>
        <v>0.26950816505173414</v>
      </c>
      <c r="H21" s="76" t="s">
        <v>141</v>
      </c>
      <c r="I21" s="77">
        <v>46394671</v>
      </c>
      <c r="J21" s="77">
        <v>61789798972</v>
      </c>
      <c r="K21" s="77">
        <v>866293.22</v>
      </c>
      <c r="L21" s="64">
        <f t="shared" si="0"/>
        <v>53.555389709733618</v>
      </c>
      <c r="M21" s="34"/>
      <c r="N21" s="19"/>
      <c r="O21" s="58"/>
      <c r="P21" s="58"/>
      <c r="Q21" s="19"/>
      <c r="R21" s="66"/>
    </row>
    <row r="22" spans="1:18">
      <c r="A22" s="33">
        <f>SUM(E20:E22)</f>
        <v>6445209.0047619054</v>
      </c>
      <c r="B22" s="33">
        <f>AVERAGE(E20:E22)</f>
        <v>2148403.001587302</v>
      </c>
      <c r="C22" s="54">
        <f>B22/B19-1</f>
        <v>3.1136833364507455E-2</v>
      </c>
      <c r="D22" s="54">
        <f>B22/B10-1</f>
        <v>0.17218549069092615</v>
      </c>
      <c r="E22" s="34">
        <f>I22/21</f>
        <v>2083281.857142857</v>
      </c>
      <c r="F22" s="54">
        <f t="shared" si="1"/>
        <v>-5.7027066750834354E-2</v>
      </c>
      <c r="G22" s="54">
        <f t="shared" si="2"/>
        <v>4.8697137197017515E-2</v>
      </c>
      <c r="H22" s="76" t="s">
        <v>156</v>
      </c>
      <c r="I22" s="77">
        <v>43748919</v>
      </c>
      <c r="J22" s="77">
        <v>56902160336</v>
      </c>
      <c r="K22" s="77">
        <v>744770.46</v>
      </c>
      <c r="L22" s="64">
        <f t="shared" si="0"/>
        <v>58.741479891670252</v>
      </c>
      <c r="M22" s="53">
        <f>I20+I21+I22</f>
        <v>133196732</v>
      </c>
      <c r="N22" s="34">
        <f>J20+J21+J22</f>
        <v>175164035011</v>
      </c>
      <c r="O22" s="58">
        <f>M22/M19-1</f>
        <v>2.5001831697049282E-2</v>
      </c>
      <c r="P22" s="58">
        <f>M22/M10-1</f>
        <v>0.1535425294198669</v>
      </c>
      <c r="Q22" s="65">
        <f>AVERAGE(L20:L22)</f>
        <v>56.607860029919372</v>
      </c>
      <c r="R22" s="66">
        <f>Q22/Q19-1</f>
        <v>-0.11348230273464066</v>
      </c>
    </row>
    <row r="23" spans="1:18">
      <c r="A23" s="33"/>
      <c r="B23" s="33"/>
      <c r="C23" s="57"/>
      <c r="D23" s="57"/>
      <c r="E23" s="34">
        <f>I23/21</f>
        <v>2237680.5238095238</v>
      </c>
      <c r="F23" s="54">
        <f t="shared" si="1"/>
        <v>7.411319123107929E-2</v>
      </c>
      <c r="G23" s="54">
        <f t="shared" si="2"/>
        <v>0.30354386084048768</v>
      </c>
      <c r="H23" s="76" t="s">
        <v>189</v>
      </c>
      <c r="I23" s="77">
        <v>46991291</v>
      </c>
      <c r="J23" s="77">
        <v>60673996274</v>
      </c>
      <c r="K23" s="77">
        <v>751800.79</v>
      </c>
      <c r="L23" s="64">
        <f t="shared" si="0"/>
        <v>62.504976883570443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2434331.2727272729</v>
      </c>
      <c r="F24" s="54">
        <f t="shared" si="1"/>
        <v>8.7881512497129055E-2</v>
      </c>
      <c r="G24" s="54">
        <f t="shared" si="2"/>
        <v>0.86979652617379877</v>
      </c>
      <c r="H24" s="76" t="s">
        <v>204</v>
      </c>
      <c r="I24" s="77">
        <v>53555288</v>
      </c>
      <c r="J24" s="77">
        <v>70272830637</v>
      </c>
      <c r="K24" s="77">
        <v>857126.19</v>
      </c>
      <c r="L24" s="64">
        <f t="shared" si="0"/>
        <v>62.482384303296115</v>
      </c>
      <c r="M24" s="34"/>
      <c r="N24" s="19"/>
      <c r="O24" s="58"/>
      <c r="P24" s="58"/>
      <c r="Q24" s="19"/>
      <c r="R24" s="66"/>
    </row>
    <row r="25" spans="1:18">
      <c r="A25" s="33">
        <f>SUM(E23:E25)</f>
        <v>7141742.2702210071</v>
      </c>
      <c r="B25" s="33">
        <f>AVERAGE(E23:E25)</f>
        <v>2380580.7567403358</v>
      </c>
      <c r="C25" s="54">
        <f>B25/B22-1</f>
        <v>0.10806992681610206</v>
      </c>
      <c r="D25" s="54">
        <f>B25/B13-1</f>
        <v>0.46731533591157515</v>
      </c>
      <c r="E25" s="34">
        <f>I25/19</f>
        <v>2469730.4736842103</v>
      </c>
      <c r="F25" s="54">
        <f t="shared" si="1"/>
        <v>1.4541653124013232E-2</v>
      </c>
      <c r="G25" s="54">
        <f t="shared" si="2"/>
        <v>0.33594204412525297</v>
      </c>
      <c r="H25" s="76" t="s">
        <v>219</v>
      </c>
      <c r="I25" s="77">
        <v>46924879</v>
      </c>
      <c r="J25" s="77">
        <v>62274106460</v>
      </c>
      <c r="K25" s="77">
        <v>689410.47</v>
      </c>
      <c r="L25" s="64">
        <f t="shared" si="0"/>
        <v>68.06522535116126</v>
      </c>
      <c r="M25" s="53">
        <f>I23+I24+I25</f>
        <v>147471458</v>
      </c>
      <c r="N25" s="34">
        <f>J23+J24+J25</f>
        <v>193220933371</v>
      </c>
      <c r="O25" s="54">
        <f>M25/M22-1</f>
        <v>0.10717024198461567</v>
      </c>
      <c r="P25" s="54">
        <f>M25/M13-1</f>
        <v>0.4505655502143755</v>
      </c>
      <c r="Q25" s="65">
        <f>AVERAGE(L23:L25)</f>
        <v>64.350862179342599</v>
      </c>
      <c r="R25" s="67">
        <f>Q25/Q22-1</f>
        <v>0.13678316306835758</v>
      </c>
    </row>
    <row r="26" spans="1:18">
      <c r="A26" s="33"/>
      <c r="B26" s="33"/>
      <c r="C26" s="55"/>
      <c r="D26" s="55"/>
      <c r="E26" s="34">
        <f>I26/19</f>
        <v>2306040.1052631577</v>
      </c>
      <c r="F26" s="54">
        <f t="shared" ref="F26" si="3">E26/E25-1</f>
        <v>-6.627863654160937E-2</v>
      </c>
      <c r="G26" s="54">
        <f t="shared" ref="G26" si="4">E26/E14-1</f>
        <v>0.39107923235548037</v>
      </c>
      <c r="H26" s="76" t="s">
        <v>312</v>
      </c>
      <c r="I26" s="77">
        <v>43814762</v>
      </c>
      <c r="J26" s="77">
        <v>59147190954</v>
      </c>
      <c r="K26" s="77">
        <v>592994.35</v>
      </c>
      <c r="L26" s="64">
        <f t="shared" ref="L26" si="5">I26/K26</f>
        <v>73.887317813399065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2178247.4090909092</v>
      </c>
      <c r="F27" s="54">
        <f t="shared" ref="F27" si="6">E27/E26-1</f>
        <v>-5.5416510701866262E-2</v>
      </c>
      <c r="G27" s="54">
        <f t="shared" ref="G27" si="7">E27/E15-1</f>
        <v>0.42521850585745091</v>
      </c>
      <c r="H27" s="76" t="s">
        <v>375</v>
      </c>
      <c r="I27" s="77">
        <v>47921443</v>
      </c>
      <c r="J27" s="77">
        <v>63223699507</v>
      </c>
      <c r="K27" s="77">
        <v>658374.62</v>
      </c>
      <c r="L27" s="64">
        <f t="shared" ref="L27" si="8">I27/K27</f>
        <v>72.787500526675828</v>
      </c>
      <c r="M27" s="34"/>
      <c r="N27" s="19"/>
      <c r="O27" s="54"/>
      <c r="P27" s="54"/>
      <c r="Q27" s="19"/>
      <c r="R27" s="19"/>
    </row>
    <row r="28" spans="1:18">
      <c r="A28" s="33">
        <f>SUM(E26:E28)</f>
        <v>6426489.7248803824</v>
      </c>
      <c r="B28" s="33">
        <f>AVERAGE(E26:E28)</f>
        <v>2142163.241626794</v>
      </c>
      <c r="C28" s="54">
        <f>B28/B25-1</f>
        <v>-0.10015098813114853</v>
      </c>
      <c r="D28" s="54">
        <f>B28/B16-1</f>
        <v>0.33595086070544156</v>
      </c>
      <c r="E28" s="34">
        <f>I28/19</f>
        <v>1942202.2105263157</v>
      </c>
      <c r="F28" s="54">
        <f t="shared" ref="F28" si="9">E28/E27-1</f>
        <v>-0.1083647328487386</v>
      </c>
      <c r="G28" s="54">
        <f t="shared" ref="G28" si="10">E28/E16-1</f>
        <v>0.19569519079919151</v>
      </c>
      <c r="H28" s="76" t="s">
        <v>413</v>
      </c>
      <c r="I28" s="77">
        <v>36901842</v>
      </c>
      <c r="J28" s="77">
        <v>48133320331</v>
      </c>
      <c r="K28" s="77">
        <v>632889.66</v>
      </c>
      <c r="L28" s="64">
        <f t="shared" ref="L28" si="11">I28/K28</f>
        <v>58.306912456114382</v>
      </c>
      <c r="M28" s="53">
        <f>I26+I27+I28</f>
        <v>128638047</v>
      </c>
      <c r="N28" s="34">
        <f>J26+J27+J28</f>
        <v>170504210792</v>
      </c>
      <c r="O28" s="54">
        <f>M28/M25-1</f>
        <v>-0.12770885468563009</v>
      </c>
      <c r="P28" s="54">
        <f>M28/M16-1</f>
        <v>0.25483574400427611</v>
      </c>
      <c r="Q28" s="65">
        <f>AVERAGE(L26:L28)</f>
        <v>68.327243598729765</v>
      </c>
      <c r="R28" s="67">
        <f>Q28/Q25-1</f>
        <v>6.1792201141069203E-2</v>
      </c>
    </row>
    <row r="29" spans="1:18">
      <c r="A29" s="33"/>
      <c r="B29" s="33"/>
      <c r="C29" s="55"/>
      <c r="D29" s="55"/>
      <c r="E29" s="34">
        <f>I29/22</f>
        <v>2190720.5454545454</v>
      </c>
      <c r="F29" s="54">
        <f t="shared" ref="F29" si="12">E29/E28-1</f>
        <v>0.12795698284211299</v>
      </c>
      <c r="G29" s="54">
        <f t="shared" ref="G29" si="13">E29/E17-1</f>
        <v>0.35086092633002264</v>
      </c>
      <c r="H29" s="76" t="s">
        <v>430</v>
      </c>
      <c r="I29" s="77">
        <v>48195852</v>
      </c>
      <c r="J29" s="77">
        <v>63426217298</v>
      </c>
      <c r="K29" s="77">
        <v>774191.07</v>
      </c>
      <c r="L29" s="64">
        <f t="shared" ref="L29" si="14">I29/K29</f>
        <v>62.253174787975794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2626462.5789473685</v>
      </c>
      <c r="F30" s="54">
        <f t="shared" ref="F30" si="15">E30/E29-1</f>
        <v>0.19890352258617838</v>
      </c>
      <c r="G30" s="54">
        <f t="shared" ref="G30" si="16">E30/E18-1</f>
        <v>0.21549348845440286</v>
      </c>
      <c r="H30" s="76" t="s">
        <v>466</v>
      </c>
      <c r="I30" s="77">
        <v>49902789</v>
      </c>
      <c r="J30" s="77">
        <v>66515371432</v>
      </c>
      <c r="K30" s="77">
        <v>728343.58</v>
      </c>
      <c r="L30" s="64">
        <f t="shared" ref="L30" si="17">I30/K30</f>
        <v>68.515451183080387</v>
      </c>
      <c r="M30" s="53"/>
      <c r="N30" s="34"/>
      <c r="O30" s="54"/>
      <c r="P30" s="54"/>
      <c r="Q30" s="65"/>
      <c r="R30" s="67"/>
    </row>
    <row r="31" spans="1:18">
      <c r="A31" s="33">
        <f>SUM(E29:E31)</f>
        <v>7349861.4744019136</v>
      </c>
      <c r="B31" s="33">
        <f>AVERAGE(E29:E31)</f>
        <v>2449953.824800638</v>
      </c>
      <c r="C31" s="54">
        <f>B31/B28-1</f>
        <v>0.14368213271183894</v>
      </c>
      <c r="D31" s="54">
        <f>B31/B19-1</f>
        <v>0.17586766864863623</v>
      </c>
      <c r="E31" s="34">
        <f>I31/20</f>
        <v>2532678.35</v>
      </c>
      <c r="F31" s="54">
        <f t="shared" ref="F31" si="18">E31/E30-1</f>
        <v>-3.5707430099748527E-2</v>
      </c>
      <c r="G31" s="54">
        <f t="shared" ref="G31" si="19">E31/E19-1</f>
        <v>2.6188548475959861E-2</v>
      </c>
      <c r="H31" s="76" t="s">
        <v>522</v>
      </c>
      <c r="I31" s="77">
        <v>50653567</v>
      </c>
      <c r="J31" s="77">
        <v>67217800867</v>
      </c>
      <c r="K31" s="77">
        <v>796127.69</v>
      </c>
      <c r="L31" s="64">
        <f t="shared" ref="L31" si="20">I31/K31</f>
        <v>63.624928056452859</v>
      </c>
      <c r="M31" s="53">
        <f>I29+I30+I31</f>
        <v>148752208</v>
      </c>
      <c r="N31" s="34">
        <f>J29+J30+J31</f>
        <v>197159389597</v>
      </c>
      <c r="O31" s="54">
        <f>M31/M28-1</f>
        <v>0.15636245628013934</v>
      </c>
      <c r="P31" s="54">
        <f>M31/M19-1</f>
        <v>0.14470740670259441</v>
      </c>
      <c r="Q31" s="65">
        <f>AVERAGE(L29:L31)</f>
        <v>64.797851342503009</v>
      </c>
      <c r="R31" s="67">
        <f>Q31/Q28-1</f>
        <v>-5.165424610063396E-2</v>
      </c>
    </row>
    <row r="32" spans="1:18">
      <c r="A32" s="33"/>
      <c r="B32" s="33"/>
      <c r="C32" s="54"/>
      <c r="D32" s="54"/>
      <c r="E32" s="34">
        <f>I32/14</f>
        <v>1121410.7142857143</v>
      </c>
      <c r="F32" s="54">
        <f t="shared" ref="F32" si="21">E32/E31-1</f>
        <v>-0.55722339779715246</v>
      </c>
      <c r="G32" s="54">
        <f t="shared" ref="G32" si="22">E32/E20-1</f>
        <v>-0.47905743358488717</v>
      </c>
      <c r="H32" s="76" t="s">
        <v>562</v>
      </c>
      <c r="I32" s="77">
        <v>15699750</v>
      </c>
      <c r="J32" s="77">
        <v>21103255341</v>
      </c>
      <c r="K32" s="77">
        <v>250148.64</v>
      </c>
      <c r="L32" s="64">
        <f t="shared" ref="L32" si="23">I32/K32</f>
        <v>62.76168441291545</v>
      </c>
      <c r="M32" s="53">
        <f>I30+I31+I32</f>
        <v>116256106</v>
      </c>
      <c r="N32" s="34">
        <f>J30+J31+J32</f>
        <v>154836427640</v>
      </c>
      <c r="O32" s="54" t="e">
        <f>M32/M29-1</f>
        <v>#DIV/0!</v>
      </c>
      <c r="P32" s="54" t="e">
        <f>M32/M20-1</f>
        <v>#DIV/0!</v>
      </c>
      <c r="Q32" s="65">
        <f>AVERAGE(L30:L32)</f>
        <v>64.967354550816239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6" priority="4" operator="greaterThan">
      <formula>$B$25</formula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0"/>
  <dimension ref="A1:R39"/>
  <sheetViews>
    <sheetView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250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8537105020</v>
      </c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310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723430.7</v>
      </c>
      <c r="F5" s="54"/>
      <c r="G5" s="54"/>
      <c r="H5" s="76" t="s">
        <v>0</v>
      </c>
      <c r="I5" s="77">
        <v>14468614</v>
      </c>
      <c r="J5" s="77"/>
      <c r="K5" s="77">
        <v>198552.09</v>
      </c>
      <c r="L5" s="64">
        <f t="shared" ref="L5:L25" si="0">I5/K5</f>
        <v>72.870620500645444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565859.66666666663</v>
      </c>
      <c r="F6" s="54">
        <f t="shared" ref="F6:F25" si="1">E6/E5-1</f>
        <v>-0.21781081910587063</v>
      </c>
      <c r="G6" s="54"/>
      <c r="H6" s="76" t="s">
        <v>1</v>
      </c>
      <c r="I6" s="77">
        <v>10185474</v>
      </c>
      <c r="J6" s="77"/>
      <c r="K6" s="77">
        <v>123027.34</v>
      </c>
      <c r="L6" s="64">
        <f t="shared" si="0"/>
        <v>82.790329369065446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1980740.184848485</v>
      </c>
      <c r="B7" s="33">
        <f>AVERAGE(E5:E7)</f>
        <v>660246.72828282835</v>
      </c>
      <c r="C7" s="57"/>
      <c r="D7" s="57"/>
      <c r="E7" s="34">
        <f>I7/22</f>
        <v>691449.81818181823</v>
      </c>
      <c r="F7" s="54">
        <f t="shared" si="1"/>
        <v>0.221945756012212</v>
      </c>
      <c r="G7" s="54"/>
      <c r="H7" s="76" t="s">
        <v>2</v>
      </c>
      <c r="I7" s="77">
        <v>15211896</v>
      </c>
      <c r="J7" s="77"/>
      <c r="K7" s="77">
        <v>182005.99</v>
      </c>
      <c r="L7" s="64">
        <f t="shared" si="0"/>
        <v>83.579095391311029</v>
      </c>
      <c r="M7" s="53">
        <f>I5+I6+I7</f>
        <v>39865984</v>
      </c>
      <c r="N7" s="19">
        <f>J5+J6+J7</f>
        <v>0</v>
      </c>
      <c r="O7" s="58"/>
      <c r="P7" s="58"/>
      <c r="Q7" s="65">
        <f>AVERAGE(L5:L7)</f>
        <v>79.746681753673968</v>
      </c>
      <c r="R7" s="19"/>
    </row>
    <row r="8" spans="1:18" ht="15" customHeight="1">
      <c r="A8" s="19"/>
      <c r="B8" s="19"/>
      <c r="C8" s="57"/>
      <c r="D8" s="57"/>
      <c r="E8" s="34">
        <f>I8/21</f>
        <v>453330.23809523811</v>
      </c>
      <c r="F8" s="54">
        <f t="shared" si="1"/>
        <v>-0.3443772401484182</v>
      </c>
      <c r="G8" s="54"/>
      <c r="H8" s="76" t="s">
        <v>3</v>
      </c>
      <c r="I8" s="77">
        <v>9519935</v>
      </c>
      <c r="J8" s="77"/>
      <c r="K8" s="77">
        <v>81897.88</v>
      </c>
      <c r="L8" s="64">
        <f t="shared" si="0"/>
        <v>116.24153152682339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477215.76190476189</v>
      </c>
      <c r="F9" s="54">
        <f t="shared" si="1"/>
        <v>5.2689015208612133E-2</v>
      </c>
      <c r="G9" s="54"/>
      <c r="H9" s="76" t="s">
        <v>4</v>
      </c>
      <c r="I9" s="77">
        <v>10021531</v>
      </c>
      <c r="J9" s="77"/>
      <c r="K9" s="77">
        <v>112665.57</v>
      </c>
      <c r="L9" s="64">
        <f t="shared" si="0"/>
        <v>88.949365808915715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1585178.6190476189</v>
      </c>
      <c r="B10" s="33">
        <f>AVERAGE(E8:E10)</f>
        <v>528392.87301587302</v>
      </c>
      <c r="C10" s="54">
        <f>B10/B7-1</f>
        <v>-0.19970391312635694</v>
      </c>
      <c r="D10" s="54"/>
      <c r="E10" s="34">
        <f>I10/21</f>
        <v>654632.61904761905</v>
      </c>
      <c r="F10" s="54">
        <f t="shared" si="1"/>
        <v>0.371774931395213</v>
      </c>
      <c r="G10" s="54"/>
      <c r="H10" s="76" t="s">
        <v>5</v>
      </c>
      <c r="I10" s="77">
        <v>13747285</v>
      </c>
      <c r="J10" s="77"/>
      <c r="K10" s="77">
        <v>166884.28</v>
      </c>
      <c r="L10" s="64">
        <f t="shared" si="0"/>
        <v>82.376153104414627</v>
      </c>
      <c r="M10" s="53">
        <f>I8+I9+I10</f>
        <v>33288751</v>
      </c>
      <c r="N10" s="19">
        <f>J8+J9+J10</f>
        <v>0</v>
      </c>
      <c r="O10" s="58">
        <f>M10/M7-1</f>
        <v>-0.16498358600655638</v>
      </c>
      <c r="P10" s="58"/>
      <c r="Q10" s="65">
        <f>AVERAGE(L8:L10)</f>
        <v>95.855683480051255</v>
      </c>
      <c r="R10" s="66">
        <f>Q10/Q7-1</f>
        <v>0.20200215698172475</v>
      </c>
    </row>
    <row r="11" spans="1:18" ht="15" customHeight="1">
      <c r="A11" s="19"/>
      <c r="B11" s="19"/>
      <c r="C11" s="57"/>
      <c r="D11" s="57"/>
      <c r="E11" s="34">
        <f>I11/21</f>
        <v>450354.71428571426</v>
      </c>
      <c r="F11" s="54">
        <f t="shared" si="1"/>
        <v>-0.31204968835664648</v>
      </c>
      <c r="G11" s="54"/>
      <c r="H11" s="76" t="s">
        <v>6</v>
      </c>
      <c r="I11" s="77">
        <v>9457449</v>
      </c>
      <c r="J11" s="77"/>
      <c r="K11" s="77">
        <v>127582.44</v>
      </c>
      <c r="L11" s="64">
        <f t="shared" si="0"/>
        <v>74.128140204874583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662683.90909090906</v>
      </c>
      <c r="F12" s="54">
        <f t="shared" si="1"/>
        <v>0.47147101622320053</v>
      </c>
      <c r="G12" s="54"/>
      <c r="H12" s="76" t="s">
        <v>7</v>
      </c>
      <c r="I12" s="77">
        <v>14579046</v>
      </c>
      <c r="J12" s="77"/>
      <c r="K12" s="77">
        <v>169659.92</v>
      </c>
      <c r="L12" s="64">
        <f t="shared" si="0"/>
        <v>85.93099654886079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1848886.0733766232</v>
      </c>
      <c r="B13" s="33">
        <f>AVERAGE(E11:E13)</f>
        <v>616295.35779220774</v>
      </c>
      <c r="C13" s="54">
        <f>B13/B10-1</f>
        <v>0.16635819532277107</v>
      </c>
      <c r="D13" s="54"/>
      <c r="E13" s="34">
        <f>I13/20</f>
        <v>735847.45</v>
      </c>
      <c r="F13" s="54">
        <f t="shared" si="1"/>
        <v>0.11040488520305103</v>
      </c>
      <c r="G13" s="54"/>
      <c r="H13" s="76" t="s">
        <v>96</v>
      </c>
      <c r="I13" s="77">
        <v>14716949</v>
      </c>
      <c r="J13" s="77"/>
      <c r="K13" s="77">
        <v>184815.49</v>
      </c>
      <c r="L13" s="64">
        <f t="shared" si="0"/>
        <v>79.630495257729748</v>
      </c>
      <c r="M13" s="53">
        <f>I11+I12+I13</f>
        <v>38753444</v>
      </c>
      <c r="N13" s="34">
        <f>J11+J12+J13</f>
        <v>0</v>
      </c>
      <c r="O13" s="58">
        <f>M13/M10-1</f>
        <v>0.16416034954270287</v>
      </c>
      <c r="P13" s="58"/>
      <c r="Q13" s="65">
        <f>AVERAGE(L11:L13)</f>
        <v>79.896544003821703</v>
      </c>
      <c r="R13" s="66">
        <f>Q13/Q10-1</f>
        <v>-0.16649132212959339</v>
      </c>
    </row>
    <row r="14" spans="1:18" ht="15" customHeight="1">
      <c r="A14" s="19"/>
      <c r="B14" s="19"/>
      <c r="C14" s="57"/>
      <c r="D14" s="57"/>
      <c r="E14" s="34">
        <f>I14/20</f>
        <v>581072.35</v>
      </c>
      <c r="F14" s="54">
        <f t="shared" si="1"/>
        <v>-0.21033585154096812</v>
      </c>
      <c r="G14" s="54"/>
      <c r="H14" s="76" t="s">
        <v>97</v>
      </c>
      <c r="I14" s="77">
        <v>11621447</v>
      </c>
      <c r="J14" s="77"/>
      <c r="K14" s="77">
        <v>137619.23000000001</v>
      </c>
      <c r="L14" s="64">
        <f t="shared" si="0"/>
        <v>84.44638877866123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618097.5</v>
      </c>
      <c r="F15" s="54">
        <f t="shared" si="1"/>
        <v>6.3718657409873369E-2</v>
      </c>
      <c r="G15" s="54"/>
      <c r="H15" s="76" t="s">
        <v>98</v>
      </c>
      <c r="I15" s="77">
        <v>13598145</v>
      </c>
      <c r="J15" s="77"/>
      <c r="K15" s="77">
        <v>148148.93</v>
      </c>
      <c r="L15" s="64">
        <f t="shared" si="0"/>
        <v>91.786994344137355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1829018.4409090909</v>
      </c>
      <c r="B16" s="33">
        <f>AVERAGE(E14:E16)</f>
        <v>609672.8136363636</v>
      </c>
      <c r="C16" s="54">
        <f>B16/B13-1</f>
        <v>-1.0745731039689232E-2</v>
      </c>
      <c r="D16" s="54"/>
      <c r="E16" s="34">
        <f>I16/22</f>
        <v>629848.59090909094</v>
      </c>
      <c r="F16" s="54">
        <f t="shared" si="1"/>
        <v>1.901171078849373E-2</v>
      </c>
      <c r="G16" s="54"/>
      <c r="H16" s="76" t="s">
        <v>99</v>
      </c>
      <c r="I16" s="77">
        <v>13856669</v>
      </c>
      <c r="J16" s="77"/>
      <c r="K16" s="77">
        <v>139604.22</v>
      </c>
      <c r="L16" s="64">
        <f t="shared" si="0"/>
        <v>99.256806133797383</v>
      </c>
      <c r="M16" s="53">
        <f>I14+I15+I16</f>
        <v>39076261</v>
      </c>
      <c r="N16" s="34">
        <f>J14+J15+J16</f>
        <v>0</v>
      </c>
      <c r="O16" s="58">
        <f>M16/M13-1</f>
        <v>8.3300209395582581E-3</v>
      </c>
      <c r="P16" s="58"/>
      <c r="Q16" s="65">
        <f>AVERAGE(L14:L16)</f>
        <v>91.830063085531989</v>
      </c>
      <c r="R16" s="66">
        <f>Q16/Q13-1</f>
        <v>0.14936214363839651</v>
      </c>
    </row>
    <row r="17" spans="1:18" ht="15" customHeight="1">
      <c r="A17" s="19"/>
      <c r="B17" s="19"/>
      <c r="C17" s="57"/>
      <c r="D17" s="57"/>
      <c r="E17" s="34">
        <f>I17/20</f>
        <v>548836.05000000005</v>
      </c>
      <c r="F17" s="54">
        <f t="shared" si="1"/>
        <v>-0.12862224680404788</v>
      </c>
      <c r="G17" s="54">
        <f t="shared" ref="G17:G25" si="2">E17/E5-1</f>
        <v>-0.24134260544928476</v>
      </c>
      <c r="H17" s="76" t="s">
        <v>100</v>
      </c>
      <c r="I17" s="77">
        <v>10976721</v>
      </c>
      <c r="J17" s="77">
        <v>13818823120</v>
      </c>
      <c r="K17" s="77">
        <v>120260.69</v>
      </c>
      <c r="L17" s="64">
        <f t="shared" si="0"/>
        <v>91.274388996105046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816223.6</v>
      </c>
      <c r="F18" s="54">
        <f t="shared" si="1"/>
        <v>0.48719020917084421</v>
      </c>
      <c r="G18" s="54">
        <f t="shared" si="2"/>
        <v>0.44244880503352135</v>
      </c>
      <c r="H18" s="76" t="s">
        <v>106</v>
      </c>
      <c r="I18" s="77">
        <v>16324472</v>
      </c>
      <c r="J18" s="77">
        <v>20487728247</v>
      </c>
      <c r="K18" s="77">
        <v>197268.38</v>
      </c>
      <c r="L18" s="64">
        <f t="shared" si="0"/>
        <v>82.75260333156281</v>
      </c>
      <c r="M18" s="34"/>
      <c r="N18" s="19"/>
      <c r="O18" s="58"/>
      <c r="P18" s="58"/>
      <c r="Q18" s="19"/>
      <c r="R18" s="66"/>
    </row>
    <row r="19" spans="1:18">
      <c r="A19" s="33">
        <f>SUM(E17:E19)</f>
        <v>2212325.4227272728</v>
      </c>
      <c r="B19" s="33">
        <f>AVERAGE(E17:E19)</f>
        <v>737441.80757575762</v>
      </c>
      <c r="C19" s="54">
        <f>B19/B16-1</f>
        <v>0.20956977428158896</v>
      </c>
      <c r="D19" s="54">
        <f>B19/B7-1</f>
        <v>0.11691853361197024</v>
      </c>
      <c r="E19" s="34">
        <f>I19/22</f>
        <v>847265.77272727271</v>
      </c>
      <c r="F19" s="54">
        <f t="shared" si="1"/>
        <v>3.8031456977319467E-2</v>
      </c>
      <c r="G19" s="54">
        <f t="shared" si="2"/>
        <v>0.22534672863921745</v>
      </c>
      <c r="H19" s="76" t="s">
        <v>115</v>
      </c>
      <c r="I19" s="77">
        <v>18639847</v>
      </c>
      <c r="J19" s="77">
        <v>24355627980</v>
      </c>
      <c r="K19" s="77">
        <v>225614.23</v>
      </c>
      <c r="L19" s="64">
        <f t="shared" si="0"/>
        <v>82.618224036666476</v>
      </c>
      <c r="M19" s="53">
        <f>I17+I18+I19</f>
        <v>45941040</v>
      </c>
      <c r="N19" s="34">
        <f>J17+J18+J19</f>
        <v>58662179347</v>
      </c>
      <c r="O19" s="58">
        <f>M19/M16-1</f>
        <v>0.17567645481741456</v>
      </c>
      <c r="P19" s="58">
        <f>M19/M7-1</f>
        <v>0.15238695726160922</v>
      </c>
      <c r="Q19" s="65">
        <f>AVERAGE(L17:L19)</f>
        <v>85.54840545477812</v>
      </c>
      <c r="R19" s="66">
        <f>Q19/Q16-1</f>
        <v>-6.8405241373982628E-2</v>
      </c>
    </row>
    <row r="20" spans="1:18">
      <c r="A20" s="33"/>
      <c r="B20" s="33"/>
      <c r="C20" s="54"/>
      <c r="D20" s="54"/>
      <c r="E20" s="34">
        <f>I20/20</f>
        <v>648766.75</v>
      </c>
      <c r="F20" s="54">
        <f t="shared" si="1"/>
        <v>-0.23428188546826589</v>
      </c>
      <c r="G20" s="54">
        <f t="shared" si="2"/>
        <v>0.4311128962540185</v>
      </c>
      <c r="H20" s="76" t="s">
        <v>132</v>
      </c>
      <c r="I20" s="77">
        <v>12975335</v>
      </c>
      <c r="J20" s="77">
        <v>17016104896</v>
      </c>
      <c r="K20" s="77">
        <v>158837.22</v>
      </c>
      <c r="L20" s="64">
        <f t="shared" si="0"/>
        <v>81.689512067763459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870792.09523809527</v>
      </c>
      <c r="F21" s="54">
        <f t="shared" si="1"/>
        <v>0.34222676368370486</v>
      </c>
      <c r="G21" s="54">
        <f t="shared" si="2"/>
        <v>0.82473456401022971</v>
      </c>
      <c r="H21" s="76" t="s">
        <v>141</v>
      </c>
      <c r="I21" s="77">
        <v>18286634</v>
      </c>
      <c r="J21" s="77">
        <v>24351627073</v>
      </c>
      <c r="K21" s="77">
        <v>205119.46</v>
      </c>
      <c r="L21" s="64">
        <f t="shared" si="0"/>
        <v>89.151141486039407</v>
      </c>
      <c r="M21" s="34"/>
      <c r="N21" s="19"/>
      <c r="O21" s="58"/>
      <c r="P21" s="58"/>
      <c r="Q21" s="19"/>
      <c r="R21" s="66"/>
    </row>
    <row r="22" spans="1:18">
      <c r="A22" s="33">
        <f>SUM(E20:E22)</f>
        <v>2193689.75</v>
      </c>
      <c r="B22" s="33">
        <f>AVERAGE(E20:E22)</f>
        <v>731229.91666666663</v>
      </c>
      <c r="C22" s="54">
        <f>B22/B19-1</f>
        <v>-8.4235675890301787E-3</v>
      </c>
      <c r="D22" s="54">
        <f>B22/B10-1</f>
        <v>0.38387543437721638</v>
      </c>
      <c r="E22" s="34">
        <f>I22/21</f>
        <v>674130.90476190473</v>
      </c>
      <c r="F22" s="54">
        <f t="shared" si="1"/>
        <v>-0.22584172680439718</v>
      </c>
      <c r="G22" s="54">
        <f t="shared" si="2"/>
        <v>2.9785081199669605E-2</v>
      </c>
      <c r="H22" s="76" t="s">
        <v>156</v>
      </c>
      <c r="I22" s="77">
        <v>14156749</v>
      </c>
      <c r="J22" s="77">
        <v>18428028477</v>
      </c>
      <c r="K22" s="77">
        <v>144373.32999999999</v>
      </c>
      <c r="L22" s="64">
        <f t="shared" si="0"/>
        <v>98.056538558749054</v>
      </c>
      <c r="M22" s="53">
        <f>I20+I21+I22</f>
        <v>45418718</v>
      </c>
      <c r="N22" s="34">
        <f>J20+J21+J22</f>
        <v>59795760446</v>
      </c>
      <c r="O22" s="58">
        <f>M22/M19-1</f>
        <v>-1.1369398690147192E-2</v>
      </c>
      <c r="P22" s="58">
        <f>M22/M10-1</f>
        <v>0.36438636583271022</v>
      </c>
      <c r="Q22" s="65">
        <f>AVERAGE(L20:L22)</f>
        <v>89.63239737085064</v>
      </c>
      <c r="R22" s="66">
        <f>Q22/Q19-1</f>
        <v>4.7738960116928908E-2</v>
      </c>
    </row>
    <row r="23" spans="1:18">
      <c r="A23" s="33"/>
      <c r="B23" s="33"/>
      <c r="C23" s="57"/>
      <c r="D23" s="57"/>
      <c r="E23" s="34">
        <f>I23/21</f>
        <v>964172.42857142852</v>
      </c>
      <c r="F23" s="54">
        <f t="shared" si="1"/>
        <v>0.43024510782807557</v>
      </c>
      <c r="G23" s="54">
        <f t="shared" si="2"/>
        <v>1.1409178098660644</v>
      </c>
      <c r="H23" s="76" t="s">
        <v>189</v>
      </c>
      <c r="I23" s="77">
        <v>20247621</v>
      </c>
      <c r="J23" s="77">
        <v>26289038526</v>
      </c>
      <c r="K23" s="77">
        <v>201802.95</v>
      </c>
      <c r="L23" s="64">
        <f t="shared" si="0"/>
        <v>100.33362247677746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695164.45454545459</v>
      </c>
      <c r="F24" s="54">
        <f t="shared" si="1"/>
        <v>-0.27900401012768128</v>
      </c>
      <c r="G24" s="54">
        <f t="shared" si="2"/>
        <v>4.9013632304884869E-2</v>
      </c>
      <c r="H24" s="76" t="s">
        <v>204</v>
      </c>
      <c r="I24" s="77">
        <v>15293618</v>
      </c>
      <c r="J24" s="77">
        <v>19978894274</v>
      </c>
      <c r="K24" s="77">
        <v>162064.74</v>
      </c>
      <c r="L24" s="64">
        <f t="shared" si="0"/>
        <v>94.367337398622311</v>
      </c>
      <c r="M24" s="34"/>
      <c r="N24" s="19"/>
      <c r="O24" s="58"/>
      <c r="P24" s="58"/>
      <c r="Q24" s="19"/>
      <c r="R24" s="66"/>
    </row>
    <row r="25" spans="1:18">
      <c r="A25" s="33">
        <f>SUM(E23:E25)</f>
        <v>2439240.5146958306</v>
      </c>
      <c r="B25" s="33">
        <f>AVERAGE(E23:E25)</f>
        <v>813080.17156527692</v>
      </c>
      <c r="C25" s="54">
        <f>B25/B22-1</f>
        <v>0.11193504673841459</v>
      </c>
      <c r="D25" s="54">
        <f>B25/B13-1</f>
        <v>0.3193027682019598</v>
      </c>
      <c r="E25" s="34">
        <f>I25/19</f>
        <v>779903.63157894742</v>
      </c>
      <c r="F25" s="54">
        <f t="shared" si="1"/>
        <v>0.12189802927841153</v>
      </c>
      <c r="G25" s="54">
        <f t="shared" si="2"/>
        <v>5.9871351839226206E-2</v>
      </c>
      <c r="H25" s="76" t="s">
        <v>219</v>
      </c>
      <c r="I25" s="77">
        <v>14818169</v>
      </c>
      <c r="J25" s="77">
        <v>19647670219</v>
      </c>
      <c r="K25" s="77">
        <v>144655.59</v>
      </c>
      <c r="L25" s="64">
        <f t="shared" si="0"/>
        <v>102.43758295133981</v>
      </c>
      <c r="M25" s="53">
        <f>I23+I24+I25</f>
        <v>50359408</v>
      </c>
      <c r="N25" s="34">
        <f>J23+J24+J25</f>
        <v>65915603019</v>
      </c>
      <c r="O25" s="54">
        <f>M25/M22-1</f>
        <v>0.1087809215574953</v>
      </c>
      <c r="P25" s="54">
        <f>M25/M13-1</f>
        <v>0.29948213118813394</v>
      </c>
      <c r="Q25" s="65">
        <f>AVERAGE(L23:L25)</f>
        <v>99.046180942246522</v>
      </c>
      <c r="R25" s="67">
        <f>Q25/Q22-1</f>
        <v>0.10502657351054334</v>
      </c>
    </row>
    <row r="26" spans="1:18">
      <c r="A26" s="33"/>
      <c r="B26" s="33"/>
      <c r="C26" s="55"/>
      <c r="D26" s="55"/>
      <c r="E26" s="34">
        <f>I26/19</f>
        <v>896724.10526315786</v>
      </c>
      <c r="F26" s="54">
        <f t="shared" ref="F26" si="3">E26/E25-1</f>
        <v>0.14978834429543886</v>
      </c>
      <c r="G26" s="54">
        <f t="shared" ref="G26" si="4">E26/E14-1</f>
        <v>0.54322281083097113</v>
      </c>
      <c r="H26" s="76" t="s">
        <v>312</v>
      </c>
      <c r="I26" s="77">
        <v>17037758</v>
      </c>
      <c r="J26" s="77">
        <v>22985119193</v>
      </c>
      <c r="K26" s="77">
        <v>163638.87</v>
      </c>
      <c r="L26" s="64">
        <f t="shared" ref="L26" si="5">I26/K26</f>
        <v>104.11803748094815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528121.45454545459</v>
      </c>
      <c r="F27" s="54">
        <f t="shared" ref="F27" si="6">E27/E26-1</f>
        <v>-0.41105469179902443</v>
      </c>
      <c r="G27" s="54">
        <f t="shared" ref="G27" si="7">E27/E15-1</f>
        <v>-0.14556934052401993</v>
      </c>
      <c r="H27" s="76" t="s">
        <v>403</v>
      </c>
      <c r="I27" s="77">
        <v>11618672</v>
      </c>
      <c r="J27" s="77">
        <v>15436188464</v>
      </c>
      <c r="K27" s="77">
        <v>110110.33</v>
      </c>
      <c r="L27" s="64">
        <f t="shared" ref="L27" si="8">I27/K27</f>
        <v>105.51845589782539</v>
      </c>
      <c r="M27" s="34"/>
      <c r="N27" s="19"/>
      <c r="O27" s="54"/>
      <c r="P27" s="54"/>
      <c r="Q27" s="19"/>
      <c r="R27" s="19"/>
    </row>
    <row r="28" spans="1:18">
      <c r="A28" s="33">
        <f>SUM(E26:E28)</f>
        <v>2378953.1913875598</v>
      </c>
      <c r="B28" s="33">
        <f>AVERAGE(E26:E28)</f>
        <v>792984.39712918655</v>
      </c>
      <c r="C28" s="54">
        <f>B28/B25-1</f>
        <v>-2.471561248062859E-2</v>
      </c>
      <c r="D28" s="54">
        <f>B28/B16-1</f>
        <v>0.30067206441348437</v>
      </c>
      <c r="E28" s="34">
        <f>I28/19</f>
        <v>954107.63157894742</v>
      </c>
      <c r="F28" s="54">
        <f t="shared" ref="F28" si="9">E28/E27-1</f>
        <v>0.80660646025095128</v>
      </c>
      <c r="G28" s="54">
        <f t="shared" ref="G28" si="10">E28/E16-1</f>
        <v>0.51482061776440236</v>
      </c>
      <c r="H28" s="76" t="s">
        <v>413</v>
      </c>
      <c r="I28" s="77">
        <v>18128045</v>
      </c>
      <c r="J28" s="77">
        <v>23592072876</v>
      </c>
      <c r="K28" s="77">
        <v>129976.2</v>
      </c>
      <c r="L28" s="64">
        <f t="shared" ref="L28" si="11">I28/K28</f>
        <v>139.47203411086031</v>
      </c>
      <c r="M28" s="53">
        <f>I26+I27+I28</f>
        <v>46784475</v>
      </c>
      <c r="N28" s="34">
        <f>J26+J27+J28</f>
        <v>62013380533</v>
      </c>
      <c r="O28" s="54">
        <f>M28/M25-1</f>
        <v>-7.0988384136684068E-2</v>
      </c>
      <c r="P28" s="54">
        <f>M28/M16-1</f>
        <v>0.19726078705431926</v>
      </c>
      <c r="Q28" s="65">
        <f>AVERAGE(L26:L28)</f>
        <v>116.36950916321128</v>
      </c>
      <c r="R28" s="67">
        <f>Q28/Q25-1</f>
        <v>0.17490152629979661</v>
      </c>
    </row>
    <row r="29" spans="1:18">
      <c r="A29" s="33"/>
      <c r="B29" s="33"/>
      <c r="C29" s="55"/>
      <c r="D29" s="55"/>
      <c r="E29" s="34">
        <f>I29/22</f>
        <v>610671.63636363635</v>
      </c>
      <c r="F29" s="54">
        <f t="shared" ref="F29" si="12">E29/E28-1</f>
        <v>-0.35995519147767507</v>
      </c>
      <c r="G29" s="54">
        <f t="shared" ref="G29" si="13">E29/E17-1</f>
        <v>0.1126667724608037</v>
      </c>
      <c r="H29" s="76" t="s">
        <v>453</v>
      </c>
      <c r="I29" s="77">
        <v>13434776</v>
      </c>
      <c r="J29" s="77">
        <v>17661743373</v>
      </c>
      <c r="K29" s="77">
        <v>125703.63</v>
      </c>
      <c r="L29" s="64">
        <f t="shared" ref="L29" si="14">I29/K29</f>
        <v>106.87659536960069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682160.47368421056</v>
      </c>
      <c r="F30" s="54">
        <f t="shared" ref="F30" si="15">E30/E29-1</f>
        <v>0.11706592064152255</v>
      </c>
      <c r="G30" s="54">
        <f t="shared" ref="G30" si="16">E30/E18-1</f>
        <v>-0.16424803977217695</v>
      </c>
      <c r="H30" s="76" t="s">
        <v>469</v>
      </c>
      <c r="I30" s="77">
        <v>12961049</v>
      </c>
      <c r="J30" s="77">
        <v>17274557021</v>
      </c>
      <c r="K30" s="77">
        <v>101313.95</v>
      </c>
      <c r="L30" s="64">
        <f t="shared" ref="L30" si="17">I30/K30</f>
        <v>127.92955955226304</v>
      </c>
      <c r="M30" s="53"/>
      <c r="N30" s="34"/>
      <c r="O30" s="54"/>
      <c r="P30" s="54"/>
      <c r="Q30" s="65"/>
      <c r="R30" s="67"/>
    </row>
    <row r="31" spans="1:18">
      <c r="A31" s="33">
        <f>SUM(E29:E31)</f>
        <v>2122750.860047847</v>
      </c>
      <c r="B31" s="33">
        <f>AVERAGE(E29:E31)</f>
        <v>707583.62001594901</v>
      </c>
      <c r="C31" s="54">
        <f>B31/B28-1</f>
        <v>-0.10769540664660104</v>
      </c>
      <c r="D31" s="54">
        <f>B31/B19-1</f>
        <v>-4.0488872820980237E-2</v>
      </c>
      <c r="E31" s="34">
        <f>I31/20</f>
        <v>829918.75</v>
      </c>
      <c r="F31" s="54">
        <f t="shared" ref="F31" si="18">E31/E30-1</f>
        <v>0.21660339761079528</v>
      </c>
      <c r="G31" s="54">
        <f t="shared" ref="G31" si="19">E31/E19-1</f>
        <v>-2.0474121917417043E-2</v>
      </c>
      <c r="H31" s="76" t="s">
        <v>505</v>
      </c>
      <c r="I31" s="77">
        <v>16598375</v>
      </c>
      <c r="J31" s="77">
        <v>22010939539</v>
      </c>
      <c r="K31" s="77">
        <v>161365.57999999999</v>
      </c>
      <c r="L31" s="64">
        <f t="shared" ref="L31" si="20">I31/K31</f>
        <v>102.86193003489345</v>
      </c>
      <c r="M31" s="53">
        <f>I29+I30+I31</f>
        <v>42994200</v>
      </c>
      <c r="N31" s="34">
        <f>J29+J30+J31</f>
        <v>56947239933</v>
      </c>
      <c r="O31" s="54">
        <f>M31/M28-1</f>
        <v>-8.1015657437643607E-2</v>
      </c>
      <c r="P31" s="54">
        <f>M31/M19-1</f>
        <v>-6.4143954947471826E-2</v>
      </c>
      <c r="Q31" s="65">
        <f>AVERAGE(L29:L31)</f>
        <v>112.55602831891906</v>
      </c>
      <c r="R31" s="67">
        <f>Q31/Q28-1</f>
        <v>-3.2770447101772238E-2</v>
      </c>
    </row>
    <row r="32" spans="1:18">
      <c r="A32" s="33"/>
      <c r="B32" s="33"/>
      <c r="C32" s="54"/>
      <c r="D32" s="54"/>
      <c r="E32" s="34">
        <f>I32/14</f>
        <v>255124.42857142858</v>
      </c>
      <c r="F32" s="54">
        <f t="shared" ref="F32" si="21">E32/E31-1</f>
        <v>-0.69259107765497696</v>
      </c>
      <c r="G32" s="54">
        <f t="shared" ref="G32" si="22">E32/E20-1</f>
        <v>-0.60675477192468852</v>
      </c>
      <c r="H32" s="76" t="s">
        <v>594</v>
      </c>
      <c r="I32" s="77">
        <v>3571742</v>
      </c>
      <c r="J32" s="77">
        <v>4801536950</v>
      </c>
      <c r="K32" s="77">
        <v>40943.269999999997</v>
      </c>
      <c r="L32" s="64">
        <f t="shared" ref="L32" si="23">I32/K32</f>
        <v>87.236363876163296</v>
      </c>
      <c r="M32" s="53">
        <f>I30+I31+I32</f>
        <v>33131166</v>
      </c>
      <c r="N32" s="34">
        <f>J30+J31+J32</f>
        <v>44087033510</v>
      </c>
      <c r="O32" s="54" t="e">
        <f>M32/M29-1</f>
        <v>#DIV/0!</v>
      </c>
      <c r="P32" s="54" t="e">
        <f>M32/M20-1</f>
        <v>#DIV/0!</v>
      </c>
      <c r="Q32" s="65">
        <f>AVERAGE(L30:L32)</f>
        <v>106.00928448777326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5" priority="4" operator="greaterThan">
      <formula>$B$25</formula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92D050"/>
  </sheetPr>
  <dimension ref="A1:R43"/>
  <sheetViews>
    <sheetView topLeftCell="F1" zoomScale="89" zoomScaleNormal="89" workbookViewId="0">
      <selection activeCell="K48" sqref="K48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23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.3984375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649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8901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34160772.25</v>
      </c>
      <c r="F5" s="90"/>
      <c r="G5" s="90"/>
      <c r="H5" s="129" t="s">
        <v>0</v>
      </c>
      <c r="I5" s="116">
        <v>683215445</v>
      </c>
      <c r="J5" s="116"/>
      <c r="K5" s="116">
        <v>297491200</v>
      </c>
      <c r="L5" s="130">
        <f t="shared" ref="L5:L31" si="0">I5/K5</f>
        <v>2.2965904369608245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82724829.111111104</v>
      </c>
      <c r="F6" s="90">
        <f t="shared" ref="F6:F31" si="1">E6/E5-1</f>
        <v>1.421632289390387</v>
      </c>
      <c r="G6" s="90"/>
      <c r="H6" s="129" t="s">
        <v>1</v>
      </c>
      <c r="I6" s="116">
        <v>1489046924</v>
      </c>
      <c r="J6" s="116"/>
      <c r="K6" s="116">
        <v>585199323.5</v>
      </c>
      <c r="L6" s="130">
        <f t="shared" si="0"/>
        <v>2.5445123810024364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178277953.99747473</v>
      </c>
      <c r="B7" s="131">
        <f>AVERAGE(E5:E7)</f>
        <v>59425984.665824912</v>
      </c>
      <c r="C7" s="117"/>
      <c r="D7" s="117"/>
      <c r="E7" s="78">
        <f>I7/22</f>
        <v>61392352.636363633</v>
      </c>
      <c r="F7" s="90">
        <f t="shared" si="1"/>
        <v>-0.25787271734457073</v>
      </c>
      <c r="G7" s="90"/>
      <c r="H7" s="129" t="s">
        <v>2</v>
      </c>
      <c r="I7" s="116">
        <v>1350631758</v>
      </c>
      <c r="J7" s="116"/>
      <c r="K7" s="116">
        <v>598819383</v>
      </c>
      <c r="L7" s="130">
        <f t="shared" si="0"/>
        <v>2.2554910484585968</v>
      </c>
      <c r="M7" s="85">
        <f>I5+I6+I7</f>
        <v>3522894127</v>
      </c>
      <c r="N7" s="85">
        <f>J5+J6+J7</f>
        <v>0</v>
      </c>
      <c r="O7" s="87"/>
      <c r="P7" s="87"/>
      <c r="Q7" s="88">
        <f>AVERAGE(L5:L7)</f>
        <v>2.3655312888072859</v>
      </c>
      <c r="R7" s="79"/>
    </row>
    <row r="8" spans="1:18" ht="15" hidden="1" customHeight="1">
      <c r="A8" s="79"/>
      <c r="B8" s="79"/>
      <c r="C8" s="117"/>
      <c r="D8" s="117"/>
      <c r="E8" s="78">
        <f>I8/21</f>
        <v>44023079.523809522</v>
      </c>
      <c r="F8" s="90">
        <f t="shared" si="1"/>
        <v>-0.28292242220191488</v>
      </c>
      <c r="G8" s="90"/>
      <c r="H8" s="129" t="s">
        <v>3</v>
      </c>
      <c r="I8" s="116">
        <v>924484670</v>
      </c>
      <c r="J8" s="116"/>
      <c r="K8" s="116">
        <v>438604300</v>
      </c>
      <c r="L8" s="130">
        <f t="shared" si="0"/>
        <v>2.1077875205509842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89580835.619047612</v>
      </c>
      <c r="F9" s="90">
        <f t="shared" si="1"/>
        <v>1.0348607273282315</v>
      </c>
      <c r="G9" s="90"/>
      <c r="H9" s="129" t="s">
        <v>4</v>
      </c>
      <c r="I9" s="116">
        <v>1881197548</v>
      </c>
      <c r="J9" s="116"/>
      <c r="K9" s="116">
        <v>1119473000</v>
      </c>
      <c r="L9" s="130">
        <f t="shared" si="0"/>
        <v>1.6804313708325256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189676066.76190475</v>
      </c>
      <c r="B10" s="131">
        <f>AVERAGE(E8:E10)</f>
        <v>63225355.587301582</v>
      </c>
      <c r="C10" s="90">
        <f>B10/B7-1</f>
        <v>6.3934505130070374E-2</v>
      </c>
      <c r="D10" s="90"/>
      <c r="E10" s="78">
        <f>I10/21</f>
        <v>56072151.619047619</v>
      </c>
      <c r="F10" s="90">
        <f t="shared" si="1"/>
        <v>-0.37406085540996037</v>
      </c>
      <c r="G10" s="90"/>
      <c r="H10" s="129" t="s">
        <v>5</v>
      </c>
      <c r="I10" s="116">
        <v>1177515184</v>
      </c>
      <c r="J10" s="116"/>
      <c r="K10" s="116">
        <v>750624700</v>
      </c>
      <c r="L10" s="130">
        <f t="shared" si="0"/>
        <v>1.5687136114758813</v>
      </c>
      <c r="M10" s="85">
        <f>I8+I9+I10</f>
        <v>3983197402</v>
      </c>
      <c r="N10" s="85">
        <f>J8+J9+J10</f>
        <v>0</v>
      </c>
      <c r="O10" s="87">
        <f>M10/M7-1</f>
        <v>0.13066054738124699</v>
      </c>
      <c r="P10" s="87"/>
      <c r="Q10" s="88">
        <f>AVERAGE(L8:L10)</f>
        <v>1.7856441676197969</v>
      </c>
      <c r="R10" s="89">
        <f>Q10/Q7-1</f>
        <v>-0.24514033017921788</v>
      </c>
    </row>
    <row r="11" spans="1:18" ht="15" hidden="1" customHeight="1">
      <c r="A11" s="79"/>
      <c r="B11" s="79"/>
      <c r="C11" s="117"/>
      <c r="D11" s="117"/>
      <c r="E11" s="78">
        <f>I11/21</f>
        <v>60420075.857142858</v>
      </c>
      <c r="F11" s="90">
        <f t="shared" si="1"/>
        <v>7.7541597968897147E-2</v>
      </c>
      <c r="G11" s="90"/>
      <c r="H11" s="129" t="s">
        <v>6</v>
      </c>
      <c r="I11" s="116">
        <v>1268821593</v>
      </c>
      <c r="J11" s="116"/>
      <c r="K11" s="116">
        <v>535866580</v>
      </c>
      <c r="L11" s="130">
        <f t="shared" si="0"/>
        <v>2.3677938508499636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49690567.272727273</v>
      </c>
      <c r="F12" s="90">
        <f t="shared" si="1"/>
        <v>-0.17758184563992307</v>
      </c>
      <c r="G12" s="90"/>
      <c r="H12" s="129" t="s">
        <v>7</v>
      </c>
      <c r="I12" s="116">
        <v>1093192480</v>
      </c>
      <c r="J12" s="116"/>
      <c r="K12" s="116">
        <v>536205308</v>
      </c>
      <c r="L12" s="130">
        <f t="shared" si="0"/>
        <v>2.0387572888405647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164403740.27987012</v>
      </c>
      <c r="B13" s="131">
        <f>AVERAGE(E11:E13)</f>
        <v>54801246.75995671</v>
      </c>
      <c r="C13" s="90">
        <f>B13/B10-1</f>
        <v>-0.1332394060751918</v>
      </c>
      <c r="D13" s="90"/>
      <c r="E13" s="78">
        <f>I13/20</f>
        <v>54293097.149999999</v>
      </c>
      <c r="F13" s="90">
        <f t="shared" si="1"/>
        <v>9.2623814335056398E-2</v>
      </c>
      <c r="G13" s="90"/>
      <c r="H13" s="129" t="s">
        <v>96</v>
      </c>
      <c r="I13" s="116">
        <v>1085861943</v>
      </c>
      <c r="J13" s="116"/>
      <c r="K13" s="116">
        <v>507265032</v>
      </c>
      <c r="L13" s="130">
        <f t="shared" si="0"/>
        <v>2.1406205326607255</v>
      </c>
      <c r="M13" s="85">
        <f>I11+I12+I13</f>
        <v>3447876016</v>
      </c>
      <c r="N13" s="78">
        <f>J11+J12+J13</f>
        <v>0</v>
      </c>
      <c r="O13" s="87">
        <f>M13/M10-1</f>
        <v>-0.13439489233729918</v>
      </c>
      <c r="P13" s="87"/>
      <c r="Q13" s="88">
        <f>AVERAGE(L11:L13)</f>
        <v>2.1823905574504177</v>
      </c>
      <c r="R13" s="89">
        <f>Q13/Q10-1</f>
        <v>0.22218670271774821</v>
      </c>
    </row>
    <row r="14" spans="1:18" ht="15" hidden="1" customHeight="1">
      <c r="A14" s="79"/>
      <c r="B14" s="79"/>
      <c r="C14" s="117"/>
      <c r="D14" s="117"/>
      <c r="E14" s="78">
        <f>I14/20</f>
        <v>62040023.299999997</v>
      </c>
      <c r="F14" s="90">
        <f t="shared" si="1"/>
        <v>0.14268712887380386</v>
      </c>
      <c r="G14" s="90"/>
      <c r="H14" s="129" t="s">
        <v>97</v>
      </c>
      <c r="I14" s="116">
        <v>1240800466</v>
      </c>
      <c r="J14" s="116"/>
      <c r="K14" s="116">
        <v>525896144.19999999</v>
      </c>
      <c r="L14" s="130">
        <f t="shared" si="0"/>
        <v>2.3594020980844452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46203139.727272727</v>
      </c>
      <c r="F15" s="90">
        <f t="shared" si="1"/>
        <v>-0.25526882051843569</v>
      </c>
      <c r="G15" s="90"/>
      <c r="H15" s="129" t="s">
        <v>98</v>
      </c>
      <c r="I15" s="116">
        <v>1016469074</v>
      </c>
      <c r="J15" s="116"/>
      <c r="K15" s="116">
        <v>602403700</v>
      </c>
      <c r="L15" s="130">
        <f t="shared" si="0"/>
        <v>1.6873552967885157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201335190.80000001</v>
      </c>
      <c r="B16" s="131">
        <f>AVERAGE(E14:E16)</f>
        <v>67111730.266666666</v>
      </c>
      <c r="C16" s="90">
        <f>B16/B13-1</f>
        <v>0.22463874883418211</v>
      </c>
      <c r="D16" s="90"/>
      <c r="E16" s="78">
        <f>I16/22</f>
        <v>93092027.772727266</v>
      </c>
      <c r="F16" s="90">
        <f t="shared" si="1"/>
        <v>1.0148420285337671</v>
      </c>
      <c r="G16" s="90"/>
      <c r="H16" s="129" t="s">
        <v>99</v>
      </c>
      <c r="I16" s="116">
        <v>2048024611</v>
      </c>
      <c r="J16" s="116"/>
      <c r="K16" s="116">
        <v>777077000</v>
      </c>
      <c r="L16" s="130">
        <f t="shared" si="0"/>
        <v>2.635549129622933</v>
      </c>
      <c r="M16" s="85">
        <f>I14+I15+I16</f>
        <v>4305294151</v>
      </c>
      <c r="N16" s="78">
        <f>J14+J15+J16</f>
        <v>0</v>
      </c>
      <c r="O16" s="87">
        <f>M16/M13-1</f>
        <v>0.2486800949399337</v>
      </c>
      <c r="P16" s="87"/>
      <c r="Q16" s="88">
        <f>AVERAGE(L14:L16)</f>
        <v>2.2274355081652977</v>
      </c>
      <c r="R16" s="89">
        <f>Q16/Q13-1</f>
        <v>2.0640187688267808E-2</v>
      </c>
    </row>
    <row r="17" spans="1:18" ht="15" customHeight="1">
      <c r="A17" s="79"/>
      <c r="B17" s="79"/>
      <c r="C17" s="117"/>
      <c r="D17" s="117"/>
      <c r="E17" s="78">
        <f>I17/20</f>
        <v>65444425.450000003</v>
      </c>
      <c r="F17" s="90">
        <f t="shared" si="1"/>
        <v>-0.2969921590947131</v>
      </c>
      <c r="G17" s="90">
        <f t="shared" ref="G17:G31" si="2">E17/E5-1</f>
        <v>0.91577710746864049</v>
      </c>
      <c r="H17" s="129" t="s">
        <v>100</v>
      </c>
      <c r="I17" s="116">
        <v>1308888509</v>
      </c>
      <c r="J17" s="116"/>
      <c r="K17" s="116">
        <v>750395042.20000005</v>
      </c>
      <c r="L17" s="130">
        <f t="shared" si="0"/>
        <v>1.7442659337975033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72100228.049999997</v>
      </c>
      <c r="F18" s="90">
        <f t="shared" si="1"/>
        <v>0.10170159725957206</v>
      </c>
      <c r="G18" s="90">
        <f t="shared" si="2"/>
        <v>-0.12843303727881716</v>
      </c>
      <c r="H18" s="129" t="s">
        <v>106</v>
      </c>
      <c r="I18" s="116">
        <v>1442004561</v>
      </c>
      <c r="J18" s="116"/>
      <c r="K18" s="116">
        <v>954084531.5</v>
      </c>
      <c r="L18" s="130">
        <f t="shared" si="0"/>
        <v>1.5114012578454639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180115386</v>
      </c>
      <c r="B19" s="131">
        <f>AVERAGE(E17:E19)</f>
        <v>60038462</v>
      </c>
      <c r="C19" s="90">
        <f>B19/B16-1</f>
        <v>-0.1053954090970568</v>
      </c>
      <c r="D19" s="90">
        <f>B19/B7-1</f>
        <v>1.0306557604712552E-2</v>
      </c>
      <c r="E19" s="78">
        <f>I19/22</f>
        <v>42570732.5</v>
      </c>
      <c r="F19" s="90">
        <f t="shared" si="1"/>
        <v>-0.40956174964553382</v>
      </c>
      <c r="G19" s="90">
        <f t="shared" si="2"/>
        <v>-0.30657922897737755</v>
      </c>
      <c r="H19" s="129" t="s">
        <v>115</v>
      </c>
      <c r="I19" s="116">
        <v>936556115</v>
      </c>
      <c r="J19" s="116"/>
      <c r="K19" s="116">
        <v>390430800</v>
      </c>
      <c r="L19" s="130">
        <f t="shared" si="0"/>
        <v>2.3987762107907469</v>
      </c>
      <c r="M19" s="85">
        <f>I17+I18+I19</f>
        <v>3687449185</v>
      </c>
      <c r="N19" s="78">
        <f>J17+J18+J19</f>
        <v>0</v>
      </c>
      <c r="O19" s="87">
        <f>M19/M16-1</f>
        <v>-0.14350818883222927</v>
      </c>
      <c r="P19" s="87">
        <f>M19/M7-1</f>
        <v>4.6710191129169853E-2</v>
      </c>
      <c r="Q19" s="88">
        <f>AVERAGE(L17:L19)</f>
        <v>1.8848144674779046</v>
      </c>
      <c r="R19" s="89">
        <f>Q19/Q16-1</f>
        <v>-0.15381861312321654</v>
      </c>
    </row>
    <row r="20" spans="1:18">
      <c r="A20" s="131"/>
      <c r="B20" s="131"/>
      <c r="C20" s="90"/>
      <c r="D20" s="90"/>
      <c r="E20" s="78">
        <f>I20/20</f>
        <v>71103528.099999994</v>
      </c>
      <c r="F20" s="90">
        <f t="shared" si="1"/>
        <v>0.67024441263725021</v>
      </c>
      <c r="G20" s="90">
        <f t="shared" si="2"/>
        <v>0.6151420770449334</v>
      </c>
      <c r="H20" s="129" t="s">
        <v>131</v>
      </c>
      <c r="I20" s="116">
        <v>1422070562</v>
      </c>
      <c r="J20" s="116"/>
      <c r="K20" s="116">
        <v>999351298</v>
      </c>
      <c r="L20" s="130">
        <f t="shared" si="0"/>
        <v>1.4229936608337701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42241419.095238097</v>
      </c>
      <c r="F21" s="90">
        <f t="shared" si="1"/>
        <v>-0.40591669325002033</v>
      </c>
      <c r="G21" s="90">
        <f t="shared" si="2"/>
        <v>-0.52845473249574948</v>
      </c>
      <c r="H21" s="129" t="s">
        <v>141</v>
      </c>
      <c r="I21" s="116">
        <v>887069801</v>
      </c>
      <c r="J21" s="116"/>
      <c r="K21" s="116">
        <v>481596714.5</v>
      </c>
      <c r="L21" s="130">
        <f t="shared" si="0"/>
        <v>1.8419349100439097</v>
      </c>
      <c r="M21" s="78"/>
      <c r="N21" s="78"/>
      <c r="O21" s="87"/>
      <c r="P21" s="87"/>
      <c r="Q21" s="79"/>
      <c r="R21" s="89"/>
    </row>
    <row r="22" spans="1:18">
      <c r="A22" s="131">
        <f>SUM(E20:E22)</f>
        <v>207653420.86190474</v>
      </c>
      <c r="B22" s="131">
        <f>AVERAGE(E20:E22)</f>
        <v>69217806.953968242</v>
      </c>
      <c r="C22" s="90">
        <f>B22/B19-1</f>
        <v>0.15289107429114757</v>
      </c>
      <c r="D22" s="90">
        <f>B22/B10-1</f>
        <v>9.4779243406425406E-2</v>
      </c>
      <c r="E22" s="78">
        <f>I22/21</f>
        <v>94308473.666666672</v>
      </c>
      <c r="F22" s="90">
        <f t="shared" si="1"/>
        <v>1.2326066615810767</v>
      </c>
      <c r="G22" s="90">
        <f t="shared" si="2"/>
        <v>0.68191287374515941</v>
      </c>
      <c r="H22" s="129" t="s">
        <v>155</v>
      </c>
      <c r="I22" s="116">
        <v>1980477947</v>
      </c>
      <c r="J22" s="116"/>
      <c r="K22" s="116">
        <v>1058805445.5</v>
      </c>
      <c r="L22" s="130">
        <f t="shared" si="0"/>
        <v>1.870483340841488</v>
      </c>
      <c r="M22" s="85">
        <f>I20+I21+I22</f>
        <v>4289618310</v>
      </c>
      <c r="N22" s="78">
        <f>J20+J21+J22</f>
        <v>0</v>
      </c>
      <c r="O22" s="87">
        <f>M22/M19-1</f>
        <v>0.16330235205668342</v>
      </c>
      <c r="P22" s="87">
        <f>M22/M10-1</f>
        <v>7.6928376144788313E-2</v>
      </c>
      <c r="Q22" s="88">
        <f>AVERAGE(L20:L22)</f>
        <v>1.7118039705730557</v>
      </c>
      <c r="R22" s="89">
        <f>Q22/Q19-1</f>
        <v>-9.1791791653826005E-2</v>
      </c>
    </row>
    <row r="23" spans="1:18">
      <c r="A23" s="131"/>
      <c r="B23" s="131"/>
      <c r="C23" s="117"/>
      <c r="D23" s="117"/>
      <c r="E23" s="78">
        <f>I23/21</f>
        <v>66284871.809523806</v>
      </c>
      <c r="F23" s="90">
        <f t="shared" si="1"/>
        <v>-0.29714829185118929</v>
      </c>
      <c r="G23" s="90">
        <f t="shared" si="2"/>
        <v>9.7067007433881081E-2</v>
      </c>
      <c r="H23" s="129" t="s">
        <v>189</v>
      </c>
      <c r="I23" s="116">
        <v>1391982308</v>
      </c>
      <c r="J23" s="116"/>
      <c r="K23" s="116">
        <v>788456029.89999998</v>
      </c>
      <c r="L23" s="130">
        <f t="shared" si="0"/>
        <v>1.7654533102835746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65966519.045454547</v>
      </c>
      <c r="F24" s="90">
        <f t="shared" si="1"/>
        <v>-4.8027967072800104E-3</v>
      </c>
      <c r="G24" s="90">
        <f t="shared" si="2"/>
        <v>0.32754610514700944</v>
      </c>
      <c r="H24" s="129" t="s">
        <v>204</v>
      </c>
      <c r="I24" s="116">
        <v>1451263419</v>
      </c>
      <c r="J24" s="116"/>
      <c r="K24" s="116">
        <v>877869631.10000002</v>
      </c>
      <c r="L24" s="130">
        <f t="shared" si="0"/>
        <v>1.6531650800831534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186852087.69708362</v>
      </c>
      <c r="B25" s="131">
        <f>AVERAGE(E23:E25)</f>
        <v>62284029.232361205</v>
      </c>
      <c r="C25" s="90">
        <f>B25/B22-1</f>
        <v>-0.10017332283032587</v>
      </c>
      <c r="D25" s="90">
        <f>B25/B13-1</f>
        <v>0.1365440188830187</v>
      </c>
      <c r="E25" s="78">
        <f>I25/19</f>
        <v>54600696.842105262</v>
      </c>
      <c r="F25" s="90">
        <f t="shared" si="1"/>
        <v>-0.17229683129888373</v>
      </c>
      <c r="G25" s="90">
        <f t="shared" si="2"/>
        <v>5.6655396035969474E-3</v>
      </c>
      <c r="H25" s="129" t="s">
        <v>217</v>
      </c>
      <c r="I25" s="116">
        <v>1037413240</v>
      </c>
      <c r="J25" s="116"/>
      <c r="K25" s="116">
        <v>327613300</v>
      </c>
      <c r="L25" s="130">
        <f t="shared" si="0"/>
        <v>3.1665785241319568</v>
      </c>
      <c r="M25" s="85">
        <f>I23+I24+I25</f>
        <v>3880658967</v>
      </c>
      <c r="N25" s="78">
        <f>J23+J24+J25</f>
        <v>0</v>
      </c>
      <c r="O25" s="90">
        <f>M25/M22-1</f>
        <v>-9.5337000508094127E-2</v>
      </c>
      <c r="P25" s="90">
        <f>M25/M13-1</f>
        <v>0.12552161069355572</v>
      </c>
      <c r="Q25" s="88">
        <f>AVERAGE(L23:L25)</f>
        <v>2.1950656381662284</v>
      </c>
      <c r="R25" s="91">
        <f>Q25/Q22-1</f>
        <v>0.28231133698760646</v>
      </c>
    </row>
    <row r="26" spans="1:18">
      <c r="A26" s="131"/>
      <c r="B26" s="131"/>
      <c r="C26" s="132"/>
      <c r="D26" s="132"/>
      <c r="E26" s="78">
        <f>I26/19</f>
        <v>104455658.57894737</v>
      </c>
      <c r="F26" s="90">
        <f t="shared" si="1"/>
        <v>0.91308288392386427</v>
      </c>
      <c r="G26" s="90">
        <f t="shared" si="2"/>
        <v>0.68368180769118725</v>
      </c>
      <c r="H26" s="129" t="s">
        <v>312</v>
      </c>
      <c r="I26" s="116">
        <v>1984657513</v>
      </c>
      <c r="J26" s="116"/>
      <c r="K26" s="116">
        <v>955788200</v>
      </c>
      <c r="L26" s="130">
        <f t="shared" si="0"/>
        <v>2.0764616187979721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60654077.863636367</v>
      </c>
      <c r="F27" s="90">
        <f t="shared" si="1"/>
        <v>-0.41933181324213142</v>
      </c>
      <c r="G27" s="90">
        <f t="shared" si="2"/>
        <v>0.31276961309695506</v>
      </c>
      <c r="H27" s="129" t="s">
        <v>373</v>
      </c>
      <c r="I27" s="116">
        <v>1334389713</v>
      </c>
      <c r="J27" s="116"/>
      <c r="K27" s="116">
        <v>419482908.5</v>
      </c>
      <c r="L27" s="130">
        <f t="shared" si="0"/>
        <v>3.1810347596080901</v>
      </c>
      <c r="M27" s="78"/>
      <c r="N27" s="78"/>
      <c r="O27" s="90"/>
      <c r="P27" s="90"/>
      <c r="Q27" s="79"/>
      <c r="R27" s="79"/>
    </row>
    <row r="28" spans="1:18">
      <c r="A28" s="131">
        <f>SUM(E26:E28)</f>
        <v>246088816.17942584</v>
      </c>
      <c r="B28" s="131">
        <f>AVERAGE(E26:E28)</f>
        <v>82029605.39314194</v>
      </c>
      <c r="C28" s="90">
        <f>B28/B25-1</f>
        <v>0.31702470768415592</v>
      </c>
      <c r="D28" s="90">
        <f>B28/B16-1</f>
        <v>0.22228416801652262</v>
      </c>
      <c r="E28" s="78">
        <f>I28/19</f>
        <v>80979079.736842111</v>
      </c>
      <c r="F28" s="90">
        <f t="shared" si="1"/>
        <v>0.33509703863441453</v>
      </c>
      <c r="G28" s="90">
        <f t="shared" si="2"/>
        <v>-0.13011799533959478</v>
      </c>
      <c r="H28" s="129" t="s">
        <v>413</v>
      </c>
      <c r="I28" s="116">
        <v>1538602515</v>
      </c>
      <c r="J28" s="116"/>
      <c r="K28" s="116">
        <v>787955544</v>
      </c>
      <c r="L28" s="130">
        <f t="shared" si="0"/>
        <v>1.9526514239488617</v>
      </c>
      <c r="M28" s="85">
        <f>I26+I27+I28</f>
        <v>4857649741</v>
      </c>
      <c r="N28" s="78">
        <f>J26+J27+J28</f>
        <v>0</v>
      </c>
      <c r="O28" s="90">
        <f>M28/M25-1</f>
        <v>0.25175898792139351</v>
      </c>
      <c r="P28" s="90">
        <f>M28/M16-1</f>
        <v>0.12829682958403743</v>
      </c>
      <c r="Q28" s="88">
        <f>AVERAGE(L26:L28)</f>
        <v>2.4033826007849743</v>
      </c>
      <c r="R28" s="91">
        <f>Q28/Q25-1</f>
        <v>9.4902384237026904E-2</v>
      </c>
    </row>
    <row r="29" spans="1:18">
      <c r="A29" s="131"/>
      <c r="B29" s="131"/>
      <c r="C29" s="132"/>
      <c r="D29" s="132"/>
      <c r="E29" s="78">
        <f>I29/22</f>
        <v>23101245.045454547</v>
      </c>
      <c r="F29" s="90">
        <f t="shared" si="1"/>
        <v>-0.71472576472186744</v>
      </c>
      <c r="G29" s="90">
        <f t="shared" si="2"/>
        <v>-0.64700973556404651</v>
      </c>
      <c r="H29" s="129" t="s">
        <v>426</v>
      </c>
      <c r="I29" s="116">
        <v>508227391</v>
      </c>
      <c r="J29" s="116">
        <v>662151608453</v>
      </c>
      <c r="K29" s="116">
        <v>368258000</v>
      </c>
      <c r="L29" s="130">
        <f t="shared" si="0"/>
        <v>1.3800851332489721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43059283.684210524</v>
      </c>
      <c r="F30" s="90">
        <f t="shared" si="1"/>
        <v>0.86393779207510568</v>
      </c>
      <c r="G30" s="90">
        <f t="shared" si="2"/>
        <v>-0.40278574910540066</v>
      </c>
      <c r="H30" s="129" t="s">
        <v>466</v>
      </c>
      <c r="I30" s="116">
        <v>818126390</v>
      </c>
      <c r="J30" s="116">
        <v>1090372105604</v>
      </c>
      <c r="K30" s="116">
        <v>191283400</v>
      </c>
      <c r="L30" s="130">
        <f t="shared" si="0"/>
        <v>4.2770381015812138</v>
      </c>
      <c r="M30" s="85"/>
      <c r="N30" s="78"/>
      <c r="O30" s="90"/>
      <c r="P30" s="90"/>
      <c r="Q30" s="88"/>
      <c r="R30" s="91"/>
    </row>
    <row r="31" spans="1:18">
      <c r="A31" s="131">
        <f>SUM(E29:E31)</f>
        <v>82853371.129665077</v>
      </c>
      <c r="B31" s="138">
        <f>AVERAGE(E29:E31)</f>
        <v>27617790.376555026</v>
      </c>
      <c r="C31" s="90">
        <f>B31/B28-1</f>
        <v>-0.66331923402298854</v>
      </c>
      <c r="D31" s="90">
        <f>B31/B19-1</f>
        <v>-0.53999837010223506</v>
      </c>
      <c r="E31" s="78">
        <f>I31/20</f>
        <v>16692842.4</v>
      </c>
      <c r="F31" s="90">
        <f t="shared" si="1"/>
        <v>-0.61232884126864551</v>
      </c>
      <c r="G31" s="90">
        <f t="shared" si="2"/>
        <v>-0.60787984092122449</v>
      </c>
      <c r="H31" s="129" t="s">
        <v>505</v>
      </c>
      <c r="I31" s="116">
        <v>333856848</v>
      </c>
      <c r="J31" s="116">
        <v>444731786977</v>
      </c>
      <c r="K31" s="116">
        <v>302481600</v>
      </c>
      <c r="L31" s="130">
        <f t="shared" si="0"/>
        <v>1.1037261373914975</v>
      </c>
      <c r="M31" s="85">
        <f>I29+I30+I31</f>
        <v>1660210629</v>
      </c>
      <c r="N31" s="78">
        <f>J29+J30+J31</f>
        <v>2197255501034</v>
      </c>
      <c r="O31" s="90">
        <f>M31/M28-1</f>
        <v>-0.65822759615883142</v>
      </c>
      <c r="P31" s="90">
        <f>M31/M19-1</f>
        <v>-0.54976718438494232</v>
      </c>
      <c r="Q31" s="88">
        <f>AVERAGE(L29:L31)</f>
        <v>2.2536164574072277</v>
      </c>
      <c r="R31" s="91">
        <f>Q31/Q28-1</f>
        <v>-6.23147322980665E-2</v>
      </c>
    </row>
    <row r="32" spans="1:18">
      <c r="A32" s="131"/>
      <c r="B32" s="138"/>
      <c r="C32" s="90"/>
      <c r="D32" s="90"/>
      <c r="E32" s="78">
        <f>I32/21</f>
        <v>13518057.142857144</v>
      </c>
      <c r="F32" s="90">
        <f t="shared" ref="F32" si="3">E32/E31-1</f>
        <v>-0.1901884161527132</v>
      </c>
      <c r="G32" s="90">
        <f t="shared" ref="G32" si="4">E32/E20-1</f>
        <v>-0.8098820479928176</v>
      </c>
      <c r="H32" s="129" t="s">
        <v>562</v>
      </c>
      <c r="I32" s="116">
        <v>283879200</v>
      </c>
      <c r="J32" s="116">
        <v>385426176828</v>
      </c>
      <c r="K32" s="116">
        <v>386107700</v>
      </c>
      <c r="L32" s="130">
        <f t="shared" ref="L32" si="5">I32/K32</f>
        <v>0.73523320047748331</v>
      </c>
      <c r="M32" s="85"/>
      <c r="N32" s="78"/>
      <c r="O32" s="90"/>
      <c r="P32" s="90"/>
      <c r="Q32" s="88"/>
      <c r="R32" s="91"/>
    </row>
    <row r="33" spans="1:18">
      <c r="A33" s="131"/>
      <c r="B33" s="138"/>
      <c r="C33" s="90"/>
      <c r="D33" s="90"/>
      <c r="E33" s="78">
        <f>I33/21</f>
        <v>87572057.476190478</v>
      </c>
      <c r="F33" s="90">
        <f t="shared" ref="F33" si="6">E33/E32-1</f>
        <v>5.4781541127352762</v>
      </c>
      <c r="G33" s="90">
        <f t="shared" ref="G33" si="7">E33/E21-1</f>
        <v>1.073132469312863</v>
      </c>
      <c r="H33" s="129" t="s">
        <v>609</v>
      </c>
      <c r="I33" s="116">
        <v>1839013207</v>
      </c>
      <c r="J33" s="116">
        <v>2515675100961</v>
      </c>
      <c r="K33" s="116">
        <v>860255834</v>
      </c>
      <c r="L33" s="130">
        <f t="shared" ref="L33" si="8">I33/K33</f>
        <v>2.1377515086982832</v>
      </c>
      <c r="M33" s="85"/>
      <c r="N33" s="78"/>
      <c r="O33" s="90"/>
      <c r="P33" s="90"/>
      <c r="Q33" s="88"/>
      <c r="R33" s="91"/>
    </row>
    <row r="34" spans="1:18">
      <c r="A34" s="131">
        <f>SUM(E32:E34)</f>
        <v>173542158.61904764</v>
      </c>
      <c r="B34" s="138">
        <f>AVERAGE(E32:E34)</f>
        <v>57847386.206349216</v>
      </c>
      <c r="C34" s="90">
        <f>B34/B31-1</f>
        <v>1.0945696747505314</v>
      </c>
      <c r="D34" s="90">
        <f>B34/B22-1</f>
        <v>-0.16427016757668544</v>
      </c>
      <c r="E34" s="78">
        <f>I34/19</f>
        <v>72452044</v>
      </c>
      <c r="F34" s="90">
        <f t="shared" ref="F34" si="9">E34/E33-1</f>
        <v>-0.17265796775759645</v>
      </c>
      <c r="G34" s="90">
        <f t="shared" ref="G34" si="10">E34/E22-1</f>
        <v>-0.23175467502441227</v>
      </c>
      <c r="H34" s="129" t="s">
        <v>652</v>
      </c>
      <c r="I34" s="116">
        <v>1376588836</v>
      </c>
      <c r="J34" s="116">
        <v>1890091504655</v>
      </c>
      <c r="K34" s="116">
        <v>746825700</v>
      </c>
      <c r="L34" s="130">
        <f t="shared" ref="L34" si="11">I34/K34</f>
        <v>1.8432531660332525</v>
      </c>
      <c r="M34" s="85">
        <f>I32+I33+I34</f>
        <v>3499481243</v>
      </c>
      <c r="N34" s="78">
        <f>J32+J33+J34</f>
        <v>4791192782444</v>
      </c>
      <c r="O34" s="90">
        <f>M34/M31-1</f>
        <v>1.1078537758235254</v>
      </c>
      <c r="P34" s="90">
        <f>M34/M22-1</f>
        <v>-0.18419752292599667</v>
      </c>
      <c r="Q34" s="88">
        <f>AVERAGE(L32:L34)</f>
        <v>1.5720792917363398</v>
      </c>
      <c r="R34" s="91">
        <f>Q34/Q31-1</f>
        <v>-0.30241932402951677</v>
      </c>
    </row>
    <row r="35" spans="1:18">
      <c r="A35" s="131"/>
      <c r="B35" s="138"/>
      <c r="C35" s="90"/>
      <c r="D35" s="90"/>
      <c r="E35" s="78">
        <f>I35/23</f>
        <v>40765813.260869563</v>
      </c>
      <c r="F35" s="90">
        <f t="shared" ref="F35" si="12">E35/E34-1</f>
        <v>-0.43734074278332902</v>
      </c>
      <c r="G35" s="90">
        <f t="shared" ref="G35" si="13">E35/E23-1</f>
        <v>-0.38499069021338395</v>
      </c>
      <c r="H35" s="129" t="s">
        <v>660</v>
      </c>
      <c r="I35" s="116">
        <v>937613705</v>
      </c>
      <c r="J35" s="116">
        <v>1297147650619</v>
      </c>
      <c r="K35" s="116">
        <v>537202200</v>
      </c>
      <c r="L35" s="130">
        <f t="shared" ref="L35" si="14">I35/K35</f>
        <v>1.7453646038679662</v>
      </c>
      <c r="M35" s="85"/>
      <c r="N35" s="78"/>
      <c r="O35" s="90"/>
      <c r="P35" s="90"/>
      <c r="Q35" s="88"/>
      <c r="R35" s="91"/>
    </row>
    <row r="36" spans="1:18">
      <c r="A36" s="131"/>
      <c r="B36" s="138"/>
      <c r="C36" s="90"/>
      <c r="D36" s="90"/>
      <c r="E36" s="78">
        <f>I36/21</f>
        <v>129631693.14285715</v>
      </c>
      <c r="F36" s="90">
        <f t="shared" ref="F36" si="15">E36/E35-1</f>
        <v>2.1799118617679705</v>
      </c>
      <c r="G36" s="90">
        <f t="shared" ref="G36" si="16">E36/E24-1</f>
        <v>0.96511343964555429</v>
      </c>
      <c r="H36" s="129" t="s">
        <v>664</v>
      </c>
      <c r="I36" s="116">
        <v>2722265556</v>
      </c>
      <c r="J36" s="116">
        <v>3714974834114</v>
      </c>
      <c r="K36" s="116">
        <v>1116023300</v>
      </c>
      <c r="L36" s="130">
        <f t="shared" ref="L36" si="17">I36/K36</f>
        <v>2.4392551266626783</v>
      </c>
      <c r="M36" s="85"/>
      <c r="N36" s="78"/>
      <c r="O36" s="90"/>
      <c r="P36" s="90"/>
      <c r="Q36" s="88"/>
      <c r="R36" s="91"/>
    </row>
    <row r="37" spans="1:18">
      <c r="A37" s="131">
        <f>SUM(E35:E37)</f>
        <v>293250540.0148378</v>
      </c>
      <c r="B37" s="138">
        <f>AVERAGE(E35:E37)</f>
        <v>97750180.004945934</v>
      </c>
      <c r="C37" s="90">
        <f>B37/B34-1</f>
        <v>0.68979423990322086</v>
      </c>
      <c r="D37" s="90">
        <f>B37/B25-1</f>
        <v>0.56942608257202187</v>
      </c>
      <c r="E37" s="78">
        <f>I37/18</f>
        <v>122853033.6111111</v>
      </c>
      <c r="F37" s="90">
        <f t="shared" ref="F37" si="18">E37/E36-1</f>
        <v>-5.2291683980982939E-2</v>
      </c>
      <c r="G37" s="90">
        <f t="shared" ref="G37" si="19">E37/E25-1</f>
        <v>1.2500268442796343</v>
      </c>
      <c r="H37" s="129" t="s">
        <v>702</v>
      </c>
      <c r="I37" s="116">
        <v>2211354605</v>
      </c>
      <c r="J37" s="116">
        <v>2949017671154</v>
      </c>
      <c r="K37" s="116">
        <v>906908853.70000005</v>
      </c>
      <c r="L37" s="130">
        <f t="shared" ref="L37" si="20">I37/K37</f>
        <v>2.4383427242750271</v>
      </c>
      <c r="M37" s="85">
        <f>I35+I36+I37</f>
        <v>5871233866</v>
      </c>
      <c r="N37" s="78">
        <f>J35+J36+J37</f>
        <v>7961140155887</v>
      </c>
      <c r="O37" s="90">
        <f>M37/M34-1</f>
        <v>0.67774405927855974</v>
      </c>
      <c r="P37" s="90">
        <f>M37/M25-1</f>
        <v>0.51294765036744328</v>
      </c>
      <c r="Q37" s="88">
        <f>AVERAGE(L35:L37)</f>
        <v>2.2076541516018904</v>
      </c>
      <c r="R37" s="91">
        <f>Q37/Q34-1</f>
        <v>0.4042893149260729</v>
      </c>
    </row>
    <row r="38" spans="1:18">
      <c r="A38" s="131"/>
      <c r="B38" s="138"/>
      <c r="C38" s="90"/>
      <c r="D38" s="90"/>
      <c r="E38" s="78">
        <f>I38/20</f>
        <v>95730525.049999997</v>
      </c>
      <c r="F38" s="90">
        <f t="shared" ref="F38" si="21">E38/E37-1</f>
        <v>-0.22077198880547699</v>
      </c>
      <c r="G38" s="90">
        <f t="shared" ref="G38" si="22">E38/E26-1</f>
        <v>-8.3529543996440636E-2</v>
      </c>
      <c r="H38" s="129" t="s">
        <v>746</v>
      </c>
      <c r="I38" s="116">
        <v>1914610501</v>
      </c>
      <c r="J38" s="116">
        <v>2567181894300</v>
      </c>
      <c r="K38" s="116">
        <v>927852700</v>
      </c>
      <c r="L38" s="130">
        <f t="shared" ref="L38" si="23">I38/K38</f>
        <v>2.0634854012926835</v>
      </c>
      <c r="M38" s="85"/>
      <c r="N38" s="78"/>
      <c r="O38" s="90"/>
      <c r="P38" s="90"/>
      <c r="Q38" s="88"/>
      <c r="R38" s="91"/>
    </row>
    <row r="39" spans="1:18">
      <c r="A39" s="131"/>
      <c r="B39" s="138"/>
      <c r="C39" s="90"/>
      <c r="D39" s="90"/>
      <c r="E39" s="78">
        <f>I39/21</f>
        <v>114151263.66666667</v>
      </c>
      <c r="F39" s="90">
        <f t="shared" ref="F39" si="24">E39/E38-1</f>
        <v>0.19242283072244226</v>
      </c>
      <c r="G39" s="90">
        <f t="shared" ref="G39" si="25">E39/E27-1</f>
        <v>0.88200476682381823</v>
      </c>
      <c r="H39" s="129" t="s">
        <v>762</v>
      </c>
      <c r="I39" s="116">
        <v>2397176537</v>
      </c>
      <c r="J39" s="116">
        <v>3335917324447</v>
      </c>
      <c r="K39" s="116">
        <v>878883800</v>
      </c>
      <c r="L39" s="130">
        <f t="shared" ref="L39" si="26">I39/K39</f>
        <v>2.7275238626539711</v>
      </c>
      <c r="M39" s="85"/>
      <c r="N39" s="78"/>
      <c r="O39" s="90"/>
      <c r="P39" s="90"/>
      <c r="Q39" s="88"/>
      <c r="R39" s="91"/>
    </row>
    <row r="40" spans="1:18">
      <c r="A40" s="131">
        <f>SUM(E38:E40)</f>
        <v>306547204.66904759</v>
      </c>
      <c r="B40" s="138">
        <f>AVERAGE(E38:E40)</f>
        <v>102182401.5563492</v>
      </c>
      <c r="C40" s="90">
        <f>B40/B37-1</f>
        <v>4.5342336466070998E-2</v>
      </c>
      <c r="D40" s="90">
        <f>B40/B28-1</f>
        <v>0.24567710726659353</v>
      </c>
      <c r="E40" s="78">
        <f>I40/21</f>
        <v>96665415.952380955</v>
      </c>
      <c r="F40" s="90">
        <f t="shared" ref="F40" si="27">E40/E39-1</f>
        <v>-0.1531813766455199</v>
      </c>
      <c r="G40" s="90">
        <f t="shared" ref="G40" si="28">E40/E28-1</f>
        <v>0.19370850183176658</v>
      </c>
      <c r="H40" s="129" t="s">
        <v>778</v>
      </c>
      <c r="I40" s="116">
        <v>2029973735</v>
      </c>
      <c r="J40" s="116">
        <v>2900146167780</v>
      </c>
      <c r="K40" s="116">
        <v>1072967821</v>
      </c>
      <c r="L40" s="130">
        <f t="shared" ref="L40" si="29">I40/K40</f>
        <v>1.8919241521223589</v>
      </c>
      <c r="M40" s="85">
        <f>I38+I39+I40</f>
        <v>6341760773</v>
      </c>
      <c r="N40" s="78">
        <f>J38+J39+J40</f>
        <v>8803245386527</v>
      </c>
      <c r="O40" s="90">
        <f>M40/M37-1</f>
        <v>8.0141060250520146E-2</v>
      </c>
      <c r="P40" s="90">
        <f>M40/M28-1</f>
        <v>0.3055203876627135</v>
      </c>
      <c r="Q40" s="88">
        <f>AVERAGE(L38:L40)</f>
        <v>2.2276444720230044</v>
      </c>
      <c r="R40" s="91">
        <f>Q40/Q37-1</f>
        <v>9.0550054711282524E-3</v>
      </c>
    </row>
    <row r="41" spans="1:18">
      <c r="E41" s="78">
        <f>I41/18</f>
        <v>111327731.44444445</v>
      </c>
      <c r="F41" s="90">
        <f t="shared" ref="F41" si="30">E41/E40-1</f>
        <v>0.15168108829414639</v>
      </c>
      <c r="G41" s="90">
        <f t="shared" ref="G41" si="31">E41/E29-1</f>
        <v>3.8191225721987454</v>
      </c>
      <c r="H41" s="129" t="s">
        <v>793</v>
      </c>
      <c r="I41" s="116">
        <v>2003899166</v>
      </c>
      <c r="J41" s="116">
        <v>2933041926090</v>
      </c>
      <c r="K41" s="116">
        <v>682327013.20000005</v>
      </c>
      <c r="L41" s="130">
        <f t="shared" ref="L41" si="32">I41/K41</f>
        <v>2.9368603722752331</v>
      </c>
      <c r="M41" s="175"/>
      <c r="O41" s="174"/>
      <c r="P41" s="174"/>
    </row>
    <row r="42" spans="1:18">
      <c r="E42" s="78">
        <f>I42/20</f>
        <v>50814004.700000003</v>
      </c>
      <c r="F42" s="90">
        <f t="shared" ref="F42" si="33">E42/E41-1</f>
        <v>-0.5435638179211657</v>
      </c>
      <c r="G42" s="90">
        <f t="shared" ref="G42" si="34">E42/E30-1</f>
        <v>0.18009405527182687</v>
      </c>
      <c r="H42" s="129" t="s">
        <v>826</v>
      </c>
      <c r="I42" s="116">
        <v>1016280094</v>
      </c>
      <c r="J42" s="116">
        <v>1459077106734</v>
      </c>
      <c r="K42" s="116">
        <v>542900200</v>
      </c>
      <c r="L42" s="130">
        <f t="shared" ref="L42" si="35">I42/K42</f>
        <v>1.8719464350906483</v>
      </c>
      <c r="M42" s="175"/>
      <c r="O42" s="174"/>
      <c r="P42" s="174"/>
    </row>
    <row r="43" spans="1:18" s="168" customFormat="1">
      <c r="A43" s="131">
        <f>SUM(E41:E43)</f>
        <v>365397754.94444448</v>
      </c>
      <c r="B43" s="138">
        <f>AVERAGE(E41:E43)</f>
        <v>121799251.64814816</v>
      </c>
      <c r="C43" s="90">
        <f>B43/B40-1</f>
        <v>0.19197875361131644</v>
      </c>
      <c r="D43" s="90">
        <f>B43/B31-1</f>
        <v>3.4101736593505532</v>
      </c>
      <c r="E43" s="143">
        <f>I43/5</f>
        <v>203256018.80000001</v>
      </c>
      <c r="F43" s="109">
        <f t="shared" ref="F43" si="36">E43/E42-1</f>
        <v>3</v>
      </c>
      <c r="G43" s="109">
        <f t="shared" ref="G43" si="37">E43/E31-1</f>
        <v>11.176237810763732</v>
      </c>
      <c r="H43" s="144" t="s">
        <v>835</v>
      </c>
      <c r="I43" s="145">
        <v>1016280094</v>
      </c>
      <c r="J43" s="145">
        <v>1459077106734</v>
      </c>
      <c r="K43" s="145">
        <v>542900200</v>
      </c>
      <c r="L43" s="146">
        <f t="shared" ref="L43" si="38">I43/K43</f>
        <v>1.8719464350906483</v>
      </c>
      <c r="M43" s="185"/>
      <c r="O43" s="186"/>
      <c r="P43" s="186"/>
    </row>
  </sheetData>
  <phoneticPr fontId="1" type="noConversion"/>
  <conditionalFormatting sqref="B29:B30">
    <cfRule type="cellIs" dxfId="104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32"/>
  <sheetViews>
    <sheetView topLeftCell="A5" zoomScale="95" zoomScaleNormal="9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7.5" style="52" bestFit="1" customWidth="1"/>
    <col min="8" max="8" width="20.69921875" style="24" customWidth="1"/>
    <col min="9" max="9" width="20.69921875" style="56" customWidth="1"/>
    <col min="10" max="10" width="16.0976562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0976562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135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>
        <v>9022130000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/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258</v>
      </c>
      <c r="E4" s="25" t="s">
        <v>72</v>
      </c>
      <c r="F4" s="61" t="s">
        <v>282</v>
      </c>
      <c r="G4" s="61" t="s">
        <v>258</v>
      </c>
      <c r="H4" s="74"/>
      <c r="I4" s="75"/>
      <c r="J4" s="75"/>
      <c r="K4" s="73"/>
      <c r="L4" s="25" t="s">
        <v>45</v>
      </c>
      <c r="M4" s="62" t="s">
        <v>61</v>
      </c>
      <c r="N4" s="25" t="s">
        <v>63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0</v>
      </c>
      <c r="F5" s="54"/>
      <c r="G5" s="54"/>
      <c r="H5" s="76" t="s">
        <v>0</v>
      </c>
      <c r="I5" s="77">
        <v>0</v>
      </c>
      <c r="J5" s="77">
        <v>0</v>
      </c>
      <c r="K5" s="77">
        <v>0</v>
      </c>
      <c r="L5" s="64" t="e">
        <f t="shared" ref="L5:L31" si="0">I5/K5</f>
        <v>#DIV/0!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0</v>
      </c>
      <c r="F6" s="54" t="e">
        <f t="shared" ref="F6:F31" si="1">E6/E5-1</f>
        <v>#DIV/0!</v>
      </c>
      <c r="G6" s="54"/>
      <c r="H6" s="76" t="s">
        <v>1</v>
      </c>
      <c r="I6" s="77">
        <v>0</v>
      </c>
      <c r="J6" s="77">
        <v>0</v>
      </c>
      <c r="K6" s="77">
        <v>0</v>
      </c>
      <c r="L6" s="64" t="e">
        <f t="shared" si="0"/>
        <v>#DIV/0!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28732.545454545456</v>
      </c>
      <c r="B7" s="33">
        <f>AVERAGE(E5:E7)</f>
        <v>9577.515151515152</v>
      </c>
      <c r="C7" s="57"/>
      <c r="D7" s="57"/>
      <c r="E7" s="34">
        <f>I7/22</f>
        <v>28732.545454545456</v>
      </c>
      <c r="F7" s="54" t="e">
        <f t="shared" si="1"/>
        <v>#DIV/0!</v>
      </c>
      <c r="G7" s="54"/>
      <c r="H7" s="76" t="s">
        <v>2</v>
      </c>
      <c r="I7" s="77">
        <v>632116</v>
      </c>
      <c r="J7" s="77">
        <v>748356000</v>
      </c>
      <c r="K7" s="77">
        <v>4500</v>
      </c>
      <c r="L7" s="64">
        <f t="shared" si="0"/>
        <v>140.47022222222222</v>
      </c>
      <c r="M7" s="53">
        <f>I5+I6+I7</f>
        <v>632116</v>
      </c>
      <c r="N7" s="19">
        <f>J5+J6+J7</f>
        <v>748356000</v>
      </c>
      <c r="O7" s="58"/>
      <c r="P7" s="58"/>
      <c r="Q7" s="65" t="e">
        <f>AVERAGE(L5:L7)</f>
        <v>#DIV/0!</v>
      </c>
      <c r="R7" s="19"/>
    </row>
    <row r="8" spans="1:18" ht="15" customHeight="1">
      <c r="A8" s="19"/>
      <c r="B8" s="19"/>
      <c r="C8" s="57"/>
      <c r="D8" s="57"/>
      <c r="E8" s="34">
        <f>I8/21</f>
        <v>0</v>
      </c>
      <c r="F8" s="54">
        <f t="shared" si="1"/>
        <v>-1</v>
      </c>
      <c r="G8" s="54"/>
      <c r="H8" s="76" t="s">
        <v>3</v>
      </c>
      <c r="I8" s="77">
        <v>0</v>
      </c>
      <c r="J8" s="77">
        <v>0</v>
      </c>
      <c r="K8" s="77">
        <v>0</v>
      </c>
      <c r="L8" s="64" t="e">
        <f t="shared" si="0"/>
        <v>#DIV/0!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0</v>
      </c>
      <c r="F9" s="54" t="e">
        <f t="shared" si="1"/>
        <v>#DIV/0!</v>
      </c>
      <c r="G9" s="54"/>
      <c r="H9" s="76" t="s">
        <v>4</v>
      </c>
      <c r="I9" s="77">
        <v>0</v>
      </c>
      <c r="J9" s="77">
        <v>0</v>
      </c>
      <c r="K9" s="77">
        <v>0</v>
      </c>
      <c r="L9" s="64" t="e">
        <f t="shared" si="0"/>
        <v>#DIV/0!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12779.523809523809</v>
      </c>
      <c r="B10" s="33">
        <f>AVERAGE(E8:E10)</f>
        <v>4259.8412698412694</v>
      </c>
      <c r="C10" s="54">
        <f>B10/B7-1</f>
        <v>-0.55522479448467721</v>
      </c>
      <c r="D10" s="54"/>
      <c r="E10" s="34">
        <f>I10/21</f>
        <v>12779.523809523809</v>
      </c>
      <c r="F10" s="54" t="e">
        <f t="shared" si="1"/>
        <v>#DIV/0!</v>
      </c>
      <c r="G10" s="54"/>
      <c r="H10" s="76" t="s">
        <v>5</v>
      </c>
      <c r="I10" s="77">
        <v>268370</v>
      </c>
      <c r="J10" s="77">
        <v>343714500</v>
      </c>
      <c r="K10" s="77">
        <v>3000</v>
      </c>
      <c r="L10" s="64">
        <f t="shared" si="0"/>
        <v>89.456666666666663</v>
      </c>
      <c r="M10" s="53">
        <f>I8+I9+I10</f>
        <v>268370</v>
      </c>
      <c r="N10" s="19">
        <f>J8+J9+J10</f>
        <v>343714500</v>
      </c>
      <c r="O10" s="58">
        <f>M10/M7-1</f>
        <v>-0.5754418492808282</v>
      </c>
      <c r="P10" s="58"/>
      <c r="Q10" s="65" t="e">
        <f>AVERAGE(L8:L10)</f>
        <v>#DIV/0!</v>
      </c>
      <c r="R10" s="66" t="e">
        <f>Q10/Q7-1</f>
        <v>#DIV/0!</v>
      </c>
    </row>
    <row r="11" spans="1:18" ht="15" customHeight="1">
      <c r="A11" s="19"/>
      <c r="B11" s="19"/>
      <c r="C11" s="57"/>
      <c r="D11" s="57"/>
      <c r="E11" s="34">
        <f>I11/21</f>
        <v>10977.761904761905</v>
      </c>
      <c r="F11" s="54">
        <f t="shared" si="1"/>
        <v>-0.14098818794947277</v>
      </c>
      <c r="G11" s="54"/>
      <c r="H11" s="76" t="s">
        <v>6</v>
      </c>
      <c r="I11" s="77">
        <v>230533</v>
      </c>
      <c r="J11" s="77">
        <v>297776890</v>
      </c>
      <c r="K11" s="77">
        <v>2899.5</v>
      </c>
      <c r="L11" s="64">
        <f t="shared" si="0"/>
        <v>79.507846180375921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0</v>
      </c>
      <c r="F12" s="54">
        <f t="shared" si="1"/>
        <v>-1</v>
      </c>
      <c r="G12" s="54"/>
      <c r="H12" s="76" t="s">
        <v>7</v>
      </c>
      <c r="I12" s="77">
        <v>0</v>
      </c>
      <c r="J12" s="77">
        <v>0</v>
      </c>
      <c r="K12" s="77">
        <v>0</v>
      </c>
      <c r="L12" s="64" t="e">
        <f t="shared" si="0"/>
        <v>#DIV/0!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10977.761904761905</v>
      </c>
      <c r="B13" s="33">
        <f>AVERAGE(E11:E13)</f>
        <v>3659.2539682539682</v>
      </c>
      <c r="C13" s="54">
        <f>B13/B10-1</f>
        <v>-0.14098818794947265</v>
      </c>
      <c r="D13" s="54"/>
      <c r="E13" s="34">
        <f>I13/20</f>
        <v>0</v>
      </c>
      <c r="F13" s="54" t="e">
        <f t="shared" si="1"/>
        <v>#DIV/0!</v>
      </c>
      <c r="G13" s="54"/>
      <c r="H13" s="76" t="s">
        <v>96</v>
      </c>
      <c r="I13" s="77">
        <v>0</v>
      </c>
      <c r="J13" s="77">
        <v>0</v>
      </c>
      <c r="K13" s="77">
        <v>0</v>
      </c>
      <c r="L13" s="64" t="e">
        <f t="shared" si="0"/>
        <v>#DIV/0!</v>
      </c>
      <c r="M13" s="53">
        <f>I11+I12+I13</f>
        <v>230533</v>
      </c>
      <c r="N13" s="34">
        <f>J11+J12+J13</f>
        <v>297776890</v>
      </c>
      <c r="O13" s="58">
        <f>M13/M10-1</f>
        <v>-0.14098818794947277</v>
      </c>
      <c r="P13" s="58"/>
      <c r="Q13" s="65" t="e">
        <f>AVERAGE(L11:L13)</f>
        <v>#DIV/0!</v>
      </c>
      <c r="R13" s="66" t="e">
        <f>Q13/Q10-1</f>
        <v>#DIV/0!</v>
      </c>
    </row>
    <row r="14" spans="1:18" ht="15" customHeight="1">
      <c r="A14" s="19"/>
      <c r="B14" s="19"/>
      <c r="C14" s="57"/>
      <c r="D14" s="57"/>
      <c r="E14" s="34">
        <f>I14/20</f>
        <v>69938.3</v>
      </c>
      <c r="F14" s="54" t="e">
        <f t="shared" si="1"/>
        <v>#DIV/0!</v>
      </c>
      <c r="G14" s="54"/>
      <c r="H14" s="76" t="s">
        <v>97</v>
      </c>
      <c r="I14" s="77">
        <v>1398766</v>
      </c>
      <c r="J14" s="77">
        <v>1994661680</v>
      </c>
      <c r="K14" s="77">
        <v>14148.5</v>
      </c>
      <c r="L14" s="64">
        <f t="shared" si="0"/>
        <v>98.86320104604728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0</v>
      </c>
      <c r="F15" s="54">
        <f t="shared" si="1"/>
        <v>-1</v>
      </c>
      <c r="G15" s="54"/>
      <c r="H15" s="76" t="s">
        <v>98</v>
      </c>
      <c r="I15" s="77">
        <v>0</v>
      </c>
      <c r="J15" s="77">
        <v>0</v>
      </c>
      <c r="K15" s="77">
        <v>0</v>
      </c>
      <c r="L15" s="64" t="e">
        <f t="shared" si="0"/>
        <v>#DIV/0!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69938.3</v>
      </c>
      <c r="B16" s="33">
        <f>AVERAGE(E14:E16)</f>
        <v>23312.766666666666</v>
      </c>
      <c r="C16" s="54">
        <f>B16/B13-1</f>
        <v>5.3709069851170979</v>
      </c>
      <c r="D16" s="54"/>
      <c r="E16" s="34">
        <f>I16/22</f>
        <v>0</v>
      </c>
      <c r="F16" s="54" t="e">
        <f t="shared" si="1"/>
        <v>#DIV/0!</v>
      </c>
      <c r="G16" s="54"/>
      <c r="H16" s="76" t="s">
        <v>99</v>
      </c>
      <c r="I16" s="77">
        <v>0</v>
      </c>
      <c r="J16" s="77">
        <v>0</v>
      </c>
      <c r="K16" s="77">
        <v>0</v>
      </c>
      <c r="L16" s="64" t="e">
        <f t="shared" si="0"/>
        <v>#DIV/0!</v>
      </c>
      <c r="M16" s="53">
        <f>I14+I15+I16</f>
        <v>1398766</v>
      </c>
      <c r="N16" s="34">
        <f>J14+J15+J16</f>
        <v>1994661680</v>
      </c>
      <c r="O16" s="58">
        <f>M16/M13-1</f>
        <v>5.0675304620162844</v>
      </c>
      <c r="P16" s="58"/>
      <c r="Q16" s="65" t="e">
        <f>AVERAGE(L14:L16)</f>
        <v>#DIV/0!</v>
      </c>
      <c r="R16" s="66" t="e">
        <f>Q16/Q13-1</f>
        <v>#DIV/0!</v>
      </c>
    </row>
    <row r="17" spans="1:18" ht="15" customHeight="1">
      <c r="A17" s="19"/>
      <c r="B17" s="19"/>
      <c r="C17" s="57"/>
      <c r="D17" s="57"/>
      <c r="E17" s="34">
        <f>I17/20</f>
        <v>14990.65</v>
      </c>
      <c r="F17" s="54" t="e">
        <f t="shared" si="1"/>
        <v>#DIV/0!</v>
      </c>
      <c r="G17" s="54" t="e">
        <f t="shared" ref="G17:G31" si="2">E17/E5-1</f>
        <v>#DIV/0!</v>
      </c>
      <c r="H17" s="76" t="s">
        <v>100</v>
      </c>
      <c r="I17" s="77">
        <v>299813</v>
      </c>
      <c r="J17" s="77">
        <v>374448690</v>
      </c>
      <c r="K17" s="77">
        <v>2960</v>
      </c>
      <c r="L17" s="64">
        <f t="shared" si="0"/>
        <v>101.28817567567567</v>
      </c>
      <c r="M17" s="34"/>
      <c r="N17" s="19"/>
      <c r="O17" s="58"/>
      <c r="P17" s="58"/>
      <c r="Q17" s="19"/>
      <c r="R17" s="66"/>
    </row>
    <row r="18" spans="1:18" ht="15" customHeight="1">
      <c r="A18" s="19"/>
      <c r="B18" s="19"/>
      <c r="C18" s="57"/>
      <c r="D18" s="57"/>
      <c r="E18" s="34">
        <f>I18/20</f>
        <v>0</v>
      </c>
      <c r="F18" s="54">
        <f t="shared" si="1"/>
        <v>-1</v>
      </c>
      <c r="G18" s="54" t="e">
        <f t="shared" si="2"/>
        <v>#DIV/0!</v>
      </c>
      <c r="H18" s="76" t="s">
        <v>106</v>
      </c>
      <c r="I18" s="77">
        <v>0</v>
      </c>
      <c r="J18" s="77">
        <v>0</v>
      </c>
      <c r="K18" s="77">
        <v>0</v>
      </c>
      <c r="L18" s="64" t="e">
        <f t="shared" si="0"/>
        <v>#DIV/0!</v>
      </c>
      <c r="M18" s="34"/>
      <c r="N18" s="19"/>
      <c r="O18" s="58"/>
      <c r="P18" s="58"/>
      <c r="Q18" s="19"/>
      <c r="R18" s="66"/>
    </row>
    <row r="19" spans="1:18">
      <c r="A19" s="33">
        <f>SUM(E17:E19)</f>
        <v>36841.513636363634</v>
      </c>
      <c r="B19" s="33">
        <f>AVERAGE(E17:E19)</f>
        <v>12280.504545454545</v>
      </c>
      <c r="C19" s="54">
        <f>B19/B16-1</f>
        <v>-0.4732283507553996</v>
      </c>
      <c r="D19" s="54">
        <f>B19/B7-1</f>
        <v>0.28222240854526692</v>
      </c>
      <c r="E19" s="34">
        <f>I19/22</f>
        <v>21850.863636363636</v>
      </c>
      <c r="F19" s="54" t="e">
        <f t="shared" si="1"/>
        <v>#DIV/0!</v>
      </c>
      <c r="G19" s="54">
        <f t="shared" si="2"/>
        <v>-0.23950825481398985</v>
      </c>
      <c r="H19" s="76" t="s">
        <v>114</v>
      </c>
      <c r="I19" s="77">
        <v>480719</v>
      </c>
      <c r="J19" s="77">
        <v>630645928</v>
      </c>
      <c r="K19" s="77">
        <v>4200</v>
      </c>
      <c r="L19" s="64">
        <f t="shared" si="0"/>
        <v>114.45690476190477</v>
      </c>
      <c r="M19" s="53">
        <f>I17+I18+I19</f>
        <v>780532</v>
      </c>
      <c r="N19" s="34">
        <f>J17+J18+J19</f>
        <v>1005094618</v>
      </c>
      <c r="O19" s="58">
        <f>M19/M16-1</f>
        <v>-0.44198529275089615</v>
      </c>
      <c r="P19" s="58">
        <f>M19/M7-1</f>
        <v>0.23479234823987993</v>
      </c>
      <c r="Q19" s="65" t="e">
        <f>AVERAGE(L17:L19)</f>
        <v>#DIV/0!</v>
      </c>
      <c r="R19" s="66" t="e">
        <f>Q19/Q16-1</f>
        <v>#DIV/0!</v>
      </c>
    </row>
    <row r="20" spans="1:18">
      <c r="A20" s="33"/>
      <c r="B20" s="33"/>
      <c r="C20" s="54"/>
      <c r="D20" s="54"/>
      <c r="E20" s="34">
        <f>I20/20</f>
        <v>129996.35</v>
      </c>
      <c r="F20" s="54">
        <f t="shared" si="1"/>
        <v>4.9492545541158144</v>
      </c>
      <c r="G20" s="54" t="e">
        <f t="shared" si="2"/>
        <v>#DIV/0!</v>
      </c>
      <c r="H20" s="76" t="s">
        <v>131</v>
      </c>
      <c r="I20" s="77">
        <v>2599927</v>
      </c>
      <c r="J20" s="77">
        <v>3416883490</v>
      </c>
      <c r="K20" s="77">
        <v>32388</v>
      </c>
      <c r="L20" s="64">
        <f t="shared" si="0"/>
        <v>80.274391750030873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0</v>
      </c>
      <c r="F21" s="54">
        <f t="shared" si="1"/>
        <v>-1</v>
      </c>
      <c r="G21" s="54" t="e">
        <f t="shared" si="2"/>
        <v>#DIV/0!</v>
      </c>
      <c r="H21" s="76" t="s">
        <v>141</v>
      </c>
      <c r="I21" s="77">
        <v>0</v>
      </c>
      <c r="J21" s="77">
        <v>0</v>
      </c>
      <c r="K21" s="77">
        <v>0</v>
      </c>
      <c r="L21" s="64" t="e">
        <f t="shared" si="0"/>
        <v>#DIV/0!</v>
      </c>
      <c r="M21" s="34"/>
      <c r="N21" s="19"/>
      <c r="O21" s="58"/>
      <c r="P21" s="58"/>
      <c r="Q21" s="19"/>
      <c r="R21" s="66"/>
    </row>
    <row r="22" spans="1:18">
      <c r="A22" s="33">
        <f>SUM(E20:E22)</f>
        <v>165435.82619047619</v>
      </c>
      <c r="B22" s="33">
        <f>AVERAGE(E20:E22)</f>
        <v>55145.275396825396</v>
      </c>
      <c r="C22" s="54">
        <f>B22/B19-1</f>
        <v>3.4904731065985919</v>
      </c>
      <c r="D22" s="54">
        <f>B22/B10-1</f>
        <v>11.945382680627493</v>
      </c>
      <c r="E22" s="34">
        <f>I22/21</f>
        <v>35439.476190476191</v>
      </c>
      <c r="F22" s="54" t="e">
        <f t="shared" si="1"/>
        <v>#DIV/0!</v>
      </c>
      <c r="G22" s="54">
        <f t="shared" si="2"/>
        <v>1.7731452844952864</v>
      </c>
      <c r="H22" s="76" t="s">
        <v>155</v>
      </c>
      <c r="I22" s="77">
        <v>744229</v>
      </c>
      <c r="J22" s="77">
        <v>968713464</v>
      </c>
      <c r="K22" s="77">
        <v>10825</v>
      </c>
      <c r="L22" s="64">
        <f t="shared" si="0"/>
        <v>68.750946882217093</v>
      </c>
      <c r="M22" s="53">
        <f>I20+I21+I22</f>
        <v>3344156</v>
      </c>
      <c r="N22" s="34">
        <f>J20+J21+J22</f>
        <v>4385596954</v>
      </c>
      <c r="O22" s="58">
        <f>M22/M19-1</f>
        <v>3.2844572676072215</v>
      </c>
      <c r="P22" s="58">
        <f>M22/M10-1</f>
        <v>11.460990423668816</v>
      </c>
      <c r="Q22" s="65" t="e">
        <f>AVERAGE(L20:L22)</f>
        <v>#DIV/0!</v>
      </c>
      <c r="R22" s="66" t="e">
        <f>Q22/Q19-1</f>
        <v>#DIV/0!</v>
      </c>
    </row>
    <row r="23" spans="1:18">
      <c r="A23" s="33"/>
      <c r="B23" s="33"/>
      <c r="C23" s="57"/>
      <c r="D23" s="57"/>
      <c r="E23" s="34">
        <f>I23/21</f>
        <v>60754.333333333336</v>
      </c>
      <c r="F23" s="54">
        <f t="shared" si="1"/>
        <v>0.71431239578140615</v>
      </c>
      <c r="G23" s="54">
        <f t="shared" si="2"/>
        <v>4.5343096216159946</v>
      </c>
      <c r="H23" s="76" t="s">
        <v>189</v>
      </c>
      <c r="I23" s="77">
        <v>1275841</v>
      </c>
      <c r="J23" s="77">
        <v>1655685206</v>
      </c>
      <c r="K23" s="77">
        <v>18380</v>
      </c>
      <c r="L23" s="64">
        <f t="shared" si="0"/>
        <v>69.414635473340581</v>
      </c>
      <c r="M23" s="28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97263.272727272721</v>
      </c>
      <c r="F24" s="54">
        <f t="shared" si="1"/>
        <v>0.60092733128401354</v>
      </c>
      <c r="G24" s="54" t="e">
        <f t="shared" si="2"/>
        <v>#DIV/0!</v>
      </c>
      <c r="H24" s="76" t="s">
        <v>204</v>
      </c>
      <c r="I24" s="77">
        <v>2139792</v>
      </c>
      <c r="J24" s="77">
        <v>2836453083</v>
      </c>
      <c r="K24" s="77">
        <v>36341</v>
      </c>
      <c r="L24" s="64">
        <f t="shared" si="0"/>
        <v>58.880933381029692</v>
      </c>
      <c r="M24" s="28"/>
      <c r="N24" s="19"/>
      <c r="O24" s="58"/>
      <c r="P24" s="58"/>
      <c r="Q24" s="19"/>
      <c r="R24" s="66"/>
    </row>
    <row r="25" spans="1:18">
      <c r="A25" s="33">
        <f>SUM(E23:E25)</f>
        <v>179728.60606060605</v>
      </c>
      <c r="B25" s="33">
        <f>AVERAGE(E23:E25)</f>
        <v>59909.53535353535</v>
      </c>
      <c r="C25" s="54">
        <f>B25/B22-1</f>
        <v>8.6394707840813822E-2</v>
      </c>
      <c r="D25" s="54">
        <f>B25/B13-1</f>
        <v>15.372062686351747</v>
      </c>
      <c r="E25" s="34">
        <f>I25/19</f>
        <v>21711</v>
      </c>
      <c r="F25" s="54">
        <f t="shared" si="1"/>
        <v>-0.77678110769644904</v>
      </c>
      <c r="G25" s="54" t="e">
        <f t="shared" si="2"/>
        <v>#DIV/0!</v>
      </c>
      <c r="H25" s="76" t="s">
        <v>217</v>
      </c>
      <c r="I25" s="77">
        <v>412509</v>
      </c>
      <c r="J25" s="77">
        <v>545733200</v>
      </c>
      <c r="K25" s="77">
        <v>5580</v>
      </c>
      <c r="L25" s="64">
        <f t="shared" si="0"/>
        <v>73.926344086021501</v>
      </c>
      <c r="M25" s="53">
        <f>I23+I24+I25</f>
        <v>3828142</v>
      </c>
      <c r="N25" s="34">
        <f>J23+J24+J25</f>
        <v>5037871489</v>
      </c>
      <c r="O25" s="54">
        <f>M25/M22-1</f>
        <v>0.14472590393510343</v>
      </c>
      <c r="P25" s="54">
        <f>M25/M13-1</f>
        <v>15.60561394681022</v>
      </c>
      <c r="Q25" s="65">
        <f>AVERAGE(L23:L25)</f>
        <v>67.407304313463939</v>
      </c>
      <c r="R25" s="67" t="e">
        <f>Q25/Q22-1</f>
        <v>#DIV/0!</v>
      </c>
    </row>
    <row r="26" spans="1:18">
      <c r="A26" s="33"/>
      <c r="B26" s="33"/>
      <c r="C26" s="55"/>
      <c r="D26" s="55"/>
      <c r="E26" s="34">
        <f>I26/19</f>
        <v>80132.631578947374</v>
      </c>
      <c r="F26" s="54">
        <f t="shared" si="1"/>
        <v>2.6908770475310844</v>
      </c>
      <c r="G26" s="54">
        <f t="shared" si="2"/>
        <v>0.14576178687425023</v>
      </c>
      <c r="H26" s="76" t="s">
        <v>312</v>
      </c>
      <c r="I26" s="77">
        <v>1522520</v>
      </c>
      <c r="J26" s="77">
        <v>2051020080</v>
      </c>
      <c r="K26" s="77">
        <v>11850</v>
      </c>
      <c r="L26" s="64">
        <f t="shared" si="0"/>
        <v>128.48270042194093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7509.409090909091</v>
      </c>
      <c r="F27" s="54">
        <f t="shared" si="1"/>
        <v>-0.90628775140735574</v>
      </c>
      <c r="G27" s="54" t="e">
        <f t="shared" si="2"/>
        <v>#DIV/0!</v>
      </c>
      <c r="H27" s="76" t="s">
        <v>375</v>
      </c>
      <c r="I27" s="77">
        <v>165207</v>
      </c>
      <c r="J27" s="77">
        <v>223187640</v>
      </c>
      <c r="K27" s="77">
        <v>2400</v>
      </c>
      <c r="L27" s="64">
        <f t="shared" si="0"/>
        <v>68.836250000000007</v>
      </c>
      <c r="M27" s="34"/>
      <c r="N27" s="19"/>
      <c r="O27" s="54"/>
      <c r="P27" s="54"/>
      <c r="Q27" s="19"/>
      <c r="R27" s="19"/>
    </row>
    <row r="28" spans="1:18">
      <c r="A28" s="33">
        <f>SUM(E26:E28)</f>
        <v>118764.88277511962</v>
      </c>
      <c r="B28" s="33">
        <f>AVERAGE(E26:E28)</f>
        <v>39588.294258373207</v>
      </c>
      <c r="C28" s="54">
        <f>B28/B25-1</f>
        <v>-0.33919877654272201</v>
      </c>
      <c r="D28" s="54">
        <f>B28/B16-1</f>
        <v>0.69813796982654175</v>
      </c>
      <c r="E28" s="34">
        <f>I28/19</f>
        <v>31122.842105263157</v>
      </c>
      <c r="F28" s="54">
        <f t="shared" si="1"/>
        <v>3.1445128010059467</v>
      </c>
      <c r="G28" s="54" t="e">
        <f t="shared" si="2"/>
        <v>#DIV/0!</v>
      </c>
      <c r="H28" s="76" t="s">
        <v>413</v>
      </c>
      <c r="I28" s="77">
        <v>591334</v>
      </c>
      <c r="J28" s="77">
        <v>768981600</v>
      </c>
      <c r="K28" s="77">
        <v>7645</v>
      </c>
      <c r="L28" s="64">
        <f t="shared" si="0"/>
        <v>77.34911706998038</v>
      </c>
      <c r="M28" s="53">
        <f>I26+I27+I28</f>
        <v>2279061</v>
      </c>
      <c r="N28" s="34">
        <f>J26+J27+J28</f>
        <v>3043189320</v>
      </c>
      <c r="O28" s="54">
        <f>M28/M25-1</f>
        <v>-0.40465609687414938</v>
      </c>
      <c r="P28" s="54">
        <f>M28/M16-1</f>
        <v>0.6293368583451413</v>
      </c>
      <c r="Q28" s="65">
        <f>AVERAGE(L26:L28)</f>
        <v>91.556022497307097</v>
      </c>
      <c r="R28" s="67">
        <f>Q28/Q25-1</f>
        <v>0.35825076272957701</v>
      </c>
    </row>
    <row r="29" spans="1:18">
      <c r="A29" s="33"/>
      <c r="B29" s="33"/>
      <c r="C29" s="55"/>
      <c r="D29" s="55"/>
      <c r="E29" s="34">
        <f>I29/22</f>
        <v>85531.045454545456</v>
      </c>
      <c r="F29" s="54">
        <f t="shared" si="1"/>
        <v>1.7481759270333916</v>
      </c>
      <c r="G29" s="54">
        <f t="shared" si="2"/>
        <v>4.705626203970172</v>
      </c>
      <c r="H29" s="76" t="s">
        <v>426</v>
      </c>
      <c r="I29" s="77">
        <v>1881683</v>
      </c>
      <c r="J29" s="77">
        <v>2502418500</v>
      </c>
      <c r="K29" s="77">
        <v>17369</v>
      </c>
      <c r="L29" s="64">
        <f t="shared" si="0"/>
        <v>108.33571305198917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25038.263157894737</v>
      </c>
      <c r="F30" s="54">
        <f t="shared" si="1"/>
        <v>-0.70726111174215633</v>
      </c>
      <c r="G30" s="54" t="e">
        <f t="shared" si="2"/>
        <v>#DIV/0!</v>
      </c>
      <c r="H30" s="76" t="s">
        <v>466</v>
      </c>
      <c r="I30" s="77">
        <v>475727</v>
      </c>
      <c r="J30" s="77">
        <v>634686864</v>
      </c>
      <c r="K30" s="77">
        <v>6000</v>
      </c>
      <c r="L30" s="64">
        <f t="shared" si="0"/>
        <v>79.287833333333339</v>
      </c>
      <c r="M30" s="53"/>
      <c r="N30" s="34"/>
      <c r="O30" s="54"/>
      <c r="P30" s="54"/>
      <c r="Q30" s="65"/>
      <c r="R30" s="67"/>
    </row>
    <row r="31" spans="1:18">
      <c r="A31" s="33">
        <f>SUM(E29:E31)</f>
        <v>334873.30861244019</v>
      </c>
      <c r="B31" s="33">
        <f>AVERAGE(E29:E31)</f>
        <v>111624.43620414672</v>
      </c>
      <c r="C31" s="54">
        <f>B31/B28-1</f>
        <v>1.8196323760662501</v>
      </c>
      <c r="D31" s="54">
        <f>B31/B19-1</f>
        <v>8.089564340861136</v>
      </c>
      <c r="E31" s="34">
        <f>I31/20</f>
        <v>224304</v>
      </c>
      <c r="F31" s="54">
        <f t="shared" si="1"/>
        <v>7.9584488582737585</v>
      </c>
      <c r="G31" s="54">
        <f t="shared" si="2"/>
        <v>9.2652235505565628</v>
      </c>
      <c r="H31" s="76" t="s">
        <v>506</v>
      </c>
      <c r="I31" s="77">
        <v>4486080</v>
      </c>
      <c r="J31" s="77">
        <v>5976380884</v>
      </c>
      <c r="K31" s="77">
        <v>50425</v>
      </c>
      <c r="L31" s="64">
        <f t="shared" si="0"/>
        <v>88.965394149727317</v>
      </c>
      <c r="M31" s="53">
        <f>I29+I30+I31</f>
        <v>6843490</v>
      </c>
      <c r="N31" s="34">
        <f>J29+J30+J31</f>
        <v>9113486248</v>
      </c>
      <c r="O31" s="54">
        <f>M31/M28-1</f>
        <v>2.0027673677887514</v>
      </c>
      <c r="P31" s="54">
        <f>M31/M19-1</f>
        <v>7.7677250900667758</v>
      </c>
      <c r="Q31" s="65">
        <f>AVERAGE(L29:L31)</f>
        <v>92.196313511683286</v>
      </c>
      <c r="R31" s="67">
        <f>Q31/Q28-1</f>
        <v>6.9934341500583752E-3</v>
      </c>
    </row>
    <row r="32" spans="1:18">
      <c r="A32" s="33"/>
      <c r="B32" s="33"/>
      <c r="C32" s="54"/>
      <c r="D32" s="54"/>
      <c r="E32" s="34">
        <f>I32/14</f>
        <v>0</v>
      </c>
      <c r="F32" s="54">
        <f t="shared" ref="F32" si="3">E32/E31-1</f>
        <v>-1</v>
      </c>
      <c r="G32" s="54">
        <f t="shared" ref="G32" si="4">E32/E20-1</f>
        <v>-1</v>
      </c>
      <c r="H32" s="76" t="s">
        <v>566</v>
      </c>
      <c r="I32" s="77"/>
      <c r="J32" s="77"/>
      <c r="K32" s="77"/>
      <c r="L32" s="64" t="e">
        <f t="shared" ref="L32" si="5">I32/K32</f>
        <v>#DIV/0!</v>
      </c>
      <c r="M32" s="53">
        <f>I30+I31+I32</f>
        <v>4961807</v>
      </c>
      <c r="N32" s="34">
        <f>J30+J31+J32</f>
        <v>6611067748</v>
      </c>
      <c r="O32" s="54" t="e">
        <f>M32/M29-1</f>
        <v>#DIV/0!</v>
      </c>
      <c r="P32" s="54" t="e">
        <f>M32/M20-1</f>
        <v>#DIV/0!</v>
      </c>
      <c r="Q32" s="65" t="e">
        <f>AVERAGE(L30:L32)</f>
        <v>#DIV/0!</v>
      </c>
      <c r="R32" s="67" t="e">
        <f>Q32/Q29-1</f>
        <v>#DIV/0!</v>
      </c>
    </row>
  </sheetData>
  <phoneticPr fontId="1" type="noConversion"/>
  <conditionalFormatting sqref="B29:B30">
    <cfRule type="cellIs" dxfId="103" priority="1" operator="greaterThan">
      <formula>$B$25</formula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Z70"/>
  <sheetViews>
    <sheetView topLeftCell="A38" zoomScale="90" zoomScaleNormal="90" workbookViewId="0">
      <selection activeCell="C52" sqref="C52:C5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407861.85</v>
      </c>
      <c r="G5" s="90"/>
      <c r="H5" s="90"/>
      <c r="I5" s="130">
        <f t="shared" ref="I5:I49" si="0">T5</f>
        <v>141.68112616288218</v>
      </c>
      <c r="J5" s="130"/>
      <c r="K5" s="79"/>
      <c r="L5" s="80"/>
      <c r="M5" s="80"/>
      <c r="N5" s="79"/>
      <c r="O5" s="79"/>
      <c r="P5" s="129" t="s">
        <v>0</v>
      </c>
      <c r="Q5" s="116">
        <v>8157237</v>
      </c>
      <c r="R5" s="116">
        <v>9629922431</v>
      </c>
      <c r="S5" s="116">
        <v>57574.62</v>
      </c>
      <c r="T5" s="130">
        <f t="shared" ref="T5:T30" si="1">Q5/S5</f>
        <v>141.68112616288218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283393.11111111112</v>
      </c>
      <c r="G6" s="90">
        <f t="shared" ref="G6:G30" si="2">F6/F5-1</f>
        <v>-0.30517377118965372</v>
      </c>
      <c r="H6" s="90"/>
      <c r="I6" s="130">
        <f t="shared" si="0"/>
        <v>144.72287160398557</v>
      </c>
      <c r="J6" s="130"/>
      <c r="K6" s="79"/>
      <c r="L6" s="87"/>
      <c r="M6" s="87"/>
      <c r="N6" s="79"/>
      <c r="O6" s="79"/>
      <c r="P6" s="129" t="s">
        <v>1</v>
      </c>
      <c r="Q6" s="116">
        <v>5101076</v>
      </c>
      <c r="R6" s="116">
        <v>6065516426</v>
      </c>
      <c r="S6" s="116">
        <v>35247.199999999997</v>
      </c>
      <c r="T6" s="130">
        <f t="shared" si="1"/>
        <v>144.72287160398557</v>
      </c>
      <c r="U6" s="85"/>
    </row>
    <row r="7" spans="1:21" ht="15" hidden="1" customHeight="1">
      <c r="A7" s="129" t="s">
        <v>2</v>
      </c>
      <c r="B7" s="131">
        <f>F5+F6+F7</f>
        <v>921508.4611111111</v>
      </c>
      <c r="C7" s="131">
        <f>AVERAGE(F5:F7)</f>
        <v>307169.48703703703</v>
      </c>
      <c r="D7" s="117"/>
      <c r="E7" s="117"/>
      <c r="F7" s="78">
        <f>Q7/22</f>
        <v>230253.5</v>
      </c>
      <c r="G7" s="90">
        <f t="shared" si="2"/>
        <v>-0.18751200727062289</v>
      </c>
      <c r="H7" s="90"/>
      <c r="I7" s="130">
        <f t="shared" si="0"/>
        <v>138.33722035305428</v>
      </c>
      <c r="J7" s="130"/>
      <c r="K7" s="79">
        <f>R5+R6+R7</f>
        <v>21824991025</v>
      </c>
      <c r="L7" s="87"/>
      <c r="M7" s="87"/>
      <c r="N7" s="88">
        <f>AVERAGE(T5:T7)</f>
        <v>141.58040603997401</v>
      </c>
      <c r="O7" s="79"/>
      <c r="P7" s="129" t="s">
        <v>2</v>
      </c>
      <c r="Q7" s="116">
        <v>5065577</v>
      </c>
      <c r="R7" s="116">
        <v>6129552168</v>
      </c>
      <c r="S7" s="116">
        <v>36617.599999999999</v>
      </c>
      <c r="T7" s="130">
        <f t="shared" si="1"/>
        <v>138.33722035305428</v>
      </c>
      <c r="U7" s="85">
        <f>Q5+Q6+Q7</f>
        <v>18323890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373200.66666666669</v>
      </c>
      <c r="G8" s="90">
        <f t="shared" si="2"/>
        <v>0.62082516299064583</v>
      </c>
      <c r="H8" s="90"/>
      <c r="I8" s="130">
        <f t="shared" si="0"/>
        <v>162.6274921562443</v>
      </c>
      <c r="J8" s="130"/>
      <c r="K8" s="78"/>
      <c r="L8" s="87"/>
      <c r="M8" s="87"/>
      <c r="N8" s="79"/>
      <c r="O8" s="79"/>
      <c r="P8" s="129" t="s">
        <v>3</v>
      </c>
      <c r="Q8" s="116">
        <v>7837214</v>
      </c>
      <c r="R8" s="116">
        <v>9507744369</v>
      </c>
      <c r="S8" s="116">
        <v>48191.199999999997</v>
      </c>
      <c r="T8" s="130">
        <f t="shared" si="1"/>
        <v>162.6274921562443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393998.85714285716</v>
      </c>
      <c r="G9" s="90">
        <f t="shared" si="2"/>
        <v>5.5729242559919845E-2</v>
      </c>
      <c r="H9" s="90"/>
      <c r="I9" s="130">
        <f t="shared" si="0"/>
        <v>146.72508969071487</v>
      </c>
      <c r="J9" s="130"/>
      <c r="K9" s="78"/>
      <c r="L9" s="87"/>
      <c r="M9" s="87"/>
      <c r="N9" s="79"/>
      <c r="O9" s="79"/>
      <c r="P9" s="129" t="s">
        <v>4</v>
      </c>
      <c r="Q9" s="116">
        <v>8273976</v>
      </c>
      <c r="R9" s="116">
        <v>10396611300</v>
      </c>
      <c r="S9" s="116">
        <v>56391.01</v>
      </c>
      <c r="T9" s="130">
        <f t="shared" si="1"/>
        <v>146.72508969071487</v>
      </c>
      <c r="U9" s="85"/>
    </row>
    <row r="10" spans="1:21" ht="15" hidden="1" customHeight="1">
      <c r="A10" s="129" t="s">
        <v>5</v>
      </c>
      <c r="B10" s="131">
        <f>F8+F9+F10</f>
        <v>1044122.8095238095</v>
      </c>
      <c r="C10" s="131">
        <f>AVERAGE(F8:F10)</f>
        <v>348040.93650793651</v>
      </c>
      <c r="D10" s="90">
        <f>C10/C7-1</f>
        <v>0.13305829906852495</v>
      </c>
      <c r="E10" s="90"/>
      <c r="F10" s="78">
        <f>Q10/21</f>
        <v>276923.28571428574</v>
      </c>
      <c r="G10" s="90">
        <f t="shared" si="2"/>
        <v>-0.29714698229726555</v>
      </c>
      <c r="H10" s="90"/>
      <c r="I10" s="130">
        <f t="shared" si="0"/>
        <v>164.66404411058906</v>
      </c>
      <c r="J10" s="130"/>
      <c r="K10" s="79">
        <f>R8+R9+R10</f>
        <v>27268137858</v>
      </c>
      <c r="L10" s="87">
        <f>U10/U7-1</f>
        <v>0.19661158192938299</v>
      </c>
      <c r="M10" s="87"/>
      <c r="N10" s="88">
        <f>AVERAGE(T8:T10)</f>
        <v>158.00554198584942</v>
      </c>
      <c r="O10" s="89">
        <f>N10/N7-1</f>
        <v>0.11601277609867799</v>
      </c>
      <c r="P10" s="129" t="s">
        <v>5</v>
      </c>
      <c r="Q10" s="116">
        <v>5815389</v>
      </c>
      <c r="R10" s="116">
        <v>7363782189</v>
      </c>
      <c r="S10" s="116">
        <v>35316.69</v>
      </c>
      <c r="T10" s="130">
        <f t="shared" si="1"/>
        <v>164.66404411058906</v>
      </c>
      <c r="U10" s="85">
        <f>Q8+Q9+Q10</f>
        <v>21926579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372352.09523809527</v>
      </c>
      <c r="G11" s="90">
        <f t="shared" si="2"/>
        <v>0.34460377457122804</v>
      </c>
      <c r="H11" s="90"/>
      <c r="I11" s="130">
        <f t="shared" si="0"/>
        <v>161.73500086354983</v>
      </c>
      <c r="J11" s="130"/>
      <c r="K11" s="78"/>
      <c r="L11" s="87"/>
      <c r="M11" s="87"/>
      <c r="N11" s="79"/>
      <c r="O11" s="89"/>
      <c r="P11" s="129" t="s">
        <v>6</v>
      </c>
      <c r="Q11" s="116">
        <v>7819394</v>
      </c>
      <c r="R11" s="116">
        <v>10110562464</v>
      </c>
      <c r="S11" s="116">
        <v>48346.95</v>
      </c>
      <c r="T11" s="130">
        <f t="shared" si="1"/>
        <v>161.73500086354983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187974.68181818182</v>
      </c>
      <c r="G12" s="90">
        <f t="shared" si="2"/>
        <v>-0.4951695338306501</v>
      </c>
      <c r="H12" s="90"/>
      <c r="I12" s="130">
        <f t="shared" si="0"/>
        <v>146.47550738497503</v>
      </c>
      <c r="J12" s="130"/>
      <c r="K12" s="78"/>
      <c r="L12" s="87"/>
      <c r="M12" s="87"/>
      <c r="N12" s="79"/>
      <c r="O12" s="89"/>
      <c r="P12" s="129" t="s">
        <v>7</v>
      </c>
      <c r="Q12" s="116">
        <v>4135443</v>
      </c>
      <c r="R12" s="116">
        <v>5377425837</v>
      </c>
      <c r="S12" s="116">
        <v>28233</v>
      </c>
      <c r="T12" s="130">
        <f t="shared" si="1"/>
        <v>146.47550738497503</v>
      </c>
      <c r="U12" s="85"/>
    </row>
    <row r="13" spans="1:21" ht="15" hidden="1" customHeight="1">
      <c r="A13" s="129" t="s">
        <v>96</v>
      </c>
      <c r="B13" s="131">
        <f>F11+F12+F13</f>
        <v>779356.57705627708</v>
      </c>
      <c r="C13" s="131">
        <f>AVERAGE(F11:F13)</f>
        <v>259785.5256854257</v>
      </c>
      <c r="D13" s="90">
        <f>C13/C10-1</f>
        <v>-0.2535776730979411</v>
      </c>
      <c r="E13" s="90"/>
      <c r="F13" s="78">
        <f>Q13/20</f>
        <v>219029.8</v>
      </c>
      <c r="G13" s="90">
        <f t="shared" si="2"/>
        <v>0.16520904773684464</v>
      </c>
      <c r="H13" s="90"/>
      <c r="I13" s="130">
        <f t="shared" si="0"/>
        <v>144.06130520201026</v>
      </c>
      <c r="J13" s="130"/>
      <c r="K13" s="78">
        <f>R11+R12+R13</f>
        <v>21521672080</v>
      </c>
      <c r="L13" s="87">
        <f>U13/U10-1</f>
        <v>-0.25499399609943718</v>
      </c>
      <c r="M13" s="87"/>
      <c r="N13" s="88">
        <f>AVERAGE(T11:T13)</f>
        <v>150.75727115017838</v>
      </c>
      <c r="O13" s="89">
        <f>N13/N10-1</f>
        <v>-4.5873522818080437E-2</v>
      </c>
      <c r="P13" s="129" t="s">
        <v>96</v>
      </c>
      <c r="Q13" s="116">
        <v>4380596</v>
      </c>
      <c r="R13" s="116">
        <v>6033683779</v>
      </c>
      <c r="S13" s="116">
        <v>30407.86</v>
      </c>
      <c r="T13" s="130">
        <f t="shared" si="1"/>
        <v>144.06130520201026</v>
      </c>
      <c r="U13" s="85">
        <f>Q11+Q12+Q13</f>
        <v>16335433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452356.25</v>
      </c>
      <c r="G14" s="90">
        <f t="shared" si="2"/>
        <v>1.0652726250035385</v>
      </c>
      <c r="H14" s="90"/>
      <c r="I14" s="130">
        <f t="shared" si="0"/>
        <v>150.49596276494876</v>
      </c>
      <c r="J14" s="130"/>
      <c r="K14" s="79"/>
      <c r="L14" s="87"/>
      <c r="M14" s="87"/>
      <c r="N14" s="79"/>
      <c r="O14" s="89"/>
      <c r="P14" s="129" t="s">
        <v>97</v>
      </c>
      <c r="Q14" s="116">
        <v>9047125</v>
      </c>
      <c r="R14" s="116">
        <v>12902001001</v>
      </c>
      <c r="S14" s="116">
        <v>60115.4</v>
      </c>
      <c r="T14" s="130">
        <f t="shared" si="1"/>
        <v>150.49596276494876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428094.68181818182</v>
      </c>
      <c r="G15" s="90">
        <f t="shared" si="2"/>
        <v>-5.3633763614005958E-2</v>
      </c>
      <c r="H15" s="90"/>
      <c r="I15" s="130">
        <f t="shared" si="0"/>
        <v>153.18314967673729</v>
      </c>
      <c r="J15" s="130"/>
      <c r="K15" s="79"/>
      <c r="L15" s="87"/>
      <c r="M15" s="87"/>
      <c r="N15" s="79"/>
      <c r="O15" s="89"/>
      <c r="P15" s="129" t="s">
        <v>98</v>
      </c>
      <c r="Q15" s="116">
        <v>9418083</v>
      </c>
      <c r="R15" s="116">
        <v>13129030716</v>
      </c>
      <c r="S15" s="116">
        <v>61482.5</v>
      </c>
      <c r="T15" s="130">
        <f t="shared" si="1"/>
        <v>153.18314967673729</v>
      </c>
      <c r="U15" s="78"/>
    </row>
    <row r="16" spans="1:21" ht="15" hidden="1" customHeight="1">
      <c r="A16" s="129" t="s">
        <v>99</v>
      </c>
      <c r="B16" s="131">
        <f>F14+F15+F16</f>
        <v>1101441.25</v>
      </c>
      <c r="C16" s="131">
        <f>AVERAGE(F14:F16)</f>
        <v>367147.08333333331</v>
      </c>
      <c r="D16" s="90">
        <f>C16/C13-1</f>
        <v>0.41326997477877847</v>
      </c>
      <c r="E16" s="90"/>
      <c r="F16" s="78">
        <f>Q16/22</f>
        <v>220990.31818181818</v>
      </c>
      <c r="G16" s="90">
        <f t="shared" si="2"/>
        <v>-0.48378167828845853</v>
      </c>
      <c r="H16" s="90"/>
      <c r="I16" s="130">
        <f t="shared" si="0"/>
        <v>153.80534640936412</v>
      </c>
      <c r="J16" s="130"/>
      <c r="K16" s="78">
        <f>R14+R15+R16</f>
        <v>32390326635</v>
      </c>
      <c r="L16" s="87">
        <f>U16/U13-1</f>
        <v>0.4279997965159541</v>
      </c>
      <c r="M16" s="87"/>
      <c r="N16" s="88">
        <f>AVERAGE(T14:T16)</f>
        <v>152.4948196170167</v>
      </c>
      <c r="O16" s="89">
        <f>N16/N13-1</f>
        <v>1.15254704040606E-2</v>
      </c>
      <c r="P16" s="129" t="s">
        <v>99</v>
      </c>
      <c r="Q16" s="116">
        <v>4861787</v>
      </c>
      <c r="R16" s="116">
        <v>6359294918</v>
      </c>
      <c r="S16" s="116">
        <v>31610</v>
      </c>
      <c r="T16" s="130">
        <f t="shared" si="1"/>
        <v>153.80534640936412</v>
      </c>
      <c r="U16" s="85">
        <f>Q14+Q15+Q16</f>
        <v>23326995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319150.59999999998</v>
      </c>
      <c r="G17" s="90">
        <f t="shared" si="2"/>
        <v>0.44418363042231168</v>
      </c>
      <c r="H17" s="90">
        <f t="shared" ref="H17:H30" si="3">F17/F5-1</f>
        <v>-0.21750318153070702</v>
      </c>
      <c r="I17" s="130">
        <f t="shared" si="0"/>
        <v>175.30208862584624</v>
      </c>
      <c r="J17" s="130">
        <f t="shared" ref="J17:J49" si="4">I17/I5-1</f>
        <v>0.23730022038582677</v>
      </c>
      <c r="K17" s="79"/>
      <c r="L17" s="87"/>
      <c r="M17" s="87"/>
      <c r="N17" s="79"/>
      <c r="O17" s="89"/>
      <c r="P17" s="129" t="s">
        <v>100</v>
      </c>
      <c r="Q17" s="116">
        <v>6383012</v>
      </c>
      <c r="R17" s="116">
        <v>8028705145</v>
      </c>
      <c r="S17" s="116">
        <v>36411.5</v>
      </c>
      <c r="T17" s="130">
        <f t="shared" si="1"/>
        <v>175.30208862584624</v>
      </c>
      <c r="U17" s="78"/>
    </row>
    <row r="18" spans="1:21" ht="15" hidden="1" customHeight="1">
      <c r="A18" s="129" t="s">
        <v>106</v>
      </c>
      <c r="B18" s="79"/>
      <c r="C18" s="79"/>
      <c r="D18" s="117"/>
      <c r="E18" s="117"/>
      <c r="F18" s="78">
        <f>Q18/20</f>
        <v>212164.85</v>
      </c>
      <c r="G18" s="90">
        <f t="shared" si="2"/>
        <v>-0.33522026905166391</v>
      </c>
      <c r="H18" s="90">
        <f t="shared" si="3"/>
        <v>-0.25134083475721591</v>
      </c>
      <c r="I18" s="130">
        <f t="shared" si="0"/>
        <v>137.80338654992789</v>
      </c>
      <c r="J18" s="130">
        <f t="shared" si="4"/>
        <v>-4.7811966259154293E-2</v>
      </c>
      <c r="K18" s="79"/>
      <c r="L18" s="87"/>
      <c r="M18" s="87"/>
      <c r="N18" s="79"/>
      <c r="O18" s="89"/>
      <c r="P18" s="129" t="s">
        <v>106</v>
      </c>
      <c r="Q18" s="116">
        <v>4243297</v>
      </c>
      <c r="R18" s="116">
        <v>5315330542</v>
      </c>
      <c r="S18" s="116">
        <v>30792.400000000001</v>
      </c>
      <c r="T18" s="130">
        <f t="shared" si="1"/>
        <v>137.80338654992789</v>
      </c>
      <c r="U18" s="78"/>
    </row>
    <row r="19" spans="1:21" hidden="1">
      <c r="A19" s="129" t="s">
        <v>114</v>
      </c>
      <c r="B19" s="131">
        <f>SUM(F17:F19)</f>
        <v>680252.17727272725</v>
      </c>
      <c r="C19" s="131">
        <f>AVERAGE(F17:F19)</f>
        <v>226750.72575757574</v>
      </c>
      <c r="D19" s="90">
        <f>C19/C16-1</f>
        <v>-0.38239812856770417</v>
      </c>
      <c r="E19" s="90">
        <f>C19/C7-1</f>
        <v>-0.26180582601215463</v>
      </c>
      <c r="F19" s="78">
        <f>Q19/22</f>
        <v>148936.72727272726</v>
      </c>
      <c r="G19" s="90">
        <f t="shared" si="2"/>
        <v>-0.29801412782217573</v>
      </c>
      <c r="H19" s="90">
        <f t="shared" si="3"/>
        <v>-0.35316193989352052</v>
      </c>
      <c r="I19" s="130">
        <f t="shared" si="0"/>
        <v>158.44003243646287</v>
      </c>
      <c r="J19" s="130">
        <f t="shared" si="4"/>
        <v>0.14531744986709749</v>
      </c>
      <c r="K19" s="78">
        <f>R17+R18+R19</f>
        <v>17633673944</v>
      </c>
      <c r="L19" s="87">
        <f>U19/U16-1</f>
        <v>-0.40399880053131576</v>
      </c>
      <c r="M19" s="87">
        <f>U19/U7-1</f>
        <v>-0.24126825690396525</v>
      </c>
      <c r="N19" s="88">
        <f>AVERAGE(T17:T19)</f>
        <v>157.18183587074566</v>
      </c>
      <c r="O19" s="89">
        <f>N19/N16-1</f>
        <v>3.0735576890416061E-2</v>
      </c>
      <c r="P19" s="129" t="s">
        <v>114</v>
      </c>
      <c r="Q19" s="116">
        <v>3276608</v>
      </c>
      <c r="R19" s="116">
        <v>4289638257</v>
      </c>
      <c r="S19" s="116">
        <v>20680.43</v>
      </c>
      <c r="T19" s="130">
        <f t="shared" si="1"/>
        <v>158.44003243646287</v>
      </c>
      <c r="U19" s="85">
        <f>Q17+Q18+Q19</f>
        <v>13902917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300286.59999999998</v>
      </c>
      <c r="G20" s="90">
        <f t="shared" si="2"/>
        <v>1.0162024874504363</v>
      </c>
      <c r="H20" s="90">
        <f t="shared" si="3"/>
        <v>-0.19537496360313766</v>
      </c>
      <c r="I20" s="130">
        <f t="shared" si="0"/>
        <v>161.46055465761631</v>
      </c>
      <c r="J20" s="130">
        <f t="shared" si="4"/>
        <v>-7.1755241574213979E-3</v>
      </c>
      <c r="K20" s="79"/>
      <c r="L20" s="87"/>
      <c r="M20" s="87"/>
      <c r="N20" s="79"/>
      <c r="O20" s="89"/>
      <c r="P20" s="129" t="s">
        <v>131</v>
      </c>
      <c r="Q20" s="116">
        <v>6005732</v>
      </c>
      <c r="R20" s="116">
        <v>7847815220</v>
      </c>
      <c r="S20" s="116">
        <v>37196.28</v>
      </c>
      <c r="T20" s="130">
        <f t="shared" si="1"/>
        <v>161.46055465761631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300043</v>
      </c>
      <c r="G21" s="90">
        <f t="shared" si="2"/>
        <v>-8.1122500970731704E-4</v>
      </c>
      <c r="H21" s="90">
        <f t="shared" si="3"/>
        <v>-0.23846733420546551</v>
      </c>
      <c r="I21" s="130">
        <f t="shared" si="0"/>
        <v>158.80732626952042</v>
      </c>
      <c r="J21" s="130">
        <f t="shared" si="4"/>
        <v>8.2346084124221397E-2</v>
      </c>
      <c r="K21" s="79"/>
      <c r="L21" s="87"/>
      <c r="M21" s="87"/>
      <c r="N21" s="79"/>
      <c r="O21" s="89"/>
      <c r="P21" s="129" t="s">
        <v>141</v>
      </c>
      <c r="Q21" s="116">
        <v>6300903</v>
      </c>
      <c r="R21" s="116">
        <v>8390253505</v>
      </c>
      <c r="S21" s="116">
        <v>39676.400000000001</v>
      </c>
      <c r="T21" s="130">
        <f t="shared" si="1"/>
        <v>158.80732626952042</v>
      </c>
      <c r="U21" s="78"/>
    </row>
    <row r="22" spans="1:21" hidden="1">
      <c r="A22" s="129" t="s">
        <v>155</v>
      </c>
      <c r="B22" s="131">
        <f>SUM(F20:F22)</f>
        <v>810286.83809523808</v>
      </c>
      <c r="C22" s="131">
        <f>AVERAGE(F20:F22)</f>
        <v>270095.61269841267</v>
      </c>
      <c r="D22" s="90">
        <f>C22/C19-1</f>
        <v>0.19115655218311378</v>
      </c>
      <c r="E22" s="90">
        <f>C22/C10-1</f>
        <v>-0.22395447096421206</v>
      </c>
      <c r="F22" s="78">
        <f>Q22/21</f>
        <v>209957.23809523811</v>
      </c>
      <c r="G22" s="90">
        <f t="shared" si="2"/>
        <v>-0.30024283820906306</v>
      </c>
      <c r="H22" s="90">
        <f t="shared" si="3"/>
        <v>-0.24182165629848673</v>
      </c>
      <c r="I22" s="130">
        <f t="shared" si="0"/>
        <v>141.12648917169724</v>
      </c>
      <c r="J22" s="130">
        <f t="shared" si="4"/>
        <v>-0.14294289361121182</v>
      </c>
      <c r="K22" s="78">
        <f>R20+R21+R22</f>
        <v>21958535700</v>
      </c>
      <c r="L22" s="87">
        <f>U22/U19-1</f>
        <v>0.20231869326415453</v>
      </c>
      <c r="M22" s="87">
        <f>U22/U10-1</f>
        <v>-0.23764956676552229</v>
      </c>
      <c r="N22" s="88">
        <f>AVERAGE(T20:T22)</f>
        <v>153.79812336627799</v>
      </c>
      <c r="O22" s="89">
        <f>N22/N19-1</f>
        <v>-2.1527376148285815E-2</v>
      </c>
      <c r="P22" s="129" t="s">
        <v>155</v>
      </c>
      <c r="Q22" s="116">
        <v>4409102</v>
      </c>
      <c r="R22" s="116">
        <v>5720466975</v>
      </c>
      <c r="S22" s="116">
        <v>31242.2</v>
      </c>
      <c r="T22" s="130">
        <f t="shared" si="1"/>
        <v>141.12648917169724</v>
      </c>
      <c r="U22" s="85">
        <f>Q20+Q21+Q22</f>
        <v>16715737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240984.38095238095</v>
      </c>
      <c r="G23" s="90">
        <f t="shared" si="2"/>
        <v>0.14777839115538716</v>
      </c>
      <c r="H23" s="90">
        <f t="shared" si="3"/>
        <v>-0.35280508949926304</v>
      </c>
      <c r="I23" s="130">
        <f t="shared" si="0"/>
        <v>145.20921984798096</v>
      </c>
      <c r="J23" s="130">
        <f t="shared" si="4"/>
        <v>-0.10217813662678432</v>
      </c>
      <c r="K23" s="79"/>
      <c r="L23" s="87"/>
      <c r="M23" s="87"/>
      <c r="N23" s="79"/>
      <c r="O23" s="89"/>
      <c r="P23" s="129" t="s">
        <v>189</v>
      </c>
      <c r="Q23" s="116">
        <v>5060672</v>
      </c>
      <c r="R23" s="116">
        <v>6462507318</v>
      </c>
      <c r="S23" s="116">
        <v>34850.9</v>
      </c>
      <c r="T23" s="130">
        <f t="shared" si="1"/>
        <v>145.20921984798096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284304.40909090912</v>
      </c>
      <c r="G24" s="90">
        <f t="shared" si="2"/>
        <v>0.17976280440800974</v>
      </c>
      <c r="H24" s="90">
        <f t="shared" si="3"/>
        <v>0.51246118009606234</v>
      </c>
      <c r="I24" s="130">
        <f t="shared" si="0"/>
        <v>146.5881622274043</v>
      </c>
      <c r="J24" s="130">
        <f t="shared" si="4"/>
        <v>7.6910361630067037E-4</v>
      </c>
      <c r="K24" s="79"/>
      <c r="L24" s="87"/>
      <c r="M24" s="87"/>
      <c r="N24" s="79"/>
      <c r="O24" s="89"/>
      <c r="P24" s="129" t="s">
        <v>204</v>
      </c>
      <c r="Q24" s="116">
        <v>6254697</v>
      </c>
      <c r="R24" s="116">
        <v>8219112034</v>
      </c>
      <c r="S24" s="116">
        <v>42668.5</v>
      </c>
      <c r="T24" s="130">
        <f t="shared" si="1"/>
        <v>146.5881622274043</v>
      </c>
      <c r="U24" s="78"/>
    </row>
    <row r="25" spans="1:21" s="92" customFormat="1" ht="13.2" hidden="1">
      <c r="A25" s="129" t="s">
        <v>217</v>
      </c>
      <c r="B25" s="131">
        <f>SUM(F23:F25)</f>
        <v>978394.4742538163</v>
      </c>
      <c r="C25" s="131">
        <f>AVERAGE(F23:F25)</f>
        <v>326131.49141793879</v>
      </c>
      <c r="D25" s="90">
        <f>C25/C22-1</f>
        <v>0.20746682317307941</v>
      </c>
      <c r="E25" s="90">
        <f>C25/C13-1</f>
        <v>0.25538746070422502</v>
      </c>
      <c r="F25" s="78">
        <f>Q25/19</f>
        <v>453105.68421052629</v>
      </c>
      <c r="G25" s="90">
        <f t="shared" si="2"/>
        <v>0.59373428523101568</v>
      </c>
      <c r="H25" s="90">
        <f t="shared" si="3"/>
        <v>1.0686942334354792</v>
      </c>
      <c r="I25" s="130">
        <f t="shared" si="0"/>
        <v>143.50011267973753</v>
      </c>
      <c r="J25" s="130">
        <f t="shared" si="4"/>
        <v>-3.8955118550800805E-3</v>
      </c>
      <c r="K25" s="78">
        <f>R23+R24+R25</f>
        <v>26111663939</v>
      </c>
      <c r="L25" s="90">
        <f>U25/U22-1</f>
        <v>0.19195324740991082</v>
      </c>
      <c r="M25" s="90">
        <f>U25/U13-1</f>
        <v>0.21970302225842442</v>
      </c>
      <c r="N25" s="88">
        <f>AVERAGE(T23:T25)</f>
        <v>145.09916491837427</v>
      </c>
      <c r="O25" s="91">
        <f>N25/N22-1</f>
        <v>-5.6560888114263297E-2</v>
      </c>
      <c r="P25" s="129" t="s">
        <v>217</v>
      </c>
      <c r="Q25" s="116">
        <v>8609008</v>
      </c>
      <c r="R25" s="116">
        <v>11430044587</v>
      </c>
      <c r="S25" s="116">
        <v>59993.04</v>
      </c>
      <c r="T25" s="130">
        <f t="shared" si="1"/>
        <v>143.50011267973753</v>
      </c>
      <c r="U25" s="85">
        <f>Q23+Q24+Q25</f>
        <v>19924377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586203.94736842101</v>
      </c>
      <c r="G26" s="90">
        <f t="shared" si="2"/>
        <v>0.29374661981961214</v>
      </c>
      <c r="H26" s="90">
        <f t="shared" si="3"/>
        <v>0.29589001449282737</v>
      </c>
      <c r="I26" s="130">
        <f t="shared" si="0"/>
        <v>152.74415957541638</v>
      </c>
      <c r="J26" s="130">
        <f t="shared" si="4"/>
        <v>1.4938585521918402E-2</v>
      </c>
      <c r="K26" s="79"/>
      <c r="L26" s="90"/>
      <c r="M26" s="90"/>
      <c r="N26" s="79"/>
      <c r="O26" s="79"/>
      <c r="P26" s="129" t="s">
        <v>312</v>
      </c>
      <c r="Q26" s="116">
        <v>11137875</v>
      </c>
      <c r="R26" s="116">
        <v>14997353942</v>
      </c>
      <c r="S26" s="116">
        <v>72918.5</v>
      </c>
      <c r="T26" s="130">
        <f t="shared" si="1"/>
        <v>152.74415957541638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132"/>
      <c r="F27" s="78">
        <f>Q27/22</f>
        <v>459078.81818181818</v>
      </c>
      <c r="G27" s="90">
        <f t="shared" si="2"/>
        <v>-0.21686160551680222</v>
      </c>
      <c r="H27" s="90">
        <f t="shared" si="3"/>
        <v>7.2376830826400562E-2</v>
      </c>
      <c r="I27" s="130">
        <f t="shared" si="0"/>
        <v>151.54276094175052</v>
      </c>
      <c r="J27" s="130">
        <f t="shared" si="4"/>
        <v>-1.0708676107316517E-2</v>
      </c>
      <c r="K27" s="79"/>
      <c r="L27" s="90"/>
      <c r="M27" s="90"/>
      <c r="N27" s="79"/>
      <c r="O27" s="79"/>
      <c r="P27" s="129" t="s">
        <v>375</v>
      </c>
      <c r="Q27" s="116">
        <v>10099734</v>
      </c>
      <c r="R27" s="116">
        <v>13447328432</v>
      </c>
      <c r="S27" s="116">
        <v>66646.100000000006</v>
      </c>
      <c r="T27" s="130">
        <f t="shared" si="1"/>
        <v>151.54276094175052</v>
      </c>
      <c r="U27" s="78"/>
    </row>
    <row r="28" spans="1:21" s="92" customFormat="1" ht="13.2" hidden="1">
      <c r="A28" s="123" t="s">
        <v>413</v>
      </c>
      <c r="B28" s="131">
        <f>SUM(F26:F28)</f>
        <v>1247147.5550239235</v>
      </c>
      <c r="C28" s="131">
        <f>AVERAGE(F26:F28)</f>
        <v>415715.85167464119</v>
      </c>
      <c r="D28" s="90">
        <f>C28/C25-1</f>
        <v>0.27468785632203696</v>
      </c>
      <c r="E28" s="90">
        <f>C28/C16-1</f>
        <v>0.1322869513230267</v>
      </c>
      <c r="F28" s="78">
        <f>Q28/19</f>
        <v>201864.78947368421</v>
      </c>
      <c r="G28" s="90">
        <f t="shared" si="2"/>
        <v>-0.56028293731091794</v>
      </c>
      <c r="H28" s="90">
        <f t="shared" si="3"/>
        <v>-8.6544645328754055E-2</v>
      </c>
      <c r="I28" s="130">
        <f t="shared" si="0"/>
        <v>183.50887920491931</v>
      </c>
      <c r="J28" s="130">
        <f t="shared" si="4"/>
        <v>0.19312418904149853</v>
      </c>
      <c r="K28" s="78">
        <f>R26+R27+R28</f>
        <v>33434261691</v>
      </c>
      <c r="L28" s="90">
        <f>U28/U25-1</f>
        <v>0.25841023787092565</v>
      </c>
      <c r="M28" s="90">
        <f>U28/U16-1</f>
        <v>7.485083269405246E-2</v>
      </c>
      <c r="N28" s="88">
        <f>AVERAGE(T26:T28)</f>
        <v>162.59859990736206</v>
      </c>
      <c r="O28" s="91">
        <f>N28/N25-1</f>
        <v>0.12060327844637908</v>
      </c>
      <c r="P28" s="129" t="s">
        <v>413</v>
      </c>
      <c r="Q28" s="116">
        <v>3835431</v>
      </c>
      <c r="R28" s="116">
        <v>4989579317</v>
      </c>
      <c r="S28" s="116">
        <v>20900.52</v>
      </c>
      <c r="T28" s="130">
        <f t="shared" si="1"/>
        <v>183.50887920491931</v>
      </c>
      <c r="U28" s="85">
        <f>Q26+Q27+Q28</f>
        <v>25073040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246241.63636363635</v>
      </c>
      <c r="G29" s="190">
        <f t="shared" si="2"/>
        <v>0.21983450905754554</v>
      </c>
      <c r="H29" s="190">
        <f t="shared" si="3"/>
        <v>-0.22844689509079297</v>
      </c>
      <c r="I29" s="130">
        <f t="shared" si="0"/>
        <v>161.92374634482275</v>
      </c>
      <c r="J29" s="130">
        <f t="shared" si="4"/>
        <v>-7.6315932034200618E-2</v>
      </c>
      <c r="K29" s="136"/>
      <c r="L29" s="190"/>
      <c r="M29" s="190"/>
      <c r="N29" s="191"/>
      <c r="O29" s="192"/>
      <c r="P29" s="129" t="s">
        <v>426</v>
      </c>
      <c r="Q29" s="116">
        <v>5417316</v>
      </c>
      <c r="R29" s="116">
        <v>7141896001</v>
      </c>
      <c r="S29" s="116">
        <v>33455.97</v>
      </c>
      <c r="T29" s="130">
        <f t="shared" si="1"/>
        <v>161.92374634482275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333601.05263157893</v>
      </c>
      <c r="G30" s="190">
        <f t="shared" si="2"/>
        <v>0.35477110028189918</v>
      </c>
      <c r="H30" s="190">
        <f t="shared" si="3"/>
        <v>0.57236720706365318</v>
      </c>
      <c r="I30" s="130">
        <f t="shared" si="0"/>
        <v>171.55350650482484</v>
      </c>
      <c r="J30" s="130">
        <f t="shared" si="4"/>
        <v>0.24491502567441525</v>
      </c>
      <c r="K30" s="136"/>
      <c r="L30" s="190"/>
      <c r="M30" s="190"/>
      <c r="N30" s="191"/>
      <c r="O30" s="192"/>
      <c r="P30" s="129" t="s">
        <v>466</v>
      </c>
      <c r="Q30" s="116">
        <v>6338420</v>
      </c>
      <c r="R30" s="116">
        <v>8445939468</v>
      </c>
      <c r="S30" s="116">
        <v>36947.19</v>
      </c>
      <c r="T30" s="130">
        <f t="shared" si="1"/>
        <v>171.55350650482484</v>
      </c>
      <c r="U30" s="85"/>
    </row>
    <row r="31" spans="1:21" s="92" customFormat="1" ht="13.2">
      <c r="A31" s="129" t="s">
        <v>505</v>
      </c>
      <c r="B31" s="188">
        <f>SUM(F29:F31)</f>
        <v>741885.1389952153</v>
      </c>
      <c r="C31" s="188">
        <f>AVERAGE(F29:F31)</f>
        <v>247295.04633173844</v>
      </c>
      <c r="D31" s="190">
        <f>C31/C28-1</f>
        <v>-0.40513443176258002</v>
      </c>
      <c r="E31" s="190">
        <f>C31/C19-1</f>
        <v>9.0603108349593953E-2</v>
      </c>
      <c r="F31" s="136">
        <f>Q31/20</f>
        <v>162042.45000000001</v>
      </c>
      <c r="G31" s="190">
        <f t="shared" ref="G31" si="5">F31/F30-1</f>
        <v>-0.51426277368807993</v>
      </c>
      <c r="H31" s="190">
        <f t="shared" ref="H31" si="6">F31/F19-1</f>
        <v>8.7995237758071942E-2</v>
      </c>
      <c r="I31" s="130">
        <f t="shared" si="0"/>
        <v>152.27263757329723</v>
      </c>
      <c r="J31" s="130">
        <f t="shared" si="4"/>
        <v>-3.8925735928758254E-2</v>
      </c>
      <c r="K31" s="136">
        <f>R29+R30+R31</f>
        <v>19900754002</v>
      </c>
      <c r="L31" s="190">
        <f>U31/U28-1</f>
        <v>-0.40188405554332463</v>
      </c>
      <c r="M31" s="190">
        <f>U31/U19-1</f>
        <v>7.8664642822797504E-2</v>
      </c>
      <c r="N31" s="191">
        <f>AVERAGE(T29:T31)</f>
        <v>161.9166301409816</v>
      </c>
      <c r="O31" s="192">
        <f>N31/N28-1</f>
        <v>-4.1941921195447485E-3</v>
      </c>
      <c r="P31" s="129" t="s">
        <v>506</v>
      </c>
      <c r="Q31" s="116">
        <v>3240849</v>
      </c>
      <c r="R31" s="116">
        <v>4312918533</v>
      </c>
      <c r="S31" s="116">
        <v>21283.200000000001</v>
      </c>
      <c r="T31" s="130">
        <f t="shared" ref="T31" si="7">Q31/S31</f>
        <v>152.27263757329723</v>
      </c>
      <c r="U31" s="85">
        <f>Q29+Q30+Q31</f>
        <v>14996585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321895.95238095237</v>
      </c>
      <c r="G32" s="190">
        <f t="shared" ref="G32" si="8">F32/F31-1</f>
        <v>0.98649151738295959</v>
      </c>
      <c r="H32" s="190">
        <f t="shared" ref="H32" si="9">F32/F20-1</f>
        <v>7.1962426498393128E-2</v>
      </c>
      <c r="I32" s="130">
        <f t="shared" si="0"/>
        <v>169.18867305896987</v>
      </c>
      <c r="J32" s="130">
        <f t="shared" si="4"/>
        <v>4.7863816755376209E-2</v>
      </c>
      <c r="K32" s="136"/>
      <c r="L32" s="190"/>
      <c r="M32" s="190"/>
      <c r="N32" s="191"/>
      <c r="O32" s="192"/>
      <c r="P32" s="129" t="s">
        <v>562</v>
      </c>
      <c r="Q32" s="116">
        <v>6759815</v>
      </c>
      <c r="R32" s="116">
        <v>9186512693</v>
      </c>
      <c r="S32" s="116">
        <v>39954.300000000003</v>
      </c>
      <c r="T32" s="130">
        <f t="shared" ref="T32" si="10">Q32/S32</f>
        <v>169.18867305896987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243340.95238095237</v>
      </c>
      <c r="G33" s="190">
        <f t="shared" ref="G33" si="11">F33/F32-1</f>
        <v>-0.24403848330168798</v>
      </c>
      <c r="H33" s="190">
        <f t="shared" ref="H33" si="12">F33/F21-1</f>
        <v>-0.18897973830100234</v>
      </c>
      <c r="I33" s="130">
        <f t="shared" si="0"/>
        <v>190.98168613983532</v>
      </c>
      <c r="J33" s="130">
        <f t="shared" si="4"/>
        <v>0.20259997209266078</v>
      </c>
      <c r="K33" s="136"/>
      <c r="L33" s="190"/>
      <c r="M33" s="190"/>
      <c r="N33" s="191"/>
      <c r="O33" s="192"/>
      <c r="P33" s="129" t="s">
        <v>607</v>
      </c>
      <c r="Q33" s="116">
        <v>5110160</v>
      </c>
      <c r="R33" s="116">
        <v>7000094011</v>
      </c>
      <c r="S33" s="116">
        <v>26757.33</v>
      </c>
      <c r="T33" s="130">
        <f t="shared" ref="T33" si="13">Q33/S33</f>
        <v>190.98168613983532</v>
      </c>
      <c r="U33" s="85"/>
    </row>
    <row r="34" spans="1:21" s="92" customFormat="1" ht="13.2">
      <c r="A34" s="129" t="s">
        <v>652</v>
      </c>
      <c r="B34" s="188">
        <f>SUM(F32:F34)</f>
        <v>724564.58897243103</v>
      </c>
      <c r="C34" s="188">
        <f>AVERAGE(F32:F34)</f>
        <v>241521.52965747702</v>
      </c>
      <c r="D34" s="190">
        <f>C34/C31-1</f>
        <v>-2.3346673376208438E-2</v>
      </c>
      <c r="E34" s="190">
        <f>C34/C22-1</f>
        <v>-0.10579247384088886</v>
      </c>
      <c r="F34" s="136">
        <f>Q34/19</f>
        <v>159327.68421052632</v>
      </c>
      <c r="G34" s="190">
        <f t="shared" ref="G34" si="14">F34/F33-1</f>
        <v>-0.34524919602888116</v>
      </c>
      <c r="H34" s="190">
        <f t="shared" ref="H34" si="15">F34/F22-1</f>
        <v>-0.2411422170725348</v>
      </c>
      <c r="I34" s="130">
        <f t="shared" si="0"/>
        <v>193.89509822131981</v>
      </c>
      <c r="J34" s="130">
        <f t="shared" si="4"/>
        <v>0.37391002468305756</v>
      </c>
      <c r="K34" s="136">
        <f>R32+R33+R34</f>
        <v>20349922953</v>
      </c>
      <c r="L34" s="190">
        <f>U34/U31-1</f>
        <v>-6.6271087717637567E-3</v>
      </c>
      <c r="M34" s="190">
        <f>U34/U22-1</f>
        <v>-0.10879185285099902</v>
      </c>
      <c r="N34" s="191">
        <f>AVERAGE(T32:T34)</f>
        <v>184.68848580670831</v>
      </c>
      <c r="O34" s="192">
        <f>N34/N31-1</f>
        <v>0.14063938735569748</v>
      </c>
      <c r="P34" s="129" t="s">
        <v>652</v>
      </c>
      <c r="Q34" s="116">
        <v>3027226</v>
      </c>
      <c r="R34" s="116">
        <v>4163316249</v>
      </c>
      <c r="S34" s="116">
        <v>15612.7</v>
      </c>
      <c r="T34" s="130">
        <f t="shared" ref="T34" si="16">Q34/S34</f>
        <v>193.89509822131981</v>
      </c>
      <c r="U34" s="85">
        <f>Q32+Q33+Q34</f>
        <v>14897201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244342.91304347827</v>
      </c>
      <c r="G35" s="190">
        <f t="shared" ref="G35" si="17">F35/F34-1</f>
        <v>0.53358729999877341</v>
      </c>
      <c r="H35" s="190">
        <f t="shared" ref="H35" si="18">F35/F23-1</f>
        <v>1.3936721034883082E-2</v>
      </c>
      <c r="I35" s="130">
        <f t="shared" si="0"/>
        <v>148.84988637386968</v>
      </c>
      <c r="J35" s="130">
        <f t="shared" si="4"/>
        <v>2.5071868919205764E-2</v>
      </c>
      <c r="K35" s="136"/>
      <c r="L35" s="190"/>
      <c r="M35" s="190"/>
      <c r="N35" s="191"/>
      <c r="O35" s="192"/>
      <c r="P35" s="129" t="s">
        <v>660</v>
      </c>
      <c r="Q35" s="116">
        <v>5619887</v>
      </c>
      <c r="R35" s="116">
        <v>7783475029</v>
      </c>
      <c r="S35" s="116">
        <v>37755.4</v>
      </c>
      <c r="T35" s="130">
        <f t="shared" ref="T35" si="19">Q35/S35</f>
        <v>148.84988637386968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218988.38095238095</v>
      </c>
      <c r="G36" s="190">
        <f t="shared" ref="G36" si="20">F36/F35-1</f>
        <v>-0.10376618570715723</v>
      </c>
      <c r="H36" s="190">
        <f t="shared" ref="H36" si="21">F36/F24-1</f>
        <v>-0.22973976501941173</v>
      </c>
      <c r="I36" s="130">
        <f t="shared" si="0"/>
        <v>154.57577303751629</v>
      </c>
      <c r="J36" s="130">
        <f t="shared" si="4"/>
        <v>5.4490149059380988E-2</v>
      </c>
      <c r="K36" s="136"/>
      <c r="L36" s="190"/>
      <c r="M36" s="190"/>
      <c r="N36" s="191"/>
      <c r="O36" s="192"/>
      <c r="P36" s="129" t="s">
        <v>664</v>
      </c>
      <c r="Q36" s="116">
        <v>4598756</v>
      </c>
      <c r="R36" s="116">
        <v>6277485251</v>
      </c>
      <c r="S36" s="116">
        <v>29750.82</v>
      </c>
      <c r="T36" s="130">
        <f t="shared" ref="T36" si="22">Q36/S36</f>
        <v>154.57577303751629</v>
      </c>
      <c r="U36" s="85"/>
    </row>
    <row r="37" spans="1:21" s="92" customFormat="1" ht="13.2">
      <c r="A37" s="129" t="s">
        <v>702</v>
      </c>
      <c r="B37" s="188">
        <f>SUM(F35:F37)</f>
        <v>923125.62732919259</v>
      </c>
      <c r="C37" s="188">
        <f>AVERAGE(F35:F37)</f>
        <v>307708.54244306422</v>
      </c>
      <c r="D37" s="190">
        <f>C37/C34-1</f>
        <v>0.27404187477386732</v>
      </c>
      <c r="E37" s="190">
        <f>C37/C25-1</f>
        <v>-5.6489328567370656E-2</v>
      </c>
      <c r="F37" s="136">
        <f>Q37/18</f>
        <v>459794.33333333331</v>
      </c>
      <c r="G37" s="190">
        <f t="shared" ref="G37" si="23">F37/F36-1</f>
        <v>1.0996288996415551</v>
      </c>
      <c r="H37" s="190">
        <f t="shared" ref="H37" si="24">F37/F25-1</f>
        <v>1.4761785949476858E-2</v>
      </c>
      <c r="I37" s="130">
        <f t="shared" si="0"/>
        <v>147.53311621290635</v>
      </c>
      <c r="J37" s="130">
        <f t="shared" si="4"/>
        <v>2.8104532169738849E-2</v>
      </c>
      <c r="K37" s="136">
        <f>R35+R36+R37</f>
        <v>25101741866</v>
      </c>
      <c r="L37" s="190">
        <f>U37/U34-1</f>
        <v>0.2415044275766971</v>
      </c>
      <c r="M37" s="190">
        <f>U37/U25-1</f>
        <v>-7.1743071314099294E-2</v>
      </c>
      <c r="N37" s="191">
        <f>AVERAGE(T35:T37)</f>
        <v>150.31959187476409</v>
      </c>
      <c r="O37" s="192">
        <f>N37/N34-1</f>
        <v>-0.1860911565863077</v>
      </c>
      <c r="P37" s="129" t="s">
        <v>702</v>
      </c>
      <c r="Q37" s="116">
        <v>8276298</v>
      </c>
      <c r="R37" s="116">
        <v>11040781586</v>
      </c>
      <c r="S37" s="116">
        <v>56097.9</v>
      </c>
      <c r="T37" s="130">
        <f t="shared" ref="T37" si="25">Q37/S37</f>
        <v>147.53311621290635</v>
      </c>
      <c r="U37" s="85">
        <f>Q35+Q36+Q37</f>
        <v>18494941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482074.85</v>
      </c>
      <c r="G38" s="190">
        <f t="shared" ref="G38" si="26">F38/F37-1</f>
        <v>4.8457571247434439E-2</v>
      </c>
      <c r="H38" s="190">
        <f t="shared" ref="H38" si="27">F38/F26-1</f>
        <v>-0.17763288329236948</v>
      </c>
      <c r="I38" s="130">
        <f t="shared" si="0"/>
        <v>174.50951254970215</v>
      </c>
      <c r="J38" s="130">
        <f t="shared" si="4"/>
        <v>0.14249548417947389</v>
      </c>
      <c r="K38" s="136"/>
      <c r="L38" s="190"/>
      <c r="M38" s="190"/>
      <c r="N38" s="191"/>
      <c r="O38" s="192"/>
      <c r="P38" s="129" t="s">
        <v>728</v>
      </c>
      <c r="Q38" s="116">
        <v>9641497</v>
      </c>
      <c r="R38" s="116">
        <v>12871351122</v>
      </c>
      <c r="S38" s="116">
        <v>55249.120000000003</v>
      </c>
      <c r="T38" s="130">
        <f t="shared" ref="T38" si="28">Q38/S38</f>
        <v>174.50951254970215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332254.95238095237</v>
      </c>
      <c r="G39" s="190">
        <f t="shared" ref="G39" si="29">F39/F38-1</f>
        <v>-0.31078140172433311</v>
      </c>
      <c r="H39" s="190">
        <f t="shared" ref="H39" si="30">F39/F27-1</f>
        <v>-0.27625728040154796</v>
      </c>
      <c r="I39" s="130">
        <f t="shared" si="0"/>
        <v>183.26444739786618</v>
      </c>
      <c r="J39" s="130">
        <f t="shared" si="4"/>
        <v>0.20932498694747115</v>
      </c>
      <c r="K39" s="136"/>
      <c r="L39" s="190"/>
      <c r="M39" s="190"/>
      <c r="N39" s="191"/>
      <c r="O39" s="192"/>
      <c r="P39" s="129" t="s">
        <v>762</v>
      </c>
      <c r="Q39" s="116">
        <v>6977354</v>
      </c>
      <c r="R39" s="116">
        <v>9698508015</v>
      </c>
      <c r="S39" s="116">
        <v>38072.6</v>
      </c>
      <c r="T39" s="130">
        <f t="shared" ref="T39" si="31">Q39/S39</f>
        <v>183.26444739786618</v>
      </c>
      <c r="U39" s="85"/>
    </row>
    <row r="40" spans="1:21" s="92" customFormat="1" ht="13.2">
      <c r="A40" s="129" t="s">
        <v>778</v>
      </c>
      <c r="B40" s="188">
        <f>SUM(F38:F40)</f>
        <v>1041505.3261904761</v>
      </c>
      <c r="C40" s="188">
        <f>AVERAGE(F38:F40)</f>
        <v>347168.44206349202</v>
      </c>
      <c r="D40" s="190">
        <f>C40/C37-1</f>
        <v>0.12823790755737341</v>
      </c>
      <c r="E40" s="190">
        <f>C40/C28-1</f>
        <v>-0.16489005491375297</v>
      </c>
      <c r="F40" s="136">
        <f>Q40/21</f>
        <v>227175.52380952382</v>
      </c>
      <c r="G40" s="190">
        <f t="shared" ref="G40" si="32">F40/F39-1</f>
        <v>-0.31626143664202788</v>
      </c>
      <c r="H40" s="190">
        <f t="shared" ref="H40" si="33">F40/F28-1</f>
        <v>0.12538459233941435</v>
      </c>
      <c r="I40" s="130">
        <f t="shared" si="0"/>
        <v>143.41565771575014</v>
      </c>
      <c r="J40" s="130">
        <f t="shared" si="4"/>
        <v>-0.2184810983690777</v>
      </c>
      <c r="K40" s="136">
        <f>R38+R39+R40</f>
        <v>29338531120</v>
      </c>
      <c r="L40" s="190">
        <f>U40/U37-1</f>
        <v>0.15650744709053144</v>
      </c>
      <c r="M40" s="190">
        <f>U40/U28-1</f>
        <v>-0.14691090509966087</v>
      </c>
      <c r="N40" s="191">
        <f>AVERAGE(T38:T40)</f>
        <v>167.06320588777282</v>
      </c>
      <c r="O40" s="192">
        <f>N40/N37-1</f>
        <v>0.11138677137281183</v>
      </c>
      <c r="P40" s="129" t="s">
        <v>778</v>
      </c>
      <c r="Q40" s="116">
        <v>4770686</v>
      </c>
      <c r="R40" s="116">
        <v>6768671983</v>
      </c>
      <c r="S40" s="116">
        <v>33264.75</v>
      </c>
      <c r="T40" s="130">
        <f t="shared" ref="T40" si="34">Q40/S40</f>
        <v>143.41565771575014</v>
      </c>
      <c r="U40" s="85">
        <f>Q38+Q39+Q40</f>
        <v>21389537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303001</v>
      </c>
      <c r="G41" s="190">
        <f t="shared" ref="G41" si="35">F41/F40-1</f>
        <v>0.33377484915167321</v>
      </c>
      <c r="H41" s="190">
        <f t="shared" ref="H41" si="36">F41/F29-1</f>
        <v>0.23050270650632165</v>
      </c>
      <c r="I41" s="130">
        <f t="shared" si="0"/>
        <v>141.23360178159876</v>
      </c>
      <c r="J41" s="130">
        <f t="shared" si="4"/>
        <v>-0.12777708662424059</v>
      </c>
      <c r="K41" s="194"/>
      <c r="L41" s="202"/>
      <c r="M41" s="202"/>
      <c r="N41" s="194"/>
      <c r="O41" s="194"/>
      <c r="P41" s="129" t="s">
        <v>792</v>
      </c>
      <c r="Q41" s="116">
        <v>5454018</v>
      </c>
      <c r="R41" s="116">
        <v>7969929336</v>
      </c>
      <c r="S41" s="116">
        <v>38617</v>
      </c>
      <c r="T41" s="130">
        <f t="shared" ref="T41" si="37">Q41/S41</f>
        <v>141.23360178159876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237365</v>
      </c>
      <c r="G42" s="190">
        <f t="shared" ref="G42" si="38">F42/F41-1</f>
        <v>-0.21661974712954746</v>
      </c>
      <c r="H42" s="190">
        <f t="shared" ref="H42" si="39">F42/F30-1</f>
        <v>-0.2884764657438289</v>
      </c>
      <c r="I42" s="130">
        <f t="shared" si="0"/>
        <v>138.49230011634134</v>
      </c>
      <c r="J42" s="130">
        <f t="shared" si="4"/>
        <v>-0.19271658774024347</v>
      </c>
      <c r="K42" s="194"/>
      <c r="L42" s="202"/>
      <c r="M42" s="202"/>
      <c r="N42" s="194"/>
      <c r="O42" s="194"/>
      <c r="P42" s="129" t="s">
        <v>826</v>
      </c>
      <c r="Q42" s="116">
        <v>4747300</v>
      </c>
      <c r="R42" s="116">
        <v>6872181173</v>
      </c>
      <c r="S42" s="116">
        <v>34278.44</v>
      </c>
      <c r="T42" s="130">
        <f t="shared" ref="T42" si="40">Q42/S42</f>
        <v>138.49230011634134</v>
      </c>
      <c r="U42" s="175"/>
    </row>
    <row r="43" spans="1:21" s="92" customFormat="1" ht="13.2">
      <c r="A43" s="129" t="s">
        <v>835</v>
      </c>
      <c r="B43" s="188">
        <f>SUM(F41:F43)</f>
        <v>1112898.6000000001</v>
      </c>
      <c r="C43" s="188">
        <f>AVERAGE(F41:F43)</f>
        <v>370966.2</v>
      </c>
      <c r="D43" s="190">
        <f>C43/C40-1</f>
        <v>6.8548160066218555E-2</v>
      </c>
      <c r="E43" s="190">
        <f>C43/C31-1</f>
        <v>0.50009555590677168</v>
      </c>
      <c r="F43" s="136">
        <f>Q43/20</f>
        <v>572532.6</v>
      </c>
      <c r="G43" s="190">
        <f t="shared" ref="G43" si="41">F43/F42-1</f>
        <v>1.4120346302108566</v>
      </c>
      <c r="H43" s="190">
        <f t="shared" ref="H43" si="42">F43/F31-1</f>
        <v>2.5332260157754956</v>
      </c>
      <c r="I43" s="130">
        <f t="shared" si="0"/>
        <v>133.18076765210557</v>
      </c>
      <c r="J43" s="130">
        <f t="shared" si="4"/>
        <v>-0.12537951811599568</v>
      </c>
      <c r="K43" s="136">
        <f>R41+R42+R43</f>
        <v>31479244707</v>
      </c>
      <c r="L43" s="190">
        <f>U43/U40-1</f>
        <v>1.2269223031802889E-2</v>
      </c>
      <c r="M43" s="190">
        <f>U43/U31-1</f>
        <v>0.44379337029063626</v>
      </c>
      <c r="N43" s="191">
        <f>AVERAGE(T41:T43)</f>
        <v>137.63555651668187</v>
      </c>
      <c r="O43" s="192">
        <f>N43/N40-1</f>
        <v>-0.17614680153366269</v>
      </c>
      <c r="P43" s="129" t="s">
        <v>835</v>
      </c>
      <c r="Q43" s="116">
        <v>11450652</v>
      </c>
      <c r="R43" s="116">
        <v>16637134198</v>
      </c>
      <c r="S43" s="116">
        <v>85978.27</v>
      </c>
      <c r="T43" s="130">
        <f t="shared" ref="T43" si="43">Q43/S43</f>
        <v>133.18076765210557</v>
      </c>
      <c r="U43" s="85">
        <f>Q41+Q42+Q43</f>
        <v>21651970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119434.59090909091</v>
      </c>
      <c r="G44" s="190">
        <f t="shared" ref="G44" si="44">F44/F43-1</f>
        <v>-0.79139250601783917</v>
      </c>
      <c r="H44" s="190">
        <f t="shared" ref="H44" si="45">F44/F32-1</f>
        <v>-0.6289652292124992</v>
      </c>
      <c r="I44" s="130">
        <f t="shared" si="0"/>
        <v>96.655165183612951</v>
      </c>
      <c r="J44" s="130">
        <f t="shared" si="4"/>
        <v>-0.42871373457770268</v>
      </c>
      <c r="K44" s="136"/>
      <c r="L44" s="190"/>
      <c r="M44" s="190"/>
      <c r="N44" s="191"/>
      <c r="O44" s="192"/>
      <c r="P44" s="129" t="s">
        <v>843</v>
      </c>
      <c r="Q44" s="116">
        <v>2627561</v>
      </c>
      <c r="R44" s="116">
        <v>3809078494</v>
      </c>
      <c r="S44" s="116">
        <v>27184.9</v>
      </c>
      <c r="T44" s="130">
        <f t="shared" ref="T44" si="46">Q44/S44</f>
        <v>96.655165183612951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283207.05</v>
      </c>
      <c r="G45" s="190">
        <f t="shared" ref="G45" si="47">F45/F44-1</f>
        <v>1.3712313814978985</v>
      </c>
      <c r="H45" s="190">
        <f t="shared" ref="H45" si="48">F45/F33-1</f>
        <v>0.16382814823801994</v>
      </c>
      <c r="I45" s="130">
        <f t="shared" si="0"/>
        <v>130.59670417539365</v>
      </c>
      <c r="J45" s="130">
        <f t="shared" si="4"/>
        <v>-0.31618205486063333</v>
      </c>
      <c r="K45" s="136"/>
      <c r="L45" s="190"/>
      <c r="M45" s="190"/>
      <c r="N45" s="191"/>
      <c r="O45" s="192"/>
      <c r="P45" s="129" t="s">
        <v>849</v>
      </c>
      <c r="Q45" s="116">
        <v>5664141</v>
      </c>
      <c r="R45" s="116">
        <v>7953842572</v>
      </c>
      <c r="S45" s="116">
        <v>43371.24</v>
      </c>
      <c r="T45" s="130">
        <f t="shared" ref="T45" si="49">Q45/S45</f>
        <v>130.59670417539365</v>
      </c>
      <c r="U45" s="85"/>
    </row>
    <row r="46" spans="1:21" s="92" customFormat="1" ht="13.2">
      <c r="A46" s="129" t="s">
        <v>893</v>
      </c>
      <c r="B46" s="188">
        <f>SUM(F44:F46)</f>
        <v>892395.06196172244</v>
      </c>
      <c r="C46" s="188">
        <f>AVERAGE(F44:F46)</f>
        <v>297465.0206539075</v>
      </c>
      <c r="D46" s="190">
        <f>C46/C43-1</f>
        <v>-0.19813443743956327</v>
      </c>
      <c r="E46" s="190">
        <f>C46/C34-1</f>
        <v>0.23162941654008606</v>
      </c>
      <c r="F46" s="136">
        <f>Q46/19</f>
        <v>489753.42105263157</v>
      </c>
      <c r="G46" s="190">
        <f t="shared" ref="G46" si="50">F46/F45-1</f>
        <v>0.72931225071067818</v>
      </c>
      <c r="H46" s="190">
        <f t="shared" ref="H46" si="51">F46/F34-1</f>
        <v>2.0738752243803402</v>
      </c>
      <c r="I46" s="130">
        <f t="shared" si="0"/>
        <v>165.70665128077735</v>
      </c>
      <c r="J46" s="130">
        <f t="shared" si="4"/>
        <v>-0.14537988427312909</v>
      </c>
      <c r="K46" s="136">
        <f>R44+R45+R46</f>
        <v>24498878125</v>
      </c>
      <c r="L46" s="190">
        <f>U46/U43-1</f>
        <v>-0.1872787095123446</v>
      </c>
      <c r="M46" s="190">
        <f>U46/U34-1</f>
        <v>0.18122974913206846</v>
      </c>
      <c r="N46" s="191">
        <f>AVERAGE(T44:T46)</f>
        <v>130.98617354659464</v>
      </c>
      <c r="O46" s="192">
        <f>N46/N43-1</f>
        <v>-4.8311520208670133E-2</v>
      </c>
      <c r="P46" s="129" t="s">
        <v>928</v>
      </c>
      <c r="Q46" s="116">
        <v>9305315</v>
      </c>
      <c r="R46" s="116">
        <v>12735957059</v>
      </c>
      <c r="S46" s="116">
        <v>56155.35</v>
      </c>
      <c r="T46" s="130">
        <f t="shared" ref="T46" si="52">Q46/S46</f>
        <v>165.70665128077735</v>
      </c>
      <c r="U46" s="85">
        <f>Q44+Q45+Q46</f>
        <v>17597017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374206.86956521741</v>
      </c>
      <c r="G47" s="190">
        <f t="shared" ref="G47" si="53">F47/F46-1</f>
        <v>-0.23592801299696675</v>
      </c>
      <c r="H47" s="190">
        <f t="shared" ref="H47" si="54">F47/F35-1</f>
        <v>0.53148239457483748</v>
      </c>
      <c r="I47" s="130">
        <f t="shared" si="0"/>
        <v>121.45333792988417</v>
      </c>
      <c r="J47" s="130">
        <f t="shared" si="4"/>
        <v>-0.18405488315370944</v>
      </c>
      <c r="K47" s="136"/>
      <c r="L47" s="190"/>
      <c r="M47" s="190"/>
      <c r="N47" s="191"/>
      <c r="O47" s="192"/>
      <c r="P47" s="129" t="s">
        <v>991</v>
      </c>
      <c r="Q47" s="116">
        <v>8606758</v>
      </c>
      <c r="R47" s="116">
        <v>11812819311</v>
      </c>
      <c r="S47" s="116">
        <v>70864.73</v>
      </c>
      <c r="T47" s="130">
        <f t="shared" ref="T47" si="55">Q47/S47</f>
        <v>121.45333792988417</v>
      </c>
      <c r="U47" s="85">
        <f>Q45+Q46+Q47</f>
        <v>23576214</v>
      </c>
    </row>
    <row r="48" spans="1:21" s="92" customFormat="1" ht="13.2">
      <c r="A48" s="129" t="s">
        <v>1093</v>
      </c>
      <c r="B48" s="188"/>
      <c r="C48" s="188"/>
      <c r="D48" s="190"/>
      <c r="E48" s="190"/>
      <c r="F48" s="136">
        <f>Q48/20</f>
        <v>30041.8</v>
      </c>
      <c r="G48" s="190">
        <f t="shared" ref="G48" si="56">F48/F47-1</f>
        <v>-0.9197187372992246</v>
      </c>
      <c r="H48" s="190">
        <f t="shared" ref="H48" si="57">F48/F36-1</f>
        <v>-0.86281555272773769</v>
      </c>
      <c r="I48" s="130">
        <f t="shared" si="0"/>
        <v>139.40866240205665</v>
      </c>
      <c r="J48" s="130">
        <f t="shared" si="4"/>
        <v>-9.8120878436613101E-2</v>
      </c>
      <c r="K48" s="136"/>
      <c r="L48" s="190"/>
      <c r="M48" s="190"/>
      <c r="N48" s="191"/>
      <c r="O48" s="192"/>
      <c r="P48" s="129" t="s">
        <v>1070</v>
      </c>
      <c r="Q48" s="116">
        <v>600836</v>
      </c>
      <c r="R48" s="116">
        <v>833970926</v>
      </c>
      <c r="S48" s="116">
        <v>4309.8900000000003</v>
      </c>
      <c r="T48" s="130">
        <f t="shared" ref="T48" si="58">Q48/S48</f>
        <v>139.40866240205665</v>
      </c>
      <c r="U48" s="85">
        <f>Q46+Q47+Q48</f>
        <v>18512909</v>
      </c>
    </row>
    <row r="49" spans="1:21" s="92" customFormat="1" ht="13.2">
      <c r="A49" s="129" t="s">
        <v>1158</v>
      </c>
      <c r="B49" s="188">
        <f>SUM(F47:F49)</f>
        <v>589565.26047430828</v>
      </c>
      <c r="C49" s="188">
        <f>AVERAGE(F47:F49)</f>
        <v>196521.7534914361</v>
      </c>
      <c r="D49" s="190">
        <f>C49/C46-1</f>
        <v>-0.33934499908786309</v>
      </c>
      <c r="E49" s="190">
        <f>C49/C37-1</f>
        <v>-0.36133799883765394</v>
      </c>
      <c r="F49" s="136">
        <f>Q49/22</f>
        <v>185316.59090909091</v>
      </c>
      <c r="G49" s="190">
        <f t="shared" ref="G49" si="59">F49/F48-1</f>
        <v>5.1686247464895887</v>
      </c>
      <c r="H49" s="190">
        <f t="shared" ref="H49" si="60">F49/F37-1</f>
        <v>-0.59695764502877535</v>
      </c>
      <c r="I49" s="130">
        <f t="shared" si="0"/>
        <v>139.32478331341579</v>
      </c>
      <c r="J49" s="130">
        <f t="shared" si="4"/>
        <v>-5.5637223087222298E-2</v>
      </c>
      <c r="K49" s="136">
        <f>R47+R48+R49</f>
        <v>18320189265</v>
      </c>
      <c r="L49" s="190">
        <f>U49/U46-1</f>
        <v>-0.24506755889364662</v>
      </c>
      <c r="M49" s="190">
        <f>U49/U37-1</f>
        <v>-0.28171930908025067</v>
      </c>
      <c r="N49" s="191">
        <f>AVERAGE(T47:T49)</f>
        <v>133.39559454845221</v>
      </c>
      <c r="O49" s="192">
        <f>N49/N46-1</f>
        <v>1.8394468184082635E-2</v>
      </c>
      <c r="P49" s="129" t="s">
        <v>1158</v>
      </c>
      <c r="Q49" s="116">
        <v>4076965</v>
      </c>
      <c r="R49" s="116">
        <v>5673399028</v>
      </c>
      <c r="S49" s="116">
        <v>29262.31</v>
      </c>
      <c r="T49" s="130">
        <f t="shared" ref="T49" si="61">Q49/S49</f>
        <v>139.32478331341579</v>
      </c>
      <c r="U49" s="85">
        <f>Q47+Q48+Q49</f>
        <v>13284559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58890.444444444445</v>
      </c>
      <c r="G50" s="233">
        <f t="shared" ref="G50" si="62">F50/F49-1</f>
        <v>-0.68221709585984236</v>
      </c>
      <c r="H50" s="233">
        <f t="shared" ref="H50" si="63">F50/F38-1</f>
        <v>-0.87783962501996438</v>
      </c>
      <c r="I50" s="220">
        <f t="shared" ref="I50" si="64">T50</f>
        <v>96.282153756721399</v>
      </c>
      <c r="J50" s="220">
        <f t="shared" ref="J50" si="65">I50/I38-1</f>
        <v>-0.44826988311425586</v>
      </c>
      <c r="K50" s="232"/>
      <c r="L50" s="233"/>
      <c r="M50" s="233"/>
      <c r="N50" s="237"/>
      <c r="O50" s="234"/>
      <c r="P50" s="235" t="s">
        <v>1291</v>
      </c>
      <c r="Q50" s="238">
        <v>530014</v>
      </c>
      <c r="R50" s="238">
        <v>739549683</v>
      </c>
      <c r="S50" s="238">
        <v>5504.8</v>
      </c>
      <c r="T50" s="220">
        <f t="shared" ref="T50" si="66">Q50/S50</f>
        <v>96.282153756721399</v>
      </c>
      <c r="U50" s="240">
        <f>Q48+Q49+Q50</f>
        <v>5207815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53063560</v>
      </c>
      <c r="R58" s="212">
        <v>75037861780</v>
      </c>
      <c r="S58" s="213">
        <v>395526.94</v>
      </c>
    </row>
    <row r="59" spans="1:21" ht="18" thickBot="1">
      <c r="P59" s="180" t="s">
        <v>976</v>
      </c>
      <c r="Q59" s="181">
        <v>5454018</v>
      </c>
      <c r="R59" s="181">
        <v>7969929336</v>
      </c>
      <c r="S59" s="182">
        <v>38617</v>
      </c>
    </row>
    <row r="60" spans="1:21" ht="18" thickBot="1">
      <c r="P60" s="180" t="s">
        <v>977</v>
      </c>
      <c r="Q60" s="181">
        <v>4747300</v>
      </c>
      <c r="R60" s="181">
        <v>6872181173</v>
      </c>
      <c r="S60" s="182">
        <v>34278.44</v>
      </c>
    </row>
    <row r="61" spans="1:21" ht="18" thickBot="1">
      <c r="P61" s="180" t="s">
        <v>978</v>
      </c>
      <c r="Q61" s="181">
        <v>11450652</v>
      </c>
      <c r="R61" s="181">
        <v>16637134198</v>
      </c>
      <c r="S61" s="182">
        <v>85978.27</v>
      </c>
    </row>
    <row r="62" spans="1:21" ht="18" thickBot="1">
      <c r="P62" s="180" t="s">
        <v>979</v>
      </c>
      <c r="Q62" s="181">
        <v>2627561</v>
      </c>
      <c r="R62" s="181">
        <v>3809078494</v>
      </c>
      <c r="S62" s="182">
        <v>27184.9</v>
      </c>
    </row>
    <row r="63" spans="1:21" ht="18" thickBot="1">
      <c r="P63" s="180" t="s">
        <v>980</v>
      </c>
      <c r="Q63" s="181">
        <v>5664141</v>
      </c>
      <c r="R63" s="181">
        <v>7953842572</v>
      </c>
      <c r="S63" s="182">
        <v>43371.24</v>
      </c>
    </row>
    <row r="64" spans="1:21" ht="18" thickBot="1">
      <c r="P64" s="180" t="s">
        <v>981</v>
      </c>
      <c r="Q64" s="181">
        <v>9305315</v>
      </c>
      <c r="R64" s="181">
        <v>12735957059</v>
      </c>
      <c r="S64" s="182">
        <v>56155.35</v>
      </c>
    </row>
    <row r="65" spans="16:19" ht="18" thickBot="1">
      <c r="P65" s="180" t="s">
        <v>1382</v>
      </c>
      <c r="Q65" s="181">
        <v>8606758</v>
      </c>
      <c r="R65" s="181">
        <v>11812819311</v>
      </c>
      <c r="S65" s="182">
        <v>70864.73</v>
      </c>
    </row>
    <row r="66" spans="16:19" ht="18" thickBot="1">
      <c r="P66" s="180" t="s">
        <v>1383</v>
      </c>
      <c r="Q66" s="181">
        <v>600836</v>
      </c>
      <c r="R66" s="181">
        <v>833970926</v>
      </c>
      <c r="S66" s="182">
        <v>4309.8900000000003</v>
      </c>
    </row>
    <row r="67" spans="16:19" ht="18" thickBot="1">
      <c r="P67" s="180" t="s">
        <v>1384</v>
      </c>
      <c r="Q67" s="181">
        <v>4076965</v>
      </c>
      <c r="R67" s="181">
        <v>5673399028</v>
      </c>
      <c r="S67" s="182">
        <v>29262.31</v>
      </c>
    </row>
    <row r="68" spans="16:19" ht="18" thickBot="1">
      <c r="P68" s="180" t="s">
        <v>1385</v>
      </c>
      <c r="Q68" s="181">
        <v>530014</v>
      </c>
      <c r="R68" s="181">
        <v>739549683</v>
      </c>
      <c r="S68" s="182">
        <v>5504.8</v>
      </c>
    </row>
    <row r="69" spans="16:19" ht="18" thickBot="1">
      <c r="P69" s="180" t="s">
        <v>982</v>
      </c>
      <c r="Q69" s="181">
        <v>69783994</v>
      </c>
      <c r="R69" s="181">
        <v>94698945697</v>
      </c>
      <c r="S69" s="182">
        <v>424201.29</v>
      </c>
    </row>
    <row r="70" spans="16:19" ht="18" thickBot="1">
      <c r="P70" s="215" t="s">
        <v>1386</v>
      </c>
      <c r="Q70" s="217" t="s">
        <v>1390</v>
      </c>
      <c r="R70"/>
      <c r="S70"/>
    </row>
  </sheetData>
  <phoneticPr fontId="1" type="noConversion"/>
  <conditionalFormatting sqref="C29:C30">
    <cfRule type="cellIs" dxfId="102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15"/>
  <dimension ref="A1:Z73"/>
  <sheetViews>
    <sheetView zoomScale="90" zoomScaleNormal="90" workbookViewId="0">
      <selection activeCell="B76" sqref="B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84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1083364.7</v>
      </c>
      <c r="G5" s="90"/>
      <c r="H5" s="90"/>
      <c r="I5" s="130">
        <f t="shared" ref="I5:I49" si="0">T5</f>
        <v>109.53453685723709</v>
      </c>
      <c r="J5" s="130"/>
      <c r="K5" s="79"/>
      <c r="L5" s="80"/>
      <c r="M5" s="80"/>
      <c r="N5" s="79"/>
      <c r="O5" s="79"/>
      <c r="P5" s="129" t="s">
        <v>0</v>
      </c>
      <c r="Q5" s="116">
        <v>21667294</v>
      </c>
      <c r="R5" s="116"/>
      <c r="S5" s="116">
        <v>197812.44</v>
      </c>
      <c r="T5" s="130">
        <f t="shared" ref="T5:T19" si="1">Q5/S5</f>
        <v>109.53453685723709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1051166.1666666667</v>
      </c>
      <c r="G6" s="90">
        <f t="shared" ref="G6:G16" si="2">F6/F5-1</f>
        <v>-2.9720862543641369E-2</v>
      </c>
      <c r="H6" s="90"/>
      <c r="I6" s="130">
        <f t="shared" si="0"/>
        <v>99.828954262056271</v>
      </c>
      <c r="J6" s="130"/>
      <c r="K6" s="79"/>
      <c r="L6" s="87"/>
      <c r="M6" s="87"/>
      <c r="N6" s="79"/>
      <c r="O6" s="79"/>
      <c r="P6" s="129" t="s">
        <v>1</v>
      </c>
      <c r="Q6" s="116">
        <v>18920991</v>
      </c>
      <c r="R6" s="116"/>
      <c r="S6" s="116">
        <v>189534.1</v>
      </c>
      <c r="T6" s="130">
        <f t="shared" si="1"/>
        <v>99.828954262056271</v>
      </c>
      <c r="U6" s="85"/>
    </row>
    <row r="7" spans="1:21" ht="15" hidden="1" customHeight="1">
      <c r="A7" s="129" t="s">
        <v>2</v>
      </c>
      <c r="B7" s="131">
        <f>F5+F6+F7</f>
        <v>3357964.9121212121</v>
      </c>
      <c r="C7" s="131">
        <f>AVERAGE(F5:F7)</f>
        <v>1119321.6373737373</v>
      </c>
      <c r="D7" s="117"/>
      <c r="F7" s="78">
        <f>Q7/22</f>
        <v>1223434.0454545454</v>
      </c>
      <c r="G7" s="90">
        <f t="shared" si="2"/>
        <v>0.16388263268989545</v>
      </c>
      <c r="H7" s="90"/>
      <c r="I7" s="130">
        <f t="shared" si="0"/>
        <v>99.516639626595605</v>
      </c>
      <c r="J7" s="130"/>
      <c r="K7" s="79">
        <f>R5+R6+R7</f>
        <v>0</v>
      </c>
      <c r="L7" s="87"/>
      <c r="M7" s="87"/>
      <c r="N7" s="88">
        <f>AVERAGE(T5:T7)</f>
        <v>102.96004358196301</v>
      </c>
      <c r="O7" s="79"/>
      <c r="P7" s="129" t="s">
        <v>2</v>
      </c>
      <c r="Q7" s="116">
        <v>26915549</v>
      </c>
      <c r="R7" s="116"/>
      <c r="S7" s="116">
        <v>270462.8</v>
      </c>
      <c r="T7" s="130">
        <f t="shared" si="1"/>
        <v>99.516639626595605</v>
      </c>
      <c r="U7" s="85">
        <f>Q5+Q6+Q7</f>
        <v>67503834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1220322.857142857</v>
      </c>
      <c r="G8" s="90">
        <f t="shared" si="2"/>
        <v>-2.5429963496990116E-3</v>
      </c>
      <c r="H8" s="90"/>
      <c r="I8" s="130">
        <f t="shared" si="0"/>
        <v>101.58388501938978</v>
      </c>
      <c r="J8" s="130"/>
      <c r="K8" s="78"/>
      <c r="L8" s="87"/>
      <c r="M8" s="87"/>
      <c r="N8" s="79"/>
      <c r="O8" s="79"/>
      <c r="P8" s="129" t="s">
        <v>3</v>
      </c>
      <c r="Q8" s="116">
        <v>25626780</v>
      </c>
      <c r="R8" s="116"/>
      <c r="S8" s="116">
        <v>252272.1</v>
      </c>
      <c r="T8" s="130">
        <f t="shared" si="1"/>
        <v>101.58388501938978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1095970.0952380951</v>
      </c>
      <c r="G9" s="90">
        <f t="shared" si="2"/>
        <v>-0.10190152645006512</v>
      </c>
      <c r="H9" s="90"/>
      <c r="I9" s="130">
        <f t="shared" si="0"/>
        <v>106.0022950288882</v>
      </c>
      <c r="J9" s="130"/>
      <c r="K9" s="78"/>
      <c r="L9" s="87"/>
      <c r="M9" s="87"/>
      <c r="N9" s="79"/>
      <c r="O9" s="79"/>
      <c r="P9" s="129" t="s">
        <v>4</v>
      </c>
      <c r="Q9" s="116">
        <v>23015372</v>
      </c>
      <c r="R9" s="116"/>
      <c r="S9" s="116">
        <v>217121.45</v>
      </c>
      <c r="T9" s="130">
        <f t="shared" si="1"/>
        <v>106.0022950288882</v>
      </c>
      <c r="U9" s="85"/>
    </row>
    <row r="10" spans="1:21" ht="15" hidden="1" customHeight="1">
      <c r="A10" s="129" t="s">
        <v>5</v>
      </c>
      <c r="B10" s="131">
        <f>F8+F9+F10</f>
        <v>3482942.6190476194</v>
      </c>
      <c r="C10" s="131">
        <f>AVERAGE(F8:F10)</f>
        <v>1160980.8730158731</v>
      </c>
      <c r="D10" s="90">
        <f>C10/C7-1</f>
        <v>3.7218288516141618E-2</v>
      </c>
      <c r="E10" s="286"/>
      <c r="F10" s="78">
        <f>Q10/21</f>
        <v>1166649.6666666667</v>
      </c>
      <c r="G10" s="90">
        <f t="shared" si="2"/>
        <v>6.4490419707315727E-2</v>
      </c>
      <c r="H10" s="90"/>
      <c r="I10" s="130">
        <f t="shared" si="0"/>
        <v>96.34438136351622</v>
      </c>
      <c r="J10" s="130"/>
      <c r="K10" s="79">
        <f>R8+R9+R10</f>
        <v>0</v>
      </c>
      <c r="L10" s="87">
        <f>U10/U7-1</f>
        <v>8.3520604177830915E-2</v>
      </c>
      <c r="M10" s="87"/>
      <c r="N10" s="88">
        <f>AVERAGE(T8:T10)</f>
        <v>101.31018713726473</v>
      </c>
      <c r="O10" s="89">
        <f>N10/N7-1</f>
        <v>-1.6024239960474307E-2</v>
      </c>
      <c r="P10" s="129" t="s">
        <v>5</v>
      </c>
      <c r="Q10" s="116">
        <v>24499643</v>
      </c>
      <c r="R10" s="116"/>
      <c r="S10" s="116">
        <v>254292.39</v>
      </c>
      <c r="T10" s="130">
        <f t="shared" si="1"/>
        <v>96.34438136351622</v>
      </c>
      <c r="U10" s="85">
        <f>Q8+Q9+Q10</f>
        <v>73141795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1151595.9047619049</v>
      </c>
      <c r="G11" s="90">
        <f t="shared" si="2"/>
        <v>-1.2903412510949619E-2</v>
      </c>
      <c r="H11" s="90"/>
      <c r="I11" s="130">
        <f t="shared" si="0"/>
        <v>107.24915814105056</v>
      </c>
      <c r="J11" s="130"/>
      <c r="K11" s="78"/>
      <c r="L11" s="87"/>
      <c r="M11" s="87"/>
      <c r="N11" s="79"/>
      <c r="O11" s="89"/>
      <c r="P11" s="129" t="s">
        <v>6</v>
      </c>
      <c r="Q11" s="116">
        <v>24183514</v>
      </c>
      <c r="R11" s="116"/>
      <c r="S11" s="116">
        <v>225489.08</v>
      </c>
      <c r="T11" s="130">
        <f t="shared" si="1"/>
        <v>107.24915814105056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889251.54545454541</v>
      </c>
      <c r="G12" s="90">
        <f t="shared" si="2"/>
        <v>-0.22780938888593893</v>
      </c>
      <c r="H12" s="90"/>
      <c r="I12" s="130">
        <f t="shared" si="0"/>
        <v>101.88878941422966</v>
      </c>
      <c r="J12" s="130"/>
      <c r="K12" s="78"/>
      <c r="L12" s="87"/>
      <c r="M12" s="87"/>
      <c r="N12" s="79"/>
      <c r="O12" s="89"/>
      <c r="P12" s="129" t="s">
        <v>7</v>
      </c>
      <c r="Q12" s="116">
        <v>19563534</v>
      </c>
      <c r="R12" s="116"/>
      <c r="S12" s="116">
        <v>192008.7</v>
      </c>
      <c r="T12" s="130">
        <f t="shared" si="1"/>
        <v>101.88878941422966</v>
      </c>
      <c r="U12" s="85"/>
    </row>
    <row r="13" spans="1:21" ht="15" hidden="1" customHeight="1">
      <c r="A13" s="129" t="s">
        <v>96</v>
      </c>
      <c r="B13" s="131">
        <f>F11+F12+F13</f>
        <v>3234397.6002164502</v>
      </c>
      <c r="C13" s="131">
        <f>AVERAGE(F11:F13)</f>
        <v>1078132.5334054835</v>
      </c>
      <c r="D13" s="90">
        <f>C13/C10-1</f>
        <v>-7.1360641278417458E-2</v>
      </c>
      <c r="E13" s="286"/>
      <c r="F13" s="78">
        <f>Q13/20</f>
        <v>1193550.1499999999</v>
      </c>
      <c r="G13" s="90">
        <f t="shared" si="2"/>
        <v>0.34219631790452576</v>
      </c>
      <c r="H13" s="90"/>
      <c r="I13" s="130">
        <f t="shared" si="0"/>
        <v>101.02530664357162</v>
      </c>
      <c r="J13" s="130"/>
      <c r="K13" s="78">
        <f>R11+R12+R13</f>
        <v>0</v>
      </c>
      <c r="L13" s="87">
        <f>U13/U10-1</f>
        <v>-7.5521034177517765E-2</v>
      </c>
      <c r="M13" s="87"/>
      <c r="N13" s="88">
        <f>AVERAGE(T11:T13)</f>
        <v>103.38775139961729</v>
      </c>
      <c r="O13" s="89">
        <f>N13/N10-1</f>
        <v>2.0506963031641234E-2</v>
      </c>
      <c r="P13" s="129" t="s">
        <v>96</v>
      </c>
      <c r="Q13" s="116">
        <v>23871003</v>
      </c>
      <c r="R13" s="116"/>
      <c r="S13" s="116">
        <v>236287.35999999999</v>
      </c>
      <c r="T13" s="130">
        <f t="shared" si="1"/>
        <v>101.02530664357162</v>
      </c>
      <c r="U13" s="85">
        <f>Q11+Q12+Q13</f>
        <v>67618051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1214922.25</v>
      </c>
      <c r="G14" s="90">
        <f t="shared" si="2"/>
        <v>1.7906327605924366E-2</v>
      </c>
      <c r="H14" s="90"/>
      <c r="I14" s="130">
        <f t="shared" si="0"/>
        <v>107.93815076877316</v>
      </c>
      <c r="J14" s="130"/>
      <c r="K14" s="79"/>
      <c r="L14" s="87"/>
      <c r="M14" s="87"/>
      <c r="N14" s="79"/>
      <c r="O14" s="89"/>
      <c r="P14" s="129" t="s">
        <v>97</v>
      </c>
      <c r="Q14" s="116">
        <v>24298445</v>
      </c>
      <c r="R14" s="116"/>
      <c r="S14" s="116">
        <v>225114.52</v>
      </c>
      <c r="T14" s="130">
        <f t="shared" si="1"/>
        <v>107.93815076877316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1067269.9090909092</v>
      </c>
      <c r="G15" s="90">
        <f t="shared" si="2"/>
        <v>-0.12153233748833792</v>
      </c>
      <c r="H15" s="90"/>
      <c r="I15" s="130">
        <f t="shared" si="0"/>
        <v>119.66702104779252</v>
      </c>
      <c r="J15" s="130"/>
      <c r="K15" s="79"/>
      <c r="L15" s="87"/>
      <c r="M15" s="87"/>
      <c r="N15" s="79"/>
      <c r="O15" s="89"/>
      <c r="P15" s="129" t="s">
        <v>98</v>
      </c>
      <c r="Q15" s="116">
        <v>23479938</v>
      </c>
      <c r="R15" s="116"/>
      <c r="S15" s="116">
        <v>196210.6</v>
      </c>
      <c r="T15" s="130">
        <f t="shared" si="1"/>
        <v>119.66702104779252</v>
      </c>
      <c r="U15" s="78"/>
    </row>
    <row r="16" spans="1:21" ht="15" hidden="1" customHeight="1">
      <c r="A16" s="129" t="s">
        <v>99</v>
      </c>
      <c r="B16" s="131">
        <f>F14+F15+F16</f>
        <v>3099767.4772727275</v>
      </c>
      <c r="C16" s="131">
        <f>AVERAGE(F14:F16)</f>
        <v>1033255.8257575758</v>
      </c>
      <c r="D16" s="90">
        <f>C16/C13-1</f>
        <v>-4.1624481459766494E-2</v>
      </c>
      <c r="E16" s="286"/>
      <c r="F16" s="78">
        <f>Q16/22</f>
        <v>817575.31818181823</v>
      </c>
      <c r="G16" s="90">
        <f t="shared" si="2"/>
        <v>-0.23395636734645553</v>
      </c>
      <c r="H16" s="90"/>
      <c r="I16" s="130">
        <f t="shared" si="0"/>
        <v>116.26362424679618</v>
      </c>
      <c r="J16" s="130"/>
      <c r="K16" s="78">
        <f>R14+R15+R16</f>
        <v>0</v>
      </c>
      <c r="L16" s="87">
        <f>U16/U13-1</f>
        <v>-2.7404087704332114E-2</v>
      </c>
      <c r="M16" s="87"/>
      <c r="N16" s="88">
        <f>AVERAGE(T14:T16)</f>
        <v>114.62293202112062</v>
      </c>
      <c r="O16" s="89">
        <f>N16/N13-1</f>
        <v>0.1086703257340107</v>
      </c>
      <c r="P16" s="129" t="s">
        <v>99</v>
      </c>
      <c r="Q16" s="116">
        <v>17986657</v>
      </c>
      <c r="R16" s="116"/>
      <c r="S16" s="116">
        <v>154705.79999999999</v>
      </c>
      <c r="T16" s="130">
        <f t="shared" si="1"/>
        <v>116.26362424679618</v>
      </c>
      <c r="U16" s="85">
        <f>Q14+Q15+Q16</f>
        <v>65765040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993711.45</v>
      </c>
      <c r="G17" s="90">
        <f t="shared" ref="G17:G22" si="3">F17/F16-1</f>
        <v>0.21543719324830612</v>
      </c>
      <c r="H17" s="90">
        <f t="shared" ref="H17:H22" si="4">F17/F5-1</f>
        <v>-8.2754450094229548E-2</v>
      </c>
      <c r="I17" s="130">
        <f t="shared" si="0"/>
        <v>107.46649970275911</v>
      </c>
      <c r="J17" s="130">
        <f t="shared" ref="J17:J49" si="5">I17/I5-1</f>
        <v>-1.8880229138809157E-2</v>
      </c>
      <c r="K17" s="79"/>
      <c r="L17" s="87"/>
      <c r="M17" s="87"/>
      <c r="N17" s="79"/>
      <c r="O17" s="89"/>
      <c r="P17" s="129" t="s">
        <v>100</v>
      </c>
      <c r="Q17" s="116">
        <v>19874229</v>
      </c>
      <c r="R17" s="116">
        <v>24974657175</v>
      </c>
      <c r="S17" s="116">
        <v>184934.18</v>
      </c>
      <c r="T17" s="130">
        <f t="shared" si="1"/>
        <v>107.46649970275911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1118015.95</v>
      </c>
      <c r="G18" s="90">
        <f t="shared" si="3"/>
        <v>0.12509114190039772</v>
      </c>
      <c r="H18" s="90">
        <f t="shared" si="4"/>
        <v>6.3595828569444235E-2</v>
      </c>
      <c r="I18" s="130">
        <f t="shared" si="0"/>
        <v>107.40758300167631</v>
      </c>
      <c r="J18" s="130">
        <f t="shared" si="5"/>
        <v>7.5916138715885317E-2</v>
      </c>
      <c r="K18" s="79"/>
      <c r="L18" s="87"/>
      <c r="M18" s="87"/>
      <c r="N18" s="79"/>
      <c r="O18" s="89"/>
      <c r="P18" s="129" t="s">
        <v>106</v>
      </c>
      <c r="Q18" s="116">
        <v>22360319</v>
      </c>
      <c r="R18" s="116">
        <v>27968303062</v>
      </c>
      <c r="S18" s="116">
        <v>208181.94</v>
      </c>
      <c r="T18" s="130">
        <f t="shared" si="1"/>
        <v>107.40758300167631</v>
      </c>
      <c r="U18" s="78"/>
    </row>
    <row r="19" spans="1:21" hidden="1">
      <c r="A19" s="129" t="s">
        <v>114</v>
      </c>
      <c r="B19" s="131">
        <f>SUM(F17:F19)</f>
        <v>3017149.0363636361</v>
      </c>
      <c r="C19" s="131">
        <f>AVERAGE(F17:F19)</f>
        <v>1005716.3454545453</v>
      </c>
      <c r="D19" s="90">
        <f>C19/C16-1</f>
        <v>-2.6653109149264886E-2</v>
      </c>
      <c r="E19" s="286">
        <f>C19/C7-1</f>
        <v>-0.10149476980159511</v>
      </c>
      <c r="F19" s="78">
        <f>Q19/22</f>
        <v>905421.63636363635</v>
      </c>
      <c r="G19" s="90">
        <f t="shared" si="3"/>
        <v>-0.19015320276635017</v>
      </c>
      <c r="H19" s="90">
        <f t="shared" si="4"/>
        <v>-0.25993424841529333</v>
      </c>
      <c r="I19" s="130">
        <f t="shared" si="0"/>
        <v>96.37528662045645</v>
      </c>
      <c r="J19" s="130">
        <f t="shared" si="5"/>
        <v>-3.1566108119467029E-2</v>
      </c>
      <c r="K19" s="78">
        <f>R17+R18+R19</f>
        <v>79002951162</v>
      </c>
      <c r="L19" s="87">
        <f>U19/U16-1</f>
        <v>-5.4910876660304586E-2</v>
      </c>
      <c r="M19" s="87">
        <f>U19/U7-1</f>
        <v>-7.9254905728762037E-2</v>
      </c>
      <c r="N19" s="88">
        <f>AVERAGE(T17:T19)</f>
        <v>103.74978977496396</v>
      </c>
      <c r="O19" s="89">
        <f>N19/N16-1</f>
        <v>-9.4860095222072616E-2</v>
      </c>
      <c r="P19" s="129" t="s">
        <v>114</v>
      </c>
      <c r="Q19" s="116">
        <v>19919276</v>
      </c>
      <c r="R19" s="116">
        <v>26059990925</v>
      </c>
      <c r="S19" s="116">
        <v>206684.48</v>
      </c>
      <c r="T19" s="130">
        <f t="shared" si="1"/>
        <v>96.37528662045645</v>
      </c>
      <c r="U19" s="85">
        <f>Q17+Q18+Q19</f>
        <v>62153824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1163009.05</v>
      </c>
      <c r="G20" s="90">
        <f t="shared" si="3"/>
        <v>0.28449443142411401</v>
      </c>
      <c r="H20" s="90">
        <f t="shared" si="4"/>
        <v>-4.6966101476658251E-2</v>
      </c>
      <c r="I20" s="130">
        <f t="shared" si="0"/>
        <v>104.23828399486037</v>
      </c>
      <c r="J20" s="130">
        <f t="shared" si="5"/>
        <v>2.6130118718770579E-2</v>
      </c>
      <c r="K20" s="79"/>
      <c r="L20" s="87"/>
      <c r="M20" s="87"/>
      <c r="N20" s="79"/>
      <c r="O20" s="89"/>
      <c r="P20" s="129" t="s">
        <v>132</v>
      </c>
      <c r="Q20" s="116">
        <v>23260181</v>
      </c>
      <c r="R20" s="116">
        <v>30499843231</v>
      </c>
      <c r="S20" s="116">
        <v>223144.32000000001</v>
      </c>
      <c r="T20" s="130">
        <f t="shared" ref="T20" si="6">Q20/S20</f>
        <v>104.23828399486037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852579.09523809527</v>
      </c>
      <c r="G21" s="90">
        <f t="shared" si="3"/>
        <v>-0.2669196381248321</v>
      </c>
      <c r="H21" s="90">
        <f t="shared" si="4"/>
        <v>-0.22207813977545088</v>
      </c>
      <c r="I21" s="130">
        <f t="shared" si="0"/>
        <v>108.92308319394114</v>
      </c>
      <c r="J21" s="130">
        <f t="shared" si="5"/>
        <v>2.7554008752894932E-2</v>
      </c>
      <c r="K21" s="79"/>
      <c r="L21" s="87"/>
      <c r="M21" s="87"/>
      <c r="N21" s="79"/>
      <c r="O21" s="89"/>
      <c r="P21" s="129" t="s">
        <v>141</v>
      </c>
      <c r="Q21" s="116">
        <v>17904161</v>
      </c>
      <c r="R21" s="116">
        <v>23834345834</v>
      </c>
      <c r="S21" s="116">
        <v>164374.35</v>
      </c>
      <c r="T21" s="130">
        <f t="shared" ref="T21" si="7">Q21/S21</f>
        <v>108.92308319394114</v>
      </c>
      <c r="U21" s="78"/>
    </row>
    <row r="22" spans="1:21" hidden="1">
      <c r="A22" s="129" t="s">
        <v>156</v>
      </c>
      <c r="B22" s="131">
        <f>SUM(F20:F22)</f>
        <v>2927841.3357142862</v>
      </c>
      <c r="C22" s="131">
        <f>AVERAGE(F20:F22)</f>
        <v>975947.1119047621</v>
      </c>
      <c r="D22" s="90">
        <f>C22/C19-1</f>
        <v>-2.9600029555379881E-2</v>
      </c>
      <c r="E22" s="286">
        <f>C22/C10-1</f>
        <v>-0.15937709691155366</v>
      </c>
      <c r="F22" s="78">
        <f>Q22/21</f>
        <v>912253.19047619053</v>
      </c>
      <c r="G22" s="90">
        <f t="shared" si="3"/>
        <v>6.9992444773033569E-2</v>
      </c>
      <c r="H22" s="90">
        <f t="shared" si="4"/>
        <v>-0.21805729985534894</v>
      </c>
      <c r="I22" s="130">
        <f t="shared" si="0"/>
        <v>98.009835201212553</v>
      </c>
      <c r="J22" s="130">
        <f t="shared" si="5"/>
        <v>1.7286465636355386E-2</v>
      </c>
      <c r="K22" s="78">
        <f>R20+R21+R22</f>
        <v>79198517957</v>
      </c>
      <c r="L22" s="87">
        <f>U22/U19-1</f>
        <v>-2.9477912734701572E-2</v>
      </c>
      <c r="M22" s="87">
        <f>U22/U10-1</f>
        <v>-0.17527784216944631</v>
      </c>
      <c r="N22" s="88">
        <f>AVERAGE(T20:T22)</f>
        <v>103.72373413000469</v>
      </c>
      <c r="O22" s="89">
        <f>N22/N19-1</f>
        <v>-2.5113925547015636E-4</v>
      </c>
      <c r="P22" s="129" t="s">
        <v>156</v>
      </c>
      <c r="Q22" s="116">
        <v>19157317</v>
      </c>
      <c r="R22" s="116">
        <v>24864328892</v>
      </c>
      <c r="S22" s="116">
        <v>195463.21</v>
      </c>
      <c r="T22" s="130">
        <f t="shared" ref="T22:T23" si="8">Q22/S22</f>
        <v>98.009835201212553</v>
      </c>
      <c r="U22" s="85">
        <f>Q20+Q21+Q22</f>
        <v>60321659</v>
      </c>
    </row>
    <row r="23" spans="1:21" hidden="1">
      <c r="A23" s="129" t="s">
        <v>189</v>
      </c>
      <c r="B23" s="131"/>
      <c r="C23" s="131"/>
      <c r="D23" s="117"/>
      <c r="F23" s="78">
        <f>Q23/21</f>
        <v>869151.47619047621</v>
      </c>
      <c r="G23" s="90">
        <f t="shared" ref="G23" si="9">F23/F22-1</f>
        <v>-4.7247534714803807E-2</v>
      </c>
      <c r="H23" s="90">
        <f t="shared" ref="H23" si="10">F23/F11-1</f>
        <v>-0.24526348817628407</v>
      </c>
      <c r="I23" s="130">
        <f t="shared" si="0"/>
        <v>103.7557421230379</v>
      </c>
      <c r="J23" s="130">
        <f t="shared" si="5"/>
        <v>-3.2572899205588368E-2</v>
      </c>
      <c r="K23" s="79"/>
      <c r="L23" s="87"/>
      <c r="M23" s="87"/>
      <c r="N23" s="79"/>
      <c r="O23" s="89"/>
      <c r="P23" s="129" t="s">
        <v>189</v>
      </c>
      <c r="Q23" s="116">
        <v>18252181</v>
      </c>
      <c r="R23" s="116">
        <v>23438063532</v>
      </c>
      <c r="S23" s="116">
        <v>175914.9</v>
      </c>
      <c r="T23" s="130">
        <f t="shared" si="8"/>
        <v>103.7557421230379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1048836.8181818181</v>
      </c>
      <c r="G24" s="90">
        <f t="shared" ref="G24" si="11">F24/F23-1</f>
        <v>0.20673650901326157</v>
      </c>
      <c r="H24" s="90">
        <f t="shared" ref="H24" si="12">F24/F12-1</f>
        <v>0.17946021409015356</v>
      </c>
      <c r="I24" s="130">
        <f t="shared" si="0"/>
        <v>99.357892620114171</v>
      </c>
      <c r="J24" s="130">
        <f t="shared" si="5"/>
        <v>-2.483979649445156E-2</v>
      </c>
      <c r="K24" s="79"/>
      <c r="L24" s="87"/>
      <c r="M24" s="87"/>
      <c r="N24" s="79"/>
      <c r="O24" s="89"/>
      <c r="P24" s="129" t="s">
        <v>204</v>
      </c>
      <c r="Q24" s="116">
        <v>23074410</v>
      </c>
      <c r="R24" s="116">
        <v>30427320112</v>
      </c>
      <c r="S24" s="116">
        <v>232235.3</v>
      </c>
      <c r="T24" s="130">
        <f t="shared" ref="T24" si="13">Q24/S24</f>
        <v>99.357892620114171</v>
      </c>
      <c r="U24" s="78"/>
    </row>
    <row r="25" spans="1:21" s="92" customFormat="1" ht="13.2" hidden="1">
      <c r="A25" s="129" t="s">
        <v>219</v>
      </c>
      <c r="B25" s="131">
        <f>SUM(F23:F25)</f>
        <v>3270558.0838459786</v>
      </c>
      <c r="C25" s="131">
        <f>AVERAGE(F23:F25)</f>
        <v>1090186.0279486596</v>
      </c>
      <c r="D25" s="90">
        <f>C25/C22-1</f>
        <v>0.11705441273445305</v>
      </c>
      <c r="E25" s="286">
        <f>C25/C13-1</f>
        <v>1.1179974789465641E-2</v>
      </c>
      <c r="F25" s="78">
        <f>Q25/19</f>
        <v>1352569.7894736843</v>
      </c>
      <c r="G25" s="90">
        <f t="shared" ref="G25" si="14">F25/F24-1</f>
        <v>0.2895903023488382</v>
      </c>
      <c r="H25" s="90">
        <f t="shared" ref="H25" si="15">F25/F13-1</f>
        <v>0.13323247412241912</v>
      </c>
      <c r="I25" s="130">
        <f t="shared" si="0"/>
        <v>101.98186401839281</v>
      </c>
      <c r="J25" s="130">
        <f t="shared" si="5"/>
        <v>9.4684926638830547E-3</v>
      </c>
      <c r="K25" s="78">
        <f>R23+R24+R25</f>
        <v>87981008870</v>
      </c>
      <c r="L25" s="90">
        <f>U25/U22-1</f>
        <v>0.11113351507789271</v>
      </c>
      <c r="M25" s="90">
        <f>U25/U13-1</f>
        <v>-8.764434810462074E-3</v>
      </c>
      <c r="N25" s="88">
        <f>AVERAGE(T23:T25)</f>
        <v>101.69849958718163</v>
      </c>
      <c r="O25" s="91">
        <f>N25/N22-1</f>
        <v>-1.9525276059620844E-2</v>
      </c>
      <c r="P25" s="129" t="s">
        <v>219</v>
      </c>
      <c r="Q25" s="116">
        <v>25698826</v>
      </c>
      <c r="R25" s="116">
        <v>34115625226</v>
      </c>
      <c r="S25" s="116">
        <v>251994.08</v>
      </c>
      <c r="T25" s="130">
        <f t="shared" ref="T25" si="16">Q25/S25</f>
        <v>101.98186401839281</v>
      </c>
      <c r="U25" s="85">
        <f>Q23+Q24+Q25</f>
        <v>67025417</v>
      </c>
    </row>
    <row r="26" spans="1:21" s="92" customFormat="1" ht="13.2" hidden="1">
      <c r="A26" s="129" t="s">
        <v>312</v>
      </c>
      <c r="B26" s="131"/>
      <c r="C26" s="131"/>
      <c r="D26" s="132"/>
      <c r="E26" s="286"/>
      <c r="F26" s="78">
        <f>Q26/19</f>
        <v>1404036.3684210526</v>
      </c>
      <c r="G26" s="90">
        <f t="shared" ref="G26" si="17">F26/F25-1</f>
        <v>3.8050959993269684E-2</v>
      </c>
      <c r="H26" s="90">
        <f t="shared" ref="H26" si="18">F26/F14-1</f>
        <v>0.15565944110501939</v>
      </c>
      <c r="I26" s="130">
        <f t="shared" si="0"/>
        <v>119.08717110476158</v>
      </c>
      <c r="J26" s="130">
        <f t="shared" si="5"/>
        <v>0.10329082216603869</v>
      </c>
      <c r="K26" s="79"/>
      <c r="L26" s="90"/>
      <c r="M26" s="90"/>
      <c r="N26" s="79"/>
      <c r="O26" s="79"/>
      <c r="P26" s="129" t="s">
        <v>312</v>
      </c>
      <c r="Q26" s="116">
        <v>26676691</v>
      </c>
      <c r="R26" s="116">
        <v>35964347512</v>
      </c>
      <c r="S26" s="116">
        <v>224009.78</v>
      </c>
      <c r="T26" s="130">
        <f t="shared" ref="T26" si="19">Q26/S26</f>
        <v>119.08717110476158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86"/>
      <c r="F27" s="78">
        <f>Q27/22</f>
        <v>1238312.6363636365</v>
      </c>
      <c r="G27" s="90">
        <f t="shared" ref="G27" si="20">F27/F26-1</f>
        <v>-0.11803378871430892</v>
      </c>
      <c r="H27" s="90">
        <f t="shared" ref="H27" si="21">F27/F15-1</f>
        <v>0.16026192232705205</v>
      </c>
      <c r="I27" s="130">
        <f t="shared" si="0"/>
        <v>114.9450935676154</v>
      </c>
      <c r="J27" s="130">
        <f t="shared" si="5"/>
        <v>-3.9458887158988265E-2</v>
      </c>
      <c r="K27" s="79"/>
      <c r="L27" s="90"/>
      <c r="M27" s="90"/>
      <c r="N27" s="79"/>
      <c r="O27" s="79"/>
      <c r="P27" s="129" t="s">
        <v>375</v>
      </c>
      <c r="Q27" s="116">
        <v>27242878</v>
      </c>
      <c r="R27" s="116">
        <v>36076614921</v>
      </c>
      <c r="S27" s="116">
        <v>237007.75</v>
      </c>
      <c r="T27" s="130">
        <f t="shared" ref="T27" si="22">Q27/S27</f>
        <v>114.9450935676154</v>
      </c>
      <c r="U27" s="78"/>
    </row>
    <row r="28" spans="1:21" s="92" customFormat="1" ht="13.2" hidden="1">
      <c r="A28" s="123" t="s">
        <v>413</v>
      </c>
      <c r="B28" s="131">
        <f>SUM(F26:F28)</f>
        <v>3712061.0574162682</v>
      </c>
      <c r="C28" s="131">
        <f>AVERAGE(F26:F28)</f>
        <v>1237353.6858054227</v>
      </c>
      <c r="D28" s="90">
        <f>C28/C25-1</f>
        <v>0.13499316087702939</v>
      </c>
      <c r="E28" s="286">
        <f>C28/C16-1</f>
        <v>0.19752887422454535</v>
      </c>
      <c r="F28" s="78">
        <f>Q28/19</f>
        <v>1069712.0526315789</v>
      </c>
      <c r="G28" s="90">
        <f t="shared" ref="G28" si="23">F28/F27-1</f>
        <v>-0.13615348723821563</v>
      </c>
      <c r="H28" s="90">
        <f t="shared" ref="H28" si="24">F28/F16-1</f>
        <v>0.30839572678206584</v>
      </c>
      <c r="I28" s="130">
        <f t="shared" si="0"/>
        <v>93.314059152797057</v>
      </c>
      <c r="J28" s="130">
        <f t="shared" si="5"/>
        <v>-0.19739247974313456</v>
      </c>
      <c r="K28" s="78">
        <f>R26+R27+R28</f>
        <v>98553713660</v>
      </c>
      <c r="L28" s="90">
        <f>U28/U25-1</f>
        <v>0.10770065033687137</v>
      </c>
      <c r="M28" s="90">
        <f>U28/U16-1</f>
        <v>0.12892956500900787</v>
      </c>
      <c r="N28" s="88">
        <f>AVERAGE(T26:T28)</f>
        <v>109.11544127505802</v>
      </c>
      <c r="O28" s="91">
        <f>N28/N25-1</f>
        <v>7.2930689420035888E-2</v>
      </c>
      <c r="P28" s="129" t="s">
        <v>413</v>
      </c>
      <c r="Q28" s="116">
        <v>20324529</v>
      </c>
      <c r="R28" s="116">
        <v>26512751227</v>
      </c>
      <c r="S28" s="116">
        <v>217807.79</v>
      </c>
      <c r="T28" s="130">
        <f t="shared" ref="T28" si="25">Q28/S28</f>
        <v>93.314059152797057</v>
      </c>
      <c r="U28" s="85">
        <f>Q26+Q27+Q28</f>
        <v>74244098</v>
      </c>
    </row>
    <row r="29" spans="1:21" s="92" customFormat="1" ht="13.2" hidden="1">
      <c r="A29" s="129" t="s">
        <v>430</v>
      </c>
      <c r="B29" s="188"/>
      <c r="C29" s="188"/>
      <c r="D29" s="189"/>
      <c r="E29" s="287"/>
      <c r="F29" s="136">
        <f>Q29/22</f>
        <v>939540.72727272729</v>
      </c>
      <c r="G29" s="190">
        <f t="shared" ref="G29" si="26">F29/F28-1</f>
        <v>-0.12168819173217649</v>
      </c>
      <c r="H29" s="190">
        <f t="shared" ref="H29" si="27">F29/F17-1</f>
        <v>-5.451353381031554E-2</v>
      </c>
      <c r="I29" s="130">
        <f t="shared" si="0"/>
        <v>110.32319682045559</v>
      </c>
      <c r="J29" s="130">
        <f t="shared" si="5"/>
        <v>2.6582210508370618E-2</v>
      </c>
      <c r="K29" s="136"/>
      <c r="L29" s="190"/>
      <c r="M29" s="190"/>
      <c r="N29" s="191"/>
      <c r="O29" s="192"/>
      <c r="P29" s="129" t="s">
        <v>430</v>
      </c>
      <c r="Q29" s="116">
        <v>20669896</v>
      </c>
      <c r="R29" s="116">
        <v>27227000164</v>
      </c>
      <c r="S29" s="116">
        <v>187357.66</v>
      </c>
      <c r="T29" s="130">
        <f t="shared" ref="T29" si="28">Q29/S29</f>
        <v>110.32319682045559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87"/>
      <c r="F30" s="136">
        <f>Q30/19</f>
        <v>1274505.894736842</v>
      </c>
      <c r="G30" s="190">
        <f t="shared" ref="G30" si="29">F30/F29-1</f>
        <v>0.35652011428652197</v>
      </c>
      <c r="H30" s="190">
        <f t="shared" ref="H30" si="30">F30/F18-1</f>
        <v>0.13997112003352186</v>
      </c>
      <c r="I30" s="130">
        <f t="shared" si="0"/>
        <v>110.36569019540819</v>
      </c>
      <c r="J30" s="130">
        <f t="shared" si="5"/>
        <v>2.7540952985467548E-2</v>
      </c>
      <c r="K30" s="136"/>
      <c r="L30" s="190"/>
      <c r="M30" s="190"/>
      <c r="N30" s="191"/>
      <c r="O30" s="192"/>
      <c r="P30" s="129" t="s">
        <v>466</v>
      </c>
      <c r="Q30" s="116">
        <v>24215612</v>
      </c>
      <c r="R30" s="116">
        <v>32278213494</v>
      </c>
      <c r="S30" s="116">
        <v>219412.5</v>
      </c>
      <c r="T30" s="130">
        <f t="shared" ref="T30" si="31">Q30/S30</f>
        <v>110.36569019540819</v>
      </c>
      <c r="U30" s="85"/>
    </row>
    <row r="31" spans="1:21" s="92" customFormat="1" ht="13.2" hidden="1">
      <c r="A31" s="129" t="s">
        <v>505</v>
      </c>
      <c r="B31" s="188">
        <f>SUM(F29:F31)</f>
        <v>3288932.6220095693</v>
      </c>
      <c r="C31" s="188">
        <f>AVERAGE(F29:F31)</f>
        <v>1096310.8740031898</v>
      </c>
      <c r="D31" s="190">
        <f>C31/C28-1</f>
        <v>-0.11398746649420999</v>
      </c>
      <c r="E31" s="287">
        <f>C31/C19-1</f>
        <v>9.0079602422787675E-2</v>
      </c>
      <c r="F31" s="136">
        <f>Q31/20</f>
        <v>1074886</v>
      </c>
      <c r="G31" s="190">
        <f t="shared" ref="G31" si="32">F31/F30-1</f>
        <v>-0.15662532088802872</v>
      </c>
      <c r="H31" s="190">
        <f t="shared" ref="H31" si="33">F31/F19-1</f>
        <v>0.18716624037941942</v>
      </c>
      <c r="I31" s="130">
        <f t="shared" si="0"/>
        <v>96.44027654647617</v>
      </c>
      <c r="J31" s="130">
        <f t="shared" si="5"/>
        <v>6.7434223335349763E-4</v>
      </c>
      <c r="K31" s="136">
        <f>R29+R30+R31</f>
        <v>88076643222</v>
      </c>
      <c r="L31" s="190">
        <f>U31/U28-1</f>
        <v>-0.10587871914074576</v>
      </c>
      <c r="M31" s="190">
        <f>U31/U19-1</f>
        <v>6.8047365838665108E-2</v>
      </c>
      <c r="N31" s="191">
        <f>AVERAGE(T29:T31)</f>
        <v>105.70972118744665</v>
      </c>
      <c r="O31" s="192">
        <f>N31/N28-1</f>
        <v>-3.1212081881484055E-2</v>
      </c>
      <c r="P31" s="129" t="s">
        <v>505</v>
      </c>
      <c r="Q31" s="116">
        <v>21497720</v>
      </c>
      <c r="R31" s="116">
        <v>28571429564</v>
      </c>
      <c r="S31" s="116">
        <v>222912.26</v>
      </c>
      <c r="T31" s="130">
        <f t="shared" ref="T31" si="34">Q31/S31</f>
        <v>96.44027654647617</v>
      </c>
      <c r="U31" s="85">
        <f>Q29+Q30+Q31</f>
        <v>66383228</v>
      </c>
    </row>
    <row r="32" spans="1:21" s="92" customFormat="1" ht="13.2" hidden="1">
      <c r="A32" s="129" t="s">
        <v>591</v>
      </c>
      <c r="B32" s="188"/>
      <c r="C32" s="188"/>
      <c r="D32" s="190"/>
      <c r="E32" s="287"/>
      <c r="F32" s="136">
        <f>Q32/21</f>
        <v>1058244.9523809524</v>
      </c>
      <c r="G32" s="190">
        <f t="shared" ref="G32" si="35">F32/F31-1</f>
        <v>-1.5481686075590861E-2</v>
      </c>
      <c r="H32" s="190">
        <f t="shared" ref="H32" si="36">F32/F20-1</f>
        <v>-9.0080208420603158E-2</v>
      </c>
      <c r="I32" s="130">
        <f t="shared" si="0"/>
        <v>102.00388624806681</v>
      </c>
      <c r="J32" s="130">
        <f t="shared" si="5"/>
        <v>-2.1435480911252691E-2</v>
      </c>
      <c r="K32" s="136"/>
      <c r="L32" s="190"/>
      <c r="M32" s="190"/>
      <c r="N32" s="191"/>
      <c r="O32" s="192"/>
      <c r="P32" s="129" t="s">
        <v>591</v>
      </c>
      <c r="Q32" s="116">
        <v>22223144</v>
      </c>
      <c r="R32" s="116">
        <v>30264873545</v>
      </c>
      <c r="S32" s="116">
        <v>217865.66</v>
      </c>
      <c r="T32" s="130">
        <f t="shared" ref="T32" si="37">Q32/S32</f>
        <v>102.00388624806681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87"/>
      <c r="F33" s="136">
        <f>Q33/21</f>
        <v>866844.90476190473</v>
      </c>
      <c r="G33" s="190">
        <f t="shared" ref="G33" si="38">F33/F32-1</f>
        <v>-0.18086554269728894</v>
      </c>
      <c r="H33" s="190">
        <f t="shared" ref="H33" si="39">F33/F21-1</f>
        <v>1.6732534967709434E-2</v>
      </c>
      <c r="I33" s="130">
        <f t="shared" si="0"/>
        <v>109.14606448654457</v>
      </c>
      <c r="J33" s="130">
        <f t="shared" si="5"/>
        <v>2.0471445176264425E-3</v>
      </c>
      <c r="K33" s="136"/>
      <c r="L33" s="190"/>
      <c r="M33" s="190"/>
      <c r="N33" s="191"/>
      <c r="O33" s="192"/>
      <c r="P33" s="129" t="s">
        <v>633</v>
      </c>
      <c r="Q33" s="116">
        <v>18203743</v>
      </c>
      <c r="R33" s="116">
        <v>24931881447</v>
      </c>
      <c r="S33" s="116">
        <v>166783.32</v>
      </c>
      <c r="T33" s="130">
        <f t="shared" ref="T33" si="40">Q33/S33</f>
        <v>109.14606448654457</v>
      </c>
      <c r="U33" s="85"/>
    </row>
    <row r="34" spans="1:21" s="92" customFormat="1" ht="13.2" hidden="1">
      <c r="A34" s="129" t="s">
        <v>652</v>
      </c>
      <c r="B34" s="188">
        <f>SUM(F32:F34)</f>
        <v>3028072.7518796995</v>
      </c>
      <c r="C34" s="188">
        <f>AVERAGE(F32:F34)</f>
        <v>1009357.5839598998</v>
      </c>
      <c r="D34" s="190">
        <f>C34/C31-1</f>
        <v>-7.9314446390355675E-2</v>
      </c>
      <c r="E34" s="287">
        <f>C34/C22-1</f>
        <v>3.4233896127762842E-2</v>
      </c>
      <c r="F34" s="136">
        <f>Q34/19</f>
        <v>1102982.894736842</v>
      </c>
      <c r="G34" s="190">
        <f t="shared" ref="G34" si="41">F34/F33-1</f>
        <v>0.27241088766599719</v>
      </c>
      <c r="H34" s="190">
        <f t="shared" ref="H34" si="42">F34/F22-1</f>
        <v>0.20907540390304558</v>
      </c>
      <c r="I34" s="130">
        <f t="shared" si="0"/>
        <v>107.55913752832279</v>
      </c>
      <c r="J34" s="130">
        <f t="shared" si="5"/>
        <v>9.743208227527056E-2</v>
      </c>
      <c r="K34" s="136">
        <f>R32+R33+R34</f>
        <v>84026946007</v>
      </c>
      <c r="L34" s="190">
        <f>U34/U31-1</f>
        <v>-7.5315198592029953E-2</v>
      </c>
      <c r="M34" s="190">
        <f>U34/U22-1</f>
        <v>1.7604008536966864E-2</v>
      </c>
      <c r="N34" s="191">
        <f>AVERAGE(T32:T34)</f>
        <v>106.2363627543114</v>
      </c>
      <c r="O34" s="192">
        <f>N34/N31-1</f>
        <v>4.9819596622613371E-3</v>
      </c>
      <c r="P34" s="129" t="s">
        <v>652</v>
      </c>
      <c r="Q34" s="116">
        <v>20956675</v>
      </c>
      <c r="R34" s="116">
        <v>28830191015</v>
      </c>
      <c r="S34" s="116">
        <v>194838.63</v>
      </c>
      <c r="T34" s="130">
        <f t="shared" ref="T34" si="43">Q34/S34</f>
        <v>107.55913752832279</v>
      </c>
      <c r="U34" s="85">
        <f>Q32+Q33+Q34</f>
        <v>61383562</v>
      </c>
    </row>
    <row r="35" spans="1:21" s="92" customFormat="1" ht="13.2" hidden="1">
      <c r="A35" s="129" t="s">
        <v>659</v>
      </c>
      <c r="B35" s="188"/>
      <c r="C35" s="188"/>
      <c r="D35" s="190"/>
      <c r="E35" s="287"/>
      <c r="F35" s="136">
        <f>Q35/23</f>
        <v>1001561.2173913043</v>
      </c>
      <c r="G35" s="190">
        <f t="shared" ref="G35" si="44">F35/F34-1</f>
        <v>-9.1952176075890679E-2</v>
      </c>
      <c r="H35" s="190">
        <f t="shared" ref="H35" si="45">F35/F23-1</f>
        <v>0.15234368787036412</v>
      </c>
      <c r="I35" s="130">
        <f t="shared" si="0"/>
        <v>110.77376282461721</v>
      </c>
      <c r="J35" s="130">
        <f t="shared" si="5"/>
        <v>6.7639829449217759E-2</v>
      </c>
      <c r="K35" s="136"/>
      <c r="L35" s="190"/>
      <c r="M35" s="190"/>
      <c r="N35" s="191"/>
      <c r="O35" s="192"/>
      <c r="P35" s="129" t="s">
        <v>660</v>
      </c>
      <c r="Q35" s="116">
        <v>23035908</v>
      </c>
      <c r="R35" s="116">
        <v>31881917464</v>
      </c>
      <c r="S35" s="116">
        <v>207954.55</v>
      </c>
      <c r="T35" s="130">
        <f t="shared" ref="T35" si="46">Q35/S35</f>
        <v>110.77376282461721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87"/>
      <c r="F36" s="136">
        <f>Q36/21</f>
        <v>996153.90476190473</v>
      </c>
      <c r="G36" s="190">
        <f t="shared" ref="G36" si="47">F36/F35-1</f>
        <v>-5.3988837981203686E-3</v>
      </c>
      <c r="H36" s="190">
        <f t="shared" ref="H36" si="48">F36/F24-1</f>
        <v>-5.0229847490709134E-2</v>
      </c>
      <c r="I36" s="130">
        <f t="shared" si="0"/>
        <v>113.8142863500649</v>
      </c>
      <c r="J36" s="130">
        <f t="shared" si="5"/>
        <v>0.14549819192747404</v>
      </c>
      <c r="K36" s="136"/>
      <c r="L36" s="190"/>
      <c r="M36" s="190"/>
      <c r="N36" s="191"/>
      <c r="O36" s="192"/>
      <c r="P36" s="129" t="s">
        <v>664</v>
      </c>
      <c r="Q36" s="116">
        <v>20919232</v>
      </c>
      <c r="R36" s="116">
        <v>28541526731</v>
      </c>
      <c r="S36" s="116">
        <v>183801.46</v>
      </c>
      <c r="T36" s="130">
        <f t="shared" ref="T36" si="49">Q36/S36</f>
        <v>113.8142863500649</v>
      </c>
      <c r="U36" s="85"/>
    </row>
    <row r="37" spans="1:21" s="92" customFormat="1" ht="13.2" hidden="1">
      <c r="A37" s="129" t="s">
        <v>702</v>
      </c>
      <c r="B37" s="188">
        <f>SUM(F35:F37)</f>
        <v>3088286.2332643201</v>
      </c>
      <c r="C37" s="188">
        <f>AVERAGE(F35:F37)</f>
        <v>1029428.7444214401</v>
      </c>
      <c r="D37" s="190">
        <f>C37/C34-1</f>
        <v>1.9885084117362339E-2</v>
      </c>
      <c r="E37" s="287">
        <f>C37/C25-1</f>
        <v>-5.5731115579918944E-2</v>
      </c>
      <c r="F37" s="136">
        <f>Q37/18</f>
        <v>1090571.111111111</v>
      </c>
      <c r="G37" s="190">
        <f t="shared" ref="G37" si="50">F37/F36-1</f>
        <v>9.4781745971043829E-2</v>
      </c>
      <c r="H37" s="190">
        <f t="shared" ref="H37" si="51">F37/F25-1</f>
        <v>-0.19370436956493231</v>
      </c>
      <c r="I37" s="130">
        <f t="shared" si="0"/>
        <v>113.42055748615559</v>
      </c>
      <c r="J37" s="130">
        <f t="shared" si="5"/>
        <v>0.11216399678377886</v>
      </c>
      <c r="K37" s="136">
        <f>R35+R36+R37</f>
        <v>86617129762</v>
      </c>
      <c r="L37" s="190">
        <f>U37/U34-1</f>
        <v>3.5870482719787322E-2</v>
      </c>
      <c r="M37" s="190">
        <f>U37/U25-1</f>
        <v>-5.1323768712994378E-2</v>
      </c>
      <c r="N37" s="191">
        <f>AVERAGE(T35:T37)</f>
        <v>112.66953555361256</v>
      </c>
      <c r="O37" s="192">
        <f>N37/N34-1</f>
        <v>6.0555281002785399E-2</v>
      </c>
      <c r="P37" s="129" t="s">
        <v>702</v>
      </c>
      <c r="Q37" s="116">
        <v>19630280</v>
      </c>
      <c r="R37" s="116">
        <v>26193685567</v>
      </c>
      <c r="S37" s="116">
        <v>173075.15</v>
      </c>
      <c r="T37" s="130">
        <f t="shared" ref="T37" si="52">Q37/S37</f>
        <v>113.42055748615559</v>
      </c>
      <c r="U37" s="85">
        <f>Q35+Q36+Q37</f>
        <v>63585420</v>
      </c>
    </row>
    <row r="38" spans="1:21" s="92" customFormat="1" ht="13.2" hidden="1">
      <c r="A38" s="129" t="s">
        <v>727</v>
      </c>
      <c r="B38" s="188"/>
      <c r="C38" s="188"/>
      <c r="D38" s="190"/>
      <c r="E38" s="287"/>
      <c r="F38" s="136">
        <f>Q38/20</f>
        <v>1075773.3500000001</v>
      </c>
      <c r="G38" s="190">
        <f t="shared" ref="G38" si="53">F38/F37-1</f>
        <v>-1.3568818172741137E-2</v>
      </c>
      <c r="H38" s="190">
        <f t="shared" ref="H38" si="54">F38/F26-1</f>
        <v>-0.23379951246577013</v>
      </c>
      <c r="I38" s="130">
        <f t="shared" si="0"/>
        <v>112.48151793376016</v>
      </c>
      <c r="J38" s="130">
        <f t="shared" si="5"/>
        <v>-5.546905774754185E-2</v>
      </c>
      <c r="K38" s="136"/>
      <c r="L38" s="190"/>
      <c r="M38" s="190"/>
      <c r="N38" s="191"/>
      <c r="O38" s="192"/>
      <c r="P38" s="129" t="s">
        <v>727</v>
      </c>
      <c r="Q38" s="116">
        <v>21515467</v>
      </c>
      <c r="R38" s="116">
        <v>28902511950</v>
      </c>
      <c r="S38" s="116">
        <v>191280.02</v>
      </c>
      <c r="T38" s="130">
        <f t="shared" ref="T38" si="55">Q38/S38</f>
        <v>112.48151793376016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87"/>
      <c r="F39" s="136">
        <f>Q39/21</f>
        <v>897229.52380952379</v>
      </c>
      <c r="G39" s="190">
        <f t="shared" ref="G39" si="56">F39/F38-1</f>
        <v>-0.16596788365363047</v>
      </c>
      <c r="H39" s="190">
        <f t="shared" ref="H39" si="57">F39/F27-1</f>
        <v>-0.2754418412104066</v>
      </c>
      <c r="I39" s="130">
        <f t="shared" si="0"/>
        <v>105.28191482822938</v>
      </c>
      <c r="J39" s="130">
        <f t="shared" si="5"/>
        <v>-8.4067779141018706E-2</v>
      </c>
      <c r="K39" s="136"/>
      <c r="L39" s="190"/>
      <c r="M39" s="190"/>
      <c r="N39" s="191"/>
      <c r="O39" s="192"/>
      <c r="P39" s="129" t="s">
        <v>762</v>
      </c>
      <c r="Q39" s="116">
        <v>18841820</v>
      </c>
      <c r="R39" s="116">
        <v>26193183710</v>
      </c>
      <c r="S39" s="116">
        <v>178965.4</v>
      </c>
      <c r="T39" s="130">
        <f t="shared" ref="T39" si="58">Q39/S39</f>
        <v>105.28191482822938</v>
      </c>
      <c r="U39" s="85"/>
    </row>
    <row r="40" spans="1:21" s="92" customFormat="1" ht="13.2" hidden="1">
      <c r="A40" s="129" t="s">
        <v>778</v>
      </c>
      <c r="B40" s="188">
        <f>SUM(F38:F40)</f>
        <v>2713742.9214285715</v>
      </c>
      <c r="C40" s="188">
        <f>AVERAGE(F38:F40)</f>
        <v>904580.97380952386</v>
      </c>
      <c r="D40" s="190">
        <f>C40/C37-1</f>
        <v>-0.12127869101040423</v>
      </c>
      <c r="E40" s="287">
        <f>C40/C28-1</f>
        <v>-0.26893903967262944</v>
      </c>
      <c r="F40" s="136">
        <f>Q40/21</f>
        <v>740740.04761904757</v>
      </c>
      <c r="G40" s="190">
        <f t="shared" ref="G40" si="59">F40/F39-1</f>
        <v>-0.17441409587821133</v>
      </c>
      <c r="H40" s="190">
        <f t="shared" ref="H40" si="60">F40/F28-1</f>
        <v>-0.30753323214713091</v>
      </c>
      <c r="I40" s="130">
        <f t="shared" si="0"/>
        <v>101.61319296415658</v>
      </c>
      <c r="J40" s="130">
        <f t="shared" si="5"/>
        <v>8.893765726952374E-2</v>
      </c>
      <c r="K40" s="136">
        <f>R38+R39+R40</f>
        <v>77159484963</v>
      </c>
      <c r="L40" s="190">
        <f>U40/U37-1</f>
        <v>-0.12066590108235509</v>
      </c>
      <c r="M40" s="190">
        <f>U40/U28-1</f>
        <v>-0.24690541731680815</v>
      </c>
      <c r="N40" s="191">
        <f>AVERAGE(T38:T40)</f>
        <v>106.45887524204871</v>
      </c>
      <c r="O40" s="192">
        <f>N40/N37-1</f>
        <v>-5.5122800329718058E-2</v>
      </c>
      <c r="P40" s="129" t="s">
        <v>778</v>
      </c>
      <c r="Q40" s="116">
        <v>15555541</v>
      </c>
      <c r="R40" s="116">
        <v>22063789303</v>
      </c>
      <c r="S40" s="116">
        <v>153085.84</v>
      </c>
      <c r="T40" s="130">
        <f t="shared" ref="T40" si="61">Q40/S40</f>
        <v>101.61319296415658</v>
      </c>
      <c r="U40" s="85">
        <f>Q38+Q39+Q40</f>
        <v>55912828</v>
      </c>
    </row>
    <row r="41" spans="1:21" s="92" customFormat="1" ht="13.2">
      <c r="A41" s="129" t="s">
        <v>788</v>
      </c>
      <c r="B41" s="194"/>
      <c r="C41" s="194"/>
      <c r="D41" s="201"/>
      <c r="E41" s="288"/>
      <c r="F41" s="136">
        <f>Q41/18</f>
        <v>965646.9444444445</v>
      </c>
      <c r="G41" s="190">
        <f t="shared" ref="G41" si="62">F41/F40-1</f>
        <v>0.3036245948201568</v>
      </c>
      <c r="H41" s="190">
        <f t="shared" ref="H41" si="63">F41/F29-1</f>
        <v>2.778614743769281E-2</v>
      </c>
      <c r="I41" s="130">
        <f t="shared" si="0"/>
        <v>98.959880917780254</v>
      </c>
      <c r="J41" s="130">
        <f t="shared" si="5"/>
        <v>-0.10300024138321928</v>
      </c>
      <c r="K41" s="194"/>
      <c r="L41" s="202"/>
      <c r="M41" s="202"/>
      <c r="N41" s="194"/>
      <c r="O41" s="194"/>
      <c r="P41" s="129" t="s">
        <v>792</v>
      </c>
      <c r="Q41" s="116">
        <v>17381645</v>
      </c>
      <c r="R41" s="116">
        <v>25397742969</v>
      </c>
      <c r="S41" s="116">
        <v>175643.35</v>
      </c>
      <c r="T41" s="130">
        <f t="shared" ref="T41" si="64">Q41/S41</f>
        <v>98.959880917780254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8"/>
      <c r="F42" s="136">
        <f>Q42/20</f>
        <v>900519.8</v>
      </c>
      <c r="G42" s="190">
        <f t="shared" ref="G42" si="65">F42/F41-1</f>
        <v>-6.7444053770514767E-2</v>
      </c>
      <c r="H42" s="190">
        <f t="shared" ref="H42" si="66">F42/F30-1</f>
        <v>-0.29343614359199333</v>
      </c>
      <c r="I42" s="130">
        <f t="shared" si="0"/>
        <v>91.003967958616698</v>
      </c>
      <c r="J42" s="130">
        <f t="shared" si="5"/>
        <v>-0.17543243921648621</v>
      </c>
      <c r="K42" s="194"/>
      <c r="L42" s="202"/>
      <c r="M42" s="202"/>
      <c r="N42" s="194"/>
      <c r="O42" s="194"/>
      <c r="P42" s="129" t="s">
        <v>826</v>
      </c>
      <c r="Q42" s="116">
        <v>18010396</v>
      </c>
      <c r="R42" s="116">
        <v>26088788540</v>
      </c>
      <c r="S42" s="116">
        <v>197907.81</v>
      </c>
      <c r="T42" s="130">
        <f t="shared" ref="T42" si="67">Q42/S42</f>
        <v>91.003967958616698</v>
      </c>
      <c r="U42" s="175"/>
    </row>
    <row r="43" spans="1:21" s="92" customFormat="1" ht="13.2">
      <c r="A43" s="129" t="s">
        <v>835</v>
      </c>
      <c r="B43" s="188">
        <f>SUM(F41:F43)</f>
        <v>3352477.8944444442</v>
      </c>
      <c r="C43" s="188">
        <f>AVERAGE(F41:F43)</f>
        <v>1117492.6314814815</v>
      </c>
      <c r="D43" s="190">
        <f>C43/C40-1</f>
        <v>0.23537047963247359</v>
      </c>
      <c r="E43" s="287">
        <f>C43/C31-1</f>
        <v>1.9320940784748553E-2</v>
      </c>
      <c r="F43" s="136">
        <f>Q43/20</f>
        <v>1486311.15</v>
      </c>
      <c r="G43" s="190">
        <f t="shared" ref="G43" si="68">F43/F42-1</f>
        <v>0.65050357582365192</v>
      </c>
      <c r="H43" s="190">
        <f t="shared" ref="H43" si="69">F43/F31-1</f>
        <v>0.38276166030630221</v>
      </c>
      <c r="I43" s="130">
        <f t="shared" si="0"/>
        <v>108.08762515059378</v>
      </c>
      <c r="J43" s="130">
        <f t="shared" si="5"/>
        <v>0.120772658698304</v>
      </c>
      <c r="K43" s="136">
        <f>R41+R42+R43</f>
        <v>94652928328</v>
      </c>
      <c r="L43" s="190">
        <f>U43/U40-1</f>
        <v>0.16463906994652455</v>
      </c>
      <c r="M43" s="190">
        <f>K43/K31-1</f>
        <v>7.4665482986497E-2</v>
      </c>
      <c r="N43" s="191">
        <f>AVERAGE(T41:T43)</f>
        <v>99.350491342330244</v>
      </c>
      <c r="O43" s="192">
        <f>N43/N40-1</f>
        <v>-6.6771172281846702E-2</v>
      </c>
      <c r="P43" s="129" t="s">
        <v>835</v>
      </c>
      <c r="Q43" s="116">
        <v>29726223</v>
      </c>
      <c r="R43" s="116">
        <v>43166396819</v>
      </c>
      <c r="S43" s="116">
        <v>275019.67</v>
      </c>
      <c r="T43" s="130">
        <f t="shared" ref="T43" si="70">Q43/S43</f>
        <v>108.08762515059378</v>
      </c>
      <c r="U43" s="85">
        <f>Q41+Q42+Q43</f>
        <v>65118264</v>
      </c>
    </row>
    <row r="44" spans="1:21" s="92" customFormat="1" ht="13.2">
      <c r="A44" s="129" t="s">
        <v>843</v>
      </c>
      <c r="B44" s="188"/>
      <c r="C44" s="188"/>
      <c r="D44" s="190"/>
      <c r="E44" s="287"/>
      <c r="F44" s="136">
        <f>Q44/22</f>
        <v>904925.77272727271</v>
      </c>
      <c r="G44" s="190">
        <f t="shared" ref="G44" si="71">F44/F43-1</f>
        <v>-0.39115993799328441</v>
      </c>
      <c r="H44" s="190">
        <f t="shared" ref="H44" si="72">F44/F32-1</f>
        <v>-0.14488061512481198</v>
      </c>
      <c r="I44" s="130">
        <f t="shared" si="0"/>
        <v>88.708112779494144</v>
      </c>
      <c r="J44" s="130">
        <f t="shared" si="5"/>
        <v>-0.13034575404547044</v>
      </c>
      <c r="K44" s="136"/>
      <c r="L44" s="190"/>
      <c r="M44" s="190"/>
      <c r="N44" s="191"/>
      <c r="O44" s="192"/>
      <c r="P44" s="129" t="s">
        <v>843</v>
      </c>
      <c r="Q44" s="116">
        <v>19908367</v>
      </c>
      <c r="R44" s="116">
        <v>28848644782</v>
      </c>
      <c r="S44" s="116">
        <v>224425.55</v>
      </c>
      <c r="T44" s="130">
        <f t="shared" ref="T44" si="73">Q44/S44</f>
        <v>88.708112779494144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87"/>
      <c r="F45" s="136">
        <f>Q45/20</f>
        <v>908166.45</v>
      </c>
      <c r="G45" s="190">
        <f t="shared" ref="G45" si="74">F45/F44-1</f>
        <v>3.5811525877535999E-3</v>
      </c>
      <c r="H45" s="190">
        <f t="shared" ref="H45" si="75">F45/F33-1</f>
        <v>4.76689024889001E-2</v>
      </c>
      <c r="I45" s="130">
        <f t="shared" si="0"/>
        <v>96.609387339075255</v>
      </c>
      <c r="J45" s="130">
        <f t="shared" si="5"/>
        <v>-0.11486146757966553</v>
      </c>
      <c r="K45" s="136"/>
      <c r="L45" s="190"/>
      <c r="M45" s="190"/>
      <c r="N45" s="191"/>
      <c r="O45" s="192"/>
      <c r="P45" s="129" t="s">
        <v>853</v>
      </c>
      <c r="Q45" s="116">
        <v>18163329</v>
      </c>
      <c r="R45" s="116">
        <v>25514611039</v>
      </c>
      <c r="S45" s="116">
        <v>188007.91</v>
      </c>
      <c r="T45" s="130">
        <f t="shared" ref="T45" si="76">Q45/S45</f>
        <v>96.609387339075255</v>
      </c>
      <c r="U45" s="85"/>
    </row>
    <row r="46" spans="1:21" s="92" customFormat="1" ht="13.2">
      <c r="A46" s="129" t="s">
        <v>893</v>
      </c>
      <c r="B46" s="188">
        <f>SUM(F44:F46)</f>
        <v>3006229.906937799</v>
      </c>
      <c r="C46" s="188">
        <f>AVERAGE(F44:F46)</f>
        <v>1002076.635645933</v>
      </c>
      <c r="D46" s="190">
        <f>C46/C43-1</f>
        <v>-0.10328121419694669</v>
      </c>
      <c r="E46" s="287">
        <f>C46/C34-1</f>
        <v>-7.2134478698840931E-3</v>
      </c>
      <c r="F46" s="136">
        <f>Q46/19</f>
        <v>1193137.6842105263</v>
      </c>
      <c r="G46" s="190">
        <f t="shared" ref="G46" si="77">F46/F45-1</f>
        <v>0.31378744965807348</v>
      </c>
      <c r="H46" s="190">
        <f t="shared" ref="H46" si="78">F46/F34-1</f>
        <v>8.173725078047922E-2</v>
      </c>
      <c r="I46" s="130">
        <f t="shared" si="0"/>
        <v>114.14793742713945</v>
      </c>
      <c r="J46" s="130">
        <f t="shared" si="5"/>
        <v>6.1257463105649057E-2</v>
      </c>
      <c r="K46" s="136">
        <f>R44+R45+R46</f>
        <v>85373678354</v>
      </c>
      <c r="L46" s="190">
        <f>U46/U43-1</f>
        <v>-6.7215428224560725E-2</v>
      </c>
      <c r="M46" s="190">
        <f>K46/K34-1</f>
        <v>1.6027386582487591E-2</v>
      </c>
      <c r="N46" s="191">
        <f>AVERAGE(T44:T46)</f>
        <v>99.821812515236275</v>
      </c>
      <c r="O46" s="192">
        <f>N46/N43-1</f>
        <v>4.7440245794256874E-3</v>
      </c>
      <c r="P46" s="129" t="s">
        <v>888</v>
      </c>
      <c r="Q46" s="116">
        <v>22669616</v>
      </c>
      <c r="R46" s="116">
        <v>31010422533</v>
      </c>
      <c r="S46" s="116">
        <v>198598.56</v>
      </c>
      <c r="T46" s="130">
        <f t="shared" ref="T46" si="79">Q46/S46</f>
        <v>114.14793742713945</v>
      </c>
      <c r="U46" s="85">
        <f t="shared" ref="U46:U51" si="80">Q44+Q45+Q46</f>
        <v>60741312</v>
      </c>
    </row>
    <row r="47" spans="1:21" s="92" customFormat="1" ht="13.2">
      <c r="A47" s="129" t="s">
        <v>991</v>
      </c>
      <c r="B47" s="188"/>
      <c r="C47" s="188"/>
      <c r="D47" s="190"/>
      <c r="E47" s="287"/>
      <c r="F47" s="136">
        <f>Q47/23</f>
        <v>1017554.1739130435</v>
      </c>
      <c r="G47" s="190">
        <f t="shared" ref="G47" si="81">F47/F46-1</f>
        <v>-0.14716114713421591</v>
      </c>
      <c r="H47" s="190">
        <f t="shared" ref="H47" si="82">F47/F35-1</f>
        <v>1.596802696034394E-2</v>
      </c>
      <c r="I47" s="130">
        <f t="shared" si="0"/>
        <v>100.76118053741631</v>
      </c>
      <c r="J47" s="130">
        <f t="shared" si="5"/>
        <v>-9.0387669714292684E-2</v>
      </c>
      <c r="K47" s="136"/>
      <c r="L47" s="190"/>
      <c r="M47" s="190"/>
      <c r="N47" s="191"/>
      <c r="O47" s="192"/>
      <c r="P47" s="129" t="s">
        <v>991</v>
      </c>
      <c r="Q47" s="116">
        <v>23403746</v>
      </c>
      <c r="R47" s="116">
        <v>32139328456</v>
      </c>
      <c r="S47" s="116">
        <v>232269.47</v>
      </c>
      <c r="T47" s="130">
        <f t="shared" ref="T47" si="83">Q47/S47</f>
        <v>100.76118053741631</v>
      </c>
      <c r="U47" s="85">
        <f t="shared" si="80"/>
        <v>64236691</v>
      </c>
    </row>
    <row r="48" spans="1:21" s="92" customFormat="1" ht="13.2">
      <c r="A48" s="129" t="s">
        <v>1091</v>
      </c>
      <c r="B48" s="188"/>
      <c r="C48" s="188"/>
      <c r="D48" s="190"/>
      <c r="E48" s="287"/>
      <c r="F48" s="136">
        <f>Q48/20</f>
        <v>641297.30000000005</v>
      </c>
      <c r="G48" s="190">
        <f t="shared" ref="G48" si="84">F48/F47-1</f>
        <v>-0.36976593832457416</v>
      </c>
      <c r="H48" s="190">
        <f t="shared" ref="H48" si="85">F48/F36-1</f>
        <v>-0.35622668652462952</v>
      </c>
      <c r="I48" s="130">
        <f t="shared" si="0"/>
        <v>100.51516393538978</v>
      </c>
      <c r="J48" s="130">
        <f t="shared" si="5"/>
        <v>-0.11684932393961756</v>
      </c>
      <c r="K48" s="136"/>
      <c r="L48" s="190"/>
      <c r="M48" s="190"/>
      <c r="N48" s="191"/>
      <c r="O48" s="192"/>
      <c r="P48" s="129" t="s">
        <v>1070</v>
      </c>
      <c r="Q48" s="116">
        <v>12825946</v>
      </c>
      <c r="R48" s="116">
        <v>17803814512</v>
      </c>
      <c r="S48" s="116">
        <v>127602.1</v>
      </c>
      <c r="T48" s="130">
        <f t="shared" ref="T48" si="86">Q48/S48</f>
        <v>100.51516393538978</v>
      </c>
      <c r="U48" s="85">
        <f t="shared" si="80"/>
        <v>58899308</v>
      </c>
    </row>
    <row r="49" spans="1:26" ht="13.2">
      <c r="A49" s="129" t="s">
        <v>1158</v>
      </c>
      <c r="B49" s="188">
        <f>SUM(F47:F49)</f>
        <v>2690305.5648221346</v>
      </c>
      <c r="C49" s="188">
        <f>AVERAGE(F47:F49)</f>
        <v>896768.52160737815</v>
      </c>
      <c r="D49" s="190">
        <f>C49/C46-1</f>
        <v>-0.1050898806463777</v>
      </c>
      <c r="E49" s="287">
        <f>C49/C37-1</f>
        <v>-0.12886780511323259</v>
      </c>
      <c r="F49" s="136">
        <f>Q49/22</f>
        <v>1031454.0909090909</v>
      </c>
      <c r="G49" s="190">
        <f t="shared" ref="G49" si="87">F49/F48-1</f>
        <v>0.60838676680705017</v>
      </c>
      <c r="H49" s="190">
        <f t="shared" ref="H49" si="88">F49/F37-1</f>
        <v>-5.4207396106237926E-2</v>
      </c>
      <c r="I49" s="130">
        <f t="shared" si="0"/>
        <v>105.50970901774565</v>
      </c>
      <c r="J49" s="130">
        <f t="shared" si="5"/>
        <v>-6.974792439523636E-2</v>
      </c>
      <c r="K49" s="136">
        <f>R47+R48+R49</f>
        <v>81461804079</v>
      </c>
      <c r="L49" s="190">
        <f>U49/U46-1</f>
        <v>-2.995704142841038E-2</v>
      </c>
      <c r="M49" s="190">
        <f>K49/K37-1</f>
        <v>-5.9518546702775899E-2</v>
      </c>
      <c r="N49" s="191">
        <f>AVERAGE(T47:T49)</f>
        <v>102.26201783018392</v>
      </c>
      <c r="O49" s="192">
        <f>N49/N46-1</f>
        <v>2.444561217093888E-2</v>
      </c>
      <c r="P49" s="129" t="s">
        <v>1180</v>
      </c>
      <c r="Q49" s="116">
        <v>22691990</v>
      </c>
      <c r="R49" s="116">
        <v>31518661111</v>
      </c>
      <c r="S49" s="116">
        <v>215070.16</v>
      </c>
      <c r="T49" s="130">
        <f t="shared" ref="T49" si="89">Q49/S49</f>
        <v>105.50970901774565</v>
      </c>
      <c r="U49" s="85">
        <f t="shared" si="80"/>
        <v>58921682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87"/>
      <c r="F50" s="136">
        <f>Q50/18</f>
        <v>723494.9444444445</v>
      </c>
      <c r="G50" s="190">
        <f t="shared" ref="G50" si="90">F50/F49-1</f>
        <v>-0.29856796262567631</v>
      </c>
      <c r="H50" s="190">
        <f t="shared" ref="H50" si="91">F50/F38-1</f>
        <v>-0.32746526538843479</v>
      </c>
      <c r="I50" s="130">
        <f t="shared" ref="I50" si="92">T50</f>
        <v>100.3296889126175</v>
      </c>
      <c r="J50" s="130">
        <f t="shared" ref="J50" si="93">I50/I38-1</f>
        <v>-0.10803400633603488</v>
      </c>
      <c r="K50" s="136"/>
      <c r="L50" s="190"/>
      <c r="M50" s="190"/>
      <c r="N50" s="191"/>
      <c r="O50" s="192"/>
      <c r="P50" s="129" t="s">
        <v>1291</v>
      </c>
      <c r="Q50" s="116">
        <v>13022909</v>
      </c>
      <c r="R50" s="116">
        <v>18460509722</v>
      </c>
      <c r="S50" s="116">
        <v>129801.15</v>
      </c>
      <c r="T50" s="130">
        <f t="shared" ref="T50" si="94">Q50/S50</f>
        <v>100.3296889126175</v>
      </c>
      <c r="U50" s="85">
        <f t="shared" si="80"/>
        <v>48540845</v>
      </c>
    </row>
    <row r="51" spans="1:26" s="79" customFormat="1" ht="13.2">
      <c r="A51" s="129" t="s">
        <v>1402</v>
      </c>
      <c r="B51" s="188"/>
      <c r="C51" s="188"/>
      <c r="D51" s="190"/>
      <c r="E51" s="287"/>
      <c r="F51" s="136">
        <f>Q51/20</f>
        <v>801617.95</v>
      </c>
      <c r="G51" s="190">
        <f t="shared" ref="G51:G52" si="95">F51/F50-1</f>
        <v>0.10798002965389664</v>
      </c>
      <c r="H51" s="190">
        <f t="shared" ref="H51:H52" si="96">F51/F39-1</f>
        <v>-0.10656311598348778</v>
      </c>
      <c r="I51" s="130">
        <f t="shared" ref="I51:I52" si="97">T51</f>
        <v>102.06403203231343</v>
      </c>
      <c r="J51" s="130">
        <f t="shared" ref="J51:J52" si="98">I51/I39-1</f>
        <v>-3.0564440257056624E-2</v>
      </c>
      <c r="K51" s="136"/>
      <c r="L51" s="190"/>
      <c r="M51" s="190"/>
      <c r="N51" s="191"/>
      <c r="O51" s="192"/>
      <c r="P51" s="129" t="s">
        <v>1402</v>
      </c>
      <c r="Q51" s="116">
        <v>16032359</v>
      </c>
      <c r="R51" s="116">
        <v>23281572868</v>
      </c>
      <c r="S51" s="116">
        <v>157081.38</v>
      </c>
      <c r="T51" s="130">
        <f t="shared" ref="T51:T52" si="99">Q51/S51</f>
        <v>102.06403203231343</v>
      </c>
      <c r="U51" s="85">
        <f t="shared" si="80"/>
        <v>51747258</v>
      </c>
    </row>
    <row r="52" spans="1:26" s="79" customFormat="1" ht="13.2">
      <c r="A52" s="129" t="s">
        <v>1403</v>
      </c>
      <c r="B52" s="188">
        <f>SUM(F50:F52)</f>
        <v>3017155.485353535</v>
      </c>
      <c r="C52" s="188">
        <f>AVERAGE(F50:F52)</f>
        <v>1005718.495117845</v>
      </c>
      <c r="D52" s="190">
        <f>C52/C49-1</f>
        <v>0.121491746069748</v>
      </c>
      <c r="E52" s="287">
        <f>C52/C40-1</f>
        <v>0.11180593472179035</v>
      </c>
      <c r="F52" s="136">
        <f>Q52/22</f>
        <v>1492042.5909090908</v>
      </c>
      <c r="G52" s="190">
        <f t="shared" si="95"/>
        <v>0.86128889817037013</v>
      </c>
      <c r="H52" s="190">
        <f t="shared" si="96"/>
        <v>1.014259382498552</v>
      </c>
      <c r="I52" s="130">
        <f t="shared" si="97"/>
        <v>116.3756094973741</v>
      </c>
      <c r="J52" s="130">
        <f t="shared" si="98"/>
        <v>0.14528051036074485</v>
      </c>
      <c r="K52" s="136">
        <f>R50+R51+R52</f>
        <v>90035984046</v>
      </c>
      <c r="L52" s="190">
        <f>U52/U49-1</f>
        <v>5.0211109044714597E-2</v>
      </c>
      <c r="M52" s="190">
        <f>K52/K40-1</f>
        <v>0.16688161007262581</v>
      </c>
      <c r="N52" s="191">
        <f>AVERAGE(T50:T52)</f>
        <v>106.25644348076834</v>
      </c>
      <c r="O52" s="192">
        <f>N52/N49-1</f>
        <v>3.9060696584508614E-2</v>
      </c>
      <c r="P52" s="129" t="s">
        <v>1403</v>
      </c>
      <c r="Q52" s="116">
        <v>32824937</v>
      </c>
      <c r="R52" s="116">
        <v>48293901456</v>
      </c>
      <c r="S52" s="116">
        <v>282060.28000000003</v>
      </c>
      <c r="T52" s="130">
        <f t="shared" si="99"/>
        <v>116.3756094973741</v>
      </c>
      <c r="U52" s="85">
        <f t="shared" ref="U52" si="100">Q50+Q51+Q52</f>
        <v>61880205</v>
      </c>
    </row>
    <row r="53" spans="1:26" s="79" customFormat="1" ht="13.2">
      <c r="A53" s="129" t="s">
        <v>1414</v>
      </c>
      <c r="B53" s="188"/>
      <c r="C53" s="188"/>
      <c r="D53" s="190"/>
      <c r="E53" s="287"/>
      <c r="F53" s="136">
        <f>Q53/21</f>
        <v>612366.85714285716</v>
      </c>
      <c r="G53" s="190">
        <f t="shared" ref="G53" si="101">F53/F52-1</f>
        <v>-0.58957816561406173</v>
      </c>
      <c r="H53" s="190">
        <f t="shared" ref="H53" si="102">F53/F41-1</f>
        <v>-0.36584808695774029</v>
      </c>
      <c r="I53" s="130">
        <f t="shared" ref="I53" si="103">T53</f>
        <v>91.599139831513526</v>
      </c>
      <c r="J53" s="130">
        <f t="shared" ref="J53" si="104">I53/I41-1</f>
        <v>-7.4381062487153926E-2</v>
      </c>
      <c r="K53" s="136"/>
      <c r="L53" s="190"/>
      <c r="M53" s="190"/>
      <c r="N53" s="191"/>
      <c r="O53" s="192"/>
      <c r="P53" s="129" t="s">
        <v>1414</v>
      </c>
      <c r="Q53" s="116">
        <v>12859704</v>
      </c>
      <c r="R53" s="116">
        <v>18761263781</v>
      </c>
      <c r="S53" s="116">
        <v>140391.1</v>
      </c>
      <c r="T53" s="130">
        <f t="shared" ref="T53" si="105">Q53/S53</f>
        <v>91.599139831513526</v>
      </c>
      <c r="U53" s="85">
        <f t="shared" ref="U53" si="106">Q51+Q52+Q53</f>
        <v>61717000</v>
      </c>
    </row>
    <row r="54" spans="1:26" s="79" customFormat="1" ht="13.2">
      <c r="A54" s="129" t="s">
        <v>1417</v>
      </c>
      <c r="B54" s="188"/>
      <c r="C54" s="188"/>
      <c r="D54" s="190"/>
      <c r="E54" s="287"/>
      <c r="F54" s="136">
        <f>Q54/17</f>
        <v>955329.5882352941</v>
      </c>
      <c r="G54" s="190">
        <f t="shared" ref="G54" si="107">F54/F53-1</f>
        <v>0.56006089665370018</v>
      </c>
      <c r="H54" s="190">
        <f t="shared" ref="H54" si="108">F54/F42-1</f>
        <v>6.0864612011078512E-2</v>
      </c>
      <c r="I54" s="130">
        <f t="shared" ref="I54" si="109">T54</f>
        <v>98.685897792307074</v>
      </c>
      <c r="J54" s="130">
        <f t="shared" ref="J54" si="110">I54/I42-1</f>
        <v>8.4413130614081178E-2</v>
      </c>
      <c r="K54" s="136"/>
      <c r="L54" s="190"/>
      <c r="M54" s="190"/>
      <c r="N54" s="191"/>
      <c r="O54" s="192"/>
      <c r="P54" s="129" t="s">
        <v>1417</v>
      </c>
      <c r="Q54" s="116">
        <v>16240603</v>
      </c>
      <c r="R54" s="116">
        <v>23537939360</v>
      </c>
      <c r="S54" s="116">
        <v>164568.63</v>
      </c>
      <c r="T54" s="130">
        <f t="shared" ref="T54" si="111">Q54/S54</f>
        <v>98.685897792307074</v>
      </c>
      <c r="U54" s="85">
        <f t="shared" ref="U54" si="112">Q52+Q53+Q54</f>
        <v>61925244</v>
      </c>
    </row>
    <row r="55" spans="1:26" s="79" customFormat="1" ht="13.2">
      <c r="A55" s="129" t="s">
        <v>1418</v>
      </c>
      <c r="B55" s="188">
        <f>SUM(F53:F55)</f>
        <v>2591005.2072829129</v>
      </c>
      <c r="C55" s="188">
        <f>AVERAGE(F53:F55)</f>
        <v>863668.4024276376</v>
      </c>
      <c r="D55" s="190">
        <f>C55/C52-1</f>
        <v>-0.14124239872267907</v>
      </c>
      <c r="E55" s="287">
        <f>C55/C43-1</f>
        <v>-0.2271372731266641</v>
      </c>
      <c r="F55" s="136">
        <f>Q55/21</f>
        <v>1023308.7619047619</v>
      </c>
      <c r="G55" s="190">
        <f t="shared" ref="G55" si="113">F55/F54-1</f>
        <v>7.115782291956485E-2</v>
      </c>
      <c r="H55" s="190">
        <f t="shared" ref="H55" si="114">F55/F43-1</f>
        <v>-0.31151107767390296</v>
      </c>
      <c r="I55" s="130">
        <f>T55</f>
        <v>95.659296228030883</v>
      </c>
      <c r="J55" s="130">
        <f t="shared" ref="J55" si="115">I55/I43-1</f>
        <v>-0.11498382821573749</v>
      </c>
      <c r="K55" s="136">
        <f>R53+R54+R55</f>
        <v>74055252007</v>
      </c>
      <c r="L55" s="190">
        <f>U55/U52-1</f>
        <v>-0.18245598895478776</v>
      </c>
      <c r="M55" s="190">
        <f>K55/K43-1</f>
        <v>-0.21761266856555184</v>
      </c>
      <c r="N55" s="191">
        <f>AVERAGE(T53:T55)</f>
        <v>95.314777950617156</v>
      </c>
      <c r="O55" s="192">
        <f>N55/N52-1</f>
        <v>-0.10297413664265498</v>
      </c>
      <c r="P55" s="129" t="s">
        <v>1418</v>
      </c>
      <c r="Q55" s="116">
        <v>21489484</v>
      </c>
      <c r="R55" s="116">
        <v>31756048866</v>
      </c>
      <c r="S55" s="116">
        <v>224646.06</v>
      </c>
      <c r="T55" s="130">
        <f t="shared" ref="T55" si="116">Q55/S55</f>
        <v>95.659296228030883</v>
      </c>
      <c r="U55" s="85">
        <f t="shared" ref="U55" si="117">Q53+Q54+Q55</f>
        <v>50589791</v>
      </c>
    </row>
    <row r="56" spans="1:26" s="79" customFormat="1" ht="13.2">
      <c r="A56" s="129" t="s">
        <v>1420</v>
      </c>
      <c r="B56" s="188"/>
      <c r="C56" s="188"/>
      <c r="D56" s="190"/>
      <c r="E56" s="287"/>
      <c r="F56" s="290">
        <f>Q56/22</f>
        <v>936024.31818181823</v>
      </c>
      <c r="G56" s="190">
        <f t="shared" ref="G56" si="118">F56/F55-1</f>
        <v>-8.5296292744014512E-2</v>
      </c>
      <c r="H56" s="190">
        <f t="shared" ref="H56" si="119">F56/F44-1</f>
        <v>3.4365852307223443E-2</v>
      </c>
      <c r="I56" s="291">
        <f>T56</f>
        <v>92.43457557620745</v>
      </c>
      <c r="J56" s="130">
        <f t="shared" ref="J56" si="120">I56/I44-1</f>
        <v>4.2008139728734184E-2</v>
      </c>
      <c r="K56" s="136"/>
      <c r="L56" s="190"/>
      <c r="M56" s="190"/>
      <c r="N56" s="191"/>
      <c r="O56" s="192"/>
      <c r="P56" s="129" t="s">
        <v>1420</v>
      </c>
      <c r="Q56" s="116">
        <v>20592535</v>
      </c>
      <c r="R56" s="116">
        <v>30733993344</v>
      </c>
      <c r="S56" s="116">
        <v>222779.57</v>
      </c>
      <c r="T56" s="130">
        <f t="shared" ref="T56" si="121">Q56/S56</f>
        <v>92.43457557620745</v>
      </c>
      <c r="U56" s="85">
        <f t="shared" ref="U56" si="122">Q54+Q55+Q56</f>
        <v>58322622</v>
      </c>
    </row>
    <row r="57" spans="1:26" s="79" customFormat="1" ht="13.2">
      <c r="A57" s="276" t="s">
        <v>1436</v>
      </c>
      <c r="B57" s="253"/>
      <c r="C57" s="253"/>
      <c r="D57" s="254"/>
      <c r="E57" s="289"/>
      <c r="F57" s="283">
        <f>Q57/12</f>
        <v>629596.41666666663</v>
      </c>
      <c r="G57" s="254">
        <f t="shared" ref="G57" si="123">F57/F56-1</f>
        <v>-0.32737173122849295</v>
      </c>
      <c r="H57" s="254">
        <f t="shared" ref="H57" si="124">F57/F45-1</f>
        <v>-0.3067389610498531</v>
      </c>
      <c r="I57" s="282">
        <f>T57</f>
        <v>99.669954849327354</v>
      </c>
      <c r="J57" s="277">
        <f t="shared" ref="J57" si="125">I57/I45-1</f>
        <v>3.1679814918091243E-2</v>
      </c>
      <c r="K57" s="204"/>
      <c r="L57" s="254"/>
      <c r="M57" s="254"/>
      <c r="N57" s="257"/>
      <c r="O57" s="258"/>
      <c r="P57" s="129" t="s">
        <v>1436</v>
      </c>
      <c r="Q57" s="116">
        <v>7555157</v>
      </c>
      <c r="R57" s="116">
        <v>11122476975</v>
      </c>
      <c r="S57" s="116">
        <v>75801.75</v>
      </c>
      <c r="T57" s="130">
        <f t="shared" ref="T57" si="126">Q57/S57</f>
        <v>99.669954849327354</v>
      </c>
      <c r="U57" s="85">
        <f t="shared" ref="U57" si="127">Q55+Q56+Q57</f>
        <v>49637176</v>
      </c>
    </row>
    <row r="58" spans="1:26">
      <c r="B58" s="196">
        <f>SUM(F56:F58)</f>
        <v>1565620.7348484849</v>
      </c>
      <c r="C58" s="196">
        <f>AVERAGE(F56:F58)</f>
        <v>782810.36742424243</v>
      </c>
      <c r="D58" s="197">
        <f>C58/C55-1</f>
        <v>-9.3621620029302632E-2</v>
      </c>
      <c r="E58" s="233">
        <f>C58/C46-1</f>
        <v>-0.2188118756808981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78737483</v>
      </c>
      <c r="R66" s="212">
        <v>115911722326</v>
      </c>
      <c r="S66" s="213">
        <v>828187.12</v>
      </c>
      <c r="T66" s="214">
        <v>32</v>
      </c>
      <c r="U66" s="214">
        <v>214</v>
      </c>
    </row>
    <row r="67" spans="16:21" ht="18" thickBot="1">
      <c r="P67" s="180" t="s">
        <v>976</v>
      </c>
      <c r="Q67" s="181">
        <v>12859704</v>
      </c>
      <c r="R67" s="181">
        <v>18761263781</v>
      </c>
      <c r="S67" s="182">
        <v>140391.1</v>
      </c>
      <c r="T67" s="210">
        <v>17</v>
      </c>
      <c r="U67" s="210">
        <v>80</v>
      </c>
    </row>
    <row r="68" spans="16:21" ht="18" thickBot="1">
      <c r="P68" s="180" t="s">
        <v>977</v>
      </c>
      <c r="Q68" s="181">
        <v>16240603</v>
      </c>
      <c r="R68" s="181">
        <v>23537939360</v>
      </c>
      <c r="S68" s="182">
        <v>164568.63</v>
      </c>
      <c r="T68" s="210">
        <v>22</v>
      </c>
      <c r="U68" s="210">
        <v>82</v>
      </c>
    </row>
    <row r="69" spans="16:21" ht="18" thickBot="1">
      <c r="P69" s="180" t="s">
        <v>978</v>
      </c>
      <c r="Q69" s="181">
        <v>21489484</v>
      </c>
      <c r="R69" s="181">
        <v>31756048866</v>
      </c>
      <c r="S69" s="182">
        <v>224646.06</v>
      </c>
      <c r="T69" s="210">
        <v>20</v>
      </c>
      <c r="U69" s="210">
        <v>99</v>
      </c>
    </row>
    <row r="70" spans="16:21" ht="18" thickBot="1">
      <c r="P70" s="180" t="s">
        <v>979</v>
      </c>
      <c r="Q70" s="181">
        <v>20592535</v>
      </c>
      <c r="R70" s="181">
        <v>30733993344</v>
      </c>
      <c r="S70" s="182">
        <v>222779.57</v>
      </c>
      <c r="T70" s="210">
        <v>24</v>
      </c>
      <c r="U70" s="210">
        <v>99</v>
      </c>
    </row>
    <row r="71" spans="16:21" ht="18" thickBot="1">
      <c r="P71" s="180" t="s">
        <v>980</v>
      </c>
      <c r="Q71" s="181">
        <v>7555157</v>
      </c>
      <c r="R71" s="181">
        <v>11122476975</v>
      </c>
      <c r="S71" s="182">
        <v>75801.75</v>
      </c>
      <c r="T71" s="210">
        <v>14</v>
      </c>
      <c r="U71" s="210">
        <v>50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215" t="s">
        <v>982</v>
      </c>
      <c r="Q73" s="217" t="s">
        <v>1449</v>
      </c>
      <c r="R73"/>
      <c r="S73"/>
      <c r="T73"/>
      <c r="U73"/>
    </row>
  </sheetData>
  <phoneticPr fontId="1" type="noConversion"/>
  <conditionalFormatting sqref="C29:C30">
    <cfRule type="cellIs" dxfId="10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"/>
  <dimension ref="A1:Z73"/>
  <sheetViews>
    <sheetView zoomScale="90" zoomScaleNormal="90" workbookViewId="0">
      <selection activeCell="D70" sqref="D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8517130000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330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287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6250226.7999999998</v>
      </c>
      <c r="G5" s="90"/>
      <c r="H5" s="90"/>
      <c r="I5" s="130">
        <f t="shared" ref="I5:I49" si="0">T5</f>
        <v>1892.0827836401625</v>
      </c>
      <c r="J5" s="130"/>
      <c r="K5" s="86"/>
      <c r="L5" s="80"/>
      <c r="M5" s="80"/>
      <c r="P5" s="129" t="s">
        <v>0</v>
      </c>
      <c r="Q5" s="116">
        <v>125004536</v>
      </c>
      <c r="R5" s="116">
        <v>147573829600</v>
      </c>
      <c r="S5" s="116">
        <v>66067.16</v>
      </c>
      <c r="T5" s="130">
        <f t="shared" ref="T5:T17" si="1">Q5/S5</f>
        <v>1892.0827836401625</v>
      </c>
      <c r="U5" s="85"/>
    </row>
    <row r="6" spans="1:21" ht="15" hidden="1" customHeight="1">
      <c r="A6" s="129" t="s">
        <v>1</v>
      </c>
      <c r="C6" s="79"/>
      <c r="F6" s="78">
        <f>Q6/18</f>
        <v>15101144.611111112</v>
      </c>
      <c r="G6" s="90">
        <f t="shared" ref="G6:G16" si="2">F6/F5-1</f>
        <v>1.4160954625056346</v>
      </c>
      <c r="H6" s="90"/>
      <c r="I6" s="130">
        <f t="shared" si="0"/>
        <v>2090.6065660528916</v>
      </c>
      <c r="J6" s="130"/>
      <c r="K6" s="78"/>
      <c r="P6" s="129" t="s">
        <v>1</v>
      </c>
      <c r="Q6" s="116">
        <v>271820603</v>
      </c>
      <c r="R6" s="116">
        <v>323172406923</v>
      </c>
      <c r="S6" s="116">
        <v>130019.97</v>
      </c>
      <c r="T6" s="130">
        <f t="shared" si="1"/>
        <v>2090.6065660528916</v>
      </c>
      <c r="U6" s="85"/>
    </row>
    <row r="7" spans="1:21" ht="15" hidden="1" customHeight="1">
      <c r="A7" s="129" t="s">
        <v>2</v>
      </c>
      <c r="B7" s="131">
        <f>F5+F6+F7</f>
        <v>56155576.956565663</v>
      </c>
      <c r="C7" s="131">
        <f>AVERAGE(F5:F7)</f>
        <v>18718525.652188554</v>
      </c>
      <c r="F7" s="78">
        <f>Q7/22</f>
        <v>34804205.545454547</v>
      </c>
      <c r="G7" s="90">
        <f t="shared" si="2"/>
        <v>1.3047395705254243</v>
      </c>
      <c r="H7" s="90"/>
      <c r="I7" s="130">
        <f t="shared" si="0"/>
        <v>2154.3320419406996</v>
      </c>
      <c r="J7" s="130"/>
      <c r="K7" s="85">
        <f>R5+R6+R7</f>
        <v>1395947592821</v>
      </c>
      <c r="N7" s="88">
        <f>AVERAGE(T5:T7)</f>
        <v>2045.6737972112514</v>
      </c>
      <c r="P7" s="129" t="s">
        <v>2</v>
      </c>
      <c r="Q7" s="116">
        <v>765692522</v>
      </c>
      <c r="R7" s="116">
        <v>925201356298</v>
      </c>
      <c r="S7" s="116">
        <v>355419.92</v>
      </c>
      <c r="T7" s="130">
        <f t="shared" si="1"/>
        <v>2154.3320419406996</v>
      </c>
      <c r="U7" s="85">
        <f>Q5+Q6+Q7</f>
        <v>1162517661</v>
      </c>
    </row>
    <row r="8" spans="1:21" ht="15" hidden="1" customHeight="1">
      <c r="A8" s="129" t="s">
        <v>3</v>
      </c>
      <c r="C8" s="79"/>
      <c r="F8" s="78">
        <f>Q8/21</f>
        <v>26927757.666666668</v>
      </c>
      <c r="G8" s="90">
        <f t="shared" si="2"/>
        <v>-0.22630736014075026</v>
      </c>
      <c r="H8" s="90"/>
      <c r="I8" s="130">
        <f t="shared" si="0"/>
        <v>2057.6012999921259</v>
      </c>
      <c r="J8" s="130"/>
      <c r="K8" s="78"/>
      <c r="P8" s="129" t="s">
        <v>3</v>
      </c>
      <c r="Q8" s="116">
        <v>565482911</v>
      </c>
      <c r="R8" s="116">
        <v>684617940686</v>
      </c>
      <c r="S8" s="116">
        <v>274826.28000000003</v>
      </c>
      <c r="T8" s="130">
        <f t="shared" si="1"/>
        <v>2057.6012999921259</v>
      </c>
      <c r="U8" s="85"/>
    </row>
    <row r="9" spans="1:21" ht="15" hidden="1" customHeight="1">
      <c r="A9" s="129" t="s">
        <v>4</v>
      </c>
      <c r="C9" s="79"/>
      <c r="F9" s="78">
        <f>Q9/21</f>
        <v>20012678.333333332</v>
      </c>
      <c r="G9" s="90">
        <f t="shared" si="2"/>
        <v>-0.2568011573385991</v>
      </c>
      <c r="H9" s="90"/>
      <c r="I9" s="130">
        <f t="shared" si="0"/>
        <v>2060.0233282190525</v>
      </c>
      <c r="J9" s="130"/>
      <c r="K9" s="78"/>
      <c r="P9" s="129" t="s">
        <v>4</v>
      </c>
      <c r="Q9" s="116">
        <v>420266245</v>
      </c>
      <c r="R9" s="116">
        <v>527879951182</v>
      </c>
      <c r="S9" s="116">
        <v>204010.43</v>
      </c>
      <c r="T9" s="130">
        <f t="shared" si="1"/>
        <v>2060.0233282190525</v>
      </c>
      <c r="U9" s="85"/>
    </row>
    <row r="10" spans="1:21" ht="15" hidden="1" customHeight="1">
      <c r="A10" s="129" t="s">
        <v>5</v>
      </c>
      <c r="B10" s="131">
        <f>F8+F9+F10</f>
        <v>68774961.571428567</v>
      </c>
      <c r="C10" s="131">
        <f>AVERAGE(F8:F10)</f>
        <v>22924987.19047619</v>
      </c>
      <c r="D10" s="90">
        <f>C10/C7-1</f>
        <v>0.22472184062187717</v>
      </c>
      <c r="E10" s="286"/>
      <c r="F10" s="78">
        <f>Q10/21</f>
        <v>21834525.571428571</v>
      </c>
      <c r="G10" s="90">
        <f t="shared" si="2"/>
        <v>9.1034653520650988E-2</v>
      </c>
      <c r="H10" s="90"/>
      <c r="I10" s="130">
        <f t="shared" si="0"/>
        <v>1946.0736447430063</v>
      </c>
      <c r="J10" s="130"/>
      <c r="K10" s="85">
        <f>R8+R9+R10</f>
        <v>1788708222947</v>
      </c>
      <c r="L10" s="87">
        <f>U10/U7-1</f>
        <v>0.24236752821254548</v>
      </c>
      <c r="N10" s="88">
        <f>AVERAGE(T8:T10)</f>
        <v>2021.2327576513951</v>
      </c>
      <c r="O10" s="89">
        <f>N10/N7-1</f>
        <v>-1.1947672005759413E-2</v>
      </c>
      <c r="P10" s="129" t="s">
        <v>5</v>
      </c>
      <c r="Q10" s="116">
        <v>458525037</v>
      </c>
      <c r="R10" s="116">
        <v>576210331079</v>
      </c>
      <c r="S10" s="116">
        <v>235615.46</v>
      </c>
      <c r="T10" s="130">
        <f t="shared" si="1"/>
        <v>1946.0736447430063</v>
      </c>
      <c r="U10" s="85">
        <f>Q8+Q9+Q10</f>
        <v>1444274193</v>
      </c>
    </row>
    <row r="11" spans="1:21" ht="15" hidden="1" customHeight="1">
      <c r="A11" s="129" t="s">
        <v>6</v>
      </c>
      <c r="C11" s="79"/>
      <c r="F11" s="78">
        <f>Q11/21</f>
        <v>14228228.619047619</v>
      </c>
      <c r="G11" s="90">
        <f t="shared" si="2"/>
        <v>-0.34836099037270229</v>
      </c>
      <c r="H11" s="90"/>
      <c r="I11" s="130">
        <f t="shared" si="0"/>
        <v>1903.2016534048703</v>
      </c>
      <c r="J11" s="130"/>
      <c r="K11" s="78"/>
      <c r="O11" s="89"/>
      <c r="P11" s="129" t="s">
        <v>6</v>
      </c>
      <c r="Q11" s="116">
        <v>298792801</v>
      </c>
      <c r="R11" s="116">
        <v>384473204119</v>
      </c>
      <c r="S11" s="116">
        <v>156994.82</v>
      </c>
      <c r="T11" s="130">
        <f t="shared" si="1"/>
        <v>1903.2016534048703</v>
      </c>
      <c r="U11" s="85"/>
    </row>
    <row r="12" spans="1:21" ht="15" hidden="1" customHeight="1">
      <c r="A12" s="129" t="s">
        <v>7</v>
      </c>
      <c r="C12" s="79"/>
      <c r="F12" s="78">
        <f>Q12/22</f>
        <v>11545399.090909092</v>
      </c>
      <c r="G12" s="90">
        <f t="shared" si="2"/>
        <v>-0.18855681898075272</v>
      </c>
      <c r="H12" s="90"/>
      <c r="I12" s="130">
        <f t="shared" si="0"/>
        <v>2149.8099736596228</v>
      </c>
      <c r="J12" s="130"/>
      <c r="K12" s="78"/>
      <c r="O12" s="89"/>
      <c r="P12" s="129" t="s">
        <v>7</v>
      </c>
      <c r="Q12" s="116">
        <v>253998780</v>
      </c>
      <c r="R12" s="116">
        <v>329662752640</v>
      </c>
      <c r="S12" s="116">
        <v>118149.41</v>
      </c>
      <c r="T12" s="130">
        <f t="shared" si="1"/>
        <v>2149.8099736596228</v>
      </c>
      <c r="U12" s="85"/>
    </row>
    <row r="13" spans="1:21" ht="15" hidden="1" customHeight="1">
      <c r="A13" s="129" t="s">
        <v>35</v>
      </c>
      <c r="B13" s="131">
        <f>F11+F12+F13</f>
        <v>46027553.709956713</v>
      </c>
      <c r="C13" s="131">
        <f>AVERAGE(F11:F13)</f>
        <v>15342517.903318904</v>
      </c>
      <c r="D13" s="90">
        <f>C13/C10-1</f>
        <v>-0.33075129875349718</v>
      </c>
      <c r="E13" s="286"/>
      <c r="F13" s="78">
        <f>Q13/20</f>
        <v>20253926</v>
      </c>
      <c r="G13" s="90">
        <f t="shared" si="2"/>
        <v>0.75428548121372851</v>
      </c>
      <c r="H13" s="90"/>
      <c r="I13" s="130">
        <f t="shared" si="0"/>
        <v>2039.0621669076236</v>
      </c>
      <c r="J13" s="130"/>
      <c r="K13" s="78">
        <f>R11+R12+R13</f>
        <v>1264767878112</v>
      </c>
      <c r="L13" s="87">
        <f>U13/U10-1</f>
        <v>-0.33678098961919212</v>
      </c>
      <c r="N13" s="88">
        <f>AVERAGE(T11:T13)</f>
        <v>2030.6912646573721</v>
      </c>
      <c r="O13" s="89">
        <f>N13/N10-1</f>
        <v>4.6795733792517336E-3</v>
      </c>
      <c r="P13" s="129" t="s">
        <v>60</v>
      </c>
      <c r="Q13" s="116">
        <v>405078520</v>
      </c>
      <c r="R13" s="116">
        <v>550631921353</v>
      </c>
      <c r="S13" s="116">
        <v>198659.23</v>
      </c>
      <c r="T13" s="130">
        <f t="shared" si="1"/>
        <v>2039.0621669076236</v>
      </c>
      <c r="U13" s="85">
        <f>Q11+Q12+Q13</f>
        <v>957870101</v>
      </c>
    </row>
    <row r="14" spans="1:21" ht="15" hidden="1" customHeight="1">
      <c r="A14" s="129" t="s">
        <v>36</v>
      </c>
      <c r="C14" s="79"/>
      <c r="F14" s="78">
        <f>Q14/20</f>
        <v>13983540.699999999</v>
      </c>
      <c r="G14" s="90">
        <f t="shared" si="2"/>
        <v>-0.30958863481578835</v>
      </c>
      <c r="H14" s="90"/>
      <c r="I14" s="130">
        <f t="shared" si="0"/>
        <v>1762.9049123993182</v>
      </c>
      <c r="J14" s="130"/>
      <c r="K14" s="78"/>
      <c r="O14" s="89"/>
      <c r="P14" s="129" t="s">
        <v>36</v>
      </c>
      <c r="Q14" s="116">
        <v>279670814</v>
      </c>
      <c r="R14" s="116">
        <v>398300434497</v>
      </c>
      <c r="S14" s="116">
        <v>158642.03</v>
      </c>
      <c r="T14" s="130">
        <f t="shared" si="1"/>
        <v>1762.9049123993182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12756739.5</v>
      </c>
      <c r="G15" s="90">
        <f t="shared" si="2"/>
        <v>-8.7731800287176198E-2</v>
      </c>
      <c r="H15" s="90"/>
      <c r="I15" s="130">
        <f t="shared" si="0"/>
        <v>1685.5069590576334</v>
      </c>
      <c r="J15" s="130"/>
      <c r="K15" s="78"/>
      <c r="O15" s="89"/>
      <c r="P15" s="129" t="s">
        <v>37</v>
      </c>
      <c r="Q15" s="116">
        <v>280648269</v>
      </c>
      <c r="R15" s="116">
        <v>394318872577</v>
      </c>
      <c r="S15" s="116">
        <v>166506.74</v>
      </c>
      <c r="T15" s="130">
        <f t="shared" si="1"/>
        <v>1685.5069590576334</v>
      </c>
      <c r="U15" s="78"/>
    </row>
    <row r="16" spans="1:21" ht="15" hidden="1" customHeight="1">
      <c r="A16" s="129" t="s">
        <v>38</v>
      </c>
      <c r="B16" s="131">
        <f>F14+F15+F16</f>
        <v>30394179.563636363</v>
      </c>
      <c r="C16" s="131">
        <f>AVERAGE(F14:F16)</f>
        <v>10131393.187878788</v>
      </c>
      <c r="D16" s="90">
        <f>C16/C13-1</f>
        <v>-0.33965250999073904</v>
      </c>
      <c r="E16" s="286"/>
      <c r="F16" s="78">
        <f>Q16/22</f>
        <v>3653899.3636363638</v>
      </c>
      <c r="G16" s="90">
        <f t="shared" si="2"/>
        <v>-0.71357106072156107</v>
      </c>
      <c r="H16" s="90"/>
      <c r="I16" s="130">
        <f t="shared" si="0"/>
        <v>1339.3566052703004</v>
      </c>
      <c r="J16" s="130"/>
      <c r="K16" s="78">
        <f>R14+R15+R16</f>
        <v>898896081837</v>
      </c>
      <c r="L16" s="87">
        <f>U16/U13-1</f>
        <v>-0.33111507674045249</v>
      </c>
      <c r="N16" s="88">
        <f>AVERAGE(T14:T16)</f>
        <v>1595.9228255757505</v>
      </c>
      <c r="O16" s="89">
        <f>N16/N13-1</f>
        <v>-0.21409873900992915</v>
      </c>
      <c r="P16" s="129" t="s">
        <v>38</v>
      </c>
      <c r="Q16" s="116">
        <v>80385786</v>
      </c>
      <c r="R16" s="116">
        <v>106276774763</v>
      </c>
      <c r="S16" s="116">
        <v>60018.21</v>
      </c>
      <c r="T16" s="130">
        <f t="shared" si="1"/>
        <v>1339.3566052703004</v>
      </c>
      <c r="U16" s="85">
        <f>Q14+Q15+Q16</f>
        <v>640704869</v>
      </c>
    </row>
    <row r="17" spans="1:21" ht="15" hidden="1" customHeight="1">
      <c r="A17" s="129" t="s">
        <v>85</v>
      </c>
      <c r="C17" s="79"/>
      <c r="F17" s="78">
        <f>Q17/20</f>
        <v>15769799.300000001</v>
      </c>
      <c r="G17" s="90">
        <f t="shared" ref="G17:G22" si="3">F17/F16-1</f>
        <v>3.3158822207697263</v>
      </c>
      <c r="H17" s="90">
        <f t="shared" ref="H17:H22" si="4">F17/F5-1</f>
        <v>1.523076330606115</v>
      </c>
      <c r="I17" s="130">
        <f t="shared" si="0"/>
        <v>2346.6729275169428</v>
      </c>
      <c r="J17" s="130">
        <f t="shared" ref="J17:J49" si="5">I17/I5-1</f>
        <v>0.2402591196365087</v>
      </c>
      <c r="K17" s="78"/>
      <c r="O17" s="89"/>
      <c r="P17" s="129" t="s">
        <v>85</v>
      </c>
      <c r="Q17" s="116">
        <v>315395986</v>
      </c>
      <c r="R17" s="116">
        <v>395251195245</v>
      </c>
      <c r="S17" s="116">
        <v>134401.34</v>
      </c>
      <c r="T17" s="130">
        <f t="shared" si="1"/>
        <v>2346.6729275169428</v>
      </c>
      <c r="U17" s="78"/>
    </row>
    <row r="18" spans="1:21" ht="15" hidden="1" customHeight="1">
      <c r="A18" s="129" t="s">
        <v>106</v>
      </c>
      <c r="C18" s="79"/>
      <c r="F18" s="78">
        <f>Q18/20</f>
        <v>8453722.4499999993</v>
      </c>
      <c r="G18" s="90">
        <f t="shared" si="3"/>
        <v>-0.4639296106958064</v>
      </c>
      <c r="H18" s="90">
        <f t="shared" si="4"/>
        <v>-0.44019326562968453</v>
      </c>
      <c r="I18" s="130">
        <f t="shared" si="0"/>
        <v>1928.0689552460751</v>
      </c>
      <c r="J18" s="130">
        <f t="shared" si="5"/>
        <v>-7.7746627914639599E-2</v>
      </c>
      <c r="K18" s="78"/>
      <c r="O18" s="89"/>
      <c r="P18" s="129" t="s">
        <v>106</v>
      </c>
      <c r="Q18" s="116">
        <v>169074449</v>
      </c>
      <c r="R18" s="116">
        <v>212122394919</v>
      </c>
      <c r="S18" s="116">
        <v>87691.08</v>
      </c>
      <c r="T18" s="130">
        <f t="shared" ref="T18" si="6">Q18/S18</f>
        <v>1928.0689552460751</v>
      </c>
      <c r="U18" s="78"/>
    </row>
    <row r="19" spans="1:21" hidden="1">
      <c r="A19" s="129" t="s">
        <v>114</v>
      </c>
      <c r="B19" s="131">
        <f>SUM(F17:F19)</f>
        <v>35918645.61363636</v>
      </c>
      <c r="C19" s="131">
        <f>AVERAGE(F17:F19)</f>
        <v>11972881.871212119</v>
      </c>
      <c r="D19" s="90">
        <f>C19/C16-1</f>
        <v>0.18176065711638656</v>
      </c>
      <c r="E19" s="286">
        <f>C19/C7-1</f>
        <v>-0.36037260125707282</v>
      </c>
      <c r="F19" s="78">
        <f>Q19/22</f>
        <v>11695123.863636363</v>
      </c>
      <c r="G19" s="90">
        <f t="shared" si="3"/>
        <v>0.38342888979473932</v>
      </c>
      <c r="H19" s="90">
        <f t="shared" si="4"/>
        <v>-0.66397383073828697</v>
      </c>
      <c r="I19" s="130">
        <f t="shared" si="0"/>
        <v>2031.576510837263</v>
      </c>
      <c r="J19" s="130">
        <f t="shared" si="5"/>
        <v>-5.6980785094229991E-2</v>
      </c>
      <c r="K19" s="78">
        <f>R17+R18+R19</f>
        <v>943686151182</v>
      </c>
      <c r="L19" s="87">
        <f>U19/U16-1</f>
        <v>0.15772986267098266</v>
      </c>
      <c r="M19" s="87">
        <f>U19/U7-1</f>
        <v>-0.36193385710636528</v>
      </c>
      <c r="N19" s="88">
        <f>AVERAGE(T17:T19)</f>
        <v>2102.1061312000934</v>
      </c>
      <c r="O19" s="89">
        <f>N19/N16-1</f>
        <v>0.31717279652399899</v>
      </c>
      <c r="P19" s="129" t="s">
        <v>115</v>
      </c>
      <c r="Q19" s="116">
        <v>257292725</v>
      </c>
      <c r="R19" s="116">
        <v>336312561018</v>
      </c>
      <c r="S19" s="116">
        <v>126646.83</v>
      </c>
      <c r="T19" s="130">
        <f t="shared" ref="T19" si="7">Q19/S19</f>
        <v>2031.576510837263</v>
      </c>
      <c r="U19" s="85">
        <f>Q17+Q18+Q19</f>
        <v>741763160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16231768.199999999</v>
      </c>
      <c r="G20" s="90">
        <f t="shared" si="3"/>
        <v>0.38790904562109163</v>
      </c>
      <c r="H20" s="90">
        <f t="shared" si="4"/>
        <v>-0.39721055124864779</v>
      </c>
      <c r="I20" s="130">
        <f t="shared" si="0"/>
        <v>2092.6499712533705</v>
      </c>
      <c r="J20" s="130">
        <f t="shared" si="5"/>
        <v>1.7033752487121134E-2</v>
      </c>
      <c r="K20" s="78"/>
      <c r="O20" s="89"/>
      <c r="P20" s="129" t="s">
        <v>132</v>
      </c>
      <c r="Q20" s="116">
        <v>324635364</v>
      </c>
      <c r="R20" s="116">
        <v>425923422618</v>
      </c>
      <c r="S20" s="116">
        <v>155131.23000000001</v>
      </c>
      <c r="T20" s="130">
        <f t="shared" ref="T20" si="8">Q20/S20</f>
        <v>2092.6499712533705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15181495.380952381</v>
      </c>
      <c r="G21" s="90">
        <f t="shared" si="3"/>
        <v>-6.4704769443887145E-2</v>
      </c>
      <c r="H21" s="90">
        <f t="shared" si="4"/>
        <v>-0.24140611625851605</v>
      </c>
      <c r="I21" s="130">
        <f t="shared" si="0"/>
        <v>2073.4255341676339</v>
      </c>
      <c r="J21" s="130">
        <f t="shared" si="5"/>
        <v>6.5058515430347352E-3</v>
      </c>
      <c r="K21" s="78"/>
      <c r="O21" s="89"/>
      <c r="P21" s="129" t="s">
        <v>141</v>
      </c>
      <c r="Q21" s="116">
        <v>318811403</v>
      </c>
      <c r="R21" s="116">
        <v>424852119343</v>
      </c>
      <c r="S21" s="116">
        <v>153760.72</v>
      </c>
      <c r="T21" s="130">
        <f t="shared" ref="T21" si="9">Q21/S21</f>
        <v>2073.4255341676339</v>
      </c>
      <c r="U21" s="78"/>
    </row>
    <row r="22" spans="1:21" hidden="1">
      <c r="A22" s="129" t="s">
        <v>156</v>
      </c>
      <c r="B22" s="131">
        <f>SUM(F20:F22)</f>
        <v>42905255.961904764</v>
      </c>
      <c r="C22" s="131">
        <f>AVERAGE(F20:F22)</f>
        <v>14301751.987301588</v>
      </c>
      <c r="D22" s="90">
        <f>C22/C19-1</f>
        <v>0.1945120766362074</v>
      </c>
      <c r="E22" s="286">
        <f>C22/C10-1</f>
        <v>-0.3761500554624948</v>
      </c>
      <c r="F22" s="78">
        <f>Q22/21</f>
        <v>11491992.380952381</v>
      </c>
      <c r="G22" s="90">
        <f t="shared" si="3"/>
        <v>-0.24302632299510318</v>
      </c>
      <c r="H22" s="90">
        <f t="shared" si="4"/>
        <v>-0.47367794443905142</v>
      </c>
      <c r="I22" s="130">
        <f t="shared" si="0"/>
        <v>2000.9838600030066</v>
      </c>
      <c r="J22" s="130">
        <f t="shared" si="5"/>
        <v>2.8215897896942899E-2</v>
      </c>
      <c r="K22" s="78">
        <f>R20+R21+R22</f>
        <v>1165442052167</v>
      </c>
      <c r="L22" s="87">
        <f>U22/U19-1</f>
        <v>0.19280473163428602</v>
      </c>
      <c r="M22" s="87">
        <f>U22/U10-1</f>
        <v>-0.3873887581123594</v>
      </c>
      <c r="N22" s="88">
        <f>AVERAGE(T20:T22)</f>
        <v>2055.6864551413369</v>
      </c>
      <c r="O22" s="89">
        <f>N22/N19-1</f>
        <v>-2.2082460713939045E-2</v>
      </c>
      <c r="P22" s="129" t="s">
        <v>156</v>
      </c>
      <c r="Q22" s="116">
        <v>241331840</v>
      </c>
      <c r="R22" s="116">
        <v>314666510206</v>
      </c>
      <c r="S22" s="116">
        <v>120606.59</v>
      </c>
      <c r="T22" s="130">
        <f t="shared" ref="T22:T23" si="10">Q22/S22</f>
        <v>2000.9838600030066</v>
      </c>
      <c r="U22" s="85">
        <f>Q20+Q21+Q22</f>
        <v>884778607</v>
      </c>
    </row>
    <row r="23" spans="1:21" hidden="1">
      <c r="A23" s="129" t="s">
        <v>189</v>
      </c>
      <c r="B23" s="131"/>
      <c r="C23" s="131"/>
      <c r="F23" s="78">
        <f>Q23/21</f>
        <v>10784908.571428571</v>
      </c>
      <c r="G23" s="90">
        <f t="shared" ref="G23" si="11">F23/F22-1</f>
        <v>-6.1528391777893932E-2</v>
      </c>
      <c r="H23" s="90">
        <f t="shared" ref="H23" si="12">F23/F11-1</f>
        <v>-0.24200623561877588</v>
      </c>
      <c r="I23" s="130">
        <f t="shared" si="0"/>
        <v>2396.7673288905694</v>
      </c>
      <c r="J23" s="130">
        <f t="shared" si="5"/>
        <v>0.25933440873314662</v>
      </c>
      <c r="K23" s="78"/>
      <c r="O23" s="89"/>
      <c r="P23" s="129" t="s">
        <v>189</v>
      </c>
      <c r="Q23" s="116">
        <v>226483080</v>
      </c>
      <c r="R23" s="116">
        <v>291305184732</v>
      </c>
      <c r="S23" s="116">
        <v>94495.23</v>
      </c>
      <c r="T23" s="130">
        <f t="shared" si="10"/>
        <v>2396.7673288905694</v>
      </c>
      <c r="U23" s="78"/>
    </row>
    <row r="24" spans="1:21" hidden="1">
      <c r="A24" s="129" t="s">
        <v>204</v>
      </c>
      <c r="B24" s="131"/>
      <c r="C24" s="131"/>
      <c r="F24" s="78">
        <f>Q24/22</f>
        <v>7403477.0909090908</v>
      </c>
      <c r="G24" s="90">
        <f t="shared" ref="G24" si="13">F24/F23-1</f>
        <v>-0.31353362507658</v>
      </c>
      <c r="H24" s="90">
        <f t="shared" ref="H24" si="14">F24/F12-1</f>
        <v>-0.3587508727404124</v>
      </c>
      <c r="I24" s="130">
        <f t="shared" si="0"/>
        <v>1880.0862401921866</v>
      </c>
      <c r="J24" s="130">
        <f t="shared" si="5"/>
        <v>-0.12546398833952999</v>
      </c>
      <c r="K24" s="78"/>
      <c r="O24" s="89"/>
      <c r="P24" s="129" t="s">
        <v>204</v>
      </c>
      <c r="Q24" s="116">
        <v>162876496</v>
      </c>
      <c r="R24" s="116">
        <v>213304373686</v>
      </c>
      <c r="S24" s="116">
        <v>86632.46</v>
      </c>
      <c r="T24" s="130">
        <f t="shared" ref="T24" si="15">Q24/S24</f>
        <v>1880.0862401921866</v>
      </c>
      <c r="U24" s="78"/>
    </row>
    <row r="25" spans="1:21" s="79" customFormat="1" ht="13.2" hidden="1">
      <c r="A25" s="129" t="s">
        <v>219</v>
      </c>
      <c r="B25" s="131">
        <f>SUM(F23:F25)</f>
        <v>32323587.504442923</v>
      </c>
      <c r="C25" s="131">
        <f>AVERAGE(F23:F25)</f>
        <v>10774529.16814764</v>
      </c>
      <c r="D25" s="90">
        <f>C25/C22-1</f>
        <v>-0.24662872229120891</v>
      </c>
      <c r="E25" s="286">
        <f>C25/C13-1</f>
        <v>-0.29773396804595631</v>
      </c>
      <c r="F25" s="78">
        <f>Q25/19</f>
        <v>14135201.842105264</v>
      </c>
      <c r="G25" s="90">
        <f t="shared" ref="G25" si="16">F25/F24-1</f>
        <v>0.90926529096202935</v>
      </c>
      <c r="H25" s="90">
        <f t="shared" ref="H25" si="17">F25/F13-1</f>
        <v>-0.30210064744458609</v>
      </c>
      <c r="I25" s="130">
        <f t="shared" si="0"/>
        <v>2130.487554319458</v>
      </c>
      <c r="J25" s="130">
        <f t="shared" si="5"/>
        <v>4.4836978928645133E-2</v>
      </c>
      <c r="K25" s="78">
        <f>R23+R24+R25</f>
        <v>861281321466</v>
      </c>
      <c r="L25" s="90">
        <f>U25/U22-1</f>
        <v>-0.25639204452419584</v>
      </c>
      <c r="M25" s="90">
        <f>U25/U13-1</f>
        <v>-0.31313399352048465</v>
      </c>
      <c r="N25" s="88">
        <f>AVERAGE(T23:T25)</f>
        <v>2135.7803744674043</v>
      </c>
      <c r="O25" s="91">
        <f>N25/N22-1</f>
        <v>3.8962128259273143E-2</v>
      </c>
      <c r="P25" s="129" t="s">
        <v>219</v>
      </c>
      <c r="Q25" s="116">
        <v>268568835</v>
      </c>
      <c r="R25" s="116">
        <v>356671763048</v>
      </c>
      <c r="S25" s="116">
        <v>126059.8</v>
      </c>
      <c r="T25" s="130">
        <f t="shared" ref="T25" si="18">Q25/S25</f>
        <v>2130.487554319458</v>
      </c>
      <c r="U25" s="85">
        <f>Q23+Q24+Q25</f>
        <v>657928411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13504971.578947369</v>
      </c>
      <c r="G26" s="90">
        <f t="shared" ref="G26" si="19">F26/F25-1</f>
        <v>-4.4585869391733368E-2</v>
      </c>
      <c r="H26" s="90">
        <f t="shared" ref="H26" si="20">F26/F14-1</f>
        <v>-3.4223744280490465E-2</v>
      </c>
      <c r="I26" s="130">
        <f t="shared" si="0"/>
        <v>1709.4784565754451</v>
      </c>
      <c r="J26" s="130">
        <f t="shared" si="5"/>
        <v>-3.0305920329622094E-2</v>
      </c>
      <c r="K26" s="78"/>
      <c r="L26" s="90"/>
      <c r="M26" s="90"/>
      <c r="P26" s="129" t="s">
        <v>312</v>
      </c>
      <c r="Q26" s="116">
        <v>256594460</v>
      </c>
      <c r="R26" s="116">
        <v>346079475284</v>
      </c>
      <c r="S26" s="116">
        <v>150101.01999999999</v>
      </c>
      <c r="T26" s="130">
        <f t="shared" ref="T26" si="21">Q26/S26</f>
        <v>1709.4784565754451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14779612.590909092</v>
      </c>
      <c r="G27" s="90">
        <f t="shared" ref="G27" si="22">F27/F26-1</f>
        <v>9.4383094737402917E-2</v>
      </c>
      <c r="H27" s="90">
        <f t="shared" ref="H27" si="23">F27/F15-1</f>
        <v>0.15857289324667101</v>
      </c>
      <c r="I27" s="130">
        <f t="shared" si="0"/>
        <v>1752.0879172869536</v>
      </c>
      <c r="J27" s="130">
        <f t="shared" si="5"/>
        <v>3.9502036981529765E-2</v>
      </c>
      <c r="K27" s="78"/>
      <c r="L27" s="90"/>
      <c r="M27" s="90"/>
      <c r="P27" s="129" t="s">
        <v>377</v>
      </c>
      <c r="Q27" s="116">
        <v>325151477</v>
      </c>
      <c r="R27" s="116">
        <v>432760730352</v>
      </c>
      <c r="S27" s="116">
        <v>185579.43</v>
      </c>
      <c r="T27" s="130">
        <f t="shared" ref="T27" si="24">Q27/S27</f>
        <v>1752.0879172869536</v>
      </c>
      <c r="U27" s="78"/>
    </row>
    <row r="28" spans="1:21" s="79" customFormat="1" ht="13.2" hidden="1">
      <c r="A28" s="123" t="s">
        <v>413</v>
      </c>
      <c r="B28" s="131">
        <f>SUM(F26:F28)</f>
        <v>36505675.959330142</v>
      </c>
      <c r="C28" s="131">
        <f>AVERAGE(F26:F28)</f>
        <v>12168558.653110048</v>
      </c>
      <c r="D28" s="90">
        <f>C28/C25-1</f>
        <v>0.12938193987014546</v>
      </c>
      <c r="E28" s="286">
        <f>C28/C16-1</f>
        <v>0.2010745637301421</v>
      </c>
      <c r="F28" s="78">
        <f>Q28/19</f>
        <v>8221091.7894736845</v>
      </c>
      <c r="G28" s="90">
        <f t="shared" ref="G28" si="25">F28/F27-1</f>
        <v>-0.44375458159637682</v>
      </c>
      <c r="H28" s="90">
        <f t="shared" ref="H28" si="26">F28/F16-1</f>
        <v>1.249950250762256</v>
      </c>
      <c r="I28" s="130">
        <f t="shared" si="0"/>
        <v>1524.8485579755497</v>
      </c>
      <c r="J28" s="130">
        <f t="shared" si="5"/>
        <v>0.138493327300099</v>
      </c>
      <c r="K28" s="78">
        <f>R26+R27+R28</f>
        <v>982117731717</v>
      </c>
      <c r="L28" s="90">
        <f>U28/U25-1</f>
        <v>0.12162154523526114</v>
      </c>
      <c r="M28" s="90">
        <f>U28/U16-1</f>
        <v>0.15177317467834017</v>
      </c>
      <c r="N28" s="88">
        <f>AVERAGE(T26:T28)</f>
        <v>1662.1383106126495</v>
      </c>
      <c r="O28" s="91">
        <f>N28/N25-1</f>
        <v>-0.22176534137919779</v>
      </c>
      <c r="P28" s="129" t="s">
        <v>413</v>
      </c>
      <c r="Q28" s="116">
        <v>156200744</v>
      </c>
      <c r="R28" s="116">
        <v>203277526081</v>
      </c>
      <c r="S28" s="116">
        <v>102436.89</v>
      </c>
      <c r="T28" s="130">
        <f t="shared" ref="T28" si="27">Q28/S28</f>
        <v>1524.8485579755497</v>
      </c>
      <c r="U28" s="85">
        <f>Q26+Q27+Q28</f>
        <v>737946681</v>
      </c>
    </row>
    <row r="29" spans="1:21" s="79" customFormat="1" ht="13.2" hidden="1">
      <c r="A29" s="129" t="s">
        <v>434</v>
      </c>
      <c r="B29" s="188"/>
      <c r="C29" s="188"/>
      <c r="D29" s="189"/>
      <c r="E29" s="287"/>
      <c r="F29" s="136">
        <f>Q29/22</f>
        <v>13007805.272727273</v>
      </c>
      <c r="G29" s="190">
        <f t="shared" ref="G29" si="28">F29/F28-1</f>
        <v>0.58224790646207292</v>
      </c>
      <c r="H29" s="190">
        <f t="shared" ref="H29" si="29">F29/F17-1</f>
        <v>-0.17514452623837307</v>
      </c>
      <c r="I29" s="130">
        <f t="shared" si="0"/>
        <v>1837.9081946695137</v>
      </c>
      <c r="J29" s="130">
        <f t="shared" si="5"/>
        <v>-0.21680257477796971</v>
      </c>
      <c r="K29" s="136"/>
      <c r="L29" s="190"/>
      <c r="M29" s="190"/>
      <c r="N29" s="191"/>
      <c r="O29" s="192"/>
      <c r="P29" s="129" t="s">
        <v>434</v>
      </c>
      <c r="Q29" s="116">
        <v>286171716</v>
      </c>
      <c r="R29" s="116">
        <v>374820005119</v>
      </c>
      <c r="S29" s="116">
        <v>155705.12</v>
      </c>
      <c r="T29" s="130">
        <f t="shared" ref="T29" si="30">Q29/S29</f>
        <v>1837.9081946695137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14013450.52631579</v>
      </c>
      <c r="G30" s="190">
        <f t="shared" ref="G30" si="31">F30/F29-1</f>
        <v>7.7310909296666397E-2</v>
      </c>
      <c r="H30" s="190">
        <f t="shared" ref="H30" si="32">F30/F18-1</f>
        <v>0.65766626586088006</v>
      </c>
      <c r="I30" s="130">
        <f t="shared" si="0"/>
        <v>1823.5829104706952</v>
      </c>
      <c r="J30" s="130">
        <f t="shared" si="5"/>
        <v>-5.4192068437741381E-2</v>
      </c>
      <c r="K30" s="136"/>
      <c r="L30" s="190"/>
      <c r="M30" s="190"/>
      <c r="N30" s="191"/>
      <c r="O30" s="192"/>
      <c r="P30" s="129" t="s">
        <v>466</v>
      </c>
      <c r="Q30" s="116">
        <v>266255560</v>
      </c>
      <c r="R30" s="116">
        <v>354770086640</v>
      </c>
      <c r="S30" s="116">
        <v>146006.82999999999</v>
      </c>
      <c r="T30" s="130">
        <f t="shared" ref="T30" si="33">Q30/S30</f>
        <v>1823.5829104706952</v>
      </c>
      <c r="U30" s="85"/>
    </row>
    <row r="31" spans="1:21" s="79" customFormat="1" ht="13.2" hidden="1">
      <c r="A31" s="129" t="s">
        <v>505</v>
      </c>
      <c r="B31" s="188">
        <f>SUM(F29:F31)</f>
        <v>38894799.099043064</v>
      </c>
      <c r="C31" s="188">
        <f>AVERAGE(F29:F31)</f>
        <v>12964933.033014355</v>
      </c>
      <c r="D31" s="190">
        <f>C31/C28-1</f>
        <v>6.5445251373363655E-2</v>
      </c>
      <c r="E31" s="287">
        <f>C31/C19-1</f>
        <v>8.2858176709113662E-2</v>
      </c>
      <c r="F31" s="136">
        <f>Q31/20</f>
        <v>11873543.300000001</v>
      </c>
      <c r="G31" s="190">
        <f t="shared" ref="G31" si="34">F31/F30-1</f>
        <v>-0.15270380569705277</v>
      </c>
      <c r="H31" s="190">
        <f t="shared" ref="H31" si="35">F31/F19-1</f>
        <v>1.5255882574993329E-2</v>
      </c>
      <c r="I31" s="130">
        <f t="shared" si="0"/>
        <v>1750.5224273488293</v>
      </c>
      <c r="J31" s="130">
        <f t="shared" si="5"/>
        <v>-0.13834284950095443</v>
      </c>
      <c r="K31" s="136">
        <f>R29+R30+R31</f>
        <v>1044970685308</v>
      </c>
      <c r="L31" s="190">
        <f>U31/U28-1</f>
        <v>7.040001986268174E-2</v>
      </c>
      <c r="M31" s="190">
        <f>U31/U19-1</f>
        <v>6.4892656572483221E-2</v>
      </c>
      <c r="N31" s="191">
        <f>AVERAGE(T29:T31)</f>
        <v>1804.0045108296792</v>
      </c>
      <c r="O31" s="192">
        <f>N31/N28-1</f>
        <v>8.5351621649788711E-2</v>
      </c>
      <c r="P31" s="129" t="s">
        <v>505</v>
      </c>
      <c r="Q31" s="116">
        <v>237470866</v>
      </c>
      <c r="R31" s="116">
        <v>315380593549</v>
      </c>
      <c r="S31" s="116">
        <v>135657.14000000001</v>
      </c>
      <c r="T31" s="130">
        <f t="shared" ref="T31" si="36">Q31/S31</f>
        <v>1750.5224273488293</v>
      </c>
      <c r="U31" s="85">
        <f>Q29+Q30+Q31</f>
        <v>789898142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12646768.380952381</v>
      </c>
      <c r="G32" s="190">
        <f t="shared" ref="G32" si="37">F32/F31-1</f>
        <v>6.5121679469714699E-2</v>
      </c>
      <c r="H32" s="190">
        <f t="shared" ref="H32" si="38">F32/F20-1</f>
        <v>-0.22086317244523113</v>
      </c>
      <c r="I32" s="130">
        <f t="shared" si="0"/>
        <v>1922.6840505598566</v>
      </c>
      <c r="J32" s="130">
        <f t="shared" si="5"/>
        <v>-8.1220425311603672E-2</v>
      </c>
      <c r="K32" s="136"/>
      <c r="L32" s="190"/>
      <c r="M32" s="190"/>
      <c r="N32" s="191"/>
      <c r="O32" s="192"/>
      <c r="P32" s="129" t="s">
        <v>592</v>
      </c>
      <c r="Q32" s="116">
        <v>265582136</v>
      </c>
      <c r="R32" s="116">
        <v>360804231022</v>
      </c>
      <c r="S32" s="116">
        <v>138130.93</v>
      </c>
      <c r="T32" s="130">
        <f t="shared" ref="T32" si="39">Q32/S32</f>
        <v>1922.6840505598566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15520910.523809524</v>
      </c>
      <c r="G33" s="190">
        <f t="shared" ref="G33" si="40">F33/F32-1</f>
        <v>0.22726296997626383</v>
      </c>
      <c r="H33" s="190">
        <f t="shared" ref="H33" si="41">F33/F21-1</f>
        <v>2.2357161421858063E-2</v>
      </c>
      <c r="I33" s="130">
        <f t="shared" si="0"/>
        <v>1948.0720376198744</v>
      </c>
      <c r="J33" s="130">
        <f t="shared" si="5"/>
        <v>-6.0457197271896246E-2</v>
      </c>
      <c r="K33" s="136"/>
      <c r="L33" s="190"/>
      <c r="M33" s="190"/>
      <c r="N33" s="191"/>
      <c r="O33" s="192"/>
      <c r="P33" s="129" t="s">
        <v>609</v>
      </c>
      <c r="Q33" s="116">
        <v>325939121</v>
      </c>
      <c r="R33" s="116">
        <v>445732816606</v>
      </c>
      <c r="S33" s="116">
        <v>167313.69</v>
      </c>
      <c r="T33" s="130">
        <f t="shared" ref="T33" si="42">Q33/S33</f>
        <v>1948.0720376198744</v>
      </c>
      <c r="U33" s="85"/>
    </row>
    <row r="34" spans="1:21" s="79" customFormat="1" ht="13.2" hidden="1">
      <c r="A34" s="129" t="s">
        <v>652</v>
      </c>
      <c r="B34" s="188">
        <f>SUM(F32:F34)</f>
        <v>38675848.904761903</v>
      </c>
      <c r="C34" s="188">
        <f>AVERAGE(F32:F34)</f>
        <v>12891949.634920634</v>
      </c>
      <c r="D34" s="190">
        <f>C34/C31-1</f>
        <v>-5.6292923309263498E-3</v>
      </c>
      <c r="E34" s="287">
        <f>C34/C22-1</f>
        <v>-9.8575499955019907E-2</v>
      </c>
      <c r="F34" s="136">
        <f>Q34/19</f>
        <v>10508170</v>
      </c>
      <c r="G34" s="190">
        <f t="shared" ref="G34" si="43">F34/F33-1</f>
        <v>-0.3229669107440466</v>
      </c>
      <c r="H34" s="190">
        <f t="shared" ref="H34" si="44">F34/F22-1</f>
        <v>-8.5609383328780764E-2</v>
      </c>
      <c r="I34" s="130">
        <f t="shared" si="0"/>
        <v>1903.0296219556494</v>
      </c>
      <c r="J34" s="130">
        <f t="shared" si="5"/>
        <v>-4.8953037555840129E-2</v>
      </c>
      <c r="K34" s="136">
        <f>R32+R33+R34</f>
        <v>1080676292909</v>
      </c>
      <c r="L34" s="190">
        <f>U34/U31-1</f>
        <v>1.6183668906515347E-3</v>
      </c>
      <c r="M34" s="190">
        <f>U34/U22-1</f>
        <v>-0.10579157233172121</v>
      </c>
      <c r="N34" s="191">
        <f>AVERAGE(T32:T34)</f>
        <v>1924.5952367117934</v>
      </c>
      <c r="O34" s="192">
        <f>N34/N31-1</f>
        <v>6.6846133232035809E-2</v>
      </c>
      <c r="P34" s="129" t="s">
        <v>652</v>
      </c>
      <c r="Q34" s="116">
        <v>199655230</v>
      </c>
      <c r="R34" s="116">
        <v>274139245281</v>
      </c>
      <c r="S34" s="116">
        <v>104914.41</v>
      </c>
      <c r="T34" s="130">
        <f t="shared" ref="T34" si="45">Q34/S34</f>
        <v>1903.0296219556494</v>
      </c>
      <c r="U34" s="85">
        <f>Q32+Q33+Q34</f>
        <v>791176487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8829644.1304347832</v>
      </c>
      <c r="G35" s="190">
        <f t="shared" ref="G35" si="46">F35/F34-1</f>
        <v>-0.15973531733548441</v>
      </c>
      <c r="H35" s="190">
        <f t="shared" ref="H35" si="47">F35/F23-1</f>
        <v>-0.18129633905044718</v>
      </c>
      <c r="I35" s="130">
        <f t="shared" si="0"/>
        <v>1951.82918437182</v>
      </c>
      <c r="J35" s="130">
        <f t="shared" si="5"/>
        <v>-0.18564094192852054</v>
      </c>
      <c r="K35" s="136"/>
      <c r="L35" s="190"/>
      <c r="M35" s="190"/>
      <c r="N35" s="191"/>
      <c r="O35" s="192"/>
      <c r="P35" s="129" t="s">
        <v>660</v>
      </c>
      <c r="Q35" s="116">
        <v>203081815</v>
      </c>
      <c r="R35" s="116">
        <v>281191278489</v>
      </c>
      <c r="S35" s="116">
        <v>104046.92</v>
      </c>
      <c r="T35" s="130">
        <f t="shared" ref="T35" si="48">Q35/S35</f>
        <v>1951.82918437182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15402326.904761905</v>
      </c>
      <c r="G36" s="190">
        <f t="shared" ref="G36" si="49">F36/F35-1</f>
        <v>0.74438818566558407</v>
      </c>
      <c r="H36" s="190">
        <f t="shared" ref="H36" si="50">F36/F24-1</f>
        <v>1.0804179867963386</v>
      </c>
      <c r="I36" s="130">
        <f t="shared" si="0"/>
        <v>1723.8321415959465</v>
      </c>
      <c r="J36" s="130">
        <f t="shared" si="5"/>
        <v>-8.3110069770133244E-2</v>
      </c>
      <c r="K36" s="136"/>
      <c r="L36" s="190"/>
      <c r="M36" s="190"/>
      <c r="N36" s="191"/>
      <c r="O36" s="192"/>
      <c r="P36" s="129" t="s">
        <v>664</v>
      </c>
      <c r="Q36" s="116">
        <v>323448865</v>
      </c>
      <c r="R36" s="116">
        <v>442073661544</v>
      </c>
      <c r="S36" s="116">
        <v>187633.62</v>
      </c>
      <c r="T36" s="130">
        <f t="shared" ref="T36" si="51">Q36/S36</f>
        <v>1723.8321415959465</v>
      </c>
      <c r="U36" s="85"/>
    </row>
    <row r="37" spans="1:21" s="79" customFormat="1" ht="13.2" hidden="1">
      <c r="A37" s="129" t="s">
        <v>702</v>
      </c>
      <c r="B37" s="188">
        <f>SUM(F35:F37)</f>
        <v>39352559.924085572</v>
      </c>
      <c r="C37" s="188">
        <f>AVERAGE(F35:F37)</f>
        <v>13117519.974695191</v>
      </c>
      <c r="D37" s="190">
        <f>C37/C34-1</f>
        <v>1.7496992011476031E-2</v>
      </c>
      <c r="E37" s="287">
        <f>C37/C25-1</f>
        <v>0.21745644473023029</v>
      </c>
      <c r="F37" s="136">
        <f>Q37/18</f>
        <v>15120588.888888888</v>
      </c>
      <c r="G37" s="190">
        <f t="shared" ref="G37" si="52">F37/F36-1</f>
        <v>-1.8291912489268869E-2</v>
      </c>
      <c r="H37" s="190">
        <f t="shared" ref="H37" si="53">F37/F25-1</f>
        <v>6.9711565338133274E-2</v>
      </c>
      <c r="I37" s="130">
        <f t="shared" si="0"/>
        <v>1818.893244962017</v>
      </c>
      <c r="J37" s="130">
        <f t="shared" si="5"/>
        <v>-0.14625493057948125</v>
      </c>
      <c r="K37" s="136">
        <f>R35+R36+R37</f>
        <v>1086653760557</v>
      </c>
      <c r="L37" s="190">
        <f>U37/U34-1</f>
        <v>9.5108905833800605E-3</v>
      </c>
      <c r="M37" s="190">
        <f>U37/U25-1</f>
        <v>0.21396380920233593</v>
      </c>
      <c r="N37" s="191">
        <f>AVERAGE(T35:T37)</f>
        <v>1831.5181903099281</v>
      </c>
      <c r="O37" s="192">
        <f>N37/N34-1</f>
        <v>-4.8361881306995813E-2</v>
      </c>
      <c r="P37" s="129" t="s">
        <v>702</v>
      </c>
      <c r="Q37" s="116">
        <v>272170600</v>
      </c>
      <c r="R37" s="116">
        <v>363388820524</v>
      </c>
      <c r="S37" s="116">
        <v>149635.28</v>
      </c>
      <c r="T37" s="130">
        <f t="shared" ref="T37" si="54">Q37/S37</f>
        <v>1818.893244962017</v>
      </c>
      <c r="U37" s="85">
        <f>Q35+Q36+Q37</f>
        <v>798701280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18847852.149999999</v>
      </c>
      <c r="G38" s="190">
        <f t="shared" ref="G38" si="55">F38/F37-1</f>
        <v>0.24650251974313164</v>
      </c>
      <c r="H38" s="190">
        <f t="shared" ref="H38" si="56">F38/F26-1</f>
        <v>0.39562323695531054</v>
      </c>
      <c r="I38" s="130">
        <f t="shared" si="0"/>
        <v>1898.9900402994481</v>
      </c>
      <c r="J38" s="130">
        <f t="shared" si="5"/>
        <v>0.11085929921787185</v>
      </c>
      <c r="K38" s="136"/>
      <c r="L38" s="190"/>
      <c r="M38" s="190"/>
      <c r="N38" s="191"/>
      <c r="O38" s="192"/>
      <c r="P38" s="129" t="s">
        <v>728</v>
      </c>
      <c r="Q38" s="116">
        <v>376957043</v>
      </c>
      <c r="R38" s="116">
        <v>505796981775</v>
      </c>
      <c r="S38" s="116">
        <v>198503.96</v>
      </c>
      <c r="T38" s="130">
        <f t="shared" ref="T38" si="57">Q38/S38</f>
        <v>1898.9900402994481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20003380.571428571</v>
      </c>
      <c r="G39" s="190">
        <f t="shared" ref="G39" si="58">F39/F38-1</f>
        <v>6.1308228239076668E-2</v>
      </c>
      <c r="H39" s="190">
        <f t="shared" ref="H39" si="59">F39/F27-1</f>
        <v>0.3534441751018973</v>
      </c>
      <c r="I39" s="130">
        <f t="shared" si="0"/>
        <v>1785.0763768835641</v>
      </c>
      <c r="J39" s="130">
        <f t="shared" si="5"/>
        <v>1.8828084636124842E-2</v>
      </c>
      <c r="K39" s="136"/>
      <c r="L39" s="190"/>
      <c r="M39" s="190"/>
      <c r="N39" s="191"/>
      <c r="O39" s="192"/>
      <c r="P39" s="129" t="s">
        <v>762</v>
      </c>
      <c r="Q39" s="116">
        <v>420070992</v>
      </c>
      <c r="R39" s="116">
        <v>582903881778</v>
      </c>
      <c r="S39" s="116">
        <v>235323.82</v>
      </c>
      <c r="T39" s="130">
        <f t="shared" ref="T39" si="60">Q39/S39</f>
        <v>1785.0763768835641</v>
      </c>
      <c r="U39" s="85"/>
    </row>
    <row r="40" spans="1:21" s="79" customFormat="1" ht="13.2" hidden="1">
      <c r="A40" s="129" t="s">
        <v>778</v>
      </c>
      <c r="B40" s="188">
        <f>SUM(F38:F40)</f>
        <v>46280349.245238096</v>
      </c>
      <c r="C40" s="188">
        <f>AVERAGE(F38:F40)</f>
        <v>15426783.081746032</v>
      </c>
      <c r="D40" s="190">
        <f>C40/C37-1</f>
        <v>0.17604418453378434</v>
      </c>
      <c r="E40" s="287">
        <f>C40/C28-1</f>
        <v>0.26775763025995247</v>
      </c>
      <c r="F40" s="136">
        <f>Q40/21</f>
        <v>7429116.5238095243</v>
      </c>
      <c r="G40" s="190">
        <f t="shared" ref="G40" si="61">F40/F39-1</f>
        <v>-0.62860694984622978</v>
      </c>
      <c r="H40" s="190">
        <f t="shared" ref="H40" si="62">F40/F28-1</f>
        <v>-9.6334560657528212E-2</v>
      </c>
      <c r="I40" s="130">
        <f t="shared" si="0"/>
        <v>1366.5945665734121</v>
      </c>
      <c r="J40" s="130">
        <f t="shared" si="5"/>
        <v>-0.10378341545749437</v>
      </c>
      <c r="K40" s="136">
        <f>R38+R39+R40</f>
        <v>1308591638322</v>
      </c>
      <c r="L40" s="190">
        <f>U40/U37-1</f>
        <v>0.19323645255708111</v>
      </c>
      <c r="M40" s="190">
        <f>U40/U28-1</f>
        <v>0.29147471834757122</v>
      </c>
      <c r="N40" s="191">
        <f>AVERAGE(T38:T40)</f>
        <v>1683.5536612521416</v>
      </c>
      <c r="O40" s="192">
        <f>N40/N37-1</f>
        <v>-8.0787911275261748E-2</v>
      </c>
      <c r="P40" s="129" t="s">
        <v>778</v>
      </c>
      <c r="Q40" s="116">
        <v>156011447</v>
      </c>
      <c r="R40" s="116">
        <v>219890774769</v>
      </c>
      <c r="S40" s="116">
        <v>114160.74</v>
      </c>
      <c r="T40" s="130">
        <f t="shared" ref="T40" si="63">Q40/S40</f>
        <v>1366.5945665734121</v>
      </c>
      <c r="U40" s="85">
        <f>Q38+Q39+Q40</f>
        <v>953039482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9313416.5</v>
      </c>
      <c r="G41" s="190">
        <f t="shared" ref="G41" si="64">F41/F40-1</f>
        <v>0.2536371545864835</v>
      </c>
      <c r="H41" s="190">
        <f t="shared" ref="H41" si="65">F41/F29-1</f>
        <v>-0.28401322861690503</v>
      </c>
      <c r="I41" s="130">
        <f t="shared" si="0"/>
        <v>1418.3977764757394</v>
      </c>
      <c r="J41" s="130">
        <f t="shared" si="5"/>
        <v>-0.22825428354391186</v>
      </c>
      <c r="K41" s="193"/>
      <c r="L41" s="190"/>
      <c r="M41" s="190"/>
      <c r="N41" s="193"/>
      <c r="O41" s="193"/>
      <c r="P41" s="129" t="s">
        <v>792</v>
      </c>
      <c r="Q41" s="116">
        <v>167641497</v>
      </c>
      <c r="R41" s="116">
        <v>245062681824</v>
      </c>
      <c r="S41" s="116">
        <v>118190.75</v>
      </c>
      <c r="T41" s="130">
        <f t="shared" ref="T41" si="66">Q41/S41</f>
        <v>1418.3977764757394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11466099.4</v>
      </c>
      <c r="G42" s="190">
        <f t="shared" ref="G42" si="67">F42/F41-1</f>
        <v>0.2311378321800599</v>
      </c>
      <c r="H42" s="190">
        <f t="shared" ref="H42" si="68">F42/F30-1</f>
        <v>-0.18177900735669139</v>
      </c>
      <c r="I42" s="130">
        <f t="shared" si="0"/>
        <v>1468.5976179875904</v>
      </c>
      <c r="J42" s="130">
        <f t="shared" si="5"/>
        <v>-0.19466364290038096</v>
      </c>
      <c r="K42" s="193"/>
      <c r="L42" s="190"/>
      <c r="M42" s="190"/>
      <c r="N42" s="193"/>
      <c r="O42" s="193"/>
      <c r="P42" s="129" t="s">
        <v>826</v>
      </c>
      <c r="Q42" s="116">
        <v>229321988</v>
      </c>
      <c r="R42" s="116">
        <v>331185736124</v>
      </c>
      <c r="S42" s="116">
        <v>156150.32</v>
      </c>
      <c r="T42" s="130">
        <f t="shared" ref="T42" si="69">Q42/S42</f>
        <v>1468.5976179875904</v>
      </c>
      <c r="U42" s="78"/>
    </row>
    <row r="43" spans="1:21" s="79" customFormat="1" ht="13.2">
      <c r="A43" s="129" t="s">
        <v>835</v>
      </c>
      <c r="B43" s="188">
        <f>SUM(F41:F43)</f>
        <v>31616378.699999999</v>
      </c>
      <c r="C43" s="188">
        <f>AVERAGE(F41:F43)</f>
        <v>10538792.9</v>
      </c>
      <c r="D43" s="190">
        <f>C43/C40-1</f>
        <v>-0.3168509050684597</v>
      </c>
      <c r="E43" s="287">
        <f>C43/C31-1</f>
        <v>-0.18713094212182568</v>
      </c>
      <c r="F43" s="136">
        <f>Q43/20</f>
        <v>10836862.800000001</v>
      </c>
      <c r="G43" s="190">
        <f t="shared" ref="G43" si="70">F43/F42-1</f>
        <v>-5.4877999749417761E-2</v>
      </c>
      <c r="H43" s="190">
        <f t="shared" ref="H43" si="71">F43/F31-1</f>
        <v>-8.7310120812883252E-2</v>
      </c>
      <c r="I43" s="130">
        <f t="shared" si="0"/>
        <v>1612.088750945647</v>
      </c>
      <c r="J43" s="130">
        <f t="shared" si="5"/>
        <v>-7.9081349796152223E-2</v>
      </c>
      <c r="K43" s="136">
        <f>R41+R42+R43</f>
        <v>889393894754</v>
      </c>
      <c r="L43" s="190">
        <f>U43/U40-1</f>
        <v>-0.3560594785515927</v>
      </c>
      <c r="M43" s="190">
        <f>K43/K31-1</f>
        <v>-0.14888148800857937</v>
      </c>
      <c r="N43" s="191">
        <f>AVERAGE(T41:T43)</f>
        <v>1499.6947151363256</v>
      </c>
      <c r="O43" s="192">
        <f>N43/N40-1</f>
        <v>-0.10920884219340599</v>
      </c>
      <c r="P43" s="129" t="s">
        <v>835</v>
      </c>
      <c r="Q43" s="116">
        <v>216737256</v>
      </c>
      <c r="R43" s="116">
        <v>313145476806</v>
      </c>
      <c r="S43" s="116">
        <v>134444.99</v>
      </c>
      <c r="T43" s="130">
        <f t="shared" ref="T43" si="72">Q43/S43</f>
        <v>1612.088750945647</v>
      </c>
      <c r="U43" s="85">
        <f>Q41+Q42+Q43</f>
        <v>613700741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19448794.136363637</v>
      </c>
      <c r="G44" s="190">
        <f t="shared" ref="G44" si="73">F44/F43-1</f>
        <v>0.79468860087105986</v>
      </c>
      <c r="H44" s="190">
        <f t="shared" ref="H44" si="74">F44/F32-1</f>
        <v>0.53784694639113972</v>
      </c>
      <c r="I44" s="130">
        <f t="shared" si="0"/>
        <v>2090.496868970486</v>
      </c>
      <c r="J44" s="130">
        <f t="shared" si="5"/>
        <v>8.728049642985547E-2</v>
      </c>
      <c r="K44" s="136"/>
      <c r="L44" s="190"/>
      <c r="M44" s="190"/>
      <c r="N44" s="191"/>
      <c r="O44" s="192"/>
      <c r="P44" s="129" t="s">
        <v>843</v>
      </c>
      <c r="Q44" s="116">
        <v>427873471</v>
      </c>
      <c r="R44" s="116">
        <v>621440742292</v>
      </c>
      <c r="S44" s="116">
        <v>204675.49</v>
      </c>
      <c r="T44" s="130">
        <f t="shared" ref="T44" si="75">Q44/S44</f>
        <v>2090.496868970486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21188299</v>
      </c>
      <c r="G45" s="190">
        <f t="shared" ref="G45" si="76">F45/F44-1</f>
        <v>8.94402424870131E-2</v>
      </c>
      <c r="H45" s="190">
        <f t="shared" ref="H45" si="77">F45/F33-1</f>
        <v>0.36514536099519024</v>
      </c>
      <c r="I45" s="130">
        <f t="shared" si="0"/>
        <v>1870.1261275828501</v>
      </c>
      <c r="J45" s="130">
        <f t="shared" si="5"/>
        <v>-4.0011821191303309E-2</v>
      </c>
      <c r="K45" s="136"/>
      <c r="L45" s="190"/>
      <c r="M45" s="190"/>
      <c r="N45" s="191"/>
      <c r="O45" s="192"/>
      <c r="P45" s="129" t="s">
        <v>853</v>
      </c>
      <c r="Q45" s="116">
        <v>423765980</v>
      </c>
      <c r="R45" s="116">
        <v>597163199047</v>
      </c>
      <c r="S45" s="116">
        <v>226597.54</v>
      </c>
      <c r="T45" s="130">
        <f t="shared" ref="T45" si="78">Q45/S45</f>
        <v>1870.1261275828501</v>
      </c>
      <c r="U45" s="85"/>
    </row>
    <row r="46" spans="1:21" s="79" customFormat="1" ht="13.2">
      <c r="A46" s="129" t="s">
        <v>888</v>
      </c>
      <c r="B46" s="188">
        <f>SUM(F44:F46)</f>
        <v>52634054.294258378</v>
      </c>
      <c r="C46" s="188">
        <f>AVERAGE(F44:F46)</f>
        <v>17544684.764752794</v>
      </c>
      <c r="D46" s="190">
        <f>C46/C43-1</f>
        <v>0.66477175623716778</v>
      </c>
      <c r="E46" s="287">
        <f>C46/C34-1</f>
        <v>0.36090236632861328</v>
      </c>
      <c r="F46" s="136">
        <f>Q46/19</f>
        <v>11996961.157894736</v>
      </c>
      <c r="G46" s="190">
        <f t="shared" ref="G46" si="79">F46/F45-1</f>
        <v>-0.43379309694021517</v>
      </c>
      <c r="H46" s="190">
        <f t="shared" ref="H46" si="80">F46/F34-1</f>
        <v>0.14167939402338714</v>
      </c>
      <c r="I46" s="130">
        <f t="shared" si="0"/>
        <v>1724.1030067576996</v>
      </c>
      <c r="J46" s="130">
        <f t="shared" si="5"/>
        <v>-9.4021981126113929E-2</v>
      </c>
      <c r="K46" s="136">
        <f>R44+R45+R46</f>
        <v>1530772037261</v>
      </c>
      <c r="L46" s="190">
        <f>U46/U43-1</f>
        <v>0.75913379416955928</v>
      </c>
      <c r="M46" s="190">
        <f>K46/K34-1</f>
        <v>0.41649451117357028</v>
      </c>
      <c r="N46" s="191">
        <f>AVERAGE(T44:T46)</f>
        <v>1894.9086677703453</v>
      </c>
      <c r="O46" s="192">
        <f>N46/N43-1</f>
        <v>0.26352960282192761</v>
      </c>
      <c r="P46" s="129" t="s">
        <v>928</v>
      </c>
      <c r="Q46" s="116">
        <v>227942262</v>
      </c>
      <c r="R46" s="116">
        <v>312168095922</v>
      </c>
      <c r="S46" s="116">
        <v>132209.19</v>
      </c>
      <c r="T46" s="130">
        <f t="shared" ref="T46" si="81">Q46/S46</f>
        <v>1724.1030067576996</v>
      </c>
      <c r="U46" s="85">
        <f t="shared" ref="U46:U51" si="82">Q44+Q45+Q46</f>
        <v>1079581713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11667914.086956521</v>
      </c>
      <c r="G47" s="190">
        <f t="shared" ref="G47" si="83">F47/F46-1</f>
        <v>-2.7427534907177864E-2</v>
      </c>
      <c r="H47" s="190">
        <f t="shared" ref="H47" si="84">F47/F35-1</f>
        <v>0.32144783125953436</v>
      </c>
      <c r="I47" s="130">
        <f t="shared" si="0"/>
        <v>1747.7101138940147</v>
      </c>
      <c r="J47" s="130">
        <f t="shared" si="5"/>
        <v>-0.10457834738417404</v>
      </c>
      <c r="K47" s="136"/>
      <c r="L47" s="190"/>
      <c r="M47" s="190"/>
      <c r="N47" s="191"/>
      <c r="O47" s="192"/>
      <c r="P47" s="129" t="s">
        <v>991</v>
      </c>
      <c r="Q47" s="116">
        <v>268362024</v>
      </c>
      <c r="R47" s="116">
        <v>368343592866</v>
      </c>
      <c r="S47" s="116">
        <v>153550.65</v>
      </c>
      <c r="T47" s="130">
        <f t="shared" ref="T47" si="85">Q47/S47</f>
        <v>1747.7101138940147</v>
      </c>
      <c r="U47" s="85">
        <f t="shared" si="82"/>
        <v>920070266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16912335.850000001</v>
      </c>
      <c r="G48" s="190">
        <f t="shared" ref="G48" si="86">F48/F47-1</f>
        <v>0.44947380688260141</v>
      </c>
      <c r="H48" s="190">
        <f t="shared" ref="H48" si="87">F48/F36-1</f>
        <v>9.8037715637060652E-2</v>
      </c>
      <c r="I48" s="130">
        <f t="shared" si="0"/>
        <v>1640.4409402550702</v>
      </c>
      <c r="J48" s="130">
        <f t="shared" si="5"/>
        <v>-4.8375476549399776E-2</v>
      </c>
      <c r="K48" s="136"/>
      <c r="L48" s="190"/>
      <c r="M48" s="190"/>
      <c r="N48" s="191"/>
      <c r="O48" s="192"/>
      <c r="P48" s="129" t="s">
        <v>1070</v>
      </c>
      <c r="Q48" s="116">
        <v>338246717</v>
      </c>
      <c r="R48" s="116">
        <v>469191432767</v>
      </c>
      <c r="S48" s="116">
        <v>206192.56</v>
      </c>
      <c r="T48" s="130">
        <f t="shared" ref="T48" si="88">Q48/S48</f>
        <v>1640.4409402550702</v>
      </c>
      <c r="U48" s="85">
        <f t="shared" si="82"/>
        <v>834551003</v>
      </c>
    </row>
    <row r="49" spans="1:26" ht="13.2">
      <c r="A49" s="129" t="s">
        <v>1231</v>
      </c>
      <c r="B49" s="188">
        <f>SUM(F47:F49)</f>
        <v>47831813.346047431</v>
      </c>
      <c r="C49" s="188">
        <f>AVERAGE(F47:F49)</f>
        <v>15943937.78201581</v>
      </c>
      <c r="D49" s="190">
        <f>C49/C46-1</f>
        <v>-9.1238286934221757E-2</v>
      </c>
      <c r="E49" s="287">
        <f>C49/C37-1</f>
        <v>0.21546891582959415</v>
      </c>
      <c r="F49" s="136">
        <f>Q49/22</f>
        <v>19251563.40909091</v>
      </c>
      <c r="G49" s="190">
        <f t="shared" ref="G49" si="89">F49/F48-1</f>
        <v>0.13831487145466714</v>
      </c>
      <c r="H49" s="190">
        <f t="shared" ref="H49" si="90">F49/F37-1</f>
        <v>0.27320195996054086</v>
      </c>
      <c r="I49" s="130">
        <f t="shared" si="0"/>
        <v>1575.3830622468663</v>
      </c>
      <c r="J49" s="130">
        <f t="shared" si="5"/>
        <v>-0.1338782159918549</v>
      </c>
      <c r="K49" s="136">
        <f>R47+R48+R49</f>
        <v>1425971691286</v>
      </c>
      <c r="L49" s="190">
        <f>U49/U46-1</f>
        <v>-4.579419640465876E-2</v>
      </c>
      <c r="M49" s="190">
        <f>K49/K37-1</f>
        <v>0.31225947311411462</v>
      </c>
      <c r="N49" s="191">
        <f>AVERAGE(T47:T49)</f>
        <v>1654.5113721319838</v>
      </c>
      <c r="O49" s="192">
        <f>N49/N46-1</f>
        <v>-0.12686484563988321</v>
      </c>
      <c r="P49" s="129" t="s">
        <v>1158</v>
      </c>
      <c r="Q49" s="116">
        <v>423534395</v>
      </c>
      <c r="R49" s="116">
        <v>588436665653</v>
      </c>
      <c r="S49" s="116">
        <v>268845.34000000003</v>
      </c>
      <c r="T49" s="130">
        <f t="shared" ref="T49" si="91">Q49/S49</f>
        <v>1575.3830622468663</v>
      </c>
      <c r="U49" s="85">
        <f t="shared" si="82"/>
        <v>1030143136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21979754.444444444</v>
      </c>
      <c r="G50" s="190">
        <f t="shared" ref="G50" si="92">F50/F49-1</f>
        <v>0.14171270028205796</v>
      </c>
      <c r="H50" s="190">
        <f t="shared" ref="H50" si="93">F50/F38-1</f>
        <v>0.16616759668525116</v>
      </c>
      <c r="I50" s="130">
        <f t="shared" ref="I50" si="94">T50</f>
        <v>1676.4436150551944</v>
      </c>
      <c r="J50" s="130">
        <f t="shared" ref="J50" si="95">I50/I38-1</f>
        <v>-0.11719199180695061</v>
      </c>
      <c r="K50" s="136"/>
      <c r="L50" s="190"/>
      <c r="M50" s="190"/>
      <c r="N50" s="191"/>
      <c r="O50" s="192"/>
      <c r="P50" s="129" t="s">
        <v>1354</v>
      </c>
      <c r="Q50" s="116">
        <v>395635580</v>
      </c>
      <c r="R50" s="116">
        <v>559401707509</v>
      </c>
      <c r="S50" s="116">
        <v>235996.95</v>
      </c>
      <c r="T50" s="130">
        <f t="shared" ref="T50" si="96">Q50/S50</f>
        <v>1676.4436150551944</v>
      </c>
      <c r="U50" s="85">
        <f t="shared" si="82"/>
        <v>1157416692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20327125.5</v>
      </c>
      <c r="G51" s="190">
        <f t="shared" ref="G51:G52" si="97">F51/F50-1</f>
        <v>-7.5188690056642526E-2</v>
      </c>
      <c r="H51" s="190">
        <f t="shared" ref="H51:H52" si="98">F51/F39-1</f>
        <v>1.6184510783834316E-2</v>
      </c>
      <c r="I51" s="130">
        <f t="shared" ref="I51:I52" si="99">T51</f>
        <v>1616.6308188597704</v>
      </c>
      <c r="J51" s="130">
        <f t="shared" ref="J51:J52" si="100">I51/I39-1</f>
        <v>-9.4363221767502559E-2</v>
      </c>
      <c r="K51" s="136"/>
      <c r="L51" s="190"/>
      <c r="M51" s="190"/>
      <c r="N51" s="191"/>
      <c r="O51" s="192"/>
      <c r="P51" s="129" t="s">
        <v>1402</v>
      </c>
      <c r="Q51" s="116">
        <v>406542510</v>
      </c>
      <c r="R51" s="116">
        <v>588081592105</v>
      </c>
      <c r="S51" s="116">
        <v>251475.17</v>
      </c>
      <c r="T51" s="130">
        <f t="shared" ref="T51:T52" si="101">Q51/S51</f>
        <v>1616.6308188597704</v>
      </c>
      <c r="U51" s="85">
        <f t="shared" si="82"/>
        <v>1225712485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61826278.535353541</v>
      </c>
      <c r="C52" s="188">
        <f>AVERAGE(F50:F52)</f>
        <v>20608759.511784513</v>
      </c>
      <c r="D52" s="190">
        <f>C52/C49-1</f>
        <v>0.29257651362829917</v>
      </c>
      <c r="E52" s="287">
        <f>C52/C40-1</f>
        <v>0.33590777821787943</v>
      </c>
      <c r="F52" s="136">
        <f>Q52/22</f>
        <v>19519398.59090909</v>
      </c>
      <c r="G52" s="190">
        <f t="shared" si="97"/>
        <v>-3.9736405872581981E-2</v>
      </c>
      <c r="H52" s="190">
        <f t="shared" si="98"/>
        <v>1.6274185535186456</v>
      </c>
      <c r="I52" s="130">
        <f t="shared" si="99"/>
        <v>1829.2889455258164</v>
      </c>
      <c r="J52" s="130">
        <f t="shared" si="100"/>
        <v>0.33857472455240356</v>
      </c>
      <c r="K52" s="136">
        <f>R50+R51+R52</f>
        <v>1779006730062</v>
      </c>
      <c r="L52" s="190">
        <f>U52/U49-1</f>
        <v>0.1955667285055811</v>
      </c>
      <c r="M52" s="190">
        <f>K52/K40-1</f>
        <v>0.35948196363474461</v>
      </c>
      <c r="N52" s="191">
        <f>AVERAGE(T50:T52)</f>
        <v>1707.4544598135938</v>
      </c>
      <c r="O52" s="192">
        <f>N52/N49-1</f>
        <v>3.1999228638355026E-2</v>
      </c>
      <c r="P52" s="129" t="s">
        <v>1403</v>
      </c>
      <c r="Q52" s="116">
        <v>429426769</v>
      </c>
      <c r="R52" s="116">
        <v>631523430448</v>
      </c>
      <c r="S52" s="116">
        <v>234750.65</v>
      </c>
      <c r="T52" s="130">
        <f t="shared" si="101"/>
        <v>1829.2889455258164</v>
      </c>
      <c r="U52" s="85">
        <f t="shared" ref="U52" si="102">Q50+Q51+Q52</f>
        <v>1231604859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40903848.333333336</v>
      </c>
      <c r="G53" s="190">
        <f t="shared" ref="G53" si="103">F53/F52-1</f>
        <v>1.095548597095803</v>
      </c>
      <c r="H53" s="190">
        <f t="shared" ref="H53" si="104">F53/F41-1</f>
        <v>3.3919273161823416</v>
      </c>
      <c r="I53" s="130">
        <f t="shared" ref="I53" si="105">T53</f>
        <v>2404.6537415834191</v>
      </c>
      <c r="J53" s="130">
        <f t="shared" ref="J53" si="106">I53/I41-1</f>
        <v>0.69533101465951774</v>
      </c>
      <c r="K53" s="136"/>
      <c r="L53" s="190"/>
      <c r="M53" s="190"/>
      <c r="N53" s="191"/>
      <c r="O53" s="192"/>
      <c r="P53" s="129" t="s">
        <v>1414</v>
      </c>
      <c r="Q53" s="116">
        <v>858980815</v>
      </c>
      <c r="R53" s="116">
        <v>1254141388633</v>
      </c>
      <c r="S53" s="116">
        <v>357216.01</v>
      </c>
      <c r="T53" s="130">
        <f t="shared" ref="T53" si="107">Q53/S53</f>
        <v>2404.6537415834191</v>
      </c>
      <c r="U53" s="85">
        <f t="shared" ref="U53" si="108">Q51+Q52+Q53</f>
        <v>1694950094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30993197.294117648</v>
      </c>
      <c r="G54" s="190">
        <f t="shared" ref="G54" si="109">F54/F53-1</f>
        <v>-0.24229140882911271</v>
      </c>
      <c r="H54" s="190">
        <f t="shared" ref="H54" si="110">F54/F42-1</f>
        <v>1.7030288342099711</v>
      </c>
      <c r="I54" s="130">
        <f t="shared" ref="I54" si="111">T54</f>
        <v>2116.037028896189</v>
      </c>
      <c r="J54" s="130">
        <f t="shared" ref="J54" si="112">I54/I42-1</f>
        <v>0.44085555020563127</v>
      </c>
      <c r="K54" s="136"/>
      <c r="L54" s="190"/>
      <c r="M54" s="190"/>
      <c r="N54" s="191"/>
      <c r="O54" s="192"/>
      <c r="P54" s="129" t="s">
        <v>1417</v>
      </c>
      <c r="Q54" s="116">
        <v>526884354</v>
      </c>
      <c r="R54" s="116">
        <v>763472376143</v>
      </c>
      <c r="S54" s="116">
        <v>248995.81</v>
      </c>
      <c r="T54" s="130">
        <f t="shared" ref="T54" si="113">Q54/S54</f>
        <v>2116.037028896189</v>
      </c>
      <c r="U54" s="85">
        <f t="shared" ref="U54" si="114">Q52+Q53+Q54</f>
        <v>1815291938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99694129.627450988</v>
      </c>
      <c r="C55" s="188">
        <f>AVERAGE(F53:F55)</f>
        <v>33231376.542483661</v>
      </c>
      <c r="D55" s="190">
        <f>C55/C52-1</f>
        <v>0.61248795802004863</v>
      </c>
      <c r="E55" s="287">
        <f>C55/C43-1</f>
        <v>2.153243152020158</v>
      </c>
      <c r="F55" s="136">
        <f>Q55/21</f>
        <v>27797084</v>
      </c>
      <c r="G55" s="190">
        <f t="shared" ref="G55" si="115">F55/F54-1</f>
        <v>-0.10312305838559788</v>
      </c>
      <c r="H55" s="190">
        <f t="shared" ref="H55" si="116">F55/F43-1</f>
        <v>1.5650489918539892</v>
      </c>
      <c r="I55" s="130">
        <f>T55</f>
        <v>2159.1285792752956</v>
      </c>
      <c r="J55" s="130">
        <f t="shared" ref="J55" si="117">I55/I43-1</f>
        <v>0.3393360495870692</v>
      </c>
      <c r="K55" s="136">
        <f>R53+R54+R55</f>
        <v>2876903339314</v>
      </c>
      <c r="L55" s="190">
        <f>U55/U52-1</f>
        <v>0.59921741020023056</v>
      </c>
      <c r="M55" s="190">
        <f>K55/K43-1</f>
        <v>2.2346785336431063</v>
      </c>
      <c r="N55" s="191">
        <f>AVERAGE(T53:T55)</f>
        <v>2226.6064499183012</v>
      </c>
      <c r="O55" s="192">
        <f>N55/N52-1</f>
        <v>0.30405027034301368</v>
      </c>
      <c r="P55" s="129" t="s">
        <v>1418</v>
      </c>
      <c r="Q55" s="116">
        <v>583738764</v>
      </c>
      <c r="R55" s="116">
        <v>859289574538</v>
      </c>
      <c r="S55" s="116">
        <v>270358.5</v>
      </c>
      <c r="T55" s="130">
        <f t="shared" ref="T55" si="118">Q55/S55</f>
        <v>2159.1285792752956</v>
      </c>
      <c r="U55" s="85">
        <f t="shared" ref="U55" si="119">Q53+Q54+Q55</f>
        <v>1969603933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25716286.954545453</v>
      </c>
      <c r="G56" s="190">
        <f t="shared" ref="G56" si="120">F56/F55-1</f>
        <v>-7.4856666456616372E-2</v>
      </c>
      <c r="H56" s="190">
        <f t="shared" ref="H56" si="121">F56/F44-1</f>
        <v>0.32225611388746267</v>
      </c>
      <c r="I56" s="291">
        <f>T56</f>
        <v>2043.4043884638324</v>
      </c>
      <c r="J56" s="130">
        <f t="shared" ref="J56" si="122">I56/I44-1</f>
        <v>-2.2526931853213195E-2</v>
      </c>
      <c r="K56" s="136"/>
      <c r="L56" s="190"/>
      <c r="M56" s="190"/>
      <c r="N56" s="191"/>
      <c r="O56" s="192"/>
      <c r="P56" s="129" t="s">
        <v>1420</v>
      </c>
      <c r="Q56" s="116">
        <v>565758313</v>
      </c>
      <c r="R56" s="116">
        <v>846718116225</v>
      </c>
      <c r="S56" s="116">
        <v>276870.46000000002</v>
      </c>
      <c r="T56" s="130">
        <f t="shared" ref="T56" si="123">Q56/S56</f>
        <v>2043.4043884638324</v>
      </c>
      <c r="U56" s="85">
        <f t="shared" ref="U56" si="124">Q54+Q55+Q56</f>
        <v>1676381431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27745461.666666668</v>
      </c>
      <c r="G57" s="254">
        <f t="shared" ref="G57" si="125">F57/F56-1</f>
        <v>7.8906208960409341E-2</v>
      </c>
      <c r="H57" s="254">
        <f t="shared" ref="H57" si="126">F57/F45-1</f>
        <v>0.30947093330458797</v>
      </c>
      <c r="I57" s="282">
        <f>T57</f>
        <v>2165.2253965124155</v>
      </c>
      <c r="J57" s="277">
        <f t="shared" ref="J57" si="127">I57/I45-1</f>
        <v>0.15779645264407005</v>
      </c>
      <c r="K57" s="204"/>
      <c r="L57" s="254"/>
      <c r="M57" s="254"/>
      <c r="N57" s="257"/>
      <c r="O57" s="258"/>
      <c r="P57" s="129" t="s">
        <v>1436</v>
      </c>
      <c r="Q57" s="116">
        <v>332945540</v>
      </c>
      <c r="R57" s="116">
        <v>490143413423</v>
      </c>
      <c r="S57" s="116">
        <v>153769.46</v>
      </c>
      <c r="T57" s="130">
        <f t="shared" ref="T57" si="128">Q57/S57</f>
        <v>2165.2253965124155</v>
      </c>
      <c r="U57" s="85">
        <f t="shared" ref="U57" si="129">Q55+Q56+Q57</f>
        <v>1482442617</v>
      </c>
      <c r="V57" s="79"/>
      <c r="W57" s="79"/>
      <c r="X57" s="79"/>
      <c r="Y57" s="79"/>
      <c r="Z57" s="79"/>
    </row>
    <row r="58" spans="1:26">
      <c r="B58" s="196">
        <f>SUM(F56:F58)</f>
        <v>53461748.621212125</v>
      </c>
      <c r="C58" s="196">
        <f>AVERAGE(F56:F58)</f>
        <v>26730874.310606062</v>
      </c>
      <c r="D58" s="197">
        <f>C58/C55-1</f>
        <v>-0.1956133903621845</v>
      </c>
      <c r="E58" s="233">
        <f>C58/C46-1</f>
        <v>0.5235881789286001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2868307786</v>
      </c>
      <c r="R66" s="212">
        <v>4213764868962</v>
      </c>
      <c r="S66" s="213">
        <v>1307210.26</v>
      </c>
      <c r="T66" s="214">
        <v>330</v>
      </c>
      <c r="U66" s="214">
        <v>887</v>
      </c>
    </row>
    <row r="67" spans="16:21" ht="18" thickBot="1">
      <c r="P67" s="180" t="s">
        <v>976</v>
      </c>
      <c r="Q67" s="181">
        <v>858980815</v>
      </c>
      <c r="R67" s="181">
        <v>1254141388633</v>
      </c>
      <c r="S67" s="182">
        <v>357216.01</v>
      </c>
      <c r="T67" s="210">
        <v>156</v>
      </c>
      <c r="U67" s="210">
        <v>420</v>
      </c>
    </row>
    <row r="68" spans="16:21" ht="18" thickBot="1">
      <c r="P68" s="180" t="s">
        <v>977</v>
      </c>
      <c r="Q68" s="181">
        <v>526884354</v>
      </c>
      <c r="R68" s="181">
        <v>763472376143</v>
      </c>
      <c r="S68" s="182">
        <v>248995.81</v>
      </c>
      <c r="T68" s="210">
        <v>161</v>
      </c>
      <c r="U68" s="210">
        <v>353</v>
      </c>
    </row>
    <row r="69" spans="16:21" ht="18" thickBot="1">
      <c r="P69" s="180" t="s">
        <v>978</v>
      </c>
      <c r="Q69" s="181">
        <v>583738764</v>
      </c>
      <c r="R69" s="181">
        <v>859289574538</v>
      </c>
      <c r="S69" s="182">
        <v>270358.5</v>
      </c>
      <c r="T69" s="210">
        <v>188</v>
      </c>
      <c r="U69" s="210">
        <v>385</v>
      </c>
    </row>
    <row r="70" spans="16:21" ht="18" thickBot="1">
      <c r="P70" s="180" t="s">
        <v>979</v>
      </c>
      <c r="Q70" s="181">
        <v>565758313</v>
      </c>
      <c r="R70" s="181">
        <v>846718116225</v>
      </c>
      <c r="S70" s="182">
        <v>276870.46000000002</v>
      </c>
      <c r="T70" s="210">
        <v>198</v>
      </c>
      <c r="U70" s="210">
        <v>380</v>
      </c>
    </row>
    <row r="71" spans="16:21" ht="18" thickBot="1">
      <c r="P71" s="180" t="s">
        <v>980</v>
      </c>
      <c r="Q71" s="181">
        <v>332945540</v>
      </c>
      <c r="R71" s="181">
        <v>490143413423</v>
      </c>
      <c r="S71" s="182">
        <v>153769.46</v>
      </c>
      <c r="T71" s="210">
        <v>155</v>
      </c>
      <c r="U71" s="210">
        <v>306</v>
      </c>
    </row>
    <row r="72" spans="16:21" ht="18" thickBot="1">
      <c r="P72" s="180" t="s">
        <v>975</v>
      </c>
      <c r="Q72" s="181">
        <v>3954300766</v>
      </c>
      <c r="R72" s="181">
        <v>5624117232038</v>
      </c>
      <c r="S72" s="182">
        <v>2323048.81</v>
      </c>
      <c r="T72" s="210">
        <v>487</v>
      </c>
      <c r="U72" s="210">
        <v>2763</v>
      </c>
    </row>
    <row r="73" spans="16:21" ht="18" thickBot="1">
      <c r="P73" s="215" t="s">
        <v>982</v>
      </c>
      <c r="Q73" s="217" t="s">
        <v>1517</v>
      </c>
      <c r="R73"/>
      <c r="S73"/>
      <c r="T73"/>
      <c r="U73"/>
    </row>
  </sheetData>
  <phoneticPr fontId="1" type="noConversion"/>
  <conditionalFormatting sqref="C29:C30">
    <cfRule type="cellIs" dxfId="10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26"/>
  <dimension ref="A1:Z73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8486209310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246514.45</v>
      </c>
      <c r="G5" s="90"/>
      <c r="H5" s="90"/>
      <c r="I5" s="130">
        <f t="shared" ref="I5:I49" si="0">T5</f>
        <v>95.367112847692368</v>
      </c>
      <c r="J5" s="130"/>
      <c r="K5" s="86"/>
      <c r="L5" s="80"/>
      <c r="M5" s="80"/>
      <c r="P5" s="129" t="s">
        <v>0</v>
      </c>
      <c r="Q5" s="116">
        <v>4930289</v>
      </c>
      <c r="R5" s="116"/>
      <c r="S5" s="116">
        <v>51698</v>
      </c>
      <c r="T5" s="130">
        <f t="shared" ref="T5:T26" si="1">Q5/S5</f>
        <v>95.367112847692368</v>
      </c>
      <c r="U5" s="85"/>
    </row>
    <row r="6" spans="1:21" ht="15" hidden="1" customHeight="1">
      <c r="A6" s="129" t="s">
        <v>1</v>
      </c>
      <c r="C6" s="79"/>
      <c r="F6" s="78">
        <f>Q6/18</f>
        <v>193660.05555555556</v>
      </c>
      <c r="G6" s="90">
        <f t="shared" ref="G6:G26" si="2">F6/F5-1</f>
        <v>-0.21440688139962771</v>
      </c>
      <c r="H6" s="90"/>
      <c r="I6" s="130">
        <f t="shared" si="0"/>
        <v>58.48793624161074</v>
      </c>
      <c r="J6" s="130"/>
      <c r="K6" s="78"/>
      <c r="P6" s="129" t="s">
        <v>1</v>
      </c>
      <c r="Q6" s="116">
        <v>3485881</v>
      </c>
      <c r="R6" s="116"/>
      <c r="S6" s="116">
        <v>59600</v>
      </c>
      <c r="T6" s="130">
        <f t="shared" si="1"/>
        <v>58.48793624161074</v>
      </c>
      <c r="U6" s="85"/>
    </row>
    <row r="7" spans="1:21" ht="15" hidden="1" customHeight="1">
      <c r="A7" s="129" t="s">
        <v>2</v>
      </c>
      <c r="B7" s="131">
        <f>F5+F6+F7</f>
        <v>499257.23282828287</v>
      </c>
      <c r="C7" s="131">
        <f>AVERAGE(F5:F7)</f>
        <v>166419.07760942762</v>
      </c>
      <c r="F7" s="78">
        <f>Q7/22</f>
        <v>59082.727272727272</v>
      </c>
      <c r="G7" s="90">
        <f t="shared" si="2"/>
        <v>-0.69491526219366329</v>
      </c>
      <c r="H7" s="90"/>
      <c r="I7" s="130">
        <f t="shared" si="0"/>
        <v>30.951779973806406</v>
      </c>
      <c r="J7" s="130"/>
      <c r="K7" s="85">
        <f>R5+R6+R7</f>
        <v>0</v>
      </c>
      <c r="N7" s="88">
        <f>AVERAGE(T5:T7)</f>
        <v>61.602276354369842</v>
      </c>
      <c r="P7" s="129" t="s">
        <v>2</v>
      </c>
      <c r="Q7" s="116">
        <v>1299820</v>
      </c>
      <c r="R7" s="116"/>
      <c r="S7" s="116">
        <v>41995</v>
      </c>
      <c r="T7" s="130">
        <f t="shared" si="1"/>
        <v>30.951779973806406</v>
      </c>
      <c r="U7" s="85">
        <f>Q5+Q6+Q7</f>
        <v>9715990</v>
      </c>
    </row>
    <row r="8" spans="1:21" ht="15" hidden="1" customHeight="1">
      <c r="A8" s="129" t="s">
        <v>3</v>
      </c>
      <c r="C8" s="79"/>
      <c r="F8" s="78">
        <f>Q8/21</f>
        <v>53221.714285714283</v>
      </c>
      <c r="G8" s="90">
        <f t="shared" si="2"/>
        <v>-9.9200109026085004E-2</v>
      </c>
      <c r="H8" s="90"/>
      <c r="I8" s="130">
        <f t="shared" si="0"/>
        <v>25.883649837887912</v>
      </c>
      <c r="J8" s="130"/>
      <c r="K8" s="78"/>
      <c r="P8" s="129" t="s">
        <v>3</v>
      </c>
      <c r="Q8" s="116">
        <v>1117656</v>
      </c>
      <c r="R8" s="116"/>
      <c r="S8" s="116">
        <v>43180</v>
      </c>
      <c r="T8" s="130">
        <f t="shared" si="1"/>
        <v>25.883649837887912</v>
      </c>
      <c r="U8" s="85"/>
    </row>
    <row r="9" spans="1:21" ht="15" hidden="1" customHeight="1">
      <c r="A9" s="129" t="s">
        <v>4</v>
      </c>
      <c r="C9" s="79"/>
      <c r="F9" s="78">
        <f>Q9/21</f>
        <v>64788.952380952382</v>
      </c>
      <c r="G9" s="90">
        <f t="shared" si="2"/>
        <v>0.21734057706485732</v>
      </c>
      <c r="H9" s="90"/>
      <c r="I9" s="130">
        <f t="shared" si="0"/>
        <v>50.635206550055827</v>
      </c>
      <c r="J9" s="130"/>
      <c r="K9" s="78"/>
      <c r="P9" s="129" t="s">
        <v>4</v>
      </c>
      <c r="Q9" s="116">
        <v>1360568</v>
      </c>
      <c r="R9" s="116"/>
      <c r="S9" s="116">
        <v>26870</v>
      </c>
      <c r="T9" s="130">
        <f t="shared" si="1"/>
        <v>50.635206550055827</v>
      </c>
      <c r="U9" s="85"/>
    </row>
    <row r="10" spans="1:21" ht="15" hidden="1" customHeight="1">
      <c r="A10" s="129" t="s">
        <v>5</v>
      </c>
      <c r="B10" s="131">
        <f>F8+F9+F10</f>
        <v>182596.23809523808</v>
      </c>
      <c r="C10" s="131">
        <f>AVERAGE(F8:F10)</f>
        <v>60865.412698412692</v>
      </c>
      <c r="D10" s="90">
        <f>C10/C7-1</f>
        <v>-0.63426421073394601</v>
      </c>
      <c r="E10" s="286"/>
      <c r="F10" s="78">
        <f>Q10/21</f>
        <v>64585.571428571428</v>
      </c>
      <c r="G10" s="90">
        <f t="shared" si="2"/>
        <v>-3.1391301280053741E-3</v>
      </c>
      <c r="H10" s="90"/>
      <c r="I10" s="130">
        <f t="shared" si="0"/>
        <v>64.708795463360943</v>
      </c>
      <c r="J10" s="130"/>
      <c r="K10" s="85">
        <f>R8+R9+R10</f>
        <v>0</v>
      </c>
      <c r="L10" s="87">
        <f>U10/U7-1</f>
        <v>-0.60533913682496587</v>
      </c>
      <c r="N10" s="88">
        <f>AVERAGE(T8:T10)</f>
        <v>47.0758839504349</v>
      </c>
      <c r="O10" s="89">
        <f>N10/N7-1</f>
        <v>-0.23580934445297475</v>
      </c>
      <c r="P10" s="129" t="s">
        <v>5</v>
      </c>
      <c r="Q10" s="116">
        <v>1356297</v>
      </c>
      <c r="R10" s="116"/>
      <c r="S10" s="116">
        <v>20960.009999999998</v>
      </c>
      <c r="T10" s="130">
        <f t="shared" si="1"/>
        <v>64.708795463360943</v>
      </c>
      <c r="U10" s="85">
        <f>Q8+Q9+Q10</f>
        <v>3834521</v>
      </c>
    </row>
    <row r="11" spans="1:21" ht="15" hidden="1" customHeight="1">
      <c r="A11" s="129" t="s">
        <v>6</v>
      </c>
      <c r="C11" s="79"/>
      <c r="F11" s="78">
        <f>Q11/21</f>
        <v>106259.04761904762</v>
      </c>
      <c r="G11" s="90">
        <f t="shared" si="2"/>
        <v>0.64524436756846026</v>
      </c>
      <c r="H11" s="90"/>
      <c r="I11" s="130">
        <f t="shared" si="0"/>
        <v>70.689010675705646</v>
      </c>
      <c r="J11" s="130"/>
      <c r="K11" s="78"/>
      <c r="O11" s="89"/>
      <c r="P11" s="129" t="s">
        <v>6</v>
      </c>
      <c r="Q11" s="116">
        <v>2231440</v>
      </c>
      <c r="R11" s="116"/>
      <c r="S11" s="116">
        <v>31567</v>
      </c>
      <c r="T11" s="130">
        <f t="shared" si="1"/>
        <v>70.689010675705646</v>
      </c>
      <c r="U11" s="85"/>
    </row>
    <row r="12" spans="1:21" ht="15" hidden="1" customHeight="1">
      <c r="A12" s="129" t="s">
        <v>7</v>
      </c>
      <c r="C12" s="79"/>
      <c r="F12" s="78">
        <f>Q12/22</f>
        <v>6582.136363636364</v>
      </c>
      <c r="G12" s="90">
        <f t="shared" si="2"/>
        <v>-0.93805575608738589</v>
      </c>
      <c r="H12" s="90"/>
      <c r="I12" s="130">
        <f t="shared" si="0"/>
        <v>53.316273932253317</v>
      </c>
      <c r="J12" s="130"/>
      <c r="K12" s="78"/>
      <c r="O12" s="89"/>
      <c r="P12" s="129" t="s">
        <v>7</v>
      </c>
      <c r="Q12" s="116">
        <v>144807</v>
      </c>
      <c r="R12" s="116"/>
      <c r="S12" s="116">
        <v>2716</v>
      </c>
      <c r="T12" s="130">
        <f t="shared" si="1"/>
        <v>53.316273932253317</v>
      </c>
      <c r="U12" s="85"/>
    </row>
    <row r="13" spans="1:21" ht="15" hidden="1" customHeight="1">
      <c r="A13" s="129" t="s">
        <v>96</v>
      </c>
      <c r="B13" s="131">
        <f>F11+F12+F13</f>
        <v>537494.633982684</v>
      </c>
      <c r="C13" s="131">
        <f>AVERAGE(F11:F13)</f>
        <v>179164.87799422801</v>
      </c>
      <c r="D13" s="90">
        <f>C13/C10-1</f>
        <v>1.9436238095022471</v>
      </c>
      <c r="E13" s="286"/>
      <c r="F13" s="78">
        <f>Q13/20</f>
        <v>424653.45</v>
      </c>
      <c r="G13" s="90">
        <f t="shared" si="2"/>
        <v>63.516051710207378</v>
      </c>
      <c r="H13" s="90"/>
      <c r="I13" s="130">
        <f t="shared" si="0"/>
        <v>198.44082805673031</v>
      </c>
      <c r="J13" s="130"/>
      <c r="K13" s="78">
        <f>R11+R12+R13</f>
        <v>0</v>
      </c>
      <c r="L13" s="87">
        <f>U13/U10-1</f>
        <v>1.8345955074962426</v>
      </c>
      <c r="N13" s="88">
        <f>AVERAGE(T11:T13)</f>
        <v>107.48203755489642</v>
      </c>
      <c r="O13" s="89">
        <f>N13/N10-1</f>
        <v>1.2831655730152991</v>
      </c>
      <c r="P13" s="129" t="s">
        <v>96</v>
      </c>
      <c r="Q13" s="116">
        <v>8493069</v>
      </c>
      <c r="R13" s="116"/>
      <c r="S13" s="116">
        <v>42799</v>
      </c>
      <c r="T13" s="130">
        <f t="shared" si="1"/>
        <v>198.44082805673031</v>
      </c>
      <c r="U13" s="85">
        <f>Q11+Q12+Q13</f>
        <v>10869316</v>
      </c>
    </row>
    <row r="14" spans="1:21" ht="15" hidden="1" customHeight="1">
      <c r="A14" s="129" t="s">
        <v>97</v>
      </c>
      <c r="C14" s="79"/>
      <c r="F14" s="78">
        <f>Q14/20</f>
        <v>20305</v>
      </c>
      <c r="G14" s="90">
        <f t="shared" si="2"/>
        <v>-0.95218454012324638</v>
      </c>
      <c r="H14" s="90"/>
      <c r="I14" s="130">
        <f t="shared" si="0"/>
        <v>47.776470588235291</v>
      </c>
      <c r="J14" s="130"/>
      <c r="K14" s="78"/>
      <c r="O14" s="89"/>
      <c r="P14" s="129" t="s">
        <v>97</v>
      </c>
      <c r="Q14" s="116">
        <v>406100</v>
      </c>
      <c r="R14" s="116"/>
      <c r="S14" s="116">
        <v>8500</v>
      </c>
      <c r="T14" s="130">
        <f t="shared" si="1"/>
        <v>47.776470588235291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87729.045454545456</v>
      </c>
      <c r="G15" s="90">
        <f t="shared" si="2"/>
        <v>3.3205636766582352</v>
      </c>
      <c r="H15" s="90"/>
      <c r="I15" s="130">
        <f t="shared" si="0"/>
        <v>641.56705403680451</v>
      </c>
      <c r="J15" s="130"/>
      <c r="K15" s="78"/>
      <c r="O15" s="89"/>
      <c r="P15" s="129" t="s">
        <v>98</v>
      </c>
      <c r="Q15" s="116">
        <v>1930039</v>
      </c>
      <c r="R15" s="116"/>
      <c r="S15" s="116">
        <v>3008.32</v>
      </c>
      <c r="T15" s="130">
        <f t="shared" si="1"/>
        <v>641.56705403680451</v>
      </c>
      <c r="U15" s="78"/>
    </row>
    <row r="16" spans="1:21" ht="15" hidden="1" customHeight="1">
      <c r="A16" s="129" t="s">
        <v>99</v>
      </c>
      <c r="B16" s="131">
        <f>F14+F15+F16</f>
        <v>147335.77272727274</v>
      </c>
      <c r="C16" s="131">
        <f>AVERAGE(F14:F16)</f>
        <v>49111.924242424247</v>
      </c>
      <c r="D16" s="90">
        <f>C16/C13-1</f>
        <v>-0.72588419788388192</v>
      </c>
      <c r="E16" s="286"/>
      <c r="F16" s="78">
        <f>Q16/22</f>
        <v>39301.727272727272</v>
      </c>
      <c r="G16" s="90">
        <f t="shared" si="2"/>
        <v>-0.55201008891530168</v>
      </c>
      <c r="H16" s="90"/>
      <c r="I16" s="130">
        <f t="shared" si="0"/>
        <v>59.569610224082396</v>
      </c>
      <c r="J16" s="130"/>
      <c r="K16" s="78">
        <f>R14+R15+R16</f>
        <v>0</v>
      </c>
      <c r="L16" s="87">
        <f>U16/U13-1</f>
        <v>-0.7055217642030096</v>
      </c>
      <c r="N16" s="88">
        <f>AVERAGE(T14:T16)</f>
        <v>249.63771161637405</v>
      </c>
      <c r="O16" s="89">
        <f>N16/N13-1</f>
        <v>1.3225993598127657</v>
      </c>
      <c r="P16" s="129" t="s">
        <v>99</v>
      </c>
      <c r="Q16" s="116">
        <v>864638</v>
      </c>
      <c r="R16" s="116"/>
      <c r="S16" s="116">
        <v>14514.75</v>
      </c>
      <c r="T16" s="130">
        <f t="shared" si="1"/>
        <v>59.569610224082396</v>
      </c>
      <c r="U16" s="85">
        <f>Q14+Q15+Q16</f>
        <v>3200777</v>
      </c>
    </row>
    <row r="17" spans="1:21" ht="15" hidden="1" customHeight="1">
      <c r="A17" s="129" t="s">
        <v>100</v>
      </c>
      <c r="C17" s="79"/>
      <c r="F17" s="78">
        <f>Q17/20</f>
        <v>70.5</v>
      </c>
      <c r="G17" s="90">
        <f t="shared" si="2"/>
        <v>-0.99820618571008912</v>
      </c>
      <c r="H17" s="90">
        <f t="shared" ref="H17:H26" si="3">F17/F5-1</f>
        <v>-0.99971401270797711</v>
      </c>
      <c r="I17" s="130">
        <f t="shared" si="0"/>
        <v>255.43478260869568</v>
      </c>
      <c r="J17" s="130">
        <f t="shared" ref="J17:J49" si="4">I17/I5-1</f>
        <v>1.6784367795284107</v>
      </c>
      <c r="K17" s="78"/>
      <c r="O17" s="89"/>
      <c r="P17" s="129" t="s">
        <v>100</v>
      </c>
      <c r="Q17" s="116">
        <v>1410</v>
      </c>
      <c r="R17" s="116">
        <v>1793795</v>
      </c>
      <c r="S17" s="116">
        <v>5.52</v>
      </c>
      <c r="T17" s="130">
        <f t="shared" si="1"/>
        <v>255.43478260869568</v>
      </c>
      <c r="U17" s="78"/>
    </row>
    <row r="18" spans="1:21" ht="15" hidden="1" customHeight="1">
      <c r="A18" s="129" t="s">
        <v>106</v>
      </c>
      <c r="C18" s="79"/>
      <c r="F18" s="78">
        <f>Q18/20</f>
        <v>155756.1</v>
      </c>
      <c r="G18" s="90">
        <f t="shared" si="2"/>
        <v>2208.3063829787234</v>
      </c>
      <c r="H18" s="90">
        <f t="shared" si="3"/>
        <v>-0.19572417991319846</v>
      </c>
      <c r="I18" s="130">
        <f t="shared" si="0"/>
        <v>242.49743110695937</v>
      </c>
      <c r="J18" s="130">
        <f t="shared" si="4"/>
        <v>3.1461102355401049</v>
      </c>
      <c r="K18" s="78"/>
      <c r="O18" s="89"/>
      <c r="P18" s="129" t="s">
        <v>106</v>
      </c>
      <c r="Q18" s="116">
        <v>3115122</v>
      </c>
      <c r="R18" s="116">
        <v>3966802902</v>
      </c>
      <c r="S18" s="116">
        <v>12846</v>
      </c>
      <c r="T18" s="130">
        <f t="shared" si="1"/>
        <v>242.49743110695937</v>
      </c>
      <c r="U18" s="78"/>
    </row>
    <row r="19" spans="1:21" hidden="1">
      <c r="A19" s="129" t="s">
        <v>114</v>
      </c>
      <c r="B19" s="131">
        <f>SUM(F17:F19)</f>
        <v>262338.50909090909</v>
      </c>
      <c r="C19" s="131">
        <f>AVERAGE(F17:F19)</f>
        <v>87446.169696969693</v>
      </c>
      <c r="D19" s="90">
        <f>C19/C16-1</f>
        <v>0.78054863550696019</v>
      </c>
      <c r="E19" s="286">
        <f>C19/C7-1</f>
        <v>-0.47454239650216712</v>
      </c>
      <c r="F19" s="78">
        <f>Q19/22</f>
        <v>106511.90909090909</v>
      </c>
      <c r="G19" s="90">
        <f t="shared" si="2"/>
        <v>-0.31616219787919009</v>
      </c>
      <c r="H19" s="90">
        <f t="shared" si="3"/>
        <v>0.8027588435321813</v>
      </c>
      <c r="I19" s="130">
        <f t="shared" si="0"/>
        <v>182.36211525740302</v>
      </c>
      <c r="J19" s="130">
        <f t="shared" si="4"/>
        <v>4.8918135051273559</v>
      </c>
      <c r="K19" s="78">
        <f>R17+R18+R19</f>
        <v>7038656194</v>
      </c>
      <c r="L19" s="87">
        <f>U19/U16-1</f>
        <v>0.70577144237164924</v>
      </c>
      <c r="M19" s="87">
        <f>U19/U7-1</f>
        <v>-0.43806096959753971</v>
      </c>
      <c r="N19" s="88">
        <f>AVERAGE(T17:T19)</f>
        <v>226.76477632435271</v>
      </c>
      <c r="O19" s="89">
        <f>N19/N16-1</f>
        <v>-9.1624519163878926E-2</v>
      </c>
      <c r="P19" s="129" t="s">
        <v>114</v>
      </c>
      <c r="Q19" s="116">
        <v>2343262</v>
      </c>
      <c r="R19" s="116">
        <v>3070059497</v>
      </c>
      <c r="S19" s="116">
        <v>12849.5</v>
      </c>
      <c r="T19" s="130">
        <f t="shared" si="1"/>
        <v>182.36211525740302</v>
      </c>
      <c r="U19" s="85">
        <f>Q17+Q18+Q19</f>
        <v>5459794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10446.25</v>
      </c>
      <c r="G20" s="90">
        <f t="shared" si="2"/>
        <v>-0.90192411262590355</v>
      </c>
      <c r="H20" s="90">
        <f t="shared" si="3"/>
        <v>-0.80372203075006976</v>
      </c>
      <c r="I20" s="130">
        <f t="shared" si="0"/>
        <v>10.005507399070925</v>
      </c>
      <c r="J20" s="130">
        <f t="shared" si="4"/>
        <v>-0.61344294712158076</v>
      </c>
      <c r="K20" s="78"/>
      <c r="O20" s="89"/>
      <c r="P20" s="129" t="s">
        <v>131</v>
      </c>
      <c r="Q20" s="116">
        <v>208925</v>
      </c>
      <c r="R20" s="116">
        <v>273695485</v>
      </c>
      <c r="S20" s="116">
        <v>20881</v>
      </c>
      <c r="T20" s="130">
        <f t="shared" si="1"/>
        <v>10.005507399070925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46970.619047619046</v>
      </c>
      <c r="G21" s="90">
        <f t="shared" si="2"/>
        <v>3.496409625235759</v>
      </c>
      <c r="H21" s="90">
        <f t="shared" si="3"/>
        <v>-0.27502116762998985</v>
      </c>
      <c r="I21" s="130">
        <f t="shared" si="0"/>
        <v>53.76790659136995</v>
      </c>
      <c r="J21" s="130">
        <f t="shared" si="4"/>
        <v>6.186802137791747E-2</v>
      </c>
      <c r="K21" s="78"/>
      <c r="O21" s="89"/>
      <c r="P21" s="129" t="s">
        <v>141</v>
      </c>
      <c r="Q21" s="116">
        <v>986383</v>
      </c>
      <c r="R21" s="116">
        <v>1309698724</v>
      </c>
      <c r="S21" s="116">
        <v>18345.2</v>
      </c>
      <c r="T21" s="130">
        <f t="shared" si="1"/>
        <v>53.76790659136995</v>
      </c>
      <c r="U21" s="78"/>
    </row>
    <row r="22" spans="1:21" hidden="1">
      <c r="A22" s="129" t="s">
        <v>155</v>
      </c>
      <c r="B22" s="131">
        <f>SUM(F20:F22)</f>
        <v>64514.202380952382</v>
      </c>
      <c r="C22" s="131">
        <f>AVERAGE(F20:F22)</f>
        <v>21504.734126984127</v>
      </c>
      <c r="D22" s="90">
        <f>C22/C19-1</f>
        <v>-0.75408031933811115</v>
      </c>
      <c r="E22" s="286">
        <f>C22/C10-1</f>
        <v>-0.6466838361297278</v>
      </c>
      <c r="F22" s="78">
        <f>Q22/21</f>
        <v>7097.333333333333</v>
      </c>
      <c r="G22" s="90">
        <f t="shared" si="2"/>
        <v>-0.84889845019632337</v>
      </c>
      <c r="H22" s="90">
        <f t="shared" si="3"/>
        <v>-0.89010961463455274</v>
      </c>
      <c r="I22" s="130">
        <f t="shared" si="0"/>
        <v>62.555191807269374</v>
      </c>
      <c r="J22" s="130">
        <f t="shared" si="4"/>
        <v>-3.3281467235948936E-2</v>
      </c>
      <c r="K22" s="78">
        <f>R20+R21+R22</f>
        <v>1774839658</v>
      </c>
      <c r="L22" s="87">
        <f>U22/U19-1</f>
        <v>-0.75377239507571159</v>
      </c>
      <c r="M22" s="87">
        <f>U22/U10-1</f>
        <v>-0.64940810077712441</v>
      </c>
      <c r="N22" s="88">
        <f>AVERAGE(T20:T22)</f>
        <v>42.109535265903418</v>
      </c>
      <c r="O22" s="89">
        <f>N22/N19-1</f>
        <v>-0.81430301500762137</v>
      </c>
      <c r="P22" s="129" t="s">
        <v>155</v>
      </c>
      <c r="Q22" s="116">
        <v>149044</v>
      </c>
      <c r="R22" s="116">
        <v>191445449</v>
      </c>
      <c r="S22" s="116">
        <v>2382.6</v>
      </c>
      <c r="T22" s="130">
        <f t="shared" si="1"/>
        <v>62.555191807269374</v>
      </c>
      <c r="U22" s="85">
        <f>Q20+Q21+Q22</f>
        <v>1344352</v>
      </c>
    </row>
    <row r="23" spans="1:21" hidden="1">
      <c r="A23" s="129" t="s">
        <v>189</v>
      </c>
      <c r="C23" s="131"/>
      <c r="F23" s="78">
        <f>Q23/21</f>
        <v>117074.38095238095</v>
      </c>
      <c r="G23" s="90">
        <f t="shared" si="2"/>
        <v>15.495544939749337</v>
      </c>
      <c r="H23" s="90">
        <f t="shared" si="3"/>
        <v>0.10178270533825695</v>
      </c>
      <c r="I23" s="130">
        <f t="shared" si="0"/>
        <v>114.4555294336724</v>
      </c>
      <c r="J23" s="130">
        <f t="shared" si="4"/>
        <v>0.61914176389808206</v>
      </c>
      <c r="K23" s="98"/>
      <c r="O23" s="89"/>
      <c r="P23" s="129" t="s">
        <v>189</v>
      </c>
      <c r="Q23" s="116">
        <v>2458562</v>
      </c>
      <c r="R23" s="116">
        <v>3207600880</v>
      </c>
      <c r="S23" s="116">
        <v>21480.5</v>
      </c>
      <c r="T23" s="130">
        <f t="shared" si="1"/>
        <v>114.4555294336724</v>
      </c>
      <c r="U23" s="78"/>
    </row>
    <row r="24" spans="1:21" hidden="1">
      <c r="A24" s="129" t="s">
        <v>204</v>
      </c>
      <c r="C24" s="131"/>
      <c r="F24" s="78">
        <f>Q24/22</f>
        <v>16692.454545454544</v>
      </c>
      <c r="G24" s="90">
        <f t="shared" si="2"/>
        <v>-0.8574200913157588</v>
      </c>
      <c r="H24" s="90">
        <f t="shared" si="3"/>
        <v>1.5360238110036115</v>
      </c>
      <c r="I24" s="130">
        <f t="shared" si="0"/>
        <v>30.491032879442045</v>
      </c>
      <c r="J24" s="130">
        <f t="shared" si="4"/>
        <v>-0.42811020668500421</v>
      </c>
      <c r="K24" s="98"/>
      <c r="O24" s="89"/>
      <c r="P24" s="129" t="s">
        <v>204</v>
      </c>
      <c r="Q24" s="116">
        <v>367234</v>
      </c>
      <c r="R24" s="116">
        <v>490066250</v>
      </c>
      <c r="S24" s="116">
        <v>12044</v>
      </c>
      <c r="T24" s="130">
        <f t="shared" si="1"/>
        <v>30.491032879442045</v>
      </c>
      <c r="U24" s="78"/>
    </row>
    <row r="25" spans="1:21" s="79" customFormat="1" ht="13.2" hidden="1">
      <c r="A25" s="129" t="s">
        <v>219</v>
      </c>
      <c r="B25" s="131">
        <f>SUM(F23:F25)</f>
        <v>204266.36181362497</v>
      </c>
      <c r="C25" s="131">
        <f>AVERAGE(F23:F25)</f>
        <v>68088.787271208319</v>
      </c>
      <c r="D25" s="90">
        <f>C25/C22-1</f>
        <v>2.1662231613349987</v>
      </c>
      <c r="E25" s="286">
        <f>C25/C13-1</f>
        <v>-0.61996576542528681</v>
      </c>
      <c r="F25" s="78">
        <f>Q25/19</f>
        <v>70499.526315789481</v>
      </c>
      <c r="G25" s="90">
        <f t="shared" si="2"/>
        <v>3.223436770417142</v>
      </c>
      <c r="H25" s="90">
        <f t="shared" si="3"/>
        <v>-0.83398338971274233</v>
      </c>
      <c r="I25" s="130">
        <f t="shared" si="0"/>
        <v>57.002285213350412</v>
      </c>
      <c r="J25" s="130">
        <f t="shared" si="4"/>
        <v>-0.71274920704798417</v>
      </c>
      <c r="K25" s="78">
        <f>R23+R24+R25</f>
        <v>5474692825</v>
      </c>
      <c r="L25" s="90">
        <f>U25/U22-1</f>
        <v>2.0983603996572326</v>
      </c>
      <c r="M25" s="90">
        <f>U25/U13-1</f>
        <v>-0.61678480964211546</v>
      </c>
      <c r="N25" s="88">
        <f>AVERAGE(T23:T25)</f>
        <v>67.316282508821615</v>
      </c>
      <c r="O25" s="91">
        <f>N25/N22-1</f>
        <v>0.59859951157733149</v>
      </c>
      <c r="P25" s="129" t="s">
        <v>219</v>
      </c>
      <c r="Q25" s="116">
        <v>1339491</v>
      </c>
      <c r="R25" s="116">
        <v>1777025695</v>
      </c>
      <c r="S25" s="116">
        <v>23498.9</v>
      </c>
      <c r="T25" s="130">
        <f t="shared" si="1"/>
        <v>57.002285213350412</v>
      </c>
      <c r="U25" s="85">
        <f>Q23+Q24+Q25</f>
        <v>4165287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41131.57894736842</v>
      </c>
      <c r="G26" s="90">
        <f t="shared" si="2"/>
        <v>-0.41656942823803977</v>
      </c>
      <c r="H26" s="90">
        <f t="shared" si="3"/>
        <v>1.0256872173045268</v>
      </c>
      <c r="I26" s="130">
        <f t="shared" si="0"/>
        <v>84.761388286334054</v>
      </c>
      <c r="J26" s="130">
        <f t="shared" si="4"/>
        <v>0.77412410843102553</v>
      </c>
      <c r="K26" s="78"/>
      <c r="L26" s="90"/>
      <c r="M26" s="90"/>
      <c r="P26" s="129" t="s">
        <v>312</v>
      </c>
      <c r="Q26" s="116">
        <v>781500</v>
      </c>
      <c r="R26" s="116">
        <v>1050359445</v>
      </c>
      <c r="S26" s="116">
        <v>9220</v>
      </c>
      <c r="T26" s="130">
        <f t="shared" si="1"/>
        <v>84.761388286334054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118890.40909090909</v>
      </c>
      <c r="G27" s="90">
        <f t="shared" ref="G27" si="5">F27/F26-1</f>
        <v>1.8904897923573549</v>
      </c>
      <c r="H27" s="90">
        <f t="shared" ref="H27" si="6">F27/F15-1</f>
        <v>0.35520007626788885</v>
      </c>
      <c r="I27" s="130">
        <f t="shared" si="0"/>
        <v>97.861121628760714</v>
      </c>
      <c r="J27" s="130">
        <f t="shared" si="4"/>
        <v>-0.84746548156890433</v>
      </c>
      <c r="K27" s="78"/>
      <c r="L27" s="90"/>
      <c r="M27" s="90"/>
      <c r="P27" s="129" t="s">
        <v>375</v>
      </c>
      <c r="Q27" s="116">
        <v>2615589</v>
      </c>
      <c r="R27" s="116">
        <v>3424965464</v>
      </c>
      <c r="S27" s="116">
        <v>26727.56</v>
      </c>
      <c r="T27" s="130">
        <f t="shared" ref="T27" si="7">Q27/S27</f>
        <v>97.861121628760714</v>
      </c>
      <c r="U27" s="78"/>
    </row>
    <row r="28" spans="1:21" s="79" customFormat="1" ht="13.2" hidden="1">
      <c r="A28" s="123" t="s">
        <v>413</v>
      </c>
      <c r="B28" s="131">
        <f>SUM(F26:F28)</f>
        <v>276497.04066985648</v>
      </c>
      <c r="C28" s="131">
        <f>AVERAGE(F26:F28)</f>
        <v>92165.680223285497</v>
      </c>
      <c r="D28" s="90">
        <f>C28/C25-1</f>
        <v>0.3536102479865757</v>
      </c>
      <c r="E28" s="286">
        <f>C28/C16-1</f>
        <v>0.87664567505726465</v>
      </c>
      <c r="F28" s="78">
        <f>Q28/19</f>
        <v>116475.05263157895</v>
      </c>
      <c r="G28" s="90">
        <f t="shared" ref="G28" si="8">F28/F27-1</f>
        <v>-2.0315822594934918E-2</v>
      </c>
      <c r="H28" s="90">
        <f t="shared" ref="H28" si="9">F28/F16-1</f>
        <v>1.9636115436688382</v>
      </c>
      <c r="I28" s="130">
        <f t="shared" si="0"/>
        <v>81.206003229120796</v>
      </c>
      <c r="J28" s="130">
        <f t="shared" si="4"/>
        <v>0.36321192842540007</v>
      </c>
      <c r="K28" s="78">
        <f>R26+R27+R28</f>
        <v>7356762678</v>
      </c>
      <c r="L28" s="90">
        <f>U28/U25-1</f>
        <v>0.34687357677874298</v>
      </c>
      <c r="M28" s="90">
        <f>U28/U16-1</f>
        <v>0.75273535144747661</v>
      </c>
      <c r="N28" s="88">
        <f>AVERAGE(T26:T28)</f>
        <v>87.942837714738516</v>
      </c>
      <c r="O28" s="91">
        <f>N28/N25-1</f>
        <v>0.30641257118162835</v>
      </c>
      <c r="P28" s="129" t="s">
        <v>413</v>
      </c>
      <c r="Q28" s="116">
        <v>2213026</v>
      </c>
      <c r="R28" s="116">
        <v>2881437769</v>
      </c>
      <c r="S28" s="116">
        <v>27252</v>
      </c>
      <c r="T28" s="130">
        <f t="shared" ref="T28" si="10">Q28/S28</f>
        <v>81.206003229120796</v>
      </c>
      <c r="U28" s="85">
        <f>Q26+Q27+Q28</f>
        <v>5610115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226000.13636363635</v>
      </c>
      <c r="G29" s="190">
        <f t="shared" ref="G29" si="11">F29/F28-1</f>
        <v>0.94033083701189724</v>
      </c>
      <c r="H29" s="190">
        <f t="shared" ref="H29" si="12">F29/F17-1</f>
        <v>3204.6756931012251</v>
      </c>
      <c r="I29" s="130">
        <f t="shared" si="0"/>
        <v>110.65149030019651</v>
      </c>
      <c r="J29" s="130">
        <f t="shared" si="4"/>
        <v>-0.56681118690986909</v>
      </c>
      <c r="K29" s="136"/>
      <c r="L29" s="190"/>
      <c r="M29" s="190"/>
      <c r="N29" s="191"/>
      <c r="O29" s="192"/>
      <c r="P29" s="129" t="s">
        <v>427</v>
      </c>
      <c r="Q29" s="116">
        <v>4972003</v>
      </c>
      <c r="R29" s="116">
        <v>6475988632</v>
      </c>
      <c r="S29" s="116">
        <v>44933.9</v>
      </c>
      <c r="T29" s="130">
        <f t="shared" ref="T29" si="13">Q29/S29</f>
        <v>110.65149030019651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26894.21052631579</v>
      </c>
      <c r="G30" s="190">
        <f t="shared" ref="G30" si="14">F30/F29-1</f>
        <v>-0.88099914027023973</v>
      </c>
      <c r="H30" s="190">
        <f t="shared" ref="H30" si="15">F30/F18-1</f>
        <v>-0.82733125363105664</v>
      </c>
      <c r="I30" s="130">
        <f t="shared" si="0"/>
        <v>79.842187499999994</v>
      </c>
      <c r="J30" s="130">
        <f t="shared" si="4"/>
        <v>-0.6707503781152071</v>
      </c>
      <c r="K30" s="136"/>
      <c r="L30" s="190"/>
      <c r="M30" s="190"/>
      <c r="N30" s="191"/>
      <c r="O30" s="192"/>
      <c r="P30" s="129" t="s">
        <v>466</v>
      </c>
      <c r="Q30" s="116">
        <v>510990</v>
      </c>
      <c r="R30" s="116">
        <v>678926863</v>
      </c>
      <c r="S30" s="116">
        <v>6400</v>
      </c>
      <c r="T30" s="130">
        <f t="shared" ref="T30" si="16">Q30/S30</f>
        <v>79.842187499999994</v>
      </c>
      <c r="U30" s="85"/>
    </row>
    <row r="31" spans="1:21" s="79" customFormat="1" ht="13.2" hidden="1">
      <c r="A31" s="129" t="s">
        <v>505</v>
      </c>
      <c r="B31" s="188">
        <f>SUM(F29:F31)</f>
        <v>820806.29688995215</v>
      </c>
      <c r="C31" s="188">
        <f>AVERAGE(F29:F31)</f>
        <v>273602.0989633174</v>
      </c>
      <c r="D31" s="190">
        <f>C31/C28-1</f>
        <v>1.9685898080551714</v>
      </c>
      <c r="E31" s="287">
        <f>C31/C19-1</f>
        <v>2.1288059832859512</v>
      </c>
      <c r="F31" s="136">
        <f>Q31/20</f>
        <v>567911.94999999995</v>
      </c>
      <c r="G31" s="190">
        <f t="shared" ref="G31" si="17">F31/F30-1</f>
        <v>20.116513141157359</v>
      </c>
      <c r="H31" s="190">
        <f t="shared" ref="H31" si="18">F31/F19-1</f>
        <v>4.3319103454927355</v>
      </c>
      <c r="I31" s="130">
        <f t="shared" si="0"/>
        <v>146.60710690037948</v>
      </c>
      <c r="J31" s="130">
        <f t="shared" si="4"/>
        <v>-0.1960659883033028</v>
      </c>
      <c r="K31" s="136">
        <f>R29+R30+R31</f>
        <v>22236752837</v>
      </c>
      <c r="L31" s="190">
        <f>U31/U28-1</f>
        <v>2.0019406019306198</v>
      </c>
      <c r="M31" s="190">
        <f>U31/U19-1</f>
        <v>2.0845911036203928</v>
      </c>
      <c r="N31" s="191">
        <f>AVERAGE(T29:T31)</f>
        <v>112.36692823352534</v>
      </c>
      <c r="O31" s="192">
        <f>N31/N28-1</f>
        <v>0.27772688661709566</v>
      </c>
      <c r="P31" s="129" t="s">
        <v>505</v>
      </c>
      <c r="Q31" s="116">
        <v>11358239</v>
      </c>
      <c r="R31" s="116">
        <v>15081837342</v>
      </c>
      <c r="S31" s="116">
        <v>77474</v>
      </c>
      <c r="T31" s="130">
        <f t="shared" ref="T31" si="19">Q31/S31</f>
        <v>146.60710690037948</v>
      </c>
      <c r="U31" s="85">
        <f>Q29+Q30+Q31</f>
        <v>16841232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36116.666666666664</v>
      </c>
      <c r="G32" s="190">
        <f t="shared" ref="G32" si="20">F32/F31-1</f>
        <v>-0.93640446082061368</v>
      </c>
      <c r="H32" s="190">
        <f t="shared" ref="H32" si="21">F32/F20-1</f>
        <v>2.4573810378524987</v>
      </c>
      <c r="I32" s="130">
        <f t="shared" si="0"/>
        <v>74.052919351689127</v>
      </c>
      <c r="J32" s="130">
        <f t="shared" si="4"/>
        <v>6.4012157902722064</v>
      </c>
      <c r="K32" s="136"/>
      <c r="L32" s="190"/>
      <c r="M32" s="190"/>
      <c r="N32" s="191"/>
      <c r="O32" s="192"/>
      <c r="P32" s="129" t="s">
        <v>562</v>
      </c>
      <c r="Q32" s="116">
        <v>758450</v>
      </c>
      <c r="R32" s="116">
        <v>1026100520</v>
      </c>
      <c r="S32" s="116">
        <v>10242</v>
      </c>
      <c r="T32" s="130">
        <f t="shared" ref="T32" si="22">Q32/S32</f>
        <v>74.052919351689127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355465.19047619047</v>
      </c>
      <c r="G33" s="190">
        <f t="shared" ref="G33" si="23">F33/F32-1</f>
        <v>8.8421372536093354</v>
      </c>
      <c r="H33" s="190">
        <f t="shared" ref="H33" si="24">F33/F21-1</f>
        <v>6.5678200050081967</v>
      </c>
      <c r="I33" s="130">
        <f t="shared" si="0"/>
        <v>144.1640063577039</v>
      </c>
      <c r="J33" s="130">
        <f t="shared" si="4"/>
        <v>1.6812278085017174</v>
      </c>
      <c r="K33" s="136"/>
      <c r="L33" s="190"/>
      <c r="M33" s="190"/>
      <c r="N33" s="191"/>
      <c r="O33" s="192"/>
      <c r="P33" s="129" t="s">
        <v>607</v>
      </c>
      <c r="Q33" s="116">
        <v>7464769</v>
      </c>
      <c r="R33" s="116">
        <v>10189355600</v>
      </c>
      <c r="S33" s="116">
        <v>51779.7</v>
      </c>
      <c r="T33" s="130">
        <f t="shared" ref="T33" si="25">Q33/S33</f>
        <v>144.1640063577039</v>
      </c>
      <c r="U33" s="85"/>
    </row>
    <row r="34" spans="1:21" s="79" customFormat="1" ht="13.2" hidden="1">
      <c r="A34" s="129" t="s">
        <v>652</v>
      </c>
      <c r="B34" s="188">
        <f>SUM(F32:F34)</f>
        <v>545378.69924812031</v>
      </c>
      <c r="C34" s="188">
        <f>AVERAGE(F32:F34)</f>
        <v>181792.89974937344</v>
      </c>
      <c r="D34" s="190">
        <f>C34/C31-1</f>
        <v>-0.335557364368952</v>
      </c>
      <c r="E34" s="287">
        <f>C34/C22-1</f>
        <v>7.4536222896734081</v>
      </c>
      <c r="F34" s="136">
        <f>Q34/19</f>
        <v>153796.84210526315</v>
      </c>
      <c r="G34" s="190">
        <f t="shared" ref="G34" si="26">F34/F33-1</f>
        <v>-0.5673364193573136</v>
      </c>
      <c r="H34" s="190">
        <f t="shared" ref="H34" si="27">F34/F22-1</f>
        <v>20.669665898731424</v>
      </c>
      <c r="I34" s="130">
        <f t="shared" si="0"/>
        <v>88.65716019417475</v>
      </c>
      <c r="J34" s="130">
        <f t="shared" si="4"/>
        <v>0.41726302218566835</v>
      </c>
      <c r="K34" s="136">
        <f>R32+R33+R34</f>
        <v>15241035489</v>
      </c>
      <c r="L34" s="190">
        <f>U34/U31-1</f>
        <v>-0.33820999556326992</v>
      </c>
      <c r="M34" s="190">
        <f>U34/U22-1</f>
        <v>7.2905065042488868</v>
      </c>
      <c r="N34" s="191">
        <f>AVERAGE(T32:T34)</f>
        <v>102.29136196785593</v>
      </c>
      <c r="O34" s="192">
        <f>N34/N31-1</f>
        <v>-8.9666652137450731E-2</v>
      </c>
      <c r="P34" s="129" t="s">
        <v>652</v>
      </c>
      <c r="Q34" s="116">
        <v>2922140</v>
      </c>
      <c r="R34" s="116">
        <v>4025579369</v>
      </c>
      <c r="S34" s="116">
        <v>32960</v>
      </c>
      <c r="T34" s="130">
        <f t="shared" ref="T34" si="28">Q34/S34</f>
        <v>88.65716019417475</v>
      </c>
      <c r="U34" s="85">
        <f>Q32+Q33+Q34</f>
        <v>11145359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31570.434782608696</v>
      </c>
      <c r="G35" s="190">
        <f t="shared" ref="G35" si="29">F35/F34-1</f>
        <v>-0.79472637831535609</v>
      </c>
      <c r="H35" s="190">
        <f t="shared" ref="H35" si="30">F35/F23-1</f>
        <v>-0.730338657135845</v>
      </c>
      <c r="I35" s="130">
        <f t="shared" si="0"/>
        <v>46.204066049441636</v>
      </c>
      <c r="J35" s="130">
        <f t="shared" si="4"/>
        <v>-0.59631425167434005</v>
      </c>
      <c r="K35" s="136"/>
      <c r="L35" s="190"/>
      <c r="M35" s="190"/>
      <c r="N35" s="191"/>
      <c r="O35" s="192"/>
      <c r="P35" s="129" t="s">
        <v>660</v>
      </c>
      <c r="Q35" s="116">
        <v>726120</v>
      </c>
      <c r="R35" s="116">
        <v>1007120505</v>
      </c>
      <c r="S35" s="116">
        <v>15715.5</v>
      </c>
      <c r="T35" s="130">
        <f t="shared" ref="T35" si="31">Q35/S35</f>
        <v>46.204066049441636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109007.66666666667</v>
      </c>
      <c r="G36" s="190">
        <f t="shared" ref="G36" si="32">F36/F35-1</f>
        <v>2.4528402100662885</v>
      </c>
      <c r="H36" s="190">
        <f t="shared" ref="H36" si="33">F36/F24-1</f>
        <v>5.5303557586352756</v>
      </c>
      <c r="I36" s="130">
        <f t="shared" si="0"/>
        <v>88.418733101583626</v>
      </c>
      <c r="J36" s="130">
        <f t="shared" si="4"/>
        <v>1.899827416512287</v>
      </c>
      <c r="K36" s="136"/>
      <c r="L36" s="190"/>
      <c r="M36" s="190"/>
      <c r="N36" s="191"/>
      <c r="O36" s="192"/>
      <c r="P36" s="129" t="s">
        <v>664</v>
      </c>
      <c r="Q36" s="116">
        <v>2289161</v>
      </c>
      <c r="R36" s="116">
        <v>3138421417</v>
      </c>
      <c r="S36" s="116">
        <v>25890</v>
      </c>
      <c r="T36" s="130">
        <f t="shared" ref="T36" si="34">Q36/S36</f>
        <v>88.418733101583626</v>
      </c>
      <c r="U36" s="85"/>
    </row>
    <row r="37" spans="1:21" s="79" customFormat="1" ht="13.2" hidden="1">
      <c r="A37" s="129" t="s">
        <v>702</v>
      </c>
      <c r="B37" s="188">
        <f>SUM(F35:F37)</f>
        <v>145300.32367149758</v>
      </c>
      <c r="C37" s="188">
        <f>AVERAGE(F35:F37)</f>
        <v>48433.441223832524</v>
      </c>
      <c r="D37" s="190">
        <f>C37/C34-1</f>
        <v>-0.73357902706538769</v>
      </c>
      <c r="E37" s="287">
        <f>C37/C25-1</f>
        <v>-0.28867228856765315</v>
      </c>
      <c r="F37" s="136">
        <f>Q37/18</f>
        <v>4722.2222222222226</v>
      </c>
      <c r="G37" s="190">
        <f t="shared" ref="G37" si="35">F37/F36-1</f>
        <v>-0.95667990732558061</v>
      </c>
      <c r="H37" s="190">
        <f t="shared" ref="H37" si="36">F37/F25-1</f>
        <v>-0.93301767445826644</v>
      </c>
      <c r="I37" s="130">
        <f t="shared" si="0"/>
        <v>42.5</v>
      </c>
      <c r="J37" s="130">
        <f t="shared" si="4"/>
        <v>-0.25441585647085352</v>
      </c>
      <c r="K37" s="136">
        <f>R35+R36+R37</f>
        <v>4258710922</v>
      </c>
      <c r="L37" s="190">
        <f>U37/U34-1</f>
        <v>-0.72183210967004285</v>
      </c>
      <c r="M37" s="190">
        <f>U37/U25-1</f>
        <v>-0.25568610278235326</v>
      </c>
      <c r="N37" s="191">
        <f>AVERAGE(T35:T37)</f>
        <v>59.040933050341756</v>
      </c>
      <c r="O37" s="192">
        <f>N37/N34-1</f>
        <v>-0.42281604316799692</v>
      </c>
      <c r="P37" s="129" t="s">
        <v>702</v>
      </c>
      <c r="Q37" s="116">
        <v>85000</v>
      </c>
      <c r="R37" s="116">
        <v>113169000</v>
      </c>
      <c r="S37" s="116">
        <v>2000</v>
      </c>
      <c r="T37" s="130">
        <f t="shared" ref="T37" si="37">Q37/S37</f>
        <v>42.5</v>
      </c>
      <c r="U37" s="85">
        <f>Q35+Q36+Q37</f>
        <v>3100281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112867.5</v>
      </c>
      <c r="G38" s="190">
        <f t="shared" ref="G38" si="38">F38/F37-1</f>
        <v>22.901352941176469</v>
      </c>
      <c r="H38" s="190">
        <f t="shared" ref="H38" si="39">F38/F26-1</f>
        <v>1.7440595009596929</v>
      </c>
      <c r="I38" s="130">
        <f t="shared" si="0"/>
        <v>65.317218270939065</v>
      </c>
      <c r="J38" s="130">
        <f t="shared" si="4"/>
        <v>-0.22939890920274064</v>
      </c>
      <c r="K38" s="136"/>
      <c r="L38" s="190"/>
      <c r="M38" s="190"/>
      <c r="N38" s="191"/>
      <c r="O38" s="192"/>
      <c r="P38" s="129" t="s">
        <v>728</v>
      </c>
      <c r="Q38" s="116">
        <v>2257350</v>
      </c>
      <c r="R38" s="116">
        <v>3001317365</v>
      </c>
      <c r="S38" s="116">
        <v>34559.800000000003</v>
      </c>
      <c r="T38" s="130">
        <f t="shared" ref="T38" si="40">Q38/S38</f>
        <v>65.317218270939065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23424.142857142859</v>
      </c>
      <c r="G39" s="190">
        <f t="shared" ref="G39" si="41">F39/F38-1</f>
        <v>-0.79246334988244749</v>
      </c>
      <c r="H39" s="190">
        <f t="shared" ref="H39" si="42">F39/F27-1</f>
        <v>-0.80297701861525539</v>
      </c>
      <c r="I39" s="130">
        <f t="shared" si="0"/>
        <v>63.056107472023172</v>
      </c>
      <c r="J39" s="130">
        <f t="shared" si="4"/>
        <v>-0.35565721685442631</v>
      </c>
      <c r="K39" s="136"/>
      <c r="L39" s="190"/>
      <c r="M39" s="190"/>
      <c r="N39" s="191"/>
      <c r="O39" s="192"/>
      <c r="P39" s="129" t="s">
        <v>762</v>
      </c>
      <c r="Q39" s="116">
        <v>491907</v>
      </c>
      <c r="R39" s="116">
        <v>680637380</v>
      </c>
      <c r="S39" s="116">
        <v>7801.1</v>
      </c>
      <c r="T39" s="130">
        <f t="shared" ref="T39" si="43">Q39/S39</f>
        <v>63.056107472023172</v>
      </c>
      <c r="U39" s="85"/>
    </row>
    <row r="40" spans="1:21" s="79" customFormat="1" ht="13.2" hidden="1">
      <c r="A40" s="129" t="s">
        <v>778</v>
      </c>
      <c r="B40" s="188">
        <f>SUM(F38:F40)</f>
        <v>162892.4523809524</v>
      </c>
      <c r="C40" s="188">
        <f>AVERAGE(F38:F40)</f>
        <v>54297.484126984134</v>
      </c>
      <c r="D40" s="190">
        <f>C40/C37-1</f>
        <v>0.12107425685594486</v>
      </c>
      <c r="E40" s="287">
        <f>C40/C28-1</f>
        <v>-0.41087090123525205</v>
      </c>
      <c r="F40" s="136">
        <f>Q40/21</f>
        <v>26600.809523809523</v>
      </c>
      <c r="G40" s="190">
        <f t="shared" ref="G40" si="44">F40/F39-1</f>
        <v>0.1356150654493633</v>
      </c>
      <c r="H40" s="190">
        <f t="shared" ref="H40" si="45">F40/F28-1</f>
        <v>-0.77161796519680248</v>
      </c>
      <c r="I40" s="130">
        <f t="shared" si="0"/>
        <v>37.815935553750336</v>
      </c>
      <c r="J40" s="130">
        <f t="shared" si="4"/>
        <v>-0.53432093626066557</v>
      </c>
      <c r="K40" s="136">
        <f>R38+R39+R40</f>
        <v>4467232123</v>
      </c>
      <c r="L40" s="190">
        <f>U40/U37-1</f>
        <v>6.6959414324056388E-2</v>
      </c>
      <c r="M40" s="190">
        <f>U40/U28-1</f>
        <v>-0.41037322764328366</v>
      </c>
      <c r="N40" s="191">
        <f>AVERAGE(T38:T40)</f>
        <v>55.396420432237527</v>
      </c>
      <c r="O40" s="192">
        <f>N40/N37-1</f>
        <v>-6.172857422488065E-2</v>
      </c>
      <c r="P40" s="129" t="s">
        <v>778</v>
      </c>
      <c r="Q40" s="116">
        <v>558617</v>
      </c>
      <c r="R40" s="116">
        <v>785277378</v>
      </c>
      <c r="S40" s="116">
        <v>14772</v>
      </c>
      <c r="T40" s="130">
        <f t="shared" ref="T40" si="46">Q40/S40</f>
        <v>37.815935553750336</v>
      </c>
      <c r="U40" s="85">
        <f>Q38+Q39+Q40</f>
        <v>3307874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251038.44444444444</v>
      </c>
      <c r="G41" s="190">
        <f t="shared" ref="G41" si="47">F41/F40-1</f>
        <v>8.437248299520661</v>
      </c>
      <c r="H41" s="190">
        <f t="shared" ref="H41" si="48">F41/F29-1</f>
        <v>0.11078890696119403</v>
      </c>
      <c r="I41" s="130">
        <f t="shared" si="0"/>
        <v>93.551213412336594</v>
      </c>
      <c r="J41" s="130">
        <f t="shared" si="4"/>
        <v>-0.15454176750323945</v>
      </c>
      <c r="K41" s="193"/>
      <c r="L41" s="190"/>
      <c r="M41" s="190"/>
      <c r="N41" s="193"/>
      <c r="O41" s="193"/>
      <c r="P41" s="129" t="s">
        <v>792</v>
      </c>
      <c r="Q41" s="116">
        <v>4518692</v>
      </c>
      <c r="R41" s="116">
        <v>6639814026</v>
      </c>
      <c r="S41" s="116">
        <v>48301.8</v>
      </c>
      <c r="T41" s="130">
        <f t="shared" ref="T41" si="49">Q41/S41</f>
        <v>93.551213412336594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24656</v>
      </c>
      <c r="G42" s="190">
        <f t="shared" ref="G42" si="50">F42/F41-1</f>
        <v>-0.90178396757291712</v>
      </c>
      <c r="H42" s="190">
        <f t="shared" ref="H42" si="51">F42/F30-1</f>
        <v>-8.3222763654866028E-2</v>
      </c>
      <c r="I42" s="130">
        <f t="shared" si="0"/>
        <v>29.007058823529412</v>
      </c>
      <c r="J42" s="130">
        <f t="shared" si="4"/>
        <v>-0.63669508900254757</v>
      </c>
      <c r="K42" s="193"/>
      <c r="L42" s="190"/>
      <c r="M42" s="190"/>
      <c r="N42" s="193"/>
      <c r="O42" s="193"/>
      <c r="P42" s="129" t="s">
        <v>826</v>
      </c>
      <c r="Q42" s="116">
        <v>493120</v>
      </c>
      <c r="R42" s="116">
        <v>715753817</v>
      </c>
      <c r="S42" s="116">
        <v>17000</v>
      </c>
      <c r="T42" s="130">
        <f t="shared" ref="T42" si="52">Q42/S42</f>
        <v>29.007058823529412</v>
      </c>
      <c r="U42" s="78"/>
    </row>
    <row r="43" spans="1:21" s="79" customFormat="1" ht="13.2">
      <c r="A43" s="129" t="s">
        <v>835</v>
      </c>
      <c r="B43" s="188">
        <f>SUM(F41:F43)</f>
        <v>298651.14444444445</v>
      </c>
      <c r="C43" s="188">
        <f>AVERAGE(F41:F43)</f>
        <v>99550.381481481483</v>
      </c>
      <c r="D43" s="190">
        <f>C43/C40-1</f>
        <v>0.83342530656974012</v>
      </c>
      <c r="E43" s="287">
        <f>C43/C31-1</f>
        <v>-0.6361490578519704</v>
      </c>
      <c r="F43" s="136">
        <f>Q43/20</f>
        <v>22956.7</v>
      </c>
      <c r="G43" s="190">
        <f t="shared" ref="G43" si="53">F43/F42-1</f>
        <v>-6.8920343932511341E-2</v>
      </c>
      <c r="H43" s="190">
        <f t="shared" ref="H43" si="54">F43/F31-1</f>
        <v>-0.9595770083725127</v>
      </c>
      <c r="I43" s="130">
        <f t="shared" si="0"/>
        <v>15.649112282842468</v>
      </c>
      <c r="J43" s="130">
        <f t="shared" si="4"/>
        <v>-0.89325816044186623</v>
      </c>
      <c r="K43" s="136">
        <f>R41+R42+R43</f>
        <v>8022555614</v>
      </c>
      <c r="L43" s="190">
        <f>U43/U40-1</f>
        <v>0.65391608023763914</v>
      </c>
      <c r="M43" s="190">
        <f>K43/K31-1</f>
        <v>-0.63922090276368171</v>
      </c>
      <c r="N43" s="191">
        <f>AVERAGE(T41:T43)</f>
        <v>46.069128172902829</v>
      </c>
      <c r="O43" s="192">
        <f>N43/N40-1</f>
        <v>-0.16837355530478915</v>
      </c>
      <c r="P43" s="129" t="s">
        <v>835</v>
      </c>
      <c r="Q43" s="116">
        <v>459134</v>
      </c>
      <c r="R43" s="116">
        <v>666987771</v>
      </c>
      <c r="S43" s="116">
        <v>29339.3</v>
      </c>
      <c r="T43" s="130">
        <f t="shared" ref="T43" si="55">Q43/S43</f>
        <v>15.649112282842468</v>
      </c>
      <c r="U43" s="85">
        <f>Q41+Q42+Q43</f>
        <v>5470946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19676.045454545456</v>
      </c>
      <c r="G44" s="190">
        <f t="shared" ref="G44" si="56">F44/F43-1</f>
        <v>-0.14290619058725973</v>
      </c>
      <c r="H44" s="190">
        <f t="shared" ref="H44" si="57">F44/F32-1</f>
        <v>-0.45520870914964129</v>
      </c>
      <c r="I44" s="130">
        <f t="shared" si="0"/>
        <v>31.218303764604066</v>
      </c>
      <c r="J44" s="130">
        <f t="shared" si="4"/>
        <v>-0.57843250424276516</v>
      </c>
      <c r="K44" s="136"/>
      <c r="L44" s="190"/>
      <c r="M44" s="190"/>
      <c r="N44" s="191"/>
      <c r="O44" s="192"/>
      <c r="P44" s="129" t="s">
        <v>843</v>
      </c>
      <c r="Q44" s="116">
        <v>432873</v>
      </c>
      <c r="R44" s="116">
        <v>626745750</v>
      </c>
      <c r="S44" s="116">
        <v>13866</v>
      </c>
      <c r="T44" s="130">
        <f t="shared" ref="T44" si="58">Q44/S44</f>
        <v>31.218303764604066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257887.1</v>
      </c>
      <c r="G45" s="190">
        <f t="shared" ref="G45" si="59">F45/F44-1</f>
        <v>12.106652990600013</v>
      </c>
      <c r="H45" s="190">
        <f t="shared" ref="H45" si="60">F45/F33-1</f>
        <v>-0.27450814619983555</v>
      </c>
      <c r="I45" s="130">
        <f t="shared" si="0"/>
        <v>102.90580794477364</v>
      </c>
      <c r="J45" s="130">
        <f t="shared" si="4"/>
        <v>-0.2861893162885556</v>
      </c>
      <c r="K45" s="136"/>
      <c r="L45" s="190"/>
      <c r="M45" s="190"/>
      <c r="N45" s="191"/>
      <c r="O45" s="192"/>
      <c r="P45" s="129" t="s">
        <v>849</v>
      </c>
      <c r="Q45" s="116">
        <v>5157742</v>
      </c>
      <c r="R45" s="116">
        <v>7253504368</v>
      </c>
      <c r="S45" s="116">
        <v>50121</v>
      </c>
      <c r="T45" s="130">
        <f t="shared" ref="T45" si="61">Q45/S45</f>
        <v>102.90580794477364</v>
      </c>
      <c r="U45" s="85"/>
    </row>
    <row r="46" spans="1:21" s="79" customFormat="1" ht="13.2">
      <c r="A46" s="129" t="s">
        <v>888</v>
      </c>
      <c r="B46" s="188">
        <f>SUM(F44:F46)</f>
        <v>686028.46124401921</v>
      </c>
      <c r="C46" s="188">
        <f>AVERAGE(F44:F46)</f>
        <v>228676.15374800641</v>
      </c>
      <c r="D46" s="190">
        <f>C46/C43-1</f>
        <v>1.2970896780595975</v>
      </c>
      <c r="E46" s="287">
        <f>C46/C34-1</f>
        <v>0.25789375747495091</v>
      </c>
      <c r="F46" s="136">
        <f>Q46/19</f>
        <v>408465.31578947371</v>
      </c>
      <c r="G46" s="190">
        <f t="shared" ref="G46" si="62">F46/F45-1</f>
        <v>0.58389200463874968</v>
      </c>
      <c r="H46" s="190">
        <f t="shared" ref="H46" si="63">F46/F34-1</f>
        <v>1.6558758307267967</v>
      </c>
      <c r="I46" s="130">
        <f t="shared" si="0"/>
        <v>157.39963818231232</v>
      </c>
      <c r="J46" s="130">
        <f t="shared" si="4"/>
        <v>0.77537423754132728</v>
      </c>
      <c r="K46" s="136">
        <f>R44+R45+R46</f>
        <v>18522751034</v>
      </c>
      <c r="L46" s="190">
        <f>U46/U43-1</f>
        <v>1.4404291323657739</v>
      </c>
      <c r="M46" s="190">
        <f>K46/K34-1</f>
        <v>0.21532103559292493</v>
      </c>
      <c r="N46" s="191">
        <f>AVERAGE(T44:T46)</f>
        <v>97.174583297230015</v>
      </c>
      <c r="O46" s="192">
        <f>N46/N43-1</f>
        <v>1.1093210822771038</v>
      </c>
      <c r="P46" s="129" t="s">
        <v>888</v>
      </c>
      <c r="Q46" s="116">
        <v>7760841</v>
      </c>
      <c r="R46" s="116">
        <v>10642500916</v>
      </c>
      <c r="S46" s="116">
        <v>49306.6</v>
      </c>
      <c r="T46" s="130">
        <f t="shared" ref="T46" si="64">Q46/S46</f>
        <v>157.39963818231232</v>
      </c>
      <c r="U46" s="85">
        <f t="shared" ref="U46:U51" si="65">Q44+Q45+Q46</f>
        <v>13351456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394067.60869565216</v>
      </c>
      <c r="G47" s="190">
        <f t="shared" ref="G47" si="66">F47/F46-1</f>
        <v>-3.5248297804659212E-2</v>
      </c>
      <c r="H47" s="190">
        <f t="shared" ref="H47" si="67">F47/F35-1</f>
        <v>11.482172368203603</v>
      </c>
      <c r="I47" s="130">
        <f t="shared" si="0"/>
        <v>171.19458663090492</v>
      </c>
      <c r="J47" s="130">
        <f t="shared" si="4"/>
        <v>2.7051844408609957</v>
      </c>
      <c r="K47" s="136"/>
      <c r="L47" s="190"/>
      <c r="M47" s="190"/>
      <c r="N47" s="191"/>
      <c r="O47" s="192"/>
      <c r="P47" s="129" t="s">
        <v>991</v>
      </c>
      <c r="Q47" s="116">
        <v>9063555</v>
      </c>
      <c r="R47" s="116">
        <v>12313728463</v>
      </c>
      <c r="S47" s="116">
        <v>52943</v>
      </c>
      <c r="T47" s="130">
        <f t="shared" ref="T47" si="68">Q47/S47</f>
        <v>171.19458663090492</v>
      </c>
      <c r="U47" s="85">
        <f t="shared" si="65"/>
        <v>21982138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210232.1</v>
      </c>
      <c r="G48" s="190">
        <f t="shared" ref="G48" si="69">F48/F47-1</f>
        <v>-0.46650753484697782</v>
      </c>
      <c r="H48" s="190">
        <f t="shared" ref="H48" si="70">F48/F36-1</f>
        <v>0.92859921167624293</v>
      </c>
      <c r="I48" s="130">
        <f t="shared" si="0"/>
        <v>142.84206878745465</v>
      </c>
      <c r="J48" s="130">
        <f t="shared" si="4"/>
        <v>0.61551815748529726</v>
      </c>
      <c r="K48" s="136"/>
      <c r="L48" s="190"/>
      <c r="M48" s="190"/>
      <c r="N48" s="191"/>
      <c r="O48" s="192"/>
      <c r="P48" s="129" t="s">
        <v>1070</v>
      </c>
      <c r="Q48" s="116">
        <v>4204642</v>
      </c>
      <c r="R48" s="116">
        <v>5822270063</v>
      </c>
      <c r="S48" s="116">
        <v>29435.599999999999</v>
      </c>
      <c r="T48" s="130">
        <f t="shared" ref="T48" si="71">Q48/S48</f>
        <v>142.84206878745465</v>
      </c>
      <c r="U48" s="85">
        <f t="shared" si="65"/>
        <v>21029038</v>
      </c>
    </row>
    <row r="49" spans="1:26" ht="13.2">
      <c r="A49" s="129" t="s">
        <v>1228</v>
      </c>
      <c r="B49" s="188">
        <f>SUM(F47:F49)</f>
        <v>669954.4814229249</v>
      </c>
      <c r="C49" s="188">
        <f>AVERAGE(F47:F49)</f>
        <v>223318.1604743083</v>
      </c>
      <c r="D49" s="190">
        <f>C49/C46-1</f>
        <v>-2.3430485364916764E-2</v>
      </c>
      <c r="E49" s="287">
        <f>C49/C37-1</f>
        <v>3.6108258019960946</v>
      </c>
      <c r="F49" s="136">
        <f>Q49/22</f>
        <v>65654.772727272721</v>
      </c>
      <c r="G49" s="190">
        <f t="shared" ref="G49" si="72">F49/F48-1</f>
        <v>-0.68770338722168156</v>
      </c>
      <c r="H49" s="190">
        <f t="shared" ref="H49" si="73">F49/F37-1</f>
        <v>12.903363636363634</v>
      </c>
      <c r="I49" s="130">
        <f t="shared" si="0"/>
        <v>87.911054575996786</v>
      </c>
      <c r="J49" s="130">
        <f t="shared" si="4"/>
        <v>1.0684954017881596</v>
      </c>
      <c r="K49" s="136">
        <f>R47+R48+R49</f>
        <v>20146007536</v>
      </c>
      <c r="L49" s="190">
        <f>U49/U46-1</f>
        <v>0.10194738311686757</v>
      </c>
      <c r="M49" s="190">
        <f>K49/K37-1</f>
        <v>3.7305412142270784</v>
      </c>
      <c r="N49" s="191">
        <f>AVERAGE(T47:T49)</f>
        <v>133.98256999811881</v>
      </c>
      <c r="O49" s="192">
        <f>N49/N46-1</f>
        <v>0.37878203797698218</v>
      </c>
      <c r="P49" s="129" t="s">
        <v>1179</v>
      </c>
      <c r="Q49" s="116">
        <v>1444405</v>
      </c>
      <c r="R49" s="116">
        <v>2010009010</v>
      </c>
      <c r="S49" s="116">
        <v>16430.3</v>
      </c>
      <c r="T49" s="130">
        <f t="shared" ref="T49" si="74">Q49/S49</f>
        <v>87.911054575996786</v>
      </c>
      <c r="U49" s="85">
        <f t="shared" si="65"/>
        <v>14712602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181353.61111111112</v>
      </c>
      <c r="G50" s="190">
        <f t="shared" ref="G50" si="75">F50/F49-1</f>
        <v>1.7622304301386698</v>
      </c>
      <c r="H50" s="190">
        <f t="shared" ref="H50" si="76">F50/F38-1</f>
        <v>0.60678327340564042</v>
      </c>
      <c r="I50" s="130">
        <f t="shared" ref="I50" si="77">T50</f>
        <v>44.883027065673957</v>
      </c>
      <c r="J50" s="130">
        <f t="shared" ref="J50" si="78">I50/I38-1</f>
        <v>-0.31284539890390106</v>
      </c>
      <c r="K50" s="136"/>
      <c r="L50" s="190"/>
      <c r="M50" s="190"/>
      <c r="N50" s="191"/>
      <c r="O50" s="192"/>
      <c r="P50" s="129" t="s">
        <v>1291</v>
      </c>
      <c r="Q50" s="116">
        <v>3264365</v>
      </c>
      <c r="R50" s="116">
        <v>4607201485</v>
      </c>
      <c r="S50" s="116">
        <v>72730.5</v>
      </c>
      <c r="T50" s="130">
        <f t="shared" ref="T50" si="79">Q50/S50</f>
        <v>44.883027065673957</v>
      </c>
      <c r="U50" s="85">
        <f t="shared" si="65"/>
        <v>8913412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166186.15</v>
      </c>
      <c r="G51" s="190">
        <f t="shared" ref="G51:G52" si="80">F51/F50-1</f>
        <v>-8.3634734473626682E-2</v>
      </c>
      <c r="H51" s="190">
        <f t="shared" ref="H51:H52" si="81">F51/F39-1</f>
        <v>6.0946523428208987</v>
      </c>
      <c r="I51" s="130">
        <f t="shared" ref="I51:I52" si="82">T51</f>
        <v>51.613009922822492</v>
      </c>
      <c r="J51" s="130">
        <f t="shared" ref="J51:J52" si="83">I51/I39-1</f>
        <v>-0.18147484847963014</v>
      </c>
      <c r="K51" s="136"/>
      <c r="L51" s="190"/>
      <c r="M51" s="190"/>
      <c r="N51" s="191"/>
      <c r="O51" s="192"/>
      <c r="P51" s="129" t="s">
        <v>1402</v>
      </c>
      <c r="Q51" s="116">
        <v>3323723</v>
      </c>
      <c r="R51" s="116">
        <v>4856006351</v>
      </c>
      <c r="S51" s="116">
        <v>64397</v>
      </c>
      <c r="T51" s="130">
        <f t="shared" ref="T51:T52" si="84">Q51/S51</f>
        <v>51.613009922822492</v>
      </c>
      <c r="U51" s="85">
        <f t="shared" si="65"/>
        <v>8032493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428240.35202020209</v>
      </c>
      <c r="C52" s="188">
        <f>AVERAGE(F50:F52)</f>
        <v>142746.78400673403</v>
      </c>
      <c r="D52" s="190">
        <f>C52/C49-1</f>
        <v>-0.36079186885852765</v>
      </c>
      <c r="E52" s="287">
        <f>C52/C40-1</f>
        <v>1.6289760253512995</v>
      </c>
      <c r="F52" s="136">
        <f>Q52/22</f>
        <v>80700.590909090912</v>
      </c>
      <c r="G52" s="190">
        <f t="shared" si="80"/>
        <v>-0.51439641083754029</v>
      </c>
      <c r="H52" s="190">
        <f t="shared" si="81"/>
        <v>2.0337644738540166</v>
      </c>
      <c r="I52" s="130">
        <f t="shared" si="82"/>
        <v>32.293271102153959</v>
      </c>
      <c r="J52" s="130">
        <f t="shared" si="83"/>
        <v>-0.14604066700258256</v>
      </c>
      <c r="K52" s="136">
        <f>R50+R51+R52</f>
        <v>12073476486</v>
      </c>
      <c r="L52" s="190">
        <f>U52/U49-1</f>
        <v>-0.43154168107041846</v>
      </c>
      <c r="M52" s="190">
        <f>K52/K40-1</f>
        <v>1.7026749793990947</v>
      </c>
      <c r="N52" s="191">
        <f>AVERAGE(T50:T52)</f>
        <v>42.929769363550143</v>
      </c>
      <c r="O52" s="192">
        <f>N52/N49-1</f>
        <v>-0.67958690922145393</v>
      </c>
      <c r="P52" s="129" t="s">
        <v>1403</v>
      </c>
      <c r="Q52" s="116">
        <v>1775413</v>
      </c>
      <c r="R52" s="116">
        <v>2610268650</v>
      </c>
      <c r="S52" s="116">
        <v>54977.8</v>
      </c>
      <c r="T52" s="130">
        <f t="shared" si="84"/>
        <v>32.293271102153959</v>
      </c>
      <c r="U52" s="85">
        <f t="shared" ref="U52" si="85">Q50+Q51+Q52</f>
        <v>8363501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63206.619047619046</v>
      </c>
      <c r="G53" s="190">
        <f t="shared" ref="G53" si="86">F53/F52-1</f>
        <v>-0.2167762548502129</v>
      </c>
      <c r="H53" s="190">
        <f t="shared" ref="H53" si="87">F53/F41-1</f>
        <v>-0.74821936461764982</v>
      </c>
      <c r="I53" s="130">
        <f t="shared" ref="I53" si="88">T53</f>
        <v>34.145525171713011</v>
      </c>
      <c r="J53" s="130">
        <f t="shared" ref="J53" si="89">I53/I41-1</f>
        <v>-0.63500713752142257</v>
      </c>
      <c r="K53" s="136"/>
      <c r="L53" s="190"/>
      <c r="M53" s="190"/>
      <c r="N53" s="191"/>
      <c r="O53" s="192"/>
      <c r="P53" s="129" t="s">
        <v>1414</v>
      </c>
      <c r="Q53" s="116">
        <v>1327339</v>
      </c>
      <c r="R53" s="116">
        <v>1917737301</v>
      </c>
      <c r="S53" s="116">
        <v>38873</v>
      </c>
      <c r="T53" s="130">
        <f t="shared" ref="T53" si="90">Q53/S53</f>
        <v>34.145525171713011</v>
      </c>
      <c r="U53" s="85">
        <f t="shared" ref="U53" si="91">Q51+Q52+Q53</f>
        <v>6426475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36.882352941176471</v>
      </c>
      <c r="G54" s="190">
        <f t="shared" ref="G54" si="92">F54/F53-1</f>
        <v>-0.99941647957924484</v>
      </c>
      <c r="H54" s="190">
        <f t="shared" ref="H54" si="93">F54/F42-1</f>
        <v>-0.99850412260945909</v>
      </c>
      <c r="I54" s="130">
        <f t="shared" ref="I54" si="94">T54</f>
        <v>89.571428571428569</v>
      </c>
      <c r="J54" s="130">
        <f t="shared" ref="J54" si="95">I54/I42-1</f>
        <v>2.0879183276165754</v>
      </c>
      <c r="K54" s="136"/>
      <c r="L54" s="190"/>
      <c r="M54" s="190"/>
      <c r="N54" s="191"/>
      <c r="O54" s="192"/>
      <c r="P54" s="129" t="s">
        <v>1417</v>
      </c>
      <c r="Q54" s="116">
        <v>627</v>
      </c>
      <c r="R54" s="116">
        <v>910296</v>
      </c>
      <c r="S54" s="116">
        <v>7</v>
      </c>
      <c r="T54" s="130">
        <f t="shared" ref="T54" si="96">Q54/S54</f>
        <v>89.571428571428569</v>
      </c>
      <c r="U54" s="85">
        <f t="shared" ref="U54" si="97">Q52+Q53+Q54</f>
        <v>3103379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353256.78711484594</v>
      </c>
      <c r="C55" s="188">
        <f>AVERAGE(F53:F55)</f>
        <v>117752.26237161532</v>
      </c>
      <c r="D55" s="190">
        <f>C55/C52-1</f>
        <v>-0.17509691590627785</v>
      </c>
      <c r="E55" s="287">
        <f>C55/C43-1</f>
        <v>0.18284089542660142</v>
      </c>
      <c r="F55" s="136">
        <f>Q55/21</f>
        <v>290013.28571428574</v>
      </c>
      <c r="G55" s="190">
        <f t="shared" ref="G55" si="98">F55/F54-1</f>
        <v>7862.1991341991352</v>
      </c>
      <c r="H55" s="190">
        <f t="shared" ref="H55" si="99">F55/F43-1</f>
        <v>11.633056393744996</v>
      </c>
      <c r="I55" s="130">
        <f>T55</f>
        <v>79.078306009935616</v>
      </c>
      <c r="J55" s="130">
        <f t="shared" ref="J55" si="100">I55/I43-1</f>
        <v>4.0532135357375054</v>
      </c>
      <c r="K55" s="136">
        <f>R53+R54+R55</f>
        <v>10831375823</v>
      </c>
      <c r="L55" s="190">
        <f>U55/U52-1</f>
        <v>-0.11302156835994881</v>
      </c>
      <c r="M55" s="190">
        <f>K55/K43-1</f>
        <v>0.35011539266843905</v>
      </c>
      <c r="N55" s="191">
        <f>AVERAGE(T53:T55)</f>
        <v>67.598419917692397</v>
      </c>
      <c r="O55" s="192">
        <f>N55/N52-1</f>
        <v>0.57462807091359225</v>
      </c>
      <c r="P55" s="129" t="s">
        <v>1418</v>
      </c>
      <c r="Q55" s="116">
        <v>6090279</v>
      </c>
      <c r="R55" s="116">
        <v>8912728226</v>
      </c>
      <c r="S55" s="116">
        <v>77015.8</v>
      </c>
      <c r="T55" s="130">
        <f t="shared" ref="T55" si="101">Q55/S55</f>
        <v>79.078306009935616</v>
      </c>
      <c r="U55" s="85">
        <f t="shared" ref="U55" si="102">Q53+Q54+Q55</f>
        <v>7418245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304360.86363636365</v>
      </c>
      <c r="G56" s="190">
        <f t="shared" ref="G56" si="103">F56/F55-1</f>
        <v>4.9472140170201628E-2</v>
      </c>
      <c r="H56" s="190">
        <f t="shared" ref="H56" si="104">F56/F44-1</f>
        <v>14.468599335139867</v>
      </c>
      <c r="I56" s="291">
        <f>T56</f>
        <v>96.281412887965431</v>
      </c>
      <c r="J56" s="130">
        <f t="shared" ref="J56" si="105">I56/I44-1</f>
        <v>2.0841333857841184</v>
      </c>
      <c r="K56" s="136"/>
      <c r="L56" s="190"/>
      <c r="M56" s="190"/>
      <c r="N56" s="191"/>
      <c r="O56" s="192"/>
      <c r="P56" s="129" t="s">
        <v>1420</v>
      </c>
      <c r="Q56" s="116">
        <v>6695939</v>
      </c>
      <c r="R56" s="116">
        <v>10016921422</v>
      </c>
      <c r="S56" s="116">
        <v>69545.5</v>
      </c>
      <c r="T56" s="130">
        <f t="shared" ref="T56" si="106">Q56/S56</f>
        <v>96.281412887965431</v>
      </c>
      <c r="U56" s="85">
        <f t="shared" ref="U56" si="107">Q54+Q55+Q56</f>
        <v>12786845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74227.166666666672</v>
      </c>
      <c r="G57" s="254">
        <f t="shared" ref="G57" si="108">F57/F56-1</f>
        <v>-0.75612118529355377</v>
      </c>
      <c r="H57" s="254">
        <f t="shared" ref="H57" si="109">F57/F45-1</f>
        <v>-0.71217185091202051</v>
      </c>
      <c r="I57" s="282">
        <f>T57</f>
        <v>53.606523832450648</v>
      </c>
      <c r="J57" s="277">
        <f t="shared" ref="J57" si="110">I57/I45-1</f>
        <v>-0.47907193089412792</v>
      </c>
      <c r="K57" s="204"/>
      <c r="L57" s="254"/>
      <c r="M57" s="254"/>
      <c r="N57" s="257"/>
      <c r="O57" s="258"/>
      <c r="P57" s="129" t="s">
        <v>1436</v>
      </c>
      <c r="Q57" s="116">
        <v>890726</v>
      </c>
      <c r="R57" s="116">
        <v>1316234366</v>
      </c>
      <c r="S57" s="116">
        <v>16616</v>
      </c>
      <c r="T57" s="130">
        <f t="shared" ref="T57" si="111">Q57/S57</f>
        <v>53.606523832450648</v>
      </c>
      <c r="U57" s="85">
        <f t="shared" ref="U57" si="112">Q55+Q56+Q57</f>
        <v>13676944</v>
      </c>
      <c r="V57" s="79"/>
      <c r="W57" s="79"/>
      <c r="X57" s="79"/>
      <c r="Y57" s="79"/>
      <c r="Z57" s="79"/>
    </row>
    <row r="58" spans="1:26">
      <c r="B58" s="196">
        <f>SUM(F56:F58)</f>
        <v>378588.03030303033</v>
      </c>
      <c r="C58" s="196">
        <f>AVERAGE(F56:F58)</f>
        <v>189294.01515151517</v>
      </c>
      <c r="D58" s="197">
        <f>C58/C55-1</f>
        <v>0.60756159872428306</v>
      </c>
      <c r="E58" s="233">
        <f>C58/C46-1</f>
        <v>-0.17221795080517699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15004910</v>
      </c>
      <c r="R65" s="212">
        <v>22164531611</v>
      </c>
      <c r="S65" s="213">
        <v>202057.3</v>
      </c>
      <c r="T65" s="214">
        <v>13</v>
      </c>
      <c r="U65" s="214">
        <v>17</v>
      </c>
    </row>
    <row r="66" spans="16:21" ht="18" thickBot="1">
      <c r="P66" s="180" t="s">
        <v>976</v>
      </c>
      <c r="Q66" s="181">
        <v>1327339</v>
      </c>
      <c r="R66" s="181">
        <v>1917737301</v>
      </c>
      <c r="S66" s="182">
        <v>38873</v>
      </c>
      <c r="T66" s="210" t="s">
        <v>1421</v>
      </c>
      <c r="U66" s="210" t="s">
        <v>1421</v>
      </c>
    </row>
    <row r="67" spans="16:21" ht="18" thickBot="1">
      <c r="P67" s="180" t="s">
        <v>977</v>
      </c>
      <c r="Q67" s="210">
        <v>627</v>
      </c>
      <c r="R67" s="181">
        <v>910296</v>
      </c>
      <c r="S67" s="210">
        <v>7</v>
      </c>
      <c r="T67" s="210" t="s">
        <v>1421</v>
      </c>
      <c r="U67" s="210" t="s">
        <v>1421</v>
      </c>
    </row>
    <row r="68" spans="16:21" ht="18" thickBot="1">
      <c r="P68" s="180" t="s">
        <v>978</v>
      </c>
      <c r="Q68" s="181">
        <v>6090279</v>
      </c>
      <c r="R68" s="181">
        <v>8912728226</v>
      </c>
      <c r="S68" s="182">
        <v>77015.8</v>
      </c>
      <c r="T68" s="210">
        <v>7</v>
      </c>
      <c r="U68" s="210">
        <v>9</v>
      </c>
    </row>
    <row r="69" spans="16:21" ht="18" thickBot="1">
      <c r="P69" s="180" t="s">
        <v>979</v>
      </c>
      <c r="Q69" s="181">
        <v>6695939</v>
      </c>
      <c r="R69" s="181">
        <v>10016921422</v>
      </c>
      <c r="S69" s="182">
        <v>69545.5</v>
      </c>
      <c r="T69" s="210">
        <v>5</v>
      </c>
      <c r="U69" s="210">
        <v>7</v>
      </c>
    </row>
    <row r="70" spans="16:21" ht="18" thickBot="1">
      <c r="P70" s="180" t="s">
        <v>980</v>
      </c>
      <c r="Q70" s="181">
        <v>890726</v>
      </c>
      <c r="R70" s="181">
        <v>1316234366</v>
      </c>
      <c r="S70" s="182">
        <v>16616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41898505</v>
      </c>
      <c r="R71" s="181">
        <v>58764790670</v>
      </c>
      <c r="S71" s="182">
        <v>498848.9</v>
      </c>
      <c r="T71" s="210">
        <v>17</v>
      </c>
      <c r="U71" s="210">
        <v>36</v>
      </c>
    </row>
    <row r="72" spans="16:21" ht="18" thickBot="1">
      <c r="P72" s="180" t="s">
        <v>982</v>
      </c>
      <c r="Q72" s="181">
        <v>34394746</v>
      </c>
      <c r="R72" s="181">
        <v>46203731371</v>
      </c>
      <c r="S72" s="182">
        <v>324528</v>
      </c>
      <c r="T72" s="210">
        <v>13</v>
      </c>
      <c r="U72" s="210">
        <v>29</v>
      </c>
    </row>
    <row r="73" spans="16:21" ht="18" thickBot="1">
      <c r="P73" s="215" t="s">
        <v>1386</v>
      </c>
      <c r="Q73" s="216">
        <v>16579548</v>
      </c>
      <c r="R73" s="217">
        <v>2</v>
      </c>
      <c r="S73"/>
      <c r="T73"/>
      <c r="U73"/>
    </row>
  </sheetData>
  <phoneticPr fontId="1" type="noConversion"/>
  <conditionalFormatting sqref="C29:C30">
    <cfRule type="cellIs" dxfId="9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36"/>
  <dimension ref="A1:Z58"/>
  <sheetViews>
    <sheetView zoomScale="90" zoomScaleNormal="90" workbookViewId="0">
      <selection activeCell="G67" sqref="F67:G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538</v>
      </c>
      <c r="L1" s="80" t="s">
        <v>560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/>
      <c r="L2" s="96"/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8793435.8499999996</v>
      </c>
      <c r="G5" s="90"/>
      <c r="H5" s="90"/>
      <c r="I5" s="130">
        <f t="shared" ref="I5:I49" si="0">T5</f>
        <v>13.967376839669514</v>
      </c>
      <c r="J5" s="130"/>
      <c r="L5" s="80"/>
      <c r="M5" s="80"/>
      <c r="P5" s="129" t="s">
        <v>0</v>
      </c>
      <c r="Q5" s="116">
        <f>'7305'!Q5+'7304'!Q5+'7306'!Q5</f>
        <v>175868717</v>
      </c>
      <c r="R5" s="116">
        <f>'7305'!R5+'7304'!R5+'7306'!R5</f>
        <v>207431152525</v>
      </c>
      <c r="S5" s="116">
        <f>'7305'!S5+'7304'!S5+'7306'!S5</f>
        <v>12591392</v>
      </c>
      <c r="T5" s="130">
        <f t="shared" ref="T5:T18" si="1">Q5/S5</f>
        <v>13.967376839669514</v>
      </c>
      <c r="U5" s="85"/>
    </row>
    <row r="6" spans="1:21" ht="15" hidden="1" customHeight="1">
      <c r="A6" s="129" t="s">
        <v>1</v>
      </c>
      <c r="C6" s="79"/>
      <c r="F6" s="78">
        <f>Q6/18</f>
        <v>6807764.5</v>
      </c>
      <c r="G6" s="90">
        <f t="shared" ref="G6:G16" si="2">F6/F5-1</f>
        <v>-0.22581291134340842</v>
      </c>
      <c r="H6" s="90"/>
      <c r="I6" s="130">
        <f t="shared" si="0"/>
        <v>13.894495360071968</v>
      </c>
      <c r="J6" s="130"/>
      <c r="P6" s="129" t="s">
        <v>1</v>
      </c>
      <c r="Q6" s="116">
        <f>'7305'!Q6+'7304'!Q6+'7306'!Q6</f>
        <v>122539761</v>
      </c>
      <c r="R6" s="116">
        <f>'7305'!R6+'7304'!R6+'7306'!R6</f>
        <v>145457182596</v>
      </c>
      <c r="S6" s="116">
        <f>'7305'!S6+'7304'!S6+'7306'!S6</f>
        <v>8819302.7400000002</v>
      </c>
      <c r="T6" s="130">
        <f t="shared" si="1"/>
        <v>13.894495360071968</v>
      </c>
      <c r="U6" s="85"/>
    </row>
    <row r="7" spans="1:21" ht="15" hidden="1" customHeight="1">
      <c r="A7" s="129" t="s">
        <v>2</v>
      </c>
      <c r="B7" s="131">
        <f>F5+F6+F7</f>
        <v>23574687.395454545</v>
      </c>
      <c r="C7" s="131">
        <f>AVERAGE(F5:F7)</f>
        <v>7858229.1318181818</v>
      </c>
      <c r="F7" s="78">
        <f>Q7/22</f>
        <v>7973487.0454545459</v>
      </c>
      <c r="G7" s="90">
        <f t="shared" si="2"/>
        <v>0.17123426426612531</v>
      </c>
      <c r="H7" s="90"/>
      <c r="I7" s="130">
        <f t="shared" si="0"/>
        <v>10.020283737273168</v>
      </c>
      <c r="J7" s="130"/>
      <c r="K7" s="79">
        <f>R5+R6+R7</f>
        <v>563837436777</v>
      </c>
      <c r="N7" s="88">
        <f>AVERAGE(T5:T7)</f>
        <v>12.627385312338218</v>
      </c>
      <c r="P7" s="129" t="s">
        <v>2</v>
      </c>
      <c r="Q7" s="116">
        <f>'7305'!Q7+'7304'!Q7+'7306'!Q7</f>
        <v>175416715</v>
      </c>
      <c r="R7" s="116">
        <f>'7305'!R7+'7304'!R7+'7306'!R7</f>
        <v>210949101656</v>
      </c>
      <c r="S7" s="116">
        <f>'7305'!S7+'7304'!S7+'7306'!S7</f>
        <v>17506162.459999997</v>
      </c>
      <c r="T7" s="130">
        <f t="shared" si="1"/>
        <v>10.020283737273168</v>
      </c>
      <c r="U7" s="85">
        <f>Q5+Q6+Q7</f>
        <v>473825193</v>
      </c>
    </row>
    <row r="8" spans="1:21" ht="15" hidden="1" customHeight="1">
      <c r="A8" s="129" t="s">
        <v>3</v>
      </c>
      <c r="C8" s="79"/>
      <c r="F8" s="78">
        <f>Q8/21</f>
        <v>8226868.333333333</v>
      </c>
      <c r="G8" s="90">
        <f t="shared" si="2"/>
        <v>3.1777976992291235E-2</v>
      </c>
      <c r="H8" s="90"/>
      <c r="I8" s="130">
        <f t="shared" si="0"/>
        <v>12.469610454342504</v>
      </c>
      <c r="J8" s="130"/>
      <c r="K8" s="78"/>
      <c r="P8" s="129" t="s">
        <v>3</v>
      </c>
      <c r="Q8" s="116">
        <f>'7305'!Q8+'7304'!Q8+'7306'!Q8</f>
        <v>172764235</v>
      </c>
      <c r="R8" s="116">
        <f>'7305'!R8+'7304'!R8+'7306'!R8</f>
        <v>210345859578</v>
      </c>
      <c r="S8" s="116">
        <f>'7305'!S8+'7304'!S8+'7306'!S8</f>
        <v>13854822.140000001</v>
      </c>
      <c r="T8" s="130">
        <f t="shared" si="1"/>
        <v>12.469610454342504</v>
      </c>
      <c r="U8" s="85"/>
    </row>
    <row r="9" spans="1:21" ht="15" hidden="1" customHeight="1">
      <c r="A9" s="129" t="s">
        <v>4</v>
      </c>
      <c r="C9" s="79"/>
      <c r="F9" s="78">
        <f>Q9/21</f>
        <v>8539932.5714285709</v>
      </c>
      <c r="G9" s="90">
        <f t="shared" si="2"/>
        <v>3.8053877296999605E-2</v>
      </c>
      <c r="H9" s="90"/>
      <c r="I9" s="130">
        <f t="shared" si="0"/>
        <v>30.454297029784616</v>
      </c>
      <c r="J9" s="130"/>
      <c r="K9" s="78"/>
      <c r="P9" s="129" t="s">
        <v>4</v>
      </c>
      <c r="Q9" s="116">
        <f>'7305'!Q9+'7304'!Q9+'7306'!Q9</f>
        <v>179338584</v>
      </c>
      <c r="R9" s="116">
        <f>'7305'!R9+'7304'!R9+'7306'!R9</f>
        <v>225192014510</v>
      </c>
      <c r="S9" s="116">
        <f>'7305'!S9+'7304'!S9+'7306'!S9</f>
        <v>5888777.6600000001</v>
      </c>
      <c r="T9" s="130">
        <f t="shared" si="1"/>
        <v>30.454297029784616</v>
      </c>
      <c r="U9" s="85"/>
    </row>
    <row r="10" spans="1:21" ht="15" hidden="1" customHeight="1">
      <c r="A10" s="129" t="s">
        <v>5</v>
      </c>
      <c r="B10" s="131">
        <f>F8+F9+F10</f>
        <v>24424631.714285713</v>
      </c>
      <c r="C10" s="131">
        <f>AVERAGE(F8:F10)</f>
        <v>8141543.9047619039</v>
      </c>
      <c r="D10" s="90">
        <f>C10/C7-1</f>
        <v>3.6053259352870404E-2</v>
      </c>
      <c r="E10" s="286"/>
      <c r="F10" s="78">
        <f>Q10/21</f>
        <v>7657830.8095238097</v>
      </c>
      <c r="G10" s="90">
        <f t="shared" si="2"/>
        <v>-0.10329141998801539</v>
      </c>
      <c r="H10" s="90"/>
      <c r="I10" s="130">
        <f t="shared" si="0"/>
        <v>32.401192393770003</v>
      </c>
      <c r="J10" s="130"/>
      <c r="K10" s="79">
        <f>R8+R9+R10</f>
        <v>639309316468</v>
      </c>
      <c r="L10" s="87">
        <f>U10/U7-1</f>
        <v>8.2503154280359148E-2</v>
      </c>
      <c r="N10" s="88">
        <f>AVERAGE(T8:T10)</f>
        <v>25.108366625965704</v>
      </c>
      <c r="O10" s="89">
        <f>N10/N7-1</f>
        <v>0.98840583421750194</v>
      </c>
      <c r="P10" s="129" t="s">
        <v>5</v>
      </c>
      <c r="Q10" s="116">
        <f>'7305'!Q10+'7304'!Q10+'7306'!Q10</f>
        <v>160814447</v>
      </c>
      <c r="R10" s="116">
        <f>'7305'!R10+'7304'!R10+'7306'!R10</f>
        <v>203771442380</v>
      </c>
      <c r="S10" s="116">
        <f>'7305'!S10+'7304'!S10+'7306'!S10</f>
        <v>4963226.2</v>
      </c>
      <c r="T10" s="130">
        <f t="shared" si="1"/>
        <v>32.401192393770003</v>
      </c>
      <c r="U10" s="85">
        <f>Q8+Q9+Q10</f>
        <v>512917266</v>
      </c>
    </row>
    <row r="11" spans="1:21" ht="15" hidden="1" customHeight="1">
      <c r="A11" s="129" t="s">
        <v>6</v>
      </c>
      <c r="C11" s="79"/>
      <c r="F11" s="78">
        <f>Q11/21</f>
        <v>8157437.3809523806</v>
      </c>
      <c r="G11" s="90">
        <f t="shared" si="2"/>
        <v>6.5241265295026496E-2</v>
      </c>
      <c r="H11" s="90"/>
      <c r="I11" s="130">
        <f t="shared" si="0"/>
        <v>17.179970128871421</v>
      </c>
      <c r="J11" s="130"/>
      <c r="K11" s="78"/>
      <c r="O11" s="89"/>
      <c r="P11" s="129" t="s">
        <v>6</v>
      </c>
      <c r="Q11" s="116">
        <f>'7305'!Q11+'7304'!Q11+'7306'!Q11</f>
        <v>171306185</v>
      </c>
      <c r="R11" s="116">
        <f>'7305'!R11+'7304'!R11+'7306'!R11</f>
        <v>222314384573</v>
      </c>
      <c r="S11" s="116">
        <f>'7305'!S11+'7304'!S11+'7306'!S11</f>
        <v>9971273.7399999984</v>
      </c>
      <c r="T11" s="130">
        <f t="shared" si="1"/>
        <v>17.179970128871421</v>
      </c>
      <c r="U11" s="85"/>
    </row>
    <row r="12" spans="1:21" ht="15" hidden="1" customHeight="1">
      <c r="A12" s="129" t="s">
        <v>7</v>
      </c>
      <c r="C12" s="79"/>
      <c r="F12" s="78">
        <f>Q12/22</f>
        <v>6614934.3636363633</v>
      </c>
      <c r="G12" s="90">
        <f t="shared" si="2"/>
        <v>-0.18909161606532987</v>
      </c>
      <c r="H12" s="90"/>
      <c r="I12" s="130">
        <f t="shared" si="0"/>
        <v>43.850555846941319</v>
      </c>
      <c r="J12" s="130"/>
      <c r="K12" s="78"/>
      <c r="O12" s="89"/>
      <c r="P12" s="129" t="s">
        <v>7</v>
      </c>
      <c r="Q12" s="116">
        <f>'7305'!Q12+'7304'!Q12+'7306'!Q12</f>
        <v>145528556</v>
      </c>
      <c r="R12" s="116">
        <f>'7305'!R12+'7304'!R12+'7306'!R12</f>
        <v>189367512794</v>
      </c>
      <c r="S12" s="116">
        <f>'7305'!S12+'7304'!S12+'7306'!S12</f>
        <v>3318739.1399999997</v>
      </c>
      <c r="T12" s="130">
        <f t="shared" si="1"/>
        <v>43.850555846941319</v>
      </c>
      <c r="U12" s="85"/>
    </row>
    <row r="13" spans="1:21" ht="15" hidden="1" customHeight="1">
      <c r="A13" s="129" t="s">
        <v>96</v>
      </c>
      <c r="B13" s="131">
        <f>F11+F12+F13</f>
        <v>21692453.344588742</v>
      </c>
      <c r="C13" s="131">
        <f>AVERAGE(F11:F13)</f>
        <v>7230817.7815295802</v>
      </c>
      <c r="D13" s="90">
        <f>C13/C10-1</f>
        <v>-0.11186159945654162</v>
      </c>
      <c r="E13" s="286"/>
      <c r="F13" s="78">
        <f>Q13/20</f>
        <v>6920081.5999999996</v>
      </c>
      <c r="G13" s="90">
        <f t="shared" si="2"/>
        <v>4.6130047493909032E-2</v>
      </c>
      <c r="H13" s="90"/>
      <c r="I13" s="130">
        <f t="shared" si="0"/>
        <v>14.979855713977749</v>
      </c>
      <c r="J13" s="130"/>
      <c r="K13" s="78">
        <f>R11+R12+R13</f>
        <v>603686294374</v>
      </c>
      <c r="L13" s="87">
        <f>U13/U10-1</f>
        <v>-0.11245652432374931</v>
      </c>
      <c r="N13" s="88">
        <f>AVERAGE(T11:T13)</f>
        <v>25.336793896596827</v>
      </c>
      <c r="O13" s="89">
        <f>N13/N10-1</f>
        <v>9.0976555358601718E-3</v>
      </c>
      <c r="P13" s="129" t="s">
        <v>96</v>
      </c>
      <c r="Q13" s="116">
        <f>'7305'!Q13+'7304'!Q13+'7306'!Q13</f>
        <v>138401632</v>
      </c>
      <c r="R13" s="116">
        <f>'7305'!R13+'7304'!R13+'7306'!R13</f>
        <v>192004397007</v>
      </c>
      <c r="S13" s="116">
        <f>'7305'!S13+'7304'!S13+'7306'!S13</f>
        <v>9239183.25</v>
      </c>
      <c r="T13" s="130">
        <f t="shared" si="1"/>
        <v>14.979855713977749</v>
      </c>
      <c r="U13" s="85">
        <f>Q11+Q12+Q13</f>
        <v>455236373</v>
      </c>
    </row>
    <row r="14" spans="1:21" ht="15" hidden="1" customHeight="1">
      <c r="A14" s="129" t="s">
        <v>97</v>
      </c>
      <c r="C14" s="79"/>
      <c r="F14" s="78">
        <f>Q14/20</f>
        <v>9816625.3499999996</v>
      </c>
      <c r="G14" s="90">
        <f t="shared" si="2"/>
        <v>0.41857075066860494</v>
      </c>
      <c r="H14" s="90"/>
      <c r="I14" s="130">
        <f t="shared" si="0"/>
        <v>120.15124396258111</v>
      </c>
      <c r="J14" s="130"/>
      <c r="O14" s="89"/>
      <c r="P14" s="129" t="s">
        <v>97</v>
      </c>
      <c r="Q14" s="116">
        <f>'7305'!Q14+'7304'!Q14+'7306'!Q14</f>
        <v>196332507</v>
      </c>
      <c r="R14" s="116">
        <f>'7305'!R14+'7304'!R14+'7306'!R14</f>
        <v>280188204784</v>
      </c>
      <c r="S14" s="116">
        <f>'7305'!S14+'7304'!S14+'7306'!S14</f>
        <v>1634044.7300000002</v>
      </c>
      <c r="T14" s="130">
        <f t="shared" si="1"/>
        <v>120.15124396258111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8345979.2727272725</v>
      </c>
      <c r="G15" s="90">
        <f t="shared" si="2"/>
        <v>-0.14981177592488315</v>
      </c>
      <c r="H15" s="90"/>
      <c r="I15" s="130">
        <f t="shared" si="0"/>
        <v>13.212018658955202</v>
      </c>
      <c r="J15" s="130"/>
      <c r="O15" s="89"/>
      <c r="P15" s="129" t="s">
        <v>98</v>
      </c>
      <c r="Q15" s="116">
        <f>'7305'!Q15+'7304'!Q15+'7306'!Q15</f>
        <v>183611544</v>
      </c>
      <c r="R15" s="116">
        <f>'7305'!R15+'7304'!R15+'7306'!R15</f>
        <v>251792437722</v>
      </c>
      <c r="S15" s="116">
        <f>'7305'!S15+'7304'!S15+'7306'!S15</f>
        <v>13897311.890000001</v>
      </c>
      <c r="T15" s="130">
        <f t="shared" si="1"/>
        <v>13.212018658955202</v>
      </c>
      <c r="U15" s="85"/>
    </row>
    <row r="16" spans="1:21" ht="15" hidden="1" customHeight="1">
      <c r="A16" s="129" t="s">
        <v>99</v>
      </c>
      <c r="B16" s="131">
        <f>F14+F15+F16</f>
        <v>23883647.213636361</v>
      </c>
      <c r="C16" s="131">
        <f>AVERAGE(F14:F16)</f>
        <v>7961215.7378787873</v>
      </c>
      <c r="D16" s="90">
        <f>C16/C13-1</f>
        <v>0.10101180508447305</v>
      </c>
      <c r="E16" s="286"/>
      <c r="F16" s="78">
        <f>Q16/22</f>
        <v>5721042.5909090908</v>
      </c>
      <c r="G16" s="90">
        <f t="shared" si="2"/>
        <v>-0.31451512111896407</v>
      </c>
      <c r="H16" s="90"/>
      <c r="I16" s="130">
        <f t="shared" si="0"/>
        <v>13.986994709936658</v>
      </c>
      <c r="J16" s="130"/>
      <c r="K16" s="78">
        <f>R14+R15+R16</f>
        <v>696408646117</v>
      </c>
      <c r="L16" s="87">
        <f>U16/U13-1</f>
        <v>0.11108649923278424</v>
      </c>
      <c r="N16" s="88">
        <f>AVERAGE(T14:T16)</f>
        <v>49.116752443824318</v>
      </c>
      <c r="O16" s="89">
        <f>N16/N13-1</f>
        <v>0.93855436659732838</v>
      </c>
      <c r="P16" s="129" t="s">
        <v>99</v>
      </c>
      <c r="Q16" s="116">
        <f>'7305'!Q16+'7304'!Q16+'7306'!Q16</f>
        <v>125862937</v>
      </c>
      <c r="R16" s="116">
        <f>'7305'!R16+'7304'!R16+'7306'!R16</f>
        <v>164428003611</v>
      </c>
      <c r="S16" s="116">
        <f>'7305'!S16+'7304'!S16+'7306'!S16</f>
        <v>8998569</v>
      </c>
      <c r="T16" s="130">
        <f t="shared" si="1"/>
        <v>13.986994709936658</v>
      </c>
      <c r="U16" s="85">
        <f>Q14+Q15+Q16</f>
        <v>505806988</v>
      </c>
    </row>
    <row r="17" spans="1:21" ht="15" hidden="1" customHeight="1">
      <c r="A17" s="129" t="s">
        <v>100</v>
      </c>
      <c r="C17" s="79"/>
      <c r="F17" s="78">
        <f>Q17/20</f>
        <v>8107731.7000000002</v>
      </c>
      <c r="G17" s="90">
        <f t="shared" ref="G17:G22" si="3">F17/F16-1</f>
        <v>0.41717730136871034</v>
      </c>
      <c r="H17" s="90">
        <f t="shared" ref="H17:H22" si="4">F17/F5-1</f>
        <v>-7.7979092779757897E-2</v>
      </c>
      <c r="I17" s="130">
        <f t="shared" si="0"/>
        <v>14.030771495170328</v>
      </c>
      <c r="J17" s="130">
        <f t="shared" ref="J17:J49" si="5">I17/I5-1</f>
        <v>4.5387660280462594E-3</v>
      </c>
      <c r="O17" s="89"/>
      <c r="P17" s="129" t="s">
        <v>100</v>
      </c>
      <c r="Q17" s="116">
        <f>'7305'!Q17+'7304'!Q17+'7306'!Q17</f>
        <v>162154634</v>
      </c>
      <c r="R17" s="116">
        <f>'7305'!R17+'7304'!R17+'7306'!R17</f>
        <v>203382369425</v>
      </c>
      <c r="S17" s="116">
        <f>'7305'!S17+'7304'!S17+'7306'!S17</f>
        <v>11557071.830000002</v>
      </c>
      <c r="T17" s="130">
        <f t="shared" si="1"/>
        <v>14.030771495170328</v>
      </c>
      <c r="U17" s="78"/>
    </row>
    <row r="18" spans="1:21" hidden="1">
      <c r="A18" s="129" t="s">
        <v>106</v>
      </c>
      <c r="C18" s="79"/>
      <c r="F18" s="78">
        <f>Q18/20</f>
        <v>7818089.1500000004</v>
      </c>
      <c r="G18" s="90">
        <f t="shared" si="3"/>
        <v>-3.5724239616858555E-2</v>
      </c>
      <c r="H18" s="90">
        <f t="shared" si="4"/>
        <v>0.14840769682911326</v>
      </c>
      <c r="I18" s="130">
        <f t="shared" si="0"/>
        <v>28.941335698598532</v>
      </c>
      <c r="J18" s="130">
        <f t="shared" si="5"/>
        <v>1.0829353602697975</v>
      </c>
      <c r="O18" s="89"/>
      <c r="P18" s="129" t="s">
        <v>106</v>
      </c>
      <c r="Q18" s="116">
        <f>'7305'!Q18+'7304'!Q18+'7306'!Q18</f>
        <v>156361783</v>
      </c>
      <c r="R18" s="116">
        <f>'7305'!R18+'7304'!R18+'7306'!R18</f>
        <v>197734242968</v>
      </c>
      <c r="S18" s="116">
        <f>'7305'!S18+'7304'!S18+'7306'!S18</f>
        <v>5402714.8100000005</v>
      </c>
      <c r="T18" s="130">
        <f t="shared" si="1"/>
        <v>28.941335698598532</v>
      </c>
      <c r="U18" s="78"/>
    </row>
    <row r="19" spans="1:21" hidden="1">
      <c r="A19" s="129" t="s">
        <v>114</v>
      </c>
      <c r="B19" s="131">
        <f>SUM(F17:F19)</f>
        <v>23194871.486363638</v>
      </c>
      <c r="C19" s="131">
        <f>AVERAGE(F17:F19)</f>
        <v>7731623.8287878791</v>
      </c>
      <c r="D19" s="90">
        <f>C19/C16-1</f>
        <v>-2.8838800084078797E-2</v>
      </c>
      <c r="E19" s="286">
        <f>C19/C7-1</f>
        <v>-1.6111174783345783E-2</v>
      </c>
      <c r="F19" s="78">
        <f>Q19/22</f>
        <v>7269050.6363636367</v>
      </c>
      <c r="G19" s="90">
        <f t="shared" si="3"/>
        <v>-7.0226688785758329E-2</v>
      </c>
      <c r="H19" s="90">
        <f t="shared" si="4"/>
        <v>-8.834734477840378E-2</v>
      </c>
      <c r="I19" s="130">
        <f t="shared" si="0"/>
        <v>12.519168105688767</v>
      </c>
      <c r="J19" s="130">
        <f t="shared" si="5"/>
        <v>0.24938259573631827</v>
      </c>
      <c r="K19" s="78">
        <f>R17+R18+R19</f>
        <v>609923610502</v>
      </c>
      <c r="L19" s="87">
        <f>U19/U16-1</f>
        <v>-5.4114430305181926E-2</v>
      </c>
      <c r="M19" s="87">
        <f>U19/U7-1</f>
        <v>9.73003982926679E-3</v>
      </c>
      <c r="N19" s="88">
        <f>AVERAGE(T17:T19)</f>
        <v>18.497091766485877</v>
      </c>
      <c r="O19" s="89">
        <f>N19/N16-1</f>
        <v>-0.62340564377416197</v>
      </c>
      <c r="P19" s="129" t="s">
        <v>115</v>
      </c>
      <c r="Q19" s="116">
        <f>'7305'!Q19+'7304'!Q19+'7306'!Q19</f>
        <v>159919114</v>
      </c>
      <c r="R19" s="116">
        <f>'7305'!R19+'7304'!R19+'7306'!R19</f>
        <v>208806998109</v>
      </c>
      <c r="S19" s="116">
        <f>'7305'!S19+'7304'!S19+'7306'!S19</f>
        <v>12773940.940000001</v>
      </c>
      <c r="T19" s="130">
        <f t="shared" ref="T19" si="6">Q19/S19</f>
        <v>12.519168105688767</v>
      </c>
      <c r="U19" s="85">
        <f>Q17+Q18+Q19</f>
        <v>478435531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6926105.9000000004</v>
      </c>
      <c r="G20" s="90">
        <f t="shared" si="3"/>
        <v>-4.7178751878277692E-2</v>
      </c>
      <c r="H20" s="90">
        <f t="shared" si="4"/>
        <v>-0.15811149280983983</v>
      </c>
      <c r="I20" s="130">
        <f t="shared" si="0"/>
        <v>26.395302386368861</v>
      </c>
      <c r="J20" s="130">
        <f t="shared" si="5"/>
        <v>1.1167704061819168</v>
      </c>
      <c r="O20" s="89"/>
      <c r="P20" s="129" t="s">
        <v>132</v>
      </c>
      <c r="Q20" s="116">
        <f>'7305'!Q20+'7304'!Q20+'7306'!Q20</f>
        <v>138522118</v>
      </c>
      <c r="R20" s="116">
        <f>'7305'!R20+'7304'!R20+'7306'!R20</f>
        <v>181504422332</v>
      </c>
      <c r="S20" s="116">
        <f>'7305'!S20+'7304'!S20+'7306'!S20</f>
        <v>5247983.75</v>
      </c>
      <c r="T20" s="130">
        <f t="shared" ref="T20" si="7">Q20/S20</f>
        <v>26.395302386368861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6556628.2380952379</v>
      </c>
      <c r="G21" s="90">
        <f t="shared" si="3"/>
        <v>-5.3345655876379627E-2</v>
      </c>
      <c r="H21" s="90">
        <f t="shared" si="4"/>
        <v>-0.23223887504319762</v>
      </c>
      <c r="I21" s="130">
        <f t="shared" si="0"/>
        <v>23.742043825328103</v>
      </c>
      <c r="J21" s="130">
        <f t="shared" si="5"/>
        <v>-0.22040414191441882</v>
      </c>
      <c r="O21" s="89"/>
      <c r="P21" s="129" t="s">
        <v>141</v>
      </c>
      <c r="Q21" s="116">
        <f>'7305'!Q21+'7304'!Q21+'7306'!Q21</f>
        <v>137689193</v>
      </c>
      <c r="R21" s="116">
        <f>'7305'!R21+'7304'!R21+'7306'!R21</f>
        <v>182756307453</v>
      </c>
      <c r="S21" s="116">
        <f>'7305'!S21+'7304'!S21+'7306'!S21</f>
        <v>5799382.4800000004</v>
      </c>
      <c r="T21" s="130">
        <f t="shared" ref="T21" si="8">Q21/S21</f>
        <v>23.742043825328103</v>
      </c>
      <c r="U21" s="78"/>
    </row>
    <row r="22" spans="1:21" hidden="1">
      <c r="A22" s="129" t="s">
        <v>156</v>
      </c>
      <c r="B22" s="131">
        <f>SUM(F20:F22)</f>
        <v>19303434.233333334</v>
      </c>
      <c r="C22" s="131">
        <f>AVERAGE(F20:F22)</f>
        <v>6434478.0777777778</v>
      </c>
      <c r="D22" s="90">
        <f>C22/C19-1</f>
        <v>-0.16777145134509996</v>
      </c>
      <c r="E22" s="286">
        <f>C22/C10-1</f>
        <v>-0.20967347802247693</v>
      </c>
      <c r="F22" s="78">
        <f>Q22/21</f>
        <v>5820700.0952380951</v>
      </c>
      <c r="G22" s="90">
        <f t="shared" si="3"/>
        <v>-0.11224185909783058</v>
      </c>
      <c r="H22" s="90">
        <f t="shared" si="4"/>
        <v>-0.23990223341065875</v>
      </c>
      <c r="I22" s="130">
        <f t="shared" si="0"/>
        <v>34.337437919342435</v>
      </c>
      <c r="J22" s="130">
        <f t="shared" si="5"/>
        <v>5.9758465121941828E-2</v>
      </c>
      <c r="K22" s="78">
        <f>R20+R21+R22</f>
        <v>522064968767</v>
      </c>
      <c r="L22" s="87">
        <f>U22/U19-1</f>
        <v>-0.16718975246844703</v>
      </c>
      <c r="M22" s="87">
        <f>U22/U10-1</f>
        <v>-0.22317683686631828</v>
      </c>
      <c r="N22" s="88">
        <f>AVERAGE(T20:T22)</f>
        <v>28.158261377013133</v>
      </c>
      <c r="O22" s="89">
        <f>N22/N19-1</f>
        <v>0.52230749203677163</v>
      </c>
      <c r="P22" s="129" t="s">
        <v>156</v>
      </c>
      <c r="Q22" s="116">
        <f>'7305'!Q22+'7304'!Q22+'7306'!Q22</f>
        <v>122234702</v>
      </c>
      <c r="R22" s="116">
        <f>'7305'!R22+'7304'!R22+'7306'!R22</f>
        <v>157804238982</v>
      </c>
      <c r="S22" s="116">
        <f>'7305'!S22+'7304'!S22+'7306'!S22</f>
        <v>3559808.46</v>
      </c>
      <c r="T22" s="130">
        <f t="shared" ref="T22:T23" si="9">Q22/S22</f>
        <v>34.337437919342435</v>
      </c>
      <c r="U22" s="85">
        <f>Q20+Q21+Q22</f>
        <v>398446013</v>
      </c>
    </row>
    <row r="23" spans="1:21" hidden="1">
      <c r="A23" s="129" t="s">
        <v>189</v>
      </c>
      <c r="B23" s="131"/>
      <c r="C23" s="131"/>
      <c r="F23" s="78">
        <f>Q23/21</f>
        <v>6544298.7142857146</v>
      </c>
      <c r="G23" s="90">
        <f t="shared" ref="G23" si="10">F23/F22-1</f>
        <v>0.12431470565535485</v>
      </c>
      <c r="H23" s="90">
        <f t="shared" ref="H23" si="11">F23/F11-1</f>
        <v>-0.19775066498620575</v>
      </c>
      <c r="I23" s="130">
        <f t="shared" si="0"/>
        <v>45.572840765796364</v>
      </c>
      <c r="J23" s="130">
        <f t="shared" si="5"/>
        <v>1.6526728756768865</v>
      </c>
      <c r="O23" s="89"/>
      <c r="P23" s="129" t="s">
        <v>189</v>
      </c>
      <c r="Q23" s="116">
        <f>'7305'!Q23+'7304'!Q23+'7306'!Q23</f>
        <v>137430273</v>
      </c>
      <c r="R23" s="116">
        <f>'7305'!R23+'7304'!R23+'7306'!R23</f>
        <v>176313698585</v>
      </c>
      <c r="S23" s="116">
        <f>'7305'!S23+'7304'!S23+'7306'!S23</f>
        <v>3015617.87</v>
      </c>
      <c r="T23" s="130">
        <f t="shared" si="9"/>
        <v>45.572840765796364</v>
      </c>
      <c r="U23" s="78"/>
    </row>
    <row r="24" spans="1:21" hidden="1">
      <c r="A24" s="129" t="s">
        <v>204</v>
      </c>
      <c r="B24" s="131"/>
      <c r="C24" s="131"/>
      <c r="F24" s="78">
        <f>Q24/22</f>
        <v>4344518.5</v>
      </c>
      <c r="G24" s="90">
        <f t="shared" ref="G24" si="12">F24/F23-1</f>
        <v>-0.33613688957745147</v>
      </c>
      <c r="H24" s="90">
        <f t="shared" ref="H24" si="13">F24/F12-1</f>
        <v>-0.34322575838655334</v>
      </c>
      <c r="I24" s="130">
        <f t="shared" si="0"/>
        <v>9.5719848597660224</v>
      </c>
      <c r="J24" s="130">
        <f t="shared" si="5"/>
        <v>-0.781713488577507</v>
      </c>
      <c r="O24" s="89"/>
      <c r="P24" s="129" t="s">
        <v>206</v>
      </c>
      <c r="Q24" s="116">
        <f>'7305'!Q24+'7304'!Q24+'7306'!Q24</f>
        <v>95579407</v>
      </c>
      <c r="R24" s="116">
        <f>'7305'!R24+'7304'!R24+'7306'!R24</f>
        <v>125290171052</v>
      </c>
      <c r="S24" s="116">
        <f>'7305'!S24+'7304'!S24+'7306'!S24</f>
        <v>9985327.8499999996</v>
      </c>
      <c r="T24" s="130">
        <f t="shared" ref="T24" si="14">Q24/S24</f>
        <v>9.5719848597660224</v>
      </c>
      <c r="U24" s="78"/>
    </row>
    <row r="25" spans="1:21" s="79" customFormat="1" ht="13.2" hidden="1">
      <c r="A25" s="129" t="s">
        <v>219</v>
      </c>
      <c r="B25" s="131">
        <f>SUM(F23:F25)</f>
        <v>16191412.372180451</v>
      </c>
      <c r="C25" s="131">
        <f>AVERAGE(F23:F25)</f>
        <v>5397137.4573934833</v>
      </c>
      <c r="D25" s="90">
        <f>C25/C22-1</f>
        <v>-0.16121596932109716</v>
      </c>
      <c r="E25" s="286">
        <f>C25/C13-1</f>
        <v>-0.25359238464286227</v>
      </c>
      <c r="F25" s="78">
        <f>Q25/19</f>
        <v>5302595.1578947371</v>
      </c>
      <c r="G25" s="90">
        <f t="shared" ref="G25" si="15">F25/F24-1</f>
        <v>0.22052539490733825</v>
      </c>
      <c r="H25" s="90">
        <f t="shared" ref="H25" si="16">F25/F13-1</f>
        <v>-0.23373805911555479</v>
      </c>
      <c r="I25" s="130">
        <f t="shared" si="0"/>
        <v>22.241018176301687</v>
      </c>
      <c r="J25" s="130">
        <f t="shared" si="5"/>
        <v>0.48472846474405795</v>
      </c>
      <c r="K25" s="78">
        <f>R23+R24+R25</f>
        <v>435396681170</v>
      </c>
      <c r="L25" s="90">
        <f>U25/U22-1</f>
        <v>-0.16234828029261772</v>
      </c>
      <c r="M25" s="90">
        <f>U25/U13-1</f>
        <v>-0.26684463765376676</v>
      </c>
      <c r="N25" s="88">
        <f>AVERAGE(T23:T25)</f>
        <v>25.795281267288022</v>
      </c>
      <c r="O25" s="91">
        <f>N25/N22-1</f>
        <v>-8.3917827101857911E-2</v>
      </c>
      <c r="P25" s="129" t="s">
        <v>219</v>
      </c>
      <c r="Q25" s="116">
        <f>'7305'!Q25+'7304'!Q25+'7306'!Q25</f>
        <v>100749308</v>
      </c>
      <c r="R25" s="116">
        <f>'7305'!R25+'7304'!R25+'7306'!R25</f>
        <v>133792811533</v>
      </c>
      <c r="S25" s="116">
        <f>'7305'!S25+'7304'!S25+'7306'!S25</f>
        <v>4529887.4000000004</v>
      </c>
      <c r="T25" s="130">
        <f t="shared" ref="T25" si="17">Q25/S25</f>
        <v>22.241018176301687</v>
      </c>
      <c r="U25" s="85">
        <f>Q23+Q24+Q25</f>
        <v>333758988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5599290.6842105268</v>
      </c>
      <c r="G26" s="90">
        <f t="shared" ref="G26" si="18">F26/F25-1</f>
        <v>5.5952890515138964E-2</v>
      </c>
      <c r="H26" s="90">
        <f t="shared" ref="H26" si="19">F26/F14-1</f>
        <v>-0.42961145153507085</v>
      </c>
      <c r="I26" s="130">
        <f t="shared" si="0"/>
        <v>19.739279623331583</v>
      </c>
      <c r="J26" s="130">
        <f t="shared" si="5"/>
        <v>-0.83571306486448849</v>
      </c>
      <c r="L26" s="90"/>
      <c r="M26" s="90"/>
      <c r="P26" s="129" t="s">
        <v>313</v>
      </c>
      <c r="Q26" s="116">
        <f>'7305'!Q26+'7304'!Q26+'7306'!Q26</f>
        <v>106386523</v>
      </c>
      <c r="R26" s="116">
        <f>'7305'!R26+'7304'!R26+'7306'!R26</f>
        <v>143305623017</v>
      </c>
      <c r="S26" s="116">
        <f>'7305'!S26+'7304'!S26+'7306'!S26</f>
        <v>5389584.8799999999</v>
      </c>
      <c r="T26" s="130">
        <f t="shared" ref="T26" si="20">Q26/S26</f>
        <v>19.739279623331583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3451481.2272727271</v>
      </c>
      <c r="G27" s="90">
        <f t="shared" ref="G27" si="21">F27/F26-1</f>
        <v>-0.38358598938155153</v>
      </c>
      <c r="H27" s="90">
        <f t="shared" ref="H27" si="22">F27/F15-1</f>
        <v>-0.58644982038819959</v>
      </c>
      <c r="I27" s="130">
        <f t="shared" si="0"/>
        <v>7.4615255485177006</v>
      </c>
      <c r="J27" s="130">
        <f t="shared" si="5"/>
        <v>-0.4352471230079421</v>
      </c>
      <c r="L27" s="90"/>
      <c r="M27" s="90"/>
      <c r="P27" s="129" t="s">
        <v>374</v>
      </c>
      <c r="Q27" s="116">
        <f>'7305'!Q27+'7304'!Q27+'7306'!Q27</f>
        <v>75932587</v>
      </c>
      <c r="R27" s="116">
        <f>'7305'!R27+'7304'!R27+'7306'!R27</f>
        <v>100404295890</v>
      </c>
      <c r="S27" s="116">
        <f>'7305'!S27+'7304'!S27+'7306'!S27</f>
        <v>10176549.890000001</v>
      </c>
      <c r="T27" s="130">
        <f t="shared" ref="T27" si="23">Q27/S27</f>
        <v>7.4615255485177006</v>
      </c>
      <c r="U27" s="78"/>
    </row>
    <row r="28" spans="1:21" s="79" customFormat="1" ht="13.2" hidden="1">
      <c r="A28" s="123" t="s">
        <v>415</v>
      </c>
      <c r="B28" s="131">
        <f>SUM(F26:F28)</f>
        <v>13649583.490430623</v>
      </c>
      <c r="C28" s="131">
        <f>AVERAGE(F26:F28)</f>
        <v>4549861.1634768741</v>
      </c>
      <c r="D28" s="90">
        <f>C28/C25-1</f>
        <v>-0.1569862358713755</v>
      </c>
      <c r="E28" s="286">
        <f>C28/C16-1</f>
        <v>-0.42849668778236705</v>
      </c>
      <c r="F28" s="78">
        <f>Q28/19</f>
        <v>4598811.5789473681</v>
      </c>
      <c r="G28" s="90">
        <f t="shared" ref="G28" si="24">F28/F27-1</f>
        <v>0.33241680198308154</v>
      </c>
      <c r="H28" s="90">
        <f t="shared" ref="H28" si="25">F28/F16-1</f>
        <v>-0.19615847883128534</v>
      </c>
      <c r="I28" s="130">
        <f t="shared" si="0"/>
        <v>10.312894880357039</v>
      </c>
      <c r="J28" s="130">
        <f t="shared" si="5"/>
        <v>-0.26267971825065894</v>
      </c>
      <c r="K28" s="78">
        <f>R26+R27+R28</f>
        <v>357600672642</v>
      </c>
      <c r="L28" s="90">
        <f>U28/U25-1</f>
        <v>-0.19194227063032676</v>
      </c>
      <c r="M28" s="90">
        <f>U28/U16-1</f>
        <v>-0.46679951760571559</v>
      </c>
      <c r="N28" s="88">
        <f>AVERAGE(T26:T28)</f>
        <v>12.504566684068772</v>
      </c>
      <c r="O28" s="91">
        <f>N28/N25-1</f>
        <v>-0.51523821141945492</v>
      </c>
      <c r="P28" s="129" t="s">
        <v>415</v>
      </c>
      <c r="Q28" s="116">
        <f>'7305'!Q28+'7304'!Q28+'7306'!Q28</f>
        <v>87377420</v>
      </c>
      <c r="R28" s="116">
        <f>'7305'!R28+'7304'!R28+'7306'!R28</f>
        <v>113890753735</v>
      </c>
      <c r="S28" s="116">
        <f>'7305'!S28+'7304'!S28+'7306'!S28</f>
        <v>8472637.5099999998</v>
      </c>
      <c r="T28" s="130">
        <f t="shared" ref="T28" si="26">Q28/S28</f>
        <v>10.312894880357039</v>
      </c>
      <c r="U28" s="85">
        <f>Q26+Q27+Q28</f>
        <v>269696530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4449904.5454545459</v>
      </c>
      <c r="G29" s="190">
        <f t="shared" ref="G29" si="27">F29/F28-1</f>
        <v>-3.2379459548744105E-2</v>
      </c>
      <c r="H29" s="190">
        <f t="shared" ref="H29" si="28">F29/F17-1</f>
        <v>-0.45115295990189885</v>
      </c>
      <c r="I29" s="130">
        <f t="shared" si="0"/>
        <v>1.0378848042733446</v>
      </c>
      <c r="J29" s="130">
        <f t="shared" si="5"/>
        <v>-0.9260279590020688</v>
      </c>
      <c r="K29" s="136"/>
      <c r="L29" s="190"/>
      <c r="M29" s="190"/>
      <c r="N29" s="191"/>
      <c r="O29" s="192"/>
      <c r="P29" s="129" t="s">
        <v>427</v>
      </c>
      <c r="Q29" s="116">
        <f>'7305'!Q29+'7304'!Q29+'7306'!Q29</f>
        <v>97897900</v>
      </c>
      <c r="R29" s="116">
        <f>'7305'!R29+'7304'!R29+'7306'!R29</f>
        <v>129045375506</v>
      </c>
      <c r="S29" s="116">
        <f>'7305'!S29+'7304'!S29+'7306'!S29</f>
        <v>94324437.159999996</v>
      </c>
      <c r="T29" s="130">
        <f t="shared" ref="T29" si="29">Q29/S29</f>
        <v>1.0378848042733446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4673048.7894736845</v>
      </c>
      <c r="G30" s="190">
        <f t="shared" ref="G30" si="30">F30/F29-1</f>
        <v>5.0145849588408398E-2</v>
      </c>
      <c r="H30" s="190">
        <f t="shared" ref="H30" si="31">F30/F18-1</f>
        <v>-0.40227737240964001</v>
      </c>
      <c r="I30" s="130">
        <f t="shared" si="0"/>
        <v>1.0171367482987996</v>
      </c>
      <c r="J30" s="130">
        <f t="shared" si="5"/>
        <v>-0.9648552244135693</v>
      </c>
      <c r="K30" s="136"/>
      <c r="L30" s="190"/>
      <c r="M30" s="190"/>
      <c r="N30" s="191"/>
      <c r="O30" s="192"/>
      <c r="P30" s="129" t="s">
        <v>468</v>
      </c>
      <c r="Q30" s="116">
        <f>'7305'!Q30+'7304'!Q30+'7306'!Q30</f>
        <v>88787927</v>
      </c>
      <c r="R30" s="116">
        <f>'7305'!R30+'7304'!R30+'7306'!R30</f>
        <v>118385722213</v>
      </c>
      <c r="S30" s="116">
        <f>'7305'!S30+'7304'!S30+'7306'!S30</f>
        <v>87292025.530000001</v>
      </c>
      <c r="T30" s="130">
        <f t="shared" ref="T30" si="32">Q30/S30</f>
        <v>1.0171367482987996</v>
      </c>
      <c r="U30" s="85"/>
    </row>
    <row r="31" spans="1:21" s="79" customFormat="1" ht="13.2" hidden="1">
      <c r="A31" s="129" t="s">
        <v>505</v>
      </c>
      <c r="B31" s="188">
        <f>SUM(F29:F31)</f>
        <v>15366341.48492823</v>
      </c>
      <c r="C31" s="188">
        <f>AVERAGE(F29:F31)</f>
        <v>5122113.8283094103</v>
      </c>
      <c r="D31" s="190">
        <f>C31/C28-1</f>
        <v>0.12577365424382236</v>
      </c>
      <c r="E31" s="287">
        <f>C31/C19-1</f>
        <v>-0.33751124708916069</v>
      </c>
      <c r="F31" s="136">
        <f>Q31/20</f>
        <v>6243388.1500000004</v>
      </c>
      <c r="G31" s="190">
        <f t="shared" ref="G31" si="33">F31/F30-1</f>
        <v>0.33604172164082624</v>
      </c>
      <c r="H31" s="190">
        <f t="shared" ref="H31" si="34">F31/F19-1</f>
        <v>-0.14109992317741327</v>
      </c>
      <c r="I31" s="130">
        <f t="shared" si="0"/>
        <v>1.16386651525586</v>
      </c>
      <c r="J31" s="130">
        <f t="shared" si="5"/>
        <v>-0.90703323851630413</v>
      </c>
      <c r="K31" s="136">
        <f>R29+R30+R31</f>
        <v>413475338660</v>
      </c>
      <c r="L31" s="190">
        <f>U31/U28-1</f>
        <v>0.15520058786073365</v>
      </c>
      <c r="M31" s="190">
        <f>U31/U19-1</f>
        <v>-0.34880758260406042</v>
      </c>
      <c r="N31" s="191">
        <f>AVERAGE(T29:T31)</f>
        <v>1.0729626892760014</v>
      </c>
      <c r="O31" s="192">
        <f>N31/N28-1</f>
        <v>-0.91419433264784844</v>
      </c>
      <c r="P31" s="129" t="s">
        <v>505</v>
      </c>
      <c r="Q31" s="116">
        <f>'7305'!Q31+'7304'!Q31+'7306'!Q31</f>
        <v>124867763</v>
      </c>
      <c r="R31" s="116">
        <f>'7305'!R31+'7304'!R31+'7306'!R31</f>
        <v>166044240941</v>
      </c>
      <c r="S31" s="116">
        <f>'7305'!S31+'7304'!S31+'7306'!S31</f>
        <v>107287013.89999999</v>
      </c>
      <c r="T31" s="130">
        <f t="shared" ref="T31" si="35">Q31/S31</f>
        <v>1.16386651525586</v>
      </c>
      <c r="U31" s="85">
        <f>Q29+Q30+Q31</f>
        <v>311553590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4669538</v>
      </c>
      <c r="G32" s="190">
        <f t="shared" ref="G32" si="36">F32/F31-1</f>
        <v>-0.25208270128135479</v>
      </c>
      <c r="H32" s="190">
        <f t="shared" ref="H32" si="37">F32/F20-1</f>
        <v>-0.32580615032178473</v>
      </c>
      <c r="I32" s="130">
        <f t="shared" si="0"/>
        <v>1.0918659467775478</v>
      </c>
      <c r="J32" s="130">
        <f t="shared" si="5"/>
        <v>-0.95863408076198386</v>
      </c>
      <c r="K32" s="136"/>
      <c r="L32" s="190"/>
      <c r="M32" s="190"/>
      <c r="N32" s="191"/>
      <c r="O32" s="192"/>
      <c r="P32" s="129" t="s">
        <v>562</v>
      </c>
      <c r="Q32" s="116">
        <f>'7305'!Q32+'7304'!Q32+'7306'!Q32</f>
        <v>98060298</v>
      </c>
      <c r="R32" s="116">
        <f>'7305'!R32+'7304'!R32+'7306'!R32</f>
        <v>133222021097</v>
      </c>
      <c r="S32" s="116">
        <f>'7305'!S32+'7304'!S32+'7306'!S32</f>
        <v>89809832.689999998</v>
      </c>
      <c r="T32" s="130">
        <f t="shared" ref="T32" si="38">Q32/S32</f>
        <v>1.0918659467775478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5061001.9047619049</v>
      </c>
      <c r="G33" s="190">
        <f t="shared" ref="G33" si="39">F33/F32-1</f>
        <v>8.3833540868905043E-2</v>
      </c>
      <c r="H33" s="190">
        <f t="shared" ref="H33" si="40">F33/F21-1</f>
        <v>-0.22810906444923384</v>
      </c>
      <c r="I33" s="130">
        <f t="shared" si="0"/>
        <v>1.0991155046052754</v>
      </c>
      <c r="J33" s="130">
        <f t="shared" si="5"/>
        <v>-0.95370594407576925</v>
      </c>
      <c r="K33" s="136"/>
      <c r="L33" s="190"/>
      <c r="M33" s="190"/>
      <c r="N33" s="191"/>
      <c r="O33" s="192"/>
      <c r="P33" s="129" t="s">
        <v>624</v>
      </c>
      <c r="Q33" s="116">
        <f>'7305'!Q33+'7304'!Q33+'7306'!Q33</f>
        <v>106281040</v>
      </c>
      <c r="R33" s="116">
        <f>'7305'!R33+'7304'!R33+'7306'!R33</f>
        <v>145437124352</v>
      </c>
      <c r="S33" s="116">
        <f>'7305'!S33+'7304'!S33+'7306'!S33</f>
        <v>96696879.950000003</v>
      </c>
      <c r="T33" s="130">
        <f t="shared" ref="T33" si="41">Q33/S33</f>
        <v>1.0991155046052754</v>
      </c>
      <c r="U33" s="85"/>
    </row>
    <row r="34" spans="1:21" s="79" customFormat="1" ht="13.2" hidden="1">
      <c r="A34" s="129" t="s">
        <v>652</v>
      </c>
      <c r="B34" s="188">
        <f>SUM(F32:F34)</f>
        <v>15261071.010025062</v>
      </c>
      <c r="C34" s="188">
        <f>AVERAGE(F32:F34)</f>
        <v>5087023.6700083539</v>
      </c>
      <c r="D34" s="190">
        <f>C34/C31-1</f>
        <v>-6.850718175593129E-3</v>
      </c>
      <c r="E34" s="287">
        <f>C34/C22-1</f>
        <v>-0.20941160906632272</v>
      </c>
      <c r="F34" s="136">
        <f>Q34/19</f>
        <v>5530531.1052631577</v>
      </c>
      <c r="G34" s="190">
        <f t="shared" ref="G34" si="42">F34/F33-1</f>
        <v>9.2773962416309752E-2</v>
      </c>
      <c r="H34" s="190">
        <f t="shared" ref="H34" si="43">F34/F22-1</f>
        <v>-4.9851218105589123E-2</v>
      </c>
      <c r="I34" s="130">
        <f t="shared" si="0"/>
        <v>1.1111759182531815</v>
      </c>
      <c r="J34" s="130">
        <f t="shared" si="5"/>
        <v>-0.96763952159554534</v>
      </c>
      <c r="K34" s="136">
        <f>R32+R33+R34</f>
        <v>423149809108</v>
      </c>
      <c r="L34" s="190">
        <f>U34/U31-1</f>
        <v>-6.8436412496482024E-3</v>
      </c>
      <c r="M34" s="190">
        <f>U34/U22-1</f>
        <v>-0.22342947625378795</v>
      </c>
      <c r="N34" s="191">
        <f>AVERAGE(T32:T34)</f>
        <v>1.1007191232120015</v>
      </c>
      <c r="O34" s="192">
        <f>N34/N31-1</f>
        <v>2.5868964702518538E-2</v>
      </c>
      <c r="P34" s="129" t="s">
        <v>652</v>
      </c>
      <c r="Q34" s="116">
        <f>'7305'!Q34+'7304'!Q34+'7306'!Q34</f>
        <v>105080091</v>
      </c>
      <c r="R34" s="116">
        <f>'7305'!R34+'7304'!R34+'7306'!R34</f>
        <v>144490663659</v>
      </c>
      <c r="S34" s="116">
        <f>'7305'!S34+'7304'!S34+'7306'!S34</f>
        <v>94566566.170000002</v>
      </c>
      <c r="T34" s="130">
        <f t="shared" ref="T34" si="44">Q34/S34</f>
        <v>1.1111759182531815</v>
      </c>
      <c r="U34" s="85">
        <f>Q32+Q33+Q34</f>
        <v>309421429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5247286.7391304346</v>
      </c>
      <c r="G35" s="190">
        <f t="shared" ref="G35" si="45">F35/F34-1</f>
        <v>-5.1214677350457816E-2</v>
      </c>
      <c r="H35" s="190">
        <f t="shared" ref="H35" si="46">F35/F23-1</f>
        <v>-0.19818960468965141</v>
      </c>
      <c r="I35" s="130">
        <f t="shared" si="0"/>
        <v>1.1983701567435843</v>
      </c>
      <c r="J35" s="130">
        <f t="shared" si="5"/>
        <v>-0.97370429105128353</v>
      </c>
      <c r="K35" s="136"/>
      <c r="L35" s="190"/>
      <c r="M35" s="190"/>
      <c r="N35" s="191"/>
      <c r="O35" s="192"/>
      <c r="P35" s="129" t="s">
        <v>660</v>
      </c>
      <c r="Q35" s="116">
        <f>'7305'!Q35+'7304'!Q35+'7306'!Q35</f>
        <v>120687595</v>
      </c>
      <c r="R35" s="116">
        <f>'7305'!R35+'7304'!R35+'7306'!R35</f>
        <v>167076612558</v>
      </c>
      <c r="S35" s="116">
        <f>'7305'!S35+'7304'!S35+'7306'!S35</f>
        <v>100709780.13</v>
      </c>
      <c r="T35" s="130">
        <f t="shared" ref="T35" si="47">Q35/S35</f>
        <v>1.1983701567435843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4773176.5714285718</v>
      </c>
      <c r="G36" s="190">
        <f t="shared" ref="G36" si="48">F36/F35-1</f>
        <v>-9.0353394291624145E-2</v>
      </c>
      <c r="H36" s="190">
        <f t="shared" ref="H36" si="49">F36/F24-1</f>
        <v>9.8666416411524516E-2</v>
      </c>
      <c r="I36" s="130">
        <f t="shared" si="0"/>
        <v>1.2701331263775189</v>
      </c>
      <c r="J36" s="130">
        <f t="shared" si="5"/>
        <v>-0.86730723617039174</v>
      </c>
      <c r="K36" s="136"/>
      <c r="L36" s="190"/>
      <c r="M36" s="190"/>
      <c r="N36" s="191"/>
      <c r="O36" s="192"/>
      <c r="P36" s="129" t="s">
        <v>664</v>
      </c>
      <c r="Q36" s="116">
        <f>'7305'!Q36+'7304'!Q36+'7306'!Q36</f>
        <v>100236708</v>
      </c>
      <c r="R36" s="116">
        <f>'7305'!R36+'7304'!R36+'7306'!R36</f>
        <v>136444648612</v>
      </c>
      <c r="S36" s="116">
        <f>'7305'!S36+'7304'!S36+'7306'!S36</f>
        <v>78918269.210000008</v>
      </c>
      <c r="T36" s="130">
        <f t="shared" ref="T36" si="50">Q36/S36</f>
        <v>1.2701331263775189</v>
      </c>
      <c r="U36" s="85"/>
    </row>
    <row r="37" spans="1:21" s="79" customFormat="1" ht="13.2" hidden="1">
      <c r="A37" s="129" t="s">
        <v>702</v>
      </c>
      <c r="B37" s="188">
        <f>SUM(F35:F37)</f>
        <v>14601978.199447896</v>
      </c>
      <c r="C37" s="188">
        <f>AVERAGE(F35:F37)</f>
        <v>4867326.0664826324</v>
      </c>
      <c r="D37" s="190">
        <f>C37/C34-1</f>
        <v>-4.3187847703755722E-2</v>
      </c>
      <c r="E37" s="287">
        <f>C37/C25-1</f>
        <v>-9.8165257989690002E-2</v>
      </c>
      <c r="F37" s="136">
        <f>Q37/18</f>
        <v>4581514.888888889</v>
      </c>
      <c r="G37" s="190">
        <f t="shared" ref="G37" si="51">F37/F36-1</f>
        <v>-4.0153905825930925E-2</v>
      </c>
      <c r="H37" s="190">
        <f t="shared" ref="H37" si="52">F37/F25-1</f>
        <v>-0.13598629492433945</v>
      </c>
      <c r="I37" s="130">
        <f t="shared" si="0"/>
        <v>1.2030481580277144</v>
      </c>
      <c r="J37" s="130">
        <f t="shared" si="5"/>
        <v>-0.9459085843781383</v>
      </c>
      <c r="K37" s="136">
        <f>R35+R36+R37</f>
        <v>413436908745</v>
      </c>
      <c r="L37" s="190">
        <f>U37/U34-1</f>
        <v>-1.9487525539157113E-2</v>
      </c>
      <c r="M37" s="190">
        <f>U37/U25-1</f>
        <v>-9.098606507040341E-2</v>
      </c>
      <c r="N37" s="191">
        <f>AVERAGE(T35:T37)</f>
        <v>1.2238504803829391</v>
      </c>
      <c r="O37" s="192">
        <f>N37/N34-1</f>
        <v>0.11186446621516732</v>
      </c>
      <c r="P37" s="129" t="s">
        <v>702</v>
      </c>
      <c r="Q37" s="116">
        <f>'7305'!Q37+'7304'!Q37+'7306'!Q37</f>
        <v>82467268</v>
      </c>
      <c r="R37" s="116">
        <f>'7305'!R37+'7304'!R37+'7306'!R37</f>
        <v>109915647575</v>
      </c>
      <c r="S37" s="116">
        <f>'7305'!S37+'7304'!S37+'7306'!S37</f>
        <v>68548600.859999999</v>
      </c>
      <c r="T37" s="130">
        <f t="shared" ref="T37" si="53">Q37/S37</f>
        <v>1.2030481580277144</v>
      </c>
      <c r="U37" s="85">
        <f>Q35+Q36+Q37</f>
        <v>303391571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4017503.2</v>
      </c>
      <c r="G38" s="190">
        <f t="shared" ref="G38" si="54">F38/F37-1</f>
        <v>-0.12310593822509064</v>
      </c>
      <c r="H38" s="190">
        <f t="shared" ref="H38" si="55">F38/F26-1</f>
        <v>-0.28249783292569874</v>
      </c>
      <c r="I38" s="130">
        <f t="shared" si="0"/>
        <v>1.2457093868867897</v>
      </c>
      <c r="J38" s="130">
        <f t="shared" si="5"/>
        <v>-0.93689185164516453</v>
      </c>
      <c r="K38" s="136"/>
      <c r="L38" s="190"/>
      <c r="M38" s="190"/>
      <c r="N38" s="191"/>
      <c r="O38" s="192"/>
      <c r="P38" s="129" t="s">
        <v>728</v>
      </c>
      <c r="Q38" s="116">
        <f>'7305'!Q38+'7304'!Q38+'7306'!Q38</f>
        <v>80350064</v>
      </c>
      <c r="R38" s="116">
        <f>'7305'!R38+'7304'!R38+'7306'!R38</f>
        <v>108957401243</v>
      </c>
      <c r="S38" s="116">
        <f>'7305'!S38+'7304'!S38+'7306'!S38</f>
        <v>64501451.82</v>
      </c>
      <c r="T38" s="130">
        <f t="shared" ref="T38" si="56">Q38/S38</f>
        <v>1.2457093868867897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6881225.1428571427</v>
      </c>
      <c r="G39" s="190">
        <f t="shared" ref="G39" si="57">F39/F38-1</f>
        <v>0.71281136574008008</v>
      </c>
      <c r="H39" s="190">
        <f t="shared" ref="H39" si="58">F39/F27-1</f>
        <v>0.99370203392197287</v>
      </c>
      <c r="I39" s="130">
        <f t="shared" si="0"/>
        <v>1.1792743534969363</v>
      </c>
      <c r="J39" s="130">
        <f t="shared" si="5"/>
        <v>-0.84195264817779658</v>
      </c>
      <c r="K39" s="136"/>
      <c r="L39" s="190"/>
      <c r="M39" s="190"/>
      <c r="N39" s="191"/>
      <c r="O39" s="192"/>
      <c r="P39" s="129" t="s">
        <v>762</v>
      </c>
      <c r="Q39" s="116">
        <f>'7305'!Q39+'7304'!Q39+'7306'!Q39</f>
        <v>144505728</v>
      </c>
      <c r="R39" s="116">
        <f>'7305'!R39+'7304'!R39+'7306'!R39</f>
        <v>201347672968</v>
      </c>
      <c r="S39" s="116">
        <f>'7305'!S39+'7304'!S39+'7306'!S39</f>
        <v>122537836.57000001</v>
      </c>
      <c r="T39" s="130">
        <f t="shared" ref="T39" si="59">Q39/S39</f>
        <v>1.1792743534969363</v>
      </c>
      <c r="U39" s="85"/>
    </row>
    <row r="40" spans="1:21" s="79" customFormat="1" ht="13.2" hidden="1">
      <c r="A40" s="129" t="s">
        <v>778</v>
      </c>
      <c r="B40" s="188">
        <f>SUM(F38:F40)</f>
        <v>15321564.104761906</v>
      </c>
      <c r="C40" s="188">
        <f>AVERAGE(F38:F40)</f>
        <v>5107188.0349206356</v>
      </c>
      <c r="D40" s="190">
        <f>C40/C37-1</f>
        <v>4.9280028738929227E-2</v>
      </c>
      <c r="E40" s="287">
        <f>C40/C28-1</f>
        <v>0.12249315999301125</v>
      </c>
      <c r="F40" s="136">
        <f>Q40/21</f>
        <v>4422835.7619047621</v>
      </c>
      <c r="G40" s="190">
        <f t="shared" ref="G40" si="60">F40/F39-1</f>
        <v>-0.3572604194624035</v>
      </c>
      <c r="H40" s="190">
        <f t="shared" ref="H40" si="61">F40/F28-1</f>
        <v>-3.8265498384016272E-2</v>
      </c>
      <c r="I40" s="130">
        <f t="shared" si="0"/>
        <v>1.1031782245449129</v>
      </c>
      <c r="J40" s="130">
        <f t="shared" si="5"/>
        <v>-0.89302923792560562</v>
      </c>
      <c r="K40" s="136">
        <f>R38+R39+R40</f>
        <v>443018164614</v>
      </c>
      <c r="L40" s="190">
        <f>U40/U37-1</f>
        <v>4.7278083411222971E-2</v>
      </c>
      <c r="M40" s="190">
        <f>U40/U28-1</f>
        <v>0.17812173185913815</v>
      </c>
      <c r="N40" s="191">
        <f>AVERAGE(T38:T40)</f>
        <v>1.1760539883095464</v>
      </c>
      <c r="O40" s="192">
        <f>N40/N37-1</f>
        <v>-3.9054192353985329E-2</v>
      </c>
      <c r="P40" s="129" t="s">
        <v>778</v>
      </c>
      <c r="Q40" s="116">
        <f>'7305'!Q40+'7304'!Q40+'7306'!Q40</f>
        <v>92879551</v>
      </c>
      <c r="R40" s="116">
        <f>'7305'!R40+'7304'!R40+'7306'!R40</f>
        <v>132713090403</v>
      </c>
      <c r="S40" s="116">
        <f>'7305'!S40+'7304'!S40+'7306'!S40</f>
        <v>84192697.909999996</v>
      </c>
      <c r="T40" s="130">
        <f t="shared" ref="T40" si="62">Q40/S40</f>
        <v>1.1031782245449129</v>
      </c>
      <c r="U40" s="85">
        <f>Q38+Q39+Q40</f>
        <v>317735343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4845997.611111111</v>
      </c>
      <c r="G41" s="190">
        <f t="shared" ref="G41" si="63">F41/F40-1</f>
        <v>9.5676591215792195E-2</v>
      </c>
      <c r="H41" s="190">
        <f t="shared" ref="H41" si="64">F41/F29-1</f>
        <v>8.9011587015088489E-2</v>
      </c>
      <c r="I41" s="130">
        <f t="shared" si="0"/>
        <v>1.1175532086834359</v>
      </c>
      <c r="J41" s="130">
        <f t="shared" si="5"/>
        <v>7.6760353443915852E-2</v>
      </c>
      <c r="K41" s="193"/>
      <c r="L41" s="190"/>
      <c r="M41" s="190"/>
      <c r="N41" s="193"/>
      <c r="O41" s="193"/>
      <c r="P41" s="129" t="s">
        <v>792</v>
      </c>
      <c r="Q41" s="116">
        <f>'7305'!Q41+'7304'!Q41+'7306'!Q41</f>
        <v>87227957</v>
      </c>
      <c r="R41" s="116">
        <f>'7305'!R41+'7304'!R41+'7306'!R41</f>
        <v>127568361591</v>
      </c>
      <c r="S41" s="116">
        <f>'7305'!S41+'7304'!S41+'7306'!S41</f>
        <v>78052620.959999993</v>
      </c>
      <c r="T41" s="130">
        <f t="shared" ref="T41" si="65">Q41/S41</f>
        <v>1.1175532086834359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5597543.4500000002</v>
      </c>
      <c r="G42" s="190">
        <f t="shared" ref="G42" si="66">F42/F41-1</f>
        <v>0.15508588720013239</v>
      </c>
      <c r="H42" s="190">
        <f t="shared" ref="H42" si="67">F42/F30-1</f>
        <v>0.19783543938355486</v>
      </c>
      <c r="I42" s="130">
        <f t="shared" si="0"/>
        <v>1.2412970871092117</v>
      </c>
      <c r="J42" s="130">
        <f t="shared" si="5"/>
        <v>0.22038367917129031</v>
      </c>
      <c r="K42" s="193"/>
      <c r="L42" s="190"/>
      <c r="M42" s="190"/>
      <c r="N42" s="193"/>
      <c r="O42" s="193"/>
      <c r="P42" s="129" t="s">
        <v>826</v>
      </c>
      <c r="Q42" s="116">
        <f>'7305'!Q42+'7304'!Q42+'7306'!Q42</f>
        <v>111950869</v>
      </c>
      <c r="R42" s="116">
        <f>'7305'!R42+'7304'!R42+'7306'!R42</f>
        <v>162011074906</v>
      </c>
      <c r="S42" s="116">
        <f>'7305'!S42+'7304'!S42+'7306'!S42</f>
        <v>90188618.150000006</v>
      </c>
      <c r="T42" s="130">
        <f t="shared" ref="T42:T47" si="68">Q42/S42</f>
        <v>1.2412970871092117</v>
      </c>
      <c r="U42" s="78"/>
    </row>
    <row r="43" spans="1:21" s="79" customFormat="1" ht="13.2">
      <c r="A43" s="129" t="s">
        <v>835</v>
      </c>
      <c r="B43" s="188">
        <f>SUM(F41:F43)</f>
        <v>17059757.611111112</v>
      </c>
      <c r="C43" s="188">
        <f>AVERAGE(F41:F43)</f>
        <v>5686585.8703703703</v>
      </c>
      <c r="D43" s="190">
        <f>C43/C40-1</f>
        <v>0.1134475236643091</v>
      </c>
      <c r="E43" s="287">
        <f>C43/C31-1</f>
        <v>0.11020294764657113</v>
      </c>
      <c r="F43" s="136">
        <f>Q43/20</f>
        <v>6616216.5499999998</v>
      </c>
      <c r="G43" s="190">
        <f t="shared" ref="G43" si="69">F43/F42-1</f>
        <v>0.18198574233488074</v>
      </c>
      <c r="H43" s="190">
        <f t="shared" ref="H43" si="70">F43/F31-1</f>
        <v>5.9715717018170578E-2</v>
      </c>
      <c r="I43" s="130">
        <f t="shared" si="0"/>
        <v>1.1853638329882055</v>
      </c>
      <c r="J43" s="130">
        <f t="shared" si="5"/>
        <v>1.8470604189192219E-2</v>
      </c>
      <c r="K43" s="136">
        <f>R41+R42+R43</f>
        <v>481980386523</v>
      </c>
      <c r="L43" s="190">
        <f>U43/U40-1</f>
        <v>4.333107507023537E-2</v>
      </c>
      <c r="M43" s="190">
        <f>K43/K31-1</f>
        <v>0.16568109741444959</v>
      </c>
      <c r="N43" s="191">
        <f>AVERAGE(T41:T43)</f>
        <v>1.1814047095936175</v>
      </c>
      <c r="O43" s="192">
        <f>N43/N40-1</f>
        <v>4.549724194007565E-3</v>
      </c>
      <c r="P43" s="129" t="s">
        <v>835</v>
      </c>
      <c r="Q43" s="116">
        <f>'7305'!Q43+'7304'!Q43+'7306'!Q43</f>
        <v>132324331</v>
      </c>
      <c r="R43" s="116">
        <f>'7305'!R43+'7304'!R43+'7306'!R43</f>
        <v>192400950026</v>
      </c>
      <c r="S43" s="116">
        <f>'7305'!S43+'7304'!S43+'7306'!S43</f>
        <v>111631827.56</v>
      </c>
      <c r="T43" s="130">
        <f t="shared" si="68"/>
        <v>1.1853638329882055</v>
      </c>
      <c r="U43" s="85">
        <f>Q41+Q42+Q43</f>
        <v>331503157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5255273.0909090908</v>
      </c>
      <c r="G44" s="190">
        <f t="shared" ref="G44" si="71">F44/F43-1</f>
        <v>-0.2056981431617303</v>
      </c>
      <c r="H44" s="190">
        <f t="shared" ref="H44" si="72">F44/F32-1</f>
        <v>0.12543748244667685</v>
      </c>
      <c r="I44" s="130">
        <f t="shared" si="0"/>
        <v>1.1787823282429231</v>
      </c>
      <c r="J44" s="130">
        <f t="shared" si="5"/>
        <v>7.9603527998921342E-2</v>
      </c>
      <c r="K44" s="136"/>
      <c r="L44" s="190"/>
      <c r="M44" s="190"/>
      <c r="N44" s="191"/>
      <c r="O44" s="192"/>
      <c r="P44" s="129" t="s">
        <v>843</v>
      </c>
      <c r="Q44" s="116">
        <f>'7305'!Q44+'7304'!Q44+'7306'!Q44</f>
        <v>115616008</v>
      </c>
      <c r="R44" s="116">
        <f>'7305'!R44+'7304'!R44+'7306'!R44</f>
        <v>166686153639</v>
      </c>
      <c r="S44" s="116">
        <f>'7305'!S44+'7304'!S44+'7306'!S44</f>
        <v>98080879.930000007</v>
      </c>
      <c r="T44" s="130">
        <f t="shared" si="68"/>
        <v>1.1787823282429231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5424033.25</v>
      </c>
      <c r="G45" s="190">
        <f t="shared" ref="G45" si="73">F45/F44-1</f>
        <v>3.2112538429799553E-2</v>
      </c>
      <c r="H45" s="190">
        <f t="shared" ref="H45" si="74">F45/F33-1</f>
        <v>7.1731122032678618E-2</v>
      </c>
      <c r="I45" s="130">
        <f t="shared" si="0"/>
        <v>1.1235257206815932</v>
      </c>
      <c r="J45" s="130">
        <f t="shared" si="5"/>
        <v>2.2208963456560538E-2</v>
      </c>
      <c r="K45" s="136"/>
      <c r="L45" s="190"/>
      <c r="M45" s="190"/>
      <c r="N45" s="191"/>
      <c r="O45" s="192"/>
      <c r="P45" s="129" t="s">
        <v>849</v>
      </c>
      <c r="Q45" s="116">
        <f>'7305'!Q45+'7304'!Q45+'7306'!Q45</f>
        <v>108480665</v>
      </c>
      <c r="R45" s="116">
        <f>'7305'!R45+'7304'!R45+'7306'!R45</f>
        <v>152281968878</v>
      </c>
      <c r="S45" s="116">
        <f>'7305'!S45+'7304'!S45+'7306'!S45</f>
        <v>96553788.670000002</v>
      </c>
      <c r="T45" s="130">
        <f t="shared" si="68"/>
        <v>1.1235257206815932</v>
      </c>
      <c r="U45" s="85"/>
    </row>
    <row r="46" spans="1:21" s="79" customFormat="1" ht="13.2">
      <c r="A46" s="129" t="s">
        <v>888</v>
      </c>
      <c r="B46" s="188">
        <f>SUM(F44:F46)</f>
        <v>16046514.919856459</v>
      </c>
      <c r="C46" s="188">
        <f>AVERAGE(F44:F46)</f>
        <v>5348838.3066188199</v>
      </c>
      <c r="D46" s="190">
        <f>C46/C43-1</f>
        <v>-5.9393733155664541E-2</v>
      </c>
      <c r="E46" s="287">
        <f>C46/C34-1</f>
        <v>5.146715517642475E-2</v>
      </c>
      <c r="F46" s="136">
        <f>Q46/19</f>
        <v>5367208.5789473681</v>
      </c>
      <c r="G46" s="190">
        <f t="shared" ref="G46" si="75">F46/F45-1</f>
        <v>-1.0476460676680399E-2</v>
      </c>
      <c r="H46" s="190">
        <f t="shared" ref="H46" si="76">F46/F34-1</f>
        <v>-2.9531074540085855E-2</v>
      </c>
      <c r="I46" s="130">
        <f t="shared" si="0"/>
        <v>1.1319652895042032</v>
      </c>
      <c r="J46" s="130">
        <f t="shared" si="5"/>
        <v>1.870934287678172E-2</v>
      </c>
      <c r="K46" s="136">
        <f>R44+R45+R46</f>
        <v>458748211934</v>
      </c>
      <c r="L46" s="190">
        <f>U46/U43-1</f>
        <v>-1.6378489571971078E-2</v>
      </c>
      <c r="M46" s="190">
        <f>K46/K34-1</f>
        <v>8.4127186305581692E-2</v>
      </c>
      <c r="N46" s="191">
        <f>AVERAGE(T44:T46)</f>
        <v>1.1447577794762396</v>
      </c>
      <c r="O46" s="192">
        <f>N46/N43-1</f>
        <v>-3.1019793488028191E-2</v>
      </c>
      <c r="P46" s="129" t="s">
        <v>888</v>
      </c>
      <c r="Q46" s="116">
        <f>'7305'!Q46+'7304'!Q46+'7306'!Q46</f>
        <v>101976963</v>
      </c>
      <c r="R46" s="116">
        <f>'7305'!R46+'7304'!R46+'7306'!R46</f>
        <v>139780089417</v>
      </c>
      <c r="S46" s="116">
        <f>'7305'!S46+'7304'!S46+'7306'!S46</f>
        <v>90088418.74000001</v>
      </c>
      <c r="T46" s="130">
        <f t="shared" si="68"/>
        <v>1.1319652895042032</v>
      </c>
      <c r="U46" s="85">
        <f t="shared" ref="U46:U51" si="77">Q44+Q45+Q46</f>
        <v>326073636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4414133.5217391308</v>
      </c>
      <c r="G47" s="190">
        <f t="shared" ref="G47" si="78">F47/F46-1</f>
        <v>-0.1775736946290164</v>
      </c>
      <c r="H47" s="190">
        <f t="shared" ref="H47" si="79">F47/F35-1</f>
        <v>-0.15877790919605272</v>
      </c>
      <c r="I47" s="130">
        <f t="shared" si="0"/>
        <v>1.1586398762561014</v>
      </c>
      <c r="J47" s="130">
        <f t="shared" si="5"/>
        <v>-3.3153596377470507E-2</v>
      </c>
      <c r="K47" s="136"/>
      <c r="L47" s="190"/>
      <c r="M47" s="190"/>
      <c r="N47" s="191"/>
      <c r="O47" s="192"/>
      <c r="P47" s="129" t="s">
        <v>1029</v>
      </c>
      <c r="Q47" s="116">
        <f>'7305'!Q47+'7304'!Q47+'7306'!Q47</f>
        <v>101525071</v>
      </c>
      <c r="R47" s="116">
        <f>'7305'!R47+'7304'!R47+'7306'!R47</f>
        <v>139571475657</v>
      </c>
      <c r="S47" s="116">
        <f>'7305'!S47+'7304'!S47+'7306'!S47</f>
        <v>87624354.280000001</v>
      </c>
      <c r="T47" s="130">
        <f t="shared" si="68"/>
        <v>1.1586398762561014</v>
      </c>
      <c r="U47" s="85">
        <f t="shared" si="77"/>
        <v>311982699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3185070.55</v>
      </c>
      <c r="G48" s="190">
        <f t="shared" ref="G48" si="80">F48/F47-1</f>
        <v>-0.27843810471208641</v>
      </c>
      <c r="H48" s="190">
        <f t="shared" ref="H48" si="81">F48/F36-1</f>
        <v>-0.33271470218275734</v>
      </c>
      <c r="I48" s="130">
        <f t="shared" si="0"/>
        <v>1.2339414219322897</v>
      </c>
      <c r="J48" s="130">
        <f t="shared" si="5"/>
        <v>-2.8494418178391712E-2</v>
      </c>
      <c r="K48" s="136"/>
      <c r="L48" s="190"/>
      <c r="M48" s="190"/>
      <c r="N48" s="191"/>
      <c r="O48" s="192"/>
      <c r="P48" s="129" t="s">
        <v>1133</v>
      </c>
      <c r="Q48" s="116">
        <f>'7305'!Q48+'7304'!Q48+'7306'!Q48</f>
        <v>63701411</v>
      </c>
      <c r="R48" s="116">
        <f>'7305'!R48+'7304'!R48+'7306'!R48</f>
        <v>88401478765</v>
      </c>
      <c r="S48" s="116">
        <f>'7305'!S48+'7304'!S48+'7306'!S48</f>
        <v>51624339.590000004</v>
      </c>
      <c r="T48" s="130">
        <f t="shared" ref="T48" si="82">Q48/S48</f>
        <v>1.2339414219322897</v>
      </c>
      <c r="U48" s="85">
        <f t="shared" si="77"/>
        <v>267203445</v>
      </c>
    </row>
    <row r="49" spans="1:26" ht="13.2">
      <c r="A49" s="129" t="s">
        <v>1230</v>
      </c>
      <c r="B49" s="188">
        <f>SUM(F47:F49)</f>
        <v>10939691.57173913</v>
      </c>
      <c r="C49" s="188">
        <f>AVERAGE(F47:F49)</f>
        <v>3646563.8572463766</v>
      </c>
      <c r="D49" s="190">
        <f>C49/C46-1</f>
        <v>-0.31825124481067146</v>
      </c>
      <c r="E49" s="287">
        <f>C49/C37-1</f>
        <v>-0.25080756714506247</v>
      </c>
      <c r="F49" s="136">
        <f>Q49/22</f>
        <v>3340487.5</v>
      </c>
      <c r="G49" s="190">
        <f t="shared" ref="G49" si="83">F49/F48-1</f>
        <v>4.8795449758561871E-2</v>
      </c>
      <c r="H49" s="190">
        <f t="shared" ref="H49" si="84">F49/F37-1</f>
        <v>-0.2708770830143179</v>
      </c>
      <c r="I49" s="130">
        <f t="shared" si="0"/>
        <v>1.0771270084026168</v>
      </c>
      <c r="J49" s="130">
        <f t="shared" si="5"/>
        <v>-0.1046684197842368</v>
      </c>
      <c r="K49" s="136">
        <f>R47+R48+R49</f>
        <v>330216828966</v>
      </c>
      <c r="L49" s="190">
        <f>U49/U46-1</f>
        <v>-0.26790399270427367</v>
      </c>
      <c r="M49" s="190">
        <f>K49/K37-1</f>
        <v>-0.20128846268616174</v>
      </c>
      <c r="N49" s="191">
        <f>AVERAGE(T47:T49)</f>
        <v>1.156569435530336</v>
      </c>
      <c r="O49" s="192">
        <f>N49/N46-1</f>
        <v>1.0318039558989023E-2</v>
      </c>
      <c r="P49" s="129" t="s">
        <v>1158</v>
      </c>
      <c r="Q49" s="116">
        <f>'7305'!Q49+'7304'!Q49+'7306'!Q49</f>
        <v>73490725</v>
      </c>
      <c r="R49" s="116">
        <f>'7305'!R49+'7304'!R49+'7306'!R49</f>
        <v>102243874544</v>
      </c>
      <c r="S49" s="116">
        <f>'7305'!S49+'7304'!S49+'7306'!S49</f>
        <v>68228467.420000002</v>
      </c>
      <c r="T49" s="130">
        <f t="shared" ref="T49" si="85">Q49/S49</f>
        <v>1.0771270084026168</v>
      </c>
      <c r="U49" s="85">
        <f t="shared" si="77"/>
        <v>238717207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2473123.388888889</v>
      </c>
      <c r="G50" s="190">
        <f t="shared" ref="G50" si="86">F50/F49-1</f>
        <v>-0.2596519553242187</v>
      </c>
      <c r="H50" s="190">
        <f t="shared" ref="H50" si="87">F50/F38-1</f>
        <v>-0.38441283907654666</v>
      </c>
      <c r="I50" s="130">
        <f t="shared" ref="I50" si="88">T50</f>
        <v>0.91857198713796284</v>
      </c>
      <c r="J50" s="130">
        <f t="shared" ref="J50" si="89">I50/I38-1</f>
        <v>-0.26261133069438547</v>
      </c>
      <c r="K50" s="136"/>
      <c r="L50" s="190"/>
      <c r="M50" s="190"/>
      <c r="N50" s="191"/>
      <c r="O50" s="192"/>
      <c r="P50" s="129" t="s">
        <v>1291</v>
      </c>
      <c r="Q50" s="116">
        <f>'7305'!Q50+'7304'!Q50+'7306'!Q50</f>
        <v>44516221</v>
      </c>
      <c r="R50" s="116">
        <f>'7305'!R50+'7304'!R50+'7306'!R50</f>
        <v>62975718077</v>
      </c>
      <c r="S50" s="116">
        <f>'7305'!S50+'7304'!S50+'7306'!S50</f>
        <v>48462419.520000003</v>
      </c>
      <c r="T50" s="130">
        <f t="shared" ref="T50" si="90">Q50/S50</f>
        <v>0.91857198713796284</v>
      </c>
      <c r="U50" s="85">
        <f t="shared" si="77"/>
        <v>181708357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3392290.05</v>
      </c>
      <c r="G51" s="190">
        <f t="shared" ref="G51:G52" si="91">F51/F50-1</f>
        <v>0.37166227339917279</v>
      </c>
      <c r="H51" s="190">
        <f t="shared" ref="H51:H52" si="92">F51/F39-1</f>
        <v>-0.50702237180522003</v>
      </c>
      <c r="I51" s="130">
        <f t="shared" ref="I51:I52" si="93">T51</f>
        <v>1.0531427763428807</v>
      </c>
      <c r="J51" s="130">
        <f t="shared" ref="J51:J52" si="94">I51/I39-1</f>
        <v>-0.10695694074922768</v>
      </c>
      <c r="K51" s="136"/>
      <c r="L51" s="190"/>
      <c r="M51" s="190"/>
      <c r="N51" s="191"/>
      <c r="O51" s="192"/>
      <c r="P51" s="129" t="s">
        <v>1402</v>
      </c>
      <c r="Q51" s="116">
        <f>'7305'!Q51+'7304'!Q51+'7306'!Q51</f>
        <v>67845801</v>
      </c>
      <c r="R51" s="116">
        <f>'7305'!R51+'7304'!R51+'7306'!R51</f>
        <v>98484292079</v>
      </c>
      <c r="S51" s="116">
        <f>'7305'!S51+'7304'!S51+'7306'!S51</f>
        <v>64422225.099999994</v>
      </c>
      <c r="T51" s="130">
        <f t="shared" ref="T51:T52" si="95">Q51/S51</f>
        <v>1.0531427763428807</v>
      </c>
      <c r="U51" s="85">
        <f t="shared" si="77"/>
        <v>185852747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9747911.5297979787</v>
      </c>
      <c r="C52" s="188">
        <f>AVERAGE(F50:F52)</f>
        <v>3249303.8432659931</v>
      </c>
      <c r="D52" s="190">
        <f>C52/C49-1</f>
        <v>-0.1089409179523777</v>
      </c>
      <c r="E52" s="287">
        <f>C52/C40-1</f>
        <v>-0.36377830206197093</v>
      </c>
      <c r="F52" s="136">
        <f>Q52/22</f>
        <v>3882498.0909090908</v>
      </c>
      <c r="G52" s="190">
        <f t="shared" si="91"/>
        <v>0.1445065232287821</v>
      </c>
      <c r="H52" s="190">
        <f t="shared" si="92"/>
        <v>-0.12216996065053221</v>
      </c>
      <c r="I52" s="130">
        <f t="shared" si="93"/>
        <v>1.0089998613495417</v>
      </c>
      <c r="J52" s="130">
        <f t="shared" si="94"/>
        <v>-8.5370034596379041E-2</v>
      </c>
      <c r="K52" s="136">
        <f>R50+R51+R52</f>
        <v>287239119295</v>
      </c>
      <c r="L52" s="190">
        <f>U52/U49-1</f>
        <v>-0.17150094672479976</v>
      </c>
      <c r="M52" s="190">
        <f>K52/K40-1</f>
        <v>-0.35163128233066854</v>
      </c>
      <c r="N52" s="191">
        <f>AVERAGE(T50:T52)</f>
        <v>0.99357154161012839</v>
      </c>
      <c r="O52" s="192">
        <f>N52/N49-1</f>
        <v>-0.14093221635713216</v>
      </c>
      <c r="P52" s="129" t="s">
        <v>1403</v>
      </c>
      <c r="Q52" s="116">
        <f>'7305'!Q52+'7304'!Q52+'7306'!Q52</f>
        <v>85414958</v>
      </c>
      <c r="R52" s="116">
        <f>'7305'!R52+'7304'!R52+'7306'!R52</f>
        <v>125779109139</v>
      </c>
      <c r="S52" s="116">
        <f>'7305'!S52+'7304'!S52+'7306'!S52</f>
        <v>84653091.909999996</v>
      </c>
      <c r="T52" s="130">
        <f t="shared" si="95"/>
        <v>1.0089998613495417</v>
      </c>
      <c r="U52" s="85">
        <f t="shared" ref="U52" si="96">Q50+Q51+Q52</f>
        <v>197776980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4002035.2380952379</v>
      </c>
      <c r="G53" s="190">
        <f t="shared" ref="G53" si="97">F53/F52-1</f>
        <v>3.0788720145425108E-2</v>
      </c>
      <c r="H53" s="190">
        <f t="shared" ref="H53" si="98">F53/F41-1</f>
        <v>-0.17415658049042371</v>
      </c>
      <c r="I53" s="130">
        <f t="shared" ref="I53" si="99">T53</f>
        <v>0.93693336282931716</v>
      </c>
      <c r="J53" s="130">
        <f t="shared" ref="J53" si="100">I53/I41-1</f>
        <v>-0.16162080199018247</v>
      </c>
      <c r="K53" s="136"/>
      <c r="L53" s="190"/>
      <c r="M53" s="190"/>
      <c r="N53" s="191"/>
      <c r="O53" s="192"/>
      <c r="P53" s="129" t="s">
        <v>1414</v>
      </c>
      <c r="Q53" s="116">
        <f>'7305'!Q53+'7304'!Q53+'7306'!Q53</f>
        <v>84042740</v>
      </c>
      <c r="R53" s="116">
        <f>'7305'!R53+'7304'!R53+'7306'!R53</f>
        <v>122613182445</v>
      </c>
      <c r="S53" s="116">
        <f>'7305'!S53+'7304'!S53+'7306'!S53</f>
        <v>89699805.060000002</v>
      </c>
      <c r="T53" s="130">
        <f t="shared" ref="T53" si="101">Q53/S53</f>
        <v>0.93693336282931716</v>
      </c>
      <c r="U53" s="85">
        <f t="shared" ref="U53" si="102">Q51+Q52+Q53</f>
        <v>237303499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4159765.8235294116</v>
      </c>
      <c r="G54" s="190">
        <f t="shared" ref="G54" si="103">F54/F53-1</f>
        <v>3.9412592855940343E-2</v>
      </c>
      <c r="H54" s="190">
        <f t="shared" ref="H54" si="104">F54/F42-1</f>
        <v>-0.25685868083267649</v>
      </c>
      <c r="I54" s="130">
        <f t="shared" ref="I54" si="105">T54</f>
        <v>0.95646025547247537</v>
      </c>
      <c r="J54" s="130">
        <f t="shared" ref="J54" si="106">I54/I42-1</f>
        <v>-0.22946709099275908</v>
      </c>
      <c r="K54" s="136"/>
      <c r="L54" s="190"/>
      <c r="M54" s="190"/>
      <c r="N54" s="191"/>
      <c r="O54" s="192"/>
      <c r="P54" s="129" t="s">
        <v>1417</v>
      </c>
      <c r="Q54" s="116">
        <f>'7305'!Q54+'7304'!Q54+'7306'!Q54</f>
        <v>70716019</v>
      </c>
      <c r="R54" s="116">
        <f>'7305'!R54+'7304'!R54+'7306'!R54</f>
        <v>102384320184</v>
      </c>
      <c r="S54" s="116">
        <f>'7305'!S54+'7304'!S54+'7306'!S54</f>
        <v>73935135.930000007</v>
      </c>
      <c r="T54" s="130">
        <f t="shared" ref="T54" si="107">Q54/S54</f>
        <v>0.95646025547247537</v>
      </c>
      <c r="U54" s="85">
        <f t="shared" ref="U54" si="108">Q52+Q53+Q54</f>
        <v>240173717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14060459.918767508</v>
      </c>
      <c r="C55" s="188">
        <f>AVERAGE(F53:F55)</f>
        <v>4686819.972922503</v>
      </c>
      <c r="D55" s="190">
        <f>C55/C52-1</f>
        <v>0.44240741986493037</v>
      </c>
      <c r="E55" s="287">
        <f>C55/C43-1</f>
        <v>-0.17581127239405459</v>
      </c>
      <c r="F55" s="136">
        <f>Q55/21</f>
        <v>5898658.8571428573</v>
      </c>
      <c r="G55" s="190">
        <f t="shared" ref="G55" si="109">F55/F54-1</f>
        <v>0.41802666481308259</v>
      </c>
      <c r="H55" s="190">
        <f t="shared" ref="H55" si="110">F55/F43-1</f>
        <v>-0.10845438438032118</v>
      </c>
      <c r="I55" s="130">
        <f>T55</f>
        <v>1.0409295909987477</v>
      </c>
      <c r="J55" s="130">
        <f t="shared" ref="J55" si="111">I55/I43-1</f>
        <v>-0.1218480250281897</v>
      </c>
      <c r="K55" s="136">
        <f>R53+R54+R55</f>
        <v>407721631856</v>
      </c>
      <c r="L55" s="190">
        <f>U55/U52-1</f>
        <v>0.40881206194977793</v>
      </c>
      <c r="M55" s="190">
        <f>K55/K43-1</f>
        <v>-0.15407007576117704</v>
      </c>
      <c r="N55" s="191">
        <f>AVERAGE(T53:T55)</f>
        <v>0.97810773643351345</v>
      </c>
      <c r="O55" s="192">
        <f>N55/N52-1</f>
        <v>-1.556385678232608E-2</v>
      </c>
      <c r="P55" s="129" t="s">
        <v>1418</v>
      </c>
      <c r="Q55" s="116">
        <f>'7305'!Q55+'7304'!Q55+'7306'!Q55</f>
        <v>123871836</v>
      </c>
      <c r="R55" s="116">
        <f>'7305'!R55+'7304'!R55+'7306'!R55</f>
        <v>182724129227</v>
      </c>
      <c r="S55" s="116">
        <f>'7305'!S55+'7304'!S55+'7306'!S55</f>
        <v>119001166.91</v>
      </c>
      <c r="T55" s="130">
        <f t="shared" ref="T55" si="112">Q55/S55</f>
        <v>1.0409295909987477</v>
      </c>
      <c r="U55" s="85">
        <f t="shared" ref="U55" si="113">Q53+Q54+Q55</f>
        <v>278630595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5929011.4090909092</v>
      </c>
      <c r="G56" s="190">
        <f t="shared" ref="G56" si="114">F56/F55-1</f>
        <v>5.1456700045124926E-3</v>
      </c>
      <c r="H56" s="190">
        <f t="shared" ref="H56" si="115">F56/F44-1</f>
        <v>0.12820234201478398</v>
      </c>
      <c r="I56" s="291">
        <f>T56</f>
        <v>0.95522486984055455</v>
      </c>
      <c r="J56" s="130">
        <f t="shared" ref="J56" si="116">I56/I44-1</f>
        <v>-0.189651179056612</v>
      </c>
      <c r="K56" s="136"/>
      <c r="L56" s="190"/>
      <c r="M56" s="190"/>
      <c r="N56" s="191"/>
      <c r="O56" s="192"/>
      <c r="P56" s="129" t="s">
        <v>1420</v>
      </c>
      <c r="Q56" s="116">
        <f>'7305'!Q56+'7304'!Q56+'7306'!Q56</f>
        <v>130438251</v>
      </c>
      <c r="R56" s="116">
        <f>'7305'!R56+'7304'!R56+'7306'!R56</f>
        <v>194179621414</v>
      </c>
      <c r="S56" s="116">
        <f>'7305'!S56+'7304'!S56+'7306'!S56</f>
        <v>136552402.59999999</v>
      </c>
      <c r="T56" s="130">
        <f t="shared" ref="T56" si="117">Q56/S56</f>
        <v>0.95522486984055455</v>
      </c>
      <c r="U56" s="85">
        <f t="shared" ref="U56" si="118">Q54+Q55+Q56</f>
        <v>325026106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4683538.333333333</v>
      </c>
      <c r="G57" s="254">
        <f t="shared" ref="G57" si="119">F57/F56-1</f>
        <v>-0.21006420629380163</v>
      </c>
      <c r="H57" s="254">
        <f t="shared" ref="H57" si="120">F57/F45-1</f>
        <v>-0.13652108726779411</v>
      </c>
      <c r="I57" s="282">
        <f>T57</f>
        <v>1.0746621099637583</v>
      </c>
      <c r="J57" s="277">
        <f t="shared" ref="J57" si="121">I57/I45-1</f>
        <v>-4.3491314723254848E-2</v>
      </c>
      <c r="K57" s="204"/>
      <c r="L57" s="254"/>
      <c r="M57" s="254"/>
      <c r="N57" s="257"/>
      <c r="O57" s="258"/>
      <c r="P57" s="129" t="s">
        <v>1436</v>
      </c>
      <c r="Q57" s="116">
        <f>'7305'!Q57+'7304'!Q57+'7306'!Q57</f>
        <v>56202460</v>
      </c>
      <c r="R57" s="116">
        <f>'7305'!R57+'7304'!R57+'7306'!R57</f>
        <v>82673564835</v>
      </c>
      <c r="S57" s="116">
        <f>'7305'!S57+'7304'!S57+'7306'!S57</f>
        <v>52297796.189999998</v>
      </c>
      <c r="T57" s="130">
        <f t="shared" ref="T57" si="122">Q57/S57</f>
        <v>1.0746621099637583</v>
      </c>
      <c r="U57" s="85">
        <f t="shared" ref="U57" si="123">Q55+Q56+Q57</f>
        <v>310512547</v>
      </c>
      <c r="V57" s="79"/>
      <c r="W57" s="79"/>
      <c r="X57" s="79"/>
      <c r="Y57" s="79"/>
      <c r="Z57" s="79"/>
    </row>
    <row r="58" spans="1:26">
      <c r="B58" s="196">
        <f>SUM(F56:F58)</f>
        <v>10612549.742424242</v>
      </c>
      <c r="C58" s="196">
        <f>AVERAGE(F56:F58)</f>
        <v>5306274.8712121211</v>
      </c>
      <c r="D58" s="197">
        <f>C58/C55-1</f>
        <v>0.13216955246167728</v>
      </c>
      <c r="E58" s="233">
        <f>C58/C46-1</f>
        <v>-7.9575102044175949E-3</v>
      </c>
    </row>
  </sheetData>
  <phoneticPr fontId="1" type="noConversion"/>
  <conditionalFormatting sqref="C29:C30">
    <cfRule type="cellIs" dxfId="9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38"/>
  <dimension ref="A1:Z74"/>
  <sheetViews>
    <sheetView zoomScale="90" zoomScaleNormal="90" workbookViewId="0">
      <selection activeCell="B68" sqref="B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7304</v>
      </c>
      <c r="L2" s="96" t="s">
        <v>559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261</v>
      </c>
      <c r="F4" s="84" t="s">
        <v>73</v>
      </c>
      <c r="G4" s="172" t="s">
        <v>283</v>
      </c>
      <c r="H4" s="172" t="s">
        <v>261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544061.94999999995</v>
      </c>
      <c r="G5" s="90"/>
      <c r="H5" s="90"/>
      <c r="I5" s="130">
        <f t="shared" ref="I5:I49" si="0">T5</f>
        <v>1.7937136384618011</v>
      </c>
      <c r="J5" s="130"/>
      <c r="L5" s="80"/>
      <c r="M5" s="80"/>
      <c r="P5" s="129" t="s">
        <v>0</v>
      </c>
      <c r="Q5" s="116">
        <v>10881239</v>
      </c>
      <c r="R5" s="116">
        <v>12826410101</v>
      </c>
      <c r="S5" s="116">
        <v>6066318.9299999997</v>
      </c>
      <c r="T5" s="130">
        <f t="shared" ref="T5:T18" si="1">Q5/S5</f>
        <v>1.7937136384618011</v>
      </c>
      <c r="U5" s="85"/>
    </row>
    <row r="6" spans="1:21" ht="15" hidden="1" customHeight="1">
      <c r="A6" s="129" t="s">
        <v>1</v>
      </c>
      <c r="C6" s="79"/>
      <c r="F6" s="78">
        <f>Q6/18</f>
        <v>97456.166666666672</v>
      </c>
      <c r="G6" s="90">
        <f t="shared" ref="G6:G16" si="2">F6/F5-1</f>
        <v>-0.82087303354578156</v>
      </c>
      <c r="H6" s="90"/>
      <c r="I6" s="130">
        <f t="shared" si="0"/>
        <v>5.5612163168018212</v>
      </c>
      <c r="J6" s="130"/>
      <c r="P6" s="129" t="s">
        <v>1</v>
      </c>
      <c r="Q6" s="116">
        <v>1754211</v>
      </c>
      <c r="R6" s="116">
        <v>2087882205</v>
      </c>
      <c r="S6" s="116">
        <v>315436.57</v>
      </c>
      <c r="T6" s="130">
        <f t="shared" si="1"/>
        <v>5.5612163168018212</v>
      </c>
      <c r="U6" s="85"/>
    </row>
    <row r="7" spans="1:21" ht="15" hidden="1" customHeight="1">
      <c r="A7" s="129" t="s">
        <v>2</v>
      </c>
      <c r="B7" s="131">
        <f>F5+F6+F7</f>
        <v>1423877.1621212121</v>
      </c>
      <c r="C7" s="131">
        <f>AVERAGE(F5:F7)</f>
        <v>474625.72070707072</v>
      </c>
      <c r="F7" s="78">
        <f>Q7/22</f>
        <v>782359.04545454541</v>
      </c>
      <c r="G7" s="90">
        <f t="shared" si="2"/>
        <v>7.0278044192983717</v>
      </c>
      <c r="H7" s="90"/>
      <c r="I7" s="130">
        <f t="shared" si="0"/>
        <v>2.0163689586410545</v>
      </c>
      <c r="J7" s="130"/>
      <c r="K7" s="79">
        <f>R5+R6+R7</f>
        <v>35639958169</v>
      </c>
      <c r="N7" s="88">
        <f>AVERAGE(T5:T7)</f>
        <v>3.1237663046348927</v>
      </c>
      <c r="P7" s="129" t="s">
        <v>2</v>
      </c>
      <c r="Q7" s="116">
        <v>17211899</v>
      </c>
      <c r="R7" s="116">
        <v>20725665863</v>
      </c>
      <c r="S7" s="116">
        <v>8536086.0800000001</v>
      </c>
      <c r="T7" s="130">
        <f t="shared" si="1"/>
        <v>2.0163689586410545</v>
      </c>
      <c r="U7" s="85">
        <f>Q5+Q6+Q7</f>
        <v>29847349</v>
      </c>
    </row>
    <row r="8" spans="1:21" ht="15" hidden="1" customHeight="1">
      <c r="A8" s="129" t="s">
        <v>3</v>
      </c>
      <c r="C8" s="79"/>
      <c r="F8" s="78">
        <f>Q8/21</f>
        <v>593540.28571428568</v>
      </c>
      <c r="G8" s="90">
        <f t="shared" si="2"/>
        <v>-0.24134540379801872</v>
      </c>
      <c r="H8" s="90"/>
      <c r="I8" s="130">
        <f t="shared" si="0"/>
        <v>2.3270837727182974</v>
      </c>
      <c r="J8" s="130"/>
      <c r="K8" s="78"/>
      <c r="P8" s="129" t="s">
        <v>3</v>
      </c>
      <c r="Q8" s="116">
        <v>12464346</v>
      </c>
      <c r="R8" s="116">
        <v>15198433437</v>
      </c>
      <c r="S8" s="116">
        <v>5356208.55</v>
      </c>
      <c r="T8" s="130">
        <f t="shared" si="1"/>
        <v>2.3270837727182974</v>
      </c>
      <c r="U8" s="85"/>
    </row>
    <row r="9" spans="1:21" ht="15" hidden="1" customHeight="1">
      <c r="A9" s="129" t="s">
        <v>4</v>
      </c>
      <c r="C9" s="79"/>
      <c r="F9" s="78">
        <f>Q9/21</f>
        <v>606357.14285714284</v>
      </c>
      <c r="G9" s="90">
        <f t="shared" si="2"/>
        <v>2.1593912749212851E-2</v>
      </c>
      <c r="H9" s="90"/>
      <c r="I9" s="130">
        <f t="shared" si="0"/>
        <v>2.16233662895953</v>
      </c>
      <c r="J9" s="130"/>
      <c r="K9" s="78"/>
      <c r="P9" s="129" t="s">
        <v>4</v>
      </c>
      <c r="Q9" s="116">
        <v>12733500</v>
      </c>
      <c r="R9" s="116">
        <v>15990743670</v>
      </c>
      <c r="S9" s="116">
        <v>5888768.5800000001</v>
      </c>
      <c r="T9" s="130">
        <f t="shared" si="1"/>
        <v>2.16233662895953</v>
      </c>
      <c r="U9" s="85"/>
    </row>
    <row r="10" spans="1:21" ht="15" hidden="1" customHeight="1">
      <c r="A10" s="129" t="s">
        <v>5</v>
      </c>
      <c r="B10" s="131">
        <f>F8+F9+F10</f>
        <v>1718756.6666666667</v>
      </c>
      <c r="C10" s="131">
        <f>AVERAGE(F8:F10)</f>
        <v>572918.88888888888</v>
      </c>
      <c r="D10" s="90">
        <f>C10/C7-1</f>
        <v>0.20709616839851508</v>
      </c>
      <c r="E10" s="286"/>
      <c r="F10" s="78">
        <f>Q10/21</f>
        <v>518859.23809523811</v>
      </c>
      <c r="G10" s="90">
        <f t="shared" si="2"/>
        <v>-0.14430093846939174</v>
      </c>
      <c r="H10" s="90"/>
      <c r="I10" s="130">
        <f t="shared" si="0"/>
        <v>2.1953584273850355</v>
      </c>
      <c r="J10" s="130"/>
      <c r="K10" s="79">
        <f>R8+R9+R10</f>
        <v>45089383232</v>
      </c>
      <c r="L10" s="87">
        <f>U10/U7-1</f>
        <v>0.20928294167766803</v>
      </c>
      <c r="N10" s="88">
        <f>AVERAGE(T8:T10)</f>
        <v>2.2282596096876213</v>
      </c>
      <c r="O10" s="89">
        <f>N10/N7-1</f>
        <v>-0.28667531678620195</v>
      </c>
      <c r="P10" s="129" t="s">
        <v>5</v>
      </c>
      <c r="Q10" s="116">
        <v>10896044</v>
      </c>
      <c r="R10" s="116">
        <v>13900206125</v>
      </c>
      <c r="S10" s="116">
        <v>4963218.7</v>
      </c>
      <c r="T10" s="130">
        <f t="shared" si="1"/>
        <v>2.1953584273850355</v>
      </c>
      <c r="U10" s="85">
        <f>Q8+Q9+Q10</f>
        <v>36093890</v>
      </c>
    </row>
    <row r="11" spans="1:21" ht="15" hidden="1" customHeight="1">
      <c r="A11" s="129" t="s">
        <v>6</v>
      </c>
      <c r="C11" s="79"/>
      <c r="F11" s="78">
        <f>Q11/21</f>
        <v>452698.90476190473</v>
      </c>
      <c r="G11" s="90">
        <f t="shared" si="2"/>
        <v>-0.1275111407406212</v>
      </c>
      <c r="H11" s="90"/>
      <c r="I11" s="130">
        <f t="shared" si="0"/>
        <v>2.5298902908679386</v>
      </c>
      <c r="J11" s="130"/>
      <c r="K11" s="78"/>
      <c r="O11" s="89"/>
      <c r="P11" s="129" t="s">
        <v>6</v>
      </c>
      <c r="Q11" s="116">
        <v>9506677</v>
      </c>
      <c r="R11" s="116">
        <v>12358072454</v>
      </c>
      <c r="S11" s="116">
        <v>3757742.79</v>
      </c>
      <c r="T11" s="130">
        <f t="shared" si="1"/>
        <v>2.5298902908679386</v>
      </c>
      <c r="U11" s="85"/>
    </row>
    <row r="12" spans="1:21" ht="15" hidden="1" customHeight="1">
      <c r="A12" s="129" t="s">
        <v>7</v>
      </c>
      <c r="C12" s="79"/>
      <c r="F12" s="78">
        <f>Q12/22</f>
        <v>405053.22727272729</v>
      </c>
      <c r="G12" s="90">
        <f t="shared" si="2"/>
        <v>-0.10524805116159164</v>
      </c>
      <c r="H12" s="90"/>
      <c r="I12" s="130">
        <f t="shared" si="0"/>
        <v>2.6851132668180475</v>
      </c>
      <c r="J12" s="130"/>
      <c r="K12" s="78"/>
      <c r="O12" s="89"/>
      <c r="P12" s="129" t="s">
        <v>7</v>
      </c>
      <c r="Q12" s="116">
        <v>8911171</v>
      </c>
      <c r="R12" s="116">
        <v>11737411576</v>
      </c>
      <c r="S12" s="116">
        <v>3318731.88</v>
      </c>
      <c r="T12" s="130">
        <f t="shared" si="1"/>
        <v>2.6851132668180475</v>
      </c>
      <c r="U12" s="85"/>
    </row>
    <row r="13" spans="1:21" ht="15" hidden="1" customHeight="1">
      <c r="A13" s="129" t="s">
        <v>96</v>
      </c>
      <c r="B13" s="131">
        <f>F11+F12+F13</f>
        <v>1157538.732034632</v>
      </c>
      <c r="C13" s="131">
        <f>AVERAGE(F11:F13)</f>
        <v>385846.24401154398</v>
      </c>
      <c r="D13" s="90">
        <f>C13/C10-1</f>
        <v>-0.32652553180809074</v>
      </c>
      <c r="E13" s="286"/>
      <c r="F13" s="78">
        <f>Q13/20</f>
        <v>299786.59999999998</v>
      </c>
      <c r="G13" s="90">
        <f t="shared" si="2"/>
        <v>-0.25988344292798338</v>
      </c>
      <c r="H13" s="90"/>
      <c r="I13" s="130">
        <f t="shared" si="0"/>
        <v>3.6018188388207015</v>
      </c>
      <c r="J13" s="130"/>
      <c r="K13" s="78">
        <f>R11+R12+R13</f>
        <v>32405283421</v>
      </c>
      <c r="L13" s="87">
        <f>U13/U10-1</f>
        <v>-0.323609065135401</v>
      </c>
      <c r="N13" s="88">
        <f>AVERAGE(T11:T13)</f>
        <v>2.9389407988355623</v>
      </c>
      <c r="O13" s="89">
        <f>N13/N10-1</f>
        <v>0.31894003107096269</v>
      </c>
      <c r="P13" s="129" t="s">
        <v>96</v>
      </c>
      <c r="Q13" s="116">
        <v>5995732</v>
      </c>
      <c r="R13" s="116">
        <v>8309799391</v>
      </c>
      <c r="S13" s="116">
        <v>1664640.08</v>
      </c>
      <c r="T13" s="130">
        <f t="shared" si="1"/>
        <v>3.6018188388207015</v>
      </c>
      <c r="U13" s="85">
        <f>Q11+Q12+Q13</f>
        <v>24413580</v>
      </c>
    </row>
    <row r="14" spans="1:21" ht="15" hidden="1" customHeight="1">
      <c r="A14" s="129" t="s">
        <v>97</v>
      </c>
      <c r="C14" s="79"/>
      <c r="F14" s="78">
        <f>Q14/20</f>
        <v>234722.1</v>
      </c>
      <c r="G14" s="90">
        <f t="shared" si="2"/>
        <v>-0.21703605164473649</v>
      </c>
      <c r="H14" s="90"/>
      <c r="I14" s="130">
        <f t="shared" si="0"/>
        <v>2.8729134730009411</v>
      </c>
      <c r="J14" s="130"/>
      <c r="O14" s="89"/>
      <c r="P14" s="129" t="s">
        <v>97</v>
      </c>
      <c r="Q14" s="116">
        <v>4694442</v>
      </c>
      <c r="R14" s="116">
        <v>6714212386</v>
      </c>
      <c r="S14" s="116">
        <v>1634035.29</v>
      </c>
      <c r="T14" s="130">
        <f t="shared" si="1"/>
        <v>2.8729134730009411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885693</v>
      </c>
      <c r="G15" s="90">
        <f t="shared" si="2"/>
        <v>2.7733685920499176</v>
      </c>
      <c r="H15" s="90"/>
      <c r="I15" s="130">
        <f t="shared" si="0"/>
        <v>3.5675806379170729</v>
      </c>
      <c r="J15" s="130"/>
      <c r="O15" s="89"/>
      <c r="P15" s="129" t="s">
        <v>98</v>
      </c>
      <c r="Q15" s="116">
        <v>19485246</v>
      </c>
      <c r="R15" s="116">
        <v>27565934003</v>
      </c>
      <c r="S15" s="116">
        <v>5461753.4900000002</v>
      </c>
      <c r="T15" s="130">
        <f t="shared" si="1"/>
        <v>3.5675806379170729</v>
      </c>
      <c r="U15" s="85"/>
    </row>
    <row r="16" spans="1:21" ht="15" hidden="1" customHeight="1">
      <c r="A16" s="129" t="s">
        <v>99</v>
      </c>
      <c r="B16" s="131">
        <f>F14+F15+F16</f>
        <v>1780288.1909090909</v>
      </c>
      <c r="C16" s="131">
        <f>AVERAGE(F14:F16)</f>
        <v>593429.39696969697</v>
      </c>
      <c r="D16" s="90">
        <f>C16/C13-1</f>
        <v>0.53799448920369008</v>
      </c>
      <c r="E16" s="286"/>
      <c r="F16" s="78">
        <f>Q16/22</f>
        <v>659873.09090909094</v>
      </c>
      <c r="G16" s="90">
        <f t="shared" si="2"/>
        <v>-0.25496408923962255</v>
      </c>
      <c r="H16" s="90"/>
      <c r="I16" s="130">
        <f t="shared" si="0"/>
        <v>3.1909908196441341</v>
      </c>
      <c r="J16" s="130"/>
      <c r="K16" s="78">
        <f>R14+R15+R16</f>
        <v>53410766445</v>
      </c>
      <c r="L16" s="87">
        <f>U16/U13-1</f>
        <v>0.58505618594241393</v>
      </c>
      <c r="N16" s="88">
        <f>AVERAGE(T14:T16)</f>
        <v>3.2104949768540494</v>
      </c>
      <c r="O16" s="89">
        <f>N16/N13-1</f>
        <v>9.2398655367974536E-2</v>
      </c>
      <c r="P16" s="129" t="s">
        <v>99</v>
      </c>
      <c r="Q16" s="116">
        <v>14517208</v>
      </c>
      <c r="R16" s="116">
        <v>19130620056</v>
      </c>
      <c r="S16" s="116">
        <v>4549435.84</v>
      </c>
      <c r="T16" s="130">
        <f t="shared" si="1"/>
        <v>3.1909908196441341</v>
      </c>
      <c r="U16" s="85">
        <f>Q14+Q15+Q16</f>
        <v>38696896</v>
      </c>
    </row>
    <row r="17" spans="1:21" ht="15" hidden="1" customHeight="1">
      <c r="A17" s="129" t="s">
        <v>100</v>
      </c>
      <c r="C17" s="79"/>
      <c r="F17" s="78">
        <f>Q17/20</f>
        <v>727685.4</v>
      </c>
      <c r="G17" s="90">
        <f t="shared" ref="G17:G22" si="3">F17/F16-1</f>
        <v>0.10276568331872071</v>
      </c>
      <c r="H17" s="90">
        <f t="shared" ref="H17:H22" si="4">F17/F5-1</f>
        <v>0.33750467203229362</v>
      </c>
      <c r="I17" s="130">
        <f t="shared" si="0"/>
        <v>2.9607751289850417</v>
      </c>
      <c r="J17" s="130">
        <f t="shared" ref="J17:J49" si="5">I17/I5-1</f>
        <v>0.65063980420199852</v>
      </c>
      <c r="O17" s="89"/>
      <c r="P17" s="129" t="s">
        <v>100</v>
      </c>
      <c r="Q17" s="116">
        <v>14553708</v>
      </c>
      <c r="R17" s="116">
        <v>18421124549</v>
      </c>
      <c r="S17" s="116">
        <v>4915506.03</v>
      </c>
      <c r="T17" s="130">
        <f t="shared" si="1"/>
        <v>2.9607751289850417</v>
      </c>
      <c r="U17" s="78"/>
    </row>
    <row r="18" spans="1:21" hidden="1">
      <c r="A18" s="129" t="s">
        <v>106</v>
      </c>
      <c r="C18" s="79"/>
      <c r="F18" s="78">
        <f>Q18/20</f>
        <v>863046.35</v>
      </c>
      <c r="G18" s="90">
        <f t="shared" si="3"/>
        <v>0.18601575625950439</v>
      </c>
      <c r="H18" s="90">
        <f t="shared" si="4"/>
        <v>7.8557387338239231</v>
      </c>
      <c r="I18" s="130">
        <f t="shared" si="0"/>
        <v>3.1948664414964534</v>
      </c>
      <c r="J18" s="130">
        <f t="shared" si="5"/>
        <v>-0.42550941026264966</v>
      </c>
      <c r="O18" s="89"/>
      <c r="P18" s="129" t="s">
        <v>106</v>
      </c>
      <c r="Q18" s="116">
        <v>17260927</v>
      </c>
      <c r="R18" s="116">
        <v>21715382484</v>
      </c>
      <c r="S18" s="116">
        <v>5402706.9100000001</v>
      </c>
      <c r="T18" s="130">
        <f t="shared" si="1"/>
        <v>3.1948664414964534</v>
      </c>
      <c r="U18" s="78"/>
    </row>
    <row r="19" spans="1:21" hidden="1">
      <c r="A19" s="129" t="s">
        <v>114</v>
      </c>
      <c r="B19" s="131">
        <f>SUM(F17:F19)</f>
        <v>2268052.4772727275</v>
      </c>
      <c r="C19" s="131">
        <f>AVERAGE(F17:F19)</f>
        <v>756017.49242424255</v>
      </c>
      <c r="D19" s="90">
        <f>C19/C16-1</f>
        <v>0.27398052116189309</v>
      </c>
      <c r="E19" s="286">
        <f>C19/C7-1</f>
        <v>0.59287088634381258</v>
      </c>
      <c r="F19" s="78">
        <f>Q19/22</f>
        <v>677320.72727272729</v>
      </c>
      <c r="G19" s="90">
        <f t="shared" si="3"/>
        <v>-0.21519773848446577</v>
      </c>
      <c r="H19" s="90">
        <f t="shared" si="4"/>
        <v>-0.13425845689659222</v>
      </c>
      <c r="I19" s="130">
        <f t="shared" si="0"/>
        <v>3.4594891362965456</v>
      </c>
      <c r="J19" s="130">
        <f t="shared" si="5"/>
        <v>0.71570243703220449</v>
      </c>
      <c r="K19" s="78">
        <f>R17+R18+R19</f>
        <v>59545023027</v>
      </c>
      <c r="L19" s="87">
        <f>U19/U16-1</f>
        <v>0.20722062565431609</v>
      </c>
      <c r="M19" s="87">
        <f>U19/U7-1</f>
        <v>0.56515377630355035</v>
      </c>
      <c r="N19" s="88">
        <f>AVERAGE(T17:T19)</f>
        <v>3.2050435689260137</v>
      </c>
      <c r="O19" s="89">
        <f>N19/N16-1</f>
        <v>-1.6979960932309579E-3</v>
      </c>
      <c r="P19" s="129" t="s">
        <v>115</v>
      </c>
      <c r="Q19" s="116">
        <v>14901056</v>
      </c>
      <c r="R19" s="116">
        <v>19408515994</v>
      </c>
      <c r="S19" s="116">
        <v>4307299.55</v>
      </c>
      <c r="T19" s="130">
        <f t="shared" ref="T19" si="6">Q19/S19</f>
        <v>3.4594891362965456</v>
      </c>
      <c r="U19" s="85">
        <f>Q17+Q18+Q19</f>
        <v>46715691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1079701.75</v>
      </c>
      <c r="G20" s="90">
        <f t="shared" si="3"/>
        <v>0.59407752712290995</v>
      </c>
      <c r="H20" s="90">
        <f t="shared" si="4"/>
        <v>0.81908755982865067</v>
      </c>
      <c r="I20" s="130">
        <f t="shared" si="0"/>
        <v>4.1147358602911597</v>
      </c>
      <c r="J20" s="130">
        <f t="shared" si="5"/>
        <v>0.76819412714338275</v>
      </c>
      <c r="O20" s="89"/>
      <c r="P20" s="129" t="s">
        <v>132</v>
      </c>
      <c r="Q20" s="116">
        <v>21594035</v>
      </c>
      <c r="R20" s="116">
        <v>28323745498</v>
      </c>
      <c r="S20" s="116">
        <v>5247975.99</v>
      </c>
      <c r="T20" s="130">
        <f t="shared" ref="T20" si="7">Q20/S20</f>
        <v>4.1147358602911597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776468</v>
      </c>
      <c r="G21" s="90">
        <f t="shared" si="3"/>
        <v>-0.28084954942418128</v>
      </c>
      <c r="H21" s="90">
        <f t="shared" si="4"/>
        <v>0.28054564730828124</v>
      </c>
      <c r="I21" s="130">
        <f t="shared" si="0"/>
        <v>2.811653313730297</v>
      </c>
      <c r="J21" s="130">
        <f t="shared" si="5"/>
        <v>0.30028473646270526</v>
      </c>
      <c r="O21" s="89"/>
      <c r="P21" s="129" t="s">
        <v>142</v>
      </c>
      <c r="Q21" s="116">
        <v>16305828</v>
      </c>
      <c r="R21" s="116">
        <v>21626330310</v>
      </c>
      <c r="S21" s="116">
        <v>5799373.5999999996</v>
      </c>
      <c r="T21" s="130">
        <f t="shared" ref="T21" si="8">Q21/S21</f>
        <v>2.811653313730297</v>
      </c>
      <c r="U21" s="78"/>
    </row>
    <row r="22" spans="1:21" hidden="1">
      <c r="A22" s="129" t="s">
        <v>156</v>
      </c>
      <c r="B22" s="131">
        <f>SUM(F20:F22)</f>
        <v>2357389.8452380951</v>
      </c>
      <c r="C22" s="131">
        <f>AVERAGE(F20:F22)</f>
        <v>785796.61507936509</v>
      </c>
      <c r="D22" s="90">
        <f>C22/C19-1</f>
        <v>3.938946248403985E-2</v>
      </c>
      <c r="E22" s="286">
        <f>C22/C10-1</f>
        <v>0.37156695357579927</v>
      </c>
      <c r="F22" s="78">
        <f>Q22/21</f>
        <v>501220.09523809527</v>
      </c>
      <c r="G22" s="90">
        <f t="shared" si="3"/>
        <v>-0.35448711957466983</v>
      </c>
      <c r="H22" s="90">
        <f t="shared" si="4"/>
        <v>-3.3996008092478269E-2</v>
      </c>
      <c r="I22" s="130">
        <f t="shared" si="0"/>
        <v>2.9568012149894867</v>
      </c>
      <c r="J22" s="130">
        <f t="shared" si="5"/>
        <v>0.3468421275114657</v>
      </c>
      <c r="K22" s="78">
        <f>R20+R21+R22</f>
        <v>63505402198</v>
      </c>
      <c r="L22" s="87">
        <f>U22/U19-1</f>
        <v>3.6599993779391937E-2</v>
      </c>
      <c r="M22" s="87">
        <f>U22/U10-1</f>
        <v>0.34165325488607623</v>
      </c>
      <c r="N22" s="88">
        <f>AVERAGE(T20:T22)</f>
        <v>3.2943967963369811</v>
      </c>
      <c r="O22" s="89">
        <f>N22/N19-1</f>
        <v>2.7878943137396694E-2</v>
      </c>
      <c r="P22" s="129" t="s">
        <v>156</v>
      </c>
      <c r="Q22" s="116">
        <v>10525622</v>
      </c>
      <c r="R22" s="116">
        <v>13555326390</v>
      </c>
      <c r="S22" s="116">
        <v>3559800.35</v>
      </c>
      <c r="T22" s="130">
        <f t="shared" ref="T22:T23" si="9">Q22/S22</f>
        <v>2.9568012149894867</v>
      </c>
      <c r="U22" s="85">
        <f>Q20+Q21+Q22</f>
        <v>48425485</v>
      </c>
    </row>
    <row r="23" spans="1:21" hidden="1">
      <c r="A23" s="129" t="s">
        <v>189</v>
      </c>
      <c r="B23" s="131"/>
      <c r="C23" s="131"/>
      <c r="F23" s="78">
        <f>Q23/21</f>
        <v>513862.76190476189</v>
      </c>
      <c r="G23" s="90">
        <f t="shared" ref="G23" si="10">F23/F22-1</f>
        <v>2.5223782499504521E-2</v>
      </c>
      <c r="H23" s="90">
        <f t="shared" ref="H23" si="11">F23/F11-1</f>
        <v>0.13510935524579204</v>
      </c>
      <c r="I23" s="130">
        <f t="shared" si="0"/>
        <v>3.5784213319781797</v>
      </c>
      <c r="J23" s="130">
        <f t="shared" si="5"/>
        <v>0.41445711890949943</v>
      </c>
      <c r="O23" s="89"/>
      <c r="P23" s="129" t="s">
        <v>189</v>
      </c>
      <c r="Q23" s="116">
        <v>10791118</v>
      </c>
      <c r="R23" s="116">
        <v>13760304736</v>
      </c>
      <c r="S23" s="116">
        <v>3015608.56</v>
      </c>
      <c r="T23" s="130">
        <f t="shared" si="9"/>
        <v>3.5784213319781797</v>
      </c>
      <c r="U23" s="78"/>
    </row>
    <row r="24" spans="1:21" hidden="1">
      <c r="A24" s="129" t="s">
        <v>205</v>
      </c>
      <c r="B24" s="131"/>
      <c r="C24" s="131"/>
      <c r="F24" s="78">
        <f>Q24/22</f>
        <v>121814.54545454546</v>
      </c>
      <c r="G24" s="90">
        <f t="shared" ref="G24" si="12">F24/F23-1</f>
        <v>-0.76294342675657378</v>
      </c>
      <c r="H24" s="90">
        <f t="shared" ref="H24" si="13">F24/F12-1</f>
        <v>-0.6992628690438103</v>
      </c>
      <c r="I24" s="130">
        <f t="shared" si="0"/>
        <v>17.303247167477188</v>
      </c>
      <c r="J24" s="130">
        <f t="shared" si="5"/>
        <v>5.4441405065873205</v>
      </c>
      <c r="O24" s="89"/>
      <c r="P24" s="129" t="s">
        <v>205</v>
      </c>
      <c r="Q24" s="116">
        <v>2679920</v>
      </c>
      <c r="R24" s="116">
        <v>3552249331</v>
      </c>
      <c r="S24" s="116">
        <v>154879.6</v>
      </c>
      <c r="T24" s="130">
        <f t="shared" ref="T24" si="14">Q24/S24</f>
        <v>17.303247167477188</v>
      </c>
      <c r="U24" s="78"/>
    </row>
    <row r="25" spans="1:21" s="79" customFormat="1" ht="13.2" hidden="1">
      <c r="A25" s="129" t="s">
        <v>217</v>
      </c>
      <c r="B25" s="131">
        <f>SUM(F23:F25)</f>
        <v>1184744.4652540442</v>
      </c>
      <c r="C25" s="131">
        <f>AVERAGE(F23:F25)</f>
        <v>394914.82175134803</v>
      </c>
      <c r="D25" s="90">
        <f>C25/C22-1</f>
        <v>-0.49743379626105688</v>
      </c>
      <c r="E25" s="286">
        <f>C25/C13-1</f>
        <v>2.3503086736106127E-2</v>
      </c>
      <c r="F25" s="78">
        <f>Q25/19</f>
        <v>549067.15789473685</v>
      </c>
      <c r="G25" s="90">
        <f t="shared" ref="G25" si="15">F25/F24-1</f>
        <v>3.5074022633825672</v>
      </c>
      <c r="H25" s="90">
        <f t="shared" ref="H25" si="16">F25/F13-1</f>
        <v>0.83152668563150223</v>
      </c>
      <c r="I25" s="130">
        <f t="shared" si="0"/>
        <v>2.3029915382090782</v>
      </c>
      <c r="J25" s="130">
        <f t="shared" si="5"/>
        <v>-0.36060317265620223</v>
      </c>
      <c r="K25" s="78">
        <f>R23+R24+R25</f>
        <v>31150722082</v>
      </c>
      <c r="L25" s="90">
        <f>U25/U22-1</f>
        <v>-0.50638978628711717</v>
      </c>
      <c r="M25" s="90">
        <f>U25/U13-1</f>
        <v>-2.0900908428833409E-2</v>
      </c>
      <c r="N25" s="88">
        <f>AVERAGE(T23:T25)</f>
        <v>7.7282200125548153</v>
      </c>
      <c r="O25" s="91">
        <f>N25/N22-1</f>
        <v>1.3458679965776357</v>
      </c>
      <c r="P25" s="129" t="s">
        <v>217</v>
      </c>
      <c r="Q25" s="116">
        <v>10432276</v>
      </c>
      <c r="R25" s="116">
        <v>13838168015</v>
      </c>
      <c r="S25" s="116">
        <v>4529880.3</v>
      </c>
      <c r="T25" s="130">
        <f t="shared" ref="T25" si="17">Q25/S25</f>
        <v>2.3029915382090782</v>
      </c>
      <c r="U25" s="85">
        <f>Q23+Q24+Q25</f>
        <v>23903314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724244.84210526315</v>
      </c>
      <c r="G26" s="90">
        <f t="shared" ref="G26" si="18">F26/F25-1</f>
        <v>0.31904600683494189</v>
      </c>
      <c r="H26" s="90">
        <f t="shared" ref="H26" si="19">F26/F14-1</f>
        <v>2.085541762387364</v>
      </c>
      <c r="I26" s="130">
        <f t="shared" si="0"/>
        <v>2.5531972214663394</v>
      </c>
      <c r="J26" s="130">
        <f t="shared" si="5"/>
        <v>-0.11128641866148437</v>
      </c>
      <c r="L26" s="90"/>
      <c r="M26" s="90"/>
      <c r="P26" s="129" t="s">
        <v>313</v>
      </c>
      <c r="Q26" s="116">
        <v>13760652</v>
      </c>
      <c r="R26" s="116">
        <v>18477205396</v>
      </c>
      <c r="S26" s="116">
        <v>5389576.5999999996</v>
      </c>
      <c r="T26" s="130">
        <f t="shared" ref="T26" si="20">Q26/S26</f>
        <v>2.5531972214663394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203460.18181818182</v>
      </c>
      <c r="G27" s="90">
        <f t="shared" ref="G27" si="21">F27/F26-1</f>
        <v>-0.7190726533491687</v>
      </c>
      <c r="H27" s="90">
        <f t="shared" ref="H27" si="22">F27/F15-1</f>
        <v>-0.7702813708382229</v>
      </c>
      <c r="I27" s="130">
        <f t="shared" si="0"/>
        <v>13.437137044494122</v>
      </c>
      <c r="J27" s="130">
        <f t="shared" si="5"/>
        <v>2.7664564331584041</v>
      </c>
      <c r="L27" s="90"/>
      <c r="M27" s="90"/>
      <c r="P27" s="129" t="s">
        <v>375</v>
      </c>
      <c r="Q27" s="116">
        <v>4476124</v>
      </c>
      <c r="R27" s="116">
        <v>5863201914</v>
      </c>
      <c r="S27" s="116">
        <v>333115.90000000002</v>
      </c>
      <c r="T27" s="130">
        <f t="shared" ref="T27" si="23">Q27/S27</f>
        <v>13.437137044494122</v>
      </c>
      <c r="U27" s="78"/>
    </row>
    <row r="28" spans="1:21" s="79" customFormat="1" ht="13.2" hidden="1">
      <c r="A28" s="123" t="s">
        <v>414</v>
      </c>
      <c r="B28" s="131">
        <f>SUM(F26:F28)</f>
        <v>1881724.8133971291</v>
      </c>
      <c r="C28" s="131">
        <f>AVERAGE(F26:F28)</f>
        <v>627241.60446570965</v>
      </c>
      <c r="D28" s="90">
        <f>C28/C25-1</f>
        <v>0.58829593096569699</v>
      </c>
      <c r="E28" s="286">
        <f>C28/C16-1</f>
        <v>5.6977641600959084E-2</v>
      </c>
      <c r="F28" s="78">
        <f>Q28/19</f>
        <v>954019.78947368416</v>
      </c>
      <c r="G28" s="90">
        <f t="shared" ref="G28" si="24">F28/F27-1</f>
        <v>3.6889754100693031</v>
      </c>
      <c r="H28" s="90">
        <f t="shared" ref="H28" si="25">F28/F16-1</f>
        <v>0.44576253012432221</v>
      </c>
      <c r="I28" s="130">
        <f t="shared" si="0"/>
        <v>2.1394034282212564</v>
      </c>
      <c r="J28" s="130">
        <f t="shared" si="5"/>
        <v>-0.3295488614223443</v>
      </c>
      <c r="K28" s="78">
        <f>R26+R27+R28</f>
        <v>47927222369</v>
      </c>
      <c r="L28" s="90">
        <f>U28/U25-1</f>
        <v>0.52125985543259823</v>
      </c>
      <c r="M28" s="90">
        <f>U28/U16-1</f>
        <v>-6.0308299663104803E-2</v>
      </c>
      <c r="N28" s="88">
        <f>AVERAGE(T26:T28)</f>
        <v>6.0432458980605723</v>
      </c>
      <c r="O28" s="91">
        <f>N28/N25-1</f>
        <v>-0.21802874552703366</v>
      </c>
      <c r="P28" s="129" t="s">
        <v>414</v>
      </c>
      <c r="Q28" s="116">
        <v>18126376</v>
      </c>
      <c r="R28" s="116">
        <v>23586815059</v>
      </c>
      <c r="S28" s="116">
        <v>8472631.0899999999</v>
      </c>
      <c r="T28" s="130">
        <f t="shared" ref="T28" si="26">Q28/S28</f>
        <v>2.1394034282212564</v>
      </c>
      <c r="U28" s="85">
        <f>Q26+Q27+Q28</f>
        <v>36363152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191155.90909090909</v>
      </c>
      <c r="G29" s="190">
        <f t="shared" ref="G29" si="27">F29/F28-1</f>
        <v>-0.79963108606335465</v>
      </c>
      <c r="H29" s="190">
        <f t="shared" ref="H29" si="28">F29/F17-1</f>
        <v>-0.73730968205366065</v>
      </c>
      <c r="I29" s="130">
        <f t="shared" si="0"/>
        <v>2.9519828603428868</v>
      </c>
      <c r="J29" s="130">
        <f t="shared" si="5"/>
        <v>-2.9695833891879575E-3</v>
      </c>
      <c r="K29" s="136"/>
      <c r="L29" s="190"/>
      <c r="M29" s="190"/>
      <c r="N29" s="191"/>
      <c r="O29" s="192"/>
      <c r="P29" s="129" t="s">
        <v>427</v>
      </c>
      <c r="Q29" s="116">
        <v>4205430</v>
      </c>
      <c r="R29" s="116">
        <v>5549124130</v>
      </c>
      <c r="S29" s="116">
        <v>1424611.93</v>
      </c>
      <c r="T29" s="130">
        <f t="shared" ref="T29" si="29">Q29/S29</f>
        <v>2.9519828603428868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388243.63157894736</v>
      </c>
      <c r="G30" s="190">
        <f t="shared" ref="G30" si="30">F30/F29-1</f>
        <v>1.0310312844909659</v>
      </c>
      <c r="H30" s="190">
        <f t="shared" ref="H30" si="31">F30/F18-1</f>
        <v>-0.55014741493438057</v>
      </c>
      <c r="I30" s="130">
        <f t="shared" si="0"/>
        <v>2.0756586681515889</v>
      </c>
      <c r="J30" s="130">
        <f t="shared" si="5"/>
        <v>-0.35031441653023698</v>
      </c>
      <c r="K30" s="136"/>
      <c r="L30" s="190"/>
      <c r="M30" s="190"/>
      <c r="N30" s="191"/>
      <c r="O30" s="192"/>
      <c r="P30" s="129" t="s">
        <v>468</v>
      </c>
      <c r="Q30" s="116">
        <v>7376629</v>
      </c>
      <c r="R30" s="116">
        <v>9839102659</v>
      </c>
      <c r="S30" s="116">
        <v>3553873.82</v>
      </c>
      <c r="T30" s="130">
        <f t="shared" ref="T30" si="32">Q30/S30</f>
        <v>2.0756586681515889</v>
      </c>
      <c r="U30" s="85"/>
    </row>
    <row r="31" spans="1:21" s="79" customFormat="1" ht="13.2" hidden="1">
      <c r="A31" s="129" t="s">
        <v>505</v>
      </c>
      <c r="B31" s="188">
        <f>SUM(F29:F31)</f>
        <v>1099458.2906698566</v>
      </c>
      <c r="C31" s="188">
        <f>AVERAGE(F29:F31)</f>
        <v>366486.0968899522</v>
      </c>
      <c r="D31" s="190">
        <f>C31/C28-1</f>
        <v>-0.41571781227406224</v>
      </c>
      <c r="E31" s="287">
        <f>C31/C19-1</f>
        <v>-0.51524124697858587</v>
      </c>
      <c r="F31" s="136">
        <f>Q31/20</f>
        <v>520058.75</v>
      </c>
      <c r="G31" s="190">
        <f t="shared" ref="G31" si="33">F31/F30-1</f>
        <v>0.33951649866083811</v>
      </c>
      <c r="H31" s="190">
        <f t="shared" ref="H31" si="34">F31/F19-1</f>
        <v>-0.23218243727155985</v>
      </c>
      <c r="I31" s="130">
        <f t="shared" si="0"/>
        <v>2.3839256866886571</v>
      </c>
      <c r="J31" s="130">
        <f t="shared" si="5"/>
        <v>-0.31090239258831764</v>
      </c>
      <c r="K31" s="136">
        <f>R29+R30+R31</f>
        <v>29111805036</v>
      </c>
      <c r="L31" s="190">
        <f>U31/U28-1</f>
        <v>-0.39545301243412567</v>
      </c>
      <c r="M31" s="190">
        <f>U31/U19-1</f>
        <v>-0.52942504906970123</v>
      </c>
      <c r="N31" s="191">
        <f>AVERAGE(T29:T31)</f>
        <v>2.4705224050610446</v>
      </c>
      <c r="O31" s="192">
        <f>N31/N28-1</f>
        <v>-0.59119280487098891</v>
      </c>
      <c r="P31" s="129" t="s">
        <v>505</v>
      </c>
      <c r="Q31" s="116">
        <v>10401175</v>
      </c>
      <c r="R31" s="116">
        <v>13723578247</v>
      </c>
      <c r="S31" s="116">
        <v>4363044.9800000004</v>
      </c>
      <c r="T31" s="130">
        <f t="shared" ref="T31" si="35">Q31/S31</f>
        <v>2.3839256866886571</v>
      </c>
      <c r="U31" s="85">
        <f>Q29+Q30+Q31</f>
        <v>21983234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452821.95238095237</v>
      </c>
      <c r="G32" s="190">
        <f t="shared" ref="G32" si="36">F32/F31-1</f>
        <v>-0.12928692694632604</v>
      </c>
      <c r="H32" s="190">
        <f t="shared" ref="H32" si="37">F32/F20-1</f>
        <v>-0.58060459531444453</v>
      </c>
      <c r="I32" s="130">
        <f t="shared" si="0"/>
        <v>1.8601635610286442</v>
      </c>
      <c r="J32" s="130">
        <f t="shared" si="5"/>
        <v>-0.54792637384577625</v>
      </c>
      <c r="K32" s="136"/>
      <c r="L32" s="190"/>
      <c r="M32" s="190"/>
      <c r="N32" s="191"/>
      <c r="O32" s="192"/>
      <c r="P32" s="129" t="s">
        <v>562</v>
      </c>
      <c r="Q32" s="116">
        <v>9509261</v>
      </c>
      <c r="R32" s="116">
        <v>12816375243</v>
      </c>
      <c r="S32" s="116">
        <v>5112056.38</v>
      </c>
      <c r="T32" s="130">
        <f t="shared" ref="T32" si="38">Q32/S32</f>
        <v>1.8601635610286442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449451</v>
      </c>
      <c r="G33" s="190">
        <f t="shared" ref="G33" si="39">F33/F32-1</f>
        <v>-7.4443219089264101E-3</v>
      </c>
      <c r="H33" s="190">
        <f t="shared" ref="H33" si="40">F33/F21-1</f>
        <v>-0.42115966144129569</v>
      </c>
      <c r="I33" s="130">
        <f t="shared" si="0"/>
        <v>2.0341013938599519</v>
      </c>
      <c r="J33" s="130">
        <f t="shared" si="5"/>
        <v>-0.27654615740613686</v>
      </c>
      <c r="K33" s="136"/>
      <c r="L33" s="190"/>
      <c r="M33" s="190"/>
      <c r="N33" s="191"/>
      <c r="O33" s="192"/>
      <c r="P33" s="129" t="s">
        <v>624</v>
      </c>
      <c r="Q33" s="116">
        <v>9438471</v>
      </c>
      <c r="R33" s="116">
        <v>12923765365</v>
      </c>
      <c r="S33" s="116">
        <v>4640118.25</v>
      </c>
      <c r="T33" s="130">
        <f t="shared" ref="T33" si="41">Q33/S33</f>
        <v>2.0341013938599519</v>
      </c>
      <c r="U33" s="85"/>
    </row>
    <row r="34" spans="1:21" s="79" customFormat="1" ht="13.2" hidden="1">
      <c r="A34" s="129" t="s">
        <v>652</v>
      </c>
      <c r="B34" s="188">
        <f>SUM(F32:F34)</f>
        <v>1453795.1629072684</v>
      </c>
      <c r="C34" s="188">
        <f>AVERAGE(F32:F34)</f>
        <v>484598.38763575611</v>
      </c>
      <c r="D34" s="190">
        <f>C34/C31-1</f>
        <v>0.32228314183844864</v>
      </c>
      <c r="E34" s="287">
        <f>C34/C22-1</f>
        <v>-0.38330303498849772</v>
      </c>
      <c r="F34" s="136">
        <f>Q34/19</f>
        <v>551522.21052631584</v>
      </c>
      <c r="G34" s="190">
        <f t="shared" ref="G34" si="42">F34/F33-1</f>
        <v>0.22710197669226639</v>
      </c>
      <c r="H34" s="190">
        <f t="shared" ref="H34" si="43">F34/F22-1</f>
        <v>0.10035933468374902</v>
      </c>
      <c r="I34" s="130">
        <f t="shared" si="0"/>
        <v>1.8018357825594833</v>
      </c>
      <c r="J34" s="130">
        <f t="shared" si="5"/>
        <v>-0.39061314861983709</v>
      </c>
      <c r="K34" s="136">
        <f>R32+R33+R34</f>
        <v>40147035862</v>
      </c>
      <c r="L34" s="190">
        <f>U34/U31-1</f>
        <v>0.33859531313727542</v>
      </c>
      <c r="M34" s="190">
        <f>U34/U22-1</f>
        <v>-0.3923312487216184</v>
      </c>
      <c r="N34" s="191">
        <f>AVERAGE(T32:T34)</f>
        <v>1.8987002458160267</v>
      </c>
      <c r="O34" s="192">
        <f>N34/N31-1</f>
        <v>-0.23145799369137421</v>
      </c>
      <c r="P34" s="129" t="s">
        <v>652</v>
      </c>
      <c r="Q34" s="116">
        <v>10478922</v>
      </c>
      <c r="R34" s="116">
        <v>14406895254</v>
      </c>
      <c r="S34" s="116">
        <v>5815692.0300000003</v>
      </c>
      <c r="T34" s="130">
        <f t="shared" ref="T34" si="44">Q34/S34</f>
        <v>1.8018357825594833</v>
      </c>
      <c r="U34" s="85">
        <f>Q32+Q33+Q34</f>
        <v>29426654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358814.04347826086</v>
      </c>
      <c r="G35" s="190">
        <f t="shared" ref="G35" si="45">F35/F34-1</f>
        <v>-0.34941143506107253</v>
      </c>
      <c r="H35" s="190">
        <f t="shared" ref="H35" si="46">F35/F23-1</f>
        <v>-0.30173176560172188</v>
      </c>
      <c r="I35" s="130">
        <f t="shared" si="0"/>
        <v>2.1593275628798687</v>
      </c>
      <c r="J35" s="130">
        <f t="shared" si="5"/>
        <v>-0.39656978243918095</v>
      </c>
      <c r="K35" s="136"/>
      <c r="L35" s="190"/>
      <c r="M35" s="190"/>
      <c r="N35" s="191"/>
      <c r="O35" s="192"/>
      <c r="P35" s="129" t="s">
        <v>660</v>
      </c>
      <c r="Q35" s="116">
        <v>8252723</v>
      </c>
      <c r="R35" s="116">
        <v>11407534174</v>
      </c>
      <c r="S35" s="116">
        <v>3821894.9</v>
      </c>
      <c r="T35" s="130">
        <f t="shared" ref="T35" si="47">Q35/S35</f>
        <v>2.1593275628798687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520531.52380952379</v>
      </c>
      <c r="G36" s="190">
        <f t="shared" ref="G36" si="48">F36/F35-1</f>
        <v>0.45069997473791945</v>
      </c>
      <c r="H36" s="190">
        <f t="shared" ref="H36" si="49">F36/F24-1</f>
        <v>3.2731475282133511</v>
      </c>
      <c r="I36" s="130">
        <f t="shared" si="0"/>
        <v>2.5367189911642911</v>
      </c>
      <c r="J36" s="130">
        <f t="shared" si="5"/>
        <v>-0.85339636158395438</v>
      </c>
      <c r="K36" s="136"/>
      <c r="L36" s="190"/>
      <c r="M36" s="190"/>
      <c r="N36" s="191"/>
      <c r="O36" s="192"/>
      <c r="P36" s="129" t="s">
        <v>664</v>
      </c>
      <c r="Q36" s="116">
        <v>10931162</v>
      </c>
      <c r="R36" s="116">
        <v>15060473668</v>
      </c>
      <c r="S36" s="116">
        <v>4309173.4000000004</v>
      </c>
      <c r="T36" s="130">
        <f t="shared" ref="T36" si="50">Q36/S36</f>
        <v>2.5367189911642911</v>
      </c>
      <c r="U36" s="85"/>
    </row>
    <row r="37" spans="1:21" s="79" customFormat="1" ht="13.2" hidden="1">
      <c r="A37" s="129" t="s">
        <v>702</v>
      </c>
      <c r="B37" s="188">
        <f>SUM(F35:F37)</f>
        <v>1376138.6783988958</v>
      </c>
      <c r="C37" s="188">
        <f>AVERAGE(F35:F37)</f>
        <v>458712.89279963193</v>
      </c>
      <c r="D37" s="190">
        <f>C37/C34-1</f>
        <v>-5.3416386633916679E-2</v>
      </c>
      <c r="E37" s="287">
        <f>C37/C25-1</f>
        <v>0.16154894051673074</v>
      </c>
      <c r="F37" s="136">
        <f>Q37/18</f>
        <v>496793.11111111112</v>
      </c>
      <c r="G37" s="190">
        <f t="shared" ref="G37" si="51">F37/F36-1</f>
        <v>-4.5604178829905306E-2</v>
      </c>
      <c r="H37" s="190">
        <f t="shared" ref="H37" si="52">F37/F25-1</f>
        <v>-9.5205196726858898E-2</v>
      </c>
      <c r="I37" s="130">
        <f t="shared" si="0"/>
        <v>1.7191673374839491</v>
      </c>
      <c r="J37" s="130">
        <f t="shared" si="5"/>
        <v>-0.25350688052425063</v>
      </c>
      <c r="K37" s="136">
        <f>R35+R36+R37</f>
        <v>38396811198</v>
      </c>
      <c r="L37" s="190">
        <f>U37/U34-1</f>
        <v>-4.4194389209184282E-2</v>
      </c>
      <c r="M37" s="190">
        <f>U37/U25-1</f>
        <v>0.17666366262017053</v>
      </c>
      <c r="N37" s="191">
        <f>AVERAGE(T35:T37)</f>
        <v>2.1384046305093696</v>
      </c>
      <c r="O37" s="192">
        <f>N37/N34-1</f>
        <v>0.1262465653657312</v>
      </c>
      <c r="P37" s="129" t="s">
        <v>702</v>
      </c>
      <c r="Q37" s="116">
        <v>8942276</v>
      </c>
      <c r="R37" s="116">
        <v>11928803356</v>
      </c>
      <c r="S37" s="116">
        <v>5201515.76</v>
      </c>
      <c r="T37" s="130">
        <f t="shared" ref="T37" si="53">Q37/S37</f>
        <v>1.7191673374839491</v>
      </c>
      <c r="U37" s="85">
        <f>Q35+Q36+Q37</f>
        <v>28126161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420038.5</v>
      </c>
      <c r="G38" s="190">
        <f t="shared" ref="G38" si="54">F38/F37-1</f>
        <v>-0.15450015186290378</v>
      </c>
      <c r="H38" s="190">
        <f t="shared" ref="H38" si="55">F38/F26-1</f>
        <v>-0.42003245921777543</v>
      </c>
      <c r="I38" s="130">
        <f t="shared" si="0"/>
        <v>2.1903199152937001</v>
      </c>
      <c r="J38" s="130">
        <f t="shared" si="5"/>
        <v>-0.1421266258327798</v>
      </c>
      <c r="K38" s="136"/>
      <c r="L38" s="190"/>
      <c r="M38" s="190"/>
      <c r="N38" s="191"/>
      <c r="O38" s="192"/>
      <c r="P38" s="129" t="s">
        <v>727</v>
      </c>
      <c r="Q38" s="116">
        <v>8400770</v>
      </c>
      <c r="R38" s="116">
        <v>11290647847</v>
      </c>
      <c r="S38" s="116">
        <v>3835407.76</v>
      </c>
      <c r="T38" s="130">
        <f t="shared" ref="T38" si="56">Q38/S38</f>
        <v>2.1903199152937001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957448</v>
      </c>
      <c r="G39" s="190">
        <f t="shared" ref="G39" si="57">F39/F38-1</f>
        <v>1.2794291475662352</v>
      </c>
      <c r="H39" s="190">
        <f t="shared" ref="H39" si="58">F39/F27-1</f>
        <v>3.7058249503364964</v>
      </c>
      <c r="I39" s="130">
        <f t="shared" si="0"/>
        <v>1.9170570290095956</v>
      </c>
      <c r="J39" s="130">
        <f t="shared" si="5"/>
        <v>-0.85733143729488781</v>
      </c>
      <c r="K39" s="136"/>
      <c r="L39" s="190"/>
      <c r="M39" s="190"/>
      <c r="N39" s="191"/>
      <c r="O39" s="192"/>
      <c r="P39" s="129" t="s">
        <v>762</v>
      </c>
      <c r="Q39" s="116">
        <v>20106408</v>
      </c>
      <c r="R39" s="116">
        <v>28017458383</v>
      </c>
      <c r="S39" s="116">
        <v>10488163.73</v>
      </c>
      <c r="T39" s="130">
        <f t="shared" ref="T39" si="59">Q39/S39</f>
        <v>1.9170570290095956</v>
      </c>
      <c r="U39" s="85"/>
    </row>
    <row r="40" spans="1:21" s="79" customFormat="1" ht="13.2" hidden="1">
      <c r="A40" s="129" t="s">
        <v>778</v>
      </c>
      <c r="B40" s="188">
        <f>SUM(F38:F40)</f>
        <v>1824455.2619047619</v>
      </c>
      <c r="C40" s="188">
        <f>AVERAGE(F38:F40)</f>
        <v>608151.75396825396</v>
      </c>
      <c r="D40" s="190">
        <f>C40/C37-1</f>
        <v>0.32577863738810953</v>
      </c>
      <c r="E40" s="287">
        <f>C40/C28-1</f>
        <v>-3.0434605041412377E-2</v>
      </c>
      <c r="F40" s="136">
        <f>Q40/21</f>
        <v>446968.76190476189</v>
      </c>
      <c r="G40" s="190">
        <f t="shared" ref="G40" si="60">F40/F39-1</f>
        <v>-0.53316654073666458</v>
      </c>
      <c r="H40" s="190">
        <f t="shared" ref="H40" si="61">F40/F28-1</f>
        <v>-0.5314890038587704</v>
      </c>
      <c r="I40" s="130">
        <f t="shared" si="0"/>
        <v>2.1770315800163735</v>
      </c>
      <c r="J40" s="130">
        <f t="shared" si="5"/>
        <v>1.7588151584108536E-2</v>
      </c>
      <c r="K40" s="136">
        <f>R38+R39+R40</f>
        <v>52793625684</v>
      </c>
      <c r="L40" s="190">
        <f>U40/U37-1</f>
        <v>0.34726961137710899</v>
      </c>
      <c r="M40" s="190">
        <f>U40/U28-1</f>
        <v>4.2085735581997907E-2</v>
      </c>
      <c r="N40" s="191">
        <f>AVERAGE(T38:T40)</f>
        <v>2.0948028414398898</v>
      </c>
      <c r="O40" s="192">
        <f>N40/N37-1</f>
        <v>-2.0389868431539004E-2</v>
      </c>
      <c r="P40" s="129" t="s">
        <v>778</v>
      </c>
      <c r="Q40" s="116">
        <v>9386344</v>
      </c>
      <c r="R40" s="116">
        <v>13485519454</v>
      </c>
      <c r="S40" s="116">
        <v>4311533.2300000004</v>
      </c>
      <c r="T40" s="130">
        <f t="shared" ref="T40" si="62">Q40/S40</f>
        <v>2.1770315800163735</v>
      </c>
      <c r="U40" s="85">
        <f>Q38+Q39+Q40</f>
        <v>37893522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160972.05555555556</v>
      </c>
      <c r="G41" s="190">
        <f t="shared" ref="G41" si="63">F41/F40-1</f>
        <v>-0.63985837652373845</v>
      </c>
      <c r="H41" s="190">
        <f t="shared" ref="H41" si="64">F41/F29-1</f>
        <v>-0.15790175505900172</v>
      </c>
      <c r="I41" s="130">
        <f t="shared" si="0"/>
        <v>2.7812109544214003</v>
      </c>
      <c r="J41" s="130">
        <f t="shared" si="5"/>
        <v>-5.7849897509787862E-2</v>
      </c>
      <c r="K41" s="193"/>
      <c r="L41" s="190"/>
      <c r="M41" s="190"/>
      <c r="N41" s="193"/>
      <c r="O41" s="193"/>
      <c r="P41" s="129" t="s">
        <v>792</v>
      </c>
      <c r="Q41" s="116">
        <v>2897497</v>
      </c>
      <c r="R41" s="116">
        <v>4238729198</v>
      </c>
      <c r="S41" s="116">
        <v>1041811.3</v>
      </c>
      <c r="T41" s="130">
        <f t="shared" ref="T41" si="65">Q41/S41</f>
        <v>2.7812109544214003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873790.05</v>
      </c>
      <c r="G42" s="190">
        <f t="shared" ref="G42" si="66">F42/F41-1</f>
        <v>4.4282095546604534</v>
      </c>
      <c r="H42" s="190">
        <f t="shared" ref="H42" si="67">F42/F30-1</f>
        <v>1.2506230081518268</v>
      </c>
      <c r="I42" s="130">
        <f t="shared" si="0"/>
        <v>2.1556393316678193</v>
      </c>
      <c r="J42" s="130">
        <f t="shared" si="5"/>
        <v>3.8532666638997348E-2</v>
      </c>
      <c r="K42" s="193"/>
      <c r="L42" s="190"/>
      <c r="M42" s="190"/>
      <c r="N42" s="193"/>
      <c r="O42" s="193"/>
      <c r="P42" s="129" t="s">
        <v>826</v>
      </c>
      <c r="Q42" s="116">
        <v>17475801</v>
      </c>
      <c r="R42" s="116">
        <v>25348181849</v>
      </c>
      <c r="S42" s="116">
        <v>8107015.2800000003</v>
      </c>
      <c r="T42" s="130">
        <f t="shared" ref="T42" si="68">Q42/S42</f>
        <v>2.1556393316678193</v>
      </c>
      <c r="U42" s="78"/>
    </row>
    <row r="43" spans="1:21" s="79" customFormat="1" ht="13.2">
      <c r="A43" s="129" t="s">
        <v>835</v>
      </c>
      <c r="B43" s="188">
        <f>SUM(F41:F43)</f>
        <v>1516600.2055555554</v>
      </c>
      <c r="C43" s="188">
        <f>AVERAGE(F41:F43)</f>
        <v>505533.40185185178</v>
      </c>
      <c r="D43" s="190">
        <f>C43/C40-1</f>
        <v>-0.16873806816605674</v>
      </c>
      <c r="E43" s="287">
        <f>C43/C31-1</f>
        <v>0.37940676642817506</v>
      </c>
      <c r="F43" s="136">
        <f>Q43/20</f>
        <v>481838.1</v>
      </c>
      <c r="G43" s="190">
        <f t="shared" ref="G43" si="69">F43/F42-1</f>
        <v>-0.44856536189671659</v>
      </c>
      <c r="H43" s="190">
        <f t="shared" ref="H43" si="70">F43/F31-1</f>
        <v>-7.3492946710347673E-2</v>
      </c>
      <c r="I43" s="130">
        <f t="shared" si="0"/>
        <v>2.1993300826202162</v>
      </c>
      <c r="J43" s="130">
        <f t="shared" si="5"/>
        <v>-7.7433455706771515E-2</v>
      </c>
      <c r="K43" s="136">
        <f>R41+R42+R43</f>
        <v>43579289847</v>
      </c>
      <c r="L43" s="190">
        <f>U43/U40-1</f>
        <v>-0.20804247227270134</v>
      </c>
      <c r="M43" s="190">
        <f>K43/K31-1</f>
        <v>0.49696282292043858</v>
      </c>
      <c r="N43" s="191">
        <f>AVERAGE(T41:T43)</f>
        <v>2.3787267895698121</v>
      </c>
      <c r="O43" s="192">
        <f>N43/N40-1</f>
        <v>0.13553731287416215</v>
      </c>
      <c r="P43" s="129" t="s">
        <v>835</v>
      </c>
      <c r="Q43" s="116">
        <v>9636762</v>
      </c>
      <c r="R43" s="116">
        <v>13992378800</v>
      </c>
      <c r="S43" s="116">
        <v>4381680.62</v>
      </c>
      <c r="T43" s="130">
        <f t="shared" ref="T43" si="71">Q43/S43</f>
        <v>2.1993300826202162</v>
      </c>
      <c r="U43" s="85">
        <f>Q41+Q42+Q43</f>
        <v>30010060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744390.5</v>
      </c>
      <c r="G44" s="190">
        <f t="shared" ref="G44" si="72">F44/F43-1</f>
        <v>0.54489754961261894</v>
      </c>
      <c r="H44" s="190">
        <f t="shared" ref="H44" si="73">F44/F32-1</f>
        <v>0.64389225408788353</v>
      </c>
      <c r="I44" s="130">
        <f t="shared" si="0"/>
        <v>2.5720170186749716</v>
      </c>
      <c r="J44" s="130">
        <f t="shared" si="5"/>
        <v>0.3826832610637112</v>
      </c>
      <c r="K44" s="136"/>
      <c r="L44" s="190"/>
      <c r="M44" s="190"/>
      <c r="N44" s="191"/>
      <c r="O44" s="192"/>
      <c r="P44" s="129" t="s">
        <v>843</v>
      </c>
      <c r="Q44" s="116">
        <v>16376591</v>
      </c>
      <c r="R44" s="116">
        <v>23490331544</v>
      </c>
      <c r="S44" s="116">
        <v>6367217.2000000002</v>
      </c>
      <c r="T44" s="130">
        <f t="shared" ref="T44" si="74">Q44/S44</f>
        <v>2.5720170186749716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185719.75</v>
      </c>
      <c r="G45" s="190">
        <f t="shared" ref="G45" si="75">F45/F44-1</f>
        <v>-0.75050763006782062</v>
      </c>
      <c r="H45" s="190">
        <f t="shared" ref="H45" si="76">F45/F33-1</f>
        <v>-0.58678532253794069</v>
      </c>
      <c r="I45" s="130">
        <f t="shared" si="0"/>
        <v>9.3331202237861319</v>
      </c>
      <c r="J45" s="130">
        <f t="shared" si="5"/>
        <v>3.5883259565912855</v>
      </c>
      <c r="K45" s="136"/>
      <c r="L45" s="190"/>
      <c r="M45" s="190"/>
      <c r="N45" s="191"/>
      <c r="O45" s="192"/>
      <c r="P45" s="129" t="s">
        <v>849</v>
      </c>
      <c r="Q45" s="116">
        <v>3714395</v>
      </c>
      <c r="R45" s="116">
        <v>5206314105</v>
      </c>
      <c r="S45" s="116">
        <v>397979.98</v>
      </c>
      <c r="T45" s="130">
        <f t="shared" ref="T45" si="77">Q45/S45</f>
        <v>9.3331202237861319</v>
      </c>
      <c r="U45" s="85"/>
    </row>
    <row r="46" spans="1:21" s="79" customFormat="1" ht="13.2">
      <c r="A46" s="129" t="s">
        <v>888</v>
      </c>
      <c r="B46" s="188">
        <f>SUM(F44:F46)</f>
        <v>1853454.5131578948</v>
      </c>
      <c r="C46" s="188">
        <f>AVERAGE(F44:F46)</f>
        <v>617818.17105263157</v>
      </c>
      <c r="D46" s="190">
        <f>C46/C43-1</f>
        <v>0.22211147431497547</v>
      </c>
      <c r="E46" s="287">
        <f>C46/C34-1</f>
        <v>0.27490760765182087</v>
      </c>
      <c r="F46" s="136">
        <f>Q46/19</f>
        <v>923344.26315789472</v>
      </c>
      <c r="G46" s="190">
        <f t="shared" ref="G46" si="78">F46/F45-1</f>
        <v>3.971707441765858</v>
      </c>
      <c r="H46" s="190">
        <f t="shared" ref="H46" si="79">F46/F34-1</f>
        <v>0.67417421372160202</v>
      </c>
      <c r="I46" s="130">
        <f t="shared" si="0"/>
        <v>2.6323506613049297</v>
      </c>
      <c r="J46" s="130">
        <f t="shared" si="5"/>
        <v>0.46092706493247193</v>
      </c>
      <c r="K46" s="136">
        <f>R44+R45+R46</f>
        <v>52756970944</v>
      </c>
      <c r="L46" s="190">
        <f>U46/U43-1</f>
        <v>0.25406370397126832</v>
      </c>
      <c r="M46" s="190">
        <f>K46/K34-1</f>
        <v>0.31409380073151461</v>
      </c>
      <c r="N46" s="191">
        <f>AVERAGE(T44:T46)</f>
        <v>4.8458293012553444</v>
      </c>
      <c r="O46" s="192">
        <f>N46/N43-1</f>
        <v>1.037152531557314</v>
      </c>
      <c r="P46" s="129" t="s">
        <v>928</v>
      </c>
      <c r="Q46" s="116">
        <v>17543541</v>
      </c>
      <c r="R46" s="116">
        <v>24060325295</v>
      </c>
      <c r="S46" s="116">
        <v>6664591.1799999997</v>
      </c>
      <c r="T46" s="130">
        <f t="shared" ref="T46" si="80">Q46/S46</f>
        <v>2.6323506613049297</v>
      </c>
      <c r="U46" s="85">
        <f t="shared" ref="U46:U51" si="81">Q44+Q45+Q46</f>
        <v>37634527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745401.52173913049</v>
      </c>
      <c r="G47" s="190">
        <f t="shared" ref="G47" si="82">F47/F46-1</f>
        <v>-0.1927154892479529</v>
      </c>
      <c r="H47" s="190">
        <f t="shared" ref="H47" si="83">F47/F35-1</f>
        <v>1.077403421876634</v>
      </c>
      <c r="I47" s="130">
        <f t="shared" si="0"/>
        <v>2.5411258702262258</v>
      </c>
      <c r="J47" s="130">
        <f t="shared" si="5"/>
        <v>0.17681352005582585</v>
      </c>
      <c r="K47" s="136"/>
      <c r="L47" s="190"/>
      <c r="M47" s="190"/>
      <c r="N47" s="191"/>
      <c r="O47" s="192"/>
      <c r="P47" s="129" t="s">
        <v>1029</v>
      </c>
      <c r="Q47" s="116">
        <v>17144235</v>
      </c>
      <c r="R47" s="116">
        <v>23618453984</v>
      </c>
      <c r="S47" s="116">
        <v>6746708.2999999998</v>
      </c>
      <c r="T47" s="130">
        <f t="shared" ref="T47" si="84">Q47/S47</f>
        <v>2.5411258702262258</v>
      </c>
      <c r="U47" s="85">
        <f t="shared" si="81"/>
        <v>38402171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485971.55</v>
      </c>
      <c r="G48" s="190">
        <f t="shared" ref="G48" si="85">F48/F47-1</f>
        <v>-0.34804057165571989</v>
      </c>
      <c r="H48" s="190">
        <f t="shared" ref="H48" si="86">F48/F36-1</f>
        <v>-6.6393623111614231E-2</v>
      </c>
      <c r="I48" s="130">
        <f t="shared" si="0"/>
        <v>2.7065500761808963</v>
      </c>
      <c r="J48" s="130">
        <f t="shared" si="5"/>
        <v>6.6949112459104843E-2</v>
      </c>
      <c r="K48" s="136"/>
      <c r="L48" s="190"/>
      <c r="M48" s="190"/>
      <c r="N48" s="191"/>
      <c r="O48" s="192"/>
      <c r="P48" s="129" t="s">
        <v>1120</v>
      </c>
      <c r="Q48" s="116">
        <v>9719431</v>
      </c>
      <c r="R48" s="116">
        <v>13500286357</v>
      </c>
      <c r="S48" s="116">
        <v>3591077.47</v>
      </c>
      <c r="T48" s="130">
        <f t="shared" ref="T48" si="87">Q48/S48</f>
        <v>2.7065500761808963</v>
      </c>
      <c r="U48" s="85">
        <f t="shared" si="81"/>
        <v>44407207</v>
      </c>
    </row>
    <row r="49" spans="1:26" ht="13.2">
      <c r="A49" s="129" t="s">
        <v>1158</v>
      </c>
      <c r="B49" s="188">
        <f>SUM(F47:F49)</f>
        <v>1731459.7081027669</v>
      </c>
      <c r="C49" s="188">
        <f>AVERAGE(F47:F49)</f>
        <v>577153.23603425559</v>
      </c>
      <c r="D49" s="190">
        <f>C49/C46-1</f>
        <v>-6.5820231459187251E-2</v>
      </c>
      <c r="E49" s="287">
        <f>C49/C37-1</f>
        <v>0.25820147001265781</v>
      </c>
      <c r="F49" s="136">
        <f>Q49/22</f>
        <v>500086.63636363635</v>
      </c>
      <c r="G49" s="190">
        <f t="shared" ref="G49" si="88">F49/F48-1</f>
        <v>2.904508785264559E-2</v>
      </c>
      <c r="H49" s="190">
        <f t="shared" ref="H49" si="89">F49/F37-1</f>
        <v>6.6295711008532709E-3</v>
      </c>
      <c r="I49" s="130">
        <f t="shared" si="0"/>
        <v>2.4359360720069034</v>
      </c>
      <c r="J49" s="130">
        <f t="shared" si="5"/>
        <v>0.41692784576280162</v>
      </c>
      <c r="K49" s="136">
        <f>R47+R48+R49</f>
        <v>52420327867</v>
      </c>
      <c r="L49" s="190">
        <f>U49/U46-1</f>
        <v>6.1391764004368188E-3</v>
      </c>
      <c r="M49" s="190">
        <f>K49/K37-1</f>
        <v>0.36522607558959086</v>
      </c>
      <c r="N49" s="191">
        <f>AVERAGE(T47:T49)</f>
        <v>2.5612040061380088</v>
      </c>
      <c r="O49" s="192">
        <f>N49/N46-1</f>
        <v>-0.47146219007869061</v>
      </c>
      <c r="P49" s="129" t="s">
        <v>1165</v>
      </c>
      <c r="Q49" s="116">
        <v>11001906</v>
      </c>
      <c r="R49" s="116">
        <v>15301587526</v>
      </c>
      <c r="S49" s="116">
        <v>4516500.3</v>
      </c>
      <c r="T49" s="130">
        <f t="shared" ref="T49" si="90">Q49/S49</f>
        <v>2.4359360720069034</v>
      </c>
      <c r="U49" s="85">
        <f t="shared" si="81"/>
        <v>37865572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131417.77777777778</v>
      </c>
      <c r="G50" s="190">
        <f t="shared" ref="G50" si="91">F50/F49-1</f>
        <v>-0.73720997878811989</v>
      </c>
      <c r="H50" s="190">
        <f t="shared" ref="H50" si="92">F50/F38-1</f>
        <v>-0.68712920892304452</v>
      </c>
      <c r="I50" s="130">
        <f t="shared" ref="I50" si="93">T50</f>
        <v>7.3625597874172604</v>
      </c>
      <c r="J50" s="130">
        <f t="shared" ref="J50" si="94">I50/I38-1</f>
        <v>2.3614084116246619</v>
      </c>
      <c r="K50" s="136"/>
      <c r="L50" s="190"/>
      <c r="M50" s="190"/>
      <c r="N50" s="191"/>
      <c r="O50" s="192"/>
      <c r="P50" s="129" t="s">
        <v>1353</v>
      </c>
      <c r="Q50" s="116">
        <v>2365520</v>
      </c>
      <c r="R50" s="116">
        <v>3349385773</v>
      </c>
      <c r="S50" s="116">
        <v>321290.43</v>
      </c>
      <c r="T50" s="130">
        <f t="shared" ref="T50" si="95">Q50/S50</f>
        <v>7.3625597874172604</v>
      </c>
      <c r="U50" s="85">
        <f t="shared" si="81"/>
        <v>23086857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629183.44999999995</v>
      </c>
      <c r="G51" s="190">
        <f t="shared" ref="G51:G52" si="96">F51/F50-1</f>
        <v>3.7876585697859237</v>
      </c>
      <c r="H51" s="190">
        <f t="shared" ref="H51:H52" si="97">F51/F39-1</f>
        <v>-0.3428536588932245</v>
      </c>
      <c r="I51" s="130">
        <f t="shared" ref="I51:I52" si="98">T51</f>
        <v>2.5205843404206316</v>
      </c>
      <c r="J51" s="130">
        <f t="shared" ref="J51:J52" si="99">I51/I39-1</f>
        <v>0.31481969616878569</v>
      </c>
      <c r="K51" s="136"/>
      <c r="L51" s="190"/>
      <c r="M51" s="190"/>
      <c r="N51" s="191"/>
      <c r="O51" s="192"/>
      <c r="P51" s="129" t="s">
        <v>1402</v>
      </c>
      <c r="Q51" s="116">
        <v>12583669</v>
      </c>
      <c r="R51" s="116">
        <v>18074407433</v>
      </c>
      <c r="S51" s="116">
        <v>4992361.8099999996</v>
      </c>
      <c r="T51" s="130">
        <f t="shared" ref="T51:T52" si="100">Q51/S51</f>
        <v>2.5205843404206316</v>
      </c>
      <c r="U51" s="85">
        <f t="shared" si="81"/>
        <v>25951095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1288190.3641414139</v>
      </c>
      <c r="C52" s="188">
        <f>AVERAGE(F50:F52)</f>
        <v>429396.78804713796</v>
      </c>
      <c r="D52" s="190">
        <f>C52/C49-1</f>
        <v>-0.25600904363351418</v>
      </c>
      <c r="E52" s="287">
        <f>C52/C40-1</f>
        <v>-0.29393151422275954</v>
      </c>
      <c r="F52" s="136">
        <f>Q52/22</f>
        <v>527589.13636363635</v>
      </c>
      <c r="G52" s="190">
        <f t="shared" si="96"/>
        <v>-0.16147009848457328</v>
      </c>
      <c r="H52" s="190">
        <f t="shared" si="97"/>
        <v>0.18037138460260604</v>
      </c>
      <c r="I52" s="130">
        <f t="shared" si="98"/>
        <v>2.2814262210875134</v>
      </c>
      <c r="J52" s="130">
        <f t="shared" si="99"/>
        <v>4.7952745393961882E-2</v>
      </c>
      <c r="K52" s="136">
        <f>R50+R51+R52</f>
        <v>38531710505</v>
      </c>
      <c r="L52" s="190">
        <f>U52/U49-1</f>
        <v>-0.29867294755246265</v>
      </c>
      <c r="M52" s="190">
        <f>K52/K40-1</f>
        <v>-0.27014464330155519</v>
      </c>
      <c r="N52" s="191">
        <f>AVERAGE(T50:T52)</f>
        <v>4.0548567829751354</v>
      </c>
      <c r="O52" s="192">
        <f>N52/N49-1</f>
        <v>0.58318383590590162</v>
      </c>
      <c r="P52" s="129" t="s">
        <v>1403</v>
      </c>
      <c r="Q52" s="116">
        <v>11606961</v>
      </c>
      <c r="R52" s="116">
        <v>17107917299</v>
      </c>
      <c r="S52" s="116">
        <v>5087589.9000000004</v>
      </c>
      <c r="T52" s="130">
        <f t="shared" si="100"/>
        <v>2.2814262210875134</v>
      </c>
      <c r="U52" s="85">
        <f t="shared" ref="U52" si="101">Q50+Q51+Q52</f>
        <v>26556150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197993.57142857142</v>
      </c>
      <c r="G53" s="190">
        <f t="shared" ref="G53" si="102">F53/F52-1</f>
        <v>-0.62472015100002731</v>
      </c>
      <c r="H53" s="190">
        <f t="shared" ref="H53" si="103">F53/F41-1</f>
        <v>0.22998722197616961</v>
      </c>
      <c r="I53" s="130">
        <f t="shared" ref="I53" si="104">T53</f>
        <v>2.7156431414101152</v>
      </c>
      <c r="J53" s="130">
        <f t="shared" ref="J53" si="105">I53/I41-1</f>
        <v>-2.3575274974035776E-2</v>
      </c>
      <c r="K53" s="136"/>
      <c r="L53" s="190"/>
      <c r="M53" s="190"/>
      <c r="N53" s="191"/>
      <c r="O53" s="192"/>
      <c r="P53" s="129" t="s">
        <v>1414</v>
      </c>
      <c r="Q53" s="116">
        <v>4157865</v>
      </c>
      <c r="R53" s="116">
        <v>6031686283</v>
      </c>
      <c r="S53" s="116">
        <v>1531079.3</v>
      </c>
      <c r="T53" s="130">
        <f t="shared" ref="T53" si="106">Q53/S53</f>
        <v>2.7156431414101152</v>
      </c>
      <c r="U53" s="85">
        <f t="shared" ref="U53" si="107">Q51+Q52+Q53</f>
        <v>28348495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728930.76470588241</v>
      </c>
      <c r="G54" s="190">
        <f t="shared" ref="G54" si="108">F54/F53-1</f>
        <v>2.6815880406948112</v>
      </c>
      <c r="H54" s="190">
        <f t="shared" ref="H54" si="109">F54/F42-1</f>
        <v>-0.16578271324343608</v>
      </c>
      <c r="I54" s="130">
        <f t="shared" ref="I54" si="110">T54</f>
        <v>2.3494927650051114</v>
      </c>
      <c r="J54" s="130">
        <f t="shared" ref="J54" si="111">I54/I42-1</f>
        <v>8.9928510066341838E-2</v>
      </c>
      <c r="K54" s="136"/>
      <c r="L54" s="190"/>
      <c r="M54" s="190"/>
      <c r="N54" s="191"/>
      <c r="O54" s="192"/>
      <c r="P54" s="129" t="s">
        <v>1417</v>
      </c>
      <c r="Q54" s="116">
        <v>12391823</v>
      </c>
      <c r="R54" s="116">
        <v>17889375168</v>
      </c>
      <c r="S54" s="116">
        <v>5274254.59</v>
      </c>
      <c r="T54" s="130">
        <f t="shared" ref="T54" si="112">Q54/S54</f>
        <v>2.3494927650051114</v>
      </c>
      <c r="U54" s="85">
        <f t="shared" ref="U54" si="113">Q52+Q53+Q54</f>
        <v>28156649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1337663.5266106443</v>
      </c>
      <c r="C55" s="188">
        <f>AVERAGE(F53:F55)</f>
        <v>445887.84220354812</v>
      </c>
      <c r="D55" s="190">
        <f>C55/C52-1</f>
        <v>3.8405164210496556E-2</v>
      </c>
      <c r="E55" s="287">
        <f>C55/C43-1</f>
        <v>-0.11798539805641362</v>
      </c>
      <c r="F55" s="136">
        <f>Q55/21</f>
        <v>410739.19047619047</v>
      </c>
      <c r="G55" s="190">
        <f t="shared" ref="G55" si="114">F55/F54-1</f>
        <v>-0.43651823964115388</v>
      </c>
      <c r="H55" s="190">
        <f t="shared" ref="H55" si="115">F55/F43-1</f>
        <v>-0.14755767450479629</v>
      </c>
      <c r="I55" s="130">
        <f>T55</f>
        <v>2.3815210517243819</v>
      </c>
      <c r="J55" s="130">
        <f t="shared" ref="J55" si="116">I55/I43-1</f>
        <v>8.2839302087437838E-2</v>
      </c>
      <c r="K55" s="136">
        <f>R53+R54+R55</f>
        <v>36445320012</v>
      </c>
      <c r="L55" s="190">
        <f>U55/U52-1</f>
        <v>-5.2000722996368043E-2</v>
      </c>
      <c r="M55" s="190">
        <f>K55/K43-1</f>
        <v>-0.16370091986460178</v>
      </c>
      <c r="N55" s="191">
        <f>AVERAGE(T53:T55)</f>
        <v>2.4822189860465365</v>
      </c>
      <c r="O55" s="192">
        <f>N55/N52-1</f>
        <v>-0.38784052830954019</v>
      </c>
      <c r="P55" s="129" t="s">
        <v>1418</v>
      </c>
      <c r="Q55" s="116">
        <v>8625523</v>
      </c>
      <c r="R55" s="116">
        <v>12524258561</v>
      </c>
      <c r="S55" s="116">
        <v>3621854.61</v>
      </c>
      <c r="T55" s="130">
        <f t="shared" ref="T55" si="117">Q55/S55</f>
        <v>2.3815210517243819</v>
      </c>
      <c r="U55" s="85">
        <f t="shared" ref="U55" si="118">Q53+Q54+Q55</f>
        <v>25175211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572443.63636363635</v>
      </c>
      <c r="G56" s="190">
        <f t="shared" ref="G56" si="119">F56/F55-1</f>
        <v>0.39369130006799158</v>
      </c>
      <c r="H56" s="190">
        <f t="shared" ref="H56" si="120">F56/F44-1</f>
        <v>-0.23099013708042171</v>
      </c>
      <c r="I56" s="291">
        <f>T56</f>
        <v>2.1432499457863496</v>
      </c>
      <c r="J56" s="130">
        <f t="shared" ref="J56" si="121">I56/I44-1</f>
        <v>-0.1667046017873981</v>
      </c>
      <c r="K56" s="136"/>
      <c r="L56" s="190"/>
      <c r="M56" s="190"/>
      <c r="N56" s="191"/>
      <c r="O56" s="192"/>
      <c r="P56" s="129" t="s">
        <v>1420</v>
      </c>
      <c r="Q56" s="116">
        <v>12593760</v>
      </c>
      <c r="R56" s="116">
        <v>18814555963</v>
      </c>
      <c r="S56" s="116">
        <v>5876010.8799999999</v>
      </c>
      <c r="T56" s="130">
        <f t="shared" ref="T56" si="122">Q56/S56</f>
        <v>2.1432499457863496</v>
      </c>
      <c r="U56" s="85">
        <f t="shared" ref="U56" si="123">Q54+Q55+Q56</f>
        <v>33611106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836416.16666666663</v>
      </c>
      <c r="G57" s="254">
        <f t="shared" ref="G57" si="124">F57/F56-1</f>
        <v>0.46113278851325301</v>
      </c>
      <c r="H57" s="254">
        <f t="shared" ref="H57" si="125">F57/F45-1</f>
        <v>3.5036468478267206</v>
      </c>
      <c r="I57" s="282">
        <f>T57</f>
        <v>1.8355775447850922</v>
      </c>
      <c r="J57" s="277">
        <f t="shared" ref="J57" si="126">I57/I45-1</f>
        <v>-0.80332648666552153</v>
      </c>
      <c r="K57" s="204"/>
      <c r="L57" s="254"/>
      <c r="M57" s="254"/>
      <c r="N57" s="257"/>
      <c r="O57" s="258"/>
      <c r="P57" s="129" t="s">
        <v>1436</v>
      </c>
      <c r="Q57" s="116">
        <v>10036994</v>
      </c>
      <c r="R57" s="116">
        <v>14812311692</v>
      </c>
      <c r="S57" s="116">
        <v>5468030.5</v>
      </c>
      <c r="T57" s="130">
        <f t="shared" ref="T57" si="127">Q57/S57</f>
        <v>1.8355775447850922</v>
      </c>
      <c r="U57" s="85">
        <f t="shared" ref="U57" si="128">Q55+Q56+Q57</f>
        <v>31256277</v>
      </c>
      <c r="V57" s="79"/>
      <c r="W57" s="79"/>
      <c r="X57" s="79"/>
      <c r="Y57" s="79"/>
      <c r="Z57" s="79"/>
    </row>
    <row r="58" spans="1:26">
      <c r="B58" s="196">
        <f>SUM(F56:F58)</f>
        <v>1408859.803030303</v>
      </c>
      <c r="C58" s="196">
        <f>AVERAGE(F56:F58)</f>
        <v>704429.90151515149</v>
      </c>
      <c r="D58" s="197">
        <f>C58/C55-1</f>
        <v>0.57983653026713111</v>
      </c>
      <c r="E58" s="233">
        <f>C58/C46-1</f>
        <v>0.14018967800016613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47805965</v>
      </c>
      <c r="R66" s="212">
        <v>70072187667</v>
      </c>
      <c r="S66" s="213">
        <v>21771229.879999999</v>
      </c>
    </row>
    <row r="67" spans="16:19" ht="18" thickBot="1">
      <c r="P67" s="180" t="s">
        <v>976</v>
      </c>
      <c r="Q67" s="181">
        <v>4157865</v>
      </c>
      <c r="R67" s="181">
        <v>6031686283</v>
      </c>
      <c r="S67" s="182">
        <v>1531079.3</v>
      </c>
    </row>
    <row r="68" spans="16:19" ht="18" thickBot="1">
      <c r="P68" s="180" t="s">
        <v>977</v>
      </c>
      <c r="Q68" s="181">
        <v>12391823</v>
      </c>
      <c r="R68" s="181">
        <v>17889375168</v>
      </c>
      <c r="S68" s="182">
        <v>5274254.59</v>
      </c>
    </row>
    <row r="69" spans="16:19" ht="18" thickBot="1">
      <c r="P69" s="180" t="s">
        <v>978</v>
      </c>
      <c r="Q69" s="181">
        <v>8625523</v>
      </c>
      <c r="R69" s="181">
        <v>12524258561</v>
      </c>
      <c r="S69" s="182">
        <v>3621854.61</v>
      </c>
    </row>
    <row r="70" spans="16:19" ht="18" thickBot="1">
      <c r="P70" s="180" t="s">
        <v>979</v>
      </c>
      <c r="Q70" s="181">
        <v>12593760</v>
      </c>
      <c r="R70" s="181">
        <v>18814555963</v>
      </c>
      <c r="S70" s="182">
        <v>5876010.8799999999</v>
      </c>
    </row>
    <row r="71" spans="16:19" ht="18" thickBot="1">
      <c r="P71" s="180" t="s">
        <v>980</v>
      </c>
      <c r="Q71" s="181">
        <v>10036994</v>
      </c>
      <c r="R71" s="181">
        <v>14812311692</v>
      </c>
      <c r="S71" s="182">
        <v>5468030.5</v>
      </c>
    </row>
    <row r="72" spans="16:19" ht="18" thickBot="1">
      <c r="P72" s="180" t="s">
        <v>975</v>
      </c>
      <c r="Q72" s="181">
        <v>132123498</v>
      </c>
      <c r="R72" s="181">
        <v>187367968276</v>
      </c>
      <c r="S72" s="182">
        <v>52215823.770000003</v>
      </c>
    </row>
    <row r="73" spans="16:19" ht="18" thickBot="1">
      <c r="P73" s="215" t="s">
        <v>982</v>
      </c>
      <c r="Q73" s="217">
        <v>1</v>
      </c>
      <c r="R73"/>
      <c r="S73"/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9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37"/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9.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7305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285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551977.69999999995</v>
      </c>
      <c r="G5" s="90"/>
      <c r="H5" s="90"/>
      <c r="I5" s="130">
        <f t="shared" ref="I5:I49" si="0">T5</f>
        <v>1.6918690759201749</v>
      </c>
      <c r="J5" s="130"/>
      <c r="L5" s="80"/>
      <c r="M5" s="80"/>
      <c r="P5" s="129" t="s">
        <v>0</v>
      </c>
      <c r="Q5" s="116">
        <v>11039554</v>
      </c>
      <c r="R5" s="116">
        <v>13043805100</v>
      </c>
      <c r="S5" s="116">
        <v>6525064</v>
      </c>
      <c r="T5" s="130">
        <f t="shared" ref="T5:T18" si="1">Q5/S5</f>
        <v>1.6918690759201749</v>
      </c>
      <c r="U5" s="85"/>
    </row>
    <row r="6" spans="1:21" ht="15" hidden="1" customHeight="1">
      <c r="A6" s="129" t="s">
        <v>1</v>
      </c>
      <c r="C6" s="79"/>
      <c r="F6" s="78">
        <f>Q6/18</f>
        <v>788664</v>
      </c>
      <c r="G6" s="90">
        <f t="shared" ref="G6:G16" si="2">F6/F5-1</f>
        <v>0.42879685175687365</v>
      </c>
      <c r="H6" s="90"/>
      <c r="I6" s="130">
        <f t="shared" si="0"/>
        <v>1.6693539169271365</v>
      </c>
      <c r="J6" s="130"/>
      <c r="P6" s="129" t="s">
        <v>1</v>
      </c>
      <c r="Q6" s="116">
        <v>14195952</v>
      </c>
      <c r="R6" s="116">
        <v>16839730020</v>
      </c>
      <c r="S6" s="116">
        <v>8503860</v>
      </c>
      <c r="T6" s="130">
        <f t="shared" si="1"/>
        <v>1.6693539169271365</v>
      </c>
      <c r="U6" s="85"/>
    </row>
    <row r="7" spans="1:21" ht="15" hidden="1" customHeight="1">
      <c r="A7" s="129" t="s">
        <v>2</v>
      </c>
      <c r="B7" s="131">
        <f>F5+F6+F7</f>
        <v>1986447.9272727272</v>
      </c>
      <c r="C7" s="131">
        <f>AVERAGE(F5:F7)</f>
        <v>662149.30909090908</v>
      </c>
      <c r="F7" s="78">
        <f>Q7/22</f>
        <v>645806.22727272729</v>
      </c>
      <c r="G7" s="90">
        <f t="shared" si="2"/>
        <v>-0.18113895490002418</v>
      </c>
      <c r="H7" s="90"/>
      <c r="I7" s="130">
        <f t="shared" si="0"/>
        <v>1.5839051610311092</v>
      </c>
      <c r="J7" s="130"/>
      <c r="K7" s="79">
        <f>R5+R6+R7</f>
        <v>47081133571</v>
      </c>
      <c r="N7" s="88">
        <f>AVERAGE(T5:T7)</f>
        <v>1.648376051292807</v>
      </c>
      <c r="P7" s="129" t="s">
        <v>2</v>
      </c>
      <c r="Q7" s="116">
        <v>14207737</v>
      </c>
      <c r="R7" s="116">
        <v>17197598451</v>
      </c>
      <c r="S7" s="116">
        <v>8970068</v>
      </c>
      <c r="T7" s="130">
        <f t="shared" si="1"/>
        <v>1.5839051610311092</v>
      </c>
      <c r="U7" s="85">
        <f>Q5+Q6+Q7</f>
        <v>39443243</v>
      </c>
    </row>
    <row r="8" spans="1:21" ht="15" hidden="1" customHeight="1">
      <c r="A8" s="129" t="s">
        <v>3</v>
      </c>
      <c r="C8" s="79"/>
      <c r="F8" s="78">
        <f>Q8/21</f>
        <v>624442.80952380947</v>
      </c>
      <c r="G8" s="90">
        <f t="shared" si="2"/>
        <v>-3.3080228784935439E-2</v>
      </c>
      <c r="H8" s="90"/>
      <c r="I8" s="130">
        <f t="shared" si="0"/>
        <v>1.5429941098575461</v>
      </c>
      <c r="J8" s="130"/>
      <c r="K8" s="78"/>
      <c r="P8" s="129" t="s">
        <v>3</v>
      </c>
      <c r="Q8" s="116">
        <v>13113299</v>
      </c>
      <c r="R8" s="116">
        <v>15968355592</v>
      </c>
      <c r="S8" s="116">
        <v>8498606</v>
      </c>
      <c r="T8" s="130">
        <f t="shared" si="1"/>
        <v>1.5429941098575461</v>
      </c>
      <c r="U8" s="85"/>
    </row>
    <row r="9" spans="1:21" ht="15" hidden="1" customHeight="1">
      <c r="A9" s="129" t="s">
        <v>4</v>
      </c>
      <c r="C9" s="79"/>
      <c r="F9" s="78">
        <f>Q9/21</f>
        <v>974198.19047619053</v>
      </c>
      <c r="G9" s="90">
        <f t="shared" si="2"/>
        <v>0.56010794842701306</v>
      </c>
      <c r="H9" s="90"/>
      <c r="I9" s="130">
        <f t="shared" si="0"/>
        <v>15737047.692307692</v>
      </c>
      <c r="J9" s="130"/>
      <c r="K9" s="78"/>
      <c r="P9" s="129" t="s">
        <v>4</v>
      </c>
      <c r="Q9" s="116">
        <v>20458162</v>
      </c>
      <c r="R9" s="116">
        <v>25712798392</v>
      </c>
      <c r="S9" s="116">
        <v>1.3</v>
      </c>
      <c r="T9" s="130">
        <f t="shared" si="1"/>
        <v>15737047.692307692</v>
      </c>
      <c r="U9" s="85"/>
    </row>
    <row r="10" spans="1:21" ht="15" hidden="1" customHeight="1">
      <c r="A10" s="129" t="s">
        <v>5</v>
      </c>
      <c r="B10" s="131">
        <f>F8+F9+F10</f>
        <v>2422723.7142857146</v>
      </c>
      <c r="C10" s="131">
        <f>AVERAGE(F8:F10)</f>
        <v>807574.57142857148</v>
      </c>
      <c r="D10" s="90">
        <f>C10/C7-1</f>
        <v>0.21962608786426507</v>
      </c>
      <c r="E10" s="286"/>
      <c r="F10" s="78">
        <f>Q10/21</f>
        <v>824082.71428571432</v>
      </c>
      <c r="G10" s="90">
        <f t="shared" si="2"/>
        <v>-0.15409131084209815</v>
      </c>
      <c r="H10" s="90"/>
      <c r="I10" s="130">
        <f t="shared" si="0"/>
        <v>16173585.98130841</v>
      </c>
      <c r="J10" s="130"/>
      <c r="K10" s="79">
        <f>R8+R9+R10</f>
        <v>63593468094</v>
      </c>
      <c r="L10" s="87">
        <f>U10/U7-1</f>
        <v>0.28988374510686143</v>
      </c>
      <c r="N10" s="88">
        <f>AVERAGE(T8:T10)</f>
        <v>10636878.405536737</v>
      </c>
      <c r="O10" s="89">
        <f>N10/N7-1</f>
        <v>6452943.0337320641</v>
      </c>
      <c r="P10" s="129" t="s">
        <v>5</v>
      </c>
      <c r="Q10" s="116">
        <v>17305737</v>
      </c>
      <c r="R10" s="116">
        <v>21912314110</v>
      </c>
      <c r="S10" s="116">
        <v>1.07</v>
      </c>
      <c r="T10" s="130">
        <f t="shared" si="1"/>
        <v>16173585.98130841</v>
      </c>
      <c r="U10" s="85">
        <f>Q8+Q9+Q10</f>
        <v>50877198</v>
      </c>
    </row>
    <row r="11" spans="1:21" ht="15" hidden="1" customHeight="1">
      <c r="A11" s="129" t="s">
        <v>6</v>
      </c>
      <c r="C11" s="79"/>
      <c r="F11" s="78">
        <f>Q11/21</f>
        <v>481729.61904761905</v>
      </c>
      <c r="G11" s="90">
        <f t="shared" si="2"/>
        <v>-0.41543535533909937</v>
      </c>
      <c r="H11" s="90"/>
      <c r="I11" s="130">
        <f t="shared" si="0"/>
        <v>1.6281137126232574</v>
      </c>
      <c r="J11" s="130"/>
      <c r="K11" s="78"/>
      <c r="O11" s="89"/>
      <c r="P11" s="129" t="s">
        <v>6</v>
      </c>
      <c r="Q11" s="116">
        <v>10116322</v>
      </c>
      <c r="R11" s="116">
        <v>13049810008</v>
      </c>
      <c r="S11" s="116">
        <v>6213523</v>
      </c>
      <c r="T11" s="130">
        <f t="shared" si="1"/>
        <v>1.6281137126232574</v>
      </c>
      <c r="U11" s="85"/>
    </row>
    <row r="12" spans="1:21" ht="15" hidden="1" customHeight="1">
      <c r="A12" s="129" t="s">
        <v>7</v>
      </c>
      <c r="C12" s="79"/>
      <c r="F12" s="78">
        <f>Q12/22</f>
        <v>1181978.3181818181</v>
      </c>
      <c r="G12" s="90">
        <f t="shared" si="2"/>
        <v>1.4536135447070762</v>
      </c>
      <c r="H12" s="90"/>
      <c r="I12" s="130">
        <f t="shared" si="0"/>
        <v>16562753.503184713</v>
      </c>
      <c r="J12" s="130"/>
      <c r="K12" s="78"/>
      <c r="O12" s="89"/>
      <c r="P12" s="129" t="s">
        <v>7</v>
      </c>
      <c r="Q12" s="116">
        <v>26003523</v>
      </c>
      <c r="R12" s="116">
        <v>33652939608</v>
      </c>
      <c r="S12" s="116">
        <v>1.57</v>
      </c>
      <c r="T12" s="130">
        <f t="shared" si="1"/>
        <v>16562753.503184713</v>
      </c>
      <c r="U12" s="85"/>
    </row>
    <row r="13" spans="1:21" ht="15" hidden="1" customHeight="1">
      <c r="A13" s="129" t="s">
        <v>96</v>
      </c>
      <c r="B13" s="131">
        <f>F11+F12+F13</f>
        <v>2586099.0872294372</v>
      </c>
      <c r="C13" s="131">
        <f>AVERAGE(F11:F13)</f>
        <v>862033.02907647903</v>
      </c>
      <c r="D13" s="90">
        <f>C13/C10-1</f>
        <v>6.7434586940463559E-2</v>
      </c>
      <c r="E13" s="286"/>
      <c r="F13" s="78">
        <f>Q13/20</f>
        <v>922391.15</v>
      </c>
      <c r="G13" s="90">
        <f t="shared" si="2"/>
        <v>-0.21962092213428153</v>
      </c>
      <c r="H13" s="90"/>
      <c r="I13" s="130">
        <f t="shared" si="0"/>
        <v>2.4355047132907646</v>
      </c>
      <c r="J13" s="130"/>
      <c r="K13" s="78">
        <f>R11+R12+R13</f>
        <v>72382333172</v>
      </c>
      <c r="L13" s="87">
        <f>U13/U10-1</f>
        <v>7.2536816984300145E-2</v>
      </c>
      <c r="N13" s="88">
        <f>AVERAGE(T11:T13)</f>
        <v>5520919.1889343802</v>
      </c>
      <c r="O13" s="89">
        <f>N13/N10-1</f>
        <v>-0.48096434137475741</v>
      </c>
      <c r="P13" s="129" t="s">
        <v>96</v>
      </c>
      <c r="Q13" s="116">
        <v>18447823</v>
      </c>
      <c r="R13" s="116">
        <v>25679583556</v>
      </c>
      <c r="S13" s="116">
        <v>7574538</v>
      </c>
      <c r="T13" s="130">
        <f t="shared" si="1"/>
        <v>2.4355047132907646</v>
      </c>
      <c r="U13" s="85">
        <f>Q11+Q12+Q13</f>
        <v>54567668</v>
      </c>
    </row>
    <row r="14" spans="1:21" ht="15" hidden="1" customHeight="1">
      <c r="A14" s="129" t="s">
        <v>97</v>
      </c>
      <c r="C14" s="79"/>
      <c r="F14" s="78">
        <f>Q14/20</f>
        <v>2008233.55</v>
      </c>
      <c r="G14" s="90">
        <f t="shared" si="2"/>
        <v>1.1772038359214525</v>
      </c>
      <c r="H14" s="90"/>
      <c r="I14" s="130">
        <f t="shared" si="0"/>
        <v>19035389.099526066</v>
      </c>
      <c r="J14" s="130"/>
      <c r="O14" s="89"/>
      <c r="P14" s="129" t="s">
        <v>97</v>
      </c>
      <c r="Q14" s="116">
        <v>40164671</v>
      </c>
      <c r="R14" s="116">
        <v>57312348559</v>
      </c>
      <c r="S14" s="116">
        <v>2.11</v>
      </c>
      <c r="T14" s="130">
        <f t="shared" si="1"/>
        <v>19035389.099526066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723184.72727272729</v>
      </c>
      <c r="G15" s="90">
        <f t="shared" si="2"/>
        <v>-0.63989012768324316</v>
      </c>
      <c r="H15" s="90"/>
      <c r="I15" s="130">
        <f t="shared" si="0"/>
        <v>1.8860728836800347</v>
      </c>
      <c r="J15" s="130"/>
      <c r="O15" s="89"/>
      <c r="P15" s="129" t="s">
        <v>98</v>
      </c>
      <c r="Q15" s="116">
        <v>15910064</v>
      </c>
      <c r="R15" s="116">
        <v>22256294728</v>
      </c>
      <c r="S15" s="116">
        <v>8435551</v>
      </c>
      <c r="T15" s="130">
        <f t="shared" si="1"/>
        <v>1.8860728836800347</v>
      </c>
      <c r="U15" s="85"/>
    </row>
    <row r="16" spans="1:21" ht="15" hidden="1" customHeight="1">
      <c r="A16" s="129" t="s">
        <v>99</v>
      </c>
      <c r="B16" s="131">
        <f>F14+F15+F16</f>
        <v>3043533.6863636365</v>
      </c>
      <c r="C16" s="131">
        <f>AVERAGE(F14:F16)</f>
        <v>1014511.2287878789</v>
      </c>
      <c r="D16" s="90">
        <f>C16/C13-1</f>
        <v>0.17688208521981363</v>
      </c>
      <c r="E16" s="286"/>
      <c r="F16" s="78">
        <f>Q16/22</f>
        <v>312115.40909090912</v>
      </c>
      <c r="G16" s="90">
        <f t="shared" si="2"/>
        <v>-0.5684153753247001</v>
      </c>
      <c r="H16" s="90"/>
      <c r="I16" s="130">
        <f t="shared" si="0"/>
        <v>1.5433450958719788</v>
      </c>
      <c r="J16" s="130"/>
      <c r="K16" s="78">
        <f>R14+R15+R16</f>
        <v>88508266941</v>
      </c>
      <c r="L16" s="87">
        <f>U16/U13-1</f>
        <v>0.15345361652618172</v>
      </c>
      <c r="N16" s="88">
        <f>AVERAGE(T14:T16)</f>
        <v>6345130.8429813497</v>
      </c>
      <c r="O16" s="89">
        <f>N16/N13-1</f>
        <v>0.14928884590430935</v>
      </c>
      <c r="P16" s="129" t="s">
        <v>99</v>
      </c>
      <c r="Q16" s="116">
        <v>6866539</v>
      </c>
      <c r="R16" s="116">
        <v>8939623654</v>
      </c>
      <c r="S16" s="116">
        <v>4449127.43</v>
      </c>
      <c r="T16" s="130">
        <f t="shared" si="1"/>
        <v>1.5433450958719788</v>
      </c>
      <c r="U16" s="85">
        <f>Q14+Q15+Q16</f>
        <v>62941274</v>
      </c>
    </row>
    <row r="17" spans="1:21" ht="15" hidden="1" customHeight="1">
      <c r="A17" s="129" t="s">
        <v>100</v>
      </c>
      <c r="C17" s="79"/>
      <c r="F17" s="78">
        <f>Q17/20</f>
        <v>509045.45</v>
      </c>
      <c r="G17" s="90">
        <f t="shared" ref="G17:G22" si="3">F17/F16-1</f>
        <v>0.63095263858546491</v>
      </c>
      <c r="H17" s="90">
        <f t="shared" ref="H17:H22" si="4">F17/F5-1</f>
        <v>-7.7778957374545987E-2</v>
      </c>
      <c r="I17" s="130">
        <f t="shared" si="0"/>
        <v>1.5329095171781204</v>
      </c>
      <c r="J17" s="130">
        <f t="shared" ref="J17:J49" si="5">I17/I5-1</f>
        <v>-9.3954999830941133E-2</v>
      </c>
      <c r="O17" s="89"/>
      <c r="P17" s="129" t="s">
        <v>100</v>
      </c>
      <c r="Q17" s="116">
        <v>10180909</v>
      </c>
      <c r="R17" s="116">
        <v>12744876812</v>
      </c>
      <c r="S17" s="116">
        <v>6641559</v>
      </c>
      <c r="T17" s="130">
        <f t="shared" si="1"/>
        <v>1.5329095171781204</v>
      </c>
      <c r="U17" s="78"/>
    </row>
    <row r="18" spans="1:21" hidden="1">
      <c r="A18" s="129" t="s">
        <v>106</v>
      </c>
      <c r="C18" s="79"/>
      <c r="F18" s="78">
        <f>Q18/20</f>
        <v>860214.85</v>
      </c>
      <c r="G18" s="90">
        <f t="shared" si="3"/>
        <v>0.68985863639484446</v>
      </c>
      <c r="H18" s="90">
        <f t="shared" si="4"/>
        <v>9.0724123327551309E-2</v>
      </c>
      <c r="I18" s="130">
        <f t="shared" si="0"/>
        <v>14218427.272727273</v>
      </c>
      <c r="J18" s="130">
        <f t="shared" si="5"/>
        <v>8517322.4558312502</v>
      </c>
      <c r="O18" s="89"/>
      <c r="P18" s="129" t="s">
        <v>106</v>
      </c>
      <c r="Q18" s="116">
        <v>17204297</v>
      </c>
      <c r="R18" s="116">
        <v>21666466523</v>
      </c>
      <c r="S18" s="116">
        <v>1.21</v>
      </c>
      <c r="T18" s="130">
        <f t="shared" si="1"/>
        <v>14218427.272727273</v>
      </c>
      <c r="U18" s="78"/>
    </row>
    <row r="19" spans="1:21" hidden="1">
      <c r="A19" s="129" t="s">
        <v>114</v>
      </c>
      <c r="B19" s="131">
        <f>SUM(F17:F19)</f>
        <v>1831803.3454545455</v>
      </c>
      <c r="C19" s="131">
        <f>AVERAGE(F17:F19)</f>
        <v>610601.11515151511</v>
      </c>
      <c r="D19" s="90">
        <f>C19/C16-1</f>
        <v>-0.39813271866783462</v>
      </c>
      <c r="E19" s="286">
        <f>C19/C7-1</f>
        <v>-7.7849804011978052E-2</v>
      </c>
      <c r="F19" s="78">
        <f>Q19/22</f>
        <v>462543.04545454547</v>
      </c>
      <c r="G19" s="90">
        <f t="shared" si="3"/>
        <v>-0.46229358228988315</v>
      </c>
      <c r="H19" s="90">
        <f t="shared" si="4"/>
        <v>-0.28377425623799202</v>
      </c>
      <c r="I19" s="130">
        <f t="shared" si="0"/>
        <v>1.2018882830990785</v>
      </c>
      <c r="J19" s="130">
        <f t="shared" si="5"/>
        <v>-0.24118671201458863</v>
      </c>
      <c r="K19" s="78">
        <f>R17+R18+R19</f>
        <v>47693158506</v>
      </c>
      <c r="L19" s="87">
        <f>U19/U16-1</f>
        <v>-0.40323494246398639</v>
      </c>
      <c r="M19" s="87">
        <f>U19/U7-1</f>
        <v>-4.7716411148038707E-2</v>
      </c>
      <c r="N19" s="88">
        <f>AVERAGE(T17:T19)</f>
        <v>4739476.6691750251</v>
      </c>
      <c r="O19" s="89">
        <f>N19/N16-1</f>
        <v>-0.25305296510668729</v>
      </c>
      <c r="P19" s="129" t="s">
        <v>115</v>
      </c>
      <c r="Q19" s="116">
        <v>10175947</v>
      </c>
      <c r="R19" s="116">
        <v>13281815171</v>
      </c>
      <c r="S19" s="116">
        <v>8466633</v>
      </c>
      <c r="T19" s="130">
        <f t="shared" ref="T19" si="6">Q19/S19</f>
        <v>1.2018882830990785</v>
      </c>
      <c r="U19" s="85">
        <f>Q17+Q18+Q19</f>
        <v>37561153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1044137.15</v>
      </c>
      <c r="G20" s="90">
        <f t="shared" si="3"/>
        <v>1.2573837403044652</v>
      </c>
      <c r="H20" s="90">
        <f t="shared" si="4"/>
        <v>0.67211013414702148</v>
      </c>
      <c r="I20" s="130">
        <f t="shared" si="0"/>
        <v>12579965.662650604</v>
      </c>
      <c r="J20" s="130">
        <f t="shared" si="5"/>
        <v>8152956.6699499032</v>
      </c>
      <c r="O20" s="89"/>
      <c r="P20" s="129" t="s">
        <v>132</v>
      </c>
      <c r="Q20" s="116">
        <v>20882743</v>
      </c>
      <c r="R20" s="116">
        <v>27302427351</v>
      </c>
      <c r="S20" s="116">
        <v>1.66</v>
      </c>
      <c r="T20" s="130">
        <f t="shared" ref="T20" si="7">Q20/S20</f>
        <v>12579965.662650604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879601.19047619053</v>
      </c>
      <c r="G21" s="90">
        <f t="shared" si="3"/>
        <v>-0.1575807924503112</v>
      </c>
      <c r="H21" s="90">
        <f t="shared" si="4"/>
        <v>-9.710241809601472E-2</v>
      </c>
      <c r="I21" s="130">
        <f t="shared" si="0"/>
        <v>13194017.857142858</v>
      </c>
      <c r="J21" s="130">
        <f t="shared" si="5"/>
        <v>-0.1615951025177278</v>
      </c>
      <c r="O21" s="89"/>
      <c r="P21" s="129" t="s">
        <v>141</v>
      </c>
      <c r="Q21" s="116">
        <v>18471625</v>
      </c>
      <c r="R21" s="116">
        <v>24515681664</v>
      </c>
      <c r="S21" s="116">
        <v>1.4</v>
      </c>
      <c r="T21" s="130">
        <f t="shared" ref="T21" si="8">Q21/S21</f>
        <v>13194017.857142858</v>
      </c>
      <c r="U21" s="78"/>
    </row>
    <row r="22" spans="1:21" hidden="1">
      <c r="A22" s="129" t="s">
        <v>156</v>
      </c>
      <c r="B22" s="131">
        <f>SUM(F20:F22)</f>
        <v>2694177.911904762</v>
      </c>
      <c r="C22" s="131">
        <f>AVERAGE(F20:F22)</f>
        <v>898059.30396825401</v>
      </c>
      <c r="D22" s="90">
        <f>C22/C19-1</f>
        <v>0.47077901052540461</v>
      </c>
      <c r="E22" s="286">
        <f>C22/C10-1</f>
        <v>0.11204504913969515</v>
      </c>
      <c r="F22" s="78">
        <f>Q22/21</f>
        <v>770439.57142857148</v>
      </c>
      <c r="G22" s="90">
        <f t="shared" si="3"/>
        <v>-0.12410353718202916</v>
      </c>
      <c r="H22" s="90">
        <f t="shared" si="4"/>
        <v>-6.5094367260984054E-2</v>
      </c>
      <c r="I22" s="130">
        <f t="shared" si="0"/>
        <v>13595992.43697479</v>
      </c>
      <c r="J22" s="130">
        <f t="shared" si="5"/>
        <v>-0.15937056552038054</v>
      </c>
      <c r="K22" s="78">
        <f>R20+R21+R22</f>
        <v>72757228204</v>
      </c>
      <c r="L22" s="87">
        <f>U22/U19-1</f>
        <v>0.47848493894742794</v>
      </c>
      <c r="M22" s="87">
        <f>U22/U10-1</f>
        <v>9.1522355456760796E-2</v>
      </c>
      <c r="N22" s="88">
        <f>AVERAGE(T20:T22)</f>
        <v>13123325.318922751</v>
      </c>
      <c r="O22" s="89">
        <f>N22/N19-1</f>
        <v>1.7689397448193489</v>
      </c>
      <c r="P22" s="129" t="s">
        <v>156</v>
      </c>
      <c r="Q22" s="116">
        <v>16179231</v>
      </c>
      <c r="R22" s="116">
        <v>20939119189</v>
      </c>
      <c r="S22" s="116">
        <v>1.19</v>
      </c>
      <c r="T22" s="130">
        <f t="shared" ref="T22:T23" si="9">Q22/S22</f>
        <v>13595992.43697479</v>
      </c>
      <c r="U22" s="85">
        <f>Q20+Q21+Q22</f>
        <v>55533599</v>
      </c>
    </row>
    <row r="23" spans="1:21" hidden="1">
      <c r="A23" s="129" t="s">
        <v>189</v>
      </c>
      <c r="B23" s="131"/>
      <c r="C23" s="131"/>
      <c r="F23" s="78">
        <f>Q23/21</f>
        <v>838184.52380952379</v>
      </c>
      <c r="G23" s="90">
        <f t="shared" ref="G23" si="10">F23/F22-1</f>
        <v>8.7930260715110453E-2</v>
      </c>
      <c r="H23" s="90">
        <f t="shared" ref="H23" si="11">F23/F11-1</f>
        <v>0.73994807599046375</v>
      </c>
      <c r="I23" s="130">
        <f t="shared" si="0"/>
        <v>12848083.941605838</v>
      </c>
      <c r="J23" s="130">
        <f t="shared" si="5"/>
        <v>7891391.2547244467</v>
      </c>
      <c r="O23" s="89"/>
      <c r="P23" s="129" t="s">
        <v>189</v>
      </c>
      <c r="Q23" s="116">
        <v>17601875</v>
      </c>
      <c r="R23" s="116">
        <v>22559659421</v>
      </c>
      <c r="S23" s="116">
        <v>1.37</v>
      </c>
      <c r="T23" s="130">
        <f t="shared" si="9"/>
        <v>12848083.941605838</v>
      </c>
      <c r="U23" s="78"/>
    </row>
    <row r="24" spans="1:21" hidden="1">
      <c r="A24" s="129" t="s">
        <v>205</v>
      </c>
      <c r="B24" s="131"/>
      <c r="C24" s="131"/>
      <c r="F24" s="78">
        <f>Q24/22</f>
        <v>578916.77272727271</v>
      </c>
      <c r="G24" s="90">
        <f t="shared" ref="G24" si="12">F24/F23-1</f>
        <v>-0.30932061344187889</v>
      </c>
      <c r="H24" s="90">
        <f t="shared" ref="H24" si="13">F24/F12-1</f>
        <v>-0.51021371219584366</v>
      </c>
      <c r="I24" s="130">
        <f t="shared" si="0"/>
        <v>1.2955845729011981</v>
      </c>
      <c r="J24" s="130">
        <f t="shared" si="5"/>
        <v>-0.99999992177722308</v>
      </c>
      <c r="O24" s="89"/>
      <c r="P24" s="129" t="s">
        <v>205</v>
      </c>
      <c r="Q24" s="116">
        <v>12736169</v>
      </c>
      <c r="R24" s="116">
        <v>16769825073</v>
      </c>
      <c r="S24" s="116">
        <v>9830442</v>
      </c>
      <c r="T24" s="130">
        <f t="shared" ref="T24" si="14">Q24/S24</f>
        <v>1.2955845729011981</v>
      </c>
      <c r="U24" s="78"/>
    </row>
    <row r="25" spans="1:21" s="79" customFormat="1" ht="13.2" hidden="1">
      <c r="A25" s="129" t="s">
        <v>218</v>
      </c>
      <c r="B25" s="131">
        <f>SUM(F23:F25)</f>
        <v>2498259.61232627</v>
      </c>
      <c r="C25" s="131">
        <f>AVERAGE(F23:F25)</f>
        <v>832753.20410875662</v>
      </c>
      <c r="D25" s="90">
        <f>C25/C22-1</f>
        <v>-7.2719139561195356E-2</v>
      </c>
      <c r="E25" s="286">
        <f>C25/C13-1</f>
        <v>-3.3966012878985263E-2</v>
      </c>
      <c r="F25" s="78">
        <f>Q25/19</f>
        <v>1081158.3157894737</v>
      </c>
      <c r="G25" s="90">
        <f t="shared" ref="G25" si="15">F25/F24-1</f>
        <v>0.86755396755244241</v>
      </c>
      <c r="H25" s="90">
        <f t="shared" ref="H25" si="16">F25/F13-1</f>
        <v>0.17212563866150887</v>
      </c>
      <c r="I25" s="130">
        <f t="shared" si="0"/>
        <v>12155034.319526628</v>
      </c>
      <c r="J25" s="130">
        <f t="shared" si="5"/>
        <v>4990765.0835947189</v>
      </c>
      <c r="K25" s="78">
        <f>R23+R24+R25</f>
        <v>66606814679</v>
      </c>
      <c r="L25" s="90">
        <f>U25/U22-1</f>
        <v>-8.3796964068545199E-2</v>
      </c>
      <c r="M25" s="90">
        <f>U25/U13-1</f>
        <v>-6.7578772103656704E-2</v>
      </c>
      <c r="N25" s="88">
        <f>AVERAGE(T23:T25)</f>
        <v>8334373.1855723457</v>
      </c>
      <c r="O25" s="91">
        <f>N25/N22-1</f>
        <v>-0.36491910525491067</v>
      </c>
      <c r="P25" s="129" t="s">
        <v>220</v>
      </c>
      <c r="Q25" s="116">
        <v>20542008</v>
      </c>
      <c r="R25" s="116">
        <v>27277330185</v>
      </c>
      <c r="S25" s="116">
        <v>1.69</v>
      </c>
      <c r="T25" s="130">
        <f t="shared" ref="T25" si="17">Q25/S25</f>
        <v>12155034.319526628</v>
      </c>
      <c r="U25" s="85">
        <f>Q23+Q24+Q25</f>
        <v>50880052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895605.52631578944</v>
      </c>
      <c r="G26" s="90">
        <f t="shared" ref="G26" si="18">F26/F25-1</f>
        <v>-0.17162406907834915</v>
      </c>
      <c r="H26" s="90">
        <f t="shared" ref="H26" si="19">F26/F14-1</f>
        <v>-0.55403318188973127</v>
      </c>
      <c r="I26" s="130">
        <f t="shared" si="0"/>
        <v>12330800.724637682</v>
      </c>
      <c r="J26" s="130">
        <f t="shared" si="5"/>
        <v>-0.35221703847678698</v>
      </c>
      <c r="L26" s="90"/>
      <c r="M26" s="90"/>
      <c r="P26" s="129" t="s">
        <v>312</v>
      </c>
      <c r="Q26" s="116">
        <v>17016505</v>
      </c>
      <c r="R26" s="116">
        <v>22888747338</v>
      </c>
      <c r="S26" s="116">
        <v>1.38</v>
      </c>
      <c r="T26" s="130">
        <f t="shared" ref="T26" si="20">Q26/S26</f>
        <v>12330800.724637682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606828.31818181823</v>
      </c>
      <c r="G27" s="90">
        <f t="shared" ref="G27" si="21">F27/F26-1</f>
        <v>-0.32243794801255921</v>
      </c>
      <c r="H27" s="90">
        <f t="shared" ref="H27" si="22">F27/F15-1</f>
        <v>-0.16089445020460003</v>
      </c>
      <c r="I27" s="130">
        <f t="shared" si="0"/>
        <v>1.3562574259568199</v>
      </c>
      <c r="J27" s="130">
        <f t="shared" si="5"/>
        <v>-0.28090932344536912</v>
      </c>
      <c r="L27" s="90"/>
      <c r="M27" s="90"/>
      <c r="P27" s="129" t="s">
        <v>374</v>
      </c>
      <c r="Q27" s="116">
        <v>13350223</v>
      </c>
      <c r="R27" s="116">
        <v>17778767486</v>
      </c>
      <c r="S27" s="116">
        <v>9843428.5</v>
      </c>
      <c r="T27" s="130">
        <f t="shared" ref="T27" si="23">Q27/S27</f>
        <v>1.3562574259568199</v>
      </c>
      <c r="U27" s="78"/>
    </row>
    <row r="28" spans="1:21" s="79" customFormat="1" ht="13.2" hidden="1">
      <c r="A28" s="123" t="s">
        <v>413</v>
      </c>
      <c r="B28" s="131">
        <f>SUM(F26:F28)</f>
        <v>2427388.7392344498</v>
      </c>
      <c r="C28" s="131">
        <f>AVERAGE(F26:F28)</f>
        <v>809129.57974481664</v>
      </c>
      <c r="D28" s="90">
        <f>C28/C25-1</f>
        <v>-2.8368097831845462E-2</v>
      </c>
      <c r="E28" s="286">
        <f>C28/C16-1</f>
        <v>-0.20244393873141142</v>
      </c>
      <c r="F28" s="78">
        <f>Q28/19</f>
        <v>924954.89473684214</v>
      </c>
      <c r="G28" s="90">
        <f t="shared" ref="G28" si="24">F28/F27-1</f>
        <v>0.52424477735020036</v>
      </c>
      <c r="H28" s="90">
        <f t="shared" ref="H28" si="25">F28/F16-1</f>
        <v>1.9635028191364712</v>
      </c>
      <c r="I28" s="130">
        <f t="shared" si="0"/>
        <v>12289610.48951049</v>
      </c>
      <c r="J28" s="130">
        <f t="shared" si="5"/>
        <v>7962968.8648615908</v>
      </c>
      <c r="K28" s="78">
        <f>R26+R27+R28</f>
        <v>63535110724</v>
      </c>
      <c r="L28" s="90">
        <f>U28/U25-1</f>
        <v>-5.7766863131350599E-2</v>
      </c>
      <c r="M28" s="90">
        <f>U28/U16-1</f>
        <v>-0.23832379052257502</v>
      </c>
      <c r="N28" s="88">
        <f>AVERAGE(T26:T28)</f>
        <v>8206804.1901351986</v>
      </c>
      <c r="O28" s="91">
        <f>N28/N25-1</f>
        <v>-1.5306369488947591E-2</v>
      </c>
      <c r="P28" s="129" t="s">
        <v>413</v>
      </c>
      <c r="Q28" s="116">
        <v>17574143</v>
      </c>
      <c r="R28" s="116">
        <v>22867595900</v>
      </c>
      <c r="S28" s="116">
        <v>1.43</v>
      </c>
      <c r="T28" s="130">
        <f t="shared" ref="T28" si="26">Q28/S28</f>
        <v>12289610.48951049</v>
      </c>
      <c r="U28" s="85">
        <f>Q26+Q27+Q28</f>
        <v>47940871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788061.36363636365</v>
      </c>
      <c r="G29" s="190">
        <f t="shared" ref="G29" si="27">F29/F28-1</f>
        <v>-0.14800022344811303</v>
      </c>
      <c r="H29" s="190">
        <f t="shared" ref="H29" si="28">F29/F17-1</f>
        <v>0.54811591702934126</v>
      </c>
      <c r="I29" s="130">
        <f t="shared" si="0"/>
        <v>1.0779542254701406</v>
      </c>
      <c r="J29" s="130">
        <f t="shared" si="5"/>
        <v>-0.29679200670988792</v>
      </c>
      <c r="K29" s="136"/>
      <c r="L29" s="190"/>
      <c r="M29" s="190"/>
      <c r="N29" s="191"/>
      <c r="O29" s="192"/>
      <c r="P29" s="129" t="s">
        <v>427</v>
      </c>
      <c r="Q29" s="116">
        <v>17337350</v>
      </c>
      <c r="R29" s="116">
        <v>22802758207</v>
      </c>
      <c r="S29" s="116">
        <v>16083567.92</v>
      </c>
      <c r="T29" s="130">
        <f t="shared" ref="T29" si="29">Q29/S29</f>
        <v>1.0779542254701406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641662.21052631584</v>
      </c>
      <c r="G30" s="190">
        <f t="shared" ref="G30" si="30">F30/F29-1</f>
        <v>-0.18577126079943307</v>
      </c>
      <c r="H30" s="190">
        <f t="shared" ref="H30" si="31">F30/F18-1</f>
        <v>-0.25406750357039776</v>
      </c>
      <c r="I30" s="130">
        <f t="shared" si="0"/>
        <v>0.97462521969190974</v>
      </c>
      <c r="J30" s="130">
        <f t="shared" si="5"/>
        <v>-0.99999993145337374</v>
      </c>
      <c r="K30" s="136"/>
      <c r="L30" s="190"/>
      <c r="M30" s="190"/>
      <c r="N30" s="191"/>
      <c r="O30" s="192"/>
      <c r="P30" s="129" t="s">
        <v>467</v>
      </c>
      <c r="Q30" s="116">
        <v>12191582</v>
      </c>
      <c r="R30" s="116">
        <v>16248969210</v>
      </c>
      <c r="S30" s="116">
        <v>12508995</v>
      </c>
      <c r="T30" s="130">
        <f t="shared" ref="T30" si="32">Q30/S30</f>
        <v>0.97462521969190974</v>
      </c>
      <c r="U30" s="85"/>
    </row>
    <row r="31" spans="1:21" s="79" customFormat="1" ht="13.2" hidden="1">
      <c r="A31" s="129" t="s">
        <v>505</v>
      </c>
      <c r="B31" s="188">
        <f>SUM(F29:F31)</f>
        <v>2276330.1741626794</v>
      </c>
      <c r="C31" s="188">
        <f>AVERAGE(F29:F31)</f>
        <v>758776.72472089308</v>
      </c>
      <c r="D31" s="190">
        <f>C31/C28-1</f>
        <v>-6.2230891422612289E-2</v>
      </c>
      <c r="E31" s="287">
        <f>C31/C19-1</f>
        <v>0.24267169825362922</v>
      </c>
      <c r="F31" s="136">
        <f>Q31/20</f>
        <v>846606.6</v>
      </c>
      <c r="G31" s="190">
        <f t="shared" ref="G31" si="33">F31/F30-1</f>
        <v>0.31939607181414176</v>
      </c>
      <c r="H31" s="190">
        <f t="shared" ref="H31" si="34">F31/F19-1</f>
        <v>0.83033040561237192</v>
      </c>
      <c r="I31" s="130">
        <f t="shared" si="0"/>
        <v>1.0760202097541807</v>
      </c>
      <c r="J31" s="130">
        <f t="shared" si="5"/>
        <v>-0.10472526865836984</v>
      </c>
      <c r="K31" s="136">
        <f>R29+R30+R31</f>
        <v>61546801551</v>
      </c>
      <c r="L31" s="190">
        <f>U31/U28-1</f>
        <v>-3.0867336557151792E-2</v>
      </c>
      <c r="M31" s="190">
        <f>U31/U19-1</f>
        <v>0.23694456344298054</v>
      </c>
      <c r="N31" s="191">
        <f>AVERAGE(T29:T31)</f>
        <v>1.0428665516387436</v>
      </c>
      <c r="O31" s="192">
        <f>N31/N28-1</f>
        <v>-0.99999987292659509</v>
      </c>
      <c r="P31" s="129" t="s">
        <v>505</v>
      </c>
      <c r="Q31" s="116">
        <v>16932132</v>
      </c>
      <c r="R31" s="116">
        <v>22495074134</v>
      </c>
      <c r="S31" s="116">
        <v>15735886.6</v>
      </c>
      <c r="T31" s="130">
        <f t="shared" ref="T31" si="35">Q31/S31</f>
        <v>1.0760202097541807</v>
      </c>
      <c r="U31" s="85">
        <f>Q29+Q30+Q31</f>
        <v>46461064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578094.19047619053</v>
      </c>
      <c r="G32" s="190">
        <f t="shared" ref="G32" si="36">F32/F31-1</f>
        <v>-0.31716314227152187</v>
      </c>
      <c r="H32" s="190">
        <f t="shared" ref="H32" si="37">F32/F20-1</f>
        <v>-0.44634266630950681</v>
      </c>
      <c r="I32" s="130">
        <f t="shared" si="0"/>
        <v>0.98290889175080887</v>
      </c>
      <c r="J32" s="130">
        <f t="shared" si="5"/>
        <v>-0.99999992186712439</v>
      </c>
      <c r="K32" s="136"/>
      <c r="L32" s="190"/>
      <c r="M32" s="190"/>
      <c r="N32" s="191"/>
      <c r="O32" s="192"/>
      <c r="P32" s="129" t="s">
        <v>566</v>
      </c>
      <c r="Q32" s="116">
        <v>12139978</v>
      </c>
      <c r="R32" s="116">
        <v>16437423449</v>
      </c>
      <c r="S32" s="116">
        <v>12351071.5</v>
      </c>
      <c r="T32" s="130">
        <f t="shared" ref="T32" si="38">Q32/S32</f>
        <v>0.98290889175080887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490362.52380952379</v>
      </c>
      <c r="G33" s="190">
        <f t="shared" ref="G33" si="39">F33/F32-1</f>
        <v>-0.15176015969715939</v>
      </c>
      <c r="H33" s="190">
        <f t="shared" ref="H33" si="40">F33/F21-1</f>
        <v>-0.44251721221062046</v>
      </c>
      <c r="I33" s="130">
        <f t="shared" si="0"/>
        <v>1.1032855746364636</v>
      </c>
      <c r="J33" s="130">
        <f t="shared" si="5"/>
        <v>-0.99999991637986352</v>
      </c>
      <c r="K33" s="136"/>
      <c r="L33" s="190"/>
      <c r="M33" s="190"/>
      <c r="N33" s="191"/>
      <c r="O33" s="192"/>
      <c r="P33" s="129" t="s">
        <v>607</v>
      </c>
      <c r="Q33" s="116">
        <v>10297613</v>
      </c>
      <c r="R33" s="116">
        <v>14061147278</v>
      </c>
      <c r="S33" s="116">
        <v>9333588</v>
      </c>
      <c r="T33" s="130">
        <f t="shared" ref="T33" si="41">Q33/S33</f>
        <v>1.1032855746364636</v>
      </c>
      <c r="U33" s="85"/>
    </row>
    <row r="34" spans="1:21" s="79" customFormat="1" ht="13.2" hidden="1">
      <c r="A34" s="129" t="s">
        <v>652</v>
      </c>
      <c r="B34" s="188">
        <f>SUM(F32:F34)</f>
        <v>1781754.8721804512</v>
      </c>
      <c r="C34" s="188">
        <f>AVERAGE(F32:F34)</f>
        <v>593918.2907268171</v>
      </c>
      <c r="D34" s="190">
        <f>C34/C31-1</f>
        <v>-0.2172687018763223</v>
      </c>
      <c r="E34" s="287">
        <f>C34/C22-1</f>
        <v>-0.33866473171374012</v>
      </c>
      <c r="F34" s="136">
        <f>Q34/19</f>
        <v>713298.15789473685</v>
      </c>
      <c r="G34" s="190">
        <f t="shared" ref="G34" si="42">F34/F33-1</f>
        <v>0.45463432309890406</v>
      </c>
      <c r="H34" s="190">
        <f t="shared" ref="H34" si="43">F34/F22-1</f>
        <v>-7.416728793911942E-2</v>
      </c>
      <c r="I34" s="130">
        <f t="shared" si="0"/>
        <v>1.067858393418432</v>
      </c>
      <c r="J34" s="130">
        <f t="shared" si="5"/>
        <v>-0.99999992145785621</v>
      </c>
      <c r="K34" s="136">
        <f>R32+R33+R34</f>
        <v>49138137648</v>
      </c>
      <c r="L34" s="190">
        <f>U34/U31-1</f>
        <v>-0.2253673742813983</v>
      </c>
      <c r="M34" s="190">
        <f>U34/U22-1</f>
        <v>-0.35191925882563457</v>
      </c>
      <c r="N34" s="191">
        <f>AVERAGE(T32:T34)</f>
        <v>1.0513509532685683</v>
      </c>
      <c r="O34" s="192">
        <f>N34/N31-1</f>
        <v>8.1356541893997658E-3</v>
      </c>
      <c r="P34" s="129" t="s">
        <v>652</v>
      </c>
      <c r="Q34" s="116">
        <v>13552665</v>
      </c>
      <c r="R34" s="116">
        <v>18639566921</v>
      </c>
      <c r="S34" s="116">
        <v>12691444</v>
      </c>
      <c r="T34" s="130">
        <f t="shared" ref="T34" si="44">Q34/S34</f>
        <v>1.067858393418432</v>
      </c>
      <c r="U34" s="85">
        <f>Q32+Q33+Q34</f>
        <v>35990256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838686.69565217395</v>
      </c>
      <c r="G35" s="190">
        <f t="shared" ref="G35" si="45">F35/F34-1</f>
        <v>0.17578699225512517</v>
      </c>
      <c r="H35" s="190">
        <f t="shared" ref="H35" si="46">F35/F23-1</f>
        <v>5.9911848570970427E-4</v>
      </c>
      <c r="I35" s="130">
        <f t="shared" si="0"/>
        <v>1.4291341554930865</v>
      </c>
      <c r="J35" s="130">
        <f t="shared" si="5"/>
        <v>-0.99999988876674828</v>
      </c>
      <c r="K35" s="136"/>
      <c r="L35" s="190"/>
      <c r="M35" s="190"/>
      <c r="N35" s="191"/>
      <c r="O35" s="192"/>
      <c r="P35" s="129" t="s">
        <v>660</v>
      </c>
      <c r="Q35" s="116">
        <v>19289794</v>
      </c>
      <c r="R35" s="116">
        <v>26702048829</v>
      </c>
      <c r="S35" s="116">
        <v>13497539</v>
      </c>
      <c r="T35" s="130">
        <f t="shared" ref="T35" si="47">Q35/S35</f>
        <v>1.4291341554930865</v>
      </c>
      <c r="U35" s="85"/>
    </row>
    <row r="36" spans="1:21" s="79" customFormat="1" ht="13.2" hidden="1">
      <c r="A36" s="129" t="s">
        <v>685</v>
      </c>
      <c r="B36" s="188"/>
      <c r="C36" s="188"/>
      <c r="D36" s="190"/>
      <c r="E36" s="287"/>
      <c r="F36" s="136">
        <f>Q36/21</f>
        <v>747433.76190476189</v>
      </c>
      <c r="G36" s="190">
        <f t="shared" ref="G36" si="48">F36/F35-1</f>
        <v>-0.10880455624308261</v>
      </c>
      <c r="H36" s="190">
        <f t="shared" ref="H36" si="49">F36/F24-1</f>
        <v>0.29109018276255294</v>
      </c>
      <c r="I36" s="130">
        <f t="shared" si="0"/>
        <v>1.4713523702285314</v>
      </c>
      <c r="J36" s="130">
        <f t="shared" si="5"/>
        <v>0.13566678779891395</v>
      </c>
      <c r="K36" s="136"/>
      <c r="L36" s="190"/>
      <c r="M36" s="190"/>
      <c r="N36" s="191"/>
      <c r="O36" s="192"/>
      <c r="P36" s="129" t="s">
        <v>685</v>
      </c>
      <c r="Q36" s="116">
        <v>15696109</v>
      </c>
      <c r="R36" s="116">
        <v>21482655774</v>
      </c>
      <c r="S36" s="116">
        <v>10667811</v>
      </c>
      <c r="T36" s="130">
        <f t="shared" ref="T36" si="50">Q36/S36</f>
        <v>1.4713523702285314</v>
      </c>
      <c r="U36" s="85"/>
    </row>
    <row r="37" spans="1:21" s="79" customFormat="1" ht="13.2" hidden="1">
      <c r="A37" s="129" t="s">
        <v>702</v>
      </c>
      <c r="B37" s="188">
        <f>SUM(F35:F37)</f>
        <v>2280142.1242236025</v>
      </c>
      <c r="C37" s="188">
        <f>AVERAGE(F35:F37)</f>
        <v>760047.37474120082</v>
      </c>
      <c r="D37" s="190">
        <f>C37/C34-1</f>
        <v>0.2797170698532967</v>
      </c>
      <c r="E37" s="287">
        <f>C37/C25-1</f>
        <v>-8.7307774991233211E-2</v>
      </c>
      <c r="F37" s="136">
        <f>Q37/18</f>
        <v>694021.66666666663</v>
      </c>
      <c r="G37" s="190">
        <f t="shared" ref="G37" si="51">F37/F36-1</f>
        <v>-7.1460640340864079E-2</v>
      </c>
      <c r="H37" s="190">
        <f t="shared" ref="H37" si="52">F37/F25-1</f>
        <v>-0.35807581874826133</v>
      </c>
      <c r="I37" s="130">
        <f t="shared" si="0"/>
        <v>1.4138453832010263</v>
      </c>
      <c r="J37" s="130">
        <f t="shared" si="5"/>
        <v>-0.99999988368232073</v>
      </c>
      <c r="K37" s="136">
        <f>R35+R36+R37</f>
        <v>64830406671</v>
      </c>
      <c r="L37" s="190">
        <f>U37/U34-1</f>
        <v>0.31919853529244135</v>
      </c>
      <c r="M37" s="190">
        <f>U37/U25-1</f>
        <v>-6.6858402581821297E-2</v>
      </c>
      <c r="N37" s="191">
        <f>AVERAGE(T35:T37)</f>
        <v>1.4381106363075482</v>
      </c>
      <c r="O37" s="192">
        <f>N37/N34-1</f>
        <v>0.36786924655042563</v>
      </c>
      <c r="P37" s="129" t="s">
        <v>702</v>
      </c>
      <c r="Q37" s="116">
        <v>12492390</v>
      </c>
      <c r="R37" s="116">
        <v>16645702068</v>
      </c>
      <c r="S37" s="116">
        <v>8835754</v>
      </c>
      <c r="T37" s="130">
        <f t="shared" ref="T37" si="53">Q37/S37</f>
        <v>1.4138453832010263</v>
      </c>
      <c r="U37" s="85">
        <f>Q35+Q36+Q37</f>
        <v>47478293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553934.35</v>
      </c>
      <c r="G38" s="190">
        <f t="shared" ref="G38" si="54">F38/F37-1</f>
        <v>-0.20184862144073312</v>
      </c>
      <c r="H38" s="190">
        <f t="shared" ref="H38" si="55">F38/F26-1</f>
        <v>-0.38149739620444978</v>
      </c>
      <c r="I38" s="130">
        <f t="shared" si="0"/>
        <v>1.1978159324723678</v>
      </c>
      <c r="J38" s="130">
        <f t="shared" si="5"/>
        <v>-0.99999990285984186</v>
      </c>
      <c r="K38" s="136"/>
      <c r="L38" s="190"/>
      <c r="M38" s="190"/>
      <c r="N38" s="191"/>
      <c r="O38" s="192"/>
      <c r="P38" s="129" t="s">
        <v>728</v>
      </c>
      <c r="Q38" s="116">
        <v>11078687</v>
      </c>
      <c r="R38" s="116">
        <v>15003170502</v>
      </c>
      <c r="S38" s="116">
        <v>9249073</v>
      </c>
      <c r="T38" s="130">
        <f t="shared" ref="T38" si="56">Q38/S38</f>
        <v>1.1978159324723678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1361880.1904761905</v>
      </c>
      <c r="G39" s="190">
        <f t="shared" ref="G39" si="57">F39/F38-1</f>
        <v>1.458558835494117</v>
      </c>
      <c r="H39" s="190">
        <f t="shared" ref="H39" si="58">F39/F27-1</f>
        <v>1.2442594547279238</v>
      </c>
      <c r="I39" s="130">
        <f t="shared" si="0"/>
        <v>1.2779758998888902</v>
      </c>
      <c r="J39" s="130">
        <f t="shared" si="5"/>
        <v>-5.7718781530507135E-2</v>
      </c>
      <c r="K39" s="136"/>
      <c r="L39" s="190"/>
      <c r="M39" s="190"/>
      <c r="N39" s="191"/>
      <c r="O39" s="192"/>
      <c r="P39" s="129" t="s">
        <v>762</v>
      </c>
      <c r="Q39" s="116">
        <v>28599484</v>
      </c>
      <c r="R39" s="116">
        <v>39903090832</v>
      </c>
      <c r="S39" s="116">
        <v>22378735</v>
      </c>
      <c r="T39" s="130">
        <f t="shared" ref="T39" si="59">Q39/S39</f>
        <v>1.2779758998888902</v>
      </c>
      <c r="U39" s="85"/>
    </row>
    <row r="40" spans="1:21" s="79" customFormat="1" ht="13.2" hidden="1">
      <c r="A40" s="129" t="s">
        <v>778</v>
      </c>
      <c r="B40" s="188">
        <f>SUM(F38:F40)</f>
        <v>2584085.969047619</v>
      </c>
      <c r="C40" s="188">
        <f>AVERAGE(F38:F40)</f>
        <v>861361.98968253972</v>
      </c>
      <c r="D40" s="190">
        <f>C40/C37-1</f>
        <v>0.1333003945653215</v>
      </c>
      <c r="E40" s="287">
        <f>C40/C28-1</f>
        <v>6.4553825796600073E-2</v>
      </c>
      <c r="F40" s="136">
        <f>Q40/21</f>
        <v>668271.42857142852</v>
      </c>
      <c r="G40" s="190">
        <f t="shared" ref="G40" si="60">F40/F39-1</f>
        <v>-0.50930233566451766</v>
      </c>
      <c r="H40" s="190">
        <f t="shared" ref="H40" si="61">F40/F28-1</f>
        <v>-0.27750917112389828</v>
      </c>
      <c r="I40" s="130">
        <f t="shared" si="0"/>
        <v>1.0244993741835093</v>
      </c>
      <c r="J40" s="130">
        <f t="shared" si="5"/>
        <v>-0.9999999166369532</v>
      </c>
      <c r="K40" s="136">
        <f>R38+R39+R40</f>
        <v>74835126411</v>
      </c>
      <c r="L40" s="190">
        <f>U40/U37-1</f>
        <v>0.13129322067244509</v>
      </c>
      <c r="M40" s="190">
        <f>U40/U28-1</f>
        <v>0.12037745413511569</v>
      </c>
      <c r="N40" s="191">
        <f>AVERAGE(T38:T40)</f>
        <v>1.1667637355149225</v>
      </c>
      <c r="O40" s="192">
        <f>N40/N37-1</f>
        <v>-0.18868291071772347</v>
      </c>
      <c r="P40" s="129" t="s">
        <v>778</v>
      </c>
      <c r="Q40" s="116">
        <v>14033700</v>
      </c>
      <c r="R40" s="116">
        <v>19928865077</v>
      </c>
      <c r="S40" s="116">
        <v>13698105</v>
      </c>
      <c r="T40" s="130">
        <f t="shared" ref="T40" si="62">Q40/S40</f>
        <v>1.0244993741835093</v>
      </c>
      <c r="U40" s="85">
        <f>Q38+Q39+Q40</f>
        <v>53711871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528500</v>
      </c>
      <c r="G41" s="190">
        <f t="shared" ref="G41" si="63">F41/F40-1</f>
        <v>-0.20915368007011692</v>
      </c>
      <c r="H41" s="190">
        <f t="shared" ref="H41" si="64">F41/F29-1</f>
        <v>-0.32936694477529727</v>
      </c>
      <c r="I41" s="130">
        <f t="shared" si="0"/>
        <v>1.1015840438104594</v>
      </c>
      <c r="J41" s="130">
        <f t="shared" si="5"/>
        <v>2.1920984937939147E-2</v>
      </c>
      <c r="K41" s="193"/>
      <c r="L41" s="190"/>
      <c r="M41" s="190"/>
      <c r="N41" s="193"/>
      <c r="O41" s="193"/>
      <c r="P41" s="129" t="s">
        <v>793</v>
      </c>
      <c r="Q41" s="116">
        <v>9513000</v>
      </c>
      <c r="R41" s="116">
        <v>13897308153</v>
      </c>
      <c r="S41" s="116">
        <v>8635746</v>
      </c>
      <c r="T41" s="130">
        <f t="shared" ref="T41" si="65">Q41/S41</f>
        <v>1.1015840438104594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1026371.85</v>
      </c>
      <c r="G42" s="190">
        <f t="shared" ref="G42" si="66">F42/F41-1</f>
        <v>0.94204701986754968</v>
      </c>
      <c r="H42" s="190">
        <f t="shared" ref="H42" si="67">F42/F30-1</f>
        <v>0.5995516537558454</v>
      </c>
      <c r="I42" s="130">
        <f t="shared" si="0"/>
        <v>1.1590046311770859</v>
      </c>
      <c r="J42" s="130">
        <f t="shared" si="5"/>
        <v>0.18917980754023644</v>
      </c>
      <c r="K42" s="193"/>
      <c r="L42" s="190"/>
      <c r="M42" s="190"/>
      <c r="N42" s="193"/>
      <c r="O42" s="193"/>
      <c r="P42" s="129" t="s">
        <v>826</v>
      </c>
      <c r="Q42" s="116">
        <v>20527437</v>
      </c>
      <c r="R42" s="116">
        <v>29688693839</v>
      </c>
      <c r="S42" s="116">
        <v>17711264</v>
      </c>
      <c r="T42" s="130">
        <f t="shared" ref="T42" si="68">Q42/S42</f>
        <v>1.1590046311770859</v>
      </c>
      <c r="U42" s="78"/>
    </row>
    <row r="43" spans="1:21" s="79" customFormat="1" ht="13.2">
      <c r="A43" s="129" t="s">
        <v>835</v>
      </c>
      <c r="B43" s="188">
        <f>SUM(F41:F43)</f>
        <v>2478229.75</v>
      </c>
      <c r="C43" s="188">
        <f>AVERAGE(F41:F43)</f>
        <v>826076.58333333337</v>
      </c>
      <c r="D43" s="190">
        <f>C43/C40-1</f>
        <v>-4.0964666158778362E-2</v>
      </c>
      <c r="E43" s="287">
        <f>C43/C31-1</f>
        <v>8.8695206929542802E-2</v>
      </c>
      <c r="F43" s="136">
        <f>Q43/20</f>
        <v>923357.9</v>
      </c>
      <c r="G43" s="190">
        <f t="shared" ref="G43" si="69">F43/F42-1</f>
        <v>-0.10036708430769992</v>
      </c>
      <c r="H43" s="190">
        <f t="shared" ref="H43" si="70">F43/F31-1</f>
        <v>9.0657573423122528E-2</v>
      </c>
      <c r="I43" s="130">
        <f t="shared" si="0"/>
        <v>1.1565456686961832</v>
      </c>
      <c r="J43" s="130">
        <f t="shared" si="5"/>
        <v>7.4836381521494744E-2</v>
      </c>
      <c r="K43" s="136">
        <f>R41+R42+R43</f>
        <v>70467354823</v>
      </c>
      <c r="L43" s="190">
        <f>U43/U40-1</f>
        <v>-9.6892472801775931E-2</v>
      </c>
      <c r="M43" s="190">
        <f>K43/K31-1</f>
        <v>0.14493934773536687</v>
      </c>
      <c r="N43" s="191">
        <f>AVERAGE(T41:T43)</f>
        <v>1.1390447812279094</v>
      </c>
      <c r="O43" s="192">
        <f>N43/N40-1</f>
        <v>-2.3757127037188908E-2</v>
      </c>
      <c r="P43" s="129" t="s">
        <v>835</v>
      </c>
      <c r="Q43" s="116">
        <v>18467158</v>
      </c>
      <c r="R43" s="116">
        <v>26881352831</v>
      </c>
      <c r="S43" s="116">
        <v>15967513</v>
      </c>
      <c r="T43" s="130">
        <f t="shared" ref="T43" si="71">Q43/S43</f>
        <v>1.1565456686961832</v>
      </c>
      <c r="U43" s="85">
        <f>Q41+Q42+Q43</f>
        <v>48507595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582113.31818181823</v>
      </c>
      <c r="G44" s="190">
        <f t="shared" ref="G44" si="72">F44/F43-1</f>
        <v>-0.36956913653761103</v>
      </c>
      <c r="H44" s="190">
        <f t="shared" ref="H44" si="73">F44/F32-1</f>
        <v>6.9523751870210759E-3</v>
      </c>
      <c r="I44" s="130">
        <f t="shared" si="0"/>
        <v>1.1753636342026645</v>
      </c>
      <c r="J44" s="130">
        <f t="shared" si="5"/>
        <v>0.19580120199039519</v>
      </c>
      <c r="K44" s="136"/>
      <c r="L44" s="190"/>
      <c r="M44" s="190"/>
      <c r="N44" s="191"/>
      <c r="O44" s="192"/>
      <c r="P44" s="129" t="s">
        <v>843</v>
      </c>
      <c r="Q44" s="116">
        <v>12806493</v>
      </c>
      <c r="R44" s="116">
        <v>18360633588</v>
      </c>
      <c r="S44" s="116">
        <v>10895771</v>
      </c>
      <c r="T44" s="130">
        <f t="shared" ref="T44" si="74">Q44/S44</f>
        <v>1.1753636342026645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1076496.3500000001</v>
      </c>
      <c r="G45" s="190">
        <f t="shared" ref="G45" si="75">F45/F44-1</f>
        <v>0.84929002030454392</v>
      </c>
      <c r="H45" s="190">
        <f t="shared" ref="H45" si="76">F45/F33-1</f>
        <v>1.1953071405965638</v>
      </c>
      <c r="I45" s="130">
        <f t="shared" si="0"/>
        <v>1.0202186412252749</v>
      </c>
      <c r="J45" s="130">
        <f t="shared" si="5"/>
        <v>-7.5290509837907971E-2</v>
      </c>
      <c r="K45" s="136"/>
      <c r="L45" s="190"/>
      <c r="M45" s="190"/>
      <c r="N45" s="191"/>
      <c r="O45" s="192"/>
      <c r="P45" s="129" t="s">
        <v>849</v>
      </c>
      <c r="Q45" s="116">
        <v>21529927</v>
      </c>
      <c r="R45" s="116">
        <v>30308045628</v>
      </c>
      <c r="S45" s="116">
        <v>21103248</v>
      </c>
      <c r="T45" s="130">
        <f t="shared" ref="T45" si="77">Q45/S45</f>
        <v>1.0202186412252749</v>
      </c>
      <c r="U45" s="85"/>
    </row>
    <row r="46" spans="1:21" s="79" customFormat="1" ht="13.2">
      <c r="A46" s="129" t="s">
        <v>888</v>
      </c>
      <c r="B46" s="188">
        <f>SUM(F44:F46)</f>
        <v>2663504.3523923447</v>
      </c>
      <c r="C46" s="188">
        <f>AVERAGE(F44:F46)</f>
        <v>887834.78413078154</v>
      </c>
      <c r="D46" s="190">
        <f>C46/C43-1</f>
        <v>7.4760866054628172E-2</v>
      </c>
      <c r="E46" s="287">
        <f>C46/C34-1</f>
        <v>0.49487698559389259</v>
      </c>
      <c r="F46" s="136">
        <f>Q46/19</f>
        <v>1004894.6842105263</v>
      </c>
      <c r="G46" s="190">
        <f t="shared" ref="G46" si="78">F46/F45-1</f>
        <v>-6.6513616873363102E-2</v>
      </c>
      <c r="H46" s="190">
        <f t="shared" ref="H46" si="79">F46/F34-1</f>
        <v>0.40880033557975493</v>
      </c>
      <c r="I46" s="130">
        <f t="shared" si="0"/>
        <v>0.93128594142999832</v>
      </c>
      <c r="J46" s="130">
        <f t="shared" si="5"/>
        <v>-0.1278937851967783</v>
      </c>
      <c r="K46" s="136">
        <f>R44+R45+R46</f>
        <v>74810831739</v>
      </c>
      <c r="L46" s="190">
        <f>U46/U43-1</f>
        <v>0.10146501800388164</v>
      </c>
      <c r="M46" s="190">
        <f>K46/K34-1</f>
        <v>0.52245964783821885</v>
      </c>
      <c r="N46" s="191">
        <f>AVERAGE(T44:T46)</f>
        <v>1.0422894056193126</v>
      </c>
      <c r="O46" s="192">
        <f>N46/N43-1</f>
        <v>-8.4944312289717772E-2</v>
      </c>
      <c r="P46" s="129" t="s">
        <v>888</v>
      </c>
      <c r="Q46" s="116">
        <v>19092999</v>
      </c>
      <c r="R46" s="116">
        <v>26142152523</v>
      </c>
      <c r="S46" s="116">
        <v>20501758</v>
      </c>
      <c r="T46" s="130">
        <f t="shared" ref="T46" si="80">Q46/S46</f>
        <v>0.93128594142999832</v>
      </c>
      <c r="U46" s="85">
        <f t="shared" ref="U46:U51" si="81">Q44+Q45+Q46</f>
        <v>53429419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945717.17391304346</v>
      </c>
      <c r="G47" s="190">
        <f t="shared" ref="G47" si="82">F47/F46-1</f>
        <v>-5.8889265937329904E-2</v>
      </c>
      <c r="H47" s="190">
        <f t="shared" ref="H47" si="83">F47/F35-1</f>
        <v>0.12761675941173856</v>
      </c>
      <c r="I47" s="130">
        <f t="shared" si="0"/>
        <v>0.94736138137485748</v>
      </c>
      <c r="J47" s="130">
        <f t="shared" si="5"/>
        <v>-0.33710815199991184</v>
      </c>
      <c r="K47" s="136"/>
      <c r="L47" s="190"/>
      <c r="M47" s="190"/>
      <c r="N47" s="191"/>
      <c r="O47" s="192"/>
      <c r="P47" s="129" t="s">
        <v>1029</v>
      </c>
      <c r="Q47" s="116">
        <v>21751495</v>
      </c>
      <c r="R47" s="116">
        <v>29945441287</v>
      </c>
      <c r="S47" s="116">
        <v>22960082</v>
      </c>
      <c r="T47" s="130">
        <f t="shared" ref="T47" si="84">Q47/S47</f>
        <v>0.94736138137485748</v>
      </c>
      <c r="U47" s="85">
        <f t="shared" si="81"/>
        <v>62374421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1130170.8999999999</v>
      </c>
      <c r="G48" s="190">
        <f t="shared" ref="G48" si="85">F48/F47-1</f>
        <v>0.19504110866862256</v>
      </c>
      <c r="H48" s="190">
        <f t="shared" ref="H48" si="86">F48/F36-1</f>
        <v>0.51206830304249285</v>
      </c>
      <c r="I48" s="130">
        <f t="shared" si="0"/>
        <v>1.2351681604750111</v>
      </c>
      <c r="J48" s="130">
        <f t="shared" si="5"/>
        <v>-0.16052185359026949</v>
      </c>
      <c r="K48" s="136"/>
      <c r="L48" s="190"/>
      <c r="M48" s="190"/>
      <c r="N48" s="191"/>
      <c r="O48" s="192"/>
      <c r="P48" s="129" t="s">
        <v>1132</v>
      </c>
      <c r="Q48" s="116">
        <v>22603418</v>
      </c>
      <c r="R48" s="116">
        <v>31398235900</v>
      </c>
      <c r="S48" s="116">
        <v>18299871</v>
      </c>
      <c r="T48" s="130">
        <f t="shared" ref="T48" si="87">Q48/S48</f>
        <v>1.2351681604750111</v>
      </c>
      <c r="U48" s="85">
        <f t="shared" si="81"/>
        <v>63447912</v>
      </c>
    </row>
    <row r="49" spans="1:26" ht="13.2">
      <c r="A49" s="129" t="s">
        <v>1158</v>
      </c>
      <c r="B49" s="188">
        <f>SUM(F47:F49)</f>
        <v>3070792.6193675888</v>
      </c>
      <c r="C49" s="188">
        <f>AVERAGE(F47:F49)</f>
        <v>1023597.5397891962</v>
      </c>
      <c r="D49" s="190">
        <f>C49/C46-1</f>
        <v>0.15291443643011893</v>
      </c>
      <c r="E49" s="287">
        <f>C49/C37-1</f>
        <v>0.34675491792565594</v>
      </c>
      <c r="F49" s="136">
        <f>Q49/22</f>
        <v>994904.54545454541</v>
      </c>
      <c r="G49" s="190">
        <f t="shared" ref="G49" si="88">F49/F48-1</f>
        <v>-0.11968663725588269</v>
      </c>
      <c r="H49" s="190">
        <f t="shared" ref="H49" si="89">F49/F37-1</f>
        <v>0.43353528173406519</v>
      </c>
      <c r="I49" s="130">
        <f t="shared" si="0"/>
        <v>1.240203562485144</v>
      </c>
      <c r="J49" s="130">
        <f t="shared" si="5"/>
        <v>-0.12281528290084121</v>
      </c>
      <c r="K49" s="136">
        <f>R47+R48+R49</f>
        <v>91834635607</v>
      </c>
      <c r="L49" s="190">
        <f>U49/U46-1</f>
        <v>0.23981907795029556</v>
      </c>
      <c r="M49" s="190">
        <f>K49/K37-1</f>
        <v>0.41653647297078522</v>
      </c>
      <c r="N49" s="191">
        <f>AVERAGE(T47:T49)</f>
        <v>1.1409110347783376</v>
      </c>
      <c r="O49" s="192">
        <f>N49/N46-1</f>
        <v>9.4620197257426319E-2</v>
      </c>
      <c r="P49" s="129" t="s">
        <v>1158</v>
      </c>
      <c r="Q49" s="116">
        <v>21887900</v>
      </c>
      <c r="R49" s="116">
        <v>30490958420</v>
      </c>
      <c r="S49" s="116">
        <v>17648635</v>
      </c>
      <c r="T49" s="130">
        <f t="shared" ref="T49" si="90">Q49/S49</f>
        <v>1.240203562485144</v>
      </c>
      <c r="U49" s="85">
        <f t="shared" si="81"/>
        <v>66242813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381644.27777777775</v>
      </c>
      <c r="G50" s="190">
        <f t="shared" ref="G50" si="91">F50/F49-1</f>
        <v>-0.61640111152229715</v>
      </c>
      <c r="H50" s="190">
        <f t="shared" ref="H50" si="92">F50/F38-1</f>
        <v>-0.31102976773731805</v>
      </c>
      <c r="I50" s="130">
        <f t="shared" ref="I50" si="93">T50</f>
        <v>0.98912973363059842</v>
      </c>
      <c r="J50" s="130">
        <f t="shared" ref="J50" si="94">I50/I38-1</f>
        <v>-0.17422226001872254</v>
      </c>
      <c r="K50" s="136"/>
      <c r="L50" s="190"/>
      <c r="M50" s="190"/>
      <c r="N50" s="191"/>
      <c r="O50" s="192"/>
      <c r="P50" s="129" t="s">
        <v>1353</v>
      </c>
      <c r="Q50" s="116">
        <v>6869597</v>
      </c>
      <c r="R50" s="116">
        <v>9747395677</v>
      </c>
      <c r="S50" s="116">
        <v>6945092</v>
      </c>
      <c r="T50" s="130">
        <f t="shared" ref="T50" si="95">Q50/S50</f>
        <v>0.98912973363059842</v>
      </c>
      <c r="U50" s="85">
        <f t="shared" si="81"/>
        <v>51360915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322941.59999999998</v>
      </c>
      <c r="G51" s="190">
        <f t="shared" ref="G51:G52" si="96">F51/F50-1</f>
        <v>-0.15381516557667063</v>
      </c>
      <c r="H51" s="190">
        <f t="shared" ref="H51:H52" si="97">F51/F39-1</f>
        <v>-0.76287077067544296</v>
      </c>
      <c r="I51" s="130">
        <f t="shared" ref="I51:I52" si="98">T51</f>
        <v>0.96406636125412193</v>
      </c>
      <c r="J51" s="130">
        <f t="shared" ref="J51:J52" si="99">I51/I39-1</f>
        <v>-0.24563024910098863</v>
      </c>
      <c r="K51" s="136"/>
      <c r="L51" s="190"/>
      <c r="M51" s="190"/>
      <c r="N51" s="191"/>
      <c r="O51" s="192"/>
      <c r="P51" s="129" t="s">
        <v>1402</v>
      </c>
      <c r="Q51" s="116">
        <v>6458832</v>
      </c>
      <c r="R51" s="116">
        <v>9397454302</v>
      </c>
      <c r="S51" s="116">
        <v>6699572</v>
      </c>
      <c r="T51" s="130">
        <f t="shared" ref="T51:T52" si="100">Q51/S51</f>
        <v>0.96406636125412193</v>
      </c>
      <c r="U51" s="85">
        <f t="shared" si="81"/>
        <v>35216329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1406231.3777777776</v>
      </c>
      <c r="C52" s="188">
        <f>AVERAGE(F50:F52)</f>
        <v>468743.79259259254</v>
      </c>
      <c r="D52" s="190">
        <f>C52/C49-1</f>
        <v>-0.54206240795661986</v>
      </c>
      <c r="E52" s="287">
        <f>C52/C40-1</f>
        <v>-0.45581091549517883</v>
      </c>
      <c r="F52" s="136">
        <f>Q52/22</f>
        <v>701645.5</v>
      </c>
      <c r="G52" s="190">
        <f t="shared" si="96"/>
        <v>1.172669919267137</v>
      </c>
      <c r="H52" s="190">
        <f t="shared" si="97"/>
        <v>4.9940892280724292E-2</v>
      </c>
      <c r="I52" s="130">
        <f t="shared" si="98"/>
        <v>1.0349238219832291</v>
      </c>
      <c r="J52" s="130">
        <f t="shared" si="99"/>
        <v>1.0175162681800298E-2</v>
      </c>
      <c r="K52" s="136">
        <f>R50+R51+R52</f>
        <v>41860098461</v>
      </c>
      <c r="L52" s="190">
        <f>U52/U49-1</f>
        <v>-0.56576979905729541</v>
      </c>
      <c r="M52" s="190">
        <f>K52/K40-1</f>
        <v>-0.44063569518007795</v>
      </c>
      <c r="N52" s="191">
        <f>AVERAGE(T50:T52)</f>
        <v>0.9960399722893164</v>
      </c>
      <c r="O52" s="192">
        <f>N52/N49-1</f>
        <v>-0.12697840416379835</v>
      </c>
      <c r="P52" s="129" t="s">
        <v>1403</v>
      </c>
      <c r="Q52" s="116">
        <v>15436201</v>
      </c>
      <c r="R52" s="116">
        <v>22715248482</v>
      </c>
      <c r="S52" s="116">
        <v>14915301.66</v>
      </c>
      <c r="T52" s="130">
        <f t="shared" si="100"/>
        <v>1.0349238219832291</v>
      </c>
      <c r="U52" s="85">
        <f t="shared" ref="U52" si="101">Q50+Q51+Q52</f>
        <v>28764630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741334.80952380947</v>
      </c>
      <c r="G53" s="190">
        <f t="shared" ref="G53" si="102">F53/F52-1</f>
        <v>5.6566043000075394E-2</v>
      </c>
      <c r="H53" s="190">
        <f t="shared" ref="H53" si="103">F53/F41-1</f>
        <v>0.40271487137901518</v>
      </c>
      <c r="I53" s="130">
        <f t="shared" ref="I53" si="104">T53</f>
        <v>0.99645785795577846</v>
      </c>
      <c r="J53" s="130">
        <f t="shared" ref="J53" si="105">I53/I41-1</f>
        <v>-9.5431834225777057E-2</v>
      </c>
      <c r="K53" s="136"/>
      <c r="L53" s="190"/>
      <c r="M53" s="190"/>
      <c r="N53" s="191"/>
      <c r="O53" s="192"/>
      <c r="P53" s="129" t="s">
        <v>1414</v>
      </c>
      <c r="Q53" s="116">
        <v>15568031</v>
      </c>
      <c r="R53" s="116">
        <v>22654339513</v>
      </c>
      <c r="S53" s="116">
        <v>15623371.199999999</v>
      </c>
      <c r="T53" s="130">
        <f t="shared" ref="T53" si="106">Q53/S53</f>
        <v>0.99645785795577846</v>
      </c>
      <c r="U53" s="85">
        <f t="shared" ref="U53" si="107">Q51+Q52+Q53</f>
        <v>37463064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924655.76470588241</v>
      </c>
      <c r="G54" s="190">
        <f t="shared" ref="G54" si="108">F54/F53-1</f>
        <v>0.24728496871720851</v>
      </c>
      <c r="H54" s="190">
        <f t="shared" ref="H54" si="109">F54/F42-1</f>
        <v>-9.9102567255831886E-2</v>
      </c>
      <c r="I54" s="130">
        <f t="shared" ref="I54" si="110">T54</f>
        <v>0.84007283377322861</v>
      </c>
      <c r="J54" s="130">
        <f t="shared" ref="J54" si="111">I54/I42-1</f>
        <v>-0.27517732787655036</v>
      </c>
      <c r="K54" s="136"/>
      <c r="L54" s="190"/>
      <c r="M54" s="190"/>
      <c r="N54" s="191"/>
      <c r="O54" s="192"/>
      <c r="P54" s="129" t="s">
        <v>1417</v>
      </c>
      <c r="Q54" s="116">
        <v>15719148</v>
      </c>
      <c r="R54" s="116">
        <v>22761715314</v>
      </c>
      <c r="S54" s="116">
        <v>18711649</v>
      </c>
      <c r="T54" s="130">
        <f t="shared" ref="T54" si="112">Q54/S54</f>
        <v>0.84007283377322861</v>
      </c>
      <c r="U54" s="85">
        <f t="shared" ref="U54" si="113">Q52+Q53+Q54</f>
        <v>46723380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3002880.3837535013</v>
      </c>
      <c r="C55" s="188">
        <f>AVERAGE(F53:F55)</f>
        <v>1000960.1279178337</v>
      </c>
      <c r="D55" s="190">
        <f>C55/C52-1</f>
        <v>1.1354098843241975</v>
      </c>
      <c r="E55" s="287">
        <f>C55/C43-1</f>
        <v>0.21170379128630068</v>
      </c>
      <c r="F55" s="136">
        <f>Q55/21</f>
        <v>1336889.8095238095</v>
      </c>
      <c r="G55" s="190">
        <f t="shared" ref="G55" si="114">F55/F54-1</f>
        <v>0.44582433869219629</v>
      </c>
      <c r="H55" s="190">
        <f t="shared" ref="H55" si="115">F55/F43-1</f>
        <v>0.44785657817386881</v>
      </c>
      <c r="I55" s="130">
        <f>T55</f>
        <v>0.97081370437875802</v>
      </c>
      <c r="J55" s="130">
        <f t="shared" ref="J55" si="116">I55/I43-1</f>
        <v>-0.16059198468730396</v>
      </c>
      <c r="K55" s="136">
        <f>R53+R54+R55</f>
        <v>87035797550</v>
      </c>
      <c r="L55" s="190">
        <f>U55/U52-1</f>
        <v>1.0637103623443096</v>
      </c>
      <c r="M55" s="190">
        <f>K55/K43-1</f>
        <v>0.23512224587706809</v>
      </c>
      <c r="N55" s="191">
        <f>AVERAGE(T53:T55)</f>
        <v>0.93578146536925511</v>
      </c>
      <c r="O55" s="192">
        <f>N55/N52-1</f>
        <v>-6.0498080997253623E-2</v>
      </c>
      <c r="P55" s="129" t="s">
        <v>1418</v>
      </c>
      <c r="Q55" s="116">
        <v>28074686</v>
      </c>
      <c r="R55" s="116">
        <v>41619742723</v>
      </c>
      <c r="S55" s="116">
        <v>28918716.199999999</v>
      </c>
      <c r="T55" s="130">
        <f t="shared" ref="T55" si="117">Q55/S55</f>
        <v>0.97081370437875802</v>
      </c>
      <c r="U55" s="85">
        <f t="shared" ref="U55" si="118">Q53+Q54+Q55</f>
        <v>59361865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1789607.0454545454</v>
      </c>
      <c r="G56" s="190">
        <f t="shared" ref="G56" si="119">F56/F55-1</f>
        <v>0.33863466734927883</v>
      </c>
      <c r="H56" s="190">
        <f t="shared" ref="H56" si="120">F56/F44-1</f>
        <v>2.0743276086591385</v>
      </c>
      <c r="I56" s="291">
        <f>T56</f>
        <v>0.99482265312875107</v>
      </c>
      <c r="J56" s="130">
        <f t="shared" ref="J56" si="121">I56/I44-1</f>
        <v>-0.15360436193551941</v>
      </c>
      <c r="K56" s="136"/>
      <c r="L56" s="190"/>
      <c r="M56" s="190"/>
      <c r="N56" s="191"/>
      <c r="O56" s="192"/>
      <c r="P56" s="129" t="s">
        <v>1420</v>
      </c>
      <c r="Q56" s="116">
        <v>39371355</v>
      </c>
      <c r="R56" s="116">
        <v>58644564025</v>
      </c>
      <c r="S56" s="116">
        <v>39576255</v>
      </c>
      <c r="T56" s="130">
        <f t="shared" ref="T56" si="122">Q56/S56</f>
        <v>0.99482265312875107</v>
      </c>
      <c r="U56" s="85">
        <f t="shared" ref="U56" si="123">Q54+Q55+Q56</f>
        <v>83165189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613847.16666666663</v>
      </c>
      <c r="G57" s="254">
        <f t="shared" ref="G57" si="124">F57/F56-1</f>
        <v>-0.65699332251413067</v>
      </c>
      <c r="H57" s="254">
        <f t="shared" ref="H57" si="125">F57/F45-1</f>
        <v>-0.4297731091548368</v>
      </c>
      <c r="I57" s="282">
        <f>T57</f>
        <v>1.0197765180912806</v>
      </c>
      <c r="J57" s="277">
        <f t="shared" ref="J57" si="126">I57/I45-1</f>
        <v>-4.3336116017578252E-4</v>
      </c>
      <c r="K57" s="204"/>
      <c r="L57" s="254"/>
      <c r="M57" s="254"/>
      <c r="N57" s="257"/>
      <c r="O57" s="258"/>
      <c r="P57" s="129" t="s">
        <v>1436</v>
      </c>
      <c r="Q57" s="116">
        <v>7366166</v>
      </c>
      <c r="R57" s="116">
        <v>10838453810</v>
      </c>
      <c r="S57" s="116">
        <v>7223314</v>
      </c>
      <c r="T57" s="130">
        <f t="shared" ref="T57" si="127">Q57/S57</f>
        <v>1.0197765180912806</v>
      </c>
      <c r="U57" s="85">
        <f t="shared" ref="U57" si="128">Q55+Q56+Q57</f>
        <v>74812207</v>
      </c>
      <c r="V57" s="79"/>
      <c r="W57" s="79"/>
      <c r="X57" s="79"/>
      <c r="Y57" s="79"/>
      <c r="Z57" s="79"/>
    </row>
    <row r="58" spans="1:26">
      <c r="B58" s="196">
        <f>SUM(F56:F58)</f>
        <v>2403454.2121212119</v>
      </c>
      <c r="C58" s="196">
        <f>AVERAGE(F56:F58)</f>
        <v>1201727.106060606</v>
      </c>
      <c r="D58" s="197">
        <f>C58/C55-1</f>
        <v>0.20057440106071112</v>
      </c>
      <c r="E58" s="233">
        <f>C58/C46-1</f>
        <v>0.35354812352518383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106099386</v>
      </c>
      <c r="R67" s="212">
        <v>156518815385</v>
      </c>
      <c r="S67" s="213">
        <v>110053305.40000001</v>
      </c>
    </row>
    <row r="68" spans="16:19" ht="18" thickBot="1">
      <c r="P68" s="180" t="s">
        <v>976</v>
      </c>
      <c r="Q68" s="181">
        <v>15568031</v>
      </c>
      <c r="R68" s="181">
        <v>22654339513</v>
      </c>
      <c r="S68" s="182">
        <v>15623371.199999999</v>
      </c>
    </row>
    <row r="69" spans="16:19" ht="18" thickBot="1">
      <c r="P69" s="180" t="s">
        <v>977</v>
      </c>
      <c r="Q69" s="181">
        <v>15719148</v>
      </c>
      <c r="R69" s="181">
        <v>22761715314</v>
      </c>
      <c r="S69" s="182">
        <v>18711649</v>
      </c>
    </row>
    <row r="70" spans="16:19" ht="18" thickBot="1">
      <c r="P70" s="180" t="s">
        <v>978</v>
      </c>
      <c r="Q70" s="181">
        <v>28074686</v>
      </c>
      <c r="R70" s="181">
        <v>41619742723</v>
      </c>
      <c r="S70" s="182">
        <v>28918716.199999999</v>
      </c>
    </row>
    <row r="71" spans="16:19" ht="18" thickBot="1">
      <c r="P71" s="180" t="s">
        <v>979</v>
      </c>
      <c r="Q71" s="181">
        <v>39371355</v>
      </c>
      <c r="R71" s="181">
        <v>58644564025</v>
      </c>
      <c r="S71" s="182">
        <v>39576255</v>
      </c>
    </row>
    <row r="72" spans="16:19" ht="18" thickBot="1">
      <c r="P72" s="180" t="s">
        <v>980</v>
      </c>
      <c r="Q72" s="181">
        <v>7366166</v>
      </c>
      <c r="R72" s="181">
        <v>10838453810</v>
      </c>
      <c r="S72" s="182">
        <v>7223314</v>
      </c>
    </row>
    <row r="73" spans="16:19" ht="18" thickBot="1">
      <c r="P73" s="180" t="s">
        <v>975</v>
      </c>
      <c r="Q73" s="181">
        <v>196933818</v>
      </c>
      <c r="R73" s="181">
        <v>278957395969</v>
      </c>
      <c r="S73" s="182">
        <v>182279017.66</v>
      </c>
    </row>
    <row r="74" spans="16:19" ht="18" thickBot="1">
      <c r="P74" s="215" t="s">
        <v>982</v>
      </c>
      <c r="Q74" s="217">
        <v>18</v>
      </c>
      <c r="R74"/>
      <c r="S74"/>
    </row>
  </sheetData>
  <phoneticPr fontId="1" type="noConversion"/>
  <conditionalFormatting sqref="C29:C30">
    <cfRule type="cellIs" dxfId="9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4"/>
  <dimension ref="A1:Z73"/>
  <sheetViews>
    <sheetView zoomScale="90" zoomScaleNormal="90" workbookViewId="0">
      <selection activeCell="K65" sqref="K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7306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7697396.2000000002</v>
      </c>
      <c r="G5" s="90"/>
      <c r="H5" s="90"/>
      <c r="I5" s="130">
        <f t="shared" ref="I5:I49" si="0">T5</f>
        <v>16973310.253583241</v>
      </c>
      <c r="J5" s="130"/>
      <c r="L5" s="80"/>
      <c r="M5" s="80"/>
      <c r="P5" s="129" t="s">
        <v>0</v>
      </c>
      <c r="Q5" s="116">
        <v>153947924</v>
      </c>
      <c r="R5" s="116">
        <v>181560937324</v>
      </c>
      <c r="S5" s="116">
        <v>9.07</v>
      </c>
      <c r="T5" s="130">
        <f t="shared" ref="T5:T26" si="1">Q5/S5</f>
        <v>16973310.253583241</v>
      </c>
      <c r="U5" s="85"/>
    </row>
    <row r="6" spans="1:21" ht="15" hidden="1" customHeight="1">
      <c r="A6" s="129" t="s">
        <v>1</v>
      </c>
      <c r="C6" s="79"/>
      <c r="F6" s="78">
        <f>Q6/18</f>
        <v>5921644.333333333</v>
      </c>
      <c r="G6" s="90">
        <f t="shared" ref="G6:G26" si="2">F6/F5-1</f>
        <v>-0.23069513644973438</v>
      </c>
      <c r="H6" s="90"/>
      <c r="I6" s="130">
        <f t="shared" si="0"/>
        <v>17275461.588330634</v>
      </c>
      <c r="J6" s="130"/>
      <c r="P6" s="129" t="s">
        <v>1</v>
      </c>
      <c r="Q6" s="116">
        <v>106589598</v>
      </c>
      <c r="R6" s="116">
        <v>126529570371</v>
      </c>
      <c r="S6" s="116">
        <v>6.17</v>
      </c>
      <c r="T6" s="130">
        <f t="shared" si="1"/>
        <v>17275461.588330634</v>
      </c>
      <c r="U6" s="85"/>
    </row>
    <row r="7" spans="1:21" ht="15" hidden="1" customHeight="1">
      <c r="A7" s="129" t="s">
        <v>2</v>
      </c>
      <c r="B7" s="131">
        <f>F5+F6+F7</f>
        <v>20164362.306060605</v>
      </c>
      <c r="C7" s="131">
        <f>AVERAGE(F5:F7)</f>
        <v>6721454.1020202013</v>
      </c>
      <c r="F7" s="78">
        <f>Q7/22</f>
        <v>6545321.7727272725</v>
      </c>
      <c r="G7" s="90">
        <f t="shared" si="2"/>
        <v>0.10532166477530858</v>
      </c>
      <c r="H7" s="90"/>
      <c r="I7" s="130">
        <f t="shared" si="0"/>
        <v>17183422.315035798</v>
      </c>
      <c r="J7" s="130"/>
      <c r="K7" s="79">
        <f>R5+R6+R7</f>
        <v>481116345037</v>
      </c>
      <c r="N7" s="88">
        <f>AVERAGE(T5:T7)</f>
        <v>17144064.718983226</v>
      </c>
      <c r="P7" s="129" t="s">
        <v>2</v>
      </c>
      <c r="Q7" s="116">
        <v>143997079</v>
      </c>
      <c r="R7" s="116">
        <v>173025837342</v>
      </c>
      <c r="S7" s="116">
        <v>8.3800000000000008</v>
      </c>
      <c r="T7" s="130">
        <f t="shared" si="1"/>
        <v>17183422.315035798</v>
      </c>
      <c r="U7" s="85">
        <f>Q5+Q6+Q7</f>
        <v>404534601</v>
      </c>
    </row>
    <row r="8" spans="1:21" ht="15" hidden="1" customHeight="1">
      <c r="A8" s="129" t="s">
        <v>3</v>
      </c>
      <c r="C8" s="79"/>
      <c r="F8" s="78">
        <f>Q8/21</f>
        <v>7008885.2380952379</v>
      </c>
      <c r="G8" s="90">
        <f t="shared" si="2"/>
        <v>7.0823632735600439E-2</v>
      </c>
      <c r="H8" s="90"/>
      <c r="I8" s="130">
        <f t="shared" si="0"/>
        <v>19392172.595520422</v>
      </c>
      <c r="J8" s="130"/>
      <c r="K8" s="78"/>
      <c r="P8" s="129" t="s">
        <v>3</v>
      </c>
      <c r="Q8" s="116">
        <v>147186590</v>
      </c>
      <c r="R8" s="116">
        <v>179179070549</v>
      </c>
      <c r="S8" s="116">
        <v>7.59</v>
      </c>
      <c r="T8" s="130">
        <f t="shared" si="1"/>
        <v>19392172.595520422</v>
      </c>
      <c r="U8" s="85"/>
    </row>
    <row r="9" spans="1:21" ht="15" hidden="1" customHeight="1">
      <c r="A9" s="129" t="s">
        <v>4</v>
      </c>
      <c r="C9" s="79"/>
      <c r="F9" s="78">
        <f>Q9/21</f>
        <v>6959377.2380952379</v>
      </c>
      <c r="G9" s="90">
        <f t="shared" si="2"/>
        <v>-7.0636054548175453E-3</v>
      </c>
      <c r="H9" s="90"/>
      <c r="I9" s="130">
        <f t="shared" si="0"/>
        <v>18784951.413881749</v>
      </c>
      <c r="J9" s="130"/>
      <c r="K9" s="78"/>
      <c r="P9" s="129" t="s">
        <v>4</v>
      </c>
      <c r="Q9" s="116">
        <v>146146922</v>
      </c>
      <c r="R9" s="116">
        <v>183488472448</v>
      </c>
      <c r="S9" s="116">
        <v>7.78</v>
      </c>
      <c r="T9" s="130">
        <f t="shared" si="1"/>
        <v>18784951.413881749</v>
      </c>
      <c r="U9" s="85"/>
    </row>
    <row r="10" spans="1:21" ht="15" hidden="1" customHeight="1">
      <c r="A10" s="129" t="s">
        <v>5</v>
      </c>
      <c r="B10" s="131">
        <f>F8+F9+F10</f>
        <v>20283151.333333332</v>
      </c>
      <c r="C10" s="131">
        <f>AVERAGE(F8:F10)</f>
        <v>6761050.444444444</v>
      </c>
      <c r="D10" s="90">
        <f>C10/C7-1</f>
        <v>5.8910381330048445E-3</v>
      </c>
      <c r="E10" s="286"/>
      <c r="F10" s="78">
        <f>Q10/21</f>
        <v>6314888.8571428573</v>
      </c>
      <c r="G10" s="90">
        <f t="shared" si="2"/>
        <v>-9.2607191549336831E-2</v>
      </c>
      <c r="H10" s="90"/>
      <c r="I10" s="130">
        <f t="shared" si="0"/>
        <v>20624053.810264386</v>
      </c>
      <c r="J10" s="130"/>
      <c r="K10" s="79">
        <f>R8+R9+R10</f>
        <v>530626465142</v>
      </c>
      <c r="L10" s="87">
        <f>U10/U7-1</f>
        <v>5.2928913737097183E-2</v>
      </c>
      <c r="N10" s="88">
        <f>AVERAGE(T8:T10)</f>
        <v>19600392.606555518</v>
      </c>
      <c r="O10" s="89">
        <f>N10/N7-1</f>
        <v>0.14327570082329766</v>
      </c>
      <c r="P10" s="129" t="s">
        <v>5</v>
      </c>
      <c r="Q10" s="116">
        <v>132612666</v>
      </c>
      <c r="R10" s="116">
        <v>167958922145</v>
      </c>
      <c r="S10" s="116">
        <v>6.43</v>
      </c>
      <c r="T10" s="130">
        <f t="shared" si="1"/>
        <v>20624053.810264386</v>
      </c>
      <c r="U10" s="85">
        <f>Q8+Q9+Q10</f>
        <v>425946178</v>
      </c>
    </row>
    <row r="11" spans="1:21" ht="15" hidden="1" customHeight="1">
      <c r="A11" s="129" t="s">
        <v>6</v>
      </c>
      <c r="C11" s="79"/>
      <c r="F11" s="78">
        <f>Q11/21</f>
        <v>7223008.8571428573</v>
      </c>
      <c r="G11" s="90">
        <f t="shared" si="2"/>
        <v>0.14380617308455279</v>
      </c>
      <c r="H11" s="90"/>
      <c r="I11" s="130">
        <f t="shared" si="0"/>
        <v>19079646.03773585</v>
      </c>
      <c r="J11" s="130"/>
      <c r="K11" s="78"/>
      <c r="O11" s="89"/>
      <c r="P11" s="129" t="s">
        <v>6</v>
      </c>
      <c r="Q11" s="116">
        <v>151683186</v>
      </c>
      <c r="R11" s="116">
        <v>196906502111</v>
      </c>
      <c r="S11" s="116">
        <v>7.95</v>
      </c>
      <c r="T11" s="130">
        <f t="shared" si="1"/>
        <v>19079646.03773585</v>
      </c>
      <c r="U11" s="85"/>
    </row>
    <row r="12" spans="1:21" ht="15" hidden="1" customHeight="1">
      <c r="A12" s="129" t="s">
        <v>7</v>
      </c>
      <c r="C12" s="79"/>
      <c r="F12" s="78">
        <f>Q12/22</f>
        <v>5027902.8181818184</v>
      </c>
      <c r="G12" s="90">
        <f t="shared" si="2"/>
        <v>-0.30390465834612557</v>
      </c>
      <c r="H12" s="90"/>
      <c r="I12" s="130">
        <f t="shared" si="0"/>
        <v>19440046.045694198</v>
      </c>
      <c r="J12" s="130"/>
      <c r="K12" s="78"/>
      <c r="O12" s="89"/>
      <c r="P12" s="129" t="s">
        <v>7</v>
      </c>
      <c r="Q12" s="116">
        <v>110613862</v>
      </c>
      <c r="R12" s="116">
        <v>143977161610</v>
      </c>
      <c r="S12" s="116">
        <v>5.69</v>
      </c>
      <c r="T12" s="130">
        <f t="shared" si="1"/>
        <v>19440046.045694198</v>
      </c>
      <c r="U12" s="85"/>
    </row>
    <row r="13" spans="1:21" ht="15" hidden="1" customHeight="1">
      <c r="A13" s="129" t="s">
        <v>96</v>
      </c>
      <c r="B13" s="131">
        <f>F11+F12+F13</f>
        <v>17948815.525324672</v>
      </c>
      <c r="C13" s="131">
        <f>AVERAGE(F11:F13)</f>
        <v>5982938.5084415572</v>
      </c>
      <c r="D13" s="90">
        <f>C13/C10-1</f>
        <v>-0.11508743240368235</v>
      </c>
      <c r="E13" s="286"/>
      <c r="F13" s="78">
        <f>Q13/20</f>
        <v>5697903.8499999996</v>
      </c>
      <c r="G13" s="90">
        <f t="shared" si="2"/>
        <v>0.13325655965253236</v>
      </c>
      <c r="H13" s="90"/>
      <c r="I13" s="130">
        <f t="shared" si="0"/>
        <v>22042181.237911027</v>
      </c>
      <c r="J13" s="130"/>
      <c r="K13" s="78">
        <f>R11+R12+R13</f>
        <v>498898677781</v>
      </c>
      <c r="L13" s="87">
        <f>U13/U10-1</f>
        <v>-0.11666040351229534</v>
      </c>
      <c r="N13" s="88">
        <f>AVERAGE(T11:T13)</f>
        <v>20187291.107113693</v>
      </c>
      <c r="O13" s="89">
        <f>N13/N10-1</f>
        <v>2.99432012582177E-2</v>
      </c>
      <c r="P13" s="129" t="s">
        <v>96</v>
      </c>
      <c r="Q13" s="116">
        <v>113958077</v>
      </c>
      <c r="R13" s="116">
        <v>158015014060</v>
      </c>
      <c r="S13" s="116">
        <v>5.17</v>
      </c>
      <c r="T13" s="130">
        <f t="shared" si="1"/>
        <v>22042181.237911027</v>
      </c>
      <c r="U13" s="85">
        <f>Q11+Q12+Q13</f>
        <v>376255125</v>
      </c>
    </row>
    <row r="14" spans="1:21" ht="15" hidden="1" customHeight="1">
      <c r="A14" s="129" t="s">
        <v>97</v>
      </c>
      <c r="C14" s="79"/>
      <c r="F14" s="78">
        <f>Q14/20</f>
        <v>7573669.7000000002</v>
      </c>
      <c r="G14" s="90">
        <f t="shared" si="2"/>
        <v>0.32920279095267646</v>
      </c>
      <c r="H14" s="90"/>
      <c r="I14" s="130">
        <f t="shared" si="0"/>
        <v>20664855.934515689</v>
      </c>
      <c r="J14" s="130"/>
      <c r="O14" s="89"/>
      <c r="P14" s="129" t="s">
        <v>97</v>
      </c>
      <c r="Q14" s="116">
        <v>151473394</v>
      </c>
      <c r="R14" s="116">
        <v>216161643839</v>
      </c>
      <c r="S14" s="116">
        <v>7.33</v>
      </c>
      <c r="T14" s="130">
        <f t="shared" si="1"/>
        <v>20664855.934515689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6737101.5454545459</v>
      </c>
      <c r="G15" s="90">
        <f t="shared" si="2"/>
        <v>-0.1104574384258471</v>
      </c>
      <c r="H15" s="90"/>
      <c r="I15" s="130">
        <f t="shared" si="0"/>
        <v>20029220.810810808</v>
      </c>
      <c r="J15" s="130"/>
      <c r="O15" s="89"/>
      <c r="P15" s="129" t="s">
        <v>98</v>
      </c>
      <c r="Q15" s="116">
        <v>148216234</v>
      </c>
      <c r="R15" s="116">
        <v>201970208991</v>
      </c>
      <c r="S15" s="116">
        <v>7.4</v>
      </c>
      <c r="T15" s="130">
        <f t="shared" si="1"/>
        <v>20029220.810810808</v>
      </c>
      <c r="U15" s="85"/>
    </row>
    <row r="16" spans="1:21" ht="15" hidden="1" customHeight="1">
      <c r="A16" s="129" t="s">
        <v>99</v>
      </c>
      <c r="B16" s="131">
        <f>F14+F15+F16</f>
        <v>19059825.336363636</v>
      </c>
      <c r="C16" s="131">
        <f>AVERAGE(F14:F16)</f>
        <v>6353275.1121212123</v>
      </c>
      <c r="D16" s="90">
        <f>C16/C13-1</f>
        <v>6.1898781536386061E-2</v>
      </c>
      <c r="E16" s="286"/>
      <c r="F16" s="78">
        <f>Q16/22</f>
        <v>4749054.0909090908</v>
      </c>
      <c r="G16" s="90">
        <f t="shared" si="2"/>
        <v>-0.29508942994732956</v>
      </c>
      <c r="H16" s="90"/>
      <c r="I16" s="130">
        <f t="shared" si="0"/>
        <v>18233715.532286212</v>
      </c>
      <c r="J16" s="130"/>
      <c r="K16" s="78">
        <f>R14+R15+R16</f>
        <v>554489612731</v>
      </c>
      <c r="L16" s="87">
        <f>U16/U13-1</f>
        <v>7.4188206738712292E-2</v>
      </c>
      <c r="N16" s="88">
        <f>AVERAGE(T14:T16)</f>
        <v>19642597.425870903</v>
      </c>
      <c r="O16" s="89">
        <f>N16/N13-1</f>
        <v>-2.6982009540192808E-2</v>
      </c>
      <c r="P16" s="129" t="s">
        <v>99</v>
      </c>
      <c r="Q16" s="116">
        <v>104479190</v>
      </c>
      <c r="R16" s="116">
        <v>136357759901</v>
      </c>
      <c r="S16" s="116">
        <v>5.73</v>
      </c>
      <c r="T16" s="130">
        <f t="shared" si="1"/>
        <v>18233715.532286212</v>
      </c>
      <c r="U16" s="85">
        <f>Q14+Q15+Q16</f>
        <v>404168818</v>
      </c>
    </row>
    <row r="17" spans="1:21" ht="15" hidden="1" customHeight="1">
      <c r="A17" s="129" t="s">
        <v>100</v>
      </c>
      <c r="C17" s="79"/>
      <c r="F17" s="78">
        <f>Q17/20</f>
        <v>6871000.8499999996</v>
      </c>
      <c r="G17" s="90">
        <f t="shared" si="2"/>
        <v>0.44681461159873082</v>
      </c>
      <c r="H17" s="90">
        <f t="shared" ref="H17:H26" si="3">F17/F5-1</f>
        <v>-0.10736037596713555</v>
      </c>
      <c r="I17" s="130">
        <f t="shared" si="0"/>
        <v>20208826.029411767</v>
      </c>
      <c r="J17" s="130">
        <f t="shared" ref="J17:J49" si="4">I17/I5-1</f>
        <v>0.19062373382030628</v>
      </c>
      <c r="O17" s="89"/>
      <c r="P17" s="129" t="s">
        <v>100</v>
      </c>
      <c r="Q17" s="116">
        <v>137420017</v>
      </c>
      <c r="R17" s="116">
        <v>172216368064</v>
      </c>
      <c r="S17" s="116">
        <v>6.8</v>
      </c>
      <c r="T17" s="130">
        <f t="shared" si="1"/>
        <v>20208826.029411767</v>
      </c>
      <c r="U17" s="78"/>
    </row>
    <row r="18" spans="1:21" hidden="1">
      <c r="A18" s="129" t="s">
        <v>106</v>
      </c>
      <c r="C18" s="79"/>
      <c r="F18" s="78">
        <f>Q18/20</f>
        <v>6094827.9500000002</v>
      </c>
      <c r="G18" s="90">
        <f t="shared" si="2"/>
        <v>-0.11296358666583484</v>
      </c>
      <c r="H18" s="90">
        <f t="shared" si="3"/>
        <v>2.924586599904444E-2</v>
      </c>
      <c r="I18" s="130">
        <f t="shared" si="0"/>
        <v>18220711.360239163</v>
      </c>
      <c r="J18" s="130">
        <f t="shared" si="4"/>
        <v>5.4716325064624316E-2</v>
      </c>
      <c r="O18" s="89"/>
      <c r="P18" s="129" t="s">
        <v>106</v>
      </c>
      <c r="Q18" s="116">
        <v>121896559</v>
      </c>
      <c r="R18" s="116">
        <v>154352393961</v>
      </c>
      <c r="S18" s="116">
        <v>6.69</v>
      </c>
      <c r="T18" s="130">
        <f t="shared" si="1"/>
        <v>18220711.360239163</v>
      </c>
      <c r="U18" s="78"/>
    </row>
    <row r="19" spans="1:21" hidden="1">
      <c r="A19" s="129" t="s">
        <v>114</v>
      </c>
      <c r="B19" s="131">
        <f>SUM(F17:F19)</f>
        <v>19095015.663636364</v>
      </c>
      <c r="C19" s="131">
        <f>AVERAGE(F17:F19)</f>
        <v>6365005.2212121217</v>
      </c>
      <c r="D19" s="90">
        <f>C19/C16-1</f>
        <v>1.8463090113207681E-3</v>
      </c>
      <c r="E19" s="286">
        <f>C19/C7-1</f>
        <v>-5.3031513032417377E-2</v>
      </c>
      <c r="F19" s="78">
        <f>Q19/22</f>
        <v>6129186.8636363633</v>
      </c>
      <c r="G19" s="90">
        <f t="shared" si="2"/>
        <v>5.6373886052620836E-3</v>
      </c>
      <c r="H19" s="90">
        <f t="shared" si="3"/>
        <v>-6.3577456317707726E-2</v>
      </c>
      <c r="I19" s="130">
        <f t="shared" si="0"/>
        <v>16071765.315852204</v>
      </c>
      <c r="J19" s="130">
        <f t="shared" si="4"/>
        <v>-6.4693573771440915E-2</v>
      </c>
      <c r="K19" s="78">
        <f>R17+R18+R19</f>
        <v>502685428969</v>
      </c>
      <c r="L19" s="87">
        <f>U19/U16-1</f>
        <v>-2.4767202599978888E-2</v>
      </c>
      <c r="M19" s="87">
        <f>U19/U7-1</f>
        <v>-2.5649014878705079E-2</v>
      </c>
      <c r="N19" s="88">
        <f>AVERAGE(T17:T19)</f>
        <v>18167100.901834376</v>
      </c>
      <c r="O19" s="89">
        <f>N19/N16-1</f>
        <v>-7.5117179874245044E-2</v>
      </c>
      <c r="P19" s="129" t="s">
        <v>114</v>
      </c>
      <c r="Q19" s="116">
        <v>134842111</v>
      </c>
      <c r="R19" s="116">
        <v>176116666944</v>
      </c>
      <c r="S19" s="116">
        <v>8.39</v>
      </c>
      <c r="T19" s="130">
        <f t="shared" si="1"/>
        <v>16071765.315852204</v>
      </c>
      <c r="U19" s="85">
        <f>Q17+Q18+Q19</f>
        <v>394158687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4802267</v>
      </c>
      <c r="G20" s="90">
        <f t="shared" si="2"/>
        <v>-0.21649199039905265</v>
      </c>
      <c r="H20" s="90">
        <f t="shared" si="3"/>
        <v>-0.31483155496706594</v>
      </c>
      <c r="I20" s="130">
        <f t="shared" si="0"/>
        <v>15745137.704918034</v>
      </c>
      <c r="J20" s="130">
        <f t="shared" si="4"/>
        <v>-0.18806736958626546</v>
      </c>
      <c r="O20" s="89"/>
      <c r="P20" s="129" t="s">
        <v>131</v>
      </c>
      <c r="Q20" s="116">
        <v>96045340</v>
      </c>
      <c r="R20" s="116">
        <v>125878249483</v>
      </c>
      <c r="S20" s="116">
        <v>6.1</v>
      </c>
      <c r="T20" s="130">
        <f t="shared" si="1"/>
        <v>15745137.704918034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4900559.0476190476</v>
      </c>
      <c r="G21" s="90">
        <f t="shared" si="2"/>
        <v>2.0467843128890495E-2</v>
      </c>
      <c r="H21" s="90">
        <f t="shared" si="3"/>
        <v>-0.29583368167001145</v>
      </c>
      <c r="I21" s="130">
        <f t="shared" si="0"/>
        <v>13758254.010695186</v>
      </c>
      <c r="J21" s="130">
        <f t="shared" si="4"/>
        <v>-0.26759171703110829</v>
      </c>
      <c r="O21" s="89"/>
      <c r="P21" s="129" t="s">
        <v>141</v>
      </c>
      <c r="Q21" s="116">
        <v>102911740</v>
      </c>
      <c r="R21" s="116">
        <v>136614295479</v>
      </c>
      <c r="S21" s="116">
        <v>7.48</v>
      </c>
      <c r="T21" s="130">
        <f t="shared" si="1"/>
        <v>13758254.010695186</v>
      </c>
      <c r="U21" s="78"/>
    </row>
    <row r="22" spans="1:21" hidden="1">
      <c r="A22" s="129" t="s">
        <v>155</v>
      </c>
      <c r="B22" s="131">
        <f>SUM(F20:F22)</f>
        <v>14251866.476190478</v>
      </c>
      <c r="C22" s="131">
        <f>AVERAGE(F20:F22)</f>
        <v>4750622.1587301595</v>
      </c>
      <c r="D22" s="90">
        <f>C22/C19-1</f>
        <v>-0.25363420867304909</v>
      </c>
      <c r="E22" s="286">
        <f>C22/C10-1</f>
        <v>-0.29735442772302545</v>
      </c>
      <c r="F22" s="78">
        <f>Q22/21</f>
        <v>4549040.4285714282</v>
      </c>
      <c r="G22" s="90">
        <f t="shared" si="2"/>
        <v>-7.1730309875238762E-2</v>
      </c>
      <c r="H22" s="90">
        <f t="shared" si="3"/>
        <v>-0.27963254279195326</v>
      </c>
      <c r="I22" s="130">
        <f t="shared" si="0"/>
        <v>13804891.47398844</v>
      </c>
      <c r="J22" s="130">
        <f t="shared" si="4"/>
        <v>-0.33064122112026861</v>
      </c>
      <c r="K22" s="78">
        <f>R20+R21+R22</f>
        <v>385802338365</v>
      </c>
      <c r="L22" s="87">
        <f>U22/U19-1</f>
        <v>-0.25287215856795264</v>
      </c>
      <c r="M22" s="87">
        <f>U22/U10-1</f>
        <v>-0.30862877938536171</v>
      </c>
      <c r="N22" s="88">
        <f>AVERAGE(T20:T22)</f>
        <v>14436094.396533886</v>
      </c>
      <c r="O22" s="89">
        <f>N22/N19-1</f>
        <v>-0.20537159591180354</v>
      </c>
      <c r="P22" s="129" t="s">
        <v>155</v>
      </c>
      <c r="Q22" s="116">
        <v>95529849</v>
      </c>
      <c r="R22" s="116">
        <v>123309793403</v>
      </c>
      <c r="S22" s="116">
        <v>6.92</v>
      </c>
      <c r="T22" s="130">
        <f t="shared" si="1"/>
        <v>13804891.47398844</v>
      </c>
      <c r="U22" s="85">
        <f>Q20+Q21+Q22</f>
        <v>294486929</v>
      </c>
    </row>
    <row r="23" spans="1:21" hidden="1">
      <c r="A23" s="129" t="s">
        <v>189</v>
      </c>
      <c r="B23" s="131"/>
      <c r="C23" s="131"/>
      <c r="F23" s="78">
        <f>Q23/21</f>
        <v>5192251.4285714282</v>
      </c>
      <c r="G23" s="90">
        <f t="shared" si="2"/>
        <v>0.14139487439156317</v>
      </c>
      <c r="H23" s="90">
        <f t="shared" si="3"/>
        <v>-0.28115117518694532</v>
      </c>
      <c r="I23" s="130">
        <f t="shared" si="0"/>
        <v>13732654.91183879</v>
      </c>
      <c r="J23" s="130">
        <f t="shared" si="4"/>
        <v>-0.28024582402219333</v>
      </c>
      <c r="O23" s="89"/>
      <c r="P23" s="129" t="s">
        <v>189</v>
      </c>
      <c r="Q23" s="116">
        <v>109037280</v>
      </c>
      <c r="R23" s="116">
        <v>139993734428</v>
      </c>
      <c r="S23" s="116">
        <v>7.94</v>
      </c>
      <c r="T23" s="130">
        <f t="shared" si="1"/>
        <v>13732654.91183879</v>
      </c>
      <c r="U23" s="78"/>
    </row>
    <row r="24" spans="1:21" hidden="1">
      <c r="A24" s="129" t="s">
        <v>205</v>
      </c>
      <c r="B24" s="131"/>
      <c r="C24" s="131"/>
      <c r="F24" s="78">
        <f>Q24/22</f>
        <v>3643787.1818181816</v>
      </c>
      <c r="G24" s="90">
        <f t="shared" si="2"/>
        <v>-0.29822597538950146</v>
      </c>
      <c r="H24" s="90">
        <f t="shared" si="3"/>
        <v>-0.27528687136879826</v>
      </c>
      <c r="I24" s="130">
        <f t="shared" si="0"/>
        <v>12826130.880000001</v>
      </c>
      <c r="J24" s="130">
        <f t="shared" si="4"/>
        <v>-0.34022116769415378</v>
      </c>
      <c r="O24" s="89"/>
      <c r="P24" s="129" t="s">
        <v>205</v>
      </c>
      <c r="Q24" s="116">
        <v>80163318</v>
      </c>
      <c r="R24" s="116">
        <v>104968096648</v>
      </c>
      <c r="S24" s="116">
        <v>6.25</v>
      </c>
      <c r="T24" s="130">
        <f t="shared" si="1"/>
        <v>12826130.880000001</v>
      </c>
      <c r="U24" s="78"/>
    </row>
    <row r="25" spans="1:21" s="79" customFormat="1" ht="13.2" hidden="1">
      <c r="A25" s="129" t="s">
        <v>217</v>
      </c>
      <c r="B25" s="131">
        <f>SUM(F23:F25)</f>
        <v>12508408.294600135</v>
      </c>
      <c r="C25" s="131">
        <f>AVERAGE(F23:F25)</f>
        <v>4169469.4315333781</v>
      </c>
      <c r="D25" s="90">
        <f>C25/C22-1</f>
        <v>-0.12233191943686872</v>
      </c>
      <c r="E25" s="286">
        <f>C25/C13-1</f>
        <v>-0.30310675504177187</v>
      </c>
      <c r="F25" s="78">
        <f>Q25/19</f>
        <v>3672369.6842105263</v>
      </c>
      <c r="G25" s="90">
        <f t="shared" si="2"/>
        <v>7.8441744718149575E-3</v>
      </c>
      <c r="H25" s="90">
        <f t="shared" si="3"/>
        <v>-0.35548760019695202</v>
      </c>
      <c r="I25" s="130">
        <f t="shared" si="0"/>
        <v>12897416.635859519</v>
      </c>
      <c r="J25" s="130">
        <f t="shared" si="4"/>
        <v>-0.41487566513259333</v>
      </c>
      <c r="K25" s="78">
        <f>R23+R24+R25</f>
        <v>337639144409</v>
      </c>
      <c r="L25" s="90">
        <f>U25/U22-1</f>
        <v>-0.12058703970524953</v>
      </c>
      <c r="M25" s="90">
        <f>U25/U13-1</f>
        <v>-0.3117020744900153</v>
      </c>
      <c r="N25" s="88">
        <f>AVERAGE(T23:T25)</f>
        <v>13152067.475899437</v>
      </c>
      <c r="O25" s="91">
        <f>N25/N22-1</f>
        <v>-8.8945589116038448E-2</v>
      </c>
      <c r="P25" s="129" t="s">
        <v>217</v>
      </c>
      <c r="Q25" s="116">
        <v>69775024</v>
      </c>
      <c r="R25" s="116">
        <v>92677313333</v>
      </c>
      <c r="S25" s="116">
        <v>5.41</v>
      </c>
      <c r="T25" s="130">
        <f t="shared" si="1"/>
        <v>12897416.635859519</v>
      </c>
      <c r="U25" s="85">
        <f>Q23+Q24+Q25</f>
        <v>258975622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3979440.3157894737</v>
      </c>
      <c r="G26" s="90">
        <f t="shared" si="2"/>
        <v>8.3616481450439872E-2</v>
      </c>
      <c r="H26" s="90">
        <f t="shared" si="3"/>
        <v>-0.47456906976158819</v>
      </c>
      <c r="I26" s="130">
        <f t="shared" si="0"/>
        <v>10957879.130434781</v>
      </c>
      <c r="J26" s="130">
        <f t="shared" si="4"/>
        <v>-0.46973358221519124</v>
      </c>
      <c r="L26" s="90"/>
      <c r="M26" s="90"/>
      <c r="P26" s="129" t="s">
        <v>312</v>
      </c>
      <c r="Q26" s="116">
        <v>75609366</v>
      </c>
      <c r="R26" s="116">
        <v>101939670283</v>
      </c>
      <c r="S26" s="116">
        <v>6.9</v>
      </c>
      <c r="T26" s="130">
        <f t="shared" si="1"/>
        <v>10957879.130434781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2641192.7272727271</v>
      </c>
      <c r="G27" s="90">
        <f t="shared" ref="G27" si="5">F27/F26-1</f>
        <v>-0.33629040325266302</v>
      </c>
      <c r="H27" s="90">
        <f t="shared" ref="H27" si="6">F27/F15-1</f>
        <v>-0.60796305214447699</v>
      </c>
      <c r="I27" s="130">
        <f t="shared" si="0"/>
        <v>10584014.571948998</v>
      </c>
      <c r="J27" s="130">
        <f t="shared" si="4"/>
        <v>-0.47157132711641703</v>
      </c>
      <c r="L27" s="90"/>
      <c r="M27" s="90"/>
      <c r="P27" s="129" t="s">
        <v>374</v>
      </c>
      <c r="Q27" s="116">
        <v>58106240</v>
      </c>
      <c r="R27" s="116">
        <v>76762326490</v>
      </c>
      <c r="S27" s="116">
        <v>5.49</v>
      </c>
      <c r="T27" s="130">
        <f t="shared" ref="T27" si="7">Q27/S27</f>
        <v>10584014.571948998</v>
      </c>
      <c r="U27" s="78"/>
    </row>
    <row r="28" spans="1:21" s="79" customFormat="1" ht="13.2" hidden="1">
      <c r="A28" s="123" t="s">
        <v>414</v>
      </c>
      <c r="B28" s="131">
        <f>SUM(F26:F28)</f>
        <v>9340469.937799044</v>
      </c>
      <c r="C28" s="131">
        <f>AVERAGE(F26:F28)</f>
        <v>3113489.9792663478</v>
      </c>
      <c r="D28" s="90">
        <f>C28/C25-1</f>
        <v>-0.25326470660289258</v>
      </c>
      <c r="E28" s="286">
        <f>C28/C16-1</f>
        <v>-0.50993937389454158</v>
      </c>
      <c r="F28" s="78">
        <f>Q28/19</f>
        <v>2719836.8947368423</v>
      </c>
      <c r="G28" s="90">
        <f t="shared" ref="G28" si="8">F28/F27-1</f>
        <v>2.9776004852672289E-2</v>
      </c>
      <c r="H28" s="90">
        <f t="shared" ref="H28" si="9">F28/F16-1</f>
        <v>-0.42728870998894108</v>
      </c>
      <c r="I28" s="130">
        <f t="shared" si="0"/>
        <v>10356092.384769538</v>
      </c>
      <c r="J28" s="130">
        <f t="shared" si="4"/>
        <v>-0.43203608905534718</v>
      </c>
      <c r="K28" s="78">
        <f>R26+R27+R28</f>
        <v>246138339549</v>
      </c>
      <c r="L28" s="90">
        <f>U28/U25-1</f>
        <v>-0.28413143457958367</v>
      </c>
      <c r="M28" s="90">
        <f>U28/U16-1</f>
        <v>-0.54129933150854792</v>
      </c>
      <c r="N28" s="88">
        <f>AVERAGE(T26:T28)</f>
        <v>10632662.029051105</v>
      </c>
      <c r="O28" s="91">
        <f>N28/N25-1</f>
        <v>-0.19155965033368538</v>
      </c>
      <c r="P28" s="129" t="s">
        <v>414</v>
      </c>
      <c r="Q28" s="116">
        <v>51676901</v>
      </c>
      <c r="R28" s="116">
        <v>67436342776</v>
      </c>
      <c r="S28" s="116">
        <v>4.99</v>
      </c>
      <c r="T28" s="130">
        <f t="shared" ref="T28" si="10">Q28/S28</f>
        <v>10356092.384769538</v>
      </c>
      <c r="U28" s="85">
        <f>Q26+Q27+Q28</f>
        <v>185392507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3470687.2727272729</v>
      </c>
      <c r="G29" s="190">
        <f t="shared" ref="G29" si="11">F29/F28-1</f>
        <v>0.27606448733870836</v>
      </c>
      <c r="H29" s="190">
        <f t="shared" ref="H29" si="12">F29/F17-1</f>
        <v>-0.49487893416178619</v>
      </c>
      <c r="I29" s="130">
        <f t="shared" si="0"/>
        <v>0.99399687870577924</v>
      </c>
      <c r="J29" s="130">
        <f t="shared" si="4"/>
        <v>-0.99999995081372484</v>
      </c>
      <c r="K29" s="136"/>
      <c r="L29" s="190"/>
      <c r="M29" s="190"/>
      <c r="N29" s="191"/>
      <c r="O29" s="192"/>
      <c r="P29" s="129" t="s">
        <v>426</v>
      </c>
      <c r="Q29" s="116">
        <v>76355120</v>
      </c>
      <c r="R29" s="116">
        <v>100693493169</v>
      </c>
      <c r="S29" s="116">
        <v>76816257.310000002</v>
      </c>
      <c r="T29" s="130">
        <f t="shared" ref="T29" si="13">Q29/S29</f>
        <v>0.99399687870577924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3643142.9473684211</v>
      </c>
      <c r="G30" s="190">
        <f t="shared" ref="G30" si="14">F30/F29-1</f>
        <v>4.968920017551226E-2</v>
      </c>
      <c r="H30" s="190">
        <f t="shared" ref="H30" si="15">F30/F18-1</f>
        <v>-0.40225663837345549</v>
      </c>
      <c r="I30" s="130">
        <f t="shared" si="0"/>
        <v>0.97178907061638864</v>
      </c>
      <c r="J30" s="130">
        <f t="shared" si="4"/>
        <v>-0.99999994666568981</v>
      </c>
      <c r="K30" s="136"/>
      <c r="L30" s="190"/>
      <c r="M30" s="190"/>
      <c r="N30" s="191"/>
      <c r="O30" s="192"/>
      <c r="P30" s="129" t="s">
        <v>467</v>
      </c>
      <c r="Q30" s="116">
        <v>69219716</v>
      </c>
      <c r="R30" s="116">
        <v>92297650344</v>
      </c>
      <c r="S30" s="116">
        <v>71229156.709999993</v>
      </c>
      <c r="T30" s="130">
        <f t="shared" ref="T30" si="16">Q30/S30</f>
        <v>0.97178907061638864</v>
      </c>
      <c r="U30" s="85"/>
    </row>
    <row r="31" spans="1:21" s="79" customFormat="1" ht="13.2" hidden="1">
      <c r="A31" s="129" t="s">
        <v>505</v>
      </c>
      <c r="B31" s="188">
        <f>SUM(F29:F31)</f>
        <v>11990553.020095695</v>
      </c>
      <c r="C31" s="188">
        <f>AVERAGE(F29:F31)</f>
        <v>3996851.0066985651</v>
      </c>
      <c r="D31" s="190">
        <f>C31/C28-1</f>
        <v>0.2837205301172574</v>
      </c>
      <c r="E31" s="287">
        <f>C31/C19-1</f>
        <v>-0.37205848733971292</v>
      </c>
      <c r="F31" s="136">
        <f>Q31/20</f>
        <v>4876722.8</v>
      </c>
      <c r="G31" s="190">
        <f t="shared" ref="G31" si="17">F31/F30-1</f>
        <v>0.33860319796746929</v>
      </c>
      <c r="H31" s="190">
        <f t="shared" ref="H31" si="18">F31/F19-1</f>
        <v>-0.20434424524842987</v>
      </c>
      <c r="I31" s="130">
        <f t="shared" si="0"/>
        <v>1.1186672926470211</v>
      </c>
      <c r="J31" s="130">
        <f t="shared" si="4"/>
        <v>-0.99999993039549351</v>
      </c>
      <c r="K31" s="136">
        <f>R29+R30+R31</f>
        <v>322816732073</v>
      </c>
      <c r="L31" s="190">
        <f>U31/U28-1</f>
        <v>0.31132210213868028</v>
      </c>
      <c r="M31" s="190">
        <f>U31/U19-1</f>
        <v>-0.38321975382468232</v>
      </c>
      <c r="N31" s="191">
        <f>AVERAGE(T29:T31)</f>
        <v>1.0281510806563963</v>
      </c>
      <c r="O31" s="192">
        <f>N31/N28-1</f>
        <v>-0.99999990330257105</v>
      </c>
      <c r="P31" s="129" t="s">
        <v>505</v>
      </c>
      <c r="Q31" s="116">
        <v>97534456</v>
      </c>
      <c r="R31" s="116">
        <v>129825588560</v>
      </c>
      <c r="S31" s="116">
        <v>87188082.319999993</v>
      </c>
      <c r="T31" s="130">
        <f t="shared" ref="T31" si="19">Q31/S31</f>
        <v>1.1186672926470211</v>
      </c>
      <c r="U31" s="85">
        <f>Q29+Q30+Q31</f>
        <v>243109292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3638621.8571428573</v>
      </c>
      <c r="G32" s="190">
        <f t="shared" ref="G32" si="20">F32/F31-1</f>
        <v>-0.25387970439023977</v>
      </c>
      <c r="H32" s="190">
        <f t="shared" ref="H32" si="21">F32/F20-1</f>
        <v>-0.24231162966514408</v>
      </c>
      <c r="I32" s="130">
        <f t="shared" si="0"/>
        <v>1.0561788432614032</v>
      </c>
      <c r="J32" s="130">
        <f t="shared" si="4"/>
        <v>-0.99999993292031719</v>
      </c>
      <c r="K32" s="136"/>
      <c r="L32" s="190"/>
      <c r="M32" s="190"/>
      <c r="N32" s="191"/>
      <c r="O32" s="192"/>
      <c r="P32" s="129" t="s">
        <v>562</v>
      </c>
      <c r="Q32" s="116">
        <v>76411059</v>
      </c>
      <c r="R32" s="116">
        <v>103968222405</v>
      </c>
      <c r="S32" s="116">
        <v>72346704.810000002</v>
      </c>
      <c r="T32" s="130">
        <f t="shared" ref="T32" si="22">Q32/S32</f>
        <v>1.0561788432614032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4121188.3809523811</v>
      </c>
      <c r="G33" s="190">
        <f t="shared" ref="G33" si="23">F33/F32-1</f>
        <v>0.13262343347446603</v>
      </c>
      <c r="H33" s="190">
        <f t="shared" ref="H33" si="24">F33/F21-1</f>
        <v>-0.15903709333842764</v>
      </c>
      <c r="I33" s="130">
        <f t="shared" si="0"/>
        <v>1.0461996575936496</v>
      </c>
      <c r="J33" s="130">
        <f t="shared" si="4"/>
        <v>-0.99999992395839932</v>
      </c>
      <c r="K33" s="136"/>
      <c r="L33" s="190"/>
      <c r="M33" s="190"/>
      <c r="N33" s="191"/>
      <c r="O33" s="192"/>
      <c r="P33" s="129" t="s">
        <v>607</v>
      </c>
      <c r="Q33" s="116">
        <v>86544956</v>
      </c>
      <c r="R33" s="116">
        <v>118452211709</v>
      </c>
      <c r="S33" s="116">
        <v>82723173.700000003</v>
      </c>
      <c r="T33" s="130">
        <f t="shared" ref="T33" si="25">Q33/S33</f>
        <v>1.0461996575936496</v>
      </c>
      <c r="U33" s="85"/>
    </row>
    <row r="34" spans="1:21" s="79" customFormat="1" ht="13.2" hidden="1">
      <c r="A34" s="129" t="s">
        <v>652</v>
      </c>
      <c r="B34" s="188">
        <f>SUM(F32:F34)</f>
        <v>12025520.974937344</v>
      </c>
      <c r="C34" s="188">
        <f>AVERAGE(F32:F34)</f>
        <v>4008506.9916457813</v>
      </c>
      <c r="D34" s="190">
        <f>C34/C31-1</f>
        <v>2.9162920828624816E-3</v>
      </c>
      <c r="E34" s="287">
        <f>C34/C22-1</f>
        <v>-0.15621431094464167</v>
      </c>
      <c r="F34" s="136">
        <f>Q34/19</f>
        <v>4265710.7368421052</v>
      </c>
      <c r="G34" s="190">
        <f t="shared" ref="G34" si="26">F34/F33-1</f>
        <v>3.5068126600979577E-2</v>
      </c>
      <c r="H34" s="190">
        <f t="shared" ref="H34" si="27">F34/F22-1</f>
        <v>-6.2283397164333287E-2</v>
      </c>
      <c r="I34" s="130">
        <f t="shared" si="0"/>
        <v>1.0655944154566603</v>
      </c>
      <c r="J34" s="130">
        <f t="shared" si="4"/>
        <v>-0.99999992281037364</v>
      </c>
      <c r="K34" s="136">
        <f>R32+R33+R34</f>
        <v>333864635598</v>
      </c>
      <c r="L34" s="190">
        <f>U34/U31-1</f>
        <v>3.6824055248370069E-3</v>
      </c>
      <c r="M34" s="190">
        <f>U34/U22-1</f>
        <v>-0.17142495991732121</v>
      </c>
      <c r="N34" s="191">
        <f>AVERAGE(T32:T34)</f>
        <v>1.0559909721039045</v>
      </c>
      <c r="O34" s="192">
        <f>N34/N31-1</f>
        <v>2.7077626986234948E-2</v>
      </c>
      <c r="P34" s="129" t="s">
        <v>652</v>
      </c>
      <c r="Q34" s="116">
        <v>81048504</v>
      </c>
      <c r="R34" s="116">
        <v>111444201484</v>
      </c>
      <c r="S34" s="116">
        <v>76059430.140000001</v>
      </c>
      <c r="T34" s="130">
        <f t="shared" ref="T34" si="28">Q34/S34</f>
        <v>1.0655944154566603</v>
      </c>
      <c r="U34" s="85">
        <f>Q32+Q33+Q34</f>
        <v>244004519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4049786</v>
      </c>
      <c r="G35" s="190">
        <f t="shared" ref="G35" si="29">F35/F34-1</f>
        <v>-5.0618701117543075E-2</v>
      </c>
      <c r="H35" s="190">
        <f t="shared" ref="H35" si="30">F35/F23-1</f>
        <v>-0.22003276310634301</v>
      </c>
      <c r="I35" s="130">
        <f t="shared" si="0"/>
        <v>1.1169767510389672</v>
      </c>
      <c r="J35" s="130">
        <f t="shared" si="4"/>
        <v>-0.99999991866272342</v>
      </c>
      <c r="K35" s="136"/>
      <c r="L35" s="190"/>
      <c r="M35" s="190"/>
      <c r="N35" s="191"/>
      <c r="O35" s="192"/>
      <c r="P35" s="129" t="s">
        <v>660</v>
      </c>
      <c r="Q35" s="116">
        <v>93145078</v>
      </c>
      <c r="R35" s="116">
        <v>128967029555</v>
      </c>
      <c r="S35" s="116">
        <v>83390346.230000004</v>
      </c>
      <c r="T35" s="130">
        <f t="shared" ref="T35" si="31">Q35/S35</f>
        <v>1.1169767510389672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3505211.2857142859</v>
      </c>
      <c r="G36" s="190">
        <f t="shared" ref="G36" si="32">F36/F35-1</f>
        <v>-0.13446999774450163</v>
      </c>
      <c r="H36" s="190">
        <f t="shared" ref="H36" si="33">F36/F24-1</f>
        <v>-3.803073263865786E-2</v>
      </c>
      <c r="I36" s="130">
        <f t="shared" si="0"/>
        <v>1.1512035959040967</v>
      </c>
      <c r="J36" s="130">
        <f t="shared" si="4"/>
        <v>-0.99999991024545076</v>
      </c>
      <c r="K36" s="136"/>
      <c r="L36" s="190"/>
      <c r="M36" s="190"/>
      <c r="N36" s="191"/>
      <c r="O36" s="192"/>
      <c r="P36" s="129" t="s">
        <v>664</v>
      </c>
      <c r="Q36" s="116">
        <v>73609437</v>
      </c>
      <c r="R36" s="116">
        <v>99901519170</v>
      </c>
      <c r="S36" s="116">
        <v>63941284.810000002</v>
      </c>
      <c r="T36" s="130">
        <f t="shared" ref="T36" si="34">Q36/S36</f>
        <v>1.1512035959040967</v>
      </c>
      <c r="U36" s="85"/>
    </row>
    <row r="37" spans="1:21" s="79" customFormat="1" ht="13.2" hidden="1">
      <c r="A37" s="129" t="s">
        <v>702</v>
      </c>
      <c r="B37" s="188">
        <f>SUM(F35:F37)</f>
        <v>10945697.396825396</v>
      </c>
      <c r="C37" s="188">
        <f>AVERAGE(F35:F37)</f>
        <v>3648565.7989417985</v>
      </c>
      <c r="D37" s="190">
        <f>C37/C34-1</f>
        <v>-8.9794328275875301E-2</v>
      </c>
      <c r="E37" s="287">
        <f>C37/C25-1</f>
        <v>-0.12493283405606126</v>
      </c>
      <c r="F37" s="136">
        <f>Q37/18</f>
        <v>3390700.111111111</v>
      </c>
      <c r="G37" s="190">
        <f t="shared" ref="G37" si="35">F37/F36-1</f>
        <v>-3.2668836560544201E-2</v>
      </c>
      <c r="H37" s="190">
        <f t="shared" ref="H37" si="36">F37/F25-1</f>
        <v>-7.6699678224243839E-2</v>
      </c>
      <c r="I37" s="130">
        <f t="shared" si="0"/>
        <v>1.119631474198215</v>
      </c>
      <c r="J37" s="130">
        <f t="shared" si="4"/>
        <v>-0.99999991318947767</v>
      </c>
      <c r="K37" s="136">
        <f>R35+R36+R37</f>
        <v>310209690876</v>
      </c>
      <c r="L37" s="190">
        <f>U37/U34-1</f>
        <v>-6.6463531357794259E-2</v>
      </c>
      <c r="M37" s="190">
        <f>U37/U25-1</f>
        <v>-0.12043027354906788</v>
      </c>
      <c r="N37" s="191">
        <f>AVERAGE(T35:T37)</f>
        <v>1.1292706070470928</v>
      </c>
      <c r="O37" s="192">
        <f>N37/N34-1</f>
        <v>6.9394186957100201E-2</v>
      </c>
      <c r="P37" s="129" t="s">
        <v>702</v>
      </c>
      <c r="Q37" s="116">
        <v>61032602</v>
      </c>
      <c r="R37" s="116">
        <v>81341142151</v>
      </c>
      <c r="S37" s="116">
        <v>54511331.100000001</v>
      </c>
      <c r="T37" s="130">
        <f t="shared" ref="T37" si="37">Q37/S37</f>
        <v>1.119631474198215</v>
      </c>
      <c r="U37" s="85">
        <f>Q35+Q36+Q37</f>
        <v>227787117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3043530.35</v>
      </c>
      <c r="G38" s="190">
        <f t="shared" ref="G38" si="38">F38/F37-1</f>
        <v>-0.10238881344105233</v>
      </c>
      <c r="H38" s="190">
        <f t="shared" ref="H38" si="39">F38/F26-1</f>
        <v>-0.2351863306194103</v>
      </c>
      <c r="I38" s="130">
        <f t="shared" si="0"/>
        <v>1.183862171285202</v>
      </c>
      <c r="J38" s="130">
        <f t="shared" si="4"/>
        <v>-0.99999989196247219</v>
      </c>
      <c r="K38" s="136"/>
      <c r="L38" s="190"/>
      <c r="M38" s="190"/>
      <c r="N38" s="191"/>
      <c r="O38" s="192"/>
      <c r="P38" s="129" t="s">
        <v>728</v>
      </c>
      <c r="Q38" s="116">
        <v>60870607</v>
      </c>
      <c r="R38" s="116">
        <v>82663582894</v>
      </c>
      <c r="S38" s="116">
        <v>51416971.060000002</v>
      </c>
      <c r="T38" s="130">
        <f t="shared" ref="T38" si="40">Q38/S38</f>
        <v>1.183862171285202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4561896.9523809524</v>
      </c>
      <c r="G39" s="190">
        <f t="shared" ref="G39" si="41">F39/F38-1</f>
        <v>0.49888334525100175</v>
      </c>
      <c r="H39" s="190">
        <f t="shared" ref="H39" si="42">F39/F27-1</f>
        <v>0.72721093211987142</v>
      </c>
      <c r="I39" s="130">
        <f t="shared" si="0"/>
        <v>1.068348768370593</v>
      </c>
      <c r="J39" s="130">
        <f t="shared" si="4"/>
        <v>-0.99999989906015707</v>
      </c>
      <c r="K39" s="136"/>
      <c r="L39" s="190"/>
      <c r="M39" s="190"/>
      <c r="N39" s="191"/>
      <c r="O39" s="192"/>
      <c r="P39" s="129" t="s">
        <v>762</v>
      </c>
      <c r="Q39" s="116">
        <v>95799836</v>
      </c>
      <c r="R39" s="116">
        <v>133427123753</v>
      </c>
      <c r="S39" s="116">
        <v>89670937.840000004</v>
      </c>
      <c r="T39" s="130">
        <f t="shared" ref="T39" si="43">Q39/S39</f>
        <v>1.068348768370593</v>
      </c>
      <c r="U39" s="85"/>
    </row>
    <row r="40" spans="1:21" s="79" customFormat="1" ht="13.2" hidden="1">
      <c r="A40" s="129" t="s">
        <v>778</v>
      </c>
      <c r="B40" s="188">
        <f>SUM(F38:F40)</f>
        <v>10913022.873809524</v>
      </c>
      <c r="C40" s="188">
        <f>AVERAGE(F38:F40)</f>
        <v>3637674.2912698411</v>
      </c>
      <c r="D40" s="190">
        <f>C40/C37-1</f>
        <v>-2.9851476640810892E-3</v>
      </c>
      <c r="E40" s="287">
        <f>C40/C28-1</f>
        <v>0.16835908112574383</v>
      </c>
      <c r="F40" s="136">
        <f>Q40/21</f>
        <v>3307595.5714285714</v>
      </c>
      <c r="G40" s="190">
        <f t="shared" ref="G40" si="44">F40/F39-1</f>
        <v>-0.27495171286096987</v>
      </c>
      <c r="H40" s="190">
        <f t="shared" ref="H40" si="45">F40/F28-1</f>
        <v>0.21610070729943454</v>
      </c>
      <c r="I40" s="130">
        <f t="shared" si="0"/>
        <v>1.0495058302810698</v>
      </c>
      <c r="J40" s="130">
        <f t="shared" si="4"/>
        <v>-0.999999898658124</v>
      </c>
      <c r="K40" s="136">
        <f>R38+R39+R40</f>
        <v>315389412519</v>
      </c>
      <c r="L40" s="190">
        <f>U40/U37-1</f>
        <v>-7.2750690285965369E-3</v>
      </c>
      <c r="M40" s="190">
        <f>U40/U28-1</f>
        <v>0.21973618923012883</v>
      </c>
      <c r="N40" s="191">
        <f>AVERAGE(T38:T40)</f>
        <v>1.1005722566456215</v>
      </c>
      <c r="O40" s="192">
        <f>N40/N37-1</f>
        <v>-2.5413173974760617E-2</v>
      </c>
      <c r="P40" s="129" t="s">
        <v>778</v>
      </c>
      <c r="Q40" s="116">
        <v>69459507</v>
      </c>
      <c r="R40" s="116">
        <v>99298705872</v>
      </c>
      <c r="S40" s="116">
        <v>66183059.68</v>
      </c>
      <c r="T40" s="130">
        <f t="shared" ref="T40" si="46">Q40/S40</f>
        <v>1.0495058302810698</v>
      </c>
      <c r="U40" s="85">
        <f>Q38+Q39+Q40</f>
        <v>226129950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4156525.5555555555</v>
      </c>
      <c r="G41" s="190">
        <f t="shared" ref="G41" si="47">F41/F40-1</f>
        <v>0.25666075727641813</v>
      </c>
      <c r="H41" s="190">
        <f t="shared" ref="H41" si="48">F41/F29-1</f>
        <v>0.19760878147034822</v>
      </c>
      <c r="I41" s="130">
        <f t="shared" si="0"/>
        <v>1.0942214309596154</v>
      </c>
      <c r="J41" s="130">
        <f t="shared" si="4"/>
        <v>0.10082984604975054</v>
      </c>
      <c r="K41" s="193"/>
      <c r="L41" s="190"/>
      <c r="M41" s="190"/>
      <c r="N41" s="193"/>
      <c r="O41" s="193"/>
      <c r="P41" s="129" t="s">
        <v>793</v>
      </c>
      <c r="Q41" s="116">
        <v>74817460</v>
      </c>
      <c r="R41" s="116">
        <v>109432324240</v>
      </c>
      <c r="S41" s="116">
        <v>68375063.659999996</v>
      </c>
      <c r="T41" s="130">
        <f t="shared" ref="T41" si="49">Q41/S41</f>
        <v>1.0942214309596154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3697381.55</v>
      </c>
      <c r="G42" s="190">
        <f t="shared" ref="G42" si="50">F42/F41-1</f>
        <v>-0.11046341455590714</v>
      </c>
      <c r="H42" s="190">
        <f t="shared" ref="H42" si="51">F42/F30-1</f>
        <v>1.4887860129330743E-2</v>
      </c>
      <c r="I42" s="130">
        <f t="shared" si="0"/>
        <v>1.1487842428380244</v>
      </c>
      <c r="J42" s="130">
        <f t="shared" si="4"/>
        <v>0.18213332252169789</v>
      </c>
      <c r="K42" s="193"/>
      <c r="L42" s="190"/>
      <c r="M42" s="190"/>
      <c r="N42" s="193"/>
      <c r="O42" s="193"/>
      <c r="P42" s="129" t="s">
        <v>826</v>
      </c>
      <c r="Q42" s="116">
        <v>73947631</v>
      </c>
      <c r="R42" s="116">
        <v>106974199218</v>
      </c>
      <c r="S42" s="116">
        <v>64370338.869999997</v>
      </c>
      <c r="T42" s="130">
        <f t="shared" ref="T42" si="52">Q42/S42</f>
        <v>1.1487842428380244</v>
      </c>
      <c r="U42" s="78"/>
    </row>
    <row r="43" spans="1:21" s="79" customFormat="1" ht="13.2">
      <c r="A43" s="129" t="s">
        <v>835</v>
      </c>
      <c r="B43" s="188">
        <f>SUM(F41:F43)</f>
        <v>13064927.655555554</v>
      </c>
      <c r="C43" s="188">
        <f>AVERAGE(F41:F43)</f>
        <v>4354975.8851851849</v>
      </c>
      <c r="D43" s="190">
        <f>C43/C40-1</f>
        <v>0.19718686624495674</v>
      </c>
      <c r="E43" s="287">
        <f>C43/C31-1</f>
        <v>8.9601758455948533E-2</v>
      </c>
      <c r="F43" s="136">
        <f>Q43/20</f>
        <v>5211020.55</v>
      </c>
      <c r="G43" s="190">
        <f t="shared" ref="G43" si="53">F43/F42-1</f>
        <v>0.40938133636762486</v>
      </c>
      <c r="H43" s="190">
        <f t="shared" ref="H43" si="54">F43/F31-1</f>
        <v>6.8549672333231726E-2</v>
      </c>
      <c r="I43" s="130">
        <f t="shared" si="0"/>
        <v>1.1417331698437185</v>
      </c>
      <c r="J43" s="130">
        <f t="shared" si="4"/>
        <v>2.0619068196870538E-2</v>
      </c>
      <c r="K43" s="136">
        <f>R41+R42+R43</f>
        <v>367933741853</v>
      </c>
      <c r="L43" s="190">
        <f>U43/U40-1</f>
        <v>0.11876158819298377</v>
      </c>
      <c r="M43" s="190">
        <f>K43/K31-1</f>
        <v>0.13976044392208742</v>
      </c>
      <c r="N43" s="191">
        <f>AVERAGE(T41:T43)</f>
        <v>1.1282462812137861</v>
      </c>
      <c r="O43" s="192">
        <f>N43/N40-1</f>
        <v>2.5145122822294974E-2</v>
      </c>
      <c r="P43" s="129" t="s">
        <v>835</v>
      </c>
      <c r="Q43" s="116">
        <v>104220411</v>
      </c>
      <c r="R43" s="116">
        <v>151527218395</v>
      </c>
      <c r="S43" s="116">
        <v>91282633.939999998</v>
      </c>
      <c r="T43" s="130">
        <f t="shared" ref="T43" si="55">Q43/S43</f>
        <v>1.1417331698437185</v>
      </c>
      <c r="U43" s="85">
        <f>Q41+Q42+Q43</f>
        <v>252985502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3928769.2727272729</v>
      </c>
      <c r="G44" s="190">
        <f t="shared" ref="G44" si="56">F44/F43-1</f>
        <v>-0.24606528893322577</v>
      </c>
      <c r="H44" s="190">
        <f t="shared" ref="H44" si="57">F44/F32-1</f>
        <v>7.9741019258386725E-2</v>
      </c>
      <c r="I44" s="130">
        <f t="shared" si="0"/>
        <v>1.069477589056133</v>
      </c>
      <c r="J44" s="130">
        <f t="shared" si="4"/>
        <v>1.2591376810450194E-2</v>
      </c>
      <c r="K44" s="136"/>
      <c r="L44" s="190"/>
      <c r="M44" s="190"/>
      <c r="N44" s="191"/>
      <c r="O44" s="192"/>
      <c r="P44" s="129" t="s">
        <v>843</v>
      </c>
      <c r="Q44" s="116">
        <v>86432924</v>
      </c>
      <c r="R44" s="116">
        <v>124835188507</v>
      </c>
      <c r="S44" s="116">
        <v>80817891.730000004</v>
      </c>
      <c r="T44" s="130">
        <f t="shared" ref="T44" si="58">Q44/S44</f>
        <v>1.069477589056133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4161817.15</v>
      </c>
      <c r="G45" s="190">
        <f t="shared" ref="G45" si="59">F45/F44-1</f>
        <v>5.9318290562517584E-2</v>
      </c>
      <c r="H45" s="190">
        <f t="shared" ref="H45" si="60">F45/F33-1</f>
        <v>9.8585081030024835E-3</v>
      </c>
      <c r="I45" s="130">
        <f t="shared" si="0"/>
        <v>1.1090406807544197</v>
      </c>
      <c r="J45" s="130">
        <f t="shared" si="4"/>
        <v>6.0065994769401776E-2</v>
      </c>
      <c r="K45" s="136"/>
      <c r="L45" s="190"/>
      <c r="M45" s="190"/>
      <c r="N45" s="191"/>
      <c r="O45" s="192"/>
      <c r="P45" s="129" t="s">
        <v>849</v>
      </c>
      <c r="Q45" s="116">
        <v>83236343</v>
      </c>
      <c r="R45" s="116">
        <v>116767609145</v>
      </c>
      <c r="S45" s="116">
        <v>75052560.689999998</v>
      </c>
      <c r="T45" s="130">
        <f t="shared" ref="T45" si="61">Q45/S45</f>
        <v>1.1090406807544197</v>
      </c>
      <c r="U45" s="85"/>
    </row>
    <row r="46" spans="1:21" s="79" customFormat="1" ht="13.2">
      <c r="A46" s="129" t="s">
        <v>888</v>
      </c>
      <c r="B46" s="188">
        <f>SUM(F44:F46)</f>
        <v>11529556.05430622</v>
      </c>
      <c r="C46" s="188">
        <f>AVERAGE(F44:F46)</f>
        <v>3843185.3514354066</v>
      </c>
      <c r="D46" s="190">
        <f>C46/C43-1</f>
        <v>-0.11751856892957646</v>
      </c>
      <c r="E46" s="287">
        <f>C46/C34-1</f>
        <v>-4.1242697232392267E-2</v>
      </c>
      <c r="F46" s="136">
        <f>Q46/19</f>
        <v>3438969.6315789474</v>
      </c>
      <c r="G46" s="190">
        <f t="shared" ref="G46" si="62">F46/F45-1</f>
        <v>-0.17368555425868537</v>
      </c>
      <c r="H46" s="190">
        <f t="shared" ref="H46" si="63">F46/F34-1</f>
        <v>-0.19381086910623291</v>
      </c>
      <c r="I46" s="130">
        <f t="shared" si="0"/>
        <v>1.0384341051861612</v>
      </c>
      <c r="J46" s="130">
        <f t="shared" si="4"/>
        <v>-2.5488412736153099E-2</v>
      </c>
      <c r="K46" s="136">
        <f>R44+R45+R46</f>
        <v>331180409251</v>
      </c>
      <c r="L46" s="190">
        <f>U46/U43-1</f>
        <v>-7.1054712060140135E-2</v>
      </c>
      <c r="M46" s="190">
        <f>K46/K34-1</f>
        <v>-8.0398642467542913E-3</v>
      </c>
      <c r="N46" s="191">
        <f>AVERAGE(T44:T46)</f>
        <v>1.0723174583322381</v>
      </c>
      <c r="O46" s="192">
        <f>N46/N43-1</f>
        <v>-4.9571466631716965E-2</v>
      </c>
      <c r="P46" s="129" t="s">
        <v>888</v>
      </c>
      <c r="Q46" s="116">
        <v>65340423</v>
      </c>
      <c r="R46" s="116">
        <v>89577611599</v>
      </c>
      <c r="S46" s="116">
        <v>62922069.560000002</v>
      </c>
      <c r="T46" s="130">
        <f t="shared" ref="T46" si="64">Q46/S46</f>
        <v>1.0384341051861612</v>
      </c>
      <c r="U46" s="85">
        <f t="shared" ref="U46:U51" si="65">Q44+Q45+Q46</f>
        <v>235009690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2723014.8260869565</v>
      </c>
      <c r="G47" s="190">
        <f t="shared" ref="G47" si="66">F47/F46-1</f>
        <v>-0.20818875482865828</v>
      </c>
      <c r="H47" s="190">
        <f t="shared" ref="H47" si="67">F47/F35-1</f>
        <v>-0.32761513174104595</v>
      </c>
      <c r="I47" s="130">
        <f t="shared" si="0"/>
        <v>1.0813531629477211</v>
      </c>
      <c r="J47" s="130">
        <f t="shared" si="4"/>
        <v>-3.1892864429013845E-2</v>
      </c>
      <c r="K47" s="136"/>
      <c r="L47" s="190"/>
      <c r="M47" s="190"/>
      <c r="N47" s="191"/>
      <c r="O47" s="192"/>
      <c r="P47" s="129" t="s">
        <v>1029</v>
      </c>
      <c r="Q47" s="116">
        <v>62629341</v>
      </c>
      <c r="R47" s="116">
        <v>86007580386</v>
      </c>
      <c r="S47" s="116">
        <v>57917563.979999997</v>
      </c>
      <c r="T47" s="130">
        <f t="shared" ref="T47" si="68">Q47/S47</f>
        <v>1.0813531629477211</v>
      </c>
      <c r="U47" s="85">
        <f t="shared" si="65"/>
        <v>211206107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1568928.1</v>
      </c>
      <c r="G48" s="190">
        <f t="shared" ref="G48" si="69">F48/F47-1</f>
        <v>-0.42382682423562457</v>
      </c>
      <c r="H48" s="190">
        <f t="shared" ref="H48" si="70">F48/F36-1</f>
        <v>-0.55240127566795549</v>
      </c>
      <c r="I48" s="130">
        <f t="shared" si="0"/>
        <v>1.0553307516576333</v>
      </c>
      <c r="J48" s="130">
        <f t="shared" si="4"/>
        <v>-8.3280528820073529E-2</v>
      </c>
      <c r="K48" s="136"/>
      <c r="L48" s="190"/>
      <c r="M48" s="190"/>
      <c r="N48" s="191"/>
      <c r="O48" s="192"/>
      <c r="P48" s="129" t="s">
        <v>1070</v>
      </c>
      <c r="Q48" s="116">
        <v>31378562</v>
      </c>
      <c r="R48" s="116">
        <v>43502956508</v>
      </c>
      <c r="S48" s="116">
        <v>29733391.120000001</v>
      </c>
      <c r="T48" s="130">
        <f t="shared" ref="T48" si="71">Q48/S48</f>
        <v>1.0553307516576333</v>
      </c>
      <c r="U48" s="85">
        <f t="shared" si="65"/>
        <v>159348326</v>
      </c>
    </row>
    <row r="49" spans="1:26" ht="13.2">
      <c r="A49" s="129" t="s">
        <v>1229</v>
      </c>
      <c r="B49" s="188">
        <f>SUM(F47:F49)</f>
        <v>6137439.244268775</v>
      </c>
      <c r="C49" s="188">
        <f>AVERAGE(F47:F49)</f>
        <v>2045813.081422925</v>
      </c>
      <c r="D49" s="190">
        <f>C49/C46-1</f>
        <v>-0.46767774792365246</v>
      </c>
      <c r="E49" s="287">
        <f>C49/C37-1</f>
        <v>-0.43928294180242644</v>
      </c>
      <c r="F49" s="136">
        <f>Q49/22</f>
        <v>1845496.3181818181</v>
      </c>
      <c r="G49" s="190">
        <f t="shared" ref="G49" si="72">F49/F48-1</f>
        <v>0.17627845290158173</v>
      </c>
      <c r="H49" s="190">
        <f t="shared" ref="H49" si="73">F49/F37-1</f>
        <v>-0.45571821225526765</v>
      </c>
      <c r="I49" s="130">
        <f t="shared" si="0"/>
        <v>0.88141515455786357</v>
      </c>
      <c r="J49" s="130">
        <f t="shared" si="4"/>
        <v>-0.21276315031331328</v>
      </c>
      <c r="K49" s="136">
        <f>R47+R48+R49</f>
        <v>185961865492</v>
      </c>
      <c r="L49" s="190">
        <f>U49/U46-1</f>
        <v>-0.42722012015759858</v>
      </c>
      <c r="M49" s="190">
        <f>K49/K37-1</f>
        <v>-0.40052851035419634</v>
      </c>
      <c r="N49" s="191">
        <f>AVERAGE(T47:T49)</f>
        <v>1.0060330230544061</v>
      </c>
      <c r="O49" s="192">
        <f>N49/N46-1</f>
        <v>-6.1814190156824766E-2</v>
      </c>
      <c r="P49" s="129" t="s">
        <v>1158</v>
      </c>
      <c r="Q49" s="116">
        <v>40600919</v>
      </c>
      <c r="R49" s="116">
        <v>56451328598</v>
      </c>
      <c r="S49" s="116">
        <v>46063332.119999997</v>
      </c>
      <c r="T49" s="130">
        <f t="shared" ref="T49" si="74">Q49/S49</f>
        <v>0.88141515455786357</v>
      </c>
      <c r="U49" s="85">
        <f t="shared" si="65"/>
        <v>134608822</v>
      </c>
      <c r="V49" s="79"/>
      <c r="W49" s="79"/>
      <c r="X49" s="79"/>
      <c r="Y49" s="79"/>
      <c r="Z49" s="79"/>
    </row>
    <row r="50" spans="1:26" ht="13.2">
      <c r="A50" s="129" t="s">
        <v>1309</v>
      </c>
      <c r="B50" s="188"/>
      <c r="C50" s="188"/>
      <c r="D50" s="190"/>
      <c r="E50" s="287"/>
      <c r="F50" s="136">
        <f>Q50/18</f>
        <v>1960061.3333333333</v>
      </c>
      <c r="G50" s="190">
        <f t="shared" ref="G50" si="75">F50/F49-1</f>
        <v>6.207815969223085E-2</v>
      </c>
      <c r="H50" s="190">
        <f t="shared" ref="H50" si="76">F50/F38-1</f>
        <v>-0.35599086983531048</v>
      </c>
      <c r="I50" s="130">
        <f t="shared" ref="I50" si="77">T50</f>
        <v>0.85641985230089512</v>
      </c>
      <c r="J50" s="130">
        <f t="shared" ref="J50" si="78">I50/I38-1</f>
        <v>-0.27658821011979384</v>
      </c>
      <c r="K50" s="136"/>
      <c r="L50" s="190"/>
      <c r="M50" s="190"/>
      <c r="N50" s="191"/>
      <c r="O50" s="192"/>
      <c r="P50" s="129" t="s">
        <v>1291</v>
      </c>
      <c r="Q50" s="116">
        <v>35281104</v>
      </c>
      <c r="R50" s="116">
        <v>49878936627</v>
      </c>
      <c r="S50" s="116">
        <v>41196037.090000004</v>
      </c>
      <c r="T50" s="130">
        <f t="shared" ref="T50" si="79">Q50/S50</f>
        <v>0.85641985230089512</v>
      </c>
      <c r="U50" s="85">
        <f t="shared" si="65"/>
        <v>107260585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2440165</v>
      </c>
      <c r="G51" s="190">
        <f t="shared" ref="G51:G52" si="80">F51/F50-1</f>
        <v>0.24494318545133975</v>
      </c>
      <c r="H51" s="190">
        <f t="shared" ref="H51:H52" si="81">F51/F39-1</f>
        <v>-0.46509861457382873</v>
      </c>
      <c r="I51" s="130">
        <f t="shared" ref="I51:I52" si="82">T51</f>
        <v>0.92552684246702177</v>
      </c>
      <c r="J51" s="130">
        <f t="shared" ref="J51:J52" si="83">I51/I39-1</f>
        <v>-0.13368473866581798</v>
      </c>
      <c r="K51" s="136"/>
      <c r="L51" s="190"/>
      <c r="M51" s="190"/>
      <c r="N51" s="191"/>
      <c r="O51" s="192"/>
      <c r="P51" s="129" t="s">
        <v>1402</v>
      </c>
      <c r="Q51" s="116">
        <v>48803300</v>
      </c>
      <c r="R51" s="116">
        <v>71012430344</v>
      </c>
      <c r="S51" s="116">
        <v>52730291.289999999</v>
      </c>
      <c r="T51" s="130">
        <f t="shared" ref="T51:T52" si="84">Q51/S51</f>
        <v>0.92552684246702177</v>
      </c>
      <c r="U51" s="85">
        <f t="shared" si="65"/>
        <v>124685323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7053489.7878787871</v>
      </c>
      <c r="C52" s="188">
        <f>AVERAGE(F50:F52)</f>
        <v>2351163.2626262624</v>
      </c>
      <c r="D52" s="190">
        <f>C52/C49-1</f>
        <v>0.1492561485582824</v>
      </c>
      <c r="E52" s="287">
        <f>C52/C40-1</f>
        <v>-0.35366306206443865</v>
      </c>
      <c r="F52" s="136">
        <f>Q52/22</f>
        <v>2653263.4545454546</v>
      </c>
      <c r="G52" s="190">
        <f t="shared" si="80"/>
        <v>8.732952671047034E-2</v>
      </c>
      <c r="H52" s="190">
        <f t="shared" si="81"/>
        <v>-0.19782712328415253</v>
      </c>
      <c r="I52" s="130">
        <f t="shared" si="82"/>
        <v>0.9028865445735621</v>
      </c>
      <c r="J52" s="130">
        <f t="shared" si="83"/>
        <v>-0.13970316455339882</v>
      </c>
      <c r="K52" s="136">
        <f>R50+R51+R52</f>
        <v>206847310329</v>
      </c>
      <c r="L52" s="190">
        <f>U52/U49-1</f>
        <v>5.8297650060409767E-2</v>
      </c>
      <c r="M52" s="190">
        <f>K52/K40-1</f>
        <v>-0.34415265028422948</v>
      </c>
      <c r="N52" s="191">
        <f>AVERAGE(T50:T52)</f>
        <v>0.89494441311382644</v>
      </c>
      <c r="O52" s="192">
        <f>N52/N49-1</f>
        <v>-0.11042242888141462</v>
      </c>
      <c r="P52" s="129" t="s">
        <v>1403</v>
      </c>
      <c r="Q52" s="116">
        <v>58371796</v>
      </c>
      <c r="R52" s="116">
        <v>85955943358</v>
      </c>
      <c r="S52" s="116">
        <v>64650200.350000001</v>
      </c>
      <c r="T52" s="130">
        <f t="shared" si="84"/>
        <v>0.9028865445735621</v>
      </c>
      <c r="U52" s="85">
        <f t="shared" ref="U52" si="85">Q50+Q51+Q52</f>
        <v>142456200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3062706.8571428573</v>
      </c>
      <c r="G53" s="190">
        <f t="shared" ref="G53" si="86">F53/F52-1</f>
        <v>0.15431690429985845</v>
      </c>
      <c r="H53" s="190">
        <f t="shared" ref="H53" si="87">F53/F41-1</f>
        <v>-0.26315697661252557</v>
      </c>
      <c r="I53" s="130">
        <f t="shared" ref="I53" si="88">T53</f>
        <v>0.88657425951106961</v>
      </c>
      <c r="J53" s="130">
        <f t="shared" ref="J53" si="89">I53/I41-1</f>
        <v>-0.18976704858215254</v>
      </c>
      <c r="K53" s="136"/>
      <c r="L53" s="190"/>
      <c r="M53" s="190"/>
      <c r="N53" s="191"/>
      <c r="O53" s="192"/>
      <c r="P53" s="129" t="s">
        <v>1414</v>
      </c>
      <c r="Q53" s="116">
        <v>64316844</v>
      </c>
      <c r="R53" s="116">
        <v>93927156649</v>
      </c>
      <c r="S53" s="116">
        <v>72545354.560000002</v>
      </c>
      <c r="T53" s="130">
        <f t="shared" ref="T53" si="90">Q53/S53</f>
        <v>0.88657425951106961</v>
      </c>
      <c r="U53" s="85">
        <f t="shared" ref="U53" si="91">Q51+Q52+Q53</f>
        <v>171491940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2506179.2941176472</v>
      </c>
      <c r="G54" s="190">
        <f t="shared" ref="G54" si="92">F54/F53-1</f>
        <v>-0.18171101218103003</v>
      </c>
      <c r="H54" s="190">
        <f t="shared" ref="H54" si="93">F54/F42-1</f>
        <v>-0.32217455509355064</v>
      </c>
      <c r="I54" s="130">
        <f t="shared" ref="I54" si="94">T54</f>
        <v>0.85296702279609038</v>
      </c>
      <c r="J54" s="130">
        <f t="shared" ref="J54" si="95">I54/I42-1</f>
        <v>-0.25750459399680625</v>
      </c>
      <c r="K54" s="136"/>
      <c r="L54" s="190"/>
      <c r="M54" s="190"/>
      <c r="N54" s="191"/>
      <c r="O54" s="192"/>
      <c r="P54" s="129" t="s">
        <v>1417</v>
      </c>
      <c r="Q54" s="116">
        <v>42605048</v>
      </c>
      <c r="R54" s="116">
        <v>61733229702</v>
      </c>
      <c r="S54" s="116">
        <v>49949232.340000004</v>
      </c>
      <c r="T54" s="130">
        <f t="shared" ref="T54" si="96">Q54/S54</f>
        <v>0.85296702279609038</v>
      </c>
      <c r="U54" s="85">
        <f t="shared" ref="U54" si="97">Q52+Q53+Q54</f>
        <v>165293688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9719916.0084033608</v>
      </c>
      <c r="C55" s="188">
        <f>AVERAGE(F53:F55)</f>
        <v>3239972.0028011203</v>
      </c>
      <c r="D55" s="190">
        <f>C55/C52-1</f>
        <v>0.37802935861716969</v>
      </c>
      <c r="E55" s="287">
        <f>C55/C43-1</f>
        <v>-0.25602986371913095</v>
      </c>
      <c r="F55" s="136">
        <f>Q55/21</f>
        <v>4151029.8571428573</v>
      </c>
      <c r="G55" s="190">
        <f t="shared" ref="G55" si="98">F55/F54-1</f>
        <v>0.6563179924460727</v>
      </c>
      <c r="H55" s="190">
        <f t="shared" ref="H55" si="99">F55/F43-1</f>
        <v>-0.203413262850622</v>
      </c>
      <c r="I55" s="130">
        <f>T55</f>
        <v>1.008223756625245</v>
      </c>
      <c r="J55" s="130">
        <f t="shared" ref="J55" si="100">I55/I43-1</f>
        <v>-0.11693574010532459</v>
      </c>
      <c r="K55" s="136">
        <f>R53+R54+R55</f>
        <v>284240514294</v>
      </c>
      <c r="L55" s="190">
        <f>U55/U52-1</f>
        <v>0.36247856534148748</v>
      </c>
      <c r="M55" s="190">
        <f>K55/K43-1</f>
        <v>-0.22746820429542947</v>
      </c>
      <c r="N55" s="191">
        <f>AVERAGE(T53:T55)</f>
        <v>0.91592167964413507</v>
      </c>
      <c r="O55" s="192">
        <f>N55/N52-1</f>
        <v>2.3439742427489252E-2</v>
      </c>
      <c r="P55" s="129" t="s">
        <v>1418</v>
      </c>
      <c r="Q55" s="116">
        <v>87171627</v>
      </c>
      <c r="R55" s="116">
        <v>128580127943</v>
      </c>
      <c r="S55" s="116">
        <v>86460596.099999994</v>
      </c>
      <c r="T55" s="130">
        <f t="shared" ref="T55" si="101">Q55/S55</f>
        <v>1.008223756625245</v>
      </c>
      <c r="U55" s="85">
        <f t="shared" ref="U55" si="102">Q53+Q54+Q55</f>
        <v>194093519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3566960.7272727271</v>
      </c>
      <c r="G56" s="190">
        <f t="shared" ref="G56" si="103">F56/F55-1</f>
        <v>-0.14070463233722519</v>
      </c>
      <c r="H56" s="190">
        <f t="shared" ref="H56" si="104">F56/F44-1</f>
        <v>-9.2092082873419967E-2</v>
      </c>
      <c r="I56" s="291">
        <f>T56</f>
        <v>0.86139427255955059</v>
      </c>
      <c r="J56" s="130">
        <f t="shared" ref="J56" si="105">I56/I44-1</f>
        <v>-0.19456538278677371</v>
      </c>
      <c r="K56" s="136"/>
      <c r="L56" s="190"/>
      <c r="M56" s="190"/>
      <c r="N56" s="191"/>
      <c r="O56" s="192"/>
      <c r="P56" s="129" t="s">
        <v>1420</v>
      </c>
      <c r="Q56" s="116">
        <v>78473136</v>
      </c>
      <c r="R56" s="116">
        <v>116720501426</v>
      </c>
      <c r="S56" s="116">
        <v>91100136.719999999</v>
      </c>
      <c r="T56" s="130">
        <f t="shared" ref="T56" si="106">Q56/S56</f>
        <v>0.86139427255955059</v>
      </c>
      <c r="U56" s="85">
        <f t="shared" ref="U56" si="107">Q54+Q55+Q56</f>
        <v>208249811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3233275</v>
      </c>
      <c r="G57" s="254">
        <f t="shared" ref="G57" si="108">F57/F56-1</f>
        <v>-9.3549033136639204E-2</v>
      </c>
      <c r="H57" s="254">
        <f t="shared" ref="H57" si="109">F57/F45-1</f>
        <v>-0.22310978991472508</v>
      </c>
      <c r="I57" s="282">
        <f>T57</f>
        <v>0.97962070179076932</v>
      </c>
      <c r="J57" s="277">
        <f t="shared" ref="J57" si="110">I57/I45-1</f>
        <v>-0.11669542985169223</v>
      </c>
      <c r="K57" s="204"/>
      <c r="L57" s="254"/>
      <c r="M57" s="254"/>
      <c r="N57" s="257"/>
      <c r="O57" s="258"/>
      <c r="P57" s="129" t="s">
        <v>1436</v>
      </c>
      <c r="Q57" s="116">
        <v>38799300</v>
      </c>
      <c r="R57" s="116">
        <v>57022799333</v>
      </c>
      <c r="S57" s="116">
        <v>39606451.689999998</v>
      </c>
      <c r="T57" s="130">
        <f t="shared" ref="T57" si="111">Q57/S57</f>
        <v>0.97962070179076932</v>
      </c>
      <c r="U57" s="85">
        <f t="shared" ref="U57" si="112">Q55+Q56+Q57</f>
        <v>204444063</v>
      </c>
      <c r="V57" s="79"/>
      <c r="W57" s="79"/>
      <c r="X57" s="79"/>
      <c r="Y57" s="79"/>
      <c r="Z57" s="79"/>
    </row>
    <row r="58" spans="1:26">
      <c r="B58" s="196">
        <f>SUM(F56:F58)</f>
        <v>6800235.7272727266</v>
      </c>
      <c r="C58" s="196">
        <f>AVERAGE(F56:F58)</f>
        <v>3400117.8636363633</v>
      </c>
      <c r="D58" s="197">
        <f>C58/C55-1</f>
        <v>4.9428161939914617E-2</v>
      </c>
      <c r="E58" s="233">
        <f>C58/C46-1</f>
        <v>-0.11528652596304267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311365955</v>
      </c>
      <c r="R66" s="212">
        <v>457983815053</v>
      </c>
      <c r="S66" s="213">
        <v>339661771.42000002</v>
      </c>
    </row>
    <row r="67" spans="16:19" ht="18" thickBot="1">
      <c r="P67" s="180" t="s">
        <v>976</v>
      </c>
      <c r="Q67" s="181">
        <v>64316844</v>
      </c>
      <c r="R67" s="181">
        <v>93927156649</v>
      </c>
      <c r="S67" s="182">
        <v>72545354.560000002</v>
      </c>
    </row>
    <row r="68" spans="16:19" ht="18" thickBot="1">
      <c r="P68" s="180" t="s">
        <v>977</v>
      </c>
      <c r="Q68" s="181">
        <v>42605048</v>
      </c>
      <c r="R68" s="181">
        <v>61733229702</v>
      </c>
      <c r="S68" s="182">
        <v>49949232.340000004</v>
      </c>
    </row>
    <row r="69" spans="16:19" ht="18" thickBot="1">
      <c r="P69" s="180" t="s">
        <v>978</v>
      </c>
      <c r="Q69" s="181">
        <v>87171627</v>
      </c>
      <c r="R69" s="181">
        <v>128580127943</v>
      </c>
      <c r="S69" s="182">
        <v>86460596.099999994</v>
      </c>
    </row>
    <row r="70" spans="16:19" ht="18" thickBot="1">
      <c r="P70" s="180" t="s">
        <v>979</v>
      </c>
      <c r="Q70" s="181">
        <v>78473136</v>
      </c>
      <c r="R70" s="181">
        <v>116720501426</v>
      </c>
      <c r="S70" s="182">
        <v>91100136.719999999</v>
      </c>
    </row>
    <row r="71" spans="16:19" ht="18" thickBot="1">
      <c r="P71" s="180" t="s">
        <v>980</v>
      </c>
      <c r="Q71" s="181">
        <v>38799300</v>
      </c>
      <c r="R71" s="181">
        <v>57022799333</v>
      </c>
      <c r="S71" s="182">
        <v>39606451.689999998</v>
      </c>
    </row>
    <row r="72" spans="16:19" ht="18" thickBot="1">
      <c r="P72" s="180" t="s">
        <v>975</v>
      </c>
      <c r="Q72" s="181">
        <v>763832571</v>
      </c>
      <c r="R72" s="181">
        <v>1090129207556</v>
      </c>
      <c r="S72" s="182">
        <v>733860801.39999998</v>
      </c>
    </row>
    <row r="73" spans="16:19" ht="18" thickBot="1">
      <c r="P73" s="215" t="s">
        <v>982</v>
      </c>
      <c r="Q73" s="217"/>
      <c r="R73"/>
      <c r="S73"/>
    </row>
  </sheetData>
  <phoneticPr fontId="1" type="noConversion"/>
  <conditionalFormatting sqref="C29:C30">
    <cfRule type="cellIs" dxfId="95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32">
    <tabColor rgb="FFFFFF00"/>
  </sheetPr>
  <dimension ref="A1:Z72"/>
  <sheetViews>
    <sheetView zoomScale="90" zoomScaleNormal="90" workbookViewId="0">
      <selection activeCell="E66" sqref="E66:E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4">
        <v>8479899099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272</v>
      </c>
      <c r="F4" s="84" t="s">
        <v>73</v>
      </c>
      <c r="G4" s="172" t="s">
        <v>282</v>
      </c>
      <c r="H4" s="172" t="s">
        <v>272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49.665195586966114</v>
      </c>
      <c r="J5" s="130"/>
      <c r="K5" s="86"/>
      <c r="L5" s="80"/>
      <c r="M5" s="80"/>
      <c r="P5" s="129" t="s">
        <v>0</v>
      </c>
      <c r="Q5" s="116">
        <v>266703406</v>
      </c>
      <c r="R5" s="116">
        <v>314491279389</v>
      </c>
      <c r="S5" s="116">
        <v>5370026.29</v>
      </c>
      <c r="T5" s="130">
        <f t="shared" ref="T5:T17" si="1">Q5/S5</f>
        <v>49.665195586966114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41.433393190147143</v>
      </c>
      <c r="J6" s="130"/>
      <c r="K6" s="78"/>
      <c r="P6" s="129" t="s">
        <v>1</v>
      </c>
      <c r="Q6" s="116">
        <v>180217166</v>
      </c>
      <c r="R6" s="116">
        <v>214146490084</v>
      </c>
      <c r="S6" s="116">
        <v>4349563.29</v>
      </c>
      <c r="T6" s="130">
        <f t="shared" si="1"/>
        <v>41.433393190147143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48.600981467277002</v>
      </c>
      <c r="J7" s="130"/>
      <c r="K7" s="85">
        <f>R5+R6+R7</f>
        <v>973471987045</v>
      </c>
      <c r="N7" s="88">
        <f>AVERAGE(T5:T7)</f>
        <v>46.566523414796755</v>
      </c>
      <c r="P7" s="129" t="s">
        <v>2</v>
      </c>
      <c r="Q7" s="116">
        <v>370226742</v>
      </c>
      <c r="R7" s="116">
        <v>444834217572</v>
      </c>
      <c r="S7" s="116">
        <v>7617680.3600000003</v>
      </c>
      <c r="T7" s="130">
        <f t="shared" si="1"/>
        <v>48.600981467277002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48.715307892358794</v>
      </c>
      <c r="J8" s="130"/>
      <c r="K8" s="78"/>
      <c r="P8" s="129" t="s">
        <v>3</v>
      </c>
      <c r="Q8" s="116">
        <v>220815785</v>
      </c>
      <c r="R8" s="116">
        <v>267583431147</v>
      </c>
      <c r="S8" s="116">
        <v>4532780.24</v>
      </c>
      <c r="T8" s="130">
        <f t="shared" si="1"/>
        <v>48.715307892358794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35.379152057951529</v>
      </c>
      <c r="J9" s="130"/>
      <c r="K9" s="78"/>
      <c r="P9" s="129" t="s">
        <v>4</v>
      </c>
      <c r="Q9" s="116">
        <v>213449076</v>
      </c>
      <c r="R9" s="116">
        <v>268237939604</v>
      </c>
      <c r="S9" s="116">
        <v>6033188.0099999998</v>
      </c>
      <c r="T9" s="130">
        <f t="shared" si="1"/>
        <v>35.379152057951529</v>
      </c>
      <c r="U9" s="85"/>
    </row>
    <row r="10" spans="1:21" ht="15" hidden="1" customHeight="1">
      <c r="A10" s="129" t="s">
        <v>5</v>
      </c>
      <c r="B10" s="131">
        <f>F8+F9+F10</f>
        <v>30938416.952380955</v>
      </c>
      <c r="C10" s="131">
        <f>AVERAGE(F8:F10)</f>
        <v>10312805.650793651</v>
      </c>
      <c r="D10" s="90">
        <f>C10/C7-1</f>
        <v>-0.22992259075300447</v>
      </c>
      <c r="E10" s="286"/>
      <c r="F10" s="78">
        <f>Q10/21</f>
        <v>10259137.857142856</v>
      </c>
      <c r="G10" s="90">
        <f t="shared" si="2"/>
        <v>9.3362737255417994E-3</v>
      </c>
      <c r="H10" s="90"/>
      <c r="I10" s="130">
        <f t="shared" si="0"/>
        <v>47.993416129326988</v>
      </c>
      <c r="J10" s="130"/>
      <c r="K10" s="85">
        <f>R8+R9+R10</f>
        <v>807695450475</v>
      </c>
      <c r="L10" s="87">
        <f>U10/U7-1</f>
        <v>-0.2049086561642911</v>
      </c>
      <c r="N10" s="88">
        <f>AVERAGE(T8:T10)</f>
        <v>44.029292026545768</v>
      </c>
      <c r="O10" s="89">
        <f>N10/N7-1</f>
        <v>-5.4486167362126303E-2</v>
      </c>
      <c r="P10" s="129" t="s">
        <v>5</v>
      </c>
      <c r="Q10" s="116">
        <v>215441895</v>
      </c>
      <c r="R10" s="116">
        <v>271874079724</v>
      </c>
      <c r="S10" s="116">
        <v>4488988.54</v>
      </c>
      <c r="T10" s="130">
        <f t="shared" si="1"/>
        <v>47.993416129326988</v>
      </c>
      <c r="U10" s="85">
        <f>Q8+Q9+Q10</f>
        <v>649706756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-6.5581464552193935E-2</v>
      </c>
      <c r="H11" s="90"/>
      <c r="I11" s="130">
        <f t="shared" si="0"/>
        <v>37.417088334536416</v>
      </c>
      <c r="J11" s="130"/>
      <c r="K11" s="78"/>
      <c r="O11" s="89"/>
      <c r="P11" s="129" t="s">
        <v>6</v>
      </c>
      <c r="Q11" s="116">
        <v>201312900</v>
      </c>
      <c r="R11" s="116">
        <v>260025528352</v>
      </c>
      <c r="S11" s="116">
        <v>5380239.5899999999</v>
      </c>
      <c r="T11" s="130">
        <f t="shared" si="1"/>
        <v>37.417088334536416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36.619221851535571</v>
      </c>
      <c r="J12" s="130"/>
      <c r="K12" s="78"/>
      <c r="O12" s="89"/>
      <c r="P12" s="129" t="s">
        <v>7</v>
      </c>
      <c r="Q12" s="116">
        <v>164339326</v>
      </c>
      <c r="R12" s="116">
        <v>213521981341</v>
      </c>
      <c r="S12" s="116">
        <v>4487788.59</v>
      </c>
      <c r="T12" s="130">
        <f t="shared" si="1"/>
        <v>36.619221851535571</v>
      </c>
      <c r="U12" s="85"/>
    </row>
    <row r="13" spans="1:21" ht="15" hidden="1" customHeight="1">
      <c r="A13" s="129" t="s">
        <v>96</v>
      </c>
      <c r="B13" s="131">
        <f>F11+F12+F13</f>
        <v>25540681.435064934</v>
      </c>
      <c r="C13" s="131">
        <f>AVERAGE(F11:F13)</f>
        <v>8513560.4783549774</v>
      </c>
      <c r="D13" s="90">
        <f>C13/C10-1</f>
        <v>-0.17446708813912415</v>
      </c>
      <c r="E13" s="286"/>
      <c r="F13" s="78">
        <f>Q13/20</f>
        <v>8484383.5</v>
      </c>
      <c r="G13" s="90">
        <f t="shared" si="2"/>
        <v>0.13579896877513065</v>
      </c>
      <c r="H13" s="90"/>
      <c r="I13" s="130">
        <f t="shared" si="0"/>
        <v>45.460408341984007</v>
      </c>
      <c r="J13" s="130"/>
      <c r="K13" s="78">
        <f>R11+R12+R13</f>
        <v>704953219560</v>
      </c>
      <c r="L13" s="87">
        <f>U13/U10-1</f>
        <v>-0.1760284296628124</v>
      </c>
      <c r="N13" s="88">
        <f>AVERAGE(T11:T13)</f>
        <v>39.832239509352</v>
      </c>
      <c r="O13" s="89">
        <f>N13/N10-1</f>
        <v>-9.532409730011826E-2</v>
      </c>
      <c r="P13" s="129" t="s">
        <v>96</v>
      </c>
      <c r="Q13" s="116">
        <v>169687670</v>
      </c>
      <c r="R13" s="116">
        <v>231405709867</v>
      </c>
      <c r="S13" s="116">
        <v>3732647.29</v>
      </c>
      <c r="T13" s="130">
        <f t="shared" si="1"/>
        <v>45.460408341984007</v>
      </c>
      <c r="U13" s="85">
        <f>Q11+Q12+Q13</f>
        <v>535339896</v>
      </c>
    </row>
    <row r="14" spans="1:21" ht="15" hidden="1" customHeight="1">
      <c r="A14" s="129" t="s">
        <v>97</v>
      </c>
      <c r="C14" s="79"/>
      <c r="F14" s="78">
        <f>Q14/20</f>
        <v>11440098.449999999</v>
      </c>
      <c r="G14" s="90">
        <f t="shared" si="2"/>
        <v>0.34837121047156816</v>
      </c>
      <c r="H14" s="90"/>
      <c r="I14" s="130">
        <f t="shared" si="0"/>
        <v>45.223135980192374</v>
      </c>
      <c r="J14" s="130"/>
      <c r="K14" s="78"/>
      <c r="O14" s="89"/>
      <c r="P14" s="129" t="s">
        <v>97</v>
      </c>
      <c r="Q14" s="116">
        <v>228801969</v>
      </c>
      <c r="R14" s="116">
        <v>326392072969</v>
      </c>
      <c r="S14" s="116">
        <v>5059400.7699999996</v>
      </c>
      <c r="T14" s="130">
        <f t="shared" si="1"/>
        <v>45.223135980192374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12798334.772727273</v>
      </c>
      <c r="G15" s="90">
        <f t="shared" si="2"/>
        <v>0.11872592955939765</v>
      </c>
      <c r="H15" s="90"/>
      <c r="I15" s="130">
        <f t="shared" si="0"/>
        <v>43.007965638078709</v>
      </c>
      <c r="J15" s="130"/>
      <c r="K15" s="78"/>
      <c r="O15" s="89"/>
      <c r="P15" s="129" t="s">
        <v>98</v>
      </c>
      <c r="Q15" s="116">
        <v>281563365</v>
      </c>
      <c r="R15" s="116">
        <v>387349369631</v>
      </c>
      <c r="S15" s="116">
        <v>6546772.46</v>
      </c>
      <c r="T15" s="130">
        <f t="shared" si="1"/>
        <v>43.007965638078709</v>
      </c>
      <c r="U15" s="85"/>
    </row>
    <row r="16" spans="1:21" ht="15" hidden="1" customHeight="1">
      <c r="A16" s="129" t="s">
        <v>99</v>
      </c>
      <c r="B16" s="131">
        <f>F14+F15+F16</f>
        <v>38569348.768181816</v>
      </c>
      <c r="C16" s="131">
        <f>AVERAGE(F14:F16)</f>
        <v>12856449.589393938</v>
      </c>
      <c r="D16" s="90">
        <f>C16/C13-1</f>
        <v>0.51011431962930165</v>
      </c>
      <c r="E16" s="286"/>
      <c r="F16" s="78">
        <f>Q16/22</f>
        <v>14330915.545454545</v>
      </c>
      <c r="G16" s="90">
        <f t="shared" si="2"/>
        <v>0.11974845164959569</v>
      </c>
      <c r="H16" s="90"/>
      <c r="I16" s="130">
        <f t="shared" si="0"/>
        <v>49.917298308825877</v>
      </c>
      <c r="J16" s="130"/>
      <c r="K16" s="78">
        <f>R14+R15+R16</f>
        <v>1127561912790</v>
      </c>
      <c r="L16" s="87">
        <f>U16/U13-1</f>
        <v>0.54228272947548084</v>
      </c>
      <c r="N16" s="88">
        <f>AVERAGE(T14:T16)</f>
        <v>46.049466642365651</v>
      </c>
      <c r="O16" s="89">
        <f>N16/N13-1</f>
        <v>0.15608530199648807</v>
      </c>
      <c r="P16" s="129" t="s">
        <v>99</v>
      </c>
      <c r="Q16" s="116">
        <v>315280142</v>
      </c>
      <c r="R16" s="116">
        <v>413820470190</v>
      </c>
      <c r="S16" s="116">
        <v>6316049.7999999998</v>
      </c>
      <c r="T16" s="130">
        <f t="shared" si="1"/>
        <v>49.917298308825877</v>
      </c>
      <c r="U16" s="85">
        <f>Q14+Q15+Q16</f>
        <v>825645476</v>
      </c>
    </row>
    <row r="17" spans="1:21" ht="15" hidden="1" customHeight="1">
      <c r="A17" s="129" t="s">
        <v>100</v>
      </c>
      <c r="C17" s="79"/>
      <c r="F17" s="78">
        <f>Q17/20</f>
        <v>6989691.7999999998</v>
      </c>
      <c r="G17" s="90">
        <f t="shared" ref="G17:G22" si="3">F17/F16-1</f>
        <v>-0.51226481114690692</v>
      </c>
      <c r="H17" s="90">
        <f t="shared" ref="H17:H22" si="4">F17/F5-1</f>
        <v>-0.4758453290993967</v>
      </c>
      <c r="I17" s="130">
        <f t="shared" si="0"/>
        <v>46.761216641488033</v>
      </c>
      <c r="J17" s="130">
        <f t="shared" ref="J17:J49" si="5">I17/I5-1</f>
        <v>-5.8471106600055056E-2</v>
      </c>
      <c r="K17" s="78"/>
      <c r="O17" s="89"/>
      <c r="P17" s="129" t="s">
        <v>100</v>
      </c>
      <c r="Q17" s="116">
        <v>139793836</v>
      </c>
      <c r="R17" s="116">
        <v>175795922526</v>
      </c>
      <c r="S17" s="116">
        <v>2989525.21</v>
      </c>
      <c r="T17" s="130">
        <f t="shared" si="1"/>
        <v>46.761216641488033</v>
      </c>
      <c r="U17" s="78"/>
    </row>
    <row r="18" spans="1:21" ht="15.6" hidden="1" customHeight="1">
      <c r="A18" s="129" t="s">
        <v>106</v>
      </c>
      <c r="B18" s="137"/>
      <c r="C18" s="79"/>
      <c r="D18" s="90"/>
      <c r="E18" s="286"/>
      <c r="F18" s="78">
        <f>Q18/20</f>
        <v>15263842.75</v>
      </c>
      <c r="G18" s="90">
        <f t="shared" si="3"/>
        <v>1.1837647762952868</v>
      </c>
      <c r="H18" s="90">
        <f t="shared" si="4"/>
        <v>0.52454494540214891</v>
      </c>
      <c r="I18" s="130">
        <f t="shared" si="0"/>
        <v>45.890569391587341</v>
      </c>
      <c r="J18" s="130">
        <f t="shared" si="5"/>
        <v>0.10757449144908837</v>
      </c>
      <c r="K18" s="78"/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ref="T18" si="6">Q18/S18</f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-1.8229393044919551E-3</v>
      </c>
      <c r="E19" s="286">
        <f>C19/C7-1</f>
        <v>-4.1733764181755229E-2</v>
      </c>
      <c r="F19" s="78">
        <f>Q19/22</f>
        <v>16245504.636363637</v>
      </c>
      <c r="G19" s="90">
        <f t="shared" si="3"/>
        <v>6.4312893053332543E-2</v>
      </c>
      <c r="H19" s="90">
        <f t="shared" si="4"/>
        <v>-3.4642662306657468E-2</v>
      </c>
      <c r="I19" s="130">
        <f t="shared" si="0"/>
        <v>46.06490137151583</v>
      </c>
      <c r="J19" s="130">
        <f t="shared" si="5"/>
        <v>-5.2181664221507829E-2</v>
      </c>
      <c r="K19" s="78">
        <f>R17+R18+R19</f>
        <v>1025938716794</v>
      </c>
      <c r="L19" s="87">
        <f>U19/U16-1</f>
        <v>-2.8067352966395953E-2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4.113601589262883E-3</v>
      </c>
      <c r="P19" s="129" t="s">
        <v>115</v>
      </c>
      <c r="Q19" s="116">
        <v>357401102</v>
      </c>
      <c r="R19" s="116">
        <v>466801630058</v>
      </c>
      <c r="S19" s="116">
        <v>7758642.5099999998</v>
      </c>
      <c r="T19" s="130">
        <f t="shared" ref="T19" si="7">Q19/S19</f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3"/>
        <v>-0.19926877058146286</v>
      </c>
      <c r="H20" s="90">
        <f t="shared" si="4"/>
        <v>0.23711237808474617</v>
      </c>
      <c r="I20" s="130">
        <f t="shared" si="0"/>
        <v>36.725704931970689</v>
      </c>
      <c r="J20" s="130">
        <f t="shared" si="5"/>
        <v>-0.24611571760729289</v>
      </c>
      <c r="K20" s="78"/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8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3"/>
        <v>4.2027050831333401E-2</v>
      </c>
      <c r="H21" s="90">
        <f t="shared" si="4"/>
        <v>0.33359507257834164</v>
      </c>
      <c r="I21" s="130">
        <f t="shared" si="0"/>
        <v>42.1315141064713</v>
      </c>
      <c r="J21" s="130">
        <f t="shared" si="5"/>
        <v>0.19085709113263394</v>
      </c>
      <c r="K21" s="78"/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9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0.24198861324446486</v>
      </c>
      <c r="F22" s="78">
        <f>Q22/21</f>
        <v>11861896</v>
      </c>
      <c r="G22" s="90">
        <f t="shared" si="3"/>
        <v>-0.12490511484239442</v>
      </c>
      <c r="H22" s="90">
        <f t="shared" si="4"/>
        <v>0.1562273716539675</v>
      </c>
      <c r="I22" s="130">
        <f t="shared" si="0"/>
        <v>37.987476771673975</v>
      </c>
      <c r="J22" s="130">
        <f t="shared" si="5"/>
        <v>-0.20848566667332435</v>
      </c>
      <c r="K22" s="78">
        <f>R20+R21+R22</f>
        <v>1044332160092</v>
      </c>
      <c r="L22" s="87">
        <f>U22/U19-1</f>
        <v>-1.0656677374328627E-2</v>
      </c>
      <c r="M22" s="87">
        <f>U22/U10-1</f>
        <v>0.22196683760511804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10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1">F23/F22-1</f>
        <v>-0.20048022837560031</v>
      </c>
      <c r="H23" s="90">
        <f t="shared" ref="H23" si="12">F23/F11-1</f>
        <v>-1.0693164720194215E-2</v>
      </c>
      <c r="I23" s="130">
        <f t="shared" si="0"/>
        <v>44.504204213461321</v>
      </c>
      <c r="J23" s="130">
        <f t="shared" si="5"/>
        <v>0.18940853482667741</v>
      </c>
      <c r="K23" s="78"/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10"/>
        <v>44.504204213461321</v>
      </c>
      <c r="U23" s="78"/>
    </row>
    <row r="24" spans="1:21" hidden="1">
      <c r="A24" s="129" t="s">
        <v>205</v>
      </c>
      <c r="B24" s="131"/>
      <c r="C24" s="131"/>
      <c r="F24" s="78">
        <f>Q24/22</f>
        <v>8561350.5454545449</v>
      </c>
      <c r="G24" s="90">
        <f t="shared" ref="G24" si="13">F24/F23-1</f>
        <v>-9.726774637682456E-2</v>
      </c>
      <c r="H24" s="90">
        <f t="shared" ref="H24" si="14">F24/F12-1</f>
        <v>0.14610249770648331</v>
      </c>
      <c r="I24" s="130">
        <f t="shared" si="0"/>
        <v>43.379045074789012</v>
      </c>
      <c r="J24" s="130">
        <f t="shared" si="5"/>
        <v>0.18459767524989013</v>
      </c>
      <c r="K24" s="78"/>
      <c r="O24" s="89"/>
      <c r="P24" s="129" t="s">
        <v>205</v>
      </c>
      <c r="Q24" s="116">
        <v>188349712</v>
      </c>
      <c r="R24" s="116">
        <v>247665981360</v>
      </c>
      <c r="S24" s="116">
        <v>4341951.55</v>
      </c>
      <c r="T24" s="130">
        <f t="shared" ref="T24" si="15">Q24/S24</f>
        <v>43.379045074789012</v>
      </c>
      <c r="U24" s="78"/>
    </row>
    <row r="25" spans="1:21" s="79" customFormat="1" ht="13.2" hidden="1">
      <c r="A25" s="129" t="s">
        <v>218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0.21335433577898533</v>
      </c>
      <c r="F25" s="78">
        <f>Q25/19</f>
        <v>12944725.631578946</v>
      </c>
      <c r="G25" s="90">
        <f t="shared" ref="G25" si="16">F25/F24-1</f>
        <v>0.51199574913465673</v>
      </c>
      <c r="H25" s="90">
        <f t="shared" ref="H25" si="17">F25/F13-1</f>
        <v>0.52571198974904254</v>
      </c>
      <c r="I25" s="130">
        <f t="shared" si="0"/>
        <v>45.64362560903092</v>
      </c>
      <c r="J25" s="130">
        <f t="shared" si="5"/>
        <v>4.0302600378911979E-3</v>
      </c>
      <c r="K25" s="78">
        <f>R23+R24+R25</f>
        <v>831400903480</v>
      </c>
      <c r="L25" s="90">
        <f>U25/U22-1</f>
        <v>-0.20211149834710695</v>
      </c>
      <c r="M25" s="90">
        <f>U25/U13-1</f>
        <v>0.1832851086443219</v>
      </c>
      <c r="N25" s="88">
        <f>AVERAGE(T23:T25)</f>
        <v>44.508958299093756</v>
      </c>
      <c r="O25" s="91">
        <f>N25/N22-1</f>
        <v>0.14277224114884479</v>
      </c>
      <c r="P25" s="129" t="s">
        <v>220</v>
      </c>
      <c r="Q25" s="116">
        <v>245949787</v>
      </c>
      <c r="R25" s="116">
        <v>326533080545</v>
      </c>
      <c r="S25" s="116">
        <v>5388480.5099999998</v>
      </c>
      <c r="T25" s="130">
        <f t="shared" ref="T25" si="18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9">F26/F25-1</f>
        <v>0.53157787040490501</v>
      </c>
      <c r="H26" s="90">
        <f t="shared" ref="H26" si="20">F26/F14-1</f>
        <v>0.73301439689878478</v>
      </c>
      <c r="I26" s="130">
        <f t="shared" si="0"/>
        <v>42.770921058762639</v>
      </c>
      <c r="J26" s="130">
        <f t="shared" si="5"/>
        <v>-5.4224787120110363E-2</v>
      </c>
      <c r="K26" s="78"/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1">Q26/S26</f>
        <v>42.770921058762639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19126945.772727273</v>
      </c>
      <c r="G27" s="90">
        <f t="shared" ref="G27" si="22">F27/F26-1</f>
        <v>-3.5252428302832484E-2</v>
      </c>
      <c r="H27" s="90">
        <f t="shared" ref="H27" si="23">F27/F15-1</f>
        <v>0.49448706510522067</v>
      </c>
      <c r="I27" s="130">
        <f t="shared" si="0"/>
        <v>50.043174392614553</v>
      </c>
      <c r="J27" s="130">
        <f t="shared" si="5"/>
        <v>0.16357920329779474</v>
      </c>
      <c r="K27" s="78"/>
      <c r="L27" s="90"/>
      <c r="M27" s="90"/>
      <c r="P27" s="129" t="s">
        <v>396</v>
      </c>
      <c r="Q27" s="116">
        <v>420792807</v>
      </c>
      <c r="R27" s="116">
        <v>556579909203</v>
      </c>
      <c r="S27" s="116">
        <v>8408595.4199999999</v>
      </c>
      <c r="T27" s="130">
        <f t="shared" ref="T27" si="24">Q27/S27</f>
        <v>50.043174392614553</v>
      </c>
      <c r="U27" s="78"/>
    </row>
    <row r="28" spans="1:21" s="79" customFormat="1" ht="13.2" hidden="1">
      <c r="A28" s="123" t="s">
        <v>413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0.55659970268637338</v>
      </c>
      <c r="F28" s="78">
        <f>Q28/19</f>
        <v>21084235.736842107</v>
      </c>
      <c r="G28" s="90">
        <f t="shared" ref="G28" si="25">F28/F27-1</f>
        <v>0.10233154772183717</v>
      </c>
      <c r="H28" s="90">
        <f t="shared" ref="H28" si="26">F28/F16-1</f>
        <v>0.47124136416598783</v>
      </c>
      <c r="I28" s="130">
        <f t="shared" si="0"/>
        <v>44.293182326563738</v>
      </c>
      <c r="J28" s="130">
        <f t="shared" si="5"/>
        <v>-0.11266867744858977</v>
      </c>
      <c r="K28" s="78">
        <f>R26+R27+R28</f>
        <v>1588273237272</v>
      </c>
      <c r="L28" s="90">
        <f>U28/U25-1</f>
        <v>0.89133497511200099</v>
      </c>
      <c r="M28" s="90">
        <f>U28/U16-1</f>
        <v>0.45108835671740533</v>
      </c>
      <c r="N28" s="88">
        <f>AVERAGE(T26:T28)</f>
        <v>45.702425925980315</v>
      </c>
      <c r="O28" s="91">
        <f>N28/N25-1</f>
        <v>2.6814099284611981E-2</v>
      </c>
      <c r="P28" s="129" t="s">
        <v>413</v>
      </c>
      <c r="Q28" s="116">
        <v>400600479</v>
      </c>
      <c r="R28" s="116">
        <v>522965954142</v>
      </c>
      <c r="S28" s="116">
        <v>9044292.0999999996</v>
      </c>
      <c r="T28" s="130">
        <f t="shared" ref="T28" si="27">Q28/S28</f>
        <v>44.293182326563738</v>
      </c>
      <c r="U28" s="85">
        <f>Q26+Q27+Q28</f>
        <v>1198084537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8">F29/F28-1</f>
        <v>-0.25294954890592003</v>
      </c>
      <c r="H29" s="190">
        <f t="shared" ref="H29" si="29">F29/F17-1</f>
        <v>1.2534595614332837</v>
      </c>
      <c r="I29" s="130">
        <f t="shared" si="0"/>
        <v>49.043510755857454</v>
      </c>
      <c r="J29" s="130">
        <f t="shared" si="5"/>
        <v>4.8807415167733126E-2</v>
      </c>
      <c r="K29" s="136"/>
      <c r="L29" s="190"/>
      <c r="M29" s="190"/>
      <c r="N29" s="191"/>
      <c r="O29" s="192"/>
      <c r="P29" s="129" t="s">
        <v>427</v>
      </c>
      <c r="Q29" s="116">
        <v>346521732</v>
      </c>
      <c r="R29" s="116">
        <v>454780938871</v>
      </c>
      <c r="S29" s="116">
        <v>7065598.0099999998</v>
      </c>
      <c r="T29" s="130">
        <f t="shared" ref="T29" si="30">Q29/S29</f>
        <v>49.043510755857454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18216066.52631579</v>
      </c>
      <c r="G30" s="190">
        <f t="shared" ref="G30" si="31">F30/F29-1</f>
        <v>0.15650311819100393</v>
      </c>
      <c r="H30" s="190">
        <f t="shared" ref="H30" si="32">F30/F18-1</f>
        <v>0.19341287935607099</v>
      </c>
      <c r="I30" s="130">
        <f t="shared" si="0"/>
        <v>41.891071155778718</v>
      </c>
      <c r="J30" s="130">
        <f t="shared" si="5"/>
        <v>-8.7152944250498021E-2</v>
      </c>
      <c r="K30" s="136"/>
      <c r="L30" s="190"/>
      <c r="M30" s="190"/>
      <c r="N30" s="191"/>
      <c r="O30" s="192"/>
      <c r="P30" s="129" t="s">
        <v>466</v>
      </c>
      <c r="Q30" s="116">
        <v>346105264</v>
      </c>
      <c r="R30" s="116">
        <v>461172913148</v>
      </c>
      <c r="S30" s="116">
        <v>8262029.46</v>
      </c>
      <c r="T30" s="130">
        <f t="shared" ref="T30" si="33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4">F31/F30-1</f>
        <v>-0.19628800329370322</v>
      </c>
      <c r="H31" s="190">
        <f t="shared" ref="H31" si="35">F31/F19-1</f>
        <v>-9.8798619820707811E-2</v>
      </c>
      <c r="I31" s="130">
        <f t="shared" si="0"/>
        <v>40.331156345121187</v>
      </c>
      <c r="J31" s="130">
        <f t="shared" si="5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506</v>
      </c>
      <c r="Q31" s="116">
        <v>292809424</v>
      </c>
      <c r="R31" s="116">
        <v>389052398387</v>
      </c>
      <c r="S31" s="116">
        <v>7260129.6500000004</v>
      </c>
      <c r="T31" s="130">
        <f t="shared" ref="T31" si="36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7">F32/F31-1</f>
        <v>0.16531982802250123</v>
      </c>
      <c r="H32" s="190">
        <f t="shared" ref="H32" si="38">F32/F20-1</f>
        <v>0.31153600456770358</v>
      </c>
      <c r="I32" s="130">
        <f t="shared" si="0"/>
        <v>49.690676121198976</v>
      </c>
      <c r="J32" s="130">
        <f t="shared" si="5"/>
        <v>0.3530217109036875</v>
      </c>
      <c r="K32" s="136"/>
      <c r="L32" s="190"/>
      <c r="M32" s="190"/>
      <c r="N32" s="191"/>
      <c r="O32" s="192"/>
      <c r="P32" s="129" t="s">
        <v>587</v>
      </c>
      <c r="Q32" s="116">
        <v>358277459</v>
      </c>
      <c r="R32" s="116">
        <v>487032376191</v>
      </c>
      <c r="S32" s="116">
        <v>7210154.6399999997</v>
      </c>
      <c r="T32" s="130">
        <f t="shared" ref="T32" si="39">Q32/S32</f>
        <v>49.690676121198976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15876640.19047619</v>
      </c>
      <c r="G33" s="190">
        <f t="shared" ref="G33" si="40">F33/F32-1</f>
        <v>-6.9409934606017187E-2</v>
      </c>
      <c r="H33" s="190">
        <f t="shared" ref="H33" si="41">F33/F21-1</f>
        <v>0.17127705589168762</v>
      </c>
      <c r="I33" s="130">
        <f t="shared" si="0"/>
        <v>38.006079056321425</v>
      </c>
      <c r="J33" s="130">
        <f t="shared" si="5"/>
        <v>-9.7918034460485193E-2</v>
      </c>
      <c r="K33" s="136"/>
      <c r="L33" s="190"/>
      <c r="M33" s="190"/>
      <c r="N33" s="191"/>
      <c r="O33" s="192"/>
      <c r="P33" s="129" t="s">
        <v>607</v>
      </c>
      <c r="Q33" s="116">
        <v>333409444</v>
      </c>
      <c r="R33" s="116">
        <v>455860095536</v>
      </c>
      <c r="S33" s="116">
        <v>8772529.3499999996</v>
      </c>
      <c r="T33" s="130">
        <f t="shared" ref="T33" si="42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3">F34/F33-1</f>
        <v>-0.25341632573298634</v>
      </c>
      <c r="H34" s="190">
        <f t="shared" ref="H34" si="44">F34/F22-1</f>
        <v>-7.2970051153264937E-4</v>
      </c>
      <c r="I34" s="130">
        <f t="shared" si="0"/>
        <v>42.063435025099864</v>
      </c>
      <c r="J34" s="130">
        <f t="shared" si="5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5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6">F35/F34-1</f>
        <v>-6.4063210201462439E-2</v>
      </c>
      <c r="H35" s="190">
        <f t="shared" ref="H35" si="47">F35/F23-1</f>
        <v>0.16976949093339644</v>
      </c>
      <c r="I35" s="130">
        <f t="shared" si="0"/>
        <v>37.787600631633346</v>
      </c>
      <c r="J35" s="130">
        <f t="shared" si="5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8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9">F36/F35-1</f>
        <v>0.12960283508359405</v>
      </c>
      <c r="H36" s="190">
        <f t="shared" ref="H36" si="50">F36/F24-1</f>
        <v>0.46375066144942956</v>
      </c>
      <c r="I36" s="130">
        <f t="shared" si="0"/>
        <v>42.735879414822556</v>
      </c>
      <c r="J36" s="130">
        <f t="shared" si="5"/>
        <v>-1.482664403648315E-2</v>
      </c>
      <c r="K36" s="136"/>
      <c r="L36" s="190"/>
      <c r="M36" s="190"/>
      <c r="N36" s="191"/>
      <c r="O36" s="192"/>
      <c r="P36" s="129" t="s">
        <v>684</v>
      </c>
      <c r="Q36" s="116">
        <v>263165333</v>
      </c>
      <c r="R36" s="116">
        <v>359134105539</v>
      </c>
      <c r="S36" s="116">
        <v>6157948.2300000004</v>
      </c>
      <c r="T36" s="130">
        <f t="shared" ref="T36" si="51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2">F37/F36-1</f>
        <v>0.18696728379493655</v>
      </c>
      <c r="H37" s="190">
        <f t="shared" ref="H37" si="53">F37/F25-1</f>
        <v>0.14909327474500578</v>
      </c>
      <c r="I37" s="130">
        <f t="shared" si="0"/>
        <v>45.533572009616421</v>
      </c>
      <c r="J37" s="130">
        <f t="shared" si="5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4">Q37/S37</f>
        <v>45.533572009616421</v>
      </c>
      <c r="U37" s="85">
        <f>Q35+Q36+Q37</f>
        <v>786069208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5">F38/F37-1</f>
        <v>-0.17260450333201738</v>
      </c>
      <c r="H38" s="190">
        <f t="shared" ref="H38" si="56">F38/F26-1</f>
        <v>-0.37923195473950633</v>
      </c>
      <c r="I38" s="130">
        <f t="shared" si="0"/>
        <v>42.65537527950999</v>
      </c>
      <c r="J38" s="130">
        <f t="shared" si="5"/>
        <v>-2.7015031800203815E-3</v>
      </c>
      <c r="K38" s="136"/>
      <c r="L38" s="190"/>
      <c r="M38" s="190"/>
      <c r="N38" s="191"/>
      <c r="O38" s="192"/>
      <c r="P38" s="129" t="s">
        <v>728</v>
      </c>
      <c r="Q38" s="116">
        <v>246145149</v>
      </c>
      <c r="R38" s="116">
        <v>333271694253</v>
      </c>
      <c r="S38" s="116">
        <v>5770554.0599999996</v>
      </c>
      <c r="T38" s="130">
        <f t="shared" ref="T38" si="57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8">F39/F38-1</f>
        <v>0.25060719859279135</v>
      </c>
      <c r="H39" s="190">
        <f t="shared" ref="H39" si="59">F39/F27-1</f>
        <v>-0.19529521624663904</v>
      </c>
      <c r="I39" s="130">
        <f t="shared" si="0"/>
        <v>41.752474995811255</v>
      </c>
      <c r="J39" s="130">
        <f t="shared" si="5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60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1">F40/F39-1</f>
        <v>4.1705071590945275E-2</v>
      </c>
      <c r="H40" s="190">
        <f t="shared" ref="H40" si="62">F40/F28-1</f>
        <v>-0.23955269528319878</v>
      </c>
      <c r="I40" s="130">
        <f t="shared" si="0"/>
        <v>37.465107020729164</v>
      </c>
      <c r="J40" s="130">
        <f t="shared" si="5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3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4">F41/F40-1</f>
        <v>-0.10189152763973763</v>
      </c>
      <c r="H41" s="190">
        <f t="shared" ref="H41" si="65">F41/F29-1</f>
        <v>-8.5785750949669115E-2</v>
      </c>
      <c r="I41" s="130">
        <f t="shared" si="0"/>
        <v>43.026006106739551</v>
      </c>
      <c r="J41" s="130">
        <f t="shared" si="5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6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7">F42/F41-1</f>
        <v>-0.31039648355677718</v>
      </c>
      <c r="H42" s="190">
        <f t="shared" ref="H42" si="68">F42/F30-1</f>
        <v>-0.45486929433121825</v>
      </c>
      <c r="I42" s="130">
        <f t="shared" si="0"/>
        <v>42.231235983346608</v>
      </c>
      <c r="J42" s="130">
        <f t="shared" si="5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9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70">F43/F42-1</f>
        <v>0.30438287902004024</v>
      </c>
      <c r="H43" s="190">
        <f t="shared" ref="H43" si="71">F43/F31-1</f>
        <v>-0.11528114272715484</v>
      </c>
      <c r="I43" s="130">
        <f t="shared" si="0"/>
        <v>40.618444600495806</v>
      </c>
      <c r="J43" s="130">
        <f t="shared" si="5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2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3">F44/F43-1</f>
        <v>-0.29468464539541739</v>
      </c>
      <c r="H44" s="190">
        <f t="shared" ref="H44" si="74">F44/F32-1</f>
        <v>-0.46451971421299032</v>
      </c>
      <c r="I44" s="130">
        <f t="shared" si="0"/>
        <v>42.251498935538372</v>
      </c>
      <c r="J44" s="130">
        <f t="shared" si="5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5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6">F45/F44-1</f>
        <v>0.72376513657613062</v>
      </c>
      <c r="H45" s="190">
        <f t="shared" ref="H45" si="77">F45/F33-1</f>
        <v>-8.1107865978744531E-3</v>
      </c>
      <c r="I45" s="130">
        <f t="shared" si="0"/>
        <v>41.533094756480025</v>
      </c>
      <c r="J45" s="130">
        <f t="shared" si="5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8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9">F46/F45-1</f>
        <v>-0.27894340014791819</v>
      </c>
      <c r="H46" s="190">
        <f t="shared" ref="H46" si="80">F46/F34-1</f>
        <v>-4.20253103607241E-2</v>
      </c>
      <c r="I46" s="130">
        <f t="shared" si="0"/>
        <v>47.301986094692147</v>
      </c>
      <c r="J46" s="130">
        <f t="shared" si="5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1">Q46/S46</f>
        <v>47.301986094692147</v>
      </c>
      <c r="U46" s="85">
        <f t="shared" ref="U46:U51" si="82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3">F47/F46-1</f>
        <v>-6.8852671454067815E-2</v>
      </c>
      <c r="H47" s="190">
        <f t="shared" ref="H47" si="84">F47/F35-1</f>
        <v>-4.6927545967886841E-2</v>
      </c>
      <c r="I47" s="130">
        <f t="shared" si="0"/>
        <v>38.096734193960103</v>
      </c>
      <c r="J47" s="130">
        <f t="shared" si="5"/>
        <v>8.1808200880573168E-3</v>
      </c>
      <c r="K47" s="136"/>
      <c r="L47" s="190"/>
      <c r="M47" s="190"/>
      <c r="N47" s="191"/>
      <c r="O47" s="192"/>
      <c r="P47" s="129" t="s">
        <v>991</v>
      </c>
      <c r="Q47" s="116">
        <v>243185325</v>
      </c>
      <c r="R47" s="116">
        <v>332565566623</v>
      </c>
      <c r="S47" s="116">
        <v>6383364.0899999999</v>
      </c>
      <c r="T47" s="130">
        <f t="shared" ref="T47" si="85">Q47/S47</f>
        <v>38.096734193960103</v>
      </c>
      <c r="U47" s="85">
        <f t="shared" si="82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6">F48/F47-1</f>
        <v>-0.30932410251317588</v>
      </c>
      <c r="H48" s="190">
        <f t="shared" ref="H48" si="87">F48/F36-1</f>
        <v>-0.41726051660459396</v>
      </c>
      <c r="I48" s="130">
        <f t="shared" si="0"/>
        <v>38.727443290020339</v>
      </c>
      <c r="J48" s="130">
        <f t="shared" si="5"/>
        <v>-9.3795568961941744E-2</v>
      </c>
      <c r="K48" s="136"/>
      <c r="L48" s="190"/>
      <c r="M48" s="190"/>
      <c r="N48" s="191"/>
      <c r="O48" s="192"/>
      <c r="P48" s="129" t="s">
        <v>1132</v>
      </c>
      <c r="Q48" s="116">
        <v>146054124</v>
      </c>
      <c r="R48" s="116">
        <v>202658836719</v>
      </c>
      <c r="S48" s="116">
        <v>3771334.01</v>
      </c>
      <c r="T48" s="130">
        <f t="shared" ref="T48" si="88">Q48/S48</f>
        <v>38.727443290020339</v>
      </c>
      <c r="U48" s="85">
        <f t="shared" si="82"/>
        <v>604986430</v>
      </c>
    </row>
    <row r="49" spans="1:26" ht="13.2">
      <c r="A49" s="129" t="s">
        <v>1227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9">F49/F48-1</f>
        <v>0.85903056047907267</v>
      </c>
      <c r="H49" s="190">
        <f t="shared" ref="H49" si="90">F49/F37-1</f>
        <v>-8.7312242536074947E-2</v>
      </c>
      <c r="I49" s="130">
        <f t="shared" si="0"/>
        <v>50.016466176050862</v>
      </c>
      <c r="J49" s="130">
        <f t="shared" si="5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1">Q49/S49</f>
        <v>50.016466176050862</v>
      </c>
      <c r="U49" s="85">
        <f t="shared" si="82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2">F50/F49-1</f>
        <v>-0.23388407097496711</v>
      </c>
      <c r="H50" s="190">
        <f t="shared" ref="H50" si="93">F50/F38-1</f>
        <v>-0.15490882892751112</v>
      </c>
      <c r="I50" s="130">
        <f t="shared" ref="I50" si="94">T50</f>
        <v>44.423062150231438</v>
      </c>
      <c r="J50" s="130">
        <f t="shared" ref="J50" si="95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6">Q50/S50</f>
        <v>44.423062150231438</v>
      </c>
      <c r="U50" s="85">
        <f t="shared" si="82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7">F51/F50-1</f>
        <v>0.12764899649402039</v>
      </c>
      <c r="H51" s="190">
        <f t="shared" ref="H51:H52" si="98">F51/F39-1</f>
        <v>-0.23799718082692523</v>
      </c>
      <c r="I51" s="130">
        <f t="shared" ref="I51:I52" si="99">T51</f>
        <v>48.386631679887437</v>
      </c>
      <c r="J51" s="130">
        <f t="shared" ref="J51:J52" si="100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1">Q51/S51</f>
        <v>48.386631679887437</v>
      </c>
      <c r="U51" s="85">
        <f t="shared" si="82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7"/>
        <v>5.9853782820908696E-2</v>
      </c>
      <c r="H52" s="190">
        <f t="shared" si="98"/>
        <v>-0.22472147592854241</v>
      </c>
      <c r="I52" s="130">
        <f t="shared" si="99"/>
        <v>49.020402965770124</v>
      </c>
      <c r="J52" s="130">
        <f t="shared" si="100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1"/>
        <v>49.020402965770124</v>
      </c>
      <c r="U52" s="85">
        <f t="shared" ref="U52" si="102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3">F53/F52-1</f>
        <v>-0.47012444789659935</v>
      </c>
      <c r="H53" s="190">
        <f t="shared" ref="H53" si="104">F53/F41-1</f>
        <v>-0.542592962187883</v>
      </c>
      <c r="I53" s="130">
        <f t="shared" ref="I53" si="105">T53</f>
        <v>35.663374483860821</v>
      </c>
      <c r="J53" s="130">
        <f t="shared" ref="J53" si="106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7">Q53/S53</f>
        <v>35.663374483860821</v>
      </c>
      <c r="U53" s="85">
        <f t="shared" ref="U53" si="108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9">F54/F53-1</f>
        <v>0.310627260832538</v>
      </c>
      <c r="H54" s="190">
        <f t="shared" ref="H54" si="110">F54/F42-1</f>
        <v>-0.13067419356383458</v>
      </c>
      <c r="I54" s="130">
        <f t="shared" ref="I54" si="111">T54</f>
        <v>41.122514849794527</v>
      </c>
      <c r="J54" s="130">
        <f t="shared" ref="J54" si="112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3">Q54/S54</f>
        <v>41.122514849794527</v>
      </c>
      <c r="U54" s="85">
        <f t="shared" ref="U54" si="114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5">F55/F54-1</f>
        <v>3.0679547550241049E-2</v>
      </c>
      <c r="H55" s="190">
        <f t="shared" ref="H55" si="116">F55/F43-1</f>
        <v>-0.31308794123047545</v>
      </c>
      <c r="I55" s="130">
        <f>T55</f>
        <v>43.033590786536173</v>
      </c>
      <c r="J55" s="130">
        <f t="shared" ref="J55" si="117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8">Q55/S55</f>
        <v>43.033590786536173</v>
      </c>
      <c r="U55" s="85">
        <f t="shared" ref="U55" si="119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20">F56/F55-1</f>
        <v>0.27872162392508626</v>
      </c>
      <c r="H56" s="190">
        <f t="shared" ref="H56" si="121">F56/F44-1</f>
        <v>0.24535684293435889</v>
      </c>
      <c r="I56" s="291">
        <f>T56</f>
        <v>40.796773679814137</v>
      </c>
      <c r="J56" s="130">
        <f t="shared" ref="J56" si="122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3">Q56/S56</f>
        <v>40.796773679814137</v>
      </c>
      <c r="U56" s="85">
        <f t="shared" ref="U56" si="124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13323927.083333334</v>
      </c>
      <c r="G57" s="254">
        <f t="shared" ref="G57" si="125">F57/F56-1</f>
        <v>0.17110209710489577</v>
      </c>
      <c r="H57" s="254">
        <f t="shared" ref="H57" si="126">F57/F45-1</f>
        <v>-0.1539218542839188</v>
      </c>
      <c r="I57" s="282">
        <f>T57</f>
        <v>40.40485595093957</v>
      </c>
      <c r="J57" s="277">
        <f t="shared" ref="J57" si="127">I57/I45-1</f>
        <v>-2.7164814280169369E-2</v>
      </c>
      <c r="K57" s="204"/>
      <c r="L57" s="254"/>
      <c r="M57" s="254"/>
      <c r="N57" s="257"/>
      <c r="O57" s="258"/>
      <c r="P57" s="129" t="s">
        <v>1436</v>
      </c>
      <c r="Q57" s="116">
        <v>159887125</v>
      </c>
      <c r="R57" s="116">
        <v>235417115071</v>
      </c>
      <c r="S57" s="116">
        <v>3957126.47</v>
      </c>
      <c r="T57" s="130">
        <f t="shared" ref="T57" si="128">Q57/S57</f>
        <v>40.40485595093957</v>
      </c>
      <c r="U57" s="85">
        <f t="shared" ref="U57" si="129">Q55+Q56+Q57</f>
        <v>597031429</v>
      </c>
      <c r="V57" s="79"/>
      <c r="W57" s="79"/>
      <c r="X57" s="79"/>
      <c r="Y57" s="79"/>
      <c r="Z57" s="79"/>
    </row>
    <row r="58" spans="1:26">
      <c r="B58" s="196">
        <f>SUM(F56:F58)</f>
        <v>24701181.992424242</v>
      </c>
      <c r="C58" s="196">
        <f>AVERAGE(F56:F58)</f>
        <v>12350590.996212121</v>
      </c>
      <c r="D58" s="197">
        <f>C58/C55-1</f>
        <v>0.5363692459754219</v>
      </c>
      <c r="E58" s="233">
        <f>C58/C46-1</f>
        <v>2.2436275551629636E-2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882102097</v>
      </c>
      <c r="R65" s="212">
        <v>1297271115376</v>
      </c>
      <c r="S65" s="213">
        <v>21881341.109999999</v>
      </c>
      <c r="T65" s="214">
        <v>1543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159887125</v>
      </c>
      <c r="R70" s="181">
        <v>235417115071</v>
      </c>
      <c r="S70" s="182">
        <v>3957126.47</v>
      </c>
      <c r="T70" s="210">
        <v>453</v>
      </c>
      <c r="U70" s="210">
        <v>694</v>
      </c>
    </row>
    <row r="71" spans="16:21" ht="18" thickBot="1">
      <c r="P71" s="180" t="s">
        <v>975</v>
      </c>
      <c r="Q71" s="181">
        <v>2831062501</v>
      </c>
      <c r="R71" s="181">
        <v>4026647263374</v>
      </c>
      <c r="S71" s="182">
        <v>64736149.609999999</v>
      </c>
      <c r="T71" s="210">
        <v>2496</v>
      </c>
      <c r="U71" s="210">
        <v>5240</v>
      </c>
    </row>
    <row r="72" spans="16:21" ht="18" thickBot="1">
      <c r="P72" s="215" t="s">
        <v>982</v>
      </c>
      <c r="Q72" s="216">
        <v>3592467150</v>
      </c>
      <c r="R72" s="217" t="s">
        <v>1518</v>
      </c>
      <c r="S72"/>
      <c r="T72"/>
      <c r="U72"/>
    </row>
  </sheetData>
  <phoneticPr fontId="1" type="noConversion"/>
  <conditionalFormatting sqref="C29:C30">
    <cfRule type="cellIs" dxfId="9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3"/>
  <sheetViews>
    <sheetView topLeftCell="E19" zoomScale="89" zoomScaleNormal="89" workbookViewId="0">
      <selection activeCell="D51" sqref="D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9.19921875" style="87" bestFit="1" customWidth="1"/>
    <col min="16" max="16" width="5.59765625" style="87" customWidth="1"/>
    <col min="17" max="17" width="10.59765625" style="79" customWidth="1"/>
    <col min="18" max="18" width="6.699218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255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95" t="s">
        <v>372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261</v>
      </c>
      <c r="E4" s="84" t="s">
        <v>72</v>
      </c>
      <c r="F4" s="172" t="s">
        <v>282</v>
      </c>
      <c r="G4" s="172" t="s">
        <v>261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112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53877.7</v>
      </c>
      <c r="F5" s="90"/>
      <c r="G5" s="90"/>
      <c r="H5" s="129" t="s">
        <v>0</v>
      </c>
      <c r="I5" s="116">
        <v>1077554</v>
      </c>
      <c r="J5" s="116"/>
      <c r="K5" s="116">
        <v>31922.400000000001</v>
      </c>
      <c r="L5" s="130">
        <f t="shared" ref="L5:L26" si="0">I5/K5</f>
        <v>33.755419392025658</v>
      </c>
      <c r="M5" s="85"/>
      <c r="O5" s="80"/>
    </row>
    <row r="6" spans="1:18" ht="15" hidden="1" customHeight="1">
      <c r="B6" s="79"/>
      <c r="E6" s="78">
        <f>I6/18</f>
        <v>57845.111111111109</v>
      </c>
      <c r="F6" s="90">
        <f t="shared" ref="F6:F26" si="1">E6/E5-1</f>
        <v>7.3637351095371839E-2</v>
      </c>
      <c r="G6" s="90"/>
      <c r="H6" s="129" t="s">
        <v>1</v>
      </c>
      <c r="I6" s="116">
        <v>1041212</v>
      </c>
      <c r="J6" s="116"/>
      <c r="K6" s="116">
        <v>21320.17</v>
      </c>
      <c r="L6" s="130">
        <f t="shared" si="0"/>
        <v>48.836946422097014</v>
      </c>
      <c r="M6" s="85"/>
    </row>
    <row r="7" spans="1:18" ht="15" hidden="1" customHeight="1">
      <c r="A7" s="131">
        <f>E5+E6+E7</f>
        <v>214882.72020202019</v>
      </c>
      <c r="B7" s="131">
        <f>AVERAGE(E5:E7)</f>
        <v>71627.573400673398</v>
      </c>
      <c r="E7" s="78">
        <f>I7/22</f>
        <v>103159.90909090909</v>
      </c>
      <c r="F7" s="90">
        <f t="shared" si="1"/>
        <v>0.78338163950892192</v>
      </c>
      <c r="G7" s="90"/>
      <c r="H7" s="129" t="s">
        <v>2</v>
      </c>
      <c r="I7" s="116">
        <v>2269518</v>
      </c>
      <c r="J7" s="116"/>
      <c r="K7" s="116">
        <v>38265.46</v>
      </c>
      <c r="L7" s="130">
        <f t="shared" si="0"/>
        <v>59.309831895396009</v>
      </c>
      <c r="M7" s="85">
        <f>I5+I6+I7</f>
        <v>4388284</v>
      </c>
      <c r="N7" s="79">
        <f>J5+J6+J7</f>
        <v>0</v>
      </c>
      <c r="O7" s="102">
        <f>K5+K6+K7</f>
        <v>91508.03</v>
      </c>
      <c r="Q7" s="88">
        <f>AVERAGE(L5:L7)</f>
        <v>47.30073256983956</v>
      </c>
    </row>
    <row r="8" spans="1:18" ht="15" hidden="1" customHeight="1">
      <c r="B8" s="79"/>
      <c r="E8" s="78">
        <f>I8/21</f>
        <v>57260.666666666664</v>
      </c>
      <c r="F8" s="90">
        <f t="shared" si="1"/>
        <v>-0.44493294758329005</v>
      </c>
      <c r="G8" s="90"/>
      <c r="H8" s="129" t="s">
        <v>3</v>
      </c>
      <c r="I8" s="116">
        <v>1202474</v>
      </c>
      <c r="J8" s="116"/>
      <c r="K8" s="116">
        <v>23820.38</v>
      </c>
      <c r="L8" s="130">
        <f t="shared" si="0"/>
        <v>50.480890733061351</v>
      </c>
      <c r="M8" s="85"/>
      <c r="N8" s="78"/>
    </row>
    <row r="9" spans="1:18" ht="15" hidden="1" customHeight="1">
      <c r="B9" s="79"/>
      <c r="E9" s="78">
        <f>I9/21</f>
        <v>147516.33333333334</v>
      </c>
      <c r="F9" s="90">
        <f t="shared" si="1"/>
        <v>1.5762245171205369</v>
      </c>
      <c r="G9" s="90"/>
      <c r="H9" s="129" t="s">
        <v>4</v>
      </c>
      <c r="I9" s="116">
        <v>3097843</v>
      </c>
      <c r="J9" s="116"/>
      <c r="K9" s="116">
        <v>63323.67</v>
      </c>
      <c r="L9" s="130">
        <f t="shared" si="0"/>
        <v>48.920774806640239</v>
      </c>
      <c r="M9" s="85"/>
      <c r="N9" s="78"/>
    </row>
    <row r="10" spans="1:18" ht="15" hidden="1" customHeight="1">
      <c r="A10" s="131">
        <f>E8+E9+E10</f>
        <v>285932.57142857142</v>
      </c>
      <c r="B10" s="131">
        <f>AVERAGE(E8:E10)</f>
        <v>95310.857142857145</v>
      </c>
      <c r="C10" s="90">
        <f>B10/B7-1</f>
        <v>0.33064478688539634</v>
      </c>
      <c r="D10" s="90"/>
      <c r="E10" s="78">
        <f>I10/21</f>
        <v>81155.571428571435</v>
      </c>
      <c r="F10" s="90">
        <f t="shared" si="1"/>
        <v>-0.44985365623758211</v>
      </c>
      <c r="G10" s="90"/>
      <c r="H10" s="129" t="s">
        <v>5</v>
      </c>
      <c r="I10" s="116">
        <v>1704267</v>
      </c>
      <c r="J10" s="116"/>
      <c r="K10" s="116">
        <v>43031.82</v>
      </c>
      <c r="L10" s="130">
        <f t="shared" si="0"/>
        <v>39.604808720616511</v>
      </c>
      <c r="M10" s="85">
        <f>I8+I9+I10</f>
        <v>6004584</v>
      </c>
      <c r="N10" s="79">
        <f>J8+J9+J10</f>
        <v>0</v>
      </c>
      <c r="O10" s="102">
        <f>M10/M7-1</f>
        <v>0.3683216491913468</v>
      </c>
      <c r="Q10" s="88">
        <f>AVERAGE(L8:L10)</f>
        <v>46.335491420106031</v>
      </c>
      <c r="R10" s="89">
        <f>Q10/Q7-1</f>
        <v>-2.040647358491432E-2</v>
      </c>
    </row>
    <row r="11" spans="1:18" ht="15" hidden="1" customHeight="1">
      <c r="B11" s="79"/>
      <c r="E11" s="78">
        <f>I11/21</f>
        <v>131891</v>
      </c>
      <c r="F11" s="90">
        <f t="shared" si="1"/>
        <v>0.62516260656340816</v>
      </c>
      <c r="G11" s="90"/>
      <c r="H11" s="129" t="s">
        <v>6</v>
      </c>
      <c r="I11" s="116">
        <v>2769711</v>
      </c>
      <c r="J11" s="116"/>
      <c r="K11" s="116">
        <v>55307.69</v>
      </c>
      <c r="L11" s="130">
        <f t="shared" si="0"/>
        <v>50.078226011608869</v>
      </c>
      <c r="M11" s="85"/>
      <c r="N11" s="78"/>
      <c r="R11" s="89"/>
    </row>
    <row r="12" spans="1:18" ht="15" hidden="1" customHeight="1">
      <c r="B12" s="79"/>
      <c r="E12" s="78">
        <f>I12/22</f>
        <v>103618.59090909091</v>
      </c>
      <c r="F12" s="90">
        <f t="shared" si="1"/>
        <v>-0.21436192834165402</v>
      </c>
      <c r="G12" s="90"/>
      <c r="H12" s="129" t="s">
        <v>7</v>
      </c>
      <c r="I12" s="116">
        <v>2279609</v>
      </c>
      <c r="J12" s="116"/>
      <c r="K12" s="116">
        <v>55787.19</v>
      </c>
      <c r="L12" s="130">
        <f t="shared" si="0"/>
        <v>40.862588705399929</v>
      </c>
      <c r="M12" s="85"/>
      <c r="N12" s="78"/>
      <c r="R12" s="89"/>
    </row>
    <row r="13" spans="1:18" ht="15" hidden="1" customHeight="1">
      <c r="A13" s="131">
        <f>E11+E12+E13</f>
        <v>352302.44090909092</v>
      </c>
      <c r="B13" s="131">
        <f>AVERAGE(E11:E13)</f>
        <v>117434.14696969697</v>
      </c>
      <c r="C13" s="90">
        <f>B13/B10-1</f>
        <v>0.23211720563671179</v>
      </c>
      <c r="D13" s="90"/>
      <c r="E13" s="78">
        <f>I13/20</f>
        <v>116792.85</v>
      </c>
      <c r="F13" s="90">
        <f t="shared" si="1"/>
        <v>0.12714184757122826</v>
      </c>
      <c r="G13" s="90"/>
      <c r="H13" s="129" t="s">
        <v>96</v>
      </c>
      <c r="I13" s="116">
        <v>2335857</v>
      </c>
      <c r="J13" s="116"/>
      <c r="K13" s="116">
        <v>55629.63</v>
      </c>
      <c r="L13" s="130">
        <f t="shared" si="0"/>
        <v>41.989439800336619</v>
      </c>
      <c r="M13" s="85">
        <f>I11+I12+I13</f>
        <v>7385177</v>
      </c>
      <c r="N13" s="79">
        <f>J11+J12+J13</f>
        <v>0</v>
      </c>
      <c r="O13" s="102">
        <f>M13/M10-1</f>
        <v>0.22992317202990242</v>
      </c>
      <c r="Q13" s="88">
        <f>AVERAGE(L11:L13)</f>
        <v>44.310084839115142</v>
      </c>
      <c r="R13" s="89">
        <f>Q13/Q10-1</f>
        <v>-4.3711775119148033E-2</v>
      </c>
    </row>
    <row r="14" spans="1:18" ht="15" hidden="1" customHeight="1">
      <c r="B14" s="79"/>
      <c r="E14" s="78">
        <f>I14/20</f>
        <v>106487.55</v>
      </c>
      <c r="F14" s="90">
        <f t="shared" si="1"/>
        <v>-8.823570963462235E-2</v>
      </c>
      <c r="G14" s="90"/>
      <c r="H14" s="129" t="s">
        <v>97</v>
      </c>
      <c r="I14" s="116">
        <v>2129751</v>
      </c>
      <c r="J14" s="116"/>
      <c r="K14" s="116">
        <v>42229.440000000002</v>
      </c>
      <c r="L14" s="130">
        <f t="shared" si="0"/>
        <v>50.432849689695146</v>
      </c>
      <c r="M14" s="85"/>
      <c r="R14" s="89"/>
    </row>
    <row r="15" spans="1:18" ht="15" hidden="1" customHeight="1">
      <c r="A15" s="131"/>
      <c r="B15" s="131"/>
      <c r="E15" s="78">
        <f>I15/22</f>
        <v>105546.68181818182</v>
      </c>
      <c r="F15" s="90">
        <f t="shared" si="1"/>
        <v>-8.8354759013441475E-3</v>
      </c>
      <c r="G15" s="90"/>
      <c r="H15" s="129" t="s">
        <v>98</v>
      </c>
      <c r="I15" s="116">
        <v>2322027</v>
      </c>
      <c r="J15" s="116"/>
      <c r="K15" s="116">
        <v>74645.36</v>
      </c>
      <c r="L15" s="130">
        <f t="shared" si="0"/>
        <v>31.107452626660251</v>
      </c>
      <c r="M15" s="78"/>
      <c r="R15" s="89"/>
    </row>
    <row r="16" spans="1:18" ht="15" hidden="1" customHeight="1">
      <c r="A16" s="131">
        <f>E14+E15+E16</f>
        <v>350805.09545454546</v>
      </c>
      <c r="B16" s="131">
        <f>AVERAGE(E14:E16)</f>
        <v>116935.03181818181</v>
      </c>
      <c r="C16" s="90">
        <f>B16/B13-1</f>
        <v>-4.250170537228426E-3</v>
      </c>
      <c r="D16" s="90"/>
      <c r="E16" s="78">
        <f>I16/22</f>
        <v>138770.86363636365</v>
      </c>
      <c r="F16" s="90">
        <f t="shared" si="1"/>
        <v>0.31478186946146614</v>
      </c>
      <c r="G16" s="90"/>
      <c r="H16" s="129" t="s">
        <v>99</v>
      </c>
      <c r="I16" s="116">
        <v>3052959</v>
      </c>
      <c r="J16" s="116"/>
      <c r="K16" s="116">
        <v>78136.009999999995</v>
      </c>
      <c r="L16" s="130">
        <f t="shared" si="0"/>
        <v>39.072368809208456</v>
      </c>
      <c r="M16" s="85">
        <f>I14+I15+I16</f>
        <v>7504737</v>
      </c>
      <c r="N16" s="79">
        <f>J14+J15+J16</f>
        <v>0</v>
      </c>
      <c r="O16" s="102">
        <f>M16/M13-1</f>
        <v>1.6189185445386167E-2</v>
      </c>
      <c r="Q16" s="88">
        <f>AVERAGE(L14:L16)</f>
        <v>40.204223708521283</v>
      </c>
      <c r="R16" s="89">
        <f>Q16/Q13-1</f>
        <v>-9.26620011110737E-2</v>
      </c>
    </row>
    <row r="17" spans="1:18" ht="15" customHeight="1">
      <c r="B17" s="79"/>
      <c r="E17" s="78">
        <f>I17/20</f>
        <v>86624.9</v>
      </c>
      <c r="F17" s="90">
        <f t="shared" si="1"/>
        <v>-0.37577026091735932</v>
      </c>
      <c r="G17" s="90">
        <f t="shared" ref="G17:G26" si="2">E17/E5-1</f>
        <v>0.60780619811164915</v>
      </c>
      <c r="H17" s="129" t="s">
        <v>100</v>
      </c>
      <c r="I17" s="116">
        <v>1732498</v>
      </c>
      <c r="J17" s="116">
        <v>2164668141</v>
      </c>
      <c r="K17" s="116">
        <v>40805.550000000003</v>
      </c>
      <c r="L17" s="130">
        <f t="shared" si="0"/>
        <v>42.457410817891194</v>
      </c>
      <c r="M17" s="78"/>
      <c r="R17" s="89"/>
    </row>
    <row r="18" spans="1:18" ht="15" customHeight="1">
      <c r="B18" s="79"/>
      <c r="E18" s="78">
        <f>I18/20</f>
        <v>129407</v>
      </c>
      <c r="F18" s="90">
        <f t="shared" si="1"/>
        <v>0.49387762640995847</v>
      </c>
      <c r="G18" s="90">
        <f t="shared" si="2"/>
        <v>1.237129422250224</v>
      </c>
      <c r="H18" s="129" t="s">
        <v>106</v>
      </c>
      <c r="I18" s="116">
        <v>2588140</v>
      </c>
      <c r="J18" s="116">
        <v>3222875313</v>
      </c>
      <c r="K18" s="116">
        <v>58730.38</v>
      </c>
      <c r="L18" s="130">
        <f t="shared" si="0"/>
        <v>44.068163699945416</v>
      </c>
      <c r="M18" s="78"/>
      <c r="R18" s="89"/>
    </row>
    <row r="19" spans="1:18">
      <c r="A19" s="131">
        <f>SUM(E17:E19)</f>
        <v>291991.99090909091</v>
      </c>
      <c r="B19" s="131">
        <f>AVERAGE(E17:E19)</f>
        <v>97330.663636363635</v>
      </c>
      <c r="C19" s="90">
        <f>B19/B16-1</f>
        <v>-0.16765179670280783</v>
      </c>
      <c r="D19" s="90">
        <f>B19/B7-1</f>
        <v>0.35884351535841064</v>
      </c>
      <c r="E19" s="78">
        <f>I19/22</f>
        <v>75960.090909090912</v>
      </c>
      <c r="F19" s="90">
        <f t="shared" si="1"/>
        <v>-0.41301404940157094</v>
      </c>
      <c r="G19" s="90">
        <f t="shared" si="2"/>
        <v>-0.26366655827360697</v>
      </c>
      <c r="H19" s="129" t="s">
        <v>114</v>
      </c>
      <c r="I19" s="116">
        <v>1671122</v>
      </c>
      <c r="J19" s="116">
        <v>2187745987</v>
      </c>
      <c r="K19" s="116">
        <v>42624.77</v>
      </c>
      <c r="L19" s="130">
        <f t="shared" si="0"/>
        <v>39.205419759449732</v>
      </c>
      <c r="M19" s="85">
        <f>I17+I18+I19</f>
        <v>5991760</v>
      </c>
      <c r="N19" s="79">
        <f>J17+J18+J19</f>
        <v>7575289441</v>
      </c>
      <c r="O19" s="102">
        <f>M19/M16-1</f>
        <v>-0.20160293425339226</v>
      </c>
      <c r="P19" s="87">
        <f>M19/M7-1</f>
        <v>0.36539932237749428</v>
      </c>
      <c r="Q19" s="88">
        <f>AVERAGE(L17:L19)</f>
        <v>41.910331425762116</v>
      </c>
      <c r="R19" s="89">
        <f>Q19/Q16-1</f>
        <v>4.2436031836108334E-2</v>
      </c>
    </row>
    <row r="20" spans="1:18">
      <c r="A20" s="131"/>
      <c r="B20" s="131"/>
      <c r="C20" s="90"/>
      <c r="D20" s="90"/>
      <c r="E20" s="78">
        <f>I20/20</f>
        <v>110984</v>
      </c>
      <c r="F20" s="90">
        <f t="shared" si="1"/>
        <v>0.46108303283662111</v>
      </c>
      <c r="G20" s="90">
        <f t="shared" si="2"/>
        <v>0.93822402812867489</v>
      </c>
      <c r="H20" s="129" t="s">
        <v>132</v>
      </c>
      <c r="I20" s="116">
        <v>2219680</v>
      </c>
      <c r="J20" s="116">
        <v>2916057903</v>
      </c>
      <c r="K20" s="116">
        <v>58195.23</v>
      </c>
      <c r="L20" s="130">
        <f t="shared" si="0"/>
        <v>38.141957682786028</v>
      </c>
      <c r="M20" s="78"/>
      <c r="R20" s="89"/>
    </row>
    <row r="21" spans="1:18">
      <c r="A21" s="131"/>
      <c r="B21" s="131"/>
      <c r="C21" s="90"/>
      <c r="D21" s="90"/>
      <c r="E21" s="78">
        <f>I21/21</f>
        <v>131284.71428571429</v>
      </c>
      <c r="F21" s="90">
        <f t="shared" si="1"/>
        <v>0.18291568411405512</v>
      </c>
      <c r="G21" s="90">
        <f t="shared" si="2"/>
        <v>-0.11003269048818809</v>
      </c>
      <c r="H21" s="129" t="s">
        <v>141</v>
      </c>
      <c r="I21" s="116">
        <v>2756979</v>
      </c>
      <c r="J21" s="116">
        <v>3663664743</v>
      </c>
      <c r="K21" s="116">
        <v>64828.92</v>
      </c>
      <c r="L21" s="130">
        <f t="shared" si="0"/>
        <v>42.52699258293984</v>
      </c>
      <c r="M21" s="78"/>
      <c r="R21" s="89"/>
    </row>
    <row r="22" spans="1:18">
      <c r="A22" s="131">
        <f>SUM(E20:E22)</f>
        <v>387080.95238095243</v>
      </c>
      <c r="B22" s="131">
        <f>AVERAGE(E20:E22)</f>
        <v>129026.98412698414</v>
      </c>
      <c r="C22" s="90">
        <f>B22/B19-1</f>
        <v>0.32565606055087515</v>
      </c>
      <c r="D22" s="90">
        <f>B22/B10-1</f>
        <v>0.35374906904458348</v>
      </c>
      <c r="E22" s="78">
        <f>I22/21</f>
        <v>144812.23809523811</v>
      </c>
      <c r="F22" s="90">
        <f t="shared" si="1"/>
        <v>0.10303959515106942</v>
      </c>
      <c r="G22" s="90">
        <f t="shared" si="2"/>
        <v>0.78437826936741728</v>
      </c>
      <c r="H22" s="129" t="s">
        <v>155</v>
      </c>
      <c r="I22" s="116">
        <v>3041057</v>
      </c>
      <c r="J22" s="116">
        <v>3942392625</v>
      </c>
      <c r="K22" s="116">
        <v>73080.990000000005</v>
      </c>
      <c r="L22" s="130">
        <f t="shared" si="0"/>
        <v>41.612148384963035</v>
      </c>
      <c r="M22" s="85">
        <f>I20+I21+I22</f>
        <v>8017716</v>
      </c>
      <c r="N22" s="79">
        <f>J20+J21+J22</f>
        <v>10522115271</v>
      </c>
      <c r="O22" s="102">
        <f>M22/M19-1</f>
        <v>0.33812368986741803</v>
      </c>
      <c r="P22" s="87">
        <f>M22/M10-1</f>
        <v>0.3352658568853395</v>
      </c>
      <c r="Q22" s="88">
        <f>AVERAGE(L20:L22)</f>
        <v>40.760366216896301</v>
      </c>
      <c r="R22" s="89">
        <f>Q22/Q19-1</f>
        <v>-2.7438704723745877E-2</v>
      </c>
    </row>
    <row r="23" spans="1:18">
      <c r="A23" s="131"/>
      <c r="B23" s="131"/>
      <c r="E23" s="78">
        <f>I23/21</f>
        <v>162770.04761904763</v>
      </c>
      <c r="F23" s="90">
        <f t="shared" si="1"/>
        <v>0.12400754079913656</v>
      </c>
      <c r="G23" s="90">
        <f t="shared" si="2"/>
        <v>0.23412550984561209</v>
      </c>
      <c r="H23" s="129" t="s">
        <v>189</v>
      </c>
      <c r="I23" s="116">
        <v>3418171</v>
      </c>
      <c r="J23" s="116">
        <v>4369077756</v>
      </c>
      <c r="K23" s="116">
        <v>75199.100000000006</v>
      </c>
      <c r="L23" s="130">
        <f t="shared" si="0"/>
        <v>45.454945604402177</v>
      </c>
      <c r="M23" s="78"/>
      <c r="R23" s="89"/>
    </row>
    <row r="24" spans="1:18">
      <c r="A24" s="131"/>
      <c r="B24" s="131"/>
      <c r="E24" s="78">
        <f>I24/22</f>
        <v>77086.318181818177</v>
      </c>
      <c r="F24" s="90">
        <f t="shared" si="1"/>
        <v>-0.52640968464767224</v>
      </c>
      <c r="G24" s="90">
        <f t="shared" si="2"/>
        <v>-0.25605706943603057</v>
      </c>
      <c r="H24" s="129" t="s">
        <v>204</v>
      </c>
      <c r="I24" s="116">
        <v>1695899</v>
      </c>
      <c r="J24" s="116">
        <v>2230617328</v>
      </c>
      <c r="K24" s="116">
        <v>216121.17</v>
      </c>
      <c r="L24" s="130">
        <f t="shared" si="0"/>
        <v>7.8469823201493858</v>
      </c>
      <c r="M24" s="78"/>
      <c r="R24" s="89"/>
    </row>
    <row r="25" spans="1:18">
      <c r="A25" s="131">
        <f>SUM(E23:E25)</f>
        <v>361838.26053770795</v>
      </c>
      <c r="B25" s="131">
        <f>AVERAGE(E23:E25)</f>
        <v>120612.75351256931</v>
      </c>
      <c r="C25" s="90">
        <f>B25/B22-1</f>
        <v>-6.5212952711766303E-2</v>
      </c>
      <c r="D25" s="90">
        <f>B25/B13-1</f>
        <v>2.7067140392245115E-2</v>
      </c>
      <c r="E25" s="78">
        <f>I25/19</f>
        <v>121981.89473684211</v>
      </c>
      <c r="F25" s="90">
        <f t="shared" si="1"/>
        <v>0.58240654909904799</v>
      </c>
      <c r="G25" s="90">
        <f t="shared" si="2"/>
        <v>4.4429472667565806E-2</v>
      </c>
      <c r="H25" s="129" t="s">
        <v>217</v>
      </c>
      <c r="I25" s="116">
        <v>2317656</v>
      </c>
      <c r="J25" s="116">
        <v>3077206730</v>
      </c>
      <c r="K25" s="116">
        <v>60733.31</v>
      </c>
      <c r="L25" s="130">
        <f t="shared" si="0"/>
        <v>38.161200171701495</v>
      </c>
      <c r="M25" s="85">
        <f>I23+I24+I25</f>
        <v>7431726</v>
      </c>
      <c r="N25" s="79">
        <f>J23+J24+J25</f>
        <v>9676901814</v>
      </c>
      <c r="O25" s="102">
        <f>M25/M22-1</f>
        <v>-7.3086899062027144E-2</v>
      </c>
      <c r="P25" s="90">
        <f>M25/M13-1</f>
        <v>6.3030310580234339E-3</v>
      </c>
      <c r="Q25" s="88">
        <f>AVERAGE(L23:L25)</f>
        <v>30.487709365417686</v>
      </c>
      <c r="R25" s="91">
        <f>Q25/Q22-1</f>
        <v>-0.25202562697339836</v>
      </c>
    </row>
    <row r="26" spans="1:18">
      <c r="A26" s="131"/>
      <c r="B26" s="131"/>
      <c r="C26" s="132"/>
      <c r="D26" s="132"/>
      <c r="E26" s="78">
        <f>I26/19</f>
        <v>93310.473684210519</v>
      </c>
      <c r="F26" s="90">
        <f t="shared" si="1"/>
        <v>-0.23504652976973295</v>
      </c>
      <c r="G26" s="90">
        <f t="shared" si="2"/>
        <v>-0.12374288182787085</v>
      </c>
      <c r="H26" s="129" t="s">
        <v>312</v>
      </c>
      <c r="I26" s="116">
        <v>1772899</v>
      </c>
      <c r="J26" s="116">
        <v>2388418085</v>
      </c>
      <c r="K26" s="116">
        <v>39770.980000000003</v>
      </c>
      <c r="L26" s="130">
        <f t="shared" si="0"/>
        <v>44.577704647961902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109850.31818181818</v>
      </c>
      <c r="F27" s="90">
        <f t="shared" ref="F27" si="3">E27/E26-1</f>
        <v>0.17725603401803802</v>
      </c>
      <c r="G27" s="90">
        <f t="shared" ref="G27" si="4">E27/E15-1</f>
        <v>4.0774719673802196E-2</v>
      </c>
      <c r="H27" s="129" t="s">
        <v>381</v>
      </c>
      <c r="I27" s="116">
        <v>2416707</v>
      </c>
      <c r="J27" s="116">
        <v>3209710049</v>
      </c>
      <c r="K27" s="116">
        <v>76016.899999999994</v>
      </c>
      <c r="L27" s="130">
        <f t="shared" ref="L27" si="5">I27/K27</f>
        <v>31.791706844135977</v>
      </c>
      <c r="M27" s="78"/>
      <c r="O27" s="90"/>
      <c r="P27" s="90"/>
    </row>
    <row r="28" spans="1:18">
      <c r="A28" s="131">
        <f>SUM(E26:E28)</f>
        <v>398266.26555023924</v>
      </c>
      <c r="B28" s="131">
        <f>AVERAGE(E26:E28)</f>
        <v>132755.42185007976</v>
      </c>
      <c r="C28" s="90">
        <f>B28/B25-1</f>
        <v>0.10067482902000946</v>
      </c>
      <c r="D28" s="90">
        <f>B28/B16-1</f>
        <v>0.13529213432375431</v>
      </c>
      <c r="E28" s="78">
        <f>I28/19</f>
        <v>195105.47368421053</v>
      </c>
      <c r="F28" s="90">
        <f t="shared" ref="F28" si="6">E28/E27-1</f>
        <v>0.77610294547606795</v>
      </c>
      <c r="G28" s="90">
        <f t="shared" ref="G28" si="7">E28/E16-1</f>
        <v>0.40595416481277069</v>
      </c>
      <c r="H28" s="129" t="s">
        <v>413</v>
      </c>
      <c r="I28" s="116">
        <v>3707004</v>
      </c>
      <c r="J28" s="116">
        <v>4847560019</v>
      </c>
      <c r="K28" s="116">
        <v>97321.01</v>
      </c>
      <c r="L28" s="130">
        <f t="shared" ref="L28" si="8">I28/K28</f>
        <v>38.090480154285288</v>
      </c>
      <c r="M28" s="85">
        <f>I26+I27+I28</f>
        <v>7896610</v>
      </c>
      <c r="N28" s="79">
        <f>J26+J27+J28</f>
        <v>10445688153</v>
      </c>
      <c r="O28" s="102">
        <f>M28/M25-1</f>
        <v>6.255397467560031E-2</v>
      </c>
      <c r="P28" s="90">
        <f>M28/M16-1</f>
        <v>5.221675323199193E-2</v>
      </c>
      <c r="Q28" s="88">
        <f>AVERAGE(L26:L28)</f>
        <v>38.153297215461059</v>
      </c>
      <c r="R28" s="91">
        <f>Q28/Q25-1</f>
        <v>0.25143206917140448</v>
      </c>
    </row>
    <row r="29" spans="1:18">
      <c r="A29" s="131"/>
      <c r="B29" s="131"/>
      <c r="C29" s="132"/>
      <c r="D29" s="132"/>
      <c r="E29" s="78">
        <f>I29/22</f>
        <v>133470.68181818182</v>
      </c>
      <c r="F29" s="90">
        <f t="shared" ref="F29" si="9">E29/E28-1</f>
        <v>-0.3159049856581071</v>
      </c>
      <c r="G29" s="90">
        <f t="shared" ref="G29" si="10">E29/E17-1</f>
        <v>0.54078887038463352</v>
      </c>
      <c r="H29" s="129" t="s">
        <v>427</v>
      </c>
      <c r="I29" s="116">
        <v>2936355</v>
      </c>
      <c r="J29" s="116">
        <v>3878609879</v>
      </c>
      <c r="K29" s="116">
        <v>98433.63</v>
      </c>
      <c r="L29" s="130">
        <f t="shared" ref="L29" si="11">I29/K29</f>
        <v>29.830810872259814</v>
      </c>
      <c r="M29" s="85"/>
      <c r="O29" s="102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155870.63157894736</v>
      </c>
      <c r="F30" s="90">
        <f t="shared" ref="F30" si="12">E30/E29-1</f>
        <v>0.16782674258965335</v>
      </c>
      <c r="G30" s="90">
        <f t="shared" ref="G30" si="13">E30/E18-1</f>
        <v>0.20449922785434604</v>
      </c>
      <c r="H30" s="129" t="s">
        <v>473</v>
      </c>
      <c r="I30" s="116">
        <v>2961542</v>
      </c>
      <c r="J30" s="116">
        <v>3944852212</v>
      </c>
      <c r="K30" s="116">
        <v>89855.8</v>
      </c>
      <c r="L30" s="130">
        <f t="shared" ref="L30" si="14">I30/K30</f>
        <v>32.95882959141202</v>
      </c>
      <c r="M30" s="85"/>
      <c r="O30" s="102"/>
      <c r="P30" s="90"/>
      <c r="Q30" s="88"/>
      <c r="R30" s="91"/>
    </row>
    <row r="31" spans="1:18">
      <c r="A31" s="131">
        <f>SUM(E29:E31)</f>
        <v>502269.81339712918</v>
      </c>
      <c r="B31" s="131">
        <f>AVERAGE(E29:E31)</f>
        <v>167423.27113237639</v>
      </c>
      <c r="C31" s="90">
        <f>B31/B28-1</f>
        <v>0.2611407413660809</v>
      </c>
      <c r="D31" s="90">
        <f>B31/B19-1</f>
        <v>0.72014928160651648</v>
      </c>
      <c r="E31" s="78">
        <f>I31/20</f>
        <v>212928.5</v>
      </c>
      <c r="F31" s="90">
        <f t="shared" ref="F31" si="15">E31/E30-1</f>
        <v>0.36605913405921653</v>
      </c>
      <c r="G31" s="90">
        <f t="shared" ref="G31" si="16">E31/E19-1</f>
        <v>1.8031627852424896</v>
      </c>
      <c r="H31" s="129" t="s">
        <v>505</v>
      </c>
      <c r="I31" s="116">
        <v>4258570</v>
      </c>
      <c r="J31" s="116">
        <v>5670165360</v>
      </c>
      <c r="K31" s="116">
        <v>119088.89</v>
      </c>
      <c r="L31" s="130">
        <f t="shared" ref="L31" si="17">I31/K31</f>
        <v>35.759591008027698</v>
      </c>
      <c r="M31" s="85">
        <f>I29+I30+I31</f>
        <v>10156467</v>
      </c>
      <c r="N31" s="79">
        <f>J29+J30+J31</f>
        <v>13493627451</v>
      </c>
      <c r="O31" s="102">
        <f>M31/M28-1</f>
        <v>0.28618065220392053</v>
      </c>
      <c r="P31" s="90">
        <f>M31/M19-1</f>
        <v>0.69507239942854859</v>
      </c>
      <c r="Q31" s="88">
        <f>AVERAGE(L29:L31)</f>
        <v>32.849743823899843</v>
      </c>
      <c r="R31" s="91">
        <f>Q31/Q28-1</f>
        <v>-0.13900642352378467</v>
      </c>
    </row>
    <row r="32" spans="1:18">
      <c r="A32" s="131"/>
      <c r="B32" s="131"/>
      <c r="C32" s="90"/>
      <c r="D32" s="90"/>
      <c r="E32" s="78">
        <f>I32/21</f>
        <v>132064.57142857142</v>
      </c>
      <c r="F32" s="90">
        <f t="shared" ref="F32" si="18">E32/E31-1</f>
        <v>-0.37977033873543742</v>
      </c>
      <c r="G32" s="90">
        <f t="shared" ref="G32" si="19">E32/E20-1</f>
        <v>0.18994243700507663</v>
      </c>
      <c r="H32" s="129" t="s">
        <v>562</v>
      </c>
      <c r="I32" s="116">
        <v>2773356</v>
      </c>
      <c r="J32" s="116">
        <v>3751207990</v>
      </c>
      <c r="K32" s="116">
        <v>82281.649999999994</v>
      </c>
      <c r="L32" s="130">
        <f t="shared" ref="L32" si="20">I32/K32</f>
        <v>33.70564396800502</v>
      </c>
      <c r="M32" s="85"/>
      <c r="O32" s="102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73951.380952380947</v>
      </c>
      <c r="F33" s="90">
        <f t="shared" ref="F33" si="21">E33/E32-1</f>
        <v>-0.4400361872042392</v>
      </c>
      <c r="G33" s="90">
        <f t="shared" ref="G33" si="22">E33/E21-1</f>
        <v>-0.43670989151531447</v>
      </c>
      <c r="H33" s="129" t="s">
        <v>607</v>
      </c>
      <c r="I33" s="116">
        <v>1552979</v>
      </c>
      <c r="J33" s="116">
        <v>2124477406</v>
      </c>
      <c r="K33" s="116">
        <v>47897.919999999998</v>
      </c>
      <c r="L33" s="130">
        <f t="shared" ref="L33" si="23">I33/K33</f>
        <v>32.422681402449207</v>
      </c>
      <c r="M33" s="85"/>
      <c r="O33" s="102"/>
      <c r="P33" s="90"/>
      <c r="Q33" s="88"/>
      <c r="R33" s="91"/>
    </row>
    <row r="34" spans="1:18">
      <c r="A34" s="131">
        <f>SUM(E32:E34)</f>
        <v>285676.32080200501</v>
      </c>
      <c r="B34" s="131">
        <f>AVERAGE(E32:E34)</f>
        <v>95225.440267334998</v>
      </c>
      <c r="C34" s="90">
        <f>B34/B31-1</f>
        <v>-0.43122936481128005</v>
      </c>
      <c r="D34" s="90">
        <f>B34/B22-1</f>
        <v>-0.26197267252548329</v>
      </c>
      <c r="E34" s="78">
        <f>I34/19</f>
        <v>79660.368421052626</v>
      </c>
      <c r="F34" s="90">
        <f t="shared" ref="F34" si="24">E34/E33-1</f>
        <v>7.7199200273864177E-2</v>
      </c>
      <c r="G34" s="90">
        <f t="shared" ref="G34" si="25">E34/E22-1</f>
        <v>-0.44990582654580136</v>
      </c>
      <c r="H34" s="129" t="s">
        <v>652</v>
      </c>
      <c r="I34" s="116">
        <v>1513547</v>
      </c>
      <c r="J34" s="116">
        <v>2089308981</v>
      </c>
      <c r="K34" s="116">
        <v>49462.55</v>
      </c>
      <c r="L34" s="130">
        <f t="shared" ref="L34" si="26">I34/K34</f>
        <v>30.599857872269016</v>
      </c>
      <c r="M34" s="85">
        <f>I32+I33+I34</f>
        <v>5839882</v>
      </c>
      <c r="N34" s="79">
        <f>J32+J33+J34</f>
        <v>7964994377</v>
      </c>
      <c r="O34" s="102">
        <f>M34/M31-1</f>
        <v>-0.42500851920259275</v>
      </c>
      <c r="P34" s="90">
        <f>M34/M22-1</f>
        <v>-0.27162773039104904</v>
      </c>
      <c r="Q34" s="88">
        <f>AVERAGE(L32:L34)</f>
        <v>32.242727747574413</v>
      </c>
      <c r="R34" s="91">
        <f>Q34/Q31-1</f>
        <v>-1.847856347311283E-2</v>
      </c>
    </row>
    <row r="35" spans="1:18">
      <c r="A35" s="131"/>
      <c r="B35" s="131"/>
      <c r="C35" s="90"/>
      <c r="D35" s="90"/>
      <c r="E35" s="78">
        <f>I35/23</f>
        <v>58784.391304347824</v>
      </c>
      <c r="F35" s="90">
        <f t="shared" ref="F35" si="27">E35/E34-1</f>
        <v>-0.262062271748014</v>
      </c>
      <c r="G35" s="90">
        <f t="shared" ref="G35" si="28">E35/E23-1</f>
        <v>-0.6388500699961166</v>
      </c>
      <c r="H35" s="129" t="s">
        <v>660</v>
      </c>
      <c r="I35" s="116">
        <v>1352041</v>
      </c>
      <c r="J35" s="116">
        <v>1871910534</v>
      </c>
      <c r="K35" s="116">
        <v>45916.4</v>
      </c>
      <c r="L35" s="130">
        <f t="shared" ref="L35" si="29">I35/K35</f>
        <v>29.445710029531931</v>
      </c>
      <c r="M35" s="85"/>
      <c r="O35" s="102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70870.238095238092</v>
      </c>
      <c r="F36" s="90">
        <f t="shared" ref="F36" si="30">E36/E35-1</f>
        <v>0.2055961884221531</v>
      </c>
      <c r="G36" s="90">
        <f t="shared" ref="G36" si="31">E36/E24-1</f>
        <v>-8.0637916470710724E-2</v>
      </c>
      <c r="H36" s="129" t="s">
        <v>664</v>
      </c>
      <c r="I36" s="116">
        <v>1488275</v>
      </c>
      <c r="J36" s="116">
        <v>1993783258</v>
      </c>
      <c r="K36" s="116">
        <v>44752.32</v>
      </c>
      <c r="L36" s="130">
        <f t="shared" ref="L36" si="32">I36/K36</f>
        <v>33.255817798943163</v>
      </c>
      <c r="M36" s="85"/>
      <c r="O36" s="102"/>
      <c r="P36" s="90"/>
      <c r="Q36" s="88"/>
      <c r="R36" s="91"/>
    </row>
    <row r="37" spans="1:18">
      <c r="A37" s="131">
        <f>SUM(E35:E37)</f>
        <v>145366.46273291926</v>
      </c>
      <c r="B37" s="131">
        <f>AVERAGE(E35:E37)</f>
        <v>48455.487577639753</v>
      </c>
      <c r="C37" s="90">
        <f>B37/B34-1</f>
        <v>-0.49114976584401948</v>
      </c>
      <c r="D37" s="90">
        <f>B37/B25-1</f>
        <v>-0.59825568883484526</v>
      </c>
      <c r="E37" s="78">
        <f>I37/18</f>
        <v>15711.833333333334</v>
      </c>
      <c r="F37" s="90">
        <f t="shared" ref="F37" si="33">E37/E36-1</f>
        <v>-0.7783013891921855</v>
      </c>
      <c r="G37" s="90">
        <f t="shared" ref="G37" si="34">E37/E25-1</f>
        <v>-0.87119536577760748</v>
      </c>
      <c r="H37" s="129" t="s">
        <v>702</v>
      </c>
      <c r="I37" s="116">
        <v>282813</v>
      </c>
      <c r="J37" s="116">
        <v>376980081</v>
      </c>
      <c r="K37" s="116">
        <v>6361.62</v>
      </c>
      <c r="L37" s="130">
        <f t="shared" ref="L37" si="35">I37/K37</f>
        <v>44.456129099191713</v>
      </c>
      <c r="M37" s="85">
        <f>I35+I36+I37</f>
        <v>3123129</v>
      </c>
      <c r="N37" s="79">
        <f>J35+J36+J37</f>
        <v>4242673873</v>
      </c>
      <c r="O37" s="102">
        <f>M37/M34-1</f>
        <v>-0.46520683123391882</v>
      </c>
      <c r="P37" s="90">
        <f>M37/M25-1</f>
        <v>-0.57975724616327351</v>
      </c>
      <c r="Q37" s="88">
        <f>AVERAGE(L35:L37)</f>
        <v>35.719218975888936</v>
      </c>
      <c r="R37" s="91">
        <f>Q37/Q34-1</f>
        <v>0.10782249118411058</v>
      </c>
    </row>
    <row r="38" spans="1:18">
      <c r="A38" s="131"/>
      <c r="B38" s="131"/>
      <c r="C38" s="90"/>
      <c r="D38" s="90"/>
      <c r="E38" s="78">
        <f>I38/20</f>
        <v>54371.65</v>
      </c>
      <c r="F38" s="90">
        <f t="shared" ref="F38" si="36">E38/E37-1</f>
        <v>2.4605541470865906</v>
      </c>
      <c r="G38" s="90">
        <f t="shared" ref="G38" si="37">E38/E26-1</f>
        <v>-0.41730389040774452</v>
      </c>
      <c r="H38" s="129" t="s">
        <v>744</v>
      </c>
      <c r="I38" s="116">
        <v>1087433</v>
      </c>
      <c r="J38" s="116">
        <v>1454088859</v>
      </c>
      <c r="K38" s="116">
        <v>33660.32</v>
      </c>
      <c r="L38" s="130">
        <f t="shared" ref="L38" si="38">I38/K38</f>
        <v>32.306080274934999</v>
      </c>
      <c r="M38" s="85"/>
      <c r="O38" s="102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84287.904761904763</v>
      </c>
      <c r="F39" s="90">
        <f t="shared" ref="F39" si="39">E39/E38-1</f>
        <v>0.55021789410298871</v>
      </c>
      <c r="G39" s="90">
        <f t="shared" ref="G39" si="40">E39/E27-1</f>
        <v>-0.23270222465449686</v>
      </c>
      <c r="H39" s="129" t="s">
        <v>762</v>
      </c>
      <c r="I39" s="116">
        <v>1770046</v>
      </c>
      <c r="J39" s="116">
        <v>2456114102</v>
      </c>
      <c r="K39" s="116">
        <v>43806.61</v>
      </c>
      <c r="L39" s="130">
        <f t="shared" ref="L39" si="41">I39/K39</f>
        <v>40.405911345342631</v>
      </c>
      <c r="M39" s="85"/>
      <c r="O39" s="102"/>
      <c r="P39" s="90"/>
      <c r="Q39" s="88"/>
      <c r="R39" s="91"/>
    </row>
    <row r="40" spans="1:18">
      <c r="A40" s="131">
        <f>SUM(E38:E40)</f>
        <v>196935.79285714286</v>
      </c>
      <c r="B40" s="131">
        <f>AVERAGE(E38:E40)</f>
        <v>65645.264285714293</v>
      </c>
      <c r="C40" s="90">
        <f>B40/B37-1</f>
        <v>0.35475397250995622</v>
      </c>
      <c r="D40" s="90">
        <f>B40/B28-1</f>
        <v>-0.50551726346930481</v>
      </c>
      <c r="E40" s="78">
        <f>I40/21</f>
        <v>58276.238095238092</v>
      </c>
      <c r="F40" s="90">
        <f t="shared" ref="F40" si="42">E40/E39-1</f>
        <v>-0.30860497410801757</v>
      </c>
      <c r="G40" s="90">
        <f t="shared" ref="G40" si="43">E40/E28-1</f>
        <v>-0.7013090560977211</v>
      </c>
      <c r="H40" s="129" t="s">
        <v>778</v>
      </c>
      <c r="I40" s="116">
        <v>1223801</v>
      </c>
      <c r="J40" s="116">
        <v>1730947810</v>
      </c>
      <c r="K40" s="116">
        <v>33804.93</v>
      </c>
      <c r="L40" s="130">
        <f t="shared" ref="L40" si="44">I40/K40</f>
        <v>36.201849848528013</v>
      </c>
      <c r="M40" s="85">
        <f>I38+I39+I40</f>
        <v>4081280</v>
      </c>
      <c r="N40" s="79">
        <f>J38+J39+J40</f>
        <v>5641150771</v>
      </c>
      <c r="O40" s="102">
        <f>M40/M37-1</f>
        <v>0.30679200250774152</v>
      </c>
      <c r="P40" s="90">
        <f>M40/M28-1</f>
        <v>-0.48316049545311213</v>
      </c>
      <c r="Q40" s="88">
        <f>AVERAGE(L38:L40)</f>
        <v>36.304613822935217</v>
      </c>
      <c r="R40" s="91">
        <f>Q40/Q37-1</f>
        <v>1.6388791911755796E-2</v>
      </c>
    </row>
    <row r="41" spans="1:18" s="183" customFormat="1">
      <c r="B41" s="168"/>
      <c r="C41" s="184"/>
      <c r="D41" s="184"/>
      <c r="E41" s="143">
        <f>I41/18</f>
        <v>13612</v>
      </c>
      <c r="F41" s="109">
        <f t="shared" ref="F41" si="45">E41/E40-1</f>
        <v>-0.76642280893707393</v>
      </c>
      <c r="G41" s="109">
        <f t="shared" ref="G41" si="46">E41/E29-1</f>
        <v>-0.89801505608143428</v>
      </c>
      <c r="H41" s="144" t="s">
        <v>792</v>
      </c>
      <c r="I41" s="145">
        <v>245016</v>
      </c>
      <c r="J41" s="145">
        <v>359630691</v>
      </c>
      <c r="K41" s="145">
        <v>6176.48</v>
      </c>
      <c r="L41" s="146">
        <f t="shared" ref="L41" si="47">I41/K41</f>
        <v>39.669196694557421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I42/6</f>
        <v>40836</v>
      </c>
      <c r="F42" s="109">
        <f t="shared" ref="F42" si="48">E42/E41-1</f>
        <v>2</v>
      </c>
      <c r="G42" s="109">
        <f t="shared" ref="G42" si="49">E42/E30-1</f>
        <v>-0.73801350782801656</v>
      </c>
      <c r="H42" s="144" t="s">
        <v>826</v>
      </c>
      <c r="I42" s="145">
        <v>245016</v>
      </c>
      <c r="J42" s="145">
        <v>359630691</v>
      </c>
      <c r="K42" s="145">
        <v>6176.48</v>
      </c>
      <c r="L42" s="146">
        <f t="shared" ref="L42" si="50">I42/K42</f>
        <v>39.669196694557421</v>
      </c>
      <c r="M42" s="143"/>
      <c r="O42" s="109"/>
      <c r="P42" s="109"/>
    </row>
    <row r="43" spans="1:18">
      <c r="A43" s="131">
        <f>SUM(E41:E43)</f>
        <v>54448</v>
      </c>
      <c r="B43" s="131">
        <f>AVERAGE(E41:E43)</f>
        <v>27224</v>
      </c>
      <c r="C43" s="90">
        <f>B43/B40-1</f>
        <v>-0.58528615435973674</v>
      </c>
      <c r="D43" s="90">
        <f>B43/B31-1</f>
        <v>-0.83739416978375236</v>
      </c>
    </row>
  </sheetData>
  <phoneticPr fontId="1" type="noConversion"/>
  <conditionalFormatting sqref="B29:B30">
    <cfRule type="cellIs" dxfId="93" priority="5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9">
    <tabColor rgb="FFFFC000"/>
  </sheetPr>
  <dimension ref="A1:Z71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9027892090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1269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K5" s="86"/>
      <c r="L5" s="80"/>
      <c r="P5" s="129" t="s">
        <v>0</v>
      </c>
      <c r="Q5" s="116">
        <v>3887498</v>
      </c>
      <c r="R5" s="116"/>
      <c r="S5" s="116">
        <v>26267.17</v>
      </c>
      <c r="T5" s="130">
        <f t="shared" ref="T5:T26" si="1">Q5/S5</f>
        <v>147.998356884278</v>
      </c>
      <c r="U5" s="85"/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26" si="2">F6/F5-1</f>
        <v>-0.32614184696115023</v>
      </c>
      <c r="H6" s="90"/>
      <c r="I6" s="130">
        <f t="shared" si="0"/>
        <v>124.9105288058834</v>
      </c>
      <c r="J6" s="130"/>
      <c r="K6" s="98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85"/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85">
        <f>R5+R6+R7</f>
        <v>0</v>
      </c>
      <c r="L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85">
        <f>Q5+Q6+Q7</f>
        <v>13396111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K8" s="78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85"/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K9" s="78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85"/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85">
        <f>R8+R9+R10</f>
        <v>0</v>
      </c>
      <c r="L10" s="102">
        <f>U10/U7-1</f>
        <v>-8.4474292576405152E-2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85">
        <f>Q8+Q9+Q10</f>
        <v>12264484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K11" s="78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85"/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K12" s="78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85"/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8">
        <f>R11+R12+R13</f>
        <v>0</v>
      </c>
      <c r="L13" s="102">
        <f>U13/U10-1</f>
        <v>-0.10732599920224939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85">
        <f>Q11+Q12+Q13</f>
        <v>10948186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K14" s="78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K15" s="78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/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8">
        <f>R14+R15+R16</f>
        <v>0</v>
      </c>
      <c r="L16" s="102">
        <f>U16/U13-1</f>
        <v>8.0851750235153563E-3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85">
        <f>Q14+Q15+Q16</f>
        <v>11036704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si="2"/>
        <v>0.41223574052385081</v>
      </c>
      <c r="H17" s="90">
        <f t="shared" ref="H17:H26" si="3">F17/F5-1</f>
        <v>7.31318704215278E-4</v>
      </c>
      <c r="I17" s="130">
        <f t="shared" si="0"/>
        <v>326.1262945408393</v>
      </c>
      <c r="J17" s="130">
        <f t="shared" ref="J17:J49" si="4">I17/I5-1</f>
        <v>1.203580508639309</v>
      </c>
      <c r="K17" s="78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/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2"/>
        <v>-0.10006989104554065</v>
      </c>
      <c r="H18" s="90">
        <f t="shared" si="3"/>
        <v>0.33646560572771311</v>
      </c>
      <c r="I18" s="130">
        <f t="shared" si="0"/>
        <v>162.64895401182807</v>
      </c>
      <c r="J18" s="130">
        <f t="shared" si="4"/>
        <v>0.30212365255928009</v>
      </c>
      <c r="K18" s="78"/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/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2"/>
        <v>-1.5501779538700133E-2</v>
      </c>
      <c r="H19" s="90">
        <f t="shared" si="3"/>
        <v>-0.46979947987352177</v>
      </c>
      <c r="I19" s="130">
        <f t="shared" si="0"/>
        <v>242.08797292197829</v>
      </c>
      <c r="J19" s="130">
        <f t="shared" si="4"/>
        <v>0.14515710105324509</v>
      </c>
      <c r="K19" s="78">
        <f>R17+R18+R19</f>
        <v>14258721371</v>
      </c>
      <c r="L19" s="87">
        <f>U19/U16-1</f>
        <v>1.3238644435874969E-2</v>
      </c>
      <c r="M19" s="87">
        <f>U19/U7-1</f>
        <v>-0.165219293868198</v>
      </c>
      <c r="N19" s="88">
        <f>AVERAGE(T17:T19)</f>
        <v>243.62107382488185</v>
      </c>
      <c r="O19" s="89">
        <f>N19/N16-1</f>
        <v>-0.1051929559132494</v>
      </c>
      <c r="P19" s="129" t="s">
        <v>114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85">
        <f>Q17+Q18+Q19</f>
        <v>11182815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436033.75</v>
      </c>
      <c r="G20" s="90">
        <f t="shared" si="2"/>
        <v>1.5301059835065263</v>
      </c>
      <c r="H20" s="90">
        <f t="shared" si="3"/>
        <v>1.5526808601389144</v>
      </c>
      <c r="I20" s="130">
        <f t="shared" si="0"/>
        <v>180.1936063495973</v>
      </c>
      <c r="J20" s="130">
        <f t="shared" si="4"/>
        <v>-0.28156245348755704</v>
      </c>
      <c r="K20" s="78"/>
      <c r="O20" s="89"/>
      <c r="P20" s="129" t="s">
        <v>131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2"/>
        <v>-0.39802868579826789</v>
      </c>
      <c r="H21" s="90">
        <f t="shared" si="3"/>
        <v>4.1134246479090031E-2</v>
      </c>
      <c r="I21" s="130">
        <f t="shared" si="0"/>
        <v>170.11461900807137</v>
      </c>
      <c r="J21" s="130">
        <f t="shared" si="4"/>
        <v>-0.3721152186461848</v>
      </c>
      <c r="K21" s="78"/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si="1"/>
        <v>170.11461900807137</v>
      </c>
      <c r="U21" s="78"/>
    </row>
    <row r="22" spans="1:21" hidden="1">
      <c r="A22" s="129" t="s">
        <v>155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2"/>
        <v>-0.34548253688809805</v>
      </c>
      <c r="H22" s="90">
        <f t="shared" si="3"/>
        <v>6.640674649506817E-2</v>
      </c>
      <c r="I22" s="130">
        <f t="shared" si="0"/>
        <v>198.93588394749668</v>
      </c>
      <c r="J22" s="130">
        <f t="shared" si="4"/>
        <v>0.17843354188805338</v>
      </c>
      <c r="K22" s="78">
        <f>R20+R21+R22</f>
        <v>23500025812</v>
      </c>
      <c r="L22" s="87">
        <f>U22/U19-1</f>
        <v>0.59534973975693961</v>
      </c>
      <c r="M22" s="87">
        <f>U22/U10-1</f>
        <v>0.45464750086509964</v>
      </c>
      <c r="N22" s="88">
        <f>AVERAGE(T20:T22)</f>
        <v>183.08136976838844</v>
      </c>
      <c r="O22" s="89">
        <f>N22/N19-1</f>
        <v>-0.24849945493635817</v>
      </c>
      <c r="P22" s="129" t="s">
        <v>155</v>
      </c>
      <c r="Q22" s="116">
        <v>3607750</v>
      </c>
      <c r="R22" s="116">
        <v>4705169016</v>
      </c>
      <c r="S22" s="116">
        <v>18135.240000000002</v>
      </c>
      <c r="T22" s="130">
        <f t="shared" si="1"/>
        <v>198.93588394749668</v>
      </c>
      <c r="U22" s="85">
        <f>Q20+Q21+Q22</f>
        <v>17840501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si="2"/>
        <v>2.0837131175940686</v>
      </c>
      <c r="H23" s="90">
        <f t="shared" si="3"/>
        <v>2.726679000423073</v>
      </c>
      <c r="I23" s="130">
        <f t="shared" si="0"/>
        <v>239.79388349464338</v>
      </c>
      <c r="J23" s="130">
        <f t="shared" si="4"/>
        <v>0.4752726923139825</v>
      </c>
      <c r="K23" s="78"/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1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si="2"/>
        <v>-0.65526760929091088</v>
      </c>
      <c r="H24" s="90">
        <f t="shared" si="3"/>
        <v>3.6398149693442683E-2</v>
      </c>
      <c r="I24" s="130">
        <f t="shared" si="0"/>
        <v>179.47022855277012</v>
      </c>
      <c r="J24" s="130">
        <f t="shared" si="4"/>
        <v>0.52468376833125974</v>
      </c>
      <c r="K24" s="78"/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si="1"/>
        <v>179.47022855277012</v>
      </c>
      <c r="U24" s="78"/>
    </row>
    <row r="25" spans="1:21" s="79" customFormat="1" ht="13.2" hidden="1">
      <c r="A25" s="129" t="s">
        <v>217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si="2"/>
        <v>0.83974562065027114</v>
      </c>
      <c r="H25" s="90">
        <f t="shared" si="3"/>
        <v>0.64456050702068679</v>
      </c>
      <c r="I25" s="130">
        <f t="shared" si="0"/>
        <v>478.43895814628343</v>
      </c>
      <c r="J25" s="130">
        <f t="shared" si="4"/>
        <v>1.1735279117589621</v>
      </c>
      <c r="K25" s="78">
        <f>R23+R24+R25</f>
        <v>28236286290</v>
      </c>
      <c r="L25" s="90">
        <f>U25/U22-1</f>
        <v>0.20663730239414235</v>
      </c>
      <c r="M25" s="90">
        <f>U25/U13-1</f>
        <v>0.966263086871195</v>
      </c>
      <c r="N25" s="88">
        <f>AVERAGE(T23:T25)</f>
        <v>299.23435673123231</v>
      </c>
      <c r="O25" s="91">
        <f>N25/N22-1</f>
        <v>0.63443367891438673</v>
      </c>
      <c r="P25" s="129" t="s">
        <v>217</v>
      </c>
      <c r="Q25" s="116">
        <v>6383878</v>
      </c>
      <c r="R25" s="116">
        <v>8483565403</v>
      </c>
      <c r="S25" s="116">
        <v>13343.14</v>
      </c>
      <c r="T25" s="130">
        <f t="shared" si="1"/>
        <v>478.43895814628343</v>
      </c>
      <c r="U25" s="85">
        <f>Q23+Q24+Q25</f>
        <v>21527014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si="2"/>
        <v>-0.4676171756415145</v>
      </c>
      <c r="H26" s="90">
        <f t="shared" si="3"/>
        <v>1.0251541761680176</v>
      </c>
      <c r="I26" s="130">
        <f t="shared" si="0"/>
        <v>156.02253665442785</v>
      </c>
      <c r="J26" s="130">
        <f t="shared" si="4"/>
        <v>-0.40562662332986377</v>
      </c>
      <c r="K26" s="78"/>
      <c r="L26" s="90"/>
      <c r="M26" s="90"/>
      <c r="P26" s="129" t="s">
        <v>312</v>
      </c>
      <c r="Q26" s="116">
        <v>3398667</v>
      </c>
      <c r="R26" s="116">
        <v>4587528834</v>
      </c>
      <c r="S26" s="116">
        <v>21783.18</v>
      </c>
      <c r="T26" s="130">
        <f t="shared" si="1"/>
        <v>156.02253665442785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137682.18181818182</v>
      </c>
      <c r="G27" s="90">
        <f t="shared" ref="G27" si="5">F27/F26-1</f>
        <v>-0.23029780365494623</v>
      </c>
      <c r="H27" s="90">
        <f t="shared" ref="H27" si="6">F27/F15-1</f>
        <v>-0.514577150378281</v>
      </c>
      <c r="I27" s="130">
        <f t="shared" si="0"/>
        <v>135.00430996444166</v>
      </c>
      <c r="J27" s="130">
        <f t="shared" si="4"/>
        <v>-0.5411695899206026</v>
      </c>
      <c r="K27" s="78"/>
      <c r="L27" s="90"/>
      <c r="M27" s="90"/>
      <c r="P27" s="129" t="s">
        <v>375</v>
      </c>
      <c r="Q27" s="116">
        <v>3029008</v>
      </c>
      <c r="R27" s="116">
        <v>4007383281</v>
      </c>
      <c r="S27" s="116">
        <v>22436.38</v>
      </c>
      <c r="T27" s="130">
        <f t="shared" ref="T27" si="7">Q27/S27</f>
        <v>135.00430996444166</v>
      </c>
      <c r="U27" s="78"/>
    </row>
    <row r="28" spans="1:21" s="79" customFormat="1" ht="13.2" hidden="1">
      <c r="A28" s="123" t="s">
        <v>413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8">F28/F27-1</f>
        <v>3.5835113430917938</v>
      </c>
      <c r="H28" s="90">
        <f t="shared" ref="H28" si="9">F28/F16-1</f>
        <v>3.5816886556541698</v>
      </c>
      <c r="I28" s="130">
        <f t="shared" si="0"/>
        <v>453.26421756158044</v>
      </c>
      <c r="J28" s="130">
        <f t="shared" si="4"/>
        <v>0.74300150774169715</v>
      </c>
      <c r="K28" s="78">
        <f>R26+R27+R28</f>
        <v>24212392053</v>
      </c>
      <c r="L28" s="90">
        <f>U28/U25-1</f>
        <v>-0.14442551112755353</v>
      </c>
      <c r="M28" s="90">
        <f>U28/U16-1</f>
        <v>0.66879205965839073</v>
      </c>
      <c r="N28" s="88">
        <f>AVERAGE(T26:T28)</f>
        <v>248.09702139348329</v>
      </c>
      <c r="O28" s="91">
        <f>N28/N25-1</f>
        <v>-0.17089393041748813</v>
      </c>
      <c r="P28" s="129" t="s">
        <v>413</v>
      </c>
      <c r="Q28" s="116">
        <v>11990289</v>
      </c>
      <c r="R28" s="116">
        <v>15617479938</v>
      </c>
      <c r="S28" s="116">
        <v>26453.200000000001</v>
      </c>
      <c r="T28" s="130">
        <f t="shared" ref="T28" si="10">Q28/S28</f>
        <v>453.26421756158044</v>
      </c>
      <c r="U28" s="85">
        <f>Q26+Q27+Q28</f>
        <v>18417964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104104.54545454546</v>
      </c>
      <c r="G29" s="190">
        <f t="shared" ref="G29" si="11">F29/F28-1</f>
        <v>-0.83503430454125305</v>
      </c>
      <c r="H29" s="190">
        <f t="shared" ref="H29" si="12">F29/F17-1</f>
        <v>-0.46480503660452666</v>
      </c>
      <c r="I29" s="130">
        <f t="shared" si="0"/>
        <v>161.61446521086867</v>
      </c>
      <c r="J29" s="130">
        <f t="shared" si="4"/>
        <v>-0.50444208910413257</v>
      </c>
      <c r="K29" s="136"/>
      <c r="L29" s="190"/>
      <c r="M29" s="190"/>
      <c r="N29" s="191"/>
      <c r="O29" s="192"/>
      <c r="P29" s="129" t="s">
        <v>427</v>
      </c>
      <c r="Q29" s="116">
        <v>2290300</v>
      </c>
      <c r="R29" s="116">
        <v>3003484974</v>
      </c>
      <c r="S29" s="116">
        <v>14171.38</v>
      </c>
      <c r="T29" s="130">
        <f t="shared" ref="T29" si="13">Q29/S29</f>
        <v>161.61446521086867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14">F30/F29-1</f>
        <v>1.4608541744703634</v>
      </c>
      <c r="H30" s="190">
        <f t="shared" ref="H30" si="15">F30/F18-1</f>
        <v>0.46348782724627369</v>
      </c>
      <c r="I30" s="130">
        <f t="shared" si="0"/>
        <v>191.48676026861057</v>
      </c>
      <c r="J30" s="130">
        <f t="shared" si="4"/>
        <v>0.17730090200694049</v>
      </c>
      <c r="K30" s="136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16">Q30/S30</f>
        <v>191.48676026861057</v>
      </c>
      <c r="U30" s="85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17">F31/F30-1</f>
        <v>-0.19640255357125247</v>
      </c>
      <c r="H31" s="190">
        <f t="shared" ref="H31" si="18">F31/F19-1</f>
        <v>0.19457308953144192</v>
      </c>
      <c r="I31" s="130">
        <f t="shared" si="0"/>
        <v>268.12845180192119</v>
      </c>
      <c r="J31" s="130">
        <f t="shared" si="4"/>
        <v>0.10756618168856913</v>
      </c>
      <c r="K31" s="136">
        <f>R29+R30+R31</f>
        <v>14962407699</v>
      </c>
      <c r="L31" s="190">
        <f>U31/U28-1</f>
        <v>-0.3878125725514503</v>
      </c>
      <c r="M31" s="190">
        <f>U31/U19-1</f>
        <v>8.2654501572279049E-3</v>
      </c>
      <c r="N31" s="191">
        <f>AVERAGE(T29:T31)</f>
        <v>207.07655909380014</v>
      </c>
      <c r="O31" s="192">
        <f>N31/N28-1</f>
        <v>-0.16534040622206603</v>
      </c>
      <c r="P31" s="129" t="s">
        <v>530</v>
      </c>
      <c r="Q31" s="116">
        <v>4117410</v>
      </c>
      <c r="R31" s="116">
        <v>5475266368</v>
      </c>
      <c r="S31" s="116">
        <v>15356.11</v>
      </c>
      <c r="T31" s="130">
        <f t="shared" ref="T31" si="19">Q31/S31</f>
        <v>268.12845180192119</v>
      </c>
      <c r="U31" s="85">
        <f>Q29+Q30+Q31</f>
        <v>11275246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20">F32/F31-1</f>
        <v>-0.16929516833339864</v>
      </c>
      <c r="H32" s="190">
        <f t="shared" ref="H32" si="21">F32/F20-1</f>
        <v>-0.60778811491629026</v>
      </c>
      <c r="I32" s="130">
        <f t="shared" si="0"/>
        <v>380.48163949397235</v>
      </c>
      <c r="J32" s="130">
        <f t="shared" si="4"/>
        <v>1.1115157590874349</v>
      </c>
      <c r="K32" s="136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22">Q32/S32</f>
        <v>380.48163949397235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217021</v>
      </c>
      <c r="G33" s="190">
        <f t="shared" ref="G33" si="23">F33/F32-1</f>
        <v>0.26899790330709439</v>
      </c>
      <c r="H33" s="190">
        <f t="shared" ref="H33" si="24">F33/F21-1</f>
        <v>-0.17318973831275186</v>
      </c>
      <c r="I33" s="130">
        <f t="shared" si="0"/>
        <v>312.6704702158226</v>
      </c>
      <c r="J33" s="130">
        <f t="shared" si="4"/>
        <v>0.83799882713776319</v>
      </c>
      <c r="K33" s="136"/>
      <c r="L33" s="190"/>
      <c r="M33" s="190"/>
      <c r="N33" s="191"/>
      <c r="O33" s="192"/>
      <c r="P33" s="129" t="s">
        <v>609</v>
      </c>
      <c r="Q33" s="116">
        <v>4557441</v>
      </c>
      <c r="R33" s="116">
        <v>6229322971</v>
      </c>
      <c r="S33" s="116">
        <v>14575.86</v>
      </c>
      <c r="T33" s="130">
        <f t="shared" ref="T33" si="25">Q33/S33</f>
        <v>312.6704702158226</v>
      </c>
      <c r="U33" s="85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26">F34/F33-1</f>
        <v>0.85488695127490688</v>
      </c>
      <c r="H34" s="190">
        <f t="shared" ref="H34" si="27">F34/F22-1</f>
        <v>1.34316065195905</v>
      </c>
      <c r="I34" s="130">
        <f t="shared" si="0"/>
        <v>261.83985344930585</v>
      </c>
      <c r="J34" s="130">
        <f t="shared" si="4"/>
        <v>0.31620222683611399</v>
      </c>
      <c r="K34" s="136">
        <f>R32+R33+R34</f>
        <v>21661285241</v>
      </c>
      <c r="L34" s="190">
        <f>U34/U31-1</f>
        <v>0.40105590600861385</v>
      </c>
      <c r="M34" s="190">
        <f>U34/U22-1</f>
        <v>-0.11452879041905828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28">Q34/S34</f>
        <v>261.83985344930585</v>
      </c>
      <c r="U34" s="85">
        <f>Q32+Q33+Q34</f>
        <v>15797250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29">F35/F34-1</f>
        <v>-0.48922955276290336</v>
      </c>
      <c r="H35" s="190">
        <f t="shared" ref="H35" si="30">F35/F23-1</f>
        <v>-0.6118908703533178</v>
      </c>
      <c r="I35" s="130">
        <f t="shared" si="0"/>
        <v>171.99266209332552</v>
      </c>
      <c r="J35" s="130">
        <f t="shared" si="4"/>
        <v>-0.28274791839230728</v>
      </c>
      <c r="K35" s="136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31">Q35/S35</f>
        <v>171.99266209332552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242542.09523809524</v>
      </c>
      <c r="G36" s="190">
        <f t="shared" ref="G36" si="32">F36/F35-1</f>
        <v>0.17962008139418439</v>
      </c>
      <c r="H36" s="190">
        <f t="shared" ref="H36" si="33">F36/F24-1</f>
        <v>0.3280484672819417</v>
      </c>
      <c r="I36" s="130">
        <f t="shared" si="0"/>
        <v>145.78362738304486</v>
      </c>
      <c r="J36" s="130">
        <f t="shared" si="4"/>
        <v>-0.18770021881272803</v>
      </c>
      <c r="K36" s="136"/>
      <c r="L36" s="190"/>
      <c r="M36" s="190"/>
      <c r="N36" s="191"/>
      <c r="O36" s="192"/>
      <c r="P36" s="129" t="s">
        <v>683</v>
      </c>
      <c r="Q36" s="116">
        <v>5093384</v>
      </c>
      <c r="R36" s="116">
        <v>6951868766</v>
      </c>
      <c r="S36" s="116">
        <v>34937.97</v>
      </c>
      <c r="T36" s="130">
        <f t="shared" ref="T36" si="34">Q36/S36</f>
        <v>145.78362738304486</v>
      </c>
      <c r="U36" s="85"/>
    </row>
    <row r="37" spans="1:21" s="79" customFormat="1" ht="13.2" hidden="1">
      <c r="A37" s="129" t="s">
        <v>702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35">F37/F36-1</f>
        <v>0.39092831013722917</v>
      </c>
      <c r="H37" s="190">
        <f t="shared" ref="H37" si="36">F37/F25-1</f>
        <v>4.06283871130797E-3</v>
      </c>
      <c r="I37" s="130">
        <f t="shared" si="0"/>
        <v>59.279897052842806</v>
      </c>
      <c r="J37" s="130">
        <f t="shared" si="4"/>
        <v>-0.87609726163913704</v>
      </c>
      <c r="K37" s="136">
        <f>R35+R36+R37</f>
        <v>21621454443</v>
      </c>
      <c r="L37" s="190">
        <f>U37/U34-1</f>
        <v>6.1800629856463285E-3</v>
      </c>
      <c r="M37" s="190">
        <f>U37/U25-1</f>
        <v>-0.26163108362358101</v>
      </c>
      <c r="N37" s="191">
        <f>AVERAGE(T35:T37)</f>
        <v>125.68539550973772</v>
      </c>
      <c r="O37" s="192">
        <f>N37/N34-1</f>
        <v>-0.60517344535349149</v>
      </c>
      <c r="P37" s="129" t="s">
        <v>702</v>
      </c>
      <c r="Q37" s="116">
        <v>6072456</v>
      </c>
      <c r="R37" s="116">
        <v>8118205125</v>
      </c>
      <c r="S37" s="116">
        <v>102437.02</v>
      </c>
      <c r="T37" s="130">
        <f t="shared" ref="T37" si="37">Q37/S37</f>
        <v>59.279897052842806</v>
      </c>
      <c r="U37" s="85">
        <f>Q35+Q36+Q37</f>
        <v>15894878</v>
      </c>
    </row>
    <row r="38" spans="1:21" s="79" customFormat="1" ht="13.2" hidden="1">
      <c r="A38" s="129" t="s">
        <v>743</v>
      </c>
      <c r="B38" s="188"/>
      <c r="C38" s="188"/>
      <c r="D38" s="190"/>
      <c r="E38" s="287"/>
      <c r="F38" s="136">
        <f>Q38/20</f>
        <v>166623.95000000001</v>
      </c>
      <c r="G38" s="190">
        <f t="shared" ref="G38" si="38">F38/F37-1</f>
        <v>-0.50609257605160085</v>
      </c>
      <c r="H38" s="190">
        <f t="shared" ref="H38" si="39">F38/F26-1</f>
        <v>-6.8500959346708523E-2</v>
      </c>
      <c r="I38" s="130">
        <f t="shared" si="0"/>
        <v>281.03924032485219</v>
      </c>
      <c r="J38" s="130">
        <f t="shared" si="4"/>
        <v>0.80127336954738859</v>
      </c>
      <c r="K38" s="136"/>
      <c r="L38" s="190"/>
      <c r="M38" s="190"/>
      <c r="N38" s="191"/>
      <c r="O38" s="192"/>
      <c r="P38" s="129" t="s">
        <v>743</v>
      </c>
      <c r="Q38" s="116">
        <v>3332479</v>
      </c>
      <c r="R38" s="116">
        <v>4480752288</v>
      </c>
      <c r="S38" s="116">
        <v>11857.7</v>
      </c>
      <c r="T38" s="130">
        <f t="shared" ref="T38" si="40">Q38/S38</f>
        <v>281.03924032485219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41">F39/F38-1</f>
        <v>-2.9126879504931424E-2</v>
      </c>
      <c r="H39" s="190">
        <f t="shared" ref="H39" si="42">F39/F27-1</f>
        <v>0.17495751555813466</v>
      </c>
      <c r="I39" s="130">
        <f t="shared" si="0"/>
        <v>172.06355621871802</v>
      </c>
      <c r="J39" s="130">
        <f t="shared" si="4"/>
        <v>0.27450417148931971</v>
      </c>
      <c r="K39" s="136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43">Q39/S39</f>
        <v>172.06355621871802</v>
      </c>
      <c r="U39" s="85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44">F40/F39-1</f>
        <v>1.2109093263981796</v>
      </c>
      <c r="H40" s="190">
        <f t="shared" ref="H40" si="45">F40/F28-1</f>
        <v>-0.43324575094935258</v>
      </c>
      <c r="I40" s="130">
        <f t="shared" si="0"/>
        <v>261.79968399445511</v>
      </c>
      <c r="J40" s="130">
        <f t="shared" si="4"/>
        <v>-0.42241263737328427</v>
      </c>
      <c r="K40" s="136">
        <f>R38+R39+R40</f>
        <v>19840821502</v>
      </c>
      <c r="L40" s="190">
        <f>U40/U37-1</f>
        <v>-0.10408044654384896</v>
      </c>
      <c r="M40" s="190">
        <f>U40/U28-1</f>
        <v>-0.22681290939650012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46">Q40/S40</f>
        <v>261.79968399445511</v>
      </c>
      <c r="U40" s="85">
        <f>Q38+Q39+Q40</f>
        <v>14240532</v>
      </c>
    </row>
    <row r="41" spans="1:21" s="79" customFormat="1" ht="13.2">
      <c r="A41" s="129" t="s">
        <v>807</v>
      </c>
      <c r="B41" s="193"/>
      <c r="C41" s="194"/>
      <c r="D41" s="195"/>
      <c r="E41" s="288"/>
      <c r="F41" s="136">
        <f>Q41/18</f>
        <v>140395.27777777778</v>
      </c>
      <c r="G41" s="190">
        <f t="shared" ref="G41" si="47">F41/F40-1</f>
        <v>-0.60746203590139869</v>
      </c>
      <c r="H41" s="190">
        <f t="shared" ref="H41" si="48">F41/F29-1</f>
        <v>0.34859892202380083</v>
      </c>
      <c r="I41" s="130">
        <f t="shared" si="0"/>
        <v>157.49160384219647</v>
      </c>
      <c r="J41" s="130">
        <f t="shared" si="4"/>
        <v>-2.5510472489531422E-2</v>
      </c>
      <c r="K41" s="193"/>
      <c r="L41" s="190"/>
      <c r="M41" s="190"/>
      <c r="N41" s="193"/>
      <c r="O41" s="193"/>
      <c r="P41" s="129" t="s">
        <v>807</v>
      </c>
      <c r="Q41" s="116">
        <v>2527115</v>
      </c>
      <c r="R41" s="116">
        <v>3701355688</v>
      </c>
      <c r="S41" s="116">
        <v>16046.03</v>
      </c>
      <c r="T41" s="130">
        <f t="shared" ref="T41" si="49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50">F42/F41-1</f>
        <v>0.13237462481921081</v>
      </c>
      <c r="H42" s="190">
        <f t="shared" ref="H42" si="51">F42/F30-1</f>
        <v>-0.37943531388365703</v>
      </c>
      <c r="I42" s="130">
        <f t="shared" si="0"/>
        <v>240.30104884164894</v>
      </c>
      <c r="J42" s="130">
        <f t="shared" si="4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52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53">F43/F42-1</f>
        <v>-7.2049920729045924E-3</v>
      </c>
      <c r="H43" s="190">
        <f t="shared" ref="H43" si="54">F43/F31-1</f>
        <v>-0.23333066175095507</v>
      </c>
      <c r="I43" s="130">
        <f t="shared" si="0"/>
        <v>102.77028258887876</v>
      </c>
      <c r="J43" s="130">
        <f t="shared" si="4"/>
        <v>-0.61671250515107623</v>
      </c>
      <c r="K43" s="136">
        <f>R41+R42+R43</f>
        <v>12885682843</v>
      </c>
      <c r="L43" s="190">
        <f>U43/U40-1</f>
        <v>-0.37759291577028165</v>
      </c>
      <c r="M43" s="190">
        <f>K43/K31-1</f>
        <v>-0.1387961682222304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55">Q43/S43</f>
        <v>102.77028258887876</v>
      </c>
      <c r="U43" s="85">
        <f>Q41+Q42+Q43</f>
        <v>8863408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56">F44/F43-1</f>
        <v>-0.17724285134852913</v>
      </c>
      <c r="H44" s="190">
        <f t="shared" ref="H44" si="57">F44/F32-1</f>
        <v>-0.24066569177070185</v>
      </c>
      <c r="I44" s="130">
        <f t="shared" si="0"/>
        <v>66.671053979584528</v>
      </c>
      <c r="J44" s="130">
        <f t="shared" si="4"/>
        <v>-0.82477195465133413</v>
      </c>
      <c r="K44" s="136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58">Q44/S44</f>
        <v>66.671053979584528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59">F45/F44-1</f>
        <v>0.98609697190321</v>
      </c>
      <c r="H45" s="190">
        <f t="shared" ref="H45" si="60">F45/F33-1</f>
        <v>0.1884271568189253</v>
      </c>
      <c r="I45" s="130">
        <f t="shared" si="0"/>
        <v>323.58447127665443</v>
      </c>
      <c r="J45" s="130">
        <f t="shared" si="4"/>
        <v>3.4905762137685592E-2</v>
      </c>
      <c r="K45" s="136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61">Q45/S45</f>
        <v>323.58447127665443</v>
      </c>
      <c r="U45" s="85"/>
    </row>
    <row r="46" spans="1:21" s="79" customFormat="1" ht="13.2">
      <c r="A46" s="129" t="s">
        <v>888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62">F46/F45-1</f>
        <v>-0.42710344293424118</v>
      </c>
      <c r="H46" s="190">
        <f t="shared" ref="H46" si="63">F46/F34-1</f>
        <v>-0.63294484011704877</v>
      </c>
      <c r="I46" s="130">
        <f t="shared" si="0"/>
        <v>317.81563652583031</v>
      </c>
      <c r="J46" s="130">
        <f t="shared" si="4"/>
        <v>0.21377869846448649</v>
      </c>
      <c r="K46" s="136">
        <f>R44+R45+R46</f>
        <v>15277641923</v>
      </c>
      <c r="L46" s="190">
        <f>U46/U43-1</f>
        <v>0.22104071030014638</v>
      </c>
      <c r="M46" s="190">
        <f>K46/K34-1</f>
        <v>-0.29470288798548216</v>
      </c>
      <c r="N46" s="191">
        <f>AVERAGE(T44:T46)</f>
        <v>236.0237205940231</v>
      </c>
      <c r="O46" s="192">
        <f>N46/N43-1</f>
        <v>0.41454972369515808</v>
      </c>
      <c r="P46" s="129" t="s">
        <v>888</v>
      </c>
      <c r="Q46" s="116">
        <v>2807399</v>
      </c>
      <c r="R46" s="116">
        <v>3842266996</v>
      </c>
      <c r="S46" s="116">
        <v>8833.42</v>
      </c>
      <c r="T46" s="130">
        <f t="shared" ref="T46" si="64">Q46/S46</f>
        <v>317.81563652583031</v>
      </c>
      <c r="U46" s="85">
        <f t="shared" ref="U46:U51" si="65">Q44+Q45+Q46</f>
        <v>10822582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66">F47/F46-1</f>
        <v>0.36674626120352749</v>
      </c>
      <c r="H47" s="190">
        <f t="shared" ref="H47" si="67">F47/F35-1</f>
        <v>-1.781461684173391E-2</v>
      </c>
      <c r="I47" s="130">
        <f t="shared" si="0"/>
        <v>149.60021618118768</v>
      </c>
      <c r="J47" s="130">
        <f t="shared" si="4"/>
        <v>-0.13019419340103822</v>
      </c>
      <c r="K47" s="136"/>
      <c r="L47" s="190"/>
      <c r="M47" s="190"/>
      <c r="N47" s="191"/>
      <c r="O47" s="192"/>
      <c r="P47" s="129" t="s">
        <v>1042</v>
      </c>
      <c r="Q47" s="116">
        <v>4644792</v>
      </c>
      <c r="R47" s="116">
        <v>6339096954</v>
      </c>
      <c r="S47" s="116">
        <v>31048.03</v>
      </c>
      <c r="T47" s="130">
        <f t="shared" ref="T47" si="68">Q47/S47</f>
        <v>149.60021618118768</v>
      </c>
      <c r="U47" s="85">
        <f t="shared" si="65"/>
        <v>12610464</v>
      </c>
    </row>
    <row r="48" spans="1:21" s="79" customFormat="1" ht="13.2">
      <c r="A48" s="129" t="s">
        <v>1092</v>
      </c>
      <c r="B48" s="188"/>
      <c r="C48" s="188"/>
      <c r="D48" s="190"/>
      <c r="E48" s="287"/>
      <c r="F48" s="136">
        <f>Q48/20</f>
        <v>137132.25</v>
      </c>
      <c r="G48" s="190">
        <f t="shared" ref="G48" si="69">F48/F47-1</f>
        <v>-0.32095091663953956</v>
      </c>
      <c r="H48" s="190">
        <f t="shared" ref="H48" si="70">F48/F36-1</f>
        <v>-0.43460433181554736</v>
      </c>
      <c r="I48" s="130">
        <f t="shared" si="0"/>
        <v>120.49920279218249</v>
      </c>
      <c r="J48" s="130">
        <f t="shared" si="4"/>
        <v>-0.17343802623615501</v>
      </c>
      <c r="K48" s="136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71">Q48/S48</f>
        <v>120.49920279218249</v>
      </c>
      <c r="U48" s="85">
        <f t="shared" si="65"/>
        <v>10194836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72">F49/F48-1</f>
        <v>0.80365503174689201</v>
      </c>
      <c r="H49" s="190">
        <f t="shared" ref="H49" si="73">F49/F37-1</f>
        <v>-0.26683587182996316</v>
      </c>
      <c r="I49" s="130">
        <f t="shared" si="0"/>
        <v>376.22822058742184</v>
      </c>
      <c r="J49" s="130">
        <f t="shared" si="4"/>
        <v>5.3466409236852677</v>
      </c>
      <c r="K49" s="136">
        <f>R47+R48+R49</f>
        <v>17711175527</v>
      </c>
      <c r="L49" s="190">
        <f>U49/U46-1</f>
        <v>0.18538265637534557</v>
      </c>
      <c r="M49" s="190">
        <f>K49/K37-1</f>
        <v>-0.18085179821313835</v>
      </c>
      <c r="N49" s="191">
        <f>AVERAGE(T47:T49)</f>
        <v>215.44254652026402</v>
      </c>
      <c r="O49" s="192">
        <f>N49/N46-1</f>
        <v>-8.719960020103279E-2</v>
      </c>
      <c r="P49" s="129" t="s">
        <v>1178</v>
      </c>
      <c r="Q49" s="116">
        <v>5441464</v>
      </c>
      <c r="R49" s="116">
        <v>7567011965</v>
      </c>
      <c r="S49" s="116">
        <v>14463.2</v>
      </c>
      <c r="T49" s="130">
        <f t="shared" ref="T49" si="74">Q49/S49</f>
        <v>376.22822058742184</v>
      </c>
      <c r="U49" s="85">
        <f t="shared" si="65"/>
        <v>12828901</v>
      </c>
      <c r="V49" s="79"/>
      <c r="W49" s="79"/>
      <c r="X49" s="79"/>
      <c r="Y49" s="79"/>
      <c r="Z49" s="79"/>
    </row>
    <row r="50" spans="1:26" ht="13.2">
      <c r="A50" s="129" t="s">
        <v>1308</v>
      </c>
      <c r="B50" s="188"/>
      <c r="C50" s="188"/>
      <c r="D50" s="190"/>
      <c r="E50" s="287"/>
      <c r="F50" s="136">
        <f>Q50/18</f>
        <v>150355.94444444444</v>
      </c>
      <c r="G50" s="190">
        <f t="shared" ref="G50" si="75">F50/F49-1</f>
        <v>-0.39210646660939452</v>
      </c>
      <c r="H50" s="190">
        <f t="shared" ref="H50" si="76">F50/F38-1</f>
        <v>-9.7633056685761943E-2</v>
      </c>
      <c r="I50" s="130">
        <f t="shared" ref="I50" si="77">T50</f>
        <v>448.60722271673205</v>
      </c>
      <c r="J50" s="130">
        <f t="shared" ref="J50" si="78">I50/I38-1</f>
        <v>0.59624407679934177</v>
      </c>
      <c r="K50" s="136"/>
      <c r="L50" s="190"/>
      <c r="M50" s="190"/>
      <c r="N50" s="191"/>
      <c r="O50" s="192"/>
      <c r="P50" s="129" t="s">
        <v>1351</v>
      </c>
      <c r="Q50" s="116">
        <v>2706407</v>
      </c>
      <c r="R50" s="116">
        <v>3830153629</v>
      </c>
      <c r="S50" s="116">
        <v>6032.91</v>
      </c>
      <c r="T50" s="130">
        <f t="shared" ref="T50" si="79">Q50/S50</f>
        <v>448.60722271673205</v>
      </c>
      <c r="U50" s="85">
        <f t="shared" si="65"/>
        <v>10890516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80">F51/F50-1</f>
        <v>0.7181355945354857</v>
      </c>
      <c r="H51" s="190">
        <f t="shared" ref="H51:H52" si="81">F51/F39-1</f>
        <v>0.59690152287850085</v>
      </c>
      <c r="I51" s="130">
        <f t="shared" ref="I51:I52" si="82">T51</f>
        <v>303.13440760852029</v>
      </c>
      <c r="J51" s="130">
        <f t="shared" ref="J51:J52" si="83">I51/I39-1</f>
        <v>0.7617583541234727</v>
      </c>
      <c r="K51" s="136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84">Q51/S51</f>
        <v>303.13440760852029</v>
      </c>
      <c r="U51" s="85">
        <f t="shared" si="65"/>
        <v>13314509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80"/>
        <v>0.33634624154571569</v>
      </c>
      <c r="H52" s="190">
        <f t="shared" si="81"/>
        <v>-3.4780249584517198E-2</v>
      </c>
      <c r="I52" s="130">
        <f t="shared" si="82"/>
        <v>581.98108660453136</v>
      </c>
      <c r="J52" s="130">
        <f t="shared" si="83"/>
        <v>1.2230014861929996</v>
      </c>
      <c r="K52" s="136">
        <f>R50+R51+R52</f>
        <v>22490322500</v>
      </c>
      <c r="L52" s="190">
        <f>U52/U49-1</f>
        <v>0.2057076440140897</v>
      </c>
      <c r="M52" s="190">
        <f>K52/K40-1</f>
        <v>0.13353786776081455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84"/>
        <v>581.98108660453136</v>
      </c>
      <c r="U52" s="85">
        <f t="shared" ref="U52" si="85">Q50+Q51+Q52</f>
        <v>15467904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86">F53/F52-1</f>
        <v>-0.37304029325250532</v>
      </c>
      <c r="H53" s="190">
        <f t="shared" ref="H53" si="87">F53/F41-1</f>
        <v>0.54164424084946083</v>
      </c>
      <c r="I53" s="130">
        <f t="shared" ref="I53" si="88">T53</f>
        <v>242.63917144936036</v>
      </c>
      <c r="J53" s="130">
        <f t="shared" ref="J53" si="89">I53/I41-1</f>
        <v>0.54064829825772875</v>
      </c>
      <c r="K53" s="136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90">Q53/S53</f>
        <v>242.63917144936036</v>
      </c>
      <c r="U53" s="85">
        <f t="shared" ref="U53" si="91">Q51+Q52+Q53</f>
        <v>17306728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92">F54/F53-1</f>
        <v>-0.1291534823564976</v>
      </c>
      <c r="H54" s="190">
        <f t="shared" ref="H54" si="93">F54/F42-1</f>
        <v>0.18559307950163273</v>
      </c>
      <c r="I54" s="130">
        <f t="shared" ref="I54" si="94">T54</f>
        <v>431.84741532208068</v>
      </c>
      <c r="J54" s="130">
        <f t="shared" ref="J54" si="95">I54/I42-1</f>
        <v>0.79710998933947619</v>
      </c>
      <c r="K54" s="136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96">Q54/S54</f>
        <v>431.84741532208068</v>
      </c>
      <c r="U54" s="85">
        <f t="shared" ref="U54" si="97">Q52+Q53+Q54</f>
        <v>15344346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98">F55/F54-1</f>
        <v>0.40814435550717554</v>
      </c>
      <c r="H55" s="190">
        <f t="shared" ref="H55" si="99">F55/F43-1</f>
        <v>0.68160213286567073</v>
      </c>
      <c r="I55" s="130">
        <f>T55</f>
        <v>559.14903478157066</v>
      </c>
      <c r="J55" s="130">
        <f t="shared" ref="J55" si="100">I55/I43-1</f>
        <v>4.440765761230657</v>
      </c>
      <c r="K55" s="136">
        <f>R53+R54+R55</f>
        <v>19540493389</v>
      </c>
      <c r="L55" s="190">
        <f>U55/U52-1</f>
        <v>-0.13865498518739194</v>
      </c>
      <c r="M55" s="190">
        <f>K55/K43-1</f>
        <v>0.51644997219647926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01">Q55/S55</f>
        <v>559.14903478157066</v>
      </c>
      <c r="U55" s="85">
        <f t="shared" ref="U55" si="102">Q53+Q54+Q55</f>
        <v>13323202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03">F56/F55-1</f>
        <v>0.43119060544978449</v>
      </c>
      <c r="H56" s="190">
        <f t="shared" ref="H56" si="104">F56/F44-1</f>
        <v>1.9251562002303184</v>
      </c>
      <c r="I56" s="291">
        <f>T56</f>
        <v>592.28609214448625</v>
      </c>
      <c r="J56" s="130">
        <f t="shared" ref="J56" si="105">I56/I44-1</f>
        <v>7.8837067481466736</v>
      </c>
      <c r="K56" s="136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06">Q56/S56</f>
        <v>592.28609214448625</v>
      </c>
      <c r="U56" s="85">
        <f t="shared" ref="U56" si="107">Q54+Q55+Q56</f>
        <v>17134879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321789.25</v>
      </c>
      <c r="G57" s="254">
        <f t="shared" ref="G57" si="108">F57/F56-1</f>
        <v>-0.15287286876916673</v>
      </c>
      <c r="H57" s="254">
        <f t="shared" ref="H57" si="109">F57/F45-1</f>
        <v>0.24766273518287996</v>
      </c>
      <c r="I57" s="282">
        <f>T57</f>
        <v>627.42747117939052</v>
      </c>
      <c r="J57" s="277">
        <f t="shared" ref="J57" si="110">I57/I45-1</f>
        <v>0.93899128936555187</v>
      </c>
      <c r="K57" s="204"/>
      <c r="L57" s="254"/>
      <c r="M57" s="254"/>
      <c r="N57" s="257"/>
      <c r="O57" s="258"/>
      <c r="P57" s="129" t="s">
        <v>1436</v>
      </c>
      <c r="Q57" s="116">
        <v>3861471</v>
      </c>
      <c r="R57" s="116">
        <v>5687542464</v>
      </c>
      <c r="S57" s="116">
        <v>6154.45</v>
      </c>
      <c r="T57" s="130">
        <f t="shared" ref="T57" si="111">Q57/S57</f>
        <v>627.42747117939052</v>
      </c>
      <c r="U57" s="85">
        <f t="shared" ref="U57" si="112">Q55+Q56+Q57</f>
        <v>17792094</v>
      </c>
      <c r="V57" s="79"/>
      <c r="W57" s="79"/>
      <c r="X57" s="79"/>
      <c r="Y57" s="79"/>
      <c r="Z57" s="79"/>
    </row>
    <row r="58" spans="1:26">
      <c r="B58" s="196">
        <f>SUM(F56:F58)</f>
        <v>701648.70454545459</v>
      </c>
      <c r="C58" s="196">
        <f>AVERAGE(F56:F58)</f>
        <v>350824.35227272729</v>
      </c>
      <c r="D58" s="197">
        <f>C58/C55-1</f>
        <v>0.5700580508104669</v>
      </c>
      <c r="E58" s="233">
        <f>C58/C46-1</f>
        <v>0.96528862568612683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25541581</v>
      </c>
      <c r="R65" s="212">
        <v>37749227753</v>
      </c>
      <c r="S65" s="213">
        <v>56384.61</v>
      </c>
      <c r="T65" s="214">
        <v>244</v>
      </c>
      <c r="U65" s="214">
        <v>416</v>
      </c>
    </row>
    <row r="66" spans="16:21" ht="18" thickBot="1">
      <c r="P66" s="180" t="s">
        <v>976</v>
      </c>
      <c r="Q66" s="181">
        <v>4545231</v>
      </c>
      <c r="R66" s="181">
        <v>6653497387</v>
      </c>
      <c r="S66" s="182">
        <v>18732.47</v>
      </c>
      <c r="T66" s="210">
        <v>92</v>
      </c>
      <c r="U66" s="210">
        <v>140</v>
      </c>
    </row>
    <row r="67" spans="16:21" ht="18" thickBot="1">
      <c r="P67" s="180" t="s">
        <v>977</v>
      </c>
      <c r="Q67" s="181">
        <v>3204256</v>
      </c>
      <c r="R67" s="181">
        <v>4639326675</v>
      </c>
      <c r="S67" s="182">
        <v>7419.88</v>
      </c>
      <c r="T67" s="210">
        <v>71</v>
      </c>
      <c r="U67" s="210">
        <v>119</v>
      </c>
    </row>
    <row r="68" spans="16:21" ht="18" thickBot="1">
      <c r="P68" s="180" t="s">
        <v>978</v>
      </c>
      <c r="Q68" s="181">
        <v>5573715</v>
      </c>
      <c r="R68" s="181">
        <v>8247669327</v>
      </c>
      <c r="S68" s="182">
        <v>9968.2099999999991</v>
      </c>
      <c r="T68" s="210">
        <v>73</v>
      </c>
      <c r="U68" s="210">
        <v>133</v>
      </c>
    </row>
    <row r="69" spans="16:21" ht="18" thickBot="1">
      <c r="P69" s="180" t="s">
        <v>979</v>
      </c>
      <c r="Q69" s="181">
        <v>8356908</v>
      </c>
      <c r="R69" s="181">
        <v>12521191900</v>
      </c>
      <c r="S69" s="182">
        <v>14109.58</v>
      </c>
      <c r="T69" s="210">
        <v>93</v>
      </c>
      <c r="U69" s="210">
        <v>153</v>
      </c>
    </row>
    <row r="70" spans="16:21" ht="18" thickBot="1">
      <c r="P70" s="180" t="s">
        <v>980</v>
      </c>
      <c r="Q70" s="181">
        <v>3861471</v>
      </c>
      <c r="R70" s="181">
        <v>5687542464</v>
      </c>
      <c r="S70" s="182">
        <v>6154.45</v>
      </c>
      <c r="T70" s="210">
        <v>59</v>
      </c>
      <c r="U70" s="210">
        <v>99</v>
      </c>
    </row>
    <row r="71" spans="16:21" ht="18" thickBot="1">
      <c r="P71" s="215" t="s">
        <v>975</v>
      </c>
      <c r="Q71" s="217" t="s">
        <v>1519</v>
      </c>
      <c r="R71"/>
      <c r="S71"/>
      <c r="T71"/>
      <c r="U71"/>
    </row>
  </sheetData>
  <phoneticPr fontId="1" type="noConversion"/>
  <conditionalFormatting sqref="C29:C30">
    <cfRule type="cellIs" dxfId="9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87"/>
  <dimension ref="A1:Z73"/>
  <sheetViews>
    <sheetView zoomScale="90" zoomScaleNormal="90" workbookViewId="0">
      <selection activeCell="I66" sqref="H66:I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3822192011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1985305.4</v>
      </c>
      <c r="G5" s="90"/>
      <c r="H5" s="90"/>
      <c r="I5" s="130">
        <f t="shared" ref="I5:I49" si="0">T5</f>
        <v>100.19753795237023</v>
      </c>
      <c r="J5" s="130"/>
      <c r="K5" s="86"/>
      <c r="L5" s="80"/>
      <c r="P5" s="129" t="s">
        <v>0</v>
      </c>
      <c r="Q5" s="116">
        <v>39706108</v>
      </c>
      <c r="R5" s="116"/>
      <c r="S5" s="116">
        <v>396278.28</v>
      </c>
      <c r="T5" s="130">
        <f t="shared" ref="T5:T20" si="1">Q5/S5</f>
        <v>100.19753795237023</v>
      </c>
      <c r="U5" s="85"/>
    </row>
    <row r="6" spans="1:21" ht="15" hidden="1" customHeight="1">
      <c r="A6" s="129" t="s">
        <v>1</v>
      </c>
      <c r="C6" s="79"/>
      <c r="F6" s="78">
        <f>Q6/18</f>
        <v>3193842.5</v>
      </c>
      <c r="G6" s="90">
        <f t="shared" ref="G6:G16" si="2">F6/F5-1</f>
        <v>0.60874115387990191</v>
      </c>
      <c r="H6" s="90"/>
      <c r="I6" s="130">
        <f t="shared" si="0"/>
        <v>104.53125669069307</v>
      </c>
      <c r="J6" s="130"/>
      <c r="K6" s="98"/>
      <c r="P6" s="129" t="s">
        <v>1</v>
      </c>
      <c r="Q6" s="116">
        <v>57489165</v>
      </c>
      <c r="R6" s="116"/>
      <c r="S6" s="116">
        <v>549971.05000000005</v>
      </c>
      <c r="T6" s="130">
        <f t="shared" si="1"/>
        <v>104.53125669069307</v>
      </c>
      <c r="U6" s="85"/>
    </row>
    <row r="7" spans="1:21" ht="15" hidden="1" customHeight="1">
      <c r="A7" s="129" t="s">
        <v>2</v>
      </c>
      <c r="B7" s="131">
        <f>F5+F6+F7</f>
        <v>6734969.6727272728</v>
      </c>
      <c r="C7" s="131">
        <f>AVERAGE(F5:F7)</f>
        <v>2244989.8909090911</v>
      </c>
      <c r="F7" s="78">
        <f>Q7/22</f>
        <v>1555821.7727272727</v>
      </c>
      <c r="G7" s="90">
        <f t="shared" si="2"/>
        <v>-0.51286834816454707</v>
      </c>
      <c r="H7" s="90"/>
      <c r="I7" s="130">
        <f t="shared" si="0"/>
        <v>91.552579500277815</v>
      </c>
      <c r="J7" s="130"/>
      <c r="K7" s="85">
        <f>R5+R6+R7</f>
        <v>0</v>
      </c>
      <c r="L7" s="102">
        <f>S5+S6+S7</f>
        <v>1320111.8600000001</v>
      </c>
      <c r="N7" s="88">
        <f>AVERAGE(T5:T7)</f>
        <v>98.760458047780375</v>
      </c>
      <c r="P7" s="129" t="s">
        <v>2</v>
      </c>
      <c r="Q7" s="116">
        <v>34228079</v>
      </c>
      <c r="R7" s="116"/>
      <c r="S7" s="116">
        <v>373862.53</v>
      </c>
      <c r="T7" s="130">
        <f t="shared" si="1"/>
        <v>91.552579500277815</v>
      </c>
      <c r="U7" s="85">
        <f>Q5+Q6+Q7</f>
        <v>131423352</v>
      </c>
    </row>
    <row r="8" spans="1:21" ht="15" hidden="1" customHeight="1">
      <c r="A8" s="129" t="s">
        <v>3</v>
      </c>
      <c r="C8" s="79"/>
      <c r="F8" s="78">
        <f>Q8/21</f>
        <v>1093004.3333333333</v>
      </c>
      <c r="G8" s="90">
        <f t="shared" si="2"/>
        <v>-0.29747458706831509</v>
      </c>
      <c r="H8" s="90"/>
      <c r="I8" s="130">
        <f t="shared" si="0"/>
        <v>66.232173825222546</v>
      </c>
      <c r="J8" s="130"/>
      <c r="K8" s="78"/>
      <c r="P8" s="129" t="s">
        <v>3</v>
      </c>
      <c r="Q8" s="116">
        <v>22953091</v>
      </c>
      <c r="R8" s="116"/>
      <c r="S8" s="116">
        <v>346555</v>
      </c>
      <c r="T8" s="130">
        <f t="shared" si="1"/>
        <v>66.232173825222546</v>
      </c>
      <c r="U8" s="85"/>
    </row>
    <row r="9" spans="1:21" ht="15" hidden="1" customHeight="1">
      <c r="A9" s="129" t="s">
        <v>4</v>
      </c>
      <c r="C9" s="79"/>
      <c r="F9" s="78">
        <f>Q9/21</f>
        <v>3470438.2380952379</v>
      </c>
      <c r="G9" s="90">
        <f t="shared" si="2"/>
        <v>2.175136760447645</v>
      </c>
      <c r="H9" s="90"/>
      <c r="I9" s="130">
        <f t="shared" si="0"/>
        <v>43.235616784798147</v>
      </c>
      <c r="J9" s="130"/>
      <c r="K9" s="78"/>
      <c r="P9" s="129" t="s">
        <v>4</v>
      </c>
      <c r="Q9" s="116">
        <v>72879203</v>
      </c>
      <c r="R9" s="116"/>
      <c r="S9" s="116">
        <v>1685628.85</v>
      </c>
      <c r="T9" s="130">
        <f t="shared" si="1"/>
        <v>43.235616784798147</v>
      </c>
      <c r="U9" s="85"/>
    </row>
    <row r="10" spans="1:21" ht="15" hidden="1" customHeight="1">
      <c r="A10" s="129" t="s">
        <v>5</v>
      </c>
      <c r="B10" s="131">
        <f>F8+F9+F10</f>
        <v>5587075.5714285709</v>
      </c>
      <c r="C10" s="131">
        <f>AVERAGE(F8:F10)</f>
        <v>1862358.5238095236</v>
      </c>
      <c r="D10" s="90">
        <f>C10/C7-1</f>
        <v>-0.1704379020364426</v>
      </c>
      <c r="E10" s="286"/>
      <c r="F10" s="78">
        <f>Q10/21</f>
        <v>1023633</v>
      </c>
      <c r="G10" s="90">
        <f t="shared" si="2"/>
        <v>-0.70504215036489892</v>
      </c>
      <c r="H10" s="90"/>
      <c r="I10" s="130">
        <f t="shared" si="0"/>
        <v>73.873986909883897</v>
      </c>
      <c r="J10" s="130"/>
      <c r="K10" s="85">
        <f>R8+R9+R10</f>
        <v>0</v>
      </c>
      <c r="L10" s="102">
        <f>U10/U7-1</f>
        <v>-0.10724703628012777</v>
      </c>
      <c r="N10" s="88">
        <f>AVERAGE(T8:T10)</f>
        <v>61.113925839968203</v>
      </c>
      <c r="O10" s="89">
        <f>N10/N7-1</f>
        <v>-0.38119033621329257</v>
      </c>
      <c r="P10" s="129" t="s">
        <v>5</v>
      </c>
      <c r="Q10" s="116">
        <v>21496293</v>
      </c>
      <c r="R10" s="116"/>
      <c r="S10" s="116">
        <v>290985.96000000002</v>
      </c>
      <c r="T10" s="130">
        <f t="shared" si="1"/>
        <v>73.873986909883897</v>
      </c>
      <c r="U10" s="85">
        <f>Q8+Q9+Q10</f>
        <v>117328587</v>
      </c>
    </row>
    <row r="11" spans="1:21" ht="15" hidden="1" customHeight="1">
      <c r="A11" s="129" t="s">
        <v>6</v>
      </c>
      <c r="C11" s="79"/>
      <c r="F11" s="78">
        <f>Q11/21</f>
        <v>883602.90476190473</v>
      </c>
      <c r="G11" s="90">
        <f t="shared" si="2"/>
        <v>-0.13679716777213635</v>
      </c>
      <c r="H11" s="90"/>
      <c r="I11" s="130">
        <f t="shared" si="0"/>
        <v>72.601774534661899</v>
      </c>
      <c r="J11" s="130"/>
      <c r="K11" s="78"/>
      <c r="O11" s="89"/>
      <c r="P11" s="129" t="s">
        <v>6</v>
      </c>
      <c r="Q11" s="116">
        <v>18555661</v>
      </c>
      <c r="R11" s="116"/>
      <c r="S11" s="116">
        <v>255581.37</v>
      </c>
      <c r="T11" s="130">
        <f t="shared" si="1"/>
        <v>72.601774534661899</v>
      </c>
      <c r="U11" s="85"/>
    </row>
    <row r="12" spans="1:21" ht="15" hidden="1" customHeight="1">
      <c r="A12" s="129" t="s">
        <v>7</v>
      </c>
      <c r="C12" s="79"/>
      <c r="F12" s="78">
        <f>Q12/22</f>
        <v>678048.40909090906</v>
      </c>
      <c r="G12" s="90">
        <f t="shared" si="2"/>
        <v>-0.23263220906498072</v>
      </c>
      <c r="H12" s="90"/>
      <c r="I12" s="130">
        <f t="shared" si="0"/>
        <v>71.026384637074713</v>
      </c>
      <c r="J12" s="130"/>
      <c r="K12" s="78"/>
      <c r="O12" s="89"/>
      <c r="P12" s="129" t="s">
        <v>7</v>
      </c>
      <c r="Q12" s="116">
        <v>14917065</v>
      </c>
      <c r="R12" s="116"/>
      <c r="S12" s="116">
        <v>210021.46</v>
      </c>
      <c r="T12" s="130">
        <f t="shared" si="1"/>
        <v>71.026384637074713</v>
      </c>
      <c r="U12" s="85"/>
    </row>
    <row r="13" spans="1:21" ht="15" hidden="1" customHeight="1">
      <c r="A13" s="129" t="s">
        <v>96</v>
      </c>
      <c r="B13" s="131">
        <f>F11+F12+F13</f>
        <v>2307367.313852814</v>
      </c>
      <c r="C13" s="131">
        <f>AVERAGE(F11:F13)</f>
        <v>769122.43795093801</v>
      </c>
      <c r="D13" s="90">
        <f>C13/C10-1</f>
        <v>-0.58701698511966993</v>
      </c>
      <c r="E13" s="286"/>
      <c r="F13" s="78">
        <f>Q13/20</f>
        <v>745716</v>
      </c>
      <c r="G13" s="90">
        <f t="shared" si="2"/>
        <v>9.9797580824378063E-2</v>
      </c>
      <c r="H13" s="90"/>
      <c r="I13" s="130">
        <f t="shared" si="0"/>
        <v>80.602370082538101</v>
      </c>
      <c r="J13" s="130"/>
      <c r="K13" s="78">
        <f>R11+R12+R13</f>
        <v>0</v>
      </c>
      <c r="L13" s="102">
        <f>U13/U10-1</f>
        <v>-0.58759372087213491</v>
      </c>
      <c r="N13" s="88">
        <f>AVERAGE(T11:T13)</f>
        <v>74.743509751424909</v>
      </c>
      <c r="O13" s="89">
        <f>N13/N10-1</f>
        <v>0.22301928282511074</v>
      </c>
      <c r="P13" s="129" t="s">
        <v>96</v>
      </c>
      <c r="Q13" s="116">
        <v>14914320</v>
      </c>
      <c r="R13" s="116"/>
      <c r="S13" s="116">
        <v>185035.75</v>
      </c>
      <c r="T13" s="130">
        <f t="shared" si="1"/>
        <v>80.602370082538101</v>
      </c>
      <c r="U13" s="85">
        <f>Q11+Q12+Q13</f>
        <v>48387046</v>
      </c>
    </row>
    <row r="14" spans="1:21" ht="15" hidden="1" customHeight="1">
      <c r="A14" s="129" t="s">
        <v>97</v>
      </c>
      <c r="C14" s="79"/>
      <c r="F14" s="78">
        <f>Q14/20</f>
        <v>617523.69999999995</v>
      </c>
      <c r="G14" s="90">
        <f t="shared" si="2"/>
        <v>-0.17190498795788212</v>
      </c>
      <c r="H14" s="90"/>
      <c r="I14" s="130">
        <f t="shared" si="0"/>
        <v>78.726098701655658</v>
      </c>
      <c r="J14" s="130"/>
      <c r="K14" s="78"/>
      <c r="O14" s="89"/>
      <c r="P14" s="129" t="s">
        <v>97</v>
      </c>
      <c r="Q14" s="116">
        <v>12350474</v>
      </c>
      <c r="R14" s="116"/>
      <c r="S14" s="116">
        <v>156879.03</v>
      </c>
      <c r="T14" s="130">
        <f t="shared" si="1"/>
        <v>78.726098701655658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728506.22727272729</v>
      </c>
      <c r="G15" s="90">
        <f t="shared" si="2"/>
        <v>0.17972189127757754</v>
      </c>
      <c r="H15" s="90"/>
      <c r="I15" s="130">
        <f t="shared" si="0"/>
        <v>79.926246264289063</v>
      </c>
      <c r="J15" s="130"/>
      <c r="K15" s="78"/>
      <c r="O15" s="89"/>
      <c r="P15" s="129" t="s">
        <v>98</v>
      </c>
      <c r="Q15" s="116">
        <v>16027137</v>
      </c>
      <c r="R15" s="116"/>
      <c r="S15" s="116">
        <v>200524.08</v>
      </c>
      <c r="T15" s="130">
        <f t="shared" si="1"/>
        <v>79.926246264289063</v>
      </c>
      <c r="U15" s="78"/>
    </row>
    <row r="16" spans="1:21" ht="15" hidden="1" customHeight="1">
      <c r="A16" s="129" t="s">
        <v>99</v>
      </c>
      <c r="B16" s="131">
        <f>F14+F15+F16</f>
        <v>2110553.8818181818</v>
      </c>
      <c r="C16" s="131">
        <f>AVERAGE(F14:F16)</f>
        <v>703517.96060606057</v>
      </c>
      <c r="D16" s="90">
        <f>C16/C13-1</f>
        <v>-8.5297833098795017E-2</v>
      </c>
      <c r="E16" s="286"/>
      <c r="F16" s="78">
        <f>Q16/22</f>
        <v>764523.95454545459</v>
      </c>
      <c r="G16" s="90">
        <f t="shared" si="2"/>
        <v>4.9440520786713238E-2</v>
      </c>
      <c r="H16" s="90"/>
      <c r="I16" s="130">
        <f t="shared" si="0"/>
        <v>78.045459371231033</v>
      </c>
      <c r="J16" s="130"/>
      <c r="K16" s="78">
        <f>R14+R15+R16</f>
        <v>0</v>
      </c>
      <c r="L16" s="102">
        <f>U16/U13-1</f>
        <v>-6.5924834510459718E-2</v>
      </c>
      <c r="N16" s="88">
        <f>AVERAGE(T14:T16)</f>
        <v>78.899268112391923</v>
      </c>
      <c r="O16" s="89">
        <f>N16/N13-1</f>
        <v>5.5600257129854613E-2</v>
      </c>
      <c r="P16" s="129" t="s">
        <v>99</v>
      </c>
      <c r="Q16" s="116">
        <v>16819527</v>
      </c>
      <c r="R16" s="116"/>
      <c r="S16" s="116">
        <v>215509.36</v>
      </c>
      <c r="T16" s="130">
        <f t="shared" si="1"/>
        <v>78.045459371231033</v>
      </c>
      <c r="U16" s="85">
        <f>Q14+Q15+Q16</f>
        <v>45197138</v>
      </c>
    </row>
    <row r="17" spans="1:21" ht="15" hidden="1" customHeight="1">
      <c r="A17" s="129" t="s">
        <v>100</v>
      </c>
      <c r="C17" s="79"/>
      <c r="F17" s="78">
        <f>Q17/20</f>
        <v>645142.94999999995</v>
      </c>
      <c r="G17" s="90">
        <f t="shared" ref="G17:G22" si="3">F17/F16-1</f>
        <v>-0.15615077047053716</v>
      </c>
      <c r="H17" s="90">
        <f t="shared" ref="H17:H22" si="4">F17/F5-1</f>
        <v>-0.67504095339689307</v>
      </c>
      <c r="I17" s="130">
        <f t="shared" si="0"/>
        <v>81.774422318836912</v>
      </c>
      <c r="J17" s="130">
        <f t="shared" ref="J17:J49" si="5">I17/I5-1</f>
        <v>-0.1838679473570588</v>
      </c>
      <c r="K17" s="78"/>
      <c r="O17" s="89"/>
      <c r="P17" s="129" t="s">
        <v>100</v>
      </c>
      <c r="Q17" s="116">
        <v>12902859</v>
      </c>
      <c r="R17" s="116">
        <v>16223291707</v>
      </c>
      <c r="S17" s="116">
        <v>157786</v>
      </c>
      <c r="T17" s="130">
        <f t="shared" si="1"/>
        <v>81.774422318836912</v>
      </c>
      <c r="U17" s="78"/>
    </row>
    <row r="18" spans="1:21" ht="15" hidden="1" customHeight="1">
      <c r="A18" s="129" t="s">
        <v>106</v>
      </c>
      <c r="C18" s="79"/>
      <c r="F18" s="78">
        <f>Q18/20</f>
        <v>827909.75</v>
      </c>
      <c r="G18" s="90">
        <f t="shared" si="3"/>
        <v>0.28329659341390934</v>
      </c>
      <c r="H18" s="90">
        <f t="shared" si="4"/>
        <v>-0.74077940599763448</v>
      </c>
      <c r="I18" s="130">
        <f t="shared" si="0"/>
        <v>75.57346016210083</v>
      </c>
      <c r="J18" s="130">
        <f t="shared" si="5"/>
        <v>-0.2770252405390865</v>
      </c>
      <c r="K18" s="78"/>
      <c r="O18" s="89"/>
      <c r="P18" s="129" t="s">
        <v>106</v>
      </c>
      <c r="Q18" s="116">
        <v>16558195</v>
      </c>
      <c r="R18" s="116">
        <v>20805084583</v>
      </c>
      <c r="S18" s="116">
        <v>219100.66</v>
      </c>
      <c r="T18" s="130">
        <f t="shared" si="1"/>
        <v>75.57346016210083</v>
      </c>
      <c r="U18" s="78"/>
    </row>
    <row r="19" spans="1:21" hidden="1">
      <c r="A19" s="129" t="s">
        <v>114</v>
      </c>
      <c r="B19" s="131">
        <f>SUM(F17:F19)</f>
        <v>2066617.9272727272</v>
      </c>
      <c r="C19" s="131">
        <f>AVERAGE(F17:F19)</f>
        <v>688872.64242424245</v>
      </c>
      <c r="D19" s="90">
        <f>C19/C16-1</f>
        <v>-2.0817262674007075E-2</v>
      </c>
      <c r="E19" s="286">
        <f>C19/C7-1</f>
        <v>-0.69315111608574376</v>
      </c>
      <c r="F19" s="78">
        <f>Q19/22</f>
        <v>593565.22727272729</v>
      </c>
      <c r="G19" s="90">
        <f t="shared" si="3"/>
        <v>-0.28305563828336688</v>
      </c>
      <c r="H19" s="90">
        <f t="shared" si="4"/>
        <v>-0.61848764577176529</v>
      </c>
      <c r="I19" s="130">
        <f t="shared" si="0"/>
        <v>77.32660317822004</v>
      </c>
      <c r="J19" s="130">
        <f t="shared" si="5"/>
        <v>-0.15538586023143786</v>
      </c>
      <c r="K19" s="78">
        <f>R17+R18+R19</f>
        <v>54113689220</v>
      </c>
      <c r="L19" s="102">
        <f>U19/U16-1</f>
        <v>-5.9243773355737717E-2</v>
      </c>
      <c r="M19" s="87">
        <f>U19/U7-1</f>
        <v>-0.67646930052430865</v>
      </c>
      <c r="N19" s="88">
        <f>AVERAGE(T17:T19)</f>
        <v>78.224828553052603</v>
      </c>
      <c r="O19" s="89">
        <f>N19/N16-1</f>
        <v>-8.5481091963816036E-3</v>
      </c>
      <c r="P19" s="129" t="s">
        <v>114</v>
      </c>
      <c r="Q19" s="116">
        <v>13058435</v>
      </c>
      <c r="R19" s="116">
        <v>17085312930</v>
      </c>
      <c r="S19" s="116">
        <v>168873.77</v>
      </c>
      <c r="T19" s="130">
        <f t="shared" si="1"/>
        <v>77.32660317822004</v>
      </c>
      <c r="U19" s="85">
        <f>Q17+Q18+Q19</f>
        <v>42519489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599733.85</v>
      </c>
      <c r="G20" s="90">
        <f t="shared" si="3"/>
        <v>1.0392493434320249E-2</v>
      </c>
      <c r="H20" s="90">
        <f t="shared" si="4"/>
        <v>-0.45129782956029751</v>
      </c>
      <c r="I20" s="130">
        <f t="shared" si="0"/>
        <v>75.948892838576867</v>
      </c>
      <c r="J20" s="130">
        <f t="shared" si="5"/>
        <v>0.14670693187566797</v>
      </c>
      <c r="K20" s="78"/>
      <c r="O20" s="89"/>
      <c r="P20" s="129" t="s">
        <v>131</v>
      </c>
      <c r="Q20" s="116">
        <v>11994677</v>
      </c>
      <c r="R20" s="116">
        <v>15723723133</v>
      </c>
      <c r="S20" s="116">
        <v>157930.9</v>
      </c>
      <c r="T20" s="130">
        <f t="shared" si="1"/>
        <v>75.948892838576867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651427</v>
      </c>
      <c r="G21" s="90">
        <f t="shared" si="3"/>
        <v>8.6193483992941244E-2</v>
      </c>
      <c r="H21" s="90">
        <f t="shared" si="4"/>
        <v>-0.8122925822885303</v>
      </c>
      <c r="I21" s="130">
        <f t="shared" si="0"/>
        <v>73.672708633212864</v>
      </c>
      <c r="J21" s="130">
        <f t="shared" si="5"/>
        <v>0.70398190454672882</v>
      </c>
      <c r="K21" s="78"/>
      <c r="O21" s="89"/>
      <c r="P21" s="129" t="s">
        <v>142</v>
      </c>
      <c r="Q21" s="116">
        <v>13679967</v>
      </c>
      <c r="R21" s="116">
        <v>18209096389</v>
      </c>
      <c r="S21" s="116">
        <v>185685.68</v>
      </c>
      <c r="T21" s="130">
        <f t="shared" ref="T21" si="6">Q21/S21</f>
        <v>73.672708633212864</v>
      </c>
      <c r="U21" s="78"/>
    </row>
    <row r="22" spans="1:21" hidden="1">
      <c r="A22" s="129" t="s">
        <v>156</v>
      </c>
      <c r="B22" s="131">
        <f>SUM(F20:F22)</f>
        <v>2123897.2309523812</v>
      </c>
      <c r="C22" s="131">
        <f>AVERAGE(F20:F22)</f>
        <v>707965.74365079368</v>
      </c>
      <c r="D22" s="90">
        <f>C22/C19-1</f>
        <v>2.7716445756010621E-2</v>
      </c>
      <c r="E22" s="286">
        <f>C22/C10-1</f>
        <v>-0.61985528854958416</v>
      </c>
      <c r="F22" s="78">
        <f>Q22/21</f>
        <v>872736.38095238095</v>
      </c>
      <c r="G22" s="90">
        <f t="shared" si="3"/>
        <v>0.33973013238993932</v>
      </c>
      <c r="H22" s="90">
        <f t="shared" si="4"/>
        <v>-0.14741281206020029</v>
      </c>
      <c r="I22" s="130">
        <f t="shared" si="0"/>
        <v>81.172184001747155</v>
      </c>
      <c r="J22" s="130">
        <f t="shared" si="5"/>
        <v>9.8792516786268214E-2</v>
      </c>
      <c r="K22" s="78">
        <f>R20+R21+R22</f>
        <v>57680112844</v>
      </c>
      <c r="L22" s="102">
        <f>U22/U19-1</f>
        <v>3.486916317362132E-2</v>
      </c>
      <c r="M22" s="87">
        <f>U22/U10-1</f>
        <v>-0.62496686336127105</v>
      </c>
      <c r="N22" s="88">
        <f>AVERAGE(T20:T22)</f>
        <v>76.931261824512305</v>
      </c>
      <c r="O22" s="89">
        <f>N22/N19-1</f>
        <v>-1.6536523664772096E-2</v>
      </c>
      <c r="P22" s="129" t="s">
        <v>156</v>
      </c>
      <c r="Q22" s="116">
        <v>18327464</v>
      </c>
      <c r="R22" s="116">
        <v>23747293322</v>
      </c>
      <c r="S22" s="116">
        <v>225785.03</v>
      </c>
      <c r="T22" s="130">
        <f t="shared" ref="T22:T23" si="7">Q22/S22</f>
        <v>81.172184001747155</v>
      </c>
      <c r="U22" s="85">
        <f>Q20+Q21+Q22</f>
        <v>44002108</v>
      </c>
    </row>
    <row r="23" spans="1:21" hidden="1">
      <c r="A23" s="129" t="s">
        <v>189</v>
      </c>
      <c r="B23" s="131"/>
      <c r="C23" s="131"/>
      <c r="F23" s="78">
        <f>Q23/21</f>
        <v>545271.85714285716</v>
      </c>
      <c r="G23" s="90">
        <f t="shared" ref="G23" si="8">F23/F22-1</f>
        <v>-0.37521585092187326</v>
      </c>
      <c r="H23" s="90">
        <f t="shared" ref="H23" si="9">F23/F11-1</f>
        <v>-0.38289942891282613</v>
      </c>
      <c r="I23" s="130">
        <f t="shared" si="0"/>
        <v>75.109410252501547</v>
      </c>
      <c r="J23" s="130">
        <f t="shared" si="5"/>
        <v>3.4539592646491535E-2</v>
      </c>
      <c r="K23" s="78"/>
      <c r="O23" s="89"/>
      <c r="P23" s="129" t="s">
        <v>189</v>
      </c>
      <c r="Q23" s="116">
        <v>11450709</v>
      </c>
      <c r="R23" s="116">
        <v>14818470974</v>
      </c>
      <c r="S23" s="116">
        <v>152453.72</v>
      </c>
      <c r="T23" s="130">
        <f t="shared" si="7"/>
        <v>75.109410252501547</v>
      </c>
      <c r="U23" s="78"/>
    </row>
    <row r="24" spans="1:21" hidden="1">
      <c r="A24" s="129" t="s">
        <v>204</v>
      </c>
      <c r="B24" s="131"/>
      <c r="C24" s="131"/>
      <c r="F24" s="78">
        <f>Q24/22</f>
        <v>729854.09090909094</v>
      </c>
      <c r="G24" s="90">
        <f t="shared" ref="G24" si="10">F24/F23-1</f>
        <v>0.33851413996206769</v>
      </c>
      <c r="H24" s="90">
        <f t="shared" ref="H24" si="11">F24/F12-1</f>
        <v>7.6404104963007313E-2</v>
      </c>
      <c r="I24" s="130">
        <f t="shared" si="0"/>
        <v>79.259207703600154</v>
      </c>
      <c r="J24" s="130">
        <f t="shared" si="5"/>
        <v>0.11591217979899859</v>
      </c>
      <c r="K24" s="78"/>
      <c r="O24" s="89"/>
      <c r="P24" s="129" t="s">
        <v>204</v>
      </c>
      <c r="Q24" s="116">
        <v>16056790</v>
      </c>
      <c r="R24" s="116">
        <v>20925262525</v>
      </c>
      <c r="S24" s="116">
        <v>202585.8</v>
      </c>
      <c r="T24" s="130">
        <f t="shared" ref="T24" si="12">Q24/S24</f>
        <v>79.259207703600154</v>
      </c>
      <c r="U24" s="78"/>
    </row>
    <row r="25" spans="1:21" s="79" customFormat="1" ht="13.2" hidden="1">
      <c r="A25" s="129" t="s">
        <v>218</v>
      </c>
      <c r="B25" s="131">
        <f>SUM(F23:F25)</f>
        <v>2087866.6322624744</v>
      </c>
      <c r="C25" s="131">
        <f>AVERAGE(F23:F25)</f>
        <v>695955.54408749146</v>
      </c>
      <c r="D25" s="90">
        <f>C25/C22-1</f>
        <v>-1.6964379521202222E-2</v>
      </c>
      <c r="E25" s="286">
        <f>C25/C13-1</f>
        <v>-9.513035929412561E-2</v>
      </c>
      <c r="F25" s="78">
        <f>Q25/19</f>
        <v>812740.68421052629</v>
      </c>
      <c r="G25" s="90">
        <f t="shared" ref="G25" si="13">F25/F24-1</f>
        <v>0.11356597754791453</v>
      </c>
      <c r="H25" s="90">
        <f t="shared" ref="H25" si="14">F25/F13-1</f>
        <v>8.9879638106901583E-2</v>
      </c>
      <c r="I25" s="130">
        <f t="shared" si="0"/>
        <v>80.742151873272334</v>
      </c>
      <c r="J25" s="130">
        <f t="shared" si="5"/>
        <v>1.7342143982999048E-3</v>
      </c>
      <c r="K25" s="78">
        <f>R23+R24+R25</f>
        <v>56237596830</v>
      </c>
      <c r="L25" s="102">
        <f>U25/U22-1</f>
        <v>-2.3920126735746394E-2</v>
      </c>
      <c r="M25" s="90">
        <f>U25/U13-1</f>
        <v>-0.11237458058505989</v>
      </c>
      <c r="N25" s="88">
        <f>AVERAGE(T23:T25)</f>
        <v>78.37025660979134</v>
      </c>
      <c r="O25" s="91">
        <f>N25/N22-1</f>
        <v>1.8704941933248342E-2</v>
      </c>
      <c r="P25" s="129" t="s">
        <v>238</v>
      </c>
      <c r="Q25" s="116">
        <v>15442073</v>
      </c>
      <c r="R25" s="116">
        <v>20493863331</v>
      </c>
      <c r="S25" s="116">
        <v>191251.69</v>
      </c>
      <c r="T25" s="130">
        <f t="shared" ref="T25" si="15">Q25/S25</f>
        <v>80.742151873272334</v>
      </c>
      <c r="U25" s="85">
        <f>Q23+Q24+Q25</f>
        <v>42949572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829360.10526315786</v>
      </c>
      <c r="G26" s="90">
        <f t="shared" ref="G26" si="16">F26/F25-1</f>
        <v>2.0448614638721052E-2</v>
      </c>
      <c r="H26" s="90">
        <f t="shared" ref="H26" si="17">F26/F14-1</f>
        <v>0.34304174117229502</v>
      </c>
      <c r="I26" s="130">
        <f t="shared" si="0"/>
        <v>79.950746436846472</v>
      </c>
      <c r="J26" s="130">
        <f t="shared" si="5"/>
        <v>1.5555803671051915E-2</v>
      </c>
      <c r="K26" s="78"/>
      <c r="L26" s="90"/>
      <c r="M26" s="90"/>
      <c r="P26" s="129" t="s">
        <v>312</v>
      </c>
      <c r="Q26" s="116">
        <v>15757842</v>
      </c>
      <c r="R26" s="116">
        <v>21256895037</v>
      </c>
      <c r="S26" s="116">
        <v>197094.37</v>
      </c>
      <c r="T26" s="130">
        <f t="shared" ref="T26" si="18">Q26/S26</f>
        <v>79.950746436846472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879560.04545454541</v>
      </c>
      <c r="G27" s="90">
        <f t="shared" ref="G27" si="19">F27/F26-1</f>
        <v>6.0528520570035216E-2</v>
      </c>
      <c r="H27" s="90">
        <f t="shared" ref="H27" si="20">F27/F15-1</f>
        <v>0.20734732597593686</v>
      </c>
      <c r="I27" s="130">
        <f t="shared" si="0"/>
        <v>84.35341585561585</v>
      </c>
      <c r="J27" s="130">
        <f t="shared" si="5"/>
        <v>5.5390685766570691E-2</v>
      </c>
      <c r="K27" s="78"/>
      <c r="L27" s="90"/>
      <c r="M27" s="90"/>
      <c r="P27" s="129" t="s">
        <v>375</v>
      </c>
      <c r="Q27" s="116">
        <v>19350321</v>
      </c>
      <c r="R27" s="116">
        <v>25531273825</v>
      </c>
      <c r="S27" s="116">
        <v>229395.82</v>
      </c>
      <c r="T27" s="130">
        <f t="shared" ref="T27" si="21">Q27/S27</f>
        <v>84.35341585561585</v>
      </c>
      <c r="U27" s="78"/>
    </row>
    <row r="28" spans="1:21" s="79" customFormat="1" ht="13.2" hidden="1">
      <c r="A28" s="123" t="s">
        <v>413</v>
      </c>
      <c r="B28" s="131">
        <f>SUM(F26:F28)</f>
        <v>2660957.624401914</v>
      </c>
      <c r="C28" s="131">
        <f>AVERAGE(F26:F28)</f>
        <v>886985.87480063795</v>
      </c>
      <c r="D28" s="90">
        <f>C28/C25-1</f>
        <v>0.27448639835697786</v>
      </c>
      <c r="E28" s="286">
        <f>C28/C16-1</f>
        <v>0.26078639703316897</v>
      </c>
      <c r="F28" s="78">
        <f>Q28/19</f>
        <v>952037.47368421056</v>
      </c>
      <c r="G28" s="90">
        <f t="shared" ref="G28" si="22">F28/F27-1</f>
        <v>8.2401910596347827E-2</v>
      </c>
      <c r="H28" s="90">
        <f t="shared" ref="H28" si="23">F28/F16-1</f>
        <v>0.24526833727563391</v>
      </c>
      <c r="I28" s="130">
        <f t="shared" si="0"/>
        <v>80.50486419299898</v>
      </c>
      <c r="J28" s="130">
        <f t="shared" si="5"/>
        <v>3.1512465191210426E-2</v>
      </c>
      <c r="K28" s="78">
        <f>R26+R27+R28</f>
        <v>70420382307</v>
      </c>
      <c r="L28" s="102">
        <f>U28/U25-1</f>
        <v>0.23858917616222119</v>
      </c>
      <c r="M28" s="90">
        <f>U28/U16-1</f>
        <v>0.17699653902864387</v>
      </c>
      <c r="N28" s="88">
        <f>AVERAGE(T26:T28)</f>
        <v>81.603008828487091</v>
      </c>
      <c r="O28" s="91">
        <f>N28/N25-1</f>
        <v>4.1249733745185369E-2</v>
      </c>
      <c r="P28" s="129" t="s">
        <v>413</v>
      </c>
      <c r="Q28" s="116">
        <v>18088712</v>
      </c>
      <c r="R28" s="116">
        <v>23632213445</v>
      </c>
      <c r="S28" s="116">
        <v>224690.92</v>
      </c>
      <c r="T28" s="130">
        <f t="shared" ref="T28" si="24">Q28/S28</f>
        <v>80.50486419299898</v>
      </c>
      <c r="U28" s="85">
        <f>Q26+Q27+Q28</f>
        <v>53196875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539799.77272727271</v>
      </c>
      <c r="G29" s="190">
        <f t="shared" ref="G29" si="25">F29/F28-1</f>
        <v>-0.43300575066825209</v>
      </c>
      <c r="H29" s="190">
        <f t="shared" ref="H29" si="26">F29/F17-1</f>
        <v>-0.16328656660159935</v>
      </c>
      <c r="I29" s="130">
        <f t="shared" si="0"/>
        <v>73.342623139336837</v>
      </c>
      <c r="J29" s="130">
        <f t="shared" si="5"/>
        <v>-0.10311047073649326</v>
      </c>
      <c r="K29" s="193"/>
      <c r="L29" s="190"/>
      <c r="M29" s="190"/>
      <c r="N29" s="191"/>
      <c r="O29" s="192"/>
      <c r="P29" s="129" t="s">
        <v>427</v>
      </c>
      <c r="Q29" s="116">
        <v>11875595</v>
      </c>
      <c r="R29" s="116">
        <v>15647940369</v>
      </c>
      <c r="S29" s="116">
        <v>161919.42000000001</v>
      </c>
      <c r="T29" s="130">
        <f t="shared" ref="T29" si="27">Q29/S29</f>
        <v>73.342623139336837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616460.94736842101</v>
      </c>
      <c r="G30" s="190">
        <f t="shared" ref="G30" si="28">F30/F29-1</f>
        <v>0.14201779718028962</v>
      </c>
      <c r="H30" s="190">
        <f t="shared" ref="H30" si="29">F30/F18-1</f>
        <v>-0.2554007881071324</v>
      </c>
      <c r="I30" s="130">
        <f t="shared" si="0"/>
        <v>80.634762141813141</v>
      </c>
      <c r="J30" s="130">
        <f t="shared" si="5"/>
        <v>6.6971949793698693E-2</v>
      </c>
      <c r="K30" s="193"/>
      <c r="L30" s="190"/>
      <c r="M30" s="190"/>
      <c r="N30" s="191"/>
      <c r="O30" s="192"/>
      <c r="P30" s="129" t="s">
        <v>493</v>
      </c>
      <c r="Q30" s="116">
        <v>11712758</v>
      </c>
      <c r="R30" s="116">
        <v>15600341867</v>
      </c>
      <c r="S30" s="116">
        <v>145256.93</v>
      </c>
      <c r="T30" s="130">
        <f t="shared" ref="T30" si="30">Q30/S30</f>
        <v>80.634762141813141</v>
      </c>
      <c r="U30" s="85"/>
    </row>
    <row r="31" spans="1:21" s="79" customFormat="1" ht="13.2" hidden="1">
      <c r="A31" s="129" t="s">
        <v>505</v>
      </c>
      <c r="B31" s="188">
        <f>SUM(F29:F31)</f>
        <v>2124772.3200956937</v>
      </c>
      <c r="C31" s="188">
        <f>AVERAGE(F29:F31)</f>
        <v>708257.44003189786</v>
      </c>
      <c r="D31" s="190">
        <f>C31/C28-1</f>
        <v>-0.20150088050603032</v>
      </c>
      <c r="E31" s="287">
        <f>C31/C19-1</f>
        <v>2.8139885972880974E-2</v>
      </c>
      <c r="F31" s="136">
        <f>Q31/20</f>
        <v>968511.6</v>
      </c>
      <c r="G31" s="190">
        <f t="shared" ref="G31" si="31">F31/F30-1</f>
        <v>0.57108346300674873</v>
      </c>
      <c r="H31" s="190">
        <f t="shared" ref="H31" si="32">F31/F19-1</f>
        <v>0.63168520576929765</v>
      </c>
      <c r="I31" s="130">
        <f t="shared" si="0"/>
        <v>79.829433291170275</v>
      </c>
      <c r="J31" s="130">
        <f t="shared" si="5"/>
        <v>3.2366999325986079E-2</v>
      </c>
      <c r="K31" s="136">
        <f>R29+R30+R31</f>
        <v>56956152069</v>
      </c>
      <c r="L31" s="190">
        <f>U31/U28-1</f>
        <v>-0.19246036538800448</v>
      </c>
      <c r="M31" s="190">
        <f>U31/U19-1</f>
        <v>1.0326935020315009E-2</v>
      </c>
      <c r="N31" s="191">
        <f>AVERAGE(T29:T31)</f>
        <v>77.935606190773413</v>
      </c>
      <c r="O31" s="192">
        <f>N31/N28-1</f>
        <v>-4.4942002634018263E-2</v>
      </c>
      <c r="P31" s="129" t="s">
        <v>505</v>
      </c>
      <c r="Q31" s="116">
        <v>19370232</v>
      </c>
      <c r="R31" s="116">
        <v>25707869833</v>
      </c>
      <c r="S31" s="116">
        <v>242645.24</v>
      </c>
      <c r="T31" s="130">
        <f t="shared" ref="T31" si="33">Q31/S31</f>
        <v>79.829433291170275</v>
      </c>
      <c r="U31" s="85">
        <f>Q29+Q30+Q31</f>
        <v>42958585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710404.80952380947</v>
      </c>
      <c r="G32" s="190">
        <f t="shared" ref="G32" si="34">F32/F31-1</f>
        <v>-0.26649839865231406</v>
      </c>
      <c r="H32" s="190">
        <f t="shared" ref="H32" si="35">F32/F20-1</f>
        <v>0.18453345517150566</v>
      </c>
      <c r="I32" s="130">
        <f t="shared" si="0"/>
        <v>72.365563336659307</v>
      </c>
      <c r="J32" s="130">
        <f t="shared" si="5"/>
        <v>-4.7180799719274802E-2</v>
      </c>
      <c r="K32" s="136"/>
      <c r="L32" s="190"/>
      <c r="M32" s="190"/>
      <c r="N32" s="191"/>
      <c r="O32" s="192"/>
      <c r="P32" s="129" t="s">
        <v>562</v>
      </c>
      <c r="Q32" s="116">
        <v>14918501</v>
      </c>
      <c r="R32" s="116">
        <v>20271484618</v>
      </c>
      <c r="S32" s="116">
        <v>206154.7</v>
      </c>
      <c r="T32" s="130">
        <f t="shared" ref="T32" si="36">Q32/S32</f>
        <v>72.365563336659307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579093.42857142852</v>
      </c>
      <c r="G33" s="190">
        <f t="shared" ref="G33" si="37">F33/F32-1</f>
        <v>-0.18484021953680196</v>
      </c>
      <c r="H33" s="190">
        <f t="shared" ref="H33" si="38">F33/F21-1</f>
        <v>-0.11103864504936312</v>
      </c>
      <c r="I33" s="130">
        <f t="shared" si="0"/>
        <v>78.610064226969641</v>
      </c>
      <c r="J33" s="130">
        <f t="shared" si="5"/>
        <v>6.7017430000271938E-2</v>
      </c>
      <c r="K33" s="136"/>
      <c r="L33" s="190"/>
      <c r="M33" s="190"/>
      <c r="N33" s="191"/>
      <c r="O33" s="192"/>
      <c r="P33" s="129" t="s">
        <v>607</v>
      </c>
      <c r="Q33" s="116">
        <v>12160962</v>
      </c>
      <c r="R33" s="116">
        <v>16631992376</v>
      </c>
      <c r="S33" s="116">
        <v>154699.81</v>
      </c>
      <c r="T33" s="130">
        <f t="shared" ref="T33" si="39">Q33/S33</f>
        <v>78.610064226969641</v>
      </c>
      <c r="U33" s="85"/>
    </row>
    <row r="34" spans="1:21" s="79" customFormat="1" ht="13.2" hidden="1">
      <c r="A34" s="129" t="s">
        <v>652</v>
      </c>
      <c r="B34" s="188">
        <f>SUM(F32:F34)</f>
        <v>2231485.0275689219</v>
      </c>
      <c r="C34" s="188">
        <f>AVERAGE(F32:F34)</f>
        <v>743828.34252297401</v>
      </c>
      <c r="D34" s="190">
        <f>C34/C31-1</f>
        <v>5.0223125773975807E-2</v>
      </c>
      <c r="E34" s="287">
        <f>C34/C22-1</f>
        <v>5.0655839203809894E-2</v>
      </c>
      <c r="F34" s="136">
        <f>Q34/19</f>
        <v>941986.78947368416</v>
      </c>
      <c r="G34" s="190">
        <f t="shared" ref="G34" si="40">F34/F33-1</f>
        <v>0.62665770840722712</v>
      </c>
      <c r="H34" s="190">
        <f t="shared" ref="H34" si="41">F34/F22-1</f>
        <v>7.9348598308383922E-2</v>
      </c>
      <c r="I34" s="130">
        <f t="shared" si="0"/>
        <v>80.971960362362069</v>
      </c>
      <c r="J34" s="130">
        <f t="shared" si="5"/>
        <v>-2.466653347417358E-3</v>
      </c>
      <c r="K34" s="136">
        <f>R32+R33+R34</f>
        <v>61510222724</v>
      </c>
      <c r="L34" s="190">
        <f>U34/U31-1</f>
        <v>4.6990071949529977E-2</v>
      </c>
      <c r="M34" s="190">
        <f>U34/U22-1</f>
        <v>2.2160392861178435E-2</v>
      </c>
      <c r="N34" s="191">
        <f>AVERAGE(T32:T34)</f>
        <v>77.315862641997015</v>
      </c>
      <c r="O34" s="192">
        <f>N34/N31-1</f>
        <v>-7.9519949746637009E-3</v>
      </c>
      <c r="P34" s="129" t="s">
        <v>652</v>
      </c>
      <c r="Q34" s="116">
        <v>17897749</v>
      </c>
      <c r="R34" s="116">
        <v>24606745730</v>
      </c>
      <c r="S34" s="116">
        <v>221036.38</v>
      </c>
      <c r="T34" s="130">
        <f t="shared" ref="T34" si="42">Q34/S34</f>
        <v>80.971960362362069</v>
      </c>
      <c r="U34" s="85">
        <f>Q32+Q33+Q34</f>
        <v>44977212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596936.30434782605</v>
      </c>
      <c r="G35" s="190">
        <f t="shared" ref="G35" si="43">F35/F34-1</f>
        <v>-0.36630076873864437</v>
      </c>
      <c r="H35" s="190">
        <f t="shared" ref="H35" si="44">F35/F23-1</f>
        <v>9.4749887653624576E-2</v>
      </c>
      <c r="I35" s="130">
        <f t="shared" si="0"/>
        <v>76.903754464265717</v>
      </c>
      <c r="J35" s="130">
        <f t="shared" si="5"/>
        <v>2.3889739058421178E-2</v>
      </c>
      <c r="K35" s="136"/>
      <c r="L35" s="190"/>
      <c r="M35" s="190"/>
      <c r="N35" s="191"/>
      <c r="O35" s="192"/>
      <c r="P35" s="129" t="s">
        <v>660</v>
      </c>
      <c r="Q35" s="116">
        <v>13729535</v>
      </c>
      <c r="R35" s="116">
        <v>18988898980</v>
      </c>
      <c r="S35" s="116">
        <v>178528.8</v>
      </c>
      <c r="T35" s="130">
        <f t="shared" ref="T35" si="45">Q35/S35</f>
        <v>76.903754464265717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726783.42857142852</v>
      </c>
      <c r="G36" s="190">
        <f t="shared" ref="G36" si="46">F36/F35-1</f>
        <v>0.21752257867020686</v>
      </c>
      <c r="H36" s="190">
        <f t="shared" ref="H36" si="47">F36/F24-1</f>
        <v>-4.2072276855195101E-3</v>
      </c>
      <c r="I36" s="130">
        <f t="shared" si="0"/>
        <v>70.161489847203995</v>
      </c>
      <c r="J36" s="130">
        <f t="shared" si="5"/>
        <v>-0.11478436537516534</v>
      </c>
      <c r="K36" s="136"/>
      <c r="L36" s="190"/>
      <c r="M36" s="190"/>
      <c r="N36" s="191"/>
      <c r="O36" s="192"/>
      <c r="P36" s="129" t="s">
        <v>664</v>
      </c>
      <c r="Q36" s="116">
        <v>15262452</v>
      </c>
      <c r="R36" s="116">
        <v>20742462437</v>
      </c>
      <c r="S36" s="116">
        <v>217533.18</v>
      </c>
      <c r="T36" s="130">
        <f t="shared" ref="T36" si="48">Q36/S36</f>
        <v>70.161489847203995</v>
      </c>
      <c r="U36" s="85"/>
    </row>
    <row r="37" spans="1:21" s="79" customFormat="1" ht="13.2" hidden="1">
      <c r="A37" s="129" t="s">
        <v>702</v>
      </c>
      <c r="B37" s="188">
        <f>SUM(F35:F37)</f>
        <v>2181286.2329192543</v>
      </c>
      <c r="C37" s="188">
        <f>AVERAGE(F35:F37)</f>
        <v>727095.41097308474</v>
      </c>
      <c r="D37" s="190">
        <f>C37/C34-1</f>
        <v>-2.2495689654864814E-2</v>
      </c>
      <c r="E37" s="287">
        <f>C37/C25-1</f>
        <v>4.4744046010040117E-2</v>
      </c>
      <c r="F37" s="136">
        <f>Q37/18</f>
        <v>857566.5</v>
      </c>
      <c r="G37" s="190">
        <f t="shared" ref="G37" si="49">F37/F36-1</f>
        <v>0.17994778951638968</v>
      </c>
      <c r="H37" s="190">
        <f t="shared" ref="H37" si="50">F37/F25-1</f>
        <v>5.5153896759845722E-2</v>
      </c>
      <c r="I37" s="130">
        <f t="shared" si="0"/>
        <v>79.847611774237748</v>
      </c>
      <c r="J37" s="130">
        <f t="shared" si="5"/>
        <v>-1.1078972733332582E-2</v>
      </c>
      <c r="K37" s="136">
        <f>R35+R36+R37</f>
        <v>60346226263</v>
      </c>
      <c r="L37" s="190">
        <f>U37/U34-1</f>
        <v>-1.2206803747640049E-2</v>
      </c>
      <c r="M37" s="190">
        <f>U37/U25-1</f>
        <v>3.4426699292835705E-2</v>
      </c>
      <c r="N37" s="191">
        <f>AVERAGE(T35:T37)</f>
        <v>75.637618695235815</v>
      </c>
      <c r="O37" s="192">
        <f>N37/N34-1</f>
        <v>-2.1706334113248293E-2</v>
      </c>
      <c r="P37" s="129" t="s">
        <v>702</v>
      </c>
      <c r="Q37" s="116">
        <v>15436197</v>
      </c>
      <c r="R37" s="116">
        <v>20614864846</v>
      </c>
      <c r="S37" s="116">
        <v>193320.71</v>
      </c>
      <c r="T37" s="130">
        <f t="shared" ref="T37" si="51">Q37/S37</f>
        <v>79.847611774237748</v>
      </c>
      <c r="U37" s="85">
        <f>Q35+Q36+Q37</f>
        <v>44428184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783130.05</v>
      </c>
      <c r="G38" s="190">
        <f t="shared" ref="G38" si="52">F38/F37-1</f>
        <v>-8.6799624285696764E-2</v>
      </c>
      <c r="H38" s="190">
        <f t="shared" ref="H38" si="53">F38/F26-1</f>
        <v>-5.5741836350434171E-2</v>
      </c>
      <c r="I38" s="130">
        <f t="shared" si="0"/>
        <v>79.482429992479354</v>
      </c>
      <c r="J38" s="130">
        <f t="shared" si="5"/>
        <v>-5.8575618770119187E-3</v>
      </c>
      <c r="K38" s="136"/>
      <c r="L38" s="190"/>
      <c r="M38" s="190"/>
      <c r="N38" s="191"/>
      <c r="O38" s="192"/>
      <c r="P38" s="129" t="s">
        <v>727</v>
      </c>
      <c r="Q38" s="116">
        <v>15662601</v>
      </c>
      <c r="R38" s="116">
        <v>21115726312</v>
      </c>
      <c r="S38" s="116">
        <v>197057.4</v>
      </c>
      <c r="T38" s="130">
        <f t="shared" ref="T38" si="54">Q38/S38</f>
        <v>79.482429992479354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693216.95238095243</v>
      </c>
      <c r="G39" s="190">
        <f t="shared" ref="G39" si="55">F39/F38-1</f>
        <v>-0.11481247286966911</v>
      </c>
      <c r="H39" s="190">
        <f t="shared" ref="H39" si="56">F39/F27-1</f>
        <v>-0.21185943363001813</v>
      </c>
      <c r="I39" s="130">
        <f t="shared" si="0"/>
        <v>75.843744409101475</v>
      </c>
      <c r="J39" s="130">
        <f t="shared" si="5"/>
        <v>-0.10088117191460289</v>
      </c>
      <c r="K39" s="136"/>
      <c r="L39" s="190"/>
      <c r="M39" s="190"/>
      <c r="N39" s="191"/>
      <c r="O39" s="192"/>
      <c r="P39" s="129" t="s">
        <v>762</v>
      </c>
      <c r="Q39" s="116">
        <v>14557556</v>
      </c>
      <c r="R39" s="116">
        <v>20247817982</v>
      </c>
      <c r="S39" s="116">
        <v>191941.42</v>
      </c>
      <c r="T39" s="130">
        <f t="shared" ref="T39" si="57">Q39/S39</f>
        <v>75.843744409101475</v>
      </c>
      <c r="U39" s="85"/>
    </row>
    <row r="40" spans="1:21" s="79" customFormat="1" ht="13.2" hidden="1">
      <c r="A40" s="129" t="s">
        <v>778</v>
      </c>
      <c r="B40" s="188">
        <f>SUM(F38:F40)</f>
        <v>2329399.7166666668</v>
      </c>
      <c r="C40" s="188">
        <f>AVERAGE(F38:F40)</f>
        <v>776466.57222222222</v>
      </c>
      <c r="D40" s="190">
        <f>C40/C37-1</f>
        <v>6.7901901874285242E-2</v>
      </c>
      <c r="E40" s="287">
        <f>C40/C28-1</f>
        <v>-0.12460097248251722</v>
      </c>
      <c r="F40" s="136">
        <f>Q40/21</f>
        <v>853052.71428571432</v>
      </c>
      <c r="G40" s="190">
        <f t="shared" ref="G40" si="58">F40/F39-1</f>
        <v>0.23057105189909621</v>
      </c>
      <c r="H40" s="190">
        <f t="shared" ref="H40" si="59">F40/F28-1</f>
        <v>-0.10397149496168823</v>
      </c>
      <c r="I40" s="130">
        <f t="shared" si="0"/>
        <v>80.657886893050105</v>
      </c>
      <c r="J40" s="130">
        <f t="shared" si="5"/>
        <v>1.9007882515555963E-3</v>
      </c>
      <c r="K40" s="136">
        <f>R38+R39+R40</f>
        <v>66767909514</v>
      </c>
      <c r="L40" s="190">
        <f>U40/U37-1</f>
        <v>8.3417319060351325E-2</v>
      </c>
      <c r="M40" s="190">
        <f>U40/U28-1</f>
        <v>-9.5167451095576561E-2</v>
      </c>
      <c r="N40" s="191">
        <f>AVERAGE(T38:T40)</f>
        <v>78.661353764876978</v>
      </c>
      <c r="O40" s="192">
        <f>N40/N37-1</f>
        <v>3.9976603200909899E-2</v>
      </c>
      <c r="P40" s="129" t="s">
        <v>778</v>
      </c>
      <c r="Q40" s="116">
        <v>17914107</v>
      </c>
      <c r="R40" s="116">
        <v>25404365220</v>
      </c>
      <c r="S40" s="116">
        <v>222099.88</v>
      </c>
      <c r="T40" s="130">
        <f t="shared" ref="T40" si="60">Q40/S40</f>
        <v>80.657886893050105</v>
      </c>
      <c r="U40" s="85">
        <f>Q38+Q39+Q40</f>
        <v>48134264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660063.77777777775</v>
      </c>
      <c r="G41" s="190">
        <f t="shared" ref="G41" si="61">F41/F40-1</f>
        <v>-0.22623330689420729</v>
      </c>
      <c r="H41" s="190">
        <f t="shared" ref="H41" si="62">F41/F29-1</f>
        <v>0.22279373042875839</v>
      </c>
      <c r="I41" s="130">
        <f t="shared" si="0"/>
        <v>73.041656832918534</v>
      </c>
      <c r="J41" s="130">
        <f t="shared" si="5"/>
        <v>-4.1035661602466522E-3</v>
      </c>
      <c r="K41" s="193"/>
      <c r="L41" s="190"/>
      <c r="M41" s="190"/>
      <c r="N41" s="193"/>
      <c r="O41" s="193"/>
      <c r="P41" s="129" t="s">
        <v>792</v>
      </c>
      <c r="Q41" s="116">
        <v>11881148</v>
      </c>
      <c r="R41" s="116">
        <v>17363820119</v>
      </c>
      <c r="S41" s="116">
        <v>162662.63</v>
      </c>
      <c r="T41" s="130">
        <f t="shared" ref="T41" si="63">Q41/S41</f>
        <v>73.041656832918534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652029.19999999995</v>
      </c>
      <c r="G42" s="190">
        <f t="shared" ref="G42" si="64">F42/F41-1</f>
        <v>-1.2172426435559935E-2</v>
      </c>
      <c r="H42" s="190">
        <f t="shared" ref="H42" si="65">F42/F30-1</f>
        <v>5.7697495329451787E-2</v>
      </c>
      <c r="I42" s="130">
        <f t="shared" si="0"/>
        <v>80.716132959266304</v>
      </c>
      <c r="J42" s="130">
        <f t="shared" si="5"/>
        <v>1.0091282629451914E-3</v>
      </c>
      <c r="K42" s="193"/>
      <c r="L42" s="190"/>
      <c r="M42" s="190"/>
      <c r="N42" s="193"/>
      <c r="O42" s="193"/>
      <c r="P42" s="129" t="s">
        <v>826</v>
      </c>
      <c r="Q42" s="116">
        <v>13040584</v>
      </c>
      <c r="R42" s="116">
        <v>18880906341</v>
      </c>
      <c r="S42" s="116">
        <v>161561.06</v>
      </c>
      <c r="T42" s="130">
        <f t="shared" ref="T42" si="66">Q42/S42</f>
        <v>80.716132959266304</v>
      </c>
      <c r="U42" s="78"/>
    </row>
    <row r="43" spans="1:21" s="79" customFormat="1" ht="13.2">
      <c r="A43" s="129" t="s">
        <v>835</v>
      </c>
      <c r="B43" s="188">
        <f>SUM(F41:F43)</f>
        <v>2128383.6777777774</v>
      </c>
      <c r="C43" s="188">
        <f>AVERAGE(F41:F43)</f>
        <v>709461.22592592577</v>
      </c>
      <c r="D43" s="190">
        <f>C43/C40-1</f>
        <v>-8.629521050021427E-2</v>
      </c>
      <c r="E43" s="287">
        <f>C43/C31-1</f>
        <v>1.699644544466361E-3</v>
      </c>
      <c r="F43" s="136">
        <f>Q43/20</f>
        <v>816290.7</v>
      </c>
      <c r="G43" s="190">
        <f t="shared" ref="G43" si="67">F43/F42-1</f>
        <v>0.25192353348592356</v>
      </c>
      <c r="H43" s="190">
        <f t="shared" ref="H43" si="68">F43/F31-1</f>
        <v>-0.15716992961158138</v>
      </c>
      <c r="I43" s="130">
        <f t="shared" si="0"/>
        <v>80.067254120940689</v>
      </c>
      <c r="J43" s="130">
        <f t="shared" si="5"/>
        <v>2.9791120889333111E-3</v>
      </c>
      <c r="K43" s="136">
        <f>R41+R42+R43</f>
        <v>59917171724</v>
      </c>
      <c r="L43" s="190">
        <f>U43/U40-1</f>
        <v>-0.14307309238175947</v>
      </c>
      <c r="M43" s="190">
        <f>K43/K31-1</f>
        <v>5.1987705409116236E-2</v>
      </c>
      <c r="N43" s="191">
        <f>AVERAGE(T41:T43)</f>
        <v>77.941681304375166</v>
      </c>
      <c r="O43" s="192">
        <f>N43/N40-1</f>
        <v>-9.148996629945505E-3</v>
      </c>
      <c r="P43" s="129" t="s">
        <v>835</v>
      </c>
      <c r="Q43" s="116">
        <v>16325814</v>
      </c>
      <c r="R43" s="116">
        <v>23672445264</v>
      </c>
      <c r="S43" s="116">
        <v>203901.26</v>
      </c>
      <c r="T43" s="130">
        <f t="shared" ref="T43" si="69">Q43/S43</f>
        <v>80.067254120940689</v>
      </c>
      <c r="U43" s="85">
        <f>Q41+Q42+Q43</f>
        <v>41247546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695360.13636363635</v>
      </c>
      <c r="G44" s="190">
        <f t="shared" ref="G44" si="70">F44/F43-1</f>
        <v>-0.14814644297229362</v>
      </c>
      <c r="H44" s="190">
        <f t="shared" ref="H44" si="71">F44/F32-1</f>
        <v>-2.117760600502927E-2</v>
      </c>
      <c r="I44" s="130">
        <f t="shared" si="0"/>
        <v>79.149710117513436</v>
      </c>
      <c r="J44" s="130">
        <f t="shared" si="5"/>
        <v>9.3748275672130177E-2</v>
      </c>
      <c r="K44" s="136"/>
      <c r="L44" s="190"/>
      <c r="M44" s="190"/>
      <c r="N44" s="191"/>
      <c r="O44" s="192"/>
      <c r="P44" s="129" t="s">
        <v>843</v>
      </c>
      <c r="Q44" s="116">
        <v>15297923</v>
      </c>
      <c r="R44" s="116">
        <v>22143062785</v>
      </c>
      <c r="S44" s="116">
        <v>193278.32</v>
      </c>
      <c r="T44" s="130">
        <f t="shared" ref="T44" si="72">Q44/S44</f>
        <v>79.149710117513436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707633.5</v>
      </c>
      <c r="G45" s="190">
        <f t="shared" ref="G45" si="73">F45/F44-1</f>
        <v>1.7650369922766584E-2</v>
      </c>
      <c r="H45" s="190">
        <f t="shared" ref="H45" si="74">F45/F33-1</f>
        <v>0.22196776044526745</v>
      </c>
      <c r="I45" s="130">
        <f t="shared" si="0"/>
        <v>80.480519654809967</v>
      </c>
      <c r="J45" s="130">
        <f t="shared" si="5"/>
        <v>2.3794096166106504E-2</v>
      </c>
      <c r="K45" s="136"/>
      <c r="L45" s="190"/>
      <c r="M45" s="190"/>
      <c r="N45" s="191"/>
      <c r="O45" s="192"/>
      <c r="P45" s="129" t="s">
        <v>865</v>
      </c>
      <c r="Q45" s="116">
        <v>14152670</v>
      </c>
      <c r="R45" s="116">
        <v>19911728343</v>
      </c>
      <c r="S45" s="116">
        <v>175852.12</v>
      </c>
      <c r="T45" s="130">
        <f t="shared" ref="T45" si="75">Q45/S45</f>
        <v>80.480519654809967</v>
      </c>
      <c r="U45" s="85"/>
    </row>
    <row r="46" spans="1:21" s="79" customFormat="1" ht="13.2">
      <c r="A46" s="129" t="s">
        <v>888</v>
      </c>
      <c r="B46" s="188">
        <f>SUM(F44:F46)</f>
        <v>2232562.6889952151</v>
      </c>
      <c r="C46" s="188">
        <f>AVERAGE(F44:F46)</f>
        <v>744187.56299840508</v>
      </c>
      <c r="D46" s="190">
        <f>C46/C43-1</f>
        <v>4.8947477048034038E-2</v>
      </c>
      <c r="E46" s="287">
        <f>C46/C34-1</f>
        <v>4.8293464351290005E-4</v>
      </c>
      <c r="F46" s="136">
        <f>Q46/19</f>
        <v>829569.05263157899</v>
      </c>
      <c r="G46" s="190">
        <f t="shared" ref="G46" si="76">F46/F45-1</f>
        <v>0.17231455637922588</v>
      </c>
      <c r="H46" s="190">
        <f t="shared" ref="H46" si="77">F46/F34-1</f>
        <v>-0.11934109702845863</v>
      </c>
      <c r="I46" s="130">
        <f t="shared" si="0"/>
        <v>79.590222111984701</v>
      </c>
      <c r="J46" s="130">
        <f t="shared" si="5"/>
        <v>-1.7064404075112893E-2</v>
      </c>
      <c r="K46" s="136">
        <f>R44+R45+R46</f>
        <v>63656000270</v>
      </c>
      <c r="L46" s="190">
        <f>U46/U43-1</f>
        <v>9.6123512414532541E-2</v>
      </c>
      <c r="M46" s="190">
        <f>K46/K34-1</f>
        <v>3.4884893127898886E-2</v>
      </c>
      <c r="N46" s="191">
        <f>AVERAGE(T44:T46)</f>
        <v>79.740150628102697</v>
      </c>
      <c r="O46" s="192">
        <f>N46/N43-1</f>
        <v>2.3074551300788837E-2</v>
      </c>
      <c r="P46" s="129" t="s">
        <v>888</v>
      </c>
      <c r="Q46" s="116">
        <v>15761812</v>
      </c>
      <c r="R46" s="116">
        <v>21601209142</v>
      </c>
      <c r="S46" s="116">
        <v>198037.04</v>
      </c>
      <c r="T46" s="130">
        <f t="shared" ref="T46" si="78">Q46/S46</f>
        <v>79.590222111984701</v>
      </c>
      <c r="U46" s="85">
        <f t="shared" ref="U46:U51" si="79">Q44+Q45+Q46</f>
        <v>45212405</v>
      </c>
    </row>
    <row r="47" spans="1:21" s="79" customFormat="1" ht="13.2">
      <c r="A47" s="129" t="s">
        <v>1007</v>
      </c>
      <c r="B47" s="188"/>
      <c r="C47" s="188"/>
      <c r="D47" s="190"/>
      <c r="E47" s="287"/>
      <c r="F47" s="136">
        <f>Q47/23</f>
        <v>660718.52173913049</v>
      </c>
      <c r="G47" s="190">
        <f t="shared" ref="G47" si="80">F47/F46-1</f>
        <v>-0.20354005535382103</v>
      </c>
      <c r="H47" s="190">
        <f t="shared" ref="H47" si="81">F47/F35-1</f>
        <v>0.10684928513602254</v>
      </c>
      <c r="I47" s="130">
        <f t="shared" si="0"/>
        <v>81.137043229501344</v>
      </c>
      <c r="J47" s="130">
        <f t="shared" si="5"/>
        <v>5.5046581206938061E-2</v>
      </c>
      <c r="K47" s="136"/>
      <c r="L47" s="190"/>
      <c r="M47" s="190"/>
      <c r="N47" s="191"/>
      <c r="O47" s="192"/>
      <c r="P47" s="129" t="s">
        <v>1041</v>
      </c>
      <c r="Q47" s="116">
        <v>15196526</v>
      </c>
      <c r="R47" s="116">
        <v>20854261547</v>
      </c>
      <c r="S47" s="116">
        <v>187294.55</v>
      </c>
      <c r="T47" s="130">
        <f t="shared" ref="T47" si="82">Q47/S47</f>
        <v>81.137043229501344</v>
      </c>
      <c r="U47" s="85">
        <f t="shared" si="79"/>
        <v>45111008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669947.85</v>
      </c>
      <c r="G48" s="190">
        <f t="shared" ref="G48" si="83">F48/F47-1</f>
        <v>1.3968623486710019E-2</v>
      </c>
      <c r="H48" s="190">
        <f t="shared" ref="H48" si="84">F48/F36-1</f>
        <v>-7.8201533410227841E-2</v>
      </c>
      <c r="I48" s="130">
        <f t="shared" si="0"/>
        <v>79.842772576139282</v>
      </c>
      <c r="J48" s="130">
        <f t="shared" si="5"/>
        <v>0.13798570626163942</v>
      </c>
      <c r="K48" s="136"/>
      <c r="L48" s="190"/>
      <c r="M48" s="190"/>
      <c r="N48" s="191"/>
      <c r="O48" s="192"/>
      <c r="P48" s="129" t="s">
        <v>1070</v>
      </c>
      <c r="Q48" s="116">
        <v>13398957</v>
      </c>
      <c r="R48" s="116">
        <v>18595305525</v>
      </c>
      <c r="S48" s="116">
        <v>167816.78</v>
      </c>
      <c r="T48" s="130">
        <f t="shared" ref="T48" si="85">Q48/S48</f>
        <v>79.842772576139282</v>
      </c>
      <c r="U48" s="85">
        <f t="shared" si="79"/>
        <v>44357295</v>
      </c>
    </row>
    <row r="49" spans="1:26" ht="13.2">
      <c r="A49" s="129" t="s">
        <v>1158</v>
      </c>
      <c r="B49" s="188">
        <f>SUM(F47:F49)</f>
        <v>2121027.0081027667</v>
      </c>
      <c r="C49" s="188">
        <f>AVERAGE(F47:F49)</f>
        <v>707009.0027009222</v>
      </c>
      <c r="D49" s="190">
        <f>C49/C46-1</f>
        <v>-4.9958588595174547E-2</v>
      </c>
      <c r="E49" s="287">
        <f>C49/C37-1</f>
        <v>-2.7625546756347319E-2</v>
      </c>
      <c r="F49" s="136">
        <f>Q49/22</f>
        <v>790360.63636363635</v>
      </c>
      <c r="G49" s="190">
        <f t="shared" ref="G49" si="86">F49/F48-1</f>
        <v>0.17973456644966679</v>
      </c>
      <c r="H49" s="190">
        <f t="shared" ref="H49" si="87">F49/F37-1</f>
        <v>-7.836810747197287E-2</v>
      </c>
      <c r="I49" s="130">
        <f t="shared" si="0"/>
        <v>78.36923760477498</v>
      </c>
      <c r="J49" s="130">
        <f t="shared" si="5"/>
        <v>-1.8514945364211277E-2</v>
      </c>
      <c r="K49" s="136">
        <f>R47+R48+R49</f>
        <v>63613934908</v>
      </c>
      <c r="L49" s="190">
        <f>U49/U46-1</f>
        <v>1.7053107438102399E-2</v>
      </c>
      <c r="M49" s="190">
        <f>K49/K37-1</f>
        <v>5.4149345325401388E-2</v>
      </c>
      <c r="N49" s="191">
        <f>AVERAGE(T47:T49)</f>
        <v>79.783017803471864</v>
      </c>
      <c r="O49" s="192">
        <f>N49/N46-1</f>
        <v>5.3758583388052728E-4</v>
      </c>
      <c r="P49" s="129" t="s">
        <v>1158</v>
      </c>
      <c r="Q49" s="116">
        <v>17387934</v>
      </c>
      <c r="R49" s="116">
        <v>24164367836</v>
      </c>
      <c r="S49" s="116">
        <v>221871.93</v>
      </c>
      <c r="T49" s="130">
        <f t="shared" ref="T49" si="88">Q49/S49</f>
        <v>78.36923760477498</v>
      </c>
      <c r="U49" s="85">
        <f t="shared" si="79"/>
        <v>45983417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593894.33333333337</v>
      </c>
      <c r="G50" s="190">
        <f t="shared" ref="G50" si="89">F50/F49-1</f>
        <v>-0.2485780465158578</v>
      </c>
      <c r="H50" s="190">
        <f t="shared" ref="H50" si="90">F50/F38-1</f>
        <v>-0.24164021884572895</v>
      </c>
      <c r="I50" s="130">
        <f t="shared" ref="I50" si="91">T50</f>
        <v>84.597098733880301</v>
      </c>
      <c r="J50" s="130">
        <f t="shared" ref="J50" si="92">I50/I38-1</f>
        <v>6.4349677556220897E-2</v>
      </c>
      <c r="K50" s="136"/>
      <c r="L50" s="190"/>
      <c r="M50" s="190"/>
      <c r="N50" s="191"/>
      <c r="O50" s="192"/>
      <c r="P50" s="129" t="s">
        <v>1293</v>
      </c>
      <c r="Q50" s="116">
        <v>10690098</v>
      </c>
      <c r="R50" s="116">
        <v>15118069872</v>
      </c>
      <c r="S50" s="116">
        <v>126364.83</v>
      </c>
      <c r="T50" s="130">
        <f t="shared" ref="T50" si="93">Q50/S50</f>
        <v>84.597098733880301</v>
      </c>
      <c r="U50" s="85">
        <f t="shared" si="79"/>
        <v>41476989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793683.55</v>
      </c>
      <c r="G51" s="190">
        <f t="shared" ref="G51:G52" si="94">F51/F50-1</f>
        <v>0.33640532575098936</v>
      </c>
      <c r="H51" s="190">
        <f t="shared" ref="H51:H52" si="95">F51/F39-1</f>
        <v>0.14492807377831829</v>
      </c>
      <c r="I51" s="130">
        <f t="shared" ref="I51:I52" si="96">T51</f>
        <v>84.716720659529656</v>
      </c>
      <c r="J51" s="130">
        <f t="shared" ref="J51:J52" si="97">I51/I39-1</f>
        <v>0.11699021876566795</v>
      </c>
      <c r="K51" s="136"/>
      <c r="L51" s="190"/>
      <c r="M51" s="190"/>
      <c r="N51" s="191"/>
      <c r="O51" s="192"/>
      <c r="P51" s="129" t="s">
        <v>1402</v>
      </c>
      <c r="Q51" s="116">
        <v>15873671</v>
      </c>
      <c r="R51" s="116">
        <v>22990159554</v>
      </c>
      <c r="S51" s="116">
        <v>187373.53</v>
      </c>
      <c r="T51" s="130">
        <f t="shared" ref="T51:T52" si="98">Q51/S51</f>
        <v>84.716720659529656</v>
      </c>
      <c r="U51" s="85">
        <f t="shared" si="79"/>
        <v>43951703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2276156.9742424241</v>
      </c>
      <c r="C52" s="188">
        <f>AVERAGE(F50:F52)</f>
        <v>758718.99141414138</v>
      </c>
      <c r="D52" s="190">
        <f>C52/C49-1</f>
        <v>7.3139080995682004E-2</v>
      </c>
      <c r="E52" s="287">
        <f>C52/C40-1</f>
        <v>-2.2856851077681095E-2</v>
      </c>
      <c r="F52" s="136">
        <f>Q52/22</f>
        <v>888579.09090909094</v>
      </c>
      <c r="G52" s="190">
        <f t="shared" si="94"/>
        <v>0.11956344680331465</v>
      </c>
      <c r="H52" s="190">
        <f t="shared" si="95"/>
        <v>4.1646167966447267E-2</v>
      </c>
      <c r="I52" s="130">
        <f t="shared" si="96"/>
        <v>78.522940901392204</v>
      </c>
      <c r="J52" s="130">
        <f t="shared" si="97"/>
        <v>-2.6469153530996548E-2</v>
      </c>
      <c r="K52" s="136">
        <f>R50+R51+R52</f>
        <v>66863803845</v>
      </c>
      <c r="L52" s="190">
        <f>U52/U49-1</f>
        <v>2.8073598793234567E-3</v>
      </c>
      <c r="M52" s="190">
        <f>K52/K40-1</f>
        <v>1.4362338389506402E-3</v>
      </c>
      <c r="N52" s="191">
        <f>AVERAGE(T50:T52)</f>
        <v>82.61225343160072</v>
      </c>
      <c r="O52" s="192">
        <f>N52/N49-1</f>
        <v>3.5461627123432038E-2</v>
      </c>
      <c r="P52" s="129" t="s">
        <v>1403</v>
      </c>
      <c r="Q52" s="116">
        <v>19548740</v>
      </c>
      <c r="R52" s="116">
        <v>28755574419</v>
      </c>
      <c r="S52" s="116">
        <v>248955.78</v>
      </c>
      <c r="T52" s="130">
        <f t="shared" si="98"/>
        <v>78.522940901392204</v>
      </c>
      <c r="U52" s="85">
        <f t="shared" ref="U52" si="99">Q50+Q51+Q52</f>
        <v>46112509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637634.47619047621</v>
      </c>
      <c r="G53" s="190">
        <f t="shared" ref="G53" si="100">F53/F52-1</f>
        <v>-0.28241111825158671</v>
      </c>
      <c r="H53" s="190">
        <f t="shared" ref="H53" si="101">F53/F41-1</f>
        <v>-3.3980506645605923E-2</v>
      </c>
      <c r="I53" s="130">
        <f t="shared" ref="I53" si="102">T53</f>
        <v>81.138701709173574</v>
      </c>
      <c r="J53" s="130">
        <f t="shared" ref="J53" si="103">I53/I41-1</f>
        <v>0.11085516439991072</v>
      </c>
      <c r="K53" s="136"/>
      <c r="L53" s="190"/>
      <c r="M53" s="190"/>
      <c r="N53" s="191"/>
      <c r="O53" s="192"/>
      <c r="P53" s="129" t="s">
        <v>1414</v>
      </c>
      <c r="Q53" s="116">
        <v>13390324</v>
      </c>
      <c r="R53" s="116">
        <v>19486375798</v>
      </c>
      <c r="S53" s="116">
        <v>165030.04999999999</v>
      </c>
      <c r="T53" s="130">
        <f t="shared" ref="T53" si="104">Q53/S53</f>
        <v>81.138701709173574</v>
      </c>
      <c r="U53" s="85">
        <f t="shared" ref="U53" si="105">Q51+Q52+Q53</f>
        <v>48812735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662245.17647058819</v>
      </c>
      <c r="G54" s="190">
        <f t="shared" ref="G54" si="106">F54/F53-1</f>
        <v>3.8596878304240523E-2</v>
      </c>
      <c r="H54" s="190">
        <f t="shared" ref="H54" si="107">F54/F42-1</f>
        <v>1.5667973873851437E-2</v>
      </c>
      <c r="I54" s="130">
        <f t="shared" ref="I54" si="108">T54</f>
        <v>85.613028195147933</v>
      </c>
      <c r="J54" s="130">
        <f t="shared" ref="J54" si="109">I54/I42-1</f>
        <v>6.0668110033874623E-2</v>
      </c>
      <c r="K54" s="136"/>
      <c r="L54" s="190"/>
      <c r="M54" s="190"/>
      <c r="N54" s="191"/>
      <c r="O54" s="192"/>
      <c r="P54" s="129" t="s">
        <v>1417</v>
      </c>
      <c r="Q54" s="116">
        <v>11258168</v>
      </c>
      <c r="R54" s="116">
        <v>16326929038</v>
      </c>
      <c r="S54" s="116">
        <v>131500.64000000001</v>
      </c>
      <c r="T54" s="130">
        <f t="shared" ref="T54" si="110">Q54/S54</f>
        <v>85.613028195147933</v>
      </c>
      <c r="U54" s="85">
        <f t="shared" ref="U54" si="111">Q52+Q53+Q54</f>
        <v>44197232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2005255.2717086836</v>
      </c>
      <c r="C55" s="188">
        <f>AVERAGE(F53:F55)</f>
        <v>668418.42390289449</v>
      </c>
      <c r="D55" s="190">
        <f>C55/C52-1</f>
        <v>-0.11901714407193076</v>
      </c>
      <c r="E55" s="287">
        <f>C55/C43-1</f>
        <v>-5.7850662620026694E-2</v>
      </c>
      <c r="F55" s="136">
        <f>Q55/21</f>
        <v>705375.61904761905</v>
      </c>
      <c r="G55" s="190">
        <f t="shared" ref="G55" si="112">F55/F54-1</f>
        <v>6.5127605469160299E-2</v>
      </c>
      <c r="H55" s="190">
        <f t="shared" ref="H55" si="113">F55/F43-1</f>
        <v>-0.1358769381451741</v>
      </c>
      <c r="I55" s="130">
        <f>T55</f>
        <v>77.695663371145542</v>
      </c>
      <c r="J55" s="130">
        <f t="shared" ref="J55" si="114">I55/I43-1</f>
        <v>-2.961998354799189E-2</v>
      </c>
      <c r="K55" s="136">
        <f>R53+R54+R55</f>
        <v>57655380449</v>
      </c>
      <c r="L55" s="190">
        <f>U55/U52-1</f>
        <v>-0.14423697916762668</v>
      </c>
      <c r="M55" s="190">
        <f>K55/K43-1</f>
        <v>-3.7748632152041828E-2</v>
      </c>
      <c r="N55" s="191">
        <f>AVERAGE(T53:T55)</f>
        <v>81.482464425155683</v>
      </c>
      <c r="O55" s="192">
        <f>N55/N52-1</f>
        <v>-1.3675804248342582E-2</v>
      </c>
      <c r="P55" s="129" t="s">
        <v>1418</v>
      </c>
      <c r="Q55" s="116">
        <v>14812888</v>
      </c>
      <c r="R55" s="116">
        <v>21842075613</v>
      </c>
      <c r="S55" s="116">
        <v>190652.7</v>
      </c>
      <c r="T55" s="130">
        <f t="shared" ref="T55" si="115">Q55/S55</f>
        <v>77.695663371145542</v>
      </c>
      <c r="U55" s="85">
        <f t="shared" ref="U55" si="116">Q53+Q54+Q55</f>
        <v>39461380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728367.18181818177</v>
      </c>
      <c r="G56" s="190">
        <f t="shared" ref="G56" si="117">F56/F55-1</f>
        <v>3.2594779504294902E-2</v>
      </c>
      <c r="H56" s="190">
        <f t="shared" ref="H56" si="118">F56/F44-1</f>
        <v>4.7467554909251364E-2</v>
      </c>
      <c r="I56" s="291">
        <f>T56</f>
        <v>75.452214316771375</v>
      </c>
      <c r="J56" s="130">
        <f t="shared" ref="J56" si="119">I56/I44-1</f>
        <v>-4.6715215952811362E-2</v>
      </c>
      <c r="K56" s="136"/>
      <c r="L56" s="190"/>
      <c r="M56" s="190"/>
      <c r="N56" s="191"/>
      <c r="O56" s="192"/>
      <c r="P56" s="129" t="s">
        <v>1420</v>
      </c>
      <c r="Q56" s="116">
        <v>16024078</v>
      </c>
      <c r="R56" s="116">
        <v>23903618024</v>
      </c>
      <c r="S56" s="116">
        <v>212373.86</v>
      </c>
      <c r="T56" s="130">
        <f t="shared" ref="T56" si="120">Q56/S56</f>
        <v>75.452214316771375</v>
      </c>
      <c r="U56" s="85">
        <f t="shared" ref="U56" si="121">Q54+Q55+Q56</f>
        <v>42095134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664535.33333333337</v>
      </c>
      <c r="G57" s="254">
        <f t="shared" ref="G57" si="122">F57/F56-1</f>
        <v>-8.7636909073125158E-2</v>
      </c>
      <c r="H57" s="254">
        <f t="shared" ref="H57" si="123">F57/F45-1</f>
        <v>-6.0904644376879591E-2</v>
      </c>
      <c r="I57" s="282">
        <f>T57</f>
        <v>75.788201961112662</v>
      </c>
      <c r="J57" s="277">
        <f t="shared" ref="J57" si="124">I57/I45-1</f>
        <v>-5.830376982931007E-2</v>
      </c>
      <c r="K57" s="204"/>
      <c r="L57" s="254"/>
      <c r="M57" s="254"/>
      <c r="N57" s="257"/>
      <c r="O57" s="258"/>
      <c r="P57" s="129" t="s">
        <v>1436</v>
      </c>
      <c r="Q57" s="116">
        <v>7974424</v>
      </c>
      <c r="R57" s="116">
        <v>11760859365</v>
      </c>
      <c r="S57" s="116">
        <v>105219.86</v>
      </c>
      <c r="T57" s="130">
        <f t="shared" ref="T57" si="125">Q57/S57</f>
        <v>75.788201961112662</v>
      </c>
      <c r="U57" s="85">
        <f t="shared" ref="U57" si="126">Q55+Q56+Q57</f>
        <v>38811390</v>
      </c>
      <c r="V57" s="79"/>
      <c r="W57" s="79"/>
      <c r="X57" s="79"/>
      <c r="Y57" s="79"/>
      <c r="Z57" s="79"/>
    </row>
    <row r="58" spans="1:26">
      <c r="B58" s="196">
        <f>SUM(F56:F58)</f>
        <v>1392902.5151515151</v>
      </c>
      <c r="C58" s="196">
        <f>AVERAGE(F56:F58)</f>
        <v>696451.25757575757</v>
      </c>
      <c r="D58" s="197">
        <f>C58/C55-1</f>
        <v>4.1939049957928187E-2</v>
      </c>
      <c r="E58" s="233">
        <f>C58/C46-1</f>
        <v>-6.4145529697262393E-2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63459882</v>
      </c>
      <c r="R66" s="212">
        <v>93319857838</v>
      </c>
      <c r="S66" s="213">
        <v>804777.12</v>
      </c>
      <c r="T66" s="214">
        <v>41</v>
      </c>
      <c r="U66" s="214">
        <v>550</v>
      </c>
    </row>
    <row r="67" spans="16:21" ht="18" thickBot="1">
      <c r="P67" s="180" t="s">
        <v>976</v>
      </c>
      <c r="Q67" s="181">
        <v>13390324</v>
      </c>
      <c r="R67" s="181">
        <v>19486375798</v>
      </c>
      <c r="S67" s="182">
        <v>165030.04999999999</v>
      </c>
      <c r="T67" s="210">
        <v>31</v>
      </c>
      <c r="U67" s="210">
        <v>212</v>
      </c>
    </row>
    <row r="68" spans="16:21" ht="18" thickBot="1">
      <c r="P68" s="180" t="s">
        <v>977</v>
      </c>
      <c r="Q68" s="181">
        <v>11258168</v>
      </c>
      <c r="R68" s="181">
        <v>16326929038</v>
      </c>
      <c r="S68" s="182">
        <v>131500.64000000001</v>
      </c>
      <c r="T68" s="210">
        <v>26</v>
      </c>
      <c r="U68" s="210">
        <v>170</v>
      </c>
    </row>
    <row r="69" spans="16:21" ht="18" thickBot="1">
      <c r="P69" s="180" t="s">
        <v>978</v>
      </c>
      <c r="Q69" s="181">
        <v>14812888</v>
      </c>
      <c r="R69" s="181">
        <v>21842075613</v>
      </c>
      <c r="S69" s="182">
        <v>190652.7</v>
      </c>
      <c r="T69" s="210">
        <v>26</v>
      </c>
      <c r="U69" s="210">
        <v>235</v>
      </c>
    </row>
    <row r="70" spans="16:21" ht="18" thickBot="1">
      <c r="P70" s="180" t="s">
        <v>979</v>
      </c>
      <c r="Q70" s="181">
        <v>16024078</v>
      </c>
      <c r="R70" s="181">
        <v>23903618024</v>
      </c>
      <c r="S70" s="182">
        <v>212373.86</v>
      </c>
      <c r="T70" s="210">
        <v>32</v>
      </c>
      <c r="U70" s="210">
        <v>228</v>
      </c>
    </row>
    <row r="71" spans="16:21" ht="18" thickBot="1">
      <c r="P71" s="180" t="s">
        <v>980</v>
      </c>
      <c r="Q71" s="181">
        <v>7974424</v>
      </c>
      <c r="R71" s="181">
        <v>11760859365</v>
      </c>
      <c r="S71" s="182">
        <v>105219.86</v>
      </c>
      <c r="T71" s="210">
        <v>22</v>
      </c>
      <c r="U71" s="210">
        <v>136</v>
      </c>
    </row>
    <row r="72" spans="16:21" ht="18" thickBot="1">
      <c r="P72" s="180" t="s">
        <v>975</v>
      </c>
      <c r="Q72" s="181">
        <v>178391301</v>
      </c>
      <c r="R72" s="181">
        <v>253821780456</v>
      </c>
      <c r="S72" s="182">
        <v>2238753.27</v>
      </c>
      <c r="T72" s="210">
        <v>55</v>
      </c>
      <c r="U72" s="210">
        <v>956</v>
      </c>
    </row>
    <row r="73" spans="16:21" ht="18" thickBot="1">
      <c r="P73" s="215" t="s">
        <v>982</v>
      </c>
      <c r="Q73" s="217">
        <v>18</v>
      </c>
      <c r="R73"/>
      <c r="S73"/>
      <c r="T73"/>
      <c r="U73"/>
    </row>
  </sheetData>
  <phoneticPr fontId="1" type="noConversion"/>
  <conditionalFormatting sqref="C29:C30">
    <cfRule type="cellIs" dxfId="9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292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450092.15</v>
      </c>
      <c r="G5" s="90"/>
      <c r="H5" s="90"/>
      <c r="I5" s="130">
        <f t="shared" ref="I5:I49" si="0">T5</f>
        <v>175.59089845121522</v>
      </c>
      <c r="J5" s="130"/>
      <c r="L5" s="80"/>
      <c r="M5" s="80"/>
      <c r="P5" s="129" t="s">
        <v>0</v>
      </c>
      <c r="Q5" s="116">
        <f>봉합재!Q5+'충전재 치과용'!Q5</f>
        <v>9001843</v>
      </c>
      <c r="R5" s="116">
        <f>봉합재!R5+'충전재 치과용'!R5</f>
        <v>0</v>
      </c>
      <c r="S5" s="116">
        <f>봉합재!S5+'충전재 치과용'!S5</f>
        <v>51266</v>
      </c>
      <c r="T5" s="130">
        <f t="shared" ref="T5:T11" si="1">Q5/S5</f>
        <v>175.59089845121522</v>
      </c>
      <c r="U5" s="85"/>
    </row>
    <row r="6" spans="1:21" ht="15" hidden="1" customHeight="1">
      <c r="A6" s="129" t="s">
        <v>1</v>
      </c>
      <c r="C6" s="79"/>
      <c r="F6" s="78">
        <f>Q6/18</f>
        <v>409409.27777777775</v>
      </c>
      <c r="G6" s="90">
        <f t="shared" ref="G6:G32" si="2">F6/F5-1</f>
        <v>-9.0387873288219511E-2</v>
      </c>
      <c r="H6" s="90"/>
      <c r="I6" s="130">
        <f t="shared" si="0"/>
        <v>179.01238376555864</v>
      </c>
      <c r="J6" s="130"/>
      <c r="P6" s="129" t="s">
        <v>1</v>
      </c>
      <c r="Q6" s="116">
        <f>봉합재!Q6+'충전재 치과용'!Q6</f>
        <v>7369367</v>
      </c>
      <c r="R6" s="116">
        <f>봉합재!R6+'충전재 치과용'!R6</f>
        <v>0</v>
      </c>
      <c r="S6" s="116">
        <f>봉합재!S6+'충전재 치과용'!S6</f>
        <v>41166.800000000003</v>
      </c>
      <c r="T6" s="130">
        <f t="shared" si="1"/>
        <v>179.01238376555864</v>
      </c>
      <c r="U6" s="85"/>
    </row>
    <row r="7" spans="1:21" ht="15" hidden="1" customHeight="1">
      <c r="A7" s="129" t="s">
        <v>2</v>
      </c>
      <c r="B7" s="131">
        <f>F5+F6+F7</f>
        <v>1349269.1095959595</v>
      </c>
      <c r="C7" s="131">
        <f>AVERAGE(F5:F7)</f>
        <v>449756.36986531987</v>
      </c>
      <c r="F7" s="78">
        <f>Q7/22</f>
        <v>489767.68181818182</v>
      </c>
      <c r="G7" s="90">
        <f t="shared" si="2"/>
        <v>0.19627890329349507</v>
      </c>
      <c r="H7" s="90"/>
      <c r="I7" s="130">
        <f t="shared" si="0"/>
        <v>170.6409228229478</v>
      </c>
      <c r="J7" s="130"/>
      <c r="K7" s="79">
        <f>R5+R6+R7</f>
        <v>0</v>
      </c>
      <c r="N7" s="88">
        <f>AVERAGE(T5:T7)</f>
        <v>175.08140167990723</v>
      </c>
      <c r="P7" s="129" t="s">
        <v>2</v>
      </c>
      <c r="Q7" s="116">
        <f>봉합재!Q7+'충전재 치과용'!Q7</f>
        <v>10774889</v>
      </c>
      <c r="R7" s="116">
        <f>봉합재!R7+'충전재 치과용'!R7</f>
        <v>0</v>
      </c>
      <c r="S7" s="116">
        <f>봉합재!S7+'충전재 치과용'!S7</f>
        <v>63143.64</v>
      </c>
      <c r="T7" s="130">
        <f t="shared" si="1"/>
        <v>170.6409228229478</v>
      </c>
      <c r="U7" s="85">
        <f>Q5+Q6+Q7</f>
        <v>27146099</v>
      </c>
    </row>
    <row r="8" spans="1:21" ht="15" hidden="1" customHeight="1">
      <c r="A8" s="129" t="s">
        <v>3</v>
      </c>
      <c r="C8" s="79"/>
      <c r="F8" s="78">
        <f>Q8/21</f>
        <v>557939.71428571432</v>
      </c>
      <c r="G8" s="90">
        <f t="shared" si="2"/>
        <v>0.1391925906880076</v>
      </c>
      <c r="H8" s="90"/>
      <c r="I8" s="130">
        <f t="shared" si="0"/>
        <v>190.8698385413349</v>
      </c>
      <c r="J8" s="130"/>
      <c r="K8" s="78"/>
      <c r="P8" s="129" t="s">
        <v>3</v>
      </c>
      <c r="Q8" s="116">
        <f>봉합재!Q8+'충전재 치과용'!Q8</f>
        <v>11716734</v>
      </c>
      <c r="R8" s="116">
        <f>봉합재!R8+'충전재 치과용'!R8</f>
        <v>0</v>
      </c>
      <c r="S8" s="116">
        <f>봉합재!S8+'충전재 치과용'!S8</f>
        <v>61385.990000000005</v>
      </c>
      <c r="T8" s="130">
        <f t="shared" si="1"/>
        <v>190.8698385413349</v>
      </c>
      <c r="U8" s="85"/>
    </row>
    <row r="9" spans="1:21" ht="15" hidden="1" customHeight="1">
      <c r="A9" s="129" t="s">
        <v>4</v>
      </c>
      <c r="C9" s="79"/>
      <c r="F9" s="78">
        <f>Q9/21</f>
        <v>561787.95238095243</v>
      </c>
      <c r="G9" s="90">
        <f t="shared" si="2"/>
        <v>6.8972292108022693E-3</v>
      </c>
      <c r="H9" s="90"/>
      <c r="I9" s="130">
        <f t="shared" si="0"/>
        <v>152.72546058889716</v>
      </c>
      <c r="J9" s="130"/>
      <c r="K9" s="78"/>
      <c r="P9" s="129" t="s">
        <v>4</v>
      </c>
      <c r="Q9" s="116">
        <f>봉합재!Q9+'충전재 치과용'!Q9</f>
        <v>11797547</v>
      </c>
      <c r="R9" s="116">
        <f>봉합재!R9+'충전재 치과용'!R9</f>
        <v>0</v>
      </c>
      <c r="S9" s="116">
        <f>봉합재!S9+'충전재 치과용'!S9</f>
        <v>77246.760000000009</v>
      </c>
      <c r="T9" s="130">
        <f t="shared" si="1"/>
        <v>152.72546058889716</v>
      </c>
      <c r="U9" s="85"/>
    </row>
    <row r="10" spans="1:21" ht="15" hidden="1" customHeight="1">
      <c r="A10" s="129" t="s">
        <v>5</v>
      </c>
      <c r="B10" s="131">
        <f>F8+F9+F10</f>
        <v>1801509.8571428573</v>
      </c>
      <c r="C10" s="131">
        <f>AVERAGE(F8:F10)</f>
        <v>600503.2857142858</v>
      </c>
      <c r="D10" s="90">
        <f>C10/C7-1</f>
        <v>0.33517460996518467</v>
      </c>
      <c r="E10" s="286"/>
      <c r="F10" s="78">
        <f>Q10/21</f>
        <v>681782.19047619053</v>
      </c>
      <c r="G10" s="90">
        <f t="shared" si="2"/>
        <v>0.21359346989675054</v>
      </c>
      <c r="H10" s="90"/>
      <c r="I10" s="130">
        <f t="shared" si="0"/>
        <v>174.14034975906659</v>
      </c>
      <c r="J10" s="130"/>
      <c r="K10" s="79">
        <f>R8+R9+R10</f>
        <v>0</v>
      </c>
      <c r="L10" s="87">
        <f>U10/U7-1</f>
        <v>0.39363328042088108</v>
      </c>
      <c r="N10" s="88">
        <f>AVERAGE(T8:T10)</f>
        <v>172.57854962976623</v>
      </c>
      <c r="O10" s="89">
        <f>N10/N7-1</f>
        <v>-1.4295362192249583E-2</v>
      </c>
      <c r="P10" s="129" t="s">
        <v>5</v>
      </c>
      <c r="Q10" s="116">
        <f>봉합재!Q10+'충전재 치과용'!Q10</f>
        <v>14317426</v>
      </c>
      <c r="R10" s="116">
        <f>봉합재!R10+'충전재 치과용'!R10</f>
        <v>0</v>
      </c>
      <c r="S10" s="116">
        <f>봉합재!S10+'충전재 치과용'!S10</f>
        <v>82217.740000000005</v>
      </c>
      <c r="T10" s="130">
        <f t="shared" si="1"/>
        <v>174.14034975906659</v>
      </c>
      <c r="U10" s="85">
        <f>Q8+Q9+Q10</f>
        <v>37831707</v>
      </c>
    </row>
    <row r="11" spans="1:21" ht="15" hidden="1" customHeight="1">
      <c r="A11" s="129" t="s">
        <v>6</v>
      </c>
      <c r="C11" s="79"/>
      <c r="F11" s="78">
        <f>Q11/21</f>
        <v>649271.52380952379</v>
      </c>
      <c r="G11" s="90">
        <f t="shared" si="2"/>
        <v>-4.7684828264521917E-2</v>
      </c>
      <c r="H11" s="90"/>
      <c r="I11" s="130">
        <f t="shared" si="0"/>
        <v>186.83601537145211</v>
      </c>
      <c r="J11" s="130"/>
      <c r="K11" s="78"/>
      <c r="O11" s="89"/>
      <c r="P11" s="129" t="s">
        <v>6</v>
      </c>
      <c r="Q11" s="116">
        <f>봉합재!Q11+'충전재 치과용'!Q11</f>
        <v>13634702</v>
      </c>
      <c r="R11" s="116">
        <f>봉합재!R11+'충전재 치과용'!R11</f>
        <v>0</v>
      </c>
      <c r="S11" s="116">
        <f>봉합재!S11+'충전재 치과용'!S11</f>
        <v>72976.84</v>
      </c>
      <c r="T11" s="130">
        <f t="shared" si="1"/>
        <v>186.83601537145211</v>
      </c>
      <c r="U11" s="85"/>
    </row>
    <row r="12" spans="1:21" ht="15" hidden="1" customHeight="1">
      <c r="A12" s="129" t="s">
        <v>7</v>
      </c>
      <c r="C12" s="79"/>
      <c r="F12" s="78">
        <f>Q12/22</f>
        <v>495994.31818181818</v>
      </c>
      <c r="G12" s="90">
        <f t="shared" si="2"/>
        <v>-0.23607566327315532</v>
      </c>
      <c r="H12" s="90"/>
      <c r="I12" s="130">
        <f t="shared" si="0"/>
        <v>172.03949385880398</v>
      </c>
      <c r="J12" s="130"/>
      <c r="K12" s="78"/>
      <c r="O12" s="89"/>
      <c r="P12" s="129" t="s">
        <v>7</v>
      </c>
      <c r="Q12" s="116">
        <f>봉합재!Q12+'충전재 치과용'!Q12</f>
        <v>10911875</v>
      </c>
      <c r="R12" s="116">
        <f>봉합재!R12+'충전재 치과용'!R12</f>
        <v>0</v>
      </c>
      <c r="S12" s="116">
        <f>봉합재!S12+'충전재 치과용'!S12</f>
        <v>63426.57</v>
      </c>
      <c r="T12" s="130">
        <f>Q12/S12</f>
        <v>172.03949385880398</v>
      </c>
      <c r="U12" s="85"/>
    </row>
    <row r="13" spans="1:21" ht="15" hidden="1" customHeight="1">
      <c r="A13" s="129" t="s">
        <v>96</v>
      </c>
      <c r="B13" s="131">
        <f>F11+F12+F13</f>
        <v>1677155.0919913419</v>
      </c>
      <c r="C13" s="131">
        <f>AVERAGE(F11:F13)</f>
        <v>559051.69733044726</v>
      </c>
      <c r="D13" s="90">
        <f>C13/C10-1</f>
        <v>-6.9028079229462969E-2</v>
      </c>
      <c r="E13" s="286"/>
      <c r="F13" s="78">
        <f>Q13/20</f>
        <v>531889.25</v>
      </c>
      <c r="G13" s="90">
        <f t="shared" si="2"/>
        <v>7.2369643163984199E-2</v>
      </c>
      <c r="H13" s="90"/>
      <c r="I13" s="130">
        <f t="shared" si="0"/>
        <v>161.08144801792977</v>
      </c>
      <c r="J13" s="130"/>
      <c r="K13" s="78">
        <f>R11+R12+R13</f>
        <v>0</v>
      </c>
      <c r="L13" s="87">
        <f>U13/U10-1</f>
        <v>-6.9976884733221278E-2</v>
      </c>
      <c r="N13" s="88">
        <f>AVERAGE(T11:T13)</f>
        <v>173.3189857493953</v>
      </c>
      <c r="O13" s="89">
        <f>N13/N10-1</f>
        <v>4.2904296114292251E-3</v>
      </c>
      <c r="P13" s="129" t="s">
        <v>96</v>
      </c>
      <c r="Q13" s="116">
        <f>봉합재!Q13+'충전재 치과용'!Q13</f>
        <v>10637785</v>
      </c>
      <c r="R13" s="116">
        <f>봉합재!R13+'충전재 치과용'!R13</f>
        <v>0</v>
      </c>
      <c r="S13" s="116">
        <f>봉합재!S13+'충전재 치과용'!S13</f>
        <v>66039.790000000008</v>
      </c>
      <c r="T13" s="130">
        <f>Q13/S13</f>
        <v>161.08144801792977</v>
      </c>
      <c r="U13" s="85">
        <f>Q11+Q12+Q13</f>
        <v>35184362</v>
      </c>
    </row>
    <row r="14" spans="1:21" ht="15" hidden="1" customHeight="1">
      <c r="A14" s="129" t="s">
        <v>97</v>
      </c>
      <c r="C14" s="79"/>
      <c r="F14" s="78">
        <f>Q14/20</f>
        <v>527682.55000000005</v>
      </c>
      <c r="G14" s="90">
        <f t="shared" si="2"/>
        <v>-7.9089772917951828E-3</v>
      </c>
      <c r="H14" s="90"/>
      <c r="I14" s="130">
        <f t="shared" si="0"/>
        <v>178.6716641308582</v>
      </c>
      <c r="J14" s="130"/>
      <c r="O14" s="89"/>
      <c r="P14" s="129" t="s">
        <v>97</v>
      </c>
      <c r="Q14" s="116">
        <f>봉합재!Q14+'충전재 치과용'!Q14</f>
        <v>10553651</v>
      </c>
      <c r="R14" s="116">
        <f>봉합재!R14+'충전재 치과용'!R14</f>
        <v>0</v>
      </c>
      <c r="S14" s="116">
        <f>봉합재!S14+'충전재 치과용'!S14</f>
        <v>59067.29</v>
      </c>
      <c r="T14" s="130">
        <f>Q14/S14</f>
        <v>178.6716641308582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606138.54545454541</v>
      </c>
      <c r="G15" s="90">
        <f t="shared" si="2"/>
        <v>0.14868029169155839</v>
      </c>
      <c r="H15" s="90"/>
      <c r="I15" s="130">
        <f t="shared" si="0"/>
        <v>141.07532760619992</v>
      </c>
      <c r="J15" s="130"/>
      <c r="O15" s="89"/>
      <c r="P15" s="129" t="s">
        <v>98</v>
      </c>
      <c r="Q15" s="116">
        <f>봉합재!Q15+'충전재 치과용'!Q15</f>
        <v>13335048</v>
      </c>
      <c r="R15" s="116">
        <f>봉합재!R15+'충전재 치과용'!R15</f>
        <v>0</v>
      </c>
      <c r="S15" s="116">
        <f>봉합재!S15+'충전재 치과용'!S15</f>
        <v>94524.31</v>
      </c>
      <c r="T15" s="130">
        <f t="shared" ref="T15:T32" si="3">Q15/S15</f>
        <v>141.07532760619992</v>
      </c>
      <c r="U15" s="85"/>
    </row>
    <row r="16" spans="1:21" ht="15" hidden="1" customHeight="1">
      <c r="A16" s="129" t="s">
        <v>99</v>
      </c>
      <c r="B16" s="131">
        <f>F14+F15+F16</f>
        <v>1648441.4136363636</v>
      </c>
      <c r="C16" s="131">
        <f>AVERAGE(F14:F16)</f>
        <v>549480.47121212119</v>
      </c>
      <c r="D16" s="90">
        <f>C16/C13-1</f>
        <v>-1.7120466969387738E-2</v>
      </c>
      <c r="E16" s="286"/>
      <c r="F16" s="78">
        <f>Q16/22</f>
        <v>514620.31818181818</v>
      </c>
      <c r="G16" s="90">
        <f t="shared" si="2"/>
        <v>-0.15098565824434973</v>
      </c>
      <c r="H16" s="90"/>
      <c r="I16" s="130">
        <f t="shared" si="0"/>
        <v>155.47360505396978</v>
      </c>
      <c r="J16" s="130"/>
      <c r="K16" s="78">
        <f>R14+R15+R16</f>
        <v>0</v>
      </c>
      <c r="L16" s="87">
        <f>U16/U13-1</f>
        <v>7.38509909601337E-4</v>
      </c>
      <c r="N16" s="88">
        <f>AVERAGE(T14:T16)</f>
        <v>158.4068655970093</v>
      </c>
      <c r="O16" s="89">
        <f>N16/N13-1</f>
        <v>-8.6038584220355818E-2</v>
      </c>
      <c r="P16" s="129" t="s">
        <v>99</v>
      </c>
      <c r="Q16" s="116">
        <f>봉합재!Q16+'충전재 치과용'!Q16</f>
        <v>11321647</v>
      </c>
      <c r="R16" s="116">
        <f>봉합재!R16+'충전재 치과용'!R16</f>
        <v>0</v>
      </c>
      <c r="S16" s="116">
        <f>봉합재!S16+'충전재 치과용'!S16</f>
        <v>72820.38</v>
      </c>
      <c r="T16" s="130">
        <f t="shared" si="3"/>
        <v>155.47360505396978</v>
      </c>
      <c r="U16" s="85">
        <f>Q14+Q15+Q16</f>
        <v>35210346</v>
      </c>
    </row>
    <row r="17" spans="1:21" ht="15" hidden="1" customHeight="1">
      <c r="A17" s="129" t="s">
        <v>100</v>
      </c>
      <c r="C17" s="79"/>
      <c r="F17" s="78">
        <f>Q17/20</f>
        <v>555293.19999999995</v>
      </c>
      <c r="G17" s="90">
        <f t="shared" si="2"/>
        <v>7.9034737613705719E-2</v>
      </c>
      <c r="H17" s="90">
        <f t="shared" ref="H17:H32" si="4">F17/F5-1</f>
        <v>0.23373224794078262</v>
      </c>
      <c r="I17" s="130">
        <f t="shared" si="0"/>
        <v>176.93958011306046</v>
      </c>
      <c r="J17" s="130">
        <f t="shared" ref="J17:J49" si="5">I17/I5-1</f>
        <v>7.6808175921483368E-3</v>
      </c>
      <c r="O17" s="89"/>
      <c r="P17" s="129" t="s">
        <v>100</v>
      </c>
      <c r="Q17" s="116">
        <f>봉합재!Q17+'충전재 치과용'!Q17</f>
        <v>11105864</v>
      </c>
      <c r="R17" s="116">
        <f>봉합재!R17+'충전재 치과용'!R17</f>
        <v>13967692251</v>
      </c>
      <c r="S17" s="116">
        <f>봉합재!S17+'충전재 치과용'!S17</f>
        <v>62766.42</v>
      </c>
      <c r="T17" s="130">
        <f t="shared" si="3"/>
        <v>176.93958011306046</v>
      </c>
      <c r="U17" s="78"/>
    </row>
    <row r="18" spans="1:21" ht="15" hidden="1" customHeight="1">
      <c r="A18" s="129" t="s">
        <v>106</v>
      </c>
      <c r="C18" s="79"/>
      <c r="F18" s="78">
        <f>Q18/20</f>
        <v>582779.94999999995</v>
      </c>
      <c r="G18" s="90">
        <f t="shared" si="2"/>
        <v>4.9499525655995802E-2</v>
      </c>
      <c r="H18" s="90">
        <f t="shared" si="4"/>
        <v>0.42346542111418795</v>
      </c>
      <c r="I18" s="130">
        <f t="shared" si="0"/>
        <v>165.88912714210849</v>
      </c>
      <c r="J18" s="130">
        <f t="shared" si="5"/>
        <v>-7.3309211057916879E-2</v>
      </c>
      <c r="O18" s="89"/>
      <c r="P18" s="129" t="s">
        <v>106</v>
      </c>
      <c r="Q18" s="116">
        <f>봉합재!Q18+'충전재 치과용'!Q18</f>
        <v>11655599</v>
      </c>
      <c r="R18" s="116">
        <f>봉합재!R18+'충전재 치과용'!R18</f>
        <v>14575617334</v>
      </c>
      <c r="S18" s="116">
        <f>봉합재!S18+'충전재 치과용'!S18</f>
        <v>70261.38</v>
      </c>
      <c r="T18" s="130">
        <f t="shared" si="3"/>
        <v>165.88912714210849</v>
      </c>
      <c r="U18" s="78"/>
    </row>
    <row r="19" spans="1:21" hidden="1">
      <c r="A19" s="129" t="s">
        <v>114</v>
      </c>
      <c r="B19" s="131">
        <f>SUM(F17:F19)</f>
        <v>1691735.3318181816</v>
      </c>
      <c r="C19" s="131">
        <f>AVERAGE(F17:F19)</f>
        <v>563911.77727272722</v>
      </c>
      <c r="D19" s="90">
        <f>C19/C16-1</f>
        <v>2.6263546780418645E-2</v>
      </c>
      <c r="E19" s="286">
        <f>C19/C7-1</f>
        <v>0.25381609923966475</v>
      </c>
      <c r="F19" s="78">
        <f>Q19/22</f>
        <v>553662.18181818177</v>
      </c>
      <c r="G19" s="90">
        <f t="shared" si="2"/>
        <v>-4.9963572325743555E-2</v>
      </c>
      <c r="H19" s="90">
        <f t="shared" si="4"/>
        <v>0.13045879173326047</v>
      </c>
      <c r="I19" s="130">
        <f t="shared" si="0"/>
        <v>85.337632617464791</v>
      </c>
      <c r="J19" s="130">
        <f t="shared" si="5"/>
        <v>-0.49989937228592751</v>
      </c>
      <c r="K19" s="78">
        <f>R17+R18+R19</f>
        <v>44473550513</v>
      </c>
      <c r="L19" s="87">
        <f>U19/U16-1</f>
        <v>-7.6203454518737335E-3</v>
      </c>
      <c r="M19" s="87">
        <f>U19/U7-1</f>
        <v>0.28718424698885836</v>
      </c>
      <c r="N19" s="88">
        <f>AVERAGE(T17:T19)</f>
        <v>142.72211329087793</v>
      </c>
      <c r="O19" s="89">
        <f>N19/N16-1</f>
        <v>-9.9015609247857572E-2</v>
      </c>
      <c r="P19" s="129" t="s">
        <v>114</v>
      </c>
      <c r="Q19" s="116">
        <f>봉합재!Q19+'충전재 치과용'!Q19</f>
        <v>12180568</v>
      </c>
      <c r="R19" s="116">
        <f>봉합재!R19+'충전재 치과용'!R19</f>
        <v>15930240928</v>
      </c>
      <c r="S19" s="116">
        <f>봉합재!S19+'충전재 치과용'!S19</f>
        <v>142733.84</v>
      </c>
      <c r="T19" s="130">
        <f t="shared" si="3"/>
        <v>85.337632617464791</v>
      </c>
      <c r="U19" s="85">
        <f>Q17+Q18+Q19</f>
        <v>34942031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674354</v>
      </c>
      <c r="G20" s="90">
        <f t="shared" si="2"/>
        <v>0.21798819234045586</v>
      </c>
      <c r="H20" s="90">
        <f t="shared" si="4"/>
        <v>0.20865029452746797</v>
      </c>
      <c r="I20" s="130">
        <f t="shared" si="0"/>
        <v>186.95866071466941</v>
      </c>
      <c r="J20" s="130">
        <f t="shared" si="5"/>
        <v>-2.0491335124268373E-2</v>
      </c>
      <c r="O20" s="89"/>
      <c r="P20" s="129" t="s">
        <v>131</v>
      </c>
      <c r="Q20" s="116">
        <f>봉합재!Q20+'충전재 치과용'!Q20</f>
        <v>13487080</v>
      </c>
      <c r="R20" s="116">
        <f>봉합재!R20+'충전재 치과용'!R20</f>
        <v>17688578403</v>
      </c>
      <c r="S20" s="116">
        <f>봉합재!S20+'충전재 치과용'!S20</f>
        <v>72139.37</v>
      </c>
      <c r="T20" s="130">
        <f t="shared" si="3"/>
        <v>186.95866071466941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581208.47619047621</v>
      </c>
      <c r="G21" s="90">
        <f t="shared" si="2"/>
        <v>-0.13812555988327169</v>
      </c>
      <c r="H21" s="90">
        <f t="shared" si="4"/>
        <v>3.4569135431289144E-2</v>
      </c>
      <c r="I21" s="130">
        <f t="shared" si="0"/>
        <v>172.10045448341288</v>
      </c>
      <c r="J21" s="130">
        <f t="shared" si="5"/>
        <v>0.12686158430825678</v>
      </c>
      <c r="O21" s="89"/>
      <c r="P21" s="129" t="s">
        <v>141</v>
      </c>
      <c r="Q21" s="116">
        <f>봉합재!Q21+'충전재 치과용'!Q21</f>
        <v>12205378</v>
      </c>
      <c r="R21" s="116">
        <f>봉합재!R21+'충전재 치과용'!R21</f>
        <v>16242647804</v>
      </c>
      <c r="S21" s="116">
        <f>봉합재!S21+'충전재 치과용'!S21</f>
        <v>70920.08</v>
      </c>
      <c r="T21" s="130">
        <f t="shared" si="3"/>
        <v>172.10045448341288</v>
      </c>
      <c r="U21" s="78"/>
    </row>
    <row r="22" spans="1:21" hidden="1">
      <c r="A22" s="129" t="s">
        <v>155</v>
      </c>
      <c r="B22" s="131">
        <f>SUM(F20:F22)</f>
        <v>2051577.5714285714</v>
      </c>
      <c r="C22" s="131">
        <f>AVERAGE(F20:F22)</f>
        <v>683859.19047619042</v>
      </c>
      <c r="D22" s="90">
        <f>C22/C19-1</f>
        <v>0.21270599061358575</v>
      </c>
      <c r="E22" s="286">
        <f>C22/C10-1</f>
        <v>0.13881007272550483</v>
      </c>
      <c r="F22" s="78">
        <f>Q22/21</f>
        <v>796015.09523809527</v>
      </c>
      <c r="G22" s="90">
        <f t="shared" si="2"/>
        <v>0.36958617750306466</v>
      </c>
      <c r="H22" s="90">
        <f t="shared" si="4"/>
        <v>0.16755043818630533</v>
      </c>
      <c r="I22" s="130">
        <f t="shared" si="0"/>
        <v>128.12275668711308</v>
      </c>
      <c r="J22" s="130">
        <f t="shared" si="5"/>
        <v>-0.26425577492879482</v>
      </c>
      <c r="K22" s="78">
        <f>R20+R21+R22</f>
        <v>55595087262</v>
      </c>
      <c r="L22" s="87">
        <f>U22/U19-1</f>
        <v>0.21368946756414942</v>
      </c>
      <c r="M22" s="87">
        <f>U22/U10-1</f>
        <v>0.12098497167997202</v>
      </c>
      <c r="N22" s="88">
        <f>AVERAGE(T20:T22)</f>
        <v>162.39395729506512</v>
      </c>
      <c r="O22" s="89">
        <f>N22/N19-1</f>
        <v>0.13783318891932717</v>
      </c>
      <c r="P22" s="129" t="s">
        <v>155</v>
      </c>
      <c r="Q22" s="116">
        <f>봉합재!Q22+'충전재 치과용'!Q22</f>
        <v>16716317</v>
      </c>
      <c r="R22" s="116">
        <f>봉합재!R22+'충전재 치과용'!R22</f>
        <v>21663861055</v>
      </c>
      <c r="S22" s="116">
        <f>봉합재!S22+'충전재 치과용'!S22</f>
        <v>130471.09999999999</v>
      </c>
      <c r="T22" s="130">
        <f t="shared" si="3"/>
        <v>128.12275668711308</v>
      </c>
      <c r="U22" s="85">
        <f>Q20+Q21+Q22</f>
        <v>42408775</v>
      </c>
    </row>
    <row r="23" spans="1:21" hidden="1">
      <c r="A23" s="129" t="s">
        <v>189</v>
      </c>
      <c r="B23" s="131"/>
      <c r="C23" s="131"/>
      <c r="F23" s="78">
        <f>Q23/21</f>
        <v>464972.80952380953</v>
      </c>
      <c r="G23" s="90">
        <f t="shared" si="2"/>
        <v>-0.41587438189883574</v>
      </c>
      <c r="H23" s="90">
        <f t="shared" si="4"/>
        <v>-0.28385460863024359</v>
      </c>
      <c r="I23" s="130">
        <f t="shared" si="0"/>
        <v>185.73920728376143</v>
      </c>
      <c r="J23" s="130">
        <f t="shared" si="5"/>
        <v>-5.8704318089319862E-3</v>
      </c>
      <c r="O23" s="89"/>
      <c r="P23" s="129" t="s">
        <v>189</v>
      </c>
      <c r="Q23" s="116">
        <f>봉합재!Q23+'충전재 치과용'!Q23</f>
        <v>9764429</v>
      </c>
      <c r="R23" s="116">
        <f>봉합재!R23+'충전재 치과용'!R23</f>
        <v>12589892810</v>
      </c>
      <c r="S23" s="116">
        <f>봉합재!S23+'충전재 치과용'!S23</f>
        <v>52570.64</v>
      </c>
      <c r="T23" s="130">
        <f t="shared" si="3"/>
        <v>185.73920728376143</v>
      </c>
      <c r="U23" s="78"/>
    </row>
    <row r="24" spans="1:21" hidden="1">
      <c r="A24" s="129" t="s">
        <v>204</v>
      </c>
      <c r="B24" s="131"/>
      <c r="C24" s="131"/>
      <c r="F24" s="78">
        <f>Q24/22</f>
        <v>435366.18181818182</v>
      </c>
      <c r="G24" s="90">
        <f t="shared" si="2"/>
        <v>-6.3673890385006815E-2</v>
      </c>
      <c r="H24" s="90">
        <f t="shared" si="4"/>
        <v>-0.12223554613666299</v>
      </c>
      <c r="I24" s="130">
        <f t="shared" si="0"/>
        <v>189.9955943020698</v>
      </c>
      <c r="J24" s="130">
        <f t="shared" si="5"/>
        <v>0.10437196739257293</v>
      </c>
      <c r="O24" s="89"/>
      <c r="P24" s="129" t="s">
        <v>204</v>
      </c>
      <c r="Q24" s="116">
        <f>봉합재!Q24+'충전재 치과용'!Q24</f>
        <v>9578056</v>
      </c>
      <c r="R24" s="116">
        <f>봉합재!R24+'충전재 치과용'!R24</f>
        <v>12597654961</v>
      </c>
      <c r="S24" s="116">
        <f>봉합재!S24+'충전재 치과용'!S24</f>
        <v>50411.99</v>
      </c>
      <c r="T24" s="130">
        <f t="shared" si="3"/>
        <v>189.9955943020698</v>
      </c>
      <c r="U24" s="78"/>
    </row>
    <row r="25" spans="1:21" s="79" customFormat="1" ht="13.2" hidden="1">
      <c r="A25" s="129" t="s">
        <v>218</v>
      </c>
      <c r="B25" s="131">
        <f>SUM(F23:F25)</f>
        <v>1541038.7281840965</v>
      </c>
      <c r="C25" s="131">
        <f>AVERAGE(F23:F25)</f>
        <v>513679.57606136549</v>
      </c>
      <c r="D25" s="90">
        <f>C25/C22-1</f>
        <v>-0.24885183497544883</v>
      </c>
      <c r="E25" s="286">
        <f>C25/C13-1</f>
        <v>-8.1159079716134008E-2</v>
      </c>
      <c r="F25" s="78">
        <f>Q25/19</f>
        <v>640699.73684210528</v>
      </c>
      <c r="G25" s="90">
        <f t="shared" si="2"/>
        <v>0.47163414063629583</v>
      </c>
      <c r="H25" s="90">
        <f t="shared" si="4"/>
        <v>0.20457357775534146</v>
      </c>
      <c r="I25" s="130">
        <f t="shared" si="0"/>
        <v>194.94030628250493</v>
      </c>
      <c r="J25" s="130">
        <f t="shared" si="5"/>
        <v>0.21019713121033257</v>
      </c>
      <c r="K25" s="78">
        <f>R23+R24+R25</f>
        <v>41341035834</v>
      </c>
      <c r="L25" s="90">
        <f>U25/U22-1</f>
        <v>-0.2568571009183831</v>
      </c>
      <c r="M25" s="90">
        <f>U25/U13-1</f>
        <v>-0.10426740152343816</v>
      </c>
      <c r="N25" s="88">
        <f>AVERAGE(T23:T25)</f>
        <v>190.22503595611207</v>
      </c>
      <c r="O25" s="91">
        <f>N25/N22-1</f>
        <v>0.17138001391565738</v>
      </c>
      <c r="P25" s="129" t="s">
        <v>220</v>
      </c>
      <c r="Q25" s="116">
        <f>봉합재!Q25+'충전재 치과용'!Q25</f>
        <v>12173295</v>
      </c>
      <c r="R25" s="116">
        <f>봉합재!R25+'충전재 치과용'!R25</f>
        <v>16153488063</v>
      </c>
      <c r="S25" s="116">
        <f>봉합재!S25+'충전재 치과용'!S25</f>
        <v>62446.270000000004</v>
      </c>
      <c r="T25" s="130">
        <f t="shared" si="3"/>
        <v>194.94030628250493</v>
      </c>
      <c r="U25" s="85">
        <f>Q23+Q24+Q25</f>
        <v>31515780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687309.68421052629</v>
      </c>
      <c r="G26" s="90">
        <f t="shared" si="2"/>
        <v>7.2748503999944036E-2</v>
      </c>
      <c r="H26" s="90">
        <f t="shared" si="4"/>
        <v>0.3025059938224719</v>
      </c>
      <c r="I26" s="130">
        <f t="shared" si="0"/>
        <v>165.37463341567312</v>
      </c>
      <c r="J26" s="130">
        <f t="shared" si="5"/>
        <v>-7.4421597738332013E-2</v>
      </c>
      <c r="L26" s="90"/>
      <c r="M26" s="90"/>
      <c r="P26" s="129" t="s">
        <v>312</v>
      </c>
      <c r="Q26" s="116">
        <f>봉합재!Q26+'충전재 치과용'!Q26</f>
        <v>13058884</v>
      </c>
      <c r="R26" s="116">
        <f>봉합재!R26+'충전재 치과용'!R26</f>
        <v>17625922383</v>
      </c>
      <c r="S26" s="116">
        <f>봉합재!S26+'충전재 치과용'!S26</f>
        <v>78965.460000000006</v>
      </c>
      <c r="T26" s="130">
        <f t="shared" si="3"/>
        <v>165.37463341567312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565326.45454545459</v>
      </c>
      <c r="G27" s="90">
        <f t="shared" si="2"/>
        <v>-0.17747928258160206</v>
      </c>
      <c r="H27" s="90">
        <f t="shared" si="4"/>
        <v>-6.7331291195952048E-2</v>
      </c>
      <c r="I27" s="130">
        <f t="shared" si="0"/>
        <v>183.36229364488005</v>
      </c>
      <c r="J27" s="130">
        <f t="shared" si="5"/>
        <v>0.29974742399125032</v>
      </c>
      <c r="L27" s="90"/>
      <c r="M27" s="90"/>
      <c r="P27" s="129" t="s">
        <v>375</v>
      </c>
      <c r="Q27" s="116">
        <f>봉합재!Q27+'충전재 치과용'!Q27</f>
        <v>12437182</v>
      </c>
      <c r="R27" s="116">
        <f>봉합재!R27+'충전재 치과용'!R27</f>
        <v>16416610699</v>
      </c>
      <c r="S27" s="116">
        <f>봉합재!S27+'충전재 치과용'!S27</f>
        <v>67828.459999999992</v>
      </c>
      <c r="T27" s="130">
        <f t="shared" si="3"/>
        <v>183.36229364488005</v>
      </c>
      <c r="U27" s="78"/>
    </row>
    <row r="28" spans="1:21" s="79" customFormat="1" ht="13.2" hidden="1">
      <c r="A28" s="123" t="s">
        <v>413</v>
      </c>
      <c r="B28" s="131">
        <f>SUM(F26:F28)</f>
        <v>1986830.8229665072</v>
      </c>
      <c r="C28" s="131">
        <f>AVERAGE(F26:F28)</f>
        <v>662276.94098883576</v>
      </c>
      <c r="D28" s="90">
        <f>C28/C25-1</f>
        <v>0.28928026702334453</v>
      </c>
      <c r="E28" s="286">
        <f>C28/C16-1</f>
        <v>0.2052783960235971</v>
      </c>
      <c r="F28" s="78">
        <f>Q28/19</f>
        <v>734194.68421052629</v>
      </c>
      <c r="G28" s="90">
        <f t="shared" si="2"/>
        <v>0.29870922952092993</v>
      </c>
      <c r="H28" s="90">
        <f t="shared" si="4"/>
        <v>0.42667255502945634</v>
      </c>
      <c r="I28" s="130">
        <f t="shared" si="0"/>
        <v>163.11406315608784</v>
      </c>
      <c r="J28" s="130">
        <f t="shared" si="5"/>
        <v>4.9143120463861489E-2</v>
      </c>
      <c r="K28" s="78">
        <f>R26+R27+R28</f>
        <v>52236955431</v>
      </c>
      <c r="L28" s="90">
        <f>U28/U25-1</f>
        <v>0.25161950616484829</v>
      </c>
      <c r="M28" s="90">
        <f>U28/U16-1</f>
        <v>0.12028904799742657</v>
      </c>
      <c r="N28" s="88">
        <f>AVERAGE(T26:T28)</f>
        <v>170.61699673888032</v>
      </c>
      <c r="O28" s="91">
        <f>N28/N25-1</f>
        <v>-0.1030781207041308</v>
      </c>
      <c r="P28" s="129" t="s">
        <v>413</v>
      </c>
      <c r="Q28" s="116">
        <f>봉합재!Q28+'충전재 치과용'!Q28</f>
        <v>13949699</v>
      </c>
      <c r="R28" s="116">
        <f>봉합재!R28+'충전재 치과용'!R28</f>
        <v>18194422349</v>
      </c>
      <c r="S28" s="116">
        <f>봉합재!S28+'충전재 치과용'!S28</f>
        <v>85521.13</v>
      </c>
      <c r="T28" s="130">
        <f t="shared" si="3"/>
        <v>163.11406315608784</v>
      </c>
      <c r="U28" s="85">
        <f>Q26+Q27+Q28</f>
        <v>39445765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520285.86363636365</v>
      </c>
      <c r="G29" s="190">
        <f t="shared" si="2"/>
        <v>-0.29135163353052207</v>
      </c>
      <c r="H29" s="190">
        <f t="shared" si="4"/>
        <v>-6.3042976869942424E-2</v>
      </c>
      <c r="I29" s="130">
        <f t="shared" si="0"/>
        <v>202.92086268440539</v>
      </c>
      <c r="J29" s="130">
        <f t="shared" si="5"/>
        <v>0.14683703078047028</v>
      </c>
      <c r="K29" s="136"/>
      <c r="L29" s="190"/>
      <c r="M29" s="190"/>
      <c r="N29" s="191"/>
      <c r="O29" s="192"/>
      <c r="P29" s="129" t="s">
        <v>426</v>
      </c>
      <c r="Q29" s="116">
        <f>봉합재!Q29+'충전재 치과용'!Q29</f>
        <v>11446289</v>
      </c>
      <c r="R29" s="116">
        <f>봉합재!R29+'충전재 치과용'!R29</f>
        <v>15057088851</v>
      </c>
      <c r="S29" s="116">
        <f>봉합재!S29+'충전재 치과용'!S29</f>
        <v>56407.65</v>
      </c>
      <c r="T29" s="130">
        <f t="shared" si="3"/>
        <v>202.92086268440539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543781.78947368416</v>
      </c>
      <c r="G30" s="190">
        <f t="shared" si="2"/>
        <v>4.515964680090212E-2</v>
      </c>
      <c r="H30" s="190">
        <f t="shared" si="4"/>
        <v>-6.6917471210730217E-2</v>
      </c>
      <c r="I30" s="130">
        <f t="shared" si="0"/>
        <v>179.02240809334111</v>
      </c>
      <c r="J30" s="130">
        <f t="shared" si="5"/>
        <v>7.9169027997730179E-2</v>
      </c>
      <c r="K30" s="136"/>
      <c r="L30" s="190"/>
      <c r="M30" s="190"/>
      <c r="N30" s="191"/>
      <c r="O30" s="192"/>
      <c r="P30" s="129" t="s">
        <v>466</v>
      </c>
      <c r="Q30" s="116">
        <f>봉합재!Q30+'충전재 치과용'!Q30</f>
        <v>10331854</v>
      </c>
      <c r="R30" s="116">
        <f>봉합재!R30+'충전재 치과용'!R30</f>
        <v>13767970263</v>
      </c>
      <c r="S30" s="116">
        <f>봉합재!S30+'충전재 치과용'!S30</f>
        <v>57712.63</v>
      </c>
      <c r="T30" s="130">
        <f t="shared" si="3"/>
        <v>179.02240809334111</v>
      </c>
      <c r="U30" s="85"/>
    </row>
    <row r="31" spans="1:21" s="79" customFormat="1" ht="13.2" hidden="1">
      <c r="A31" s="129" t="s">
        <v>505</v>
      </c>
      <c r="B31" s="188">
        <f>SUM(F29:F31)</f>
        <v>1592231.9531100478</v>
      </c>
      <c r="C31" s="188">
        <f>AVERAGE(F29:F31)</f>
        <v>530743.98437001591</v>
      </c>
      <c r="D31" s="190">
        <f>C31/C28-1</f>
        <v>-0.19860718149484413</v>
      </c>
      <c r="E31" s="287">
        <f>C31/C19-1</f>
        <v>-5.8817343846092829E-2</v>
      </c>
      <c r="F31" s="136">
        <f>Q31/20</f>
        <v>528164.30000000005</v>
      </c>
      <c r="G31" s="190">
        <f t="shared" si="2"/>
        <v>-2.8720140644650782E-2</v>
      </c>
      <c r="H31" s="190">
        <f t="shared" si="4"/>
        <v>-4.6053139722219694E-2</v>
      </c>
      <c r="I31" s="130">
        <f t="shared" si="0"/>
        <v>187.63047229625735</v>
      </c>
      <c r="J31" s="130">
        <f t="shared" si="5"/>
        <v>1.1986838226147114</v>
      </c>
      <c r="K31" s="136">
        <f>R29+R30+R31</f>
        <v>42853218859</v>
      </c>
      <c r="L31" s="190">
        <f>U31/U28-1</f>
        <v>-0.18010389708502295</v>
      </c>
      <c r="M31" s="190">
        <f>U31/U19-1</f>
        <v>-7.4426183183227135E-2</v>
      </c>
      <c r="N31" s="191">
        <f>AVERAGE(T29:T31)</f>
        <v>189.8579143580013</v>
      </c>
      <c r="O31" s="192">
        <f>N31/N28-1</f>
        <v>0.1127725724100519</v>
      </c>
      <c r="P31" s="129" t="s">
        <v>528</v>
      </c>
      <c r="Q31" s="116">
        <f>봉합재!Q31+'충전재 치과용'!Q31</f>
        <v>10563286</v>
      </c>
      <c r="R31" s="116">
        <f>봉합재!R31+'충전재 치과용'!R31</f>
        <v>14028159745</v>
      </c>
      <c r="S31" s="116">
        <f>봉합재!S31+'충전재 치과용'!S31</f>
        <v>56298.35</v>
      </c>
      <c r="T31" s="130">
        <f t="shared" si="3"/>
        <v>187.63047229625735</v>
      </c>
      <c r="U31" s="85">
        <f>Q29+Q30+Q31</f>
        <v>32341429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625636.71428571432</v>
      </c>
      <c r="G32" s="190">
        <f t="shared" si="2"/>
        <v>0.18454941821269299</v>
      </c>
      <c r="H32" s="190">
        <f t="shared" si="4"/>
        <v>-7.2242895740643132E-2</v>
      </c>
      <c r="I32" s="130">
        <f t="shared" si="0"/>
        <v>178.47781119406542</v>
      </c>
      <c r="J32" s="130">
        <f t="shared" si="5"/>
        <v>-4.5362164492326995E-2</v>
      </c>
      <c r="K32" s="136"/>
      <c r="L32" s="190"/>
      <c r="M32" s="190"/>
      <c r="N32" s="191"/>
      <c r="O32" s="192"/>
      <c r="P32" s="129" t="s">
        <v>561</v>
      </c>
      <c r="Q32" s="116">
        <f>봉합재!Q32+'충전재 치과용'!Q32</f>
        <v>13138371</v>
      </c>
      <c r="R32" s="116">
        <f>봉합재!R32+'충전재 치과용'!R32</f>
        <v>17903632817</v>
      </c>
      <c r="S32" s="116">
        <f>봉합재!S32+'충전재 치과용'!S32</f>
        <v>73613.47</v>
      </c>
      <c r="T32" s="130">
        <f t="shared" si="3"/>
        <v>178.47781119406542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619876.57142857148</v>
      </c>
      <c r="G33" s="190">
        <f t="shared" ref="G33" si="6">F33/F32-1</f>
        <v>-9.2068491596104529E-3</v>
      </c>
      <c r="H33" s="190">
        <f t="shared" ref="H33" si="7">F33/F21-1</f>
        <v>6.6530508108802566E-2</v>
      </c>
      <c r="I33" s="130">
        <f t="shared" si="0"/>
        <v>197.68801717403537</v>
      </c>
      <c r="J33" s="130">
        <f t="shared" si="5"/>
        <v>0.14867806576936515</v>
      </c>
      <c r="K33" s="136"/>
      <c r="L33" s="190"/>
      <c r="M33" s="190"/>
      <c r="N33" s="191"/>
      <c r="O33" s="192"/>
      <c r="P33" s="129" t="s">
        <v>607</v>
      </c>
      <c r="Q33" s="116">
        <f>봉합재!Q33+'충전재 치과용'!Q33</f>
        <v>13017408</v>
      </c>
      <c r="R33" s="116">
        <f>봉합재!R33+'충전재 치과용'!R33</f>
        <v>17797465786</v>
      </c>
      <c r="S33" s="116">
        <f>봉합재!S33+'충전재 치과용'!S33</f>
        <v>65848.239999999991</v>
      </c>
      <c r="T33" s="130">
        <f t="shared" ref="T33" si="8">Q33/S33</f>
        <v>197.68801717403537</v>
      </c>
      <c r="U33" s="85"/>
    </row>
    <row r="34" spans="1:21" s="79" customFormat="1" ht="13.2" hidden="1">
      <c r="A34" s="129" t="s">
        <v>652</v>
      </c>
      <c r="B34" s="188">
        <f>SUM(F32:F34)</f>
        <v>2002479.8120300754</v>
      </c>
      <c r="C34" s="188">
        <f>AVERAGE(F32:F34)</f>
        <v>667493.27067669178</v>
      </c>
      <c r="D34" s="190">
        <f>C34/C31-1</f>
        <v>0.25765583847171625</v>
      </c>
      <c r="E34" s="287">
        <f>C34/C22-1</f>
        <v>-2.3931709959330361E-2</v>
      </c>
      <c r="F34" s="136">
        <f>Q34/19</f>
        <v>756966.52631578944</v>
      </c>
      <c r="G34" s="190">
        <f t="shared" ref="G34" si="9">F34/F33-1</f>
        <v>0.22115685800365004</v>
      </c>
      <c r="H34" s="190">
        <f t="shared" ref="H34" si="10">F34/F22-1</f>
        <v>-4.9055060834777287E-2</v>
      </c>
      <c r="I34" s="130">
        <f t="shared" si="0"/>
        <v>196.96536937398861</v>
      </c>
      <c r="J34" s="130">
        <f t="shared" si="5"/>
        <v>0.53731760435810139</v>
      </c>
      <c r="K34" s="136">
        <f>R32+R33+R34</f>
        <v>55481826802</v>
      </c>
      <c r="L34" s="190">
        <f>U34/U31-1</f>
        <v>0.25344316109223253</v>
      </c>
      <c r="M34" s="190">
        <f>U34/U22-1</f>
        <v>-4.4109550440917022E-2</v>
      </c>
      <c r="N34" s="191">
        <f>AVERAGE(T32:T34)</f>
        <v>191.04373258069646</v>
      </c>
      <c r="O34" s="192">
        <f>N34/N31-1</f>
        <v>6.2458192838836801E-3</v>
      </c>
      <c r="P34" s="129" t="s">
        <v>652</v>
      </c>
      <c r="Q34" s="116">
        <f>봉합재!Q34+'충전재 치과용'!Q34</f>
        <v>14382364</v>
      </c>
      <c r="R34" s="116">
        <f>봉합재!R34+'충전재 치과용'!R34</f>
        <v>19780728199</v>
      </c>
      <c r="S34" s="116">
        <f>봉합재!S34+'충전재 치과용'!S34</f>
        <v>73019.760000000009</v>
      </c>
      <c r="T34" s="130">
        <f t="shared" ref="T34" si="11">Q34/S34</f>
        <v>196.96536937398861</v>
      </c>
      <c r="U34" s="85">
        <f>Q32+Q33+Q34</f>
        <v>40538143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542054.52173913049</v>
      </c>
      <c r="G35" s="190">
        <f t="shared" ref="G35" si="12">F35/F34-1</f>
        <v>-0.28391216401952557</v>
      </c>
      <c r="H35" s="190">
        <f t="shared" ref="H35" si="13">F35/F23-1</f>
        <v>0.16577681670087818</v>
      </c>
      <c r="I35" s="130">
        <f t="shared" si="0"/>
        <v>200.27003053063811</v>
      </c>
      <c r="J35" s="130">
        <f t="shared" si="5"/>
        <v>7.8232396161125761E-2</v>
      </c>
      <c r="K35" s="136"/>
      <c r="L35" s="190"/>
      <c r="M35" s="190"/>
      <c r="N35" s="191"/>
      <c r="O35" s="192"/>
      <c r="P35" s="129" t="s">
        <v>660</v>
      </c>
      <c r="Q35" s="116">
        <f>봉합재!Q35+'충전재 치과용'!Q35</f>
        <v>12467254</v>
      </c>
      <c r="R35" s="116">
        <f>봉합재!R35+'충전재 치과용'!R35</f>
        <v>17252178357</v>
      </c>
      <c r="S35" s="116">
        <f>봉합재!S35+'충전재 치과용'!S35</f>
        <v>62252.22</v>
      </c>
      <c r="T35" s="130">
        <f t="shared" ref="T35" si="14">Q35/S35</f>
        <v>200.27003053063811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556036.14285714284</v>
      </c>
      <c r="G36" s="190">
        <f t="shared" ref="G36" si="15">F36/F35-1</f>
        <v>2.5793754239248123E-2</v>
      </c>
      <c r="H36" s="190">
        <f t="shared" ref="H36" si="16">F36/F24-1</f>
        <v>0.27716888926700189</v>
      </c>
      <c r="I36" s="130">
        <f t="shared" si="0"/>
        <v>204.20493875911416</v>
      </c>
      <c r="J36" s="130">
        <f t="shared" si="5"/>
        <v>7.4787757627964968E-2</v>
      </c>
      <c r="K36" s="136"/>
      <c r="L36" s="190"/>
      <c r="M36" s="190"/>
      <c r="N36" s="191"/>
      <c r="O36" s="192"/>
      <c r="P36" s="129" t="s">
        <v>664</v>
      </c>
      <c r="Q36" s="116">
        <f>봉합재!Q36+'충전재 치과용'!Q36</f>
        <v>11676759</v>
      </c>
      <c r="R36" s="116">
        <f>봉합재!R36+'충전재 치과용'!R36</f>
        <v>15906722294</v>
      </c>
      <c r="S36" s="116">
        <f>봉합재!S36+'충전재 치과용'!S36</f>
        <v>57181.57</v>
      </c>
      <c r="T36" s="130">
        <f t="shared" ref="T36" si="17">Q36/S36</f>
        <v>204.20493875911416</v>
      </c>
      <c r="U36" s="85"/>
    </row>
    <row r="37" spans="1:21" s="79" customFormat="1" ht="13.2" hidden="1">
      <c r="A37" s="129" t="s">
        <v>702</v>
      </c>
      <c r="B37" s="188">
        <f>SUM(F35:F37)</f>
        <v>1758637.9423740511</v>
      </c>
      <c r="C37" s="188">
        <f>AVERAGE(F35:F37)</f>
        <v>586212.64745801699</v>
      </c>
      <c r="D37" s="190">
        <f>C37/C34-1</f>
        <v>-0.12176995153265602</v>
      </c>
      <c r="E37" s="287">
        <f>C37/C25-1</f>
        <v>0.14120294980929216</v>
      </c>
      <c r="F37" s="136">
        <f>Q37/18</f>
        <v>660547.27777777775</v>
      </c>
      <c r="G37" s="190">
        <f t="shared" ref="G37" si="18">F37/F36-1</f>
        <v>0.18795744892339838</v>
      </c>
      <c r="H37" s="190">
        <f t="shared" ref="H37" si="19">F37/F25-1</f>
        <v>3.0977913356883047E-2</v>
      </c>
      <c r="I37" s="130">
        <f t="shared" si="0"/>
        <v>191.25663133173549</v>
      </c>
      <c r="J37" s="130">
        <f t="shared" si="5"/>
        <v>-1.8896425377679993E-2</v>
      </c>
      <c r="K37" s="136">
        <f>R35+R36+R37</f>
        <v>49024437035</v>
      </c>
      <c r="L37" s="190">
        <f>U37/U34-1</f>
        <v>-0.11111211976335478</v>
      </c>
      <c r="M37" s="190">
        <f>U37/U25-1</f>
        <v>0.14335942185152972</v>
      </c>
      <c r="N37" s="191">
        <f>AVERAGE(T35:T37)</f>
        <v>198.5772002071626</v>
      </c>
      <c r="O37" s="192">
        <f>N37/N34-1</f>
        <v>3.9433210002238761E-2</v>
      </c>
      <c r="P37" s="129" t="s">
        <v>702</v>
      </c>
      <c r="Q37" s="116">
        <f>봉합재!Q37+'충전재 치과용'!Q37</f>
        <v>11889851</v>
      </c>
      <c r="R37" s="116">
        <f>봉합재!R37+'충전재 치과용'!R37</f>
        <v>15865536384</v>
      </c>
      <c r="S37" s="116">
        <f>봉합재!S37+'충전재 치과용'!S37</f>
        <v>62167</v>
      </c>
      <c r="T37" s="130">
        <f t="shared" ref="T37" si="20">Q37/S37</f>
        <v>191.25663133173549</v>
      </c>
      <c r="U37" s="85">
        <f>Q35+Q36+Q37</f>
        <v>36033864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585443.30000000005</v>
      </c>
      <c r="G38" s="190">
        <f t="shared" ref="G38" si="21">F38/F37-1</f>
        <v>-0.11369962499950581</v>
      </c>
      <c r="H38" s="190">
        <f t="shared" ref="H38" si="22">F38/F26-1</f>
        <v>-0.14821031414322994</v>
      </c>
      <c r="I38" s="130">
        <f t="shared" si="0"/>
        <v>186.5916084607012</v>
      </c>
      <c r="J38" s="130">
        <f t="shared" si="5"/>
        <v>0.12829642978980149</v>
      </c>
      <c r="K38" s="136"/>
      <c r="L38" s="190"/>
      <c r="M38" s="190"/>
      <c r="N38" s="191"/>
      <c r="O38" s="192"/>
      <c r="P38" s="129" t="s">
        <v>728</v>
      </c>
      <c r="Q38" s="116">
        <f>봉합재!Q38+'충전재 치과용'!Q38</f>
        <v>11708866</v>
      </c>
      <c r="R38" s="116">
        <f>봉합재!R38+'충전재 치과용'!R38</f>
        <v>15793230062</v>
      </c>
      <c r="S38" s="116">
        <f>봉합재!S38+'충전재 치과용'!S38</f>
        <v>62751.3</v>
      </c>
      <c r="T38" s="130">
        <f t="shared" ref="T38" si="23">Q38/S38</f>
        <v>186.5916084607012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540960.57142857148</v>
      </c>
      <c r="G39" s="190">
        <f t="shared" ref="G39" si="24">F39/F38-1</f>
        <v>-7.598127533687471E-2</v>
      </c>
      <c r="H39" s="190">
        <f t="shared" ref="H39" si="25">F39/F27-1</f>
        <v>-4.3100553531453367E-2</v>
      </c>
      <c r="I39" s="130">
        <f t="shared" si="0"/>
        <v>182.32545210329928</v>
      </c>
      <c r="J39" s="130">
        <f t="shared" si="5"/>
        <v>-5.6546060859645753E-3</v>
      </c>
      <c r="K39" s="136"/>
      <c r="L39" s="190"/>
      <c r="M39" s="190"/>
      <c r="N39" s="191"/>
      <c r="O39" s="192"/>
      <c r="P39" s="129" t="s">
        <v>762</v>
      </c>
      <c r="Q39" s="116">
        <f>봉합재!Q39+'충전재 치과용'!Q39</f>
        <v>11360172</v>
      </c>
      <c r="R39" s="116">
        <f>봉합재!R39+'충전재 치과용'!R39</f>
        <v>15799740099</v>
      </c>
      <c r="S39" s="116">
        <f>봉합재!S39+'충전재 치과용'!S39</f>
        <v>62307.11</v>
      </c>
      <c r="T39" s="130">
        <f t="shared" ref="T39" si="26">Q39/S39</f>
        <v>182.32545210329928</v>
      </c>
      <c r="U39" s="85"/>
    </row>
    <row r="40" spans="1:21" s="79" customFormat="1" ht="13.2" hidden="1">
      <c r="A40" s="129" t="s">
        <v>778</v>
      </c>
      <c r="B40" s="188">
        <f>SUM(F38:F40)</f>
        <v>1818527.0142857144</v>
      </c>
      <c r="C40" s="188">
        <f>AVERAGE(F38:F40)</f>
        <v>606175.67142857146</v>
      </c>
      <c r="D40" s="190">
        <f>C40/C37-1</f>
        <v>3.4054236218068246E-2</v>
      </c>
      <c r="E40" s="287">
        <f>C40/C28-1</f>
        <v>-8.470968274465418E-2</v>
      </c>
      <c r="F40" s="136">
        <f>Q40/21</f>
        <v>692123.14285714284</v>
      </c>
      <c r="G40" s="190">
        <f t="shared" ref="G40" si="27">F40/F39-1</f>
        <v>0.27943362125150917</v>
      </c>
      <c r="H40" s="190">
        <f t="shared" ref="H40" si="28">F40/F28-1</f>
        <v>-5.7302977341252004E-2</v>
      </c>
      <c r="I40" s="130">
        <f t="shared" si="0"/>
        <v>187.73693502295788</v>
      </c>
      <c r="J40" s="130">
        <f t="shared" si="5"/>
        <v>0.15095492927122911</v>
      </c>
      <c r="K40" s="136">
        <f>R38+R39+R40</f>
        <v>52254999866</v>
      </c>
      <c r="L40" s="190">
        <f>U40/U37-1</f>
        <v>4.3563465744334229E-2</v>
      </c>
      <c r="M40" s="190">
        <f>U40/U28-1</f>
        <v>-4.6700602713624639E-2</v>
      </c>
      <c r="N40" s="191">
        <f>AVERAGE(T38:T40)</f>
        <v>185.55133186231947</v>
      </c>
      <c r="O40" s="192">
        <f>N40/N37-1</f>
        <v>-6.5595991540086662E-2</v>
      </c>
      <c r="P40" s="129" t="s">
        <v>778</v>
      </c>
      <c r="Q40" s="116">
        <f>봉합재!Q40+'충전재 치과용'!Q40</f>
        <v>14534586</v>
      </c>
      <c r="R40" s="116">
        <f>봉합재!R40+'충전재 치과용'!R40</f>
        <v>20662029705</v>
      </c>
      <c r="S40" s="116">
        <f>봉합재!S40+'충전재 치과용'!S40</f>
        <v>77419.960000000006</v>
      </c>
      <c r="T40" s="130">
        <f t="shared" ref="T40" si="29">Q40/S40</f>
        <v>187.73693502295788</v>
      </c>
      <c r="U40" s="85">
        <f>Q38+Q39+Q40</f>
        <v>37603624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555255.27777777775</v>
      </c>
      <c r="G41" s="190">
        <f t="shared" ref="G41" si="30">F41/F40-1</f>
        <v>-0.19775074203466592</v>
      </c>
      <c r="H41" s="190">
        <f t="shared" ref="H41" si="31">F41/F29-1</f>
        <v>6.7211924415949253E-2</v>
      </c>
      <c r="I41" s="130">
        <f t="shared" si="0"/>
        <v>208.60168799937554</v>
      </c>
      <c r="J41" s="130">
        <f t="shared" si="5"/>
        <v>2.7995274807230075E-2</v>
      </c>
      <c r="K41" s="193"/>
      <c r="L41" s="190"/>
      <c r="M41" s="190"/>
      <c r="N41" s="193"/>
      <c r="O41" s="193"/>
      <c r="P41" s="129" t="s">
        <v>792</v>
      </c>
      <c r="Q41" s="116">
        <f>봉합재!Q41+'충전재 치과용'!Q41</f>
        <v>9994595</v>
      </c>
      <c r="R41" s="116">
        <f>봉합재!R41+'충전재 치과용'!R41</f>
        <v>14614193091</v>
      </c>
      <c r="S41" s="116">
        <f>봉합재!S41+'충전재 치과용'!S41</f>
        <v>47912.34</v>
      </c>
      <c r="T41" s="130">
        <f t="shared" ref="T41" si="32">Q41/S41</f>
        <v>208.60168799937554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557626.30000000005</v>
      </c>
      <c r="G42" s="190">
        <f t="shared" ref="G42" si="33">F42/F41-1</f>
        <v>4.2701480150022508E-3</v>
      </c>
      <c r="H42" s="190">
        <f t="shared" ref="H42" si="34">F42/F30-1</f>
        <v>2.5459680324557699E-2</v>
      </c>
      <c r="I42" s="130">
        <f t="shared" si="0"/>
        <v>202.8831257663243</v>
      </c>
      <c r="J42" s="130">
        <f t="shared" si="5"/>
        <v>0.1332834136637373</v>
      </c>
      <c r="K42" s="193"/>
      <c r="L42" s="190"/>
      <c r="M42" s="190"/>
      <c r="N42" s="193"/>
      <c r="O42" s="193"/>
      <c r="P42" s="129" t="s">
        <v>826</v>
      </c>
      <c r="Q42" s="116">
        <f>봉합재!Q42+'충전재 치과용'!Q42</f>
        <v>11152526</v>
      </c>
      <c r="R42" s="116">
        <f>봉합재!R42+'충전재 치과용'!R42</f>
        <v>16119556157</v>
      </c>
      <c r="S42" s="116">
        <f>봉합재!S42+'충전재 치과용'!S42</f>
        <v>54970.2</v>
      </c>
      <c r="T42" s="130">
        <f t="shared" ref="T42" si="35">Q42/S42</f>
        <v>202.8831257663243</v>
      </c>
      <c r="U42" s="78"/>
    </row>
    <row r="43" spans="1:21" s="79" customFormat="1" ht="13.2">
      <c r="A43" s="129" t="s">
        <v>835</v>
      </c>
      <c r="B43" s="188">
        <f>SUM(F41:F43)</f>
        <v>1740210.9777777777</v>
      </c>
      <c r="C43" s="188">
        <f>AVERAGE(F41:F43)</f>
        <v>580070.32592592586</v>
      </c>
      <c r="D43" s="190">
        <f>C43/C40-1</f>
        <v>-4.30656437285305E-2</v>
      </c>
      <c r="E43" s="287">
        <f>C43/C31-1</f>
        <v>9.29381076536544E-2</v>
      </c>
      <c r="F43" s="136">
        <f>Q43/20</f>
        <v>627329.4</v>
      </c>
      <c r="G43" s="190">
        <f t="shared" ref="G43" si="36">F43/F42-1</f>
        <v>0.12499966375330573</v>
      </c>
      <c r="H43" s="190">
        <f t="shared" ref="H43" si="37">F43/F31-1</f>
        <v>0.18775426510273396</v>
      </c>
      <c r="I43" s="130">
        <f t="shared" si="0"/>
        <v>201.35310778755147</v>
      </c>
      <c r="J43" s="130">
        <f t="shared" si="5"/>
        <v>7.3136497091084829E-2</v>
      </c>
      <c r="K43" s="136">
        <f>R41+R42+R43</f>
        <v>48930540885</v>
      </c>
      <c r="L43" s="190">
        <f>U43/U40-1</f>
        <v>-0.10397707944319412</v>
      </c>
      <c r="M43" s="190">
        <f>K43/K31-1</f>
        <v>0.14181716538018341</v>
      </c>
      <c r="N43" s="191">
        <f>AVERAGE(T41:T43)</f>
        <v>204.27930718441712</v>
      </c>
      <c r="O43" s="192">
        <f>N43/N40-1</f>
        <v>0.10093150576786991</v>
      </c>
      <c r="P43" s="129" t="s">
        <v>835</v>
      </c>
      <c r="Q43" s="116">
        <f>봉합재!Q43+'충전재 치과용'!Q43</f>
        <v>12546588</v>
      </c>
      <c r="R43" s="116">
        <f>봉합재!R43+'충전재 치과용'!R43</f>
        <v>18196791637</v>
      </c>
      <c r="S43" s="116">
        <f>봉합재!S43+'충전재 치과용'!S43</f>
        <v>62311.369999999995</v>
      </c>
      <c r="T43" s="130">
        <f t="shared" ref="T43" si="38">Q43/S43</f>
        <v>201.35310778755147</v>
      </c>
      <c r="U43" s="85">
        <f>Q41+Q42+Q43</f>
        <v>33693709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533712.90909090906</v>
      </c>
      <c r="G44" s="190">
        <f t="shared" ref="G44" si="39">F44/F43-1</f>
        <v>-0.14923019853539621</v>
      </c>
      <c r="H44" s="190">
        <f t="shared" ref="H44" si="40">F44/F32-1</f>
        <v>-0.14692840604751611</v>
      </c>
      <c r="I44" s="130">
        <f t="shared" si="0"/>
        <v>238.78592129776789</v>
      </c>
      <c r="J44" s="130">
        <f t="shared" si="5"/>
        <v>0.33790256447131828</v>
      </c>
      <c r="K44" s="136"/>
      <c r="L44" s="190"/>
      <c r="M44" s="190"/>
      <c r="N44" s="191"/>
      <c r="O44" s="192"/>
      <c r="P44" s="129" t="s">
        <v>843</v>
      </c>
      <c r="Q44" s="116">
        <f>봉합재!Q44+'충전재 치과용'!Q44</f>
        <v>11741684</v>
      </c>
      <c r="R44" s="116">
        <f>봉합재!R44+'충전재 치과용'!R44</f>
        <v>17017766584</v>
      </c>
      <c r="S44" s="116">
        <f>봉합재!S44+'충전재 치과용'!S44</f>
        <v>49172.43</v>
      </c>
      <c r="T44" s="130">
        <f t="shared" ref="T44" si="41">Q44/S44</f>
        <v>238.78592129776789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546297.5</v>
      </c>
      <c r="G45" s="190">
        <f t="shared" ref="G45" si="42">F45/F44-1</f>
        <v>2.3579326440738901E-2</v>
      </c>
      <c r="H45" s="190">
        <f t="shared" ref="H45" si="43">F45/F33-1</f>
        <v>-0.11869955216891115</v>
      </c>
      <c r="I45" s="130">
        <f t="shared" si="0"/>
        <v>197.43271246972361</v>
      </c>
      <c r="J45" s="130">
        <f t="shared" si="5"/>
        <v>-1.2914526027493212E-3</v>
      </c>
      <c r="K45" s="136"/>
      <c r="L45" s="190"/>
      <c r="M45" s="190"/>
      <c r="N45" s="191"/>
      <c r="O45" s="192"/>
      <c r="P45" s="129" t="s">
        <v>853</v>
      </c>
      <c r="Q45" s="116">
        <f>봉합재!Q45+'충전재 치과용'!Q45</f>
        <v>10925950</v>
      </c>
      <c r="R45" s="116">
        <f>봉합재!R45+'충전재 치과용'!R45</f>
        <v>15356947536</v>
      </c>
      <c r="S45" s="116">
        <f>봉합재!S45+'충전재 치과용'!S45</f>
        <v>55340.119999999995</v>
      </c>
      <c r="T45" s="130">
        <f t="shared" ref="T45" si="44">Q45/S45</f>
        <v>197.43271246972361</v>
      </c>
      <c r="U45" s="85"/>
    </row>
    <row r="46" spans="1:21" s="79" customFormat="1" ht="13.2">
      <c r="A46" s="129" t="s">
        <v>888</v>
      </c>
      <c r="B46" s="188">
        <f>SUM(F44:F46)</f>
        <v>1715352.8827751197</v>
      </c>
      <c r="C46" s="188">
        <f>AVERAGE(F44:F46)</f>
        <v>571784.29425837321</v>
      </c>
      <c r="D46" s="190">
        <f>C46/C43-1</f>
        <v>-1.4284529473777563E-2</v>
      </c>
      <c r="E46" s="287">
        <f>C46/C34-1</f>
        <v>-0.14338567986054851</v>
      </c>
      <c r="F46" s="136">
        <f>Q46/19</f>
        <v>635342.47368421056</v>
      </c>
      <c r="G46" s="190">
        <f t="shared" ref="G46" si="45">F46/F45-1</f>
        <v>0.16299721980095194</v>
      </c>
      <c r="H46" s="190">
        <f t="shared" ref="H46" si="46">F46/F34-1</f>
        <v>-0.16067296030054579</v>
      </c>
      <c r="I46" s="130">
        <f t="shared" si="0"/>
        <v>185.95961436759981</v>
      </c>
      <c r="J46" s="130">
        <f t="shared" si="5"/>
        <v>-5.5876599228423696E-2</v>
      </c>
      <c r="K46" s="136">
        <f>R44+R45+R46</f>
        <v>48899778385</v>
      </c>
      <c r="L46" s="190">
        <f>U46/U43-1</f>
        <v>3.1027513177608324E-2</v>
      </c>
      <c r="M46" s="190">
        <f>K46/K34-1</f>
        <v>-0.11863431318672313</v>
      </c>
      <c r="N46" s="191">
        <f>AVERAGE(T44:T46)</f>
        <v>207.39274937836376</v>
      </c>
      <c r="O46" s="192">
        <f>N46/N43-1</f>
        <v>1.5241104137561523E-2</v>
      </c>
      <c r="P46" s="129" t="s">
        <v>888</v>
      </c>
      <c r="Q46" s="116">
        <f>봉합재!Q46+'충전재 치과용'!Q46</f>
        <v>12071507</v>
      </c>
      <c r="R46" s="116">
        <f>봉합재!R46+'충전재 치과용'!R46</f>
        <v>16525064265</v>
      </c>
      <c r="S46" s="116">
        <f>봉합재!S46+'충전재 치과용'!S46</f>
        <v>64914.67</v>
      </c>
      <c r="T46" s="130">
        <f t="shared" ref="T46" si="47">Q46/S46</f>
        <v>185.95961436759981</v>
      </c>
      <c r="U46" s="85">
        <f t="shared" ref="U46:U51" si="48">Q44+Q45+Q46</f>
        <v>34739141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473120.34782608697</v>
      </c>
      <c r="G47" s="190">
        <f t="shared" ref="G47" si="49">F47/F46-1</f>
        <v>-0.25533020784433524</v>
      </c>
      <c r="H47" s="190">
        <f t="shared" ref="H47" si="50">F47/F35-1</f>
        <v>-0.12717203002361233</v>
      </c>
      <c r="I47" s="130">
        <f t="shared" si="0"/>
        <v>197.4528009336839</v>
      </c>
      <c r="J47" s="130">
        <f t="shared" si="5"/>
        <v>-1.4067155177884816E-2</v>
      </c>
      <c r="K47" s="136"/>
      <c r="L47" s="190"/>
      <c r="M47" s="190"/>
      <c r="N47" s="191"/>
      <c r="O47" s="192"/>
      <c r="P47" s="129" t="s">
        <v>991</v>
      </c>
      <c r="Q47" s="116">
        <f>봉합재!Q47+'충전재 치과용'!Q47</f>
        <v>10881768</v>
      </c>
      <c r="R47" s="116">
        <f>봉합재!R47+'충전재 치과용'!R47</f>
        <v>14929214792</v>
      </c>
      <c r="S47" s="116">
        <f>봉합재!S47+'충전재 치과용'!S47</f>
        <v>55110.729999999996</v>
      </c>
      <c r="T47" s="130">
        <f t="shared" ref="T47" si="51">Q47/S47</f>
        <v>197.4528009336839</v>
      </c>
      <c r="U47" s="85">
        <f t="shared" si="48"/>
        <v>33879225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489784.5</v>
      </c>
      <c r="G48" s="190">
        <f t="shared" ref="G48" si="52">F48/F47-1</f>
        <v>3.5221804030374448E-2</v>
      </c>
      <c r="H48" s="190">
        <f t="shared" ref="H48" si="53">F48/F36-1</f>
        <v>-0.1191498856831763</v>
      </c>
      <c r="I48" s="130">
        <f t="shared" si="0"/>
        <v>198.26715178482516</v>
      </c>
      <c r="J48" s="130">
        <f t="shared" si="5"/>
        <v>-2.9077587497985946E-2</v>
      </c>
      <c r="K48" s="136"/>
      <c r="L48" s="190"/>
      <c r="M48" s="190"/>
      <c r="N48" s="191"/>
      <c r="O48" s="192"/>
      <c r="P48" s="129" t="s">
        <v>1070</v>
      </c>
      <c r="Q48" s="116">
        <f>봉합재!Q48+'충전재 치과용'!Q48</f>
        <v>9795690</v>
      </c>
      <c r="R48" s="116">
        <f>봉합재!R48+'충전재 치과용'!R48</f>
        <v>13598359912</v>
      </c>
      <c r="S48" s="116">
        <f>봉합재!S48+'충전재 치과용'!S48</f>
        <v>49406.52</v>
      </c>
      <c r="T48" s="130">
        <f t="shared" ref="T48" si="54">Q48/S48</f>
        <v>198.26715178482516</v>
      </c>
      <c r="U48" s="85">
        <f t="shared" si="48"/>
        <v>32748965</v>
      </c>
    </row>
    <row r="49" spans="1:26" ht="13.2">
      <c r="A49" s="129" t="s">
        <v>1226</v>
      </c>
      <c r="B49" s="188">
        <f>SUM(F47:F49)</f>
        <v>1570383.0750988142</v>
      </c>
      <c r="C49" s="188">
        <f>AVERAGE(F47:F49)</f>
        <v>523461.02503293805</v>
      </c>
      <c r="D49" s="190">
        <f>C49/C46-1</f>
        <v>-8.4513110469591202E-2</v>
      </c>
      <c r="E49" s="287">
        <f>C49/C37-1</f>
        <v>-0.10704583515416743</v>
      </c>
      <c r="F49" s="136">
        <f>Q49/22</f>
        <v>607478.22727272729</v>
      </c>
      <c r="G49" s="190">
        <f t="shared" ref="G49" si="55">F49/F48-1</f>
        <v>0.24029696177140614</v>
      </c>
      <c r="H49" s="190">
        <f t="shared" ref="H49" si="56">F49/F37-1</f>
        <v>-8.0341032792665579E-2</v>
      </c>
      <c r="I49" s="130">
        <f t="shared" si="0"/>
        <v>187.41003925585241</v>
      </c>
      <c r="J49" s="130">
        <f t="shared" si="5"/>
        <v>-2.0112202380115907E-2</v>
      </c>
      <c r="K49" s="136">
        <f>R47+R48+R49</f>
        <v>47096782940</v>
      </c>
      <c r="L49" s="190">
        <f>U49/U46-1</f>
        <v>-2.0068487012963265E-2</v>
      </c>
      <c r="M49" s="190">
        <f>K49/K37-1</f>
        <v>-3.9320269881402026E-2</v>
      </c>
      <c r="N49" s="191">
        <f>AVERAGE(T47:T49)</f>
        <v>194.37666399145382</v>
      </c>
      <c r="O49" s="192">
        <f>N49/N46-1</f>
        <v>-6.2760561427167461E-2</v>
      </c>
      <c r="P49" s="129" t="s">
        <v>1165</v>
      </c>
      <c r="Q49" s="116">
        <f>봉합재!Q49+'충전재 치과용'!Q49</f>
        <v>13364521</v>
      </c>
      <c r="R49" s="116">
        <f>봉합재!R49+'충전재 치과용'!R49</f>
        <v>18569208236</v>
      </c>
      <c r="S49" s="116">
        <f>봉합재!S49+'충전재 치과용'!S49</f>
        <v>71311.66</v>
      </c>
      <c r="T49" s="130">
        <f t="shared" ref="T49" si="57">Q49/S49</f>
        <v>187.41003925585241</v>
      </c>
      <c r="U49" s="85">
        <f t="shared" si="48"/>
        <v>34041979</v>
      </c>
      <c r="V49" s="79"/>
      <c r="W49" s="79"/>
      <c r="X49" s="79"/>
      <c r="Y49" s="79"/>
      <c r="Z49" s="79"/>
    </row>
    <row r="50" spans="1:26" ht="13.2">
      <c r="A50" s="129" t="s">
        <v>1307</v>
      </c>
      <c r="B50" s="188"/>
      <c r="C50" s="188"/>
      <c r="D50" s="190"/>
      <c r="E50" s="287"/>
      <c r="F50" s="136">
        <f>Q50/18</f>
        <v>522685.11111111112</v>
      </c>
      <c r="G50" s="190">
        <f t="shared" ref="G50" si="58">F50/F49-1</f>
        <v>-0.13958214855254114</v>
      </c>
      <c r="H50" s="190">
        <f t="shared" ref="H50" si="59">F50/F38-1</f>
        <v>-0.10719772331306709</v>
      </c>
      <c r="I50" s="130">
        <f t="shared" ref="I50" si="60">T50</f>
        <v>168.56925088590694</v>
      </c>
      <c r="J50" s="130">
        <f t="shared" ref="J50" si="61">I50/I38-1</f>
        <v>-9.6587181618030926E-2</v>
      </c>
      <c r="K50" s="136"/>
      <c r="L50" s="190"/>
      <c r="M50" s="190"/>
      <c r="N50" s="191"/>
      <c r="O50" s="192"/>
      <c r="P50" s="129" t="s">
        <v>1293</v>
      </c>
      <c r="Q50" s="116">
        <f>봉합재!Q50+'충전재 치과용'!Q50</f>
        <v>9408332</v>
      </c>
      <c r="R50" s="116">
        <f>봉합재!R50+'충전재 치과용'!R50</f>
        <v>13321750189</v>
      </c>
      <c r="S50" s="116">
        <f>봉합재!S50+'충전재 치과용'!S50</f>
        <v>55812.86</v>
      </c>
      <c r="T50" s="130">
        <f t="shared" ref="T50" si="62">Q50/S50</f>
        <v>168.56925088590694</v>
      </c>
      <c r="U50" s="85">
        <f t="shared" si="48"/>
        <v>32568543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662613.5</v>
      </c>
      <c r="G51" s="190">
        <f t="shared" ref="G51:G52" si="63">F51/F50-1</f>
        <v>0.26771068452941504</v>
      </c>
      <c r="H51" s="190">
        <f t="shared" ref="H51:H52" si="64">F51/F39-1</f>
        <v>0.22488317078297748</v>
      </c>
      <c r="I51" s="130">
        <f t="shared" ref="I51:I52" si="65">T51</f>
        <v>196.16090787552531</v>
      </c>
      <c r="J51" s="130">
        <f t="shared" ref="J51:J52" si="66">I51/I39-1</f>
        <v>7.5883293377971839E-2</v>
      </c>
      <c r="K51" s="136"/>
      <c r="L51" s="190"/>
      <c r="M51" s="190"/>
      <c r="N51" s="191"/>
      <c r="O51" s="192"/>
      <c r="P51" s="129" t="s">
        <v>1402</v>
      </c>
      <c r="Q51" s="116">
        <f>봉합재!Q51+'충전재 치과용'!Q51</f>
        <v>13252270</v>
      </c>
      <c r="R51" s="116">
        <f>봉합재!R51+'충전재 치과용'!R51</f>
        <v>19215157929</v>
      </c>
      <c r="S51" s="116">
        <f>봉합재!S51+'충전재 치과용'!S51</f>
        <v>67558.16</v>
      </c>
      <c r="T51" s="130">
        <f t="shared" ref="T51:T52" si="67">Q51/S51</f>
        <v>196.16090787552531</v>
      </c>
      <c r="U51" s="85">
        <f t="shared" si="48"/>
        <v>36025123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1888151.7929292927</v>
      </c>
      <c r="C52" s="188">
        <f>AVERAGE(F50:F52)</f>
        <v>629383.93097643089</v>
      </c>
      <c r="D52" s="190">
        <f>C52/C49-1</f>
        <v>0.20235108418401881</v>
      </c>
      <c r="E52" s="287">
        <f>C52/C40-1</f>
        <v>3.8286359287835969E-2</v>
      </c>
      <c r="F52" s="136">
        <f>Q52/22</f>
        <v>702853.18181818177</v>
      </c>
      <c r="G52" s="190">
        <f t="shared" si="63"/>
        <v>6.072873827379266E-2</v>
      </c>
      <c r="H52" s="190">
        <f t="shared" si="64"/>
        <v>1.5503077843553204E-2</v>
      </c>
      <c r="I52" s="130">
        <f t="shared" si="65"/>
        <v>166.16612625783009</v>
      </c>
      <c r="J52" s="130">
        <f t="shared" si="66"/>
        <v>-0.11489912074302244</v>
      </c>
      <c r="K52" s="136">
        <f>R50+R51+R52</f>
        <v>55283344288</v>
      </c>
      <c r="L52" s="190">
        <f>U52/U49-1</f>
        <v>0.11989294159425934</v>
      </c>
      <c r="M52" s="190">
        <f>K52/K40-1</f>
        <v>5.7953199306587377E-2</v>
      </c>
      <c r="N52" s="191">
        <f>AVERAGE(T50:T52)</f>
        <v>176.96542833975411</v>
      </c>
      <c r="O52" s="192">
        <f>N52/N49-1</f>
        <v>-8.9574722058534895E-2</v>
      </c>
      <c r="P52" s="129" t="s">
        <v>1403</v>
      </c>
      <c r="Q52" s="116">
        <f>봉합재!Q52+'충전재 치과용'!Q52</f>
        <v>15462770</v>
      </c>
      <c r="R52" s="116">
        <f>봉합재!R52+'충전재 치과용'!R52</f>
        <v>22746436170</v>
      </c>
      <c r="S52" s="116">
        <f>봉합재!S52+'충전재 치과용'!S52</f>
        <v>93056.09</v>
      </c>
      <c r="T52" s="130">
        <f t="shared" si="67"/>
        <v>166.16612625783009</v>
      </c>
      <c r="U52" s="85">
        <f t="shared" ref="U52" si="68">Q50+Q51+Q52</f>
        <v>38123372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481947.85714285716</v>
      </c>
      <c r="G53" s="190">
        <f t="shared" ref="G53" si="69">F53/F52-1</f>
        <v>-0.3142979649090778</v>
      </c>
      <c r="H53" s="190">
        <f t="shared" ref="H53" si="70">F53/F41-1</f>
        <v>-0.13202471650212644</v>
      </c>
      <c r="I53" s="130">
        <f t="shared" ref="I53" si="71">T53</f>
        <v>186.83294419437161</v>
      </c>
      <c r="J53" s="130">
        <f t="shared" ref="J53" si="72">I53/I41-1</f>
        <v>-0.1043555496303995</v>
      </c>
      <c r="K53" s="136"/>
      <c r="L53" s="190"/>
      <c r="M53" s="190"/>
      <c r="N53" s="191"/>
      <c r="O53" s="192"/>
      <c r="P53" s="129" t="s">
        <v>1414</v>
      </c>
      <c r="Q53" s="116">
        <f>봉합재!Q53+'충전재 치과용'!Q53</f>
        <v>10120905</v>
      </c>
      <c r="R53" s="116">
        <f>봉합재!R53+'충전재 치과용'!R53</f>
        <v>14767444798</v>
      </c>
      <c r="S53" s="116">
        <f>봉합재!S53+'충전재 치과용'!S53</f>
        <v>54170.879999999997</v>
      </c>
      <c r="T53" s="130">
        <f t="shared" ref="T53" si="73">Q53/S53</f>
        <v>186.83294419437161</v>
      </c>
      <c r="U53" s="85">
        <f t="shared" ref="U53" si="74">Q51+Q52+Q53</f>
        <v>38835945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486583.1176470588</v>
      </c>
      <c r="G54" s="190">
        <f t="shared" ref="G54" si="75">F54/F53-1</f>
        <v>9.6177634893552799E-3</v>
      </c>
      <c r="H54" s="190">
        <f t="shared" ref="H54" si="76">F54/F42-1</f>
        <v>-0.12740285447967792</v>
      </c>
      <c r="I54" s="130">
        <f t="shared" ref="I54" si="77">T54</f>
        <v>219.02111992670979</v>
      </c>
      <c r="J54" s="130">
        <f t="shared" ref="J54" si="78">I54/I42-1</f>
        <v>7.9543304054634945E-2</v>
      </c>
      <c r="K54" s="136"/>
      <c r="L54" s="190"/>
      <c r="M54" s="190"/>
      <c r="N54" s="191"/>
      <c r="O54" s="192"/>
      <c r="P54" s="129" t="s">
        <v>1417</v>
      </c>
      <c r="Q54" s="116">
        <f>봉합재!Q54+'충전재 치과용'!Q54</f>
        <v>8271913</v>
      </c>
      <c r="R54" s="116">
        <f>봉합재!R54+'충전재 치과용'!R54</f>
        <v>11983218816</v>
      </c>
      <c r="S54" s="116">
        <f>봉합재!S54+'충전재 치과용'!S54</f>
        <v>37767.649999999994</v>
      </c>
      <c r="T54" s="130">
        <f t="shared" ref="T54" si="79">Q54/S54</f>
        <v>219.02111992670979</v>
      </c>
      <c r="U54" s="85">
        <f t="shared" ref="U54" si="80">Q52+Q53+Q54</f>
        <v>33855588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1523075.8319327731</v>
      </c>
      <c r="C55" s="188">
        <f>AVERAGE(F53:F55)</f>
        <v>507691.94397759106</v>
      </c>
      <c r="D55" s="190">
        <f>C55/C52-1</f>
        <v>-0.19335095958049964</v>
      </c>
      <c r="E55" s="287">
        <f>C55/C43-1</f>
        <v>-0.12477518451370917</v>
      </c>
      <c r="F55" s="136">
        <f>Q55/21</f>
        <v>554544.85714285716</v>
      </c>
      <c r="G55" s="190">
        <f t="shared" ref="G55" si="81">F55/F54-1</f>
        <v>0.13967138815756064</v>
      </c>
      <c r="H55" s="190">
        <f t="shared" ref="H55" si="82">F55/F43-1</f>
        <v>-0.11602284678056352</v>
      </c>
      <c r="I55" s="130">
        <f>T55</f>
        <v>188.95925936623084</v>
      </c>
      <c r="J55" s="130">
        <f t="shared" ref="J55" si="83">I55/I43-1</f>
        <v>-6.1552804212972156E-2</v>
      </c>
      <c r="K55" s="136">
        <f>R53+R54+R55</f>
        <v>43963204971</v>
      </c>
      <c r="L55" s="190">
        <f>U55/U52-1</f>
        <v>-0.21207756753521179</v>
      </c>
      <c r="M55" s="190">
        <f>K55/K43-1</f>
        <v>-0.10151810758999336</v>
      </c>
      <c r="N55" s="191">
        <f>AVERAGE(T53:T55)</f>
        <v>198.27110782910407</v>
      </c>
      <c r="O55" s="192">
        <f>N55/N52-1</f>
        <v>0.12039458604561681</v>
      </c>
      <c r="P55" s="129" t="s">
        <v>1418</v>
      </c>
      <c r="Q55" s="116">
        <f>봉합재!Q55+'충전재 치과용'!Q55</f>
        <v>11645442</v>
      </c>
      <c r="R55" s="116">
        <f>봉합재!R55+'충전재 치과용'!R55</f>
        <v>17212541357</v>
      </c>
      <c r="S55" s="116">
        <f>봉합재!S55+'충전재 치과용'!S55</f>
        <v>61629.380000000005</v>
      </c>
      <c r="T55" s="130">
        <f t="shared" ref="T55" si="84">Q55/S55</f>
        <v>188.95925936623084</v>
      </c>
      <c r="U55" s="85">
        <f t="shared" ref="U55" si="85">Q53+Q54+Q55</f>
        <v>30038260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478450.5</v>
      </c>
      <c r="G56" s="190">
        <f t="shared" ref="G56" si="86">F56/F55-1</f>
        <v>-0.13721948037695786</v>
      </c>
      <c r="H56" s="190">
        <f t="shared" ref="H56" si="87">F56/F44-1</f>
        <v>-0.10354332479054962</v>
      </c>
      <c r="I56" s="291">
        <f>T56</f>
        <v>199.21975074419407</v>
      </c>
      <c r="J56" s="130">
        <f t="shared" ref="J56" si="88">I56/I44-1</f>
        <v>-0.16569725023375437</v>
      </c>
      <c r="K56" s="136"/>
      <c r="L56" s="190"/>
      <c r="M56" s="190"/>
      <c r="N56" s="191"/>
      <c r="O56" s="192"/>
      <c r="P56" s="129" t="s">
        <v>1420</v>
      </c>
      <c r="Q56" s="116">
        <f>봉합재!Q56+'충전재 치과용'!Q56</f>
        <v>10525911</v>
      </c>
      <c r="R56" s="116">
        <f>봉합재!R56+'충전재 치과용'!R56</f>
        <v>15700554648</v>
      </c>
      <c r="S56" s="116">
        <f>봉합재!S56+'충전재 치과용'!S56</f>
        <v>52835.68</v>
      </c>
      <c r="T56" s="130">
        <f t="shared" ref="T56" si="89">Q56/S56</f>
        <v>199.21975074419407</v>
      </c>
      <c r="U56" s="85">
        <f t="shared" ref="U56" si="90">Q54+Q55+Q56</f>
        <v>30443266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459799</v>
      </c>
      <c r="G57" s="254">
        <f t="shared" ref="G57" si="91">F57/F56-1</f>
        <v>-3.8983134096421623E-2</v>
      </c>
      <c r="H57" s="254">
        <f t="shared" ref="H57" si="92">F57/F45-1</f>
        <v>-0.15833588841244928</v>
      </c>
      <c r="I57" s="282">
        <f>T57</f>
        <v>183.45795862345054</v>
      </c>
      <c r="J57" s="277">
        <f t="shared" ref="J57" si="93">I57/I45-1</f>
        <v>-7.0782362615901873E-2</v>
      </c>
      <c r="K57" s="204"/>
      <c r="L57" s="254"/>
      <c r="M57" s="254"/>
      <c r="N57" s="257"/>
      <c r="O57" s="258"/>
      <c r="P57" s="129" t="s">
        <v>1436</v>
      </c>
      <c r="Q57" s="116">
        <f>봉합재!Q57+'충전재 치과용'!Q57</f>
        <v>5517588</v>
      </c>
      <c r="R57" s="116">
        <f>봉합재!R57+'충전재 치과용'!R57</f>
        <v>8135396386</v>
      </c>
      <c r="S57" s="116">
        <f>봉합재!S57+'충전재 치과용'!S57</f>
        <v>30075.489999999998</v>
      </c>
      <c r="T57" s="130">
        <f t="shared" ref="T57" si="94">Q57/S57</f>
        <v>183.45795862345054</v>
      </c>
      <c r="U57" s="85">
        <f t="shared" ref="U57" si="95">Q55+Q56+Q57</f>
        <v>27688941</v>
      </c>
      <c r="V57" s="79"/>
      <c r="W57" s="79"/>
      <c r="X57" s="79"/>
      <c r="Y57" s="79"/>
      <c r="Z57" s="79"/>
    </row>
    <row r="58" spans="1:26">
      <c r="B58" s="196">
        <f>SUM(F56:F58)</f>
        <v>938249.5</v>
      </c>
      <c r="C58" s="196">
        <f>AVERAGE(F56:F58)</f>
        <v>469124.75</v>
      </c>
      <c r="D58" s="197">
        <f>C58/C55-1</f>
        <v>-7.5965739529822773E-2</v>
      </c>
      <c r="E58" s="233">
        <f>C58/C46-1</f>
        <v>-0.17954243460206731</v>
      </c>
    </row>
  </sheetData>
  <phoneticPr fontId="1" type="noConversion"/>
  <conditionalFormatting sqref="C29:C30">
    <cfRule type="cellIs" dxfId="9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Z71"/>
  <sheetViews>
    <sheetView topLeftCell="B1"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3006101020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192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299</v>
      </c>
      <c r="H4" s="172" t="s">
        <v>260</v>
      </c>
      <c r="I4" s="84" t="s">
        <v>45</v>
      </c>
      <c r="J4" s="84" t="s">
        <v>1268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236217.3</v>
      </c>
      <c r="G5" s="90"/>
      <c r="H5" s="90"/>
      <c r="I5" s="130">
        <f t="shared" ref="I5:I49" si="0">T5</f>
        <v>581.29127277962141</v>
      </c>
      <c r="J5" s="130"/>
      <c r="L5" s="80"/>
      <c r="M5" s="80"/>
      <c r="P5" s="129" t="s">
        <v>0</v>
      </c>
      <c r="Q5" s="116">
        <v>4724346</v>
      </c>
      <c r="R5" s="116"/>
      <c r="S5" s="116">
        <v>8127.33</v>
      </c>
      <c r="T5" s="130">
        <f t="shared" ref="T5:T11" si="1">Q5/S5</f>
        <v>581.29127277962141</v>
      </c>
      <c r="U5" s="85"/>
    </row>
    <row r="6" spans="1:21" ht="15" hidden="1" customHeight="1">
      <c r="A6" s="129" t="s">
        <v>1</v>
      </c>
      <c r="C6" s="79"/>
      <c r="F6" s="78">
        <f>Q6/18</f>
        <v>214897.5</v>
      </c>
      <c r="G6" s="90">
        <f t="shared" ref="G6:G22" si="2">F6/F5-1</f>
        <v>-9.0255032125081347E-2</v>
      </c>
      <c r="H6" s="90"/>
      <c r="I6" s="130">
        <f t="shared" si="0"/>
        <v>583.11814000606012</v>
      </c>
      <c r="J6" s="130"/>
      <c r="P6" s="129" t="s">
        <v>1</v>
      </c>
      <c r="Q6" s="116">
        <v>3868155</v>
      </c>
      <c r="R6" s="116"/>
      <c r="S6" s="116">
        <v>6633.57</v>
      </c>
      <c r="T6" s="130">
        <f t="shared" si="1"/>
        <v>583.11814000606012</v>
      </c>
      <c r="U6" s="85"/>
    </row>
    <row r="7" spans="1:21" ht="15" hidden="1" customHeight="1">
      <c r="A7" s="129" t="s">
        <v>2</v>
      </c>
      <c r="B7" s="131">
        <f>F5+F6+F7</f>
        <v>714217.16363636358</v>
      </c>
      <c r="C7" s="131">
        <f>AVERAGE(F5:F7)</f>
        <v>238072.38787878785</v>
      </c>
      <c r="F7" s="78">
        <f>Q7/22</f>
        <v>263102.36363636365</v>
      </c>
      <c r="G7" s="90">
        <f t="shared" si="2"/>
        <v>0.22431560923865401</v>
      </c>
      <c r="H7" s="90"/>
      <c r="I7" s="130">
        <f t="shared" si="0"/>
        <v>658.8909985839241</v>
      </c>
      <c r="J7" s="130"/>
      <c r="K7" s="79">
        <f>R5+R6+R7</f>
        <v>0</v>
      </c>
      <c r="N7" s="88">
        <f>AVERAGE(T5:T7)</f>
        <v>607.7668037898685</v>
      </c>
      <c r="P7" s="129" t="s">
        <v>2</v>
      </c>
      <c r="Q7" s="116">
        <v>5788252</v>
      </c>
      <c r="R7" s="116"/>
      <c r="S7" s="116">
        <v>8784.84</v>
      </c>
      <c r="T7" s="130">
        <f t="shared" si="1"/>
        <v>658.8909985839241</v>
      </c>
      <c r="U7" s="85">
        <f>Q5+Q6+Q7</f>
        <v>14380753</v>
      </c>
    </row>
    <row r="8" spans="1:21" ht="15" hidden="1" customHeight="1">
      <c r="A8" s="129" t="s">
        <v>3</v>
      </c>
      <c r="C8" s="79"/>
      <c r="F8" s="78">
        <f>Q8/21</f>
        <v>310145.95238095237</v>
      </c>
      <c r="G8" s="90">
        <f t="shared" si="2"/>
        <v>0.17880336799105367</v>
      </c>
      <c r="H8" s="90"/>
      <c r="I8" s="130">
        <f t="shared" si="0"/>
        <v>585.17999069184066</v>
      </c>
      <c r="J8" s="130"/>
      <c r="K8" s="78"/>
      <c r="P8" s="129" t="s">
        <v>3</v>
      </c>
      <c r="Q8" s="116">
        <v>6513065</v>
      </c>
      <c r="R8" s="116"/>
      <c r="S8" s="116">
        <v>11130.02</v>
      </c>
      <c r="T8" s="130">
        <f t="shared" si="1"/>
        <v>585.17999069184066</v>
      </c>
      <c r="U8" s="85"/>
    </row>
    <row r="9" spans="1:21" ht="15" hidden="1" customHeight="1">
      <c r="A9" s="129" t="s">
        <v>4</v>
      </c>
      <c r="C9" s="79"/>
      <c r="F9" s="78">
        <f>Q9/21</f>
        <v>268375.66666666669</v>
      </c>
      <c r="G9" s="90">
        <f t="shared" si="2"/>
        <v>-0.13467944815536148</v>
      </c>
      <c r="H9" s="90"/>
      <c r="I9" s="130">
        <f t="shared" si="0"/>
        <v>566.49615828431513</v>
      </c>
      <c r="J9" s="130"/>
      <c r="K9" s="78"/>
      <c r="P9" s="129" t="s">
        <v>4</v>
      </c>
      <c r="Q9" s="116">
        <v>5635889</v>
      </c>
      <c r="R9" s="116"/>
      <c r="S9" s="116">
        <v>9948.68</v>
      </c>
      <c r="T9" s="130">
        <f t="shared" si="1"/>
        <v>566.49615828431513</v>
      </c>
      <c r="U9" s="85"/>
    </row>
    <row r="10" spans="1:21" ht="15" hidden="1" customHeight="1">
      <c r="A10" s="129" t="s">
        <v>5</v>
      </c>
      <c r="B10" s="131">
        <f>F8+F9+F10</f>
        <v>907528.38095238095</v>
      </c>
      <c r="C10" s="131">
        <f>AVERAGE(F8:F10)</f>
        <v>302509.4603174603</v>
      </c>
      <c r="D10" s="90">
        <f>C10/C7-1</f>
        <v>0.27066167988989931</v>
      </c>
      <c r="E10" s="286"/>
      <c r="F10" s="78">
        <f>Q10/21</f>
        <v>329006.76190476189</v>
      </c>
      <c r="G10" s="90">
        <f t="shared" si="2"/>
        <v>0.22591875035154163</v>
      </c>
      <c r="H10" s="90"/>
      <c r="I10" s="130">
        <f t="shared" si="0"/>
        <v>624.34356715237777</v>
      </c>
      <c r="J10" s="130"/>
      <c r="K10" s="79">
        <f>R8+R9+R10</f>
        <v>0</v>
      </c>
      <c r="L10" s="87">
        <f>U10/U7-1</f>
        <v>0.32525021464453219</v>
      </c>
      <c r="N10" s="88">
        <f>AVERAGE(T8:T10)</f>
        <v>592.00657204284448</v>
      </c>
      <c r="O10" s="89">
        <f>N10/N7-1</f>
        <v>-2.5931379681725764E-2</v>
      </c>
      <c r="P10" s="129" t="s">
        <v>5</v>
      </c>
      <c r="Q10" s="116">
        <v>6909142</v>
      </c>
      <c r="R10" s="116"/>
      <c r="S10" s="116">
        <v>11066.25</v>
      </c>
      <c r="T10" s="130">
        <f t="shared" si="1"/>
        <v>624.34356715237777</v>
      </c>
      <c r="U10" s="85">
        <f>Q8+Q9+Q10</f>
        <v>19058096</v>
      </c>
    </row>
    <row r="11" spans="1:21" ht="15" hidden="1" customHeight="1">
      <c r="A11" s="129" t="s">
        <v>6</v>
      </c>
      <c r="C11" s="79"/>
      <c r="F11" s="78">
        <f>Q11/21</f>
        <v>365828.66666666669</v>
      </c>
      <c r="G11" s="90">
        <f t="shared" si="2"/>
        <v>0.11191838291932643</v>
      </c>
      <c r="H11" s="90"/>
      <c r="I11" s="130">
        <f t="shared" si="0"/>
        <v>636.25749108027253</v>
      </c>
      <c r="J11" s="130"/>
      <c r="K11" s="78"/>
      <c r="O11" s="89"/>
      <c r="P11" s="129" t="s">
        <v>6</v>
      </c>
      <c r="Q11" s="116">
        <v>7682402</v>
      </c>
      <c r="R11" s="116"/>
      <c r="S11" s="116">
        <v>12074.36</v>
      </c>
      <c r="T11" s="130">
        <f t="shared" si="1"/>
        <v>636.25749108027253</v>
      </c>
      <c r="U11" s="85"/>
    </row>
    <row r="12" spans="1:21" ht="15" hidden="1" customHeight="1">
      <c r="A12" s="129" t="s">
        <v>7</v>
      </c>
      <c r="C12" s="79"/>
      <c r="F12" s="78">
        <f>Q12/22</f>
        <v>223213.54545454544</v>
      </c>
      <c r="G12" s="90">
        <f t="shared" si="2"/>
        <v>-0.38984129513849264</v>
      </c>
      <c r="H12" s="90"/>
      <c r="I12" s="130">
        <f t="shared" si="0"/>
        <v>643.34086192801897</v>
      </c>
      <c r="J12" s="130"/>
      <c r="K12" s="78"/>
      <c r="O12" s="89"/>
      <c r="P12" s="129" t="s">
        <v>7</v>
      </c>
      <c r="Q12" s="116">
        <v>4910698</v>
      </c>
      <c r="R12" s="116"/>
      <c r="S12" s="116">
        <v>7633.12</v>
      </c>
      <c r="T12" s="130">
        <f>Q12/S12</f>
        <v>643.34086192801897</v>
      </c>
      <c r="U12" s="85"/>
    </row>
    <row r="13" spans="1:21" ht="15" hidden="1" customHeight="1">
      <c r="A13" s="129" t="s">
        <v>96</v>
      </c>
      <c r="B13" s="131">
        <f>F11+F12+F13</f>
        <v>845467.0121212122</v>
      </c>
      <c r="C13" s="131">
        <f>AVERAGE(F11:F13)</f>
        <v>281822.33737373742</v>
      </c>
      <c r="D13" s="90">
        <f>C13/C10-1</f>
        <v>-6.8385044626417146E-2</v>
      </c>
      <c r="E13" s="286"/>
      <c r="F13" s="78">
        <f>Q13/20</f>
        <v>256424.8</v>
      </c>
      <c r="G13" s="90">
        <f t="shared" si="2"/>
        <v>0.14878691379514675</v>
      </c>
      <c r="H13" s="90"/>
      <c r="I13" s="130">
        <f t="shared" si="0"/>
        <v>617.21140816017066</v>
      </c>
      <c r="J13" s="130"/>
      <c r="K13" s="78">
        <f>R11+R12+R13</f>
        <v>0</v>
      </c>
      <c r="L13" s="87">
        <f>U13/U10-1</f>
        <v>-7.0127676972558062E-2</v>
      </c>
      <c r="N13" s="88">
        <f>AVERAGE(T11:T13)</f>
        <v>632.26992038948731</v>
      </c>
      <c r="O13" s="89">
        <f>N13/N10-1</f>
        <v>6.8011657721476881E-2</v>
      </c>
      <c r="P13" s="129" t="s">
        <v>96</v>
      </c>
      <c r="Q13" s="116">
        <v>5128496</v>
      </c>
      <c r="R13" s="116"/>
      <c r="S13" s="116">
        <v>8309.14</v>
      </c>
      <c r="T13" s="130">
        <f>Q13/S13</f>
        <v>617.21140816017066</v>
      </c>
      <c r="U13" s="85">
        <f>Q11+Q12+Q13</f>
        <v>17721596</v>
      </c>
    </row>
    <row r="14" spans="1:21" ht="15" hidden="1" customHeight="1">
      <c r="A14" s="129" t="s">
        <v>97</v>
      </c>
      <c r="C14" s="79"/>
      <c r="F14" s="78">
        <f>Q14/20</f>
        <v>243723.5</v>
      </c>
      <c r="G14" s="90">
        <f t="shared" si="2"/>
        <v>-4.953226053018267E-2</v>
      </c>
      <c r="H14" s="90"/>
      <c r="I14" s="130">
        <f t="shared" si="0"/>
        <v>498.48903051493636</v>
      </c>
      <c r="J14" s="130"/>
      <c r="O14" s="89"/>
      <c r="P14" s="129" t="s">
        <v>97</v>
      </c>
      <c r="Q14" s="116">
        <v>4874470</v>
      </c>
      <c r="R14" s="116"/>
      <c r="S14" s="116">
        <v>9778.49</v>
      </c>
      <c r="T14" s="130">
        <f>Q14/S14</f>
        <v>498.48903051493636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277997.95454545453</v>
      </c>
      <c r="G15" s="90">
        <f t="shared" si="2"/>
        <v>0.14062843568820615</v>
      </c>
      <c r="H15" s="90"/>
      <c r="I15" s="130">
        <f t="shared" si="0"/>
        <v>598.92171753523678</v>
      </c>
      <c r="J15" s="130"/>
      <c r="O15" s="89"/>
      <c r="P15" s="129" t="s">
        <v>98</v>
      </c>
      <c r="Q15" s="116">
        <v>6115955</v>
      </c>
      <c r="R15" s="116"/>
      <c r="S15" s="116">
        <v>10211.61</v>
      </c>
      <c r="T15" s="130">
        <f t="shared" ref="T15:T23" si="3">Q15/S15</f>
        <v>598.92171753523678</v>
      </c>
      <c r="U15" s="85"/>
    </row>
    <row r="16" spans="1:21" ht="15" hidden="1" customHeight="1">
      <c r="A16" s="129" t="s">
        <v>99</v>
      </c>
      <c r="B16" s="131">
        <f>F14+F15+F16</f>
        <v>777941.81818181812</v>
      </c>
      <c r="C16" s="131">
        <f>AVERAGE(F14:F16)</f>
        <v>259313.93939393936</v>
      </c>
      <c r="D16" s="90">
        <f>C16/C13-1</f>
        <v>-7.9867331275266018E-2</v>
      </c>
      <c r="E16" s="286"/>
      <c r="F16" s="78">
        <f>Q16/22</f>
        <v>256220.36363636365</v>
      </c>
      <c r="G16" s="90">
        <f t="shared" si="2"/>
        <v>-7.833723433216877E-2</v>
      </c>
      <c r="H16" s="90"/>
      <c r="I16" s="130">
        <f t="shared" si="0"/>
        <v>598.14132942272545</v>
      </c>
      <c r="J16" s="130"/>
      <c r="K16" s="78">
        <f>R14+R15+R16</f>
        <v>0</v>
      </c>
      <c r="L16" s="87">
        <f>U16/U13-1</f>
        <v>-6.1750815220028676E-2</v>
      </c>
      <c r="N16" s="88">
        <f>AVERAGE(T14:T16)</f>
        <v>565.18402582429951</v>
      </c>
      <c r="O16" s="89">
        <f>N16/N13-1</f>
        <v>-0.1061032517945214</v>
      </c>
      <c r="P16" s="129" t="s">
        <v>99</v>
      </c>
      <c r="Q16" s="116">
        <v>5636848</v>
      </c>
      <c r="R16" s="116"/>
      <c r="S16" s="116">
        <v>9423.94</v>
      </c>
      <c r="T16" s="130">
        <f t="shared" si="3"/>
        <v>598.14132942272545</v>
      </c>
      <c r="U16" s="85">
        <f>Q14+Q15+Q16</f>
        <v>16627273</v>
      </c>
    </row>
    <row r="17" spans="1:21" ht="15" hidden="1" customHeight="1">
      <c r="A17" s="129" t="s">
        <v>100</v>
      </c>
      <c r="C17" s="79"/>
      <c r="F17" s="78">
        <f>Q17/20</f>
        <v>276371.5</v>
      </c>
      <c r="G17" s="90">
        <f t="shared" si="2"/>
        <v>7.8647676857704907E-2</v>
      </c>
      <c r="H17" s="90">
        <f t="shared" ref="H17:H22" si="4">F17/F5-1</f>
        <v>0.16998839627749529</v>
      </c>
      <c r="I17" s="130">
        <f t="shared" si="0"/>
        <v>650.86246992924328</v>
      </c>
      <c r="J17" s="130">
        <f t="shared" ref="J17:J49" si="5">I17/I5-1</f>
        <v>0.11968388380741724</v>
      </c>
      <c r="O17" s="89"/>
      <c r="P17" s="129" t="s">
        <v>100</v>
      </c>
      <c r="Q17" s="116">
        <v>5527430</v>
      </c>
      <c r="R17" s="116">
        <v>6955752889</v>
      </c>
      <c r="S17" s="116">
        <v>8492.4699999999993</v>
      </c>
      <c r="T17" s="130">
        <f t="shared" si="3"/>
        <v>650.86246992924328</v>
      </c>
      <c r="U17" s="78"/>
    </row>
    <row r="18" spans="1:21" ht="15" hidden="1" customHeight="1">
      <c r="A18" s="129" t="s">
        <v>106</v>
      </c>
      <c r="C18" s="79"/>
      <c r="F18" s="78">
        <f>Q18/20</f>
        <v>243624.95</v>
      </c>
      <c r="G18" s="90">
        <f t="shared" si="2"/>
        <v>-0.11848743448582788</v>
      </c>
      <c r="H18" s="90">
        <f t="shared" si="4"/>
        <v>0.13367977756837557</v>
      </c>
      <c r="I18" s="130">
        <f t="shared" si="0"/>
        <v>592.32187792514071</v>
      </c>
      <c r="J18" s="130">
        <f t="shared" si="5"/>
        <v>1.5783659069472433E-2</v>
      </c>
      <c r="O18" s="89"/>
      <c r="P18" s="129" t="s">
        <v>106</v>
      </c>
      <c r="Q18" s="116">
        <v>4872499</v>
      </c>
      <c r="R18" s="116">
        <v>6093120977</v>
      </c>
      <c r="S18" s="116">
        <v>8226.1</v>
      </c>
      <c r="T18" s="130">
        <f t="shared" si="3"/>
        <v>592.32187792514071</v>
      </c>
      <c r="U18" s="78"/>
    </row>
    <row r="19" spans="1:21" hidden="1">
      <c r="A19" s="129" t="s">
        <v>114</v>
      </c>
      <c r="B19" s="131">
        <f>SUM(F17:F19)</f>
        <v>771948.58636363642</v>
      </c>
      <c r="C19" s="131">
        <f>AVERAGE(F17:F19)</f>
        <v>257316.19545454546</v>
      </c>
      <c r="D19" s="90">
        <f>C19/C16-1</f>
        <v>-7.7039589312589696E-3</v>
      </c>
      <c r="E19" s="286">
        <f>C19/C7-1</f>
        <v>8.0831749314647094E-2</v>
      </c>
      <c r="F19" s="78">
        <f>Q19/22</f>
        <v>251952.13636363635</v>
      </c>
      <c r="G19" s="90">
        <f t="shared" si="2"/>
        <v>3.4180351247425023E-2</v>
      </c>
      <c r="H19" s="90">
        <f t="shared" si="4"/>
        <v>-4.2379806546086862E-2</v>
      </c>
      <c r="I19" s="130">
        <f t="shared" si="0"/>
        <v>70.458079774613338</v>
      </c>
      <c r="J19" s="130">
        <f t="shared" si="5"/>
        <v>-0.89306565133528837</v>
      </c>
      <c r="K19" s="78">
        <f>R17+R18+R19</f>
        <v>20297998036</v>
      </c>
      <c r="L19" s="87">
        <f>U19/U16-1</f>
        <v>-4.1161109220976932E-2</v>
      </c>
      <c r="M19" s="87">
        <f>U19/U7-1</f>
        <v>0.10862595303597811</v>
      </c>
      <c r="N19" s="88">
        <f>AVERAGE(T17:T19)</f>
        <v>437.88080920966576</v>
      </c>
      <c r="O19" s="89">
        <f>N19/N16-1</f>
        <v>-0.22524206417364123</v>
      </c>
      <c r="P19" s="129" t="s">
        <v>114</v>
      </c>
      <c r="Q19" s="116">
        <v>5542947</v>
      </c>
      <c r="R19" s="116">
        <v>7249124170</v>
      </c>
      <c r="S19" s="116">
        <v>78670.14</v>
      </c>
      <c r="T19" s="130">
        <f t="shared" si="3"/>
        <v>70.458079774613338</v>
      </c>
      <c r="U19" s="85">
        <f>Q17+Q18+Q19</f>
        <v>15942876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328905.84999999998</v>
      </c>
      <c r="G20" s="90">
        <f t="shared" si="2"/>
        <v>0.30542989135562726</v>
      </c>
      <c r="H20" s="90">
        <f t="shared" si="4"/>
        <v>6.0487320485823393E-2</v>
      </c>
      <c r="I20" s="130">
        <f t="shared" si="0"/>
        <v>669.25665811034503</v>
      </c>
      <c r="J20" s="130">
        <f t="shared" si="5"/>
        <v>0.14367659310958847</v>
      </c>
      <c r="O20" s="89"/>
      <c r="P20" s="129" t="s">
        <v>131</v>
      </c>
      <c r="Q20" s="116">
        <v>6578117</v>
      </c>
      <c r="R20" s="116">
        <v>8620003853</v>
      </c>
      <c r="S20" s="116">
        <v>9828.99</v>
      </c>
      <c r="T20" s="130">
        <f t="shared" si="3"/>
        <v>669.25665811034503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271453.28571428574</v>
      </c>
      <c r="G21" s="90">
        <f t="shared" si="2"/>
        <v>-0.1746778425671488</v>
      </c>
      <c r="H21" s="90">
        <f t="shared" si="4"/>
        <v>1.1467578584319238E-2</v>
      </c>
      <c r="I21" s="130">
        <f t="shared" si="0"/>
        <v>556.13842878856758</v>
      </c>
      <c r="J21" s="130">
        <f t="shared" si="5"/>
        <v>-1.8283847726552782E-2</v>
      </c>
      <c r="O21" s="89"/>
      <c r="P21" s="129" t="s">
        <v>141</v>
      </c>
      <c r="Q21" s="116">
        <v>5700519</v>
      </c>
      <c r="R21" s="116">
        <v>7590122129</v>
      </c>
      <c r="S21" s="116">
        <v>10250.18</v>
      </c>
      <c r="T21" s="130">
        <f t="shared" si="3"/>
        <v>556.13842878856758</v>
      </c>
      <c r="U21" s="78"/>
    </row>
    <row r="22" spans="1:21" hidden="1">
      <c r="A22" s="129" t="s">
        <v>155</v>
      </c>
      <c r="B22" s="131">
        <f>SUM(F20:F22)</f>
        <v>880364.32619047631</v>
      </c>
      <c r="C22" s="131">
        <f>AVERAGE(F20:F22)</f>
        <v>293454.77539682545</v>
      </c>
      <c r="D22" s="90">
        <f>C22/C19-1</f>
        <v>0.14044424945130918</v>
      </c>
      <c r="E22" s="286">
        <f>C22/C10-1</f>
        <v>-2.993190662907752E-2</v>
      </c>
      <c r="F22" s="78">
        <f>Q22/21</f>
        <v>280005.19047619047</v>
      </c>
      <c r="G22" s="90">
        <f t="shared" si="2"/>
        <v>3.1504149008186655E-2</v>
      </c>
      <c r="H22" s="90">
        <f t="shared" si="4"/>
        <v>-0.14893788548563625</v>
      </c>
      <c r="I22" s="130">
        <f t="shared" si="0"/>
        <v>658.92359877675574</v>
      </c>
      <c r="J22" s="130">
        <f t="shared" si="5"/>
        <v>5.5386222336040181E-2</v>
      </c>
      <c r="K22" s="78">
        <f>R20+R21+R22</f>
        <v>23827776618</v>
      </c>
      <c r="L22" s="87">
        <f>U22/U19-1</f>
        <v>0.13898803453028163</v>
      </c>
      <c r="M22" s="87">
        <f>U22/U10-1</f>
        <v>-4.7189971128280606E-2</v>
      </c>
      <c r="N22" s="88">
        <f>AVERAGE(T20:T22)</f>
        <v>628.10622855855615</v>
      </c>
      <c r="O22" s="89">
        <f>N22/N19-1</f>
        <v>0.43442282773759744</v>
      </c>
      <c r="P22" s="129" t="s">
        <v>155</v>
      </c>
      <c r="Q22" s="116">
        <v>5880109</v>
      </c>
      <c r="R22" s="116">
        <v>7617650636</v>
      </c>
      <c r="S22" s="116">
        <v>8923.81</v>
      </c>
      <c r="T22" s="130">
        <f t="shared" si="3"/>
        <v>658.92359877675574</v>
      </c>
      <c r="U22" s="85">
        <f>Q20+Q21+Q22</f>
        <v>18158745</v>
      </c>
    </row>
    <row r="23" spans="1:21" hidden="1">
      <c r="A23" s="129" t="s">
        <v>189</v>
      </c>
      <c r="B23" s="131"/>
      <c r="C23" s="131"/>
      <c r="F23" s="78">
        <f>Q23/21</f>
        <v>253464.90476190476</v>
      </c>
      <c r="G23" s="90">
        <f t="shared" ref="G23" si="6">F23/F22-1</f>
        <v>-9.4784977625414712E-2</v>
      </c>
      <c r="H23" s="90">
        <f t="shared" ref="H23" si="7">F23/F11-1</f>
        <v>-0.30714859753498969</v>
      </c>
      <c r="I23" s="130">
        <f t="shared" si="0"/>
        <v>667.76351362370985</v>
      </c>
      <c r="J23" s="130">
        <f t="shared" si="5"/>
        <v>4.9517723539796332E-2</v>
      </c>
      <c r="O23" s="89"/>
      <c r="P23" s="129" t="s">
        <v>189</v>
      </c>
      <c r="Q23" s="116">
        <v>5322763</v>
      </c>
      <c r="R23" s="116">
        <v>6848113611</v>
      </c>
      <c r="S23" s="116">
        <v>7971.03</v>
      </c>
      <c r="T23" s="130">
        <f t="shared" si="3"/>
        <v>667.76351362370985</v>
      </c>
      <c r="U23" s="78"/>
    </row>
    <row r="24" spans="1:21" hidden="1">
      <c r="A24" s="129" t="s">
        <v>204</v>
      </c>
      <c r="B24" s="131"/>
      <c r="C24" s="131"/>
      <c r="F24" s="78">
        <f>Q24/22</f>
        <v>219027.68181818182</v>
      </c>
      <c r="G24" s="90">
        <f t="shared" ref="G24" si="8">F24/F23-1</f>
        <v>-0.1358658429500208</v>
      </c>
      <c r="H24" s="90">
        <f t="shared" ref="H24" si="9">F24/F12-1</f>
        <v>-1.8752731281785118E-2</v>
      </c>
      <c r="I24" s="130">
        <f t="shared" si="0"/>
        <v>658.26013425826</v>
      </c>
      <c r="J24" s="130">
        <f t="shared" si="5"/>
        <v>2.3190307367590091E-2</v>
      </c>
      <c r="O24" s="89"/>
      <c r="P24" s="129" t="s">
        <v>204</v>
      </c>
      <c r="Q24" s="116">
        <v>4818609</v>
      </c>
      <c r="R24" s="116">
        <v>6339789048</v>
      </c>
      <c r="S24" s="116">
        <v>7320.22</v>
      </c>
      <c r="T24" s="130">
        <f t="shared" ref="T24" si="10">Q24/S24</f>
        <v>658.26013425826</v>
      </c>
      <c r="U24" s="78"/>
    </row>
    <row r="25" spans="1:21" s="79" customFormat="1" ht="13.2" hidden="1">
      <c r="A25" s="129" t="s">
        <v>218</v>
      </c>
      <c r="B25" s="131">
        <f>SUM(F23:F25)</f>
        <v>811062.21815903392</v>
      </c>
      <c r="C25" s="131">
        <f>AVERAGE(F23:F25)</f>
        <v>270354.07271967799</v>
      </c>
      <c r="D25" s="90">
        <f>C25/C22-1</f>
        <v>-7.8719804937266491E-2</v>
      </c>
      <c r="E25" s="286">
        <f>C25/C13-1</f>
        <v>-4.0693242277849873E-2</v>
      </c>
      <c r="F25" s="78">
        <f>Q25/19</f>
        <v>338569.63157894736</v>
      </c>
      <c r="G25" s="90">
        <f t="shared" ref="G25" si="11">F25/F24-1</f>
        <v>0.54578466415034743</v>
      </c>
      <c r="H25" s="90">
        <f t="shared" ref="H25" si="12">F25/F13-1</f>
        <v>0.32034667309459675</v>
      </c>
      <c r="I25" s="130">
        <f t="shared" si="0"/>
        <v>588.78387568291373</v>
      </c>
      <c r="J25" s="130">
        <f t="shared" si="5"/>
        <v>-4.6058015294947019E-2</v>
      </c>
      <c r="K25" s="78">
        <f>R23+R24+R25</f>
        <v>21722382589</v>
      </c>
      <c r="L25" s="90">
        <f>U25/U22-1</f>
        <v>-8.7260986373232319E-2</v>
      </c>
      <c r="M25" s="90">
        <f>U25/U13-1</f>
        <v>-6.4745917918453855E-2</v>
      </c>
      <c r="N25" s="88">
        <f>AVERAGE(T23:T25)</f>
        <v>638.26917452162786</v>
      </c>
      <c r="O25" s="91">
        <f>N25/N22-1</f>
        <v>1.6180298014867089E-2</v>
      </c>
      <c r="P25" s="129" t="s">
        <v>220</v>
      </c>
      <c r="Q25" s="116">
        <v>6432823</v>
      </c>
      <c r="R25" s="116">
        <v>8534479930</v>
      </c>
      <c r="S25" s="116">
        <v>10925.61</v>
      </c>
      <c r="T25" s="130">
        <f t="shared" ref="T25" si="13">Q25/S25</f>
        <v>588.78387568291373</v>
      </c>
      <c r="U25" s="85">
        <f>Q23+Q24+Q25</f>
        <v>16574195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285440</v>
      </c>
      <c r="G26" s="90">
        <f t="shared" ref="G26" si="14">F26/F25-1</f>
        <v>-0.15692379535392154</v>
      </c>
      <c r="H26" s="90">
        <f t="shared" ref="H26" si="15">F26/F14-1</f>
        <v>0.17116322389921357</v>
      </c>
      <c r="I26" s="130">
        <f t="shared" si="0"/>
        <v>531.40551986195931</v>
      </c>
      <c r="J26" s="130">
        <f t="shared" si="5"/>
        <v>6.6032524954501737E-2</v>
      </c>
      <c r="L26" s="90"/>
      <c r="M26" s="90"/>
      <c r="P26" s="129" t="s">
        <v>312</v>
      </c>
      <c r="Q26" s="116">
        <v>5423360</v>
      </c>
      <c r="R26" s="116">
        <v>7318996766</v>
      </c>
      <c r="S26" s="116">
        <v>10205.69</v>
      </c>
      <c r="T26" s="130">
        <f t="shared" ref="T26" si="16">Q26/S26</f>
        <v>531.40551986195931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288390.81818181818</v>
      </c>
      <c r="G27" s="90">
        <f t="shared" ref="G27" si="17">F27/F26-1</f>
        <v>1.0337787912759966E-2</v>
      </c>
      <c r="H27" s="90">
        <f t="shared" ref="H27" si="18">F27/F15-1</f>
        <v>3.7384676636764036E-2</v>
      </c>
      <c r="I27" s="130">
        <f t="shared" si="0"/>
        <v>607.55309603585988</v>
      </c>
      <c r="J27" s="130">
        <f t="shared" si="5"/>
        <v>1.4411530335123102E-2</v>
      </c>
      <c r="L27" s="90"/>
      <c r="M27" s="90"/>
      <c r="P27" s="129" t="s">
        <v>375</v>
      </c>
      <c r="Q27" s="116">
        <v>6344598</v>
      </c>
      <c r="R27" s="116">
        <v>8384029198</v>
      </c>
      <c r="S27" s="116">
        <v>10442.870000000001</v>
      </c>
      <c r="T27" s="130">
        <f t="shared" ref="T27" si="19">Q27/S27</f>
        <v>607.55309603585988</v>
      </c>
      <c r="U27" s="78"/>
    </row>
    <row r="28" spans="1:21" s="79" customFormat="1" ht="13.2" hidden="1">
      <c r="A28" s="123" t="s">
        <v>413</v>
      </c>
      <c r="B28" s="131">
        <f>SUM(F26:F28)</f>
        <v>895427.81818181812</v>
      </c>
      <c r="C28" s="131">
        <f>AVERAGE(F26:F28)</f>
        <v>298475.93939393939</v>
      </c>
      <c r="D28" s="90">
        <f>C28/C25-1</f>
        <v>0.104018653728291</v>
      </c>
      <c r="E28" s="286">
        <f>C28/C16-1</f>
        <v>0.15102157674796923</v>
      </c>
      <c r="F28" s="78">
        <f>Q28/19</f>
        <v>321597</v>
      </c>
      <c r="G28" s="90">
        <f t="shared" ref="G28" si="20">F28/F27-1</f>
        <v>0.11514299251110938</v>
      </c>
      <c r="H28" s="90">
        <f t="shared" ref="H28" si="21">F28/F16-1</f>
        <v>0.25515784708049605</v>
      </c>
      <c r="I28" s="130">
        <f t="shared" si="0"/>
        <v>510.88542929525181</v>
      </c>
      <c r="J28" s="130">
        <f t="shared" si="5"/>
        <v>-0.14587840002911268</v>
      </c>
      <c r="K28" s="78">
        <f>R26+R27+R28</f>
        <v>23672813991</v>
      </c>
      <c r="L28" s="90">
        <f>U28/U25-1</f>
        <v>7.8682916425201865E-2</v>
      </c>
      <c r="M28" s="90">
        <f>U28/U16-1</f>
        <v>7.5239517628657548E-2</v>
      </c>
      <c r="N28" s="88">
        <f>AVERAGE(T26:T28)</f>
        <v>549.94801506435704</v>
      </c>
      <c r="O28" s="91">
        <f>N28/N25-1</f>
        <v>-0.13837603785811226</v>
      </c>
      <c r="P28" s="129" t="s">
        <v>413</v>
      </c>
      <c r="Q28" s="116">
        <v>6110343</v>
      </c>
      <c r="R28" s="116">
        <v>7969788027</v>
      </c>
      <c r="S28" s="116">
        <v>11960.3</v>
      </c>
      <c r="T28" s="130">
        <f t="shared" ref="T28" si="22">Q28/S28</f>
        <v>510.88542929525181</v>
      </c>
      <c r="U28" s="85">
        <f>Q26+Q27+Q28</f>
        <v>17878301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298025.81818181818</v>
      </c>
      <c r="G29" s="190">
        <f t="shared" ref="G29" si="23">F29/F28-1</f>
        <v>-7.3294159516978818E-2</v>
      </c>
      <c r="H29" s="190">
        <f t="shared" ref="H29" si="24">F29/F17-1</f>
        <v>7.8352211359775437E-2</v>
      </c>
      <c r="I29" s="130">
        <f t="shared" si="0"/>
        <v>603.15460431297299</v>
      </c>
      <c r="J29" s="130">
        <f t="shared" si="5"/>
        <v>-7.3299456982758193E-2</v>
      </c>
      <c r="K29" s="136"/>
      <c r="L29" s="190"/>
      <c r="M29" s="190"/>
      <c r="N29" s="191"/>
      <c r="O29" s="192"/>
      <c r="P29" s="129" t="s">
        <v>427</v>
      </c>
      <c r="Q29" s="116">
        <v>6556568</v>
      </c>
      <c r="R29" s="116">
        <v>8607629507</v>
      </c>
      <c r="S29" s="116">
        <v>10870.46</v>
      </c>
      <c r="T29" s="130">
        <f t="shared" ref="T29" si="25">Q29/S29</f>
        <v>603.15460431297299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252679.31578947368</v>
      </c>
      <c r="G30" s="190">
        <f t="shared" ref="G30" si="26">F30/F29-1</f>
        <v>-0.15215628856919949</v>
      </c>
      <c r="H30" s="190">
        <f t="shared" ref="H30" si="27">F30/F18-1</f>
        <v>3.7165182751083936E-2</v>
      </c>
      <c r="I30" s="130">
        <f t="shared" si="0"/>
        <v>537.5987091110245</v>
      </c>
      <c r="J30" s="130">
        <f t="shared" si="5"/>
        <v>-9.2387552872109646E-2</v>
      </c>
      <c r="K30" s="136"/>
      <c r="L30" s="190"/>
      <c r="M30" s="190"/>
      <c r="N30" s="191"/>
      <c r="O30" s="192"/>
      <c r="P30" s="129" t="s">
        <v>466</v>
      </c>
      <c r="Q30" s="116">
        <v>4800907</v>
      </c>
      <c r="R30" s="116">
        <v>6398681395</v>
      </c>
      <c r="S30" s="116">
        <v>8930.2800000000007</v>
      </c>
      <c r="T30" s="130">
        <f t="shared" ref="T30" si="28">Q30/S30</f>
        <v>537.5987091110245</v>
      </c>
      <c r="U30" s="85"/>
    </row>
    <row r="31" spans="1:21" s="79" customFormat="1" ht="13.2" hidden="1">
      <c r="A31" s="129" t="s">
        <v>505</v>
      </c>
      <c r="B31" s="188">
        <f>SUM(F29:F31)</f>
        <v>827543.78397129185</v>
      </c>
      <c r="C31" s="188">
        <f>AVERAGE(F29:F31)</f>
        <v>275847.92799043062</v>
      </c>
      <c r="D31" s="190">
        <f>C31/C28-1</f>
        <v>-7.5811844162230746E-2</v>
      </c>
      <c r="E31" s="287">
        <f>C31/C19-1</f>
        <v>7.2019301012705705E-2</v>
      </c>
      <c r="F31" s="136">
        <f>Q31/20</f>
        <v>276838.65000000002</v>
      </c>
      <c r="G31" s="190">
        <f t="shared" ref="G31" si="29">F31/F30-1</f>
        <v>9.5612631113245916E-2</v>
      </c>
      <c r="H31" s="190">
        <f t="shared" ref="H31" si="30">F31/F19-1</f>
        <v>9.8774767285344955E-2</v>
      </c>
      <c r="I31" s="130">
        <f t="shared" si="0"/>
        <v>699.18902365873828</v>
      </c>
      <c r="J31" s="130">
        <f t="shared" si="5"/>
        <v>8.9234754324182166</v>
      </c>
      <c r="K31" s="136">
        <f>R29+R30+R31</f>
        <v>22358740983</v>
      </c>
      <c r="L31" s="190">
        <f>U31/U28-1</f>
        <v>-5.5041751450543352E-2</v>
      </c>
      <c r="M31" s="190">
        <f>U31/U19-1</f>
        <v>5.967380038582748E-2</v>
      </c>
      <c r="N31" s="191">
        <f>AVERAGE(T29:T31)</f>
        <v>613.31411236091196</v>
      </c>
      <c r="O31" s="192">
        <f>N31/N28-1</f>
        <v>0.11522197655198307</v>
      </c>
      <c r="P31" s="129" t="s">
        <v>528</v>
      </c>
      <c r="Q31" s="116">
        <v>5536773</v>
      </c>
      <c r="R31" s="116">
        <v>7352430081</v>
      </c>
      <c r="S31" s="116">
        <v>7918.85</v>
      </c>
      <c r="T31" s="130">
        <f t="shared" ref="T31" si="31">Q31/S31</f>
        <v>699.18902365873828</v>
      </c>
      <c r="U31" s="85">
        <f>Q29+Q30+Q31</f>
        <v>16894248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281001.14285714284</v>
      </c>
      <c r="G32" s="190">
        <f t="shared" ref="G32" si="32">F32/F31-1</f>
        <v>1.5035808248388793E-2</v>
      </c>
      <c r="H32" s="190">
        <f t="shared" ref="H32" si="33">F32/F20-1</f>
        <v>-0.14564869290970994</v>
      </c>
      <c r="I32" s="130">
        <f t="shared" si="0"/>
        <v>620.61819673338039</v>
      </c>
      <c r="J32" s="130">
        <f t="shared" si="5"/>
        <v>-7.2675349266297928E-2</v>
      </c>
      <c r="K32" s="136"/>
      <c r="L32" s="190"/>
      <c r="M32" s="190"/>
      <c r="N32" s="191"/>
      <c r="O32" s="192"/>
      <c r="P32" s="129" t="s">
        <v>562</v>
      </c>
      <c r="Q32" s="116">
        <v>5901024</v>
      </c>
      <c r="R32" s="116">
        <v>8036633532</v>
      </c>
      <c r="S32" s="116">
        <v>9508.2999999999993</v>
      </c>
      <c r="T32" s="130">
        <f t="shared" ref="T32" si="34">Q32/S32</f>
        <v>620.61819673338039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334925.85714285716</v>
      </c>
      <c r="G33" s="190">
        <f t="shared" ref="G33" si="35">F33/F32-1</f>
        <v>0.19190211732743356</v>
      </c>
      <c r="H33" s="190">
        <f t="shared" ref="H33" si="36">F33/F21-1</f>
        <v>0.23382502540558137</v>
      </c>
      <c r="I33" s="130">
        <f t="shared" si="0"/>
        <v>525.95888162445476</v>
      </c>
      <c r="J33" s="130">
        <f t="shared" si="5"/>
        <v>-5.4266250274868977E-2</v>
      </c>
      <c r="K33" s="136"/>
      <c r="L33" s="190"/>
      <c r="M33" s="190"/>
      <c r="N33" s="191"/>
      <c r="O33" s="192"/>
      <c r="P33" s="129" t="s">
        <v>607</v>
      </c>
      <c r="Q33" s="116">
        <v>7033443</v>
      </c>
      <c r="R33" s="116">
        <v>9609806217</v>
      </c>
      <c r="S33" s="116">
        <v>13372.61</v>
      </c>
      <c r="T33" s="130">
        <f t="shared" ref="T33" si="37">Q33/S33</f>
        <v>525.95888162445476</v>
      </c>
      <c r="U33" s="85"/>
    </row>
    <row r="34" spans="1:21" s="79" customFormat="1" ht="13.2" hidden="1">
      <c r="A34" s="129" t="s">
        <v>652</v>
      </c>
      <c r="B34" s="188">
        <f>SUM(F32:F34)</f>
        <v>961804.84210526315</v>
      </c>
      <c r="C34" s="188">
        <f>AVERAGE(F32:F34)</f>
        <v>320601.6140350877</v>
      </c>
      <c r="D34" s="190">
        <f>C34/C31-1</f>
        <v>0.16224042852411635</v>
      </c>
      <c r="E34" s="287">
        <f>C34/C22-1</f>
        <v>9.2507741956329825E-2</v>
      </c>
      <c r="F34" s="136">
        <f>Q34/19</f>
        <v>345877.84210526315</v>
      </c>
      <c r="G34" s="190">
        <f t="shared" ref="G34" si="38">F34/F33-1</f>
        <v>3.2699729593390625E-2</v>
      </c>
      <c r="H34" s="190">
        <f t="shared" ref="H34" si="39">F34/F22-1</f>
        <v>0.235255109082251</v>
      </c>
      <c r="I34" s="130">
        <f t="shared" si="0"/>
        <v>646.9276817259597</v>
      </c>
      <c r="J34" s="130">
        <f t="shared" si="5"/>
        <v>-1.8205323155925157E-2</v>
      </c>
      <c r="K34" s="136">
        <f>R32+R33+R34</f>
        <v>26688625322</v>
      </c>
      <c r="L34" s="190">
        <f>U34/U31-1</f>
        <v>0.15460279735446059</v>
      </c>
      <c r="M34" s="190">
        <f>U34/U22-1</f>
        <v>7.420121820092751E-2</v>
      </c>
      <c r="N34" s="191">
        <f>AVERAGE(T32:T34)</f>
        <v>597.83492002793162</v>
      </c>
      <c r="O34" s="192">
        <f>N34/N31-1</f>
        <v>-2.5238604527448749E-2</v>
      </c>
      <c r="P34" s="129" t="s">
        <v>652</v>
      </c>
      <c r="Q34" s="116">
        <v>6571679</v>
      </c>
      <c r="R34" s="116">
        <v>9042185573</v>
      </c>
      <c r="S34" s="116">
        <v>10158.290000000001</v>
      </c>
      <c r="T34" s="130">
        <f t="shared" ref="T34" si="40">Q34/S34</f>
        <v>646.9276817259597</v>
      </c>
      <c r="U34" s="85">
        <f>Q32+Q33+Q34</f>
        <v>19506146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267978.08695652173</v>
      </c>
      <c r="G35" s="190">
        <f t="shared" ref="G35" si="41">F35/F34-1</f>
        <v>-0.22522331778927229</v>
      </c>
      <c r="H35" s="190">
        <f t="shared" ref="H35" si="42">F35/F23-1</f>
        <v>5.7259138925959352E-2</v>
      </c>
      <c r="I35" s="130">
        <f t="shared" si="0"/>
        <v>626.31298699715069</v>
      </c>
      <c r="J35" s="130">
        <f t="shared" si="5"/>
        <v>-6.2073661978957584E-2</v>
      </c>
      <c r="K35" s="136"/>
      <c r="L35" s="190"/>
      <c r="M35" s="190"/>
      <c r="N35" s="191"/>
      <c r="O35" s="192"/>
      <c r="P35" s="129" t="s">
        <v>660</v>
      </c>
      <c r="Q35" s="116">
        <v>6163496</v>
      </c>
      <c r="R35" s="116">
        <v>8530906587</v>
      </c>
      <c r="S35" s="116">
        <v>9840.92</v>
      </c>
      <c r="T35" s="130">
        <f t="shared" ref="T35" si="43">Q35/S35</f>
        <v>626.31298699715069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272480.57142857142</v>
      </c>
      <c r="G36" s="190">
        <f t="shared" ref="G36" si="44">F36/F35-1</f>
        <v>1.6801688985787155E-2</v>
      </c>
      <c r="H36" s="190">
        <f t="shared" ref="H36" si="45">F36/F24-1</f>
        <v>0.24404627381648347</v>
      </c>
      <c r="I36" s="130">
        <f t="shared" si="0"/>
        <v>583.31790620578295</v>
      </c>
      <c r="J36" s="130">
        <f t="shared" si="5"/>
        <v>-0.1138489544667981</v>
      </c>
      <c r="K36" s="136"/>
      <c r="L36" s="190"/>
      <c r="M36" s="190"/>
      <c r="N36" s="191"/>
      <c r="O36" s="192"/>
      <c r="P36" s="129" t="s">
        <v>666</v>
      </c>
      <c r="Q36" s="116">
        <v>5722092</v>
      </c>
      <c r="R36" s="116">
        <v>7784037210</v>
      </c>
      <c r="S36" s="116">
        <v>9809.56</v>
      </c>
      <c r="T36" s="130">
        <f t="shared" ref="T36" si="46">Q36/S36</f>
        <v>583.31790620578295</v>
      </c>
      <c r="U36" s="85"/>
    </row>
    <row r="37" spans="1:21" s="79" customFormat="1" ht="13.2" hidden="1">
      <c r="A37" s="129" t="s">
        <v>702</v>
      </c>
      <c r="B37" s="188">
        <f>SUM(F35:F37)</f>
        <v>832818.65838509309</v>
      </c>
      <c r="C37" s="188">
        <f>AVERAGE(F35:F37)</f>
        <v>277606.21946169768</v>
      </c>
      <c r="D37" s="190">
        <f>C37/C34-1</f>
        <v>-0.13410847822083782</v>
      </c>
      <c r="E37" s="287">
        <f>C37/C25-1</f>
        <v>2.6824625458996554E-2</v>
      </c>
      <c r="F37" s="136">
        <f>Q37/18</f>
        <v>292360</v>
      </c>
      <c r="G37" s="190">
        <f t="shared" ref="G37" si="47">F37/F36-1</f>
        <v>7.2957233123829512E-2</v>
      </c>
      <c r="H37" s="190">
        <f t="shared" ref="H37" si="48">F37/F25-1</f>
        <v>-0.1364848683074289</v>
      </c>
      <c r="I37" s="130">
        <f t="shared" si="0"/>
        <v>611.27373086894704</v>
      </c>
      <c r="J37" s="130">
        <f t="shared" si="5"/>
        <v>3.8197131604441381E-2</v>
      </c>
      <c r="K37" s="136">
        <f>R35+R36+R37</f>
        <v>23333426130</v>
      </c>
      <c r="L37" s="190">
        <f>U37/U34-1</f>
        <v>-0.12088897519786845</v>
      </c>
      <c r="M37" s="190">
        <f>U37/U25-1</f>
        <v>3.4624487041452046E-2</v>
      </c>
      <c r="N37" s="191">
        <f>AVERAGE(T35:T37)</f>
        <v>606.9682080239603</v>
      </c>
      <c r="O37" s="192">
        <f>N37/N34-1</f>
        <v>1.5277274194023249E-2</v>
      </c>
      <c r="P37" s="129" t="s">
        <v>702</v>
      </c>
      <c r="Q37" s="116">
        <v>5262480</v>
      </c>
      <c r="R37" s="116">
        <v>7018482333</v>
      </c>
      <c r="S37" s="116">
        <v>8609.0400000000009</v>
      </c>
      <c r="T37" s="130">
        <f t="shared" ref="T37" si="49">Q37/S37</f>
        <v>611.27373086894704</v>
      </c>
      <c r="U37" s="85">
        <f>Q35+Q36+Q37</f>
        <v>17148068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270988.55</v>
      </c>
      <c r="G38" s="190">
        <f t="shared" ref="G38" si="50">F38/F37-1</f>
        <v>-7.309977425092351E-2</v>
      </c>
      <c r="H38" s="190">
        <f t="shared" ref="H38" si="51">F38/F26-1</f>
        <v>-5.0628678531390192E-2</v>
      </c>
      <c r="I38" s="130">
        <f t="shared" si="0"/>
        <v>602.36410113920533</v>
      </c>
      <c r="J38" s="130">
        <f t="shared" si="5"/>
        <v>0.13353000415893046</v>
      </c>
      <c r="K38" s="136"/>
      <c r="L38" s="190"/>
      <c r="M38" s="190"/>
      <c r="N38" s="191"/>
      <c r="O38" s="192"/>
      <c r="P38" s="129" t="s">
        <v>728</v>
      </c>
      <c r="Q38" s="116">
        <v>5419771</v>
      </c>
      <c r="R38" s="116">
        <v>7321860204</v>
      </c>
      <c r="S38" s="116">
        <v>8997.5</v>
      </c>
      <c r="T38" s="130">
        <f t="shared" ref="T38" si="52">Q38/S38</f>
        <v>602.36410113920533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231639.61904761905</v>
      </c>
      <c r="G39" s="190">
        <f t="shared" ref="G39" si="53">F39/F38-1</f>
        <v>-0.14520514225557113</v>
      </c>
      <c r="H39" s="190">
        <f t="shared" ref="H39" si="54">F39/F27-1</f>
        <v>-0.19678573503827679</v>
      </c>
      <c r="I39" s="130">
        <f t="shared" si="0"/>
        <v>512.62663040099142</v>
      </c>
      <c r="J39" s="130">
        <f t="shared" si="5"/>
        <v>-0.1562439007458627</v>
      </c>
      <c r="K39" s="136"/>
      <c r="L39" s="190"/>
      <c r="M39" s="190"/>
      <c r="N39" s="191"/>
      <c r="O39" s="192"/>
      <c r="P39" s="129" t="s">
        <v>762</v>
      </c>
      <c r="Q39" s="116">
        <v>4864432</v>
      </c>
      <c r="R39" s="116">
        <v>6765044686</v>
      </c>
      <c r="S39" s="116">
        <v>9489.23</v>
      </c>
      <c r="T39" s="130">
        <f t="shared" ref="T39" si="55">Q39/S39</f>
        <v>512.62663040099142</v>
      </c>
      <c r="U39" s="85"/>
    </row>
    <row r="40" spans="1:21" s="79" customFormat="1" ht="13.2" hidden="1">
      <c r="A40" s="129" t="s">
        <v>778</v>
      </c>
      <c r="B40" s="188">
        <f>SUM(F38:F40)</f>
        <v>764277.97857142857</v>
      </c>
      <c r="C40" s="188">
        <f>AVERAGE(F38:F40)</f>
        <v>254759.32619047619</v>
      </c>
      <c r="D40" s="190">
        <f>C40/C37-1</f>
        <v>-8.2299644854944454E-2</v>
      </c>
      <c r="E40" s="287">
        <f>C40/C28-1</f>
        <v>-0.14646612149786864</v>
      </c>
      <c r="F40" s="136">
        <f>Q40/21</f>
        <v>261649.80952380953</v>
      </c>
      <c r="G40" s="190">
        <f t="shared" ref="G40" si="56">F40/F39-1</f>
        <v>0.12955551645084151</v>
      </c>
      <c r="H40" s="190">
        <f t="shared" ref="H40" si="57">F40/F28-1</f>
        <v>-0.18640469431055162</v>
      </c>
      <c r="I40" s="130">
        <f t="shared" si="0"/>
        <v>645.7581124549439</v>
      </c>
      <c r="J40" s="130">
        <f t="shared" si="5"/>
        <v>0.26399790525586941</v>
      </c>
      <c r="K40" s="136">
        <f>R38+R39+R40</f>
        <v>21872296031</v>
      </c>
      <c r="L40" s="190">
        <f>U40/U37-1</f>
        <v>-7.9846837556277528E-2</v>
      </c>
      <c r="M40" s="190">
        <f>U40/U28-1</f>
        <v>-0.11743017415357304</v>
      </c>
      <c r="N40" s="191">
        <f>AVERAGE(T38:T40)</f>
        <v>586.91628133171355</v>
      </c>
      <c r="O40" s="192">
        <f>N40/N37-1</f>
        <v>-3.3036205895408566E-2</v>
      </c>
      <c r="P40" s="129" t="s">
        <v>778</v>
      </c>
      <c r="Q40" s="116">
        <v>5494646</v>
      </c>
      <c r="R40" s="116">
        <v>7785391141</v>
      </c>
      <c r="S40" s="116">
        <v>8508.83</v>
      </c>
      <c r="T40" s="130">
        <f t="shared" ref="T40" si="58">Q40/S40</f>
        <v>645.7581124549439</v>
      </c>
      <c r="U40" s="85">
        <f>Q38+Q39+Q40</f>
        <v>15778849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318230.05555555556</v>
      </c>
      <c r="G41" s="190">
        <f t="shared" ref="G41" si="59">F41/F40-1</f>
        <v>0.2162441705374043</v>
      </c>
      <c r="H41" s="190">
        <f t="shared" ref="H41" si="60">F41/F29-1</f>
        <v>6.7793580760883154E-2</v>
      </c>
      <c r="I41" s="130">
        <f t="shared" si="0"/>
        <v>567.506776625003</v>
      </c>
      <c r="J41" s="130">
        <f t="shared" si="5"/>
        <v>-5.9102305500220553E-2</v>
      </c>
      <c r="K41" s="193"/>
      <c r="L41" s="190"/>
      <c r="M41" s="190"/>
      <c r="N41" s="193"/>
      <c r="O41" s="193"/>
      <c r="P41" s="129" t="s">
        <v>792</v>
      </c>
      <c r="Q41" s="116">
        <v>5728141</v>
      </c>
      <c r="R41" s="116">
        <v>8377633166</v>
      </c>
      <c r="S41" s="116">
        <v>10093.52</v>
      </c>
      <c r="T41" s="130">
        <f t="shared" ref="T41" si="61">Q41/S41</f>
        <v>567.506776625003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258635.95</v>
      </c>
      <c r="G42" s="190">
        <f t="shared" ref="G42" si="62">F42/F41-1</f>
        <v>-0.18726736998967031</v>
      </c>
      <c r="H42" s="190">
        <f t="shared" ref="H42" si="63">F42/F30-1</f>
        <v>2.3573889267173964E-2</v>
      </c>
      <c r="I42" s="130">
        <f t="shared" si="0"/>
        <v>551.41261186353051</v>
      </c>
      <c r="J42" s="130">
        <f t="shared" si="5"/>
        <v>2.5695565332269465E-2</v>
      </c>
      <c r="K42" s="193"/>
      <c r="L42" s="190"/>
      <c r="M42" s="190"/>
      <c r="N42" s="193"/>
      <c r="O42" s="193"/>
      <c r="P42" s="129" t="s">
        <v>826</v>
      </c>
      <c r="Q42" s="116">
        <v>5172719</v>
      </c>
      <c r="R42" s="116">
        <v>7477997294</v>
      </c>
      <c r="S42" s="116">
        <v>9380.85</v>
      </c>
      <c r="T42" s="130">
        <f t="shared" ref="T42" si="64">Q42/S42</f>
        <v>551.41261186353051</v>
      </c>
      <c r="U42" s="78"/>
    </row>
    <row r="43" spans="1:21" s="79" customFormat="1" ht="13.2">
      <c r="A43" s="129" t="s">
        <v>835</v>
      </c>
      <c r="B43" s="188">
        <f>SUM(F41:F43)</f>
        <v>848594.9055555556</v>
      </c>
      <c r="C43" s="188">
        <f>AVERAGE(F41:F43)</f>
        <v>282864.96851851855</v>
      </c>
      <c r="D43" s="190">
        <f>C43/C40-1</f>
        <v>0.1103223295033704</v>
      </c>
      <c r="E43" s="287">
        <f>C43/C31-1</f>
        <v>2.5438075896409673E-2</v>
      </c>
      <c r="F43" s="136">
        <f>Q43/20</f>
        <v>271728.90000000002</v>
      </c>
      <c r="G43" s="190">
        <f t="shared" ref="G43" si="65">F43/F42-1</f>
        <v>5.0623086233758441E-2</v>
      </c>
      <c r="H43" s="190">
        <f t="shared" ref="H43" si="66">F43/F31-1</f>
        <v>-1.8457502230992628E-2</v>
      </c>
      <c r="I43" s="130">
        <f t="shared" si="0"/>
        <v>530.05896937220928</v>
      </c>
      <c r="J43" s="130">
        <f t="shared" si="5"/>
        <v>-0.24189460727157863</v>
      </c>
      <c r="K43" s="136">
        <f>R41+R42+R43</f>
        <v>23736068937</v>
      </c>
      <c r="L43" s="190">
        <f>U43/U40-1</f>
        <v>3.5274372674457988E-2</v>
      </c>
      <c r="M43" s="190">
        <f>K43/K31-1</f>
        <v>6.160131981703354E-2</v>
      </c>
      <c r="N43" s="191">
        <f>AVERAGE(T41:T43)</f>
        <v>549.65945262024763</v>
      </c>
      <c r="O43" s="192">
        <f>N43/N40-1</f>
        <v>-6.3478949036701038E-2</v>
      </c>
      <c r="P43" s="129" t="s">
        <v>835</v>
      </c>
      <c r="Q43" s="116">
        <v>5434578</v>
      </c>
      <c r="R43" s="116">
        <v>7880438477</v>
      </c>
      <c r="S43" s="116">
        <v>10252.780000000001</v>
      </c>
      <c r="T43" s="130">
        <f t="shared" ref="T43" si="67">Q43/S43</f>
        <v>530.05896937220928</v>
      </c>
      <c r="U43" s="85">
        <f>Q41+Q42+Q43</f>
        <v>16335438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237779.68181818182</v>
      </c>
      <c r="G44" s="190">
        <f t="shared" ref="G44" si="68">F44/F43-1</f>
        <v>-0.12493782656838559</v>
      </c>
      <c r="H44" s="190">
        <f t="shared" ref="H44" si="69">F44/F32-1</f>
        <v>-0.15381240303685961</v>
      </c>
      <c r="I44" s="130">
        <f t="shared" si="0"/>
        <v>501.46985517138245</v>
      </c>
      <c r="J44" s="130">
        <f t="shared" si="5"/>
        <v>-0.19198331951775571</v>
      </c>
      <c r="K44" s="136"/>
      <c r="L44" s="190"/>
      <c r="M44" s="190"/>
      <c r="N44" s="191"/>
      <c r="O44" s="192"/>
      <c r="P44" s="129" t="s">
        <v>843</v>
      </c>
      <c r="Q44" s="116">
        <v>5231153</v>
      </c>
      <c r="R44" s="116">
        <v>7577345573</v>
      </c>
      <c r="S44" s="116">
        <v>10431.64</v>
      </c>
      <c r="T44" s="130">
        <f t="shared" ref="T44" si="70">Q44/S44</f>
        <v>501.46985517138245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87"/>
      <c r="F45" s="136">
        <f>Q45/20</f>
        <v>241568</v>
      </c>
      <c r="G45" s="190">
        <f t="shared" ref="G45" si="71">F45/F44-1</f>
        <v>1.593205169108991E-2</v>
      </c>
      <c r="H45" s="190">
        <f t="shared" ref="H45" si="72">F45/F33-1</f>
        <v>-0.2787418622714366</v>
      </c>
      <c r="I45" s="130">
        <f t="shared" si="0"/>
        <v>469.10187908346012</v>
      </c>
      <c r="J45" s="130">
        <f t="shared" si="5"/>
        <v>-0.10810161122365392</v>
      </c>
      <c r="K45" s="136"/>
      <c r="L45" s="190"/>
      <c r="M45" s="190"/>
      <c r="N45" s="191"/>
      <c r="O45" s="192"/>
      <c r="P45" s="129" t="s">
        <v>865</v>
      </c>
      <c r="Q45" s="116">
        <v>4831360</v>
      </c>
      <c r="R45" s="116">
        <v>6791699624</v>
      </c>
      <c r="S45" s="116">
        <v>10299.17</v>
      </c>
      <c r="T45" s="130">
        <f t="shared" ref="T45" si="73">Q45/S45</f>
        <v>469.10187908346012</v>
      </c>
      <c r="U45" s="85"/>
    </row>
    <row r="46" spans="1:21" s="79" customFormat="1" ht="13.2">
      <c r="A46" s="129" t="s">
        <v>888</v>
      </c>
      <c r="B46" s="188">
        <f>SUM(F44:F46)</f>
        <v>719638.52392344503</v>
      </c>
      <c r="C46" s="188">
        <f>AVERAGE(F44:F46)</f>
        <v>239879.50797448168</v>
      </c>
      <c r="D46" s="190">
        <f>C46/C43-1</f>
        <v>-0.15196459557777553</v>
      </c>
      <c r="E46" s="287">
        <f>C46/C34-1</f>
        <v>-0.2517832179465308</v>
      </c>
      <c r="F46" s="136">
        <f>Q46/19</f>
        <v>240290.84210526315</v>
      </c>
      <c r="G46" s="190">
        <f t="shared" ref="G46" si="74">F46/F45-1</f>
        <v>-5.2869498225628364E-3</v>
      </c>
      <c r="H46" s="190">
        <f t="shared" ref="H46" si="75">F46/F34-1</f>
        <v>-0.30527251863640936</v>
      </c>
      <c r="I46" s="130">
        <f t="shared" si="0"/>
        <v>426.15576182084288</v>
      </c>
      <c r="J46" s="130">
        <f t="shared" si="5"/>
        <v>-0.34126213198376687</v>
      </c>
      <c r="K46" s="136">
        <f>R44+R45+R46</f>
        <v>20621750774</v>
      </c>
      <c r="L46" s="190">
        <f>U46/U43-1</f>
        <v>-0.10452116435445435</v>
      </c>
      <c r="M46" s="190">
        <f>K46/K34-1</f>
        <v>-0.22732060849154889</v>
      </c>
      <c r="N46" s="191">
        <f>AVERAGE(T44:T46)</f>
        <v>465.57583202522846</v>
      </c>
      <c r="O46" s="192">
        <f>N46/N43-1</f>
        <v>-0.15297402818088424</v>
      </c>
      <c r="P46" s="129" t="s">
        <v>888</v>
      </c>
      <c r="Q46" s="116">
        <v>4565526</v>
      </c>
      <c r="R46" s="116">
        <v>6252705577</v>
      </c>
      <c r="S46" s="116">
        <v>10713.28</v>
      </c>
      <c r="T46" s="130">
        <f t="shared" ref="T46" si="76">Q46/S46</f>
        <v>426.15576182084288</v>
      </c>
      <c r="U46" s="85">
        <f t="shared" ref="U46:U51" si="77">Q44+Q45+Q46</f>
        <v>14628039</v>
      </c>
    </row>
    <row r="47" spans="1:21" s="79" customFormat="1" ht="13.2">
      <c r="A47" s="129" t="s">
        <v>1006</v>
      </c>
      <c r="B47" s="188"/>
      <c r="C47" s="188"/>
      <c r="D47" s="190"/>
      <c r="E47" s="287"/>
      <c r="F47" s="136">
        <f>Q47/23</f>
        <v>227858.30434782608</v>
      </c>
      <c r="G47" s="190">
        <f t="shared" ref="G47" si="78">F47/F46-1</f>
        <v>-5.1739540502300119E-2</v>
      </c>
      <c r="H47" s="190">
        <f t="shared" ref="H47" si="79">F47/F35-1</f>
        <v>-0.14971292266596747</v>
      </c>
      <c r="I47" s="130">
        <f t="shared" si="0"/>
        <v>520.17383657337291</v>
      </c>
      <c r="J47" s="130">
        <f t="shared" si="5"/>
        <v>-0.16946662871012863</v>
      </c>
      <c r="K47" s="136"/>
      <c r="L47" s="190"/>
      <c r="M47" s="190"/>
      <c r="N47" s="191"/>
      <c r="O47" s="192"/>
      <c r="P47" s="129" t="s">
        <v>991</v>
      </c>
      <c r="Q47" s="116">
        <v>5240741</v>
      </c>
      <c r="R47" s="116">
        <v>7187762270</v>
      </c>
      <c r="S47" s="116">
        <v>10074.98</v>
      </c>
      <c r="T47" s="130">
        <f t="shared" ref="T47" si="80">Q47/S47</f>
        <v>520.17383657337291</v>
      </c>
      <c r="U47" s="85">
        <f t="shared" si="77"/>
        <v>14637627</v>
      </c>
    </row>
    <row r="48" spans="1:21" s="79" customFormat="1" ht="13.2">
      <c r="A48" s="129" t="s">
        <v>1091</v>
      </c>
      <c r="B48" s="188"/>
      <c r="C48" s="188"/>
      <c r="D48" s="190"/>
      <c r="E48" s="287"/>
      <c r="F48" s="136">
        <f>Q48/20</f>
        <v>238886.45</v>
      </c>
      <c r="G48" s="190">
        <f t="shared" ref="G48" si="81">F48/F47-1</f>
        <v>4.8399138595095703E-2</v>
      </c>
      <c r="H48" s="190">
        <f t="shared" ref="H48" si="82">F48/F36-1</f>
        <v>-0.12328996982222584</v>
      </c>
      <c r="I48" s="130">
        <f t="shared" si="0"/>
        <v>468.0854044691074</v>
      </c>
      <c r="J48" s="130">
        <f t="shared" si="5"/>
        <v>-0.19754665596708743</v>
      </c>
      <c r="K48" s="136"/>
      <c r="L48" s="190"/>
      <c r="M48" s="190"/>
      <c r="N48" s="191"/>
      <c r="O48" s="192"/>
      <c r="P48" s="129" t="s">
        <v>1131</v>
      </c>
      <c r="Q48" s="116">
        <v>4777729</v>
      </c>
      <c r="R48" s="116">
        <v>6631780791</v>
      </c>
      <c r="S48" s="116">
        <v>10206.959999999999</v>
      </c>
      <c r="T48" s="130">
        <f t="shared" ref="T48" si="83">Q48/S48</f>
        <v>468.0854044691074</v>
      </c>
      <c r="U48" s="85">
        <f t="shared" si="77"/>
        <v>14583996</v>
      </c>
    </row>
    <row r="49" spans="1:26" ht="13.2">
      <c r="A49" s="129" t="s">
        <v>1158</v>
      </c>
      <c r="B49" s="188">
        <f>SUM(F47:F49)</f>
        <v>703948.48162055342</v>
      </c>
      <c r="C49" s="188">
        <f>AVERAGE(F47:F49)</f>
        <v>234649.49387351781</v>
      </c>
      <c r="D49" s="190">
        <f>C49/C46-1</f>
        <v>-2.1802671454204559E-2</v>
      </c>
      <c r="E49" s="287">
        <f>C49/C37-1</f>
        <v>-0.15473978094394514</v>
      </c>
      <c r="F49" s="136">
        <f>Q49/22</f>
        <v>237203.72727272726</v>
      </c>
      <c r="G49" s="190">
        <f t="shared" ref="G49" si="84">F49/F48-1</f>
        <v>-7.044027517143614E-3</v>
      </c>
      <c r="H49" s="190">
        <f t="shared" ref="H49" si="85">F49/F37-1</f>
        <v>-0.18865875197452708</v>
      </c>
      <c r="I49" s="130">
        <f t="shared" si="0"/>
        <v>458.44965557955845</v>
      </c>
      <c r="J49" s="130">
        <f t="shared" si="5"/>
        <v>-0.25000923084351068</v>
      </c>
      <c r="K49" s="136">
        <f>R47+R48+R49</f>
        <v>21071151170</v>
      </c>
      <c r="L49" s="190">
        <f>U49/U46-1</f>
        <v>4.1626427164980884E-2</v>
      </c>
      <c r="M49" s="190">
        <f>K49/K37-1</f>
        <v>-9.6954255555782742E-2</v>
      </c>
      <c r="N49" s="191">
        <f>AVERAGE(T47:T49)</f>
        <v>482.2362988740129</v>
      </c>
      <c r="O49" s="192">
        <f>N49/N46-1</f>
        <v>3.5784647103163314E-2</v>
      </c>
      <c r="P49" s="129" t="s">
        <v>1158</v>
      </c>
      <c r="Q49" s="116">
        <v>5218482</v>
      </c>
      <c r="R49" s="116">
        <v>7251608109</v>
      </c>
      <c r="S49" s="116">
        <v>11382.89</v>
      </c>
      <c r="T49" s="130">
        <f t="shared" ref="T49" si="86">Q49/S49</f>
        <v>458.44965557955845</v>
      </c>
      <c r="U49" s="85">
        <f t="shared" si="77"/>
        <v>15236952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198407.55555555556</v>
      </c>
      <c r="G50" s="190">
        <f t="shared" ref="G50" si="87">F50/F49-1</f>
        <v>-0.16355633262273928</v>
      </c>
      <c r="H50" s="190">
        <f t="shared" ref="H50" si="88">F50/F38-1</f>
        <v>-0.26783786416232136</v>
      </c>
      <c r="I50" s="130">
        <f t="shared" ref="I50" si="89">T50</f>
        <v>481.86152945271834</v>
      </c>
      <c r="J50" s="130">
        <f t="shared" ref="J50" si="90">I50/I38-1</f>
        <v>-0.20004939115493381</v>
      </c>
      <c r="K50" s="136"/>
      <c r="L50" s="190"/>
      <c r="M50" s="190"/>
      <c r="N50" s="191"/>
      <c r="O50" s="192"/>
      <c r="P50" s="129" t="s">
        <v>1293</v>
      </c>
      <c r="Q50" s="116">
        <v>3571336</v>
      </c>
      <c r="R50" s="116">
        <v>5056101264</v>
      </c>
      <c r="S50" s="116">
        <v>7411.54</v>
      </c>
      <c r="T50" s="130">
        <f t="shared" ref="T50" si="91">Q50/S50</f>
        <v>481.86152945271834</v>
      </c>
      <c r="U50" s="85">
        <f t="shared" si="77"/>
        <v>13567547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285957.05</v>
      </c>
      <c r="G51" s="190">
        <f t="shared" ref="G51:G52" si="92">F51/F50-1</f>
        <v>0.44126088948225517</v>
      </c>
      <c r="H51" s="190">
        <f t="shared" ref="H51:H52" si="93">F51/F39-1</f>
        <v>0.23449110810881924</v>
      </c>
      <c r="I51" s="130">
        <f t="shared" ref="I51:I52" si="94">T51</f>
        <v>468.25737063470683</v>
      </c>
      <c r="J51" s="130">
        <f t="shared" ref="J51:J52" si="95">I51/I39-1</f>
        <v>-8.6552779615794995E-2</v>
      </c>
      <c r="K51" s="136"/>
      <c r="L51" s="190"/>
      <c r="M51" s="190"/>
      <c r="N51" s="191"/>
      <c r="O51" s="192"/>
      <c r="P51" s="129" t="s">
        <v>1402</v>
      </c>
      <c r="Q51" s="116">
        <v>5719141</v>
      </c>
      <c r="R51" s="116">
        <v>8292034766</v>
      </c>
      <c r="S51" s="116">
        <v>12213.67</v>
      </c>
      <c r="T51" s="130">
        <f t="shared" ref="T51:T52" si="96">Q51/S51</f>
        <v>468.25737063470683</v>
      </c>
      <c r="U51" s="85">
        <f t="shared" si="77"/>
        <v>14508959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721049.65101010096</v>
      </c>
      <c r="C52" s="188">
        <f>AVERAGE(F50:F52)</f>
        <v>240349.88367003365</v>
      </c>
      <c r="D52" s="190">
        <f>C52/C49-1</f>
        <v>2.4293211557441019E-2</v>
      </c>
      <c r="E52" s="287">
        <f>C52/C40-1</f>
        <v>-5.6561001066822603E-2</v>
      </c>
      <c r="F52" s="136">
        <f>Q52/22</f>
        <v>236685.04545454544</v>
      </c>
      <c r="G52" s="190">
        <f t="shared" si="92"/>
        <v>-0.17230561213809747</v>
      </c>
      <c r="H52" s="190">
        <f t="shared" si="93"/>
        <v>-9.5412888374345806E-2</v>
      </c>
      <c r="I52" s="130">
        <f t="shared" si="94"/>
        <v>497.52112310016309</v>
      </c>
      <c r="J52" s="130">
        <f t="shared" si="95"/>
        <v>-0.22955497808805869</v>
      </c>
      <c r="K52" s="136">
        <f>R50+R51+R52</f>
        <v>21007710169</v>
      </c>
      <c r="L52" s="190">
        <f>U52/U49-1</f>
        <v>-4.8527028240293757E-2</v>
      </c>
      <c r="M52" s="190">
        <f>K52/K40-1</f>
        <v>-3.9528811276813736E-2</v>
      </c>
      <c r="N52" s="191">
        <f>AVERAGE(T50:T52)</f>
        <v>482.54667439586274</v>
      </c>
      <c r="O52" s="192">
        <f>N52/N49-1</f>
        <v>6.4361708684002039E-4</v>
      </c>
      <c r="P52" s="129" t="s">
        <v>1403</v>
      </c>
      <c r="Q52" s="116">
        <v>5207071</v>
      </c>
      <c r="R52" s="116">
        <v>7659574139</v>
      </c>
      <c r="S52" s="116">
        <v>10466.030000000001</v>
      </c>
      <c r="T52" s="130">
        <f t="shared" si="96"/>
        <v>497.52112310016309</v>
      </c>
      <c r="U52" s="85">
        <f t="shared" ref="U52" si="97">Q50+Q51+Q52</f>
        <v>14497548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207467.47619047618</v>
      </c>
      <c r="G53" s="190">
        <f t="shared" ref="G53" si="98">F53/F52-1</f>
        <v>-0.12344493167262816</v>
      </c>
      <c r="H53" s="190">
        <f t="shared" ref="H53" si="99">F53/F41-1</f>
        <v>-0.34805819699121032</v>
      </c>
      <c r="I53" s="130">
        <f t="shared" ref="I53" si="100">T53</f>
        <v>464.88136331092238</v>
      </c>
      <c r="J53" s="130">
        <f t="shared" ref="J53" si="101">I53/I41-1</f>
        <v>-0.18083557332019917</v>
      </c>
      <c r="K53" s="136"/>
      <c r="L53" s="190"/>
      <c r="M53" s="190"/>
      <c r="N53" s="191"/>
      <c r="O53" s="192"/>
      <c r="P53" s="129" t="s">
        <v>1414</v>
      </c>
      <c r="Q53" s="116">
        <v>4356817</v>
      </c>
      <c r="R53" s="116">
        <v>6354039099</v>
      </c>
      <c r="S53" s="116">
        <v>9371.89</v>
      </c>
      <c r="T53" s="130">
        <f t="shared" ref="T53" si="102">Q53/S53</f>
        <v>464.88136331092238</v>
      </c>
      <c r="U53" s="85">
        <f t="shared" ref="U53" si="103">Q51+Q52+Q53</f>
        <v>15283029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236132.70588235295</v>
      </c>
      <c r="G54" s="190">
        <f t="shared" ref="G54" si="104">F54/F53-1</f>
        <v>0.13816734178401613</v>
      </c>
      <c r="H54" s="190">
        <f t="shared" ref="H54" si="105">F54/F42-1</f>
        <v>-8.7007409904334865E-2</v>
      </c>
      <c r="I54" s="130">
        <f t="shared" ref="I54" si="106">T54</f>
        <v>453.05635530715921</v>
      </c>
      <c r="J54" s="130">
        <f t="shared" ref="J54" si="107">I54/I42-1</f>
        <v>-0.17837143083102636</v>
      </c>
      <c r="K54" s="136"/>
      <c r="L54" s="190"/>
      <c r="M54" s="190"/>
      <c r="N54" s="191"/>
      <c r="O54" s="192"/>
      <c r="P54" s="129" t="s">
        <v>1417</v>
      </c>
      <c r="Q54" s="116">
        <v>4014256</v>
      </c>
      <c r="R54" s="116">
        <v>5813477427</v>
      </c>
      <c r="S54" s="116">
        <v>8860.39</v>
      </c>
      <c r="T54" s="130">
        <f t="shared" ref="T54" si="108">Q54/S54</f>
        <v>453.05635530715921</v>
      </c>
      <c r="U54" s="85">
        <f t="shared" ref="U54" si="109">Q52+Q53+Q54</f>
        <v>13578144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666083.56302521005</v>
      </c>
      <c r="C55" s="188">
        <f>AVERAGE(F53:F55)</f>
        <v>222027.85434173667</v>
      </c>
      <c r="D55" s="190">
        <f>C55/C52-1</f>
        <v>-7.6230656110699568E-2</v>
      </c>
      <c r="E55" s="287">
        <f>C55/C43-1</f>
        <v>-0.21507475632423179</v>
      </c>
      <c r="F55" s="136">
        <f>Q55/21</f>
        <v>222483.38095238095</v>
      </c>
      <c r="G55" s="190">
        <f t="shared" ref="G55" si="110">F55/F54-1</f>
        <v>-5.7803618854782579E-2</v>
      </c>
      <c r="H55" s="190">
        <f t="shared" ref="H55" si="111">F55/F43-1</f>
        <v>-0.18123033305481706</v>
      </c>
      <c r="I55" s="130">
        <f>T55</f>
        <v>429.83453929059357</v>
      </c>
      <c r="J55" s="130">
        <f t="shared" ref="J55" si="112">I55/I43-1</f>
        <v>-0.18908166048075636</v>
      </c>
      <c r="K55" s="136">
        <f>R53+R54+R55</f>
        <v>19054106747</v>
      </c>
      <c r="L55" s="190">
        <f>U55/U52-1</f>
        <v>-0.10031517053780403</v>
      </c>
      <c r="M55" s="190">
        <f>K55/K43-1</f>
        <v>-0.19725095180785035</v>
      </c>
      <c r="N55" s="191">
        <f>AVERAGE(T53:T55)</f>
        <v>449.25741930289172</v>
      </c>
      <c r="O55" s="192">
        <f>N55/N52-1</f>
        <v>-6.898660141974533E-2</v>
      </c>
      <c r="P55" s="129" t="s">
        <v>1418</v>
      </c>
      <c r="Q55" s="116">
        <v>4672151</v>
      </c>
      <c r="R55" s="116">
        <v>6886590221</v>
      </c>
      <c r="S55" s="116">
        <v>10869.65</v>
      </c>
      <c r="T55" s="130">
        <f t="shared" ref="T55" si="113">Q55/S55</f>
        <v>429.83453929059357</v>
      </c>
      <c r="U55" s="85">
        <f t="shared" ref="U55" si="114">Q53+Q54+Q55</f>
        <v>13043224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207765.40909090909</v>
      </c>
      <c r="G56" s="190">
        <f t="shared" ref="G56" si="115">F56/F55-1</f>
        <v>-6.6153129274055811E-2</v>
      </c>
      <c r="H56" s="190">
        <f t="shared" ref="H56" si="116">F56/F44-1</f>
        <v>-0.12622723900447952</v>
      </c>
      <c r="I56" s="291">
        <f>T56</f>
        <v>449.86093286196825</v>
      </c>
      <c r="J56" s="130">
        <f t="shared" ref="J56" si="117">I56/I44-1</f>
        <v>-0.10291530343688615</v>
      </c>
      <c r="K56" s="136"/>
      <c r="L56" s="190"/>
      <c r="M56" s="190"/>
      <c r="N56" s="191"/>
      <c r="O56" s="192"/>
      <c r="P56" s="129" t="s">
        <v>1420</v>
      </c>
      <c r="Q56" s="116">
        <v>4570839</v>
      </c>
      <c r="R56" s="116">
        <v>6836956750</v>
      </c>
      <c r="S56" s="116">
        <v>10160.56</v>
      </c>
      <c r="T56" s="130">
        <f t="shared" ref="T56" si="118">Q56/S56</f>
        <v>449.86093286196825</v>
      </c>
      <c r="U56" s="85">
        <f t="shared" ref="U56" si="119">Q54+Q55+Q56</f>
        <v>13257246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180501.33333333334</v>
      </c>
      <c r="G57" s="254">
        <f t="shared" ref="G57" si="120">F57/F56-1</f>
        <v>-0.13122528854476523</v>
      </c>
      <c r="H57" s="254">
        <f t="shared" ref="H57" si="121">F57/F45-1</f>
        <v>-0.25279286439705029</v>
      </c>
      <c r="I57" s="282">
        <f>T57</f>
        <v>486.84363129621715</v>
      </c>
      <c r="J57" s="277">
        <f t="shared" ref="J57" si="122">I57/I45-1</f>
        <v>3.7820680333707557E-2</v>
      </c>
      <c r="K57" s="204"/>
      <c r="L57" s="254"/>
      <c r="M57" s="254"/>
      <c r="N57" s="257"/>
      <c r="O57" s="258"/>
      <c r="P57" s="129" t="s">
        <v>1436</v>
      </c>
      <c r="Q57" s="116">
        <v>2166016</v>
      </c>
      <c r="R57" s="116">
        <v>3192349055</v>
      </c>
      <c r="S57" s="116">
        <v>4449.1000000000004</v>
      </c>
      <c r="T57" s="130">
        <f t="shared" ref="T57" si="123">Q57/S57</f>
        <v>486.84363129621715</v>
      </c>
      <c r="U57" s="85">
        <f t="shared" ref="U57" si="124">Q55+Q56+Q57</f>
        <v>11409006</v>
      </c>
      <c r="V57" s="79"/>
      <c r="W57" s="79"/>
      <c r="X57" s="79"/>
      <c r="Y57" s="79"/>
      <c r="Z57" s="79"/>
    </row>
    <row r="58" spans="1:26">
      <c r="B58" s="196">
        <f>SUM(F56:F58)</f>
        <v>388266.74242424243</v>
      </c>
      <c r="C58" s="196">
        <f>AVERAGE(F56:F58)</f>
        <v>194133.37121212122</v>
      </c>
      <c r="D58" s="197">
        <f>C58/C55-1</f>
        <v>-0.12563506147603154</v>
      </c>
      <c r="E58" s="233">
        <f>C58/C46-1</f>
        <v>-0.19070464646453633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19780079</v>
      </c>
      <c r="R65" s="212">
        <v>29083412552</v>
      </c>
      <c r="S65" s="213">
        <v>43711.62</v>
      </c>
      <c r="T65" s="214">
        <v>178</v>
      </c>
      <c r="U65" s="214">
        <v>1039</v>
      </c>
    </row>
    <row r="66" spans="16:21" ht="18" thickBot="1">
      <c r="P66" s="180" t="s">
        <v>976</v>
      </c>
      <c r="Q66" s="181">
        <v>4356817</v>
      </c>
      <c r="R66" s="181">
        <v>6354039099</v>
      </c>
      <c r="S66" s="182">
        <v>9371.89</v>
      </c>
      <c r="T66" s="210">
        <v>103</v>
      </c>
      <c r="U66" s="210">
        <v>458</v>
      </c>
    </row>
    <row r="67" spans="16:21" ht="18" thickBot="1">
      <c r="P67" s="180" t="s">
        <v>977</v>
      </c>
      <c r="Q67" s="181">
        <v>4014256</v>
      </c>
      <c r="R67" s="181">
        <v>5813477427</v>
      </c>
      <c r="S67" s="182">
        <v>8860.39</v>
      </c>
      <c r="T67" s="210">
        <v>106</v>
      </c>
      <c r="U67" s="210">
        <v>306</v>
      </c>
    </row>
    <row r="68" spans="16:21" ht="18" thickBot="1">
      <c r="P68" s="180" t="s">
        <v>978</v>
      </c>
      <c r="Q68" s="181">
        <v>4672151</v>
      </c>
      <c r="R68" s="181">
        <v>6886590221</v>
      </c>
      <c r="S68" s="182">
        <v>10869.65</v>
      </c>
      <c r="T68" s="210">
        <v>110</v>
      </c>
      <c r="U68" s="210">
        <v>362</v>
      </c>
    </row>
    <row r="69" spans="16:21" ht="18" thickBot="1">
      <c r="P69" s="180" t="s">
        <v>979</v>
      </c>
      <c r="Q69" s="181">
        <v>4570839</v>
      </c>
      <c r="R69" s="181">
        <v>6836956750</v>
      </c>
      <c r="S69" s="182">
        <v>10160.56</v>
      </c>
      <c r="T69" s="210">
        <v>114</v>
      </c>
      <c r="U69" s="210">
        <v>351</v>
      </c>
    </row>
    <row r="70" spans="16:21" ht="18" thickBot="1">
      <c r="P70" s="180" t="s">
        <v>980</v>
      </c>
      <c r="Q70" s="181">
        <v>2166016</v>
      </c>
      <c r="R70" s="181">
        <v>3192349055</v>
      </c>
      <c r="S70" s="182">
        <v>4449.1000000000004</v>
      </c>
      <c r="T70" s="210">
        <v>75</v>
      </c>
      <c r="U70" s="210">
        <v>197</v>
      </c>
    </row>
    <row r="71" spans="16:21" ht="18" thickBot="1">
      <c r="P71" s="215" t="s">
        <v>975</v>
      </c>
      <c r="Q71" s="216">
        <v>60655925</v>
      </c>
      <c r="R71" s="217"/>
      <c r="S71"/>
      <c r="T71"/>
      <c r="U71"/>
    </row>
  </sheetData>
  <phoneticPr fontId="1" type="noConversion"/>
  <conditionalFormatting sqref="C29:C30">
    <cfRule type="cellIs" dxfId="8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8"/>
  <dimension ref="A1:Z71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3006402000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339</v>
      </c>
      <c r="C4" s="84" t="s">
        <v>353</v>
      </c>
      <c r="D4" s="118" t="s">
        <v>89</v>
      </c>
      <c r="E4" s="285" t="s">
        <v>274</v>
      </c>
      <c r="F4" s="84" t="s">
        <v>73</v>
      </c>
      <c r="G4" s="172" t="s">
        <v>282</v>
      </c>
      <c r="H4" s="172" t="s">
        <v>274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213874.85</v>
      </c>
      <c r="G5" s="90"/>
      <c r="H5" s="90"/>
      <c r="I5" s="130">
        <f t="shared" ref="I5:I49" si="0">T5</f>
        <v>99.156904930077815</v>
      </c>
      <c r="J5" s="130"/>
      <c r="L5" s="80"/>
      <c r="M5" s="80"/>
      <c r="P5" s="129" t="s">
        <v>0</v>
      </c>
      <c r="Q5" s="116">
        <v>4277497</v>
      </c>
      <c r="R5" s="116"/>
      <c r="S5" s="116">
        <v>43138.67</v>
      </c>
      <c r="T5" s="130">
        <f t="shared" ref="T5:T11" si="1">Q5/S5</f>
        <v>99.156904930077815</v>
      </c>
      <c r="U5" s="85"/>
    </row>
    <row r="6" spans="1:21" ht="15" hidden="1" customHeight="1">
      <c r="A6" s="129" t="s">
        <v>1</v>
      </c>
      <c r="C6" s="79"/>
      <c r="F6" s="78">
        <f>Q6/18</f>
        <v>194511.77777777778</v>
      </c>
      <c r="G6" s="90">
        <f t="shared" ref="G6:G22" si="2">F6/F5-1</f>
        <v>-9.0534591712032597E-2</v>
      </c>
      <c r="H6" s="90"/>
      <c r="I6" s="130">
        <f t="shared" si="0"/>
        <v>101.38675125379235</v>
      </c>
      <c r="J6" s="130"/>
      <c r="P6" s="129" t="s">
        <v>1</v>
      </c>
      <c r="Q6" s="116">
        <v>3501212</v>
      </c>
      <c r="R6" s="116"/>
      <c r="S6" s="116">
        <v>34533.230000000003</v>
      </c>
      <c r="T6" s="130">
        <f t="shared" si="1"/>
        <v>101.38675125379235</v>
      </c>
      <c r="U6" s="85"/>
    </row>
    <row r="7" spans="1:21" ht="15" hidden="1" customHeight="1">
      <c r="A7" s="129" t="s">
        <v>2</v>
      </c>
      <c r="B7" s="131">
        <f>F5+F6+F7</f>
        <v>635051.94595959596</v>
      </c>
      <c r="C7" s="131">
        <f>AVERAGE(F5:F7)</f>
        <v>211683.98198653199</v>
      </c>
      <c r="F7" s="78">
        <f>Q7/22</f>
        <v>226665.31818181818</v>
      </c>
      <c r="G7" s="90">
        <f t="shared" si="2"/>
        <v>0.16530382258278764</v>
      </c>
      <c r="H7" s="90"/>
      <c r="I7" s="130">
        <f t="shared" si="0"/>
        <v>91.735597548143076</v>
      </c>
      <c r="J7" s="130"/>
      <c r="K7" s="79">
        <f>R5+R6+R7</f>
        <v>0</v>
      </c>
      <c r="N7" s="88">
        <f>AVERAGE(T5:T7)</f>
        <v>97.426417910671077</v>
      </c>
      <c r="P7" s="129" t="s">
        <v>2</v>
      </c>
      <c r="Q7" s="116">
        <v>4986637</v>
      </c>
      <c r="R7" s="116"/>
      <c r="S7" s="116">
        <v>54358.8</v>
      </c>
      <c r="T7" s="130">
        <f t="shared" si="1"/>
        <v>91.735597548143076</v>
      </c>
      <c r="U7" s="85">
        <f>Q5+Q6+Q7</f>
        <v>12765346</v>
      </c>
    </row>
    <row r="8" spans="1:21" ht="15" hidden="1" customHeight="1">
      <c r="A8" s="129" t="s">
        <v>3</v>
      </c>
      <c r="C8" s="79"/>
      <c r="F8" s="78">
        <f>Q8/21</f>
        <v>247793.76190476189</v>
      </c>
      <c r="G8" s="90">
        <f t="shared" si="2"/>
        <v>9.3214276857281231E-2</v>
      </c>
      <c r="H8" s="90"/>
      <c r="I8" s="130">
        <f t="shared" si="0"/>
        <v>103.54330042778997</v>
      </c>
      <c r="J8" s="130"/>
      <c r="K8" s="78"/>
      <c r="P8" s="129" t="s">
        <v>3</v>
      </c>
      <c r="Q8" s="116">
        <v>5203669</v>
      </c>
      <c r="R8" s="116"/>
      <c r="S8" s="116">
        <v>50255.97</v>
      </c>
      <c r="T8" s="130">
        <f t="shared" si="1"/>
        <v>103.54330042778997</v>
      </c>
      <c r="U8" s="85"/>
    </row>
    <row r="9" spans="1:21" ht="15" hidden="1" customHeight="1">
      <c r="A9" s="129" t="s">
        <v>4</v>
      </c>
      <c r="C9" s="79"/>
      <c r="F9" s="78">
        <f>Q9/21</f>
        <v>293412.28571428574</v>
      </c>
      <c r="G9" s="90">
        <f t="shared" si="2"/>
        <v>0.18409875801093434</v>
      </c>
      <c r="H9" s="90"/>
      <c r="I9" s="130">
        <f t="shared" si="0"/>
        <v>91.557708630023328</v>
      </c>
      <c r="J9" s="130"/>
      <c r="K9" s="78"/>
      <c r="P9" s="129" t="s">
        <v>4</v>
      </c>
      <c r="Q9" s="116">
        <v>6161658</v>
      </c>
      <c r="R9" s="116"/>
      <c r="S9" s="116">
        <v>67298.080000000002</v>
      </c>
      <c r="T9" s="130">
        <f t="shared" si="1"/>
        <v>91.557708630023328</v>
      </c>
      <c r="U9" s="85"/>
    </row>
    <row r="10" spans="1:21" ht="15" hidden="1" customHeight="1">
      <c r="A10" s="129" t="s">
        <v>5</v>
      </c>
      <c r="B10" s="131">
        <f>F8+F9+F10</f>
        <v>893981.47619047621</v>
      </c>
      <c r="C10" s="131">
        <f>AVERAGE(F8:F10)</f>
        <v>297993.82539682538</v>
      </c>
      <c r="D10" s="90">
        <f>C10/C7-1</f>
        <v>0.40772968554505318</v>
      </c>
      <c r="E10" s="286"/>
      <c r="F10" s="78">
        <f>Q10/21</f>
        <v>352775.42857142858</v>
      </c>
      <c r="G10" s="90">
        <f t="shared" si="2"/>
        <v>0.20231989506720427</v>
      </c>
      <c r="H10" s="90"/>
      <c r="I10" s="130">
        <f t="shared" si="0"/>
        <v>104.11987155855766</v>
      </c>
      <c r="J10" s="130"/>
      <c r="K10" s="79">
        <f>R8+R9+R10</f>
        <v>0</v>
      </c>
      <c r="L10" s="87">
        <f>U10/U7-1</f>
        <v>0.47066996852259235</v>
      </c>
      <c r="N10" s="88">
        <f>AVERAGE(T8:T10)</f>
        <v>99.74029353879034</v>
      </c>
      <c r="O10" s="89">
        <f>N10/N7-1</f>
        <v>2.3749981552650512E-2</v>
      </c>
      <c r="P10" s="129" t="s">
        <v>5</v>
      </c>
      <c r="Q10" s="116">
        <v>7408284</v>
      </c>
      <c r="R10" s="116"/>
      <c r="S10" s="116">
        <v>71151.490000000005</v>
      </c>
      <c r="T10" s="130">
        <f t="shared" si="1"/>
        <v>104.11987155855766</v>
      </c>
      <c r="U10" s="85">
        <f>Q8+Q9+Q10</f>
        <v>18773611</v>
      </c>
    </row>
    <row r="11" spans="1:21" ht="15" hidden="1" customHeight="1">
      <c r="A11" s="129" t="s">
        <v>6</v>
      </c>
      <c r="C11" s="79"/>
      <c r="F11" s="78">
        <f>Q11/21</f>
        <v>283442.85714285716</v>
      </c>
      <c r="G11" s="90">
        <f t="shared" si="2"/>
        <v>-0.19653458209755459</v>
      </c>
      <c r="H11" s="90"/>
      <c r="I11" s="130">
        <f t="shared" si="0"/>
        <v>97.734936245617575</v>
      </c>
      <c r="J11" s="130"/>
      <c r="K11" s="78"/>
      <c r="O11" s="89"/>
      <c r="P11" s="129" t="s">
        <v>6</v>
      </c>
      <c r="Q11" s="116">
        <v>5952300</v>
      </c>
      <c r="R11" s="116"/>
      <c r="S11" s="116">
        <v>60902.48</v>
      </c>
      <c r="T11" s="130">
        <f t="shared" si="1"/>
        <v>97.734936245617575</v>
      </c>
      <c r="U11" s="85"/>
    </row>
    <row r="12" spans="1:21" ht="15" hidden="1" customHeight="1">
      <c r="A12" s="129" t="s">
        <v>7</v>
      </c>
      <c r="C12" s="79"/>
      <c r="F12" s="78">
        <f>Q12/22</f>
        <v>272780.77272727271</v>
      </c>
      <c r="G12" s="90">
        <f t="shared" si="2"/>
        <v>-3.7616345400479423E-2</v>
      </c>
      <c r="H12" s="90"/>
      <c r="I12" s="130">
        <f t="shared" si="0"/>
        <v>107.56060075152192</v>
      </c>
      <c r="J12" s="130"/>
      <c r="K12" s="78"/>
      <c r="O12" s="89"/>
      <c r="P12" s="129" t="s">
        <v>7</v>
      </c>
      <c r="Q12" s="116">
        <v>6001177</v>
      </c>
      <c r="R12" s="116"/>
      <c r="S12" s="116">
        <v>55793.45</v>
      </c>
      <c r="T12" s="130">
        <f>Q12/S12</f>
        <v>107.56060075152192</v>
      </c>
      <c r="U12" s="85"/>
    </row>
    <row r="13" spans="1:21" ht="15" hidden="1" customHeight="1">
      <c r="A13" s="129" t="s">
        <v>96</v>
      </c>
      <c r="B13" s="131">
        <f>F11+F12+F13</f>
        <v>831688.07987012994</v>
      </c>
      <c r="C13" s="131">
        <f>AVERAGE(F11:F13)</f>
        <v>277229.35995670996</v>
      </c>
      <c r="D13" s="90">
        <f>C13/C10-1</f>
        <v>-6.9680858026048953E-2</v>
      </c>
      <c r="E13" s="286"/>
      <c r="F13" s="78">
        <f>Q13/20</f>
        <v>275464.45</v>
      </c>
      <c r="G13" s="90">
        <f t="shared" si="2"/>
        <v>9.8382200691631283E-3</v>
      </c>
      <c r="H13" s="90"/>
      <c r="I13" s="130">
        <f t="shared" si="0"/>
        <v>95.430919277714693</v>
      </c>
      <c r="J13" s="130"/>
      <c r="K13" s="78">
        <f>R11+R12+R13</f>
        <v>0</v>
      </c>
      <c r="L13" s="87">
        <f>U13/U10-1</f>
        <v>-6.9823807471029453E-2</v>
      </c>
      <c r="N13" s="88">
        <f>AVERAGE(T11:T13)</f>
        <v>100.24215209161805</v>
      </c>
      <c r="O13" s="89">
        <f>N13/N10-1</f>
        <v>5.0316530563701001E-3</v>
      </c>
      <c r="P13" s="129" t="s">
        <v>96</v>
      </c>
      <c r="Q13" s="116">
        <v>5509289</v>
      </c>
      <c r="R13" s="116"/>
      <c r="S13" s="116">
        <v>57730.65</v>
      </c>
      <c r="T13" s="130">
        <f>Q13/S13</f>
        <v>95.430919277714693</v>
      </c>
      <c r="U13" s="85">
        <f>Q11+Q12+Q13</f>
        <v>17462766</v>
      </c>
    </row>
    <row r="14" spans="1:21" ht="15" hidden="1" customHeight="1">
      <c r="A14" s="129" t="s">
        <v>97</v>
      </c>
      <c r="C14" s="79"/>
      <c r="F14" s="78">
        <f>Q14/20</f>
        <v>283959.05</v>
      </c>
      <c r="G14" s="90">
        <f t="shared" si="2"/>
        <v>3.0837373025811354E-2</v>
      </c>
      <c r="H14" s="90"/>
      <c r="I14" s="130">
        <f t="shared" si="0"/>
        <v>115.22254548700718</v>
      </c>
      <c r="J14" s="130"/>
      <c r="O14" s="89"/>
      <c r="P14" s="129" t="s">
        <v>97</v>
      </c>
      <c r="Q14" s="116">
        <v>5679181</v>
      </c>
      <c r="R14" s="116"/>
      <c r="S14" s="116">
        <v>49288.800000000003</v>
      </c>
      <c r="T14" s="130">
        <f>Q14/S14</f>
        <v>115.22254548700718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328140.59090909088</v>
      </c>
      <c r="G15" s="90">
        <f t="shared" si="2"/>
        <v>0.15559124074084241</v>
      </c>
      <c r="H15" s="90"/>
      <c r="I15" s="130">
        <f t="shared" si="0"/>
        <v>85.622842110381953</v>
      </c>
      <c r="J15" s="130"/>
      <c r="O15" s="89"/>
      <c r="P15" s="129" t="s">
        <v>98</v>
      </c>
      <c r="Q15" s="116">
        <v>7219093</v>
      </c>
      <c r="R15" s="116"/>
      <c r="S15" s="116">
        <v>84312.7</v>
      </c>
      <c r="T15" s="130">
        <f t="shared" ref="T15:T23" si="3">Q15/S15</f>
        <v>85.622842110381953</v>
      </c>
      <c r="U15" s="85"/>
    </row>
    <row r="16" spans="1:21" ht="15" hidden="1" customHeight="1">
      <c r="A16" s="129" t="s">
        <v>99</v>
      </c>
      <c r="B16" s="131">
        <f>F14+F15+F16</f>
        <v>870499.59545454546</v>
      </c>
      <c r="C16" s="131">
        <f>AVERAGE(F14:F16)</f>
        <v>290166.5318181818</v>
      </c>
      <c r="D16" s="90">
        <f>C16/C13-1</f>
        <v>4.6665951483248369E-2</v>
      </c>
      <c r="E16" s="286"/>
      <c r="F16" s="78">
        <f>Q16/22</f>
        <v>258399.95454545456</v>
      </c>
      <c r="G16" s="90">
        <f t="shared" si="2"/>
        <v>-0.21253279324701857</v>
      </c>
      <c r="H16" s="90"/>
      <c r="I16" s="130">
        <f t="shared" si="0"/>
        <v>89.67063450250518</v>
      </c>
      <c r="J16" s="130"/>
      <c r="K16" s="78">
        <f>R14+R15+R16</f>
        <v>0</v>
      </c>
      <c r="L16" s="87">
        <f>U16/U13-1</f>
        <v>6.4154040659996303E-2</v>
      </c>
      <c r="N16" s="88">
        <f>AVERAGE(T14:T16)</f>
        <v>96.838674033298105</v>
      </c>
      <c r="O16" s="89">
        <f>N16/N13-1</f>
        <v>-3.3952563739945263E-2</v>
      </c>
      <c r="P16" s="129" t="s">
        <v>99</v>
      </c>
      <c r="Q16" s="116">
        <v>5684799</v>
      </c>
      <c r="R16" s="116"/>
      <c r="S16" s="116">
        <v>63396.44</v>
      </c>
      <c r="T16" s="130">
        <f t="shared" si="3"/>
        <v>89.67063450250518</v>
      </c>
      <c r="U16" s="85">
        <f>Q14+Q15+Q16</f>
        <v>18583073</v>
      </c>
    </row>
    <row r="17" spans="1:21" ht="15" hidden="1" customHeight="1">
      <c r="A17" s="129" t="s">
        <v>100</v>
      </c>
      <c r="C17" s="79"/>
      <c r="F17" s="78">
        <f>Q17/20</f>
        <v>278921.7</v>
      </c>
      <c r="G17" s="90">
        <f t="shared" si="2"/>
        <v>7.9418533531264712E-2</v>
      </c>
      <c r="H17" s="90">
        <f t="shared" ref="H17:H22" si="4">F17/F5-1</f>
        <v>0.30413510517950093</v>
      </c>
      <c r="I17" s="130">
        <f t="shared" si="0"/>
        <v>102.78290045224274</v>
      </c>
      <c r="J17" s="130">
        <f t="shared" ref="J17:J49" si="5">I17/I5-1</f>
        <v>3.6568260422427112E-2</v>
      </c>
      <c r="O17" s="89"/>
      <c r="P17" s="129" t="s">
        <v>100</v>
      </c>
      <c r="Q17" s="116">
        <v>5578434</v>
      </c>
      <c r="R17" s="116">
        <v>7011939362</v>
      </c>
      <c r="S17" s="116">
        <v>54273.95</v>
      </c>
      <c r="T17" s="130">
        <f t="shared" si="3"/>
        <v>102.78290045224274</v>
      </c>
      <c r="U17" s="78"/>
    </row>
    <row r="18" spans="1:21" ht="15" hidden="1" customHeight="1">
      <c r="A18" s="129" t="s">
        <v>106</v>
      </c>
      <c r="C18" s="79"/>
      <c r="F18" s="78">
        <f>Q18/20</f>
        <v>339155</v>
      </c>
      <c r="G18" s="90">
        <f t="shared" si="2"/>
        <v>0.21595056964015336</v>
      </c>
      <c r="H18" s="90">
        <f t="shared" si="4"/>
        <v>0.7436219229226908</v>
      </c>
      <c r="I18" s="130">
        <f t="shared" si="0"/>
        <v>109.34261923215306</v>
      </c>
      <c r="J18" s="130">
        <f t="shared" si="5"/>
        <v>7.8470489289527379E-2</v>
      </c>
      <c r="O18" s="89"/>
      <c r="P18" s="129" t="s">
        <v>106</v>
      </c>
      <c r="Q18" s="116">
        <v>6783100</v>
      </c>
      <c r="R18" s="116">
        <v>8482496357</v>
      </c>
      <c r="S18" s="116">
        <v>62035.28</v>
      </c>
      <c r="T18" s="130">
        <f t="shared" si="3"/>
        <v>109.34261923215306</v>
      </c>
      <c r="U18" s="78"/>
    </row>
    <row r="19" spans="1:21" hidden="1">
      <c r="A19" s="129" t="s">
        <v>114</v>
      </c>
      <c r="B19" s="131">
        <f>SUM(F17:F19)</f>
        <v>919786.74545454537</v>
      </c>
      <c r="C19" s="131">
        <f>AVERAGE(F17:F19)</f>
        <v>306595.58181818179</v>
      </c>
      <c r="D19" s="90">
        <f>C19/C16-1</f>
        <v>5.6619383004151702E-2</v>
      </c>
      <c r="E19" s="286">
        <f>C19/C7-1</f>
        <v>0.44836458073473118</v>
      </c>
      <c r="F19" s="78">
        <f>Q19/22</f>
        <v>301710.04545454547</v>
      </c>
      <c r="G19" s="90">
        <f t="shared" si="2"/>
        <v>-0.11040661215507519</v>
      </c>
      <c r="H19" s="90">
        <f t="shared" si="4"/>
        <v>0.33108164881462199</v>
      </c>
      <c r="I19" s="130">
        <f t="shared" si="0"/>
        <v>103.60970409139654</v>
      </c>
      <c r="J19" s="130">
        <f t="shared" si="5"/>
        <v>0.12943837354983057</v>
      </c>
      <c r="K19" s="78">
        <f>R17+R18+R19</f>
        <v>24175552477</v>
      </c>
      <c r="L19" s="87">
        <f>U19/U16-1</f>
        <v>2.239037644634978E-2</v>
      </c>
      <c r="M19" s="87">
        <f>U19/U7-1</f>
        <v>0.48833842811624528</v>
      </c>
      <c r="N19" s="88">
        <f>AVERAGE(T17:T19)</f>
        <v>105.24507459193076</v>
      </c>
      <c r="O19" s="89">
        <f>N19/N16-1</f>
        <v>8.6808298880074464E-2</v>
      </c>
      <c r="P19" s="129" t="s">
        <v>114</v>
      </c>
      <c r="Q19" s="116">
        <v>6637621</v>
      </c>
      <c r="R19" s="116">
        <v>8681116758</v>
      </c>
      <c r="S19" s="116">
        <v>64063.7</v>
      </c>
      <c r="T19" s="130">
        <f t="shared" si="3"/>
        <v>103.60970409139654</v>
      </c>
      <c r="U19" s="85">
        <f>Q17+Q18+Q19</f>
        <v>18999155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345448.15</v>
      </c>
      <c r="G20" s="90">
        <f t="shared" si="2"/>
        <v>0.14496734598133876</v>
      </c>
      <c r="H20" s="90">
        <f t="shared" si="4"/>
        <v>0.39409542574671841</v>
      </c>
      <c r="I20" s="130">
        <f t="shared" si="0"/>
        <v>110.87980846850878</v>
      </c>
      <c r="J20" s="130">
        <f t="shared" si="5"/>
        <v>7.0854492858620111E-2</v>
      </c>
      <c r="O20" s="89"/>
      <c r="P20" s="129" t="s">
        <v>131</v>
      </c>
      <c r="Q20" s="116">
        <v>6908963</v>
      </c>
      <c r="R20" s="116">
        <v>9068574550</v>
      </c>
      <c r="S20" s="116">
        <v>62310.38</v>
      </c>
      <c r="T20" s="130">
        <f t="shared" si="3"/>
        <v>110.87980846850878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309755.19047619047</v>
      </c>
      <c r="G21" s="90">
        <f t="shared" si="2"/>
        <v>-0.10332363778416398</v>
      </c>
      <c r="H21" s="90">
        <f t="shared" si="4"/>
        <v>5.5699456217790599E-2</v>
      </c>
      <c r="I21" s="130">
        <f t="shared" si="0"/>
        <v>107.21723622422321</v>
      </c>
      <c r="J21" s="130">
        <f t="shared" si="5"/>
        <v>0.17103450739990289</v>
      </c>
      <c r="O21" s="89"/>
      <c r="P21" s="129" t="s">
        <v>141</v>
      </c>
      <c r="Q21" s="116">
        <v>6504859</v>
      </c>
      <c r="R21" s="116">
        <v>8652525675</v>
      </c>
      <c r="S21" s="116">
        <v>60669.9</v>
      </c>
      <c r="T21" s="130">
        <f t="shared" si="3"/>
        <v>107.21723622422321</v>
      </c>
      <c r="U21" s="78"/>
    </row>
    <row r="22" spans="1:21" hidden="1">
      <c r="A22" s="129" t="s">
        <v>155</v>
      </c>
      <c r="B22" s="131">
        <f>SUM(F20:F22)</f>
        <v>1171213.2452380951</v>
      </c>
      <c r="C22" s="131">
        <f>AVERAGE(F20:F22)</f>
        <v>390404.41507936502</v>
      </c>
      <c r="D22" s="90">
        <f>C22/C19-1</f>
        <v>0.27335303647944875</v>
      </c>
      <c r="E22" s="286">
        <f>C22/C10-1</f>
        <v>0.31010907544638044</v>
      </c>
      <c r="F22" s="78">
        <f>Q22/21</f>
        <v>516009.90476190473</v>
      </c>
      <c r="G22" s="90">
        <f t="shared" si="2"/>
        <v>0.66586362594485138</v>
      </c>
      <c r="H22" s="90">
        <f t="shared" si="4"/>
        <v>0.46271498230899355</v>
      </c>
      <c r="I22" s="130">
        <f t="shared" si="0"/>
        <v>89.152197469807845</v>
      </c>
      <c r="J22" s="130">
        <f t="shared" si="5"/>
        <v>-0.14375425041061352</v>
      </c>
      <c r="K22" s="78">
        <f>R20+R21+R22</f>
        <v>31767310644</v>
      </c>
      <c r="L22" s="87">
        <f>U22/U19-1</f>
        <v>0.27637413348119955</v>
      </c>
      <c r="M22" s="87">
        <f>U22/U10-1</f>
        <v>0.29170834529382761</v>
      </c>
      <c r="N22" s="88">
        <f>AVERAGE(T20:T22)</f>
        <v>102.41641405417995</v>
      </c>
      <c r="O22" s="89">
        <f>N22/N19-1</f>
        <v>-2.6876892326965773E-2</v>
      </c>
      <c r="P22" s="129" t="s">
        <v>155</v>
      </c>
      <c r="Q22" s="116">
        <v>10836208</v>
      </c>
      <c r="R22" s="116">
        <v>14046210419</v>
      </c>
      <c r="S22" s="116">
        <v>121547.29</v>
      </c>
      <c r="T22" s="130">
        <f t="shared" si="3"/>
        <v>89.152197469807845</v>
      </c>
      <c r="U22" s="85">
        <f>Q20+Q21+Q22</f>
        <v>24250030</v>
      </c>
    </row>
    <row r="23" spans="1:21" hidden="1">
      <c r="A23" s="129" t="s">
        <v>189</v>
      </c>
      <c r="B23" s="131"/>
      <c r="C23" s="131"/>
      <c r="F23" s="78">
        <f>Q23/21</f>
        <v>211507.90476190476</v>
      </c>
      <c r="G23" s="90">
        <f t="shared" ref="G23" si="6">F23/F22-1</f>
        <v>-0.59010882773752593</v>
      </c>
      <c r="H23" s="90">
        <f t="shared" ref="H23" si="7">F23/F11-1</f>
        <v>-0.25378996354350425</v>
      </c>
      <c r="I23" s="130">
        <f t="shared" si="0"/>
        <v>99.589794619280298</v>
      </c>
      <c r="J23" s="130">
        <f t="shared" si="5"/>
        <v>1.8978457907838475E-2</v>
      </c>
      <c r="O23" s="89"/>
      <c r="P23" s="129" t="s">
        <v>189</v>
      </c>
      <c r="Q23" s="116">
        <v>4441666</v>
      </c>
      <c r="R23" s="116">
        <v>5741779199</v>
      </c>
      <c r="S23" s="116">
        <v>44599.61</v>
      </c>
      <c r="T23" s="130">
        <f t="shared" si="3"/>
        <v>99.589794619280298</v>
      </c>
      <c r="U23" s="78"/>
    </row>
    <row r="24" spans="1:21" hidden="1">
      <c r="A24" s="129" t="s">
        <v>204</v>
      </c>
      <c r="B24" s="131"/>
      <c r="C24" s="131"/>
      <c r="F24" s="78">
        <f>Q24/22</f>
        <v>216338.5</v>
      </c>
      <c r="G24" s="90">
        <f t="shared" ref="G24" si="8">F24/F23-1</f>
        <v>2.2838840200951616E-2</v>
      </c>
      <c r="H24" s="90">
        <f t="shared" ref="H24" si="9">F24/F12-1</f>
        <v>-0.20691441028984803</v>
      </c>
      <c r="I24" s="130">
        <f t="shared" si="0"/>
        <v>110.44909503601268</v>
      </c>
      <c r="J24" s="130">
        <f t="shared" si="5"/>
        <v>2.6854575600256503E-2</v>
      </c>
      <c r="O24" s="89"/>
      <c r="P24" s="129" t="s">
        <v>204</v>
      </c>
      <c r="Q24" s="116">
        <v>4759447</v>
      </c>
      <c r="R24" s="116">
        <v>6257865913</v>
      </c>
      <c r="S24" s="116">
        <v>43091.77</v>
      </c>
      <c r="T24" s="130">
        <f t="shared" ref="T24" si="10">Q24/S24</f>
        <v>110.44909503601268</v>
      </c>
      <c r="U24" s="78"/>
    </row>
    <row r="25" spans="1:21" s="79" customFormat="1" ht="13.2" hidden="1">
      <c r="A25" s="129" t="s">
        <v>219</v>
      </c>
      <c r="B25" s="131">
        <f>SUM(F23:F25)</f>
        <v>729976.5100250626</v>
      </c>
      <c r="C25" s="131">
        <f>AVERAGE(F23:F25)</f>
        <v>243325.50334168752</v>
      </c>
      <c r="D25" s="90">
        <f>C25/C22-1</f>
        <v>-0.37673475518400046</v>
      </c>
      <c r="E25" s="286">
        <f>C25/C13-1</f>
        <v>-0.1222953319962814</v>
      </c>
      <c r="F25" s="78">
        <f>Q25/19</f>
        <v>302130.10526315792</v>
      </c>
      <c r="G25" s="90">
        <f t="shared" ref="G25" si="11">F25/F24-1</f>
        <v>0.39656189380603979</v>
      </c>
      <c r="H25" s="90">
        <f t="shared" ref="H25" si="12">F25/F13-1</f>
        <v>9.6802528468402871E-2</v>
      </c>
      <c r="I25" s="130">
        <f t="shared" si="0"/>
        <v>111.42077760649805</v>
      </c>
      <c r="J25" s="130">
        <f t="shared" si="5"/>
        <v>0.16755427328800088</v>
      </c>
      <c r="K25" s="78">
        <f>R23+R24+R25</f>
        <v>19618653245</v>
      </c>
      <c r="L25" s="90">
        <f>U25/U22-1</f>
        <v>-0.38385292719225506</v>
      </c>
      <c r="M25" s="90">
        <f>U25/U13-1</f>
        <v>-0.14437466550258993</v>
      </c>
      <c r="N25" s="88">
        <f>AVERAGE(T23:T25)</f>
        <v>107.153222420597</v>
      </c>
      <c r="O25" s="91">
        <f>N25/N22-1</f>
        <v>4.625048055198655E-2</v>
      </c>
      <c r="P25" s="129" t="s">
        <v>219</v>
      </c>
      <c r="Q25" s="116">
        <v>5740472</v>
      </c>
      <c r="R25" s="116">
        <v>7619008133</v>
      </c>
      <c r="S25" s="116">
        <v>51520.66</v>
      </c>
      <c r="T25" s="130">
        <f t="shared" ref="T25" si="13">Q25/S25</f>
        <v>111.42077760649805</v>
      </c>
      <c r="U25" s="85">
        <f>Q23+Q24+Q25</f>
        <v>14941585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401869.68421052629</v>
      </c>
      <c r="G26" s="90">
        <f t="shared" ref="G26" si="14">F26/F25-1</f>
        <v>0.33012128619388759</v>
      </c>
      <c r="H26" s="90">
        <f t="shared" ref="H26" si="15">F26/F14-1</f>
        <v>0.41523816272285141</v>
      </c>
      <c r="I26" s="130">
        <f t="shared" si="0"/>
        <v>111.04638657168283</v>
      </c>
      <c r="J26" s="130">
        <f t="shared" si="5"/>
        <v>-3.6244286200006415E-2</v>
      </c>
      <c r="L26" s="90"/>
      <c r="M26" s="90"/>
      <c r="P26" s="129" t="s">
        <v>312</v>
      </c>
      <c r="Q26" s="116">
        <v>7635524</v>
      </c>
      <c r="R26" s="116">
        <v>10306925617</v>
      </c>
      <c r="S26" s="116">
        <v>68759.77</v>
      </c>
      <c r="T26" s="130">
        <f t="shared" ref="T26" si="16">Q26/S26</f>
        <v>111.04638657168283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276935.63636363635</v>
      </c>
      <c r="G27" s="90">
        <f t="shared" ref="G27" si="17">F27/F26-1</f>
        <v>-0.31088199173899644</v>
      </c>
      <c r="H27" s="90">
        <f t="shared" ref="H27" si="18">F27/F15-1</f>
        <v>-0.15604578026630211</v>
      </c>
      <c r="I27" s="130">
        <f t="shared" si="0"/>
        <v>106.16923168342437</v>
      </c>
      <c r="J27" s="130">
        <f t="shared" si="5"/>
        <v>0.23996388191079587</v>
      </c>
      <c r="L27" s="90"/>
      <c r="M27" s="90"/>
      <c r="P27" s="129" t="s">
        <v>377</v>
      </c>
      <c r="Q27" s="116">
        <v>6092584</v>
      </c>
      <c r="R27" s="116">
        <v>8032581501</v>
      </c>
      <c r="S27" s="116">
        <v>57385.59</v>
      </c>
      <c r="T27" s="130">
        <f t="shared" ref="T27" si="19">Q27/S27</f>
        <v>106.16923168342437</v>
      </c>
      <c r="U27" s="78"/>
    </row>
    <row r="28" spans="1:21" s="79" customFormat="1" ht="13.2" hidden="1">
      <c r="A28" s="123" t="s">
        <v>413</v>
      </c>
      <c r="B28" s="131">
        <f>SUM(F26:F28)</f>
        <v>1091403.0047846888</v>
      </c>
      <c r="C28" s="131">
        <f>AVERAGE(F26:F28)</f>
        <v>363801.00159489625</v>
      </c>
      <c r="D28" s="90">
        <f>C28/C25-1</f>
        <v>0.49512071936015745</v>
      </c>
      <c r="E28" s="286">
        <f>C28/C16-1</f>
        <v>0.25376624008055404</v>
      </c>
      <c r="F28" s="78">
        <f>Q28/19</f>
        <v>412597.68421052629</v>
      </c>
      <c r="G28" s="90">
        <f t="shared" ref="G28" si="20">F28/F27-1</f>
        <v>0.48986851106715612</v>
      </c>
      <c r="H28" s="90">
        <f t="shared" ref="H28" si="21">F28/F16-1</f>
        <v>0.59674054485155548</v>
      </c>
      <c r="I28" s="130">
        <f t="shared" si="0"/>
        <v>106.56970564361495</v>
      </c>
      <c r="J28" s="130">
        <f t="shared" si="5"/>
        <v>0.1884571380013782</v>
      </c>
      <c r="K28" s="78">
        <f>R26+R27+R28</f>
        <v>28564141440</v>
      </c>
      <c r="L28" s="90">
        <f>U28/U25-1</f>
        <v>0.443452217418701</v>
      </c>
      <c r="M28" s="90">
        <f>U28/U16-1</f>
        <v>0.16059728119240568</v>
      </c>
      <c r="N28" s="88">
        <f>AVERAGE(T26:T28)</f>
        <v>107.92844129957405</v>
      </c>
      <c r="O28" s="91">
        <f>N28/N25-1</f>
        <v>7.2346763024462302E-3</v>
      </c>
      <c r="P28" s="129" t="s">
        <v>413</v>
      </c>
      <c r="Q28" s="116">
        <v>7839356</v>
      </c>
      <c r="R28" s="116">
        <v>10224634322</v>
      </c>
      <c r="S28" s="116">
        <v>73560.83</v>
      </c>
      <c r="T28" s="130">
        <f t="shared" ref="T28" si="22">Q28/S28</f>
        <v>106.56970564361495</v>
      </c>
      <c r="U28" s="85">
        <f>Q26+Q27+Q28</f>
        <v>21567464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222260.04545454544</v>
      </c>
      <c r="G29" s="190">
        <f t="shared" ref="G29" si="23">F29/F28-1</f>
        <v>-0.46131533462233842</v>
      </c>
      <c r="H29" s="190">
        <f t="shared" ref="H29" si="24">F29/F17-1</f>
        <v>-0.2031453793141752</v>
      </c>
      <c r="I29" s="130">
        <f t="shared" si="0"/>
        <v>107.37862832555105</v>
      </c>
      <c r="J29" s="130">
        <f t="shared" si="5"/>
        <v>4.47129615246038E-2</v>
      </c>
      <c r="K29" s="136"/>
      <c r="L29" s="190"/>
      <c r="M29" s="190"/>
      <c r="N29" s="191"/>
      <c r="O29" s="192"/>
      <c r="P29" s="129" t="s">
        <v>427</v>
      </c>
      <c r="Q29" s="116">
        <v>4889721</v>
      </c>
      <c r="R29" s="116">
        <v>6449459344</v>
      </c>
      <c r="S29" s="116">
        <v>45537.19</v>
      </c>
      <c r="T29" s="130">
        <f t="shared" ref="T29" si="25">Q29/S29</f>
        <v>107.37862832555105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291102.4736842105</v>
      </c>
      <c r="G30" s="190">
        <f t="shared" ref="G30" si="26">F30/F29-1</f>
        <v>0.30973820818255926</v>
      </c>
      <c r="H30" s="190">
        <f t="shared" ref="H30" si="27">F30/F18-1</f>
        <v>-0.14168308388727724</v>
      </c>
      <c r="I30" s="130">
        <f t="shared" si="0"/>
        <v>113.38008521524691</v>
      </c>
      <c r="J30" s="130">
        <f t="shared" si="5"/>
        <v>3.6924906422093562E-2</v>
      </c>
      <c r="K30" s="136"/>
      <c r="L30" s="190"/>
      <c r="M30" s="190"/>
      <c r="N30" s="191"/>
      <c r="O30" s="192"/>
      <c r="P30" s="129" t="s">
        <v>466</v>
      </c>
      <c r="Q30" s="116">
        <v>5530947</v>
      </c>
      <c r="R30" s="116">
        <v>7369288868</v>
      </c>
      <c r="S30" s="116">
        <v>48782.35</v>
      </c>
      <c r="T30" s="130">
        <f t="shared" ref="T30" si="28">Q30/S30</f>
        <v>113.38008521524691</v>
      </c>
      <c r="U30" s="85"/>
    </row>
    <row r="31" spans="1:21" s="79" customFormat="1" ht="13.2" hidden="1">
      <c r="A31" s="129" t="s">
        <v>505</v>
      </c>
      <c r="B31" s="188">
        <f>SUM(F29:F31)</f>
        <v>764688.169138756</v>
      </c>
      <c r="C31" s="188">
        <f>AVERAGE(F29:F31)</f>
        <v>254896.05637958532</v>
      </c>
      <c r="D31" s="190">
        <f>C31/C28-1</f>
        <v>-0.29935306592855393</v>
      </c>
      <c r="E31" s="287">
        <f>C31/C19-1</f>
        <v>-0.16862449593045825</v>
      </c>
      <c r="F31" s="136">
        <f>Q31/20</f>
        <v>251325.65</v>
      </c>
      <c r="G31" s="190">
        <f t="shared" ref="G31" si="29">F31/F30-1</f>
        <v>-0.13664199819669209</v>
      </c>
      <c r="H31" s="190">
        <f t="shared" ref="H31" si="30">F31/F19-1</f>
        <v>-0.16699608187933601</v>
      </c>
      <c r="I31" s="130">
        <f t="shared" si="0"/>
        <v>103.89758058681879</v>
      </c>
      <c r="J31" s="130">
        <f t="shared" si="5"/>
        <v>2.7784703947064671E-3</v>
      </c>
      <c r="K31" s="136">
        <f>R29+R30+R31</f>
        <v>20494477876</v>
      </c>
      <c r="L31" s="190">
        <f>U31/U28-1</f>
        <v>-0.28377388273373261</v>
      </c>
      <c r="M31" s="190">
        <f>U31/U19-1</f>
        <v>-0.18695431454714695</v>
      </c>
      <c r="N31" s="191">
        <f>AVERAGE(T29:T31)</f>
        <v>108.21876470920557</v>
      </c>
      <c r="O31" s="192">
        <f>N31/N28-1</f>
        <v>2.6899620353608711E-3</v>
      </c>
      <c r="P31" s="129" t="s">
        <v>505</v>
      </c>
      <c r="Q31" s="116">
        <v>5026513</v>
      </c>
      <c r="R31" s="116">
        <v>6675729664</v>
      </c>
      <c r="S31" s="116">
        <v>48379.5</v>
      </c>
      <c r="T31" s="130">
        <f t="shared" ref="T31" si="31">Q31/S31</f>
        <v>103.89758058681879</v>
      </c>
      <c r="U31" s="85">
        <f>Q29+Q30+Q31</f>
        <v>15447181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344635.57142857142</v>
      </c>
      <c r="G32" s="190">
        <f t="shared" ref="G32" si="32">F32/F31-1</f>
        <v>0.37127098419350135</v>
      </c>
      <c r="H32" s="190">
        <f t="shared" ref="H32" si="33">F32/F20-1</f>
        <v>-2.3522446752967108E-3</v>
      </c>
      <c r="I32" s="130">
        <f t="shared" si="0"/>
        <v>112.89802366954179</v>
      </c>
      <c r="J32" s="130">
        <f t="shared" si="5"/>
        <v>1.8201827987520458E-2</v>
      </c>
      <c r="K32" s="136"/>
      <c r="L32" s="190"/>
      <c r="M32" s="190"/>
      <c r="N32" s="191"/>
      <c r="O32" s="192"/>
      <c r="P32" s="129" t="s">
        <v>562</v>
      </c>
      <c r="Q32" s="116">
        <v>7237347</v>
      </c>
      <c r="R32" s="116">
        <v>9866999285</v>
      </c>
      <c r="S32" s="116">
        <v>64105.17</v>
      </c>
      <c r="T32" s="130">
        <f t="shared" ref="T32" si="34">Q32/S32</f>
        <v>112.89802366954179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284950.71428571426</v>
      </c>
      <c r="G33" s="190">
        <f t="shared" ref="G33" si="35">F33/F32-1</f>
        <v>-0.17318252116417798</v>
      </c>
      <c r="H33" s="190">
        <f t="shared" ref="H33" si="36">F33/F21-1</f>
        <v>-8.0077677317832774E-2</v>
      </c>
      <c r="I33" s="130">
        <f t="shared" si="0"/>
        <v>114.03321884844451</v>
      </c>
      <c r="J33" s="130">
        <f t="shared" si="5"/>
        <v>6.35717060451646E-2</v>
      </c>
      <c r="K33" s="136"/>
      <c r="L33" s="190"/>
      <c r="M33" s="190"/>
      <c r="N33" s="191"/>
      <c r="O33" s="192"/>
      <c r="P33" s="129" t="s">
        <v>631</v>
      </c>
      <c r="Q33" s="116">
        <v>5983965</v>
      </c>
      <c r="R33" s="116">
        <v>8187659569</v>
      </c>
      <c r="S33" s="116">
        <v>52475.63</v>
      </c>
      <c r="T33" s="130">
        <f t="shared" ref="T33" si="37">Q33/S33</f>
        <v>114.03321884844451</v>
      </c>
      <c r="U33" s="85"/>
    </row>
    <row r="34" spans="1:21" s="79" customFormat="1" ht="13.2" hidden="1">
      <c r="A34" s="129" t="s">
        <v>652</v>
      </c>
      <c r="B34" s="188">
        <f>SUM(F32:F34)</f>
        <v>1040674.969924812</v>
      </c>
      <c r="C34" s="188">
        <f>AVERAGE(F32:F34)</f>
        <v>346891.65664160397</v>
      </c>
      <c r="D34" s="190">
        <f>C34/C31-1</f>
        <v>0.3609141764242163</v>
      </c>
      <c r="E34" s="287">
        <f>C34/C22-1</f>
        <v>-0.1114556002880126</v>
      </c>
      <c r="F34" s="136">
        <f>Q34/19</f>
        <v>411088.68421052629</v>
      </c>
      <c r="G34" s="190">
        <f t="shared" ref="G34" si="38">F34/F33-1</f>
        <v>0.44266591940645594</v>
      </c>
      <c r="H34" s="190">
        <f t="shared" ref="H34" si="39">F34/F22-1</f>
        <v>-0.20333179573324422</v>
      </c>
      <c r="I34" s="130">
        <f t="shared" si="0"/>
        <v>124.25234408294938</v>
      </c>
      <c r="J34" s="130">
        <f t="shared" si="5"/>
        <v>0.39371039199598523</v>
      </c>
      <c r="K34" s="136">
        <f>R32+R33+R34</f>
        <v>28793201480</v>
      </c>
      <c r="L34" s="190">
        <f>U34/U31-1</f>
        <v>0.36154273067687881</v>
      </c>
      <c r="M34" s="190">
        <f>U34/U22-1</f>
        <v>-0.13270222758487304</v>
      </c>
      <c r="N34" s="191">
        <f>AVERAGE(T32:T34)</f>
        <v>117.06119553364522</v>
      </c>
      <c r="O34" s="192">
        <f>N34/N31-1</f>
        <v>8.1708850107466313E-2</v>
      </c>
      <c r="P34" s="129" t="s">
        <v>652</v>
      </c>
      <c r="Q34" s="116">
        <v>7810685</v>
      </c>
      <c r="R34" s="116">
        <v>10738542626</v>
      </c>
      <c r="S34" s="116">
        <v>62861.47</v>
      </c>
      <c r="T34" s="130">
        <f t="shared" ref="T34" si="40">Q34/S34</f>
        <v>124.25234408294938</v>
      </c>
      <c r="U34" s="85">
        <f>Q32+Q33+Q34</f>
        <v>21031997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274076.4347826087</v>
      </c>
      <c r="G35" s="190">
        <f t="shared" ref="G35" si="41">F35/F34-1</f>
        <v>-0.33329122082511764</v>
      </c>
      <c r="H35" s="190">
        <f t="shared" ref="H35" si="42">F35/F23-1</f>
        <v>0.2958212369941331</v>
      </c>
      <c r="I35" s="130">
        <f t="shared" si="0"/>
        <v>120.27478807051151</v>
      </c>
      <c r="J35" s="130">
        <f t="shared" si="5"/>
        <v>0.20770193904212197</v>
      </c>
      <c r="K35" s="136"/>
      <c r="L35" s="190"/>
      <c r="M35" s="190"/>
      <c r="N35" s="191"/>
      <c r="O35" s="192"/>
      <c r="P35" s="129" t="s">
        <v>660</v>
      </c>
      <c r="Q35" s="116">
        <v>6303758</v>
      </c>
      <c r="R35" s="116">
        <v>8721271770</v>
      </c>
      <c r="S35" s="116">
        <v>52411.3</v>
      </c>
      <c r="T35" s="130">
        <f t="shared" ref="T35" si="43">Q35/S35</f>
        <v>120.27478807051151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283555.57142857142</v>
      </c>
      <c r="G36" s="190">
        <f t="shared" ref="G36" si="44">F36/F35-1</f>
        <v>3.4585741212962651E-2</v>
      </c>
      <c r="H36" s="190">
        <f t="shared" ref="H36" si="45">F36/F24-1</f>
        <v>0.31070323325978233</v>
      </c>
      <c r="I36" s="130">
        <f t="shared" si="0"/>
        <v>125.70011278812107</v>
      </c>
      <c r="J36" s="130">
        <f t="shared" si="5"/>
        <v>0.13808187153670826</v>
      </c>
      <c r="K36" s="136"/>
      <c r="L36" s="190"/>
      <c r="M36" s="190"/>
      <c r="N36" s="191"/>
      <c r="O36" s="192"/>
      <c r="P36" s="129" t="s">
        <v>664</v>
      </c>
      <c r="Q36" s="116">
        <v>5954667</v>
      </c>
      <c r="R36" s="116">
        <v>8122685084</v>
      </c>
      <c r="S36" s="116">
        <v>47372.01</v>
      </c>
      <c r="T36" s="130">
        <f t="shared" ref="T36" si="46">Q36/S36</f>
        <v>125.70011278812107</v>
      </c>
      <c r="U36" s="85"/>
    </row>
    <row r="37" spans="1:21" s="79" customFormat="1" ht="13.2" hidden="1">
      <c r="A37" s="129" t="s">
        <v>702</v>
      </c>
      <c r="B37" s="188">
        <f>SUM(F35:F37)</f>
        <v>925819.28398895788</v>
      </c>
      <c r="C37" s="188">
        <f>AVERAGE(F35:F37)</f>
        <v>308606.42799631931</v>
      </c>
      <c r="D37" s="190">
        <f>C37/C34-1</f>
        <v>-0.11036653062209445</v>
      </c>
      <c r="E37" s="287">
        <f>C37/C25-1</f>
        <v>0.26828640548607718</v>
      </c>
      <c r="F37" s="136">
        <f>Q37/18</f>
        <v>368187.27777777775</v>
      </c>
      <c r="G37" s="190">
        <f t="shared" ref="G37" si="47">F37/F36-1</f>
        <v>0.29846603232948765</v>
      </c>
      <c r="H37" s="190">
        <f t="shared" ref="H37" si="48">F37/F25-1</f>
        <v>0.21863816734543362</v>
      </c>
      <c r="I37" s="130">
        <f t="shared" si="0"/>
        <v>123.74203573100992</v>
      </c>
      <c r="J37" s="130">
        <f t="shared" si="5"/>
        <v>0.11058312811302162</v>
      </c>
      <c r="K37" s="136">
        <f>R35+R36+R37</f>
        <v>25691010905</v>
      </c>
      <c r="L37" s="190">
        <f>U37/U34-1</f>
        <v>-0.10204456571575204</v>
      </c>
      <c r="M37" s="190">
        <f>U37/U25-1</f>
        <v>0.26397540823145604</v>
      </c>
      <c r="N37" s="191">
        <f>AVERAGE(T35:T37)</f>
        <v>123.23897886321417</v>
      </c>
      <c r="O37" s="192">
        <f>N37/N34-1</f>
        <v>5.2773964091229253E-2</v>
      </c>
      <c r="P37" s="129" t="s">
        <v>702</v>
      </c>
      <c r="Q37" s="116">
        <v>6627371</v>
      </c>
      <c r="R37" s="116">
        <v>8847054051</v>
      </c>
      <c r="S37" s="116">
        <v>53557.96</v>
      </c>
      <c r="T37" s="130">
        <f t="shared" ref="T37" si="49">Q37/S37</f>
        <v>123.74203573100992</v>
      </c>
      <c r="U37" s="85">
        <f>Q35+Q36+Q37</f>
        <v>18885796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314454.75</v>
      </c>
      <c r="G38" s="190">
        <f t="shared" ref="G38" si="50">F38/F37-1</f>
        <v>-0.14593803485575196</v>
      </c>
      <c r="H38" s="190">
        <f t="shared" ref="H38" si="51">F38/F26-1</f>
        <v>-0.21752059845532534</v>
      </c>
      <c r="I38" s="130">
        <f t="shared" si="0"/>
        <v>116.99814710773936</v>
      </c>
      <c r="J38" s="130">
        <f t="shared" si="5"/>
        <v>5.35970662333487E-2</v>
      </c>
      <c r="K38" s="136"/>
      <c r="L38" s="190"/>
      <c r="M38" s="190"/>
      <c r="N38" s="191"/>
      <c r="O38" s="192"/>
      <c r="P38" s="129" t="s">
        <v>727</v>
      </c>
      <c r="Q38" s="116">
        <v>6289095</v>
      </c>
      <c r="R38" s="116">
        <v>8471369858</v>
      </c>
      <c r="S38" s="116">
        <v>53753.8</v>
      </c>
      <c r="T38" s="130">
        <f t="shared" ref="T38" si="52">Q38/S38</f>
        <v>116.99814710773936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309320.95238095237</v>
      </c>
      <c r="G39" s="190">
        <f t="shared" ref="G39" si="53">F39/F38-1</f>
        <v>-1.6326029799351494E-2</v>
      </c>
      <c r="H39" s="190">
        <f t="shared" ref="H39" si="54">F39/F27-1</f>
        <v>0.11694167078877404</v>
      </c>
      <c r="I39" s="130">
        <f t="shared" si="0"/>
        <v>122.98373202407973</v>
      </c>
      <c r="J39" s="130">
        <f t="shared" si="5"/>
        <v>0.15837451278533199</v>
      </c>
      <c r="K39" s="136"/>
      <c r="L39" s="190"/>
      <c r="M39" s="190"/>
      <c r="N39" s="191"/>
      <c r="O39" s="192"/>
      <c r="P39" s="129" t="s">
        <v>762</v>
      </c>
      <c r="Q39" s="116">
        <v>6495740</v>
      </c>
      <c r="R39" s="116">
        <v>9034695413</v>
      </c>
      <c r="S39" s="116">
        <v>52817.88</v>
      </c>
      <c r="T39" s="130">
        <f t="shared" ref="T39" si="55">Q39/S39</f>
        <v>122.98373202407973</v>
      </c>
      <c r="U39" s="85"/>
    </row>
    <row r="40" spans="1:21" s="79" customFormat="1" ht="13.2" hidden="1">
      <c r="A40" s="129" t="s">
        <v>778</v>
      </c>
      <c r="B40" s="188">
        <f>SUM(F38:F40)</f>
        <v>1054249.0357142857</v>
      </c>
      <c r="C40" s="188">
        <f>AVERAGE(F38:F40)</f>
        <v>351416.34523809521</v>
      </c>
      <c r="D40" s="190">
        <f>C40/C37-1</f>
        <v>0.13872010871493079</v>
      </c>
      <c r="E40" s="287">
        <f>C40/C28-1</f>
        <v>-3.4042392138853295E-2</v>
      </c>
      <c r="F40" s="136">
        <f>Q40/21</f>
        <v>430473.33333333331</v>
      </c>
      <c r="G40" s="190">
        <f t="shared" ref="G40" si="56">F40/F39-1</f>
        <v>0.39167208047120106</v>
      </c>
      <c r="H40" s="190">
        <f t="shared" ref="H40" si="57">F40/F28-1</f>
        <v>4.3324647245683634E-2</v>
      </c>
      <c r="I40" s="130">
        <f t="shared" si="0"/>
        <v>131.18258255233951</v>
      </c>
      <c r="J40" s="130">
        <f t="shared" si="5"/>
        <v>0.23095566193110928</v>
      </c>
      <c r="K40" s="136">
        <f>R38+R39+R40</f>
        <v>30382703835</v>
      </c>
      <c r="L40" s="190">
        <f>U40/U37-1</f>
        <v>0.15561848703650094</v>
      </c>
      <c r="M40" s="190">
        <f>U40/U28-1</f>
        <v>1.1930517190152701E-2</v>
      </c>
      <c r="N40" s="191">
        <f>AVERAGE(T38:T40)</f>
        <v>123.72148722805287</v>
      </c>
      <c r="O40" s="192">
        <f>N40/N37-1</f>
        <v>3.9152252744176774E-3</v>
      </c>
      <c r="P40" s="129" t="s">
        <v>778</v>
      </c>
      <c r="Q40" s="116">
        <v>9039940</v>
      </c>
      <c r="R40" s="116">
        <v>12876638564</v>
      </c>
      <c r="S40" s="116">
        <v>68911.13</v>
      </c>
      <c r="T40" s="130">
        <f t="shared" ref="T40" si="58">Q40/S40</f>
        <v>131.18258255233951</v>
      </c>
      <c r="U40" s="85">
        <f>Q38+Q39+Q40</f>
        <v>21824775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237025.22222222222</v>
      </c>
      <c r="G41" s="190">
        <f t="shared" ref="G41" si="59">F41/F40-1</f>
        <v>-0.44938465668282457</v>
      </c>
      <c r="H41" s="190">
        <f t="shared" ref="H41" si="60">F41/F29-1</f>
        <v>6.6431988428151456E-2</v>
      </c>
      <c r="I41" s="130">
        <f t="shared" si="0"/>
        <v>112.81298570394317</v>
      </c>
      <c r="J41" s="130">
        <f t="shared" si="5"/>
        <v>5.0609301526149286E-2</v>
      </c>
      <c r="K41" s="193"/>
      <c r="L41" s="190"/>
      <c r="M41" s="190"/>
      <c r="N41" s="193"/>
      <c r="O41" s="193"/>
      <c r="P41" s="129" t="s">
        <v>793</v>
      </c>
      <c r="Q41" s="116">
        <v>4266454</v>
      </c>
      <c r="R41" s="116">
        <v>6236559925</v>
      </c>
      <c r="S41" s="116">
        <v>37818.82</v>
      </c>
      <c r="T41" s="130">
        <f t="shared" ref="T41" si="61">Q41/S41</f>
        <v>112.81298570394317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298990.34999999998</v>
      </c>
      <c r="G42" s="190">
        <f t="shared" ref="G42" si="62">F42/F41-1</f>
        <v>0.26142841338497957</v>
      </c>
      <c r="H42" s="190">
        <f t="shared" ref="H42" si="63">F42/F30-1</f>
        <v>2.7096562306599514E-2</v>
      </c>
      <c r="I42" s="130">
        <f t="shared" si="0"/>
        <v>131.16675276133572</v>
      </c>
      <c r="J42" s="130">
        <f t="shared" si="5"/>
        <v>0.15687647008133432</v>
      </c>
      <c r="K42" s="193"/>
      <c r="L42" s="190"/>
      <c r="M42" s="190"/>
      <c r="N42" s="193"/>
      <c r="O42" s="193"/>
      <c r="P42" s="129" t="s">
        <v>826</v>
      </c>
      <c r="Q42" s="116">
        <v>5979807</v>
      </c>
      <c r="R42" s="116">
        <v>8641558863</v>
      </c>
      <c r="S42" s="116">
        <v>45589.35</v>
      </c>
      <c r="T42" s="130">
        <f t="shared" ref="T42" si="64">Q42/S42</f>
        <v>131.16675276133572</v>
      </c>
      <c r="U42" s="78"/>
    </row>
    <row r="43" spans="1:21" s="79" customFormat="1" ht="13.2">
      <c r="A43" s="129" t="s">
        <v>835</v>
      </c>
      <c r="B43" s="188">
        <f>SUM(F41:F43)</f>
        <v>891616.07222222222</v>
      </c>
      <c r="C43" s="188">
        <f>AVERAGE(F41:F43)</f>
        <v>297205.35740740743</v>
      </c>
      <c r="D43" s="190">
        <f>C43/C40-1</f>
        <v>-0.15426427531126419</v>
      </c>
      <c r="E43" s="287">
        <f>C43/C31-1</f>
        <v>0.16598648731079657</v>
      </c>
      <c r="F43" s="136">
        <f>Q43/20</f>
        <v>355600.5</v>
      </c>
      <c r="G43" s="190">
        <f t="shared" ref="G43" si="65">F43/F42-1</f>
        <v>0.18933771608347905</v>
      </c>
      <c r="H43" s="190">
        <f t="shared" ref="H43" si="66">F43/F31-1</f>
        <v>0.41489935468186401</v>
      </c>
      <c r="I43" s="130">
        <f t="shared" si="0"/>
        <v>136.61549419605871</v>
      </c>
      <c r="J43" s="130">
        <f t="shared" si="5"/>
        <v>0.31490544269122989</v>
      </c>
      <c r="K43" s="136">
        <f>R41+R42+R43</f>
        <v>25194471948</v>
      </c>
      <c r="L43" s="190">
        <f>U43/U40-1</f>
        <v>-0.20465292311146388</v>
      </c>
      <c r="M43" s="190">
        <f>K43/K31-1</f>
        <v>0.22932977851091851</v>
      </c>
      <c r="N43" s="191">
        <f>AVERAGE(T41:T43)</f>
        <v>126.8650775537792</v>
      </c>
      <c r="O43" s="192">
        <f>N43/N40-1</f>
        <v>2.5408604407832769E-2</v>
      </c>
      <c r="P43" s="129" t="s">
        <v>835</v>
      </c>
      <c r="Q43" s="116">
        <v>7112010</v>
      </c>
      <c r="R43" s="116">
        <v>10316353160</v>
      </c>
      <c r="S43" s="116">
        <v>52058.59</v>
      </c>
      <c r="T43" s="130">
        <f t="shared" ref="T43" si="67">Q43/S43</f>
        <v>136.61549419605871</v>
      </c>
      <c r="U43" s="85">
        <f>Q41+Q42+Q43</f>
        <v>17358271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295933.22727272729</v>
      </c>
      <c r="G44" s="190">
        <f t="shared" ref="G44" si="68">F44/F43-1</f>
        <v>-0.16779299446224827</v>
      </c>
      <c r="H44" s="190">
        <f t="shared" ref="H44" si="69">F44/F32-1</f>
        <v>-0.14131548857236309</v>
      </c>
      <c r="I44" s="130">
        <f t="shared" si="0"/>
        <v>168.05364578264923</v>
      </c>
      <c r="J44" s="130">
        <f t="shared" si="5"/>
        <v>0.48854373460558298</v>
      </c>
      <c r="K44" s="136"/>
      <c r="L44" s="190"/>
      <c r="M44" s="190"/>
      <c r="N44" s="191"/>
      <c r="O44" s="192"/>
      <c r="P44" s="129" t="s">
        <v>843</v>
      </c>
      <c r="Q44" s="116">
        <v>6510531</v>
      </c>
      <c r="R44" s="116">
        <v>9440421011</v>
      </c>
      <c r="S44" s="116">
        <v>38740.79</v>
      </c>
      <c r="T44" s="130">
        <f t="shared" ref="T44" si="70">Q44/S44</f>
        <v>168.05364578264923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304729.5</v>
      </c>
      <c r="G45" s="190">
        <f t="shared" ref="G45" si="71">F45/F44-1</f>
        <v>2.9723842801762101E-2</v>
      </c>
      <c r="H45" s="190">
        <f t="shared" ref="H45" si="72">F45/F33-1</f>
        <v>6.941125156982042E-2</v>
      </c>
      <c r="I45" s="130">
        <f t="shared" si="0"/>
        <v>135.31219923203219</v>
      </c>
      <c r="J45" s="130">
        <f t="shared" si="5"/>
        <v>0.18660334767773623</v>
      </c>
      <c r="K45" s="136"/>
      <c r="L45" s="190"/>
      <c r="M45" s="190"/>
      <c r="N45" s="191"/>
      <c r="O45" s="192"/>
      <c r="P45" s="129" t="s">
        <v>864</v>
      </c>
      <c r="Q45" s="116">
        <v>6094590</v>
      </c>
      <c r="R45" s="116">
        <v>8565247912</v>
      </c>
      <c r="S45" s="116">
        <v>45040.95</v>
      </c>
      <c r="T45" s="130">
        <f t="shared" ref="T45" si="73">Q45/S45</f>
        <v>135.31219923203219</v>
      </c>
      <c r="U45" s="85"/>
    </row>
    <row r="46" spans="1:21" s="79" customFormat="1" ht="13.2">
      <c r="A46" s="129" t="s">
        <v>888</v>
      </c>
      <c r="B46" s="188">
        <f>SUM(F44:F46)</f>
        <v>995714.35885167471</v>
      </c>
      <c r="C46" s="188">
        <f>AVERAGE(F44:F46)</f>
        <v>331904.78628389159</v>
      </c>
      <c r="D46" s="190">
        <f>C46/C43-1</f>
        <v>0.11675236671093514</v>
      </c>
      <c r="E46" s="287">
        <f>C46/C34-1</f>
        <v>-4.3203317435784538E-2</v>
      </c>
      <c r="F46" s="136">
        <f>Q46/19</f>
        <v>395051.63157894736</v>
      </c>
      <c r="G46" s="190">
        <f t="shared" ref="G46" si="74">F46/F45-1</f>
        <v>0.29640101000706309</v>
      </c>
      <c r="H46" s="190">
        <f t="shared" ref="H46" si="75">F46/F34-1</f>
        <v>-3.9011175076193672E-2</v>
      </c>
      <c r="I46" s="130">
        <f t="shared" si="0"/>
        <v>138.48318281136332</v>
      </c>
      <c r="J46" s="130">
        <f t="shared" si="5"/>
        <v>0.11453175256728843</v>
      </c>
      <c r="K46" s="136">
        <f>R44+R45+R46</f>
        <v>28278027611</v>
      </c>
      <c r="L46" s="190">
        <f>U46/U43-1</f>
        <v>0.15858900923945707</v>
      </c>
      <c r="M46" s="190">
        <f>K46/K34-1</f>
        <v>-1.7892205191487487E-2</v>
      </c>
      <c r="N46" s="191">
        <f>AVERAGE(T44:T46)</f>
        <v>147.28300927534826</v>
      </c>
      <c r="O46" s="192">
        <f>N46/N43-1</f>
        <v>0.16094209781973867</v>
      </c>
      <c r="P46" s="129" t="s">
        <v>928</v>
      </c>
      <c r="Q46" s="116">
        <v>7505981</v>
      </c>
      <c r="R46" s="116">
        <v>10272358688</v>
      </c>
      <c r="S46" s="116">
        <v>54201.39</v>
      </c>
      <c r="T46" s="130">
        <f t="shared" ref="T46" si="76">Q46/S46</f>
        <v>138.48318281136332</v>
      </c>
      <c r="U46" s="85">
        <f t="shared" ref="U46:U51" si="77">Q44+Q45+Q46</f>
        <v>20111102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245262.04347826086</v>
      </c>
      <c r="G47" s="190">
        <f t="shared" ref="G47" si="78">F47/F46-1</f>
        <v>-0.37916458540369924</v>
      </c>
      <c r="H47" s="190">
        <f t="shared" ref="H47" si="79">F47/F35-1</f>
        <v>-0.10513268434479883</v>
      </c>
      <c r="I47" s="130">
        <f t="shared" si="0"/>
        <v>125.25664610892457</v>
      </c>
      <c r="J47" s="130">
        <f t="shared" si="5"/>
        <v>4.1420634518120503E-2</v>
      </c>
      <c r="K47" s="136"/>
      <c r="L47" s="190"/>
      <c r="M47" s="190"/>
      <c r="N47" s="191"/>
      <c r="O47" s="192"/>
      <c r="P47" s="129" t="s">
        <v>1040</v>
      </c>
      <c r="Q47" s="116">
        <v>5641027</v>
      </c>
      <c r="R47" s="116">
        <v>7741452522</v>
      </c>
      <c r="S47" s="116">
        <v>45035.75</v>
      </c>
      <c r="T47" s="130">
        <f t="shared" ref="T47" si="80">Q47/S47</f>
        <v>125.25664610892457</v>
      </c>
      <c r="U47" s="85">
        <f t="shared" si="77"/>
        <v>19241598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250898.05</v>
      </c>
      <c r="G48" s="190">
        <f t="shared" ref="G48" si="81">F48/F47-1</f>
        <v>2.2979530145840421E-2</v>
      </c>
      <c r="H48" s="190">
        <f t="shared" ref="H48" si="82">F48/F36-1</f>
        <v>-0.11517150329313131</v>
      </c>
      <c r="I48" s="130">
        <f t="shared" si="0"/>
        <v>128.01064603786369</v>
      </c>
      <c r="J48" s="130">
        <f t="shared" si="5"/>
        <v>1.8381314053689257E-2</v>
      </c>
      <c r="K48" s="136"/>
      <c r="L48" s="190"/>
      <c r="M48" s="190"/>
      <c r="N48" s="191"/>
      <c r="O48" s="192"/>
      <c r="P48" s="129" t="s">
        <v>1130</v>
      </c>
      <c r="Q48" s="116">
        <v>5017961</v>
      </c>
      <c r="R48" s="116">
        <v>6966579121</v>
      </c>
      <c r="S48" s="116">
        <v>39199.56</v>
      </c>
      <c r="T48" s="130">
        <f t="shared" ref="T48" si="83">Q48/S48</f>
        <v>128.01064603786369</v>
      </c>
      <c r="U48" s="85">
        <f t="shared" si="77"/>
        <v>18164969</v>
      </c>
    </row>
    <row r="49" spans="1:26" ht="13.2">
      <c r="A49" s="129" t="s">
        <v>1158</v>
      </c>
      <c r="B49" s="188">
        <f>SUM(F47:F49)</f>
        <v>866434.59347826079</v>
      </c>
      <c r="C49" s="188">
        <f>AVERAGE(F47:F49)</f>
        <v>288811.53115942026</v>
      </c>
      <c r="D49" s="190">
        <f>C49/C46-1</f>
        <v>-0.12983619672062197</v>
      </c>
      <c r="E49" s="287">
        <f>C49/C37-1</f>
        <v>-6.4142853295120372E-2</v>
      </c>
      <c r="F49" s="136">
        <f>Q49/22</f>
        <v>370274.5</v>
      </c>
      <c r="G49" s="190">
        <f t="shared" ref="G49" si="84">F49/F48-1</f>
        <v>0.47579664329794524</v>
      </c>
      <c r="H49" s="190">
        <f t="shared" ref="H49" si="85">F49/F37-1</f>
        <v>5.6689145665755891E-3</v>
      </c>
      <c r="I49" s="130">
        <f t="shared" si="0"/>
        <v>135.92868667252807</v>
      </c>
      <c r="J49" s="130">
        <f t="shared" si="5"/>
        <v>9.8484325633768188E-2</v>
      </c>
      <c r="K49" s="136">
        <f>R47+R48+R49</f>
        <v>26025631770</v>
      </c>
      <c r="L49" s="190">
        <f>U49/U46-1</f>
        <v>-6.4942985222788852E-2</v>
      </c>
      <c r="M49" s="190">
        <f>K49/K37-1</f>
        <v>1.3024822815939752E-2</v>
      </c>
      <c r="N49" s="191">
        <f>AVERAGE(T47:T49)</f>
        <v>129.73199293977211</v>
      </c>
      <c r="O49" s="192">
        <f>N49/N46-1</f>
        <v>-0.11916524806173812</v>
      </c>
      <c r="P49" s="129" t="s">
        <v>1177</v>
      </c>
      <c r="Q49" s="116">
        <v>8146039</v>
      </c>
      <c r="R49" s="116">
        <v>11317600127</v>
      </c>
      <c r="S49" s="116">
        <v>59928.77</v>
      </c>
      <c r="T49" s="130">
        <f t="shared" ref="T49" si="86">Q49/S49</f>
        <v>135.92868667252807</v>
      </c>
      <c r="U49" s="85">
        <f t="shared" si="77"/>
        <v>18805027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324277.55555555556</v>
      </c>
      <c r="G50" s="190">
        <f t="shared" ref="G50" si="87">F50/F49-1</f>
        <v>-0.12422390535790184</v>
      </c>
      <c r="H50" s="190">
        <f t="shared" ref="H50" si="88">F50/F38-1</f>
        <v>3.123758046445646E-2</v>
      </c>
      <c r="I50" s="130">
        <f t="shared" ref="I50" si="89">T50</f>
        <v>120.59580193267456</v>
      </c>
      <c r="J50" s="130">
        <f t="shared" ref="J50" si="90">I50/I38-1</f>
        <v>3.0749673510831466E-2</v>
      </c>
      <c r="K50" s="136"/>
      <c r="L50" s="190"/>
      <c r="M50" s="190"/>
      <c r="N50" s="191"/>
      <c r="O50" s="192"/>
      <c r="P50" s="129" t="s">
        <v>1293</v>
      </c>
      <c r="Q50" s="116">
        <v>5836996</v>
      </c>
      <c r="R50" s="116">
        <v>8265648925</v>
      </c>
      <c r="S50" s="116">
        <v>48401.32</v>
      </c>
      <c r="T50" s="130">
        <f t="shared" ref="T50" si="91">Q50/S50</f>
        <v>120.59580193267456</v>
      </c>
      <c r="U50" s="85">
        <f t="shared" si="77"/>
        <v>19000996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376656.45</v>
      </c>
      <c r="G51" s="190">
        <f t="shared" ref="G51:G52" si="92">F51/F50-1</f>
        <v>0.16152488369017215</v>
      </c>
      <c r="H51" s="190">
        <f t="shared" ref="H51:H52" si="93">F51/F39-1</f>
        <v>0.21768812329311227</v>
      </c>
      <c r="I51" s="130">
        <f t="shared" ref="I51:I52" si="94">T51</f>
        <v>136.11344146454326</v>
      </c>
      <c r="J51" s="130">
        <f t="shared" ref="J51:J52" si="95">I51/I39-1</f>
        <v>0.10675972524474031</v>
      </c>
      <c r="K51" s="136"/>
      <c r="L51" s="190"/>
      <c r="M51" s="190"/>
      <c r="N51" s="191"/>
      <c r="O51" s="192"/>
      <c r="P51" s="129" t="s">
        <v>1402</v>
      </c>
      <c r="Q51" s="116">
        <v>7533129</v>
      </c>
      <c r="R51" s="116">
        <v>10923123163</v>
      </c>
      <c r="S51" s="116">
        <v>55344.49</v>
      </c>
      <c r="T51" s="130">
        <f t="shared" ref="T51:T52" si="96">Q51/S51</f>
        <v>136.11344146454326</v>
      </c>
      <c r="U51" s="85">
        <f t="shared" si="77"/>
        <v>21516164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1167102.1419191919</v>
      </c>
      <c r="C52" s="188">
        <f>AVERAGE(F50:F52)</f>
        <v>389034.04730639729</v>
      </c>
      <c r="D52" s="190">
        <f>C52/C49-1</f>
        <v>0.34701701744607805</v>
      </c>
      <c r="E52" s="287">
        <f>C52/C40-1</f>
        <v>0.10704596578401882</v>
      </c>
      <c r="F52" s="136">
        <f>Q52/22</f>
        <v>466168.13636363635</v>
      </c>
      <c r="G52" s="190">
        <f t="shared" si="92"/>
        <v>0.23764809115478136</v>
      </c>
      <c r="H52" s="190">
        <f t="shared" si="93"/>
        <v>8.2919893675883261E-2</v>
      </c>
      <c r="I52" s="130">
        <f t="shared" si="94"/>
        <v>124.17594804992272</v>
      </c>
      <c r="J52" s="130">
        <f t="shared" si="95"/>
        <v>-5.3411317006366033E-2</v>
      </c>
      <c r="K52" s="136">
        <f>R50+R51+R52</f>
        <v>34275634119</v>
      </c>
      <c r="L52" s="190">
        <f>U52/U49-1</f>
        <v>0.2563568241619647</v>
      </c>
      <c r="M52" s="190">
        <f>K52/K40-1</f>
        <v>0.12812981705451287</v>
      </c>
      <c r="N52" s="191">
        <f>AVERAGE(T50:T52)</f>
        <v>126.96173048238019</v>
      </c>
      <c r="O52" s="192">
        <f>N52/N49-1</f>
        <v>-2.1353733914178052E-2</v>
      </c>
      <c r="P52" s="129" t="s">
        <v>1403</v>
      </c>
      <c r="Q52" s="116">
        <v>10255699</v>
      </c>
      <c r="R52" s="116">
        <v>15086862031</v>
      </c>
      <c r="S52" s="116">
        <v>82590.06</v>
      </c>
      <c r="T52" s="130">
        <f t="shared" si="96"/>
        <v>124.17594804992272</v>
      </c>
      <c r="U52" s="85">
        <f t="shared" ref="U52" si="97">Q50+Q51+Q52</f>
        <v>23625824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274480.38095238095</v>
      </c>
      <c r="G53" s="190">
        <f t="shared" ref="G53" si="98">F53/F52-1</f>
        <v>-0.41119875096252523</v>
      </c>
      <c r="H53" s="190">
        <f t="shared" ref="H53" si="99">F53/F41-1</f>
        <v>0.15802182729331138</v>
      </c>
      <c r="I53" s="130">
        <f t="shared" ref="I53" si="100">T53</f>
        <v>128.66557929096169</v>
      </c>
      <c r="J53" s="130">
        <f t="shared" ref="J53" si="101">I53/I41-1</f>
        <v>0.14052100020312119</v>
      </c>
      <c r="K53" s="136"/>
      <c r="L53" s="190"/>
      <c r="M53" s="190"/>
      <c r="N53" s="191"/>
      <c r="O53" s="192"/>
      <c r="P53" s="129" t="s">
        <v>1414</v>
      </c>
      <c r="Q53" s="116">
        <v>5764088</v>
      </c>
      <c r="R53" s="116">
        <v>8413405699</v>
      </c>
      <c r="S53" s="116">
        <v>44798.99</v>
      </c>
      <c r="T53" s="130">
        <f t="shared" ref="T53" si="102">Q53/S53</f>
        <v>128.66557929096169</v>
      </c>
      <c r="U53" s="85">
        <f t="shared" ref="U53" si="103">Q51+Q52+Q53</f>
        <v>23552916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250450.41176470587</v>
      </c>
      <c r="G54" s="190">
        <f t="shared" ref="G54" si="104">F54/F53-1</f>
        <v>-8.7547128520795714E-2</v>
      </c>
      <c r="H54" s="190">
        <f t="shared" ref="H54" si="105">F54/F42-1</f>
        <v>-0.162346170153298</v>
      </c>
      <c r="I54" s="130">
        <f t="shared" ref="I54" si="106">T54</f>
        <v>147.28677155842513</v>
      </c>
      <c r="J54" s="130">
        <f t="shared" ref="J54" si="107">I54/I42-1</f>
        <v>0.12289714014968856</v>
      </c>
      <c r="K54" s="136"/>
      <c r="L54" s="190"/>
      <c r="M54" s="190"/>
      <c r="N54" s="191"/>
      <c r="O54" s="192"/>
      <c r="P54" s="129" t="s">
        <v>1417</v>
      </c>
      <c r="Q54" s="116">
        <v>4257657</v>
      </c>
      <c r="R54" s="116">
        <v>6169741389</v>
      </c>
      <c r="S54" s="116">
        <v>28907.26</v>
      </c>
      <c r="T54" s="130">
        <f t="shared" ref="T54" si="108">Q54/S54</f>
        <v>147.28677155842513</v>
      </c>
      <c r="U54" s="85">
        <f t="shared" ref="U54" si="109">Q52+Q53+Q54</f>
        <v>20277444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856992.26890756306</v>
      </c>
      <c r="C55" s="188">
        <f>AVERAGE(F53:F55)</f>
        <v>285664.08963585435</v>
      </c>
      <c r="D55" s="190">
        <f>C55/C52-1</f>
        <v>-0.26570928273825434</v>
      </c>
      <c r="E55" s="287">
        <f>C55/C43-1</f>
        <v>-3.8832637043390683E-2</v>
      </c>
      <c r="F55" s="136">
        <f>Q55/21</f>
        <v>332061.47619047621</v>
      </c>
      <c r="G55" s="190">
        <f t="shared" ref="G55" si="110">F55/F54-1</f>
        <v>0.32585717807660308</v>
      </c>
      <c r="H55" s="190">
        <f t="shared" ref="H55" si="111">F55/F43-1</f>
        <v>-6.6195136985251146E-2</v>
      </c>
      <c r="I55" s="130">
        <f>T55</f>
        <v>137.37841001124315</v>
      </c>
      <c r="J55" s="130">
        <f t="shared" ref="J55" si="112">I55/I43-1</f>
        <v>5.5844018255322148E-3</v>
      </c>
      <c r="K55" s="136">
        <f>R53+R54+R55</f>
        <v>24909098224</v>
      </c>
      <c r="L55" s="190">
        <f>U55/U52-1</f>
        <v>-0.2806584862394641</v>
      </c>
      <c r="M55" s="190">
        <f>K55/K43-1</f>
        <v>-1.1326838863263133E-2</v>
      </c>
      <c r="N55" s="191">
        <f>AVERAGE(T53:T55)</f>
        <v>137.77692028687665</v>
      </c>
      <c r="O55" s="192">
        <f>N55/N52-1</f>
        <v>8.5184643934869797E-2</v>
      </c>
      <c r="P55" s="129" t="s">
        <v>1418</v>
      </c>
      <c r="Q55" s="116">
        <v>6973291</v>
      </c>
      <c r="R55" s="116">
        <v>10325951136</v>
      </c>
      <c r="S55" s="116">
        <v>50759.73</v>
      </c>
      <c r="T55" s="130">
        <f t="shared" ref="T55" si="113">Q55/S55</f>
        <v>137.37841001124315</v>
      </c>
      <c r="U55" s="85">
        <f t="shared" ref="U55" si="114">Q53+Q54+Q55</f>
        <v>16995036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270685.09090909088</v>
      </c>
      <c r="G56" s="190">
        <f t="shared" ref="G56" si="115">F56/F55-1</f>
        <v>-0.18483440471781432</v>
      </c>
      <c r="H56" s="190">
        <f t="shared" ref="H56" si="116">F56/F44-1</f>
        <v>-8.5317004096901017E-2</v>
      </c>
      <c r="I56" s="291">
        <f>T56</f>
        <v>139.54435277510643</v>
      </c>
      <c r="J56" s="130">
        <f t="shared" ref="J56" si="117">I56/I44-1</f>
        <v>-0.1696440019183818</v>
      </c>
      <c r="K56" s="136"/>
      <c r="L56" s="190"/>
      <c r="M56" s="190"/>
      <c r="N56" s="191"/>
      <c r="O56" s="192"/>
      <c r="P56" s="129" t="s">
        <v>1420</v>
      </c>
      <c r="Q56" s="116">
        <v>5955072</v>
      </c>
      <c r="R56" s="116">
        <v>8863597898</v>
      </c>
      <c r="S56" s="116">
        <v>42675.12</v>
      </c>
      <c r="T56" s="130">
        <f t="shared" ref="T56" si="118">Q56/S56</f>
        <v>139.54435277510643</v>
      </c>
      <c r="U56" s="85">
        <f t="shared" ref="U56" si="119">Q54+Q55+Q56</f>
        <v>17186020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279297.66666666669</v>
      </c>
      <c r="G57" s="254">
        <f t="shared" ref="G57" si="120">F57/F56-1</f>
        <v>3.1817695347204467E-2</v>
      </c>
      <c r="H57" s="254">
        <f t="shared" ref="H57" si="121">F57/F45-1</f>
        <v>-8.345707695951099E-2</v>
      </c>
      <c r="I57" s="282">
        <f>T57</f>
        <v>130.78595931771898</v>
      </c>
      <c r="J57" s="277">
        <f t="shared" ref="J57" si="122">I57/I45-1</f>
        <v>-3.3450346236348238E-2</v>
      </c>
      <c r="K57" s="204"/>
      <c r="L57" s="254"/>
      <c r="M57" s="254"/>
      <c r="N57" s="257"/>
      <c r="O57" s="258"/>
      <c r="P57" s="129" t="s">
        <v>1436</v>
      </c>
      <c r="Q57" s="116">
        <v>3351572</v>
      </c>
      <c r="R57" s="116">
        <v>4943047331</v>
      </c>
      <c r="S57" s="116">
        <v>25626.39</v>
      </c>
      <c r="T57" s="130">
        <f t="shared" ref="T57" si="123">Q57/S57</f>
        <v>130.78595931771898</v>
      </c>
      <c r="U57" s="85">
        <f t="shared" ref="U57" si="124">Q55+Q56+Q57</f>
        <v>16279935</v>
      </c>
      <c r="V57" s="79"/>
      <c r="W57" s="79"/>
      <c r="X57" s="79"/>
      <c r="Y57" s="79"/>
      <c r="Z57" s="79"/>
    </row>
    <row r="58" spans="1:26">
      <c r="B58" s="196">
        <f>SUM(F56:F58)</f>
        <v>549982.75757575757</v>
      </c>
      <c r="C58" s="196">
        <f>AVERAGE(F56:F58)</f>
        <v>274991.37878787878</v>
      </c>
      <c r="D58" s="197">
        <f>C58/C55-1</f>
        <v>-3.7361051791915623E-2</v>
      </c>
      <c r="E58" s="233">
        <f>C58/C46-1</f>
        <v>-0.17147510324642457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26301680</v>
      </c>
      <c r="R64" s="212">
        <v>38715743453</v>
      </c>
      <c r="S64" s="213">
        <v>192767.51</v>
      </c>
      <c r="T64" s="214">
        <v>33</v>
      </c>
      <c r="U64" s="214">
        <v>642</v>
      </c>
    </row>
    <row r="65" spans="16:21" ht="18" thickBot="1">
      <c r="P65" s="180" t="s">
        <v>976</v>
      </c>
      <c r="Q65" s="181">
        <v>5764088</v>
      </c>
      <c r="R65" s="181">
        <v>8413405699</v>
      </c>
      <c r="S65" s="182">
        <v>44798.99</v>
      </c>
      <c r="T65" s="210">
        <v>21</v>
      </c>
      <c r="U65" s="210">
        <v>235</v>
      </c>
    </row>
    <row r="66" spans="16:21" ht="18" thickBot="1">
      <c r="P66" s="180" t="s">
        <v>977</v>
      </c>
      <c r="Q66" s="181">
        <v>4257657</v>
      </c>
      <c r="R66" s="181">
        <v>6169741389</v>
      </c>
      <c r="S66" s="182">
        <v>28907.26</v>
      </c>
      <c r="T66" s="210">
        <v>20</v>
      </c>
      <c r="U66" s="210">
        <v>224</v>
      </c>
    </row>
    <row r="67" spans="16:21" ht="18" thickBot="1">
      <c r="P67" s="180" t="s">
        <v>978</v>
      </c>
      <c r="Q67" s="181">
        <v>6973291</v>
      </c>
      <c r="R67" s="181">
        <v>10325951136</v>
      </c>
      <c r="S67" s="182">
        <v>50759.73</v>
      </c>
      <c r="T67" s="210">
        <v>28</v>
      </c>
      <c r="U67" s="210">
        <v>275</v>
      </c>
    </row>
    <row r="68" spans="16:21" ht="18" thickBot="1">
      <c r="P68" s="180" t="s">
        <v>979</v>
      </c>
      <c r="Q68" s="181">
        <v>5955072</v>
      </c>
      <c r="R68" s="181">
        <v>8863597898</v>
      </c>
      <c r="S68" s="182">
        <v>42675.12</v>
      </c>
      <c r="T68" s="210">
        <v>24</v>
      </c>
      <c r="U68" s="210">
        <v>251</v>
      </c>
    </row>
    <row r="69" spans="16:21" ht="18" thickBot="1">
      <c r="P69" s="180" t="s">
        <v>980</v>
      </c>
      <c r="Q69" s="181">
        <v>3351572</v>
      </c>
      <c r="R69" s="181">
        <v>4943047331</v>
      </c>
      <c r="S69" s="182">
        <v>25626.39</v>
      </c>
      <c r="T69" s="210">
        <v>22</v>
      </c>
      <c r="U69" s="210">
        <v>180</v>
      </c>
    </row>
    <row r="70" spans="16:21" ht="18" thickBot="1">
      <c r="P70" s="180" t="s">
        <v>975</v>
      </c>
      <c r="Q70" s="181">
        <v>79899473</v>
      </c>
      <c r="R70" s="181">
        <v>113772683803</v>
      </c>
      <c r="S70" s="182">
        <v>603945.68999999994</v>
      </c>
      <c r="T70" s="210">
        <v>43</v>
      </c>
      <c r="U70" s="210">
        <v>1050</v>
      </c>
    </row>
    <row r="71" spans="16:21" ht="18" thickBot="1">
      <c r="P71" s="215" t="s">
        <v>982</v>
      </c>
      <c r="Q71" s="217" t="s">
        <v>1520</v>
      </c>
      <c r="R71"/>
      <c r="S71"/>
      <c r="T71"/>
      <c r="U71"/>
    </row>
  </sheetData>
  <phoneticPr fontId="1" type="noConversion"/>
  <conditionalFormatting sqref="C29:C30">
    <cfRule type="cellIs" dxfId="8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49"/>
  <sheetViews>
    <sheetView zoomScaleNormal="100" workbookViewId="0">
      <selection activeCell="J58" sqref="J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461</v>
      </c>
      <c r="K1" s="80" t="s">
        <v>462</v>
      </c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9021100000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112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55953.15</v>
      </c>
      <c r="G5" s="90"/>
      <c r="H5" s="90"/>
      <c r="I5" s="130" t="e">
        <f t="shared" ref="I5:I28" si="0">F5/H5</f>
        <v>#DIV/0!</v>
      </c>
      <c r="K5" s="80"/>
      <c r="O5" s="129" t="s">
        <v>0</v>
      </c>
      <c r="P5" s="116">
        <v>1119063</v>
      </c>
      <c r="Q5" s="116"/>
      <c r="R5" s="116">
        <v>30328.55</v>
      </c>
      <c r="S5" s="130">
        <f t="shared" ref="S5:S29" si="1">P5/R5</f>
        <v>36.898005344798875</v>
      </c>
      <c r="T5" s="85"/>
    </row>
    <row r="6" spans="1:20" ht="15" hidden="1" customHeight="1">
      <c r="A6" s="129" t="s">
        <v>1</v>
      </c>
      <c r="C6" s="79"/>
      <c r="F6" s="78">
        <f>P6/18</f>
        <v>66685.666666666672</v>
      </c>
      <c r="G6" s="90">
        <f t="shared" ref="G6:G29" si="2">F6/F5-1</f>
        <v>0.1918125550870089</v>
      </c>
      <c r="H6" s="90"/>
      <c r="I6" s="130" t="e">
        <f t="shared" si="0"/>
        <v>#DIV/0!</v>
      </c>
      <c r="O6" s="129" t="s">
        <v>1</v>
      </c>
      <c r="P6" s="116">
        <v>1200342</v>
      </c>
      <c r="Q6" s="116"/>
      <c r="R6" s="116">
        <v>32192.55</v>
      </c>
      <c r="S6" s="130">
        <f t="shared" si="1"/>
        <v>37.286328669210732</v>
      </c>
      <c r="T6" s="85"/>
    </row>
    <row r="7" spans="1:20" ht="15" hidden="1" customHeight="1">
      <c r="A7" s="129" t="s">
        <v>2</v>
      </c>
      <c r="B7" s="131">
        <f>F5+F6+F7</f>
        <v>205210.04393939395</v>
      </c>
      <c r="C7" s="131">
        <f>AVERAGE(F5:F7)</f>
        <v>68403.347979797982</v>
      </c>
      <c r="F7" s="78">
        <f>P7/22</f>
        <v>82571.227272727279</v>
      </c>
      <c r="G7" s="90">
        <f t="shared" si="2"/>
        <v>0.23821551766837357</v>
      </c>
      <c r="H7" s="90"/>
      <c r="I7" s="130" t="e">
        <f t="shared" si="0"/>
        <v>#DIV/0!</v>
      </c>
      <c r="J7" s="79">
        <f>Q5+Q6+Q7</f>
        <v>0</v>
      </c>
      <c r="K7" s="102">
        <f>R5+R6+R7</f>
        <v>104650.45999999999</v>
      </c>
      <c r="M7" s="88">
        <f>AVERAGE(S5:S7)</f>
        <v>39.101041126951657</v>
      </c>
      <c r="O7" s="129" t="s">
        <v>2</v>
      </c>
      <c r="P7" s="116">
        <v>1816567</v>
      </c>
      <c r="Q7" s="116"/>
      <c r="R7" s="116">
        <v>42129.36</v>
      </c>
      <c r="S7" s="130">
        <f t="shared" si="1"/>
        <v>43.118789366845355</v>
      </c>
      <c r="T7" s="85">
        <f>P5+P6+P7</f>
        <v>4135972</v>
      </c>
    </row>
    <row r="8" spans="1:20" ht="15" hidden="1" customHeight="1">
      <c r="A8" s="129" t="s">
        <v>3</v>
      </c>
      <c r="C8" s="79"/>
      <c r="F8" s="78">
        <f>P8/21</f>
        <v>80069.809523809527</v>
      </c>
      <c r="G8" s="90">
        <f t="shared" si="2"/>
        <v>-3.029406043167715E-2</v>
      </c>
      <c r="H8" s="90"/>
      <c r="I8" s="130" t="e">
        <f t="shared" si="0"/>
        <v>#DIV/0!</v>
      </c>
      <c r="J8" s="78"/>
      <c r="O8" s="129" t="s">
        <v>3</v>
      </c>
      <c r="P8" s="116">
        <v>1681466</v>
      </c>
      <c r="Q8" s="116"/>
      <c r="R8" s="116">
        <v>41170.449999999997</v>
      </c>
      <c r="S8" s="130">
        <f t="shared" si="1"/>
        <v>40.841574478782725</v>
      </c>
      <c r="T8" s="85"/>
    </row>
    <row r="9" spans="1:20" ht="15" hidden="1" customHeight="1">
      <c r="A9" s="129" t="s">
        <v>4</v>
      </c>
      <c r="C9" s="79"/>
      <c r="F9" s="78">
        <f>P9/21</f>
        <v>67338.476190476184</v>
      </c>
      <c r="G9" s="90">
        <f t="shared" si="2"/>
        <v>-0.15900291769206165</v>
      </c>
      <c r="H9" s="90"/>
      <c r="I9" s="130" t="e">
        <f t="shared" si="0"/>
        <v>#DIV/0!</v>
      </c>
      <c r="J9" s="78"/>
      <c r="O9" s="129" t="s">
        <v>4</v>
      </c>
      <c r="P9" s="116">
        <v>1414108</v>
      </c>
      <c r="Q9" s="116"/>
      <c r="R9" s="116">
        <v>37997.4</v>
      </c>
      <c r="S9" s="130">
        <f t="shared" si="1"/>
        <v>37.215914773116054</v>
      </c>
      <c r="T9" s="85"/>
    </row>
    <row r="10" spans="1:20" ht="15" hidden="1" customHeight="1">
      <c r="A10" s="129" t="s">
        <v>5</v>
      </c>
      <c r="B10" s="131">
        <f>F8+F9+F10</f>
        <v>203591.85714285713</v>
      </c>
      <c r="C10" s="131">
        <f>AVERAGE(F8:F10)</f>
        <v>67863.952380952382</v>
      </c>
      <c r="D10" s="90">
        <f>C10/C7-1</f>
        <v>-7.88551459505904E-3</v>
      </c>
      <c r="E10" s="90"/>
      <c r="F10" s="78">
        <f>P10/21</f>
        <v>56183.571428571428</v>
      </c>
      <c r="G10" s="90">
        <f t="shared" si="2"/>
        <v>-0.16565424988756161</v>
      </c>
      <c r="H10" s="90"/>
      <c r="I10" s="130" t="e">
        <f t="shared" si="0"/>
        <v>#DIV/0!</v>
      </c>
      <c r="J10" s="79">
        <f>Q8+Q9+Q10</f>
        <v>0</v>
      </c>
      <c r="K10" s="102">
        <f>T10/T7-1</f>
        <v>3.3718071592360843E-2</v>
      </c>
      <c r="M10" s="88">
        <f>AVERAGE(S8:S10)</f>
        <v>43.942223600870079</v>
      </c>
      <c r="N10" s="89">
        <f>M10/M7-1</f>
        <v>0.12381211175938445</v>
      </c>
      <c r="O10" s="129" t="s">
        <v>5</v>
      </c>
      <c r="P10" s="116">
        <v>1179855</v>
      </c>
      <c r="Q10" s="116"/>
      <c r="R10" s="116">
        <v>21942.959999999999</v>
      </c>
      <c r="S10" s="130">
        <f t="shared" si="1"/>
        <v>53.76918155071148</v>
      </c>
      <c r="T10" s="85">
        <f>P8+P9+P10</f>
        <v>4275429</v>
      </c>
    </row>
    <row r="11" spans="1:20" ht="15" hidden="1" customHeight="1">
      <c r="A11" s="129" t="s">
        <v>6</v>
      </c>
      <c r="C11" s="79"/>
      <c r="F11" s="78">
        <f>P11/21</f>
        <v>41700.809523809527</v>
      </c>
      <c r="G11" s="90">
        <f t="shared" si="2"/>
        <v>-0.25777574362951372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875717</v>
      </c>
      <c r="Q11" s="116"/>
      <c r="R11" s="116">
        <v>32100.55</v>
      </c>
      <c r="S11" s="130">
        <f t="shared" si="1"/>
        <v>27.28043600499057</v>
      </c>
      <c r="T11" s="85"/>
    </row>
    <row r="12" spans="1:20" ht="15" hidden="1" customHeight="1">
      <c r="A12" s="129" t="s">
        <v>7</v>
      </c>
      <c r="C12" s="79"/>
      <c r="F12" s="78">
        <f>P12/22</f>
        <v>55389.272727272728</v>
      </c>
      <c r="G12" s="90">
        <f t="shared" si="2"/>
        <v>0.32825413606533527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1218564</v>
      </c>
      <c r="Q12" s="116"/>
      <c r="R12" s="116">
        <v>36133.35</v>
      </c>
      <c r="S12" s="130">
        <f t="shared" si="1"/>
        <v>33.724080385571781</v>
      </c>
      <c r="T12" s="85"/>
    </row>
    <row r="13" spans="1:20" ht="15" hidden="1" customHeight="1">
      <c r="A13" s="129" t="s">
        <v>96</v>
      </c>
      <c r="B13" s="131">
        <f>F11+F12+F13</f>
        <v>195068.18225108227</v>
      </c>
      <c r="C13" s="131">
        <f>AVERAGE(F11:F13)</f>
        <v>65022.727417027425</v>
      </c>
      <c r="D13" s="90">
        <f>C13/C10-1</f>
        <v>-4.1866482340666256E-2</v>
      </c>
      <c r="E13" s="90"/>
      <c r="F13" s="78">
        <f>P13/20</f>
        <v>97978.1</v>
      </c>
      <c r="G13" s="90">
        <f t="shared" si="2"/>
        <v>0.76890027934519667</v>
      </c>
      <c r="H13" s="90"/>
      <c r="I13" s="130" t="e">
        <f t="shared" si="0"/>
        <v>#DIV/0!</v>
      </c>
      <c r="J13" s="78">
        <f>Q11+Q12+Q13</f>
        <v>0</v>
      </c>
      <c r="K13" s="102">
        <f>T13/T10-1</f>
        <v>-5.1827781492804537E-2</v>
      </c>
      <c r="M13" s="88">
        <f>AVERAGE(S11:S13)</f>
        <v>39.685441465859178</v>
      </c>
      <c r="N13" s="89">
        <f>M13/M10-1</f>
        <v>-9.6872251474470539E-2</v>
      </c>
      <c r="O13" s="129" t="s">
        <v>96</v>
      </c>
      <c r="P13" s="116">
        <v>1959562</v>
      </c>
      <c r="Q13" s="116"/>
      <c r="R13" s="116">
        <v>33755.4</v>
      </c>
      <c r="S13" s="130">
        <f t="shared" si="1"/>
        <v>58.051808007015168</v>
      </c>
      <c r="T13" s="85">
        <f>P11+P12+P13</f>
        <v>4053843</v>
      </c>
    </row>
    <row r="14" spans="1:20" ht="15" hidden="1" customHeight="1">
      <c r="A14" s="129" t="s">
        <v>97</v>
      </c>
      <c r="C14" s="79"/>
      <c r="F14" s="78">
        <f>P14/20</f>
        <v>88207.25</v>
      </c>
      <c r="G14" s="90">
        <f t="shared" si="2"/>
        <v>-9.9724836468557787E-2</v>
      </c>
      <c r="H14" s="90"/>
      <c r="I14" s="130" t="e">
        <f t="shared" si="0"/>
        <v>#DIV/0!</v>
      </c>
      <c r="N14" s="89"/>
      <c r="O14" s="129" t="s">
        <v>97</v>
      </c>
      <c r="P14" s="116">
        <v>1764145</v>
      </c>
      <c r="Q14" s="116"/>
      <c r="R14" s="116">
        <v>44222.9</v>
      </c>
      <c r="S14" s="130">
        <f t="shared" si="1"/>
        <v>39.892114718844759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61056.772727272728</v>
      </c>
      <c r="G15" s="90">
        <f t="shared" si="2"/>
        <v>-0.30780323922044128</v>
      </c>
      <c r="H15" s="90"/>
      <c r="I15" s="130" t="e">
        <f t="shared" si="0"/>
        <v>#DIV/0!</v>
      </c>
      <c r="N15" s="89"/>
      <c r="O15" s="129" t="s">
        <v>98</v>
      </c>
      <c r="P15" s="116">
        <v>1343249</v>
      </c>
      <c r="Q15" s="116"/>
      <c r="R15" s="116">
        <v>22489.279999999999</v>
      </c>
      <c r="S15" s="130">
        <f t="shared" si="1"/>
        <v>59.728412826022002</v>
      </c>
      <c r="T15" s="78"/>
    </row>
    <row r="16" spans="1:20" ht="15" hidden="1" customHeight="1">
      <c r="A16" s="129" t="s">
        <v>99</v>
      </c>
      <c r="B16" s="131">
        <f>F14+F15+F16</f>
        <v>207025.75</v>
      </c>
      <c r="C16" s="131">
        <f>AVERAGE(F14:F16)</f>
        <v>69008.583333333328</v>
      </c>
      <c r="D16" s="90">
        <f>C16/C13-1</f>
        <v>6.1299426748779196E-2</v>
      </c>
      <c r="E16" s="90"/>
      <c r="F16" s="78">
        <f>P16/22</f>
        <v>57761.727272727272</v>
      </c>
      <c r="G16" s="90">
        <f t="shared" si="2"/>
        <v>-5.3966911570379028E-2</v>
      </c>
      <c r="H16" s="90"/>
      <c r="I16" s="130" t="e">
        <f t="shared" si="0"/>
        <v>#DIV/0!</v>
      </c>
      <c r="J16" s="78">
        <f>Q14+Q15+Q16</f>
        <v>0</v>
      </c>
      <c r="K16" s="102">
        <f>T16/T13-1</f>
        <v>8.0000384820033688E-2</v>
      </c>
      <c r="M16" s="88">
        <f>AVERAGE(S14:S16)</f>
        <v>42.324096951154438</v>
      </c>
      <c r="N16" s="89">
        <f>M16/M13-1</f>
        <v>6.6489256206593073E-2</v>
      </c>
      <c r="O16" s="129" t="s">
        <v>99</v>
      </c>
      <c r="P16" s="116">
        <v>1270758</v>
      </c>
      <c r="Q16" s="116"/>
      <c r="R16" s="116">
        <v>46459.82</v>
      </c>
      <c r="S16" s="130">
        <f t="shared" si="1"/>
        <v>27.351763308596546</v>
      </c>
      <c r="T16" s="85">
        <f>P14+P15+P16</f>
        <v>4378152</v>
      </c>
    </row>
    <row r="17" spans="1:20" ht="15" hidden="1" customHeight="1">
      <c r="A17" s="129" t="s">
        <v>100</v>
      </c>
      <c r="C17" s="79"/>
      <c r="F17" s="78">
        <f>P17/20</f>
        <v>38947</v>
      </c>
      <c r="G17" s="90">
        <f t="shared" si="2"/>
        <v>-0.32572999737164743</v>
      </c>
      <c r="H17" s="90">
        <f t="shared" ref="H17:H29" si="3">F17/F5-1</f>
        <v>-0.30393552463087425</v>
      </c>
      <c r="I17" s="130">
        <f t="shared" si="0"/>
        <v>-128142.30928517035</v>
      </c>
      <c r="N17" s="89"/>
      <c r="O17" s="129" t="s">
        <v>100</v>
      </c>
      <c r="P17" s="116">
        <v>778940</v>
      </c>
      <c r="Q17" s="116">
        <v>975462038</v>
      </c>
      <c r="R17" s="116">
        <v>21442.35</v>
      </c>
      <c r="S17" s="130">
        <f t="shared" si="1"/>
        <v>36.32717495983416</v>
      </c>
      <c r="T17" s="78"/>
    </row>
    <row r="18" spans="1:20" ht="15" hidden="1" customHeight="1">
      <c r="A18" s="129" t="s">
        <v>106</v>
      </c>
      <c r="C18" s="79"/>
      <c r="F18" s="78">
        <f>P18/20</f>
        <v>55986.35</v>
      </c>
      <c r="G18" s="90">
        <f t="shared" si="2"/>
        <v>0.43750096284694573</v>
      </c>
      <c r="H18" s="90">
        <f t="shared" si="3"/>
        <v>-0.16044402345331588</v>
      </c>
      <c r="I18" s="130">
        <f t="shared" si="0"/>
        <v>-348946.31033913366</v>
      </c>
      <c r="N18" s="89"/>
      <c r="O18" s="129" t="s">
        <v>106</v>
      </c>
      <c r="P18" s="116">
        <v>1119727</v>
      </c>
      <c r="Q18" s="116">
        <v>1416092894</v>
      </c>
      <c r="R18" s="116">
        <v>32441.37</v>
      </c>
      <c r="S18" s="130">
        <f t="shared" si="1"/>
        <v>34.515404250806917</v>
      </c>
      <c r="T18" s="78"/>
    </row>
    <row r="19" spans="1:20" hidden="1">
      <c r="A19" s="129" t="s">
        <v>114</v>
      </c>
      <c r="B19" s="131">
        <f>SUM(F17:F19)</f>
        <v>161248.03181818183</v>
      </c>
      <c r="C19" s="131">
        <f>AVERAGE(F17:F19)</f>
        <v>53749.343939393941</v>
      </c>
      <c r="D19" s="90">
        <f>C19/C16-1</f>
        <v>-0.2211208904294184</v>
      </c>
      <c r="E19" s="90">
        <f>C19/C7-1</f>
        <v>-0.21422933925298371</v>
      </c>
      <c r="F19" s="78">
        <f>P19/22</f>
        <v>66314.681818181823</v>
      </c>
      <c r="G19" s="90">
        <f t="shared" si="2"/>
        <v>0.18447946362250489</v>
      </c>
      <c r="H19" s="90">
        <f t="shared" si="3"/>
        <v>-0.19687905813548301</v>
      </c>
      <c r="I19" s="130">
        <f t="shared" si="0"/>
        <v>-336829.53609289997</v>
      </c>
      <c r="J19" s="78">
        <f>Q17+Q18+Q19</f>
        <v>4301397515</v>
      </c>
      <c r="K19" s="87">
        <f>T19/T16-1</f>
        <v>-0.23310337329539954</v>
      </c>
      <c r="L19" s="87">
        <f>T19/T7-1</f>
        <v>-0.18819808257889559</v>
      </c>
      <c r="M19" s="88">
        <f>AVERAGE(S17:S19)</f>
        <v>35.893136230855909</v>
      </c>
      <c r="N19" s="89">
        <f>M19/M16-1</f>
        <v>-0.15194560979577187</v>
      </c>
      <c r="O19" s="129" t="s">
        <v>114</v>
      </c>
      <c r="P19" s="116">
        <v>1458923</v>
      </c>
      <c r="Q19" s="116">
        <v>1909842583</v>
      </c>
      <c r="R19" s="116">
        <v>39605.01</v>
      </c>
      <c r="S19" s="130">
        <f t="shared" si="1"/>
        <v>36.836829481926657</v>
      </c>
      <c r="T19" s="85">
        <f>P17+P18+P19</f>
        <v>3357590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104864.45</v>
      </c>
      <c r="G20" s="90">
        <f t="shared" si="2"/>
        <v>0.58131573770514255</v>
      </c>
      <c r="H20" s="90">
        <f t="shared" si="3"/>
        <v>0.30966278830496718</v>
      </c>
      <c r="I20" s="130">
        <f t="shared" si="0"/>
        <v>338640.78591427545</v>
      </c>
      <c r="N20" s="89"/>
      <c r="O20" s="129" t="s">
        <v>131</v>
      </c>
      <c r="P20" s="116">
        <v>2097289</v>
      </c>
      <c r="Q20" s="116">
        <v>2749274829</v>
      </c>
      <c r="R20" s="116">
        <v>39149.769999999997</v>
      </c>
      <c r="S20" s="130">
        <f t="shared" si="1"/>
        <v>53.570914976001141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50616.571428571428</v>
      </c>
      <c r="G21" s="90">
        <f t="shared" si="2"/>
        <v>-0.51731429070031432</v>
      </c>
      <c r="H21" s="90">
        <f t="shared" si="3"/>
        <v>-0.24832615330653662</v>
      </c>
      <c r="I21" s="130">
        <f t="shared" si="0"/>
        <v>-203831.01318405941</v>
      </c>
      <c r="N21" s="89"/>
      <c r="O21" s="129" t="s">
        <v>141</v>
      </c>
      <c r="P21" s="116">
        <v>1062948</v>
      </c>
      <c r="Q21" s="116">
        <v>1416957184</v>
      </c>
      <c r="R21" s="116">
        <v>25601.34</v>
      </c>
      <c r="S21" s="130">
        <f t="shared" si="1"/>
        <v>41.519232977648826</v>
      </c>
      <c r="T21" s="78"/>
    </row>
    <row r="22" spans="1:20" hidden="1">
      <c r="A22" s="129" t="s">
        <v>155</v>
      </c>
      <c r="B22" s="131">
        <f>SUM(F20:F22)</f>
        <v>203405.64047619049</v>
      </c>
      <c r="C22" s="131">
        <f>AVERAGE(F20:F22)</f>
        <v>67801.880158730157</v>
      </c>
      <c r="D22" s="90">
        <f>C22/C19-1</f>
        <v>0.26144572546190359</v>
      </c>
      <c r="E22" s="90">
        <f>C22/C10-1</f>
        <v>-9.1465675140445235E-4</v>
      </c>
      <c r="F22" s="78">
        <f>P22/21</f>
        <v>47924.619047619046</v>
      </c>
      <c r="G22" s="90">
        <f t="shared" si="2"/>
        <v>-5.3183222509473715E-2</v>
      </c>
      <c r="H22" s="90">
        <f t="shared" si="3"/>
        <v>-0.14699941942018302</v>
      </c>
      <c r="I22" s="130">
        <f t="shared" si="0"/>
        <v>-326019.10427027848</v>
      </c>
      <c r="J22" s="78">
        <f>Q20+Q21+Q22</f>
        <v>5470671871</v>
      </c>
      <c r="K22" s="87">
        <f>T22/T19-1</f>
        <v>0.24096569265455292</v>
      </c>
      <c r="L22" s="87">
        <f>T22/T10-1</f>
        <v>-2.5441891328332189E-2</v>
      </c>
      <c r="M22" s="88">
        <f>AVERAGE(S20:S22)</f>
        <v>45.834272195276924</v>
      </c>
      <c r="N22" s="89">
        <f>M22/M19-1</f>
        <v>0.27696481857929744</v>
      </c>
      <c r="O22" s="129" t="s">
        <v>155</v>
      </c>
      <c r="P22" s="116">
        <v>1006417</v>
      </c>
      <c r="Q22" s="116">
        <v>1304439858</v>
      </c>
      <c r="R22" s="116">
        <v>23729.16</v>
      </c>
      <c r="S22" s="130">
        <f t="shared" si="1"/>
        <v>42.412668632180825</v>
      </c>
      <c r="T22" s="85">
        <f>P20+P21+P22</f>
        <v>4166654</v>
      </c>
    </row>
    <row r="23" spans="1:20" hidden="1">
      <c r="A23" s="129" t="s">
        <v>189</v>
      </c>
      <c r="B23" s="131"/>
      <c r="C23" s="131"/>
      <c r="F23" s="78">
        <f>P23/21</f>
        <v>93733.523809523816</v>
      </c>
      <c r="G23" s="90">
        <f t="shared" si="2"/>
        <v>0.95585328944165315</v>
      </c>
      <c r="H23" s="90">
        <f t="shared" si="3"/>
        <v>1.2477626904582189</v>
      </c>
      <c r="I23" s="130">
        <f t="shared" si="0"/>
        <v>75121.274683330877</v>
      </c>
      <c r="N23" s="89"/>
      <c r="O23" s="129" t="s">
        <v>189</v>
      </c>
      <c r="P23" s="116">
        <v>1968404</v>
      </c>
      <c r="Q23" s="116">
        <v>2525937885</v>
      </c>
      <c r="R23" s="116">
        <v>43576.57</v>
      </c>
      <c r="S23" s="130">
        <f t="shared" si="1"/>
        <v>45.171155049605787</v>
      </c>
      <c r="T23" s="78"/>
    </row>
    <row r="24" spans="1:20" hidden="1">
      <c r="A24" s="129" t="s">
        <v>204</v>
      </c>
      <c r="B24" s="131"/>
      <c r="C24" s="131"/>
      <c r="F24" s="78">
        <f>P24/22</f>
        <v>66258.409090909088</v>
      </c>
      <c r="G24" s="90">
        <f t="shared" si="2"/>
        <v>-0.29311940490413002</v>
      </c>
      <c r="H24" s="90">
        <f t="shared" si="3"/>
        <v>0.19623179414458325</v>
      </c>
      <c r="I24" s="130">
        <f t="shared" si="0"/>
        <v>337653.79040508595</v>
      </c>
      <c r="N24" s="89"/>
      <c r="O24" s="129" t="s">
        <v>204</v>
      </c>
      <c r="P24" s="116">
        <v>1457685</v>
      </c>
      <c r="Q24" s="116">
        <v>1911043937</v>
      </c>
      <c r="R24" s="116">
        <v>33870.85</v>
      </c>
      <c r="S24" s="130">
        <f t="shared" si="1"/>
        <v>43.036563889007809</v>
      </c>
      <c r="T24" s="78"/>
    </row>
    <row r="25" spans="1:20" s="79" customFormat="1" ht="13.2" hidden="1">
      <c r="A25" s="129" t="s">
        <v>217</v>
      </c>
      <c r="B25" s="131">
        <f>SUM(F23:F25)</f>
        <v>220982.24868990658</v>
      </c>
      <c r="C25" s="131">
        <f>AVERAGE(F23:F25)</f>
        <v>73660.74956330219</v>
      </c>
      <c r="D25" s="90">
        <f>C25/C22-1</f>
        <v>8.6411606740932623E-2</v>
      </c>
      <c r="E25" s="90">
        <f>C25/C13-1</f>
        <v>0.13284619838959166</v>
      </c>
      <c r="F25" s="78">
        <f>P25/19</f>
        <v>60990.315789473687</v>
      </c>
      <c r="G25" s="90">
        <f t="shared" si="2"/>
        <v>-7.9508297493339652E-2</v>
      </c>
      <c r="H25" s="90">
        <f t="shared" si="3"/>
        <v>-0.37751073158722526</v>
      </c>
      <c r="I25" s="130">
        <f t="shared" si="0"/>
        <v>-161559.15762458701</v>
      </c>
      <c r="J25" s="78">
        <f>Q23+Q24+Q25</f>
        <v>5976267669</v>
      </c>
      <c r="K25" s="90">
        <f>T25/T22-1</f>
        <v>0.10038054515685735</v>
      </c>
      <c r="L25" s="90">
        <f>T25/T13-1</f>
        <v>0.13100211330335187</v>
      </c>
      <c r="M25" s="88">
        <f>AVERAGE(S23:S25)</f>
        <v>41.607595569787485</v>
      </c>
      <c r="N25" s="91">
        <f>M25/M22-1</f>
        <v>-9.221651011456411E-2</v>
      </c>
      <c r="O25" s="129" t="s">
        <v>217</v>
      </c>
      <c r="P25" s="116">
        <v>1158816</v>
      </c>
      <c r="Q25" s="116">
        <v>1539285847</v>
      </c>
      <c r="R25" s="116">
        <v>31648.61</v>
      </c>
      <c r="S25" s="130">
        <f t="shared" si="1"/>
        <v>36.615067770748858</v>
      </c>
      <c r="T25" s="85">
        <f>P23+P24+P25</f>
        <v>4584905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48281.105263157893</v>
      </c>
      <c r="G26" s="90">
        <f t="shared" si="2"/>
        <v>-0.20838079557065148</v>
      </c>
      <c r="H26" s="90">
        <f t="shared" si="3"/>
        <v>-0.45264017115194166</v>
      </c>
      <c r="I26" s="130">
        <f t="shared" si="0"/>
        <v>-106665.53333144388</v>
      </c>
      <c r="K26" s="90"/>
      <c r="L26" s="90"/>
      <c r="O26" s="129" t="s">
        <v>312</v>
      </c>
      <c r="P26" s="116">
        <v>917341</v>
      </c>
      <c r="Q26" s="116">
        <v>1236770744</v>
      </c>
      <c r="R26" s="116">
        <v>25366.34</v>
      </c>
      <c r="S26" s="130">
        <f t="shared" si="1"/>
        <v>36.163711438071083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79615.045454545456</v>
      </c>
      <c r="G27" s="90">
        <f t="shared" si="2"/>
        <v>0.64898970354139163</v>
      </c>
      <c r="H27" s="90">
        <f t="shared" si="3"/>
        <v>0.30395109171866119</v>
      </c>
      <c r="I27" s="130">
        <f t="shared" si="0"/>
        <v>261933.7374456203</v>
      </c>
      <c r="K27" s="90"/>
      <c r="L27" s="90"/>
      <c r="O27" s="129" t="s">
        <v>373</v>
      </c>
      <c r="P27" s="116">
        <v>1751531</v>
      </c>
      <c r="Q27" s="116">
        <v>2323387752</v>
      </c>
      <c r="R27" s="116">
        <v>27832.35</v>
      </c>
      <c r="S27" s="130">
        <f t="shared" si="1"/>
        <v>62.931480812795186</v>
      </c>
      <c r="T27" s="78"/>
    </row>
    <row r="28" spans="1:20" s="79" customFormat="1" ht="13.2" hidden="1">
      <c r="A28" s="123" t="s">
        <v>413</v>
      </c>
      <c r="B28" s="131">
        <f>SUM(F26:F28)</f>
        <v>206922.46650717704</v>
      </c>
      <c r="C28" s="131">
        <f>AVERAGE(F26:F28)</f>
        <v>68974.155502392343</v>
      </c>
      <c r="D28" s="90">
        <f>C28/C25-1</f>
        <v>-6.3624034356075998E-2</v>
      </c>
      <c r="E28" s="90">
        <f>C28/C16-1</f>
        <v>-4.9889201137032213E-4</v>
      </c>
      <c r="F28" s="78">
        <f>P28/19</f>
        <v>79026.31578947368</v>
      </c>
      <c r="G28" s="90">
        <f t="shared" si="2"/>
        <v>-7.3947036230469498E-3</v>
      </c>
      <c r="H28" s="90">
        <f t="shared" si="3"/>
        <v>0.36814322425546098</v>
      </c>
      <c r="I28" s="130">
        <f t="shared" si="0"/>
        <v>214661.87772244844</v>
      </c>
      <c r="J28" s="78">
        <f>Q26+Q27+Q28</f>
        <v>5521416707</v>
      </c>
      <c r="K28" s="90">
        <f>T28/T25-1</f>
        <v>-9.0412560347488125E-2</v>
      </c>
      <c r="L28" s="90">
        <f>T28/T16-1</f>
        <v>-4.7458379699928166E-2</v>
      </c>
      <c r="M28" s="88">
        <f>AVERAGE(S26:S28)</f>
        <v>49.740076477175229</v>
      </c>
      <c r="N28" s="91">
        <f>M28/M25-1</f>
        <v>0.19545664189480294</v>
      </c>
      <c r="O28" s="129" t="s">
        <v>413</v>
      </c>
      <c r="P28" s="116">
        <v>1501500</v>
      </c>
      <c r="Q28" s="116">
        <v>1961258211</v>
      </c>
      <c r="R28" s="116">
        <v>29955.09</v>
      </c>
      <c r="S28" s="130">
        <f t="shared" si="1"/>
        <v>50.125037180659447</v>
      </c>
      <c r="T28" s="85">
        <f>P26+P27+P28</f>
        <v>4170372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34587.045454545456</v>
      </c>
      <c r="G29" s="190">
        <f t="shared" si="2"/>
        <v>-0.56233508915327091</v>
      </c>
      <c r="H29" s="190">
        <f t="shared" si="3"/>
        <v>-0.11194583781689327</v>
      </c>
      <c r="I29" s="130">
        <f>S29</f>
        <v>31.403747492268906</v>
      </c>
      <c r="J29" s="136"/>
      <c r="K29" s="190"/>
      <c r="L29" s="190"/>
      <c r="M29" s="191"/>
      <c r="N29" s="192"/>
      <c r="O29" s="129" t="s">
        <v>426</v>
      </c>
      <c r="P29" s="116">
        <v>760915</v>
      </c>
      <c r="Q29" s="116">
        <v>1003942909</v>
      </c>
      <c r="R29" s="116">
        <v>24230.07</v>
      </c>
      <c r="S29" s="130">
        <f t="shared" si="1"/>
        <v>31.403747492268906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51312.631578947367</v>
      </c>
      <c r="G30" s="190">
        <f t="shared" ref="G30" si="4">F30/F29-1</f>
        <v>0.48357949933546052</v>
      </c>
      <c r="H30" s="190">
        <f t="shared" ref="H30" si="5">F30/F18-1</f>
        <v>-8.3479605672679758E-2</v>
      </c>
      <c r="I30" s="130">
        <f t="shared" ref="I30:I45" si="6">S30</f>
        <v>28.902877095328151</v>
      </c>
      <c r="J30" s="136"/>
      <c r="K30" s="190"/>
      <c r="L30" s="190"/>
      <c r="M30" s="191"/>
      <c r="N30" s="192"/>
      <c r="O30" s="129" t="s">
        <v>469</v>
      </c>
      <c r="P30" s="116">
        <v>974940</v>
      </c>
      <c r="Q30" s="116">
        <v>1299137530</v>
      </c>
      <c r="R30" s="116">
        <v>33731.589999999997</v>
      </c>
      <c r="S30" s="130">
        <f t="shared" ref="S30" si="7">P30/R30</f>
        <v>28.902877095328151</v>
      </c>
      <c r="T30" s="85"/>
    </row>
    <row r="31" spans="1:20" s="79" customFormat="1" ht="13.2">
      <c r="A31" s="129" t="s">
        <v>505</v>
      </c>
      <c r="B31" s="188">
        <f>SUM(F29:F31)</f>
        <v>165594.27703349284</v>
      </c>
      <c r="C31" s="188">
        <f>AVERAGE(F29:F31)</f>
        <v>55198.092344497614</v>
      </c>
      <c r="D31" s="190">
        <f>C31/C28-1</f>
        <v>-0.1997278989144986</v>
      </c>
      <c r="E31" s="190">
        <f>C31/C19-1</f>
        <v>2.6953787691571307E-2</v>
      </c>
      <c r="F31" s="136">
        <f>P31/20</f>
        <v>79694.600000000006</v>
      </c>
      <c r="G31" s="190">
        <f t="shared" ref="G31" si="8">F31/F30-1</f>
        <v>0.5531185508851828</v>
      </c>
      <c r="H31" s="190">
        <f t="shared" ref="H31" si="9">F31/F19-1</f>
        <v>0.20176404100833278</v>
      </c>
      <c r="I31" s="130">
        <f t="shared" si="6"/>
        <v>41.048491752016318</v>
      </c>
      <c r="J31" s="136">
        <f>Q29+Q30+Q31</f>
        <v>4422355398</v>
      </c>
      <c r="K31" s="190">
        <f>T31/T28-1</f>
        <v>-0.20157074716596024</v>
      </c>
      <c r="L31" s="190">
        <f>T31/T19-1</f>
        <v>-8.2925550767067868E-3</v>
      </c>
      <c r="M31" s="191">
        <f>AVERAGE(S29:S31)</f>
        <v>33.785038779871122</v>
      </c>
      <c r="N31" s="192">
        <f>M31/M28-1</f>
        <v>-0.32076825826002842</v>
      </c>
      <c r="O31" s="129" t="s">
        <v>505</v>
      </c>
      <c r="P31" s="116">
        <v>1593892</v>
      </c>
      <c r="Q31" s="116">
        <v>2119274959</v>
      </c>
      <c r="R31" s="116">
        <v>38829.49</v>
      </c>
      <c r="S31" s="130">
        <f t="shared" ref="S31" si="10">P31/R31</f>
        <v>41.048491752016318</v>
      </c>
      <c r="T31" s="85">
        <f>P29+P30+P31</f>
        <v>3329747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64860.142857142855</v>
      </c>
      <c r="G32" s="190">
        <f t="shared" ref="G32" si="11">F32/F31-1</f>
        <v>-0.18614130873179802</v>
      </c>
      <c r="H32" s="190">
        <f t="shared" ref="H32" si="12">F32/F20-1</f>
        <v>-0.38148588146752449</v>
      </c>
      <c r="I32" s="130">
        <f t="shared" si="6"/>
        <v>45.554571149637837</v>
      </c>
      <c r="J32" s="136"/>
      <c r="K32" s="190"/>
      <c r="L32" s="190"/>
      <c r="M32" s="191"/>
      <c r="N32" s="192"/>
      <c r="O32" s="129" t="s">
        <v>562</v>
      </c>
      <c r="P32" s="116">
        <v>1362063</v>
      </c>
      <c r="Q32" s="116">
        <v>1865501729</v>
      </c>
      <c r="R32" s="116">
        <v>29899.59</v>
      </c>
      <c r="S32" s="130">
        <f t="shared" ref="S32" si="13">P32/R32</f>
        <v>45.554571149637837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42174.047619047618</v>
      </c>
      <c r="G33" s="190">
        <f t="shared" ref="G33" si="14">F33/F32-1</f>
        <v>-0.34976943063573418</v>
      </c>
      <c r="H33" s="190">
        <f t="shared" ref="H33" si="15">F33/F21-1</f>
        <v>-0.16679367193879657</v>
      </c>
      <c r="I33" s="130">
        <f t="shared" si="6"/>
        <v>39.794435145973516</v>
      </c>
      <c r="J33" s="136"/>
      <c r="K33" s="190"/>
      <c r="L33" s="190"/>
      <c r="M33" s="191"/>
      <c r="N33" s="192"/>
      <c r="O33" s="129" t="s">
        <v>607</v>
      </c>
      <c r="P33" s="116">
        <v>885655</v>
      </c>
      <c r="Q33" s="116">
        <v>1209555132</v>
      </c>
      <c r="R33" s="116">
        <v>22255.75</v>
      </c>
      <c r="S33" s="130">
        <f t="shared" ref="S33" si="16">P33/R33</f>
        <v>39.794435145973516</v>
      </c>
      <c r="T33" s="85"/>
    </row>
    <row r="34" spans="1:20" s="79" customFormat="1" ht="13.2">
      <c r="A34" s="129" t="s">
        <v>652</v>
      </c>
      <c r="B34" s="188">
        <f>SUM(F32:F34)</f>
        <v>154622.08521303258</v>
      </c>
      <c r="C34" s="188">
        <f>AVERAGE(F32:F34)</f>
        <v>51540.695071010858</v>
      </c>
      <c r="D34" s="190">
        <f>C34/C31-1</f>
        <v>-6.6259486843503912E-2</v>
      </c>
      <c r="E34" s="190">
        <f>C34/C22-1</f>
        <v>-0.23983383719817852</v>
      </c>
      <c r="F34" s="136">
        <f>P34/19</f>
        <v>47587.894736842107</v>
      </c>
      <c r="G34" s="190">
        <f t="shared" ref="G34" si="17">F34/F33-1</f>
        <v>0.12836916121253106</v>
      </c>
      <c r="H34" s="190">
        <f t="shared" ref="H34" si="18">F34/F22-1</f>
        <v>-7.0261238893180034E-3</v>
      </c>
      <c r="I34" s="130">
        <f t="shared" si="6"/>
        <v>31.32057929406157</v>
      </c>
      <c r="J34" s="136">
        <f>Q32+Q33+Q34</f>
        <v>4318453868</v>
      </c>
      <c r="K34" s="190">
        <f>T34/T31-1</f>
        <v>-5.341516938073676E-2</v>
      </c>
      <c r="L34" s="190">
        <f>T34/T22-1</f>
        <v>-0.24354458037552429</v>
      </c>
      <c r="M34" s="191">
        <f>AVERAGE(S32:S34)</f>
        <v>38.889861863224311</v>
      </c>
      <c r="N34" s="192">
        <f>M34/M31-1</f>
        <v>0.15109715032781335</v>
      </c>
      <c r="O34" s="129" t="s">
        <v>652</v>
      </c>
      <c r="P34" s="116">
        <v>904170</v>
      </c>
      <c r="Q34" s="116">
        <v>1243397007</v>
      </c>
      <c r="R34" s="116">
        <v>28868.240000000002</v>
      </c>
      <c r="S34" s="130">
        <f t="shared" ref="S34" si="19">P34/R34</f>
        <v>31.32057929406157</v>
      </c>
      <c r="T34" s="85">
        <f>P32+P33+P34</f>
        <v>3151888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56871.17391304348</v>
      </c>
      <c r="G35" s="190">
        <f t="shared" ref="G35" si="20">F35/F34-1</f>
        <v>0.1950764837893606</v>
      </c>
      <c r="H35" s="190">
        <f t="shared" ref="H35" si="21">F35/F23-1</f>
        <v>-0.39326751410080807</v>
      </c>
      <c r="I35" s="130">
        <f t="shared" si="6"/>
        <v>29.905022232657693</v>
      </c>
      <c r="J35" s="136"/>
      <c r="K35" s="190"/>
      <c r="L35" s="190"/>
      <c r="M35" s="191"/>
      <c r="N35" s="192"/>
      <c r="O35" s="129" t="s">
        <v>660</v>
      </c>
      <c r="P35" s="116">
        <v>1308037</v>
      </c>
      <c r="Q35" s="116">
        <v>1811428047</v>
      </c>
      <c r="R35" s="116">
        <v>43739.71</v>
      </c>
      <c r="S35" s="130">
        <f t="shared" ref="S35" si="22">P35/R35</f>
        <v>29.905022232657693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55671.047619047618</v>
      </c>
      <c r="G36" s="190">
        <f t="shared" ref="G36" si="23">F36/F35-1</f>
        <v>-2.1102541259845675E-2</v>
      </c>
      <c r="H36" s="190">
        <f t="shared" ref="H36" si="24">F36/F24-1</f>
        <v>-0.15978894780487718</v>
      </c>
      <c r="I36" s="130">
        <f t="shared" si="6"/>
        <v>28.240697125569664</v>
      </c>
      <c r="J36" s="136"/>
      <c r="K36" s="190"/>
      <c r="L36" s="190"/>
      <c r="M36" s="191"/>
      <c r="N36" s="192"/>
      <c r="O36" s="129" t="s">
        <v>664</v>
      </c>
      <c r="P36" s="116">
        <v>1169092</v>
      </c>
      <c r="Q36" s="116">
        <v>1600464309</v>
      </c>
      <c r="R36" s="116">
        <v>41397.42</v>
      </c>
      <c r="S36" s="130">
        <f t="shared" ref="S36" si="25">P36/R36</f>
        <v>28.240697125569664</v>
      </c>
      <c r="T36" s="85"/>
    </row>
    <row r="37" spans="1:20" s="79" customFormat="1" ht="13.2">
      <c r="A37" s="129" t="s">
        <v>702</v>
      </c>
      <c r="B37" s="188">
        <f>SUM(F35:F37)</f>
        <v>165732.05486542443</v>
      </c>
      <c r="C37" s="188">
        <f>AVERAGE(F35:F37)</f>
        <v>55244.018288474814</v>
      </c>
      <c r="D37" s="190">
        <f>C37/C34-1</f>
        <v>7.1852411232748326E-2</v>
      </c>
      <c r="E37" s="190">
        <f>C37/C25-1</f>
        <v>-0.2500209593848961</v>
      </c>
      <c r="F37" s="136">
        <f>P37/18</f>
        <v>53189.833333333336</v>
      </c>
      <c r="G37" s="190">
        <f t="shared" ref="G37" si="26">F37/F36-1</f>
        <v>-4.4569204134490614E-2</v>
      </c>
      <c r="H37" s="190">
        <f t="shared" ref="H37" si="27">F37/F25-1</f>
        <v>-0.12789706620090391</v>
      </c>
      <c r="I37" s="130">
        <f t="shared" si="6"/>
        <v>29.480718708315422</v>
      </c>
      <c r="J37" s="136">
        <f>Q35+Q36+Q37</f>
        <v>4688689267</v>
      </c>
      <c r="K37" s="190">
        <f>T37/T34-1</f>
        <v>8.9678947982923196E-2</v>
      </c>
      <c r="L37" s="190">
        <f>T37/T25-1</f>
        <v>-0.25090138181707144</v>
      </c>
      <c r="M37" s="191">
        <f>AVERAGE(S35:S37)</f>
        <v>29.208812688847591</v>
      </c>
      <c r="N37" s="192">
        <f>M37/M34-1</f>
        <v>-0.24893503629364855</v>
      </c>
      <c r="O37" s="129" t="s">
        <v>702</v>
      </c>
      <c r="P37" s="116">
        <v>957417</v>
      </c>
      <c r="Q37" s="116">
        <v>1276796911</v>
      </c>
      <c r="R37" s="116">
        <v>32476.04</v>
      </c>
      <c r="S37" s="130">
        <f t="shared" ref="S37" si="28">P37/R37</f>
        <v>29.480718708315422</v>
      </c>
      <c r="T37" s="85">
        <f>P35+P36+P37</f>
        <v>3434546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60565.05</v>
      </c>
      <c r="G38" s="190">
        <f t="shared" ref="G38" si="29">F38/F37-1</f>
        <v>0.13865839023121596</v>
      </c>
      <c r="H38" s="190">
        <f t="shared" ref="H38" si="30">F38/F26-1</f>
        <v>0.25442550807169861</v>
      </c>
      <c r="I38" s="130">
        <f t="shared" si="6"/>
        <v>31.224843953242942</v>
      </c>
      <c r="J38" s="136"/>
      <c r="K38" s="190"/>
      <c r="L38" s="190"/>
      <c r="M38" s="191"/>
      <c r="N38" s="192"/>
      <c r="O38" s="129" t="s">
        <v>728</v>
      </c>
      <c r="P38" s="116">
        <v>1211301</v>
      </c>
      <c r="Q38" s="116">
        <v>1631336491</v>
      </c>
      <c r="R38" s="116">
        <v>38792.86</v>
      </c>
      <c r="S38" s="130">
        <f t="shared" ref="S38" si="31">P38/R38</f>
        <v>31.224843953242942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69789.666666666672</v>
      </c>
      <c r="G39" s="190">
        <f t="shared" ref="G39" si="32">F39/F38-1</f>
        <v>0.15230923885420178</v>
      </c>
      <c r="H39" s="190">
        <f t="shared" ref="H39" si="33">F39/F27-1</f>
        <v>-0.12341108055371741</v>
      </c>
      <c r="I39" s="130">
        <f t="shared" si="6"/>
        <v>39.14641345139362</v>
      </c>
      <c r="J39" s="136"/>
      <c r="K39" s="190"/>
      <c r="L39" s="190"/>
      <c r="M39" s="191"/>
      <c r="N39" s="192"/>
      <c r="O39" s="129" t="s">
        <v>762</v>
      </c>
      <c r="P39" s="116">
        <v>1465583</v>
      </c>
      <c r="Q39" s="116">
        <v>2036564014</v>
      </c>
      <c r="R39" s="116">
        <v>37438.5</v>
      </c>
      <c r="S39" s="130">
        <f t="shared" ref="S39" si="34">P39/R39</f>
        <v>39.14641345139362</v>
      </c>
      <c r="T39" s="85"/>
    </row>
    <row r="40" spans="1:20" s="79" customFormat="1" ht="13.2">
      <c r="A40" s="129" t="s">
        <v>778</v>
      </c>
      <c r="B40" s="188">
        <f>SUM(F38:F40)</f>
        <v>204703.33571428573</v>
      </c>
      <c r="C40" s="188">
        <f>AVERAGE(F38:F40)</f>
        <v>68234.445238095243</v>
      </c>
      <c r="D40" s="190">
        <f>C40/C37-1</f>
        <v>0.23514630818103499</v>
      </c>
      <c r="E40" s="190">
        <f>C40/C28-1</f>
        <v>-1.0724455542937994E-2</v>
      </c>
      <c r="F40" s="136">
        <f>P40/21</f>
        <v>74348.619047619053</v>
      </c>
      <c r="G40" s="190">
        <f t="shared" ref="G40" si="35">F40/F39-1</f>
        <v>6.5324174748206065E-2</v>
      </c>
      <c r="H40" s="190">
        <f t="shared" ref="H40" si="36">F40/F28-1</f>
        <v>-5.9191633763062246E-2</v>
      </c>
      <c r="I40" s="130">
        <f t="shared" si="6"/>
        <v>38.933054648925221</v>
      </c>
      <c r="J40" s="136">
        <f>Q38+Q39+Q40</f>
        <v>5889816639</v>
      </c>
      <c r="K40" s="190">
        <f>T40/T37-1</f>
        <v>0.23399278973116089</v>
      </c>
      <c r="L40" s="190">
        <f>T40/T28-1</f>
        <v>1.6265455455772182E-2</v>
      </c>
      <c r="M40" s="191">
        <f>AVERAGE(S38:S40)</f>
        <v>36.434770684520593</v>
      </c>
      <c r="N40" s="192">
        <f>M40/M37-1</f>
        <v>0.24738965163181703</v>
      </c>
      <c r="O40" s="129" t="s">
        <v>778</v>
      </c>
      <c r="P40" s="116">
        <v>1561321</v>
      </c>
      <c r="Q40" s="116">
        <v>2221916134</v>
      </c>
      <c r="R40" s="116">
        <v>40102.71</v>
      </c>
      <c r="S40" s="130">
        <f t="shared" ref="S40" si="37">P40/R40</f>
        <v>38.933054648925221</v>
      </c>
      <c r="T40" s="85">
        <f>P38+P39+P40</f>
        <v>4238205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0</v>
      </c>
      <c r="G41" s="190">
        <f t="shared" ref="G41" si="38">F41/F40-1</f>
        <v>-1</v>
      </c>
      <c r="H41" s="190">
        <f t="shared" ref="H41" si="39">F41/F29-1</f>
        <v>-1</v>
      </c>
      <c r="I41" s="130" t="e">
        <f t="shared" si="6"/>
        <v>#DIV/0!</v>
      </c>
      <c r="J41" s="193"/>
      <c r="K41" s="190"/>
      <c r="L41" s="190"/>
      <c r="M41" s="193"/>
      <c r="N41" s="193"/>
      <c r="O41" s="129" t="s">
        <v>792</v>
      </c>
      <c r="P41" s="116"/>
      <c r="Q41" s="116"/>
      <c r="R41" s="116"/>
      <c r="S41" s="130" t="e">
        <f t="shared" ref="S41" si="40">P41/R41</f>
        <v>#DIV/0!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 t="e">
        <f t="shared" ref="G42" si="41">F42/F41-1</f>
        <v>#DIV/0!</v>
      </c>
      <c r="H42" s="190">
        <f t="shared" ref="H42" si="42">F42/F30-1</f>
        <v>-1</v>
      </c>
      <c r="I42" s="130" t="e">
        <f t="shared" si="6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43">P42/R42</f>
        <v>#DIV/0!</v>
      </c>
      <c r="T42" s="78"/>
    </row>
    <row r="43" spans="1:20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P43/20</f>
        <v>0</v>
      </c>
      <c r="G43" s="190" t="e">
        <f t="shared" ref="G43" si="44">F43/F42-1</f>
        <v>#DIV/0!</v>
      </c>
      <c r="H43" s="190">
        <f t="shared" ref="H43" si="45">F43/F31-1</f>
        <v>-1</v>
      </c>
      <c r="I43" s="130" t="e">
        <f t="shared" si="6"/>
        <v>#DIV/0!</v>
      </c>
      <c r="J43" s="136">
        <f>Q41+Q42+Q43</f>
        <v>0</v>
      </c>
      <c r="K43" s="190">
        <f>T43/T40-1</f>
        <v>-1</v>
      </c>
      <c r="L43" s="190">
        <f>T43/T31-1</f>
        <v>-1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46">P43/R43</f>
        <v>#DIV/0!</v>
      </c>
      <c r="T43" s="85">
        <f>P41+P42+P43</f>
        <v>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47">F44/F43-1</f>
        <v>#DIV/0!</v>
      </c>
      <c r="H44" s="190">
        <f t="shared" ref="H44" si="48">F44/F32-1</f>
        <v>-1</v>
      </c>
      <c r="I44" s="130" t="e">
        <f t="shared" si="6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49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50">F45/F44-1</f>
        <v>#DIV/0!</v>
      </c>
      <c r="H45" s="190">
        <f t="shared" ref="H45" si="51">F45/F33-1</f>
        <v>-1</v>
      </c>
      <c r="I45" s="130" t="e">
        <f t="shared" si="6"/>
        <v>#DIV/0!</v>
      </c>
      <c r="J45" s="136"/>
      <c r="K45" s="190"/>
      <c r="L45" s="190"/>
      <c r="M45" s="191"/>
      <c r="N45" s="192"/>
      <c r="O45" s="129" t="s">
        <v>849</v>
      </c>
      <c r="P45" s="116"/>
      <c r="Q45" s="116"/>
      <c r="R45" s="116"/>
      <c r="S45" s="130" t="e">
        <f t="shared" ref="S45" si="52">P45/R45</f>
        <v>#DIV/0!</v>
      </c>
      <c r="T45" s="85"/>
    </row>
    <row r="46" spans="1:20" s="183" customFormat="1" ht="13.2">
      <c r="A46" s="144" t="s">
        <v>893</v>
      </c>
      <c r="B46" s="196">
        <f>SUM(F44:F46)</f>
        <v>0</v>
      </c>
      <c r="C46" s="196">
        <f>AVERAGE(F44:F46)</f>
        <v>0</v>
      </c>
      <c r="D46" s="197" t="e">
        <f>C46/C43-1</f>
        <v>#DIV/0!</v>
      </c>
      <c r="E46" s="197">
        <f>C46/C34-1</f>
        <v>-1</v>
      </c>
      <c r="F46" s="147">
        <f>P46/19</f>
        <v>0</v>
      </c>
      <c r="G46" s="197" t="e">
        <f t="shared" ref="G46" si="53">F46/F45-1</f>
        <v>#DIV/0!</v>
      </c>
      <c r="H46" s="197">
        <f t="shared" ref="H46" si="54">F46/F34-1</f>
        <v>-1</v>
      </c>
      <c r="I46" s="146" t="e">
        <f t="shared" ref="I46" si="55">S46</f>
        <v>#DIV/0!</v>
      </c>
      <c r="J46" s="147">
        <f>Q44+Q45+Q46</f>
        <v>0</v>
      </c>
      <c r="K46" s="197" t="e">
        <f>T46/T43-1</f>
        <v>#DIV/0!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56">P46/R46</f>
        <v>#DIV/0!</v>
      </c>
      <c r="T46" s="187">
        <f>P44+P45+P46</f>
        <v>0</v>
      </c>
    </row>
    <row r="47" spans="1:20" s="183" customFormat="1" ht="13.2">
      <c r="A47" s="144" t="s">
        <v>992</v>
      </c>
      <c r="B47" s="196"/>
      <c r="C47" s="196"/>
      <c r="D47" s="197"/>
      <c r="E47" s="197"/>
      <c r="F47" s="147">
        <f>P47/23</f>
        <v>0</v>
      </c>
      <c r="G47" s="197" t="e">
        <f t="shared" ref="G47" si="57">F47/F46-1</f>
        <v>#DIV/0!</v>
      </c>
      <c r="H47" s="197">
        <f t="shared" ref="H47" si="58">F47/F35-1</f>
        <v>-1</v>
      </c>
      <c r="I47" s="146" t="e">
        <f t="shared" ref="I47" si="59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60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61">F48/F47-1</f>
        <v>#DIV/0!</v>
      </c>
      <c r="H48" s="197">
        <f t="shared" ref="H48" si="62">F48/F36-1</f>
        <v>-1</v>
      </c>
      <c r="I48" s="146" t="e">
        <f t="shared" ref="I48" si="63">S48</f>
        <v>#DIV/0!</v>
      </c>
      <c r="J48" s="147"/>
      <c r="K48" s="197"/>
      <c r="L48" s="197"/>
      <c r="M48" s="198"/>
      <c r="N48" s="199"/>
      <c r="O48" s="144" t="s">
        <v>1120</v>
      </c>
      <c r="P48" s="145"/>
      <c r="Q48" s="145"/>
      <c r="R48" s="145"/>
      <c r="S48" s="146" t="e">
        <f t="shared" ref="S48" si="64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8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43"/>
  <dimension ref="A1:Z75"/>
  <sheetViews>
    <sheetView zoomScale="90" zoomScaleNormal="90" workbookViewId="0">
      <selection activeCell="F69" sqref="F69: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8486403090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1267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479690.5</v>
      </c>
      <c r="G5" s="90"/>
      <c r="H5" s="90"/>
      <c r="I5" s="130">
        <f t="shared" ref="I5:I49" si="0">T5</f>
        <v>100.59409781748217</v>
      </c>
      <c r="J5" s="130"/>
      <c r="L5" s="80"/>
      <c r="M5" s="80"/>
      <c r="P5" s="129" t="s">
        <v>0</v>
      </c>
      <c r="Q5" s="116">
        <v>9593810</v>
      </c>
      <c r="R5" s="116"/>
      <c r="S5" s="116">
        <v>95371.5</v>
      </c>
      <c r="T5" s="130">
        <f t="shared" ref="T5:T23" si="1">Q5/S5</f>
        <v>100.59409781748217</v>
      </c>
      <c r="U5" s="85"/>
    </row>
    <row r="6" spans="1:21" ht="15" hidden="1" customHeight="1">
      <c r="A6" s="129" t="s">
        <v>1</v>
      </c>
      <c r="C6" s="79"/>
      <c r="F6" s="78">
        <f>Q6/18</f>
        <v>356209.33333333331</v>
      </c>
      <c r="G6" s="90">
        <f t="shared" ref="G6:G23" si="2">F6/F5-1</f>
        <v>-0.25741841180233227</v>
      </c>
      <c r="H6" s="90"/>
      <c r="I6" s="130">
        <f t="shared" si="0"/>
        <v>125.30816135084427</v>
      </c>
      <c r="J6" s="130"/>
      <c r="P6" s="129" t="s">
        <v>1</v>
      </c>
      <c r="Q6" s="116">
        <v>6411768</v>
      </c>
      <c r="R6" s="116"/>
      <c r="S6" s="116">
        <v>51168</v>
      </c>
      <c r="T6" s="130">
        <f t="shared" si="1"/>
        <v>125.30816135084427</v>
      </c>
      <c r="U6" s="85"/>
    </row>
    <row r="7" spans="1:21" ht="15" hidden="1" customHeight="1">
      <c r="A7" s="129" t="s">
        <v>2</v>
      </c>
      <c r="B7" s="131">
        <f>F5+F6+F7</f>
        <v>1447020.8787878787</v>
      </c>
      <c r="C7" s="131">
        <f>AVERAGE(F5:F7)</f>
        <v>482340.29292929289</v>
      </c>
      <c r="F7" s="78">
        <f>Q7/22</f>
        <v>611121.04545454541</v>
      </c>
      <c r="G7" s="90">
        <f t="shared" si="2"/>
        <v>0.71562333792829347</v>
      </c>
      <c r="H7" s="90"/>
      <c r="I7" s="130">
        <f t="shared" si="0"/>
        <v>88.62834556494488</v>
      </c>
      <c r="J7" s="130"/>
      <c r="K7" s="79">
        <f>R5+R6+R7</f>
        <v>0</v>
      </c>
      <c r="N7" s="88">
        <f>AVERAGE(T5:T7)</f>
        <v>104.84353491109044</v>
      </c>
      <c r="P7" s="129" t="s">
        <v>2</v>
      </c>
      <c r="Q7" s="116">
        <v>13444663</v>
      </c>
      <c r="R7" s="116"/>
      <c r="S7" s="116">
        <v>151697.1</v>
      </c>
      <c r="T7" s="130">
        <f t="shared" si="1"/>
        <v>88.62834556494488</v>
      </c>
      <c r="U7" s="85">
        <f>Q5+Q6+Q7</f>
        <v>29450241</v>
      </c>
    </row>
    <row r="8" spans="1:21" ht="15" hidden="1" customHeight="1">
      <c r="A8" s="129" t="s">
        <v>3</v>
      </c>
      <c r="C8" s="79"/>
      <c r="F8" s="78">
        <f>Q8/21</f>
        <v>690812.61904761905</v>
      </c>
      <c r="G8" s="90">
        <f t="shared" si="2"/>
        <v>0.13040227330708243</v>
      </c>
      <c r="H8" s="90"/>
      <c r="I8" s="130">
        <f t="shared" si="0"/>
        <v>141.56894221432859</v>
      </c>
      <c r="J8" s="130"/>
      <c r="K8" s="78"/>
      <c r="P8" s="129" t="s">
        <v>3</v>
      </c>
      <c r="Q8" s="116">
        <v>14507065</v>
      </c>
      <c r="R8" s="116"/>
      <c r="S8" s="116">
        <v>102473.5</v>
      </c>
      <c r="T8" s="130">
        <f t="shared" si="1"/>
        <v>141.56894221432859</v>
      </c>
      <c r="U8" s="85"/>
    </row>
    <row r="9" spans="1:21" ht="15" hidden="1" customHeight="1">
      <c r="A9" s="129" t="s">
        <v>4</v>
      </c>
      <c r="C9" s="79"/>
      <c r="F9" s="78">
        <f>Q9/21</f>
        <v>423696</v>
      </c>
      <c r="G9" s="90">
        <f t="shared" si="2"/>
        <v>-0.38667015002690064</v>
      </c>
      <c r="H9" s="90"/>
      <c r="I9" s="130">
        <f t="shared" si="0"/>
        <v>101.32641061948435</v>
      </c>
      <c r="J9" s="130"/>
      <c r="K9" s="78"/>
      <c r="P9" s="129" t="s">
        <v>4</v>
      </c>
      <c r="Q9" s="116">
        <v>8897616</v>
      </c>
      <c r="R9" s="116"/>
      <c r="S9" s="116">
        <v>87811.42</v>
      </c>
      <c r="T9" s="130">
        <f t="shared" si="1"/>
        <v>101.32641061948435</v>
      </c>
      <c r="U9" s="85"/>
    </row>
    <row r="10" spans="1:21" ht="15" hidden="1" customHeight="1">
      <c r="A10" s="129" t="s">
        <v>5</v>
      </c>
      <c r="B10" s="131">
        <f>F8+F9+F10</f>
        <v>1648248.3809523808</v>
      </c>
      <c r="C10" s="131">
        <f>AVERAGE(F8:F10)</f>
        <v>549416.12698412698</v>
      </c>
      <c r="D10" s="90">
        <f>C10/C7-1</f>
        <v>0.13906330248189924</v>
      </c>
      <c r="E10" s="286"/>
      <c r="F10" s="78">
        <f>Q10/21</f>
        <v>533739.76190476189</v>
      </c>
      <c r="G10" s="90">
        <f t="shared" si="2"/>
        <v>0.25972339107464282</v>
      </c>
      <c r="H10" s="90"/>
      <c r="I10" s="130">
        <f t="shared" si="0"/>
        <v>70.998511433457907</v>
      </c>
      <c r="J10" s="130"/>
      <c r="K10" s="79">
        <f>R8+R9+R10</f>
        <v>0</v>
      </c>
      <c r="L10" s="87">
        <f>U10/U7-1</f>
        <v>0.17531180814445624</v>
      </c>
      <c r="N10" s="88">
        <f>AVERAGE(T8:T10)</f>
        <v>104.63128808909028</v>
      </c>
      <c r="O10" s="89">
        <f>N10/N7-1</f>
        <v>-2.0244149739910844E-3</v>
      </c>
      <c r="P10" s="129" t="s">
        <v>5</v>
      </c>
      <c r="Q10" s="116">
        <v>11208535</v>
      </c>
      <c r="R10" s="116"/>
      <c r="S10" s="116">
        <v>157870</v>
      </c>
      <c r="T10" s="130">
        <f t="shared" si="1"/>
        <v>70.998511433457907</v>
      </c>
      <c r="U10" s="85">
        <f>Q8+Q9+Q10</f>
        <v>34613216</v>
      </c>
    </row>
    <row r="11" spans="1:21" ht="15" hidden="1" customHeight="1">
      <c r="A11" s="129" t="s">
        <v>6</v>
      </c>
      <c r="C11" s="79"/>
      <c r="F11" s="78">
        <f>Q11/21</f>
        <v>974340.23809523811</v>
      </c>
      <c r="G11" s="90">
        <f t="shared" si="2"/>
        <v>0.82549682005721547</v>
      </c>
      <c r="H11" s="90"/>
      <c r="I11" s="130">
        <f t="shared" si="0"/>
        <v>54.326465199155365</v>
      </c>
      <c r="J11" s="130"/>
      <c r="K11" s="78"/>
      <c r="O11" s="89"/>
      <c r="P11" s="129" t="s">
        <v>6</v>
      </c>
      <c r="Q11" s="116">
        <v>20461145</v>
      </c>
      <c r="R11" s="116"/>
      <c r="S11" s="116">
        <v>376633.1</v>
      </c>
      <c r="T11" s="130">
        <f t="shared" si="1"/>
        <v>54.326465199155365</v>
      </c>
      <c r="U11" s="85"/>
    </row>
    <row r="12" spans="1:21" ht="15" hidden="1" customHeight="1">
      <c r="A12" s="129" t="s">
        <v>7</v>
      </c>
      <c r="C12" s="79"/>
      <c r="F12" s="78">
        <f>Q12/22</f>
        <v>1062215.5</v>
      </c>
      <c r="G12" s="90">
        <f t="shared" si="2"/>
        <v>9.0189503080106315E-2</v>
      </c>
      <c r="H12" s="90"/>
      <c r="I12" s="130">
        <f t="shared" si="0"/>
        <v>72.34407108861248</v>
      </c>
      <c r="J12" s="130"/>
      <c r="K12" s="78"/>
      <c r="O12" s="89"/>
      <c r="P12" s="129" t="s">
        <v>7</v>
      </c>
      <c r="Q12" s="116">
        <v>23368741</v>
      </c>
      <c r="R12" s="116"/>
      <c r="S12" s="116">
        <v>323022.2</v>
      </c>
      <c r="T12" s="130">
        <f t="shared" si="1"/>
        <v>72.34407108861248</v>
      </c>
      <c r="U12" s="85"/>
    </row>
    <row r="13" spans="1:21" ht="15" hidden="1" customHeight="1">
      <c r="A13" s="129" t="s">
        <v>96</v>
      </c>
      <c r="B13" s="131">
        <f>F11+F12+F13</f>
        <v>2253475.6380952382</v>
      </c>
      <c r="C13" s="131">
        <f>AVERAGE(F11:F13)</f>
        <v>751158.54603174608</v>
      </c>
      <c r="D13" s="90">
        <f>C13/C10-1</f>
        <v>0.36719420697574012</v>
      </c>
      <c r="E13" s="286"/>
      <c r="F13" s="78">
        <f>Q13/20</f>
        <v>216919.9</v>
      </c>
      <c r="G13" s="90">
        <f t="shared" si="2"/>
        <v>-0.79578541265873071</v>
      </c>
      <c r="H13" s="90"/>
      <c r="I13" s="130">
        <f t="shared" si="0"/>
        <v>122.88791259839621</v>
      </c>
      <c r="J13" s="130"/>
      <c r="K13" s="78">
        <f>R11+R12+R13</f>
        <v>0</v>
      </c>
      <c r="L13" s="87">
        <f>U13/U10-1</f>
        <v>0.39161538760223835</v>
      </c>
      <c r="N13" s="88">
        <f>AVERAGE(T11:T13)</f>
        <v>83.186149628721353</v>
      </c>
      <c r="O13" s="89">
        <f>N13/N10-1</f>
        <v>-0.20495913652624687</v>
      </c>
      <c r="P13" s="129" t="s">
        <v>96</v>
      </c>
      <c r="Q13" s="116">
        <v>4338398</v>
      </c>
      <c r="R13" s="116"/>
      <c r="S13" s="116">
        <v>35303.699999999997</v>
      </c>
      <c r="T13" s="130">
        <f t="shared" si="1"/>
        <v>122.88791259839621</v>
      </c>
      <c r="U13" s="85">
        <f>Q11+Q12+Q13</f>
        <v>48168284</v>
      </c>
    </row>
    <row r="14" spans="1:21" ht="15" hidden="1" customHeight="1">
      <c r="A14" s="129" t="s">
        <v>97</v>
      </c>
      <c r="C14" s="79"/>
      <c r="F14" s="78">
        <f>Q14/20</f>
        <v>191521.2</v>
      </c>
      <c r="G14" s="90">
        <f t="shared" si="2"/>
        <v>-0.11708792047202665</v>
      </c>
      <c r="H14" s="90"/>
      <c r="I14" s="130">
        <f t="shared" si="0"/>
        <v>69.318527714388608</v>
      </c>
      <c r="J14" s="130"/>
      <c r="O14" s="89"/>
      <c r="P14" s="129" t="s">
        <v>97</v>
      </c>
      <c r="Q14" s="116">
        <v>3830424</v>
      </c>
      <c r="R14" s="116"/>
      <c r="S14" s="116">
        <v>55258.3</v>
      </c>
      <c r="T14" s="130">
        <f t="shared" si="1"/>
        <v>69.318527714388608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354948.95454545453</v>
      </c>
      <c r="G15" s="90">
        <f t="shared" si="2"/>
        <v>0.85331417381185215</v>
      </c>
      <c r="H15" s="90"/>
      <c r="I15" s="130">
        <f t="shared" si="0"/>
        <v>108.24614638203494</v>
      </c>
      <c r="J15" s="130"/>
      <c r="O15" s="89"/>
      <c r="P15" s="129" t="s">
        <v>98</v>
      </c>
      <c r="Q15" s="116">
        <v>7808877</v>
      </c>
      <c r="R15" s="116"/>
      <c r="S15" s="116">
        <v>72140</v>
      </c>
      <c r="T15" s="130">
        <f t="shared" si="1"/>
        <v>108.24614638203494</v>
      </c>
      <c r="U15" s="78"/>
    </row>
    <row r="16" spans="1:21" ht="15" hidden="1" customHeight="1">
      <c r="A16" s="129" t="s">
        <v>99</v>
      </c>
      <c r="B16" s="131">
        <f>F14+F15+F16</f>
        <v>672499.29090909089</v>
      </c>
      <c r="C16" s="131">
        <f>AVERAGE(F14:F16)</f>
        <v>224166.4303030303</v>
      </c>
      <c r="D16" s="90">
        <f>C16/C13-1</f>
        <v>-0.70157241572066686</v>
      </c>
      <c r="E16" s="286"/>
      <c r="F16" s="78">
        <f>Q16/22</f>
        <v>126029.13636363637</v>
      </c>
      <c r="G16" s="90">
        <f t="shared" si="2"/>
        <v>-0.64493729380037612</v>
      </c>
      <c r="H16" s="90"/>
      <c r="I16" s="130">
        <f t="shared" si="0"/>
        <v>85.976296865939617</v>
      </c>
      <c r="J16" s="130"/>
      <c r="K16" s="78">
        <f>R14+R15+R16</f>
        <v>0</v>
      </c>
      <c r="L16" s="87">
        <f>U16/U13-1</f>
        <v>-0.70080017797603089</v>
      </c>
      <c r="N16" s="88">
        <f>AVERAGE(T14:T16)</f>
        <v>87.846990320787725</v>
      </c>
      <c r="O16" s="89">
        <f>N16/N13-1</f>
        <v>5.6029047057337911E-2</v>
      </c>
      <c r="P16" s="129" t="s">
        <v>99</v>
      </c>
      <c r="Q16" s="116">
        <v>2772641</v>
      </c>
      <c r="R16" s="116"/>
      <c r="S16" s="116">
        <v>32248.9</v>
      </c>
      <c r="T16" s="130">
        <f t="shared" si="1"/>
        <v>85.976296865939617</v>
      </c>
      <c r="U16" s="85">
        <f>Q14+Q15+Q16</f>
        <v>14411942</v>
      </c>
    </row>
    <row r="17" spans="1:21" ht="15" hidden="1" customHeight="1">
      <c r="A17" s="129" t="s">
        <v>100</v>
      </c>
      <c r="C17" s="79"/>
      <c r="F17" s="78">
        <f>Q17/20</f>
        <v>258764.65</v>
      </c>
      <c r="G17" s="90">
        <f t="shared" si="2"/>
        <v>1.0532129114443594</v>
      </c>
      <c r="H17" s="90">
        <f t="shared" ref="H17:H23" si="3">F17/F5-1</f>
        <v>-0.46055915220334775</v>
      </c>
      <c r="I17" s="130">
        <f t="shared" si="0"/>
        <v>105.91344199812457</v>
      </c>
      <c r="J17" s="130">
        <f t="shared" ref="J17:J49" si="4">I17/I5-1</f>
        <v>5.2879287115769058E-2</v>
      </c>
      <c r="O17" s="89"/>
      <c r="P17" s="129" t="s">
        <v>100</v>
      </c>
      <c r="Q17" s="116">
        <v>5175293</v>
      </c>
      <c r="R17" s="116">
        <v>6496410571</v>
      </c>
      <c r="S17" s="116">
        <v>48863.42</v>
      </c>
      <c r="T17" s="130">
        <f t="shared" si="1"/>
        <v>105.91344199812457</v>
      </c>
      <c r="U17" s="78"/>
    </row>
    <row r="18" spans="1:21" ht="15" hidden="1" customHeight="1">
      <c r="A18" s="129" t="s">
        <v>106</v>
      </c>
      <c r="C18" s="79"/>
      <c r="F18" s="78">
        <f>Q18/20</f>
        <v>370251.7</v>
      </c>
      <c r="G18" s="90">
        <f t="shared" si="2"/>
        <v>0.43084343243947743</v>
      </c>
      <c r="H18" s="90">
        <f t="shared" si="3"/>
        <v>3.9421669654922109E-2</v>
      </c>
      <c r="I18" s="130">
        <f t="shared" si="0"/>
        <v>62.408565129591359</v>
      </c>
      <c r="J18" s="130">
        <f t="shared" si="4"/>
        <v>-0.50195929413682294</v>
      </c>
      <c r="O18" s="89"/>
      <c r="P18" s="129" t="s">
        <v>106</v>
      </c>
      <c r="Q18" s="116">
        <v>7405034</v>
      </c>
      <c r="R18" s="116">
        <v>9350949710</v>
      </c>
      <c r="S18" s="116">
        <v>118654.13</v>
      </c>
      <c r="T18" s="130">
        <f t="shared" si="1"/>
        <v>62.408565129591359</v>
      </c>
      <c r="U18" s="78"/>
    </row>
    <row r="19" spans="1:21" hidden="1">
      <c r="A19" s="129" t="s">
        <v>114</v>
      </c>
      <c r="B19" s="131">
        <f>SUM(F17:F19)</f>
        <v>1010021.3954545455</v>
      </c>
      <c r="C19" s="131">
        <f>AVERAGE(F17:F19)</f>
        <v>336673.79848484852</v>
      </c>
      <c r="D19" s="90">
        <f>C19/C16-1</f>
        <v>0.50189213447227443</v>
      </c>
      <c r="E19" s="286">
        <f>C19/C7-1</f>
        <v>-0.30199943189444034</v>
      </c>
      <c r="F19" s="78">
        <f>Q19/22</f>
        <v>381005.04545454547</v>
      </c>
      <c r="G19" s="90">
        <f t="shared" si="2"/>
        <v>2.9043338503362603E-2</v>
      </c>
      <c r="H19" s="90">
        <f t="shared" si="3"/>
        <v>-0.37654733331731705</v>
      </c>
      <c r="I19" s="130">
        <f t="shared" si="0"/>
        <v>93.003297678842856</v>
      </c>
      <c r="J19" s="130">
        <f t="shared" si="4"/>
        <v>4.936289948786321E-2</v>
      </c>
      <c r="K19" s="78">
        <f>R17+R18+R19</f>
        <v>26800666795</v>
      </c>
      <c r="L19" s="87">
        <f>U19/U16-1</f>
        <v>0.45451862073827387</v>
      </c>
      <c r="M19" s="87">
        <f>U19/U7-1</f>
        <v>-0.28820826967086621</v>
      </c>
      <c r="N19" s="88">
        <f>AVERAGE(T17:T19)</f>
        <v>87.108434935519597</v>
      </c>
      <c r="O19" s="89">
        <f>N19/N16-1</f>
        <v>-8.4072929826186638E-3</v>
      </c>
      <c r="P19" s="129" t="s">
        <v>114</v>
      </c>
      <c r="Q19" s="116">
        <v>8382111</v>
      </c>
      <c r="R19" s="116">
        <v>10953306514</v>
      </c>
      <c r="S19" s="116">
        <v>90127.03</v>
      </c>
      <c r="T19" s="130">
        <f t="shared" si="1"/>
        <v>93.003297678842856</v>
      </c>
      <c r="U19" s="85">
        <f>Q17+Q18+Q19</f>
        <v>20962438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516584.45</v>
      </c>
      <c r="G20" s="90">
        <f t="shared" si="2"/>
        <v>0.35584674314143538</v>
      </c>
      <c r="H20" s="90">
        <f t="shared" si="3"/>
        <v>-0.2522075657619236</v>
      </c>
      <c r="I20" s="130">
        <f t="shared" si="0"/>
        <v>71.62440754876873</v>
      </c>
      <c r="J20" s="130">
        <f t="shared" si="4"/>
        <v>-0.49406694414419783</v>
      </c>
      <c r="O20" s="89"/>
      <c r="P20" s="129" t="s">
        <v>131</v>
      </c>
      <c r="Q20" s="116">
        <v>10331689</v>
      </c>
      <c r="R20" s="116">
        <v>13546637434</v>
      </c>
      <c r="S20" s="116">
        <v>144248.16</v>
      </c>
      <c r="T20" s="130">
        <f t="shared" si="1"/>
        <v>71.62440754876873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536054.47619047621</v>
      </c>
      <c r="G21" s="90">
        <f t="shared" si="2"/>
        <v>3.7689919219357382E-2</v>
      </c>
      <c r="H21" s="90">
        <f t="shared" si="3"/>
        <v>0.26518653985517027</v>
      </c>
      <c r="I21" s="130">
        <f t="shared" si="0"/>
        <v>96.461294511665059</v>
      </c>
      <c r="J21" s="130">
        <f t="shared" si="4"/>
        <v>-4.8014294378683542E-2</v>
      </c>
      <c r="O21" s="89"/>
      <c r="P21" s="129" t="s">
        <v>141</v>
      </c>
      <c r="Q21" s="116">
        <v>11257144</v>
      </c>
      <c r="R21" s="116">
        <v>15013623291</v>
      </c>
      <c r="S21" s="116">
        <v>116701.15</v>
      </c>
      <c r="T21" s="130">
        <f t="shared" si="1"/>
        <v>96.461294511665059</v>
      </c>
      <c r="U21" s="78"/>
    </row>
    <row r="22" spans="1:21" hidden="1">
      <c r="A22" s="129" t="s">
        <v>155</v>
      </c>
      <c r="B22" s="131">
        <f>SUM(F20:F22)</f>
        <v>1731704.8309523808</v>
      </c>
      <c r="C22" s="131">
        <f>AVERAGE(F20:F22)</f>
        <v>577234.94365079363</v>
      </c>
      <c r="D22" s="90">
        <f>C22/C19-1</f>
        <v>0.71452291876752971</v>
      </c>
      <c r="E22" s="286">
        <f>C22/C10-1</f>
        <v>5.0633418460740431E-2</v>
      </c>
      <c r="F22" s="78">
        <f>Q22/21</f>
        <v>679065.90476190473</v>
      </c>
      <c r="G22" s="90">
        <f t="shared" si="2"/>
        <v>0.26678525210302007</v>
      </c>
      <c r="H22" s="90">
        <f t="shared" si="3"/>
        <v>0.27227902665245729</v>
      </c>
      <c r="I22" s="130">
        <f t="shared" si="0"/>
        <v>77.097396854327101</v>
      </c>
      <c r="J22" s="130">
        <f t="shared" si="4"/>
        <v>8.5901595649442219E-2</v>
      </c>
      <c r="K22" s="78">
        <f>R20+R21+R22</f>
        <v>47248990818</v>
      </c>
      <c r="L22" s="87">
        <f>U22/U19-1</f>
        <v>0.71016448563855028</v>
      </c>
      <c r="M22" s="87">
        <f>U22/U10-1</f>
        <v>3.5708932680511341E-2</v>
      </c>
      <c r="N22" s="88">
        <f>AVERAGE(T20:T22)</f>
        <v>81.727699638253625</v>
      </c>
      <c r="O22" s="89">
        <f>N22/N19-1</f>
        <v>-6.1770542671888862E-2</v>
      </c>
      <c r="P22" s="129" t="s">
        <v>155</v>
      </c>
      <c r="Q22" s="116">
        <v>14260384</v>
      </c>
      <c r="R22" s="116">
        <v>18688730093</v>
      </c>
      <c r="S22" s="116">
        <v>184965.83</v>
      </c>
      <c r="T22" s="130">
        <f t="shared" si="1"/>
        <v>77.097396854327101</v>
      </c>
      <c r="U22" s="85">
        <f>Q20+Q21+Q22</f>
        <v>35849217</v>
      </c>
    </row>
    <row r="23" spans="1:21" hidden="1">
      <c r="A23" s="129" t="s">
        <v>189</v>
      </c>
      <c r="C23" s="131"/>
      <c r="F23" s="78">
        <f>Q23/21</f>
        <v>173828.04761904763</v>
      </c>
      <c r="G23" s="90">
        <f t="shared" si="2"/>
        <v>-0.74401888476495448</v>
      </c>
      <c r="H23" s="90">
        <f t="shared" si="3"/>
        <v>-0.82159409945044615</v>
      </c>
      <c r="I23" s="130">
        <f t="shared" si="0"/>
        <v>90.525383092354815</v>
      </c>
      <c r="J23" s="130">
        <f t="shared" si="4"/>
        <v>0.66632198064972292</v>
      </c>
      <c r="O23" s="89"/>
      <c r="P23" s="129" t="s">
        <v>189</v>
      </c>
      <c r="Q23" s="116">
        <v>3650389</v>
      </c>
      <c r="R23" s="116">
        <v>4704532994</v>
      </c>
      <c r="S23" s="116">
        <v>40324.480000000003</v>
      </c>
      <c r="T23" s="130">
        <f t="shared" si="1"/>
        <v>90.525383092354815</v>
      </c>
      <c r="U23" s="78"/>
    </row>
    <row r="24" spans="1:21" hidden="1">
      <c r="A24" s="129" t="s">
        <v>204</v>
      </c>
      <c r="C24" s="131"/>
      <c r="F24" s="78">
        <f>Q24/22</f>
        <v>191270.40909090909</v>
      </c>
      <c r="G24" s="90">
        <f t="shared" ref="G24" si="5">F24/F23-1</f>
        <v>0.10034261852889936</v>
      </c>
      <c r="H24" s="90">
        <f t="shared" ref="H24" si="6">F24/F12-1</f>
        <v>-0.81993257574295508</v>
      </c>
      <c r="I24" s="130">
        <f t="shared" si="0"/>
        <v>53.129240337349508</v>
      </c>
      <c r="J24" s="130">
        <f t="shared" si="4"/>
        <v>-0.26560339309253411</v>
      </c>
      <c r="O24" s="89"/>
      <c r="P24" s="129" t="s">
        <v>204</v>
      </c>
      <c r="Q24" s="116">
        <v>4207949</v>
      </c>
      <c r="R24" s="116">
        <v>5555156699</v>
      </c>
      <c r="S24" s="116">
        <v>79202.13</v>
      </c>
      <c r="T24" s="130">
        <f t="shared" ref="T24" si="7">Q24/S24</f>
        <v>53.129240337349508</v>
      </c>
      <c r="U24" s="78"/>
    </row>
    <row r="25" spans="1:21" s="79" customFormat="1" ht="13.2" hidden="1">
      <c r="A25" s="129" t="s">
        <v>219</v>
      </c>
      <c r="B25" s="131">
        <f>SUM(F23:F25)</f>
        <v>745987.71986785147</v>
      </c>
      <c r="C25" s="131">
        <f>AVERAGE(F23:F25)</f>
        <v>248662.57328928381</v>
      </c>
      <c r="D25" s="90">
        <f>C25/C22-1</f>
        <v>-0.56921774049819873</v>
      </c>
      <c r="E25" s="286">
        <f>C25/C13-1</f>
        <v>-0.66896126709477044</v>
      </c>
      <c r="F25" s="78">
        <f>Q25/19</f>
        <v>380889.26315789472</v>
      </c>
      <c r="G25" s="90">
        <f t="shared" ref="G25" si="8">F25/F24-1</f>
        <v>0.99136533961644591</v>
      </c>
      <c r="H25" s="90">
        <f t="shared" ref="H25" si="9">F25/F13-1</f>
        <v>0.75589820554912079</v>
      </c>
      <c r="I25" s="130">
        <f t="shared" si="0"/>
        <v>49.677172678192044</v>
      </c>
      <c r="J25" s="130">
        <f t="shared" si="4"/>
        <v>-0.59575216449042057</v>
      </c>
      <c r="K25" s="78">
        <f>R23+R24+R25</f>
        <v>19863746233</v>
      </c>
      <c r="L25" s="90">
        <f>U25/U22-1</f>
        <v>-0.57892430398131145</v>
      </c>
      <c r="M25" s="90">
        <f>U25/U13-1</f>
        <v>-0.68661466121566628</v>
      </c>
      <c r="N25" s="88">
        <f>AVERAGE(T23:T25)</f>
        <v>64.44393203596546</v>
      </c>
      <c r="O25" s="91">
        <f>N25/N22-1</f>
        <v>-0.21147992270417815</v>
      </c>
      <c r="P25" s="129" t="s">
        <v>219</v>
      </c>
      <c r="Q25" s="116">
        <v>7236896</v>
      </c>
      <c r="R25" s="116">
        <v>9604056540</v>
      </c>
      <c r="S25" s="116">
        <v>145678.5</v>
      </c>
      <c r="T25" s="130">
        <f t="shared" ref="T25" si="10">Q25/S25</f>
        <v>49.677172678192044</v>
      </c>
      <c r="U25" s="85">
        <f>Q23+Q24+Q25</f>
        <v>15095234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1349257.2105263157</v>
      </c>
      <c r="G26" s="90">
        <f t="shared" ref="G26" si="11">F26/F25-1</f>
        <v>2.5423870952408327</v>
      </c>
      <c r="H26" s="90">
        <f t="shared" ref="H26" si="12">F26/F14-1</f>
        <v>6.0449496480092835</v>
      </c>
      <c r="I26" s="130">
        <f t="shared" si="0"/>
        <v>38.709385995403053</v>
      </c>
      <c r="J26" s="130">
        <f t="shared" si="4"/>
        <v>-0.4415723000509133</v>
      </c>
      <c r="L26" s="90"/>
      <c r="M26" s="90"/>
      <c r="P26" s="129" t="s">
        <v>312</v>
      </c>
      <c r="Q26" s="116">
        <v>25635887</v>
      </c>
      <c r="R26" s="116">
        <v>34570156451</v>
      </c>
      <c r="S26" s="116">
        <v>662265.4</v>
      </c>
      <c r="T26" s="130">
        <f t="shared" ref="T26" si="13">Q26/S26</f>
        <v>38.709385995403053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4464295.7272727275</v>
      </c>
      <c r="G27" s="90">
        <f t="shared" ref="G27" si="14">F27/F26-1</f>
        <v>2.308706221796883</v>
      </c>
      <c r="H27" s="90">
        <f t="shared" ref="H27" si="15">F27/F15-1</f>
        <v>11.577289410500384</v>
      </c>
      <c r="I27" s="130">
        <f t="shared" si="0"/>
        <v>58.073928544968041</v>
      </c>
      <c r="J27" s="130">
        <f t="shared" si="4"/>
        <v>-0.46350119162665848</v>
      </c>
      <c r="L27" s="90"/>
      <c r="M27" s="90"/>
      <c r="P27" s="129" t="s">
        <v>378</v>
      </c>
      <c r="Q27" s="116">
        <v>98214506</v>
      </c>
      <c r="R27" s="116">
        <v>130310191822</v>
      </c>
      <c r="S27" s="116">
        <v>1691197.9</v>
      </c>
      <c r="T27" s="130">
        <f t="shared" ref="T27" si="16">Q27/S27</f>
        <v>58.073928544968041</v>
      </c>
      <c r="U27" s="78"/>
    </row>
    <row r="28" spans="1:21" s="79" customFormat="1" ht="13.2" hidden="1">
      <c r="A28" s="123" t="s">
        <v>413</v>
      </c>
      <c r="B28" s="131">
        <f>SUM(F26:F28)</f>
        <v>7791689.937799043</v>
      </c>
      <c r="C28" s="131">
        <f>AVERAGE(F26:F28)</f>
        <v>2597229.9792663478</v>
      </c>
      <c r="D28" s="90">
        <f>C28/C25-1</f>
        <v>9.444796516461837</v>
      </c>
      <c r="E28" s="286">
        <f>C28/C16-1</f>
        <v>10.586168257911712</v>
      </c>
      <c r="F28" s="78">
        <f>Q28/19</f>
        <v>1978137</v>
      </c>
      <c r="G28" s="90">
        <f t="shared" ref="G28" si="17">F28/F27-1</f>
        <v>-0.55689830583681799</v>
      </c>
      <c r="H28" s="90">
        <f t="shared" ref="H28" si="18">F28/F16-1</f>
        <v>14.695870471510736</v>
      </c>
      <c r="I28" s="130">
        <f t="shared" si="0"/>
        <v>51.522133572113795</v>
      </c>
      <c r="J28" s="130">
        <f t="shared" si="4"/>
        <v>-0.40074025690533299</v>
      </c>
      <c r="K28" s="78">
        <f>R26+R27+R28</f>
        <v>213908761880</v>
      </c>
      <c r="L28" s="90">
        <f>U28/U25-1</f>
        <v>9.6944348130012425</v>
      </c>
      <c r="M28" s="90">
        <f>U28/U16-1</f>
        <v>10.201474166354542</v>
      </c>
      <c r="N28" s="88">
        <f>AVERAGE(T26:T28)</f>
        <v>49.435149370828299</v>
      </c>
      <c r="O28" s="91">
        <f>N28/N25-1</f>
        <v>-0.23289675522531617</v>
      </c>
      <c r="P28" s="129" t="s">
        <v>413</v>
      </c>
      <c r="Q28" s="116">
        <v>37584603</v>
      </c>
      <c r="R28" s="116">
        <v>49028413607</v>
      </c>
      <c r="S28" s="116">
        <v>729484.6</v>
      </c>
      <c r="T28" s="130">
        <f t="shared" ref="T28" si="19">Q28/S28</f>
        <v>51.522133572113795</v>
      </c>
      <c r="U28" s="85">
        <f>Q26+Q27+Q28</f>
        <v>161434996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1225548.8181818181</v>
      </c>
      <c r="G29" s="190">
        <f t="shared" ref="G29" si="20">F29/F28-1</f>
        <v>-0.38045301302092926</v>
      </c>
      <c r="H29" s="190">
        <f t="shared" ref="H29" si="21">F29/F17-1</f>
        <v>3.7361524001899724</v>
      </c>
      <c r="I29" s="130">
        <f t="shared" si="0"/>
        <v>38.140539367875697</v>
      </c>
      <c r="J29" s="130">
        <f t="shared" si="4"/>
        <v>-0.63988953008862604</v>
      </c>
      <c r="K29" s="136"/>
      <c r="L29" s="190"/>
      <c r="M29" s="190"/>
      <c r="N29" s="191"/>
      <c r="O29" s="192"/>
      <c r="P29" s="129" t="s">
        <v>427</v>
      </c>
      <c r="Q29" s="116">
        <v>26962074</v>
      </c>
      <c r="R29" s="116">
        <v>35314458624</v>
      </c>
      <c r="S29" s="116">
        <v>706913.81</v>
      </c>
      <c r="T29" s="130">
        <f t="shared" ref="T29" si="22">Q29/S29</f>
        <v>38.140539367875697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87"/>
      <c r="F30" s="136">
        <f>Q30/19</f>
        <v>731054.84210526315</v>
      </c>
      <c r="G30" s="190">
        <f>F30/F29-1</f>
        <v>-0.40348778338358582</v>
      </c>
      <c r="H30" s="190">
        <f t="shared" ref="H30:H41" si="23">F30/F18-1</f>
        <v>0.97448071705076056</v>
      </c>
      <c r="I30" s="130">
        <f t="shared" si="0"/>
        <v>42.068306730030415</v>
      </c>
      <c r="J30" s="130">
        <f t="shared" si="4"/>
        <v>-0.32592094301999108</v>
      </c>
      <c r="K30" s="136"/>
      <c r="L30" s="190"/>
      <c r="M30" s="190"/>
      <c r="N30" s="191"/>
      <c r="O30" s="192"/>
      <c r="P30" s="129" t="s">
        <v>490</v>
      </c>
      <c r="Q30" s="116">
        <v>13890042</v>
      </c>
      <c r="R30" s="116">
        <v>18514790714</v>
      </c>
      <c r="S30" s="116">
        <v>330178.3</v>
      </c>
      <c r="T30" s="130">
        <f t="shared" ref="T30:T43" si="24">Q30/S30</f>
        <v>42.068306730030415</v>
      </c>
      <c r="U30" s="85"/>
    </row>
    <row r="31" spans="1:21" s="79" customFormat="1" ht="13.2" hidden="1">
      <c r="A31" s="129" t="s">
        <v>505</v>
      </c>
      <c r="B31" s="188">
        <f>SUM(F29:F31)</f>
        <v>2611390.0102870814</v>
      </c>
      <c r="C31" s="188">
        <f>AVERAGE(F29:F31)</f>
        <v>870463.33676236041</v>
      </c>
      <c r="D31" s="190">
        <f>C31/C28-1</f>
        <v>-0.66484934190993572</v>
      </c>
      <c r="E31" s="287">
        <f>C31/C19-1</f>
        <v>1.5854798938312222</v>
      </c>
      <c r="F31" s="136">
        <f>Q31/20</f>
        <v>654786.35</v>
      </c>
      <c r="G31" s="190">
        <f t="shared" ref="G31" si="25">F31/F30-1</f>
        <v>-0.10432663558540722</v>
      </c>
      <c r="H31" s="190">
        <f t="shared" si="23"/>
        <v>0.71857658530172164</v>
      </c>
      <c r="I31" s="130">
        <f t="shared" si="0"/>
        <v>68.696985736265432</v>
      </c>
      <c r="J31" s="130">
        <f t="shared" si="4"/>
        <v>-0.26134892578230395</v>
      </c>
      <c r="K31" s="136">
        <f>R29+R30+R31</f>
        <v>71269645642</v>
      </c>
      <c r="L31" s="190">
        <f>U31/U28-1</f>
        <v>-0.66582312177218372</v>
      </c>
      <c r="M31" s="190">
        <f>U31/U19-1</f>
        <v>1.5735481245072735</v>
      </c>
      <c r="N31" s="191">
        <f>AVERAGE(T29:T31)</f>
        <v>49.635277278057174</v>
      </c>
      <c r="O31" s="192">
        <f>N31/N28-1</f>
        <v>4.0482917473891877E-3</v>
      </c>
      <c r="P31" s="129" t="s">
        <v>505</v>
      </c>
      <c r="Q31" s="116">
        <v>13095727</v>
      </c>
      <c r="R31" s="116">
        <v>17440396304</v>
      </c>
      <c r="S31" s="116">
        <v>190630.3</v>
      </c>
      <c r="T31" s="130">
        <f t="shared" si="24"/>
        <v>68.696985736265432</v>
      </c>
      <c r="U31" s="85">
        <f>Q29+Q30+Q31</f>
        <v>53947843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514792.95238095237</v>
      </c>
      <c r="G32" s="190">
        <f t="shared" ref="G32" si="26">F32/F31-1</f>
        <v>-0.21380011605166727</v>
      </c>
      <c r="H32" s="190">
        <f t="shared" si="23"/>
        <v>-3.4679666007129129E-3</v>
      </c>
      <c r="I32" s="130">
        <f t="shared" si="0"/>
        <v>48.882832385360508</v>
      </c>
      <c r="J32" s="130">
        <f t="shared" si="4"/>
        <v>-0.3175115291239734</v>
      </c>
      <c r="K32" s="136"/>
      <c r="L32" s="190"/>
      <c r="M32" s="190"/>
      <c r="N32" s="191"/>
      <c r="O32" s="192"/>
      <c r="P32" s="129" t="s">
        <v>562</v>
      </c>
      <c r="Q32" s="116">
        <v>10810652</v>
      </c>
      <c r="R32" s="116">
        <v>14690958600</v>
      </c>
      <c r="S32" s="116">
        <v>221154.37</v>
      </c>
      <c r="T32" s="130">
        <f t="shared" si="24"/>
        <v>48.882832385360508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652954.90476190473</v>
      </c>
      <c r="G33" s="190">
        <f t="shared" ref="G33" si="27">F33/F32-1</f>
        <v>0.26838353505412993</v>
      </c>
      <c r="H33" s="190">
        <f t="shared" si="23"/>
        <v>0.21807565044917254</v>
      </c>
      <c r="I33" s="130">
        <f t="shared" si="0"/>
        <v>83.105814469289427</v>
      </c>
      <c r="J33" s="130">
        <f t="shared" si="4"/>
        <v>-0.13845428998219134</v>
      </c>
      <c r="K33" s="136"/>
      <c r="L33" s="190"/>
      <c r="M33" s="190"/>
      <c r="N33" s="191"/>
      <c r="O33" s="192"/>
      <c r="P33" s="129" t="s">
        <v>607</v>
      </c>
      <c r="Q33" s="116">
        <v>13712053</v>
      </c>
      <c r="R33" s="116">
        <v>18783483945</v>
      </c>
      <c r="S33" s="116">
        <v>164995.10999999999</v>
      </c>
      <c r="T33" s="130">
        <f t="shared" si="24"/>
        <v>83.105814469289427</v>
      </c>
      <c r="U33" s="85"/>
    </row>
    <row r="34" spans="1:21" s="79" customFormat="1" ht="13.2" hidden="1">
      <c r="A34" s="129" t="s">
        <v>652</v>
      </c>
      <c r="B34" s="188">
        <f>SUM(F32:F34)</f>
        <v>3598275.3308270676</v>
      </c>
      <c r="C34" s="188">
        <f>AVERAGE(F32:F34)</f>
        <v>1199425.1102756893</v>
      </c>
      <c r="D34" s="190">
        <f>C34/C31-1</f>
        <v>0.37791571410334601</v>
      </c>
      <c r="E34" s="287">
        <f>C34/C22-1</f>
        <v>1.0778802868200894</v>
      </c>
      <c r="F34" s="136">
        <f>Q34/19</f>
        <v>2430527.4736842103</v>
      </c>
      <c r="G34" s="190">
        <f t="shared" ref="G34" si="28">F34/F33-1</f>
        <v>2.7223512006093049</v>
      </c>
      <c r="H34" s="190">
        <f t="shared" si="23"/>
        <v>2.5792217760313059</v>
      </c>
      <c r="I34" s="130">
        <f t="shared" si="0"/>
        <v>66.028312263381977</v>
      </c>
      <c r="J34" s="130">
        <f t="shared" si="4"/>
        <v>-0.14357274100784212</v>
      </c>
      <c r="K34" s="136">
        <f>R32+R33+R34</f>
        <v>97048508294</v>
      </c>
      <c r="L34" s="190">
        <f>U34/U31-1</f>
        <v>0.31057560540464979</v>
      </c>
      <c r="M34" s="190">
        <f>U34/U22-1</f>
        <v>0.97222513953373091</v>
      </c>
      <c r="N34" s="191">
        <f>AVERAGE(T32:T34)</f>
        <v>66.005653039343983</v>
      </c>
      <c r="O34" s="192">
        <f>N34/N31-1</f>
        <v>0.32981332348724179</v>
      </c>
      <c r="P34" s="129" t="s">
        <v>652</v>
      </c>
      <c r="Q34" s="116">
        <v>46180022</v>
      </c>
      <c r="R34" s="116">
        <v>63574065749</v>
      </c>
      <c r="S34" s="116">
        <v>699397.28</v>
      </c>
      <c r="T34" s="130">
        <f t="shared" si="24"/>
        <v>66.028312263381977</v>
      </c>
      <c r="U34" s="85">
        <f>Q32+Q33+Q34</f>
        <v>70702727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2556622.086956522</v>
      </c>
      <c r="G35" s="190">
        <f t="shared" ref="G35" si="29">F35/F34-1</f>
        <v>5.1879526003125731E-2</v>
      </c>
      <c r="H35" s="190">
        <f t="shared" si="23"/>
        <v>13.707765069993076</v>
      </c>
      <c r="I35" s="130">
        <f t="shared" si="0"/>
        <v>57.629751183122735</v>
      </c>
      <c r="J35" s="130">
        <f t="shared" si="4"/>
        <v>-0.36338572437381078</v>
      </c>
      <c r="K35" s="136"/>
      <c r="L35" s="190"/>
      <c r="M35" s="190"/>
      <c r="N35" s="191"/>
      <c r="O35" s="192"/>
      <c r="P35" s="129" t="s">
        <v>660</v>
      </c>
      <c r="Q35" s="116">
        <v>58802308</v>
      </c>
      <c r="R35" s="116">
        <v>81450429919</v>
      </c>
      <c r="S35" s="116">
        <v>1020346.38</v>
      </c>
      <c r="T35" s="130">
        <f t="shared" si="24"/>
        <v>57.629751183122735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1132498.0952380951</v>
      </c>
      <c r="G36" s="190">
        <f t="shared" ref="G36" si="30">F36/F35-1</f>
        <v>-0.55703343837326613</v>
      </c>
      <c r="H36" s="190">
        <f t="shared" si="23"/>
        <v>4.9209268209377282</v>
      </c>
      <c r="I36" s="130">
        <f t="shared" si="0"/>
        <v>44.184992531130575</v>
      </c>
      <c r="J36" s="130">
        <f t="shared" si="4"/>
        <v>-0.16834887435669177</v>
      </c>
      <c r="K36" s="136"/>
      <c r="L36" s="190"/>
      <c r="M36" s="190"/>
      <c r="N36" s="191"/>
      <c r="O36" s="192"/>
      <c r="P36" s="129" t="s">
        <v>682</v>
      </c>
      <c r="Q36" s="116">
        <v>23782460</v>
      </c>
      <c r="R36" s="116">
        <v>32411646971</v>
      </c>
      <c r="S36" s="116">
        <v>538247.46</v>
      </c>
      <c r="T36" s="130">
        <f t="shared" si="24"/>
        <v>44.184992531130575</v>
      </c>
      <c r="U36" s="85"/>
    </row>
    <row r="37" spans="1:21" s="79" customFormat="1" ht="13.2" hidden="1">
      <c r="A37" s="129" t="s">
        <v>702</v>
      </c>
      <c r="B37" s="188">
        <f>SUM(F35:F37)</f>
        <v>4655957.4044168396</v>
      </c>
      <c r="C37" s="188">
        <f>AVERAGE(F35:F37)</f>
        <v>1551985.8014722799</v>
      </c>
      <c r="D37" s="190">
        <f>C37/C34-1</f>
        <v>0.29394139590387103</v>
      </c>
      <c r="E37" s="287">
        <f>C37/C25-1</f>
        <v>5.2413325051002486</v>
      </c>
      <c r="F37" s="136">
        <f>Q37/18</f>
        <v>966837.22222222225</v>
      </c>
      <c r="G37" s="190">
        <f t="shared" ref="G37" si="31">F37/F36-1</f>
        <v>-0.14627916259854246</v>
      </c>
      <c r="H37" s="190">
        <f t="shared" si="23"/>
        <v>1.5383682758771471</v>
      </c>
      <c r="I37" s="130">
        <f t="shared" si="0"/>
        <v>82.769954860283761</v>
      </c>
      <c r="J37" s="130">
        <f t="shared" si="4"/>
        <v>0.66615671540862942</v>
      </c>
      <c r="K37" s="136">
        <f>R35+R36+R37</f>
        <v>137110033861</v>
      </c>
      <c r="L37" s="190">
        <f>U37/U34-1</f>
        <v>0.41420058663366688</v>
      </c>
      <c r="M37" s="190">
        <f>U37/U25-1</f>
        <v>5.6238017906843973</v>
      </c>
      <c r="N37" s="191">
        <f>AVERAGE(T35:T37)</f>
        <v>61.528232858179024</v>
      </c>
      <c r="O37" s="192">
        <f>N37/N34-1</f>
        <v>-6.7833889598760688E-2</v>
      </c>
      <c r="P37" s="129" t="s">
        <v>702</v>
      </c>
      <c r="Q37" s="116">
        <v>17403070</v>
      </c>
      <c r="R37" s="116">
        <v>23247956971</v>
      </c>
      <c r="S37" s="116">
        <v>210258.3</v>
      </c>
      <c r="T37" s="130">
        <f t="shared" si="24"/>
        <v>82.769954860283761</v>
      </c>
      <c r="U37" s="85">
        <f>Q35+Q36+Q37</f>
        <v>99987838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743608.6</v>
      </c>
      <c r="G38" s="190">
        <f t="shared" ref="G38" si="32">F38/F37-1</f>
        <v>-0.23088542423836722</v>
      </c>
      <c r="H38" s="190">
        <f t="shared" si="23"/>
        <v>-0.44887557820800195</v>
      </c>
      <c r="I38" s="130">
        <f t="shared" si="0"/>
        <v>64.499706302474806</v>
      </c>
      <c r="J38" s="130">
        <f t="shared" si="4"/>
        <v>0.6662549571345433</v>
      </c>
      <c r="K38" s="136"/>
      <c r="L38" s="190"/>
      <c r="M38" s="190"/>
      <c r="N38" s="191"/>
      <c r="O38" s="192"/>
      <c r="P38" s="129" t="s">
        <v>727</v>
      </c>
      <c r="Q38" s="116">
        <v>14872172</v>
      </c>
      <c r="R38" s="116">
        <v>20175586848</v>
      </c>
      <c r="S38" s="116">
        <v>230577.36</v>
      </c>
      <c r="T38" s="130">
        <f t="shared" si="24"/>
        <v>64.499706302474806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779175.09523809527</v>
      </c>
      <c r="G39" s="190">
        <f t="shared" ref="G39" si="33">F39/F38-1</f>
        <v>4.7829591048429654E-2</v>
      </c>
      <c r="H39" s="190">
        <f t="shared" si="23"/>
        <v>-0.82546517013242326</v>
      </c>
      <c r="I39" s="130">
        <f t="shared" si="0"/>
        <v>103.22678551702703</v>
      </c>
      <c r="J39" s="130">
        <f t="shared" si="4"/>
        <v>0.77750650082327466</v>
      </c>
      <c r="K39" s="136"/>
      <c r="L39" s="190"/>
      <c r="M39" s="190"/>
      <c r="N39" s="191"/>
      <c r="O39" s="192"/>
      <c r="P39" s="129" t="s">
        <v>762</v>
      </c>
      <c r="Q39" s="116">
        <v>16362677</v>
      </c>
      <c r="R39" s="116">
        <v>22780895270</v>
      </c>
      <c r="S39" s="116">
        <v>158511.93</v>
      </c>
      <c r="T39" s="130">
        <f t="shared" si="24"/>
        <v>103.22678551702703</v>
      </c>
      <c r="U39" s="85"/>
    </row>
    <row r="40" spans="1:21" s="79" customFormat="1" ht="13.2" hidden="1">
      <c r="A40" s="129" t="s">
        <v>778</v>
      </c>
      <c r="B40" s="188">
        <f>SUM(F38:F40)</f>
        <v>2506037.7904761904</v>
      </c>
      <c r="C40" s="188">
        <f>AVERAGE(F38:F40)</f>
        <v>835345.93015873013</v>
      </c>
      <c r="D40" s="190">
        <f>C40/C37-1</f>
        <v>-0.46175671880098046</v>
      </c>
      <c r="E40" s="287">
        <f>C40/C28-1</f>
        <v>-0.6783704420373684</v>
      </c>
      <c r="F40" s="136">
        <f>Q40/21</f>
        <v>983254.09523809527</v>
      </c>
      <c r="G40" s="190">
        <f t="shared" ref="G40" si="34">F40/F39-1</f>
        <v>0.26191673892969947</v>
      </c>
      <c r="H40" s="190">
        <f t="shared" si="23"/>
        <v>-0.50293933370737454</v>
      </c>
      <c r="I40" s="130">
        <f t="shared" si="0"/>
        <v>84.292712048566955</v>
      </c>
      <c r="J40" s="130">
        <f t="shared" si="4"/>
        <v>0.63604855242621672</v>
      </c>
      <c r="K40" s="136">
        <f>R38+R39+R40</f>
        <v>72445164988</v>
      </c>
      <c r="L40" s="190">
        <f>U40/U37-1</f>
        <v>-0.48110504199520743</v>
      </c>
      <c r="M40" s="190">
        <f>U40/U28-1</f>
        <v>-0.67861252959054807</v>
      </c>
      <c r="N40" s="191">
        <f>AVERAGE(T38:T40)</f>
        <v>84.006401289356262</v>
      </c>
      <c r="O40" s="192">
        <f>N40/N37-1</f>
        <v>0.365330960877567</v>
      </c>
      <c r="P40" s="129" t="s">
        <v>778</v>
      </c>
      <c r="Q40" s="116">
        <v>20648336</v>
      </c>
      <c r="R40" s="116">
        <v>29488682870</v>
      </c>
      <c r="S40" s="116">
        <v>244959.92</v>
      </c>
      <c r="T40" s="130">
        <f t="shared" si="24"/>
        <v>84.292712048566955</v>
      </c>
      <c r="U40" s="85">
        <f>Q38+Q39+Q40</f>
        <v>51883185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1546244.5</v>
      </c>
      <c r="G41" s="190">
        <f t="shared" ref="G41" si="35">F41/F40-1</f>
        <v>0.57257875404584646</v>
      </c>
      <c r="H41" s="190">
        <f t="shared" si="23"/>
        <v>0.26167515896588678</v>
      </c>
      <c r="I41" s="130">
        <f t="shared" si="0"/>
        <v>55.984665909902958</v>
      </c>
      <c r="J41" s="130">
        <f t="shared" si="4"/>
        <v>0.46785197162305159</v>
      </c>
      <c r="K41" s="193"/>
      <c r="L41" s="190"/>
      <c r="M41" s="190"/>
      <c r="N41" s="193"/>
      <c r="O41" s="193"/>
      <c r="P41" s="129" t="s">
        <v>806</v>
      </c>
      <c r="Q41" s="116">
        <v>27832401</v>
      </c>
      <c r="R41" s="116">
        <v>40713178348</v>
      </c>
      <c r="S41" s="116">
        <v>497143.29</v>
      </c>
      <c r="T41" s="130">
        <f t="shared" si="24"/>
        <v>55.984665909902958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2175339.5</v>
      </c>
      <c r="G42" s="190">
        <f t="shared" ref="G42" si="36">F42/F41-1</f>
        <v>0.40685350861393532</v>
      </c>
      <c r="H42" s="190">
        <f t="shared" ref="H42" si="37">F42/F30-1</f>
        <v>1.9756173883419503</v>
      </c>
      <c r="I42" s="130">
        <f t="shared" si="0"/>
        <v>39.358202816194463</v>
      </c>
      <c r="J42" s="130">
        <f t="shared" si="4"/>
        <v>-6.4421511691159838E-2</v>
      </c>
      <c r="K42" s="193"/>
      <c r="L42" s="190"/>
      <c r="M42" s="190"/>
      <c r="N42" s="193"/>
      <c r="O42" s="193"/>
      <c r="P42" s="129" t="s">
        <v>826</v>
      </c>
      <c r="Q42" s="116">
        <v>43506790</v>
      </c>
      <c r="R42" s="116">
        <v>63112885497</v>
      </c>
      <c r="S42" s="116">
        <v>1105405.9099999999</v>
      </c>
      <c r="T42" s="130">
        <f t="shared" si="24"/>
        <v>39.358202816194463</v>
      </c>
      <c r="U42" s="78"/>
    </row>
    <row r="43" spans="1:21" s="79" customFormat="1" ht="13.2">
      <c r="A43" s="129" t="s">
        <v>835</v>
      </c>
      <c r="B43" s="188">
        <f>SUM(F41:F43)</f>
        <v>6632137.3499999996</v>
      </c>
      <c r="C43" s="188">
        <f>AVERAGE(F41:F43)</f>
        <v>2210712.4499999997</v>
      </c>
      <c r="D43" s="190">
        <f>C43/C40-1</f>
        <v>1.6464634233387914</v>
      </c>
      <c r="E43" s="287">
        <f>C43/C31-1</f>
        <v>1.5396962245677352</v>
      </c>
      <c r="F43" s="136">
        <f>Q43/20</f>
        <v>2910553.35</v>
      </c>
      <c r="G43" s="190">
        <f t="shared" ref="G43" si="38">F43/F42-1</f>
        <v>0.33797660089379167</v>
      </c>
      <c r="H43" s="190">
        <f t="shared" ref="H43" si="39">F43/F31-1</f>
        <v>3.4450427990748436</v>
      </c>
      <c r="I43" s="130">
        <f t="shared" si="0"/>
        <v>47.334340772221097</v>
      </c>
      <c r="J43" s="130">
        <f t="shared" si="4"/>
        <v>-0.31096917477657104</v>
      </c>
      <c r="K43" s="136">
        <f>R41+R42+R43</f>
        <v>188255282064</v>
      </c>
      <c r="L43" s="190">
        <f>U43/U40-1</f>
        <v>1.4969603928517494</v>
      </c>
      <c r="M43" s="190">
        <f>K43/K31-1</f>
        <v>1.6414510745519837</v>
      </c>
      <c r="N43" s="191">
        <f>AVERAGE(T41:T43)</f>
        <v>47.559069832772842</v>
      </c>
      <c r="O43" s="192">
        <f>N43/N40-1</f>
        <v>-0.43386374011002127</v>
      </c>
      <c r="P43" s="129" t="s">
        <v>835</v>
      </c>
      <c r="Q43" s="116">
        <v>58211067</v>
      </c>
      <c r="R43" s="116">
        <v>84429218219</v>
      </c>
      <c r="S43" s="116">
        <v>1229785.1000000001</v>
      </c>
      <c r="T43" s="130">
        <f t="shared" si="24"/>
        <v>47.334340772221097</v>
      </c>
      <c r="U43" s="85">
        <f>Q41+Q42+Q43</f>
        <v>129550258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2670817.1818181816</v>
      </c>
      <c r="G44" s="190">
        <f t="shared" ref="G44" si="40">F44/F43-1</f>
        <v>-8.2367900310715281E-2</v>
      </c>
      <c r="H44" s="190">
        <f t="shared" ref="H44" si="41">F44/F32-1</f>
        <v>4.1881385894376972</v>
      </c>
      <c r="I44" s="130">
        <f t="shared" si="0"/>
        <v>38.411853170933725</v>
      </c>
      <c r="J44" s="130">
        <f t="shared" si="4"/>
        <v>-0.2142056567401901</v>
      </c>
      <c r="K44" s="136"/>
      <c r="L44" s="190"/>
      <c r="M44" s="190"/>
      <c r="N44" s="191"/>
      <c r="O44" s="192"/>
      <c r="P44" s="129" t="s">
        <v>843</v>
      </c>
      <c r="Q44" s="116">
        <v>58757978</v>
      </c>
      <c r="R44" s="116">
        <v>85087003216</v>
      </c>
      <c r="S44" s="116">
        <v>1529683.5</v>
      </c>
      <c r="T44" s="130">
        <f t="shared" ref="T44" si="42">Q44/S44</f>
        <v>38.411853170933725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1564833.45</v>
      </c>
      <c r="G45" s="190">
        <f t="shared" ref="G45" si="43">F45/F44-1</f>
        <v>-0.41409937727945645</v>
      </c>
      <c r="H45" s="190">
        <f t="shared" ref="H45" si="44">F45/F33-1</f>
        <v>1.3965413822423236</v>
      </c>
      <c r="I45" s="130">
        <f t="shared" si="0"/>
        <v>42.584670124039079</v>
      </c>
      <c r="J45" s="130">
        <f t="shared" si="4"/>
        <v>-0.48758494942883157</v>
      </c>
      <c r="K45" s="136"/>
      <c r="L45" s="190"/>
      <c r="M45" s="190"/>
      <c r="N45" s="191"/>
      <c r="O45" s="192"/>
      <c r="P45" s="129" t="s">
        <v>849</v>
      </c>
      <c r="Q45" s="116">
        <v>31296669</v>
      </c>
      <c r="R45" s="116">
        <v>44033164493</v>
      </c>
      <c r="S45" s="116">
        <v>734928.06</v>
      </c>
      <c r="T45" s="130">
        <f t="shared" ref="T45" si="45">Q45/S45</f>
        <v>42.584670124039079</v>
      </c>
      <c r="U45" s="85"/>
    </row>
    <row r="46" spans="1:21" s="79" customFormat="1" ht="13.2">
      <c r="A46" s="129" t="s">
        <v>910</v>
      </c>
      <c r="B46" s="188">
        <f>SUM(F44:F46)</f>
        <v>5113118.0528708138</v>
      </c>
      <c r="C46" s="188">
        <f>AVERAGE(F44:F46)</f>
        <v>1704372.6842902713</v>
      </c>
      <c r="D46" s="190">
        <f>C46/C43-1</f>
        <v>-0.22903917952320241</v>
      </c>
      <c r="E46" s="287">
        <f>C46/C34-1</f>
        <v>0.42099133133749311</v>
      </c>
      <c r="F46" s="136">
        <f>Q46/19</f>
        <v>877467.42105263157</v>
      </c>
      <c r="G46" s="190">
        <f t="shared" ref="G46" si="46">F46/F45-1</f>
        <v>-0.43925826671673485</v>
      </c>
      <c r="H46" s="190">
        <f t="shared" ref="H46" si="47">F46/F34-1</f>
        <v>-0.63898066137777065</v>
      </c>
      <c r="I46" s="130">
        <f t="shared" si="0"/>
        <v>37.407273747315202</v>
      </c>
      <c r="J46" s="130">
        <f t="shared" si="4"/>
        <v>-0.43346615315411374</v>
      </c>
      <c r="K46" s="136">
        <f>R44+R45+R46</f>
        <v>151955110008</v>
      </c>
      <c r="L46" s="190">
        <f>U46/U43-1</f>
        <v>-0.1761766464409511</v>
      </c>
      <c r="M46" s="190">
        <f>K46/K34-1</f>
        <v>0.56576450971987358</v>
      </c>
      <c r="N46" s="191">
        <f>AVERAGE(T44:T46)</f>
        <v>39.467932347429333</v>
      </c>
      <c r="O46" s="192">
        <f>N46/N43-1</f>
        <v>-0.17012816932277186</v>
      </c>
      <c r="P46" s="129" t="s">
        <v>888</v>
      </c>
      <c r="Q46" s="116">
        <v>16671881</v>
      </c>
      <c r="R46" s="116">
        <v>22834942299</v>
      </c>
      <c r="S46" s="116">
        <v>445685.54</v>
      </c>
      <c r="T46" s="130">
        <f t="shared" ref="T46" si="48">Q46/S46</f>
        <v>37.407273747315202</v>
      </c>
      <c r="U46" s="85">
        <f t="shared" ref="U46:U51" si="49">Q44+Q45+Q46</f>
        <v>106726528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314993.17391304346</v>
      </c>
      <c r="G47" s="190">
        <f t="shared" ref="G47" si="50">F47/F46-1</f>
        <v>-0.64102009219308687</v>
      </c>
      <c r="H47" s="190">
        <f t="shared" ref="H47" si="51">F47/F35-1</f>
        <v>-0.87679322042937502</v>
      </c>
      <c r="I47" s="130">
        <f t="shared" si="0"/>
        <v>73.686428313451458</v>
      </c>
      <c r="J47" s="130">
        <f t="shared" si="4"/>
        <v>0.27861784582944771</v>
      </c>
      <c r="K47" s="136"/>
      <c r="L47" s="190"/>
      <c r="M47" s="190"/>
      <c r="N47" s="191"/>
      <c r="O47" s="192"/>
      <c r="P47" s="129" t="s">
        <v>1029</v>
      </c>
      <c r="Q47" s="116">
        <v>7244843</v>
      </c>
      <c r="R47" s="116">
        <v>9933945119</v>
      </c>
      <c r="S47" s="116">
        <v>98319.91</v>
      </c>
      <c r="T47" s="130">
        <f t="shared" ref="T47" si="52">Q47/S47</f>
        <v>73.686428313451458</v>
      </c>
      <c r="U47" s="85">
        <f t="shared" si="49"/>
        <v>55213393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1135203.6499999999</v>
      </c>
      <c r="G48" s="190">
        <f t="shared" ref="G48" si="53">F48/F47-1</f>
        <v>2.6038992080297669</v>
      </c>
      <c r="H48" s="190">
        <f t="shared" ref="H48" si="54">F48/F36-1</f>
        <v>2.3890148453944438E-3</v>
      </c>
      <c r="I48" s="130">
        <f t="shared" si="0"/>
        <v>268.02977264764019</v>
      </c>
      <c r="J48" s="130">
        <f t="shared" si="4"/>
        <v>5.0660816556390627</v>
      </c>
      <c r="K48" s="136"/>
      <c r="L48" s="190"/>
      <c r="M48" s="190"/>
      <c r="N48" s="191"/>
      <c r="O48" s="192"/>
      <c r="P48" s="129" t="s">
        <v>1120</v>
      </c>
      <c r="Q48" s="116">
        <v>22704073</v>
      </c>
      <c r="R48" s="116">
        <v>31522223923</v>
      </c>
      <c r="S48" s="116">
        <v>84707.28</v>
      </c>
      <c r="T48" s="130">
        <f t="shared" ref="T48" si="55">Q48/S48</f>
        <v>268.02977264764019</v>
      </c>
      <c r="U48" s="85">
        <f t="shared" si="49"/>
        <v>46620797</v>
      </c>
    </row>
    <row r="49" spans="1:26" ht="13.2">
      <c r="A49" s="129" t="s">
        <v>1207</v>
      </c>
      <c r="B49" s="188">
        <f>SUM(F47:F49)</f>
        <v>1753681.1875494071</v>
      </c>
      <c r="C49" s="188">
        <f>AVERAGE(F47:F49)</f>
        <v>584560.39584980241</v>
      </c>
      <c r="D49" s="190">
        <f>C49/C46-1</f>
        <v>-0.65702313746407937</v>
      </c>
      <c r="E49" s="287">
        <f>C49/C37-1</f>
        <v>-0.62334681458086572</v>
      </c>
      <c r="F49" s="136">
        <f>Q49/22</f>
        <v>303484.36363636365</v>
      </c>
      <c r="G49" s="190">
        <f t="shared" ref="G49" si="56">F49/F48-1</f>
        <v>-0.73266086341744607</v>
      </c>
      <c r="H49" s="190">
        <f t="shared" ref="H49" si="57">F49/F37-1</f>
        <v>-0.68610604074714709</v>
      </c>
      <c r="I49" s="130">
        <f t="shared" si="0"/>
        <v>105.82624328070966</v>
      </c>
      <c r="J49" s="130">
        <f t="shared" si="4"/>
        <v>0.27855866853310562</v>
      </c>
      <c r="K49" s="136">
        <f>R47+R48+R49</f>
        <v>50729114394</v>
      </c>
      <c r="L49" s="190">
        <f>U49/U46-1</f>
        <v>-0.65682785071018146</v>
      </c>
      <c r="M49" s="190">
        <f>K49/K37-1</f>
        <v>-0.63001165585424346</v>
      </c>
      <c r="N49" s="191">
        <f>AVERAGE(T47:T49)</f>
        <v>149.18081474726711</v>
      </c>
      <c r="O49" s="192">
        <f>N49/N46-1</f>
        <v>2.7797980759177952</v>
      </c>
      <c r="P49" s="129" t="s">
        <v>1158</v>
      </c>
      <c r="Q49" s="116">
        <v>6676656</v>
      </c>
      <c r="R49" s="116">
        <v>9272945352</v>
      </c>
      <c r="S49" s="116">
        <v>63090.74</v>
      </c>
      <c r="T49" s="130">
        <f t="shared" ref="T49" si="58">Q49/S49</f>
        <v>105.82624328070966</v>
      </c>
      <c r="U49" s="85">
        <f t="shared" si="49"/>
        <v>36625572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741567.5555555555</v>
      </c>
      <c r="G50" s="190">
        <f t="shared" ref="G50" si="59">F50/F49-1</f>
        <v>1.4435115755884711</v>
      </c>
      <c r="H50" s="190">
        <f t="shared" ref="H50" si="60">F50/F38-1</f>
        <v>-2.7447832696454455E-3</v>
      </c>
      <c r="I50" s="130">
        <f t="shared" ref="I50" si="61">T50</f>
        <v>99.178233806004926</v>
      </c>
      <c r="J50" s="130">
        <f t="shared" ref="J50" si="62">I50/I38-1</f>
        <v>0.5376540373827956</v>
      </c>
      <c r="K50" s="136"/>
      <c r="L50" s="190"/>
      <c r="M50" s="190"/>
      <c r="N50" s="191"/>
      <c r="O50" s="192"/>
      <c r="P50" s="129" t="s">
        <v>1293</v>
      </c>
      <c r="Q50" s="116">
        <v>13348216</v>
      </c>
      <c r="R50" s="116">
        <v>18882216015</v>
      </c>
      <c r="S50" s="116">
        <v>134588.16</v>
      </c>
      <c r="T50" s="130">
        <f t="shared" ref="T50" si="63">Q50/S50</f>
        <v>99.178233806004926</v>
      </c>
      <c r="U50" s="85">
        <f t="shared" si="49"/>
        <v>42728945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875436.7</v>
      </c>
      <c r="G51" s="190">
        <f t="shared" ref="G51:G52" si="64">F51/F50-1</f>
        <v>0.18052184651492009</v>
      </c>
      <c r="H51" s="190">
        <f t="shared" ref="H51:H52" si="65">F51/F39-1</f>
        <v>0.12354296916085294</v>
      </c>
      <c r="I51" s="130">
        <f t="shared" ref="I51:I52" si="66">T51</f>
        <v>77.708190902398016</v>
      </c>
      <c r="J51" s="130">
        <f t="shared" ref="J51:J52" si="67">I51/I39-1</f>
        <v>-0.24720904062657045</v>
      </c>
      <c r="K51" s="136"/>
      <c r="L51" s="190"/>
      <c r="M51" s="190"/>
      <c r="N51" s="191"/>
      <c r="O51" s="192"/>
      <c r="P51" s="129" t="s">
        <v>1402</v>
      </c>
      <c r="Q51" s="116">
        <v>17508734</v>
      </c>
      <c r="R51" s="116">
        <v>25316379945</v>
      </c>
      <c r="S51" s="116">
        <v>225313.88</v>
      </c>
      <c r="T51" s="130">
        <f t="shared" ref="T51:T52" si="68">Q51/S51</f>
        <v>77.708190902398016</v>
      </c>
      <c r="U51" s="85">
        <f t="shared" si="49"/>
        <v>37533606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2328513.8010101011</v>
      </c>
      <c r="C52" s="188">
        <f>AVERAGE(F50:F52)</f>
        <v>776171.26700336707</v>
      </c>
      <c r="D52" s="190">
        <f>C52/C49-1</f>
        <v>0.32778626898767427</v>
      </c>
      <c r="E52" s="287">
        <f>C52/C40-1</f>
        <v>-7.0838512547872101E-2</v>
      </c>
      <c r="F52" s="136">
        <f>Q52/22</f>
        <v>711509.54545454541</v>
      </c>
      <c r="G52" s="190">
        <f t="shared" si="64"/>
        <v>-0.18725186474984945</v>
      </c>
      <c r="H52" s="190">
        <f t="shared" si="65"/>
        <v>-0.27637266002715888</v>
      </c>
      <c r="I52" s="130">
        <f t="shared" si="66"/>
        <v>87.713436153118394</v>
      </c>
      <c r="J52" s="130">
        <f t="shared" si="67"/>
        <v>4.0581493007135983E-2</v>
      </c>
      <c r="K52" s="136">
        <f>R50+R51+R52</f>
        <v>67227694975</v>
      </c>
      <c r="L52" s="190">
        <f>U52/U49-1</f>
        <v>0.2698821468235364</v>
      </c>
      <c r="M52" s="190">
        <f>K52/K40-1</f>
        <v>-7.2019575272749159E-2</v>
      </c>
      <c r="N52" s="191">
        <f>AVERAGE(T50:T52)</f>
        <v>88.199953620507117</v>
      </c>
      <c r="O52" s="192">
        <f>N52/N49-1</f>
        <v>-0.40877147125164848</v>
      </c>
      <c r="P52" s="129" t="s">
        <v>1403</v>
      </c>
      <c r="Q52" s="116">
        <v>15653210</v>
      </c>
      <c r="R52" s="116">
        <v>23029099015</v>
      </c>
      <c r="S52" s="116">
        <v>178458.52</v>
      </c>
      <c r="T52" s="130">
        <f t="shared" si="68"/>
        <v>87.713436153118394</v>
      </c>
      <c r="U52" s="85">
        <f t="shared" ref="U52" si="69">Q50+Q51+Q52</f>
        <v>46510160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569719.28571428568</v>
      </c>
      <c r="G53" s="190">
        <f t="shared" ref="G53" si="70">F53/F52-1</f>
        <v>-0.19928089601338728</v>
      </c>
      <c r="H53" s="190">
        <f t="shared" ref="H53" si="71">F53/F41-1</f>
        <v>-0.63154644319557107</v>
      </c>
      <c r="I53" s="130">
        <f t="shared" ref="I53" si="72">T53</f>
        <v>68.432118610970591</v>
      </c>
      <c r="J53" s="130">
        <f t="shared" ref="J53" si="73">I53/I41-1</f>
        <v>0.22233682203443927</v>
      </c>
      <c r="K53" s="136"/>
      <c r="L53" s="190"/>
      <c r="M53" s="190"/>
      <c r="N53" s="191"/>
      <c r="O53" s="192"/>
      <c r="P53" s="129" t="s">
        <v>1414</v>
      </c>
      <c r="Q53" s="116">
        <v>11964105</v>
      </c>
      <c r="R53" s="116">
        <v>17480623226</v>
      </c>
      <c r="S53" s="116">
        <v>174831.72</v>
      </c>
      <c r="T53" s="130">
        <f t="shared" ref="T53" si="74">Q53/S53</f>
        <v>68.432118610970591</v>
      </c>
      <c r="U53" s="85">
        <f t="shared" ref="U53" si="75">Q51+Q52+Q53</f>
        <v>45126049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983574.70588235289</v>
      </c>
      <c r="G54" s="190">
        <f t="shared" ref="G54" si="76">F54/F53-1</f>
        <v>0.72641988878645014</v>
      </c>
      <c r="H54" s="190">
        <f t="shared" ref="H54" si="77">F54/F42-1</f>
        <v>-0.54785232103662307</v>
      </c>
      <c r="I54" s="130">
        <f t="shared" ref="I54" si="78">T54</f>
        <v>46.759495277983859</v>
      </c>
      <c r="J54" s="130">
        <f t="shared" ref="J54" si="79">I54/I42-1</f>
        <v>0.18804955338926277</v>
      </c>
      <c r="K54" s="136"/>
      <c r="L54" s="190"/>
      <c r="M54" s="190"/>
      <c r="N54" s="191"/>
      <c r="O54" s="192"/>
      <c r="P54" s="129" t="s">
        <v>1417</v>
      </c>
      <c r="Q54" s="116">
        <v>16720770</v>
      </c>
      <c r="R54" s="116">
        <v>24216678237</v>
      </c>
      <c r="S54" s="116">
        <v>357590.9</v>
      </c>
      <c r="T54" s="130">
        <f t="shared" ref="T54" si="80">Q54/S54</f>
        <v>46.759495277983859</v>
      </c>
      <c r="U54" s="85">
        <f t="shared" ref="U54" si="81">Q52+Q53+Q54</f>
        <v>44338085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2746507.1344537819</v>
      </c>
      <c r="C55" s="188">
        <f>AVERAGE(F53:F55)</f>
        <v>915502.37815126067</v>
      </c>
      <c r="D55" s="190">
        <f>C55/C52-1</f>
        <v>0.17951078205435445</v>
      </c>
      <c r="E55" s="287">
        <f>C55/C43-1</f>
        <v>-0.58587903272935349</v>
      </c>
      <c r="F55" s="136">
        <f>Q55/21</f>
        <v>1193213.142857143</v>
      </c>
      <c r="G55" s="190">
        <f t="shared" ref="G55" si="82">F55/F54-1</f>
        <v>0.21313931287682508</v>
      </c>
      <c r="H55" s="190">
        <f t="shared" ref="H55" si="83">F55/F43-1</f>
        <v>-0.59003907526479704</v>
      </c>
      <c r="I55" s="130">
        <f>T55</f>
        <v>60.933393238562068</v>
      </c>
      <c r="J55" s="130">
        <f t="shared" ref="J55" si="84">I55/I43-1</f>
        <v>0.28729781052156933</v>
      </c>
      <c r="K55" s="136">
        <f>R53+R54+R55</f>
        <v>78714218111</v>
      </c>
      <c r="L55" s="190">
        <f>U55/U52-1</f>
        <v>0.15549701398576143</v>
      </c>
      <c r="M55" s="190">
        <f>K55/K43-1</f>
        <v>-0.58187511527968705</v>
      </c>
      <c r="N55" s="191">
        <f>AVERAGE(T53:T55)</f>
        <v>58.708335709172168</v>
      </c>
      <c r="O55" s="192">
        <f>N55/N52-1</f>
        <v>-0.33437226099037243</v>
      </c>
      <c r="P55" s="129" t="s">
        <v>1418</v>
      </c>
      <c r="Q55" s="116">
        <v>25057476</v>
      </c>
      <c r="R55" s="116">
        <v>37016916648</v>
      </c>
      <c r="S55" s="116">
        <v>411227.32</v>
      </c>
      <c r="T55" s="130">
        <f t="shared" ref="T55" si="85">Q55/S55</f>
        <v>60.933393238562068</v>
      </c>
      <c r="U55" s="85">
        <f t="shared" ref="U55" si="86">Q53+Q54+Q55</f>
        <v>53742351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1229376.5909090908</v>
      </c>
      <c r="G56" s="190">
        <f t="shared" ref="G56" si="87">F56/F55-1</f>
        <v>3.0307617937692655E-2</v>
      </c>
      <c r="H56" s="190">
        <f t="shared" ref="H56" si="88">F56/F44-1</f>
        <v>-0.53970020888057113</v>
      </c>
      <c r="I56" s="291">
        <f>T56</f>
        <v>63.438699197152154</v>
      </c>
      <c r="J56" s="130">
        <f t="shared" ref="J56" si="89">I56/I44-1</f>
        <v>0.65153966706183963</v>
      </c>
      <c r="K56" s="136"/>
      <c r="L56" s="190"/>
      <c r="M56" s="190"/>
      <c r="N56" s="191"/>
      <c r="O56" s="192"/>
      <c r="P56" s="129" t="s">
        <v>1420</v>
      </c>
      <c r="Q56" s="116">
        <v>27046285</v>
      </c>
      <c r="R56" s="116">
        <v>40398991445</v>
      </c>
      <c r="S56" s="116">
        <v>426337.32</v>
      </c>
      <c r="T56" s="130">
        <f t="shared" ref="T56" si="90">Q56/S56</f>
        <v>63.438699197152154</v>
      </c>
      <c r="U56" s="85">
        <f t="shared" ref="U56" si="91">Q54+Q55+Q56</f>
        <v>68824531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635200.58333333337</v>
      </c>
      <c r="G57" s="254">
        <f t="shared" ref="G57" si="92">F57/F56-1</f>
        <v>-0.48331488656082211</v>
      </c>
      <c r="H57" s="254">
        <f t="shared" ref="H57" si="93">F57/F45-1</f>
        <v>-0.59407783407663395</v>
      </c>
      <c r="I57" s="282">
        <f>T57</f>
        <v>58.739549858060094</v>
      </c>
      <c r="J57" s="277">
        <f t="shared" ref="J57" si="94">I57/I45-1</f>
        <v>0.37935904368792039</v>
      </c>
      <c r="K57" s="204"/>
      <c r="L57" s="254"/>
      <c r="M57" s="254"/>
      <c r="N57" s="257"/>
      <c r="O57" s="258"/>
      <c r="P57" s="129" t="s">
        <v>1436</v>
      </c>
      <c r="Q57" s="116">
        <v>7622407</v>
      </c>
      <c r="R57" s="116">
        <v>11231366111</v>
      </c>
      <c r="S57" s="116">
        <v>129766.18</v>
      </c>
      <c r="T57" s="130">
        <f t="shared" ref="T57" si="95">Q57/S57</f>
        <v>58.739549858060094</v>
      </c>
      <c r="U57" s="85">
        <f t="shared" ref="U57" si="96">Q55+Q56+Q57</f>
        <v>59726168</v>
      </c>
      <c r="V57" s="79"/>
      <c r="W57" s="79"/>
      <c r="X57" s="79"/>
      <c r="Y57" s="79"/>
      <c r="Z57" s="79"/>
    </row>
    <row r="58" spans="1:26">
      <c r="B58" s="196">
        <f>SUM(F56:F58)</f>
        <v>1864577.1742424243</v>
      </c>
      <c r="C58" s="196">
        <f>AVERAGE(F56:F58)</f>
        <v>932288.58712121216</v>
      </c>
      <c r="D58" s="197">
        <f>C58/C55-1</f>
        <v>1.8335516510453065E-2</v>
      </c>
      <c r="E58" s="233">
        <f>C58/C46-1</f>
        <v>-0.45300191929006861</v>
      </c>
    </row>
    <row r="65" spans="16:21">
      <c r="P65" s="266"/>
      <c r="Q65" s="266"/>
      <c r="R65" s="266"/>
      <c r="S65" s="266"/>
      <c r="T65" s="266"/>
      <c r="U65" s="266"/>
    </row>
    <row r="66" spans="16:21">
      <c r="P66" s="266" t="s">
        <v>971</v>
      </c>
      <c r="Q66" s="266" t="s">
        <v>9</v>
      </c>
      <c r="R66" s="266" t="s">
        <v>10</v>
      </c>
      <c r="S66" s="266" t="s">
        <v>972</v>
      </c>
      <c r="T66" s="266" t="s">
        <v>973</v>
      </c>
      <c r="U66" s="266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88411043</v>
      </c>
      <c r="R68" s="212">
        <v>130344575667</v>
      </c>
      <c r="S68" s="213">
        <v>1499753.44</v>
      </c>
      <c r="T68" s="214">
        <v>52</v>
      </c>
      <c r="U68" s="214">
        <v>91</v>
      </c>
    </row>
    <row r="69" spans="16:21" ht="18" thickBot="1">
      <c r="P69" s="180" t="s">
        <v>976</v>
      </c>
      <c r="Q69" s="181">
        <v>11964105</v>
      </c>
      <c r="R69" s="181">
        <v>17480623226</v>
      </c>
      <c r="S69" s="182">
        <v>174831.72</v>
      </c>
      <c r="T69" s="210">
        <v>23</v>
      </c>
      <c r="U69" s="210">
        <v>33</v>
      </c>
    </row>
    <row r="70" spans="16:21" ht="18" thickBot="1">
      <c r="P70" s="180" t="s">
        <v>977</v>
      </c>
      <c r="Q70" s="181">
        <v>16720770</v>
      </c>
      <c r="R70" s="181">
        <v>24216678237</v>
      </c>
      <c r="S70" s="182">
        <v>357590.9</v>
      </c>
      <c r="T70" s="210">
        <v>24</v>
      </c>
      <c r="U70" s="210">
        <v>33</v>
      </c>
    </row>
    <row r="71" spans="16:21" ht="18" thickBot="1">
      <c r="P71" s="180" t="s">
        <v>978</v>
      </c>
      <c r="Q71" s="181">
        <v>25057476</v>
      </c>
      <c r="R71" s="181">
        <v>37016916648</v>
      </c>
      <c r="S71" s="182">
        <v>411227.32</v>
      </c>
      <c r="T71" s="210">
        <v>24</v>
      </c>
      <c r="U71" s="210">
        <v>38</v>
      </c>
    </row>
    <row r="72" spans="16:21" ht="18" thickBot="1">
      <c r="P72" s="180" t="s">
        <v>979</v>
      </c>
      <c r="Q72" s="181">
        <v>27046285</v>
      </c>
      <c r="R72" s="181">
        <v>40398991445</v>
      </c>
      <c r="S72" s="182">
        <v>426337.32</v>
      </c>
      <c r="T72" s="210">
        <v>26</v>
      </c>
      <c r="U72" s="210">
        <v>42</v>
      </c>
    </row>
    <row r="73" spans="16:21" ht="18" thickBot="1">
      <c r="P73" s="180" t="s">
        <v>980</v>
      </c>
      <c r="Q73" s="181">
        <v>7622407</v>
      </c>
      <c r="R73" s="181">
        <v>11231366111</v>
      </c>
      <c r="S73" s="182">
        <v>129766.18</v>
      </c>
      <c r="T73" s="210">
        <v>22</v>
      </c>
      <c r="U73" s="210">
        <v>32</v>
      </c>
    </row>
    <row r="74" spans="16:21" ht="18" thickBot="1">
      <c r="P74" s="180" t="s">
        <v>975</v>
      </c>
      <c r="Q74" s="181">
        <v>319409330</v>
      </c>
      <c r="R74" s="181">
        <v>458162560275</v>
      </c>
      <c r="S74" s="182">
        <v>6327109.9199999999</v>
      </c>
      <c r="T74" s="210">
        <v>91</v>
      </c>
      <c r="U74" s="210">
        <v>195</v>
      </c>
    </row>
    <row r="75" spans="16:21" ht="18" thickBot="1">
      <c r="P75" s="215" t="s">
        <v>982</v>
      </c>
      <c r="Q75" s="217" t="s">
        <v>1521</v>
      </c>
      <c r="R75"/>
      <c r="S75"/>
      <c r="T75"/>
      <c r="U7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Z74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9031909000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1656427.6</v>
      </c>
      <c r="G5" s="90"/>
      <c r="H5" s="90"/>
      <c r="I5" s="130">
        <f t="shared" ref="I5:I49" si="0">T5</f>
        <v>124.24339012588284</v>
      </c>
      <c r="J5" s="130"/>
      <c r="L5" s="80"/>
      <c r="M5" s="80"/>
      <c r="P5" s="129" t="s">
        <v>0</v>
      </c>
      <c r="Q5" s="116">
        <v>33128552</v>
      </c>
      <c r="R5" s="116"/>
      <c r="S5" s="116">
        <v>266642.37</v>
      </c>
      <c r="T5" s="130">
        <f t="shared" ref="T5:T28" si="1">Q5/S5</f>
        <v>124.24339012588284</v>
      </c>
      <c r="U5" s="85"/>
    </row>
    <row r="6" spans="1:21" ht="15" hidden="1" customHeight="1">
      <c r="A6" s="129" t="s">
        <v>1</v>
      </c>
      <c r="C6" s="79"/>
      <c r="F6" s="78">
        <f>Q6/18</f>
        <v>1846124</v>
      </c>
      <c r="G6" s="90">
        <f t="shared" ref="G6:G28" si="2">F6/F5-1</f>
        <v>0.11452139532086991</v>
      </c>
      <c r="H6" s="90"/>
      <c r="I6" s="130">
        <f t="shared" si="0"/>
        <v>167.33801322570397</v>
      </c>
      <c r="J6" s="130"/>
      <c r="P6" s="129" t="s">
        <v>1</v>
      </c>
      <c r="Q6" s="116">
        <v>33230232</v>
      </c>
      <c r="R6" s="116"/>
      <c r="S6" s="116">
        <v>198581.49</v>
      </c>
      <c r="T6" s="130">
        <f t="shared" si="1"/>
        <v>167.33801322570397</v>
      </c>
      <c r="U6" s="85"/>
    </row>
    <row r="7" spans="1:21" ht="15" hidden="1" customHeight="1">
      <c r="A7" s="129" t="s">
        <v>2</v>
      </c>
      <c r="B7" s="131">
        <f>F5+F6+F7</f>
        <v>5191413.372727273</v>
      </c>
      <c r="C7" s="131">
        <f>AVERAGE(F5:F7)</f>
        <v>1730471.1242424243</v>
      </c>
      <c r="F7" s="78">
        <f>Q7/22</f>
        <v>1688861.7727272727</v>
      </c>
      <c r="G7" s="90">
        <f t="shared" si="2"/>
        <v>-8.5185083598245503E-2</v>
      </c>
      <c r="H7" s="90"/>
      <c r="I7" s="130">
        <f t="shared" si="0"/>
        <v>178.77811674524636</v>
      </c>
      <c r="J7" s="130"/>
      <c r="K7" s="79">
        <f>R5+R6+R7</f>
        <v>0</v>
      </c>
      <c r="N7" s="88">
        <f>AVERAGE(T5:T7)</f>
        <v>156.78650669894441</v>
      </c>
      <c r="P7" s="129" t="s">
        <v>2</v>
      </c>
      <c r="Q7" s="116">
        <v>37154959</v>
      </c>
      <c r="R7" s="116"/>
      <c r="S7" s="116">
        <v>207827.22</v>
      </c>
      <c r="T7" s="130">
        <f t="shared" si="1"/>
        <v>178.77811674524636</v>
      </c>
      <c r="U7" s="85">
        <f>Q5+Q6+Q7</f>
        <v>103513743</v>
      </c>
    </row>
    <row r="8" spans="1:21" ht="15" hidden="1" customHeight="1">
      <c r="A8" s="129" t="s">
        <v>3</v>
      </c>
      <c r="C8" s="79"/>
      <c r="F8" s="78">
        <f>Q8/21</f>
        <v>1698867.857142857</v>
      </c>
      <c r="G8" s="90">
        <f t="shared" si="2"/>
        <v>5.9247503716222116E-3</v>
      </c>
      <c r="H8" s="90"/>
      <c r="I8" s="130">
        <f t="shared" si="0"/>
        <v>152.51468087756862</v>
      </c>
      <c r="J8" s="130"/>
      <c r="K8" s="78"/>
      <c r="P8" s="129" t="s">
        <v>3</v>
      </c>
      <c r="Q8" s="116">
        <v>35676225</v>
      </c>
      <c r="R8" s="116"/>
      <c r="S8" s="116">
        <v>233919.94</v>
      </c>
      <c r="T8" s="130">
        <f t="shared" si="1"/>
        <v>152.51468087756862</v>
      </c>
      <c r="U8" s="85"/>
    </row>
    <row r="9" spans="1:21" ht="15" hidden="1" customHeight="1">
      <c r="A9" s="129" t="s">
        <v>4</v>
      </c>
      <c r="C9" s="79"/>
      <c r="F9" s="78">
        <f>Q9/21</f>
        <v>1700430.4761904762</v>
      </c>
      <c r="G9" s="90">
        <f t="shared" si="2"/>
        <v>9.1980023110638243E-4</v>
      </c>
      <c r="H9" s="90"/>
      <c r="I9" s="130">
        <f t="shared" si="0"/>
        <v>131.24276234226005</v>
      </c>
      <c r="J9" s="130"/>
      <c r="K9" s="78"/>
      <c r="P9" s="129" t="s">
        <v>4</v>
      </c>
      <c r="Q9" s="116">
        <v>35709040</v>
      </c>
      <c r="R9" s="116"/>
      <c r="S9" s="116">
        <v>272083.88</v>
      </c>
      <c r="T9" s="130">
        <f t="shared" si="1"/>
        <v>131.24276234226005</v>
      </c>
      <c r="U9" s="85"/>
    </row>
    <row r="10" spans="1:21" ht="15" hidden="1" customHeight="1">
      <c r="A10" s="129" t="s">
        <v>5</v>
      </c>
      <c r="B10" s="131">
        <f>F8+F9+F10</f>
        <v>5302495.5238095233</v>
      </c>
      <c r="C10" s="131">
        <f>AVERAGE(F8:F10)</f>
        <v>1767498.5079365077</v>
      </c>
      <c r="D10" s="90">
        <f>C10/C7-1</f>
        <v>2.1397284921638615E-2</v>
      </c>
      <c r="E10" s="286"/>
      <c r="F10" s="78">
        <f>Q10/21</f>
        <v>1903197.1904761905</v>
      </c>
      <c r="G10" s="90">
        <f t="shared" si="2"/>
        <v>0.11924434260904238</v>
      </c>
      <c r="H10" s="90"/>
      <c r="I10" s="130">
        <f t="shared" si="0"/>
        <v>161.77273259721812</v>
      </c>
      <c r="J10" s="130"/>
      <c r="K10" s="79">
        <f>R8+R9+R10</f>
        <v>0</v>
      </c>
      <c r="L10" s="87">
        <f>U10/U7-1</f>
        <v>7.5725819324299781E-2</v>
      </c>
      <c r="N10" s="88">
        <f>AVERAGE(T8:T10)</f>
        <v>148.51005860568227</v>
      </c>
      <c r="O10" s="89">
        <f>N10/N7-1</f>
        <v>-5.2788012613574353E-2</v>
      </c>
      <c r="P10" s="129" t="s">
        <v>5</v>
      </c>
      <c r="Q10" s="116">
        <v>39967141</v>
      </c>
      <c r="R10" s="116"/>
      <c r="S10" s="116">
        <v>247057.34</v>
      </c>
      <c r="T10" s="130">
        <f t="shared" si="1"/>
        <v>161.77273259721812</v>
      </c>
      <c r="U10" s="85">
        <f>Q8+Q9+Q10</f>
        <v>111352406</v>
      </c>
    </row>
    <row r="11" spans="1:21" ht="15" hidden="1" customHeight="1">
      <c r="A11" s="129" t="s">
        <v>6</v>
      </c>
      <c r="C11" s="79"/>
      <c r="F11" s="78">
        <f>Q11/21</f>
        <v>1925579.5238095238</v>
      </c>
      <c r="G11" s="90">
        <f t="shared" si="2"/>
        <v>1.1760385862976674E-2</v>
      </c>
      <c r="H11" s="90"/>
      <c r="I11" s="130">
        <f t="shared" si="0"/>
        <v>193.13762276608097</v>
      </c>
      <c r="J11" s="130"/>
      <c r="K11" s="78"/>
      <c r="O11" s="89"/>
      <c r="P11" s="129" t="s">
        <v>6</v>
      </c>
      <c r="Q11" s="116">
        <v>40437170</v>
      </c>
      <c r="R11" s="116"/>
      <c r="S11" s="116">
        <v>209369.72</v>
      </c>
      <c r="T11" s="130">
        <f t="shared" si="1"/>
        <v>193.13762276608097</v>
      </c>
      <c r="U11" s="85"/>
    </row>
    <row r="12" spans="1:21" ht="15" hidden="1" customHeight="1">
      <c r="A12" s="129" t="s">
        <v>7</v>
      </c>
      <c r="C12" s="79"/>
      <c r="F12" s="78">
        <f>Q12/22</f>
        <v>1124437.8636363635</v>
      </c>
      <c r="G12" s="90">
        <f t="shared" si="2"/>
        <v>-0.41605223272638425</v>
      </c>
      <c r="H12" s="90"/>
      <c r="I12" s="130">
        <f t="shared" si="0"/>
        <v>181.1074749489168</v>
      </c>
      <c r="J12" s="130"/>
      <c r="K12" s="78"/>
      <c r="O12" s="89"/>
      <c r="P12" s="129" t="s">
        <v>7</v>
      </c>
      <c r="Q12" s="116">
        <v>24737633</v>
      </c>
      <c r="R12" s="116"/>
      <c r="S12" s="116">
        <v>136590.9</v>
      </c>
      <c r="T12" s="130">
        <f t="shared" si="1"/>
        <v>181.1074749489168</v>
      </c>
      <c r="U12" s="85"/>
    </row>
    <row r="13" spans="1:21" ht="15" hidden="1" customHeight="1">
      <c r="A13" s="129" t="s">
        <v>96</v>
      </c>
      <c r="B13" s="131">
        <f>F11+F12+F13</f>
        <v>4706138.9374458874</v>
      </c>
      <c r="C13" s="131">
        <f>AVERAGE(F11:F13)</f>
        <v>1568712.9791486291</v>
      </c>
      <c r="D13" s="90">
        <f>C13/C10-1</f>
        <v>-0.11246715507553873</v>
      </c>
      <c r="E13" s="286"/>
      <c r="F13" s="78">
        <f>Q13/20</f>
        <v>1656121.55</v>
      </c>
      <c r="G13" s="90">
        <f t="shared" si="2"/>
        <v>0.47284399036884439</v>
      </c>
      <c r="H13" s="90"/>
      <c r="I13" s="130">
        <f t="shared" si="0"/>
        <v>184.04802478509305</v>
      </c>
      <c r="J13" s="130"/>
      <c r="K13" s="78">
        <f>R11+R12+R13</f>
        <v>0</v>
      </c>
      <c r="L13" s="87">
        <f>U13/U10-1</f>
        <v>-0.11724193907404212</v>
      </c>
      <c r="N13" s="88">
        <f>AVERAGE(T11:T13)</f>
        <v>186.09770750003028</v>
      </c>
      <c r="O13" s="89">
        <f>N13/N10-1</f>
        <v>0.25309833722542097</v>
      </c>
      <c r="P13" s="129" t="s">
        <v>96</v>
      </c>
      <c r="Q13" s="116">
        <v>33122431</v>
      </c>
      <c r="R13" s="116"/>
      <c r="S13" s="116">
        <v>179966.24</v>
      </c>
      <c r="T13" s="130">
        <f t="shared" si="1"/>
        <v>184.04802478509305</v>
      </c>
      <c r="U13" s="85">
        <f>Q11+Q12+Q13</f>
        <v>98297234</v>
      </c>
    </row>
    <row r="14" spans="1:21" ht="15" hidden="1" customHeight="1">
      <c r="A14" s="129" t="s">
        <v>97</v>
      </c>
      <c r="C14" s="79"/>
      <c r="F14" s="78">
        <f>Q14/20</f>
        <v>1096303.75</v>
      </c>
      <c r="G14" s="90">
        <f t="shared" si="2"/>
        <v>-0.3380294157756718</v>
      </c>
      <c r="H14" s="90"/>
      <c r="I14" s="130">
        <f t="shared" si="0"/>
        <v>171.80058162517341</v>
      </c>
      <c r="J14" s="130"/>
      <c r="O14" s="89"/>
      <c r="P14" s="129" t="s">
        <v>97</v>
      </c>
      <c r="Q14" s="116">
        <v>21926075</v>
      </c>
      <c r="R14" s="116"/>
      <c r="S14" s="116">
        <v>127625.15</v>
      </c>
      <c r="T14" s="130">
        <f t="shared" si="1"/>
        <v>171.80058162517341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1107022.1363636365</v>
      </c>
      <c r="G15" s="90">
        <f t="shared" si="2"/>
        <v>9.7768400077409279E-3</v>
      </c>
      <c r="H15" s="90"/>
      <c r="I15" s="130">
        <f t="shared" si="0"/>
        <v>136.40290868317595</v>
      </c>
      <c r="J15" s="130"/>
      <c r="O15" s="89"/>
      <c r="P15" s="129" t="s">
        <v>98</v>
      </c>
      <c r="Q15" s="116">
        <v>24354487</v>
      </c>
      <c r="R15" s="116"/>
      <c r="S15" s="116">
        <v>178548.15</v>
      </c>
      <c r="T15" s="130">
        <f t="shared" si="1"/>
        <v>136.40290868317595</v>
      </c>
      <c r="U15" s="78"/>
    </row>
    <row r="16" spans="1:21" ht="15" hidden="1" customHeight="1">
      <c r="A16" s="129" t="s">
        <v>99</v>
      </c>
      <c r="B16" s="131">
        <f>F14+F15+F16</f>
        <v>3381101.6590909092</v>
      </c>
      <c r="C16" s="131">
        <f>AVERAGE(F14:F16)</f>
        <v>1127033.8863636365</v>
      </c>
      <c r="D16" s="90">
        <f>C16/C13-1</f>
        <v>-0.28155507008343905</v>
      </c>
      <c r="E16" s="286"/>
      <c r="F16" s="78">
        <f>Q16/22</f>
        <v>1177775.7727272727</v>
      </c>
      <c r="G16" s="90">
        <f t="shared" si="2"/>
        <v>6.3913479269754214E-2</v>
      </c>
      <c r="H16" s="90"/>
      <c r="I16" s="130">
        <f t="shared" si="0"/>
        <v>161.07557875876702</v>
      </c>
      <c r="J16" s="130"/>
      <c r="K16" s="78">
        <f>R14+R15+R16</f>
        <v>0</v>
      </c>
      <c r="L16" s="87">
        <f>U16/U13-1</f>
        <v>-0.26557822573115331</v>
      </c>
      <c r="N16" s="88">
        <f>AVERAGE(T14:T16)</f>
        <v>156.42635635570548</v>
      </c>
      <c r="O16" s="89">
        <f>N16/N13-1</f>
        <v>-0.15943963814986795</v>
      </c>
      <c r="P16" s="129" t="s">
        <v>99</v>
      </c>
      <c r="Q16" s="116">
        <v>25911067</v>
      </c>
      <c r="R16" s="116"/>
      <c r="S16" s="116">
        <v>160862.79</v>
      </c>
      <c r="T16" s="130">
        <f t="shared" si="1"/>
        <v>161.07557875876702</v>
      </c>
      <c r="U16" s="85">
        <f>Q14+Q15+Q16</f>
        <v>72191629</v>
      </c>
    </row>
    <row r="17" spans="1:21" ht="15" hidden="1" customHeight="1">
      <c r="A17" s="129" t="s">
        <v>100</v>
      </c>
      <c r="C17" s="79"/>
      <c r="F17" s="78">
        <f>Q17/20</f>
        <v>967804.2</v>
      </c>
      <c r="G17" s="90">
        <f t="shared" si="2"/>
        <v>-0.17827805392962015</v>
      </c>
      <c r="H17" s="90">
        <f t="shared" ref="H17:H28" si="3">F17/F5-1</f>
        <v>-0.41572804027172705</v>
      </c>
      <c r="I17" s="130">
        <f t="shared" si="0"/>
        <v>150.48812800298549</v>
      </c>
      <c r="J17" s="130">
        <f t="shared" ref="J17:J49" si="4">I17/I5-1</f>
        <v>0.21123649194143534</v>
      </c>
      <c r="O17" s="89"/>
      <c r="P17" s="129" t="s">
        <v>100</v>
      </c>
      <c r="Q17" s="116">
        <v>19356084</v>
      </c>
      <c r="R17" s="116">
        <v>24383375576</v>
      </c>
      <c r="S17" s="116">
        <v>128622</v>
      </c>
      <c r="T17" s="130">
        <f t="shared" si="1"/>
        <v>150.48812800298549</v>
      </c>
      <c r="U17" s="78"/>
    </row>
    <row r="18" spans="1:21" ht="15" hidden="1" customHeight="1">
      <c r="A18" s="129" t="s">
        <v>106</v>
      </c>
      <c r="C18" s="79"/>
      <c r="F18" s="78">
        <f>Q18/20</f>
        <v>2003041.85</v>
      </c>
      <c r="G18" s="90">
        <f t="shared" si="2"/>
        <v>1.0696767486646577</v>
      </c>
      <c r="H18" s="90">
        <f t="shared" si="3"/>
        <v>8.4998542893110152E-2</v>
      </c>
      <c r="I18" s="130">
        <f t="shared" si="0"/>
        <v>217.1893305991687</v>
      </c>
      <c r="J18" s="130">
        <f t="shared" si="4"/>
        <v>0.29790790754893037</v>
      </c>
      <c r="O18" s="89"/>
      <c r="P18" s="129" t="s">
        <v>106</v>
      </c>
      <c r="Q18" s="116">
        <v>40060837</v>
      </c>
      <c r="R18" s="116">
        <v>50257064421</v>
      </c>
      <c r="S18" s="116">
        <v>184451.22</v>
      </c>
      <c r="T18" s="130">
        <f t="shared" si="1"/>
        <v>217.1893305991687</v>
      </c>
      <c r="U18" s="78"/>
    </row>
    <row r="19" spans="1:21" hidden="1">
      <c r="A19" s="129" t="s">
        <v>114</v>
      </c>
      <c r="B19" s="131">
        <f>SUM(F17:F19)</f>
        <v>4384202.1863636365</v>
      </c>
      <c r="C19" s="131">
        <f>AVERAGE(F17:F19)</f>
        <v>1461400.7287878788</v>
      </c>
      <c r="D19" s="90">
        <f>C19/C16-1</f>
        <v>0.29667860609149344</v>
      </c>
      <c r="E19" s="286">
        <f>C19/C7-1</f>
        <v>-0.15548967658870394</v>
      </c>
      <c r="F19" s="78">
        <f>Q19/22</f>
        <v>1413356.1363636365</v>
      </c>
      <c r="G19" s="90">
        <f t="shared" si="2"/>
        <v>-0.29439510394471469</v>
      </c>
      <c r="H19" s="90">
        <f t="shared" si="3"/>
        <v>-0.16313095648954956</v>
      </c>
      <c r="I19" s="130">
        <f t="shared" si="0"/>
        <v>151.20830637628396</v>
      </c>
      <c r="J19" s="130">
        <f t="shared" si="4"/>
        <v>-0.15421244429064318</v>
      </c>
      <c r="K19" s="78">
        <f>R17+R18+R19</f>
        <v>115294560264</v>
      </c>
      <c r="L19" s="87">
        <f>U19/U16-1</f>
        <v>0.25375694181939012</v>
      </c>
      <c r="M19" s="87">
        <f>U19/U7-1</f>
        <v>-0.12561604501153045</v>
      </c>
      <c r="N19" s="88">
        <f>AVERAGE(T17:T19)</f>
        <v>172.96192165947937</v>
      </c>
      <c r="O19" s="89">
        <f>N19/N16-1</f>
        <v>0.10570830702067147</v>
      </c>
      <c r="P19" s="129" t="s">
        <v>114</v>
      </c>
      <c r="Q19" s="116">
        <v>31093835</v>
      </c>
      <c r="R19" s="116">
        <v>40654120267</v>
      </c>
      <c r="S19" s="116">
        <v>205635.76</v>
      </c>
      <c r="T19" s="130">
        <f t="shared" si="1"/>
        <v>151.20830637628396</v>
      </c>
      <c r="U19" s="85">
        <f>Q17+Q18+Q19</f>
        <v>90510756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1744047.6</v>
      </c>
      <c r="G20" s="90">
        <f t="shared" si="2"/>
        <v>0.23397603415596691</v>
      </c>
      <c r="H20" s="90">
        <f t="shared" si="3"/>
        <v>2.6594030057832674E-2</v>
      </c>
      <c r="I20" s="130">
        <f t="shared" si="0"/>
        <v>294.4294837419514</v>
      </c>
      <c r="J20" s="130">
        <f t="shared" si="4"/>
        <v>0.93049929388964925</v>
      </c>
      <c r="O20" s="89"/>
      <c r="P20" s="129" t="s">
        <v>131</v>
      </c>
      <c r="Q20" s="116">
        <v>34880952</v>
      </c>
      <c r="R20" s="116">
        <v>45718631718</v>
      </c>
      <c r="S20" s="116">
        <v>118469.63</v>
      </c>
      <c r="T20" s="130">
        <f t="shared" si="1"/>
        <v>294.4294837419514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1192629.3333333333</v>
      </c>
      <c r="G21" s="90">
        <f t="shared" si="2"/>
        <v>-0.31617156932337553</v>
      </c>
      <c r="H21" s="90">
        <f t="shared" si="3"/>
        <v>-0.29863093491171988</v>
      </c>
      <c r="I21" s="130">
        <f t="shared" si="0"/>
        <v>207.38178388031861</v>
      </c>
      <c r="J21" s="130">
        <f t="shared" si="4"/>
        <v>0.58013882197557076</v>
      </c>
      <c r="O21" s="89"/>
      <c r="P21" s="129" t="s">
        <v>141</v>
      </c>
      <c r="Q21" s="116">
        <v>25045216</v>
      </c>
      <c r="R21" s="116">
        <v>33353151947</v>
      </c>
      <c r="S21" s="116">
        <v>120768.64</v>
      </c>
      <c r="T21" s="130">
        <f t="shared" si="1"/>
        <v>207.38178388031861</v>
      </c>
      <c r="U21" s="78"/>
    </row>
    <row r="22" spans="1:21" hidden="1">
      <c r="A22" s="129" t="s">
        <v>155</v>
      </c>
      <c r="B22" s="131">
        <f>SUM(F20:F22)</f>
        <v>4431054.1238095239</v>
      </c>
      <c r="C22" s="131">
        <f>AVERAGE(F20:F22)</f>
        <v>1477018.0412698414</v>
      </c>
      <c r="D22" s="90">
        <f>C22/C19-1</f>
        <v>1.0686536672878111E-2</v>
      </c>
      <c r="E22" s="286">
        <f>C22/C10-1</f>
        <v>-0.16434552298762162</v>
      </c>
      <c r="F22" s="78">
        <f>Q22/21</f>
        <v>1494377.1904761905</v>
      </c>
      <c r="G22" s="90">
        <f t="shared" si="2"/>
        <v>0.25301059491760824</v>
      </c>
      <c r="H22" s="90">
        <f t="shared" si="3"/>
        <v>-0.21480695854627174</v>
      </c>
      <c r="I22" s="130">
        <f t="shared" si="0"/>
        <v>301.03774924265531</v>
      </c>
      <c r="J22" s="130">
        <f t="shared" si="4"/>
        <v>0.86086829597036818</v>
      </c>
      <c r="K22" s="78">
        <f>R20+R21+R22</f>
        <v>119918739640</v>
      </c>
      <c r="L22" s="87">
        <f>U22/U19-1</f>
        <v>8.8092624041280487E-3</v>
      </c>
      <c r="M22" s="87">
        <f>U22/U10-1</f>
        <v>-0.18000793804132076</v>
      </c>
      <c r="N22" s="88">
        <f>AVERAGE(T20:T22)</f>
        <v>267.61633895497511</v>
      </c>
      <c r="O22" s="89">
        <f>N22/N19-1</f>
        <v>0.54725581438582549</v>
      </c>
      <c r="P22" s="129" t="s">
        <v>155</v>
      </c>
      <c r="Q22" s="116">
        <v>31381921</v>
      </c>
      <c r="R22" s="116">
        <v>40846955975</v>
      </c>
      <c r="S22" s="116">
        <v>104245.8</v>
      </c>
      <c r="T22" s="130">
        <f t="shared" si="1"/>
        <v>301.03774924265531</v>
      </c>
      <c r="U22" s="85">
        <f>Q20+Q21+Q22</f>
        <v>91308089</v>
      </c>
    </row>
    <row r="23" spans="1:21" hidden="1">
      <c r="A23" s="129" t="s">
        <v>189</v>
      </c>
      <c r="C23" s="131"/>
      <c r="F23" s="78">
        <f>Q23/21</f>
        <v>1156011.4761904762</v>
      </c>
      <c r="G23" s="90">
        <f t="shared" si="2"/>
        <v>-0.22642590936354723</v>
      </c>
      <c r="H23" s="90">
        <f t="shared" si="3"/>
        <v>-0.3996552923955855</v>
      </c>
      <c r="I23" s="130">
        <f t="shared" si="0"/>
        <v>158.24614867141955</v>
      </c>
      <c r="J23" s="130">
        <f t="shared" si="4"/>
        <v>-0.18065601924136909</v>
      </c>
      <c r="O23" s="89"/>
      <c r="P23" s="129" t="s">
        <v>189</v>
      </c>
      <c r="Q23" s="116">
        <v>24276241</v>
      </c>
      <c r="R23" s="116">
        <v>31375966907</v>
      </c>
      <c r="S23" s="116">
        <v>153408.1</v>
      </c>
      <c r="T23" s="130">
        <f t="shared" si="1"/>
        <v>158.24614867141955</v>
      </c>
      <c r="U23" s="78"/>
    </row>
    <row r="24" spans="1:21" hidden="1">
      <c r="A24" s="129" t="s">
        <v>204</v>
      </c>
      <c r="C24" s="131"/>
      <c r="F24" s="78">
        <f>Q24/22</f>
        <v>1034269.1363636364</v>
      </c>
      <c r="G24" s="90">
        <f t="shared" si="2"/>
        <v>-0.10531239726791464</v>
      </c>
      <c r="H24" s="90">
        <f t="shared" si="3"/>
        <v>-8.0190048902415101E-2</v>
      </c>
      <c r="I24" s="130">
        <f t="shared" si="0"/>
        <v>180.76709738227615</v>
      </c>
      <c r="J24" s="130">
        <f t="shared" si="4"/>
        <v>-1.8794230703986781E-3</v>
      </c>
      <c r="O24" s="89"/>
      <c r="P24" s="129" t="s">
        <v>204</v>
      </c>
      <c r="Q24" s="116">
        <v>22753921</v>
      </c>
      <c r="R24" s="116">
        <v>29832016502</v>
      </c>
      <c r="S24" s="116">
        <v>125874.24000000001</v>
      </c>
      <c r="T24" s="130">
        <f t="shared" si="1"/>
        <v>180.76709738227615</v>
      </c>
      <c r="U24" s="78"/>
    </row>
    <row r="25" spans="1:21" s="79" customFormat="1" ht="13.2" hidden="1">
      <c r="A25" s="129" t="s">
        <v>217</v>
      </c>
      <c r="B25" s="131">
        <f>SUM(F23:F25)</f>
        <v>3441608.6651856913</v>
      </c>
      <c r="C25" s="131">
        <f>AVERAGE(F23:F25)</f>
        <v>1147202.8883952305</v>
      </c>
      <c r="D25" s="90">
        <f>C25/C22-1</f>
        <v>-0.22329798530494449</v>
      </c>
      <c r="E25" s="286">
        <f>C25/C13-1</f>
        <v>-0.26869803230809008</v>
      </c>
      <c r="F25" s="78">
        <f>Q25/19</f>
        <v>1251328.0526315789</v>
      </c>
      <c r="G25" s="90">
        <f t="shared" si="2"/>
        <v>0.20986695690359203</v>
      </c>
      <c r="H25" s="90">
        <f t="shared" si="3"/>
        <v>-0.24442257717642835</v>
      </c>
      <c r="I25" s="130">
        <f t="shared" si="0"/>
        <v>164.57241011250343</v>
      </c>
      <c r="J25" s="130">
        <f t="shared" si="4"/>
        <v>-0.10581811293726551</v>
      </c>
      <c r="K25" s="78">
        <f>R23+R24+R25</f>
        <v>92762686067</v>
      </c>
      <c r="L25" s="90">
        <f>U25/U22-1</f>
        <v>-0.22454411459646251</v>
      </c>
      <c r="M25" s="90">
        <f>U25/U13-1</f>
        <v>-0.27968069783123295</v>
      </c>
      <c r="N25" s="88">
        <f>AVERAGE(T23:T25)</f>
        <v>167.86188538873304</v>
      </c>
      <c r="O25" s="91">
        <f>N25/N22-1</f>
        <v>-0.37275173091365388</v>
      </c>
      <c r="P25" s="129" t="s">
        <v>217</v>
      </c>
      <c r="Q25" s="116">
        <v>23775233</v>
      </c>
      <c r="R25" s="116">
        <v>31554702658</v>
      </c>
      <c r="S25" s="116">
        <v>144466.70000000001</v>
      </c>
      <c r="T25" s="130">
        <f t="shared" si="1"/>
        <v>164.57241011250343</v>
      </c>
      <c r="U25" s="85">
        <f>Q23+Q24+Q25</f>
        <v>70805395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1259419.6315789474</v>
      </c>
      <c r="G26" s="90">
        <f t="shared" si="2"/>
        <v>6.4663929897132988E-3</v>
      </c>
      <c r="H26" s="90">
        <f t="shared" si="3"/>
        <v>0.14878712362239699</v>
      </c>
      <c r="I26" s="130">
        <f t="shared" si="0"/>
        <v>203.14870231817645</v>
      </c>
      <c r="J26" s="130">
        <f t="shared" si="4"/>
        <v>0.18246807080896232</v>
      </c>
      <c r="L26" s="90"/>
      <c r="M26" s="90"/>
      <c r="P26" s="129" t="s">
        <v>312</v>
      </c>
      <c r="Q26" s="116">
        <v>23928973</v>
      </c>
      <c r="R26" s="116">
        <v>32226240625</v>
      </c>
      <c r="S26" s="116">
        <v>117790.43</v>
      </c>
      <c r="T26" s="130">
        <f t="shared" si="1"/>
        <v>203.14870231817645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1211828.5</v>
      </c>
      <c r="G27" s="90">
        <f t="shared" si="2"/>
        <v>-3.7788144940445245E-2</v>
      </c>
      <c r="H27" s="90">
        <f t="shared" si="3"/>
        <v>9.4674135406752624E-2</v>
      </c>
      <c r="I27" s="130">
        <f t="shared" si="0"/>
        <v>134.46788595283556</v>
      </c>
      <c r="J27" s="130">
        <f t="shared" si="4"/>
        <v>-1.4186081140211471E-2</v>
      </c>
      <c r="L27" s="90"/>
      <c r="M27" s="90"/>
      <c r="P27" s="129" t="s">
        <v>373</v>
      </c>
      <c r="Q27" s="116">
        <v>26660227</v>
      </c>
      <c r="R27" s="116">
        <v>35221156570</v>
      </c>
      <c r="S27" s="116">
        <v>198264.64</v>
      </c>
      <c r="T27" s="130">
        <f t="shared" si="1"/>
        <v>134.46788595283556</v>
      </c>
      <c r="U27" s="78"/>
    </row>
    <row r="28" spans="1:21" s="79" customFormat="1" ht="13.2" hidden="1">
      <c r="A28" s="123" t="s">
        <v>413</v>
      </c>
      <c r="B28" s="131">
        <f>SUM(F26:F28)</f>
        <v>3626207.8157894737</v>
      </c>
      <c r="C28" s="131">
        <f>AVERAGE(F26:F28)</f>
        <v>1208735.9385964912</v>
      </c>
      <c r="D28" s="90">
        <f>C28/C25-1</f>
        <v>5.3637461013837262E-2</v>
      </c>
      <c r="E28" s="286">
        <f>C28/C16-1</f>
        <v>7.2492986432258544E-2</v>
      </c>
      <c r="F28" s="78">
        <f>Q28/19</f>
        <v>1154959.6842105263</v>
      </c>
      <c r="G28" s="90">
        <f t="shared" si="2"/>
        <v>-4.6928105577211388E-2</v>
      </c>
      <c r="H28" s="90">
        <f t="shared" si="3"/>
        <v>-1.9372183606658155E-2</v>
      </c>
      <c r="I28" s="130">
        <f t="shared" si="0"/>
        <v>185.16767393690679</v>
      </c>
      <c r="J28" s="130">
        <f t="shared" si="4"/>
        <v>0.14957012952423421</v>
      </c>
      <c r="K28" s="78">
        <f>R26+R27+R28</f>
        <v>96057908457</v>
      </c>
      <c r="L28" s="90">
        <f>U28/U25-1</f>
        <v>2.4405470797811413E-2</v>
      </c>
      <c r="M28" s="90">
        <f>U28/U16-1</f>
        <v>4.7346902228788679E-3</v>
      </c>
      <c r="N28" s="88">
        <f>AVERAGE(T26:T28)</f>
        <v>174.26142073597293</v>
      </c>
      <c r="O28" s="91">
        <f>N28/N25-1</f>
        <v>3.8123814303764769E-2</v>
      </c>
      <c r="P28" s="129" t="s">
        <v>413</v>
      </c>
      <c r="Q28" s="116">
        <v>21944234</v>
      </c>
      <c r="R28" s="116">
        <v>28610511262</v>
      </c>
      <c r="S28" s="116">
        <v>118510.07</v>
      </c>
      <c r="T28" s="130">
        <f t="shared" si="1"/>
        <v>185.16767393690679</v>
      </c>
      <c r="U28" s="85">
        <f>Q26+Q27+Q28</f>
        <v>72533434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1424718.4090909092</v>
      </c>
      <c r="G29" s="190">
        <f t="shared" ref="G29" si="5">F29/F28-1</f>
        <v>0.23356549026624829</v>
      </c>
      <c r="H29" s="190">
        <f t="shared" ref="H29" si="6">F29/F17-1</f>
        <v>0.47211430689276734</v>
      </c>
      <c r="I29" s="130">
        <f t="shared" si="0"/>
        <v>229.41003910841911</v>
      </c>
      <c r="J29" s="130">
        <f t="shared" si="4"/>
        <v>0.5244394501596028</v>
      </c>
      <c r="K29" s="136"/>
      <c r="L29" s="190"/>
      <c r="M29" s="190"/>
      <c r="N29" s="191"/>
      <c r="O29" s="192"/>
      <c r="P29" s="129" t="s">
        <v>427</v>
      </c>
      <c r="Q29" s="116">
        <v>31343805</v>
      </c>
      <c r="R29" s="116">
        <v>41121820136</v>
      </c>
      <c r="S29" s="116">
        <v>136627.87</v>
      </c>
      <c r="T29" s="130">
        <f t="shared" ref="T29" si="7">Q29/S29</f>
        <v>229.41003910841911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1572649.8421052631</v>
      </c>
      <c r="G30" s="190">
        <f t="shared" ref="G30" si="8">F30/F29-1</f>
        <v>0.10383204994785378</v>
      </c>
      <c r="H30" s="190">
        <f t="shared" ref="H30" si="9">F30/F18-1</f>
        <v>-0.21486920400326981</v>
      </c>
      <c r="I30" s="130">
        <f t="shared" si="0"/>
        <v>167.56674047443494</v>
      </c>
      <c r="J30" s="130">
        <f t="shared" si="4"/>
        <v>-0.22847618705687789</v>
      </c>
      <c r="K30" s="136"/>
      <c r="L30" s="190"/>
      <c r="M30" s="190"/>
      <c r="N30" s="191"/>
      <c r="O30" s="192"/>
      <c r="P30" s="129" t="s">
        <v>466</v>
      </c>
      <c r="Q30" s="116">
        <v>29880347</v>
      </c>
      <c r="R30" s="116">
        <v>39817218514</v>
      </c>
      <c r="S30" s="116">
        <v>178319.08</v>
      </c>
      <c r="T30" s="130">
        <f t="shared" ref="T30" si="10">Q30/S30</f>
        <v>167.56674047443494</v>
      </c>
      <c r="U30" s="85"/>
    </row>
    <row r="31" spans="1:21" s="79" customFormat="1" ht="13.2" hidden="1">
      <c r="A31" s="129" t="s">
        <v>505</v>
      </c>
      <c r="B31" s="188">
        <f>SUM(F29:F31)</f>
        <v>4450559.3011961719</v>
      </c>
      <c r="C31" s="188">
        <f>AVERAGE(F29:F31)</f>
        <v>1483519.7670653907</v>
      </c>
      <c r="D31" s="190">
        <f>C31/C28-1</f>
        <v>0.22733156158818391</v>
      </c>
      <c r="E31" s="287">
        <f>C31/C19-1</f>
        <v>1.5135505164184604E-2</v>
      </c>
      <c r="F31" s="136">
        <f>Q31/20</f>
        <v>1453191.05</v>
      </c>
      <c r="G31" s="190">
        <f t="shared" ref="G31" si="11">F31/F30-1</f>
        <v>-7.5960197182449063E-2</v>
      </c>
      <c r="H31" s="190">
        <f t="shared" ref="H31" si="12">F31/F19-1</f>
        <v>2.8184625666148877E-2</v>
      </c>
      <c r="I31" s="130">
        <f t="shared" si="0"/>
        <v>212.65699592339061</v>
      </c>
      <c r="J31" s="130">
        <f t="shared" si="4"/>
        <v>0.40638435162543751</v>
      </c>
      <c r="K31" s="136">
        <f>R29+R30+R31</f>
        <v>119555487042</v>
      </c>
      <c r="L31" s="190">
        <f>U31/U28-1</f>
        <v>0.2447773119358998</v>
      </c>
      <c r="M31" s="190">
        <f>U31/U19-1</f>
        <v>-2.4613980685345149E-3</v>
      </c>
      <c r="N31" s="191">
        <f>AVERAGE(T29:T31)</f>
        <v>203.21125850208156</v>
      </c>
      <c r="O31" s="192">
        <f>N31/N28-1</f>
        <v>0.16612878308831824</v>
      </c>
      <c r="P31" s="129" t="s">
        <v>505</v>
      </c>
      <c r="Q31" s="116">
        <v>29063821</v>
      </c>
      <c r="R31" s="116">
        <v>38616448392</v>
      </c>
      <c r="S31" s="116">
        <v>136669.95000000001</v>
      </c>
      <c r="T31" s="130">
        <f t="shared" ref="T31" si="13">Q31/S31</f>
        <v>212.65699592339061</v>
      </c>
      <c r="U31" s="85">
        <f>Q29+Q30+Q31</f>
        <v>90287973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1346604.8095238095</v>
      </c>
      <c r="G32" s="190">
        <f t="shared" ref="G32" si="14">F32/F31-1</f>
        <v>-7.3346336998284301E-2</v>
      </c>
      <c r="H32" s="190">
        <f t="shared" ref="H32" si="15">F32/F20-1</f>
        <v>-0.22788528849567558</v>
      </c>
      <c r="I32" s="130">
        <f t="shared" si="0"/>
        <v>259.6693012802707</v>
      </c>
      <c r="J32" s="130">
        <f t="shared" si="4"/>
        <v>-0.11805944846252481</v>
      </c>
      <c r="K32" s="136"/>
      <c r="L32" s="190"/>
      <c r="M32" s="190"/>
      <c r="N32" s="191"/>
      <c r="O32" s="192"/>
      <c r="P32" s="129" t="s">
        <v>562</v>
      </c>
      <c r="Q32" s="116">
        <v>28278701</v>
      </c>
      <c r="R32" s="116">
        <v>38500640056</v>
      </c>
      <c r="S32" s="116">
        <v>108902.75</v>
      </c>
      <c r="T32" s="130">
        <f t="shared" ref="T32" si="16">Q32/S32</f>
        <v>259.6693012802707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1682185.857142857</v>
      </c>
      <c r="G33" s="190">
        <f t="shared" ref="G33" si="17">F33/F32-1</f>
        <v>0.24920529411870795</v>
      </c>
      <c r="H33" s="190">
        <f t="shared" ref="H33" si="18">F33/F21-1</f>
        <v>0.41048506030053811</v>
      </c>
      <c r="I33" s="130">
        <f t="shared" si="0"/>
        <v>182.6348879917102</v>
      </c>
      <c r="J33" s="130">
        <f t="shared" si="4"/>
        <v>-0.11933013317548669</v>
      </c>
      <c r="K33" s="136"/>
      <c r="L33" s="190"/>
      <c r="M33" s="190"/>
      <c r="N33" s="191"/>
      <c r="O33" s="192"/>
      <c r="P33" s="129" t="s">
        <v>607</v>
      </c>
      <c r="Q33" s="116">
        <v>35325903</v>
      </c>
      <c r="R33" s="116">
        <v>48296101443</v>
      </c>
      <c r="S33" s="116">
        <v>193423.63</v>
      </c>
      <c r="T33" s="130">
        <f t="shared" ref="T33" si="19">Q33/S33</f>
        <v>182.6348879917102</v>
      </c>
      <c r="U33" s="85"/>
    </row>
    <row r="34" spans="1:21" s="79" customFormat="1" ht="13.2" hidden="1">
      <c r="A34" s="129" t="s">
        <v>652</v>
      </c>
      <c r="B34" s="188">
        <f>SUM(F32:F34)</f>
        <v>4382042.2982456144</v>
      </c>
      <c r="C34" s="188">
        <f>AVERAGE(F32:F34)</f>
        <v>1460680.7660818715</v>
      </c>
      <c r="D34" s="190">
        <f>C34/C31-1</f>
        <v>-1.5395144365819902E-2</v>
      </c>
      <c r="E34" s="287">
        <f>C34/C22-1</f>
        <v>-1.1060985534018353E-2</v>
      </c>
      <c r="F34" s="136">
        <f>Q34/19</f>
        <v>1353251.6315789474</v>
      </c>
      <c r="G34" s="190">
        <f t="shared" ref="G34" si="20">F34/F33-1</f>
        <v>-0.19553976403213535</v>
      </c>
      <c r="H34" s="190">
        <f t="shared" ref="H34" si="21">F34/F22-1</f>
        <v>-9.4437709432832584E-2</v>
      </c>
      <c r="I34" s="130">
        <f t="shared" si="0"/>
        <v>197.3712598683592</v>
      </c>
      <c r="J34" s="130">
        <f t="shared" si="4"/>
        <v>-0.34436375383186379</v>
      </c>
      <c r="K34" s="136">
        <f>R32+R33+R34</f>
        <v>122129767347</v>
      </c>
      <c r="L34" s="190">
        <f>U34/U31-1</f>
        <v>-1.0760990281618144E-2</v>
      </c>
      <c r="M34" s="190">
        <f>U34/U22-1</f>
        <v>-2.1813007169605769E-2</v>
      </c>
      <c r="N34" s="191">
        <f>AVERAGE(T32:T34)</f>
        <v>213.22514971344671</v>
      </c>
      <c r="O34" s="192">
        <f>N34/N31-1</f>
        <v>4.9278230375521037E-2</v>
      </c>
      <c r="P34" s="129" t="s">
        <v>652</v>
      </c>
      <c r="Q34" s="116">
        <v>25711781</v>
      </c>
      <c r="R34" s="116">
        <v>35333025848</v>
      </c>
      <c r="S34" s="116">
        <v>130271.15</v>
      </c>
      <c r="T34" s="130">
        <f t="shared" ref="T34" si="22">Q34/S34</f>
        <v>197.3712598683592</v>
      </c>
      <c r="U34" s="85">
        <f>Q32+Q33+Q34</f>
        <v>89316385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1055890.4347826086</v>
      </c>
      <c r="G35" s="190">
        <f t="shared" ref="G35" si="23">F35/F34-1</f>
        <v>-0.21973828802953932</v>
      </c>
      <c r="H35" s="190">
        <f t="shared" ref="H35" si="24">F35/F23-1</f>
        <v>-8.6609037600393735E-2</v>
      </c>
      <c r="I35" s="130">
        <f t="shared" si="0"/>
        <v>198.54358466729337</v>
      </c>
      <c r="J35" s="130">
        <f t="shared" si="4"/>
        <v>0.25465034273628318</v>
      </c>
      <c r="K35" s="136"/>
      <c r="L35" s="190"/>
      <c r="M35" s="190"/>
      <c r="N35" s="191"/>
      <c r="O35" s="192"/>
      <c r="P35" s="129" t="s">
        <v>660</v>
      </c>
      <c r="Q35" s="116">
        <v>24285480</v>
      </c>
      <c r="R35" s="116">
        <v>33616899566</v>
      </c>
      <c r="S35" s="116">
        <v>122318.13</v>
      </c>
      <c r="T35" s="130">
        <f t="shared" ref="T35" si="25">Q35/S35</f>
        <v>198.54358466729337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1117052.4761904762</v>
      </c>
      <c r="G36" s="190">
        <f t="shared" ref="G36" si="26">F36/F35-1</f>
        <v>5.7924609782510128E-2</v>
      </c>
      <c r="H36" s="190">
        <f t="shared" ref="H36" si="27">F36/F24-1</f>
        <v>8.0040423634699209E-2</v>
      </c>
      <c r="I36" s="130">
        <f t="shared" si="0"/>
        <v>189.6622324210079</v>
      </c>
      <c r="J36" s="130">
        <f t="shared" si="4"/>
        <v>4.920771073687602E-2</v>
      </c>
      <c r="K36" s="136"/>
      <c r="L36" s="190"/>
      <c r="M36" s="190"/>
      <c r="N36" s="191"/>
      <c r="O36" s="192"/>
      <c r="P36" s="129" t="s">
        <v>666</v>
      </c>
      <c r="Q36" s="116">
        <v>23458102</v>
      </c>
      <c r="R36" s="116">
        <v>32050519946</v>
      </c>
      <c r="S36" s="116">
        <v>123683.57</v>
      </c>
      <c r="T36" s="130">
        <f t="shared" ref="T36" si="28">Q36/S36</f>
        <v>189.6622324210079</v>
      </c>
      <c r="U36" s="85"/>
    </row>
    <row r="37" spans="1:21" s="79" customFormat="1" ht="13.2" hidden="1">
      <c r="A37" s="129" t="s">
        <v>702</v>
      </c>
      <c r="B37" s="188">
        <f>SUM(F35:F37)</f>
        <v>3462908.6331953071</v>
      </c>
      <c r="C37" s="188">
        <f>AVERAGE(F35:F37)</f>
        <v>1154302.8777317691</v>
      </c>
      <c r="D37" s="190">
        <f>C37/C34-1</f>
        <v>-0.20975006686226871</v>
      </c>
      <c r="E37" s="287">
        <f>C37/C25-1</f>
        <v>6.1889569912698672E-3</v>
      </c>
      <c r="F37" s="136">
        <f>Q37/18</f>
        <v>1289965.7222222222</v>
      </c>
      <c r="G37" s="190">
        <f t="shared" ref="G37" si="29">F37/F36-1</f>
        <v>0.15479420145187639</v>
      </c>
      <c r="H37" s="190">
        <f t="shared" ref="H37" si="30">F37/F25-1</f>
        <v>3.087733029670936E-2</v>
      </c>
      <c r="I37" s="130">
        <f t="shared" si="0"/>
        <v>122.69926424987433</v>
      </c>
      <c r="J37" s="130">
        <f t="shared" si="4"/>
        <v>-0.25443600074887507</v>
      </c>
      <c r="K37" s="136">
        <f>R35+R36+R37</f>
        <v>96643843211</v>
      </c>
      <c r="L37" s="190">
        <f>U37/U34-1</f>
        <v>-0.20548771650352848</v>
      </c>
      <c r="M37" s="190">
        <f>U37/U25-1</f>
        <v>2.2253953953650374E-3</v>
      </c>
      <c r="N37" s="191">
        <f>AVERAGE(T35:T37)</f>
        <v>170.30169377939185</v>
      </c>
      <c r="O37" s="192">
        <f>N37/N34-1</f>
        <v>-0.20130578401159382</v>
      </c>
      <c r="P37" s="129" t="s">
        <v>702</v>
      </c>
      <c r="Q37" s="116">
        <v>23219383</v>
      </c>
      <c r="R37" s="116">
        <v>30976423699</v>
      </c>
      <c r="S37" s="116">
        <v>189238.16</v>
      </c>
      <c r="T37" s="130">
        <f t="shared" ref="T37" si="31">Q37/S37</f>
        <v>122.69926424987433</v>
      </c>
      <c r="U37" s="85">
        <f>Q35+Q36+Q37</f>
        <v>70962965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968604.65</v>
      </c>
      <c r="G38" s="190">
        <f t="shared" ref="G38" si="32">F38/F37-1</f>
        <v>-0.24912372994579568</v>
      </c>
      <c r="H38" s="190">
        <f t="shared" ref="H38" si="33">F38/F26-1</f>
        <v>-0.23091190123370531</v>
      </c>
      <c r="I38" s="130">
        <f t="shared" si="0"/>
        <v>154.60306221450506</v>
      </c>
      <c r="J38" s="130">
        <f t="shared" si="4"/>
        <v>-0.23896603596137189</v>
      </c>
      <c r="K38" s="136"/>
      <c r="L38" s="190"/>
      <c r="M38" s="190"/>
      <c r="N38" s="191"/>
      <c r="O38" s="192"/>
      <c r="P38" s="129" t="s">
        <v>727</v>
      </c>
      <c r="Q38" s="116">
        <v>19372093</v>
      </c>
      <c r="R38" s="116">
        <v>26031978199</v>
      </c>
      <c r="S38" s="116">
        <v>125302.13</v>
      </c>
      <c r="T38" s="130">
        <f t="shared" ref="T38" si="34">Q38/S38</f>
        <v>154.60306221450506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1186054.0952380951</v>
      </c>
      <c r="G39" s="190">
        <f t="shared" ref="G39" si="35">F39/F38-1</f>
        <v>0.22449762680583363</v>
      </c>
      <c r="H39" s="190">
        <f t="shared" ref="H39" si="36">F39/F27-1</f>
        <v>-2.1269020131070349E-2</v>
      </c>
      <c r="I39" s="130">
        <f t="shared" si="0"/>
        <v>73.109124436791745</v>
      </c>
      <c r="J39" s="130">
        <f t="shared" si="4"/>
        <v>-0.45630792126504705</v>
      </c>
      <c r="K39" s="136"/>
      <c r="L39" s="190"/>
      <c r="M39" s="190"/>
      <c r="N39" s="191"/>
      <c r="O39" s="192"/>
      <c r="P39" s="129" t="s">
        <v>762</v>
      </c>
      <c r="Q39" s="116">
        <v>24907136</v>
      </c>
      <c r="R39" s="116">
        <v>34604524894</v>
      </c>
      <c r="S39" s="116">
        <v>340684.37</v>
      </c>
      <c r="T39" s="130">
        <f t="shared" ref="T39" si="37">Q39/S39</f>
        <v>73.109124436791745</v>
      </c>
      <c r="U39" s="85"/>
    </row>
    <row r="40" spans="1:21" s="79" customFormat="1" ht="13.2" hidden="1">
      <c r="A40" s="129" t="s">
        <v>778</v>
      </c>
      <c r="B40" s="188">
        <f>SUM(F38:F40)</f>
        <v>3542117.65</v>
      </c>
      <c r="C40" s="188">
        <f>AVERAGE(F38:F40)</f>
        <v>1180705.8833333333</v>
      </c>
      <c r="D40" s="190">
        <f>C40/C37-1</f>
        <v>2.2873550877259063E-2</v>
      </c>
      <c r="E40" s="287">
        <f>C40/C28-1</f>
        <v>-2.318956057160404E-2</v>
      </c>
      <c r="F40" s="136">
        <f>Q40/21</f>
        <v>1387458.9047619049</v>
      </c>
      <c r="G40" s="190">
        <f t="shared" ref="G40" si="38">F40/F39-1</f>
        <v>0.16981081245150009</v>
      </c>
      <c r="H40" s="190">
        <f t="shared" ref="H40" si="39">F40/F28-1</f>
        <v>0.20130505309395597</v>
      </c>
      <c r="I40" s="130">
        <f t="shared" si="0"/>
        <v>110.3838068192258</v>
      </c>
      <c r="J40" s="130">
        <f t="shared" si="4"/>
        <v>-0.40387107278326839</v>
      </c>
      <c r="K40" s="136">
        <f>R38+R39+R40</f>
        <v>102034692428</v>
      </c>
      <c r="L40" s="190">
        <f>U40/U37-1</f>
        <v>3.4565931679996664E-2</v>
      </c>
      <c r="M40" s="190">
        <f>U40/U28-1</f>
        <v>1.2165865468330095E-2</v>
      </c>
      <c r="N40" s="191">
        <f>AVERAGE(T38:T40)</f>
        <v>112.69866449017421</v>
      </c>
      <c r="O40" s="192">
        <f>N40/N37-1</f>
        <v>-0.33824108269784081</v>
      </c>
      <c r="P40" s="129" t="s">
        <v>778</v>
      </c>
      <c r="Q40" s="116">
        <v>29136637</v>
      </c>
      <c r="R40" s="116">
        <v>41398189335</v>
      </c>
      <c r="S40" s="116">
        <v>263957.53000000003</v>
      </c>
      <c r="T40" s="130">
        <f t="shared" ref="T40" si="40">Q40/S40</f>
        <v>110.3838068192258</v>
      </c>
      <c r="U40" s="85">
        <f>Q38+Q39+Q40</f>
        <v>73415866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1033495.2222222222</v>
      </c>
      <c r="G41" s="190">
        <f t="shared" ref="G41" si="41">F41/F40-1</f>
        <v>-0.25511651647832023</v>
      </c>
      <c r="H41" s="190">
        <f t="shared" ref="H41" si="42">F41/F29-1</f>
        <v>-0.27459684971595222</v>
      </c>
      <c r="I41" s="130">
        <f t="shared" si="0"/>
        <v>181.2618270649138</v>
      </c>
      <c r="J41" s="130">
        <f t="shared" si="4"/>
        <v>-0.20987840039881811</v>
      </c>
      <c r="K41" s="193"/>
      <c r="L41" s="190"/>
      <c r="M41" s="190"/>
      <c r="N41" s="193"/>
      <c r="O41" s="193"/>
      <c r="P41" s="129" t="s">
        <v>805</v>
      </c>
      <c r="Q41" s="116">
        <v>18602914</v>
      </c>
      <c r="R41" s="116">
        <v>27219969631</v>
      </c>
      <c r="S41" s="116">
        <v>102630.07</v>
      </c>
      <c r="T41" s="130">
        <f t="shared" ref="T41" si="43">Q41/S41</f>
        <v>181.2618270649138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1287597.05</v>
      </c>
      <c r="G42" s="190">
        <f t="shared" ref="G42" si="44">F42/F41-1</f>
        <v>0.24586647554248753</v>
      </c>
      <c r="H42" s="190">
        <f t="shared" ref="H42" si="45">F42/F30-1</f>
        <v>-0.18125636392375222</v>
      </c>
      <c r="I42" s="130">
        <f t="shared" si="0"/>
        <v>176.54302570841719</v>
      </c>
      <c r="J42" s="130">
        <f t="shared" si="4"/>
        <v>5.3568418222897485E-2</v>
      </c>
      <c r="K42" s="193"/>
      <c r="L42" s="190"/>
      <c r="M42" s="190"/>
      <c r="N42" s="193"/>
      <c r="O42" s="193"/>
      <c r="P42" s="129" t="s">
        <v>826</v>
      </c>
      <c r="Q42" s="116">
        <v>25751941</v>
      </c>
      <c r="R42" s="116">
        <v>37230116330</v>
      </c>
      <c r="S42" s="116">
        <v>145867.79</v>
      </c>
      <c r="T42" s="130">
        <f t="shared" ref="T42" si="46">Q42/S42</f>
        <v>176.54302570841719</v>
      </c>
      <c r="U42" s="78"/>
    </row>
    <row r="43" spans="1:21" s="79" customFormat="1" ht="13.2">
      <c r="A43" s="129" t="s">
        <v>835</v>
      </c>
      <c r="B43" s="188">
        <f>SUM(F41:F43)</f>
        <v>3455699.5222222223</v>
      </c>
      <c r="C43" s="188">
        <f>AVERAGE(F41:F43)</f>
        <v>1151899.8407407408</v>
      </c>
      <c r="D43" s="190">
        <f>C43/C40-1</f>
        <v>-2.4397305882196685E-2</v>
      </c>
      <c r="E43" s="287">
        <f>C43/C31-1</f>
        <v>-0.22353590001745682</v>
      </c>
      <c r="F43" s="136">
        <f>Q43/20</f>
        <v>1134607.25</v>
      </c>
      <c r="G43" s="190">
        <f t="shared" ref="G43" si="47">F43/F42-1</f>
        <v>-0.11881807278138767</v>
      </c>
      <c r="H43" s="190">
        <f t="shared" ref="H43" si="48">F43/F31-1</f>
        <v>-0.2192304996648583</v>
      </c>
      <c r="I43" s="130">
        <f t="shared" si="0"/>
        <v>202.60704457656854</v>
      </c>
      <c r="J43" s="130">
        <f t="shared" si="4"/>
        <v>-4.7258973555906691E-2</v>
      </c>
      <c r="K43" s="136">
        <f>R41+R42+R43</f>
        <v>97327532516</v>
      </c>
      <c r="L43" s="190">
        <f>U43/U40-1</f>
        <v>-8.6750539726658027E-2</v>
      </c>
      <c r="M43" s="190">
        <f>K43/K31-1</f>
        <v>-0.18592165927266302</v>
      </c>
      <c r="N43" s="191">
        <f>AVERAGE(T41:T43)</f>
        <v>186.80396578329984</v>
      </c>
      <c r="O43" s="192">
        <f>N43/N40-1</f>
        <v>0.6575526127870539</v>
      </c>
      <c r="P43" s="129" t="s">
        <v>835</v>
      </c>
      <c r="Q43" s="116">
        <v>22692145</v>
      </c>
      <c r="R43" s="116">
        <v>32877446555</v>
      </c>
      <c r="S43" s="116">
        <v>112000.77</v>
      </c>
      <c r="T43" s="130">
        <f t="shared" ref="T43" si="49">Q43/S43</f>
        <v>202.60704457656854</v>
      </c>
      <c r="U43" s="85">
        <f>Q41+Q42+Q43</f>
        <v>67047000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1569931.7727272727</v>
      </c>
      <c r="G44" s="190">
        <f t="shared" ref="G44" si="50">F44/F43-1</f>
        <v>0.38367860131977194</v>
      </c>
      <c r="H44" s="190">
        <f t="shared" ref="H44" si="51">F44/F32-1</f>
        <v>0.1658444716846339</v>
      </c>
      <c r="I44" s="130">
        <f t="shared" si="0"/>
        <v>234.67035569459429</v>
      </c>
      <c r="J44" s="130">
        <f t="shared" si="4"/>
        <v>-9.6272241125238467E-2</v>
      </c>
      <c r="K44" s="136"/>
      <c r="L44" s="190"/>
      <c r="M44" s="190"/>
      <c r="N44" s="191"/>
      <c r="O44" s="192"/>
      <c r="P44" s="129" t="s">
        <v>843</v>
      </c>
      <c r="Q44" s="116">
        <v>34538499</v>
      </c>
      <c r="R44" s="116">
        <v>50133641433</v>
      </c>
      <c r="S44" s="116">
        <v>147178.79</v>
      </c>
      <c r="T44" s="130">
        <f t="shared" ref="T44" si="52">Q44/S44</f>
        <v>234.67035569459429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1544014.25</v>
      </c>
      <c r="G45" s="190">
        <f t="shared" ref="G45" si="53">F45/F44-1</f>
        <v>-1.6508693675425734E-2</v>
      </c>
      <c r="H45" s="190">
        <f t="shared" ref="H45" si="54">F45/F33-1</f>
        <v>-8.2138133878700836E-2</v>
      </c>
      <c r="I45" s="130">
        <f t="shared" si="0"/>
        <v>229.3646509255239</v>
      </c>
      <c r="J45" s="130">
        <f t="shared" si="4"/>
        <v>0.25586438301938652</v>
      </c>
      <c r="K45" s="136"/>
      <c r="L45" s="190"/>
      <c r="M45" s="190"/>
      <c r="N45" s="191"/>
      <c r="O45" s="192"/>
      <c r="P45" s="129" t="s">
        <v>863</v>
      </c>
      <c r="Q45" s="116">
        <v>30880285</v>
      </c>
      <c r="R45" s="116">
        <v>43497811407</v>
      </c>
      <c r="S45" s="116">
        <v>134634.01999999999</v>
      </c>
      <c r="T45" s="130">
        <f t="shared" ref="T45" si="55">Q45/S45</f>
        <v>229.3646509255239</v>
      </c>
      <c r="U45" s="85"/>
    </row>
    <row r="46" spans="1:21" s="79" customFormat="1" ht="13.2">
      <c r="A46" s="129" t="s">
        <v>909</v>
      </c>
      <c r="B46" s="188">
        <f>SUM(F44:F46)</f>
        <v>5186226.4964114828</v>
      </c>
      <c r="C46" s="188">
        <f>AVERAGE(F44:F46)</f>
        <v>1728742.1654704942</v>
      </c>
      <c r="D46" s="190">
        <f>C46/C43-1</f>
        <v>0.50077472391940714</v>
      </c>
      <c r="E46" s="287">
        <f>C46/C34-1</f>
        <v>0.18351812772045339</v>
      </c>
      <c r="F46" s="136">
        <f>Q46/19</f>
        <v>2072280.4736842106</v>
      </c>
      <c r="G46" s="190">
        <f t="shared" ref="G46" si="56">F46/F45-1</f>
        <v>0.34213817889582976</v>
      </c>
      <c r="H46" s="190">
        <f t="shared" ref="H46" si="57">F46/F34-1</f>
        <v>0.53133417712293052</v>
      </c>
      <c r="I46" s="130">
        <f t="shared" si="0"/>
        <v>168.20474917588993</v>
      </c>
      <c r="J46" s="130">
        <f t="shared" si="4"/>
        <v>-0.14777486201345869</v>
      </c>
      <c r="K46" s="136">
        <f>R44+R45+R46</f>
        <v>147599089019</v>
      </c>
      <c r="L46" s="190">
        <f>U46/U43-1</f>
        <v>0.56296497979029625</v>
      </c>
      <c r="M46" s="190">
        <f>K46/K34-1</f>
        <v>0.20854311135822878</v>
      </c>
      <c r="N46" s="191">
        <f>AVERAGE(T44:T46)</f>
        <v>210.74658526533605</v>
      </c>
      <c r="O46" s="192">
        <f>N46/N43-1</f>
        <v>0.12816976010996806</v>
      </c>
      <c r="P46" s="129" t="s">
        <v>888</v>
      </c>
      <c r="Q46" s="116">
        <v>39373329</v>
      </c>
      <c r="R46" s="116">
        <v>53967636179</v>
      </c>
      <c r="S46" s="116">
        <v>234079.77</v>
      </c>
      <c r="T46" s="130">
        <f t="shared" ref="T46" si="58">Q46/S46</f>
        <v>168.20474917588993</v>
      </c>
      <c r="U46" s="85">
        <f t="shared" ref="U46:U51" si="59">Q44+Q45+Q46</f>
        <v>104792113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1192746.1739130435</v>
      </c>
      <c r="G47" s="190">
        <f t="shared" ref="G47" si="60">F47/F46-1</f>
        <v>-0.42442821371929651</v>
      </c>
      <c r="H47" s="190">
        <f t="shared" ref="H47" si="61">F47/F35-1</f>
        <v>0.12961168566567349</v>
      </c>
      <c r="I47" s="130">
        <f t="shared" si="0"/>
        <v>183.24375262927484</v>
      </c>
      <c r="J47" s="130">
        <f t="shared" si="4"/>
        <v>-7.7060319343266737E-2</v>
      </c>
      <c r="K47" s="136"/>
      <c r="L47" s="190"/>
      <c r="M47" s="190"/>
      <c r="N47" s="191"/>
      <c r="O47" s="192"/>
      <c r="P47" s="129" t="s">
        <v>1029</v>
      </c>
      <c r="Q47" s="116">
        <v>27433162</v>
      </c>
      <c r="R47" s="116">
        <v>37635649405</v>
      </c>
      <c r="S47" s="116">
        <v>149708.57999999999</v>
      </c>
      <c r="T47" s="130">
        <f t="shared" ref="T47" si="62">Q47/S47</f>
        <v>183.24375262927484</v>
      </c>
      <c r="U47" s="85">
        <f t="shared" si="59"/>
        <v>97686776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1071035.95</v>
      </c>
      <c r="G48" s="190">
        <f t="shared" ref="G48" si="63">F48/F47-1</f>
        <v>-0.10204201579096139</v>
      </c>
      <c r="H48" s="190">
        <f t="shared" ref="H48" si="64">F48/F36-1</f>
        <v>-4.1194596647248005E-2</v>
      </c>
      <c r="I48" s="130">
        <f t="shared" si="0"/>
        <v>232.08683483404616</v>
      </c>
      <c r="J48" s="130">
        <f t="shared" si="4"/>
        <v>0.22368503139236018</v>
      </c>
      <c r="K48" s="136"/>
      <c r="L48" s="190"/>
      <c r="M48" s="190"/>
      <c r="N48" s="191"/>
      <c r="O48" s="192"/>
      <c r="P48" s="129" t="s">
        <v>1070</v>
      </c>
      <c r="Q48" s="116">
        <v>21420719</v>
      </c>
      <c r="R48" s="116">
        <v>29710632896</v>
      </c>
      <c r="S48" s="116">
        <v>92296.14</v>
      </c>
      <c r="T48" s="130">
        <f t="shared" ref="T48" si="65">Q48/S48</f>
        <v>232.08683483404616</v>
      </c>
      <c r="U48" s="85">
        <f t="shared" si="59"/>
        <v>88227210</v>
      </c>
    </row>
    <row r="49" spans="1:26" ht="13.2">
      <c r="A49" s="129" t="s">
        <v>1225</v>
      </c>
      <c r="B49" s="188">
        <f>SUM(F47:F49)</f>
        <v>3767052.1693675886</v>
      </c>
      <c r="C49" s="188">
        <f>AVERAGE(F47:F49)</f>
        <v>1255684.0564558629</v>
      </c>
      <c r="D49" s="190">
        <f>C49/C46-1</f>
        <v>-0.2736429517734843</v>
      </c>
      <c r="E49" s="287">
        <f>C49/C37-1</f>
        <v>8.7828923136109793E-2</v>
      </c>
      <c r="F49" s="136">
        <f>Q49/22</f>
        <v>1503270.0454545454</v>
      </c>
      <c r="G49" s="190">
        <f t="shared" ref="G49" si="66">F49/F48-1</f>
        <v>0.40356637464367595</v>
      </c>
      <c r="H49" s="190">
        <f t="shared" ref="H49" si="67">F49/F37-1</f>
        <v>0.16535658239419271</v>
      </c>
      <c r="I49" s="130">
        <f t="shared" si="0"/>
        <v>241.59442818203451</v>
      </c>
      <c r="J49" s="130">
        <f t="shared" si="4"/>
        <v>0.96899655151992437</v>
      </c>
      <c r="K49" s="136">
        <f>R47+R48+R49</f>
        <v>113284344465</v>
      </c>
      <c r="L49" s="190">
        <f>U49/U46-1</f>
        <v>-0.21820622130216993</v>
      </c>
      <c r="M49" s="190">
        <f>K49/K37-1</f>
        <v>0.17218376982038297</v>
      </c>
      <c r="N49" s="191">
        <f>AVERAGE(T47:T49)</f>
        <v>218.97500521511847</v>
      </c>
      <c r="O49" s="192">
        <f>N49/N46-1</f>
        <v>3.9044143654439756E-2</v>
      </c>
      <c r="P49" s="129" t="s">
        <v>1176</v>
      </c>
      <c r="Q49" s="116">
        <v>33071941</v>
      </c>
      <c r="R49" s="116">
        <v>45938062164</v>
      </c>
      <c r="S49" s="116">
        <v>136890.32999999999</v>
      </c>
      <c r="T49" s="130">
        <f t="shared" ref="T49" si="68">Q49/S49</f>
        <v>241.59442818203451</v>
      </c>
      <c r="U49" s="85">
        <f t="shared" si="59"/>
        <v>81925822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1628407.6666666667</v>
      </c>
      <c r="G50" s="190">
        <f t="shared" ref="G50" si="69">F50/F49-1</f>
        <v>8.3243607221803906E-2</v>
      </c>
      <c r="H50" s="190">
        <f t="shared" ref="H50" si="70">F50/F38-1</f>
        <v>0.68118918969330444</v>
      </c>
      <c r="I50" s="130">
        <f t="shared" ref="I50" si="71">T50</f>
        <v>256.28616073313907</v>
      </c>
      <c r="J50" s="130">
        <f t="shared" ref="J50" si="72">I50/I38-1</f>
        <v>0.65770429810473674</v>
      </c>
      <c r="K50" s="136"/>
      <c r="L50" s="190"/>
      <c r="M50" s="190"/>
      <c r="N50" s="191"/>
      <c r="O50" s="192"/>
      <c r="P50" s="129" t="s">
        <v>1350</v>
      </c>
      <c r="Q50" s="116">
        <v>29311338</v>
      </c>
      <c r="R50" s="116">
        <v>41302384400</v>
      </c>
      <c r="S50" s="116">
        <v>114369.57</v>
      </c>
      <c r="T50" s="130">
        <f t="shared" ref="T50" si="73">Q50/S50</f>
        <v>256.28616073313907</v>
      </c>
      <c r="U50" s="85">
        <f t="shared" si="59"/>
        <v>83803998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1523653.5</v>
      </c>
      <c r="G51" s="190">
        <f t="shared" ref="G51:G52" si="74">F51/F50-1</f>
        <v>-6.4329202576832278E-2</v>
      </c>
      <c r="H51" s="190">
        <f t="shared" ref="H51:H52" si="75">F51/F39-1</f>
        <v>0.28464081538720487</v>
      </c>
      <c r="I51" s="130">
        <f t="shared" ref="I51:I52" si="76">T51</f>
        <v>236.96902745017775</v>
      </c>
      <c r="J51" s="130">
        <f t="shared" ref="J51:J52" si="77">I51/I39-1</f>
        <v>2.2413057778452132</v>
      </c>
      <c r="K51" s="136"/>
      <c r="L51" s="190"/>
      <c r="M51" s="190"/>
      <c r="N51" s="191"/>
      <c r="O51" s="192"/>
      <c r="P51" s="129" t="s">
        <v>1402</v>
      </c>
      <c r="Q51" s="116">
        <v>30473070</v>
      </c>
      <c r="R51" s="116">
        <v>44111299055</v>
      </c>
      <c r="S51" s="116">
        <v>128595.16</v>
      </c>
      <c r="T51" s="130">
        <f t="shared" ref="T51:T52" si="78">Q51/S51</f>
        <v>236.96902745017775</v>
      </c>
      <c r="U51" s="85">
        <f t="shared" si="59"/>
        <v>92856349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4697839.666666667</v>
      </c>
      <c r="C52" s="188">
        <f>AVERAGE(F50:F52)</f>
        <v>1565946.5555555557</v>
      </c>
      <c r="D52" s="190">
        <f>C52/C49-1</f>
        <v>0.24708643667532182</v>
      </c>
      <c r="E52" s="287">
        <f>C52/C40-1</f>
        <v>0.32627996324929165</v>
      </c>
      <c r="F52" s="136">
        <f>Q52/22</f>
        <v>1545778.5</v>
      </c>
      <c r="G52" s="190">
        <f t="shared" si="74"/>
        <v>1.4521018066115499E-2</v>
      </c>
      <c r="H52" s="190">
        <f t="shared" si="75"/>
        <v>0.11410759244452251</v>
      </c>
      <c r="I52" s="130">
        <f t="shared" si="76"/>
        <v>147.2530291827247</v>
      </c>
      <c r="J52" s="130">
        <f t="shared" si="77"/>
        <v>0.33400933910423269</v>
      </c>
      <c r="K52" s="136">
        <f>R50+R51+R52</f>
        <v>135470570884</v>
      </c>
      <c r="L52" s="190">
        <f>U52/U49-1</f>
        <v>0.14483483607891046</v>
      </c>
      <c r="M52" s="190">
        <f>K52/K40-1</f>
        <v>0.32769127500035111</v>
      </c>
      <c r="N52" s="191">
        <f>AVERAGE(T50:T52)</f>
        <v>213.50273912201385</v>
      </c>
      <c r="O52" s="192">
        <f>N52/N49-1</f>
        <v>-2.4990368593569512E-2</v>
      </c>
      <c r="P52" s="129" t="s">
        <v>1403</v>
      </c>
      <c r="Q52" s="116">
        <v>34007127</v>
      </c>
      <c r="R52" s="116">
        <v>50056887429</v>
      </c>
      <c r="S52" s="116">
        <v>230943.48</v>
      </c>
      <c r="T52" s="130">
        <f t="shared" si="78"/>
        <v>147.2530291827247</v>
      </c>
      <c r="U52" s="85">
        <f t="shared" ref="U52" si="79">Q50+Q51+Q52</f>
        <v>93791535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1506309.3333333333</v>
      </c>
      <c r="G53" s="190">
        <f t="shared" ref="G53" si="80">F53/F52-1</f>
        <v>-2.5533520272579047E-2</v>
      </c>
      <c r="H53" s="190">
        <f t="shared" ref="H53" si="81">F53/F41-1</f>
        <v>0.45749036951952782</v>
      </c>
      <c r="I53" s="130">
        <f t="shared" ref="I53" si="82">T53</f>
        <v>138.9129633817785</v>
      </c>
      <c r="J53" s="130">
        <f t="shared" ref="J53" si="83">I53/I41-1</f>
        <v>-0.23363365783557533</v>
      </c>
      <c r="K53" s="136"/>
      <c r="L53" s="190"/>
      <c r="M53" s="190"/>
      <c r="N53" s="191"/>
      <c r="O53" s="192"/>
      <c r="P53" s="129" t="s">
        <v>1414</v>
      </c>
      <c r="Q53" s="116">
        <v>31632496</v>
      </c>
      <c r="R53" s="116">
        <v>46068288771</v>
      </c>
      <c r="S53" s="116">
        <v>227714.5</v>
      </c>
      <c r="T53" s="130">
        <f t="shared" ref="T53" si="84">Q53/S53</f>
        <v>138.9129633817785</v>
      </c>
      <c r="U53" s="85">
        <f t="shared" ref="U53" si="85">Q51+Q52+Q53</f>
        <v>96112693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1653360.8235294118</v>
      </c>
      <c r="G54" s="190">
        <f t="shared" ref="G54" si="86">F54/F53-1</f>
        <v>9.7623699821779875E-2</v>
      </c>
      <c r="H54" s="190">
        <f t="shared" ref="H54" si="87">F54/F42-1</f>
        <v>0.28406695520886105</v>
      </c>
      <c r="I54" s="130">
        <f t="shared" ref="I54" si="88">T54</f>
        <v>194.66925845820631</v>
      </c>
      <c r="J54" s="130">
        <f t="shared" ref="J54" si="89">I54/I42-1</f>
        <v>0.10267317373231633</v>
      </c>
      <c r="K54" s="136"/>
      <c r="L54" s="190"/>
      <c r="M54" s="190"/>
      <c r="N54" s="191"/>
      <c r="O54" s="192"/>
      <c r="P54" s="129" t="s">
        <v>1417</v>
      </c>
      <c r="Q54" s="116">
        <v>28107134</v>
      </c>
      <c r="R54" s="116">
        <v>40709492290</v>
      </c>
      <c r="S54" s="116">
        <v>144384.04</v>
      </c>
      <c r="T54" s="130">
        <f t="shared" ref="T54" si="90">Q54/S54</f>
        <v>194.66925845820631</v>
      </c>
      <c r="U54" s="85">
        <f t="shared" ref="U54" si="91">Q52+Q53+Q54</f>
        <v>93746757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5399900.3473389354</v>
      </c>
      <c r="C55" s="188">
        <f>AVERAGE(F53:F55)</f>
        <v>1799966.7824463118</v>
      </c>
      <c r="D55" s="190">
        <f>C55/C52-1</f>
        <v>0.14944330383467785</v>
      </c>
      <c r="E55" s="287">
        <f>C55/C43-1</f>
        <v>0.56260702431283005</v>
      </c>
      <c r="F55" s="136">
        <f>Q55/21</f>
        <v>2240230.1904761903</v>
      </c>
      <c r="G55" s="190">
        <f t="shared" ref="G55" si="92">F55/F54-1</f>
        <v>0.35495540876189069</v>
      </c>
      <c r="H55" s="190">
        <f t="shared" ref="H55" si="93">F55/F43-1</f>
        <v>0.97445432371086138</v>
      </c>
      <c r="I55" s="130">
        <f>T55</f>
        <v>185.74076774911401</v>
      </c>
      <c r="J55" s="130">
        <f t="shared" ref="J55" si="94">I55/I43-1</f>
        <v>-8.3246250705169778E-2</v>
      </c>
      <c r="K55" s="136">
        <f>R53+R54+R55</f>
        <v>156127903733</v>
      </c>
      <c r="L55" s="190">
        <f>U55/U52-1</f>
        <v>0.13852986839377346</v>
      </c>
      <c r="M55" s="190">
        <f>K55/K43-1</f>
        <v>0.60414940867152467</v>
      </c>
      <c r="N55" s="191">
        <f>AVERAGE(T53:T55)</f>
        <v>173.10766319636627</v>
      </c>
      <c r="O55" s="192">
        <f>N55/N52-1</f>
        <v>-0.18920167531228882</v>
      </c>
      <c r="P55" s="129" t="s">
        <v>1418</v>
      </c>
      <c r="Q55" s="116">
        <v>47044834</v>
      </c>
      <c r="R55" s="116">
        <v>69350122672</v>
      </c>
      <c r="S55" s="116">
        <v>253282.22</v>
      </c>
      <c r="T55" s="130">
        <f t="shared" ref="T55" si="95">Q55/S55</f>
        <v>185.74076774911401</v>
      </c>
      <c r="U55" s="85">
        <f t="shared" ref="U55" si="96">Q53+Q54+Q55</f>
        <v>106784464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3236055.0454545454</v>
      </c>
      <c r="G56" s="190">
        <f t="shared" ref="G56" si="97">F56/F55-1</f>
        <v>0.44451898702725701</v>
      </c>
      <c r="H56" s="190">
        <f t="shared" ref="H56" si="98">F56/F44-1</f>
        <v>1.0612711339887699</v>
      </c>
      <c r="I56" s="291">
        <f>T56</f>
        <v>180.32596215291127</v>
      </c>
      <c r="J56" s="130">
        <f t="shared" ref="J56" si="99">I56/I44-1</f>
        <v>-0.23157758201214018</v>
      </c>
      <c r="K56" s="136"/>
      <c r="L56" s="190"/>
      <c r="M56" s="190"/>
      <c r="N56" s="191"/>
      <c r="O56" s="192"/>
      <c r="P56" s="129" t="s">
        <v>1420</v>
      </c>
      <c r="Q56" s="116">
        <v>71193211</v>
      </c>
      <c r="R56" s="116">
        <v>106279866932</v>
      </c>
      <c r="S56" s="116">
        <v>394802.89</v>
      </c>
      <c r="T56" s="130">
        <f t="shared" ref="T56" si="100">Q56/S56</f>
        <v>180.32596215291127</v>
      </c>
      <c r="U56" s="85">
        <f t="shared" ref="U56" si="101">Q54+Q55+Q56</f>
        <v>146345179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2083892.9166666667</v>
      </c>
      <c r="G57" s="254">
        <f t="shared" ref="G57" si="102">F57/F56-1</f>
        <v>-0.35603910088187107</v>
      </c>
      <c r="H57" s="254">
        <f t="shared" ref="H57" si="103">F57/F45-1</f>
        <v>0.3496591217773195</v>
      </c>
      <c r="I57" s="282">
        <f>T57</f>
        <v>179.40229164342537</v>
      </c>
      <c r="J57" s="277">
        <f t="shared" ref="J57" si="104">I57/I45-1</f>
        <v>-0.21782937815610315</v>
      </c>
      <c r="K57" s="204"/>
      <c r="L57" s="254"/>
      <c r="M57" s="254"/>
      <c r="N57" s="257"/>
      <c r="O57" s="258"/>
      <c r="P57" s="129" t="s">
        <v>1436</v>
      </c>
      <c r="Q57" s="116">
        <v>25006715</v>
      </c>
      <c r="R57" s="116">
        <v>36824776283</v>
      </c>
      <c r="S57" s="116">
        <v>139389.04999999999</v>
      </c>
      <c r="T57" s="130">
        <f t="shared" ref="T57" si="105">Q57/S57</f>
        <v>179.40229164342537</v>
      </c>
      <c r="U57" s="85">
        <f t="shared" ref="U57" si="106">Q55+Q56+Q57</f>
        <v>143244760</v>
      </c>
      <c r="V57" s="79"/>
      <c r="W57" s="79"/>
      <c r="X57" s="79"/>
      <c r="Y57" s="79"/>
      <c r="Z57" s="79"/>
    </row>
    <row r="58" spans="1:26">
      <c r="B58" s="196">
        <f>SUM(F56:F58)</f>
        <v>5319947.9621212119</v>
      </c>
      <c r="C58" s="196">
        <f>AVERAGE(F56:F58)</f>
        <v>2659973.981060606</v>
      </c>
      <c r="D58" s="197">
        <f>C58/C55-1</f>
        <v>0.47779059424945025</v>
      </c>
      <c r="E58" s="233">
        <f>C58/C46-1</f>
        <v>0.53867594265375485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202984390</v>
      </c>
      <c r="R67" s="212">
        <v>299232546948</v>
      </c>
      <c r="S67" s="213">
        <v>1159572.72</v>
      </c>
      <c r="T67" s="214">
        <v>770</v>
      </c>
      <c r="U67" s="214">
        <v>1580</v>
      </c>
    </row>
    <row r="68" spans="16:21" ht="18" thickBot="1">
      <c r="P68" s="180" t="s">
        <v>976</v>
      </c>
      <c r="Q68" s="181">
        <v>31632496</v>
      </c>
      <c r="R68" s="181">
        <v>46068288771</v>
      </c>
      <c r="S68" s="182">
        <v>227714.5</v>
      </c>
      <c r="T68" s="210">
        <v>363</v>
      </c>
      <c r="U68" s="210">
        <v>682</v>
      </c>
    </row>
    <row r="69" spans="16:21" ht="18" thickBot="1">
      <c r="P69" s="180" t="s">
        <v>977</v>
      </c>
      <c r="Q69" s="181">
        <v>28107134</v>
      </c>
      <c r="R69" s="181">
        <v>40709492290</v>
      </c>
      <c r="S69" s="182">
        <v>144384.04</v>
      </c>
      <c r="T69" s="210">
        <v>311</v>
      </c>
      <c r="U69" s="210">
        <v>557</v>
      </c>
    </row>
    <row r="70" spans="16:21" ht="18" thickBot="1">
      <c r="P70" s="180" t="s">
        <v>978</v>
      </c>
      <c r="Q70" s="181">
        <v>47044834</v>
      </c>
      <c r="R70" s="181">
        <v>69350122672</v>
      </c>
      <c r="S70" s="182">
        <v>253282.22</v>
      </c>
      <c r="T70" s="210">
        <v>377</v>
      </c>
      <c r="U70" s="210">
        <v>664</v>
      </c>
    </row>
    <row r="71" spans="16:21" ht="18" thickBot="1">
      <c r="P71" s="180" t="s">
        <v>979</v>
      </c>
      <c r="Q71" s="181">
        <v>71193211</v>
      </c>
      <c r="R71" s="181">
        <v>106279866932</v>
      </c>
      <c r="S71" s="182">
        <v>394802.89</v>
      </c>
      <c r="T71" s="210">
        <v>382</v>
      </c>
      <c r="U71" s="210">
        <v>724</v>
      </c>
    </row>
    <row r="72" spans="16:21" ht="18" thickBot="1">
      <c r="P72" s="180" t="s">
        <v>980</v>
      </c>
      <c r="Q72" s="181">
        <v>25006715</v>
      </c>
      <c r="R72" s="181">
        <v>36824776283</v>
      </c>
      <c r="S72" s="182">
        <v>139389.04999999999</v>
      </c>
      <c r="T72" s="210">
        <v>304</v>
      </c>
      <c r="U72" s="210">
        <v>504</v>
      </c>
    </row>
    <row r="73" spans="16:21" ht="18" thickBot="1">
      <c r="P73" s="215" t="s">
        <v>975</v>
      </c>
      <c r="Q73" s="216">
        <v>347608649</v>
      </c>
      <c r="R73"/>
      <c r="S73"/>
      <c r="T73"/>
      <c r="U73"/>
    </row>
    <row r="74" spans="16:21" ht="18" thickBot="1">
      <c r="P74" s="180" t="s">
        <v>1386</v>
      </c>
      <c r="Q74" s="181">
        <v>325101410</v>
      </c>
      <c r="R74" s="210"/>
      <c r="S74"/>
      <c r="T74"/>
      <c r="U74"/>
    </row>
  </sheetData>
  <phoneticPr fontId="1" type="noConversion"/>
  <conditionalFormatting sqref="C29:C30">
    <cfRule type="cellIs" dxfId="8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72"/>
  <dimension ref="A1:Z72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3.0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580931.80000000005</v>
      </c>
      <c r="G5" s="90"/>
      <c r="H5" s="90"/>
      <c r="I5" s="130">
        <f t="shared" ref="I5:I49" si="0">T5</f>
        <v>1.739209560340035</v>
      </c>
      <c r="J5" s="130"/>
      <c r="L5" s="80"/>
      <c r="M5" s="80"/>
      <c r="P5" s="129" t="s">
        <v>0</v>
      </c>
      <c r="Q5" s="116">
        <v>11618636</v>
      </c>
      <c r="R5" s="116"/>
      <c r="S5" s="116">
        <v>6680411.7599999998</v>
      </c>
      <c r="T5" s="130">
        <f t="shared" ref="T5:T24" si="1">Q5/S5</f>
        <v>1.739209560340035</v>
      </c>
      <c r="U5" s="85"/>
    </row>
    <row r="6" spans="1:21" ht="15" hidden="1" customHeight="1">
      <c r="A6" s="129" t="s">
        <v>1</v>
      </c>
      <c r="C6" s="79"/>
      <c r="F6" s="78">
        <f>Q6/18</f>
        <v>541327.5</v>
      </c>
      <c r="G6" s="90">
        <f t="shared" ref="G6:G24" si="2">F6/F5-1</f>
        <v>-6.8173751204530397E-2</v>
      </c>
      <c r="H6" s="90"/>
      <c r="I6" s="130">
        <f t="shared" si="0"/>
        <v>1.5452494570226851</v>
      </c>
      <c r="J6" s="130"/>
      <c r="P6" s="129" t="s">
        <v>1</v>
      </c>
      <c r="Q6" s="116">
        <v>9743895</v>
      </c>
      <c r="R6" s="116"/>
      <c r="S6" s="116">
        <v>6305710.0300000003</v>
      </c>
      <c r="T6" s="130">
        <f t="shared" si="1"/>
        <v>1.5452494570226851</v>
      </c>
      <c r="U6" s="85"/>
    </row>
    <row r="7" spans="1:21" ht="15" hidden="1" customHeight="1">
      <c r="A7" s="129" t="s">
        <v>2</v>
      </c>
      <c r="B7" s="131">
        <f>F5+F6+F7</f>
        <v>1626141.2545454546</v>
      </c>
      <c r="C7" s="131">
        <f>AVERAGE(F5:F7)</f>
        <v>542047.08484848484</v>
      </c>
      <c r="F7" s="78">
        <f>Q7/22</f>
        <v>503881.95454545453</v>
      </c>
      <c r="G7" s="90">
        <f t="shared" si="2"/>
        <v>-6.9173551047278181E-2</v>
      </c>
      <c r="H7" s="90"/>
      <c r="I7" s="130">
        <f t="shared" si="0"/>
        <v>1.3301623751116831</v>
      </c>
      <c r="J7" s="130"/>
      <c r="K7" s="79">
        <f>R5+R6+R7</f>
        <v>0</v>
      </c>
      <c r="N7" s="88">
        <f>AVERAGE(T5:T7)</f>
        <v>1.5382071308248009</v>
      </c>
      <c r="P7" s="129" t="s">
        <v>2</v>
      </c>
      <c r="Q7" s="116">
        <v>11085403</v>
      </c>
      <c r="R7" s="116"/>
      <c r="S7" s="116">
        <v>8333872.0199999996</v>
      </c>
      <c r="T7" s="130">
        <f t="shared" si="1"/>
        <v>1.3301623751116831</v>
      </c>
      <c r="U7" s="85">
        <f>Q5+Q6+Q7</f>
        <v>32447934</v>
      </c>
    </row>
    <row r="8" spans="1:21" ht="15" hidden="1" customHeight="1">
      <c r="A8" s="129" t="s">
        <v>3</v>
      </c>
      <c r="C8" s="79"/>
      <c r="F8" s="78">
        <f>Q8/21</f>
        <v>512504.28571428574</v>
      </c>
      <c r="G8" s="90">
        <f t="shared" si="2"/>
        <v>1.7111807817387081E-2</v>
      </c>
      <c r="H8" s="90"/>
      <c r="I8" s="130">
        <f t="shared" si="0"/>
        <v>1.3412978110875753</v>
      </c>
      <c r="J8" s="130"/>
      <c r="K8" s="78"/>
      <c r="P8" s="129" t="s">
        <v>3</v>
      </c>
      <c r="Q8" s="116">
        <v>10762590</v>
      </c>
      <c r="R8" s="116"/>
      <c r="S8" s="116">
        <v>8024012.2000000002</v>
      </c>
      <c r="T8" s="130">
        <f t="shared" si="1"/>
        <v>1.3412978110875753</v>
      </c>
      <c r="U8" s="85"/>
    </row>
    <row r="9" spans="1:21" ht="15" hidden="1" customHeight="1">
      <c r="A9" s="129" t="s">
        <v>4</v>
      </c>
      <c r="C9" s="79"/>
      <c r="F9" s="78">
        <f>Q9/21</f>
        <v>525113.19047619053</v>
      </c>
      <c r="G9" s="90">
        <f t="shared" si="2"/>
        <v>2.4602535263352099E-2</v>
      </c>
      <c r="H9" s="90"/>
      <c r="I9" s="130">
        <f t="shared" si="0"/>
        <v>1.5453616244903756</v>
      </c>
      <c r="J9" s="130"/>
      <c r="K9" s="78"/>
      <c r="P9" s="129" t="s">
        <v>4</v>
      </c>
      <c r="Q9" s="116">
        <v>11027377</v>
      </c>
      <c r="R9" s="116"/>
      <c r="S9" s="116">
        <v>7135790.6299999999</v>
      </c>
      <c r="T9" s="130">
        <f t="shared" si="1"/>
        <v>1.5453616244903756</v>
      </c>
      <c r="U9" s="85"/>
    </row>
    <row r="10" spans="1:21" ht="15" hidden="1" customHeight="1">
      <c r="A10" s="129" t="s">
        <v>5</v>
      </c>
      <c r="B10" s="131">
        <f>F8+F9+F10</f>
        <v>1554597</v>
      </c>
      <c r="C10" s="131">
        <f>AVERAGE(F8:F10)</f>
        <v>518199</v>
      </c>
      <c r="D10" s="90">
        <f>C10/C7-1</f>
        <v>-4.3996334479228794E-2</v>
      </c>
      <c r="E10" s="286"/>
      <c r="F10" s="78">
        <f>Q10/21</f>
        <v>516979.52380952379</v>
      </c>
      <c r="G10" s="90">
        <f t="shared" si="2"/>
        <v>-1.5489358892871952E-2</v>
      </c>
      <c r="H10" s="90"/>
      <c r="I10" s="130">
        <f t="shared" si="0"/>
        <v>1.7384055570013486</v>
      </c>
      <c r="J10" s="130"/>
      <c r="K10" s="79">
        <f>R8+R9+R10</f>
        <v>0</v>
      </c>
      <c r="L10" s="87">
        <f>U10/U7-1</f>
        <v>6.1206670353803894E-3</v>
      </c>
      <c r="N10" s="88">
        <f>AVERAGE(T8:T10)</f>
        <v>1.5416883308597666</v>
      </c>
      <c r="O10" s="89">
        <f>N10/N7-1</f>
        <v>2.2631542691518014E-3</v>
      </c>
      <c r="P10" s="129" t="s">
        <v>5</v>
      </c>
      <c r="Q10" s="116">
        <v>10856570</v>
      </c>
      <c r="R10" s="116"/>
      <c r="S10" s="116">
        <v>6245130.75</v>
      </c>
      <c r="T10" s="130">
        <f t="shared" si="1"/>
        <v>1.7384055570013486</v>
      </c>
      <c r="U10" s="85">
        <f>Q8+Q9+Q10</f>
        <v>32646537</v>
      </c>
    </row>
    <row r="11" spans="1:21" ht="15" hidden="1" customHeight="1">
      <c r="A11" s="129" t="s">
        <v>6</v>
      </c>
      <c r="C11" s="79"/>
      <c r="F11" s="78">
        <f>Q11/21</f>
        <v>528108.42857142852</v>
      </c>
      <c r="G11" s="90">
        <f t="shared" si="2"/>
        <v>2.1526780557763692E-2</v>
      </c>
      <c r="H11" s="90"/>
      <c r="I11" s="130">
        <f t="shared" si="0"/>
        <v>1.5761312585017295</v>
      </c>
      <c r="J11" s="130"/>
      <c r="K11" s="78"/>
      <c r="O11" s="89"/>
      <c r="P11" s="129" t="s">
        <v>6</v>
      </c>
      <c r="Q11" s="116">
        <v>11090277</v>
      </c>
      <c r="R11" s="116"/>
      <c r="S11" s="116">
        <v>7036391.7599999998</v>
      </c>
      <c r="T11" s="130">
        <f t="shared" si="1"/>
        <v>1.5761312585017295</v>
      </c>
      <c r="U11" s="85"/>
    </row>
    <row r="12" spans="1:21" ht="15" hidden="1" customHeight="1">
      <c r="A12" s="129" t="s">
        <v>7</v>
      </c>
      <c r="C12" s="79"/>
      <c r="F12" s="78">
        <f>Q12/22</f>
        <v>480788.5</v>
      </c>
      <c r="G12" s="90">
        <f t="shared" si="2"/>
        <v>-8.9602676290231442E-2</v>
      </c>
      <c r="H12" s="90"/>
      <c r="I12" s="130">
        <f t="shared" si="0"/>
        <v>1.7548110019480021</v>
      </c>
      <c r="J12" s="130"/>
      <c r="K12" s="78"/>
      <c r="O12" s="89"/>
      <c r="P12" s="129" t="s">
        <v>7</v>
      </c>
      <c r="Q12" s="116">
        <v>10577347</v>
      </c>
      <c r="R12" s="116"/>
      <c r="S12" s="116">
        <v>6027627.4699999997</v>
      </c>
      <c r="T12" s="130">
        <f t="shared" si="1"/>
        <v>1.7548110019480021</v>
      </c>
      <c r="U12" s="85"/>
    </row>
    <row r="13" spans="1:21" ht="15" hidden="1" customHeight="1">
      <c r="A13" s="129" t="s">
        <v>96</v>
      </c>
      <c r="B13" s="131">
        <f>F11+F12+F13</f>
        <v>1537611.6785714286</v>
      </c>
      <c r="C13" s="131">
        <f>AVERAGE(F11:F13)</f>
        <v>512537.22619047621</v>
      </c>
      <c r="D13" s="90">
        <f>C13/C10-1</f>
        <v>-1.0925867879953088E-2</v>
      </c>
      <c r="E13" s="286"/>
      <c r="F13" s="78">
        <f>Q13/20</f>
        <v>528714.75</v>
      </c>
      <c r="G13" s="90">
        <f t="shared" si="2"/>
        <v>9.9682604721202717E-2</v>
      </c>
      <c r="H13" s="90"/>
      <c r="I13" s="130">
        <f t="shared" si="0"/>
        <v>1.7038369692582311</v>
      </c>
      <c r="J13" s="130"/>
      <c r="K13" s="78">
        <f>R11+R12+R13</f>
        <v>0</v>
      </c>
      <c r="L13" s="87">
        <f>U13/U10-1</f>
        <v>-1.2393902605963958E-2</v>
      </c>
      <c r="N13" s="88">
        <f>AVERAGE(T11:T13)</f>
        <v>1.6782597432359874</v>
      </c>
      <c r="O13" s="89">
        <f>N13/N10-1</f>
        <v>8.858561723695324E-2</v>
      </c>
      <c r="P13" s="129" t="s">
        <v>96</v>
      </c>
      <c r="Q13" s="116">
        <v>10574295</v>
      </c>
      <c r="R13" s="116"/>
      <c r="S13" s="116">
        <v>6206165.96</v>
      </c>
      <c r="T13" s="130">
        <f t="shared" si="1"/>
        <v>1.7038369692582311</v>
      </c>
      <c r="U13" s="85">
        <f>Q11+Q12+Q13</f>
        <v>32241919</v>
      </c>
    </row>
    <row r="14" spans="1:21" ht="15" hidden="1" customHeight="1">
      <c r="A14" s="129" t="s">
        <v>97</v>
      </c>
      <c r="C14" s="79"/>
      <c r="F14" s="78">
        <f>Q14/20</f>
        <v>526378.55000000005</v>
      </c>
      <c r="G14" s="90">
        <f t="shared" si="2"/>
        <v>-4.4186397296461788E-3</v>
      </c>
      <c r="H14" s="90"/>
      <c r="I14" s="130">
        <f t="shared" si="0"/>
        <v>1.5482981895398902</v>
      </c>
      <c r="J14" s="130"/>
      <c r="O14" s="89"/>
      <c r="P14" s="129" t="s">
        <v>97</v>
      </c>
      <c r="Q14" s="116">
        <v>10527571</v>
      </c>
      <c r="R14" s="116"/>
      <c r="S14" s="116">
        <v>6799446.6900000004</v>
      </c>
      <c r="T14" s="130">
        <f t="shared" si="1"/>
        <v>1.5482981895398902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440829.68181818182</v>
      </c>
      <c r="G15" s="90">
        <f t="shared" si="2"/>
        <v>-0.16252346943434193</v>
      </c>
      <c r="H15" s="90"/>
      <c r="I15" s="130">
        <f t="shared" si="0"/>
        <v>1.7457928807735916</v>
      </c>
      <c r="J15" s="130"/>
      <c r="O15" s="89"/>
      <c r="P15" s="129" t="s">
        <v>98</v>
      </c>
      <c r="Q15" s="116">
        <v>9698253</v>
      </c>
      <c r="R15" s="116"/>
      <c r="S15" s="116">
        <v>5555213.9699999997</v>
      </c>
      <c r="T15" s="130">
        <f t="shared" si="1"/>
        <v>1.7457928807735916</v>
      </c>
      <c r="U15" s="78"/>
    </row>
    <row r="16" spans="1:21" ht="15" hidden="1" customHeight="1">
      <c r="A16" s="129" t="s">
        <v>99</v>
      </c>
      <c r="B16" s="131">
        <f>F14+F15+F16</f>
        <v>1425887.2772727273</v>
      </c>
      <c r="C16" s="131">
        <f>AVERAGE(F14:F16)</f>
        <v>475295.75909090909</v>
      </c>
      <c r="D16" s="90">
        <f>C16/C13-1</f>
        <v>-7.2660999428999395E-2</v>
      </c>
      <c r="E16" s="286"/>
      <c r="F16" s="78">
        <f>Q16/22</f>
        <v>458679.04545454547</v>
      </c>
      <c r="G16" s="90">
        <f t="shared" si="2"/>
        <v>4.0490385227112569E-2</v>
      </c>
      <c r="H16" s="90"/>
      <c r="I16" s="130">
        <f t="shared" si="0"/>
        <v>1.6062187345946082</v>
      </c>
      <c r="J16" s="130"/>
      <c r="K16" s="78">
        <f>R14+R15+R16</f>
        <v>0</v>
      </c>
      <c r="L16" s="87">
        <f>U16/U13-1</f>
        <v>-5.9709721372353752E-2</v>
      </c>
      <c r="N16" s="88">
        <f>AVERAGE(T14:T16)</f>
        <v>1.6334366016360302</v>
      </c>
      <c r="O16" s="89">
        <f>N16/N13-1</f>
        <v>-2.6708107478959131E-2</v>
      </c>
      <c r="P16" s="129" t="s">
        <v>99</v>
      </c>
      <c r="Q16" s="116">
        <v>10090939</v>
      </c>
      <c r="R16" s="116"/>
      <c r="S16" s="116">
        <v>6282418.9400000004</v>
      </c>
      <c r="T16" s="130">
        <f t="shared" si="1"/>
        <v>1.6062187345946082</v>
      </c>
      <c r="U16" s="85">
        <f>Q14+Q15+Q16</f>
        <v>30316763</v>
      </c>
    </row>
    <row r="17" spans="1:21" ht="15" hidden="1" customHeight="1">
      <c r="A17" s="129" t="s">
        <v>100</v>
      </c>
      <c r="C17" s="79"/>
      <c r="F17" s="78">
        <f>Q17/20</f>
        <v>457658.65</v>
      </c>
      <c r="G17" s="90">
        <f t="shared" si="2"/>
        <v>-2.2246393521950791E-3</v>
      </c>
      <c r="H17" s="90">
        <f t="shared" ref="H17:H24" si="3">F17/F5-1</f>
        <v>-0.21219900511557466</v>
      </c>
      <c r="I17" s="130">
        <f t="shared" si="0"/>
        <v>5.0399427876816745</v>
      </c>
      <c r="J17" s="130">
        <f t="shared" ref="J17:J49" si="4">I17/I5-1</f>
        <v>1.8978352595395744</v>
      </c>
      <c r="O17" s="89"/>
      <c r="P17" s="129" t="s">
        <v>100</v>
      </c>
      <c r="Q17" s="116">
        <v>9153173</v>
      </c>
      <c r="R17" s="116">
        <v>11494443613</v>
      </c>
      <c r="S17" s="116">
        <v>1816126.37</v>
      </c>
      <c r="T17" s="130">
        <f t="shared" si="1"/>
        <v>5.0399427876816745</v>
      </c>
      <c r="U17" s="78"/>
    </row>
    <row r="18" spans="1:21" ht="15" hidden="1" customHeight="1">
      <c r="A18" s="129" t="s">
        <v>106</v>
      </c>
      <c r="C18" s="79"/>
      <c r="F18" s="78">
        <f>Q18/20</f>
        <v>634727.94999999995</v>
      </c>
      <c r="G18" s="90">
        <f t="shared" si="2"/>
        <v>0.3869025528087362</v>
      </c>
      <c r="H18" s="90">
        <f t="shared" si="3"/>
        <v>0.17253963635691871</v>
      </c>
      <c r="I18" s="130">
        <f t="shared" si="0"/>
        <v>5.0344584663489149</v>
      </c>
      <c r="J18" s="130">
        <f t="shared" si="4"/>
        <v>2.258023125954741</v>
      </c>
      <c r="O18" s="89"/>
      <c r="P18" s="129" t="s">
        <v>106</v>
      </c>
      <c r="Q18" s="116">
        <v>12694559</v>
      </c>
      <c r="R18" s="116">
        <v>15910101686</v>
      </c>
      <c r="S18" s="116">
        <v>2521534.16</v>
      </c>
      <c r="T18" s="130">
        <f t="shared" si="1"/>
        <v>5.0344584663489149</v>
      </c>
      <c r="U18" s="78"/>
    </row>
    <row r="19" spans="1:21" hidden="1">
      <c r="A19" s="129" t="s">
        <v>114</v>
      </c>
      <c r="B19" s="131">
        <f>SUM(F17:F19)</f>
        <v>1703438.4636363639</v>
      </c>
      <c r="C19" s="131">
        <f>AVERAGE(F17:F19)</f>
        <v>567812.82121212129</v>
      </c>
      <c r="D19" s="90">
        <f>C19/C16-1</f>
        <v>0.19465156242540038</v>
      </c>
      <c r="E19" s="286">
        <f>C19/C7-1</f>
        <v>4.7534129568907346E-2</v>
      </c>
      <c r="F19" s="78">
        <f>Q19/22</f>
        <v>611051.86363636365</v>
      </c>
      <c r="G19" s="90">
        <f t="shared" si="2"/>
        <v>-3.7301156130963409E-2</v>
      </c>
      <c r="H19" s="90">
        <f t="shared" si="3"/>
        <v>0.2126885238182139</v>
      </c>
      <c r="I19" s="130">
        <f t="shared" si="0"/>
        <v>4.8816617070428716</v>
      </c>
      <c r="J19" s="130">
        <f t="shared" si="4"/>
        <v>2.6699742816233223</v>
      </c>
      <c r="K19" s="78">
        <f>R17+R18+R19</f>
        <v>44985001061</v>
      </c>
      <c r="L19" s="87">
        <f>U19/U16-1</f>
        <v>0.16407127634305807</v>
      </c>
      <c r="M19" s="87">
        <f>U19/U7-1</f>
        <v>8.761540873449758E-2</v>
      </c>
      <c r="N19" s="88">
        <f>AVERAGE(T17:T19)</f>
        <v>4.9853543203578203</v>
      </c>
      <c r="O19" s="89">
        <f>N19/N16-1</f>
        <v>2.0520647788622774</v>
      </c>
      <c r="P19" s="129" t="s">
        <v>115</v>
      </c>
      <c r="Q19" s="116">
        <v>13443141</v>
      </c>
      <c r="R19" s="116">
        <v>17580455762</v>
      </c>
      <c r="S19" s="116">
        <v>2753804.3</v>
      </c>
      <c r="T19" s="130">
        <f t="shared" si="1"/>
        <v>4.8816617070428716</v>
      </c>
      <c r="U19" s="85">
        <f>Q17+Q18+Q19</f>
        <v>35290873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614412.69999999995</v>
      </c>
      <c r="G20" s="90">
        <f t="shared" si="2"/>
        <v>5.5000836486054361E-3</v>
      </c>
      <c r="H20" s="90">
        <f t="shared" si="3"/>
        <v>0.19884402360398368</v>
      </c>
      <c r="I20" s="130">
        <f t="shared" si="0"/>
        <v>5.1448388098755027</v>
      </c>
      <c r="J20" s="130">
        <f t="shared" si="4"/>
        <v>2.8357169953955803</v>
      </c>
      <c r="O20" s="89"/>
      <c r="P20" s="129" t="s">
        <v>132</v>
      </c>
      <c r="Q20" s="116">
        <v>12288254</v>
      </c>
      <c r="R20" s="116">
        <v>16110626359</v>
      </c>
      <c r="S20" s="116">
        <v>2388462.39</v>
      </c>
      <c r="T20" s="130">
        <f t="shared" si="1"/>
        <v>5.1448388098755027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594088.95238095243</v>
      </c>
      <c r="G21" s="90">
        <f t="shared" si="2"/>
        <v>-3.3078332558958423E-2</v>
      </c>
      <c r="H21" s="90">
        <f t="shared" si="3"/>
        <v>0.13135408356855849</v>
      </c>
      <c r="I21" s="130">
        <f t="shared" si="0"/>
        <v>5.1080691719641775</v>
      </c>
      <c r="J21" s="130">
        <f t="shared" si="4"/>
        <v>2.3054199683835814</v>
      </c>
      <c r="O21" s="89"/>
      <c r="P21" s="129" t="s">
        <v>142</v>
      </c>
      <c r="Q21" s="116">
        <v>12475868</v>
      </c>
      <c r="R21" s="116">
        <v>16608292166</v>
      </c>
      <c r="S21" s="116">
        <v>2442384.31</v>
      </c>
      <c r="T21" s="130">
        <f t="shared" si="1"/>
        <v>5.1080691719641775</v>
      </c>
      <c r="U21" s="78"/>
    </row>
    <row r="22" spans="1:21" hidden="1">
      <c r="A22" s="129" t="s">
        <v>156</v>
      </c>
      <c r="B22" s="131">
        <f>SUM(F20:F22)</f>
        <v>1941901.3666666667</v>
      </c>
      <c r="C22" s="131">
        <f>AVERAGE(F20:F22)</f>
        <v>647300.45555555553</v>
      </c>
      <c r="D22" s="90">
        <f>C22/C19-1</f>
        <v>0.13998915025157488</v>
      </c>
      <c r="E22" s="286">
        <f>C22/C10-1</f>
        <v>0.2491348990552964</v>
      </c>
      <c r="F22" s="78">
        <f>Q22/21</f>
        <v>733399.71428571432</v>
      </c>
      <c r="G22" s="90">
        <f t="shared" si="2"/>
        <v>0.23449478625455145</v>
      </c>
      <c r="H22" s="90">
        <f t="shared" si="3"/>
        <v>0.41862429846627447</v>
      </c>
      <c r="I22" s="130">
        <f t="shared" si="0"/>
        <v>5.1594676759512277</v>
      </c>
      <c r="J22" s="130">
        <f t="shared" si="4"/>
        <v>1.9679309613178058</v>
      </c>
      <c r="K22" s="78">
        <f>R20+R21+R22</f>
        <v>52730907840</v>
      </c>
      <c r="L22" s="87">
        <f>U22/U19-1</f>
        <v>0.13812758329894526</v>
      </c>
      <c r="M22" s="87">
        <f>U22/U10-1</f>
        <v>0.23031474976963096</v>
      </c>
      <c r="N22" s="88">
        <f>AVERAGE(T20:T22)</f>
        <v>5.1374585525969687</v>
      </c>
      <c r="O22" s="89">
        <f>N22/N19-1</f>
        <v>3.0510215014813769E-2</v>
      </c>
      <c r="P22" s="129" t="s">
        <v>156</v>
      </c>
      <c r="Q22" s="116">
        <v>15401394</v>
      </c>
      <c r="R22" s="116">
        <v>20011989315</v>
      </c>
      <c r="S22" s="116">
        <v>2985074.23</v>
      </c>
      <c r="T22" s="130">
        <f t="shared" si="1"/>
        <v>5.1594676759512277</v>
      </c>
      <c r="U22" s="85">
        <f>Q20+Q21+Q22</f>
        <v>40165516</v>
      </c>
    </row>
    <row r="23" spans="1:21" hidden="1">
      <c r="A23" s="129" t="s">
        <v>189</v>
      </c>
      <c r="B23" s="131"/>
      <c r="C23" s="131"/>
      <c r="F23" s="78">
        <f>Q23/21</f>
        <v>635439.52380952379</v>
      </c>
      <c r="G23" s="90">
        <f t="shared" si="2"/>
        <v>-0.13356998723622038</v>
      </c>
      <c r="H23" s="90">
        <f t="shared" si="3"/>
        <v>0.20323685332656716</v>
      </c>
      <c r="I23" s="130">
        <f t="shared" si="0"/>
        <v>4.9175862641388024</v>
      </c>
      <c r="J23" s="130">
        <f t="shared" si="4"/>
        <v>2.1200359980256089</v>
      </c>
      <c r="O23" s="89"/>
      <c r="P23" s="129" t="s">
        <v>189</v>
      </c>
      <c r="Q23" s="116">
        <v>13344230</v>
      </c>
      <c r="R23" s="116">
        <v>17236006362</v>
      </c>
      <c r="S23" s="116">
        <v>2713573.14</v>
      </c>
      <c r="T23" s="130">
        <f t="shared" si="1"/>
        <v>4.9175862641388024</v>
      </c>
      <c r="U23" s="78"/>
    </row>
    <row r="24" spans="1:21" hidden="1">
      <c r="A24" s="129" t="s">
        <v>204</v>
      </c>
      <c r="B24" s="131"/>
      <c r="C24" s="131"/>
      <c r="F24" s="78">
        <f>Q24/22</f>
        <v>627298.72727272729</v>
      </c>
      <c r="G24" s="90">
        <f t="shared" si="2"/>
        <v>-1.2811284523177924E-2</v>
      </c>
      <c r="H24" s="90">
        <f t="shared" si="3"/>
        <v>0.30472905918658055</v>
      </c>
      <c r="I24" s="130">
        <f t="shared" si="0"/>
        <v>5.2471084516927382</v>
      </c>
      <c r="J24" s="130">
        <f t="shared" si="4"/>
        <v>1.9901273959805152</v>
      </c>
      <c r="O24" s="89"/>
      <c r="P24" s="129" t="s">
        <v>204</v>
      </c>
      <c r="Q24" s="116">
        <v>13800572</v>
      </c>
      <c r="R24" s="116">
        <v>18105723352</v>
      </c>
      <c r="S24" s="116">
        <v>2630128.98</v>
      </c>
      <c r="T24" s="130">
        <f t="shared" si="1"/>
        <v>5.2471084516927382</v>
      </c>
      <c r="U24" s="78"/>
    </row>
    <row r="25" spans="1:21" s="79" customFormat="1" ht="13.2" hidden="1">
      <c r="A25" s="129" t="s">
        <v>219</v>
      </c>
      <c r="B25" s="131">
        <f>SUM(F23:F25)</f>
        <v>1947784.3037138302</v>
      </c>
      <c r="C25" s="131">
        <f>AVERAGE(F23:F25)</f>
        <v>649261.43457127677</v>
      </c>
      <c r="D25" s="90">
        <f>C25/C22-1</f>
        <v>3.0294726334436639E-3</v>
      </c>
      <c r="E25" s="286">
        <f>C25/C13-1</f>
        <v>0.26675956670899303</v>
      </c>
      <c r="F25" s="78">
        <f>Q25/19</f>
        <v>685046.05263157899</v>
      </c>
      <c r="G25" s="90">
        <f t="shared" ref="G25" si="5">F25/F24-1</f>
        <v>9.2057137768980724E-2</v>
      </c>
      <c r="H25" s="90">
        <f t="shared" ref="H25" si="6">F25/F13-1</f>
        <v>0.29568175019058773</v>
      </c>
      <c r="I25" s="130">
        <f t="shared" si="0"/>
        <v>4.8246184138141421</v>
      </c>
      <c r="J25" s="130">
        <f t="shared" si="4"/>
        <v>1.8316197505178851</v>
      </c>
      <c r="K25" s="78">
        <f>R23+R24+R25</f>
        <v>52619168218</v>
      </c>
      <c r="L25" s="90">
        <f>U25/U22-1</f>
        <v>-1.2047648037183389E-4</v>
      </c>
      <c r="M25" s="90">
        <f>U25/U13-1</f>
        <v>0.24560442571671981</v>
      </c>
      <c r="N25" s="88">
        <f>AVERAGE(T23:T25)</f>
        <v>4.9964377098818948</v>
      </c>
      <c r="O25" s="91">
        <f>N25/N22-1</f>
        <v>-2.7449533903059598E-2</v>
      </c>
      <c r="P25" s="129" t="s">
        <v>219</v>
      </c>
      <c r="Q25" s="116">
        <v>13015875</v>
      </c>
      <c r="R25" s="116">
        <v>17277438504</v>
      </c>
      <c r="S25" s="116">
        <v>2697804.03</v>
      </c>
      <c r="T25" s="130">
        <f t="shared" ref="T25" si="7">Q25/S25</f>
        <v>4.8246184138141421</v>
      </c>
      <c r="U25" s="85">
        <f>Q23+Q24+Q25</f>
        <v>40160677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716389.63157894742</v>
      </c>
      <c r="G26" s="90">
        <f t="shared" ref="G26" si="8">F26/F25-1</f>
        <v>4.5753973513113833E-2</v>
      </c>
      <c r="H26" s="90">
        <f t="shared" ref="H26" si="9">F26/F14-1</f>
        <v>0.36097801017717646</v>
      </c>
      <c r="I26" s="130">
        <f t="shared" si="0"/>
        <v>5.0363547370185264</v>
      </c>
      <c r="J26" s="130">
        <f t="shared" si="4"/>
        <v>2.2528325428806362</v>
      </c>
      <c r="L26" s="90"/>
      <c r="M26" s="90"/>
      <c r="P26" s="129" t="s">
        <v>312</v>
      </c>
      <c r="Q26" s="116">
        <v>13611403</v>
      </c>
      <c r="R26" s="116">
        <v>18361768390</v>
      </c>
      <c r="S26" s="116">
        <v>2702629.92</v>
      </c>
      <c r="T26" s="130">
        <f t="shared" ref="T26" si="10">Q26/S26</f>
        <v>5.0363547370185264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750200.45454545459</v>
      </c>
      <c r="G27" s="90">
        <f t="shared" ref="G27" si="11">F27/F26-1</f>
        <v>4.719613667772804E-2</v>
      </c>
      <c r="H27" s="90">
        <f t="shared" ref="H27" si="12">F27/F15-1</f>
        <v>0.70179206502449465</v>
      </c>
      <c r="I27" s="130">
        <f t="shared" si="0"/>
        <v>5.0604319964834428</v>
      </c>
      <c r="J27" s="130">
        <f t="shared" si="4"/>
        <v>1.8986439641345521</v>
      </c>
      <c r="L27" s="90"/>
      <c r="M27" s="90"/>
      <c r="P27" s="129" t="s">
        <v>377</v>
      </c>
      <c r="Q27" s="116">
        <v>16504410</v>
      </c>
      <c r="R27" s="116">
        <v>21852838498</v>
      </c>
      <c r="S27" s="116">
        <v>3261462.66</v>
      </c>
      <c r="T27" s="130">
        <f t="shared" ref="T27" si="13">Q27/S27</f>
        <v>5.0604319964834428</v>
      </c>
      <c r="U27" s="78"/>
    </row>
    <row r="28" spans="1:21" s="79" customFormat="1" ht="13.2" hidden="1">
      <c r="A28" s="123" t="s">
        <v>413</v>
      </c>
      <c r="B28" s="131">
        <f>SUM(F26:F28)</f>
        <v>2155529.086124402</v>
      </c>
      <c r="C28" s="131">
        <f>AVERAGE(F26:F28)</f>
        <v>718509.69537480071</v>
      </c>
      <c r="D28" s="90">
        <f>C28/C25-1</f>
        <v>0.10665697532035034</v>
      </c>
      <c r="E28" s="286">
        <f>C28/C16-1</f>
        <v>0.51171072249641614</v>
      </c>
      <c r="F28" s="78">
        <f>Q28/19</f>
        <v>688939</v>
      </c>
      <c r="G28" s="90">
        <f t="shared" ref="G28" si="14">F28/F27-1</f>
        <v>-8.1660113872595308E-2</v>
      </c>
      <c r="H28" s="90">
        <f t="shared" ref="H28" si="15">F28/F16-1</f>
        <v>0.50200670125941693</v>
      </c>
      <c r="I28" s="130">
        <f t="shared" si="0"/>
        <v>5.303625962944448</v>
      </c>
      <c r="J28" s="130">
        <f t="shared" si="4"/>
        <v>2.3019325753805409</v>
      </c>
      <c r="K28" s="78">
        <f>R26+R27+R28</f>
        <v>57282113308</v>
      </c>
      <c r="L28" s="90">
        <f>U28/U25-1</f>
        <v>7.5819862299632002E-2</v>
      </c>
      <c r="M28" s="90">
        <f>U28/U16-1</f>
        <v>0.42514073814542797</v>
      </c>
      <c r="N28" s="88">
        <f>AVERAGE(T26:T28)</f>
        <v>5.1334708988154718</v>
      </c>
      <c r="O28" s="91">
        <f>N28/N25-1</f>
        <v>2.7426177787137185E-2</v>
      </c>
      <c r="P28" s="129" t="s">
        <v>413</v>
      </c>
      <c r="Q28" s="116">
        <v>13089841</v>
      </c>
      <c r="R28" s="116">
        <v>17067506420</v>
      </c>
      <c r="S28" s="116">
        <v>2468092.79</v>
      </c>
      <c r="T28" s="130">
        <f t="shared" ref="T28" si="16">Q28/S28</f>
        <v>5.303625962944448</v>
      </c>
      <c r="U28" s="85">
        <f>Q26+Q27+Q28</f>
        <v>43205654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559374</v>
      </c>
      <c r="G29" s="190">
        <f t="shared" ref="G29" si="17">F29/F28-1</f>
        <v>-0.18806454562740682</v>
      </c>
      <c r="H29" s="190">
        <f t="shared" ref="H29" si="18">F29/F17-1</f>
        <v>0.22225156238170074</v>
      </c>
      <c r="I29" s="130">
        <f t="shared" si="0"/>
        <v>4.8497842816036041</v>
      </c>
      <c r="J29" s="130">
        <f t="shared" si="4"/>
        <v>-3.7730290618148365E-2</v>
      </c>
      <c r="K29" s="136"/>
      <c r="L29" s="190"/>
      <c r="M29" s="190"/>
      <c r="N29" s="191"/>
      <c r="O29" s="192"/>
      <c r="P29" s="129" t="s">
        <v>427</v>
      </c>
      <c r="Q29" s="116">
        <v>12306228</v>
      </c>
      <c r="R29" s="116">
        <v>16169705214</v>
      </c>
      <c r="S29" s="116">
        <v>2537479.46</v>
      </c>
      <c r="T29" s="130">
        <f t="shared" ref="T29" si="19">Q29/S29</f>
        <v>4.8497842816036041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536474.10526315786</v>
      </c>
      <c r="G30" s="190">
        <f t="shared" ref="G30" si="20">F30/F29-1</f>
        <v>-4.0938432492111043E-2</v>
      </c>
      <c r="H30" s="190">
        <f t="shared" ref="H30" si="21">F30/F18-1</f>
        <v>-0.15479678299473354</v>
      </c>
      <c r="I30" s="130">
        <f t="shared" si="0"/>
        <v>5.1295617169630541</v>
      </c>
      <c r="J30" s="130">
        <f t="shared" si="4"/>
        <v>1.8890462847160894E-2</v>
      </c>
      <c r="K30" s="136"/>
      <c r="L30" s="190"/>
      <c r="M30" s="190"/>
      <c r="N30" s="191"/>
      <c r="O30" s="192"/>
      <c r="P30" s="129" t="s">
        <v>466</v>
      </c>
      <c r="Q30" s="116">
        <v>10193008</v>
      </c>
      <c r="R30" s="116">
        <v>13580846997</v>
      </c>
      <c r="S30" s="116">
        <v>1987110.9</v>
      </c>
      <c r="T30" s="130">
        <f t="shared" ref="T30" si="22">Q30/S30</f>
        <v>5.1295617169630541</v>
      </c>
      <c r="U30" s="85"/>
    </row>
    <row r="31" spans="1:21" s="79" customFormat="1" ht="13.2" hidden="1">
      <c r="A31" s="129" t="s">
        <v>505</v>
      </c>
      <c r="B31" s="188">
        <f>SUM(F29:F31)</f>
        <v>1749682.8052631577</v>
      </c>
      <c r="C31" s="188">
        <f>AVERAGE(F29:F31)</f>
        <v>583227.60175438586</v>
      </c>
      <c r="D31" s="190">
        <f>C31/C28-1</f>
        <v>-0.18828151448930253</v>
      </c>
      <c r="E31" s="287">
        <f>C31/C19-1</f>
        <v>2.714764437576167E-2</v>
      </c>
      <c r="F31" s="136">
        <f>Q31/20</f>
        <v>653834.69999999995</v>
      </c>
      <c r="G31" s="190">
        <f t="shared" ref="G31" si="23">F31/F30-1</f>
        <v>0.21876283232584526</v>
      </c>
      <c r="H31" s="190">
        <f t="shared" ref="H31" si="24">F31/F19-1</f>
        <v>7.0015065675499422E-2</v>
      </c>
      <c r="I31" s="130">
        <f t="shared" si="0"/>
        <v>4.973296798808243</v>
      </c>
      <c r="J31" s="130">
        <f t="shared" si="4"/>
        <v>1.8771290856383516E-2</v>
      </c>
      <c r="K31" s="136">
        <f>R29+R30+R31</f>
        <v>47104500039</v>
      </c>
      <c r="L31" s="190">
        <f>U31/U28-1</f>
        <v>-0.17659086933390711</v>
      </c>
      <c r="M31" s="190">
        <f>U31/U19-1</f>
        <v>8.0773575649430995E-3</v>
      </c>
      <c r="N31" s="191">
        <f>AVERAGE(T29:T31)</f>
        <v>4.9842142657916328</v>
      </c>
      <c r="O31" s="192">
        <f>N31/N28-1</f>
        <v>-2.9075188301599053E-2</v>
      </c>
      <c r="P31" s="129" t="s">
        <v>505</v>
      </c>
      <c r="Q31" s="116">
        <v>13076694</v>
      </c>
      <c r="R31" s="116">
        <v>17353947828</v>
      </c>
      <c r="S31" s="116">
        <v>2629381.38</v>
      </c>
      <c r="T31" s="130">
        <f t="shared" ref="T31" si="25">Q31/S31</f>
        <v>4.973296798808243</v>
      </c>
      <c r="U31" s="85">
        <f>Q29+Q30+Q31</f>
        <v>35575930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602797.80952380947</v>
      </c>
      <c r="G32" s="190">
        <f t="shared" ref="G32" si="26">F32/F31-1</f>
        <v>-7.8057788117073756E-2</v>
      </c>
      <c r="H32" s="190">
        <f t="shared" ref="H32" si="27">F32/F20-1</f>
        <v>-1.8904053376810892E-2</v>
      </c>
      <c r="I32" s="130">
        <f t="shared" si="0"/>
        <v>5.2194334908359643</v>
      </c>
      <c r="J32" s="130">
        <f t="shared" si="4"/>
        <v>1.4498934508361483E-2</v>
      </c>
      <c r="K32" s="136"/>
      <c r="L32" s="190"/>
      <c r="M32" s="190"/>
      <c r="N32" s="191"/>
      <c r="O32" s="192"/>
      <c r="P32" s="129" t="s">
        <v>566</v>
      </c>
      <c r="Q32" s="116">
        <v>12658754</v>
      </c>
      <c r="R32" s="116">
        <v>17223837745</v>
      </c>
      <c r="S32" s="116">
        <v>2425311.87</v>
      </c>
      <c r="T32" s="130">
        <f t="shared" ref="T32" si="28">Q32/S32</f>
        <v>5.2194334908359643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675095.47619047621</v>
      </c>
      <c r="G33" s="190">
        <f t="shared" ref="G33" si="29">F33/F32-1</f>
        <v>0.11993684370515467</v>
      </c>
      <c r="H33" s="190">
        <f t="shared" ref="H33" si="30">F33/F21-1</f>
        <v>0.136354199964283</v>
      </c>
      <c r="I33" s="130">
        <f t="shared" si="0"/>
        <v>5.2998804340367638</v>
      </c>
      <c r="J33" s="130">
        <f t="shared" si="4"/>
        <v>3.7550639119248608E-2</v>
      </c>
      <c r="K33" s="136"/>
      <c r="L33" s="190"/>
      <c r="M33" s="190"/>
      <c r="N33" s="191"/>
      <c r="O33" s="192"/>
      <c r="P33" s="129" t="s">
        <v>607</v>
      </c>
      <c r="Q33" s="116">
        <v>14177005</v>
      </c>
      <c r="R33" s="116">
        <v>19378739445</v>
      </c>
      <c r="S33" s="116">
        <v>2674966.9500000002</v>
      </c>
      <c r="T33" s="130">
        <f t="shared" ref="T33" si="31">Q33/S33</f>
        <v>5.2998804340367638</v>
      </c>
      <c r="U33" s="85"/>
    </row>
    <row r="34" spans="1:21" s="79" customFormat="1" ht="13.2" hidden="1">
      <c r="A34" s="129" t="s">
        <v>652</v>
      </c>
      <c r="B34" s="188">
        <f>SUM(F32:F34)</f>
        <v>2011475.3909774437</v>
      </c>
      <c r="C34" s="188">
        <f>AVERAGE(F32:F34)</f>
        <v>670491.79699248122</v>
      </c>
      <c r="D34" s="190">
        <f>C34/C31-1</f>
        <v>0.1496228830315971</v>
      </c>
      <c r="E34" s="287">
        <f>C34/C22-1</f>
        <v>3.5827784822152431E-2</v>
      </c>
      <c r="F34" s="136">
        <f>Q34/19</f>
        <v>733582.10526315786</v>
      </c>
      <c r="G34" s="190">
        <f t="shared" ref="G34" si="32">F34/F33-1</f>
        <v>8.6634603749262684E-2</v>
      </c>
      <c r="H34" s="190">
        <f t="shared" ref="H34" si="33">F34/F22-1</f>
        <v>2.4869245772918269E-4</v>
      </c>
      <c r="I34" s="130">
        <f t="shared" si="0"/>
        <v>5.085288157225925</v>
      </c>
      <c r="J34" s="130">
        <f t="shared" si="4"/>
        <v>-1.4377358941710328E-2</v>
      </c>
      <c r="K34" s="136">
        <f>R32+R33+R34</f>
        <v>55766531758</v>
      </c>
      <c r="L34" s="190">
        <f>U34/U31-1</f>
        <v>0.14610690430299367</v>
      </c>
      <c r="M34" s="190">
        <f>U34/U22-1</f>
        <v>1.5144906889780874E-2</v>
      </c>
      <c r="N34" s="191">
        <f>AVERAGE(T32:T34)</f>
        <v>5.2015340273662174</v>
      </c>
      <c r="O34" s="192">
        <f>N34/N31-1</f>
        <v>4.3601608997053898E-2</v>
      </c>
      <c r="P34" s="129" t="s">
        <v>652</v>
      </c>
      <c r="Q34" s="116">
        <v>13938060</v>
      </c>
      <c r="R34" s="116">
        <v>19163954568</v>
      </c>
      <c r="S34" s="116">
        <v>2740859.43</v>
      </c>
      <c r="T34" s="130">
        <f t="shared" ref="T34" si="34">Q34/S34</f>
        <v>5.085288157225925</v>
      </c>
      <c r="U34" s="85">
        <f>Q32+Q33+Q34</f>
        <v>40773819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701001.73913043481</v>
      </c>
      <c r="G35" s="190">
        <f t="shared" ref="G35" si="35">F35/F34-1</f>
        <v>-4.441270567939426E-2</v>
      </c>
      <c r="H35" s="190">
        <f t="shared" ref="H35" si="36">F35/F23-1</f>
        <v>0.10317616840680444</v>
      </c>
      <c r="I35" s="130">
        <f t="shared" si="0"/>
        <v>5.4701946144050622</v>
      </c>
      <c r="J35" s="130">
        <f t="shared" si="4"/>
        <v>0.11237390064636443</v>
      </c>
      <c r="K35" s="136"/>
      <c r="L35" s="190"/>
      <c r="M35" s="190"/>
      <c r="N35" s="191"/>
      <c r="O35" s="192"/>
      <c r="P35" s="129" t="s">
        <v>660</v>
      </c>
      <c r="Q35" s="116">
        <v>16123040</v>
      </c>
      <c r="R35" s="116">
        <v>22312227521</v>
      </c>
      <c r="S35" s="116">
        <v>2947434.44</v>
      </c>
      <c r="T35" s="130">
        <f t="shared" ref="T35" si="37">Q35/S35</f>
        <v>5.4701946144050622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750513.66666666663</v>
      </c>
      <c r="G36" s="190">
        <f t="shared" ref="G36" si="38">F36/F35-1</f>
        <v>7.0630249216855567E-2</v>
      </c>
      <c r="H36" s="190">
        <f t="shared" ref="H36" si="39">F36/F24-1</f>
        <v>0.19642147199888993</v>
      </c>
      <c r="I36" s="130">
        <f t="shared" si="0"/>
        <v>5.4167102169959112</v>
      </c>
      <c r="J36" s="130">
        <f t="shared" si="4"/>
        <v>3.2322900672742572E-2</v>
      </c>
      <c r="K36" s="136"/>
      <c r="L36" s="190"/>
      <c r="M36" s="190"/>
      <c r="N36" s="191"/>
      <c r="O36" s="192"/>
      <c r="P36" s="129" t="s">
        <v>664</v>
      </c>
      <c r="Q36" s="116">
        <v>15760787</v>
      </c>
      <c r="R36" s="116">
        <v>21538702951</v>
      </c>
      <c r="S36" s="116">
        <v>2909660.36</v>
      </c>
      <c r="T36" s="130">
        <f t="shared" ref="T36" si="40">Q36/S36</f>
        <v>5.4167102169959112</v>
      </c>
      <c r="U36" s="85"/>
    </row>
    <row r="37" spans="1:21" s="79" customFormat="1" ht="13.2" hidden="1">
      <c r="A37" s="129" t="s">
        <v>702</v>
      </c>
      <c r="B37" s="188">
        <f>SUM(F35:F37)</f>
        <v>2278990.5724637681</v>
      </c>
      <c r="C37" s="188">
        <f>AVERAGE(F35:F37)</f>
        <v>759663.5241545894</v>
      </c>
      <c r="D37" s="190">
        <f>C37/C34-1</f>
        <v>0.13299450875028107</v>
      </c>
      <c r="E37" s="287">
        <f>C37/C25-1</f>
        <v>0.17004258023767238</v>
      </c>
      <c r="F37" s="136">
        <f>Q37/18</f>
        <v>827475.16666666663</v>
      </c>
      <c r="G37" s="190">
        <f t="shared" ref="G37" si="41">F37/F36-1</f>
        <v>0.10254510133282047</v>
      </c>
      <c r="H37" s="190">
        <f t="shared" ref="H37" si="42">F37/F25-1</f>
        <v>0.20791173598906454</v>
      </c>
      <c r="I37" s="130">
        <f t="shared" si="0"/>
        <v>5.2590299327015693</v>
      </c>
      <c r="J37" s="130">
        <f t="shared" si="4"/>
        <v>9.0040596297438436E-2</v>
      </c>
      <c r="K37" s="136">
        <f>R35+R36+R37</f>
        <v>63726688300</v>
      </c>
      <c r="L37" s="190">
        <f>U37/U34-1</f>
        <v>0.1472651114677288</v>
      </c>
      <c r="M37" s="190">
        <f>U37/U25-1</f>
        <v>0.16478066343353714</v>
      </c>
      <c r="N37" s="191">
        <f>AVERAGE(T35:T37)</f>
        <v>5.3819782547008472</v>
      </c>
      <c r="O37" s="192">
        <f>N37/N34-1</f>
        <v>3.4690579045581593E-2</v>
      </c>
      <c r="P37" s="129" t="s">
        <v>702</v>
      </c>
      <c r="Q37" s="116">
        <v>14894553</v>
      </c>
      <c r="R37" s="116">
        <v>19875757828</v>
      </c>
      <c r="S37" s="116">
        <v>2832186.39</v>
      </c>
      <c r="T37" s="130">
        <f t="shared" ref="T37" si="43">Q37/S37</f>
        <v>5.2590299327015693</v>
      </c>
      <c r="U37" s="85">
        <f>Q35+Q36+Q37</f>
        <v>46778380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894328.15</v>
      </c>
      <c r="G38" s="190">
        <f t="shared" ref="G38" si="44">F38/F37-1</f>
        <v>8.0791528285541814E-2</v>
      </c>
      <c r="H38" s="190">
        <f t="shared" ref="H38" si="45">F38/F26-1</f>
        <v>0.24838231958895052</v>
      </c>
      <c r="I38" s="130">
        <f t="shared" si="0"/>
        <v>5.453959604634953</v>
      </c>
      <c r="J38" s="130">
        <f t="shared" si="4"/>
        <v>8.2918080521001025E-2</v>
      </c>
      <c r="K38" s="136"/>
      <c r="L38" s="190"/>
      <c r="M38" s="190"/>
      <c r="N38" s="191"/>
      <c r="O38" s="192"/>
      <c r="P38" s="129" t="s">
        <v>728</v>
      </c>
      <c r="Q38" s="116">
        <v>17886563</v>
      </c>
      <c r="R38" s="116">
        <v>24090090011</v>
      </c>
      <c r="S38" s="116">
        <v>3279555.46</v>
      </c>
      <c r="T38" s="130">
        <f t="shared" ref="T38" si="46">Q38/S38</f>
        <v>5.453959604634953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808557.19047619053</v>
      </c>
      <c r="G39" s="190">
        <f t="shared" ref="G39" si="47">F39/F38-1</f>
        <v>-9.590546772323949E-2</v>
      </c>
      <c r="H39" s="190">
        <f t="shared" ref="H39" si="48">F39/F27-1</f>
        <v>7.7788190579135552E-2</v>
      </c>
      <c r="I39" s="130">
        <f t="shared" si="0"/>
        <v>5.7131044180611461</v>
      </c>
      <c r="J39" s="130">
        <f t="shared" si="4"/>
        <v>0.12897563331179107</v>
      </c>
      <c r="K39" s="136"/>
      <c r="L39" s="190"/>
      <c r="M39" s="190"/>
      <c r="N39" s="191"/>
      <c r="O39" s="192"/>
      <c r="P39" s="129" t="s">
        <v>762</v>
      </c>
      <c r="Q39" s="116">
        <v>16979701</v>
      </c>
      <c r="R39" s="116">
        <v>23600186917</v>
      </c>
      <c r="S39" s="116">
        <v>2972062.08</v>
      </c>
      <c r="T39" s="130">
        <f t="shared" ref="T39" si="49">Q39/S39</f>
        <v>5.7131044180611461</v>
      </c>
      <c r="U39" s="85"/>
    </row>
    <row r="40" spans="1:21" s="79" customFormat="1" ht="13.2" hidden="1">
      <c r="A40" s="129" t="s">
        <v>778</v>
      </c>
      <c r="B40" s="188">
        <f>SUM(F38:F40)</f>
        <v>2432261.1976190479</v>
      </c>
      <c r="C40" s="188">
        <f>AVERAGE(F38:F40)</f>
        <v>810753.73253968265</v>
      </c>
      <c r="D40" s="190">
        <f>C40/C37-1</f>
        <v>6.7253733739487176E-2</v>
      </c>
      <c r="E40" s="287">
        <f>C40/C28-1</f>
        <v>0.12838245295599537</v>
      </c>
      <c r="F40" s="136">
        <f>Q40/21</f>
        <v>729375.85714285716</v>
      </c>
      <c r="G40" s="190">
        <f t="shared" ref="G40" si="50">F40/F39-1</f>
        <v>-9.7929168481824314E-2</v>
      </c>
      <c r="H40" s="190">
        <f t="shared" ref="H40" si="51">F40/F28-1</f>
        <v>5.8694394050644805E-2</v>
      </c>
      <c r="I40" s="130">
        <f t="shared" si="0"/>
        <v>5.2793727461626592</v>
      </c>
      <c r="J40" s="130">
        <f t="shared" si="4"/>
        <v>-4.572950081933036E-3</v>
      </c>
      <c r="K40" s="136">
        <f>R38+R39+R40</f>
        <v>69438459942</v>
      </c>
      <c r="L40" s="190">
        <f>U40/U37-1</f>
        <v>7.2785269605317726E-2</v>
      </c>
      <c r="M40" s="190">
        <f>U40/U28-1</f>
        <v>0.16149513672446658</v>
      </c>
      <c r="N40" s="191">
        <f>AVERAGE(T38:T40)</f>
        <v>5.482145589619587</v>
      </c>
      <c r="O40" s="192">
        <f>N40/N37-1</f>
        <v>1.8611620147526597E-2</v>
      </c>
      <c r="P40" s="129" t="s">
        <v>778</v>
      </c>
      <c r="Q40" s="116">
        <v>15316893</v>
      </c>
      <c r="R40" s="116">
        <v>21748183014</v>
      </c>
      <c r="S40" s="116">
        <v>2901271.37</v>
      </c>
      <c r="T40" s="130">
        <f t="shared" ref="T40" si="52">Q40/S40</f>
        <v>5.2793727461626592</v>
      </c>
      <c r="U40" s="85">
        <f>Q38+Q39+Q40</f>
        <v>50183157</v>
      </c>
    </row>
    <row r="41" spans="1:21" s="79" customFormat="1" ht="13.2">
      <c r="A41" s="129" t="s">
        <v>804</v>
      </c>
      <c r="B41" s="193"/>
      <c r="C41" s="194"/>
      <c r="D41" s="195"/>
      <c r="E41" s="288"/>
      <c r="F41" s="136">
        <f>Q41/18</f>
        <v>685028</v>
      </c>
      <c r="G41" s="190">
        <f t="shared" ref="G41" si="53">F41/F40-1</f>
        <v>-6.080247475777234E-2</v>
      </c>
      <c r="H41" s="190">
        <f t="shared" ref="H41" si="54">F41/F29-1</f>
        <v>0.22463325074100693</v>
      </c>
      <c r="I41" s="130">
        <f t="shared" si="0"/>
        <v>5.2316780440335178</v>
      </c>
      <c r="J41" s="130">
        <f t="shared" si="4"/>
        <v>7.8744484343051813E-2</v>
      </c>
      <c r="K41" s="193"/>
      <c r="L41" s="190"/>
      <c r="M41" s="190"/>
      <c r="N41" s="193"/>
      <c r="O41" s="193"/>
      <c r="P41" s="129" t="s">
        <v>804</v>
      </c>
      <c r="Q41" s="116">
        <v>12330504</v>
      </c>
      <c r="R41" s="116">
        <v>18043241314</v>
      </c>
      <c r="S41" s="116">
        <v>2356892.7400000002</v>
      </c>
      <c r="T41" s="130">
        <f t="shared" ref="T41" si="55">Q41/S41</f>
        <v>5.2316780440335178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735861.15</v>
      </c>
      <c r="G42" s="190">
        <f t="shared" ref="G42" si="56">F42/F41-1</f>
        <v>7.420594486648735E-2</v>
      </c>
      <c r="H42" s="190">
        <f t="shared" ref="H42" si="57">F42/F30-1</f>
        <v>0.37166201086077844</v>
      </c>
      <c r="I42" s="130">
        <f t="shared" si="0"/>
        <v>5.414200597650705</v>
      </c>
      <c r="J42" s="130">
        <f t="shared" si="4"/>
        <v>5.5489902723340423E-2</v>
      </c>
      <c r="K42" s="193"/>
      <c r="L42" s="190"/>
      <c r="M42" s="190"/>
      <c r="N42" s="193"/>
      <c r="O42" s="193"/>
      <c r="P42" s="129" t="s">
        <v>826</v>
      </c>
      <c r="Q42" s="116">
        <v>14717223</v>
      </c>
      <c r="R42" s="116">
        <v>21278836450</v>
      </c>
      <c r="S42" s="116">
        <v>2718263.34</v>
      </c>
      <c r="T42" s="130">
        <f t="shared" ref="T42" si="58">Q42/S42</f>
        <v>5.414200597650705</v>
      </c>
      <c r="U42" s="78"/>
    </row>
    <row r="43" spans="1:21" s="79" customFormat="1" ht="13.2">
      <c r="A43" s="129" t="s">
        <v>835</v>
      </c>
      <c r="B43" s="188">
        <f>SUM(F41:F43)</f>
        <v>2162519.4500000002</v>
      </c>
      <c r="C43" s="188">
        <f>AVERAGE(F41:F43)</f>
        <v>720839.81666666677</v>
      </c>
      <c r="D43" s="190">
        <f>C43/C40-1</f>
        <v>-0.11090163666759933</v>
      </c>
      <c r="E43" s="287">
        <f>C43/C31-1</f>
        <v>0.23594942094361548</v>
      </c>
      <c r="F43" s="136">
        <f>Q43/20</f>
        <v>741630.3</v>
      </c>
      <c r="G43" s="190">
        <f t="shared" ref="G43" si="59">F43/F42-1</f>
        <v>7.8399980757239973E-3</v>
      </c>
      <c r="H43" s="190">
        <f t="shared" ref="H43" si="60">F43/F31-1</f>
        <v>0.13427797576359901</v>
      </c>
      <c r="I43" s="130">
        <f t="shared" si="0"/>
        <v>5.3225921171734276</v>
      </c>
      <c r="J43" s="130">
        <f t="shared" si="4"/>
        <v>7.0234159048960576E-2</v>
      </c>
      <c r="K43" s="136">
        <f>R41+R42+R43</f>
        <v>60829233548</v>
      </c>
      <c r="L43" s="190">
        <f>U43/U40-1</f>
        <v>-0.16545041197786736</v>
      </c>
      <c r="M43" s="190">
        <f>K43/K31-1</f>
        <v>0.29136777797528168</v>
      </c>
      <c r="N43" s="191">
        <f>AVERAGE(T41:T43)</f>
        <v>5.3228235862858844</v>
      </c>
      <c r="O43" s="192">
        <f>N43/N40-1</f>
        <v>-2.9061979608016597E-2</v>
      </c>
      <c r="P43" s="129" t="s">
        <v>835</v>
      </c>
      <c r="Q43" s="116">
        <v>14832606</v>
      </c>
      <c r="R43" s="116">
        <v>21507155784</v>
      </c>
      <c r="S43" s="116">
        <v>2786726.03</v>
      </c>
      <c r="T43" s="130">
        <f t="shared" ref="T43" si="61">Q43/S43</f>
        <v>5.3225921171734276</v>
      </c>
      <c r="U43" s="85">
        <f>Q41+Q42+Q43</f>
        <v>41880333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856082.95454545459</v>
      </c>
      <c r="G44" s="190">
        <f t="shared" ref="G44" si="62">F44/F43-1</f>
        <v>0.15432575306787566</v>
      </c>
      <c r="H44" s="190">
        <f t="shared" ref="H44" si="63">F44/F32-1</f>
        <v>0.42018259028136162</v>
      </c>
      <c r="I44" s="130">
        <f t="shared" si="0"/>
        <v>5.3744492854031982</v>
      </c>
      <c r="J44" s="130">
        <f t="shared" si="4"/>
        <v>2.969973558230099E-2</v>
      </c>
      <c r="K44" s="136"/>
      <c r="L44" s="190"/>
      <c r="M44" s="190"/>
      <c r="N44" s="191"/>
      <c r="O44" s="192"/>
      <c r="P44" s="129" t="s">
        <v>843</v>
      </c>
      <c r="Q44" s="116">
        <v>18833825</v>
      </c>
      <c r="R44" s="116">
        <v>27295044263</v>
      </c>
      <c r="S44" s="116">
        <v>3504326.49</v>
      </c>
      <c r="T44" s="130">
        <f t="shared" ref="T44" si="64">Q44/S44</f>
        <v>5.3744492854031982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741891.4</v>
      </c>
      <c r="G45" s="190">
        <f t="shared" ref="G45" si="65">F45/F44-1</f>
        <v>-0.13338842216066038</v>
      </c>
      <c r="H45" s="190">
        <f t="shared" ref="H45" si="66">F45/F33-1</f>
        <v>9.8942929060122253E-2</v>
      </c>
      <c r="I45" s="130">
        <f t="shared" si="0"/>
        <v>5.2769072648939854</v>
      </c>
      <c r="J45" s="130">
        <f t="shared" si="4"/>
        <v>-4.3346580038373661E-3</v>
      </c>
      <c r="K45" s="136"/>
      <c r="L45" s="190"/>
      <c r="M45" s="190"/>
      <c r="N45" s="191"/>
      <c r="O45" s="192"/>
      <c r="P45" s="129" t="s">
        <v>849</v>
      </c>
      <c r="Q45" s="116">
        <v>14837828</v>
      </c>
      <c r="R45" s="116">
        <v>20874237411</v>
      </c>
      <c r="S45" s="116">
        <v>2811841.72</v>
      </c>
      <c r="T45" s="130">
        <f t="shared" ref="T45" si="67">Q45/S45</f>
        <v>5.2769072648939854</v>
      </c>
      <c r="U45" s="85"/>
    </row>
    <row r="46" spans="1:21" s="79" customFormat="1" ht="13.2">
      <c r="A46" s="129" t="s">
        <v>908</v>
      </c>
      <c r="B46" s="188">
        <f>SUM(F44:F46)</f>
        <v>2463431.6177033493</v>
      </c>
      <c r="C46" s="188">
        <f>AVERAGE(F44:F46)</f>
        <v>821143.87256778311</v>
      </c>
      <c r="D46" s="190">
        <f>C46/C43-1</f>
        <v>0.13914888381852419</v>
      </c>
      <c r="E46" s="287">
        <f>C46/C34-1</f>
        <v>0.22468891677878533</v>
      </c>
      <c r="F46" s="136">
        <f>Q46/19</f>
        <v>865457.26315789472</v>
      </c>
      <c r="G46" s="190">
        <f t="shared" ref="G46" si="68">F46/F45-1</f>
        <v>0.16655519009641395</v>
      </c>
      <c r="H46" s="190">
        <f t="shared" ref="H46" si="69">F46/F34-1</f>
        <v>0.17976877700339933</v>
      </c>
      <c r="I46" s="130">
        <f t="shared" si="0"/>
        <v>5.6230255625560996</v>
      </c>
      <c r="J46" s="130">
        <f t="shared" si="4"/>
        <v>0.10574374326577307</v>
      </c>
      <c r="K46" s="136">
        <f>R44+R45+R46</f>
        <v>70676160820</v>
      </c>
      <c r="L46" s="190">
        <f>U46/U43-1</f>
        <v>0.19663186536745059</v>
      </c>
      <c r="M46" s="190">
        <f>K46/K34-1</f>
        <v>0.26735801191117003</v>
      </c>
      <c r="N46" s="191">
        <f>AVERAGE(T44:T46)</f>
        <v>5.4247940376177608</v>
      </c>
      <c r="O46" s="192">
        <f>N46/N43-1</f>
        <v>1.9157210393859536E-2</v>
      </c>
      <c r="P46" s="129" t="s">
        <v>888</v>
      </c>
      <c r="Q46" s="116">
        <v>16443688</v>
      </c>
      <c r="R46" s="116">
        <v>22506879146</v>
      </c>
      <c r="S46" s="116">
        <v>2924348.79</v>
      </c>
      <c r="T46" s="130">
        <f t="shared" ref="T46" si="70">Q46/S46</f>
        <v>5.6230255625560996</v>
      </c>
      <c r="U46" s="85">
        <f t="shared" ref="U46:U51" si="71">Q44+Q45+Q46</f>
        <v>50115341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742424.43478260865</v>
      </c>
      <c r="G47" s="190">
        <f t="shared" ref="G47" si="72">F47/F46-1</f>
        <v>-0.14215933427649774</v>
      </c>
      <c r="H47" s="190">
        <f t="shared" ref="H47" si="73">F47/F35-1</f>
        <v>5.9090717383322167E-2</v>
      </c>
      <c r="I47" s="130">
        <f t="shared" si="0"/>
        <v>5.7523904469829352</v>
      </c>
      <c r="J47" s="130">
        <f t="shared" si="4"/>
        <v>5.1587896312636827E-2</v>
      </c>
      <c r="K47" s="136"/>
      <c r="L47" s="190"/>
      <c r="M47" s="190"/>
      <c r="N47" s="191"/>
      <c r="O47" s="192"/>
      <c r="P47" s="129" t="s">
        <v>991</v>
      </c>
      <c r="Q47" s="116">
        <v>17075762</v>
      </c>
      <c r="R47" s="116">
        <v>23423911144</v>
      </c>
      <c r="S47" s="116">
        <v>2968463.66</v>
      </c>
      <c r="T47" s="130">
        <f t="shared" ref="T47" si="74">Q47/S47</f>
        <v>5.7523904469829352</v>
      </c>
      <c r="U47" s="85">
        <f t="shared" si="71"/>
        <v>48357278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817440.3</v>
      </c>
      <c r="G48" s="190">
        <f t="shared" ref="G48" si="75">F48/F47-1</f>
        <v>0.101041751460345</v>
      </c>
      <c r="H48" s="190">
        <f t="shared" ref="H48" si="76">F48/F36-1</f>
        <v>8.9174436530358614E-2</v>
      </c>
      <c r="I48" s="130">
        <f t="shared" si="0"/>
        <v>5.5094165602524612</v>
      </c>
      <c r="J48" s="130">
        <f t="shared" si="4"/>
        <v>1.7114879611921374E-2</v>
      </c>
      <c r="K48" s="136"/>
      <c r="L48" s="190"/>
      <c r="M48" s="190"/>
      <c r="N48" s="191"/>
      <c r="O48" s="192"/>
      <c r="P48" s="129" t="s">
        <v>1070</v>
      </c>
      <c r="Q48" s="116">
        <v>16348806</v>
      </c>
      <c r="R48" s="116">
        <v>22684418601</v>
      </c>
      <c r="S48" s="116">
        <v>2967429.64</v>
      </c>
      <c r="T48" s="130">
        <f t="shared" ref="T48" si="77">Q48/S48</f>
        <v>5.5094165602524612</v>
      </c>
      <c r="U48" s="85">
        <f t="shared" si="71"/>
        <v>49868256</v>
      </c>
    </row>
    <row r="49" spans="1:26" ht="13.2">
      <c r="A49" s="129" t="s">
        <v>1225</v>
      </c>
      <c r="B49" s="188">
        <f>SUM(F47:F49)</f>
        <v>2458177.1438735179</v>
      </c>
      <c r="C49" s="188">
        <f>AVERAGE(F47:F49)</f>
        <v>819392.38129117258</v>
      </c>
      <c r="D49" s="190">
        <f>C49/C46-1</f>
        <v>-2.1329895224493356E-3</v>
      </c>
      <c r="E49" s="287">
        <f>C49/C37-1</f>
        <v>7.8625411432059922E-2</v>
      </c>
      <c r="F49" s="136">
        <f>Q49/22</f>
        <v>898312.40909090906</v>
      </c>
      <c r="G49" s="190">
        <f t="shared" ref="G49" si="78">F49/F48-1</f>
        <v>9.8933352185974988E-2</v>
      </c>
      <c r="H49" s="190">
        <f t="shared" ref="H49" si="79">F49/F37-1</f>
        <v>8.5606487394174424E-2</v>
      </c>
      <c r="I49" s="130">
        <f t="shared" si="0"/>
        <v>5.7383150989550815</v>
      </c>
      <c r="J49" s="130">
        <f t="shared" si="4"/>
        <v>9.1135660451984402E-2</v>
      </c>
      <c r="K49" s="136">
        <f>R47+R48+R49</f>
        <v>73577437468</v>
      </c>
      <c r="L49" s="190">
        <f>U49/U46-1</f>
        <v>6.1300590571657487E-2</v>
      </c>
      <c r="M49" s="190">
        <f>K49/K37-1</f>
        <v>0.15457808071912638</v>
      </c>
      <c r="N49" s="191">
        <f>AVERAGE(T47:T49)</f>
        <v>5.666707368730159</v>
      </c>
      <c r="O49" s="192">
        <f>N49/N46-1</f>
        <v>4.459401212928471E-2</v>
      </c>
      <c r="P49" s="129" t="s">
        <v>1165</v>
      </c>
      <c r="Q49" s="116">
        <v>19762873</v>
      </c>
      <c r="R49" s="116">
        <v>27469107723</v>
      </c>
      <c r="S49" s="116">
        <v>3444020.18</v>
      </c>
      <c r="T49" s="130">
        <f t="shared" ref="T49" si="80">Q49/S49</f>
        <v>5.7383150989550815</v>
      </c>
      <c r="U49" s="85">
        <f t="shared" si="71"/>
        <v>53187441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798384.11111111112</v>
      </c>
      <c r="G50" s="190">
        <f t="shared" ref="G50" si="81">F50/F49-1</f>
        <v>-0.11124002848955994</v>
      </c>
      <c r="H50" s="190">
        <f t="shared" ref="H50" si="82">F50/F38-1</f>
        <v>-0.10728057580306394</v>
      </c>
      <c r="I50" s="130">
        <f t="shared" ref="I50" si="83">T50</f>
        <v>5.4884032526585802</v>
      </c>
      <c r="J50" s="130">
        <f t="shared" ref="J50" si="84">I50/I38-1</f>
        <v>6.3153471093471136E-3</v>
      </c>
      <c r="K50" s="136"/>
      <c r="L50" s="190"/>
      <c r="M50" s="190"/>
      <c r="N50" s="191"/>
      <c r="O50" s="192"/>
      <c r="P50" s="129" t="s">
        <v>1291</v>
      </c>
      <c r="Q50" s="116">
        <v>14370914</v>
      </c>
      <c r="R50" s="116">
        <v>20330644800</v>
      </c>
      <c r="S50" s="116">
        <v>2618414.38</v>
      </c>
      <c r="T50" s="130">
        <f t="shared" ref="T50" si="85">Q50/S50</f>
        <v>5.4884032526585802</v>
      </c>
      <c r="U50" s="85">
        <f t="shared" si="71"/>
        <v>50482593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724193.7</v>
      </c>
      <c r="G51" s="190">
        <f t="shared" ref="G51:G52" si="86">F51/F50-1</f>
        <v>-9.2925710918595805E-2</v>
      </c>
      <c r="H51" s="190">
        <f t="shared" ref="H51:H52" si="87">F51/F39-1</f>
        <v>-0.10433830960863222</v>
      </c>
      <c r="I51" s="130">
        <f t="shared" ref="I51:I52" si="88">T51</f>
        <v>5.447402840847551</v>
      </c>
      <c r="J51" s="130">
        <f t="shared" ref="J51:J52" si="89">I51/I39-1</f>
        <v>-4.6507390338187848E-2</v>
      </c>
      <c r="K51" s="136"/>
      <c r="L51" s="190"/>
      <c r="M51" s="190"/>
      <c r="N51" s="191"/>
      <c r="O51" s="192"/>
      <c r="P51" s="129" t="s">
        <v>1402</v>
      </c>
      <c r="Q51" s="116">
        <v>14483874</v>
      </c>
      <c r="R51" s="116">
        <v>20979446446</v>
      </c>
      <c r="S51" s="116">
        <v>2658858.62</v>
      </c>
      <c r="T51" s="130">
        <f t="shared" ref="T51:T52" si="90">Q51/S51</f>
        <v>5.447402840847551</v>
      </c>
      <c r="U51" s="85">
        <f t="shared" si="71"/>
        <v>48617661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2298727.1292929295</v>
      </c>
      <c r="C52" s="188">
        <f>AVERAGE(F50:F52)</f>
        <v>766242.37643097655</v>
      </c>
      <c r="D52" s="190">
        <f>C52/C49-1</f>
        <v>-6.486514406741728E-2</v>
      </c>
      <c r="E52" s="287">
        <f>C52/C40-1</f>
        <v>-5.4901204055236907E-2</v>
      </c>
      <c r="F52" s="136">
        <f>Q52/22</f>
        <v>776149.31818181823</v>
      </c>
      <c r="G52" s="190">
        <f t="shared" si="86"/>
        <v>7.1742709418513684E-2</v>
      </c>
      <c r="H52" s="190">
        <f t="shared" si="87"/>
        <v>6.4128063166477789E-2</v>
      </c>
      <c r="I52" s="130">
        <f t="shared" si="88"/>
        <v>5.3639198171863391</v>
      </c>
      <c r="J52" s="130">
        <f t="shared" si="89"/>
        <v>1.6014605349685462E-2</v>
      </c>
      <c r="K52" s="136">
        <f>R50+R51+R52</f>
        <v>66434202200</v>
      </c>
      <c r="L52" s="190">
        <f>U52/U49-1</f>
        <v>-0.13644890341687999</v>
      </c>
      <c r="M52" s="190">
        <f>K52/K40-1</f>
        <v>-4.3265039929015869E-2</v>
      </c>
      <c r="N52" s="191">
        <f>AVERAGE(T50:T52)</f>
        <v>5.4332419702308234</v>
      </c>
      <c r="O52" s="192">
        <f>N52/N49-1</f>
        <v>-4.1199480281554068E-2</v>
      </c>
      <c r="P52" s="129" t="s">
        <v>1403</v>
      </c>
      <c r="Q52" s="116">
        <v>17075285</v>
      </c>
      <c r="R52" s="116">
        <v>25124110954</v>
      </c>
      <c r="S52" s="116">
        <v>3183359.48</v>
      </c>
      <c r="T52" s="130">
        <f t="shared" si="90"/>
        <v>5.3639198171863391</v>
      </c>
      <c r="U52" s="85">
        <f t="shared" ref="U52" si="91">Q50+Q51+Q52</f>
        <v>45930073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765992.85714285716</v>
      </c>
      <c r="G53" s="190">
        <f t="shared" ref="G53" si="92">F53/F52-1</f>
        <v>-1.3085705032574446E-2</v>
      </c>
      <c r="H53" s="190">
        <f t="shared" ref="H53" si="93">F53/F41-1</f>
        <v>0.11819204053390098</v>
      </c>
      <c r="I53" s="130">
        <f t="shared" ref="I53" si="94">T53</f>
        <v>5.2696331586309935</v>
      </c>
      <c r="J53" s="130">
        <f t="shared" ref="J53" si="95">I53/I41-1</f>
        <v>7.2548643624508191E-3</v>
      </c>
      <c r="K53" s="136"/>
      <c r="L53" s="190"/>
      <c r="M53" s="190"/>
      <c r="N53" s="191"/>
      <c r="O53" s="192"/>
      <c r="P53" s="129" t="s">
        <v>1414</v>
      </c>
      <c r="Q53" s="116">
        <v>16085850</v>
      </c>
      <c r="R53" s="116">
        <v>23440916635</v>
      </c>
      <c r="S53" s="116">
        <v>3052555.94</v>
      </c>
      <c r="T53" s="130">
        <f t="shared" ref="T53" si="96">Q53/S53</f>
        <v>5.2696331586309935</v>
      </c>
      <c r="U53" s="85">
        <f t="shared" ref="U53" si="97">Q51+Q52+Q53</f>
        <v>47645009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811710.4117647059</v>
      </c>
      <c r="G54" s="190">
        <f t="shared" ref="G54" si="98">F54/F53-1</f>
        <v>5.9684048219946328E-2</v>
      </c>
      <c r="H54" s="190">
        <f t="shared" ref="H54" si="99">F54/F42-1</f>
        <v>0.10307550787904196</v>
      </c>
      <c r="I54" s="130">
        <f t="shared" ref="I54" si="100">T54</f>
        <v>5.5806734337666954</v>
      </c>
      <c r="J54" s="130">
        <f t="shared" ref="J54" si="101">I54/I42-1</f>
        <v>3.0747445188533451E-2</v>
      </c>
      <c r="K54" s="136"/>
      <c r="L54" s="190"/>
      <c r="M54" s="190"/>
      <c r="N54" s="191"/>
      <c r="O54" s="192"/>
      <c r="P54" s="129" t="s">
        <v>1417</v>
      </c>
      <c r="Q54" s="116">
        <v>13799077</v>
      </c>
      <c r="R54" s="116">
        <v>19982788234</v>
      </c>
      <c r="S54" s="116">
        <v>2472654.4500000002</v>
      </c>
      <c r="T54" s="130">
        <f t="shared" ref="T54" si="102">Q54/S54</f>
        <v>5.5806734337666954</v>
      </c>
      <c r="U54" s="85">
        <f t="shared" ref="U54" si="103">Q52+Q53+Q54</f>
        <v>46960212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2291646.8403361347</v>
      </c>
      <c r="C55" s="188">
        <f>AVERAGE(F53:F55)</f>
        <v>763882.28011204489</v>
      </c>
      <c r="D55" s="190">
        <f>C55/C52-1</f>
        <v>-3.080091093270787E-3</v>
      </c>
      <c r="E55" s="287">
        <f>C55/C43-1</f>
        <v>5.971155095790448E-2</v>
      </c>
      <c r="F55" s="136">
        <f>Q55/21</f>
        <v>713943.57142857148</v>
      </c>
      <c r="G55" s="190">
        <f t="shared" ref="G55" si="104">F55/F54-1</f>
        <v>-0.12044546788993826</v>
      </c>
      <c r="H55" s="190">
        <f t="shared" ref="H55" si="105">F55/F43-1</f>
        <v>-3.7332251084440049E-2</v>
      </c>
      <c r="I55" s="130">
        <f>T55</f>
        <v>5.8643853330386335</v>
      </c>
      <c r="J55" s="130">
        <f t="shared" ref="J55" si="106">I55/I43-1</f>
        <v>0.1017912332822013</v>
      </c>
      <c r="K55" s="136">
        <f>R53+R54+R55</f>
        <v>65515542860</v>
      </c>
      <c r="L55" s="190">
        <f>U55/U52-1</f>
        <v>-2.2911589972870239E-2</v>
      </c>
      <c r="M55" s="190">
        <f>K55/K43-1</f>
        <v>7.7040413608073122E-2</v>
      </c>
      <c r="N55" s="191">
        <f>AVERAGE(T53:T55)</f>
        <v>5.5715639751454411</v>
      </c>
      <c r="O55" s="192">
        <f>N55/N52-1</f>
        <v>2.5458465805958008E-2</v>
      </c>
      <c r="P55" s="129" t="s">
        <v>1418</v>
      </c>
      <c r="Q55" s="116">
        <v>14992815</v>
      </c>
      <c r="R55" s="116">
        <v>22091837991</v>
      </c>
      <c r="S55" s="116">
        <v>2556587.63</v>
      </c>
      <c r="T55" s="130">
        <f t="shared" ref="T55" si="107">Q55/S55</f>
        <v>5.8643853330386335</v>
      </c>
      <c r="U55" s="85">
        <f t="shared" ref="U55" si="108">Q53+Q54+Q55</f>
        <v>44877742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683573.59090909094</v>
      </c>
      <c r="G56" s="190">
        <f t="shared" ref="G56" si="109">F56/F55-1</f>
        <v>-4.2538348596250386E-2</v>
      </c>
      <c r="H56" s="190">
        <f t="shared" ref="H56" si="110">F56/F44-1</f>
        <v>-0.20151010216989906</v>
      </c>
      <c r="I56" s="291">
        <f>T56</f>
        <v>5.4444921573142793</v>
      </c>
      <c r="J56" s="130">
        <f t="shared" ref="J56" si="111">I56/I44-1</f>
        <v>1.3032567281137997E-2</v>
      </c>
      <c r="K56" s="136"/>
      <c r="L56" s="190"/>
      <c r="M56" s="190"/>
      <c r="N56" s="191"/>
      <c r="O56" s="192"/>
      <c r="P56" s="129" t="s">
        <v>1420</v>
      </c>
      <c r="Q56" s="116">
        <v>15038619</v>
      </c>
      <c r="R56" s="116">
        <v>22449150571</v>
      </c>
      <c r="S56" s="116">
        <v>2762171.12</v>
      </c>
      <c r="T56" s="130">
        <f t="shared" ref="T56" si="112">Q56/S56</f>
        <v>5.4444921573142793</v>
      </c>
      <c r="U56" s="85">
        <f t="shared" ref="U56" si="113">Q54+Q55+Q56</f>
        <v>43830511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729038.5</v>
      </c>
      <c r="G57" s="254">
        <f t="shared" ref="G57" si="114">F57/F56-1</f>
        <v>6.6510628402780769E-2</v>
      </c>
      <c r="H57" s="254">
        <f t="shared" ref="H57" si="115">F57/F45-1</f>
        <v>-1.7324503289834592E-2</v>
      </c>
      <c r="I57" s="282">
        <f>T57</f>
        <v>5.7789696893523264</v>
      </c>
      <c r="J57" s="277">
        <f t="shared" ref="J57" si="116">I57/I45-1</f>
        <v>9.5143310135170189E-2</v>
      </c>
      <c r="K57" s="204"/>
      <c r="L57" s="254"/>
      <c r="M57" s="254"/>
      <c r="N57" s="257"/>
      <c r="O57" s="258"/>
      <c r="P57" s="129" t="s">
        <v>1436</v>
      </c>
      <c r="Q57" s="116">
        <v>8748462</v>
      </c>
      <c r="R57" s="116">
        <v>12891000124</v>
      </c>
      <c r="S57" s="116">
        <v>1513844.59</v>
      </c>
      <c r="T57" s="130">
        <f t="shared" ref="T57" si="117">Q57/S57</f>
        <v>5.7789696893523264</v>
      </c>
      <c r="U57" s="85">
        <f t="shared" ref="U57" si="118">Q55+Q56+Q57</f>
        <v>38779896</v>
      </c>
      <c r="V57" s="79"/>
      <c r="W57" s="79"/>
      <c r="X57" s="79"/>
      <c r="Y57" s="79"/>
      <c r="Z57" s="79"/>
    </row>
    <row r="58" spans="1:26">
      <c r="B58" s="196">
        <f>SUM(F56:F58)</f>
        <v>1412612.0909090908</v>
      </c>
      <c r="C58" s="196">
        <f>AVERAGE(F56:F58)</f>
        <v>706306.04545454541</v>
      </c>
      <c r="D58" s="197">
        <f>C58/C55-1</f>
        <v>-7.5373177460084984E-2</v>
      </c>
      <c r="E58" s="233">
        <f>C58/C46-1</f>
        <v>-0.13985104309934204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68664823</v>
      </c>
      <c r="R65" s="212">
        <v>100855693555</v>
      </c>
      <c r="S65" s="213">
        <v>12357813.75</v>
      </c>
      <c r="T65" s="214">
        <v>509</v>
      </c>
      <c r="U65" s="214">
        <v>1122</v>
      </c>
    </row>
    <row r="66" spans="16:21" ht="18" thickBot="1">
      <c r="P66" s="180" t="s">
        <v>976</v>
      </c>
      <c r="Q66" s="181">
        <v>16085850</v>
      </c>
      <c r="R66" s="181">
        <v>23440916635</v>
      </c>
      <c r="S66" s="182">
        <v>3052555.94</v>
      </c>
      <c r="T66" s="210">
        <v>260</v>
      </c>
      <c r="U66" s="210">
        <v>512</v>
      </c>
    </row>
    <row r="67" spans="16:21" ht="18" thickBot="1">
      <c r="P67" s="180" t="s">
        <v>977</v>
      </c>
      <c r="Q67" s="181">
        <v>13799077</v>
      </c>
      <c r="R67" s="181">
        <v>19982788234</v>
      </c>
      <c r="S67" s="182">
        <v>2472654.4500000002</v>
      </c>
      <c r="T67" s="210">
        <v>223</v>
      </c>
      <c r="U67" s="210">
        <v>438</v>
      </c>
    </row>
    <row r="68" spans="16:21" ht="18" thickBot="1">
      <c r="P68" s="180" t="s">
        <v>978</v>
      </c>
      <c r="Q68" s="181">
        <v>14992815</v>
      </c>
      <c r="R68" s="181">
        <v>22091837991</v>
      </c>
      <c r="S68" s="182">
        <v>2556587.63</v>
      </c>
      <c r="T68" s="210">
        <v>257</v>
      </c>
      <c r="U68" s="210">
        <v>563</v>
      </c>
    </row>
    <row r="69" spans="16:21" ht="18" thickBot="1">
      <c r="P69" s="180" t="s">
        <v>979</v>
      </c>
      <c r="Q69" s="181">
        <v>15038619</v>
      </c>
      <c r="R69" s="181">
        <v>22449150571</v>
      </c>
      <c r="S69" s="182">
        <v>2762171.12</v>
      </c>
      <c r="T69" s="210">
        <v>285</v>
      </c>
      <c r="U69" s="210">
        <v>581</v>
      </c>
    </row>
    <row r="70" spans="16:21" ht="18" thickBot="1">
      <c r="P70" s="180" t="s">
        <v>980</v>
      </c>
      <c r="Q70" s="181">
        <v>8748462</v>
      </c>
      <c r="R70" s="181">
        <v>12891000124</v>
      </c>
      <c r="S70" s="182">
        <v>1513844.59</v>
      </c>
      <c r="T70" s="210">
        <v>175</v>
      </c>
      <c r="U70" s="210">
        <v>352</v>
      </c>
    </row>
    <row r="71" spans="16:21" ht="18" thickBot="1">
      <c r="P71" s="180" t="s">
        <v>975</v>
      </c>
      <c r="Q71" s="181">
        <v>191040883</v>
      </c>
      <c r="R71" s="181">
        <v>271415596166</v>
      </c>
      <c r="S71" s="182">
        <v>34923799.850000001</v>
      </c>
      <c r="T71" s="210">
        <v>784</v>
      </c>
      <c r="U71" s="210">
        <v>1792</v>
      </c>
    </row>
    <row r="72" spans="16:21" ht="18" thickBot="1">
      <c r="P72" s="215" t="s">
        <v>982</v>
      </c>
      <c r="Q72" s="216">
        <v>173310250</v>
      </c>
      <c r="R72" s="217"/>
      <c r="S72"/>
      <c r="T72"/>
      <c r="U72"/>
    </row>
  </sheetData>
  <phoneticPr fontId="1" type="noConversion"/>
  <conditionalFormatting sqref="C29:C30">
    <cfRule type="cellIs" dxfId="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Z75"/>
  <sheetViews>
    <sheetView zoomScale="90" zoomScaleNormal="9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6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 t="s">
        <v>502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160238.6</v>
      </c>
      <c r="G5" s="90"/>
      <c r="H5" s="90"/>
      <c r="I5" s="130">
        <f t="shared" ref="I5:I49" si="0">T5</f>
        <v>5.6830307984373372</v>
      </c>
      <c r="J5" s="130"/>
      <c r="L5" s="80"/>
      <c r="M5" s="80"/>
      <c r="P5" s="129" t="s">
        <v>0</v>
      </c>
      <c r="Q5" s="116">
        <v>3204772</v>
      </c>
      <c r="R5" s="116">
        <v>3781983578</v>
      </c>
      <c r="S5" s="116">
        <v>563919.52</v>
      </c>
      <c r="T5" s="130">
        <f t="shared" ref="T5:T29" si="1">Q5/S5</f>
        <v>5.6830307984373372</v>
      </c>
      <c r="U5" s="85"/>
    </row>
    <row r="6" spans="1:21" ht="15" hidden="1" customHeight="1">
      <c r="A6" s="129" t="s">
        <v>1</v>
      </c>
      <c r="C6" s="79"/>
      <c r="F6" s="78">
        <f>Q6/18</f>
        <v>160573.05555555556</v>
      </c>
      <c r="G6" s="90">
        <f t="shared" ref="G6:G29" si="2">F6/F5-1</f>
        <v>2.0872346335749636E-3</v>
      </c>
      <c r="H6" s="90"/>
      <c r="I6" s="130">
        <f t="shared" si="0"/>
        <v>6.0729669612603114</v>
      </c>
      <c r="J6" s="130"/>
      <c r="P6" s="129" t="s">
        <v>1</v>
      </c>
      <c r="Q6" s="116">
        <v>2890315</v>
      </c>
      <c r="R6" s="116">
        <v>3434866306</v>
      </c>
      <c r="S6" s="116">
        <v>475931.29</v>
      </c>
      <c r="T6" s="130">
        <f t="shared" si="1"/>
        <v>6.0729669612603114</v>
      </c>
      <c r="U6" s="85"/>
    </row>
    <row r="7" spans="1:21" ht="15" hidden="1" customHeight="1">
      <c r="A7" s="129" t="s">
        <v>2</v>
      </c>
      <c r="B7" s="131">
        <f>F5+F6+F7</f>
        <v>457279.33737373742</v>
      </c>
      <c r="C7" s="131">
        <f>AVERAGE(F5:F7)</f>
        <v>152426.44579124582</v>
      </c>
      <c r="F7" s="78">
        <f>Q7/22</f>
        <v>136467.68181818182</v>
      </c>
      <c r="G7" s="90">
        <f t="shared" si="2"/>
        <v>-0.15012091321282539</v>
      </c>
      <c r="H7" s="90"/>
      <c r="I7" s="130">
        <f t="shared" si="0"/>
        <v>5.2017639663274169</v>
      </c>
      <c r="J7" s="130"/>
      <c r="K7" s="79">
        <f>R5+R6+R7</f>
        <v>10828860750</v>
      </c>
      <c r="N7" s="88">
        <f>AVERAGE(T5:T7)</f>
        <v>5.6525872420083552</v>
      </c>
      <c r="P7" s="129" t="s">
        <v>2</v>
      </c>
      <c r="Q7" s="116">
        <v>3002289</v>
      </c>
      <c r="R7" s="116">
        <v>3612010866</v>
      </c>
      <c r="S7" s="116">
        <v>577167.48</v>
      </c>
      <c r="T7" s="130">
        <f t="shared" si="1"/>
        <v>5.2017639663274169</v>
      </c>
      <c r="U7" s="85">
        <f>Q5+Q6+Q7</f>
        <v>9097376</v>
      </c>
    </row>
    <row r="8" spans="1:21" ht="15" hidden="1" customHeight="1">
      <c r="A8" s="129" t="s">
        <v>3</v>
      </c>
      <c r="C8" s="79"/>
      <c r="F8" s="78">
        <f>Q8/21</f>
        <v>163022.33333333334</v>
      </c>
      <c r="G8" s="90">
        <f t="shared" si="2"/>
        <v>0.19458564226606212</v>
      </c>
      <c r="H8" s="90"/>
      <c r="I8" s="130">
        <f t="shared" si="0"/>
        <v>5.8506426023948634</v>
      </c>
      <c r="J8" s="130"/>
      <c r="K8" s="78"/>
      <c r="P8" s="129" t="s">
        <v>3</v>
      </c>
      <c r="Q8" s="116">
        <v>3423469</v>
      </c>
      <c r="R8" s="116">
        <v>4149564637</v>
      </c>
      <c r="S8" s="116">
        <v>585144.1</v>
      </c>
      <c r="T8" s="130">
        <f t="shared" si="1"/>
        <v>5.8506426023948634</v>
      </c>
      <c r="U8" s="85"/>
    </row>
    <row r="9" spans="1:21" ht="15" hidden="1" customHeight="1">
      <c r="A9" s="129" t="s">
        <v>4</v>
      </c>
      <c r="C9" s="79"/>
      <c r="F9" s="78">
        <f>Q9/21</f>
        <v>140730.04761904763</v>
      </c>
      <c r="G9" s="90">
        <f t="shared" si="2"/>
        <v>-0.13674375319303311</v>
      </c>
      <c r="H9" s="90"/>
      <c r="I9" s="130">
        <f t="shared" si="0"/>
        <v>5.0841037640363398</v>
      </c>
      <c r="J9" s="130"/>
      <c r="K9" s="78"/>
      <c r="P9" s="129" t="s">
        <v>4</v>
      </c>
      <c r="Q9" s="116">
        <v>2955331</v>
      </c>
      <c r="R9" s="116">
        <v>3715949454</v>
      </c>
      <c r="S9" s="116">
        <v>581288.49</v>
      </c>
      <c r="T9" s="130">
        <f t="shared" si="1"/>
        <v>5.0841037640363398</v>
      </c>
      <c r="U9" s="85"/>
    </row>
    <row r="10" spans="1:21" ht="15" hidden="1" customHeight="1">
      <c r="A10" s="129" t="s">
        <v>5</v>
      </c>
      <c r="B10" s="131">
        <f>F8+F9+F10</f>
        <v>428609.33333333331</v>
      </c>
      <c r="C10" s="131">
        <f>AVERAGE(F8:F10)</f>
        <v>142869.77777777778</v>
      </c>
      <c r="D10" s="90">
        <f>C10/C7-1</f>
        <v>-6.2696915642553752E-2</v>
      </c>
      <c r="E10" s="286"/>
      <c r="F10" s="78">
        <f>Q10/21</f>
        <v>124856.95238095238</v>
      </c>
      <c r="G10" s="90">
        <f t="shared" si="2"/>
        <v>-0.11279108837554919</v>
      </c>
      <c r="H10" s="90"/>
      <c r="I10" s="130">
        <f t="shared" si="0"/>
        <v>5.5525997176005308</v>
      </c>
      <c r="J10" s="130"/>
      <c r="K10" s="79">
        <f>R8+R9+R10</f>
        <v>11176176232</v>
      </c>
      <c r="L10" s="87">
        <f>U10/U7-1</f>
        <v>-1.0616248025804409E-2</v>
      </c>
      <c r="N10" s="88">
        <f>AVERAGE(T8:T10)</f>
        <v>5.495782028010578</v>
      </c>
      <c r="O10" s="89">
        <f>N10/N7-1</f>
        <v>-2.7740432351480937E-2</v>
      </c>
      <c r="P10" s="129" t="s">
        <v>5</v>
      </c>
      <c r="Q10" s="116">
        <v>2621996</v>
      </c>
      <c r="R10" s="116">
        <v>3310662141</v>
      </c>
      <c r="S10" s="116">
        <v>472210.52</v>
      </c>
      <c r="T10" s="130">
        <f t="shared" si="1"/>
        <v>5.5525997176005308</v>
      </c>
      <c r="U10" s="85">
        <f>Q8+Q9+Q10</f>
        <v>9000796</v>
      </c>
    </row>
    <row r="11" spans="1:21" ht="15" hidden="1" customHeight="1">
      <c r="A11" s="129" t="s">
        <v>6</v>
      </c>
      <c r="C11" s="79"/>
      <c r="F11" s="78">
        <f>Q11/21</f>
        <v>129187.09523809524</v>
      </c>
      <c r="G11" s="90">
        <f t="shared" si="2"/>
        <v>3.4680830939482821E-2</v>
      </c>
      <c r="H11" s="90"/>
      <c r="I11" s="130">
        <f t="shared" si="0"/>
        <v>5.4852695025086211</v>
      </c>
      <c r="J11" s="130"/>
      <c r="K11" s="78"/>
      <c r="O11" s="89"/>
      <c r="P11" s="129" t="s">
        <v>6</v>
      </c>
      <c r="Q11" s="116">
        <v>2712929</v>
      </c>
      <c r="R11" s="116">
        <v>3502475628</v>
      </c>
      <c r="S11" s="116">
        <v>494584.45</v>
      </c>
      <c r="T11" s="130">
        <f t="shared" si="1"/>
        <v>5.4852695025086211</v>
      </c>
      <c r="U11" s="85"/>
    </row>
    <row r="12" spans="1:21" ht="15" hidden="1" customHeight="1">
      <c r="A12" s="129" t="s">
        <v>7</v>
      </c>
      <c r="C12" s="79"/>
      <c r="F12" s="78">
        <f>Q12/22</f>
        <v>124031.13636363637</v>
      </c>
      <c r="G12" s="90">
        <f t="shared" si="2"/>
        <v>-3.9910788805617936E-2</v>
      </c>
      <c r="H12" s="90"/>
      <c r="I12" s="130">
        <f t="shared" si="0"/>
        <v>5.9323892187021974</v>
      </c>
      <c r="J12" s="130"/>
      <c r="K12" s="78"/>
      <c r="O12" s="89"/>
      <c r="P12" s="129" t="s">
        <v>7</v>
      </c>
      <c r="Q12" s="116">
        <v>2728685</v>
      </c>
      <c r="R12" s="116">
        <v>3551732220</v>
      </c>
      <c r="S12" s="116">
        <v>459963.92</v>
      </c>
      <c r="T12" s="130">
        <f t="shared" si="1"/>
        <v>5.9323892187021974</v>
      </c>
      <c r="U12" s="85"/>
    </row>
    <row r="13" spans="1:21" ht="15" hidden="1" customHeight="1">
      <c r="A13" s="129" t="s">
        <v>96</v>
      </c>
      <c r="B13" s="131">
        <f>F11+F12+F13</f>
        <v>373589.38160173164</v>
      </c>
      <c r="C13" s="131">
        <f>AVERAGE(F11:F13)</f>
        <v>124529.79386724388</v>
      </c>
      <c r="D13" s="90">
        <f>C13/C10-1</f>
        <v>-0.1283685338900733</v>
      </c>
      <c r="E13" s="286"/>
      <c r="F13" s="78">
        <f>Q13/20</f>
        <v>120371.15</v>
      </c>
      <c r="G13" s="90">
        <f t="shared" si="2"/>
        <v>-2.9508609458402169E-2</v>
      </c>
      <c r="H13" s="90"/>
      <c r="I13" s="130">
        <f t="shared" si="0"/>
        <v>5.2857453346783014</v>
      </c>
      <c r="J13" s="130"/>
      <c r="K13" s="78">
        <f>R11+R12+R13</f>
        <v>10353907118</v>
      </c>
      <c r="L13" s="87">
        <f>U13/U10-1</f>
        <v>-0.12796190470265079</v>
      </c>
      <c r="N13" s="88">
        <f>AVERAGE(T11:T13)</f>
        <v>5.5678013519630403</v>
      </c>
      <c r="O13" s="89">
        <f>N13/N10-1</f>
        <v>1.3104472409094514E-2</v>
      </c>
      <c r="P13" s="129" t="s">
        <v>96</v>
      </c>
      <c r="Q13" s="116">
        <v>2407423</v>
      </c>
      <c r="R13" s="116">
        <v>3299699270</v>
      </c>
      <c r="S13" s="116">
        <v>455455.73</v>
      </c>
      <c r="T13" s="130">
        <f t="shared" si="1"/>
        <v>5.2857453346783014</v>
      </c>
      <c r="U13" s="85">
        <f>Q11+Q12+Q13</f>
        <v>7849037</v>
      </c>
    </row>
    <row r="14" spans="1:21" ht="15" hidden="1" customHeight="1">
      <c r="A14" s="129" t="s">
        <v>97</v>
      </c>
      <c r="C14" s="79"/>
      <c r="F14" s="78">
        <f>Q14/20</f>
        <v>143352.35</v>
      </c>
      <c r="G14" s="90">
        <f t="shared" si="2"/>
        <v>0.19091950189061091</v>
      </c>
      <c r="H14" s="90"/>
      <c r="I14" s="130">
        <f t="shared" si="0"/>
        <v>6.1533021046030045</v>
      </c>
      <c r="J14" s="130"/>
      <c r="O14" s="89"/>
      <c r="P14" s="129" t="s">
        <v>97</v>
      </c>
      <c r="Q14" s="116">
        <v>2867047</v>
      </c>
      <c r="R14" s="116">
        <v>4089440891</v>
      </c>
      <c r="S14" s="116">
        <v>465936.33</v>
      </c>
      <c r="T14" s="130">
        <f t="shared" si="1"/>
        <v>6.1533021046030045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117723.86363636363</v>
      </c>
      <c r="G15" s="90">
        <f t="shared" si="2"/>
        <v>-0.17877967374539983</v>
      </c>
      <c r="H15" s="90"/>
      <c r="I15" s="130">
        <f t="shared" si="0"/>
        <v>5.5166935721544341</v>
      </c>
      <c r="J15" s="130"/>
      <c r="O15" s="89"/>
      <c r="P15" s="129" t="s">
        <v>98</v>
      </c>
      <c r="Q15" s="116">
        <v>2589925</v>
      </c>
      <c r="R15" s="116">
        <v>3616069485</v>
      </c>
      <c r="S15" s="116">
        <v>469470.52</v>
      </c>
      <c r="T15" s="130">
        <f t="shared" si="1"/>
        <v>5.5166935721544341</v>
      </c>
      <c r="U15" s="78"/>
    </row>
    <row r="16" spans="1:21" ht="15" hidden="1" customHeight="1">
      <c r="A16" s="129" t="s">
        <v>99</v>
      </c>
      <c r="B16" s="131">
        <f>F14+F15+F16</f>
        <v>385565.62272727268</v>
      </c>
      <c r="C16" s="131">
        <f>AVERAGE(F14:F16)</f>
        <v>128521.87424242422</v>
      </c>
      <c r="D16" s="90">
        <f>C16/C13-1</f>
        <v>3.2057231054571034E-2</v>
      </c>
      <c r="E16" s="286"/>
      <c r="F16" s="78">
        <f>Q16/22</f>
        <v>124489.40909090909</v>
      </c>
      <c r="G16" s="90">
        <f t="shared" si="2"/>
        <v>5.7469617846076737E-2</v>
      </c>
      <c r="H16" s="90"/>
      <c r="I16" s="130">
        <f t="shared" si="0"/>
        <v>5.8310953527794522</v>
      </c>
      <c r="J16" s="130"/>
      <c r="K16" s="78">
        <f>R14+R15+R16</f>
        <v>11294440443</v>
      </c>
      <c r="L16" s="87">
        <f>U16/U13-1</f>
        <v>4.4171278591246255E-2</v>
      </c>
      <c r="N16" s="88">
        <f>AVERAGE(T14:T16)</f>
        <v>5.83369700984563</v>
      </c>
      <c r="O16" s="89">
        <f>N16/N13-1</f>
        <v>4.7755952677593694E-2</v>
      </c>
      <c r="P16" s="129" t="s">
        <v>99</v>
      </c>
      <c r="Q16" s="116">
        <v>2738767</v>
      </c>
      <c r="R16" s="116">
        <v>3588930067</v>
      </c>
      <c r="S16" s="116">
        <v>469683.11</v>
      </c>
      <c r="T16" s="130">
        <f t="shared" si="1"/>
        <v>5.8310953527794522</v>
      </c>
      <c r="U16" s="85">
        <f>Q14+Q15+Q16</f>
        <v>8195739</v>
      </c>
    </row>
    <row r="17" spans="1:21" ht="15" hidden="1" customHeight="1">
      <c r="A17" s="129" t="s">
        <v>100</v>
      </c>
      <c r="C17" s="79"/>
      <c r="F17" s="78">
        <f>Q17/20</f>
        <v>134070.79999999999</v>
      </c>
      <c r="G17" s="90">
        <f t="shared" si="2"/>
        <v>7.6965510392085212E-2</v>
      </c>
      <c r="H17" s="90">
        <f t="shared" ref="H17:H29" si="3">F17/F5-1</f>
        <v>-0.1633052210890511</v>
      </c>
      <c r="I17" s="130">
        <f t="shared" si="0"/>
        <v>5.7488465820937638</v>
      </c>
      <c r="J17" s="130">
        <f t="shared" ref="J17:J49" si="4">I17/I5-1</f>
        <v>1.1581106277749553E-2</v>
      </c>
      <c r="O17" s="89"/>
      <c r="P17" s="129" t="s">
        <v>100</v>
      </c>
      <c r="Q17" s="116">
        <v>2681416</v>
      </c>
      <c r="R17" s="116">
        <v>3368166152</v>
      </c>
      <c r="S17" s="116">
        <v>466426.78</v>
      </c>
      <c r="T17" s="130">
        <f t="shared" si="1"/>
        <v>5.7488465820937638</v>
      </c>
      <c r="U17" s="78"/>
    </row>
    <row r="18" spans="1:21" ht="15" hidden="1" customHeight="1">
      <c r="A18" s="129" t="s">
        <v>106</v>
      </c>
      <c r="C18" s="79"/>
      <c r="F18" s="78">
        <f>Q18/20</f>
        <v>198441.25</v>
      </c>
      <c r="G18" s="90">
        <f t="shared" si="2"/>
        <v>0.48012281570632842</v>
      </c>
      <c r="H18" s="90">
        <f t="shared" si="3"/>
        <v>0.23583156161179653</v>
      </c>
      <c r="I18" s="130">
        <f t="shared" si="0"/>
        <v>6.3947811515625128</v>
      </c>
      <c r="J18" s="130">
        <f t="shared" si="4"/>
        <v>5.2991263142886602E-2</v>
      </c>
      <c r="O18" s="89"/>
      <c r="P18" s="129" t="s">
        <v>106</v>
      </c>
      <c r="Q18" s="116">
        <v>3968825</v>
      </c>
      <c r="R18" s="116">
        <v>4974606454</v>
      </c>
      <c r="S18" s="116">
        <v>620635</v>
      </c>
      <c r="T18" s="130">
        <f t="shared" si="1"/>
        <v>6.3947811515625128</v>
      </c>
      <c r="U18" s="78"/>
    </row>
    <row r="19" spans="1:21" hidden="1">
      <c r="A19" s="129" t="s">
        <v>114</v>
      </c>
      <c r="B19" s="131">
        <f>SUM(F17:F19)</f>
        <v>490132.00454545452</v>
      </c>
      <c r="C19" s="131">
        <f>AVERAGE(F17:F19)</f>
        <v>163377.33484848484</v>
      </c>
      <c r="D19" s="90">
        <f>C19/C16-1</f>
        <v>0.27120255451857589</v>
      </c>
      <c r="E19" s="286">
        <f>C19/C7-1</f>
        <v>7.1843760447164895E-2</v>
      </c>
      <c r="F19" s="78">
        <f>Q19/22</f>
        <v>157619.95454545456</v>
      </c>
      <c r="G19" s="90">
        <f t="shared" si="2"/>
        <v>-0.20570972746112737</v>
      </c>
      <c r="H19" s="90">
        <f t="shared" si="3"/>
        <v>0.15499840288526534</v>
      </c>
      <c r="I19" s="130">
        <f t="shared" si="0"/>
        <v>5.833640691208327</v>
      </c>
      <c r="J19" s="130">
        <f t="shared" si="4"/>
        <v>0.12147354800626053</v>
      </c>
      <c r="K19" s="78">
        <f>R17+R18+R19</f>
        <v>12876878429</v>
      </c>
      <c r="L19" s="87">
        <f>U19/U16-1</f>
        <v>0.23452930846138464</v>
      </c>
      <c r="M19" s="87">
        <f>U19/U7-1</f>
        <v>0.1121756427347842</v>
      </c>
      <c r="N19" s="88">
        <f>AVERAGE(T17:T19)</f>
        <v>5.9924228082882012</v>
      </c>
      <c r="O19" s="89">
        <f>N19/N16-1</f>
        <v>2.7208440578022186E-2</v>
      </c>
      <c r="P19" s="129" t="s">
        <v>114</v>
      </c>
      <c r="Q19" s="116">
        <v>3467639</v>
      </c>
      <c r="R19" s="116">
        <v>4534105823</v>
      </c>
      <c r="S19" s="116">
        <v>594421.07999999996</v>
      </c>
      <c r="T19" s="130">
        <f t="shared" si="1"/>
        <v>5.833640691208327</v>
      </c>
      <c r="U19" s="85">
        <f>Q17+Q18+Q19</f>
        <v>10117880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172917</v>
      </c>
      <c r="G20" s="90">
        <f t="shared" si="2"/>
        <v>9.7050183136133672E-2</v>
      </c>
      <c r="H20" s="90">
        <f t="shared" si="3"/>
        <v>6.0695160376799118E-2</v>
      </c>
      <c r="I20" s="130">
        <f t="shared" si="0"/>
        <v>6.2355685931477298</v>
      </c>
      <c r="J20" s="130">
        <f t="shared" si="4"/>
        <v>6.5792087623896878E-2</v>
      </c>
      <c r="O20" s="89"/>
      <c r="P20" s="129" t="s">
        <v>131</v>
      </c>
      <c r="Q20" s="116">
        <v>3458340</v>
      </c>
      <c r="R20" s="116">
        <v>4532581379</v>
      </c>
      <c r="S20" s="116">
        <v>554615.02</v>
      </c>
      <c r="T20" s="130">
        <f t="shared" si="1"/>
        <v>6.2355685931477298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172733.52380952382</v>
      </c>
      <c r="G21" s="90">
        <f t="shared" si="2"/>
        <v>-1.0610650802187482E-3</v>
      </c>
      <c r="H21" s="90">
        <f t="shared" si="3"/>
        <v>0.22741039836146948</v>
      </c>
      <c r="I21" s="130">
        <f t="shared" si="0"/>
        <v>6.1845340580861352</v>
      </c>
      <c r="J21" s="130">
        <f t="shared" si="4"/>
        <v>0.21644528615524328</v>
      </c>
      <c r="O21" s="89"/>
      <c r="P21" s="129" t="s">
        <v>141</v>
      </c>
      <c r="Q21" s="116">
        <v>3627404</v>
      </c>
      <c r="R21" s="116">
        <v>4827729533</v>
      </c>
      <c r="S21" s="116">
        <v>586528.26</v>
      </c>
      <c r="T21" s="130">
        <f t="shared" si="1"/>
        <v>6.1845340580861352</v>
      </c>
      <c r="U21" s="78"/>
    </row>
    <row r="22" spans="1:21" hidden="1">
      <c r="A22" s="129" t="s">
        <v>155</v>
      </c>
      <c r="B22" s="131">
        <f>SUM(F20:F22)</f>
        <v>606004.85714285716</v>
      </c>
      <c r="C22" s="131">
        <f>AVERAGE(F20:F22)</f>
        <v>202001.61904761905</v>
      </c>
      <c r="D22" s="90">
        <f>C22/C19-1</f>
        <v>0.23641152082052352</v>
      </c>
      <c r="E22" s="286">
        <f>C22/C10-1</f>
        <v>0.4138862829465304</v>
      </c>
      <c r="F22" s="78">
        <f>Q22/21</f>
        <v>260354.33333333334</v>
      </c>
      <c r="G22" s="90">
        <f t="shared" si="2"/>
        <v>0.50726001294589729</v>
      </c>
      <c r="H22" s="90">
        <f t="shared" si="3"/>
        <v>1.0852209538077098</v>
      </c>
      <c r="I22" s="130">
        <f t="shared" si="0"/>
        <v>6.2307220888245141</v>
      </c>
      <c r="J22" s="130">
        <f t="shared" si="4"/>
        <v>0.1221270045947096</v>
      </c>
      <c r="K22" s="78">
        <f>R20+R21+R22</f>
        <v>16451279866</v>
      </c>
      <c r="L22" s="87">
        <f>U22/U19-1</f>
        <v>0.24069320845868902</v>
      </c>
      <c r="M22" s="87">
        <f>U22/U10-1</f>
        <v>0.39467498207936269</v>
      </c>
      <c r="N22" s="88">
        <f>AVERAGE(T20:T22)</f>
        <v>6.2169415800194594</v>
      </c>
      <c r="O22" s="89">
        <f>N22/N19-1</f>
        <v>3.746711120262125E-2</v>
      </c>
      <c r="P22" s="129" t="s">
        <v>155</v>
      </c>
      <c r="Q22" s="116">
        <v>5467441</v>
      </c>
      <c r="R22" s="116">
        <v>7090968954</v>
      </c>
      <c r="S22" s="116">
        <v>877497.17</v>
      </c>
      <c r="T22" s="130">
        <f t="shared" si="1"/>
        <v>6.2307220888245141</v>
      </c>
      <c r="U22" s="85">
        <f>Q20+Q21+Q22</f>
        <v>12553185</v>
      </c>
    </row>
    <row r="23" spans="1:21" hidden="1">
      <c r="A23" s="129" t="s">
        <v>189</v>
      </c>
      <c r="B23" s="131"/>
      <c r="C23" s="131"/>
      <c r="F23" s="78">
        <f>Q23/21</f>
        <v>207394.04761904763</v>
      </c>
      <c r="G23" s="90">
        <f t="shared" si="2"/>
        <v>-0.20341618684133944</v>
      </c>
      <c r="H23" s="90">
        <f t="shared" si="3"/>
        <v>0.60537743523697096</v>
      </c>
      <c r="I23" s="130">
        <f t="shared" si="0"/>
        <v>6.0470866275089188</v>
      </c>
      <c r="J23" s="130">
        <f t="shared" si="4"/>
        <v>0.10242288455350423</v>
      </c>
      <c r="O23" s="89"/>
      <c r="P23" s="129" t="s">
        <v>189</v>
      </c>
      <c r="Q23" s="116">
        <v>4355275</v>
      </c>
      <c r="R23" s="116">
        <v>5634755546</v>
      </c>
      <c r="S23" s="116">
        <v>720226.99</v>
      </c>
      <c r="T23" s="130">
        <f t="shared" si="1"/>
        <v>6.0470866275089188</v>
      </c>
      <c r="U23" s="78"/>
    </row>
    <row r="24" spans="1:21" hidden="1">
      <c r="A24" s="129" t="s">
        <v>204</v>
      </c>
      <c r="B24" s="131"/>
      <c r="C24" s="131"/>
      <c r="F24" s="78">
        <f>Q24/22</f>
        <v>204638</v>
      </c>
      <c r="G24" s="90">
        <f t="shared" si="2"/>
        <v>-1.328894271888692E-2</v>
      </c>
      <c r="H24" s="90">
        <f t="shared" si="3"/>
        <v>0.64989216417431828</v>
      </c>
      <c r="I24" s="130">
        <f t="shared" si="0"/>
        <v>6.5596858742796575</v>
      </c>
      <c r="J24" s="130">
        <f t="shared" si="4"/>
        <v>0.10574098098618867</v>
      </c>
      <c r="O24" s="89"/>
      <c r="P24" s="129" t="s">
        <v>204</v>
      </c>
      <c r="Q24" s="116">
        <v>4502036</v>
      </c>
      <c r="R24" s="116">
        <v>5902118421</v>
      </c>
      <c r="S24" s="116">
        <v>686318.84</v>
      </c>
      <c r="T24" s="130">
        <f t="shared" si="1"/>
        <v>6.5596858742796575</v>
      </c>
      <c r="U24" s="78"/>
    </row>
    <row r="25" spans="1:21" s="79" customFormat="1" ht="13.2" hidden="1">
      <c r="A25" s="129" t="s">
        <v>217</v>
      </c>
      <c r="B25" s="131">
        <f>SUM(F23:F25)</f>
        <v>624219.9949874687</v>
      </c>
      <c r="C25" s="131">
        <f>AVERAGE(F23:F25)</f>
        <v>208073.33166248957</v>
      </c>
      <c r="D25" s="90">
        <f>C25/C22-1</f>
        <v>3.0057742326506709E-2</v>
      </c>
      <c r="E25" s="286">
        <f>C25/C13-1</f>
        <v>0.67087188696632749</v>
      </c>
      <c r="F25" s="78">
        <f>Q25/19</f>
        <v>212187.94736842104</v>
      </c>
      <c r="G25" s="90">
        <f t="shared" si="2"/>
        <v>3.6894161242882806E-2</v>
      </c>
      <c r="H25" s="90">
        <f t="shared" si="3"/>
        <v>0.76278076074226298</v>
      </c>
      <c r="I25" s="130">
        <f t="shared" si="0"/>
        <v>5.7078038440967775</v>
      </c>
      <c r="J25" s="130">
        <f t="shared" si="4"/>
        <v>7.9848438147306799E-2</v>
      </c>
      <c r="K25" s="78">
        <f>R23+R24+R25</f>
        <v>16886418729</v>
      </c>
      <c r="L25" s="90">
        <f>U25/U22-1</f>
        <v>2.6741978231022534E-2</v>
      </c>
      <c r="M25" s="90">
        <f>U25/U13-1</f>
        <v>0.64209724071882968</v>
      </c>
      <c r="N25" s="88">
        <f>AVERAGE(T23:T25)</f>
        <v>6.1048587819617843</v>
      </c>
      <c r="O25" s="91">
        <f>N25/N22-1</f>
        <v>-1.8028607252462581E-2</v>
      </c>
      <c r="P25" s="129" t="s">
        <v>217</v>
      </c>
      <c r="Q25" s="116">
        <v>4031571</v>
      </c>
      <c r="R25" s="116">
        <v>5349544762</v>
      </c>
      <c r="S25" s="116">
        <v>706326.13</v>
      </c>
      <c r="T25" s="130">
        <f t="shared" si="1"/>
        <v>5.7078038440967775</v>
      </c>
      <c r="U25" s="85">
        <f>Q23+Q24+Q25</f>
        <v>12888882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250601</v>
      </c>
      <c r="G26" s="90">
        <f t="shared" si="2"/>
        <v>0.1810331506005971</v>
      </c>
      <c r="H26" s="90">
        <f t="shared" si="3"/>
        <v>0.74814713536262212</v>
      </c>
      <c r="I26" s="130">
        <f t="shared" si="0"/>
        <v>6.1075971822916664</v>
      </c>
      <c r="J26" s="130">
        <f t="shared" si="4"/>
        <v>-7.4277065442875934E-3</v>
      </c>
      <c r="L26" s="90"/>
      <c r="M26" s="90"/>
      <c r="P26" s="129" t="s">
        <v>312</v>
      </c>
      <c r="Q26" s="116">
        <v>4761419</v>
      </c>
      <c r="R26" s="116">
        <v>6425639445</v>
      </c>
      <c r="S26" s="116">
        <v>779589.56</v>
      </c>
      <c r="T26" s="130">
        <f t="shared" si="1"/>
        <v>6.1075971822916664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320802.36363636365</v>
      </c>
      <c r="G27" s="90">
        <f t="shared" si="2"/>
        <v>0.28013201717616298</v>
      </c>
      <c r="H27" s="90">
        <f t="shared" si="3"/>
        <v>1.725041072617933</v>
      </c>
      <c r="I27" s="130">
        <f t="shared" si="0"/>
        <v>6.3469629467382163</v>
      </c>
      <c r="J27" s="130">
        <f t="shared" si="4"/>
        <v>0.1505012674212276</v>
      </c>
      <c r="L27" s="90"/>
      <c r="M27" s="90"/>
      <c r="P27" s="129" t="s">
        <v>373</v>
      </c>
      <c r="Q27" s="116">
        <v>7057652</v>
      </c>
      <c r="R27" s="116">
        <v>9354165681</v>
      </c>
      <c r="S27" s="116">
        <v>1111973.0900000001</v>
      </c>
      <c r="T27" s="130">
        <f t="shared" si="1"/>
        <v>6.3469629467382163</v>
      </c>
      <c r="U27" s="78"/>
    </row>
    <row r="28" spans="1:21" s="79" customFormat="1" ht="13.2" hidden="1">
      <c r="A28" s="123" t="s">
        <v>413</v>
      </c>
      <c r="B28" s="171">
        <f>SUM(F26:F28)</f>
        <v>877749.83732057409</v>
      </c>
      <c r="C28" s="131">
        <f>AVERAGE(F26:F28)</f>
        <v>292583.27910685801</v>
      </c>
      <c r="D28" s="90">
        <f>C28/C25-1</f>
        <v>0.40615463197104895</v>
      </c>
      <c r="E28" s="286">
        <f>C28/C16-1</f>
        <v>1.2765251505356447</v>
      </c>
      <c r="F28" s="78">
        <f>Q28/19</f>
        <v>306346.4736842105</v>
      </c>
      <c r="G28" s="90">
        <f t="shared" si="2"/>
        <v>-4.5061669085889933E-2</v>
      </c>
      <c r="H28" s="90">
        <f t="shared" si="3"/>
        <v>1.4608235826752081</v>
      </c>
      <c r="I28" s="130">
        <f t="shared" si="0"/>
        <v>6.5256144287646825</v>
      </c>
      <c r="J28" s="130">
        <f t="shared" si="4"/>
        <v>0.11910610853828363</v>
      </c>
      <c r="K28" s="78">
        <f>R26+R27+R28</f>
        <v>23375385016</v>
      </c>
      <c r="L28" s="90">
        <f>U28/U25-1</f>
        <v>0.36859457631779069</v>
      </c>
      <c r="M28" s="90">
        <f>U28/U16-1</f>
        <v>1.1522957234240865</v>
      </c>
      <c r="N28" s="88">
        <f>AVERAGE(T26:T28)</f>
        <v>6.326724852598189</v>
      </c>
      <c r="O28" s="91">
        <f>N28/N25-1</f>
        <v>3.6342539370764593E-2</v>
      </c>
      <c r="P28" s="129" t="s">
        <v>413</v>
      </c>
      <c r="Q28" s="116">
        <v>5820583</v>
      </c>
      <c r="R28" s="116">
        <v>7595579890</v>
      </c>
      <c r="S28" s="116">
        <v>891959.38</v>
      </c>
      <c r="T28" s="130">
        <f t="shared" si="1"/>
        <v>6.5256144287646825</v>
      </c>
      <c r="U28" s="85">
        <f>Q26+Q27+Q28</f>
        <v>17639654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191653</v>
      </c>
      <c r="G29" s="190">
        <f t="shared" si="2"/>
        <v>-0.37439136251471716</v>
      </c>
      <c r="H29" s="190">
        <f t="shared" si="3"/>
        <v>0.42949098535997421</v>
      </c>
      <c r="I29" s="130">
        <f t="shared" si="0"/>
        <v>5.8759734005956821</v>
      </c>
      <c r="J29" s="130">
        <f t="shared" si="4"/>
        <v>2.2113447747568626E-2</v>
      </c>
      <c r="K29" s="136"/>
      <c r="L29" s="190"/>
      <c r="M29" s="190"/>
      <c r="N29" s="191"/>
      <c r="O29" s="192"/>
      <c r="P29" s="129" t="s">
        <v>426</v>
      </c>
      <c r="Q29" s="116">
        <v>4216366</v>
      </c>
      <c r="R29" s="116">
        <v>5538645497</v>
      </c>
      <c r="S29" s="116">
        <v>717560.43</v>
      </c>
      <c r="T29" s="130">
        <f t="shared" si="1"/>
        <v>5.8759734005956821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190481.15789473685</v>
      </c>
      <c r="G30" s="190">
        <f t="shared" ref="G30" si="5">F30/F29-1</f>
        <v>-6.1143947930016873E-3</v>
      </c>
      <c r="H30" s="190">
        <f t="shared" ref="H30" si="6">F30/F18-1</f>
        <v>-4.0113091936596623E-2</v>
      </c>
      <c r="I30" s="130">
        <f t="shared" si="0"/>
        <v>5.9262131734238812</v>
      </c>
      <c r="J30" s="130">
        <f t="shared" si="4"/>
        <v>-7.3273497096009388E-2</v>
      </c>
      <c r="K30" s="136"/>
      <c r="L30" s="190"/>
      <c r="M30" s="190"/>
      <c r="N30" s="191"/>
      <c r="O30" s="192"/>
      <c r="P30" s="129" t="s">
        <v>466</v>
      </c>
      <c r="Q30" s="116">
        <v>3619142</v>
      </c>
      <c r="R30" s="116">
        <v>4821359355</v>
      </c>
      <c r="S30" s="116">
        <v>610700.61</v>
      </c>
      <c r="T30" s="130">
        <f t="shared" ref="T30" si="7">Q30/S30</f>
        <v>5.9262131734238812</v>
      </c>
      <c r="U30" s="85"/>
    </row>
    <row r="31" spans="1:21" s="79" customFormat="1" ht="13.2" hidden="1">
      <c r="A31" s="129" t="s">
        <v>505</v>
      </c>
      <c r="B31" s="188">
        <f>SUM(F29:F31)</f>
        <v>622702.15789473685</v>
      </c>
      <c r="C31" s="188">
        <f>AVERAGE(F29:F31)</f>
        <v>207567.38596491228</v>
      </c>
      <c r="D31" s="190">
        <f>C31/C28-1</f>
        <v>-0.29056989654865417</v>
      </c>
      <c r="E31" s="287">
        <f>C31/C19-1</f>
        <v>0.27047846726970426</v>
      </c>
      <c r="F31" s="136">
        <f>Q31/20</f>
        <v>240568</v>
      </c>
      <c r="G31" s="190">
        <f t="shared" ref="G31" si="8">F31/F30-1</f>
        <v>0.26294906361784087</v>
      </c>
      <c r="H31" s="190">
        <f t="shared" ref="H31" si="9">F31/F19-1</f>
        <v>0.52625345371879817</v>
      </c>
      <c r="I31" s="130">
        <f t="shared" si="0"/>
        <v>6.0076499343721785</v>
      </c>
      <c r="J31" s="130">
        <f t="shared" si="4"/>
        <v>2.9828584305182648E-2</v>
      </c>
      <c r="K31" s="136">
        <f>R29+R30+R31</f>
        <v>16744979854</v>
      </c>
      <c r="L31" s="190">
        <f>U31/U28-1</f>
        <v>-0.2830433068585132</v>
      </c>
      <c r="M31" s="190">
        <f>U31/U19-1</f>
        <v>0.24995236156190814</v>
      </c>
      <c r="N31" s="191">
        <f>AVERAGE(T29:T31)</f>
        <v>5.9366121694639133</v>
      </c>
      <c r="O31" s="192">
        <f>N31/N28-1</f>
        <v>-6.1661079345669445E-2</v>
      </c>
      <c r="P31" s="129" t="s">
        <v>505</v>
      </c>
      <c r="Q31" s="116">
        <v>4811360</v>
      </c>
      <c r="R31" s="116">
        <v>6384975002</v>
      </c>
      <c r="S31" s="116">
        <v>800872.23</v>
      </c>
      <c r="T31" s="130">
        <f t="shared" ref="T31" si="10">Q31/S31</f>
        <v>6.0076499343721785</v>
      </c>
      <c r="U31" s="85">
        <f>Q29+Q30+Q31</f>
        <v>12646868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202550.28571428571</v>
      </c>
      <c r="G32" s="190">
        <f t="shared" ref="G32" si="11">F32/F31-1</f>
        <v>-0.15803313111350759</v>
      </c>
      <c r="H32" s="190">
        <f t="shared" ref="H32" si="12">F32/F20-1</f>
        <v>0.17137288823126529</v>
      </c>
      <c r="I32" s="130">
        <f t="shared" si="0"/>
        <v>6.0338101415671961</v>
      </c>
      <c r="J32" s="130">
        <f t="shared" si="4"/>
        <v>-3.2356063214868058E-2</v>
      </c>
      <c r="K32" s="136"/>
      <c r="L32" s="190"/>
      <c r="M32" s="190"/>
      <c r="N32" s="191"/>
      <c r="O32" s="192"/>
      <c r="P32" s="129" t="s">
        <v>562</v>
      </c>
      <c r="Q32" s="116">
        <v>4253556</v>
      </c>
      <c r="R32" s="116">
        <v>5791000499</v>
      </c>
      <c r="S32" s="116">
        <v>704953.57</v>
      </c>
      <c r="T32" s="130">
        <f t="shared" ref="T32" si="13">Q32/S32</f>
        <v>6.0338101415671961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211761.85714285713</v>
      </c>
      <c r="G33" s="190">
        <f t="shared" ref="G33" si="14">F33/F32-1</f>
        <v>4.547794833311225E-2</v>
      </c>
      <c r="H33" s="190">
        <f t="shared" ref="H33" si="15">F33/F21-1</f>
        <v>0.22594533170278241</v>
      </c>
      <c r="I33" s="130">
        <f t="shared" si="0"/>
        <v>6.0366730618039801</v>
      </c>
      <c r="J33" s="130">
        <f t="shared" si="4"/>
        <v>-2.3908186921346219E-2</v>
      </c>
      <c r="K33" s="136"/>
      <c r="L33" s="190"/>
      <c r="M33" s="190"/>
      <c r="N33" s="191"/>
      <c r="O33" s="192"/>
      <c r="P33" s="129" t="s">
        <v>607</v>
      </c>
      <c r="Q33" s="116">
        <v>4446999</v>
      </c>
      <c r="R33" s="116">
        <v>6080178973</v>
      </c>
      <c r="S33" s="116">
        <v>736663.88</v>
      </c>
      <c r="T33" s="130">
        <f t="shared" ref="T33" si="16">Q33/S33</f>
        <v>6.0366730618039801</v>
      </c>
      <c r="U33" s="85"/>
    </row>
    <row r="34" spans="1:21" s="79" customFormat="1" ht="13.2" hidden="1">
      <c r="A34" s="129" t="s">
        <v>652</v>
      </c>
      <c r="B34" s="188">
        <f>SUM(F32:F34)</f>
        <v>668700.82706766913</v>
      </c>
      <c r="C34" s="188">
        <f>AVERAGE(F32:F34)</f>
        <v>222900.27568922305</v>
      </c>
      <c r="D34" s="190">
        <f>C34/C31-1</f>
        <v>7.3869455227916658E-2</v>
      </c>
      <c r="E34" s="287">
        <f>C34/C22-1</f>
        <v>0.10345786702173632</v>
      </c>
      <c r="F34" s="136">
        <f>Q34/19</f>
        <v>254388.68421052632</v>
      </c>
      <c r="G34" s="190">
        <f t="shared" ref="G34" si="17">F34/F33-1</f>
        <v>0.20129605795302696</v>
      </c>
      <c r="H34" s="190">
        <f t="shared" ref="H34" si="18">F34/F22-1</f>
        <v>-2.2913577225423643E-2</v>
      </c>
      <c r="I34" s="130">
        <f t="shared" si="0"/>
        <v>6.1349433554253672</v>
      </c>
      <c r="J34" s="130">
        <f t="shared" si="4"/>
        <v>-1.5372011788318485E-2</v>
      </c>
      <c r="K34" s="136">
        <f>R32+R33+R34</f>
        <v>18515632126</v>
      </c>
      <c r="L34" s="190">
        <f>U34/U31-1</f>
        <v>7.0141635067275221E-2</v>
      </c>
      <c r="M34" s="190">
        <f>U34/U22-1</f>
        <v>7.8127981066159702E-2</v>
      </c>
      <c r="N34" s="191">
        <f>AVERAGE(T32:T34)</f>
        <v>6.0684755195988478</v>
      </c>
      <c r="O34" s="192">
        <f>N34/N31-1</f>
        <v>2.2211885562138933E-2</v>
      </c>
      <c r="P34" s="129" t="s">
        <v>652</v>
      </c>
      <c r="Q34" s="116">
        <v>4833385</v>
      </c>
      <c r="R34" s="116">
        <v>6644452654</v>
      </c>
      <c r="S34" s="116">
        <v>787845.09</v>
      </c>
      <c r="T34" s="130">
        <f t="shared" ref="T34" si="19">Q34/S34</f>
        <v>6.1349433554253672</v>
      </c>
      <c r="U34" s="85">
        <f>Q32+Q33+Q34</f>
        <v>13533940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234165.26086956522</v>
      </c>
      <c r="G35" s="190">
        <f t="shared" ref="G35" si="20">F35/F34-1</f>
        <v>-7.9498124705203677E-2</v>
      </c>
      <c r="H35" s="190">
        <f t="shared" ref="H35" si="21">F35/F23-1</f>
        <v>0.12908380716737033</v>
      </c>
      <c r="I35" s="130">
        <f t="shared" si="0"/>
        <v>6.5576595483884939</v>
      </c>
      <c r="J35" s="130">
        <f t="shared" si="4"/>
        <v>8.4432876909174448E-2</v>
      </c>
      <c r="K35" s="136"/>
      <c r="L35" s="190"/>
      <c r="M35" s="190"/>
      <c r="N35" s="191"/>
      <c r="O35" s="192"/>
      <c r="P35" s="129" t="s">
        <v>660</v>
      </c>
      <c r="Q35" s="116">
        <v>5385801</v>
      </c>
      <c r="R35" s="116">
        <v>7454783005</v>
      </c>
      <c r="S35" s="116">
        <v>821299.27</v>
      </c>
      <c r="T35" s="130">
        <f t="shared" ref="T35" si="22">Q35/S35</f>
        <v>6.5576595483884939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267010.71428571426</v>
      </c>
      <c r="G36" s="190">
        <f t="shared" ref="G36" si="23">F36/F35-1</f>
        <v>0.14026612356665757</v>
      </c>
      <c r="H36" s="190">
        <f t="shared" ref="H36" si="24">F36/F24-1</f>
        <v>0.30479536687083653</v>
      </c>
      <c r="I36" s="130">
        <f t="shared" si="0"/>
        <v>6.6983890214476389</v>
      </c>
      <c r="J36" s="130">
        <f t="shared" si="4"/>
        <v>2.1144784952558782E-2</v>
      </c>
      <c r="K36" s="136"/>
      <c r="L36" s="190"/>
      <c r="M36" s="190"/>
      <c r="N36" s="191"/>
      <c r="O36" s="192"/>
      <c r="P36" s="129" t="s">
        <v>664</v>
      </c>
      <c r="Q36" s="116">
        <v>5607225</v>
      </c>
      <c r="R36" s="116">
        <v>7663690848</v>
      </c>
      <c r="S36" s="116">
        <v>837100.53</v>
      </c>
      <c r="T36" s="130">
        <f t="shared" ref="T36" si="25">Q36/S36</f>
        <v>6.6983890214476389</v>
      </c>
      <c r="U36" s="85"/>
    </row>
    <row r="37" spans="1:21" s="79" customFormat="1" ht="13.2" hidden="1">
      <c r="A37" s="129" t="s">
        <v>702</v>
      </c>
      <c r="B37" s="188">
        <f>SUM(F35:F37)</f>
        <v>746487.86404416838</v>
      </c>
      <c r="C37" s="188">
        <f>AVERAGE(F35:F37)</f>
        <v>248829.28801472278</v>
      </c>
      <c r="D37" s="190">
        <f>C37/C34-1</f>
        <v>0.11632561801606323</v>
      </c>
      <c r="E37" s="287">
        <f>C37/C25-1</f>
        <v>0.1958730416175698</v>
      </c>
      <c r="F37" s="136">
        <f>Q37/18</f>
        <v>245311.88888888888</v>
      </c>
      <c r="G37" s="190">
        <f t="shared" ref="G37" si="26">F37/F36-1</f>
        <v>-8.1265747911548614E-2</v>
      </c>
      <c r="H37" s="190">
        <f t="shared" ref="H37" si="27">F37/F25-1</f>
        <v>0.15610661176223584</v>
      </c>
      <c r="I37" s="130">
        <f t="shared" si="0"/>
        <v>6.3569357121714862</v>
      </c>
      <c r="J37" s="130">
        <f t="shared" si="4"/>
        <v>0.11372708064347115</v>
      </c>
      <c r="K37" s="136">
        <f>R35+R36+R37</f>
        <v>21009644669</v>
      </c>
      <c r="L37" s="190">
        <f>U37/U34-1</f>
        <v>0.13851842109540913</v>
      </c>
      <c r="M37" s="190">
        <f>U37/U25-1</f>
        <v>0.19549857000785642</v>
      </c>
      <c r="N37" s="191">
        <f>AVERAGE(T35:T37)</f>
        <v>6.5376614273358724</v>
      </c>
      <c r="O37" s="192">
        <f>N37/N34-1</f>
        <v>7.7315283916320254E-2</v>
      </c>
      <c r="P37" s="129" t="s">
        <v>702</v>
      </c>
      <c r="Q37" s="116">
        <v>4415614</v>
      </c>
      <c r="R37" s="116">
        <v>5891170816</v>
      </c>
      <c r="S37" s="116">
        <v>694613.6</v>
      </c>
      <c r="T37" s="130">
        <f t="shared" ref="T37" si="28">Q37/S37</f>
        <v>6.3569357121714862</v>
      </c>
      <c r="U37" s="85">
        <f>Q35+Q36+Q37</f>
        <v>15408640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346076.55</v>
      </c>
      <c r="G38" s="190">
        <f t="shared" ref="G38" si="29">F38/F37-1</f>
        <v>0.41076142525139203</v>
      </c>
      <c r="H38" s="190">
        <f t="shared" ref="H38" si="30">F38/F26-1</f>
        <v>0.38098630891337226</v>
      </c>
      <c r="I38" s="130">
        <f t="shared" si="0"/>
        <v>6.6520590800920569</v>
      </c>
      <c r="J38" s="130">
        <f t="shared" si="4"/>
        <v>8.9145024065929057E-2</v>
      </c>
      <c r="K38" s="136"/>
      <c r="L38" s="190"/>
      <c r="M38" s="190"/>
      <c r="N38" s="191"/>
      <c r="O38" s="192"/>
      <c r="P38" s="129" t="s">
        <v>727</v>
      </c>
      <c r="Q38" s="116">
        <v>6921531</v>
      </c>
      <c r="R38" s="116">
        <v>9341100313</v>
      </c>
      <c r="S38" s="116">
        <v>1040509.55</v>
      </c>
      <c r="T38" s="130">
        <f t="shared" ref="T38" si="31">Q38/S38</f>
        <v>6.6520590800920569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289785.71428571426</v>
      </c>
      <c r="G39" s="190">
        <f t="shared" ref="G39" si="32">F39/F38-1</f>
        <v>-0.16265429054434843</v>
      </c>
      <c r="H39" s="190">
        <f t="shared" ref="H39" si="33">F39/F27-1</f>
        <v>-9.668460356422881E-2</v>
      </c>
      <c r="I39" s="130">
        <f t="shared" si="0"/>
        <v>6.6223569988764357</v>
      </c>
      <c r="J39" s="130">
        <f t="shared" si="4"/>
        <v>4.3389894418675912E-2</v>
      </c>
      <c r="K39" s="136"/>
      <c r="L39" s="190"/>
      <c r="M39" s="190"/>
      <c r="N39" s="191"/>
      <c r="O39" s="192"/>
      <c r="P39" s="129" t="s">
        <v>762</v>
      </c>
      <c r="Q39" s="116">
        <v>6085500</v>
      </c>
      <c r="R39" s="116">
        <v>8457955725</v>
      </c>
      <c r="S39" s="116">
        <v>918932.64</v>
      </c>
      <c r="T39" s="130">
        <f t="shared" ref="T39" si="34">Q39/S39</f>
        <v>6.6223569988764357</v>
      </c>
      <c r="U39" s="85"/>
    </row>
    <row r="40" spans="1:21" s="79" customFormat="1" ht="13.2" hidden="1">
      <c r="A40" s="129" t="s">
        <v>778</v>
      </c>
      <c r="B40" s="188">
        <f>SUM(F38:F40)</f>
        <v>879044.16904761898</v>
      </c>
      <c r="C40" s="188">
        <f>AVERAGE(F38:F40)</f>
        <v>293014.72301587299</v>
      </c>
      <c r="D40" s="190">
        <f>C40/C37-1</f>
        <v>0.17757328871405131</v>
      </c>
      <c r="E40" s="287">
        <f>C40/C28-1</f>
        <v>1.4746020699885065E-3</v>
      </c>
      <c r="F40" s="136">
        <f>Q40/21</f>
        <v>243181.90476190476</v>
      </c>
      <c r="G40" s="190">
        <f t="shared" ref="G40" si="35">F40/F39-1</f>
        <v>-0.16082162517459531</v>
      </c>
      <c r="H40" s="190">
        <f t="shared" ref="H40" si="36">F40/F28-1</f>
        <v>-0.20618670149086593</v>
      </c>
      <c r="I40" s="130">
        <f t="shared" si="0"/>
        <v>6.583486808409952</v>
      </c>
      <c r="J40" s="130">
        <f t="shared" si="4"/>
        <v>8.8684951090842734E-3</v>
      </c>
      <c r="K40" s="136">
        <f>R38+R39+R40</f>
        <v>25048145968</v>
      </c>
      <c r="L40" s="190">
        <f>U40/U37-1</f>
        <v>0.17556455339342092</v>
      </c>
      <c r="M40" s="190">
        <f>U40/U28-1</f>
        <v>2.6882443385794375E-2</v>
      </c>
      <c r="N40" s="191">
        <f>AVERAGE(T38:T40)</f>
        <v>6.619300962459481</v>
      </c>
      <c r="O40" s="192">
        <f>N40/N37-1</f>
        <v>1.2487574652038314E-2</v>
      </c>
      <c r="P40" s="129" t="s">
        <v>778</v>
      </c>
      <c r="Q40" s="116">
        <v>5106820</v>
      </c>
      <c r="R40" s="116">
        <v>7249089930</v>
      </c>
      <c r="S40" s="116">
        <v>775701.41</v>
      </c>
      <c r="T40" s="130">
        <f t="shared" ref="T40" si="37">Q40/S40</f>
        <v>6.583486808409952</v>
      </c>
      <c r="U40" s="85">
        <f>Q38+Q39+Q40</f>
        <v>18113851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256830.77777777778</v>
      </c>
      <c r="G41" s="190">
        <f t="shared" ref="G41" si="38">F41/F40-1</f>
        <v>5.612618681162318E-2</v>
      </c>
      <c r="H41" s="190">
        <f t="shared" ref="H41" si="39">F41/F29-1</f>
        <v>0.34008222035542257</v>
      </c>
      <c r="I41" s="130">
        <f t="shared" si="0"/>
        <v>6.5456622252049357</v>
      </c>
      <c r="J41" s="130">
        <f t="shared" si="4"/>
        <v>0.11397070390777531</v>
      </c>
      <c r="K41" s="193"/>
      <c r="L41" s="190"/>
      <c r="M41" s="190"/>
      <c r="N41" s="193"/>
      <c r="O41" s="193"/>
      <c r="P41" s="129" t="s">
        <v>792</v>
      </c>
      <c r="Q41" s="116">
        <v>4622954</v>
      </c>
      <c r="R41" s="116">
        <v>6768233517</v>
      </c>
      <c r="S41" s="116">
        <v>706262.23</v>
      </c>
      <c r="T41" s="130">
        <f t="shared" ref="T41" si="40">Q41/S41</f>
        <v>6.5456622252049357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254850.35</v>
      </c>
      <c r="G42" s="190">
        <f t="shared" ref="G42" si="41">F42/F41-1</f>
        <v>-7.7110220002188923E-3</v>
      </c>
      <c r="H42" s="190">
        <f t="shared" ref="H42" si="42">F42/F30-1</f>
        <v>0.33792944570840255</v>
      </c>
      <c r="I42" s="130">
        <f t="shared" si="0"/>
        <v>6.3480486969517704</v>
      </c>
      <c r="J42" s="130">
        <f t="shared" si="4"/>
        <v>7.1181294223368718E-2</v>
      </c>
      <c r="K42" s="193"/>
      <c r="L42" s="190"/>
      <c r="M42" s="190"/>
      <c r="N42" s="193"/>
      <c r="O42" s="193"/>
      <c r="P42" s="129" t="s">
        <v>826</v>
      </c>
      <c r="Q42" s="116">
        <v>5097007</v>
      </c>
      <c r="R42" s="116">
        <v>7372944988</v>
      </c>
      <c r="S42" s="116">
        <v>802925</v>
      </c>
      <c r="T42" s="130">
        <f t="shared" ref="T42" si="43">Q42/S42</f>
        <v>6.3480486969517704</v>
      </c>
      <c r="U42" s="78"/>
    </row>
    <row r="43" spans="1:21" s="79" customFormat="1" ht="13.2">
      <c r="A43" s="129" t="s">
        <v>835</v>
      </c>
      <c r="B43" s="188">
        <f>SUM(F41:F43)</f>
        <v>769875.27777777775</v>
      </c>
      <c r="C43" s="188">
        <f>AVERAGE(F41:F43)</f>
        <v>256625.09259259258</v>
      </c>
      <c r="D43" s="190">
        <f>C43/C40-1</f>
        <v>-0.1241904503935426</v>
      </c>
      <c r="E43" s="287">
        <f>C43/C31-1</f>
        <v>0.23634592881548921</v>
      </c>
      <c r="F43" s="136">
        <f>Q43/20</f>
        <v>258194.15</v>
      </c>
      <c r="G43" s="190">
        <f t="shared" ref="G43" si="44">F43/F42-1</f>
        <v>1.3120641191977978E-2</v>
      </c>
      <c r="H43" s="190">
        <f t="shared" ref="H43" si="45">F43/F31-1</f>
        <v>7.3268888630241724E-2</v>
      </c>
      <c r="I43" s="130">
        <f t="shared" si="0"/>
        <v>6.2020157103836127</v>
      </c>
      <c r="J43" s="130">
        <f t="shared" si="4"/>
        <v>3.2353046221849535E-2</v>
      </c>
      <c r="K43" s="136">
        <f>R41+R42+R43</f>
        <v>21630831361</v>
      </c>
      <c r="L43" s="190">
        <f>U43/U40-1</f>
        <v>-0.17831696860043733</v>
      </c>
      <c r="M43" s="190">
        <f>K43/K31-1</f>
        <v>0.29178007675135431</v>
      </c>
      <c r="N43" s="191">
        <f>AVERAGE(T41:T43)</f>
        <v>6.3652422108467732</v>
      </c>
      <c r="O43" s="192">
        <f>N43/N40-1</f>
        <v>-3.8381507813826432E-2</v>
      </c>
      <c r="P43" s="129" t="s">
        <v>835</v>
      </c>
      <c r="Q43" s="116">
        <v>5163883</v>
      </c>
      <c r="R43" s="116">
        <v>7489652856</v>
      </c>
      <c r="S43" s="116">
        <v>832613.66</v>
      </c>
      <c r="T43" s="130">
        <f t="shared" ref="T43" si="46">Q43/S43</f>
        <v>6.2020157103836127</v>
      </c>
      <c r="U43" s="85">
        <f>Q41+Q42+Q43</f>
        <v>14883844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270064.31818181818</v>
      </c>
      <c r="G44" s="190">
        <f t="shared" ref="G44" si="47">F44/F43-1</f>
        <v>4.5973807624294372E-2</v>
      </c>
      <c r="H44" s="190">
        <f t="shared" ref="H44" si="48">F44/F32-1</f>
        <v>0.33331985797722696</v>
      </c>
      <c r="I44" s="130">
        <f t="shared" si="0"/>
        <v>6.2190104182449275</v>
      </c>
      <c r="J44" s="130">
        <f t="shared" si="4"/>
        <v>3.0693752758622406E-2</v>
      </c>
      <c r="K44" s="136"/>
      <c r="L44" s="190"/>
      <c r="M44" s="190"/>
      <c r="N44" s="191"/>
      <c r="O44" s="192"/>
      <c r="P44" s="129" t="s">
        <v>843</v>
      </c>
      <c r="Q44" s="116">
        <v>5941415</v>
      </c>
      <c r="R44" s="116">
        <v>8604194439</v>
      </c>
      <c r="S44" s="116">
        <v>955363.41</v>
      </c>
      <c r="T44" s="130">
        <f t="shared" ref="T44" si="49">Q44/S44</f>
        <v>6.2190104182449275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220093.7</v>
      </c>
      <c r="G45" s="190">
        <f t="shared" ref="G45" si="50">F45/F44-1</f>
        <v>-0.18503228607999944</v>
      </c>
      <c r="H45" s="190">
        <f t="shared" ref="H45" si="51">F45/F33-1</f>
        <v>3.9345342780603421E-2</v>
      </c>
      <c r="I45" s="130">
        <f t="shared" si="0"/>
        <v>5.8759900999681092</v>
      </c>
      <c r="J45" s="130">
        <f t="shared" si="4"/>
        <v>-2.661780092954924E-2</v>
      </c>
      <c r="K45" s="136"/>
      <c r="L45" s="190"/>
      <c r="M45" s="190"/>
      <c r="N45" s="191"/>
      <c r="O45" s="192"/>
      <c r="P45" s="129" t="s">
        <v>849</v>
      </c>
      <c r="Q45" s="116">
        <v>4401874</v>
      </c>
      <c r="R45" s="116">
        <v>6190304776</v>
      </c>
      <c r="S45" s="116">
        <v>749128.9</v>
      </c>
      <c r="T45" s="130">
        <f t="shared" ref="T45" si="52">Q45/S45</f>
        <v>5.8759900999681092</v>
      </c>
      <c r="U45" s="85"/>
    </row>
    <row r="46" spans="1:21" s="79" customFormat="1" ht="13.2">
      <c r="A46" s="129" t="s">
        <v>888</v>
      </c>
      <c r="B46" s="188">
        <f>SUM(F44:F46)</f>
        <v>765250.86028708133</v>
      </c>
      <c r="C46" s="188">
        <f>AVERAGE(F44:F46)</f>
        <v>255083.62009569377</v>
      </c>
      <c r="D46" s="190">
        <f>C46/C43-1</f>
        <v>-6.0067099492332465E-3</v>
      </c>
      <c r="E46" s="287">
        <f>C46/C34-1</f>
        <v>0.14438449798663355</v>
      </c>
      <c r="F46" s="136">
        <f>Q46/19</f>
        <v>275092.84210526315</v>
      </c>
      <c r="G46" s="190">
        <f t="shared" ref="G46" si="53">F46/F45-1</f>
        <v>0.24988967019620789</v>
      </c>
      <c r="H46" s="190">
        <f t="shared" ref="H46" si="54">F46/F34-1</f>
        <v>8.1387888612225012E-2</v>
      </c>
      <c r="I46" s="130">
        <f t="shared" si="0"/>
        <v>5.8619918929488914</v>
      </c>
      <c r="J46" s="130">
        <f t="shared" si="4"/>
        <v>-4.4491276718161443E-2</v>
      </c>
      <c r="K46" s="136">
        <f>R44+R45+R46</f>
        <v>21942697786</v>
      </c>
      <c r="L46" s="190">
        <f>U46/U43-1</f>
        <v>4.6104285962685454E-2</v>
      </c>
      <c r="M46" s="190">
        <f>K46/K34-1</f>
        <v>0.18509039479066169</v>
      </c>
      <c r="N46" s="191">
        <f>AVERAGE(T44:T46)</f>
        <v>5.985664137053976</v>
      </c>
      <c r="O46" s="192">
        <f>N46/N43-1</f>
        <v>-5.963293480740961E-2</v>
      </c>
      <c r="P46" s="129" t="s">
        <v>888</v>
      </c>
      <c r="Q46" s="116">
        <v>5226764</v>
      </c>
      <c r="R46" s="116">
        <v>7148198571</v>
      </c>
      <c r="S46" s="116">
        <v>891636.17</v>
      </c>
      <c r="T46" s="130">
        <f t="shared" ref="T46" si="55">Q46/S46</f>
        <v>5.8619918929488914</v>
      </c>
      <c r="U46" s="85">
        <f t="shared" ref="U46:U51" si="56">Q44+Q45+Q46</f>
        <v>15570053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196870.4347826087</v>
      </c>
      <c r="G47" s="190">
        <f t="shared" ref="G47" si="57">F47/F46-1</f>
        <v>-0.28434911909748262</v>
      </c>
      <c r="H47" s="190">
        <f t="shared" ref="H47" si="58">F47/F35-1</f>
        <v>-0.15926711737028532</v>
      </c>
      <c r="I47" s="130">
        <f t="shared" si="0"/>
        <v>6.9226780335070197</v>
      </c>
      <c r="J47" s="130">
        <f t="shared" si="4"/>
        <v>5.5662920959083095E-2</v>
      </c>
      <c r="K47" s="136"/>
      <c r="L47" s="190"/>
      <c r="M47" s="190"/>
      <c r="N47" s="191"/>
      <c r="O47" s="192"/>
      <c r="P47" s="129" t="s">
        <v>991</v>
      </c>
      <c r="Q47" s="116">
        <v>4528020</v>
      </c>
      <c r="R47" s="116">
        <v>6209961904</v>
      </c>
      <c r="S47" s="116">
        <v>654085.02</v>
      </c>
      <c r="T47" s="130">
        <f t="shared" ref="T47" si="59">Q47/S47</f>
        <v>6.9226780335070197</v>
      </c>
      <c r="U47" s="85">
        <f t="shared" si="56"/>
        <v>14156658</v>
      </c>
    </row>
    <row r="48" spans="1:21" s="79" customFormat="1" ht="13.2">
      <c r="A48" s="129" t="s">
        <v>1090</v>
      </c>
      <c r="B48" s="188"/>
      <c r="C48" s="188"/>
      <c r="D48" s="190"/>
      <c r="E48" s="287"/>
      <c r="F48" s="136">
        <f>Q48/20</f>
        <v>237822.7</v>
      </c>
      <c r="G48" s="190">
        <f t="shared" ref="G48" si="60">F48/F47-1</f>
        <v>0.20801632943317383</v>
      </c>
      <c r="H48" s="190">
        <f t="shared" ref="H48" si="61">F48/F36-1</f>
        <v>-0.10931401896660098</v>
      </c>
      <c r="I48" s="130">
        <f t="shared" si="0"/>
        <v>6.7954609339366661</v>
      </c>
      <c r="J48" s="130">
        <f t="shared" si="4"/>
        <v>1.449182962921558E-2</v>
      </c>
      <c r="K48" s="136"/>
      <c r="L48" s="190"/>
      <c r="M48" s="190"/>
      <c r="N48" s="191"/>
      <c r="O48" s="192"/>
      <c r="P48" s="129" t="s">
        <v>1070</v>
      </c>
      <c r="Q48" s="116">
        <v>4756454</v>
      </c>
      <c r="R48" s="116">
        <v>6597699645</v>
      </c>
      <c r="S48" s="116">
        <v>699945.75</v>
      </c>
      <c r="T48" s="130">
        <f t="shared" ref="T48" si="62">Q48/S48</f>
        <v>6.7954609339366661</v>
      </c>
      <c r="U48" s="85">
        <f t="shared" si="56"/>
        <v>14511238</v>
      </c>
    </row>
    <row r="49" spans="1:26" ht="13.2">
      <c r="A49" s="129" t="s">
        <v>1224</v>
      </c>
      <c r="B49" s="188">
        <f>SUM(F47:F49)</f>
        <v>684654.63478260871</v>
      </c>
      <c r="C49" s="188">
        <f>AVERAGE(F47:F49)</f>
        <v>228218.2115942029</v>
      </c>
      <c r="D49" s="190">
        <f>C49/C46-1</f>
        <v>-0.10532000640187089</v>
      </c>
      <c r="E49" s="287">
        <f>C49/C37-1</f>
        <v>-8.2832196261801605E-2</v>
      </c>
      <c r="F49" s="136">
        <f>Q49/22</f>
        <v>249961.5</v>
      </c>
      <c r="G49" s="190">
        <f t="shared" ref="G49" si="63">F49/F48-1</f>
        <v>5.1041385031790343E-2</v>
      </c>
      <c r="H49" s="190">
        <f t="shared" ref="H49" si="64">F49/F37-1</f>
        <v>1.8953875950207699E-2</v>
      </c>
      <c r="I49" s="130">
        <f t="shared" si="0"/>
        <v>6.5705849012805153</v>
      </c>
      <c r="J49" s="130">
        <f t="shared" si="4"/>
        <v>3.3608832743102779E-2</v>
      </c>
      <c r="K49" s="136">
        <f>R47+R48+R49</f>
        <v>20450361433</v>
      </c>
      <c r="L49" s="190">
        <f>U49/U46-1</f>
        <v>-5.0508883945353356E-2</v>
      </c>
      <c r="M49" s="190">
        <f>K49/K37-1</f>
        <v>-2.6620309139508191E-2</v>
      </c>
      <c r="N49" s="191">
        <f>AVERAGE(T47:T49)</f>
        <v>6.7629079562414001</v>
      </c>
      <c r="O49" s="192">
        <f>N49/N46-1</f>
        <v>0.12985089062647748</v>
      </c>
      <c r="P49" s="129" t="s">
        <v>1165</v>
      </c>
      <c r="Q49" s="116">
        <v>5499153</v>
      </c>
      <c r="R49" s="116">
        <v>7642699884</v>
      </c>
      <c r="S49" s="116">
        <v>836935.08</v>
      </c>
      <c r="T49" s="130">
        <f t="shared" ref="T49" si="65">Q49/S49</f>
        <v>6.5705849012805153</v>
      </c>
      <c r="U49" s="85">
        <f t="shared" si="56"/>
        <v>14783627</v>
      </c>
      <c r="V49" s="79"/>
      <c r="W49" s="79"/>
      <c r="X49" s="79"/>
      <c r="Y49" s="79"/>
      <c r="Z49" s="79"/>
    </row>
    <row r="50" spans="1:26" ht="13.2">
      <c r="A50" s="129" t="s">
        <v>1306</v>
      </c>
      <c r="B50" s="188"/>
      <c r="C50" s="188"/>
      <c r="D50" s="190"/>
      <c r="E50" s="287"/>
      <c r="F50" s="136">
        <f>Q50/18</f>
        <v>253373.55555555556</v>
      </c>
      <c r="G50" s="190">
        <f t="shared" ref="G50" si="66">F50/F49-1</f>
        <v>1.3650324372175504E-2</v>
      </c>
      <c r="H50" s="190">
        <f t="shared" ref="H50" si="67">F50/F38-1</f>
        <v>-0.26786846564566258</v>
      </c>
      <c r="I50" s="130">
        <f t="shared" ref="I50" si="68">T50</f>
        <v>6.6924792964479929</v>
      </c>
      <c r="J50" s="130">
        <f t="shared" ref="J50" si="69">I50/I38-1</f>
        <v>6.0763465671709316E-3</v>
      </c>
      <c r="K50" s="136"/>
      <c r="L50" s="190"/>
      <c r="M50" s="190"/>
      <c r="N50" s="191"/>
      <c r="O50" s="192"/>
      <c r="P50" s="129" t="s">
        <v>1291</v>
      </c>
      <c r="Q50" s="116">
        <v>4560724</v>
      </c>
      <c r="R50" s="116">
        <v>6452160369</v>
      </c>
      <c r="S50" s="116">
        <v>681470.02</v>
      </c>
      <c r="T50" s="130">
        <f t="shared" ref="T50" si="70">Q50/S50</f>
        <v>6.6924792964479929</v>
      </c>
      <c r="U50" s="85">
        <f t="shared" si="56"/>
        <v>14816331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230298.75</v>
      </c>
      <c r="G51" s="190">
        <f t="shared" ref="G51:G52" si="71">F51/F50-1</f>
        <v>-9.1070299364749974E-2</v>
      </c>
      <c r="H51" s="190">
        <f t="shared" ref="H51:H52" si="72">F51/F39-1</f>
        <v>-0.20527914715306872</v>
      </c>
      <c r="I51" s="130">
        <f t="shared" ref="I51:I52" si="73">T51</f>
        <v>6.4274348297690373</v>
      </c>
      <c r="J51" s="130">
        <f t="shared" ref="J51:J52" si="74">I51/I39-1</f>
        <v>-2.9433956692529462E-2</v>
      </c>
      <c r="K51" s="136"/>
      <c r="L51" s="190"/>
      <c r="M51" s="190"/>
      <c r="N51" s="191"/>
      <c r="O51" s="192"/>
      <c r="P51" s="129" t="s">
        <v>1402</v>
      </c>
      <c r="Q51" s="116">
        <v>4605975</v>
      </c>
      <c r="R51" s="116">
        <v>6679151843</v>
      </c>
      <c r="S51" s="116">
        <v>716611.7</v>
      </c>
      <c r="T51" s="130">
        <f t="shared" ref="T51:T52" si="75">Q51/S51</f>
        <v>6.4274348297690373</v>
      </c>
      <c r="U51" s="85">
        <f t="shared" si="56"/>
        <v>14665852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757001.66919191927</v>
      </c>
      <c r="C52" s="188">
        <f>AVERAGE(F50:F52)</f>
        <v>252333.88973063976</v>
      </c>
      <c r="D52" s="190">
        <f>C52/C49-1</f>
        <v>0.10566938531319825</v>
      </c>
      <c r="E52" s="287">
        <f>C52/C40-1</f>
        <v>-0.13883545804976327</v>
      </c>
      <c r="F52" s="136">
        <f>Q52/22</f>
        <v>273329.36363636365</v>
      </c>
      <c r="G52" s="190">
        <f t="shared" si="71"/>
        <v>0.18684692659583968</v>
      </c>
      <c r="H52" s="190">
        <f t="shared" si="72"/>
        <v>0.12397081478564664</v>
      </c>
      <c r="I52" s="130">
        <f t="shared" si="73"/>
        <v>6.032346217829514</v>
      </c>
      <c r="J52" s="130">
        <f t="shared" si="74"/>
        <v>-8.3715606428556022E-2</v>
      </c>
      <c r="K52" s="136">
        <f>R50+R51+R52</f>
        <v>21978094973</v>
      </c>
      <c r="L52" s="190">
        <f>U52/U49-1</f>
        <v>2.6807900388720496E-2</v>
      </c>
      <c r="M52" s="190">
        <f>K52/K40-1</f>
        <v>-0.12256599745634311</v>
      </c>
      <c r="N52" s="191">
        <f>AVERAGE(T50:T52)</f>
        <v>6.3840867813488478</v>
      </c>
      <c r="O52" s="192">
        <f>N52/N49-1</f>
        <v>-5.6014539506329286E-2</v>
      </c>
      <c r="P52" s="129" t="s">
        <v>1403</v>
      </c>
      <c r="Q52" s="116">
        <v>6013246</v>
      </c>
      <c r="R52" s="116">
        <v>8846782761</v>
      </c>
      <c r="S52" s="116">
        <v>996833.7</v>
      </c>
      <c r="T52" s="130">
        <f t="shared" si="75"/>
        <v>6.032346217829514</v>
      </c>
      <c r="U52" s="85">
        <f t="shared" ref="U52" si="76">Q50+Q51+Q52</f>
        <v>15179945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224471.61904761905</v>
      </c>
      <c r="G53" s="190">
        <f t="shared" ref="G53" si="77">F53/F52-1</f>
        <v>-0.17875044209938873</v>
      </c>
      <c r="H53" s="190">
        <f t="shared" ref="H53" si="78">F53/F41-1</f>
        <v>-0.12599408454915562</v>
      </c>
      <c r="I53" s="130">
        <f t="shared" ref="I53" si="79">T53</f>
        <v>6.3653395262119457</v>
      </c>
      <c r="J53" s="130">
        <f t="shared" ref="J53" si="80">I53/I41-1</f>
        <v>-2.7548427155106414E-2</v>
      </c>
      <c r="K53" s="136"/>
      <c r="L53" s="190"/>
      <c r="M53" s="190"/>
      <c r="N53" s="191"/>
      <c r="O53" s="192"/>
      <c r="P53" s="129" t="s">
        <v>1414</v>
      </c>
      <c r="Q53" s="116">
        <v>4713904</v>
      </c>
      <c r="R53" s="116">
        <v>6863899902</v>
      </c>
      <c r="S53" s="116">
        <v>740558.14</v>
      </c>
      <c r="T53" s="130">
        <f t="shared" ref="T53" si="81">Q53/S53</f>
        <v>6.3653395262119457</v>
      </c>
      <c r="U53" s="85">
        <f t="shared" ref="U53" si="82">Q51+Q52+Q53</f>
        <v>15333125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284449.9411764706</v>
      </c>
      <c r="G54" s="190">
        <f t="shared" ref="G54" si="83">F54/F53-1</f>
        <v>0.26719779713500369</v>
      </c>
      <c r="H54" s="190">
        <f t="shared" ref="H54" si="84">F54/F42-1</f>
        <v>0.11614498931027795</v>
      </c>
      <c r="I54" s="130">
        <f t="shared" ref="I54" si="85">T54</f>
        <v>6.8571221700300065</v>
      </c>
      <c r="J54" s="130">
        <f t="shared" ref="J54" si="86">I54/I42-1</f>
        <v>8.0193693744454952E-2</v>
      </c>
      <c r="K54" s="136"/>
      <c r="L54" s="190"/>
      <c r="M54" s="190"/>
      <c r="N54" s="191"/>
      <c r="O54" s="192"/>
      <c r="P54" s="129" t="s">
        <v>1417</v>
      </c>
      <c r="Q54" s="116">
        <v>4835649</v>
      </c>
      <c r="R54" s="116">
        <v>7006281878</v>
      </c>
      <c r="S54" s="116">
        <v>705200.94</v>
      </c>
      <c r="T54" s="130">
        <f t="shared" ref="T54" si="87">Q54/S54</f>
        <v>6.8571221700300065</v>
      </c>
      <c r="U54" s="85">
        <f t="shared" ref="U54" si="88">Q52+Q53+Q54</f>
        <v>15562799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796086.51260504196</v>
      </c>
      <c r="C55" s="188">
        <f>AVERAGE(F53:F55)</f>
        <v>265362.17086834734</v>
      </c>
      <c r="D55" s="190">
        <f>C55/C52-1</f>
        <v>5.1631119195344466E-2</v>
      </c>
      <c r="E55" s="287">
        <f>C55/C43-1</f>
        <v>3.4046079389537187E-2</v>
      </c>
      <c r="F55" s="136">
        <f>Q55/21</f>
        <v>287164.95238095237</v>
      </c>
      <c r="G55" s="190">
        <f t="shared" ref="G55" si="89">F55/F54-1</f>
        <v>9.5447768182077564E-3</v>
      </c>
      <c r="H55" s="190">
        <f t="shared" ref="H55" si="90">F55/F43-1</f>
        <v>0.11220549489968068</v>
      </c>
      <c r="I55" s="130">
        <f>T55</f>
        <v>6.7199238904041785</v>
      </c>
      <c r="J55" s="130">
        <f t="shared" ref="J55" si="91">I55/I43-1</f>
        <v>8.3506428265485821E-2</v>
      </c>
      <c r="K55" s="136">
        <f>R53+R54+R55</f>
        <v>22754859295</v>
      </c>
      <c r="L55" s="190">
        <f>U55/U52-1</f>
        <v>2.6355299706290136E-2</v>
      </c>
      <c r="M55" s="190">
        <f>K55/K43-1</f>
        <v>5.1964157791299703E-2</v>
      </c>
      <c r="N55" s="191">
        <f>AVERAGE(T53:T55)</f>
        <v>6.6474618622153772</v>
      </c>
      <c r="O55" s="192">
        <f>N55/N52-1</f>
        <v>4.1254934321378833E-2</v>
      </c>
      <c r="P55" s="129" t="s">
        <v>1418</v>
      </c>
      <c r="Q55" s="116">
        <v>6030464</v>
      </c>
      <c r="R55" s="116">
        <v>8884677515</v>
      </c>
      <c r="S55" s="116">
        <v>897400.64</v>
      </c>
      <c r="T55" s="130">
        <f t="shared" ref="T55" si="92">Q55/S55</f>
        <v>6.7199238904041785</v>
      </c>
      <c r="U55" s="85">
        <f t="shared" ref="U55" si="93">Q53+Q54+Q55</f>
        <v>15580017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236572.59090909091</v>
      </c>
      <c r="G56" s="190">
        <f t="shared" ref="G56" si="94">F56/F55-1</f>
        <v>-0.1761787469271171</v>
      </c>
      <c r="H56" s="190">
        <f t="shared" ref="H56" si="95">F56/F44-1</f>
        <v>-0.12401389231353133</v>
      </c>
      <c r="I56" s="291">
        <f>T56</f>
        <v>6.5874503972774319</v>
      </c>
      <c r="J56" s="130">
        <f t="shared" ref="J56" si="96">I56/I44-1</f>
        <v>5.9244148868379254E-2</v>
      </c>
      <c r="K56" s="136"/>
      <c r="L56" s="190"/>
      <c r="M56" s="190"/>
      <c r="N56" s="191"/>
      <c r="O56" s="192"/>
      <c r="P56" s="129" t="s">
        <v>1420</v>
      </c>
      <c r="Q56" s="116">
        <v>5204597</v>
      </c>
      <c r="R56" s="116">
        <v>7769452344</v>
      </c>
      <c r="S56" s="116">
        <v>790077.6</v>
      </c>
      <c r="T56" s="130">
        <f t="shared" ref="T56" si="97">Q56/S56</f>
        <v>6.5874503972774319</v>
      </c>
      <c r="U56" s="85">
        <f t="shared" ref="U56" si="98">Q54+Q55+Q56</f>
        <v>16070710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241339.91666666666</v>
      </c>
      <c r="G57" s="254">
        <f t="shared" ref="G57" si="99">F57/F56-1</f>
        <v>2.0151640303114116E-2</v>
      </c>
      <c r="H57" s="254">
        <f t="shared" ref="H57" si="100">F57/F45-1</f>
        <v>9.653259801015035E-2</v>
      </c>
      <c r="I57" s="282">
        <f>T57</f>
        <v>7.2732022006060202</v>
      </c>
      <c r="J57" s="277">
        <f t="shared" ref="J57" si="101">I57/I45-1</f>
        <v>0.23778326322324705</v>
      </c>
      <c r="K57" s="204"/>
      <c r="L57" s="254"/>
      <c r="M57" s="254"/>
      <c r="N57" s="257"/>
      <c r="O57" s="258"/>
      <c r="P57" s="129" t="s">
        <v>1436</v>
      </c>
      <c r="Q57" s="116">
        <v>2896079</v>
      </c>
      <c r="R57" s="116">
        <v>4268266361</v>
      </c>
      <c r="S57" s="116">
        <v>398184.86</v>
      </c>
      <c r="T57" s="130">
        <f t="shared" ref="T57" si="102">Q57/S57</f>
        <v>7.2732022006060202</v>
      </c>
      <c r="U57" s="85">
        <f t="shared" ref="U57" si="103">Q55+Q56+Q57</f>
        <v>14131140</v>
      </c>
      <c r="V57" s="79"/>
      <c r="W57" s="79"/>
      <c r="X57" s="79"/>
      <c r="Y57" s="79"/>
      <c r="Z57" s="79"/>
    </row>
    <row r="58" spans="1:26">
      <c r="B58" s="196">
        <f>SUM(F56:F58)</f>
        <v>477912.50757575757</v>
      </c>
      <c r="C58" s="196">
        <f>AVERAGE(F56:F58)</f>
        <v>238956.25378787878</v>
      </c>
      <c r="D58" s="197">
        <f>C58/C55-1</f>
        <v>-9.950897294086869E-2</v>
      </c>
      <c r="E58" s="233">
        <f>C58/C46-1</f>
        <v>-6.3223841271206949E-2</v>
      </c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180" t="s">
        <v>1415</v>
      </c>
      <c r="Q67" s="181">
        <v>23680693</v>
      </c>
      <c r="R67" s="181">
        <v>34792578000</v>
      </c>
      <c r="S67" s="182">
        <v>3531422.18</v>
      </c>
    </row>
    <row r="68" spans="16:19" ht="18" thickBot="1">
      <c r="P68" s="180" t="s">
        <v>976</v>
      </c>
      <c r="Q68" s="181">
        <v>4713904</v>
      </c>
      <c r="R68" s="181">
        <v>6863899902</v>
      </c>
      <c r="S68" s="182">
        <v>740558.14</v>
      </c>
    </row>
    <row r="69" spans="16:19" ht="18" thickBot="1">
      <c r="P69" s="180" t="s">
        <v>977</v>
      </c>
      <c r="Q69" s="181">
        <v>4835649</v>
      </c>
      <c r="R69" s="181">
        <v>7006281878</v>
      </c>
      <c r="S69" s="182">
        <v>705200.94</v>
      </c>
    </row>
    <row r="70" spans="16:19" ht="18" thickBot="1">
      <c r="P70" s="180" t="s">
        <v>978</v>
      </c>
      <c r="Q70" s="181">
        <v>6030464</v>
      </c>
      <c r="R70" s="181">
        <v>8884677515</v>
      </c>
      <c r="S70" s="182">
        <v>897400.64</v>
      </c>
    </row>
    <row r="71" spans="16:19" ht="18" thickBot="1">
      <c r="P71" s="180" t="s">
        <v>979</v>
      </c>
      <c r="Q71" s="181">
        <v>5204597</v>
      </c>
      <c r="R71" s="181">
        <v>7769452344</v>
      </c>
      <c r="S71" s="182">
        <v>790077.6</v>
      </c>
    </row>
    <row r="72" spans="16:19" ht="18" thickBot="1">
      <c r="P72" s="180" t="s">
        <v>980</v>
      </c>
      <c r="Q72" s="181">
        <v>2896079</v>
      </c>
      <c r="R72" s="181">
        <v>4268266361</v>
      </c>
      <c r="S72" s="182">
        <v>398184.86</v>
      </c>
    </row>
    <row r="73" spans="16:19" ht="18" thickBot="1">
      <c r="P73" s="180" t="s">
        <v>975</v>
      </c>
      <c r="Q73" s="181">
        <v>60412465</v>
      </c>
      <c r="R73" s="181">
        <v>85994669058</v>
      </c>
      <c r="S73" s="182">
        <v>9523562.9900000002</v>
      </c>
    </row>
    <row r="74" spans="16:19" ht="18" thickBot="1">
      <c r="P74" s="215" t="s">
        <v>982</v>
      </c>
      <c r="Q74" s="217"/>
      <c r="R74"/>
      <c r="S74"/>
    </row>
    <row r="75" spans="16:19" ht="18" thickBot="1">
      <c r="P75" s="215" t="s">
        <v>1386</v>
      </c>
      <c r="Q75" s="217" t="s">
        <v>1450</v>
      </c>
      <c r="R75"/>
      <c r="S75"/>
    </row>
  </sheetData>
  <phoneticPr fontId="1" type="noConversion"/>
  <conditionalFormatting sqref="C29:C30">
    <cfRule type="cellIs" dxfId="8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61"/>
  <dimension ref="A1:Z71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5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3179790</v>
      </c>
      <c r="G5" s="90"/>
      <c r="H5" s="90"/>
      <c r="I5" s="130">
        <f t="shared" ref="I5:I49" si="0">T5</f>
        <v>68.577004564359854</v>
      </c>
      <c r="J5" s="130"/>
      <c r="L5" s="80"/>
      <c r="M5" s="80"/>
      <c r="P5" s="129" t="s">
        <v>0</v>
      </c>
      <c r="Q5" s="116">
        <v>63595800</v>
      </c>
      <c r="R5" s="116">
        <v>74997384991</v>
      </c>
      <c r="S5" s="116">
        <v>927363.34</v>
      </c>
      <c r="T5" s="130">
        <f t="shared" ref="T5:T17" si="1">Q5/S5</f>
        <v>68.577004564359854</v>
      </c>
      <c r="U5" s="85"/>
    </row>
    <row r="6" spans="1:21" ht="15" hidden="1" customHeight="1">
      <c r="A6" s="129" t="s">
        <v>1</v>
      </c>
      <c r="C6" s="79"/>
      <c r="F6" s="78">
        <f>Q6/18</f>
        <v>4993787.277777778</v>
      </c>
      <c r="G6" s="90">
        <f t="shared" ref="G6:G16" si="2">F6/F5-1</f>
        <v>0.57047706854156344</v>
      </c>
      <c r="H6" s="90"/>
      <c r="I6" s="130">
        <f t="shared" si="0"/>
        <v>98.978469437994676</v>
      </c>
      <c r="J6" s="130"/>
      <c r="K6" s="78"/>
      <c r="P6" s="129" t="s">
        <v>1</v>
      </c>
      <c r="Q6" s="116">
        <v>89888171</v>
      </c>
      <c r="R6" s="116">
        <v>106817135785</v>
      </c>
      <c r="S6" s="116">
        <v>908158.83</v>
      </c>
      <c r="T6" s="130">
        <f t="shared" si="1"/>
        <v>98.978469437994676</v>
      </c>
      <c r="U6" s="85"/>
    </row>
    <row r="7" spans="1:21" ht="15" hidden="1" customHeight="1">
      <c r="A7" s="129" t="s">
        <v>2</v>
      </c>
      <c r="B7" s="131">
        <f>F5+F6+F7</f>
        <v>12790520.141414141</v>
      </c>
      <c r="C7" s="131">
        <f>AVERAGE(F5:F7)</f>
        <v>4263506.7138047135</v>
      </c>
      <c r="F7" s="78">
        <f>Q7/22</f>
        <v>4616942.8636363633</v>
      </c>
      <c r="G7" s="90">
        <f t="shared" si="2"/>
        <v>-7.5462648522968245E-2</v>
      </c>
      <c r="H7" s="90"/>
      <c r="I7" s="130">
        <f t="shared" si="0"/>
        <v>103.02363620122179</v>
      </c>
      <c r="J7" s="130"/>
      <c r="K7" s="85">
        <f>R5+R6+R7</f>
        <v>304162265239</v>
      </c>
      <c r="N7" s="88">
        <f>AVERAGE(T5:T7)</f>
        <v>90.193036734525435</v>
      </c>
      <c r="P7" s="129" t="s">
        <v>2</v>
      </c>
      <c r="Q7" s="116">
        <v>101572743</v>
      </c>
      <c r="R7" s="116">
        <v>122347744463</v>
      </c>
      <c r="S7" s="116">
        <v>985916.89</v>
      </c>
      <c r="T7" s="130">
        <f t="shared" si="1"/>
        <v>103.02363620122179</v>
      </c>
      <c r="U7" s="85">
        <f>Q5+Q6+Q7</f>
        <v>255056714</v>
      </c>
    </row>
    <row r="8" spans="1:21" ht="15" hidden="1" customHeight="1">
      <c r="A8" s="129" t="s">
        <v>3</v>
      </c>
      <c r="C8" s="79"/>
      <c r="F8" s="78">
        <f>Q8/21</f>
        <v>3027307.7142857141</v>
      </c>
      <c r="G8" s="90">
        <f t="shared" si="2"/>
        <v>-0.34430470471506602</v>
      </c>
      <c r="H8" s="90"/>
      <c r="I8" s="130">
        <f t="shared" si="0"/>
        <v>89.879861048805935</v>
      </c>
      <c r="J8" s="130"/>
      <c r="K8" s="78"/>
      <c r="P8" s="129" t="s">
        <v>3</v>
      </c>
      <c r="Q8" s="116">
        <v>63573462</v>
      </c>
      <c r="R8" s="116">
        <v>77027471361</v>
      </c>
      <c r="S8" s="116">
        <v>707315.98</v>
      </c>
      <c r="T8" s="130">
        <f t="shared" si="1"/>
        <v>89.879861048805935</v>
      </c>
      <c r="U8" s="85"/>
    </row>
    <row r="9" spans="1:21" ht="15" hidden="1" customHeight="1">
      <c r="A9" s="129" t="s">
        <v>4</v>
      </c>
      <c r="C9" s="79"/>
      <c r="F9" s="78">
        <f>Q9/21</f>
        <v>3070040.0952380951</v>
      </c>
      <c r="G9" s="90">
        <f t="shared" si="2"/>
        <v>1.41156383775356E-2</v>
      </c>
      <c r="H9" s="90"/>
      <c r="I9" s="130">
        <f t="shared" si="0"/>
        <v>101.29413309435331</v>
      </c>
      <c r="J9" s="130"/>
      <c r="K9" s="78"/>
      <c r="P9" s="129" t="s">
        <v>4</v>
      </c>
      <c r="Q9" s="116">
        <v>64470842</v>
      </c>
      <c r="R9" s="116">
        <v>80967236717</v>
      </c>
      <c r="S9" s="116">
        <v>636471.63</v>
      </c>
      <c r="T9" s="130">
        <f t="shared" si="1"/>
        <v>101.29413309435331</v>
      </c>
      <c r="U9" s="85"/>
    </row>
    <row r="10" spans="1:21" ht="15" hidden="1" customHeight="1">
      <c r="A10" s="129" t="s">
        <v>5</v>
      </c>
      <c r="B10" s="131">
        <f>F8+F9+F10</f>
        <v>9853599.1428571437</v>
      </c>
      <c r="C10" s="131">
        <f>AVERAGE(F8:F10)</f>
        <v>3284533.047619048</v>
      </c>
      <c r="D10" s="90">
        <f>C10/C7-1</f>
        <v>-0.22961701057391759</v>
      </c>
      <c r="E10" s="286"/>
      <c r="F10" s="78">
        <f>Q10/21</f>
        <v>3756251.3333333335</v>
      </c>
      <c r="G10" s="90">
        <f t="shared" si="2"/>
        <v>0.22351865669755022</v>
      </c>
      <c r="H10" s="90"/>
      <c r="I10" s="130">
        <f t="shared" si="0"/>
        <v>107.6766575326362</v>
      </c>
      <c r="J10" s="130"/>
      <c r="K10" s="85">
        <f>R8+R9+R10</f>
        <v>257244802137</v>
      </c>
      <c r="L10" s="87">
        <f>U10/U7-1</f>
        <v>-0.18870756721189463</v>
      </c>
      <c r="N10" s="88">
        <f>AVERAGE(T8:T10)</f>
        <v>99.61688389193182</v>
      </c>
      <c r="O10" s="89">
        <f>N10/N7-1</f>
        <v>0.10448530727648708</v>
      </c>
      <c r="P10" s="129" t="s">
        <v>5</v>
      </c>
      <c r="Q10" s="116">
        <v>78881278</v>
      </c>
      <c r="R10" s="116">
        <v>99250094059</v>
      </c>
      <c r="S10" s="116">
        <v>732575.47</v>
      </c>
      <c r="T10" s="130">
        <f t="shared" si="1"/>
        <v>107.6766575326362</v>
      </c>
      <c r="U10" s="85">
        <f>Q8+Q9+Q10</f>
        <v>206925582</v>
      </c>
    </row>
    <row r="11" spans="1:21" ht="15" hidden="1" customHeight="1">
      <c r="A11" s="129" t="s">
        <v>6</v>
      </c>
      <c r="C11" s="79"/>
      <c r="F11" s="78">
        <f>Q11/21</f>
        <v>3707844.6190476189</v>
      </c>
      <c r="G11" s="90">
        <f t="shared" si="2"/>
        <v>-1.2886974270371332E-2</v>
      </c>
      <c r="H11" s="90"/>
      <c r="I11" s="130">
        <f t="shared" si="0"/>
        <v>103.78309139344636</v>
      </c>
      <c r="J11" s="130"/>
      <c r="K11" s="78"/>
      <c r="O11" s="89"/>
      <c r="P11" s="129" t="s">
        <v>6</v>
      </c>
      <c r="Q11" s="116">
        <v>77864737</v>
      </c>
      <c r="R11" s="116">
        <v>100380130777</v>
      </c>
      <c r="S11" s="116">
        <v>750264.19</v>
      </c>
      <c r="T11" s="130">
        <f t="shared" si="1"/>
        <v>103.78309139344636</v>
      </c>
      <c r="U11" s="85"/>
    </row>
    <row r="12" spans="1:21" ht="15" hidden="1" customHeight="1">
      <c r="A12" s="129" t="s">
        <v>7</v>
      </c>
      <c r="C12" s="79"/>
      <c r="F12" s="78">
        <f>Q12/22</f>
        <v>11996174.318181818</v>
      </c>
      <c r="G12" s="90">
        <f t="shared" si="2"/>
        <v>2.2353497923176469</v>
      </c>
      <c r="H12" s="90"/>
      <c r="I12" s="130">
        <f t="shared" si="0"/>
        <v>292.36635593573334</v>
      </c>
      <c r="J12" s="130"/>
      <c r="K12" s="78"/>
      <c r="O12" s="89"/>
      <c r="P12" s="129" t="s">
        <v>7</v>
      </c>
      <c r="Q12" s="116">
        <v>263915835</v>
      </c>
      <c r="R12" s="116">
        <v>343126865613</v>
      </c>
      <c r="S12" s="116">
        <v>902688.8</v>
      </c>
      <c r="T12" s="130">
        <f t="shared" si="1"/>
        <v>292.36635593573334</v>
      </c>
      <c r="U12" s="85"/>
    </row>
    <row r="13" spans="1:21" ht="15" hidden="1" customHeight="1">
      <c r="A13" s="129" t="s">
        <v>96</v>
      </c>
      <c r="B13" s="131">
        <f>F11+F12+F13</f>
        <v>37238480.537229441</v>
      </c>
      <c r="C13" s="131">
        <f>AVERAGE(F11:F13)</f>
        <v>12412826.845743148</v>
      </c>
      <c r="D13" s="90">
        <f>C13/C10-1</f>
        <v>2.7791755070758635</v>
      </c>
      <c r="E13" s="286"/>
      <c r="F13" s="78">
        <f>Q13/20</f>
        <v>21534461.600000001</v>
      </c>
      <c r="G13" s="90">
        <f t="shared" si="2"/>
        <v>0.79511076021641536</v>
      </c>
      <c r="H13" s="90"/>
      <c r="I13" s="130">
        <f t="shared" si="0"/>
        <v>496.46267208216051</v>
      </c>
      <c r="J13" s="130"/>
      <c r="K13" s="78">
        <f>R11+R12+R13</f>
        <v>1032435265142</v>
      </c>
      <c r="L13" s="87">
        <f>U13/U10-1</f>
        <v>2.7330802529771305</v>
      </c>
      <c r="N13" s="88">
        <f>AVERAGE(T11:T13)</f>
        <v>297.53737313711343</v>
      </c>
      <c r="O13" s="89">
        <f>N13/N10-1</f>
        <v>1.9868167072952541</v>
      </c>
      <c r="P13" s="129" t="s">
        <v>96</v>
      </c>
      <c r="Q13" s="116">
        <v>430689232</v>
      </c>
      <c r="R13" s="116">
        <v>588928268752</v>
      </c>
      <c r="S13" s="116">
        <v>867515.84</v>
      </c>
      <c r="T13" s="130">
        <f t="shared" si="1"/>
        <v>496.46267208216051</v>
      </c>
      <c r="U13" s="85">
        <f>Q11+Q12+Q13</f>
        <v>772469804</v>
      </c>
    </row>
    <row r="14" spans="1:21" ht="15" hidden="1" customHeight="1">
      <c r="A14" s="129" t="s">
        <v>97</v>
      </c>
      <c r="C14" s="79"/>
      <c r="F14" s="78">
        <f>Q14/20</f>
        <v>20683355.449999999</v>
      </c>
      <c r="G14" s="90">
        <f t="shared" si="2"/>
        <v>-3.9522982548121921E-2</v>
      </c>
      <c r="H14" s="90"/>
      <c r="I14" s="130">
        <f t="shared" si="0"/>
        <v>609.35978725833877</v>
      </c>
      <c r="J14" s="130"/>
      <c r="K14" s="78"/>
      <c r="O14" s="89"/>
      <c r="P14" s="129" t="s">
        <v>97</v>
      </c>
      <c r="Q14" s="116">
        <v>413667109</v>
      </c>
      <c r="R14" s="116">
        <v>589635391718</v>
      </c>
      <c r="S14" s="116">
        <v>678855.28</v>
      </c>
      <c r="T14" s="130">
        <f t="shared" si="1"/>
        <v>609.35978725833877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12362126.227272727</v>
      </c>
      <c r="G15" s="90">
        <f t="shared" si="2"/>
        <v>-0.40231524535963403</v>
      </c>
      <c r="H15" s="90"/>
      <c r="I15" s="130">
        <f t="shared" si="0"/>
        <v>369.64641013315884</v>
      </c>
      <c r="J15" s="130"/>
      <c r="K15" s="78"/>
      <c r="O15" s="89"/>
      <c r="P15" s="129" t="s">
        <v>98</v>
      </c>
      <c r="Q15" s="116">
        <v>271966777</v>
      </c>
      <c r="R15" s="116">
        <v>378354626614</v>
      </c>
      <c r="S15" s="116">
        <v>735748.46</v>
      </c>
      <c r="T15" s="130">
        <f t="shared" si="1"/>
        <v>369.64641013315884</v>
      </c>
      <c r="U15" s="78"/>
    </row>
    <row r="16" spans="1:21" ht="15" hidden="1" customHeight="1">
      <c r="A16" s="129" t="s">
        <v>99</v>
      </c>
      <c r="B16" s="131">
        <f>F14+F15+F16</f>
        <v>48592369.313636363</v>
      </c>
      <c r="C16" s="131">
        <f>AVERAGE(F14:F16)</f>
        <v>16197456.437878788</v>
      </c>
      <c r="D16" s="90">
        <f>C16/C13-1</f>
        <v>0.3048966717386814</v>
      </c>
      <c r="E16" s="286"/>
      <c r="F16" s="78">
        <f>Q16/22</f>
        <v>15546887.636363637</v>
      </c>
      <c r="G16" s="90">
        <f t="shared" si="2"/>
        <v>0.25762246320255522</v>
      </c>
      <c r="H16" s="90"/>
      <c r="I16" s="130">
        <f t="shared" si="0"/>
        <v>467.2568624211396</v>
      </c>
      <c r="J16" s="130"/>
      <c r="K16" s="78">
        <f>R14+R15+R16</f>
        <v>1416508039791</v>
      </c>
      <c r="L16" s="87">
        <f>U16/U13-1</f>
        <v>0.33036321766695242</v>
      </c>
      <c r="N16" s="88">
        <f>AVERAGE(T14:T16)</f>
        <v>482.08768660421242</v>
      </c>
      <c r="O16" s="89">
        <f>N16/N13-1</f>
        <v>0.62025926868035208</v>
      </c>
      <c r="P16" s="129" t="s">
        <v>99</v>
      </c>
      <c r="Q16" s="116">
        <v>342031528</v>
      </c>
      <c r="R16" s="116">
        <v>448518021459</v>
      </c>
      <c r="S16" s="116">
        <v>731998.94</v>
      </c>
      <c r="T16" s="130">
        <f t="shared" si="1"/>
        <v>467.2568624211396</v>
      </c>
      <c r="U16" s="85">
        <f>Q14+Q15+Q16</f>
        <v>1027665414</v>
      </c>
    </row>
    <row r="17" spans="1:21" ht="15" hidden="1" customHeight="1">
      <c r="A17" s="129" t="s">
        <v>100</v>
      </c>
      <c r="C17" s="79"/>
      <c r="F17" s="78">
        <f>Q17/20</f>
        <v>14128928.1</v>
      </c>
      <c r="G17" s="90">
        <f t="shared" ref="G17:G22" si="3">F17/F16-1</f>
        <v>-9.1205363383927596E-2</v>
      </c>
      <c r="H17" s="90">
        <f t="shared" ref="H17:H22" si="4">F17/F5-1</f>
        <v>3.4433525798873506</v>
      </c>
      <c r="I17" s="130">
        <f t="shared" si="0"/>
        <v>523.38381042541107</v>
      </c>
      <c r="J17" s="130">
        <f t="shared" ref="J17:J49" si="5">I17/I5-1</f>
        <v>6.6320599558152589</v>
      </c>
      <c r="K17" s="78"/>
      <c r="O17" s="89"/>
      <c r="P17" s="129" t="s">
        <v>100</v>
      </c>
      <c r="Q17" s="116">
        <v>282578562</v>
      </c>
      <c r="R17" s="116">
        <v>355799006874</v>
      </c>
      <c r="S17" s="116">
        <v>539906.96</v>
      </c>
      <c r="T17" s="130">
        <f t="shared" si="1"/>
        <v>523.38381042541107</v>
      </c>
      <c r="U17" s="78"/>
    </row>
    <row r="18" spans="1:21" hidden="1">
      <c r="A18" s="129" t="s">
        <v>106</v>
      </c>
      <c r="C18" s="79"/>
      <c r="F18" s="78">
        <f>Q18/20</f>
        <v>11913641.85</v>
      </c>
      <c r="G18" s="90">
        <f t="shared" si="3"/>
        <v>-0.15679082194494287</v>
      </c>
      <c r="H18" s="90">
        <f t="shared" si="4"/>
        <v>1.3856926992095544</v>
      </c>
      <c r="I18" s="130">
        <f t="shared" si="0"/>
        <v>253.47309913529011</v>
      </c>
      <c r="J18" s="130">
        <f t="shared" si="5"/>
        <v>1.5608912784217077</v>
      </c>
      <c r="K18" s="78"/>
      <c r="O18" s="89"/>
      <c r="P18" s="129" t="s">
        <v>106</v>
      </c>
      <c r="Q18" s="116">
        <v>238272837</v>
      </c>
      <c r="R18" s="116">
        <v>298633898131</v>
      </c>
      <c r="S18" s="116">
        <v>940032.05</v>
      </c>
      <c r="T18" s="130">
        <f t="shared" ref="T18" si="6">Q18/S18</f>
        <v>253.47309913529011</v>
      </c>
      <c r="U18" s="78"/>
    </row>
    <row r="19" spans="1:21" hidden="1">
      <c r="A19" s="129" t="s">
        <v>114</v>
      </c>
      <c r="B19" s="131">
        <f>SUM(F17:F19)</f>
        <v>36476927.677272722</v>
      </c>
      <c r="C19" s="131">
        <f>AVERAGE(F17:F19)</f>
        <v>12158975.892424241</v>
      </c>
      <c r="D19" s="90">
        <f>C19/C16-1</f>
        <v>-0.24932806956098996</v>
      </c>
      <c r="E19" s="286">
        <f>C19/C7-1</f>
        <v>1.8518721110617613</v>
      </c>
      <c r="F19" s="78">
        <f>Q19/22</f>
        <v>10434357.727272727</v>
      </c>
      <c r="G19" s="90">
        <f t="shared" si="3"/>
        <v>-0.1241672480465974</v>
      </c>
      <c r="H19" s="90">
        <f t="shared" si="4"/>
        <v>1.2600144804595854</v>
      </c>
      <c r="I19" s="130">
        <f t="shared" si="0"/>
        <v>292.32450361022035</v>
      </c>
      <c r="J19" s="130">
        <f t="shared" si="5"/>
        <v>1.8374508451561873</v>
      </c>
      <c r="K19" s="78">
        <f>R17+R18+R19</f>
        <v>954472452212</v>
      </c>
      <c r="L19" s="87">
        <f>U19/U16-1</f>
        <v>-0.26979417738777767</v>
      </c>
      <c r="M19" s="87">
        <f>U19/U7-1</f>
        <v>1.9421192535241398</v>
      </c>
      <c r="N19" s="88">
        <f>AVERAGE(T17:T19)</f>
        <v>356.3938043903072</v>
      </c>
      <c r="O19" s="89">
        <f>N19/N16-1</f>
        <v>-0.26072825692620982</v>
      </c>
      <c r="P19" s="129" t="s">
        <v>115</v>
      </c>
      <c r="Q19" s="116">
        <v>229555870</v>
      </c>
      <c r="R19" s="116">
        <v>300039547207</v>
      </c>
      <c r="S19" s="116">
        <v>785277.55</v>
      </c>
      <c r="T19" s="130">
        <f t="shared" ref="T19" si="7">Q19/S19</f>
        <v>292.32450361022035</v>
      </c>
      <c r="U19" s="85">
        <f>Q17+Q18+Q19</f>
        <v>750407269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7098197.5</v>
      </c>
      <c r="G20" s="90">
        <f t="shared" si="3"/>
        <v>-0.31972837375058194</v>
      </c>
      <c r="H20" s="90">
        <f t="shared" si="4"/>
        <v>1.3447228263264948</v>
      </c>
      <c r="I20" s="130">
        <f t="shared" si="0"/>
        <v>331.21569763806571</v>
      </c>
      <c r="J20" s="130">
        <f t="shared" si="5"/>
        <v>2.6850935657122488</v>
      </c>
      <c r="K20" s="78"/>
      <c r="O20" s="89"/>
      <c r="P20" s="129" t="s">
        <v>132</v>
      </c>
      <c r="Q20" s="116">
        <v>141963950</v>
      </c>
      <c r="R20" s="116">
        <v>186168106951</v>
      </c>
      <c r="S20" s="116">
        <v>428614.8</v>
      </c>
      <c r="T20" s="130">
        <f t="shared" ref="T20" si="8">Q20/S20</f>
        <v>331.21569763806571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7322220.1428571427</v>
      </c>
      <c r="G21" s="90">
        <f t="shared" si="3"/>
        <v>3.1560497275138211E-2</v>
      </c>
      <c r="H21" s="90">
        <f t="shared" si="4"/>
        <v>1.3850568447671274</v>
      </c>
      <c r="I21" s="130">
        <f t="shared" si="0"/>
        <v>215.91009254064588</v>
      </c>
      <c r="J21" s="130">
        <f t="shared" si="5"/>
        <v>1.1315162679711199</v>
      </c>
      <c r="K21" s="78"/>
      <c r="O21" s="89"/>
      <c r="P21" s="129" t="s">
        <v>141</v>
      </c>
      <c r="Q21" s="116">
        <v>153766623</v>
      </c>
      <c r="R21" s="116">
        <v>204888387614</v>
      </c>
      <c r="S21" s="116">
        <v>712178.95</v>
      </c>
      <c r="T21" s="130">
        <f t="shared" ref="T21" si="9">Q21/S21</f>
        <v>215.91009254064588</v>
      </c>
      <c r="U21" s="78"/>
    </row>
    <row r="22" spans="1:21" hidden="1">
      <c r="A22" s="129" t="s">
        <v>156</v>
      </c>
      <c r="B22" s="131">
        <f>SUM(F20:F22)</f>
        <v>23022578.119047619</v>
      </c>
      <c r="C22" s="131">
        <f>AVERAGE(F20:F22)</f>
        <v>7674192.7063492062</v>
      </c>
      <c r="D22" s="90">
        <f>C22/C19-1</f>
        <v>-0.36884547068386897</v>
      </c>
      <c r="E22" s="286">
        <f>C22/C10-1</f>
        <v>1.3364638428321536</v>
      </c>
      <c r="F22" s="78">
        <f>Q22/21</f>
        <v>8602160.4761904757</v>
      </c>
      <c r="G22" s="90">
        <f t="shared" si="3"/>
        <v>0.17480221959482067</v>
      </c>
      <c r="H22" s="90">
        <f t="shared" si="4"/>
        <v>1.2900918263520018</v>
      </c>
      <c r="I22" s="130">
        <f t="shared" si="0"/>
        <v>268.66511139811763</v>
      </c>
      <c r="J22" s="130">
        <f t="shared" si="5"/>
        <v>1.4951100596402402</v>
      </c>
      <c r="K22" s="78">
        <f>R20+R21+R22</f>
        <v>626611132845</v>
      </c>
      <c r="L22" s="87">
        <f>U22/U19-1</f>
        <v>-0.3651768010792017</v>
      </c>
      <c r="M22" s="87">
        <f>U22/U10-1</f>
        <v>1.302160701425501</v>
      </c>
      <c r="N22" s="88">
        <f>AVERAGE(T20:T22)</f>
        <v>271.93030052560971</v>
      </c>
      <c r="O22" s="89">
        <f>N22/N19-1</f>
        <v>-0.2369948714714375</v>
      </c>
      <c r="P22" s="129" t="s">
        <v>156</v>
      </c>
      <c r="Q22" s="116">
        <v>180645370</v>
      </c>
      <c r="R22" s="116">
        <v>235554638280</v>
      </c>
      <c r="S22" s="116">
        <v>672381.2</v>
      </c>
      <c r="T22" s="130">
        <f t="shared" ref="T22:T23" si="10">Q22/S22</f>
        <v>268.66511139811763</v>
      </c>
      <c r="U22" s="85">
        <f>Q20+Q21+Q22</f>
        <v>476375943</v>
      </c>
    </row>
    <row r="23" spans="1:21" hidden="1">
      <c r="A23" s="129" t="s">
        <v>189</v>
      </c>
      <c r="B23" s="131"/>
      <c r="C23" s="131"/>
      <c r="F23" s="78">
        <f>Q23/21</f>
        <v>9052748.1904761903</v>
      </c>
      <c r="G23" s="90">
        <f t="shared" ref="G23" si="11">F23/F22-1</f>
        <v>5.2380761267227571E-2</v>
      </c>
      <c r="H23" s="90">
        <f t="shared" ref="H23" si="12">F23/F11-1</f>
        <v>1.4415122855934133</v>
      </c>
      <c r="I23" s="130">
        <f t="shared" si="0"/>
        <v>250.87218359066088</v>
      </c>
      <c r="J23" s="130">
        <f t="shared" si="5"/>
        <v>1.4172741457430016</v>
      </c>
      <c r="K23" s="98"/>
      <c r="O23" s="89"/>
      <c r="P23" s="129" t="s">
        <v>189</v>
      </c>
      <c r="Q23" s="116">
        <v>190107712</v>
      </c>
      <c r="R23" s="116">
        <v>245823484871</v>
      </c>
      <c r="S23" s="116">
        <v>757787.13</v>
      </c>
      <c r="T23" s="130">
        <f t="shared" si="10"/>
        <v>250.87218359066088</v>
      </c>
      <c r="U23" s="78"/>
    </row>
    <row r="24" spans="1:21" hidden="1">
      <c r="A24" s="129" t="s">
        <v>204</v>
      </c>
      <c r="B24" s="131"/>
      <c r="C24" s="131"/>
      <c r="F24" s="78">
        <f>Q24/22</f>
        <v>9291618.4090909082</v>
      </c>
      <c r="G24" s="90">
        <f t="shared" ref="G24" si="13">F24/F23-1</f>
        <v>2.6386486577194113E-2</v>
      </c>
      <c r="H24" s="90">
        <f t="shared" ref="H24" si="14">F24/F12-1</f>
        <v>-0.22545153457730194</v>
      </c>
      <c r="I24" s="130">
        <f t="shared" si="0"/>
        <v>330.66950367206817</v>
      </c>
      <c r="J24" s="130">
        <f t="shared" si="5"/>
        <v>0.13101079162731866</v>
      </c>
      <c r="K24" s="98"/>
      <c r="O24" s="89"/>
      <c r="P24" s="129" t="s">
        <v>204</v>
      </c>
      <c r="Q24" s="116">
        <v>204415605</v>
      </c>
      <c r="R24" s="116">
        <v>268240695722</v>
      </c>
      <c r="S24" s="116">
        <v>618187.05000000005</v>
      </c>
      <c r="T24" s="130">
        <f t="shared" ref="T24" si="15">Q24/S24</f>
        <v>330.66950367206817</v>
      </c>
      <c r="U24" s="78"/>
    </row>
    <row r="25" spans="1:21" s="79" customFormat="1" ht="13.2" hidden="1">
      <c r="A25" s="129" t="s">
        <v>218</v>
      </c>
      <c r="B25" s="131">
        <f>SUM(F23:F25)</f>
        <v>34478311.125882894</v>
      </c>
      <c r="C25" s="131">
        <f>AVERAGE(F23:F25)</f>
        <v>11492770.375294298</v>
      </c>
      <c r="D25" s="90">
        <f>C25/C22-1</f>
        <v>0.49758688829716391</v>
      </c>
      <c r="E25" s="286">
        <f>C25/C13-1</f>
        <v>-7.4121429540795813E-2</v>
      </c>
      <c r="F25" s="78">
        <f>Q25/19</f>
        <v>16133944.52631579</v>
      </c>
      <c r="G25" s="90">
        <f t="shared" ref="G25" si="16">F25/F24-1</f>
        <v>0.73639766679724583</v>
      </c>
      <c r="H25" s="90">
        <f t="shared" ref="H25" si="17">F25/F13-1</f>
        <v>-0.25078486632255581</v>
      </c>
      <c r="I25" s="130">
        <f t="shared" si="0"/>
        <v>345.86458562759401</v>
      </c>
      <c r="J25" s="130">
        <f t="shared" si="5"/>
        <v>-0.30334221467841549</v>
      </c>
      <c r="K25" s="78">
        <f>R23+R24+R25</f>
        <v>920952272385</v>
      </c>
      <c r="L25" s="90">
        <f>U25/U22-1</f>
        <v>0.47167016576233789</v>
      </c>
      <c r="M25" s="90">
        <f>U25/U13-1</f>
        <v>-9.2432792363233873E-2</v>
      </c>
      <c r="N25" s="88">
        <f>AVERAGE(T23:T25)</f>
        <v>309.13542429677437</v>
      </c>
      <c r="O25" s="91">
        <f>N25/N22-1</f>
        <v>0.136818602778916</v>
      </c>
      <c r="P25" s="129" t="s">
        <v>220</v>
      </c>
      <c r="Q25" s="116">
        <v>306544946</v>
      </c>
      <c r="R25" s="116">
        <v>406888091792</v>
      </c>
      <c r="S25" s="116">
        <v>886314.93</v>
      </c>
      <c r="T25" s="130">
        <f t="shared" ref="T25" si="18">Q25/S25</f>
        <v>345.86458562759401</v>
      </c>
      <c r="U25" s="85">
        <f>Q23+Q24+Q25</f>
        <v>701068263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16350814.894736841</v>
      </c>
      <c r="G26" s="90">
        <f t="shared" ref="G26" si="19">F26/F25-1</f>
        <v>1.3441868977999594E-2</v>
      </c>
      <c r="H26" s="90">
        <f t="shared" ref="H26" si="20">F26/F14-1</f>
        <v>-0.20946990761419992</v>
      </c>
      <c r="I26" s="130">
        <f t="shared" si="0"/>
        <v>425.52101845793942</v>
      </c>
      <c r="J26" s="130">
        <f t="shared" si="5"/>
        <v>-0.30169166499735023</v>
      </c>
      <c r="K26" s="78"/>
      <c r="L26" s="90"/>
      <c r="M26" s="90"/>
      <c r="P26" s="129" t="s">
        <v>312</v>
      </c>
      <c r="Q26" s="116">
        <v>310665483</v>
      </c>
      <c r="R26" s="116">
        <v>418728480149</v>
      </c>
      <c r="S26" s="116">
        <v>730082.58</v>
      </c>
      <c r="T26" s="130">
        <f t="shared" ref="T26" si="21">Q26/S26</f>
        <v>425.52101845793942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13804258.636363637</v>
      </c>
      <c r="G27" s="90">
        <f t="shared" ref="G27" si="22">F27/F26-1</f>
        <v>-0.15574491392431544</v>
      </c>
      <c r="H27" s="90">
        <f t="shared" ref="H27" si="23">F27/F15-1</f>
        <v>0.11665731141859292</v>
      </c>
      <c r="I27" s="130">
        <f t="shared" si="0"/>
        <v>490.71221790065852</v>
      </c>
      <c r="J27" s="130">
        <f t="shared" si="5"/>
        <v>0.3275178777575245</v>
      </c>
      <c r="K27" s="78"/>
      <c r="L27" s="90"/>
      <c r="M27" s="90"/>
      <c r="P27" s="129" t="s">
        <v>375</v>
      </c>
      <c r="Q27" s="116">
        <v>303693690</v>
      </c>
      <c r="R27" s="116">
        <v>402347628070</v>
      </c>
      <c r="S27" s="116">
        <v>618883.49</v>
      </c>
      <c r="T27" s="130">
        <f t="shared" ref="T27" si="24">Q27/S27</f>
        <v>490.71221790065852</v>
      </c>
      <c r="U27" s="78"/>
    </row>
    <row r="28" spans="1:21" s="79" customFormat="1" ht="13.2" hidden="1">
      <c r="A28" s="123" t="s">
        <v>413</v>
      </c>
      <c r="B28" s="131">
        <f>SUM(F26:F28)</f>
        <v>44200083.162679426</v>
      </c>
      <c r="C28" s="131">
        <f>AVERAGE(F26:F28)</f>
        <v>14733361.054226475</v>
      </c>
      <c r="D28" s="90">
        <f>C28/C25-1</f>
        <v>0.28196775652095063</v>
      </c>
      <c r="E28" s="286">
        <f>C28/C16-1</f>
        <v>-9.0390450455445137E-2</v>
      </c>
      <c r="F28" s="78">
        <f>Q28/19</f>
        <v>14045009.631578946</v>
      </c>
      <c r="G28" s="90">
        <f t="shared" ref="G28" si="25">F28/F27-1</f>
        <v>1.7440342256491492E-2</v>
      </c>
      <c r="H28" s="90">
        <f t="shared" ref="H28" si="26">F28/F16-1</f>
        <v>-9.6603129829783363E-2</v>
      </c>
      <c r="I28" s="130">
        <f t="shared" si="0"/>
        <v>307.97687428852061</v>
      </c>
      <c r="J28" s="130">
        <f t="shared" si="5"/>
        <v>-0.3408831436039127</v>
      </c>
      <c r="K28" s="78">
        <f>R26+R27+R28</f>
        <v>1169266221529</v>
      </c>
      <c r="L28" s="90">
        <f>U28/U25-1</f>
        <v>0.25695941823000479</v>
      </c>
      <c r="M28" s="90">
        <f>U28/U16-1</f>
        <v>-0.14250850131266557</v>
      </c>
      <c r="N28" s="88">
        <f>AVERAGE(T26:T28)</f>
        <v>408.07003688237279</v>
      </c>
      <c r="O28" s="91">
        <f>N28/N25-1</f>
        <v>0.3200364785454668</v>
      </c>
      <c r="P28" s="129" t="s">
        <v>413</v>
      </c>
      <c r="Q28" s="116">
        <v>266855183</v>
      </c>
      <c r="R28" s="116">
        <v>348190113310</v>
      </c>
      <c r="S28" s="116">
        <v>866477.99</v>
      </c>
      <c r="T28" s="130">
        <f t="shared" ref="T28" si="27">Q28/S28</f>
        <v>307.97687428852061</v>
      </c>
      <c r="U28" s="85">
        <f>Q26+Q27+Q28</f>
        <v>881214356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9932393.5454545449</v>
      </c>
      <c r="G29" s="190">
        <f t="shared" ref="G29" si="28">F29/F28-1</f>
        <v>-0.29281689325990579</v>
      </c>
      <c r="H29" s="190">
        <f t="shared" ref="H29" si="29">F29/F17-1</f>
        <v>-0.29701719230529988</v>
      </c>
      <c r="I29" s="130">
        <f t="shared" si="0"/>
        <v>385.72532168643323</v>
      </c>
      <c r="J29" s="130">
        <f t="shared" si="5"/>
        <v>-0.26301632950222087</v>
      </c>
      <c r="K29" s="136"/>
      <c r="L29" s="190"/>
      <c r="M29" s="190"/>
      <c r="N29" s="191"/>
      <c r="O29" s="192"/>
      <c r="P29" s="129" t="s">
        <v>430</v>
      </c>
      <c r="Q29" s="116">
        <v>218512658</v>
      </c>
      <c r="R29" s="116">
        <v>287176582916</v>
      </c>
      <c r="S29" s="116">
        <v>566498.09</v>
      </c>
      <c r="T29" s="130">
        <f t="shared" ref="T29" si="30">Q29/S29</f>
        <v>385.72532168643323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6726617.9473684207</v>
      </c>
      <c r="G30" s="190">
        <f t="shared" ref="G30" si="31">F30/F29-1</f>
        <v>-0.32275962318802942</v>
      </c>
      <c r="H30" s="190">
        <f t="shared" ref="H30" si="32">F30/F18-1</f>
        <v>-0.43538524726018846</v>
      </c>
      <c r="I30" s="130">
        <f t="shared" si="0"/>
        <v>240.73626311901899</v>
      </c>
      <c r="J30" s="130">
        <f t="shared" si="5"/>
        <v>-5.024926139981778E-2</v>
      </c>
      <c r="K30" s="136"/>
      <c r="L30" s="190"/>
      <c r="M30" s="190"/>
      <c r="N30" s="191"/>
      <c r="O30" s="192"/>
      <c r="P30" s="129" t="s">
        <v>466</v>
      </c>
      <c r="Q30" s="116">
        <v>127805741</v>
      </c>
      <c r="R30" s="116">
        <v>170329519631</v>
      </c>
      <c r="S30" s="116">
        <v>530895.26</v>
      </c>
      <c r="T30" s="130">
        <f t="shared" ref="T30" si="33">Q30/S30</f>
        <v>240.73626311901899</v>
      </c>
      <c r="U30" s="85"/>
    </row>
    <row r="31" spans="1:21" s="79" customFormat="1" ht="13.2" hidden="1">
      <c r="A31" s="129" t="s">
        <v>505</v>
      </c>
      <c r="B31" s="188">
        <f>SUM(F29:F31)</f>
        <v>25910787.142822966</v>
      </c>
      <c r="C31" s="188">
        <f>AVERAGE(F29:F31)</f>
        <v>8636929.0476076547</v>
      </c>
      <c r="D31" s="190">
        <f>C31/C28-1</f>
        <v>-0.41378419928628385</v>
      </c>
      <c r="E31" s="287">
        <f>C31/C19-1</f>
        <v>-0.28966640578759839</v>
      </c>
      <c r="F31" s="136">
        <f>Q31/20</f>
        <v>9251775.6500000004</v>
      </c>
      <c r="G31" s="190">
        <f t="shared" ref="G31" si="34">F31/F30-1</f>
        <v>0.375397818396906</v>
      </c>
      <c r="H31" s="190">
        <f t="shared" ref="H31" si="35">F31/F19-1</f>
        <v>-0.11333539717368146</v>
      </c>
      <c r="I31" s="130">
        <f t="shared" si="0"/>
        <v>329.60354824757513</v>
      </c>
      <c r="J31" s="130">
        <f t="shared" si="5"/>
        <v>0.12752623942555941</v>
      </c>
      <c r="K31" s="136">
        <f>R29+R30+R31</f>
        <v>703469192420</v>
      </c>
      <c r="L31" s="190">
        <f>U31/U28-1</f>
        <v>-0.39702081748654583</v>
      </c>
      <c r="M31" s="190">
        <f>U31/U19-1</f>
        <v>-0.29191262671524043</v>
      </c>
      <c r="N31" s="191">
        <f>AVERAGE(T29:T31)</f>
        <v>318.68837768434247</v>
      </c>
      <c r="O31" s="192">
        <f>N31/N28-1</f>
        <v>-0.21903509476191907</v>
      </c>
      <c r="P31" s="129" t="s">
        <v>505</v>
      </c>
      <c r="Q31" s="116">
        <v>185035513</v>
      </c>
      <c r="R31" s="116">
        <v>245963089873</v>
      </c>
      <c r="S31" s="116">
        <v>561388.11</v>
      </c>
      <c r="T31" s="130">
        <f t="shared" ref="T31" si="36">Q31/S31</f>
        <v>329.60354824757513</v>
      </c>
      <c r="U31" s="85">
        <f>Q29+Q30+Q31</f>
        <v>531353912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9748212.0952380951</v>
      </c>
      <c r="G32" s="190">
        <f t="shared" ref="G32" si="37">F32/F31-1</f>
        <v>5.3658504488064862E-2</v>
      </c>
      <c r="H32" s="190">
        <f t="shared" ref="H32" si="38">F32/F20-1</f>
        <v>0.37333627237592282</v>
      </c>
      <c r="I32" s="130">
        <f t="shared" si="0"/>
        <v>201.61787764897167</v>
      </c>
      <c r="J32" s="130">
        <f t="shared" si="5"/>
        <v>-0.39127922049972219</v>
      </c>
      <c r="K32" s="136"/>
      <c r="L32" s="190"/>
      <c r="M32" s="190"/>
      <c r="N32" s="191"/>
      <c r="O32" s="192"/>
      <c r="P32" s="129" t="s">
        <v>562</v>
      </c>
      <c r="Q32" s="116">
        <v>204712454</v>
      </c>
      <c r="R32" s="116">
        <v>278481489637</v>
      </c>
      <c r="S32" s="116">
        <v>1015348.72</v>
      </c>
      <c r="T32" s="130">
        <f t="shared" ref="T32" si="39">Q32/S32</f>
        <v>201.61787764897167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10214198.571428571</v>
      </c>
      <c r="G33" s="190">
        <f t="shared" ref="G33" si="40">F33/F32-1</f>
        <v>4.7802250467868346E-2</v>
      </c>
      <c r="H33" s="190">
        <f t="shared" ref="H33" si="41">F33/F21-1</f>
        <v>0.39495922987136156</v>
      </c>
      <c r="I33" s="130">
        <f t="shared" si="0"/>
        <v>331.33429691420872</v>
      </c>
      <c r="J33" s="130">
        <f t="shared" si="5"/>
        <v>0.53459383494004009</v>
      </c>
      <c r="K33" s="136"/>
      <c r="L33" s="190"/>
      <c r="M33" s="190"/>
      <c r="N33" s="191"/>
      <c r="O33" s="192"/>
      <c r="P33" s="129" t="s">
        <v>607</v>
      </c>
      <c r="Q33" s="116">
        <v>214498170</v>
      </c>
      <c r="R33" s="116">
        <v>293663492618</v>
      </c>
      <c r="S33" s="116">
        <v>647376.9</v>
      </c>
      <c r="T33" s="130">
        <f t="shared" ref="T33" si="42">Q33/S33</f>
        <v>331.33429691420872</v>
      </c>
      <c r="U33" s="85"/>
    </row>
    <row r="34" spans="1:21" s="79" customFormat="1" ht="13.2" hidden="1">
      <c r="A34" s="129" t="s">
        <v>652</v>
      </c>
      <c r="B34" s="188">
        <f>SUM(F32:F34)</f>
        <v>27171446.614035085</v>
      </c>
      <c r="C34" s="188">
        <f>AVERAGE(F32:F34)</f>
        <v>9057148.8713450283</v>
      </c>
      <c r="D34" s="190">
        <f>C34/C31-1</f>
        <v>4.8653846919556543E-2</v>
      </c>
      <c r="E34" s="287">
        <f>C34/C22-1</f>
        <v>0.18020868355985376</v>
      </c>
      <c r="F34" s="136">
        <f>Q34/19</f>
        <v>7209035.9473684207</v>
      </c>
      <c r="G34" s="190">
        <f t="shared" ref="G34" si="43">F34/F33-1</f>
        <v>-0.29421423551195403</v>
      </c>
      <c r="H34" s="190">
        <f t="shared" ref="H34" si="44">F34/F22-1</f>
        <v>-0.16195053936485149</v>
      </c>
      <c r="I34" s="130">
        <f t="shared" si="0"/>
        <v>293.43836013825648</v>
      </c>
      <c r="J34" s="130">
        <f t="shared" si="5"/>
        <v>9.2208655642782578E-2</v>
      </c>
      <c r="K34" s="136">
        <f>R32+R33+R34</f>
        <v>760378784229</v>
      </c>
      <c r="L34" s="190">
        <f>U34/U31-1</f>
        <v>4.6726662661702667E-2</v>
      </c>
      <c r="M34" s="190">
        <f>U34/U22-1</f>
        <v>0.1675281154993169</v>
      </c>
      <c r="N34" s="191">
        <f>AVERAGE(T32:T34)</f>
        <v>275.46351156714564</v>
      </c>
      <c r="O34" s="192">
        <f>N34/N31-1</f>
        <v>-0.1356336444751387</v>
      </c>
      <c r="P34" s="129" t="s">
        <v>652</v>
      </c>
      <c r="Q34" s="116">
        <v>136971683</v>
      </c>
      <c r="R34" s="116">
        <v>188233801974</v>
      </c>
      <c r="S34" s="116">
        <v>466781.79</v>
      </c>
      <c r="T34" s="130">
        <f t="shared" ref="T34" si="45">Q34/S34</f>
        <v>293.43836013825648</v>
      </c>
      <c r="U34" s="85">
        <f>Q32+Q33+Q34</f>
        <v>556182307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5941019.9565217393</v>
      </c>
      <c r="G35" s="190">
        <f t="shared" ref="G35" si="46">F35/F34-1</f>
        <v>-0.17589258814967579</v>
      </c>
      <c r="H35" s="190">
        <f t="shared" ref="H35" si="47">F35/F23-1</f>
        <v>-0.34373299339399488</v>
      </c>
      <c r="I35" s="130">
        <f t="shared" si="0"/>
        <v>361.65417076033879</v>
      </c>
      <c r="J35" s="130">
        <f t="shared" si="5"/>
        <v>0.44158736765506412</v>
      </c>
      <c r="K35" s="136"/>
      <c r="L35" s="190"/>
      <c r="M35" s="190"/>
      <c r="N35" s="191"/>
      <c r="O35" s="192"/>
      <c r="P35" s="129" t="s">
        <v>660</v>
      </c>
      <c r="Q35" s="116">
        <v>136643459</v>
      </c>
      <c r="R35" s="116">
        <v>189137640414</v>
      </c>
      <c r="S35" s="116">
        <v>377829.07</v>
      </c>
      <c r="T35" s="130">
        <f t="shared" ref="T35" si="48">Q35/S35</f>
        <v>361.65417076033879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10753587</v>
      </c>
      <c r="G36" s="190">
        <f t="shared" ref="G36" si="49">F36/F35-1</f>
        <v>0.81005737713358084</v>
      </c>
      <c r="H36" s="190">
        <f t="shared" ref="H36" si="50">F36/F24-1</f>
        <v>0.15734272831078644</v>
      </c>
      <c r="I36" s="130">
        <f t="shared" si="0"/>
        <v>617.33396638050419</v>
      </c>
      <c r="J36" s="130">
        <f t="shared" si="5"/>
        <v>0.86692138078970582</v>
      </c>
      <c r="K36" s="136"/>
      <c r="L36" s="190"/>
      <c r="M36" s="190"/>
      <c r="N36" s="191"/>
      <c r="O36" s="192"/>
      <c r="P36" s="129" t="s">
        <v>664</v>
      </c>
      <c r="Q36" s="116">
        <v>225825327</v>
      </c>
      <c r="R36" s="116">
        <v>307888265066</v>
      </c>
      <c r="S36" s="116">
        <v>365807.39</v>
      </c>
      <c r="T36" s="130">
        <f t="shared" ref="T36" si="51">Q36/S36</f>
        <v>617.33396638050419</v>
      </c>
      <c r="U36" s="85"/>
    </row>
    <row r="37" spans="1:21" s="79" customFormat="1" ht="13.2" hidden="1">
      <c r="A37" s="129" t="s">
        <v>702</v>
      </c>
      <c r="B37" s="188">
        <f>SUM(F35:F37)</f>
        <v>32343800.456521738</v>
      </c>
      <c r="C37" s="188">
        <f>AVERAGE(F35:F37)</f>
        <v>10781266.81884058</v>
      </c>
      <c r="D37" s="190">
        <f>C37/C34-1</f>
        <v>0.19035989934429698</v>
      </c>
      <c r="E37" s="287">
        <f>C37/C25-1</f>
        <v>-6.190879424365936E-2</v>
      </c>
      <c r="F37" s="136">
        <f>Q37/18</f>
        <v>15649193.5</v>
      </c>
      <c r="G37" s="190">
        <f t="shared" ref="G37" si="52">F37/F36-1</f>
        <v>0.4552533494172688</v>
      </c>
      <c r="H37" s="190">
        <f t="shared" ref="H37" si="53">F37/F25-1</f>
        <v>-3.0045412981625219E-2</v>
      </c>
      <c r="I37" s="130">
        <f t="shared" si="0"/>
        <v>900.22181688314492</v>
      </c>
      <c r="J37" s="130">
        <f t="shared" si="5"/>
        <v>1.6028158253023603</v>
      </c>
      <c r="K37" s="136">
        <f>R35+R36+R37</f>
        <v>872916852177</v>
      </c>
      <c r="L37" s="190">
        <f>U37/U34-1</f>
        <v>0.15817109047303801</v>
      </c>
      <c r="M37" s="190">
        <f>U37/U25-1</f>
        <v>-8.1181814958296017E-2</v>
      </c>
      <c r="N37" s="191">
        <f>AVERAGE(T35:T37)</f>
        <v>626.40331800799595</v>
      </c>
      <c r="O37" s="192">
        <f>N37/N34-1</f>
        <v>1.2739974323434375</v>
      </c>
      <c r="P37" s="129" t="s">
        <v>702</v>
      </c>
      <c r="Q37" s="116">
        <v>281685483</v>
      </c>
      <c r="R37" s="116">
        <v>375890946697</v>
      </c>
      <c r="S37" s="116">
        <v>312906.75</v>
      </c>
      <c r="T37" s="130">
        <f t="shared" ref="T37" si="54">Q37/S37</f>
        <v>900.22181688314492</v>
      </c>
      <c r="U37" s="85">
        <f>Q35+Q36+Q37</f>
        <v>644154269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13514614.35</v>
      </c>
      <c r="G38" s="190">
        <f t="shared" ref="G38" si="55">F38/F37-1</f>
        <v>-0.13640186313754765</v>
      </c>
      <c r="H38" s="190">
        <f t="shared" ref="H38" si="56">F38/F26-1</f>
        <v>-0.17345927790117577</v>
      </c>
      <c r="I38" s="130">
        <f t="shared" si="0"/>
        <v>657.31308423771986</v>
      </c>
      <c r="J38" s="130">
        <f t="shared" si="5"/>
        <v>0.54472530315841938</v>
      </c>
      <c r="K38" s="136"/>
      <c r="L38" s="190"/>
      <c r="M38" s="190"/>
      <c r="N38" s="191"/>
      <c r="O38" s="192"/>
      <c r="P38" s="129" t="s">
        <v>728</v>
      </c>
      <c r="Q38" s="116">
        <v>270292287</v>
      </c>
      <c r="R38" s="116">
        <v>363397947249</v>
      </c>
      <c r="S38" s="116">
        <v>411207.83</v>
      </c>
      <c r="T38" s="130">
        <f t="shared" ref="T38" si="57">Q38/S38</f>
        <v>657.31308423771986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9760305.1428571437</v>
      </c>
      <c r="G39" s="190">
        <f t="shared" ref="G39" si="58">F39/F38-1</f>
        <v>-0.27779625151810983</v>
      </c>
      <c r="H39" s="190">
        <f t="shared" ref="H39" si="59">F39/F27-1</f>
        <v>-0.29294970487250771</v>
      </c>
      <c r="I39" s="130">
        <f t="shared" si="0"/>
        <v>412.08848382597233</v>
      </c>
      <c r="J39" s="130">
        <f t="shared" si="5"/>
        <v>-0.16022371403559188</v>
      </c>
      <c r="K39" s="136"/>
      <c r="L39" s="190"/>
      <c r="M39" s="190"/>
      <c r="N39" s="191"/>
      <c r="O39" s="192"/>
      <c r="P39" s="129" t="s">
        <v>762</v>
      </c>
      <c r="Q39" s="116">
        <v>204966408</v>
      </c>
      <c r="R39" s="116">
        <v>284725874233</v>
      </c>
      <c r="S39" s="116">
        <v>497384.46</v>
      </c>
      <c r="T39" s="130">
        <f t="shared" ref="T39" si="60">Q39/S39</f>
        <v>412.08848382597233</v>
      </c>
      <c r="U39" s="85"/>
    </row>
    <row r="40" spans="1:21" s="79" customFormat="1" ht="13.2" hidden="1">
      <c r="A40" s="129" t="s">
        <v>778</v>
      </c>
      <c r="B40" s="188">
        <f>SUM(F38:F40)</f>
        <v>31704493.635714285</v>
      </c>
      <c r="C40" s="188">
        <f>AVERAGE(F38:F40)</f>
        <v>10568164.545238094</v>
      </c>
      <c r="D40" s="190">
        <f>C40/C37-1</f>
        <v>-1.9765977151227077E-2</v>
      </c>
      <c r="E40" s="287">
        <f>C40/C28-1</f>
        <v>-0.28270511349435334</v>
      </c>
      <c r="F40" s="136">
        <f>Q40/21</f>
        <v>8429574.1428571437</v>
      </c>
      <c r="G40" s="190">
        <f t="shared" ref="G40" si="61">F40/F39-1</f>
        <v>-0.1363411266884279</v>
      </c>
      <c r="H40" s="190">
        <f t="shared" ref="H40" si="62">F40/F28-1</f>
        <v>-0.39981713334649471</v>
      </c>
      <c r="I40" s="130">
        <f t="shared" si="0"/>
        <v>406.17468334877759</v>
      </c>
      <c r="J40" s="130">
        <f t="shared" si="5"/>
        <v>0.31884799560717259</v>
      </c>
      <c r="K40" s="136">
        <f>R38+R39+R40</f>
        <v>898930196699</v>
      </c>
      <c r="L40" s="190">
        <f>U40/U37-1</f>
        <v>1.2614187922117104E-2</v>
      </c>
      <c r="M40" s="190">
        <f>U40/U28-1</f>
        <v>-0.25979445573172211</v>
      </c>
      <c r="N40" s="191">
        <f>AVERAGE(T38:T40)</f>
        <v>491.85875047082322</v>
      </c>
      <c r="O40" s="192">
        <f>N40/N37-1</f>
        <v>-0.21478904033432222</v>
      </c>
      <c r="P40" s="129" t="s">
        <v>778</v>
      </c>
      <c r="Q40" s="116">
        <v>177021057</v>
      </c>
      <c r="R40" s="116">
        <v>250806375217</v>
      </c>
      <c r="S40" s="116">
        <v>435824.94</v>
      </c>
      <c r="T40" s="130">
        <f t="shared" ref="T40" si="63">Q40/S40</f>
        <v>406.17468334877759</v>
      </c>
      <c r="U40" s="85">
        <f>Q38+Q39+Q40</f>
        <v>652279752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9398224.666666666</v>
      </c>
      <c r="G41" s="190">
        <f t="shared" ref="G41" si="64">F41/F40-1</f>
        <v>0.11491096790818478</v>
      </c>
      <c r="H41" s="190">
        <f t="shared" ref="H41" si="65">F41/F29-1</f>
        <v>-5.3780478627161843E-2</v>
      </c>
      <c r="I41" s="130">
        <f t="shared" si="0"/>
        <v>631.83105052454675</v>
      </c>
      <c r="J41" s="130">
        <f t="shared" si="5"/>
        <v>0.63803363430254567</v>
      </c>
      <c r="K41" s="193"/>
      <c r="L41" s="190"/>
      <c r="M41" s="190"/>
      <c r="N41" s="193"/>
      <c r="O41" s="193"/>
      <c r="P41" s="129" t="s">
        <v>803</v>
      </c>
      <c r="Q41" s="116">
        <v>169168044</v>
      </c>
      <c r="R41" s="116">
        <v>247505984757</v>
      </c>
      <c r="S41" s="116">
        <v>267742.53000000003</v>
      </c>
      <c r="T41" s="130">
        <f t="shared" ref="T41" si="66">Q41/S41</f>
        <v>631.83105052454675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9399335.1500000004</v>
      </c>
      <c r="G42" s="190">
        <f t="shared" ref="G42" si="67">F42/F41-1</f>
        <v>1.1815884092158946E-4</v>
      </c>
      <c r="H42" s="190">
        <f t="shared" ref="H42" si="68">F42/F30-1</f>
        <v>0.39733447380896614</v>
      </c>
      <c r="I42" s="130">
        <f t="shared" si="0"/>
        <v>420.71739045098229</v>
      </c>
      <c r="J42" s="130">
        <f t="shared" si="5"/>
        <v>0.74762781892556585</v>
      </c>
      <c r="K42" s="193"/>
      <c r="L42" s="190"/>
      <c r="M42" s="190"/>
      <c r="N42" s="193"/>
      <c r="O42" s="193"/>
      <c r="P42" s="129" t="s">
        <v>826</v>
      </c>
      <c r="Q42" s="116">
        <v>187986703</v>
      </c>
      <c r="R42" s="116">
        <v>271540399136</v>
      </c>
      <c r="S42" s="116">
        <v>446824.18</v>
      </c>
      <c r="T42" s="130">
        <f t="shared" ref="T42" si="69">Q42/S42</f>
        <v>420.71739045098229</v>
      </c>
      <c r="U42" s="78"/>
    </row>
    <row r="43" spans="1:21" s="79" customFormat="1" ht="13.2">
      <c r="A43" s="129" t="s">
        <v>835</v>
      </c>
      <c r="B43" s="188">
        <f>SUM(F41:F43)</f>
        <v>27057596.616666667</v>
      </c>
      <c r="C43" s="188">
        <f>AVERAGE(F41:F43)</f>
        <v>9019198.8722222224</v>
      </c>
      <c r="D43" s="190">
        <f>C43/C40-1</f>
        <v>-0.14656903442271063</v>
      </c>
      <c r="E43" s="287">
        <f>C43/C31-1</f>
        <v>4.4259924159091302E-2</v>
      </c>
      <c r="F43" s="136">
        <f>Q43/20</f>
        <v>8260036.7999999998</v>
      </c>
      <c r="G43" s="190">
        <f t="shared" ref="G43" si="70">F43/F42-1</f>
        <v>-0.12121052519336972</v>
      </c>
      <c r="H43" s="190">
        <f t="shared" ref="H43" si="71">F43/F31-1</f>
        <v>-0.10719443353557767</v>
      </c>
      <c r="I43" s="130">
        <f t="shared" si="0"/>
        <v>413.1661045140022</v>
      </c>
      <c r="J43" s="130">
        <f t="shared" si="5"/>
        <v>0.25352444386812456</v>
      </c>
      <c r="K43" s="136">
        <f>R41+R42+R43</f>
        <v>758517077023</v>
      </c>
      <c r="L43" s="190">
        <f>U43/U40-1</f>
        <v>-0.19918488746834506</v>
      </c>
      <c r="M43" s="190">
        <f>K43/K31-1</f>
        <v>7.8252018988393957E-2</v>
      </c>
      <c r="N43" s="191">
        <f>AVERAGE(T41:T43)</f>
        <v>488.57151516317708</v>
      </c>
      <c r="O43" s="192">
        <f>N43/N40-1</f>
        <v>-6.6832912995844485E-3</v>
      </c>
      <c r="P43" s="129" t="s">
        <v>835</v>
      </c>
      <c r="Q43" s="116">
        <v>165200736</v>
      </c>
      <c r="R43" s="116">
        <v>239470693130</v>
      </c>
      <c r="S43" s="116">
        <v>399840.97</v>
      </c>
      <c r="T43" s="130">
        <f t="shared" ref="T43" si="72">Q43/S43</f>
        <v>413.1661045140022</v>
      </c>
      <c r="U43" s="85">
        <f>Q41+Q42+Q43</f>
        <v>522355483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8439916.0454545449</v>
      </c>
      <c r="G44" s="190">
        <f t="shared" ref="G44" si="73">F44/F43-1</f>
        <v>2.1777051338868647E-2</v>
      </c>
      <c r="H44" s="190">
        <f t="shared" ref="H44" si="74">F44/F32-1</f>
        <v>-0.13420882075623286</v>
      </c>
      <c r="I44" s="130">
        <f t="shared" si="0"/>
        <v>309.76192520619816</v>
      </c>
      <c r="J44" s="130">
        <f t="shared" si="5"/>
        <v>0.53638124167496448</v>
      </c>
      <c r="K44" s="136"/>
      <c r="L44" s="190"/>
      <c r="M44" s="190"/>
      <c r="N44" s="191"/>
      <c r="O44" s="192"/>
      <c r="P44" s="129" t="s">
        <v>843</v>
      </c>
      <c r="Q44" s="116">
        <v>185678153</v>
      </c>
      <c r="R44" s="116">
        <v>269686041241</v>
      </c>
      <c r="S44" s="116">
        <v>599422.13</v>
      </c>
      <c r="T44" s="130">
        <f t="shared" ref="T44" si="75">Q44/S44</f>
        <v>309.76192520619816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8671735.6500000004</v>
      </c>
      <c r="G45" s="190">
        <f t="shared" ref="G45" si="76">F45/F44-1</f>
        <v>2.7467051010573229E-2</v>
      </c>
      <c r="H45" s="190">
        <f t="shared" ref="H45" si="77">F45/F33-1</f>
        <v>-0.15101164429514702</v>
      </c>
      <c r="I45" s="130">
        <f t="shared" si="0"/>
        <v>170.61291864053717</v>
      </c>
      <c r="J45" s="130">
        <f t="shared" si="5"/>
        <v>-0.48507317162909513</v>
      </c>
      <c r="K45" s="136"/>
      <c r="L45" s="190"/>
      <c r="M45" s="190"/>
      <c r="N45" s="191"/>
      <c r="O45" s="192"/>
      <c r="P45" s="129" t="s">
        <v>849</v>
      </c>
      <c r="Q45" s="116">
        <v>173434713</v>
      </c>
      <c r="R45" s="116">
        <v>245022618073</v>
      </c>
      <c r="S45" s="116">
        <v>1016539.16</v>
      </c>
      <c r="T45" s="130">
        <f t="shared" ref="T45" si="78">Q45/S45</f>
        <v>170.61291864053717</v>
      </c>
      <c r="U45" s="85"/>
    </row>
    <row r="46" spans="1:21" s="79" customFormat="1" ht="13.2">
      <c r="A46" s="129" t="s">
        <v>908</v>
      </c>
      <c r="B46" s="188">
        <f>SUM(F44:F46)</f>
        <v>24733454.958612442</v>
      </c>
      <c r="C46" s="188">
        <f>AVERAGE(F44:F46)</f>
        <v>8244484.9862041473</v>
      </c>
      <c r="D46" s="190">
        <f>C46/C43-1</f>
        <v>-8.5896086447775022E-2</v>
      </c>
      <c r="E46" s="287">
        <f>C46/C34-1</f>
        <v>-8.972623688586856E-2</v>
      </c>
      <c r="F46" s="136">
        <f>Q46/19</f>
        <v>7621803.2631578948</v>
      </c>
      <c r="G46" s="190">
        <f t="shared" ref="G46" si="79">F46/F45-1</f>
        <v>-0.12107522982923324</v>
      </c>
      <c r="H46" s="190">
        <f t="shared" ref="H46" si="80">F46/F34-1</f>
        <v>5.7256936822481785E-2</v>
      </c>
      <c r="I46" s="130">
        <f t="shared" si="0"/>
        <v>171.55749529116315</v>
      </c>
      <c r="J46" s="130">
        <f t="shared" si="5"/>
        <v>-0.4153542324516396</v>
      </c>
      <c r="K46" s="136">
        <f>R44+R45+R46</f>
        <v>712992954795</v>
      </c>
      <c r="L46" s="190">
        <f>U46/U43-1</f>
        <v>-3.5279336773038183E-2</v>
      </c>
      <c r="M46" s="190">
        <f>K46/K34-1</f>
        <v>-6.2318715904268296E-2</v>
      </c>
      <c r="N46" s="191">
        <f>AVERAGE(T44:T46)</f>
        <v>217.31077971263281</v>
      </c>
      <c r="O46" s="192">
        <f>N46/N43-1</f>
        <v>-0.55521193322117113</v>
      </c>
      <c r="P46" s="129" t="s">
        <v>888</v>
      </c>
      <c r="Q46" s="116">
        <v>144814262</v>
      </c>
      <c r="R46" s="116">
        <v>198284295481</v>
      </c>
      <c r="S46" s="116">
        <v>844115.04</v>
      </c>
      <c r="T46" s="130">
        <f t="shared" ref="T46" si="81">Q46/S46</f>
        <v>171.55749529116315</v>
      </c>
      <c r="U46" s="85">
        <f t="shared" ref="U46:U51" si="82">Q44+Q45+Q46</f>
        <v>503927128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5304454.6521739131</v>
      </c>
      <c r="G47" s="190">
        <f t="shared" ref="G47" si="83">F47/F46-1</f>
        <v>-0.30404203978676947</v>
      </c>
      <c r="H47" s="190">
        <f t="shared" ref="H47" si="84">F47/F35-1</f>
        <v>-0.10714747787524903</v>
      </c>
      <c r="I47" s="130">
        <f t="shared" si="0"/>
        <v>218.72153170257246</v>
      </c>
      <c r="J47" s="130">
        <f t="shared" si="5"/>
        <v>-0.39521910878911171</v>
      </c>
      <c r="K47" s="136"/>
      <c r="L47" s="190"/>
      <c r="M47" s="190"/>
      <c r="N47" s="191"/>
      <c r="O47" s="192"/>
      <c r="P47" s="129" t="s">
        <v>991</v>
      </c>
      <c r="Q47" s="116">
        <v>122002457</v>
      </c>
      <c r="R47" s="116">
        <v>167463978070</v>
      </c>
      <c r="S47" s="116">
        <v>557798.11</v>
      </c>
      <c r="T47" s="130">
        <f t="shared" ref="T47" si="85">Q47/S47</f>
        <v>218.72153170257246</v>
      </c>
      <c r="U47" s="85">
        <f t="shared" si="82"/>
        <v>440251432</v>
      </c>
    </row>
    <row r="48" spans="1:21" s="79" customFormat="1" ht="13.2">
      <c r="A48" s="129" t="s">
        <v>1089</v>
      </c>
      <c r="B48" s="188"/>
      <c r="C48" s="188"/>
      <c r="D48" s="190"/>
      <c r="E48" s="287"/>
      <c r="F48" s="136">
        <f>Q48/20</f>
        <v>10158950.949999999</v>
      </c>
      <c r="G48" s="190">
        <f t="shared" ref="G48" si="86">F48/F47-1</f>
        <v>0.91517349400594439</v>
      </c>
      <c r="H48" s="190">
        <f t="shared" ref="H48" si="87">F48/F36-1</f>
        <v>-5.5296530357730966E-2</v>
      </c>
      <c r="I48" s="130">
        <f t="shared" si="0"/>
        <v>198.48623475490041</v>
      </c>
      <c r="J48" s="130">
        <f t="shared" si="5"/>
        <v>-0.67847835116112809</v>
      </c>
      <c r="K48" s="136"/>
      <c r="L48" s="190"/>
      <c r="M48" s="190"/>
      <c r="N48" s="191"/>
      <c r="O48" s="192"/>
      <c r="P48" s="129" t="s">
        <v>1120</v>
      </c>
      <c r="Q48" s="116">
        <v>203179019</v>
      </c>
      <c r="R48" s="116">
        <v>281893139602</v>
      </c>
      <c r="S48" s="116">
        <v>1023642.87</v>
      </c>
      <c r="T48" s="130">
        <f t="shared" ref="T48" si="88">Q48/S48</f>
        <v>198.48623475490041</v>
      </c>
      <c r="U48" s="85">
        <f t="shared" si="82"/>
        <v>469995738</v>
      </c>
    </row>
    <row r="49" spans="1:26" ht="13.2">
      <c r="A49" s="129" t="s">
        <v>1207</v>
      </c>
      <c r="B49" s="188">
        <f>SUM(F47:F49)</f>
        <v>26867754.193083003</v>
      </c>
      <c r="C49" s="188">
        <f>AVERAGE(F47:F49)</f>
        <v>8955918.0643610004</v>
      </c>
      <c r="D49" s="190">
        <f>C49/C46-1</f>
        <v>8.6291997541062315E-2</v>
      </c>
      <c r="E49" s="287">
        <f>C49/C37-1</f>
        <v>-0.16930744643938589</v>
      </c>
      <c r="F49" s="136">
        <f>Q49/22</f>
        <v>11404348.590909092</v>
      </c>
      <c r="G49" s="190">
        <f t="shared" ref="G49" si="89">F49/F48-1</f>
        <v>0.1225911658633505</v>
      </c>
      <c r="H49" s="190">
        <f t="shared" ref="H49" si="90">F49/F37-1</f>
        <v>-0.27125007490583508</v>
      </c>
      <c r="I49" s="130">
        <f t="shared" si="0"/>
        <v>491.63828952931692</v>
      </c>
      <c r="J49" s="130">
        <f t="shared" si="5"/>
        <v>-0.45386983484634325</v>
      </c>
      <c r="K49" s="136">
        <f>R47+R48+R49</f>
        <v>798081701677</v>
      </c>
      <c r="L49" s="190">
        <f>U49/U46-1</f>
        <v>0.14317549699368448</v>
      </c>
      <c r="M49" s="190">
        <f>K49/K37-1</f>
        <v>-8.5729987126913376E-2</v>
      </c>
      <c r="N49" s="191">
        <f>AVERAGE(T47:T49)</f>
        <v>302.94868532892991</v>
      </c>
      <c r="O49" s="192">
        <f>N49/N46-1</f>
        <v>0.39408033844222023</v>
      </c>
      <c r="P49" s="129" t="s">
        <v>1175</v>
      </c>
      <c r="Q49" s="116">
        <v>250895669</v>
      </c>
      <c r="R49" s="116">
        <v>348724584005</v>
      </c>
      <c r="S49" s="116">
        <v>510325.73</v>
      </c>
      <c r="T49" s="130">
        <f t="shared" ref="T49" si="91">Q49/S49</f>
        <v>491.63828952931692</v>
      </c>
      <c r="U49" s="85">
        <f t="shared" si="82"/>
        <v>576077145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9635626</v>
      </c>
      <c r="G50" s="190">
        <f t="shared" ref="G50" si="92">F50/F49-1</f>
        <v>-0.15509194381510039</v>
      </c>
      <c r="H50" s="190">
        <f t="shared" ref="H50" si="93">F50/F38-1</f>
        <v>-0.28702175656236906</v>
      </c>
      <c r="I50" s="130">
        <f t="shared" ref="I50" si="94">T50</f>
        <v>403.25546425875808</v>
      </c>
      <c r="J50" s="130">
        <f t="shared" ref="J50" si="95">I50/I38-1</f>
        <v>-0.38650929986216565</v>
      </c>
      <c r="K50" s="136"/>
      <c r="L50" s="190"/>
      <c r="M50" s="190"/>
      <c r="N50" s="191"/>
      <c r="O50" s="192"/>
      <c r="P50" s="129" t="s">
        <v>1349</v>
      </c>
      <c r="Q50" s="116">
        <v>173441268</v>
      </c>
      <c r="R50" s="116">
        <v>245219396108</v>
      </c>
      <c r="S50" s="116">
        <v>430102.71</v>
      </c>
      <c r="T50" s="130">
        <f t="shared" ref="T50" si="96">Q50/S50</f>
        <v>403.25546425875808</v>
      </c>
      <c r="U50" s="85">
        <f t="shared" si="82"/>
        <v>627515956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9262979.9499999993</v>
      </c>
      <c r="G51" s="190">
        <f t="shared" ref="G51:G52" si="97">F51/F50-1</f>
        <v>-3.8673776877599986E-2</v>
      </c>
      <c r="H51" s="190">
        <f t="shared" ref="H51:H52" si="98">F51/F39-1</f>
        <v>-5.0953857033978145E-2</v>
      </c>
      <c r="I51" s="130">
        <f t="shared" ref="I51:I52" si="99">T51</f>
        <v>313.61923508837697</v>
      </c>
      <c r="J51" s="130">
        <f t="shared" ref="J51:J52" si="100">I51/I39-1</f>
        <v>-0.23895171207739829</v>
      </c>
      <c r="K51" s="136"/>
      <c r="L51" s="190"/>
      <c r="M51" s="190"/>
      <c r="N51" s="191"/>
      <c r="O51" s="192"/>
      <c r="P51" s="129" t="s">
        <v>1402</v>
      </c>
      <c r="Q51" s="116">
        <v>185259599</v>
      </c>
      <c r="R51" s="116">
        <v>268538813842</v>
      </c>
      <c r="S51" s="116">
        <v>590715.04</v>
      </c>
      <c r="T51" s="130">
        <f t="shared" ref="T51:T52" si="101">Q51/S51</f>
        <v>313.61923508837697</v>
      </c>
      <c r="U51" s="85">
        <f t="shared" si="82"/>
        <v>609596536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28955333.540909089</v>
      </c>
      <c r="C52" s="188">
        <f>AVERAGE(F50:F52)</f>
        <v>9651777.8469696958</v>
      </c>
      <c r="D52" s="190">
        <f>C52/C49-1</f>
        <v>7.7698319436148688E-2</v>
      </c>
      <c r="E52" s="287">
        <f>C52/C40-1</f>
        <v>-8.6712001345712664E-2</v>
      </c>
      <c r="F52" s="136">
        <f>Q52/22</f>
        <v>10056727.590909092</v>
      </c>
      <c r="G52" s="190">
        <f t="shared" si="97"/>
        <v>8.5690311885981529E-2</v>
      </c>
      <c r="H52" s="190">
        <f t="shared" si="98"/>
        <v>0.19302914008185423</v>
      </c>
      <c r="I52" s="130">
        <f t="shared" si="99"/>
        <v>168.54971238189452</v>
      </c>
      <c r="J52" s="130">
        <f t="shared" si="100"/>
        <v>-0.58503146726857225</v>
      </c>
      <c r="K52" s="136">
        <f>R50+R51+R52</f>
        <v>839196592756</v>
      </c>
      <c r="L52" s="190">
        <f>U52/U49-1</f>
        <v>6.7208515970547111E-3</v>
      </c>
      <c r="M52" s="190">
        <f>K52/K40-1</f>
        <v>-6.6449657784720451E-2</v>
      </c>
      <c r="N52" s="191">
        <f>AVERAGE(T50:T52)</f>
        <v>295.14147057634318</v>
      </c>
      <c r="O52" s="192">
        <f>N52/N49-1</f>
        <v>-2.5770749736411469E-2</v>
      </c>
      <c r="P52" s="129" t="s">
        <v>1403</v>
      </c>
      <c r="Q52" s="116">
        <v>221248007</v>
      </c>
      <c r="R52" s="116">
        <v>325438382806</v>
      </c>
      <c r="S52" s="116">
        <v>1312657.28</v>
      </c>
      <c r="T52" s="130">
        <f t="shared" si="101"/>
        <v>168.54971238189452</v>
      </c>
      <c r="U52" s="85">
        <f t="shared" ref="U52" si="102">Q50+Q51+Q52</f>
        <v>579948874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8959189.0476190485</v>
      </c>
      <c r="G53" s="190">
        <f t="shared" ref="G53" si="103">F53/F52-1</f>
        <v>-0.1091347591320041</v>
      </c>
      <c r="H53" s="190">
        <f t="shared" ref="H53" si="104">F53/F41-1</f>
        <v>-4.6714739710870701E-2</v>
      </c>
      <c r="I53" s="130">
        <f t="shared" ref="I53" si="105">T53</f>
        <v>216.01796491578722</v>
      </c>
      <c r="J53" s="130">
        <f t="shared" ref="J53" si="106">I53/I41-1</f>
        <v>-0.6581080262889123</v>
      </c>
      <c r="K53" s="136"/>
      <c r="L53" s="190"/>
      <c r="M53" s="190"/>
      <c r="N53" s="191"/>
      <c r="O53" s="192"/>
      <c r="P53" s="129" t="s">
        <v>1414</v>
      </c>
      <c r="Q53" s="116">
        <v>188142970</v>
      </c>
      <c r="R53" s="116">
        <v>274037801952</v>
      </c>
      <c r="S53" s="116">
        <v>870959.83</v>
      </c>
      <c r="T53" s="130">
        <f t="shared" ref="T53" si="107">Q53/S53</f>
        <v>216.01796491578722</v>
      </c>
      <c r="U53" s="85">
        <f t="shared" ref="U53" si="108">Q51+Q52+Q53</f>
        <v>594650576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8052335.7058823528</v>
      </c>
      <c r="G54" s="190">
        <f t="shared" ref="G54" si="109">F54/F53-1</f>
        <v>-0.10122047173205895</v>
      </c>
      <c r="H54" s="190">
        <f t="shared" ref="H54" si="110">F54/F42-1</f>
        <v>-0.14330794919230516</v>
      </c>
      <c r="I54" s="130">
        <f t="shared" ref="I54" si="111">T54</f>
        <v>259.89577642543759</v>
      </c>
      <c r="J54" s="130">
        <f t="shared" ref="J54" si="112">I54/I42-1</f>
        <v>-0.38225568439934032</v>
      </c>
      <c r="K54" s="136"/>
      <c r="L54" s="190"/>
      <c r="M54" s="190"/>
      <c r="N54" s="191"/>
      <c r="O54" s="192"/>
      <c r="P54" s="129" t="s">
        <v>1417</v>
      </c>
      <c r="Q54" s="116">
        <v>136889707</v>
      </c>
      <c r="R54" s="116">
        <v>198264487638</v>
      </c>
      <c r="S54" s="116">
        <v>526710.01</v>
      </c>
      <c r="T54" s="130">
        <f t="shared" ref="T54" si="113">Q54/S54</f>
        <v>259.89577642543759</v>
      </c>
      <c r="U54" s="85">
        <f t="shared" ref="U54" si="114">Q52+Q53+Q54</f>
        <v>546280684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24970903.420168068</v>
      </c>
      <c r="C55" s="188">
        <f>AVERAGE(F53:F55)</f>
        <v>8323634.4733893564</v>
      </c>
      <c r="D55" s="190">
        <f>C55/C52-1</f>
        <v>-0.13760608611576441</v>
      </c>
      <c r="E55" s="287">
        <f>C55/C43-1</f>
        <v>-7.7120419306319965E-2</v>
      </c>
      <c r="F55" s="136">
        <f>Q55/21</f>
        <v>7959378.666666667</v>
      </c>
      <c r="G55" s="190">
        <f t="shared" ref="G55" si="115">F55/F54-1</f>
        <v>-1.154410876682388E-2</v>
      </c>
      <c r="H55" s="190">
        <f t="shared" ref="H55" si="116">F55/F43-1</f>
        <v>-3.6399127584193391E-2</v>
      </c>
      <c r="I55" s="130">
        <f>T55</f>
        <v>273.96952429713082</v>
      </c>
      <c r="J55" s="130">
        <f t="shared" ref="J55" si="117">I55/I43-1</f>
        <v>-0.3369022257539861</v>
      </c>
      <c r="K55" s="136">
        <f>R53+R54+R55</f>
        <v>718373067098</v>
      </c>
      <c r="L55" s="190">
        <f>U55/U52-1</f>
        <v>-0.15133962480975516</v>
      </c>
      <c r="M55" s="190">
        <f>K55/K43-1</f>
        <v>-5.2924332412601305E-2</v>
      </c>
      <c r="N55" s="191">
        <f>AVERAGE(T53:T55)</f>
        <v>249.96108854611853</v>
      </c>
      <c r="O55" s="192">
        <f>N55/N52-1</f>
        <v>-0.1530804259462345</v>
      </c>
      <c r="P55" s="129" t="s">
        <v>1418</v>
      </c>
      <c r="Q55" s="116">
        <v>167146952</v>
      </c>
      <c r="R55" s="116">
        <v>246070777508</v>
      </c>
      <c r="S55" s="116">
        <v>610093.23</v>
      </c>
      <c r="T55" s="130">
        <f t="shared" ref="T55" si="118">Q55/S55</f>
        <v>273.96952429713082</v>
      </c>
      <c r="U55" s="85">
        <f t="shared" ref="U55" si="119">Q53+Q54+Q55</f>
        <v>492179629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7233279.2727272725</v>
      </c>
      <c r="G56" s="190">
        <f t="shared" ref="G56" si="120">F56/F55-1</f>
        <v>-9.1225637621721534E-2</v>
      </c>
      <c r="H56" s="190">
        <f t="shared" ref="H56" si="121">F56/F44-1</f>
        <v>-0.14296786439921128</v>
      </c>
      <c r="I56" s="291">
        <f>T56</f>
        <v>236.54001192152734</v>
      </c>
      <c r="J56" s="130">
        <f t="shared" ref="J56" si="122">I56/I44-1</f>
        <v>-0.23638125710876001</v>
      </c>
      <c r="K56" s="136"/>
      <c r="L56" s="190"/>
      <c r="M56" s="190"/>
      <c r="N56" s="191"/>
      <c r="O56" s="192"/>
      <c r="P56" s="129" t="s">
        <v>1420</v>
      </c>
      <c r="Q56" s="116">
        <v>159132144</v>
      </c>
      <c r="R56" s="116">
        <v>237716657673</v>
      </c>
      <c r="S56" s="116">
        <v>672749.37</v>
      </c>
      <c r="T56" s="130">
        <f t="shared" ref="T56" si="123">Q56/S56</f>
        <v>236.54001192152734</v>
      </c>
      <c r="U56" s="85">
        <f t="shared" ref="U56" si="124">Q54+Q55+Q56</f>
        <v>463168803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6286272.833333333</v>
      </c>
      <c r="G57" s="254">
        <f t="shared" ref="G57" si="125">F57/F56-1</f>
        <v>-0.13092352772339111</v>
      </c>
      <c r="H57" s="254">
        <f t="shared" ref="H57" si="126">F57/F45-1</f>
        <v>-0.27508481726684864</v>
      </c>
      <c r="I57" s="282">
        <f>T57</f>
        <v>182.92271634845923</v>
      </c>
      <c r="J57" s="277">
        <f t="shared" ref="J57" si="127">I57/I45-1</f>
        <v>7.2150443272454901E-2</v>
      </c>
      <c r="K57" s="204"/>
      <c r="L57" s="254"/>
      <c r="M57" s="254"/>
      <c r="N57" s="257"/>
      <c r="O57" s="258"/>
      <c r="P57" s="129" t="s">
        <v>1436</v>
      </c>
      <c r="Q57" s="116">
        <v>75435274</v>
      </c>
      <c r="R57" s="116">
        <v>111158481957</v>
      </c>
      <c r="S57" s="116">
        <v>412388.77</v>
      </c>
      <c r="T57" s="130">
        <f t="shared" ref="T57" si="128">Q57/S57</f>
        <v>182.92271634845923</v>
      </c>
      <c r="U57" s="85">
        <f t="shared" ref="U57" si="129">Q55+Q56+Q57</f>
        <v>401714370</v>
      </c>
      <c r="V57" s="79"/>
      <c r="W57" s="79"/>
      <c r="X57" s="79"/>
      <c r="Y57" s="79"/>
      <c r="Z57" s="79"/>
    </row>
    <row r="58" spans="1:26">
      <c r="B58" s="196">
        <f>SUM(F56:F58)</f>
        <v>13519552.106060605</v>
      </c>
      <c r="C58" s="196">
        <f>AVERAGE(F56:F58)</f>
        <v>6759776.0530303027</v>
      </c>
      <c r="D58" s="197">
        <f>C58/C55-1</f>
        <v>-0.18788167901398189</v>
      </c>
      <c r="E58" s="233">
        <f>C58/C46-1</f>
        <v>-0.18008510363694907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726747047</v>
      </c>
      <c r="R65" s="212">
        <v>1067248206728</v>
      </c>
      <c r="S65" s="213">
        <v>3092901.23</v>
      </c>
      <c r="T65" s="214">
        <v>523</v>
      </c>
      <c r="U65" s="214">
        <v>1194</v>
      </c>
    </row>
    <row r="66" spans="16:21" ht="18" thickBot="1">
      <c r="P66" s="180" t="s">
        <v>976</v>
      </c>
      <c r="Q66" s="181">
        <v>188142970</v>
      </c>
      <c r="R66" s="181">
        <v>274037801952</v>
      </c>
      <c r="S66" s="182">
        <v>870959.83</v>
      </c>
      <c r="T66" s="210">
        <v>213</v>
      </c>
      <c r="U66" s="210">
        <v>486</v>
      </c>
    </row>
    <row r="67" spans="16:21" ht="18" thickBot="1">
      <c r="P67" s="180" t="s">
        <v>977</v>
      </c>
      <c r="Q67" s="181">
        <v>136889707</v>
      </c>
      <c r="R67" s="181">
        <v>198264487638</v>
      </c>
      <c r="S67" s="182">
        <v>526710.01</v>
      </c>
      <c r="T67" s="210">
        <v>181</v>
      </c>
      <c r="U67" s="210">
        <v>431</v>
      </c>
    </row>
    <row r="68" spans="16:21" ht="18" thickBot="1">
      <c r="P68" s="180" t="s">
        <v>978</v>
      </c>
      <c r="Q68" s="181">
        <v>167146952</v>
      </c>
      <c r="R68" s="181">
        <v>246070777508</v>
      </c>
      <c r="S68" s="182">
        <v>610093.23</v>
      </c>
      <c r="T68" s="210">
        <v>208</v>
      </c>
      <c r="U68" s="210">
        <v>461</v>
      </c>
    </row>
    <row r="69" spans="16:21" ht="18" thickBot="1">
      <c r="P69" s="180" t="s">
        <v>979</v>
      </c>
      <c r="Q69" s="181">
        <v>159132144</v>
      </c>
      <c r="R69" s="181">
        <v>237716657673</v>
      </c>
      <c r="S69" s="182">
        <v>672749.37</v>
      </c>
      <c r="T69" s="210">
        <v>221</v>
      </c>
      <c r="U69" s="210">
        <v>494</v>
      </c>
    </row>
    <row r="70" spans="16:21" ht="18" thickBot="1">
      <c r="P70" s="180" t="s">
        <v>980</v>
      </c>
      <c r="Q70" s="181">
        <v>75435274</v>
      </c>
      <c r="R70" s="181">
        <v>111158481957</v>
      </c>
      <c r="S70" s="182">
        <v>412388.77</v>
      </c>
      <c r="T70" s="210">
        <v>154</v>
      </c>
      <c r="U70" s="210">
        <v>328</v>
      </c>
    </row>
    <row r="71" spans="16:21" ht="18" thickBot="1">
      <c r="P71" s="215" t="s">
        <v>975</v>
      </c>
      <c r="Q71" s="216">
        <v>2182263</v>
      </c>
      <c r="R71"/>
      <c r="S71"/>
      <c r="T71"/>
      <c r="U71"/>
    </row>
  </sheetData>
  <phoneticPr fontId="1" type="noConversion"/>
  <conditionalFormatting sqref="C29:C30">
    <cfRule type="cellIs" dxfId="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5"/>
  <dimension ref="A1:Z72"/>
  <sheetViews>
    <sheetView topLeftCell="B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8456119000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224281.2</v>
      </c>
      <c r="G5" s="90"/>
      <c r="H5" s="90"/>
      <c r="I5" s="130">
        <f t="shared" ref="I5:I49" si="0">T5</f>
        <v>37.403876653921934</v>
      </c>
      <c r="J5" s="130"/>
      <c r="L5" s="80"/>
      <c r="M5" s="80"/>
      <c r="P5" s="129" t="s">
        <v>0</v>
      </c>
      <c r="Q5" s="116">
        <v>4485624</v>
      </c>
      <c r="R5" s="116">
        <v>5296697414</v>
      </c>
      <c r="S5" s="116">
        <v>119924.04</v>
      </c>
      <c r="T5" s="130">
        <f t="shared" ref="T5:T17" si="1">Q5/S5</f>
        <v>37.403876653921934</v>
      </c>
      <c r="U5" s="85"/>
    </row>
    <row r="6" spans="1:21" ht="15" hidden="1" customHeight="1">
      <c r="A6" s="129" t="s">
        <v>1</v>
      </c>
      <c r="C6" s="79"/>
      <c r="F6" s="78">
        <f>Q6/18</f>
        <v>546341.27777777775</v>
      </c>
      <c r="G6" s="90">
        <f t="shared" ref="G6:G16" si="2">F6/F5-1</f>
        <v>1.435965554749028</v>
      </c>
      <c r="H6" s="90"/>
      <c r="I6" s="130">
        <f t="shared" si="0"/>
        <v>61.630632322722235</v>
      </c>
      <c r="J6" s="130"/>
      <c r="P6" s="129" t="s">
        <v>1</v>
      </c>
      <c r="Q6" s="116">
        <v>9834143</v>
      </c>
      <c r="R6" s="116">
        <v>11668238215</v>
      </c>
      <c r="S6" s="116">
        <v>159565.82999999999</v>
      </c>
      <c r="T6" s="130">
        <f t="shared" si="1"/>
        <v>61.630632322722235</v>
      </c>
      <c r="U6" s="85"/>
    </row>
    <row r="7" spans="1:21" ht="15" hidden="1" customHeight="1">
      <c r="A7" s="129" t="s">
        <v>2</v>
      </c>
      <c r="B7" s="131">
        <f>F5+F6+F7</f>
        <v>1542954.5232323231</v>
      </c>
      <c r="C7" s="131">
        <f>AVERAGE(F5:F7)</f>
        <v>514318.17441077437</v>
      </c>
      <c r="F7" s="78">
        <f>Q7/22</f>
        <v>772332.04545454541</v>
      </c>
      <c r="G7" s="90">
        <f t="shared" si="2"/>
        <v>0.41364395638560647</v>
      </c>
      <c r="H7" s="90"/>
      <c r="I7" s="130">
        <f t="shared" si="0"/>
        <v>60.265709157467455</v>
      </c>
      <c r="J7" s="130"/>
      <c r="K7" s="79">
        <f>R5+R6+R7</f>
        <v>37550409337</v>
      </c>
      <c r="N7" s="88">
        <f>AVERAGE(T5:T7)</f>
        <v>53.100072711370537</v>
      </c>
      <c r="P7" s="129" t="s">
        <v>2</v>
      </c>
      <c r="Q7" s="116">
        <v>16991305</v>
      </c>
      <c r="R7" s="116">
        <v>20585473708</v>
      </c>
      <c r="S7" s="116">
        <v>281939.84999999998</v>
      </c>
      <c r="T7" s="130">
        <f t="shared" si="1"/>
        <v>60.265709157467455</v>
      </c>
      <c r="U7" s="85">
        <f>Q5+Q6+Q7</f>
        <v>31311072</v>
      </c>
    </row>
    <row r="8" spans="1:21" ht="15" hidden="1" customHeight="1">
      <c r="A8" s="129" t="s">
        <v>3</v>
      </c>
      <c r="C8" s="79"/>
      <c r="F8" s="78">
        <f>Q8/21</f>
        <v>630623.52380952379</v>
      </c>
      <c r="G8" s="90">
        <f t="shared" si="2"/>
        <v>-0.18348134391033977</v>
      </c>
      <c r="H8" s="90"/>
      <c r="I8" s="130">
        <f t="shared" si="0"/>
        <v>80.61807441598728</v>
      </c>
      <c r="J8" s="130"/>
      <c r="K8" s="78"/>
      <c r="P8" s="129" t="s">
        <v>3</v>
      </c>
      <c r="Q8" s="116">
        <v>13243094</v>
      </c>
      <c r="R8" s="116">
        <v>15985752850</v>
      </c>
      <c r="S8" s="116">
        <v>164269.54</v>
      </c>
      <c r="T8" s="130">
        <f t="shared" si="1"/>
        <v>80.61807441598728</v>
      </c>
      <c r="U8" s="85"/>
    </row>
    <row r="9" spans="1:21" ht="15" hidden="1" customHeight="1">
      <c r="A9" s="129" t="s">
        <v>4</v>
      </c>
      <c r="C9" s="79"/>
      <c r="F9" s="78">
        <f>Q9/21</f>
        <v>116689.47619047618</v>
      </c>
      <c r="G9" s="90">
        <f t="shared" si="2"/>
        <v>-0.81496174534440369</v>
      </c>
      <c r="H9" s="90"/>
      <c r="I9" s="130">
        <f t="shared" si="0"/>
        <v>26.291536531118265</v>
      </c>
      <c r="J9" s="130"/>
      <c r="K9" s="78"/>
      <c r="P9" s="129" t="s">
        <v>4</v>
      </c>
      <c r="Q9" s="116">
        <v>2450479</v>
      </c>
      <c r="R9" s="116">
        <v>3072505894</v>
      </c>
      <c r="S9" s="116">
        <v>93204.1</v>
      </c>
      <c r="T9" s="130">
        <f t="shared" si="1"/>
        <v>26.291536531118265</v>
      </c>
      <c r="U9" s="85"/>
    </row>
    <row r="10" spans="1:21" ht="15" hidden="1" customHeight="1">
      <c r="A10" s="129" t="s">
        <v>5</v>
      </c>
      <c r="B10" s="131">
        <f>F8+F9+F10</f>
        <v>1294942.3809523811</v>
      </c>
      <c r="C10" s="131">
        <f>AVERAGE(F8:F10)</f>
        <v>431647.46031746035</v>
      </c>
      <c r="D10" s="90">
        <f>C10/C7-1</f>
        <v>-0.16073846542176984</v>
      </c>
      <c r="E10" s="286"/>
      <c r="F10" s="78">
        <f>Q10/21</f>
        <v>547629.38095238095</v>
      </c>
      <c r="G10" s="90">
        <f t="shared" si="2"/>
        <v>3.6930485835626428</v>
      </c>
      <c r="H10" s="90"/>
      <c r="I10" s="130">
        <f t="shared" si="0"/>
        <v>49.860412988175717</v>
      </c>
      <c r="J10" s="130"/>
      <c r="K10" s="79">
        <f>R8+R9+R10</f>
        <v>33562709398</v>
      </c>
      <c r="L10" s="87">
        <f>U10/U7-1</f>
        <v>-0.13149604076155552</v>
      </c>
      <c r="N10" s="88">
        <f>AVERAGE(T8:T10)</f>
        <v>52.25667464509376</v>
      </c>
      <c r="O10" s="89">
        <f>N10/N7-1</f>
        <v>-1.5883181005440949E-2</v>
      </c>
      <c r="P10" s="129" t="s">
        <v>5</v>
      </c>
      <c r="Q10" s="116">
        <v>11500217</v>
      </c>
      <c r="R10" s="116">
        <v>14504450654</v>
      </c>
      <c r="S10" s="116">
        <v>230648.25</v>
      </c>
      <c r="T10" s="130">
        <f t="shared" si="1"/>
        <v>49.860412988175717</v>
      </c>
      <c r="U10" s="85">
        <f>Q8+Q9+Q10</f>
        <v>27193790</v>
      </c>
    </row>
    <row r="11" spans="1:21" ht="15" hidden="1" customHeight="1">
      <c r="A11" s="129" t="s">
        <v>6</v>
      </c>
      <c r="C11" s="79"/>
      <c r="F11" s="78">
        <f>Q11/21</f>
        <v>359562.71428571426</v>
      </c>
      <c r="G11" s="90">
        <f t="shared" si="2"/>
        <v>-0.34341960677785477</v>
      </c>
      <c r="H11" s="90"/>
      <c r="I11" s="130">
        <f t="shared" si="0"/>
        <v>37.143130644130423</v>
      </c>
      <c r="J11" s="130"/>
      <c r="K11" s="78"/>
      <c r="O11" s="89"/>
      <c r="P11" s="129" t="s">
        <v>6</v>
      </c>
      <c r="Q11" s="116">
        <v>7550817</v>
      </c>
      <c r="R11" s="116">
        <v>9803586399</v>
      </c>
      <c r="S11" s="116">
        <v>203289.73</v>
      </c>
      <c r="T11" s="130">
        <f t="shared" si="1"/>
        <v>37.143130644130423</v>
      </c>
      <c r="U11" s="85"/>
    </row>
    <row r="12" spans="1:21" ht="15" hidden="1" customHeight="1">
      <c r="A12" s="129" t="s">
        <v>7</v>
      </c>
      <c r="C12" s="79"/>
      <c r="F12" s="78">
        <f>Q12/22</f>
        <v>171167.59090909091</v>
      </c>
      <c r="G12" s="90">
        <f t="shared" si="2"/>
        <v>-0.52395622763855765</v>
      </c>
      <c r="H12" s="90"/>
      <c r="I12" s="130">
        <f t="shared" si="0"/>
        <v>44.036612599026299</v>
      </c>
      <c r="J12" s="130"/>
      <c r="K12" s="78"/>
      <c r="O12" s="89"/>
      <c r="P12" s="129" t="s">
        <v>7</v>
      </c>
      <c r="Q12" s="116">
        <v>3765687</v>
      </c>
      <c r="R12" s="116">
        <v>4892673617</v>
      </c>
      <c r="S12" s="116">
        <v>85512.639999999999</v>
      </c>
      <c r="T12" s="130">
        <f t="shared" si="1"/>
        <v>44.036612599026299</v>
      </c>
      <c r="U12" s="85"/>
    </row>
    <row r="13" spans="1:21" ht="15" hidden="1" customHeight="1">
      <c r="A13" s="129" t="s">
        <v>96</v>
      </c>
      <c r="B13" s="131">
        <f>F11+F12+F13</f>
        <v>1109605.9551948053</v>
      </c>
      <c r="C13" s="131">
        <f>AVERAGE(F11:F13)</f>
        <v>369868.65173160174</v>
      </c>
      <c r="D13" s="90">
        <f>C13/C10-1</f>
        <v>-0.14312329913958632</v>
      </c>
      <c r="E13" s="286"/>
      <c r="F13" s="78">
        <f>Q13/20</f>
        <v>578875.65</v>
      </c>
      <c r="G13" s="90">
        <f t="shared" si="2"/>
        <v>2.3819232187911528</v>
      </c>
      <c r="H13" s="90"/>
      <c r="I13" s="130">
        <f t="shared" si="0"/>
        <v>41.679868727011296</v>
      </c>
      <c r="J13" s="130"/>
      <c r="K13" s="78">
        <f>R11+R12+R13</f>
        <v>30821530877</v>
      </c>
      <c r="L13" s="87">
        <f>U13/U10-1</f>
        <v>-0.15811598898130785</v>
      </c>
      <c r="N13" s="88">
        <f>AVERAGE(T11:T13)</f>
        <v>40.953203990056004</v>
      </c>
      <c r="O13" s="89">
        <f>N13/N10-1</f>
        <v>-0.21630673462876016</v>
      </c>
      <c r="P13" s="129" t="s">
        <v>96</v>
      </c>
      <c r="Q13" s="116">
        <v>11577513</v>
      </c>
      <c r="R13" s="116">
        <v>16125270861</v>
      </c>
      <c r="S13" s="116">
        <v>277772.3</v>
      </c>
      <c r="T13" s="130">
        <f t="shared" si="1"/>
        <v>41.679868727011296</v>
      </c>
      <c r="U13" s="85">
        <f>Q11+Q12+Q13</f>
        <v>22894017</v>
      </c>
    </row>
    <row r="14" spans="1:21" ht="15" hidden="1" customHeight="1">
      <c r="A14" s="129" t="s">
        <v>97</v>
      </c>
      <c r="C14" s="79"/>
      <c r="F14" s="78">
        <f>Q14/20</f>
        <v>791121.4</v>
      </c>
      <c r="G14" s="90">
        <f t="shared" si="2"/>
        <v>0.36665171526907381</v>
      </c>
      <c r="H14" s="90"/>
      <c r="I14" s="130">
        <f t="shared" si="0"/>
        <v>48.527726932524885</v>
      </c>
      <c r="J14" s="130"/>
      <c r="O14" s="89"/>
      <c r="P14" s="129" t="s">
        <v>97</v>
      </c>
      <c r="Q14" s="116">
        <v>15822428</v>
      </c>
      <c r="R14" s="116">
        <v>22585392882</v>
      </c>
      <c r="S14" s="116">
        <v>326049.23</v>
      </c>
      <c r="T14" s="130">
        <f t="shared" si="1"/>
        <v>48.527726932524885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602178.54545454541</v>
      </c>
      <c r="G15" s="90">
        <f t="shared" si="2"/>
        <v>-0.23882915383840531</v>
      </c>
      <c r="H15" s="90"/>
      <c r="I15" s="130">
        <f t="shared" si="0"/>
        <v>57.049700558498415</v>
      </c>
      <c r="J15" s="130"/>
      <c r="O15" s="89"/>
      <c r="P15" s="129" t="s">
        <v>98</v>
      </c>
      <c r="Q15" s="116">
        <v>13247928</v>
      </c>
      <c r="R15" s="116">
        <v>18433437879</v>
      </c>
      <c r="S15" s="116">
        <v>232217.31</v>
      </c>
      <c r="T15" s="130">
        <f t="shared" si="1"/>
        <v>57.049700558498415</v>
      </c>
      <c r="U15" s="85"/>
    </row>
    <row r="16" spans="1:21" ht="15" hidden="1" customHeight="1">
      <c r="A16" s="129" t="s">
        <v>99</v>
      </c>
      <c r="B16" s="131">
        <f>F14+F15+F16</f>
        <v>1937320.5818181816</v>
      </c>
      <c r="C16" s="131">
        <f>AVERAGE(F14:F16)</f>
        <v>645773.52727272722</v>
      </c>
      <c r="D16" s="90">
        <f>C16/C13-1</f>
        <v>0.74595366287310605</v>
      </c>
      <c r="E16" s="286"/>
      <c r="F16" s="78">
        <f>Q16/22</f>
        <v>544020.63636363635</v>
      </c>
      <c r="G16" s="90">
        <f t="shared" si="2"/>
        <v>-9.6579178268480836E-2</v>
      </c>
      <c r="H16" s="90"/>
      <c r="I16" s="130">
        <f t="shared" si="0"/>
        <v>66.904771088486143</v>
      </c>
      <c r="J16" s="130"/>
      <c r="K16" s="78">
        <f>R14+R15+R16</f>
        <v>56699958071</v>
      </c>
      <c r="L16" s="87">
        <f>U16/U13-1</f>
        <v>0.7925561075629497</v>
      </c>
      <c r="N16" s="88">
        <f>AVERAGE(T14:T16)</f>
        <v>57.494066193169807</v>
      </c>
      <c r="O16" s="89">
        <f>N16/N13-1</f>
        <v>0.40389665744175107</v>
      </c>
      <c r="P16" s="129" t="s">
        <v>99</v>
      </c>
      <c r="Q16" s="116">
        <v>11968454</v>
      </c>
      <c r="R16" s="116">
        <v>15681127310</v>
      </c>
      <c r="S16" s="116">
        <v>178887.9</v>
      </c>
      <c r="T16" s="130">
        <f t="shared" si="1"/>
        <v>66.904771088486143</v>
      </c>
      <c r="U16" s="85">
        <f>Q14+Q15+Q16</f>
        <v>41038810</v>
      </c>
    </row>
    <row r="17" spans="1:21" ht="15" hidden="1" customHeight="1">
      <c r="A17" s="129" t="s">
        <v>100</v>
      </c>
      <c r="C17" s="79"/>
      <c r="F17" s="78">
        <f>Q17/20</f>
        <v>980396.7</v>
      </c>
      <c r="G17" s="90">
        <f t="shared" ref="G17:G22" si="3">F17/F16-1</f>
        <v>0.80213145323531343</v>
      </c>
      <c r="H17" s="90">
        <f t="shared" ref="H17:H22" si="4">F17/F5-1</f>
        <v>3.3712834602276063</v>
      </c>
      <c r="I17" s="130">
        <f t="shared" si="0"/>
        <v>52.125290394511197</v>
      </c>
      <c r="J17" s="130">
        <f t="shared" ref="J17:J49" si="5">I17/I5-1</f>
        <v>0.39357989218065903</v>
      </c>
      <c r="O17" s="89"/>
      <c r="P17" s="129" t="s">
        <v>100</v>
      </c>
      <c r="Q17" s="116">
        <v>19607934</v>
      </c>
      <c r="R17" s="116">
        <v>24412181903</v>
      </c>
      <c r="S17" s="116">
        <v>376169.3</v>
      </c>
      <c r="T17" s="130">
        <f t="shared" si="1"/>
        <v>52.125290394511197</v>
      </c>
      <c r="U17" s="78"/>
    </row>
    <row r="18" spans="1:21" ht="15" hidden="1" customHeight="1">
      <c r="A18" s="129" t="s">
        <v>106</v>
      </c>
      <c r="C18" s="79"/>
      <c r="F18" s="78">
        <f>Q18/20</f>
        <v>542012.44999999995</v>
      </c>
      <c r="G18" s="90">
        <f t="shared" si="3"/>
        <v>-0.44714986290753533</v>
      </c>
      <c r="H18" s="90">
        <f t="shared" si="4"/>
        <v>-7.9233035354479009E-3</v>
      </c>
      <c r="I18" s="130">
        <f t="shared" si="0"/>
        <v>36.53863629346565</v>
      </c>
      <c r="J18" s="130">
        <f t="shared" si="5"/>
        <v>-0.40713513854384975</v>
      </c>
      <c r="O18" s="89"/>
      <c r="P18" s="129" t="s">
        <v>106</v>
      </c>
      <c r="Q18" s="116">
        <v>10840249</v>
      </c>
      <c r="R18" s="116">
        <v>13589514039</v>
      </c>
      <c r="S18" s="116">
        <v>296679.08</v>
      </c>
      <c r="T18" s="130">
        <f t="shared" ref="T18" si="6">Q18/S18</f>
        <v>36.53863629346565</v>
      </c>
      <c r="U18" s="78"/>
    </row>
    <row r="19" spans="1:21" hidden="1">
      <c r="A19" s="129" t="s">
        <v>114</v>
      </c>
      <c r="B19" s="131">
        <f>SUM(F17:F19)</f>
        <v>2230168.2863636361</v>
      </c>
      <c r="C19" s="131">
        <f>AVERAGE(F17:F19)</f>
        <v>743389.42878787871</v>
      </c>
      <c r="D19" s="90">
        <f>C19/C16-1</f>
        <v>0.15116120031647839</v>
      </c>
      <c r="E19" s="286">
        <f>C19/C7-1</f>
        <v>0.44538821642758109</v>
      </c>
      <c r="F19" s="78">
        <f>Q19/22</f>
        <v>707759.13636363635</v>
      </c>
      <c r="G19" s="90">
        <f t="shared" si="3"/>
        <v>0.30579867005570893</v>
      </c>
      <c r="H19" s="90">
        <f t="shared" si="4"/>
        <v>-8.3607704058046073E-2</v>
      </c>
      <c r="I19" s="130">
        <f t="shared" si="0"/>
        <v>66.06855884949988</v>
      </c>
      <c r="J19" s="130">
        <f t="shared" si="5"/>
        <v>9.6287752573693819E-2</v>
      </c>
      <c r="K19" s="78">
        <f>R17+R18+R19</f>
        <v>58356699224</v>
      </c>
      <c r="L19" s="87">
        <f>U19/U16-1</f>
        <v>0.12135035104575409</v>
      </c>
      <c r="M19" s="87">
        <f>U19/U7-1</f>
        <v>0.46973198490297619</v>
      </c>
      <c r="N19" s="88">
        <f>AVERAGE(T17:T19)</f>
        <v>51.577495179158909</v>
      </c>
      <c r="O19" s="89">
        <f>N19/N16-1</f>
        <v>-0.10290750690918737</v>
      </c>
      <c r="P19" s="129" t="s">
        <v>115</v>
      </c>
      <c r="Q19" s="116">
        <v>15570701</v>
      </c>
      <c r="R19" s="116">
        <v>20355003282</v>
      </c>
      <c r="S19" s="116">
        <v>235674.9</v>
      </c>
      <c r="T19" s="130">
        <f t="shared" ref="T19" si="7">Q19/S19</f>
        <v>66.06855884949988</v>
      </c>
      <c r="U19" s="85">
        <f>Q17+Q18+Q19</f>
        <v>46018884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1240285.8999999999</v>
      </c>
      <c r="G20" s="90">
        <f t="shared" si="3"/>
        <v>0.75241241868301234</v>
      </c>
      <c r="H20" s="90">
        <f t="shared" si="4"/>
        <v>0.96676123419496984</v>
      </c>
      <c r="I20" s="130">
        <f t="shared" si="0"/>
        <v>45.268383651047778</v>
      </c>
      <c r="J20" s="130">
        <f t="shared" si="5"/>
        <v>-0.43848344209433687</v>
      </c>
      <c r="O20" s="89"/>
      <c r="P20" s="129" t="s">
        <v>132</v>
      </c>
      <c r="Q20" s="116">
        <v>24805718</v>
      </c>
      <c r="R20" s="116">
        <v>32555408785</v>
      </c>
      <c r="S20" s="116">
        <v>547970.04</v>
      </c>
      <c r="T20" s="130">
        <f t="shared" ref="T20" si="8">Q20/S20</f>
        <v>45.268383651047778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175818.76190476189</v>
      </c>
      <c r="G21" s="90">
        <f t="shared" si="3"/>
        <v>-0.85824335993438128</v>
      </c>
      <c r="H21" s="90">
        <f t="shared" si="4"/>
        <v>0.50672337938827461</v>
      </c>
      <c r="I21" s="130">
        <f t="shared" si="0"/>
        <v>32.2384647892735</v>
      </c>
      <c r="J21" s="130">
        <f t="shared" si="5"/>
        <v>0.22619173478569965</v>
      </c>
      <c r="O21" s="89"/>
      <c r="P21" s="129" t="s">
        <v>141</v>
      </c>
      <c r="Q21" s="116">
        <v>3692194</v>
      </c>
      <c r="R21" s="116">
        <v>4920297991</v>
      </c>
      <c r="S21" s="116">
        <v>114527.6</v>
      </c>
      <c r="T21" s="130">
        <f t="shared" ref="T21" si="9">Q21/S21</f>
        <v>32.2384647892735</v>
      </c>
      <c r="U21" s="78"/>
    </row>
    <row r="22" spans="1:21" hidden="1">
      <c r="A22" s="129" t="s">
        <v>156</v>
      </c>
      <c r="B22" s="131">
        <f>SUM(F20:F22)</f>
        <v>2165175.9952380951</v>
      </c>
      <c r="C22" s="131">
        <f>AVERAGE(F20:F22)</f>
        <v>721725.33174603165</v>
      </c>
      <c r="D22" s="90">
        <f>C22/C19-1</f>
        <v>-2.9142325950439085E-2</v>
      </c>
      <c r="E22" s="286">
        <f>C22/C10-1</f>
        <v>0.67202496967138425</v>
      </c>
      <c r="F22" s="78">
        <f>Q22/21</f>
        <v>749071.33333333337</v>
      </c>
      <c r="G22" s="90">
        <f t="shared" si="3"/>
        <v>3.2604743954407605</v>
      </c>
      <c r="H22" s="90">
        <f t="shared" si="4"/>
        <v>0.36784358069069478</v>
      </c>
      <c r="I22" s="130">
        <f t="shared" si="0"/>
        <v>35.837785139162968</v>
      </c>
      <c r="J22" s="130">
        <f t="shared" si="5"/>
        <v>-0.28123769958219524</v>
      </c>
      <c r="K22" s="78">
        <f>R20+R21+R22</f>
        <v>57912812184</v>
      </c>
      <c r="L22" s="87">
        <f>U22/U19-1</f>
        <v>-3.890737550263057E-2</v>
      </c>
      <c r="M22" s="87">
        <f>U22/U10-1</f>
        <v>0.62641581037435379</v>
      </c>
      <c r="N22" s="88">
        <f>AVERAGE(T20:T22)</f>
        <v>37.781544526494748</v>
      </c>
      <c r="O22" s="89">
        <f>N22/N19-1</f>
        <v>-0.26748004347133814</v>
      </c>
      <c r="P22" s="129" t="s">
        <v>156</v>
      </c>
      <c r="Q22" s="116">
        <v>15730498</v>
      </c>
      <c r="R22" s="116">
        <v>20437105408</v>
      </c>
      <c r="S22" s="116">
        <v>438936.11</v>
      </c>
      <c r="T22" s="130">
        <f t="shared" ref="T22:T23" si="10">Q22/S22</f>
        <v>35.837785139162968</v>
      </c>
      <c r="U22" s="85">
        <f>Q20+Q21+Q22</f>
        <v>44228410</v>
      </c>
    </row>
    <row r="23" spans="1:21" hidden="1">
      <c r="A23" s="129" t="s">
        <v>189</v>
      </c>
      <c r="B23" s="131"/>
      <c r="C23" s="131"/>
      <c r="F23" s="78">
        <f>Q23/21</f>
        <v>338821.61904761905</v>
      </c>
      <c r="G23" s="90">
        <f t="shared" ref="G23" si="11">F23/F22-1</f>
        <v>-0.54767776582788419</v>
      </c>
      <c r="H23" s="90">
        <f t="shared" ref="H23" si="12">F23/F11-1</f>
        <v>-5.7684221455770901E-2</v>
      </c>
      <c r="I23" s="130">
        <f t="shared" si="0"/>
        <v>56.405162168366928</v>
      </c>
      <c r="J23" s="130">
        <f t="shared" si="5"/>
        <v>0.51858933779133132</v>
      </c>
      <c r="O23" s="89"/>
      <c r="P23" s="129" t="s">
        <v>189</v>
      </c>
      <c r="Q23" s="116">
        <v>7115254</v>
      </c>
      <c r="R23" s="116">
        <v>9262717634</v>
      </c>
      <c r="S23" s="116">
        <v>126145.44</v>
      </c>
      <c r="T23" s="130">
        <f t="shared" si="10"/>
        <v>56.405162168366928</v>
      </c>
      <c r="U23" s="78"/>
    </row>
    <row r="24" spans="1:21" hidden="1">
      <c r="A24" s="129" t="s">
        <v>205</v>
      </c>
      <c r="B24" s="131"/>
      <c r="C24" s="131"/>
      <c r="F24" s="78">
        <f>Q24/22</f>
        <v>791751.54545454541</v>
      </c>
      <c r="G24" s="90">
        <f t="shared" ref="G24" si="13">F24/F23-1</f>
        <v>1.3367798893118157</v>
      </c>
      <c r="H24" s="90">
        <f t="shared" ref="H24" si="14">F24/F12-1</f>
        <v>3.6255926209480496</v>
      </c>
      <c r="I24" s="130">
        <f t="shared" si="0"/>
        <v>49.168459476430392</v>
      </c>
      <c r="J24" s="130">
        <f t="shared" si="5"/>
        <v>0.11653591351659887</v>
      </c>
      <c r="O24" s="89"/>
      <c r="P24" s="129" t="s">
        <v>205</v>
      </c>
      <c r="Q24" s="116">
        <v>17418534</v>
      </c>
      <c r="R24" s="116">
        <v>22977236631</v>
      </c>
      <c r="S24" s="116">
        <v>354262.35</v>
      </c>
      <c r="T24" s="130">
        <f t="shared" ref="T24" si="15">Q24/S24</f>
        <v>49.168459476430392</v>
      </c>
      <c r="U24" s="78"/>
    </row>
    <row r="25" spans="1:21" s="79" customFormat="1" ht="13.2" hidden="1">
      <c r="A25" s="129" t="s">
        <v>223</v>
      </c>
      <c r="B25" s="131">
        <f>SUM(F23:F25)</f>
        <v>1332326.5855547958</v>
      </c>
      <c r="C25" s="131">
        <f>AVERAGE(F23:F25)</f>
        <v>444108.8618515986</v>
      </c>
      <c r="D25" s="90">
        <f>C25/C22-1</f>
        <v>-0.38465667987960228</v>
      </c>
      <c r="E25" s="286">
        <f>C25/C13-1</f>
        <v>0.20072047136849513</v>
      </c>
      <c r="F25" s="78">
        <f>Q25/19</f>
        <v>201753.42105263157</v>
      </c>
      <c r="G25" s="90">
        <f t="shared" ref="G25" si="16">F25/F24-1</f>
        <v>-0.74518089391691089</v>
      </c>
      <c r="H25" s="90">
        <f t="shared" ref="H25" si="17">F25/F13-1</f>
        <v>-0.65147364368732463</v>
      </c>
      <c r="I25" s="130">
        <f t="shared" si="0"/>
        <v>64.96988800776117</v>
      </c>
      <c r="J25" s="130">
        <f t="shared" si="5"/>
        <v>0.55878341252203634</v>
      </c>
      <c r="K25" s="78">
        <f>R23+R24+R25</f>
        <v>37324217160</v>
      </c>
      <c r="L25" s="90">
        <f>U25/U22-1</f>
        <v>-0.35862259122586593</v>
      </c>
      <c r="M25" s="90">
        <f>U25/U13-1</f>
        <v>0.23906184746870762</v>
      </c>
      <c r="N25" s="88">
        <f>AVERAGE(T23:T25)</f>
        <v>56.847836550852833</v>
      </c>
      <c r="O25" s="91">
        <f>N25/N22-1</f>
        <v>0.50464564811498436</v>
      </c>
      <c r="P25" s="129" t="s">
        <v>225</v>
      </c>
      <c r="Q25" s="116">
        <v>3833315</v>
      </c>
      <c r="R25" s="116">
        <v>5084262895</v>
      </c>
      <c r="S25" s="116">
        <v>59001.41</v>
      </c>
      <c r="T25" s="130">
        <f t="shared" ref="T25" si="18">Q25/S25</f>
        <v>64.96988800776117</v>
      </c>
      <c r="U25" s="85">
        <f>Q23+Q24+Q25</f>
        <v>28367103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777332.84210526315</v>
      </c>
      <c r="G26" s="90">
        <f t="shared" ref="G26" si="19">F26/F25-1</f>
        <v>2.8528855572787521</v>
      </c>
      <c r="H26" s="90">
        <f t="shared" ref="H26" si="20">F26/F14-1</f>
        <v>-1.7429130212805344E-2</v>
      </c>
      <c r="I26" s="130">
        <f t="shared" si="0"/>
        <v>45.941971731796102</v>
      </c>
      <c r="J26" s="130">
        <f t="shared" si="5"/>
        <v>-5.3284078282177405E-2</v>
      </c>
      <c r="L26" s="90"/>
      <c r="M26" s="90"/>
      <c r="P26" s="129" t="s">
        <v>312</v>
      </c>
      <c r="Q26" s="116">
        <v>14769324</v>
      </c>
      <c r="R26" s="116">
        <v>19946234427</v>
      </c>
      <c r="S26" s="116">
        <v>321477.8</v>
      </c>
      <c r="T26" s="130">
        <f t="shared" ref="T26" si="21">Q26/S26</f>
        <v>45.941971731796102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535105.13636363635</v>
      </c>
      <c r="G27" s="90">
        <f t="shared" ref="G27" si="22">F27/F26-1</f>
        <v>-0.31161388355289033</v>
      </c>
      <c r="H27" s="90">
        <f t="shared" ref="H27" si="23">F27/F15-1</f>
        <v>-0.11138458783894356</v>
      </c>
      <c r="I27" s="130">
        <f t="shared" si="0"/>
        <v>44.555048187016922</v>
      </c>
      <c r="J27" s="130">
        <f t="shared" si="5"/>
        <v>-0.21901346105523467</v>
      </c>
      <c r="L27" s="90"/>
      <c r="M27" s="90"/>
      <c r="P27" s="129" t="s">
        <v>375</v>
      </c>
      <c r="Q27" s="116">
        <v>11772313</v>
      </c>
      <c r="R27" s="116">
        <v>15408131483</v>
      </c>
      <c r="S27" s="116">
        <v>264219.51</v>
      </c>
      <c r="T27" s="130">
        <f t="shared" ref="T27" si="24">Q27/S27</f>
        <v>44.555048187016922</v>
      </c>
      <c r="U27" s="78"/>
    </row>
    <row r="28" spans="1:21" s="79" customFormat="1" ht="13.2" hidden="1">
      <c r="A28" s="123" t="s">
        <v>413</v>
      </c>
      <c r="B28" s="131">
        <f>SUM(F26:F28)</f>
        <v>3003623.610047847</v>
      </c>
      <c r="C28" s="131">
        <f>AVERAGE(F26:F28)</f>
        <v>1001207.870015949</v>
      </c>
      <c r="D28" s="90">
        <f>C28/C25-1</f>
        <v>1.2544199317295046</v>
      </c>
      <c r="E28" s="286">
        <f>C28/C16-1</f>
        <v>0.55040091879317998</v>
      </c>
      <c r="F28" s="78">
        <f>Q28/19</f>
        <v>1691185.6315789474</v>
      </c>
      <c r="G28" s="90">
        <f t="shared" ref="G28" si="25">F28/F27-1</f>
        <v>2.1604735530508612</v>
      </c>
      <c r="H28" s="90">
        <f t="shared" ref="H28" si="26">F28/F16-1</f>
        <v>2.1086791907072411</v>
      </c>
      <c r="I28" s="130">
        <f t="shared" si="0"/>
        <v>38.696252251398633</v>
      </c>
      <c r="J28" s="130">
        <f t="shared" si="5"/>
        <v>-0.42162193186162777</v>
      </c>
      <c r="K28" s="78">
        <f>R26+R27+R28</f>
        <v>77402857830</v>
      </c>
      <c r="L28" s="90">
        <f>U28/U25-1</f>
        <v>1.0683875967172254</v>
      </c>
      <c r="M28" s="90">
        <f>U28/U16-1</f>
        <v>0.42972381509112956</v>
      </c>
      <c r="N28" s="88">
        <f>AVERAGE(T26:T28)</f>
        <v>43.064424056737217</v>
      </c>
      <c r="O28" s="91">
        <f>N28/N25-1</f>
        <v>-0.24246151358435186</v>
      </c>
      <c r="P28" s="129" t="s">
        <v>413</v>
      </c>
      <c r="Q28" s="116">
        <v>32132527</v>
      </c>
      <c r="R28" s="116">
        <v>42048491920</v>
      </c>
      <c r="S28" s="116">
        <v>830378.27</v>
      </c>
      <c r="T28" s="130">
        <f t="shared" ref="T28" si="27">Q28/S28</f>
        <v>38.696252251398633</v>
      </c>
      <c r="U28" s="85">
        <f>Q26+Q27+Q28</f>
        <v>58674164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707173.45454545459</v>
      </c>
      <c r="G29" s="190">
        <f t="shared" ref="G29" si="28">F29/F28-1</f>
        <v>-0.58184752676427731</v>
      </c>
      <c r="H29" s="190">
        <f t="shared" ref="H29" si="29">F29/F17-1</f>
        <v>-0.27868641893077095</v>
      </c>
      <c r="I29" s="130">
        <f t="shared" si="0"/>
        <v>75.59499939821626</v>
      </c>
      <c r="J29" s="130">
        <f t="shared" si="5"/>
        <v>0.45025569787859498</v>
      </c>
      <c r="K29" s="136"/>
      <c r="L29" s="190"/>
      <c r="M29" s="190"/>
      <c r="N29" s="191"/>
      <c r="O29" s="192"/>
      <c r="P29" s="129" t="s">
        <v>451</v>
      </c>
      <c r="Q29" s="116">
        <v>15557816</v>
      </c>
      <c r="R29" s="116">
        <v>20502305042</v>
      </c>
      <c r="S29" s="116">
        <v>205804.83</v>
      </c>
      <c r="T29" s="130">
        <f t="shared" ref="T29" si="30">Q29/S29</f>
        <v>75.59499939821626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638373.26315789472</v>
      </c>
      <c r="G30" s="190">
        <f t="shared" ref="G30" si="31">F30/F29-1</f>
        <v>-9.7288990339409964E-2</v>
      </c>
      <c r="H30" s="190">
        <f t="shared" ref="H30" si="32">F30/F18-1</f>
        <v>0.1777833943812448</v>
      </c>
      <c r="I30" s="130">
        <f t="shared" si="0"/>
        <v>64.672613971087529</v>
      </c>
      <c r="J30" s="130">
        <f t="shared" si="5"/>
        <v>0.76997886433580964</v>
      </c>
      <c r="K30" s="136"/>
      <c r="L30" s="190"/>
      <c r="M30" s="190"/>
      <c r="N30" s="191"/>
      <c r="O30" s="192"/>
      <c r="P30" s="129" t="s">
        <v>486</v>
      </c>
      <c r="Q30" s="116">
        <v>12129092</v>
      </c>
      <c r="R30" s="116">
        <v>16164205784</v>
      </c>
      <c r="S30" s="116">
        <v>187546.03</v>
      </c>
      <c r="T30" s="130">
        <f t="shared" ref="T30" si="33">Q30/S30</f>
        <v>64.672613971087529</v>
      </c>
      <c r="U30" s="85"/>
    </row>
    <row r="31" spans="1:21" s="79" customFormat="1" ht="13.2" hidden="1">
      <c r="A31" s="129" t="s">
        <v>521</v>
      </c>
      <c r="B31" s="188">
        <f>SUM(F29:F31)</f>
        <v>2344169.8177033495</v>
      </c>
      <c r="C31" s="188">
        <f>AVERAGE(F29:F31)</f>
        <v>781389.93923444988</v>
      </c>
      <c r="D31" s="190">
        <f>C31/C28-1</f>
        <v>-0.21955273961040422</v>
      </c>
      <c r="E31" s="287">
        <f>C31/C19-1</f>
        <v>5.1117905333322167E-2</v>
      </c>
      <c r="F31" s="136">
        <f>Q31/20</f>
        <v>998623.1</v>
      </c>
      <c r="G31" s="190">
        <f t="shared" ref="G31" si="34">F31/F30-1</f>
        <v>0.56432475736848242</v>
      </c>
      <c r="H31" s="190">
        <f t="shared" ref="H31" si="35">F31/F19-1</f>
        <v>0.41096461874131429</v>
      </c>
      <c r="I31" s="130">
        <f t="shared" si="0"/>
        <v>52.511587539592455</v>
      </c>
      <c r="J31" s="130">
        <f t="shared" si="5"/>
        <v>-0.20519550518408269</v>
      </c>
      <c r="K31" s="136">
        <f>R29+R30+R31</f>
        <v>63165496215</v>
      </c>
      <c r="L31" s="190">
        <f>U31/U28-1</f>
        <v>-0.18772817964649657</v>
      </c>
      <c r="M31" s="190">
        <f>U31/U19-1</f>
        <v>3.5648104808452041E-2</v>
      </c>
      <c r="N31" s="191">
        <f>AVERAGE(T29:T31)</f>
        <v>64.259733636298748</v>
      </c>
      <c r="O31" s="192">
        <f>N31/N28-1</f>
        <v>0.49217678034279033</v>
      </c>
      <c r="P31" s="129" t="s">
        <v>521</v>
      </c>
      <c r="Q31" s="116">
        <v>19972462</v>
      </c>
      <c r="R31" s="116">
        <v>26498985389</v>
      </c>
      <c r="S31" s="116">
        <v>380343.9</v>
      </c>
      <c r="T31" s="130">
        <f t="shared" ref="T31" si="36">Q31/S31</f>
        <v>52.511587539592455</v>
      </c>
      <c r="U31" s="85">
        <f>Q29+Q30+Q31</f>
        <v>47659370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1302524.5714285714</v>
      </c>
      <c r="G32" s="190">
        <f t="shared" ref="G32" si="37">F32/F31-1</f>
        <v>0.30432049031168162</v>
      </c>
      <c r="H32" s="190">
        <f t="shared" ref="H32" si="38">F32/F20-1</f>
        <v>5.0180907021978971E-2</v>
      </c>
      <c r="I32" s="130">
        <f t="shared" si="0"/>
        <v>54.092014075108381</v>
      </c>
      <c r="J32" s="130">
        <f t="shared" si="5"/>
        <v>0.19491816831980868</v>
      </c>
      <c r="K32" s="136"/>
      <c r="L32" s="190"/>
      <c r="M32" s="190"/>
      <c r="N32" s="191"/>
      <c r="O32" s="192"/>
      <c r="P32" s="129" t="s">
        <v>582</v>
      </c>
      <c r="Q32" s="116">
        <v>27353016</v>
      </c>
      <c r="R32" s="116">
        <v>37054357053</v>
      </c>
      <c r="S32" s="116">
        <v>505675.68</v>
      </c>
      <c r="T32" s="130">
        <f t="shared" ref="T32" si="39">Q32/S32</f>
        <v>54.092014075108381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615741.14285714284</v>
      </c>
      <c r="G33" s="190">
        <f t="shared" ref="G33" si="40">F33/F32-1</f>
        <v>-0.52727099636837127</v>
      </c>
      <c r="H33" s="190">
        <f t="shared" ref="H33" si="41">F33/F21-1</f>
        <v>2.5021355865916037</v>
      </c>
      <c r="I33" s="130">
        <f t="shared" si="0"/>
        <v>76.106408244983911</v>
      </c>
      <c r="J33" s="130">
        <f t="shared" si="5"/>
        <v>1.360733016986166</v>
      </c>
      <c r="K33" s="136"/>
      <c r="L33" s="190"/>
      <c r="M33" s="190"/>
      <c r="N33" s="191"/>
      <c r="O33" s="192"/>
      <c r="P33" s="129" t="s">
        <v>607</v>
      </c>
      <c r="Q33" s="116">
        <v>12930564</v>
      </c>
      <c r="R33" s="116">
        <v>17686867398</v>
      </c>
      <c r="S33" s="116">
        <v>169901.12</v>
      </c>
      <c r="T33" s="130">
        <f t="shared" ref="T33" si="42">Q33/S33</f>
        <v>76.106408244983911</v>
      </c>
      <c r="U33" s="85"/>
    </row>
    <row r="34" spans="1:21" s="79" customFormat="1" ht="13.2" hidden="1">
      <c r="A34" s="129" t="s">
        <v>652</v>
      </c>
      <c r="B34" s="188">
        <f>SUM(F32:F34)</f>
        <v>2426151.1879699244</v>
      </c>
      <c r="C34" s="188">
        <f>AVERAGE(F32:F34)</f>
        <v>808717.06265664147</v>
      </c>
      <c r="D34" s="190">
        <f>C34/C31-1</f>
        <v>3.4972453636867629E-2</v>
      </c>
      <c r="E34" s="287">
        <f>C34/C22-1</f>
        <v>0.12053301593302179</v>
      </c>
      <c r="F34" s="136">
        <f>Q34/19</f>
        <v>507885.4736842105</v>
      </c>
      <c r="G34" s="190">
        <f t="shared" ref="G34" si="43">F34/F33-1</f>
        <v>-0.17516397990308696</v>
      </c>
      <c r="H34" s="190">
        <f t="shared" ref="H34" si="44">F34/F22-1</f>
        <v>-0.32197982877793063</v>
      </c>
      <c r="I34" s="130">
        <f t="shared" si="0"/>
        <v>84.041536262015114</v>
      </c>
      <c r="J34" s="130">
        <f t="shared" si="5"/>
        <v>1.3450538568628185</v>
      </c>
      <c r="K34" s="136">
        <f>R32+R33+R34</f>
        <v>67959252823</v>
      </c>
      <c r="L34" s="190">
        <f>U34/U31-1</f>
        <v>4.7714310952914341E-2</v>
      </c>
      <c r="M34" s="190">
        <f>U34/U22-1</f>
        <v>0.12898935322341454</v>
      </c>
      <c r="N34" s="191">
        <f>AVERAGE(T32:T34)</f>
        <v>71.413319527369126</v>
      </c>
      <c r="O34" s="192">
        <f>N34/N31-1</f>
        <v>0.11132299320689198</v>
      </c>
      <c r="P34" s="129" t="s">
        <v>652</v>
      </c>
      <c r="Q34" s="116">
        <v>9649824</v>
      </c>
      <c r="R34" s="116">
        <v>13218028372</v>
      </c>
      <c r="S34" s="116">
        <v>114822.08</v>
      </c>
      <c r="T34" s="130">
        <f t="shared" ref="T34" si="45">Q34/S34</f>
        <v>84.041536262015114</v>
      </c>
      <c r="U34" s="85">
        <f>Q32+Q33+Q34</f>
        <v>49933404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907848.82608695654</v>
      </c>
      <c r="G35" s="190">
        <f t="shared" ref="G35" si="46">F35/F34-1</f>
        <v>0.78750697376990253</v>
      </c>
      <c r="H35" s="190">
        <f t="shared" ref="H35" si="47">F35/F23-1</f>
        <v>1.6794300453400663</v>
      </c>
      <c r="I35" s="130">
        <f t="shared" si="0"/>
        <v>42.362590549544478</v>
      </c>
      <c r="J35" s="130">
        <f t="shared" si="5"/>
        <v>-0.24895897962151037</v>
      </c>
      <c r="K35" s="136"/>
      <c r="L35" s="190"/>
      <c r="M35" s="190"/>
      <c r="N35" s="191"/>
      <c r="O35" s="192"/>
      <c r="P35" s="129" t="s">
        <v>660</v>
      </c>
      <c r="Q35" s="116">
        <v>20880523</v>
      </c>
      <c r="R35" s="116">
        <v>28886369003</v>
      </c>
      <c r="S35" s="116">
        <v>492900.05</v>
      </c>
      <c r="T35" s="130">
        <f t="shared" ref="T35" si="48">Q35/S35</f>
        <v>42.362590549544478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534224.52380952379</v>
      </c>
      <c r="G36" s="190">
        <f t="shared" ref="G36" si="49">F36/F35-1</f>
        <v>-0.41154902836394247</v>
      </c>
      <c r="H36" s="190">
        <f t="shared" ref="H36" si="50">F36/F24-1</f>
        <v>-0.32526241738773631</v>
      </c>
      <c r="I36" s="130">
        <f t="shared" si="0"/>
        <v>53.206681551699724</v>
      </c>
      <c r="J36" s="130">
        <f t="shared" si="5"/>
        <v>8.2130335549868372E-2</v>
      </c>
      <c r="K36" s="136"/>
      <c r="L36" s="190"/>
      <c r="M36" s="190"/>
      <c r="N36" s="191"/>
      <c r="O36" s="192"/>
      <c r="P36" s="129" t="s">
        <v>664</v>
      </c>
      <c r="Q36" s="116">
        <v>11218715</v>
      </c>
      <c r="R36" s="116">
        <v>15375010532</v>
      </c>
      <c r="S36" s="116">
        <v>210851.62</v>
      </c>
      <c r="T36" s="130">
        <f t="shared" ref="T36" si="51">Q36/S36</f>
        <v>53.206681551699724</v>
      </c>
      <c r="U36" s="85"/>
    </row>
    <row r="37" spans="1:21" s="79" customFormat="1" ht="13.2" hidden="1">
      <c r="A37" s="129" t="s">
        <v>702</v>
      </c>
      <c r="B37" s="188">
        <f>SUM(F35:F37)</f>
        <v>2364694.6832298138</v>
      </c>
      <c r="C37" s="188">
        <f>AVERAGE(F35:F37)</f>
        <v>788231.56107660464</v>
      </c>
      <c r="D37" s="190">
        <f>C37/C34-1</f>
        <v>-2.5330863568949313E-2</v>
      </c>
      <c r="E37" s="287">
        <f>C37/C25-1</f>
        <v>0.77486114055521038</v>
      </c>
      <c r="F37" s="136">
        <f>Q37/18</f>
        <v>922621.33333333337</v>
      </c>
      <c r="G37" s="190">
        <f t="shared" ref="G37" si="52">F37/F36-1</f>
        <v>0.72702916510491633</v>
      </c>
      <c r="H37" s="190">
        <f t="shared" ref="H37" si="53">F37/F25-1</f>
        <v>3.5730145665914055</v>
      </c>
      <c r="I37" s="130">
        <f t="shared" si="0"/>
        <v>49.086699564174523</v>
      </c>
      <c r="J37" s="130">
        <f t="shared" si="5"/>
        <v>-0.24446999880451192</v>
      </c>
      <c r="K37" s="136">
        <f>R35+R36+R37</f>
        <v>66388781001</v>
      </c>
      <c r="L37" s="190">
        <f>U37/U34-1</f>
        <v>-2.4572368428957936E-2</v>
      </c>
      <c r="M37" s="190">
        <f>U37/U25-1</f>
        <v>0.71700374197534367</v>
      </c>
      <c r="N37" s="191">
        <f>AVERAGE(T35:T37)</f>
        <v>48.218657221806239</v>
      </c>
      <c r="O37" s="192">
        <f>N37/N34-1</f>
        <v>-0.32479462457523123</v>
      </c>
      <c r="P37" s="129" t="s">
        <v>702</v>
      </c>
      <c r="Q37" s="116">
        <v>16607184</v>
      </c>
      <c r="R37" s="116">
        <v>22127401466</v>
      </c>
      <c r="S37" s="116">
        <v>338323.5</v>
      </c>
      <c r="T37" s="130">
        <f t="shared" ref="T37" si="54">Q37/S37</f>
        <v>49.086699564174523</v>
      </c>
      <c r="U37" s="85">
        <f>Q35+Q36+Q37</f>
        <v>48706422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859195.3</v>
      </c>
      <c r="G38" s="190">
        <f t="shared" ref="G38" si="55">F38/F37-1</f>
        <v>-6.8745465817684703E-2</v>
      </c>
      <c r="H38" s="190">
        <f t="shared" ref="H38" si="56">F38/F26-1</f>
        <v>0.10531197636398271</v>
      </c>
      <c r="I38" s="130">
        <f t="shared" si="0"/>
        <v>40.431842866844164</v>
      </c>
      <c r="J38" s="130">
        <f t="shared" si="5"/>
        <v>-0.11993670835721704</v>
      </c>
      <c r="K38" s="136"/>
      <c r="L38" s="190"/>
      <c r="M38" s="190"/>
      <c r="N38" s="191"/>
      <c r="O38" s="192"/>
      <c r="P38" s="129" t="s">
        <v>728</v>
      </c>
      <c r="Q38" s="116">
        <v>17183906</v>
      </c>
      <c r="R38" s="116">
        <v>23443942793</v>
      </c>
      <c r="S38" s="116">
        <v>425009.22</v>
      </c>
      <c r="T38" s="130">
        <f t="shared" ref="T38" si="57">Q38/S38</f>
        <v>40.431842866844164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813571.33333333337</v>
      </c>
      <c r="G39" s="190">
        <f t="shared" ref="G39" si="58">F39/F38-1</f>
        <v>-5.3100810335748649E-2</v>
      </c>
      <c r="H39" s="190">
        <f t="shared" ref="H39" si="59">F39/F27-1</f>
        <v>0.52039529813158514</v>
      </c>
      <c r="I39" s="130">
        <f t="shared" si="0"/>
        <v>47.514739652430123</v>
      </c>
      <c r="J39" s="130">
        <f t="shared" si="5"/>
        <v>6.6427746929822451E-2</v>
      </c>
      <c r="K39" s="136"/>
      <c r="L39" s="190"/>
      <c r="M39" s="190"/>
      <c r="N39" s="191"/>
      <c r="O39" s="192"/>
      <c r="P39" s="129" t="s">
        <v>762</v>
      </c>
      <c r="Q39" s="116">
        <v>17084998</v>
      </c>
      <c r="R39" s="116">
        <v>23785279734</v>
      </c>
      <c r="S39" s="116">
        <v>359572.59</v>
      </c>
      <c r="T39" s="130">
        <f t="shared" ref="T39" si="60">Q39/S39</f>
        <v>47.514739652430123</v>
      </c>
      <c r="U39" s="85"/>
    </row>
    <row r="40" spans="1:21" s="79" customFormat="1" ht="13.2" hidden="1">
      <c r="A40" s="129" t="s">
        <v>778</v>
      </c>
      <c r="B40" s="188">
        <f>SUM(F38:F40)</f>
        <v>2681531.7285714285</v>
      </c>
      <c r="C40" s="188">
        <f>AVERAGE(F38:F40)</f>
        <v>893843.90952380945</v>
      </c>
      <c r="D40" s="190">
        <f>C40/C37-1</f>
        <v>0.1339864497470189</v>
      </c>
      <c r="E40" s="287">
        <f>C40/C28-1</f>
        <v>-0.10723443523314424</v>
      </c>
      <c r="F40" s="136">
        <f>Q40/21</f>
        <v>1008765.0952380953</v>
      </c>
      <c r="G40" s="190">
        <f t="shared" ref="G40" si="61">F40/F39-1</f>
        <v>0.23992212349103004</v>
      </c>
      <c r="H40" s="190">
        <f t="shared" ref="H40" si="62">F40/F28-1</f>
        <v>-0.40351604436452171</v>
      </c>
      <c r="I40" s="130">
        <f t="shared" si="0"/>
        <v>40.705399827832693</v>
      </c>
      <c r="J40" s="130">
        <f t="shared" si="5"/>
        <v>5.1920986130160385E-2</v>
      </c>
      <c r="K40" s="136">
        <f>R38+R39+R40</f>
        <v>77130800109</v>
      </c>
      <c r="L40" s="190">
        <f>U40/U37-1</f>
        <v>0.13851456795574113</v>
      </c>
      <c r="M40" s="190">
        <f>U40/U28-1</f>
        <v>-5.4899682933701399E-2</v>
      </c>
      <c r="N40" s="191">
        <f>AVERAGE(T38:T40)</f>
        <v>42.883994115702329</v>
      </c>
      <c r="O40" s="192">
        <f>N40/N37-1</f>
        <v>-0.11063483335017843</v>
      </c>
      <c r="P40" s="129" t="s">
        <v>778</v>
      </c>
      <c r="Q40" s="116">
        <v>21184067</v>
      </c>
      <c r="R40" s="116">
        <v>29901577582</v>
      </c>
      <c r="S40" s="116">
        <v>520424</v>
      </c>
      <c r="T40" s="130">
        <f t="shared" ref="T40" si="63">Q40/S40</f>
        <v>40.705399827832693</v>
      </c>
      <c r="U40" s="85">
        <f>Q38+Q39+Q40</f>
        <v>55452971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400590</v>
      </c>
      <c r="G41" s="190">
        <f t="shared" ref="G41" si="64">F41/F40-1</f>
        <v>-0.60289070082718299</v>
      </c>
      <c r="H41" s="190">
        <f t="shared" ref="H41" si="65">F41/F29-1</f>
        <v>-0.43353360137438313</v>
      </c>
      <c r="I41" s="130">
        <f t="shared" si="0"/>
        <v>32.126702880728843</v>
      </c>
      <c r="J41" s="130">
        <f t="shared" si="5"/>
        <v>-0.57501550186549899</v>
      </c>
      <c r="K41" s="193"/>
      <c r="L41" s="190"/>
      <c r="M41" s="190"/>
      <c r="N41" s="193"/>
      <c r="O41" s="193"/>
      <c r="P41" s="129" t="s">
        <v>793</v>
      </c>
      <c r="Q41" s="116">
        <v>7210620</v>
      </c>
      <c r="R41" s="116">
        <v>10538268019</v>
      </c>
      <c r="S41" s="116">
        <v>224443.2</v>
      </c>
      <c r="T41" s="130">
        <f t="shared" ref="T41" si="66">Q41/S41</f>
        <v>32.126702880728843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676157.5</v>
      </c>
      <c r="G42" s="190">
        <f t="shared" ref="G42" si="67">F42/F41-1</f>
        <v>0.68790409146508891</v>
      </c>
      <c r="H42" s="190">
        <f t="shared" ref="H42" si="68">F42/F30-1</f>
        <v>5.9188313519264346E-2</v>
      </c>
      <c r="I42" s="130">
        <f t="shared" si="0"/>
        <v>46.630776688470213</v>
      </c>
      <c r="J42" s="130">
        <f t="shared" si="5"/>
        <v>-0.2789718270964443</v>
      </c>
      <c r="K42" s="193"/>
      <c r="L42" s="190"/>
      <c r="M42" s="190"/>
      <c r="N42" s="193"/>
      <c r="O42" s="193"/>
      <c r="P42" s="129" t="s">
        <v>826</v>
      </c>
      <c r="Q42" s="116">
        <v>13523150</v>
      </c>
      <c r="R42" s="116">
        <v>19539184659</v>
      </c>
      <c r="S42" s="116">
        <v>290004.82</v>
      </c>
      <c r="T42" s="130">
        <f t="shared" ref="T42" si="69">Q42/S42</f>
        <v>46.630776688470213</v>
      </c>
      <c r="U42" s="78"/>
    </row>
    <row r="43" spans="1:21" s="79" customFormat="1" ht="13.2">
      <c r="A43" s="129" t="s">
        <v>835</v>
      </c>
      <c r="B43" s="188">
        <f>SUM(F41:F43)</f>
        <v>1458929.7</v>
      </c>
      <c r="C43" s="188">
        <f>AVERAGE(F41:F43)</f>
        <v>486309.89999999997</v>
      </c>
      <c r="D43" s="190">
        <f>C43/C40-1</f>
        <v>-0.45593420191330836</v>
      </c>
      <c r="E43" s="287">
        <f>C43/C31-1</f>
        <v>-0.37763480743500266</v>
      </c>
      <c r="F43" s="136">
        <f>Q43/20</f>
        <v>382182.2</v>
      </c>
      <c r="G43" s="190">
        <f t="shared" ref="G43" si="70">F43/F42-1</f>
        <v>-0.43477340708340884</v>
      </c>
      <c r="H43" s="190">
        <f t="shared" ref="H43" si="71">F43/F31-1</f>
        <v>-0.61729084776829213</v>
      </c>
      <c r="I43" s="130">
        <f t="shared" si="0"/>
        <v>47.302587282412816</v>
      </c>
      <c r="J43" s="130">
        <f t="shared" si="5"/>
        <v>-9.9197158212978809E-2</v>
      </c>
      <c r="K43" s="136">
        <f>R41+R42+R43</f>
        <v>41121922331</v>
      </c>
      <c r="L43" s="190">
        <f>U43/U40-1</f>
        <v>-0.48826161180795891</v>
      </c>
      <c r="M43" s="190">
        <f>K43/K31-1</f>
        <v>-0.34898125091852417</v>
      </c>
      <c r="N43" s="191">
        <f>AVERAGE(T41:T43)</f>
        <v>42.020022283870624</v>
      </c>
      <c r="O43" s="192">
        <f>N43/N40-1</f>
        <v>-2.0146720230878712E-2</v>
      </c>
      <c r="P43" s="129" t="s">
        <v>835</v>
      </c>
      <c r="Q43" s="116">
        <v>7643644</v>
      </c>
      <c r="R43" s="116">
        <v>11044469653</v>
      </c>
      <c r="S43" s="116">
        <v>161590.39999999999</v>
      </c>
      <c r="T43" s="130">
        <f t="shared" ref="T43" si="72">Q43/S43</f>
        <v>47.302587282412816</v>
      </c>
      <c r="U43" s="85">
        <f>Q41+Q42+Q43</f>
        <v>28377414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1216261.6363636365</v>
      </c>
      <c r="G44" s="190">
        <f t="shared" ref="G44" si="73">F44/F43-1</f>
        <v>2.1824130908337342</v>
      </c>
      <c r="H44" s="190">
        <f t="shared" ref="H44" si="74">F44/F32-1</f>
        <v>-6.6227491563037644E-2</v>
      </c>
      <c r="I44" s="130">
        <f t="shared" si="0"/>
        <v>45.484125286976884</v>
      </c>
      <c r="J44" s="130">
        <f t="shared" si="5"/>
        <v>-0.15913418894292208</v>
      </c>
      <c r="K44" s="136"/>
      <c r="L44" s="190"/>
      <c r="M44" s="190"/>
      <c r="N44" s="191"/>
      <c r="O44" s="192"/>
      <c r="P44" s="129" t="s">
        <v>843</v>
      </c>
      <c r="Q44" s="116">
        <v>26757756</v>
      </c>
      <c r="R44" s="116">
        <v>38918478395</v>
      </c>
      <c r="S44" s="116">
        <v>588287.80000000005</v>
      </c>
      <c r="T44" s="130">
        <f t="shared" ref="T44" si="75">Q44/S44</f>
        <v>45.484125286976884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175588.75</v>
      </c>
      <c r="G45" s="190">
        <f t="shared" ref="G45" si="76">F45/F44-1</f>
        <v>-0.85563241925070255</v>
      </c>
      <c r="H45" s="190">
        <f t="shared" ref="H45" si="77">F45/F33-1</f>
        <v>-0.71483349450186395</v>
      </c>
      <c r="I45" s="130">
        <f t="shared" si="0"/>
        <v>30.324862955133081</v>
      </c>
      <c r="J45" s="130">
        <f t="shared" si="5"/>
        <v>-0.60154652342128156</v>
      </c>
      <c r="K45" s="136"/>
      <c r="L45" s="190"/>
      <c r="M45" s="190"/>
      <c r="N45" s="191"/>
      <c r="O45" s="192"/>
      <c r="P45" s="129" t="s">
        <v>862</v>
      </c>
      <c r="Q45" s="116">
        <v>3511775</v>
      </c>
      <c r="R45" s="116">
        <v>4941742698</v>
      </c>
      <c r="S45" s="116">
        <v>115805.14</v>
      </c>
      <c r="T45" s="130">
        <f t="shared" ref="T45" si="78">Q45/S45</f>
        <v>30.324862955133081</v>
      </c>
      <c r="U45" s="85"/>
    </row>
    <row r="46" spans="1:21" s="79" customFormat="1" ht="13.2">
      <c r="A46" s="129" t="s">
        <v>888</v>
      </c>
      <c r="B46" s="188">
        <f>SUM(F44:F46)</f>
        <v>1567155.1232057416</v>
      </c>
      <c r="C46" s="188">
        <f>AVERAGE(F44:F46)</f>
        <v>522385.04106858053</v>
      </c>
      <c r="D46" s="190">
        <f>C46/C43-1</f>
        <v>7.418138324673329E-2</v>
      </c>
      <c r="E46" s="287">
        <f>C46/C34-1</f>
        <v>-0.35405710452980699</v>
      </c>
      <c r="F46" s="136">
        <f>Q46/19</f>
        <v>175304.73684210525</v>
      </c>
      <c r="G46" s="190">
        <f t="shared" ref="G46" si="79">F46/F45-1</f>
        <v>-1.6174906302068859E-3</v>
      </c>
      <c r="H46" s="190">
        <f t="shared" ref="H46" si="80">F46/F34-1</f>
        <v>-0.65483411925440294</v>
      </c>
      <c r="I46" s="130">
        <f t="shared" si="0"/>
        <v>31.04827486176541</v>
      </c>
      <c r="J46" s="130">
        <f t="shared" si="5"/>
        <v>-0.63056036047500796</v>
      </c>
      <c r="K46" s="136">
        <f>R44+R45+R46</f>
        <v>48423891509</v>
      </c>
      <c r="L46" s="190">
        <f>U46/U43-1</f>
        <v>0.18405154888320685</v>
      </c>
      <c r="M46" s="190">
        <f>K46/K34-1</f>
        <v>-0.28745697609242238</v>
      </c>
      <c r="N46" s="191">
        <f>AVERAGE(T44:T46)</f>
        <v>35.619087701291789</v>
      </c>
      <c r="O46" s="192">
        <f>N46/N43-1</f>
        <v>-0.15233058515144648</v>
      </c>
      <c r="P46" s="129" t="s">
        <v>888</v>
      </c>
      <c r="Q46" s="116">
        <v>3330790</v>
      </c>
      <c r="R46" s="116">
        <v>4563670416</v>
      </c>
      <c r="S46" s="116">
        <v>107277.78</v>
      </c>
      <c r="T46" s="130">
        <f t="shared" ref="T46" si="81">Q46/S46</f>
        <v>31.04827486176541</v>
      </c>
      <c r="U46" s="85">
        <f t="shared" ref="U46:U51" si="82">Q44+Q45+Q46</f>
        <v>33600321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146000.13043478262</v>
      </c>
      <c r="G47" s="190">
        <f t="shared" ref="G47" si="83">F47/F46-1</f>
        <v>-0.16716380250304885</v>
      </c>
      <c r="H47" s="190">
        <f t="shared" ref="H47" si="84">F47/F35-1</f>
        <v>-0.83918012973142475</v>
      </c>
      <c r="I47" s="130">
        <f t="shared" si="0"/>
        <v>23.738997659540519</v>
      </c>
      <c r="J47" s="130">
        <f t="shared" si="5"/>
        <v>-0.43962356051438922</v>
      </c>
      <c r="K47" s="136"/>
      <c r="L47" s="190"/>
      <c r="M47" s="190"/>
      <c r="N47" s="191"/>
      <c r="O47" s="192"/>
      <c r="P47" s="129" t="s">
        <v>991</v>
      </c>
      <c r="Q47" s="116">
        <v>3358003</v>
      </c>
      <c r="R47" s="116">
        <v>4614343484</v>
      </c>
      <c r="S47" s="116">
        <v>141455.13</v>
      </c>
      <c r="T47" s="130">
        <f t="shared" ref="T47" si="85">Q47/S47</f>
        <v>23.738997659540519</v>
      </c>
      <c r="U47" s="85">
        <f t="shared" si="82"/>
        <v>10200568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115246.95</v>
      </c>
      <c r="G48" s="190">
        <f t="shared" ref="G48" si="86">F48/F47-1</f>
        <v>-0.21063803397435921</v>
      </c>
      <c r="H48" s="190">
        <f t="shared" ref="H48" si="87">F48/F36-1</f>
        <v>-0.78427244564105603</v>
      </c>
      <c r="I48" s="130">
        <f t="shared" si="0"/>
        <v>46.702427557147146</v>
      </c>
      <c r="J48" s="130">
        <f t="shared" si="5"/>
        <v>-0.12224506029816085</v>
      </c>
      <c r="K48" s="136"/>
      <c r="L48" s="190"/>
      <c r="M48" s="190"/>
      <c r="N48" s="191"/>
      <c r="O48" s="192"/>
      <c r="P48" s="129" t="s">
        <v>1070</v>
      </c>
      <c r="Q48" s="116">
        <v>2304939</v>
      </c>
      <c r="R48" s="116">
        <v>3199295308</v>
      </c>
      <c r="S48" s="116">
        <v>49353.73</v>
      </c>
      <c r="T48" s="130">
        <f t="shared" ref="T48" si="88">Q48/S48</f>
        <v>46.702427557147146</v>
      </c>
      <c r="U48" s="85">
        <f t="shared" si="82"/>
        <v>8993732</v>
      </c>
    </row>
    <row r="49" spans="1:26" ht="13.2">
      <c r="A49" s="129" t="s">
        <v>1158</v>
      </c>
      <c r="B49" s="188">
        <f>SUM(F47:F49)</f>
        <v>491038.58043478261</v>
      </c>
      <c r="C49" s="188">
        <f>AVERAGE(F47:F49)</f>
        <v>163679.5268115942</v>
      </c>
      <c r="D49" s="190">
        <f>C49/C46-1</f>
        <v>-0.68666880951113263</v>
      </c>
      <c r="E49" s="287">
        <f>C49/C37-1</f>
        <v>-0.79234588553136232</v>
      </c>
      <c r="F49" s="136">
        <f>Q49/22</f>
        <v>229791.5</v>
      </c>
      <c r="G49" s="190">
        <f t="shared" ref="G49" si="89">F49/F48-1</f>
        <v>0.99390526170106885</v>
      </c>
      <c r="H49" s="190">
        <f t="shared" ref="H49" si="90">F49/F37-1</f>
        <v>-0.75093628155140568</v>
      </c>
      <c r="I49" s="130">
        <f t="shared" si="0"/>
        <v>49.363661138876509</v>
      </c>
      <c r="J49" s="130">
        <f t="shared" si="5"/>
        <v>5.6422936795719192E-3</v>
      </c>
      <c r="K49" s="136">
        <f>R47+R48+R49</f>
        <v>14841599998</v>
      </c>
      <c r="L49" s="190">
        <f>U49/U46-1</f>
        <v>-0.68100438683309006</v>
      </c>
      <c r="M49" s="190">
        <f>K49/K37-1</f>
        <v>-0.7764441555603131</v>
      </c>
      <c r="N49" s="191">
        <f>AVERAGE(T47:T49)</f>
        <v>39.935028785188059</v>
      </c>
      <c r="O49" s="192">
        <f>N49/N46-1</f>
        <v>0.1211693325806249</v>
      </c>
      <c r="P49" s="129" t="s">
        <v>1165</v>
      </c>
      <c r="Q49" s="116">
        <v>5055413</v>
      </c>
      <c r="R49" s="116">
        <v>7027961206</v>
      </c>
      <c r="S49" s="116">
        <v>102411.63</v>
      </c>
      <c r="T49" s="130">
        <f t="shared" ref="T49" si="91">Q49/S49</f>
        <v>49.363661138876509</v>
      </c>
      <c r="U49" s="85">
        <f t="shared" si="82"/>
        <v>10718355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754165.16666666663</v>
      </c>
      <c r="G50" s="190">
        <f t="shared" ref="G50" si="92">F50/F49-1</f>
        <v>2.2819541482895001</v>
      </c>
      <c r="H50" s="190">
        <f t="shared" ref="H50" si="93">F50/F38-1</f>
        <v>-0.12224244398605699</v>
      </c>
      <c r="I50" s="130">
        <f t="shared" ref="I50" si="94">T50</f>
        <v>51.740086408212441</v>
      </c>
      <c r="J50" s="130">
        <f t="shared" ref="J50" si="95">I50/I38-1</f>
        <v>0.27968657225469973</v>
      </c>
      <c r="K50" s="136"/>
      <c r="L50" s="190"/>
      <c r="M50" s="190"/>
      <c r="N50" s="191"/>
      <c r="O50" s="192"/>
      <c r="P50" s="129" t="s">
        <v>1348</v>
      </c>
      <c r="Q50" s="116">
        <v>13574973</v>
      </c>
      <c r="R50" s="116">
        <v>19266800035</v>
      </c>
      <c r="S50" s="116">
        <v>262368.58</v>
      </c>
      <c r="T50" s="130">
        <f t="shared" ref="T50" si="96">Q50/S50</f>
        <v>51.740086408212441</v>
      </c>
      <c r="U50" s="85">
        <f t="shared" si="82"/>
        <v>20935325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326557.65000000002</v>
      </c>
      <c r="G51" s="190">
        <f t="shared" ref="G51:G52" si="97">F51/F50-1</f>
        <v>-0.56699451998910044</v>
      </c>
      <c r="H51" s="190">
        <f t="shared" ref="H51:H52" si="98">F51/F39-1</f>
        <v>-0.59861214792064943</v>
      </c>
      <c r="I51" s="130">
        <f t="shared" ref="I51:I52" si="99">T51</f>
        <v>23.02250611398718</v>
      </c>
      <c r="J51" s="130">
        <f t="shared" ref="J51:J52" si="100">I51/I39-1</f>
        <v>-0.51546601575855</v>
      </c>
      <c r="K51" s="136"/>
      <c r="L51" s="190"/>
      <c r="M51" s="190"/>
      <c r="N51" s="191"/>
      <c r="O51" s="192"/>
      <c r="P51" s="129" t="s">
        <v>1402</v>
      </c>
      <c r="Q51" s="116">
        <v>6531153</v>
      </c>
      <c r="R51" s="116">
        <v>9465235688</v>
      </c>
      <c r="S51" s="116">
        <v>283685.58</v>
      </c>
      <c r="T51" s="130">
        <f t="shared" ref="T51:T52" si="101">Q51/S51</f>
        <v>23.02250611398718</v>
      </c>
      <c r="U51" s="85">
        <f t="shared" si="82"/>
        <v>25161539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1976684.5893939394</v>
      </c>
      <c r="C52" s="188">
        <f>AVERAGE(F50:F52)</f>
        <v>658894.86313131312</v>
      </c>
      <c r="D52" s="190">
        <f>C52/C49-1</f>
        <v>3.0255178883168696</v>
      </c>
      <c r="E52" s="287">
        <f>C52/C40-1</f>
        <v>-0.26285243305809869</v>
      </c>
      <c r="F52" s="136">
        <f>Q52/22</f>
        <v>895961.77272727271</v>
      </c>
      <c r="G52" s="190">
        <f t="shared" si="97"/>
        <v>1.7436557457076036</v>
      </c>
      <c r="H52" s="190">
        <f t="shared" si="98"/>
        <v>-0.11182318167362637</v>
      </c>
      <c r="I52" s="130">
        <f t="shared" si="99"/>
        <v>46.149473170704752</v>
      </c>
      <c r="J52" s="130">
        <f t="shared" si="100"/>
        <v>0.1337432715536091</v>
      </c>
      <c r="K52" s="136">
        <f>R50+R51+R52</f>
        <v>57716035060</v>
      </c>
      <c r="L52" s="190">
        <f>U52/U49-1</f>
        <v>2.714869026077229</v>
      </c>
      <c r="M52" s="190">
        <f>K52/K40-1</f>
        <v>-0.25171222159712292</v>
      </c>
      <c r="N52" s="191">
        <f>AVERAGE(T50:T52)</f>
        <v>40.30402189763479</v>
      </c>
      <c r="O52" s="192">
        <f>N52/N49-1</f>
        <v>9.2398358952376913E-3</v>
      </c>
      <c r="P52" s="129" t="s">
        <v>1403</v>
      </c>
      <c r="Q52" s="116">
        <v>19711159</v>
      </c>
      <c r="R52" s="116">
        <v>28983999337</v>
      </c>
      <c r="S52" s="116">
        <v>427115.58</v>
      </c>
      <c r="T52" s="130">
        <f t="shared" si="101"/>
        <v>46.149473170704752</v>
      </c>
      <c r="U52" s="85">
        <f t="shared" ref="U52" si="102">Q50+Q51+Q52</f>
        <v>39817285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1165706.0952380951</v>
      </c>
      <c r="G53" s="190">
        <f t="shared" ref="G53" si="103">F53/F52-1</f>
        <v>0.30106677619708178</v>
      </c>
      <c r="H53" s="190">
        <f t="shared" ref="H53" si="104">F53/F41-1</f>
        <v>1.9099730278791163</v>
      </c>
      <c r="I53" s="130">
        <f t="shared" ref="I53" si="105">T53</f>
        <v>43.833121692594943</v>
      </c>
      <c r="J53" s="130">
        <f t="shared" ref="J53" si="106">I53/I41-1</f>
        <v>0.3643828268131486</v>
      </c>
      <c r="K53" s="136"/>
      <c r="L53" s="190"/>
      <c r="M53" s="190"/>
      <c r="N53" s="191"/>
      <c r="O53" s="192"/>
      <c r="P53" s="129" t="s">
        <v>1414</v>
      </c>
      <c r="Q53" s="116">
        <v>24479828</v>
      </c>
      <c r="R53" s="116">
        <v>35496331189</v>
      </c>
      <c r="S53" s="116">
        <v>558477.86</v>
      </c>
      <c r="T53" s="130">
        <f t="shared" ref="T53" si="107">Q53/S53</f>
        <v>43.833121692594943</v>
      </c>
      <c r="U53" s="85">
        <f t="shared" ref="U53" si="108">Q51+Q52+Q53</f>
        <v>50722140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130039.4705882353</v>
      </c>
      <c r="G54" s="190">
        <f t="shared" ref="G54" si="109">F54/F53-1</f>
        <v>-0.88844574878741223</v>
      </c>
      <c r="H54" s="190">
        <f t="shared" ref="H54" si="110">F54/F42-1</f>
        <v>-0.80767872782859718</v>
      </c>
      <c r="I54" s="130">
        <f t="shared" ref="I54" si="111">T54</f>
        <v>35.267388444901059</v>
      </c>
      <c r="J54" s="130">
        <f t="shared" ref="J54" si="112">I54/I42-1</f>
        <v>-0.24368859046645119</v>
      </c>
      <c r="K54" s="136"/>
      <c r="L54" s="190"/>
      <c r="M54" s="190"/>
      <c r="N54" s="191"/>
      <c r="O54" s="192"/>
      <c r="P54" s="129" t="s">
        <v>1417</v>
      </c>
      <c r="Q54" s="116">
        <v>2210671</v>
      </c>
      <c r="R54" s="116">
        <v>3201029188</v>
      </c>
      <c r="S54" s="116">
        <v>62683.15</v>
      </c>
      <c r="T54" s="130">
        <f t="shared" ref="T54" si="113">Q54/S54</f>
        <v>35.267388444901059</v>
      </c>
      <c r="U54" s="85">
        <f t="shared" ref="U54" si="114">Q52+Q53+Q54</f>
        <v>46401658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1829608.851540616</v>
      </c>
      <c r="C55" s="188">
        <f>AVERAGE(F53:F55)</f>
        <v>609869.6171802053</v>
      </c>
      <c r="D55" s="190">
        <f>C55/C52-1</f>
        <v>-7.4405263562264956E-2</v>
      </c>
      <c r="E55" s="287">
        <f>C55/C43-1</f>
        <v>0.25407608847816032</v>
      </c>
      <c r="F55" s="136">
        <f>Q55/21</f>
        <v>533863.28571428568</v>
      </c>
      <c r="G55" s="190">
        <f t="shared" ref="G55" si="115">F55/F54-1</f>
        <v>3.1053941799312774</v>
      </c>
      <c r="H55" s="190">
        <f t="shared" ref="H55" si="116">F55/F43-1</f>
        <v>0.39688160703006492</v>
      </c>
      <c r="I55" s="130">
        <f>T55</f>
        <v>33.522396357005739</v>
      </c>
      <c r="J55" s="130">
        <f t="shared" ref="J55" si="117">I55/I43-1</f>
        <v>-0.29132002533253765</v>
      </c>
      <c r="K55" s="136">
        <f>R53+R54+R55</f>
        <v>55216023874</v>
      </c>
      <c r="L55" s="190">
        <f>U55/U52-1</f>
        <v>-4.811119090616045E-2</v>
      </c>
      <c r="M55" s="190">
        <f>K55/K43-1</f>
        <v>0.34273936489528078</v>
      </c>
      <c r="N55" s="191">
        <f>AVERAGE(T53:T55)</f>
        <v>37.540968831500578</v>
      </c>
      <c r="O55" s="192">
        <f>N55/N52-1</f>
        <v>-6.8555269078403258E-2</v>
      </c>
      <c r="P55" s="129" t="s">
        <v>1418</v>
      </c>
      <c r="Q55" s="116">
        <v>11211129</v>
      </c>
      <c r="R55" s="116">
        <v>16518663497</v>
      </c>
      <c r="S55" s="116">
        <v>334436.98</v>
      </c>
      <c r="T55" s="130">
        <f t="shared" ref="T55" si="118">Q55/S55</f>
        <v>33.522396357005739</v>
      </c>
      <c r="U55" s="85">
        <f t="shared" ref="U55" si="119">Q53+Q54+Q55</f>
        <v>37901628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352602.36363636365</v>
      </c>
      <c r="G56" s="190">
        <f t="shared" ref="G56" si="120">F56/F55-1</f>
        <v>-0.33952685439944208</v>
      </c>
      <c r="H56" s="190">
        <f t="shared" ref="H56" si="121">F56/F44-1</f>
        <v>-0.71009332770655353</v>
      </c>
      <c r="I56" s="291">
        <f>T56</f>
        <v>66.0329851157787</v>
      </c>
      <c r="J56" s="130">
        <f t="shared" ref="J56" si="122">I56/I44-1</f>
        <v>0.45178091694962008</v>
      </c>
      <c r="K56" s="136"/>
      <c r="L56" s="190"/>
      <c r="M56" s="190"/>
      <c r="N56" s="191"/>
      <c r="O56" s="192"/>
      <c r="P56" s="129" t="s">
        <v>1420</v>
      </c>
      <c r="Q56" s="116">
        <v>7757252</v>
      </c>
      <c r="R56" s="116">
        <v>11617386633</v>
      </c>
      <c r="S56" s="116">
        <v>117475.41</v>
      </c>
      <c r="T56" s="130">
        <f t="shared" ref="T56" si="123">Q56/S56</f>
        <v>66.0329851157787</v>
      </c>
      <c r="U56" s="85">
        <f t="shared" ref="U56" si="124">Q54+Q55+Q56</f>
        <v>21179052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181554.75</v>
      </c>
      <c r="G57" s="254">
        <f t="shared" ref="G57" si="125">F57/F56-1</f>
        <v>-0.48510058716669258</v>
      </c>
      <c r="H57" s="254">
        <f t="shared" ref="H57" si="126">F57/F45-1</f>
        <v>3.3977119832563352E-2</v>
      </c>
      <c r="I57" s="282">
        <f>T57</f>
        <v>51.94897754802281</v>
      </c>
      <c r="J57" s="277">
        <f t="shared" ref="J57" si="127">I57/I45-1</f>
        <v>0.71308202199902837</v>
      </c>
      <c r="K57" s="204"/>
      <c r="L57" s="254"/>
      <c r="M57" s="254"/>
      <c r="N57" s="257"/>
      <c r="O57" s="258"/>
      <c r="P57" s="129" t="s">
        <v>1436</v>
      </c>
      <c r="Q57" s="116">
        <v>2178657</v>
      </c>
      <c r="R57" s="116">
        <v>3207800217</v>
      </c>
      <c r="S57" s="116">
        <v>41938.400000000001</v>
      </c>
      <c r="T57" s="130">
        <f t="shared" ref="T57" si="128">Q57/S57</f>
        <v>51.94897754802281</v>
      </c>
      <c r="U57" s="85">
        <f t="shared" ref="U57" si="129">Q55+Q56+Q57</f>
        <v>21147038</v>
      </c>
      <c r="V57" s="79"/>
      <c r="W57" s="79"/>
      <c r="X57" s="79"/>
      <c r="Y57" s="79"/>
      <c r="Z57" s="79"/>
    </row>
    <row r="58" spans="1:26">
      <c r="B58" s="196">
        <f>SUM(F56:F58)</f>
        <v>534157.11363636365</v>
      </c>
      <c r="C58" s="196">
        <f>AVERAGE(F56:F58)</f>
        <v>267078.55681818182</v>
      </c>
      <c r="D58" s="197">
        <f>C58/C55-1</f>
        <v>-0.56207269669696469</v>
      </c>
      <c r="E58" s="233">
        <f>C58/C46-1</f>
        <v>-0.48873237971774386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47837537</v>
      </c>
      <c r="R65" s="212">
        <v>70041210724</v>
      </c>
      <c r="S65" s="213">
        <v>1115011.8</v>
      </c>
      <c r="T65" s="214">
        <v>106</v>
      </c>
      <c r="U65" s="214">
        <v>116</v>
      </c>
    </row>
    <row r="66" spans="16:21" ht="18" thickBot="1">
      <c r="P66" s="180" t="s">
        <v>976</v>
      </c>
      <c r="Q66" s="181">
        <v>24479828</v>
      </c>
      <c r="R66" s="181">
        <v>35496331189</v>
      </c>
      <c r="S66" s="182">
        <v>558477.86</v>
      </c>
      <c r="T66" s="210">
        <v>31</v>
      </c>
      <c r="U66" s="210">
        <v>35</v>
      </c>
    </row>
    <row r="67" spans="16:21" ht="18" thickBot="1">
      <c r="P67" s="180" t="s">
        <v>977</v>
      </c>
      <c r="Q67" s="181">
        <v>2210671</v>
      </c>
      <c r="R67" s="181">
        <v>3201029188</v>
      </c>
      <c r="S67" s="182">
        <v>62683.15</v>
      </c>
      <c r="T67" s="210">
        <v>25</v>
      </c>
      <c r="U67" s="210">
        <v>31</v>
      </c>
    </row>
    <row r="68" spans="16:21" ht="18" thickBot="1">
      <c r="P68" s="180" t="s">
        <v>978</v>
      </c>
      <c r="Q68" s="181">
        <v>11211129</v>
      </c>
      <c r="R68" s="181">
        <v>16518663497</v>
      </c>
      <c r="S68" s="182">
        <v>334436.98</v>
      </c>
      <c r="T68" s="210">
        <v>27</v>
      </c>
      <c r="U68" s="210">
        <v>29</v>
      </c>
    </row>
    <row r="69" spans="16:21" ht="18" thickBot="1">
      <c r="P69" s="180" t="s">
        <v>979</v>
      </c>
      <c r="Q69" s="181">
        <v>7757252</v>
      </c>
      <c r="R69" s="181">
        <v>11617386633</v>
      </c>
      <c r="S69" s="182">
        <v>117475.41</v>
      </c>
      <c r="T69" s="210">
        <v>31</v>
      </c>
      <c r="U69" s="210">
        <v>36</v>
      </c>
    </row>
    <row r="70" spans="16:21" ht="18" thickBot="1">
      <c r="P70" s="180" t="s">
        <v>980</v>
      </c>
      <c r="Q70" s="181">
        <v>2178657</v>
      </c>
      <c r="R70" s="181">
        <v>3207800217</v>
      </c>
      <c r="S70" s="182">
        <v>41938.400000000001</v>
      </c>
      <c r="T70" s="210">
        <v>17</v>
      </c>
      <c r="U70" s="210">
        <v>22</v>
      </c>
    </row>
    <row r="71" spans="16:21" ht="18" thickBot="1">
      <c r="P71" s="215" t="s">
        <v>975</v>
      </c>
      <c r="Q71" s="216">
        <v>112562914</v>
      </c>
      <c r="R71" s="216">
        <v>162174649852</v>
      </c>
      <c r="S71" s="272">
        <v>2753799.4</v>
      </c>
      <c r="T71" s="217">
        <v>185</v>
      </c>
      <c r="U71" s="217">
        <v>278</v>
      </c>
    </row>
    <row r="72" spans="16:21" ht="18" thickBot="1">
      <c r="P72" s="180" t="s">
        <v>982</v>
      </c>
      <c r="Q72" s="210">
        <v>201</v>
      </c>
      <c r="R72"/>
      <c r="S72"/>
      <c r="T72"/>
      <c r="U72"/>
    </row>
  </sheetData>
  <phoneticPr fontId="1" type="noConversion"/>
  <conditionalFormatting sqref="C29:C30">
    <cfRule type="cellIs" dxfId="8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25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552563.35</v>
      </c>
      <c r="G5" s="90"/>
      <c r="H5" s="90"/>
      <c r="I5" s="130">
        <f t="shared" ref="I5:I49" si="0">T5</f>
        <v>304.03413925698175</v>
      </c>
      <c r="J5" s="130"/>
      <c r="L5" s="80"/>
      <c r="M5" s="80"/>
      <c r="P5" s="129" t="s">
        <v>0</v>
      </c>
      <c r="Q5" s="116">
        <v>11051267</v>
      </c>
      <c r="R5" s="116"/>
      <c r="S5" s="116">
        <v>36348.769999999997</v>
      </c>
      <c r="T5" s="130">
        <f t="shared" ref="T5:T24" si="1">Q5/S5</f>
        <v>304.03413925698175</v>
      </c>
      <c r="U5" s="85"/>
    </row>
    <row r="6" spans="1:21" ht="15" hidden="1" customHeight="1">
      <c r="A6" s="129" t="s">
        <v>1</v>
      </c>
      <c r="C6" s="79"/>
      <c r="F6" s="78">
        <f>Q6/18</f>
        <v>584287.11111111112</v>
      </c>
      <c r="G6" s="90">
        <f t="shared" ref="G6:G24" si="2">F6/F5-1</f>
        <v>5.7411989251750395E-2</v>
      </c>
      <c r="H6" s="90"/>
      <c r="I6" s="130">
        <f t="shared" si="0"/>
        <v>377.56013959127085</v>
      </c>
      <c r="J6" s="130"/>
      <c r="P6" s="129" t="s">
        <v>1</v>
      </c>
      <c r="Q6" s="116">
        <v>10517168</v>
      </c>
      <c r="R6" s="116"/>
      <c r="S6" s="116">
        <v>27855.61</v>
      </c>
      <c r="T6" s="130">
        <f t="shared" si="1"/>
        <v>377.56013959127085</v>
      </c>
      <c r="U6" s="85"/>
    </row>
    <row r="7" spans="1:21" ht="15" hidden="1" customHeight="1">
      <c r="A7" s="129" t="s">
        <v>2</v>
      </c>
      <c r="B7" s="131">
        <f>F5+F6+F7</f>
        <v>1626680.2338383838</v>
      </c>
      <c r="C7" s="131">
        <f>AVERAGE(F5:F7)</f>
        <v>542226.7446127946</v>
      </c>
      <c r="F7" s="78">
        <f>Q7/22</f>
        <v>489829.77272727271</v>
      </c>
      <c r="G7" s="90">
        <f t="shared" si="2"/>
        <v>-0.1616625398499949</v>
      </c>
      <c r="H7" s="90"/>
      <c r="I7" s="130">
        <f t="shared" si="0"/>
        <v>345.09204958883589</v>
      </c>
      <c r="J7" s="130"/>
      <c r="K7" s="79">
        <f>R5+R6+R7</f>
        <v>0</v>
      </c>
      <c r="N7" s="88">
        <f>AVERAGE(T5:T7)</f>
        <v>342.22877614569614</v>
      </c>
      <c r="P7" s="129" t="s">
        <v>2</v>
      </c>
      <c r="Q7" s="116">
        <v>10776255</v>
      </c>
      <c r="R7" s="116"/>
      <c r="S7" s="116">
        <v>31227.19</v>
      </c>
      <c r="T7" s="130">
        <f t="shared" si="1"/>
        <v>345.09204958883589</v>
      </c>
      <c r="U7" s="85">
        <f>Q5+Q6+Q7</f>
        <v>32344690</v>
      </c>
    </row>
    <row r="8" spans="1:21" ht="15" hidden="1" customHeight="1">
      <c r="A8" s="129" t="s">
        <v>3</v>
      </c>
      <c r="C8" s="79"/>
      <c r="F8" s="78">
        <f>Q8/21</f>
        <v>559962.90476190473</v>
      </c>
      <c r="G8" s="90">
        <f t="shared" si="2"/>
        <v>0.14317858149810903</v>
      </c>
      <c r="H8" s="90"/>
      <c r="I8" s="130">
        <f t="shared" si="0"/>
        <v>276.64270427688314</v>
      </c>
      <c r="J8" s="130"/>
      <c r="K8" s="78"/>
      <c r="P8" s="129" t="s">
        <v>3</v>
      </c>
      <c r="Q8" s="116">
        <v>11759221</v>
      </c>
      <c r="R8" s="116"/>
      <c r="S8" s="116">
        <v>42506.89</v>
      </c>
      <c r="T8" s="130">
        <f t="shared" si="1"/>
        <v>276.64270427688314</v>
      </c>
      <c r="U8" s="85"/>
    </row>
    <row r="9" spans="1:21" ht="15" hidden="1" customHeight="1">
      <c r="A9" s="129" t="s">
        <v>4</v>
      </c>
      <c r="C9" s="79"/>
      <c r="F9" s="78">
        <f>Q9/21</f>
        <v>519659.42857142858</v>
      </c>
      <c r="G9" s="90">
        <f t="shared" si="2"/>
        <v>-7.1975260946282038E-2</v>
      </c>
      <c r="H9" s="90"/>
      <c r="I9" s="130">
        <f t="shared" si="0"/>
        <v>371.3982916733882</v>
      </c>
      <c r="J9" s="130"/>
      <c r="K9" s="78"/>
      <c r="P9" s="129" t="s">
        <v>4</v>
      </c>
      <c r="Q9" s="116">
        <v>10912848</v>
      </c>
      <c r="R9" s="116"/>
      <c r="S9" s="116">
        <v>29383.14</v>
      </c>
      <c r="T9" s="130">
        <f t="shared" si="1"/>
        <v>371.3982916733882</v>
      </c>
      <c r="U9" s="85"/>
    </row>
    <row r="10" spans="1:21" ht="15" hidden="1" customHeight="1">
      <c r="A10" s="129" t="s">
        <v>5</v>
      </c>
      <c r="B10" s="131">
        <f>F8+F9+F10</f>
        <v>1716126.6190476189</v>
      </c>
      <c r="C10" s="131">
        <f>AVERAGE(F8:F10)</f>
        <v>572042.20634920627</v>
      </c>
      <c r="D10" s="90">
        <f>C10/C7-1</f>
        <v>5.4987073272645404E-2</v>
      </c>
      <c r="E10" s="286"/>
      <c r="F10" s="78">
        <f>Q10/21</f>
        <v>636504.28571428568</v>
      </c>
      <c r="G10" s="90">
        <f t="shared" si="2"/>
        <v>0.22484891203469526</v>
      </c>
      <c r="H10" s="90"/>
      <c r="I10" s="130">
        <f t="shared" si="0"/>
        <v>262.36728621032819</v>
      </c>
      <c r="J10" s="130"/>
      <c r="K10" s="79">
        <f>R8+R9+R10</f>
        <v>0</v>
      </c>
      <c r="L10" s="87">
        <f>U10/U7-1</f>
        <v>0.1142063504086761</v>
      </c>
      <c r="N10" s="88">
        <f>AVERAGE(T8:T10)</f>
        <v>303.46942738686647</v>
      </c>
      <c r="O10" s="89">
        <f>N10/N7-1</f>
        <v>-0.11325566831448663</v>
      </c>
      <c r="P10" s="129" t="s">
        <v>5</v>
      </c>
      <c r="Q10" s="116">
        <v>13366590</v>
      </c>
      <c r="R10" s="116"/>
      <c r="S10" s="116">
        <v>50946.1</v>
      </c>
      <c r="T10" s="130">
        <f t="shared" si="1"/>
        <v>262.36728621032819</v>
      </c>
      <c r="U10" s="85">
        <f>Q8+Q9+Q10</f>
        <v>36038659</v>
      </c>
    </row>
    <row r="11" spans="1:21" ht="15" hidden="1" customHeight="1">
      <c r="A11" s="129" t="s">
        <v>6</v>
      </c>
      <c r="C11" s="79"/>
      <c r="F11" s="78">
        <f>Q11/21</f>
        <v>529270.85714285716</v>
      </c>
      <c r="G11" s="90">
        <f t="shared" si="2"/>
        <v>-0.16847243762246011</v>
      </c>
      <c r="H11" s="90"/>
      <c r="I11" s="130">
        <f t="shared" si="0"/>
        <v>385.14767874004832</v>
      </c>
      <c r="J11" s="130"/>
      <c r="K11" s="78"/>
      <c r="O11" s="89"/>
      <c r="P11" s="129" t="s">
        <v>6</v>
      </c>
      <c r="Q11" s="116">
        <v>11114688</v>
      </c>
      <c r="R11" s="116"/>
      <c r="S11" s="116">
        <v>28858.25</v>
      </c>
      <c r="T11" s="130">
        <f t="shared" si="1"/>
        <v>385.14767874004832</v>
      </c>
      <c r="U11" s="85"/>
    </row>
    <row r="12" spans="1:21" ht="15" hidden="1" customHeight="1">
      <c r="A12" s="129" t="s">
        <v>7</v>
      </c>
      <c r="C12" s="79"/>
      <c r="F12" s="78">
        <f>Q12/22</f>
        <v>465111.77272727271</v>
      </c>
      <c r="G12" s="90">
        <f t="shared" si="2"/>
        <v>-0.12122164587321516</v>
      </c>
      <c r="H12" s="90"/>
      <c r="I12" s="130">
        <f t="shared" si="0"/>
        <v>289.56252042792886</v>
      </c>
      <c r="J12" s="130"/>
      <c r="K12" s="78"/>
      <c r="O12" s="89"/>
      <c r="P12" s="129" t="s">
        <v>7</v>
      </c>
      <c r="Q12" s="116">
        <v>10232459</v>
      </c>
      <c r="R12" s="116"/>
      <c r="S12" s="116">
        <v>35337.65</v>
      </c>
      <c r="T12" s="130">
        <f t="shared" si="1"/>
        <v>289.56252042792886</v>
      </c>
      <c r="U12" s="85"/>
    </row>
    <row r="13" spans="1:21" ht="15" hidden="1" customHeight="1">
      <c r="A13" s="129" t="s">
        <v>96</v>
      </c>
      <c r="B13" s="131">
        <f>F11+F12+F13</f>
        <v>1504555.2798701299</v>
      </c>
      <c r="C13" s="131">
        <f>AVERAGE(F11:F13)</f>
        <v>501518.42662337661</v>
      </c>
      <c r="D13" s="90">
        <f>C13/C10-1</f>
        <v>-0.12328422438602027</v>
      </c>
      <c r="E13" s="286"/>
      <c r="F13" s="78">
        <f>Q13/20</f>
        <v>510172.65</v>
      </c>
      <c r="G13" s="90">
        <f t="shared" si="2"/>
        <v>9.6881824789134319E-2</v>
      </c>
      <c r="H13" s="90"/>
      <c r="I13" s="130">
        <f t="shared" si="0"/>
        <v>343.04723910168178</v>
      </c>
      <c r="J13" s="130"/>
      <c r="K13" s="78">
        <f>R11+R12+R13</f>
        <v>0</v>
      </c>
      <c r="L13" s="87">
        <f>U13/U10-1</f>
        <v>-0.12453457272092172</v>
      </c>
      <c r="N13" s="88">
        <f>AVERAGE(T11:T13)</f>
        <v>339.25247942321965</v>
      </c>
      <c r="O13" s="89">
        <f>N13/N10-1</f>
        <v>0.11791320247471426</v>
      </c>
      <c r="P13" s="129" t="s">
        <v>96</v>
      </c>
      <c r="Q13" s="116">
        <v>10203453</v>
      </c>
      <c r="R13" s="116"/>
      <c r="S13" s="116">
        <v>29743.58</v>
      </c>
      <c r="T13" s="130">
        <f t="shared" si="1"/>
        <v>343.04723910168178</v>
      </c>
      <c r="U13" s="85">
        <f>Q11+Q12+Q13</f>
        <v>31550600</v>
      </c>
    </row>
    <row r="14" spans="1:21" ht="15" hidden="1" customHeight="1">
      <c r="A14" s="129" t="s">
        <v>97</v>
      </c>
      <c r="C14" s="79"/>
      <c r="F14" s="78">
        <f>Q14/20</f>
        <v>602143.94999999995</v>
      </c>
      <c r="G14" s="90">
        <f t="shared" si="2"/>
        <v>0.18027485401265619</v>
      </c>
      <c r="H14" s="90"/>
      <c r="I14" s="130">
        <f t="shared" si="0"/>
        <v>308.31775045340549</v>
      </c>
      <c r="J14" s="130"/>
      <c r="O14" s="89"/>
      <c r="P14" s="129" t="s">
        <v>97</v>
      </c>
      <c r="Q14" s="116">
        <v>12042879</v>
      </c>
      <c r="R14" s="116"/>
      <c r="S14" s="116">
        <v>39059.96</v>
      </c>
      <c r="T14" s="130">
        <f t="shared" si="1"/>
        <v>308.31775045340549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550835.77272727271</v>
      </c>
      <c r="G15" s="90">
        <f t="shared" si="2"/>
        <v>-8.5209155174152729E-2</v>
      </c>
      <c r="H15" s="90"/>
      <c r="I15" s="130">
        <f t="shared" si="0"/>
        <v>270.99075959517717</v>
      </c>
      <c r="J15" s="130"/>
      <c r="O15" s="89"/>
      <c r="P15" s="129" t="s">
        <v>98</v>
      </c>
      <c r="Q15" s="116">
        <v>12118387</v>
      </c>
      <c r="R15" s="116"/>
      <c r="S15" s="116">
        <v>44718.82</v>
      </c>
      <c r="T15" s="130">
        <f t="shared" si="1"/>
        <v>270.99075959517717</v>
      </c>
      <c r="U15" s="85"/>
    </row>
    <row r="16" spans="1:21" ht="15" hidden="1" customHeight="1">
      <c r="A16" s="129" t="s">
        <v>99</v>
      </c>
      <c r="B16" s="131">
        <f>F14+F15+F16</f>
        <v>1638626.9045454545</v>
      </c>
      <c r="C16" s="131">
        <f>AVERAGE(F14:F16)</f>
        <v>546208.96818181814</v>
      </c>
      <c r="D16" s="90">
        <f>C16/C13-1</f>
        <v>8.9110467703717333E-2</v>
      </c>
      <c r="E16" s="286"/>
      <c r="F16" s="78">
        <f>Q16/22</f>
        <v>485647.18181818182</v>
      </c>
      <c r="G16" s="90">
        <f t="shared" si="2"/>
        <v>-0.11834487543598005</v>
      </c>
      <c r="H16" s="90"/>
      <c r="I16" s="130">
        <f t="shared" si="0"/>
        <v>290.25170978192216</v>
      </c>
      <c r="J16" s="130"/>
      <c r="K16" s="78">
        <f>R14+R15+R16</f>
        <v>0</v>
      </c>
      <c r="L16" s="87">
        <f>U16/U13-1</f>
        <v>0.10443237212604517</v>
      </c>
      <c r="N16" s="88">
        <f>AVERAGE(T14:T16)</f>
        <v>289.85340661016829</v>
      </c>
      <c r="O16" s="89">
        <f>N16/N13-1</f>
        <v>-0.14561153067189736</v>
      </c>
      <c r="P16" s="129" t="s">
        <v>99</v>
      </c>
      <c r="Q16" s="116">
        <v>10684238</v>
      </c>
      <c r="R16" s="116"/>
      <c r="S16" s="116">
        <v>36810.25</v>
      </c>
      <c r="T16" s="130">
        <f t="shared" si="1"/>
        <v>290.25170978192216</v>
      </c>
      <c r="U16" s="85">
        <f>Q14+Q15+Q16</f>
        <v>34845504</v>
      </c>
    </row>
    <row r="17" spans="1:21" ht="15" hidden="1" customHeight="1">
      <c r="A17" s="129" t="s">
        <v>100</v>
      </c>
      <c r="C17" s="79"/>
      <c r="F17" s="78">
        <f>Q17/20</f>
        <v>442437.35</v>
      </c>
      <c r="G17" s="90">
        <f t="shared" si="2"/>
        <v>-8.8973710619325463E-2</v>
      </c>
      <c r="H17" s="90">
        <f t="shared" ref="H17:H24" si="3">F17/F5-1</f>
        <v>-0.19930022503302114</v>
      </c>
      <c r="I17" s="130">
        <f t="shared" si="0"/>
        <v>295.10017651823858</v>
      </c>
      <c r="J17" s="130">
        <f t="shared" ref="J17:J49" si="4">I17/I5-1</f>
        <v>-2.938473541351827E-2</v>
      </c>
      <c r="O17" s="89"/>
      <c r="P17" s="129" t="s">
        <v>100</v>
      </c>
      <c r="Q17" s="116">
        <v>8848747</v>
      </c>
      <c r="R17" s="116">
        <v>11130972330</v>
      </c>
      <c r="S17" s="116">
        <v>29985.57</v>
      </c>
      <c r="T17" s="130">
        <f t="shared" si="1"/>
        <v>295.10017651823858</v>
      </c>
      <c r="U17" s="78"/>
    </row>
    <row r="18" spans="1:21" ht="15" hidden="1" customHeight="1">
      <c r="A18" s="129" t="s">
        <v>106</v>
      </c>
      <c r="C18" s="79"/>
      <c r="F18" s="78">
        <f>Q18/20</f>
        <v>670882.5</v>
      </c>
      <c r="G18" s="90">
        <f t="shared" si="2"/>
        <v>0.51633332945331145</v>
      </c>
      <c r="H18" s="90">
        <f t="shared" si="3"/>
        <v>0.14820691273544351</v>
      </c>
      <c r="I18" s="130">
        <f t="shared" si="0"/>
        <v>452.54540665223345</v>
      </c>
      <c r="J18" s="130">
        <f t="shared" si="4"/>
        <v>0.19860482926544676</v>
      </c>
      <c r="O18" s="89"/>
      <c r="P18" s="129" t="s">
        <v>106</v>
      </c>
      <c r="Q18" s="116">
        <v>13417650</v>
      </c>
      <c r="R18" s="116">
        <v>17032515772</v>
      </c>
      <c r="S18" s="116">
        <v>29649.29</v>
      </c>
      <c r="T18" s="130">
        <f t="shared" si="1"/>
        <v>452.54540665223345</v>
      </c>
      <c r="U18" s="78"/>
    </row>
    <row r="19" spans="1:21" hidden="1">
      <c r="A19" s="129" t="s">
        <v>114</v>
      </c>
      <c r="B19" s="131">
        <f>SUM(F17:F19)</f>
        <v>1592154.4863636363</v>
      </c>
      <c r="C19" s="131">
        <f>AVERAGE(F17:F19)</f>
        <v>530718.16212121211</v>
      </c>
      <c r="D19" s="90">
        <f>C19/C16-1</f>
        <v>-2.8360585349176404E-2</v>
      </c>
      <c r="E19" s="286">
        <f>C19/C7-1</f>
        <v>-2.1224667735267877E-2</v>
      </c>
      <c r="F19" s="78">
        <f>Q19/22</f>
        <v>478834.63636363635</v>
      </c>
      <c r="G19" s="90">
        <f t="shared" si="2"/>
        <v>-0.2862615489841569</v>
      </c>
      <c r="H19" s="90">
        <f t="shared" si="3"/>
        <v>-2.2446851897992337E-2</v>
      </c>
      <c r="I19" s="130">
        <f t="shared" si="0"/>
        <v>183.31354204442391</v>
      </c>
      <c r="J19" s="130">
        <f t="shared" si="4"/>
        <v>-0.46879813005592263</v>
      </c>
      <c r="K19" s="78">
        <f>R17+R18+R19</f>
        <v>41938150319</v>
      </c>
      <c r="L19" s="87">
        <f>U19/U16-1</f>
        <v>-5.8680310665043089E-2</v>
      </c>
      <c r="M19" s="87">
        <f>U19/U7-1</f>
        <v>1.4100274264492896E-2</v>
      </c>
      <c r="N19" s="88">
        <f>AVERAGE(T17:T19)</f>
        <v>310.3197084049653</v>
      </c>
      <c r="O19" s="89">
        <f>N19/N16-1</f>
        <v>7.0609146996580607E-2</v>
      </c>
      <c r="P19" s="129" t="s">
        <v>115</v>
      </c>
      <c r="Q19" s="116">
        <v>10534362</v>
      </c>
      <c r="R19" s="116">
        <v>13774662217</v>
      </c>
      <c r="S19" s="116">
        <v>57466.36</v>
      </c>
      <c r="T19" s="130">
        <f t="shared" si="1"/>
        <v>183.31354204442391</v>
      </c>
      <c r="U19" s="85">
        <f>Q17+Q18+Q19</f>
        <v>32800759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521809.45</v>
      </c>
      <c r="G20" s="90">
        <f t="shared" si="2"/>
        <v>8.9748757447294825E-2</v>
      </c>
      <c r="H20" s="90">
        <f t="shared" si="3"/>
        <v>-6.8135682627275984E-2</v>
      </c>
      <c r="I20" s="130">
        <f t="shared" si="0"/>
        <v>214.63822206426977</v>
      </c>
      <c r="J20" s="130">
        <f t="shared" si="4"/>
        <v>-0.22413199861780919</v>
      </c>
      <c r="O20" s="89"/>
      <c r="P20" s="129" t="s">
        <v>131</v>
      </c>
      <c r="Q20" s="116">
        <v>10436189</v>
      </c>
      <c r="R20" s="116">
        <v>13670601414</v>
      </c>
      <c r="S20" s="116">
        <v>48622.23</v>
      </c>
      <c r="T20" s="130">
        <f t="shared" si="1"/>
        <v>214.63822206426977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405148.04761904763</v>
      </c>
      <c r="G21" s="90">
        <f t="shared" si="2"/>
        <v>-0.22357088853211149</v>
      </c>
      <c r="H21" s="90">
        <f t="shared" si="3"/>
        <v>-0.22035851686012664</v>
      </c>
      <c r="I21" s="130">
        <f t="shared" si="0"/>
        <v>422.68609898219808</v>
      </c>
      <c r="J21" s="130">
        <f t="shared" si="4"/>
        <v>0.13809381588085756</v>
      </c>
      <c r="O21" s="89"/>
      <c r="P21" s="129" t="s">
        <v>141</v>
      </c>
      <c r="Q21" s="116">
        <v>8508109</v>
      </c>
      <c r="R21" s="116">
        <v>11328702400</v>
      </c>
      <c r="S21" s="116">
        <v>20128.669999999998</v>
      </c>
      <c r="T21" s="130">
        <f t="shared" si="1"/>
        <v>422.68609898219808</v>
      </c>
      <c r="U21" s="78"/>
    </row>
    <row r="22" spans="1:21" hidden="1">
      <c r="A22" s="129" t="s">
        <v>156</v>
      </c>
      <c r="B22" s="131">
        <f>SUM(F20:F22)</f>
        <v>1330079.2119047618</v>
      </c>
      <c r="C22" s="131">
        <f>AVERAGE(F20:F22)</f>
        <v>443359.7373015873</v>
      </c>
      <c r="D22" s="90">
        <f>C22/C19-1</f>
        <v>-0.16460417422020091</v>
      </c>
      <c r="E22" s="286">
        <f>C22/C10-1</f>
        <v>-0.22495275282024219</v>
      </c>
      <c r="F22" s="78">
        <f>Q22/21</f>
        <v>403121.71428571426</v>
      </c>
      <c r="G22" s="90">
        <f t="shared" si="2"/>
        <v>-5.0014638975595105E-3</v>
      </c>
      <c r="H22" s="90">
        <f t="shared" si="3"/>
        <v>-0.36666300081022907</v>
      </c>
      <c r="I22" s="130">
        <f t="shared" si="0"/>
        <v>293.23193105051189</v>
      </c>
      <c r="J22" s="130">
        <f t="shared" si="4"/>
        <v>0.11763907492430636</v>
      </c>
      <c r="K22" s="78">
        <f>R20+R21+R22</f>
        <v>36010376516</v>
      </c>
      <c r="L22" s="87">
        <f>U22/U19-1</f>
        <v>-0.16435305658628208</v>
      </c>
      <c r="M22" s="87">
        <f>U22/U10-1</f>
        <v>-0.23943191115962448</v>
      </c>
      <c r="N22" s="88">
        <f>AVERAGE(T20:T22)</f>
        <v>310.18541736565993</v>
      </c>
      <c r="O22" s="89">
        <f>N22/N19-1</f>
        <v>-4.3275059774838809E-4</v>
      </c>
      <c r="P22" s="129" t="s">
        <v>156</v>
      </c>
      <c r="Q22" s="116">
        <v>8465556</v>
      </c>
      <c r="R22" s="116">
        <v>11011072702</v>
      </c>
      <c r="S22" s="116">
        <v>28869.83</v>
      </c>
      <c r="T22" s="130">
        <f t="shared" si="1"/>
        <v>293.23193105051189</v>
      </c>
      <c r="U22" s="85">
        <f>Q20+Q21+Q22</f>
        <v>27409854</v>
      </c>
    </row>
    <row r="23" spans="1:21" hidden="1">
      <c r="A23" s="129" t="s">
        <v>189</v>
      </c>
      <c r="B23" s="131"/>
      <c r="C23" s="131"/>
      <c r="F23" s="78">
        <f>Q23/21</f>
        <v>422858.90476190473</v>
      </c>
      <c r="G23" s="90">
        <f t="shared" si="2"/>
        <v>4.8960871560001396E-2</v>
      </c>
      <c r="H23" s="90">
        <f t="shared" si="3"/>
        <v>-0.20105386673921943</v>
      </c>
      <c r="I23" s="130">
        <f t="shared" si="0"/>
        <v>211.91028691292385</v>
      </c>
      <c r="J23" s="130">
        <f t="shared" si="4"/>
        <v>-0.44979471872670784</v>
      </c>
      <c r="O23" s="89"/>
      <c r="P23" s="129" t="s">
        <v>189</v>
      </c>
      <c r="Q23" s="116">
        <v>8880037</v>
      </c>
      <c r="R23" s="116">
        <v>11464074372</v>
      </c>
      <c r="S23" s="116">
        <v>41904.699999999997</v>
      </c>
      <c r="T23" s="130">
        <f t="shared" si="1"/>
        <v>211.91028691292385</v>
      </c>
      <c r="U23" s="78"/>
    </row>
    <row r="24" spans="1:21" hidden="1">
      <c r="A24" s="129" t="s">
        <v>205</v>
      </c>
      <c r="B24" s="131"/>
      <c r="C24" s="131"/>
      <c r="F24" s="78">
        <f>Q24/22</f>
        <v>318891.77272727271</v>
      </c>
      <c r="G24" s="90">
        <f t="shared" si="2"/>
        <v>-0.24586719320282935</v>
      </c>
      <c r="H24" s="90">
        <f t="shared" si="3"/>
        <v>-0.31437604587518997</v>
      </c>
      <c r="I24" s="130">
        <f t="shared" si="0"/>
        <v>255.73611236669359</v>
      </c>
      <c r="J24" s="130">
        <f t="shared" si="4"/>
        <v>-0.1168190137703079</v>
      </c>
      <c r="O24" s="89"/>
      <c r="P24" s="129" t="s">
        <v>205</v>
      </c>
      <c r="Q24" s="116">
        <v>7015619</v>
      </c>
      <c r="R24" s="116">
        <v>9213875194</v>
      </c>
      <c r="S24" s="116">
        <v>27433.040000000001</v>
      </c>
      <c r="T24" s="130">
        <f t="shared" si="1"/>
        <v>255.73611236669359</v>
      </c>
      <c r="U24" s="78"/>
    </row>
    <row r="25" spans="1:21" s="79" customFormat="1" ht="13.2" hidden="1">
      <c r="A25" s="129" t="s">
        <v>219</v>
      </c>
      <c r="B25" s="131">
        <f>SUM(F23:F25)</f>
        <v>1080896.5722260196</v>
      </c>
      <c r="C25" s="131">
        <f>AVERAGE(F23:F25)</f>
        <v>360298.85740867321</v>
      </c>
      <c r="D25" s="90">
        <f>C25/C22-1</f>
        <v>-0.18734421036616022</v>
      </c>
      <c r="E25" s="286">
        <f>C25/C13-1</f>
        <v>-0.28158400911708581</v>
      </c>
      <c r="F25" s="78">
        <f>Q25/19</f>
        <v>339145.89473684208</v>
      </c>
      <c r="G25" s="90">
        <f t="shared" ref="G25" si="5">F25/F24-1</f>
        <v>6.3514093939611938E-2</v>
      </c>
      <c r="H25" s="90">
        <f t="shared" ref="H25" si="6">F25/F13-1</f>
        <v>-0.33523309268569756</v>
      </c>
      <c r="I25" s="130">
        <f t="shared" si="0"/>
        <v>332.72191023419413</v>
      </c>
      <c r="J25" s="130">
        <f t="shared" si="4"/>
        <v>-3.0098854299267952E-2</v>
      </c>
      <c r="K25" s="78">
        <f>R23+R24+R25</f>
        <v>29228050142</v>
      </c>
      <c r="L25" s="90">
        <f>U25/U22-1</f>
        <v>-0.18498551652263451</v>
      </c>
      <c r="M25" s="90">
        <f>U25/U13-1</f>
        <v>-0.29194918638631273</v>
      </c>
      <c r="N25" s="88">
        <f>AVERAGE(T23:T25)</f>
        <v>266.78943650460383</v>
      </c>
      <c r="O25" s="91">
        <f>N25/N22-1</f>
        <v>-0.13990335596563219</v>
      </c>
      <c r="P25" s="129" t="s">
        <v>219</v>
      </c>
      <c r="Q25" s="116">
        <v>6443772</v>
      </c>
      <c r="R25" s="116">
        <v>8550100576</v>
      </c>
      <c r="S25" s="116">
        <v>19366.84</v>
      </c>
      <c r="T25" s="130">
        <f t="shared" ref="T25" si="7">Q25/S25</f>
        <v>332.72191023419413</v>
      </c>
      <c r="U25" s="85">
        <f>Q23+Q24+Q25</f>
        <v>22339428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324421.36842105264</v>
      </c>
      <c r="G26" s="90">
        <f t="shared" ref="G26" si="8">F26/F25-1</f>
        <v>-4.3416495804010302E-2</v>
      </c>
      <c r="H26" s="90">
        <f t="shared" ref="H26" si="9">F26/F14-1</f>
        <v>-0.46122290455454606</v>
      </c>
      <c r="I26" s="130">
        <f t="shared" si="0"/>
        <v>245.84385101813317</v>
      </c>
      <c r="J26" s="130">
        <f t="shared" si="4"/>
        <v>-0.20262829286798945</v>
      </c>
      <c r="L26" s="90"/>
      <c r="M26" s="90"/>
      <c r="P26" s="129" t="s">
        <v>312</v>
      </c>
      <c r="Q26" s="116">
        <v>6164006</v>
      </c>
      <c r="R26" s="116">
        <v>8311441472</v>
      </c>
      <c r="S26" s="116">
        <v>25072.85</v>
      </c>
      <c r="T26" s="130">
        <f t="shared" ref="T26" si="10">Q26/S26</f>
        <v>245.84385101813317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326489.5</v>
      </c>
      <c r="G27" s="90">
        <f t="shared" ref="G27" si="11">F27/F26-1</f>
        <v>6.374831562461214E-3</v>
      </c>
      <c r="H27" s="90">
        <f t="shared" ref="H27" si="12">F27/F15-1</f>
        <v>-0.40728341156294146</v>
      </c>
      <c r="I27" s="130">
        <f t="shared" si="0"/>
        <v>316.61918475100975</v>
      </c>
      <c r="J27" s="130">
        <f t="shared" si="4"/>
        <v>0.16837631373112183</v>
      </c>
      <c r="L27" s="90"/>
      <c r="M27" s="90"/>
      <c r="P27" s="129" t="s">
        <v>375</v>
      </c>
      <c r="Q27" s="116">
        <v>7182769</v>
      </c>
      <c r="R27" s="116">
        <v>9475559209</v>
      </c>
      <c r="S27" s="116">
        <v>22685.83</v>
      </c>
      <c r="T27" s="130">
        <f t="shared" ref="T27" si="13">Q27/S27</f>
        <v>316.61918475100975</v>
      </c>
      <c r="U27" s="78"/>
    </row>
    <row r="28" spans="1:21" s="79" customFormat="1" ht="13.2" hidden="1">
      <c r="A28" s="123" t="s">
        <v>413</v>
      </c>
      <c r="B28" s="131">
        <f>SUM(F26:F28)</f>
        <v>1062655.0263157894</v>
      </c>
      <c r="C28" s="131">
        <f>AVERAGE(F26:F28)</f>
        <v>354218.34210526315</v>
      </c>
      <c r="D28" s="90">
        <f>C28/C25-1</f>
        <v>-1.687631025849512E-2</v>
      </c>
      <c r="E28" s="286">
        <f>C28/C16-1</f>
        <v>-0.35149665651891404</v>
      </c>
      <c r="F28" s="78">
        <f>Q28/19</f>
        <v>411744.15789473685</v>
      </c>
      <c r="G28" s="90">
        <f t="shared" ref="G28" si="14">F28/F27-1</f>
        <v>0.26112526710579309</v>
      </c>
      <c r="H28" s="90">
        <f t="shared" ref="H28" si="15">F28/F16-1</f>
        <v>-0.15217430820202515</v>
      </c>
      <c r="I28" s="130">
        <f t="shared" si="0"/>
        <v>392.87223015686487</v>
      </c>
      <c r="J28" s="130">
        <f t="shared" si="4"/>
        <v>0.35355698835347305</v>
      </c>
      <c r="K28" s="78">
        <f>R26+R27+R28</f>
        <v>27978970183</v>
      </c>
      <c r="L28" s="90">
        <f>U28/U25-1</f>
        <v>-5.2352011877833227E-2</v>
      </c>
      <c r="M28" s="90">
        <f>U28/U16-1</f>
        <v>-0.39246354422079821</v>
      </c>
      <c r="N28" s="88">
        <f>AVERAGE(T26:T28)</f>
        <v>318.44508864200264</v>
      </c>
      <c r="O28" s="91">
        <f>N28/N25-1</f>
        <v>0.19361955560975685</v>
      </c>
      <c r="P28" s="129" t="s">
        <v>413</v>
      </c>
      <c r="Q28" s="116">
        <v>7823139</v>
      </c>
      <c r="R28" s="116">
        <v>10191969502</v>
      </c>
      <c r="S28" s="116">
        <v>19912.68</v>
      </c>
      <c r="T28" s="130">
        <f t="shared" ref="T28" si="16">Q28/S28</f>
        <v>392.87223015686487</v>
      </c>
      <c r="U28" s="85">
        <f>Q26+Q27+Q28</f>
        <v>21169914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328765.09090909088</v>
      </c>
      <c r="G29" s="190">
        <f t="shared" ref="G29" si="17">F29/F28-1</f>
        <v>-0.20153064808477439</v>
      </c>
      <c r="H29" s="190">
        <f t="shared" ref="H29" si="18">F29/F17-1</f>
        <v>-0.25692283685115891</v>
      </c>
      <c r="I29" s="130">
        <f t="shared" si="0"/>
        <v>309.43774971539023</v>
      </c>
      <c r="J29" s="130">
        <f t="shared" si="4"/>
        <v>4.8585444327124971E-2</v>
      </c>
      <c r="K29" s="136"/>
      <c r="L29" s="190"/>
      <c r="M29" s="190"/>
      <c r="N29" s="191"/>
      <c r="O29" s="192"/>
      <c r="P29" s="129" t="s">
        <v>427</v>
      </c>
      <c r="Q29" s="116">
        <v>7232832</v>
      </c>
      <c r="R29" s="116">
        <v>9526828448</v>
      </c>
      <c r="S29" s="116">
        <v>23374.11</v>
      </c>
      <c r="T29" s="130">
        <f t="shared" ref="T29" si="19">Q29/S29</f>
        <v>309.43774971539023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351482.84210526315</v>
      </c>
      <c r="G30" s="190">
        <f t="shared" ref="G30" si="20">F30/F29-1</f>
        <v>6.9100253720228766E-2</v>
      </c>
      <c r="H30" s="190">
        <f t="shared" ref="H30" si="21">F30/F18-1</f>
        <v>-0.47608882016558318</v>
      </c>
      <c r="I30" s="130">
        <f t="shared" si="0"/>
        <v>408.70823288785419</v>
      </c>
      <c r="J30" s="130">
        <f t="shared" si="4"/>
        <v>-9.6868011739795867E-2</v>
      </c>
      <c r="K30" s="136"/>
      <c r="L30" s="190"/>
      <c r="M30" s="190"/>
      <c r="N30" s="191"/>
      <c r="O30" s="192"/>
      <c r="P30" s="129" t="s">
        <v>466</v>
      </c>
      <c r="Q30" s="116">
        <v>6678174</v>
      </c>
      <c r="R30" s="116">
        <v>8899642382</v>
      </c>
      <c r="S30" s="116">
        <v>16339.71</v>
      </c>
      <c r="T30" s="130">
        <f t="shared" ref="T30" si="22">Q30/S30</f>
        <v>408.70823288785419</v>
      </c>
      <c r="U30" s="85"/>
    </row>
    <row r="31" spans="1:21" s="79" customFormat="1" ht="13.2" hidden="1">
      <c r="A31" s="129" t="s">
        <v>505</v>
      </c>
      <c r="B31" s="188">
        <f>SUM(F29:F31)</f>
        <v>1168889.6330143539</v>
      </c>
      <c r="C31" s="188">
        <f>AVERAGE(F29:F31)</f>
        <v>389629.87767145131</v>
      </c>
      <c r="D31" s="190">
        <f>C31/C28-1</f>
        <v>9.9970925716954762E-2</v>
      </c>
      <c r="E31" s="287">
        <f>C31/C19-1</f>
        <v>-0.26584408546684946</v>
      </c>
      <c r="F31" s="136">
        <f>Q31/20</f>
        <v>488641.7</v>
      </c>
      <c r="G31" s="190">
        <f t="shared" ref="G31" si="23">F31/F30-1</f>
        <v>0.39022917042892269</v>
      </c>
      <c r="H31" s="190">
        <f t="shared" ref="H31" si="24">F31/F19-1</f>
        <v>2.0481107446279179E-2</v>
      </c>
      <c r="I31" s="130">
        <f t="shared" si="0"/>
        <v>382.40694691015182</v>
      </c>
      <c r="J31" s="130">
        <f t="shared" si="4"/>
        <v>1.0860812717124846</v>
      </c>
      <c r="K31" s="136">
        <f>R29+R30+R31</f>
        <v>31410853395</v>
      </c>
      <c r="L31" s="190">
        <f>U31/U28-1</f>
        <v>0.11874993918255883</v>
      </c>
      <c r="M31" s="190">
        <f>U31/U19-1</f>
        <v>-0.27794841576684248</v>
      </c>
      <c r="N31" s="191">
        <f>AVERAGE(T29:T31)</f>
        <v>366.85097650446545</v>
      </c>
      <c r="O31" s="192">
        <f>N31/N28-1</f>
        <v>0.15200701655939475</v>
      </c>
      <c r="P31" s="129" t="s">
        <v>506</v>
      </c>
      <c r="Q31" s="116">
        <v>9772834</v>
      </c>
      <c r="R31" s="116">
        <v>12984382565</v>
      </c>
      <c r="S31" s="116">
        <v>25556.11</v>
      </c>
      <c r="T31" s="130">
        <f t="shared" ref="T31" si="25">Q31/S31</f>
        <v>382.40694691015182</v>
      </c>
      <c r="U31" s="85">
        <f>Q29+Q30+Q31</f>
        <v>23683840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346195.90476190473</v>
      </c>
      <c r="G32" s="190">
        <f t="shared" ref="G32" si="26">F32/F31-1</f>
        <v>-0.29151379269942634</v>
      </c>
      <c r="H32" s="190">
        <f t="shared" ref="H32" si="27">F32/F20-1</f>
        <v>-0.33654726881258146</v>
      </c>
      <c r="I32" s="130">
        <f t="shared" si="0"/>
        <v>335.11616640492366</v>
      </c>
      <c r="J32" s="130">
        <f t="shared" si="4"/>
        <v>0.56130703647265023</v>
      </c>
      <c r="K32" s="136"/>
      <c r="L32" s="190"/>
      <c r="M32" s="190"/>
      <c r="N32" s="191"/>
      <c r="O32" s="192"/>
      <c r="P32" s="129" t="s">
        <v>562</v>
      </c>
      <c r="Q32" s="116">
        <v>7270114</v>
      </c>
      <c r="R32" s="116">
        <v>9870857705</v>
      </c>
      <c r="S32" s="116">
        <v>21694.31</v>
      </c>
      <c r="T32" s="130">
        <f t="shared" ref="T32" si="28">Q32/S32</f>
        <v>335.11616640492366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547681.85714285716</v>
      </c>
      <c r="G33" s="190">
        <f t="shared" ref="G33" si="29">F33/F32-1</f>
        <v>0.58199981458337535</v>
      </c>
      <c r="H33" s="190">
        <f t="shared" ref="H33" si="30">F33/F21-1</f>
        <v>0.35180672932140378</v>
      </c>
      <c r="I33" s="130">
        <f t="shared" si="0"/>
        <v>88.033299101237176</v>
      </c>
      <c r="J33" s="130">
        <f t="shared" si="4"/>
        <v>-0.79172889926303247</v>
      </c>
      <c r="K33" s="136"/>
      <c r="L33" s="190"/>
      <c r="M33" s="190"/>
      <c r="N33" s="191"/>
      <c r="O33" s="192"/>
      <c r="P33" s="129" t="s">
        <v>607</v>
      </c>
      <c r="Q33" s="116">
        <v>11501319</v>
      </c>
      <c r="R33" s="116">
        <v>15711774481</v>
      </c>
      <c r="S33" s="116">
        <v>130647.37</v>
      </c>
      <c r="T33" s="130">
        <f t="shared" ref="T33" si="31">Q33/S33</f>
        <v>88.033299101237176</v>
      </c>
      <c r="U33" s="85"/>
    </row>
    <row r="34" spans="1:21" s="79" customFormat="1" ht="13.2" hidden="1">
      <c r="A34" s="129" t="s">
        <v>652</v>
      </c>
      <c r="B34" s="188">
        <f>SUM(F32:F34)</f>
        <v>1420304.5513784462</v>
      </c>
      <c r="C34" s="188">
        <f>AVERAGE(F32:F34)</f>
        <v>473434.85045948206</v>
      </c>
      <c r="D34" s="190">
        <f>C34/C31-1</f>
        <v>0.21508867155895528</v>
      </c>
      <c r="E34" s="287">
        <f>C34/C22-1</f>
        <v>6.7834561029245455E-2</v>
      </c>
      <c r="F34" s="136">
        <f>Q34/19</f>
        <v>526426.78947368416</v>
      </c>
      <c r="G34" s="190">
        <f t="shared" ref="G34" si="32">F34/F33-1</f>
        <v>-3.880915058982648E-2</v>
      </c>
      <c r="H34" s="190">
        <f t="shared" ref="H34" si="33">F34/F22-1</f>
        <v>0.30587554780186532</v>
      </c>
      <c r="I34" s="130">
        <f t="shared" si="0"/>
        <v>143.91552731185357</v>
      </c>
      <c r="J34" s="130">
        <f t="shared" si="4"/>
        <v>-0.50920922289645598</v>
      </c>
      <c r="K34" s="136">
        <f>R32+R33+R34</f>
        <v>39328258220</v>
      </c>
      <c r="L34" s="190">
        <f>U34/U31-1</f>
        <v>0.21490189090958234</v>
      </c>
      <c r="M34" s="190">
        <f>U34/U22-1</f>
        <v>4.9751742566742641E-2</v>
      </c>
      <c r="N34" s="191">
        <f>AVERAGE(T32:T34)</f>
        <v>189.02166427267147</v>
      </c>
      <c r="O34" s="192">
        <f>N34/N31-1</f>
        <v>-0.4847453697036278</v>
      </c>
      <c r="P34" s="129" t="s">
        <v>652</v>
      </c>
      <c r="Q34" s="116">
        <v>10002109</v>
      </c>
      <c r="R34" s="116">
        <v>13745626034</v>
      </c>
      <c r="S34" s="116">
        <v>69499.86</v>
      </c>
      <c r="T34" s="130">
        <f t="shared" ref="T34" si="34">Q34/S34</f>
        <v>143.91552731185357</v>
      </c>
      <c r="U34" s="85">
        <f>Q32+Q33+Q34</f>
        <v>28773542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413875.17391304346</v>
      </c>
      <c r="G35" s="190">
        <f t="shared" ref="G35" si="35">F35/F34-1</f>
        <v>-0.2138029785170481</v>
      </c>
      <c r="H35" s="190">
        <f t="shared" ref="H35" si="36">F35/F23-1</f>
        <v>-2.1245220918120866E-2</v>
      </c>
      <c r="I35" s="130">
        <f t="shared" si="0"/>
        <v>351.91008170458366</v>
      </c>
      <c r="J35" s="130">
        <f t="shared" si="4"/>
        <v>0.66065596357380785</v>
      </c>
      <c r="K35" s="136"/>
      <c r="L35" s="190"/>
      <c r="M35" s="190"/>
      <c r="N35" s="191"/>
      <c r="O35" s="192"/>
      <c r="P35" s="129" t="s">
        <v>660</v>
      </c>
      <c r="Q35" s="116">
        <v>9519129</v>
      </c>
      <c r="R35" s="116">
        <v>13182333475</v>
      </c>
      <c r="S35" s="116">
        <v>27049.89</v>
      </c>
      <c r="T35" s="130">
        <f t="shared" ref="T35" si="37">Q35/S35</f>
        <v>351.91008170458366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459276.71428571426</v>
      </c>
      <c r="G36" s="190">
        <f t="shared" ref="G36" si="38">F36/F35-1</f>
        <v>0.10969863194116058</v>
      </c>
      <c r="H36" s="190">
        <f t="shared" ref="H36" si="39">F36/F24-1</f>
        <v>0.44022754289902499</v>
      </c>
      <c r="I36" s="130">
        <f t="shared" si="0"/>
        <v>362.07425877498247</v>
      </c>
      <c r="J36" s="130">
        <f t="shared" si="4"/>
        <v>0.41581200802729534</v>
      </c>
      <c r="K36" s="136"/>
      <c r="L36" s="190"/>
      <c r="M36" s="190"/>
      <c r="N36" s="191"/>
      <c r="O36" s="192"/>
      <c r="P36" s="129" t="s">
        <v>664</v>
      </c>
      <c r="Q36" s="116">
        <v>9644811</v>
      </c>
      <c r="R36" s="116">
        <v>13198023493</v>
      </c>
      <c r="S36" s="116">
        <v>26637.66</v>
      </c>
      <c r="T36" s="130">
        <f t="shared" ref="T36" si="40">Q36/S36</f>
        <v>362.07425877498247</v>
      </c>
      <c r="U36" s="85"/>
    </row>
    <row r="37" spans="1:21" s="79" customFormat="1" ht="13.2" hidden="1">
      <c r="A37" s="129" t="s">
        <v>702</v>
      </c>
      <c r="B37" s="188">
        <f>SUM(F35:F37)</f>
        <v>1344861.1659765355</v>
      </c>
      <c r="C37" s="188">
        <f>AVERAGE(F35:F37)</f>
        <v>448287.05532551184</v>
      </c>
      <c r="D37" s="190">
        <f>C37/C34-1</f>
        <v>-5.311775233606808E-2</v>
      </c>
      <c r="E37" s="287">
        <f>C37/C25-1</f>
        <v>0.24420892852579046</v>
      </c>
      <c r="F37" s="136">
        <f>Q37/18</f>
        <v>471709.27777777775</v>
      </c>
      <c r="G37" s="190">
        <f t="shared" ref="G37" si="41">F37/F36-1</f>
        <v>2.7069875535490784E-2</v>
      </c>
      <c r="H37" s="190">
        <f t="shared" ref="H37" si="42">F37/F25-1</f>
        <v>0.39087420811564688</v>
      </c>
      <c r="I37" s="130">
        <f t="shared" si="0"/>
        <v>317.29062765552749</v>
      </c>
      <c r="J37" s="130">
        <f t="shared" si="4"/>
        <v>-4.6378919163468924E-2</v>
      </c>
      <c r="K37" s="136">
        <f>R35+R36+R37</f>
        <v>37714618072</v>
      </c>
      <c r="L37" s="190">
        <f>U37/U34-1</f>
        <v>-3.8884159621363268E-2</v>
      </c>
      <c r="M37" s="190">
        <f>U37/U25-1</f>
        <v>0.23793263641307205</v>
      </c>
      <c r="N37" s="191">
        <f>AVERAGE(T35:T37)</f>
        <v>343.75832271169787</v>
      </c>
      <c r="O37" s="192">
        <f>N37/N34-1</f>
        <v>0.81861864371172</v>
      </c>
      <c r="P37" s="129" t="s">
        <v>702</v>
      </c>
      <c r="Q37" s="116">
        <v>8490767</v>
      </c>
      <c r="R37" s="116">
        <v>11334261104</v>
      </c>
      <c r="S37" s="116">
        <v>26760.22</v>
      </c>
      <c r="T37" s="130">
        <f t="shared" ref="T37" si="43">Q37/S37</f>
        <v>317.29062765552749</v>
      </c>
      <c r="U37" s="85">
        <f>Q35+Q36+Q37</f>
        <v>27654707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705254.45</v>
      </c>
      <c r="G38" s="190">
        <f t="shared" ref="G38" si="44">F38/F37-1</f>
        <v>0.49510404654844486</v>
      </c>
      <c r="H38" s="190">
        <f t="shared" ref="H38" si="45">F38/F26-1</f>
        <v>1.1738840860959576</v>
      </c>
      <c r="I38" s="130">
        <f t="shared" si="0"/>
        <v>126.81856266788968</v>
      </c>
      <c r="J38" s="130">
        <f t="shared" si="4"/>
        <v>-0.48414995069965905</v>
      </c>
      <c r="K38" s="136"/>
      <c r="L38" s="190"/>
      <c r="M38" s="190"/>
      <c r="N38" s="191"/>
      <c r="O38" s="192"/>
      <c r="P38" s="129" t="s">
        <v>728</v>
      </c>
      <c r="Q38" s="116">
        <v>14105089</v>
      </c>
      <c r="R38" s="116">
        <v>18951228189</v>
      </c>
      <c r="S38" s="116">
        <v>111222.59</v>
      </c>
      <c r="T38" s="130">
        <f t="shared" ref="T38" si="46">Q38/S38</f>
        <v>126.81856266788968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438454.23809523811</v>
      </c>
      <c r="G39" s="190">
        <f t="shared" ref="G39" si="47">F39/F38-1</f>
        <v>-0.37830347884336191</v>
      </c>
      <c r="H39" s="190">
        <f t="shared" ref="H39" si="48">F39/F27-1</f>
        <v>0.34293518810019341</v>
      </c>
      <c r="I39" s="130">
        <f t="shared" si="0"/>
        <v>397.72115275796796</v>
      </c>
      <c r="J39" s="130">
        <f t="shared" si="4"/>
        <v>0.25614988577125231</v>
      </c>
      <c r="K39" s="136"/>
      <c r="L39" s="190"/>
      <c r="M39" s="190"/>
      <c r="N39" s="191"/>
      <c r="O39" s="192"/>
      <c r="P39" s="129" t="s">
        <v>762</v>
      </c>
      <c r="Q39" s="116">
        <v>9207539</v>
      </c>
      <c r="R39" s="116">
        <v>12805501372</v>
      </c>
      <c r="S39" s="116">
        <v>23150.74</v>
      </c>
      <c r="T39" s="130">
        <f t="shared" ref="T39" si="49">Q39/S39</f>
        <v>397.72115275796796</v>
      </c>
      <c r="U39" s="85"/>
    </row>
    <row r="40" spans="1:21" s="79" customFormat="1" ht="13.2" hidden="1">
      <c r="A40" s="129" t="s">
        <v>778</v>
      </c>
      <c r="B40" s="188">
        <f>SUM(F38:F40)</f>
        <v>1631312.0690476191</v>
      </c>
      <c r="C40" s="188">
        <f>AVERAGE(F38:F40)</f>
        <v>543770.68968253967</v>
      </c>
      <c r="D40" s="190">
        <f>C40/C37-1</f>
        <v>0.21299663513079792</v>
      </c>
      <c r="E40" s="287">
        <f>C40/C28-1</f>
        <v>0.53512854938761811</v>
      </c>
      <c r="F40" s="136">
        <f>Q40/21</f>
        <v>487603.38095238095</v>
      </c>
      <c r="G40" s="190">
        <f t="shared" ref="G40" si="50">F40/F39-1</f>
        <v>0.11209640274127541</v>
      </c>
      <c r="H40" s="190">
        <f t="shared" ref="H40" si="51">F40/F28-1</f>
        <v>0.18423873563990578</v>
      </c>
      <c r="I40" s="130">
        <f t="shared" si="0"/>
        <v>288.22790439758711</v>
      </c>
      <c r="J40" s="130">
        <f t="shared" si="4"/>
        <v>-0.26635714547066791</v>
      </c>
      <c r="K40" s="136">
        <f>R38+R39+R40</f>
        <v>46294096574</v>
      </c>
      <c r="L40" s="190">
        <f>U40/U37-1</f>
        <v>0.21325816252546081</v>
      </c>
      <c r="M40" s="190">
        <f>U40/U28-1</f>
        <v>0.58490483239563473</v>
      </c>
      <c r="N40" s="191">
        <f>AVERAGE(T38:T40)</f>
        <v>270.92253994114822</v>
      </c>
      <c r="O40" s="192">
        <f>N40/N37-1</f>
        <v>-0.21188078355745099</v>
      </c>
      <c r="P40" s="129" t="s">
        <v>778</v>
      </c>
      <c r="Q40" s="116">
        <v>10239671</v>
      </c>
      <c r="R40" s="116">
        <v>14537367013</v>
      </c>
      <c r="S40" s="116">
        <v>35526.300000000003</v>
      </c>
      <c r="T40" s="130">
        <f t="shared" ref="T40" si="52">Q40/S40</f>
        <v>288.22790439758711</v>
      </c>
      <c r="U40" s="85">
        <f>Q38+Q39+Q40</f>
        <v>33552299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515972.77777777775</v>
      </c>
      <c r="G41" s="190">
        <f t="shared" ref="G41" si="53">F41/F40-1</f>
        <v>5.8181296384750336E-2</v>
      </c>
      <c r="H41" s="190">
        <f t="shared" ref="H41" si="54">F41/F29-1</f>
        <v>0.56942690098582571</v>
      </c>
      <c r="I41" s="130">
        <f t="shared" si="0"/>
        <v>379.14162021378866</v>
      </c>
      <c r="J41" s="130">
        <f t="shared" si="4"/>
        <v>0.22525975115353436</v>
      </c>
      <c r="K41" s="193"/>
      <c r="L41" s="190"/>
      <c r="M41" s="190"/>
      <c r="N41" s="193"/>
      <c r="O41" s="193"/>
      <c r="P41" s="129" t="s">
        <v>792</v>
      </c>
      <c r="Q41" s="116">
        <v>9287510</v>
      </c>
      <c r="R41" s="116">
        <v>13588593048</v>
      </c>
      <c r="S41" s="116">
        <v>24496.15</v>
      </c>
      <c r="T41" s="130">
        <f t="shared" ref="T41" si="55">Q41/S41</f>
        <v>379.14162021378866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519531.25</v>
      </c>
      <c r="G42" s="190">
        <f t="shared" ref="G42" si="56">F42/F41-1</f>
        <v>6.8966278367399436E-3</v>
      </c>
      <c r="H42" s="190">
        <f t="shared" ref="H42" si="57">F42/F30-1</f>
        <v>0.47811269218202468</v>
      </c>
      <c r="I42" s="130">
        <f t="shared" si="0"/>
        <v>424.81146292342652</v>
      </c>
      <c r="J42" s="130">
        <f t="shared" si="4"/>
        <v>3.9400307455981443E-2</v>
      </c>
      <c r="K42" s="193"/>
      <c r="L42" s="190"/>
      <c r="M42" s="190"/>
      <c r="N42" s="193"/>
      <c r="O42" s="193"/>
      <c r="P42" s="129" t="s">
        <v>826</v>
      </c>
      <c r="Q42" s="116">
        <v>10390625</v>
      </c>
      <c r="R42" s="116">
        <v>15013603889</v>
      </c>
      <c r="S42" s="116">
        <v>24459.38</v>
      </c>
      <c r="T42" s="130">
        <f t="shared" ref="T42" si="58">Q42/S42</f>
        <v>424.81146292342652</v>
      </c>
      <c r="U42" s="78"/>
    </row>
    <row r="43" spans="1:21" s="79" customFormat="1" ht="13.2">
      <c r="A43" s="129" t="s">
        <v>835</v>
      </c>
      <c r="B43" s="188">
        <f>SUM(F41:F43)</f>
        <v>1618115.0277777778</v>
      </c>
      <c r="C43" s="188">
        <f>AVERAGE(F41:F43)</f>
        <v>539371.67592592596</v>
      </c>
      <c r="D43" s="190">
        <f>C43/C40-1</f>
        <v>-8.0898324239982999E-3</v>
      </c>
      <c r="E43" s="287">
        <f>C43/C31-1</f>
        <v>0.38431805884440373</v>
      </c>
      <c r="F43" s="136">
        <f>Q43/20</f>
        <v>582611</v>
      </c>
      <c r="G43" s="190">
        <f t="shared" ref="G43" si="59">F43/F42-1</f>
        <v>0.12141666165413545</v>
      </c>
      <c r="H43" s="190">
        <f t="shared" ref="H43" si="60">F43/F31-1</f>
        <v>0.19230716494314737</v>
      </c>
      <c r="I43" s="130">
        <f t="shared" si="0"/>
        <v>306.38234543194704</v>
      </c>
      <c r="J43" s="130">
        <f t="shared" si="4"/>
        <v>-0.19880549266294345</v>
      </c>
      <c r="K43" s="136">
        <f>R41+R42+R43</f>
        <v>45488104099</v>
      </c>
      <c r="L43" s="190">
        <f>U43/U40-1</f>
        <v>-6.6223301121630995E-2</v>
      </c>
      <c r="M43" s="190">
        <f>K43/K31-1</f>
        <v>0.44816517803495359</v>
      </c>
      <c r="N43" s="191">
        <f>AVERAGE(T41:T43)</f>
        <v>370.11180952305403</v>
      </c>
      <c r="O43" s="192">
        <f>N43/N40-1</f>
        <v>0.36611671219180386</v>
      </c>
      <c r="P43" s="129" t="s">
        <v>835</v>
      </c>
      <c r="Q43" s="116">
        <v>11652220</v>
      </c>
      <c r="R43" s="116">
        <v>16885907162</v>
      </c>
      <c r="S43" s="116">
        <v>38031.629999999997</v>
      </c>
      <c r="T43" s="130">
        <f t="shared" ref="T43" si="61">Q43/S43</f>
        <v>306.38234543194704</v>
      </c>
      <c r="U43" s="85">
        <f>Q41+Q42+Q43</f>
        <v>31330355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643977.54545454541</v>
      </c>
      <c r="G44" s="190">
        <f t="shared" ref="G44" si="62">F44/F43-1</f>
        <v>0.10533022111588242</v>
      </c>
      <c r="H44" s="190">
        <f t="shared" ref="H44" si="63">F44/F32-1</f>
        <v>0.86015356217872996</v>
      </c>
      <c r="I44" s="130">
        <f t="shared" si="0"/>
        <v>253.73189446620242</v>
      </c>
      <c r="J44" s="130">
        <f t="shared" si="4"/>
        <v>-0.24285391185928029</v>
      </c>
      <c r="K44" s="136"/>
      <c r="L44" s="190"/>
      <c r="M44" s="190"/>
      <c r="N44" s="191"/>
      <c r="O44" s="192"/>
      <c r="P44" s="129" t="s">
        <v>843</v>
      </c>
      <c r="Q44" s="116">
        <v>14167506</v>
      </c>
      <c r="R44" s="116">
        <v>20548833731</v>
      </c>
      <c r="S44" s="116">
        <v>55836.52</v>
      </c>
      <c r="T44" s="130">
        <f t="shared" ref="T44" si="64">Q44/S44</f>
        <v>253.73189446620242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670565</v>
      </c>
      <c r="G45" s="190">
        <f t="shared" ref="G45" si="65">F45/F44-1</f>
        <v>4.128630684892598E-2</v>
      </c>
      <c r="H45" s="190">
        <f t="shared" ref="H45" si="66">F45/F33-1</f>
        <v>0.22436957013365166</v>
      </c>
      <c r="I45" s="130">
        <f t="shared" si="0"/>
        <v>251.29175048492169</v>
      </c>
      <c r="J45" s="130">
        <f t="shared" si="4"/>
        <v>1.8545079310947936</v>
      </c>
      <c r="K45" s="136"/>
      <c r="L45" s="190"/>
      <c r="M45" s="190"/>
      <c r="N45" s="191"/>
      <c r="O45" s="192"/>
      <c r="P45" s="129" t="s">
        <v>849</v>
      </c>
      <c r="Q45" s="116">
        <v>13411300</v>
      </c>
      <c r="R45" s="116">
        <v>18900265239</v>
      </c>
      <c r="S45" s="116">
        <v>53369.440000000002</v>
      </c>
      <c r="T45" s="130">
        <f t="shared" ref="T45" si="67">Q45/S45</f>
        <v>251.29175048492169</v>
      </c>
      <c r="U45" s="85"/>
    </row>
    <row r="46" spans="1:21" s="79" customFormat="1" ht="13.2">
      <c r="A46" s="129" t="s">
        <v>888</v>
      </c>
      <c r="B46" s="188">
        <f>SUM(F44:F46)</f>
        <v>1965390.3349282295</v>
      </c>
      <c r="C46" s="188">
        <f>AVERAGE(F44:F46)</f>
        <v>655130.11164274311</v>
      </c>
      <c r="D46" s="190">
        <f>C46/C43-1</f>
        <v>0.2146171941974846</v>
      </c>
      <c r="E46" s="287">
        <f>C46/C34-1</f>
        <v>0.38378091728338259</v>
      </c>
      <c r="F46" s="136">
        <f>Q46/19</f>
        <v>650847.78947368416</v>
      </c>
      <c r="G46" s="190">
        <f t="shared" ref="G46" si="68">F46/F45-1</f>
        <v>-2.9403876620932912E-2</v>
      </c>
      <c r="H46" s="190">
        <f t="shared" ref="H46" si="69">F46/F34-1</f>
        <v>0.23635005377365914</v>
      </c>
      <c r="I46" s="130">
        <f t="shared" si="0"/>
        <v>247.57295139976796</v>
      </c>
      <c r="J46" s="130">
        <f t="shared" si="4"/>
        <v>0.72026574216204597</v>
      </c>
      <c r="K46" s="136">
        <f>R44+R45+R46</f>
        <v>56387913397</v>
      </c>
      <c r="L46" s="190">
        <f>U46/U43-1</f>
        <v>0.2749588697606522</v>
      </c>
      <c r="M46" s="190">
        <f>K46/K34-1</f>
        <v>0.43377601625704543</v>
      </c>
      <c r="N46" s="191">
        <f>AVERAGE(T44:T46)</f>
        <v>250.865532116964</v>
      </c>
      <c r="O46" s="192">
        <f>N46/N43-1</f>
        <v>-0.32218987435109725</v>
      </c>
      <c r="P46" s="129" t="s">
        <v>928</v>
      </c>
      <c r="Q46" s="116">
        <v>12366108</v>
      </c>
      <c r="R46" s="116">
        <v>16938814427</v>
      </c>
      <c r="S46" s="116">
        <v>49949.35</v>
      </c>
      <c r="T46" s="130">
        <f t="shared" ref="T46" si="70">Q46/S46</f>
        <v>247.57295139976796</v>
      </c>
      <c r="U46" s="85">
        <f t="shared" ref="U46:U51" si="71">Q44+Q45+Q46</f>
        <v>39944914</v>
      </c>
    </row>
    <row r="47" spans="1:21" s="79" customFormat="1" ht="13.2">
      <c r="A47" s="129" t="s">
        <v>1004</v>
      </c>
      <c r="B47" s="188"/>
      <c r="C47" s="188"/>
      <c r="D47" s="190"/>
      <c r="E47" s="287"/>
      <c r="F47" s="136">
        <f>Q47/23</f>
        <v>564769.73913043481</v>
      </c>
      <c r="G47" s="190">
        <f t="shared" ref="G47" si="72">F47/F46-1</f>
        <v>-0.13225527033418583</v>
      </c>
      <c r="H47" s="190">
        <f t="shared" ref="H47" si="73">F47/F35-1</f>
        <v>0.36458955435943796</v>
      </c>
      <c r="I47" s="130">
        <f t="shared" si="0"/>
        <v>283.44217047896706</v>
      </c>
      <c r="J47" s="130">
        <f t="shared" si="4"/>
        <v>-0.19456081193801389</v>
      </c>
      <c r="K47" s="136"/>
      <c r="L47" s="190"/>
      <c r="M47" s="190"/>
      <c r="N47" s="191"/>
      <c r="O47" s="192"/>
      <c r="P47" s="129" t="s">
        <v>991</v>
      </c>
      <c r="Q47" s="116">
        <v>12989704</v>
      </c>
      <c r="R47" s="116">
        <v>17778920737</v>
      </c>
      <c r="S47" s="116">
        <v>45828.41</v>
      </c>
      <c r="T47" s="130">
        <f t="shared" ref="T47" si="74">Q47/S47</f>
        <v>283.44217047896706</v>
      </c>
      <c r="U47" s="85">
        <f t="shared" si="71"/>
        <v>38767112</v>
      </c>
    </row>
    <row r="48" spans="1:21" s="79" customFormat="1" ht="13.2">
      <c r="A48" s="129" t="s">
        <v>1088</v>
      </c>
      <c r="B48" s="188"/>
      <c r="C48" s="188"/>
      <c r="D48" s="190"/>
      <c r="E48" s="287"/>
      <c r="F48" s="136">
        <f>Q48/20</f>
        <v>432901.55</v>
      </c>
      <c r="G48" s="190">
        <f t="shared" ref="G48" si="75">F48/F47-1</f>
        <v>-0.23349018191638549</v>
      </c>
      <c r="H48" s="190">
        <f t="shared" ref="H48" si="76">F48/F36-1</f>
        <v>-5.7427610556598729E-2</v>
      </c>
      <c r="I48" s="130">
        <f t="shared" si="0"/>
        <v>463.97114579241628</v>
      </c>
      <c r="J48" s="130">
        <f t="shared" si="4"/>
        <v>0.28142538318571675</v>
      </c>
      <c r="K48" s="136"/>
      <c r="L48" s="190"/>
      <c r="M48" s="190"/>
      <c r="N48" s="191"/>
      <c r="O48" s="192"/>
      <c r="P48" s="129" t="s">
        <v>1127</v>
      </c>
      <c r="Q48" s="116">
        <v>8658031</v>
      </c>
      <c r="R48" s="116">
        <v>12013856127</v>
      </c>
      <c r="S48" s="116">
        <v>18660.71</v>
      </c>
      <c r="T48" s="130">
        <f t="shared" ref="T48" si="77">Q48/S48</f>
        <v>463.97114579241628</v>
      </c>
      <c r="U48" s="85">
        <f t="shared" si="71"/>
        <v>34013843</v>
      </c>
    </row>
    <row r="49" spans="1:26" ht="13.2">
      <c r="A49" s="129" t="s">
        <v>1158</v>
      </c>
      <c r="B49" s="188">
        <f>SUM(F47:F49)</f>
        <v>1522218.5618577076</v>
      </c>
      <c r="C49" s="188">
        <f>AVERAGE(F47:F49)</f>
        <v>507406.1872859025</v>
      </c>
      <c r="D49" s="190">
        <f>C49/C46-1</f>
        <v>-0.22548791718094274</v>
      </c>
      <c r="E49" s="287">
        <f>C49/C37-1</f>
        <v>0.13187784759357557</v>
      </c>
      <c r="F49" s="136">
        <f>Q49/22</f>
        <v>524547.27272727271</v>
      </c>
      <c r="G49" s="190">
        <f t="shared" ref="G49" si="78">F49/F48-1</f>
        <v>0.21170107320538056</v>
      </c>
      <c r="H49" s="190">
        <f t="shared" ref="H49" si="79">F49/F37-1</f>
        <v>0.11201389804842243</v>
      </c>
      <c r="I49" s="130">
        <f t="shared" si="0"/>
        <v>207.07389982502855</v>
      </c>
      <c r="J49" s="130">
        <f t="shared" si="4"/>
        <v>-0.3473683690088627</v>
      </c>
      <c r="K49" s="136">
        <f>R47+R48+R49</f>
        <v>45821730663</v>
      </c>
      <c r="L49" s="190">
        <f>U49/U46-1</f>
        <v>-0.16916143567113451</v>
      </c>
      <c r="M49" s="190">
        <f>K49/K37-1</f>
        <v>0.21495942436757343</v>
      </c>
      <c r="N49" s="191">
        <f>AVERAGE(T47:T49)</f>
        <v>318.16240536547065</v>
      </c>
      <c r="O49" s="192">
        <f>N49/N46-1</f>
        <v>0.2682587467501516</v>
      </c>
      <c r="P49" s="129" t="s">
        <v>1158</v>
      </c>
      <c r="Q49" s="116">
        <v>11540040</v>
      </c>
      <c r="R49" s="116">
        <v>16028953799</v>
      </c>
      <c r="S49" s="116">
        <v>55729.09</v>
      </c>
      <c r="T49" s="130">
        <f t="shared" ref="T49" si="80">Q49/S49</f>
        <v>207.07389982502855</v>
      </c>
      <c r="U49" s="85">
        <f t="shared" si="71"/>
        <v>33187775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447352.61111111112</v>
      </c>
      <c r="G50" s="190">
        <f t="shared" ref="G50" si="81">F50/F49-1</f>
        <v>-0.1471643560642385</v>
      </c>
      <c r="H50" s="190">
        <f t="shared" ref="H50" si="82">F50/F38-1</f>
        <v>-0.36568622699068232</v>
      </c>
      <c r="I50" s="130">
        <f t="shared" ref="I50" si="83">T50</f>
        <v>379.07472468601281</v>
      </c>
      <c r="J50" s="130">
        <f t="shared" ref="J50" si="84">I50/I38-1</f>
        <v>1.9891107162184714</v>
      </c>
      <c r="K50" s="136"/>
      <c r="L50" s="190"/>
      <c r="M50" s="190"/>
      <c r="N50" s="191"/>
      <c r="O50" s="192"/>
      <c r="P50" s="129" t="s">
        <v>1293</v>
      </c>
      <c r="Q50" s="116">
        <v>8052347</v>
      </c>
      <c r="R50" s="116">
        <v>11374062984</v>
      </c>
      <c r="S50" s="116">
        <v>21242.11</v>
      </c>
      <c r="T50" s="130">
        <f t="shared" ref="T50" si="85">Q50/S50</f>
        <v>379.07472468601281</v>
      </c>
      <c r="U50" s="85">
        <f t="shared" si="71"/>
        <v>28250418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484175.15</v>
      </c>
      <c r="G51" s="190">
        <f t="shared" ref="G51:G52" si="86">F51/F50-1</f>
        <v>8.2312113474493964E-2</v>
      </c>
      <c r="H51" s="190">
        <f t="shared" ref="H51:H52" si="87">F51/F39-1</f>
        <v>0.10427750020933946</v>
      </c>
      <c r="I51" s="130">
        <f t="shared" ref="I51:I52" si="88">T51</f>
        <v>279.22385969809176</v>
      </c>
      <c r="J51" s="130">
        <f t="shared" ref="J51:J52" si="89">I51/I39-1</f>
        <v>-0.29794063563922979</v>
      </c>
      <c r="K51" s="136"/>
      <c r="L51" s="190"/>
      <c r="M51" s="190"/>
      <c r="N51" s="191"/>
      <c r="O51" s="192"/>
      <c r="P51" s="129" t="s">
        <v>1402</v>
      </c>
      <c r="Q51" s="116">
        <v>9683503</v>
      </c>
      <c r="R51" s="116">
        <v>14058683748</v>
      </c>
      <c r="S51" s="116">
        <v>34680.07</v>
      </c>
      <c r="T51" s="130">
        <f t="shared" ref="T51:T52" si="90">Q51/S51</f>
        <v>279.22385969809176</v>
      </c>
      <c r="U51" s="85">
        <f t="shared" si="71"/>
        <v>29275890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1342822.6702020203</v>
      </c>
      <c r="C52" s="188">
        <f>AVERAGE(F50:F52)</f>
        <v>447607.55673400679</v>
      </c>
      <c r="D52" s="190">
        <f>C52/C49-1</f>
        <v>-0.117851599074415</v>
      </c>
      <c r="E52" s="287">
        <f>C52/C40-1</f>
        <v>-0.17684500980491269</v>
      </c>
      <c r="F52" s="136">
        <f>Q52/22</f>
        <v>411294.90909090912</v>
      </c>
      <c r="G52" s="190">
        <f t="shared" si="86"/>
        <v>-0.15052453829795043</v>
      </c>
      <c r="H52" s="190">
        <f t="shared" si="87"/>
        <v>-0.1564970113874663</v>
      </c>
      <c r="I52" s="130">
        <f t="shared" si="88"/>
        <v>352.93529361517227</v>
      </c>
      <c r="J52" s="130">
        <f t="shared" si="89"/>
        <v>0.22450077952316017</v>
      </c>
      <c r="K52" s="136">
        <f>R50+R51+R52</f>
        <v>38746346177</v>
      </c>
      <c r="L52" s="190">
        <f>U52/U49-1</f>
        <v>-0.19294565544089648</v>
      </c>
      <c r="M52" s="190">
        <f>K52/K40-1</f>
        <v>-0.16303915521788193</v>
      </c>
      <c r="N52" s="191">
        <f>AVERAGE(T50:T52)</f>
        <v>337.07795933309222</v>
      </c>
      <c r="O52" s="192">
        <f>N52/N49-1</f>
        <v>5.9452511197523261E-2</v>
      </c>
      <c r="P52" s="129" t="s">
        <v>1403</v>
      </c>
      <c r="Q52" s="116">
        <v>9048488</v>
      </c>
      <c r="R52" s="116">
        <v>13313599445</v>
      </c>
      <c r="S52" s="116">
        <v>25637.81</v>
      </c>
      <c r="T52" s="130">
        <f t="shared" si="90"/>
        <v>352.93529361517227</v>
      </c>
      <c r="U52" s="85">
        <f t="shared" ref="U52" si="91">Q50+Q51+Q52</f>
        <v>26784338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534119.66666666663</v>
      </c>
      <c r="G53" s="190">
        <f t="shared" ref="G53" si="92">F53/F52-1</f>
        <v>0.29862941373925289</v>
      </c>
      <c r="H53" s="190">
        <f t="shared" ref="H53" si="93">F53/F41-1</f>
        <v>3.5170244769588299E-2</v>
      </c>
      <c r="I53" s="130">
        <f t="shared" ref="I53" si="94">T53</f>
        <v>277.44053518641414</v>
      </c>
      <c r="J53" s="130">
        <f t="shared" ref="J53" si="95">I53/I41-1</f>
        <v>-0.2682403608710322</v>
      </c>
      <c r="K53" s="136"/>
      <c r="L53" s="190"/>
      <c r="M53" s="190"/>
      <c r="N53" s="191"/>
      <c r="O53" s="192"/>
      <c r="P53" s="129" t="s">
        <v>1414</v>
      </c>
      <c r="Q53" s="116">
        <v>11216513</v>
      </c>
      <c r="R53" s="116">
        <v>16358382475</v>
      </c>
      <c r="S53" s="116">
        <v>40428.53</v>
      </c>
      <c r="T53" s="130">
        <f t="shared" ref="T53" si="96">Q53/S53</f>
        <v>277.44053518641414</v>
      </c>
      <c r="U53" s="85">
        <f t="shared" ref="U53" si="97">Q51+Q52+Q53</f>
        <v>29948504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507317.29411764705</v>
      </c>
      <c r="G54" s="190">
        <f t="shared" ref="G54" si="98">F54/F53-1</f>
        <v>-5.0180463708231926E-2</v>
      </c>
      <c r="H54" s="190">
        <f t="shared" ref="H54" si="99">F54/F42-1</f>
        <v>-2.350956921716052E-2</v>
      </c>
      <c r="I54" s="130">
        <f t="shared" ref="I54" si="100">T54</f>
        <v>248.9844761344963</v>
      </c>
      <c r="J54" s="130">
        <f t="shared" ref="J54" si="101">I54/I42-1</f>
        <v>-0.41389416749477759</v>
      </c>
      <c r="K54" s="136"/>
      <c r="L54" s="190"/>
      <c r="M54" s="190"/>
      <c r="N54" s="191"/>
      <c r="O54" s="192"/>
      <c r="P54" s="129" t="s">
        <v>1417</v>
      </c>
      <c r="Q54" s="116">
        <v>8624394</v>
      </c>
      <c r="R54" s="116">
        <v>12492789786</v>
      </c>
      <c r="S54" s="116">
        <v>34638.28</v>
      </c>
      <c r="T54" s="130">
        <f t="shared" ref="T54" si="102">Q54/S54</f>
        <v>248.9844761344963</v>
      </c>
      <c r="U54" s="85">
        <f t="shared" ref="U54" si="103">Q52+Q53+Q54</f>
        <v>28889395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1540797.6274509805</v>
      </c>
      <c r="C55" s="188">
        <f>AVERAGE(F53:F55)</f>
        <v>513599.20915032685</v>
      </c>
      <c r="D55" s="190">
        <f>C55/C52-1</f>
        <v>0.14743194439752494</v>
      </c>
      <c r="E55" s="287">
        <f>C55/C43-1</f>
        <v>-4.7782388148870036E-2</v>
      </c>
      <c r="F55" s="136">
        <f>Q55/21</f>
        <v>499360.66666666669</v>
      </c>
      <c r="G55" s="190">
        <f t="shared" ref="G55" si="104">F55/F54-1</f>
        <v>-1.568372997182943E-2</v>
      </c>
      <c r="H55" s="190">
        <f t="shared" ref="H55" si="105">F55/F43-1</f>
        <v>-0.14289179801502772</v>
      </c>
      <c r="I55" s="130">
        <f>T55</f>
        <v>321.91805506566482</v>
      </c>
      <c r="J55" s="130">
        <f t="shared" ref="J55" si="106">I55/I43-1</f>
        <v>5.0706934865372366E-2</v>
      </c>
      <c r="K55" s="136">
        <f>R53+R54+R55</f>
        <v>44289676374</v>
      </c>
      <c r="L55" s="190">
        <f>U55/U52-1</f>
        <v>0.13228413560193264</v>
      </c>
      <c r="M55" s="190">
        <f>K55/K43-1</f>
        <v>-2.6345958987249674E-2</v>
      </c>
      <c r="N55" s="191">
        <f>AVERAGE(T53:T55)</f>
        <v>282.78102212885841</v>
      </c>
      <c r="O55" s="192">
        <f>N55/N52-1</f>
        <v>-0.16108124456330564</v>
      </c>
      <c r="P55" s="129" t="s">
        <v>1418</v>
      </c>
      <c r="Q55" s="116">
        <v>10486574</v>
      </c>
      <c r="R55" s="116">
        <v>15438504113</v>
      </c>
      <c r="S55" s="116">
        <v>32575.29</v>
      </c>
      <c r="T55" s="130">
        <f t="shared" ref="T55" si="107">Q55/S55</f>
        <v>321.91805506566482</v>
      </c>
      <c r="U55" s="85">
        <f t="shared" ref="U55" si="108">Q53+Q54+Q55</f>
        <v>30327481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516444.90909090912</v>
      </c>
      <c r="G56" s="190">
        <f t="shared" ref="G56" si="109">F56/F55-1</f>
        <v>3.4212230887713302E-2</v>
      </c>
      <c r="H56" s="190">
        <f t="shared" ref="H56" si="110">F56/F44-1</f>
        <v>-0.19803894912767273</v>
      </c>
      <c r="I56" s="291">
        <f>T56</f>
        <v>233.71821515930139</v>
      </c>
      <c r="J56" s="130">
        <f t="shared" ref="J56" si="111">I56/I44-1</f>
        <v>-7.8877270628533003E-2</v>
      </c>
      <c r="K56" s="136"/>
      <c r="L56" s="190"/>
      <c r="M56" s="190"/>
      <c r="N56" s="191"/>
      <c r="O56" s="192"/>
      <c r="P56" s="129" t="s">
        <v>1420</v>
      </c>
      <c r="Q56" s="116">
        <v>11361788</v>
      </c>
      <c r="R56" s="116">
        <v>16952998998</v>
      </c>
      <c r="S56" s="116">
        <v>48613.19</v>
      </c>
      <c r="T56" s="130">
        <f t="shared" ref="T56" si="112">Q56/S56</f>
        <v>233.71821515930139</v>
      </c>
      <c r="U56" s="85">
        <f t="shared" ref="U56" si="113">Q54+Q55+Q56</f>
        <v>30472756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635428.41666666663</v>
      </c>
      <c r="G57" s="254">
        <f t="shared" ref="G57" si="114">F57/F56-1</f>
        <v>0.23038954490848318</v>
      </c>
      <c r="H57" s="254">
        <f t="shared" ref="H57" si="115">F57/F45-1</f>
        <v>-5.2398474917917492E-2</v>
      </c>
      <c r="I57" s="282">
        <f>T57</f>
        <v>257.4369544336576</v>
      </c>
      <c r="J57" s="277">
        <f t="shared" ref="J57" si="116">I57/I45-1</f>
        <v>2.4454459554988928E-2</v>
      </c>
      <c r="K57" s="204"/>
      <c r="L57" s="254"/>
      <c r="M57" s="254"/>
      <c r="N57" s="257"/>
      <c r="O57" s="258"/>
      <c r="P57" s="129" t="s">
        <v>1436</v>
      </c>
      <c r="Q57" s="116">
        <v>7625141</v>
      </c>
      <c r="R57" s="116">
        <v>11243634399</v>
      </c>
      <c r="S57" s="116">
        <v>29619.45</v>
      </c>
      <c r="T57" s="130">
        <f t="shared" ref="T57" si="117">Q57/S57</f>
        <v>257.4369544336576</v>
      </c>
      <c r="U57" s="85">
        <f t="shared" ref="U57" si="118">Q55+Q56+Q57</f>
        <v>29473503</v>
      </c>
      <c r="V57" s="79"/>
      <c r="W57" s="79"/>
      <c r="X57" s="79"/>
      <c r="Y57" s="79"/>
      <c r="Z57" s="79"/>
    </row>
    <row r="58" spans="1:26">
      <c r="B58" s="196">
        <f>SUM(F56:F58)</f>
        <v>1151873.3257575757</v>
      </c>
      <c r="C58" s="196">
        <f>AVERAGE(F56:F58)</f>
        <v>575936.66287878784</v>
      </c>
      <c r="D58" s="197">
        <f>C58/C55-1</f>
        <v>0.12137373387234951</v>
      </c>
      <c r="E58" s="233">
        <f>C58/C46-1</f>
        <v>-0.12088201619274863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49314410</v>
      </c>
      <c r="R65" s="212">
        <v>72486309771</v>
      </c>
      <c r="S65" s="213">
        <v>185874.76</v>
      </c>
      <c r="T65" s="214">
        <v>150</v>
      </c>
      <c r="U65" s="214">
        <v>416</v>
      </c>
    </row>
    <row r="66" spans="16:21" ht="18" thickBot="1">
      <c r="P66" s="180" t="s">
        <v>976</v>
      </c>
      <c r="Q66" s="181">
        <v>11216513</v>
      </c>
      <c r="R66" s="181">
        <v>16358382475</v>
      </c>
      <c r="S66" s="182">
        <v>40428.53</v>
      </c>
      <c r="T66" s="210">
        <v>80</v>
      </c>
      <c r="U66" s="210">
        <v>211</v>
      </c>
    </row>
    <row r="67" spans="16:21" ht="18" thickBot="1">
      <c r="P67" s="180" t="s">
        <v>977</v>
      </c>
      <c r="Q67" s="181">
        <v>8624394</v>
      </c>
      <c r="R67" s="181">
        <v>12492789786</v>
      </c>
      <c r="S67" s="182">
        <v>34638.28</v>
      </c>
      <c r="T67" s="210">
        <v>74</v>
      </c>
      <c r="U67" s="210">
        <v>181</v>
      </c>
    </row>
    <row r="68" spans="16:21" ht="18" thickBot="1">
      <c r="P68" s="180" t="s">
        <v>978</v>
      </c>
      <c r="Q68" s="181">
        <v>10486574</v>
      </c>
      <c r="R68" s="181">
        <v>15438504113</v>
      </c>
      <c r="S68" s="182">
        <v>32575.29</v>
      </c>
      <c r="T68" s="210">
        <v>85</v>
      </c>
      <c r="U68" s="210">
        <v>212</v>
      </c>
    </row>
    <row r="69" spans="16:21" ht="18" thickBot="1">
      <c r="P69" s="180" t="s">
        <v>979</v>
      </c>
      <c r="Q69" s="181">
        <v>11361788</v>
      </c>
      <c r="R69" s="181">
        <v>16952998998</v>
      </c>
      <c r="S69" s="182">
        <v>48613.19</v>
      </c>
      <c r="T69" s="210">
        <v>77</v>
      </c>
      <c r="U69" s="210">
        <v>236</v>
      </c>
    </row>
    <row r="70" spans="16:21" ht="18" thickBot="1">
      <c r="P70" s="180" t="s">
        <v>980</v>
      </c>
      <c r="Q70" s="181">
        <v>7625141</v>
      </c>
      <c r="R70" s="181">
        <v>11243634399</v>
      </c>
      <c r="S70" s="182">
        <v>29619.45</v>
      </c>
      <c r="T70" s="210">
        <v>62</v>
      </c>
      <c r="U70" s="210">
        <v>164</v>
      </c>
    </row>
    <row r="71" spans="16:21" ht="18" thickBot="1">
      <c r="P71" s="215" t="s">
        <v>975</v>
      </c>
      <c r="Q71" s="216">
        <v>131402133</v>
      </c>
      <c r="R71" s="216">
        <v>186673381869</v>
      </c>
      <c r="S71" s="272">
        <v>447716.39</v>
      </c>
      <c r="T71" s="217">
        <v>228</v>
      </c>
      <c r="U71" s="217">
        <v>876</v>
      </c>
    </row>
    <row r="72" spans="16:21" ht="18" thickBot="1">
      <c r="P72" s="180" t="s">
        <v>982</v>
      </c>
      <c r="Q72" s="181">
        <v>113652</v>
      </c>
      <c r="R72"/>
      <c r="S72"/>
      <c r="T72"/>
      <c r="U72"/>
    </row>
  </sheetData>
  <phoneticPr fontId="1" type="noConversion"/>
  <conditionalFormatting sqref="C29:C30">
    <cfRule type="cellIs" dxfId="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42">
    <tabColor rgb="FFFFFF00"/>
  </sheetPr>
  <dimension ref="A1:Z74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9031419000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306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531755.1</v>
      </c>
      <c r="G5" s="90"/>
      <c r="H5" s="90"/>
      <c r="I5" s="130">
        <f t="shared" ref="I5:I49" si="0">T5</f>
        <v>93.236430328244325</v>
      </c>
      <c r="J5" s="130"/>
      <c r="L5" s="80"/>
      <c r="M5" s="80"/>
      <c r="P5" s="129" t="s">
        <v>0</v>
      </c>
      <c r="Q5" s="116">
        <v>10635102</v>
      </c>
      <c r="R5" s="116"/>
      <c r="S5" s="116">
        <v>114065.95</v>
      </c>
      <c r="T5" s="130">
        <f t="shared" ref="T5:T23" si="1">Q5/S5</f>
        <v>93.236430328244325</v>
      </c>
      <c r="U5" s="85"/>
    </row>
    <row r="6" spans="1:21" ht="15" hidden="1" customHeight="1">
      <c r="A6" s="129" t="s">
        <v>1</v>
      </c>
      <c r="C6" s="79"/>
      <c r="F6" s="78">
        <f>Q6/18</f>
        <v>1016976.1666666666</v>
      </c>
      <c r="G6" s="90">
        <f t="shared" ref="G6:G23" si="2">F6/F5-1</f>
        <v>0.91248972819756058</v>
      </c>
      <c r="H6" s="90"/>
      <c r="I6" s="130">
        <f t="shared" si="0"/>
        <v>142.60483582414648</v>
      </c>
      <c r="J6" s="130"/>
      <c r="P6" s="129" t="s">
        <v>1</v>
      </c>
      <c r="Q6" s="116">
        <v>18305571</v>
      </c>
      <c r="R6" s="116"/>
      <c r="S6" s="116">
        <v>128365.71</v>
      </c>
      <c r="T6" s="130">
        <f t="shared" si="1"/>
        <v>142.60483582414648</v>
      </c>
      <c r="U6" s="85"/>
    </row>
    <row r="7" spans="1:21" ht="15" hidden="1" customHeight="1">
      <c r="A7" s="129" t="s">
        <v>2</v>
      </c>
      <c r="B7" s="131">
        <f>F5+F6+F7</f>
        <v>2422418.9939393941</v>
      </c>
      <c r="C7" s="131">
        <f>AVERAGE(F5:F7)</f>
        <v>807472.997979798</v>
      </c>
      <c r="F7" s="78">
        <f>Q7/22</f>
        <v>873687.72727272729</v>
      </c>
      <c r="G7" s="90">
        <f t="shared" si="2"/>
        <v>-0.14089655597691586</v>
      </c>
      <c r="H7" s="90"/>
      <c r="I7" s="130">
        <f t="shared" si="0"/>
        <v>153.23438683620208</v>
      </c>
      <c r="J7" s="130"/>
      <c r="K7" s="79">
        <f>R5+R6+R7</f>
        <v>0</v>
      </c>
      <c r="N7" s="88">
        <f>AVERAGE(T5:T7)</f>
        <v>129.69188432953095</v>
      </c>
      <c r="P7" s="129" t="s">
        <v>2</v>
      </c>
      <c r="Q7" s="116">
        <v>19221130</v>
      </c>
      <c r="R7" s="116"/>
      <c r="S7" s="116">
        <v>125436.14</v>
      </c>
      <c r="T7" s="130">
        <f t="shared" si="1"/>
        <v>153.23438683620208</v>
      </c>
      <c r="U7" s="85">
        <f>Q5+Q6+Q7</f>
        <v>48161803</v>
      </c>
    </row>
    <row r="8" spans="1:21" ht="15" hidden="1" customHeight="1">
      <c r="A8" s="129" t="s">
        <v>3</v>
      </c>
      <c r="C8" s="79"/>
      <c r="F8" s="78">
        <f>Q8/21</f>
        <v>713430.80952380947</v>
      </c>
      <c r="G8" s="90">
        <f t="shared" si="2"/>
        <v>-0.18342585427996128</v>
      </c>
      <c r="H8" s="90"/>
      <c r="I8" s="130">
        <f t="shared" si="0"/>
        <v>163.66970983730306</v>
      </c>
      <c r="J8" s="130"/>
      <c r="K8" s="78"/>
      <c r="P8" s="129" t="s">
        <v>3</v>
      </c>
      <c r="Q8" s="116">
        <v>14982047</v>
      </c>
      <c r="R8" s="116"/>
      <c r="S8" s="116">
        <v>91538.3</v>
      </c>
      <c r="T8" s="130">
        <f t="shared" si="1"/>
        <v>163.66970983730306</v>
      </c>
      <c r="U8" s="85"/>
    </row>
    <row r="9" spans="1:21" ht="15" hidden="1" customHeight="1">
      <c r="A9" s="129" t="s">
        <v>4</v>
      </c>
      <c r="C9" s="79"/>
      <c r="F9" s="78">
        <f>Q9/21</f>
        <v>1373579.4285714286</v>
      </c>
      <c r="G9" s="90">
        <f t="shared" si="2"/>
        <v>0.92531554599982258</v>
      </c>
      <c r="H9" s="90"/>
      <c r="I9" s="130">
        <f t="shared" si="0"/>
        <v>172.57281444489163</v>
      </c>
      <c r="J9" s="130"/>
      <c r="K9" s="78"/>
      <c r="P9" s="129" t="s">
        <v>4</v>
      </c>
      <c r="Q9" s="116">
        <v>28845168</v>
      </c>
      <c r="R9" s="116"/>
      <c r="S9" s="116">
        <v>167147.81</v>
      </c>
      <c r="T9" s="130">
        <f t="shared" si="1"/>
        <v>172.57281444489163</v>
      </c>
      <c r="U9" s="85"/>
    </row>
    <row r="10" spans="1:21" ht="15" hidden="1" customHeight="1">
      <c r="A10" s="129" t="s">
        <v>5</v>
      </c>
      <c r="B10" s="131">
        <f>F8+F9+F10</f>
        <v>3137222.1428571427</v>
      </c>
      <c r="C10" s="131">
        <f>AVERAGE(F8:F10)</f>
        <v>1045740.7142857142</v>
      </c>
      <c r="D10" s="90">
        <f>C10/C7-1</f>
        <v>0.29507824645781833</v>
      </c>
      <c r="E10" s="286"/>
      <c r="F10" s="78">
        <f>Q10/21</f>
        <v>1050211.9047619049</v>
      </c>
      <c r="G10" s="90">
        <f t="shared" si="2"/>
        <v>-0.23541960303368659</v>
      </c>
      <c r="H10" s="90"/>
      <c r="I10" s="130">
        <f t="shared" si="0"/>
        <v>190.32776025715728</v>
      </c>
      <c r="J10" s="130"/>
      <c r="K10" s="79">
        <f>R8+R9+R10</f>
        <v>0</v>
      </c>
      <c r="L10" s="87">
        <f>U10/U7-1</f>
        <v>0.36792355967238177</v>
      </c>
      <c r="N10" s="88">
        <f>AVERAGE(T8:T10)</f>
        <v>175.52342817978399</v>
      </c>
      <c r="O10" s="89">
        <f>N10/N7-1</f>
        <v>0.35338790925267749</v>
      </c>
      <c r="P10" s="129" t="s">
        <v>5</v>
      </c>
      <c r="Q10" s="116">
        <v>22054450</v>
      </c>
      <c r="R10" s="116"/>
      <c r="S10" s="116">
        <v>115876.16</v>
      </c>
      <c r="T10" s="130">
        <f t="shared" si="1"/>
        <v>190.32776025715728</v>
      </c>
      <c r="U10" s="85">
        <f>Q8+Q9+Q10</f>
        <v>65881665</v>
      </c>
    </row>
    <row r="11" spans="1:21" ht="15" hidden="1" customHeight="1">
      <c r="A11" s="129" t="s">
        <v>6</v>
      </c>
      <c r="C11" s="79"/>
      <c r="F11" s="78">
        <f>Q11/21</f>
        <v>373301.80952380953</v>
      </c>
      <c r="G11" s="90">
        <f t="shared" si="2"/>
        <v>-0.64454620269378737</v>
      </c>
      <c r="H11" s="90"/>
      <c r="I11" s="130">
        <f t="shared" si="0"/>
        <v>132.86500114910814</v>
      </c>
      <c r="J11" s="130"/>
      <c r="K11" s="78"/>
      <c r="O11" s="89"/>
      <c r="P11" s="129" t="s">
        <v>6</v>
      </c>
      <c r="Q11" s="116">
        <v>7839338</v>
      </c>
      <c r="R11" s="116"/>
      <c r="S11" s="116">
        <v>59002.28</v>
      </c>
      <c r="T11" s="130">
        <f t="shared" si="1"/>
        <v>132.86500114910814</v>
      </c>
      <c r="U11" s="85"/>
    </row>
    <row r="12" spans="1:21" ht="15" hidden="1" customHeight="1">
      <c r="A12" s="129" t="s">
        <v>7</v>
      </c>
      <c r="C12" s="79"/>
      <c r="F12" s="78">
        <f>Q12/22</f>
        <v>1099514.8181818181</v>
      </c>
      <c r="G12" s="90">
        <f t="shared" si="2"/>
        <v>1.9453776813575558</v>
      </c>
      <c r="H12" s="90"/>
      <c r="I12" s="130">
        <f t="shared" si="0"/>
        <v>173.26719914686268</v>
      </c>
      <c r="J12" s="130"/>
      <c r="K12" s="78"/>
      <c r="O12" s="89"/>
      <c r="P12" s="129" t="s">
        <v>7</v>
      </c>
      <c r="Q12" s="116">
        <v>24189326</v>
      </c>
      <c r="R12" s="116"/>
      <c r="S12" s="116">
        <v>139607.07</v>
      </c>
      <c r="T12" s="130">
        <f t="shared" si="1"/>
        <v>173.26719914686268</v>
      </c>
      <c r="U12" s="85"/>
    </row>
    <row r="13" spans="1:21" ht="15" hidden="1" customHeight="1">
      <c r="A13" s="129" t="s">
        <v>96</v>
      </c>
      <c r="B13" s="131">
        <f>F11+F12+F13</f>
        <v>2609236.5777056273</v>
      </c>
      <c r="C13" s="131">
        <f>AVERAGE(F11:F13)</f>
        <v>869745.52590187581</v>
      </c>
      <c r="D13" s="90">
        <f>C13/C10-1</f>
        <v>-0.16829715624494035</v>
      </c>
      <c r="E13" s="286"/>
      <c r="F13" s="78">
        <f>Q13/20</f>
        <v>1136419.95</v>
      </c>
      <c r="G13" s="90">
        <f t="shared" si="2"/>
        <v>3.3564924462963663E-2</v>
      </c>
      <c r="H13" s="90"/>
      <c r="I13" s="130">
        <f t="shared" si="0"/>
        <v>264.17748537855357</v>
      </c>
      <c r="J13" s="130"/>
      <c r="K13" s="78">
        <f>R11+R12+R13</f>
        <v>0</v>
      </c>
      <c r="L13" s="87">
        <f>U13/U10-1</f>
        <v>-0.16885732927363017</v>
      </c>
      <c r="N13" s="88">
        <f>AVERAGE(T11:T13)</f>
        <v>190.10322855817481</v>
      </c>
      <c r="O13" s="89">
        <f>N13/N10-1</f>
        <v>8.3064697001343335E-2</v>
      </c>
      <c r="P13" s="129" t="s">
        <v>96</v>
      </c>
      <c r="Q13" s="116">
        <v>22728399</v>
      </c>
      <c r="R13" s="116"/>
      <c r="S13" s="116">
        <v>86034.58</v>
      </c>
      <c r="T13" s="130">
        <f t="shared" si="1"/>
        <v>264.17748537855357</v>
      </c>
      <c r="U13" s="85">
        <f>Q11+Q12+Q13</f>
        <v>54757063</v>
      </c>
    </row>
    <row r="14" spans="1:21" ht="15" hidden="1" customHeight="1">
      <c r="A14" s="129" t="s">
        <v>97</v>
      </c>
      <c r="C14" s="79"/>
      <c r="F14" s="78">
        <f>Q14/20</f>
        <v>922923.25</v>
      </c>
      <c r="G14" s="90">
        <f t="shared" si="2"/>
        <v>-0.18786778602399579</v>
      </c>
      <c r="H14" s="90"/>
      <c r="I14" s="130">
        <f t="shared" si="0"/>
        <v>195.44193827608206</v>
      </c>
      <c r="J14" s="130"/>
      <c r="O14" s="89"/>
      <c r="P14" s="129" t="s">
        <v>97</v>
      </c>
      <c r="Q14" s="116">
        <v>18458465</v>
      </c>
      <c r="R14" s="116"/>
      <c r="S14" s="116">
        <v>94444.75</v>
      </c>
      <c r="T14" s="130">
        <f t="shared" si="1"/>
        <v>195.44193827608206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428849</v>
      </c>
      <c r="G15" s="90">
        <f t="shared" si="2"/>
        <v>-0.53533622649554014</v>
      </c>
      <c r="H15" s="90"/>
      <c r="I15" s="130">
        <f t="shared" si="0"/>
        <v>118.82032016462875</v>
      </c>
      <c r="J15" s="130"/>
      <c r="O15" s="89"/>
      <c r="P15" s="129" t="s">
        <v>98</v>
      </c>
      <c r="Q15" s="116">
        <v>9434678</v>
      </c>
      <c r="R15" s="116"/>
      <c r="S15" s="116">
        <v>79402.899999999994</v>
      </c>
      <c r="T15" s="130">
        <f t="shared" si="1"/>
        <v>118.82032016462875</v>
      </c>
      <c r="U15" s="78"/>
    </row>
    <row r="16" spans="1:21" ht="15" hidden="1" customHeight="1">
      <c r="A16" s="129" t="s">
        <v>99</v>
      </c>
      <c r="B16" s="131">
        <f>F14+F15+F16</f>
        <v>1997037.4318181816</v>
      </c>
      <c r="C16" s="131">
        <f>AVERAGE(F14:F16)</f>
        <v>665679.14393939392</v>
      </c>
      <c r="D16" s="90">
        <f>C16/C13-1</f>
        <v>-0.23462768808253065</v>
      </c>
      <c r="E16" s="286"/>
      <c r="F16" s="78">
        <f>Q16/22</f>
        <v>645265.18181818177</v>
      </c>
      <c r="G16" s="90">
        <f t="shared" si="2"/>
        <v>0.50464424965006738</v>
      </c>
      <c r="H16" s="90"/>
      <c r="I16" s="130">
        <f t="shared" si="0"/>
        <v>193.23774332810848</v>
      </c>
      <c r="J16" s="130"/>
      <c r="K16" s="78">
        <f>R14+R15+R16</f>
        <v>0</v>
      </c>
      <c r="L16" s="87">
        <f>U16/U13-1</f>
        <v>-0.23135072091065223</v>
      </c>
      <c r="N16" s="88">
        <f>AVERAGE(T14:T16)</f>
        <v>169.16666725627309</v>
      </c>
      <c r="O16" s="89">
        <f>N16/N13-1</f>
        <v>-0.11013259196434311</v>
      </c>
      <c r="P16" s="129" t="s">
        <v>99</v>
      </c>
      <c r="Q16" s="116">
        <v>14195834</v>
      </c>
      <c r="R16" s="116"/>
      <c r="S16" s="116">
        <v>73463.05</v>
      </c>
      <c r="T16" s="130">
        <f t="shared" si="1"/>
        <v>193.23774332810848</v>
      </c>
      <c r="U16" s="85">
        <f>Q14+Q15+Q16</f>
        <v>42088977</v>
      </c>
    </row>
    <row r="17" spans="1:21" ht="15" hidden="1" customHeight="1">
      <c r="A17" s="129" t="s">
        <v>100</v>
      </c>
      <c r="C17" s="79"/>
      <c r="F17" s="78">
        <f>Q17/20</f>
        <v>452173.5</v>
      </c>
      <c r="G17" s="90">
        <f t="shared" si="2"/>
        <v>-0.29924391902582115</v>
      </c>
      <c r="H17" s="90">
        <f t="shared" ref="H17:H23" si="3">F17/F5-1</f>
        <v>-0.14965836716939807</v>
      </c>
      <c r="I17" s="130">
        <f t="shared" si="0"/>
        <v>148.29374310981547</v>
      </c>
      <c r="J17" s="130">
        <f t="shared" ref="J17:J49" si="4">I17/I5-1</f>
        <v>0.59051287772106509</v>
      </c>
      <c r="O17" s="89"/>
      <c r="P17" s="129" t="s">
        <v>100</v>
      </c>
      <c r="Q17" s="116">
        <v>9043470</v>
      </c>
      <c r="R17" s="116">
        <v>11392764149</v>
      </c>
      <c r="S17" s="116">
        <v>60983.49</v>
      </c>
      <c r="T17" s="130">
        <f t="shared" si="1"/>
        <v>148.29374310981547</v>
      </c>
      <c r="U17" s="78"/>
    </row>
    <row r="18" spans="1:21" ht="15" hidden="1" customHeight="1">
      <c r="A18" s="129" t="s">
        <v>106</v>
      </c>
      <c r="C18" s="79"/>
      <c r="F18" s="78">
        <f>Q18/20</f>
        <v>792548.45</v>
      </c>
      <c r="G18" s="90">
        <f t="shared" si="2"/>
        <v>0.75275298088012677</v>
      </c>
      <c r="H18" s="90">
        <f t="shared" si="3"/>
        <v>-0.22068139256623032</v>
      </c>
      <c r="I18" s="130">
        <f t="shared" si="0"/>
        <v>311.95737249940123</v>
      </c>
      <c r="J18" s="130">
        <f t="shared" si="4"/>
        <v>1.1875651740456563</v>
      </c>
      <c r="O18" s="89"/>
      <c r="P18" s="129" t="s">
        <v>106</v>
      </c>
      <c r="Q18" s="116">
        <v>15850969</v>
      </c>
      <c r="R18" s="116">
        <v>19916392197</v>
      </c>
      <c r="S18" s="116">
        <v>50811.33</v>
      </c>
      <c r="T18" s="130">
        <f t="shared" si="1"/>
        <v>311.95737249940123</v>
      </c>
      <c r="U18" s="78"/>
    </row>
    <row r="19" spans="1:21" hidden="1">
      <c r="A19" s="129" t="s">
        <v>114</v>
      </c>
      <c r="B19" s="131">
        <f>SUM(F17:F19)</f>
        <v>1859588.1772727272</v>
      </c>
      <c r="C19" s="131">
        <f>AVERAGE(F17:F19)</f>
        <v>619862.72575757571</v>
      </c>
      <c r="D19" s="90">
        <f>C19/C16-1</f>
        <v>-6.8826578989215736E-2</v>
      </c>
      <c r="E19" s="286">
        <f>C19/C7-1</f>
        <v>-0.23234247175026412</v>
      </c>
      <c r="F19" s="78">
        <f>Q19/22</f>
        <v>614866.22727272729</v>
      </c>
      <c r="G19" s="90">
        <f t="shared" si="2"/>
        <v>-0.22419099138642273</v>
      </c>
      <c r="H19" s="90">
        <f t="shared" si="3"/>
        <v>-0.29624028347969134</v>
      </c>
      <c r="I19" s="130">
        <f t="shared" si="0"/>
        <v>239.16367853298001</v>
      </c>
      <c r="J19" s="130">
        <f t="shared" si="4"/>
        <v>0.56077029099630837</v>
      </c>
      <c r="K19" s="78">
        <f>R17+R18+R19</f>
        <v>49014160945</v>
      </c>
      <c r="L19" s="87">
        <f>U19/U16-1</f>
        <v>-8.7136377774161611E-2</v>
      </c>
      <c r="M19" s="87">
        <f>U19/U7-1</f>
        <v>-0.20224132804994865</v>
      </c>
      <c r="N19" s="88">
        <f>AVERAGE(T17:T19)</f>
        <v>233.13826471406557</v>
      </c>
      <c r="O19" s="89">
        <f>N19/N16-1</f>
        <v>0.37815722503346927</v>
      </c>
      <c r="P19" s="129" t="s">
        <v>114</v>
      </c>
      <c r="Q19" s="116">
        <v>13527057</v>
      </c>
      <c r="R19" s="116">
        <v>17705004599</v>
      </c>
      <c r="S19" s="116">
        <v>56559.83</v>
      </c>
      <c r="T19" s="130">
        <f t="shared" si="1"/>
        <v>239.16367853298001</v>
      </c>
      <c r="U19" s="85">
        <f>Q17+Q18+Q19</f>
        <v>38421496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527502.6</v>
      </c>
      <c r="G20" s="90">
        <f t="shared" si="2"/>
        <v>-0.14208558446970398</v>
      </c>
      <c r="H20" s="90">
        <f t="shared" si="3"/>
        <v>-0.26061141044344605</v>
      </c>
      <c r="I20" s="130">
        <f t="shared" si="0"/>
        <v>351.35920390056748</v>
      </c>
      <c r="J20" s="130">
        <f t="shared" si="4"/>
        <v>1.146757663649788</v>
      </c>
      <c r="O20" s="89"/>
      <c r="P20" s="129" t="s">
        <v>131</v>
      </c>
      <c r="Q20" s="116">
        <v>10550052</v>
      </c>
      <c r="R20" s="116">
        <v>13848450784</v>
      </c>
      <c r="S20" s="116">
        <v>30026.400000000001</v>
      </c>
      <c r="T20" s="130">
        <f t="shared" si="1"/>
        <v>351.35920390056748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751509.19047619053</v>
      </c>
      <c r="G21" s="90">
        <f t="shared" si="2"/>
        <v>0.42465495047074753</v>
      </c>
      <c r="H21" s="90">
        <f t="shared" si="3"/>
        <v>-0.45288261104944849</v>
      </c>
      <c r="I21" s="130">
        <f t="shared" si="0"/>
        <v>422.60679718763657</v>
      </c>
      <c r="J21" s="130">
        <f t="shared" si="4"/>
        <v>1.4488607811550138</v>
      </c>
      <c r="O21" s="89"/>
      <c r="P21" s="129" t="s">
        <v>141</v>
      </c>
      <c r="Q21" s="116">
        <v>15781693</v>
      </c>
      <c r="R21" s="116">
        <v>20982021677</v>
      </c>
      <c r="S21" s="116">
        <v>37343.68</v>
      </c>
      <c r="T21" s="130">
        <f t="shared" si="1"/>
        <v>422.60679718763657</v>
      </c>
      <c r="U21" s="78"/>
    </row>
    <row r="22" spans="1:21" hidden="1">
      <c r="A22" s="129" t="s">
        <v>155</v>
      </c>
      <c r="B22" s="131">
        <f>SUM(F20:F22)</f>
        <v>2037864.4095238093</v>
      </c>
      <c r="C22" s="131">
        <f>AVERAGE(F20:F22)</f>
        <v>679288.1365079364</v>
      </c>
      <c r="D22" s="90">
        <f>C22/C19-1</f>
        <v>9.5868662981360764E-2</v>
      </c>
      <c r="E22" s="286">
        <f>C22/C10-1</f>
        <v>-0.35042393661423099</v>
      </c>
      <c r="F22" s="78">
        <f>Q22/21</f>
        <v>758852.61904761905</v>
      </c>
      <c r="G22" s="90">
        <f t="shared" si="2"/>
        <v>9.771575204257088E-3</v>
      </c>
      <c r="H22" s="90">
        <f t="shared" si="3"/>
        <v>-0.27742904493197529</v>
      </c>
      <c r="I22" s="130">
        <f t="shared" si="0"/>
        <v>327.15496862385311</v>
      </c>
      <c r="J22" s="130">
        <f t="shared" si="4"/>
        <v>0.71890305534949128</v>
      </c>
      <c r="K22" s="78">
        <f>R20+R21+R22</f>
        <v>55415951487</v>
      </c>
      <c r="L22" s="87">
        <f>U22/U19-1</f>
        <v>0.10010422290688514</v>
      </c>
      <c r="M22" s="87">
        <f>U22/U10-1</f>
        <v>-0.35843075611401143</v>
      </c>
      <c r="N22" s="88">
        <f>AVERAGE(T20:T22)</f>
        <v>367.04032323735237</v>
      </c>
      <c r="O22" s="89">
        <f>N22/N19-1</f>
        <v>0.57434612326514545</v>
      </c>
      <c r="P22" s="129" t="s">
        <v>155</v>
      </c>
      <c r="Q22" s="116">
        <v>15935905</v>
      </c>
      <c r="R22" s="116">
        <v>20585479026</v>
      </c>
      <c r="S22" s="116">
        <v>48710.57</v>
      </c>
      <c r="T22" s="130">
        <f t="shared" si="1"/>
        <v>327.15496862385311</v>
      </c>
      <c r="U22" s="85">
        <f>Q20+Q21+Q22</f>
        <v>42267650</v>
      </c>
    </row>
    <row r="23" spans="1:21" hidden="1">
      <c r="A23" s="129" t="s">
        <v>189</v>
      </c>
      <c r="C23" s="131"/>
      <c r="F23" s="78">
        <f>Q23/21</f>
        <v>616543.14285714284</v>
      </c>
      <c r="G23" s="90">
        <f t="shared" si="2"/>
        <v>-0.18753243069659364</v>
      </c>
      <c r="H23" s="90">
        <f t="shared" si="3"/>
        <v>0.65159430553957476</v>
      </c>
      <c r="I23" s="130">
        <f t="shared" si="0"/>
        <v>455.54345611780218</v>
      </c>
      <c r="J23" s="130">
        <f t="shared" si="4"/>
        <v>2.4286189152745137</v>
      </c>
      <c r="O23" s="89"/>
      <c r="P23" s="129" t="s">
        <v>189</v>
      </c>
      <c r="Q23" s="116">
        <v>12947406</v>
      </c>
      <c r="R23" s="116">
        <v>16726117578</v>
      </c>
      <c r="S23" s="116">
        <v>28421.89</v>
      </c>
      <c r="T23" s="130">
        <f t="shared" si="1"/>
        <v>455.54345611780218</v>
      </c>
      <c r="U23" s="78"/>
    </row>
    <row r="24" spans="1:21" hidden="1">
      <c r="A24" s="129" t="s">
        <v>204</v>
      </c>
      <c r="C24" s="131"/>
      <c r="F24" s="78">
        <f>Q24/22</f>
        <v>336719.68181818182</v>
      </c>
      <c r="G24" s="90">
        <f t="shared" ref="G24" si="5">F24/F23-1</f>
        <v>-0.45385868658310258</v>
      </c>
      <c r="H24" s="90">
        <f t="shared" ref="H24" si="6">F24/F12-1</f>
        <v>-0.69375612201844727</v>
      </c>
      <c r="I24" s="130">
        <f t="shared" si="0"/>
        <v>187.36333777302727</v>
      </c>
      <c r="J24" s="130">
        <f t="shared" si="4"/>
        <v>8.1354917119752068E-2</v>
      </c>
      <c r="O24" s="89"/>
      <c r="P24" s="129" t="s">
        <v>204</v>
      </c>
      <c r="Q24" s="116">
        <v>7407833</v>
      </c>
      <c r="R24" s="116">
        <v>9745392553</v>
      </c>
      <c r="S24" s="116">
        <v>39537.26</v>
      </c>
      <c r="T24" s="130">
        <f t="shared" ref="T24" si="7">Q24/S24</f>
        <v>187.36333777302727</v>
      </c>
      <c r="U24" s="78"/>
    </row>
    <row r="25" spans="1:21" s="79" customFormat="1" ht="13.2" hidden="1">
      <c r="A25" s="129" t="s">
        <v>219</v>
      </c>
      <c r="B25" s="131">
        <f>SUM(F23:F25)</f>
        <v>2023225.7194121666</v>
      </c>
      <c r="C25" s="131">
        <f>AVERAGE(F23:F25)</f>
        <v>674408.57313738891</v>
      </c>
      <c r="D25" s="90">
        <f>C25/C22-1</f>
        <v>-7.1833484324225205E-3</v>
      </c>
      <c r="E25" s="286">
        <f>C25/C13-1</f>
        <v>-0.22459092567556904</v>
      </c>
      <c r="F25" s="78">
        <f>Q25/19</f>
        <v>1069962.894736842</v>
      </c>
      <c r="G25" s="90">
        <f t="shared" ref="G25" si="8">F25/F24-1</f>
        <v>2.1776072279451393</v>
      </c>
      <c r="H25" s="90">
        <f t="shared" ref="H25" si="9">F25/F13-1</f>
        <v>-5.8479310630861314E-2</v>
      </c>
      <c r="I25" s="130">
        <f t="shared" si="0"/>
        <v>238.86933687901512</v>
      </c>
      <c r="J25" s="130">
        <f t="shared" si="4"/>
        <v>-9.5799793321800664E-2</v>
      </c>
      <c r="K25" s="78">
        <f>R23+R24+R25</f>
        <v>53449042661</v>
      </c>
      <c r="L25" s="90">
        <f>U25/U22-1</f>
        <v>-3.7454554487888481E-2</v>
      </c>
      <c r="M25" s="90">
        <f>U25/U13-1</f>
        <v>-0.25699933906243289</v>
      </c>
      <c r="N25" s="88">
        <f>AVERAGE(T23:T25)</f>
        <v>293.92537692328153</v>
      </c>
      <c r="O25" s="91">
        <f>N25/N22-1</f>
        <v>-0.19920140018727561</v>
      </c>
      <c r="P25" s="129" t="s">
        <v>219</v>
      </c>
      <c r="Q25" s="116">
        <v>20329295</v>
      </c>
      <c r="R25" s="116">
        <v>26977532530</v>
      </c>
      <c r="S25" s="116">
        <v>85106.34</v>
      </c>
      <c r="T25" s="130">
        <f t="shared" ref="T25" si="10">Q25/S25</f>
        <v>238.86933687901512</v>
      </c>
      <c r="U25" s="85">
        <f>Q23+Q24+Q25</f>
        <v>40684534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453157.26315789472</v>
      </c>
      <c r="G26" s="90">
        <f t="shared" ref="G26" si="11">F26/F25-1</f>
        <v>-0.57647385214292968</v>
      </c>
      <c r="H26" s="90">
        <f t="shared" ref="H26" si="12">F26/F14-1</f>
        <v>-0.50899788995683581</v>
      </c>
      <c r="I26" s="130">
        <f t="shared" si="0"/>
        <v>94.229192638555688</v>
      </c>
      <c r="J26" s="130">
        <f t="shared" si="4"/>
        <v>-0.51786605541412944</v>
      </c>
      <c r="L26" s="90"/>
      <c r="M26" s="90"/>
      <c r="P26" s="129" t="s">
        <v>312</v>
      </c>
      <c r="Q26" s="116">
        <v>8609988</v>
      </c>
      <c r="R26" s="116">
        <v>11645731463</v>
      </c>
      <c r="S26" s="116">
        <v>91372.83</v>
      </c>
      <c r="T26" s="130">
        <f t="shared" ref="T26" si="13">Q26/S26</f>
        <v>94.229192638555688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479582.13636363635</v>
      </c>
      <c r="G27" s="90">
        <f t="shared" ref="G27" si="14">F27/F26-1</f>
        <v>5.8312809600790549E-2</v>
      </c>
      <c r="H27" s="90">
        <f t="shared" ref="H27" si="15">F27/F15-1</f>
        <v>0.11830069876258631</v>
      </c>
      <c r="I27" s="130">
        <f t="shared" si="0"/>
        <v>131.48543751268019</v>
      </c>
      <c r="J27" s="130">
        <f t="shared" si="4"/>
        <v>0.10659050009715165</v>
      </c>
      <c r="L27" s="90"/>
      <c r="M27" s="90"/>
      <c r="P27" s="129" t="s">
        <v>375</v>
      </c>
      <c r="Q27" s="116">
        <v>10550807</v>
      </c>
      <c r="R27" s="116">
        <v>14103908838</v>
      </c>
      <c r="S27" s="116">
        <v>80243.16</v>
      </c>
      <c r="T27" s="130">
        <f t="shared" ref="T27" si="16">Q27/S27</f>
        <v>131.48543751268019</v>
      </c>
      <c r="U27" s="78"/>
    </row>
    <row r="28" spans="1:21" s="79" customFormat="1" ht="13.2" hidden="1">
      <c r="A28" s="123" t="s">
        <v>413</v>
      </c>
      <c r="B28" s="131">
        <f>SUM(F26:F28)</f>
        <v>1561026.6626794259</v>
      </c>
      <c r="C28" s="131">
        <f>AVERAGE(F26:F28)</f>
        <v>520342.22089314199</v>
      </c>
      <c r="D28" s="90">
        <f>C28/C25-1</f>
        <v>-0.22844660993486643</v>
      </c>
      <c r="E28" s="286">
        <f>C28/C16-1</f>
        <v>-0.21832879153486595</v>
      </c>
      <c r="F28" s="78">
        <f>Q28/19</f>
        <v>628287.26315789472</v>
      </c>
      <c r="G28" s="90">
        <f t="shared" ref="G28" si="17">F28/F27-1</f>
        <v>0.31007228067707837</v>
      </c>
      <c r="H28" s="90">
        <f t="shared" ref="H28" si="18">F28/F16-1</f>
        <v>-2.6311536928814161E-2</v>
      </c>
      <c r="I28" s="130">
        <f t="shared" si="0"/>
        <v>332.46406381550048</v>
      </c>
      <c r="J28" s="130">
        <f t="shared" si="4"/>
        <v>0.72049237426144197</v>
      </c>
      <c r="K28" s="78">
        <f>R26+R27+R28</f>
        <v>41368430482</v>
      </c>
      <c r="L28" s="90">
        <f>U28/U25-1</f>
        <v>-0.23562469709005396</v>
      </c>
      <c r="M28" s="90">
        <f>U28/U16-1</f>
        <v>-0.26113069937527822</v>
      </c>
      <c r="N28" s="88">
        <f>AVERAGE(T26:T28)</f>
        <v>186.05956465557878</v>
      </c>
      <c r="O28" s="91">
        <f>N28/N25-1</f>
        <v>-0.36698366570729002</v>
      </c>
      <c r="P28" s="129" t="s">
        <v>413</v>
      </c>
      <c r="Q28" s="116">
        <v>11937458</v>
      </c>
      <c r="R28" s="116">
        <v>15618790181</v>
      </c>
      <c r="S28" s="116">
        <v>35906.01</v>
      </c>
      <c r="T28" s="130">
        <f t="shared" ref="T28" si="19">Q28/S28</f>
        <v>332.46406381550048</v>
      </c>
      <c r="U28" s="85">
        <f>Q26+Q27+Q28</f>
        <v>31098253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523692.77272727271</v>
      </c>
      <c r="G29" s="190">
        <f t="shared" ref="G29" si="20">F29/F28-1</f>
        <v>-0.16647558619111524</v>
      </c>
      <c r="H29" s="190">
        <f t="shared" ref="H29" si="21">F29/F17-1</f>
        <v>0.15816776685779388</v>
      </c>
      <c r="I29" s="130">
        <f t="shared" si="0"/>
        <v>293.89159068270141</v>
      </c>
      <c r="J29" s="130">
        <f t="shared" si="4"/>
        <v>0.98182057125004163</v>
      </c>
      <c r="K29" s="136"/>
      <c r="L29" s="190"/>
      <c r="M29" s="190"/>
      <c r="N29" s="191"/>
      <c r="O29" s="192"/>
      <c r="P29" s="129" t="s">
        <v>427</v>
      </c>
      <c r="Q29" s="116">
        <v>11521241</v>
      </c>
      <c r="R29" s="116">
        <v>15213562158</v>
      </c>
      <c r="S29" s="116">
        <v>39202.35</v>
      </c>
      <c r="T29" s="130">
        <f t="shared" ref="T29" si="22">Q29/S29</f>
        <v>293.89159068270141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673841.05263157899</v>
      </c>
      <c r="G30" s="190">
        <f t="shared" ref="G30" si="23">F30/F29-1</f>
        <v>0.28671062066098063</v>
      </c>
      <c r="H30" s="190">
        <f t="shared" ref="H30" si="24">F30/F18-1</f>
        <v>-0.14977935717169211</v>
      </c>
      <c r="I30" s="130">
        <f t="shared" si="0"/>
        <v>202.86695199811504</v>
      </c>
      <c r="J30" s="130">
        <f t="shared" si="4"/>
        <v>-0.34969656151176742</v>
      </c>
      <c r="K30" s="136"/>
      <c r="L30" s="190"/>
      <c r="M30" s="190"/>
      <c r="N30" s="191"/>
      <c r="O30" s="192"/>
      <c r="P30" s="129" t="s">
        <v>466</v>
      </c>
      <c r="Q30" s="116">
        <v>12802980</v>
      </c>
      <c r="R30" s="116">
        <v>17041031520</v>
      </c>
      <c r="S30" s="116">
        <v>63110.23</v>
      </c>
      <c r="T30" s="130">
        <f t="shared" ref="T30" si="25">Q30/S30</f>
        <v>202.86695199811504</v>
      </c>
      <c r="U30" s="85"/>
    </row>
    <row r="31" spans="1:21" s="79" customFormat="1" ht="13.2" hidden="1">
      <c r="A31" s="129" t="s">
        <v>505</v>
      </c>
      <c r="B31" s="188">
        <f>SUM(F29:F31)</f>
        <v>2083111.1753588519</v>
      </c>
      <c r="C31" s="188">
        <f>AVERAGE(F29:F31)</f>
        <v>694370.39178628393</v>
      </c>
      <c r="D31" s="190">
        <f>C31/C28-1</f>
        <v>0.3344494525053745</v>
      </c>
      <c r="E31" s="287">
        <f>C31/C19-1</f>
        <v>0.12020026843467213</v>
      </c>
      <c r="F31" s="136">
        <f>Q31/20</f>
        <v>885577.35</v>
      </c>
      <c r="G31" s="190">
        <f t="shared" ref="G31" si="26">F31/F30-1</f>
        <v>0.31422291138469305</v>
      </c>
      <c r="H31" s="190">
        <f t="shared" ref="H31" si="27">F31/F19-1</f>
        <v>0.44027645481201105</v>
      </c>
      <c r="I31" s="130">
        <f t="shared" si="0"/>
        <v>384.79129556885584</v>
      </c>
      <c r="J31" s="130">
        <f t="shared" si="4"/>
        <v>0.60890356733576567</v>
      </c>
      <c r="K31" s="136">
        <f>R29+R30+R31</f>
        <v>55765687224</v>
      </c>
      <c r="L31" s="190">
        <f>U31/U28-1</f>
        <v>0.35170834194448153</v>
      </c>
      <c r="M31" s="190">
        <f>U31/U19-1</f>
        <v>9.4069007620109391E-2</v>
      </c>
      <c r="N31" s="191">
        <f>AVERAGE(T29:T31)</f>
        <v>293.8499460832241</v>
      </c>
      <c r="O31" s="192">
        <f>N31/N28-1</f>
        <v>0.57933265418082525</v>
      </c>
      <c r="P31" s="129" t="s">
        <v>505</v>
      </c>
      <c r="Q31" s="116">
        <v>17711547</v>
      </c>
      <c r="R31" s="116">
        <v>23511093546</v>
      </c>
      <c r="S31" s="116">
        <v>46028.97</v>
      </c>
      <c r="T31" s="130">
        <f t="shared" ref="T31" si="28">Q31/S31</f>
        <v>384.79129556885584</v>
      </c>
      <c r="U31" s="85">
        <f>Q29+Q30+Q31</f>
        <v>42035768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354684.04761904763</v>
      </c>
      <c r="G32" s="190">
        <f t="shared" ref="G32" si="29">F32/F31-1</f>
        <v>-0.59948834777781113</v>
      </c>
      <c r="H32" s="190">
        <f t="shared" ref="H32" si="30">F32/F20-1</f>
        <v>-0.32761649398685877</v>
      </c>
      <c r="I32" s="130">
        <f t="shared" si="0"/>
        <v>133.69144779235046</v>
      </c>
      <c r="J32" s="130">
        <f t="shared" si="4"/>
        <v>-0.61950207563031612</v>
      </c>
      <c r="K32" s="136"/>
      <c r="L32" s="190"/>
      <c r="M32" s="190"/>
      <c r="N32" s="191"/>
      <c r="O32" s="192"/>
      <c r="P32" s="129" t="s">
        <v>562</v>
      </c>
      <c r="Q32" s="116">
        <v>7448365</v>
      </c>
      <c r="R32" s="116">
        <v>10115384543</v>
      </c>
      <c r="S32" s="116">
        <v>55713.1</v>
      </c>
      <c r="T32" s="130">
        <f t="shared" ref="T32" si="31">Q32/S32</f>
        <v>133.69144779235046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334220.47619047621</v>
      </c>
      <c r="G33" s="190">
        <f t="shared" ref="G33" si="32">F33/F32-1</f>
        <v>-5.7695212304982313E-2</v>
      </c>
      <c r="H33" s="190">
        <f t="shared" ref="H33" si="33">F33/F21-1</f>
        <v>-0.55526761292340443</v>
      </c>
      <c r="I33" s="130">
        <f t="shared" si="0"/>
        <v>145.95153920551513</v>
      </c>
      <c r="J33" s="130">
        <f t="shared" si="4"/>
        <v>-0.65463986813086461</v>
      </c>
      <c r="K33" s="136"/>
      <c r="L33" s="190"/>
      <c r="M33" s="190"/>
      <c r="N33" s="191"/>
      <c r="O33" s="192"/>
      <c r="P33" s="129" t="s">
        <v>624</v>
      </c>
      <c r="Q33" s="116">
        <v>7018630</v>
      </c>
      <c r="R33" s="116">
        <v>9614901947</v>
      </c>
      <c r="S33" s="116">
        <v>48088.77</v>
      </c>
      <c r="T33" s="130">
        <f t="shared" ref="T33" si="34">Q33/S33</f>
        <v>145.95153920551513</v>
      </c>
      <c r="U33" s="85"/>
    </row>
    <row r="34" spans="1:21" s="79" customFormat="1" ht="13.2" hidden="1">
      <c r="A34" s="129" t="s">
        <v>652</v>
      </c>
      <c r="B34" s="188">
        <f>SUM(F32:F34)</f>
        <v>1464868.9448621552</v>
      </c>
      <c r="C34" s="188">
        <f>AVERAGE(F32:F34)</f>
        <v>488289.64828738506</v>
      </c>
      <c r="D34" s="190">
        <f>C34/C31-1</f>
        <v>-0.29678791886380895</v>
      </c>
      <c r="E34" s="287">
        <f>C34/C22-1</f>
        <v>-0.28117447951090457</v>
      </c>
      <c r="F34" s="136">
        <f>Q34/19</f>
        <v>775964.42105263157</v>
      </c>
      <c r="G34" s="190">
        <f t="shared" ref="G34" si="35">F34/F33-1</f>
        <v>1.3217141866867554</v>
      </c>
      <c r="H34" s="190">
        <f t="shared" ref="H34" si="36">F34/F22-1</f>
        <v>2.2549572308900201E-2</v>
      </c>
      <c r="I34" s="130">
        <f t="shared" si="0"/>
        <v>306.63258557363139</v>
      </c>
      <c r="J34" s="130">
        <f t="shared" si="4"/>
        <v>-6.2729852878430137E-2</v>
      </c>
      <c r="K34" s="136">
        <f>R32+R33+R34</f>
        <v>40011409898</v>
      </c>
      <c r="L34" s="190">
        <f>U34/U31-1</f>
        <v>-0.30510799755103801</v>
      </c>
      <c r="M34" s="190">
        <f>U34/U22-1</f>
        <v>-0.30892020256626518</v>
      </c>
      <c r="N34" s="191">
        <f>AVERAGE(T32:T34)</f>
        <v>195.42519085716563</v>
      </c>
      <c r="O34" s="192">
        <f>N34/N31-1</f>
        <v>-0.33494903279030253</v>
      </c>
      <c r="P34" s="129" t="s">
        <v>652</v>
      </c>
      <c r="Q34" s="116">
        <v>14743324</v>
      </c>
      <c r="R34" s="116">
        <v>20281123408</v>
      </c>
      <c r="S34" s="116">
        <v>48081.4</v>
      </c>
      <c r="T34" s="130">
        <f t="shared" ref="T34" si="37">Q34/S34</f>
        <v>306.63258557363139</v>
      </c>
      <c r="U34" s="85">
        <f>Q32+Q33+Q34</f>
        <v>29210319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813765.82608695654</v>
      </c>
      <c r="G35" s="190">
        <f t="shared" ref="G35" si="38">F35/F34-1</f>
        <v>4.8715384376832205E-2</v>
      </c>
      <c r="H35" s="190">
        <f t="shared" ref="H35" si="39">F35/F23-1</f>
        <v>0.31988464313439224</v>
      </c>
      <c r="I35" s="130">
        <f t="shared" si="0"/>
        <v>159.10844726266959</v>
      </c>
      <c r="J35" s="130">
        <f t="shared" si="4"/>
        <v>-0.65072827822264978</v>
      </c>
      <c r="K35" s="136"/>
      <c r="L35" s="190"/>
      <c r="M35" s="190"/>
      <c r="N35" s="191"/>
      <c r="O35" s="192"/>
      <c r="P35" s="129" t="s">
        <v>660</v>
      </c>
      <c r="Q35" s="116">
        <v>18716614</v>
      </c>
      <c r="R35" s="116">
        <v>25873873855</v>
      </c>
      <c r="S35" s="116">
        <v>117634.32</v>
      </c>
      <c r="T35" s="130">
        <f t="shared" ref="T35" si="40">Q35/S35</f>
        <v>159.10844726266959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1063971.142857143</v>
      </c>
      <c r="G36" s="190">
        <f t="shared" ref="G36" si="41">F36/F35-1</f>
        <v>0.30746599175012568</v>
      </c>
      <c r="H36" s="190">
        <f t="shared" ref="H36" si="42">F36/F24-1</f>
        <v>2.1598127472443216</v>
      </c>
      <c r="I36" s="130">
        <f t="shared" si="0"/>
        <v>215.1275843041569</v>
      </c>
      <c r="J36" s="130">
        <f t="shared" si="4"/>
        <v>0.14818398765271446</v>
      </c>
      <c r="K36" s="136"/>
      <c r="L36" s="190"/>
      <c r="M36" s="190"/>
      <c r="N36" s="191"/>
      <c r="O36" s="192"/>
      <c r="P36" s="129" t="s">
        <v>681</v>
      </c>
      <c r="Q36" s="116">
        <v>22343394</v>
      </c>
      <c r="R36" s="116">
        <v>30522374981</v>
      </c>
      <c r="S36" s="116">
        <v>103861.13</v>
      </c>
      <c r="T36" s="130">
        <f t="shared" ref="T36" si="43">Q36/S36</f>
        <v>215.1275843041569</v>
      </c>
      <c r="U36" s="85"/>
    </row>
    <row r="37" spans="1:21" s="79" customFormat="1" ht="13.2" hidden="1">
      <c r="A37" s="129" t="s">
        <v>702</v>
      </c>
      <c r="B37" s="188">
        <f>SUM(F35:F37)</f>
        <v>3139497.4133885438</v>
      </c>
      <c r="C37" s="188">
        <f>AVERAGE(F35:F37)</f>
        <v>1046499.1377961813</v>
      </c>
      <c r="D37" s="190">
        <f>C37/C34-1</f>
        <v>1.1431933719394753</v>
      </c>
      <c r="E37" s="287">
        <f>C37/C25-1</f>
        <v>0.55172869901075661</v>
      </c>
      <c r="F37" s="136">
        <f>Q37/18</f>
        <v>1261760.4444444445</v>
      </c>
      <c r="G37" s="190">
        <f t="shared" ref="G37" si="44">F37/F36-1</f>
        <v>0.18589724252874618</v>
      </c>
      <c r="H37" s="190">
        <f t="shared" ref="H37" si="45">F37/F25-1</f>
        <v>0.17925626267140338</v>
      </c>
      <c r="I37" s="130">
        <f t="shared" si="0"/>
        <v>177.93289929080481</v>
      </c>
      <c r="J37" s="130">
        <f t="shared" si="4"/>
        <v>-0.25510364111352635</v>
      </c>
      <c r="K37" s="136">
        <f>R35+R36+R37</f>
        <v>86685392963</v>
      </c>
      <c r="L37" s="190">
        <f>U37/U34-1</f>
        <v>1.1831906731316422</v>
      </c>
      <c r="M37" s="190">
        <f>U37/U25-1</f>
        <v>0.5674677753467694</v>
      </c>
      <c r="N37" s="191">
        <f>AVERAGE(T35:T37)</f>
        <v>184.05631028587709</v>
      </c>
      <c r="O37" s="192">
        <f>N37/N34-1</f>
        <v>-5.817510281772198E-2</v>
      </c>
      <c r="P37" s="129" t="s">
        <v>702</v>
      </c>
      <c r="Q37" s="116">
        <v>22711688</v>
      </c>
      <c r="R37" s="116">
        <v>30289144127</v>
      </c>
      <c r="S37" s="116">
        <v>127641.87</v>
      </c>
      <c r="T37" s="130">
        <f t="shared" ref="T37" si="46">Q37/S37</f>
        <v>177.93289929080481</v>
      </c>
      <c r="U37" s="85">
        <f>Q35+Q36+Q37</f>
        <v>63771696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547800.85</v>
      </c>
      <c r="G38" s="190">
        <f t="shared" ref="G38" si="47">F38/F37-1</f>
        <v>-0.56584401388395267</v>
      </c>
      <c r="H38" s="190">
        <f t="shared" ref="H38" si="48">F38/F26-1</f>
        <v>0.20885373475549551</v>
      </c>
      <c r="I38" s="130">
        <f t="shared" si="0"/>
        <v>633.29211969873006</v>
      </c>
      <c r="J38" s="130">
        <f t="shared" si="4"/>
        <v>5.7207635125126437</v>
      </c>
      <c r="K38" s="136"/>
      <c r="L38" s="190"/>
      <c r="M38" s="190"/>
      <c r="N38" s="191"/>
      <c r="O38" s="192"/>
      <c r="P38" s="129" t="s">
        <v>728</v>
      </c>
      <c r="Q38" s="116">
        <v>10956017</v>
      </c>
      <c r="R38" s="116">
        <v>14784514623</v>
      </c>
      <c r="S38" s="116">
        <v>17300.099999999999</v>
      </c>
      <c r="T38" s="130">
        <f t="shared" ref="T38" si="49">Q38/S38</f>
        <v>633.29211969873006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559997.47619047621</v>
      </c>
      <c r="G39" s="190">
        <f t="shared" ref="G39" si="50">F39/F38-1</f>
        <v>2.2264708407218059E-2</v>
      </c>
      <c r="H39" s="190">
        <f t="shared" ref="H39" si="51">F39/F27-1</f>
        <v>0.16767792986740027</v>
      </c>
      <c r="I39" s="130">
        <f t="shared" si="0"/>
        <v>246.33526464402718</v>
      </c>
      <c r="J39" s="130">
        <f t="shared" si="4"/>
        <v>0.87347944611943129</v>
      </c>
      <c r="K39" s="136"/>
      <c r="L39" s="190"/>
      <c r="M39" s="190"/>
      <c r="N39" s="191"/>
      <c r="O39" s="192"/>
      <c r="P39" s="129" t="s">
        <v>762</v>
      </c>
      <c r="Q39" s="116">
        <v>11759947</v>
      </c>
      <c r="R39" s="116">
        <v>16377174750</v>
      </c>
      <c r="S39" s="116">
        <v>47739.6</v>
      </c>
      <c r="T39" s="130">
        <f t="shared" ref="T39" si="52">Q39/S39</f>
        <v>246.33526464402718</v>
      </c>
      <c r="U39" s="85"/>
    </row>
    <row r="40" spans="1:21" s="79" customFormat="1" ht="13.2" hidden="1">
      <c r="A40" s="129" t="s">
        <v>778</v>
      </c>
      <c r="B40" s="188">
        <f>SUM(F38:F40)</f>
        <v>1427646.1357142858</v>
      </c>
      <c r="C40" s="188">
        <f>AVERAGE(F38:F40)</f>
        <v>475882.04523809528</v>
      </c>
      <c r="D40" s="190">
        <f>C40/C37-1</f>
        <v>-0.54526284059798313</v>
      </c>
      <c r="E40" s="287">
        <f>C40/C28-1</f>
        <v>-8.5444105571008566E-2</v>
      </c>
      <c r="F40" s="136">
        <f>Q40/21</f>
        <v>319847.80952380953</v>
      </c>
      <c r="G40" s="190">
        <f t="shared" ref="G40" si="53">F40/F39-1</f>
        <v>-0.42884062317627791</v>
      </c>
      <c r="H40" s="190">
        <f t="shared" ref="H40" si="54">F40/F28-1</f>
        <v>-0.49092106703517779</v>
      </c>
      <c r="I40" s="130">
        <f t="shared" si="0"/>
        <v>92.953704327739118</v>
      </c>
      <c r="J40" s="130">
        <f t="shared" si="4"/>
        <v>-0.72040976922148381</v>
      </c>
      <c r="K40" s="136">
        <f>R38+R39+R40</f>
        <v>40631322730</v>
      </c>
      <c r="L40" s="190">
        <f>U40/U37-1</f>
        <v>-0.53846659496087423</v>
      </c>
      <c r="M40" s="190">
        <f>U40/U28-1</f>
        <v>-5.3555580758829158E-2</v>
      </c>
      <c r="N40" s="191">
        <f>AVERAGE(T38:T40)</f>
        <v>324.19369622349882</v>
      </c>
      <c r="O40" s="192">
        <f>N40/N37-1</f>
        <v>0.7613832186462921</v>
      </c>
      <c r="P40" s="129" t="s">
        <v>778</v>
      </c>
      <c r="Q40" s="116">
        <v>6716804</v>
      </c>
      <c r="R40" s="116">
        <v>9469633357</v>
      </c>
      <c r="S40" s="116">
        <v>72259.67</v>
      </c>
      <c r="T40" s="130">
        <f t="shared" ref="T40" si="55">Q40/S40</f>
        <v>92.953704327739118</v>
      </c>
      <c r="U40" s="85">
        <f>Q38+Q39+Q40</f>
        <v>29432768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357130.44444444444</v>
      </c>
      <c r="G41" s="190">
        <f t="shared" ref="G41" si="56">F41/F40-1</f>
        <v>0.11656367125396749</v>
      </c>
      <c r="H41" s="190">
        <f t="shared" ref="H41" si="57">F41/F29-1</f>
        <v>-0.31805351717078234</v>
      </c>
      <c r="I41" s="130">
        <f t="shared" si="0"/>
        <v>157.66250278371584</v>
      </c>
      <c r="J41" s="130">
        <f t="shared" si="4"/>
        <v>-0.4635351681296136</v>
      </c>
      <c r="K41" s="193"/>
      <c r="L41" s="190"/>
      <c r="M41" s="190"/>
      <c r="N41" s="193"/>
      <c r="O41" s="193"/>
      <c r="P41" s="129" t="s">
        <v>792</v>
      </c>
      <c r="Q41" s="116">
        <v>6428348</v>
      </c>
      <c r="R41" s="116">
        <v>9397570236</v>
      </c>
      <c r="S41" s="116">
        <v>40772.839999999997</v>
      </c>
      <c r="T41" s="130">
        <f t="shared" ref="T41" si="58">Q41/S41</f>
        <v>157.66250278371584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385006.9</v>
      </c>
      <c r="G42" s="190">
        <f t="shared" ref="G42" si="59">F42/F41-1</f>
        <v>7.8056788462603555E-2</v>
      </c>
      <c r="H42" s="190">
        <f t="shared" ref="H42" si="60">F42/F30-1</f>
        <v>-0.42863840293431688</v>
      </c>
      <c r="I42" s="130">
        <f t="shared" si="0"/>
        <v>89.733923872967949</v>
      </c>
      <c r="J42" s="130">
        <f t="shared" si="4"/>
        <v>-0.55767105982939147</v>
      </c>
      <c r="K42" s="193"/>
      <c r="L42" s="190"/>
      <c r="M42" s="190"/>
      <c r="N42" s="193"/>
      <c r="O42" s="193"/>
      <c r="P42" s="129" t="s">
        <v>826</v>
      </c>
      <c r="Q42" s="116">
        <v>7700138</v>
      </c>
      <c r="R42" s="116">
        <v>11080240904</v>
      </c>
      <c r="S42" s="116">
        <v>85810.78</v>
      </c>
      <c r="T42" s="130">
        <f t="shared" ref="T42" si="61">Q42/S42</f>
        <v>89.733923872967949</v>
      </c>
      <c r="U42" s="78"/>
    </row>
    <row r="43" spans="1:21" s="79" customFormat="1" ht="13.2">
      <c r="A43" s="129" t="s">
        <v>835</v>
      </c>
      <c r="B43" s="188">
        <f>SUM(F41:F43)</f>
        <v>1373778.9944444443</v>
      </c>
      <c r="C43" s="188">
        <f>AVERAGE(F41:F43)</f>
        <v>457926.33148148144</v>
      </c>
      <c r="D43" s="190">
        <f>C43/C40-1</f>
        <v>-3.7731437729763839E-2</v>
      </c>
      <c r="E43" s="287">
        <f>C43/C31-1</f>
        <v>-0.34051575801863421</v>
      </c>
      <c r="F43" s="136">
        <f>Q43/20</f>
        <v>631641.65</v>
      </c>
      <c r="G43" s="190">
        <f t="shared" ref="G43" si="62">F43/F42-1</f>
        <v>0.64059825940781834</v>
      </c>
      <c r="H43" s="190">
        <f t="shared" ref="H43" si="63">F43/F31-1</f>
        <v>-0.28674592908230989</v>
      </c>
      <c r="I43" s="130">
        <f t="shared" si="0"/>
        <v>123.73734425373337</v>
      </c>
      <c r="J43" s="130">
        <f t="shared" si="4"/>
        <v>-0.67842998093081497</v>
      </c>
      <c r="K43" s="136">
        <f>R41+R42+R43</f>
        <v>38813477480</v>
      </c>
      <c r="L43" s="190">
        <f>U43/U40-1</f>
        <v>-9.0764450017069453E-2</v>
      </c>
      <c r="M43" s="190">
        <f>K43/K31-1</f>
        <v>-0.30398997282874407</v>
      </c>
      <c r="N43" s="191">
        <f>AVERAGE(T41:T43)</f>
        <v>123.71125697013906</v>
      </c>
      <c r="O43" s="192">
        <f>N43/N40-1</f>
        <v>-0.61840326196579509</v>
      </c>
      <c r="P43" s="129" t="s">
        <v>835</v>
      </c>
      <c r="Q43" s="116">
        <v>12632833</v>
      </c>
      <c r="R43" s="116">
        <v>18335666340</v>
      </c>
      <c r="S43" s="116">
        <v>102093.94</v>
      </c>
      <c r="T43" s="130">
        <f t="shared" ref="T43" si="64">Q43/S43</f>
        <v>123.73734425373337</v>
      </c>
      <c r="U43" s="85">
        <f>Q41+Q42+Q43</f>
        <v>26761319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249230.04545454544</v>
      </c>
      <c r="G44" s="190">
        <f t="shared" ref="G44" si="65">F44/F43-1</f>
        <v>-0.60542493444733192</v>
      </c>
      <c r="H44" s="190">
        <f t="shared" ref="H44" si="66">F44/F32-1</f>
        <v>-0.29731814236473986</v>
      </c>
      <c r="I44" s="130">
        <f t="shared" si="0"/>
        <v>108.93557832565713</v>
      </c>
      <c r="J44" s="130">
        <f t="shared" si="4"/>
        <v>-0.18517167609063623</v>
      </c>
      <c r="K44" s="136"/>
      <c r="L44" s="190"/>
      <c r="M44" s="190"/>
      <c r="N44" s="191"/>
      <c r="O44" s="192"/>
      <c r="P44" s="129" t="s">
        <v>843</v>
      </c>
      <c r="Q44" s="116">
        <v>5483061</v>
      </c>
      <c r="R44" s="116">
        <v>8002733380</v>
      </c>
      <c r="S44" s="116">
        <v>50333.06</v>
      </c>
      <c r="T44" s="130">
        <f t="shared" ref="T44" si="67">Q44/S44</f>
        <v>108.93557832565713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270502.90000000002</v>
      </c>
      <c r="G45" s="190">
        <f t="shared" ref="G45" si="68">F45/F44-1</f>
        <v>8.5354293888030952E-2</v>
      </c>
      <c r="H45" s="190">
        <f t="shared" ref="H45" si="69">F45/F33-1</f>
        <v>-0.19064533961756069</v>
      </c>
      <c r="I45" s="130">
        <f t="shared" si="0"/>
        <v>189.37349548571331</v>
      </c>
      <c r="J45" s="130">
        <f t="shared" si="4"/>
        <v>0.29750940974356888</v>
      </c>
      <c r="K45" s="136"/>
      <c r="L45" s="190"/>
      <c r="M45" s="190"/>
      <c r="N45" s="191"/>
      <c r="O45" s="192"/>
      <c r="P45" s="129" t="s">
        <v>853</v>
      </c>
      <c r="Q45" s="116">
        <v>5410058</v>
      </c>
      <c r="R45" s="116">
        <v>7619744039</v>
      </c>
      <c r="S45" s="116">
        <v>28568.19</v>
      </c>
      <c r="T45" s="130">
        <f t="shared" ref="T45" si="70">Q45/S45</f>
        <v>189.37349548571331</v>
      </c>
      <c r="U45" s="85"/>
    </row>
    <row r="46" spans="1:21" s="79" customFormat="1" ht="13.2">
      <c r="A46" s="129" t="s">
        <v>888</v>
      </c>
      <c r="B46" s="188">
        <f>SUM(F44:F46)</f>
        <v>1135870.5770334927</v>
      </c>
      <c r="C46" s="188">
        <f>AVERAGE(F44:F46)</f>
        <v>378623.52567783091</v>
      </c>
      <c r="D46" s="190">
        <f>C46/C43-1</f>
        <v>-0.17317808641204446</v>
      </c>
      <c r="E46" s="287">
        <f>C46/C34-1</f>
        <v>-0.22459235618488815</v>
      </c>
      <c r="F46" s="136">
        <f>Q46/19</f>
        <v>616137.63157894742</v>
      </c>
      <c r="G46" s="190">
        <f t="shared" ref="G46" si="71">F46/F45-1</f>
        <v>1.2777487101947793</v>
      </c>
      <c r="H46" s="190">
        <f t="shared" ref="H46" si="72">F46/F34-1</f>
        <v>-0.20597180120303937</v>
      </c>
      <c r="I46" s="130">
        <f t="shared" si="0"/>
        <v>84.154943929484361</v>
      </c>
      <c r="J46" s="130">
        <f t="shared" si="4"/>
        <v>-0.72555120398553885</v>
      </c>
      <c r="K46" s="136">
        <f>R44+R45+R46</f>
        <v>31661891193</v>
      </c>
      <c r="L46" s="190">
        <f>U46/U43-1</f>
        <v>-0.15550746956829742</v>
      </c>
      <c r="M46" s="190">
        <f>K46/K34-1</f>
        <v>-0.20867844263136948</v>
      </c>
      <c r="N46" s="191">
        <f>AVERAGE(T44:T46)</f>
        <v>127.48800591361828</v>
      </c>
      <c r="O46" s="192">
        <f>N46/N43-1</f>
        <v>3.052874116694837E-2</v>
      </c>
      <c r="P46" s="129" t="s">
        <v>928</v>
      </c>
      <c r="Q46" s="116">
        <v>11706615</v>
      </c>
      <c r="R46" s="116">
        <v>16039413774</v>
      </c>
      <c r="S46" s="116">
        <v>139107.87</v>
      </c>
      <c r="T46" s="130">
        <f t="shared" ref="T46" si="73">Q46/S46</f>
        <v>84.154943929484361</v>
      </c>
      <c r="U46" s="85">
        <f t="shared" ref="U46:U51" si="74">Q44+Q45+Q46</f>
        <v>22599734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225091.4347826087</v>
      </c>
      <c r="G47" s="190">
        <f t="shared" ref="G47" si="75">F47/F46-1</f>
        <v>-0.63467345079089343</v>
      </c>
      <c r="H47" s="190">
        <f t="shared" ref="H47" si="76">F47/F35-1</f>
        <v>-0.72339532139734253</v>
      </c>
      <c r="I47" s="130">
        <f t="shared" si="0"/>
        <v>115.2552428738302</v>
      </c>
      <c r="J47" s="130">
        <f t="shared" si="4"/>
        <v>-0.27561832915409468</v>
      </c>
      <c r="K47" s="136"/>
      <c r="L47" s="190"/>
      <c r="M47" s="190"/>
      <c r="N47" s="191"/>
      <c r="O47" s="192"/>
      <c r="P47" s="129" t="s">
        <v>1029</v>
      </c>
      <c r="Q47" s="116">
        <v>5177103</v>
      </c>
      <c r="R47" s="116">
        <v>7062170682</v>
      </c>
      <c r="S47" s="116">
        <v>44918.59</v>
      </c>
      <c r="T47" s="130">
        <f t="shared" ref="T47" si="77">Q47/S47</f>
        <v>115.2552428738302</v>
      </c>
      <c r="U47" s="85">
        <f t="shared" si="74"/>
        <v>22293776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1140174.7</v>
      </c>
      <c r="G48" s="190">
        <f t="shared" ref="G48" si="78">F48/F47-1</f>
        <v>4.0653846562450076</v>
      </c>
      <c r="H48" s="190">
        <f t="shared" ref="H48" si="79">F48/F36-1</f>
        <v>7.1621827015179385E-2</v>
      </c>
      <c r="I48" s="130">
        <f t="shared" si="0"/>
        <v>346.20792643054955</v>
      </c>
      <c r="J48" s="130">
        <f t="shared" si="4"/>
        <v>0.60931443334140489</v>
      </c>
      <c r="K48" s="136"/>
      <c r="L48" s="190"/>
      <c r="M48" s="190"/>
      <c r="N48" s="191"/>
      <c r="O48" s="192"/>
      <c r="P48" s="129" t="s">
        <v>1070</v>
      </c>
      <c r="Q48" s="116">
        <v>22803494</v>
      </c>
      <c r="R48" s="116">
        <v>31667283782</v>
      </c>
      <c r="S48" s="116">
        <v>65866.47</v>
      </c>
      <c r="T48" s="130">
        <f t="shared" ref="T48" si="80">Q48/S48</f>
        <v>346.20792643054955</v>
      </c>
      <c r="U48" s="85">
        <f t="shared" si="74"/>
        <v>39687212</v>
      </c>
    </row>
    <row r="49" spans="1:26" ht="13.2">
      <c r="A49" s="129" t="s">
        <v>1158</v>
      </c>
      <c r="B49" s="188">
        <f>SUM(F47:F49)</f>
        <v>1908180.180237154</v>
      </c>
      <c r="C49" s="188">
        <f>AVERAGE(F47:F49)</f>
        <v>636060.0600790513</v>
      </c>
      <c r="D49" s="190">
        <f>C49/C46-1</f>
        <v>0.67992746605046417</v>
      </c>
      <c r="E49" s="287">
        <f>C49/C37-1</f>
        <v>-0.39220202185877773</v>
      </c>
      <c r="F49" s="136">
        <f>Q49/22</f>
        <v>542914.04545454541</v>
      </c>
      <c r="G49" s="190">
        <f t="shared" ref="G49" si="81">F49/F48-1</f>
        <v>-0.52383257981908793</v>
      </c>
      <c r="H49" s="190">
        <f t="shared" ref="H49" si="82">F49/F37-1</f>
        <v>-0.56971701891194448</v>
      </c>
      <c r="I49" s="130">
        <f t="shared" si="0"/>
        <v>197.75014900662251</v>
      </c>
      <c r="J49" s="130">
        <f t="shared" si="4"/>
        <v>0.11137484857946012</v>
      </c>
      <c r="K49" s="136">
        <f>R47+R48+R49</f>
        <v>55298067335</v>
      </c>
      <c r="L49" s="190">
        <f>U49/U46-1</f>
        <v>0.76660070423837734</v>
      </c>
      <c r="M49" s="190">
        <f>K49/K37-1</f>
        <v>-0.36208321327443338</v>
      </c>
      <c r="N49" s="191">
        <f>AVERAGE(T47:T49)</f>
        <v>219.73777277033409</v>
      </c>
      <c r="O49" s="192">
        <f>N49/N46-1</f>
        <v>0.72359565274886517</v>
      </c>
      <c r="P49" s="129" t="s">
        <v>1174</v>
      </c>
      <c r="Q49" s="116">
        <v>11944109</v>
      </c>
      <c r="R49" s="116">
        <v>16568612871</v>
      </c>
      <c r="S49" s="116">
        <v>60400</v>
      </c>
      <c r="T49" s="130">
        <f t="shared" ref="T49" si="83">Q49/S49</f>
        <v>197.75014900662251</v>
      </c>
      <c r="U49" s="85">
        <f t="shared" si="74"/>
        <v>39924706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393097.05555555556</v>
      </c>
      <c r="G50" s="190">
        <f t="shared" ref="G50" si="84">F50/F49-1</f>
        <v>-0.27594974039317433</v>
      </c>
      <c r="H50" s="190">
        <f t="shared" ref="H50" si="85">F50/F38-1</f>
        <v>-0.28240882511307608</v>
      </c>
      <c r="I50" s="130">
        <f t="shared" ref="I50" si="86">T50</f>
        <v>111.50375022771152</v>
      </c>
      <c r="J50" s="130">
        <f t="shared" ref="J50" si="87">I50/I38-1</f>
        <v>-0.82392998940085327</v>
      </c>
      <c r="K50" s="136"/>
      <c r="L50" s="190"/>
      <c r="M50" s="190"/>
      <c r="N50" s="191"/>
      <c r="O50" s="192"/>
      <c r="P50" s="129" t="s">
        <v>1291</v>
      </c>
      <c r="Q50" s="116">
        <v>7075747</v>
      </c>
      <c r="R50" s="116">
        <v>9961341596</v>
      </c>
      <c r="S50" s="116">
        <v>63457.48</v>
      </c>
      <c r="T50" s="130">
        <f t="shared" ref="T50" si="88">Q50/S50</f>
        <v>111.50375022771152</v>
      </c>
      <c r="U50" s="85">
        <f t="shared" si="74"/>
        <v>41823350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500049.4</v>
      </c>
      <c r="G51" s="190">
        <f t="shared" ref="G51:G52" si="89">F51/F50-1</f>
        <v>0.27207617796396621</v>
      </c>
      <c r="H51" s="190">
        <f t="shared" ref="H51:H52" si="90">F51/F39-1</f>
        <v>-0.10705061851044051</v>
      </c>
      <c r="I51" s="130">
        <f t="shared" ref="I51:I52" si="91">T51</f>
        <v>185.30890165664616</v>
      </c>
      <c r="J51" s="130">
        <f t="shared" ref="J51:J52" si="92">I51/I39-1</f>
        <v>-0.24773701433113393</v>
      </c>
      <c r="K51" s="136"/>
      <c r="L51" s="190"/>
      <c r="M51" s="190"/>
      <c r="N51" s="191"/>
      <c r="O51" s="192"/>
      <c r="P51" s="129" t="s">
        <v>1402</v>
      </c>
      <c r="Q51" s="116">
        <v>10000988</v>
      </c>
      <c r="R51" s="116">
        <v>14431596879</v>
      </c>
      <c r="S51" s="116">
        <v>53969.279999999999</v>
      </c>
      <c r="T51" s="130">
        <f t="shared" ref="T51:T52" si="93">Q51/S51</f>
        <v>185.30890165664616</v>
      </c>
      <c r="U51" s="85">
        <f t="shared" si="74"/>
        <v>29020844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1639263.5919191921</v>
      </c>
      <c r="C52" s="188">
        <f>AVERAGE(F50:F52)</f>
        <v>546421.19730639737</v>
      </c>
      <c r="D52" s="190">
        <f>C52/C49-1</f>
        <v>-0.14092829969785148</v>
      </c>
      <c r="E52" s="287">
        <f>C52/C40-1</f>
        <v>0.14822822750753217</v>
      </c>
      <c r="F52" s="136">
        <f>Q52/22</f>
        <v>746117.13636363635</v>
      </c>
      <c r="G52" s="190">
        <f t="shared" si="89"/>
        <v>0.49208685454604351</v>
      </c>
      <c r="H52" s="190">
        <f t="shared" si="90"/>
        <v>1.3327254842684653</v>
      </c>
      <c r="I52" s="130">
        <f t="shared" si="91"/>
        <v>182.10374911525139</v>
      </c>
      <c r="J52" s="130">
        <f t="shared" si="92"/>
        <v>0.95908006498788057</v>
      </c>
      <c r="K52" s="136">
        <f>R50+R51+R52</f>
        <v>48570942658</v>
      </c>
      <c r="L52" s="190">
        <f>U52/U49-1</f>
        <v>-0.16113816843134676</v>
      </c>
      <c r="M52" s="190">
        <f>K52/K40-1</f>
        <v>0.19540638587524506</v>
      </c>
      <c r="N52" s="191">
        <f>AVERAGE(T50:T52)</f>
        <v>159.63880033320302</v>
      </c>
      <c r="O52" s="192">
        <f>N52/N49-1</f>
        <v>-0.27350314731707692</v>
      </c>
      <c r="P52" s="129" t="s">
        <v>1403</v>
      </c>
      <c r="Q52" s="116">
        <v>16414577</v>
      </c>
      <c r="R52" s="116">
        <v>24178004183</v>
      </c>
      <c r="S52" s="116">
        <v>90138.6</v>
      </c>
      <c r="T52" s="130">
        <f t="shared" si="93"/>
        <v>182.10374911525139</v>
      </c>
      <c r="U52" s="85">
        <f t="shared" ref="U52" si="94">Q50+Q51+Q52</f>
        <v>33491312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546947.66666666663</v>
      </c>
      <c r="G53" s="190">
        <f t="shared" ref="G53" si="95">F53/F52-1</f>
        <v>-0.26694128842511955</v>
      </c>
      <c r="H53" s="190">
        <f t="shared" ref="H53" si="96">F53/F41-1</f>
        <v>0.53150669503268944</v>
      </c>
      <c r="I53" s="130">
        <f t="shared" ref="I53" si="97">T53</f>
        <v>208.04177317744981</v>
      </c>
      <c r="J53" s="130">
        <f t="shared" ref="J53" si="98">I53/I41-1</f>
        <v>0.31953869502404841</v>
      </c>
      <c r="K53" s="136"/>
      <c r="L53" s="190"/>
      <c r="M53" s="190"/>
      <c r="N53" s="191"/>
      <c r="O53" s="192"/>
      <c r="P53" s="129" t="s">
        <v>1414</v>
      </c>
      <c r="Q53" s="116">
        <v>11485901</v>
      </c>
      <c r="R53" s="116">
        <v>16651579300</v>
      </c>
      <c r="S53" s="116">
        <v>55209.59</v>
      </c>
      <c r="T53" s="130">
        <f t="shared" ref="T53" si="99">Q53/S53</f>
        <v>208.04177317744981</v>
      </c>
      <c r="U53" s="85">
        <f t="shared" ref="U53" si="100">Q51+Q52+Q53</f>
        <v>37901466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337822.9411764706</v>
      </c>
      <c r="G54" s="190">
        <f t="shared" ref="G54" si="101">F54/F53-1</f>
        <v>-0.38234869300145602</v>
      </c>
      <c r="H54" s="190">
        <f t="shared" ref="H54" si="102">F54/F42-1</f>
        <v>-0.1225535407898648</v>
      </c>
      <c r="I54" s="130">
        <f t="shared" ref="I54" si="103">T54</f>
        <v>124.60403489526561</v>
      </c>
      <c r="J54" s="130">
        <f t="shared" ref="J54" si="104">I54/I42-1</f>
        <v>0.38859451941120526</v>
      </c>
      <c r="K54" s="136"/>
      <c r="L54" s="190"/>
      <c r="M54" s="190"/>
      <c r="N54" s="191"/>
      <c r="O54" s="192"/>
      <c r="P54" s="129" t="s">
        <v>1417</v>
      </c>
      <c r="Q54" s="116">
        <v>5742990</v>
      </c>
      <c r="R54" s="116">
        <v>8305422255</v>
      </c>
      <c r="S54" s="116">
        <v>46089.919999999998</v>
      </c>
      <c r="T54" s="130">
        <f t="shared" ref="T54" si="105">Q54/S54</f>
        <v>124.60403489526561</v>
      </c>
      <c r="U54" s="85">
        <f t="shared" ref="U54" si="106">Q52+Q53+Q54</f>
        <v>33643468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1116344.8459383752</v>
      </c>
      <c r="C55" s="188">
        <f>AVERAGE(F53:F55)</f>
        <v>372114.94864612509</v>
      </c>
      <c r="D55" s="190">
        <f>C55/C52-1</f>
        <v>-0.31899613250642744</v>
      </c>
      <c r="E55" s="287">
        <f>C55/C43-1</f>
        <v>-0.18739123945491343</v>
      </c>
      <c r="F55" s="136">
        <f>Q55/21</f>
        <v>231574.23809523811</v>
      </c>
      <c r="G55" s="190">
        <f t="shared" ref="G55" si="107">F55/F54-1</f>
        <v>-0.31451002916267523</v>
      </c>
      <c r="H55" s="190">
        <f t="shared" ref="H55" si="108">F55/F43-1</f>
        <v>-0.63337718768982687</v>
      </c>
      <c r="I55" s="130">
        <f>T55</f>
        <v>99.345609847577947</v>
      </c>
      <c r="J55" s="130">
        <f t="shared" ref="J55" si="109">I55/I43-1</f>
        <v>-0.19712508421174946</v>
      </c>
      <c r="K55" s="136">
        <f>R53+R54+R55</f>
        <v>32073038508</v>
      </c>
      <c r="L55" s="190">
        <f>U55/U52-1</f>
        <v>-0.34036773477252846</v>
      </c>
      <c r="M55" s="190">
        <f>K55/K43-1</f>
        <v>-0.17366233096411543</v>
      </c>
      <c r="N55" s="191">
        <f>AVERAGE(T53:T55)</f>
        <v>143.99713930676447</v>
      </c>
      <c r="O55" s="192">
        <f>N55/N52-1</f>
        <v>-9.7981574615887856E-2</v>
      </c>
      <c r="P55" s="129" t="s">
        <v>1418</v>
      </c>
      <c r="Q55" s="116">
        <v>4863059</v>
      </c>
      <c r="R55" s="116">
        <v>7116036953</v>
      </c>
      <c r="S55" s="116">
        <v>48950.92</v>
      </c>
      <c r="T55" s="130">
        <f t="shared" ref="T55" si="110">Q55/S55</f>
        <v>99.345609847577947</v>
      </c>
      <c r="U55" s="85">
        <f t="shared" ref="U55" si="111">Q53+Q54+Q55</f>
        <v>22091950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779843.63636363635</v>
      </c>
      <c r="G56" s="190">
        <f t="shared" ref="G56" si="112">F56/F55-1</f>
        <v>2.36757509288626</v>
      </c>
      <c r="H56" s="190">
        <f t="shared" ref="H56" si="113">F56/F44-1</f>
        <v>2.1290113314442425</v>
      </c>
      <c r="I56" s="291">
        <f>T56</f>
        <v>247.79184893105344</v>
      </c>
      <c r="J56" s="130">
        <f t="shared" ref="J56" si="114">I56/I44-1</f>
        <v>1.2746640972547358</v>
      </c>
      <c r="K56" s="136"/>
      <c r="L56" s="190"/>
      <c r="M56" s="190"/>
      <c r="N56" s="191"/>
      <c r="O56" s="192"/>
      <c r="P56" s="129" t="s">
        <v>1420</v>
      </c>
      <c r="Q56" s="116">
        <v>17156560</v>
      </c>
      <c r="R56" s="116">
        <v>25406355255</v>
      </c>
      <c r="S56" s="116">
        <v>69237.789999999994</v>
      </c>
      <c r="T56" s="130">
        <f t="shared" ref="T56" si="115">Q56/S56</f>
        <v>247.79184893105344</v>
      </c>
      <c r="U56" s="85">
        <f t="shared" ref="U56" si="116">Q54+Q55+Q56</f>
        <v>27762609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322409.16666666669</v>
      </c>
      <c r="G57" s="254">
        <f t="shared" ref="G57" si="117">F57/F56-1</f>
        <v>-0.58657203619684439</v>
      </c>
      <c r="H57" s="254">
        <f t="shared" ref="H57" si="118">F57/F45-1</f>
        <v>0.19188802288872564</v>
      </c>
      <c r="I57" s="282">
        <f>T57</f>
        <v>97.065342125030298</v>
      </c>
      <c r="J57" s="277">
        <f t="shared" ref="J57" si="119">I57/I45-1</f>
        <v>-0.4874396658514808</v>
      </c>
      <c r="K57" s="204"/>
      <c r="L57" s="254"/>
      <c r="M57" s="254"/>
      <c r="N57" s="257"/>
      <c r="O57" s="258"/>
      <c r="P57" s="129" t="s">
        <v>1436</v>
      </c>
      <c r="Q57" s="116">
        <v>3868910</v>
      </c>
      <c r="R57" s="116">
        <v>5699491018</v>
      </c>
      <c r="S57" s="116">
        <v>39858.82</v>
      </c>
      <c r="T57" s="130">
        <f t="shared" ref="T57" si="120">Q57/S57</f>
        <v>97.065342125030298</v>
      </c>
      <c r="U57" s="85">
        <f t="shared" ref="U57" si="121">Q55+Q56+Q57</f>
        <v>25888529</v>
      </c>
      <c r="V57" s="79"/>
      <c r="W57" s="79"/>
      <c r="X57" s="79"/>
      <c r="Y57" s="79"/>
      <c r="Z57" s="79"/>
    </row>
    <row r="58" spans="1:26">
      <c r="B58" s="196">
        <f>SUM(F56:F58)</f>
        <v>1102252.803030303</v>
      </c>
      <c r="C58" s="196">
        <f>AVERAGE(F56:F58)</f>
        <v>551126.40151515149</v>
      </c>
      <c r="D58" s="197">
        <f>C58/C55-1</f>
        <v>0.4810649330813721</v>
      </c>
      <c r="E58" s="233">
        <f>C58/C46-1</f>
        <v>0.45560527579076671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43117420</v>
      </c>
      <c r="R66" s="212">
        <v>63178884781</v>
      </c>
      <c r="S66" s="213">
        <v>259347.06</v>
      </c>
      <c r="T66" s="214">
        <v>64</v>
      </c>
      <c r="U66" s="214">
        <v>80</v>
      </c>
    </row>
    <row r="67" spans="16:21" ht="18" thickBot="1">
      <c r="P67" s="180" t="s">
        <v>976</v>
      </c>
      <c r="Q67" s="181">
        <v>11485901</v>
      </c>
      <c r="R67" s="181">
        <v>16651579300</v>
      </c>
      <c r="S67" s="182">
        <v>55209.59</v>
      </c>
      <c r="T67" s="210">
        <v>23</v>
      </c>
      <c r="U67" s="210">
        <v>31</v>
      </c>
    </row>
    <row r="68" spans="16:21" ht="18" thickBot="1">
      <c r="P68" s="180" t="s">
        <v>977</v>
      </c>
      <c r="Q68" s="181">
        <v>5742990</v>
      </c>
      <c r="R68" s="181">
        <v>8305422255</v>
      </c>
      <c r="S68" s="182">
        <v>46089.919999999998</v>
      </c>
      <c r="T68" s="210">
        <v>24</v>
      </c>
      <c r="U68" s="210">
        <v>24</v>
      </c>
    </row>
    <row r="69" spans="16:21" ht="18" thickBot="1">
      <c r="P69" s="180" t="s">
        <v>978</v>
      </c>
      <c r="Q69" s="181">
        <v>4863059</v>
      </c>
      <c r="R69" s="181">
        <v>7116036953</v>
      </c>
      <c r="S69" s="182">
        <v>48950.92</v>
      </c>
      <c r="T69" s="210">
        <v>19</v>
      </c>
      <c r="U69" s="210">
        <v>26</v>
      </c>
    </row>
    <row r="70" spans="16:21" ht="18" thickBot="1">
      <c r="P70" s="180" t="s">
        <v>979</v>
      </c>
      <c r="Q70" s="181">
        <v>17156560</v>
      </c>
      <c r="R70" s="181">
        <v>25406355255</v>
      </c>
      <c r="S70" s="182">
        <v>69237.789999999994</v>
      </c>
      <c r="T70" s="210">
        <v>24</v>
      </c>
      <c r="U70" s="210">
        <v>24</v>
      </c>
    </row>
    <row r="71" spans="16:21" ht="18" thickBot="1">
      <c r="P71" s="180" t="s">
        <v>980</v>
      </c>
      <c r="Q71" s="181">
        <v>3868910</v>
      </c>
      <c r="R71" s="181">
        <v>5699491018</v>
      </c>
      <c r="S71" s="182">
        <v>39858.82</v>
      </c>
      <c r="T71" s="210">
        <v>19</v>
      </c>
      <c r="U71" s="210">
        <v>22</v>
      </c>
    </row>
    <row r="72" spans="16:21" ht="18" thickBot="1">
      <c r="P72" s="180" t="s">
        <v>975</v>
      </c>
      <c r="Q72" s="181">
        <v>122777071</v>
      </c>
      <c r="R72" s="181">
        <v>174344378666</v>
      </c>
      <c r="S72" s="182">
        <v>825437.13</v>
      </c>
      <c r="T72" s="210">
        <v>108</v>
      </c>
      <c r="U72" s="210">
        <v>208</v>
      </c>
    </row>
    <row r="73" spans="16:21" ht="18" thickBot="1">
      <c r="P73" s="215" t="s">
        <v>982</v>
      </c>
      <c r="Q73" s="217" t="s">
        <v>1522</v>
      </c>
      <c r="R73"/>
      <c r="S73"/>
      <c r="T73"/>
      <c r="U73"/>
    </row>
    <row r="74" spans="16:21" ht="18" thickBot="1">
      <c r="P74" s="215" t="s">
        <v>1386</v>
      </c>
      <c r="Q74" s="216">
        <v>151746416</v>
      </c>
      <c r="R74"/>
      <c r="S74"/>
      <c r="T74"/>
      <c r="U74"/>
    </row>
  </sheetData>
  <phoneticPr fontId="1" type="noConversion"/>
  <conditionalFormatting sqref="C29:C30">
    <cfRule type="cellIs" dxfId="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49"/>
  <sheetViews>
    <sheetView zoomScaleNormal="100" workbookViewId="0">
      <selection activeCell="G56" sqref="G5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173797.45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3475949</v>
      </c>
      <c r="Q5" s="116">
        <v>4100170945</v>
      </c>
      <c r="R5" s="116">
        <v>48387.3</v>
      </c>
      <c r="S5" s="130">
        <f t="shared" ref="S5:S30" si="1">P5/R5</f>
        <v>71.835977622227318</v>
      </c>
      <c r="T5" s="85"/>
    </row>
    <row r="6" spans="1:20" ht="15" hidden="1" customHeight="1">
      <c r="A6" s="129" t="s">
        <v>1</v>
      </c>
      <c r="C6" s="79"/>
      <c r="F6" s="78">
        <f>P6/18</f>
        <v>548073.0555555555</v>
      </c>
      <c r="G6" s="90">
        <f t="shared" ref="G6:G30" si="2">F6/F5-1</f>
        <v>2.1535160933348303</v>
      </c>
      <c r="H6" s="90"/>
      <c r="I6" s="130" t="e">
        <f t="shared" si="0"/>
        <v>#DIV/0!</v>
      </c>
      <c r="O6" s="129" t="s">
        <v>1</v>
      </c>
      <c r="P6" s="116">
        <v>9865315</v>
      </c>
      <c r="Q6" s="116">
        <v>11706925309</v>
      </c>
      <c r="R6" s="116">
        <v>69672.539999999994</v>
      </c>
      <c r="S6" s="130">
        <f t="shared" si="1"/>
        <v>141.59545496690663</v>
      </c>
      <c r="T6" s="85"/>
    </row>
    <row r="7" spans="1:20" ht="15" hidden="1" customHeight="1">
      <c r="A7" s="129" t="s">
        <v>2</v>
      </c>
      <c r="B7" s="131">
        <f>F5+F6+F7</f>
        <v>1348899.8237373736</v>
      </c>
      <c r="C7" s="131">
        <f>AVERAGE(F5:F7)</f>
        <v>449633.27457912453</v>
      </c>
      <c r="F7" s="78">
        <f>P7/22</f>
        <v>627029.31818181823</v>
      </c>
      <c r="G7" s="90">
        <f t="shared" si="2"/>
        <v>0.14406156592797381</v>
      </c>
      <c r="H7" s="90"/>
      <c r="I7" s="130" t="e">
        <f t="shared" si="0"/>
        <v>#DIV/0!</v>
      </c>
      <c r="J7" s="79">
        <f>Q5+Q6+Q7</f>
        <v>32409682904</v>
      </c>
      <c r="M7" s="88">
        <f>AVERAGE(S5:S7)</f>
        <v>130.49384351823426</v>
      </c>
      <c r="O7" s="129" t="s">
        <v>2</v>
      </c>
      <c r="P7" s="116">
        <v>13794645</v>
      </c>
      <c r="Q7" s="116">
        <v>16602586650</v>
      </c>
      <c r="R7" s="116">
        <v>77476.2</v>
      </c>
      <c r="S7" s="130">
        <f t="shared" si="1"/>
        <v>178.0500979655688</v>
      </c>
      <c r="T7" s="85">
        <f>P5+P6+P7</f>
        <v>27135909</v>
      </c>
    </row>
    <row r="8" spans="1:20" ht="15" hidden="1" customHeight="1">
      <c r="A8" s="129" t="s">
        <v>3</v>
      </c>
      <c r="C8" s="79"/>
      <c r="F8" s="78">
        <f>P8/21</f>
        <v>388843.23809523811</v>
      </c>
      <c r="G8" s="90">
        <f t="shared" si="2"/>
        <v>-0.37986434314944406</v>
      </c>
      <c r="H8" s="90"/>
      <c r="I8" s="130" t="e">
        <f t="shared" si="0"/>
        <v>#DIV/0!</v>
      </c>
      <c r="J8" s="78"/>
      <c r="O8" s="129" t="s">
        <v>3</v>
      </c>
      <c r="P8" s="116">
        <v>8165708</v>
      </c>
      <c r="Q8" s="116">
        <v>9885477317</v>
      </c>
      <c r="R8" s="116">
        <v>44784.3</v>
      </c>
      <c r="S8" s="130">
        <f t="shared" si="1"/>
        <v>182.33416621449928</v>
      </c>
      <c r="T8" s="85"/>
    </row>
    <row r="9" spans="1:20" ht="15" hidden="1" customHeight="1">
      <c r="A9" s="129" t="s">
        <v>4</v>
      </c>
      <c r="C9" s="79"/>
      <c r="F9" s="78">
        <f>P9/21</f>
        <v>828490.80952380947</v>
      </c>
      <c r="G9" s="90">
        <f t="shared" si="2"/>
        <v>1.1306550515889127</v>
      </c>
      <c r="H9" s="90"/>
      <c r="I9" s="130" t="e">
        <f t="shared" si="0"/>
        <v>#DIV/0!</v>
      </c>
      <c r="J9" s="78"/>
      <c r="O9" s="129" t="s">
        <v>4</v>
      </c>
      <c r="P9" s="116">
        <v>17398307</v>
      </c>
      <c r="Q9" s="116">
        <v>21935707047</v>
      </c>
      <c r="R9" s="116">
        <v>91856.8</v>
      </c>
      <c r="S9" s="130">
        <f t="shared" si="1"/>
        <v>189.40684848590413</v>
      </c>
      <c r="T9" s="85"/>
    </row>
    <row r="10" spans="1:20" ht="15" hidden="1" customHeight="1">
      <c r="A10" s="129" t="s">
        <v>5</v>
      </c>
      <c r="B10" s="131">
        <f>F8+F9+F10</f>
        <v>2043509.1428571427</v>
      </c>
      <c r="C10" s="131">
        <f>AVERAGE(F8:F10)</f>
        <v>681169.7142857142</v>
      </c>
      <c r="D10" s="90">
        <f>C10/C7-1</f>
        <v>0.51494507367880504</v>
      </c>
      <c r="E10" s="90"/>
      <c r="F10" s="78">
        <f>P10/21</f>
        <v>826175.09523809527</v>
      </c>
      <c r="G10" s="90">
        <f t="shared" si="2"/>
        <v>-2.7950995461798467E-3</v>
      </c>
      <c r="H10" s="90"/>
      <c r="I10" s="130" t="e">
        <f t="shared" si="0"/>
        <v>#DIV/0!</v>
      </c>
      <c r="J10" s="79">
        <f>Q8+Q9+Q10</f>
        <v>53570003620</v>
      </c>
      <c r="K10" s="87">
        <f>T10/T7-1</f>
        <v>0.58143558043329224</v>
      </c>
      <c r="M10" s="88">
        <f>AVERAGE(S8:S10)</f>
        <v>199.62084647152179</v>
      </c>
      <c r="N10" s="89">
        <f>M10/M7-1</f>
        <v>0.52973382566993066</v>
      </c>
      <c r="O10" s="129" t="s">
        <v>5</v>
      </c>
      <c r="P10" s="116">
        <v>17349677</v>
      </c>
      <c r="Q10" s="116">
        <v>21748819256</v>
      </c>
      <c r="R10" s="116">
        <v>76389.399999999994</v>
      </c>
      <c r="S10" s="130">
        <f t="shared" si="1"/>
        <v>227.12152471416192</v>
      </c>
      <c r="T10" s="85">
        <f>P8+P9+P10</f>
        <v>42913692</v>
      </c>
    </row>
    <row r="11" spans="1:20" ht="15" hidden="1" customHeight="1">
      <c r="A11" s="129" t="s">
        <v>6</v>
      </c>
      <c r="C11" s="79"/>
      <c r="F11" s="78">
        <f>P11/21</f>
        <v>229798.04761904763</v>
      </c>
      <c r="G11" s="90">
        <f t="shared" si="2"/>
        <v>-0.7218530927117548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4825759</v>
      </c>
      <c r="Q11" s="116">
        <v>6249651953</v>
      </c>
      <c r="R11" s="116">
        <v>46509.79</v>
      </c>
      <c r="S11" s="130">
        <f t="shared" si="1"/>
        <v>103.75791849414929</v>
      </c>
      <c r="T11" s="85"/>
    </row>
    <row r="12" spans="1:20" ht="15" hidden="1" customHeight="1">
      <c r="A12" s="129" t="s">
        <v>7</v>
      </c>
      <c r="C12" s="79"/>
      <c r="F12" s="78">
        <f>P12/22</f>
        <v>694650.18181818177</v>
      </c>
      <c r="G12" s="90">
        <f t="shared" si="2"/>
        <v>2.0228724265305864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15282304</v>
      </c>
      <c r="Q12" s="116">
        <v>19766567129</v>
      </c>
      <c r="R12" s="116">
        <v>86372.37</v>
      </c>
      <c r="S12" s="130">
        <f t="shared" si="1"/>
        <v>176.93510088932376</v>
      </c>
      <c r="T12" s="85"/>
    </row>
    <row r="13" spans="1:20" ht="15" hidden="1" customHeight="1">
      <c r="A13" s="129" t="s">
        <v>96</v>
      </c>
      <c r="B13" s="131">
        <f>F11+F12+F13</f>
        <v>1851773.9294372294</v>
      </c>
      <c r="C13" s="131">
        <f>AVERAGE(F11:F13)</f>
        <v>617257.97647907643</v>
      </c>
      <c r="D13" s="90">
        <f>C13/C10-1</f>
        <v>-9.3826452448281028E-2</v>
      </c>
      <c r="E13" s="90"/>
      <c r="F13" s="78">
        <f>P13/20</f>
        <v>927325.7</v>
      </c>
      <c r="G13" s="90">
        <f t="shared" si="2"/>
        <v>0.33495351224527403</v>
      </c>
      <c r="H13" s="90"/>
      <c r="I13" s="130" t="e">
        <f t="shared" si="0"/>
        <v>#DIV/0!</v>
      </c>
      <c r="J13" s="78">
        <f>Q11+Q12+Q13</f>
        <v>51231422876</v>
      </c>
      <c r="K13" s="87">
        <f>T13/T10-1</f>
        <v>-9.9248393729441831E-2</v>
      </c>
      <c r="M13" s="88">
        <f>AVERAGE(S11:S13)</f>
        <v>187.22720212516106</v>
      </c>
      <c r="N13" s="89">
        <f>M13/M10-1</f>
        <v>-6.2085922214185296E-2</v>
      </c>
      <c r="O13" s="129" t="s">
        <v>96</v>
      </c>
      <c r="P13" s="116">
        <v>18546514</v>
      </c>
      <c r="Q13" s="116">
        <v>25215203794</v>
      </c>
      <c r="R13" s="116">
        <v>66004.509999999995</v>
      </c>
      <c r="S13" s="130">
        <f t="shared" si="1"/>
        <v>280.98858699201014</v>
      </c>
      <c r="T13" s="85">
        <f>P11+P12+P13</f>
        <v>38654577</v>
      </c>
    </row>
    <row r="14" spans="1:20" ht="15" hidden="1" customHeight="1">
      <c r="A14" s="129" t="s">
        <v>97</v>
      </c>
      <c r="C14" s="79"/>
      <c r="F14" s="78">
        <f>P14/20</f>
        <v>399461.75</v>
      </c>
      <c r="G14" s="90">
        <f t="shared" si="2"/>
        <v>-0.56923252531446067</v>
      </c>
      <c r="H14" s="90"/>
      <c r="I14" s="130" t="e">
        <f t="shared" si="0"/>
        <v>#DIV/0!</v>
      </c>
      <c r="N14" s="89"/>
      <c r="O14" s="129" t="s">
        <v>97</v>
      </c>
      <c r="P14" s="116">
        <v>7989235</v>
      </c>
      <c r="Q14" s="116">
        <v>11386771312</v>
      </c>
      <c r="R14" s="116">
        <v>34904.9</v>
      </c>
      <c r="S14" s="130">
        <f t="shared" si="1"/>
        <v>228.88577248466547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229534.95454545456</v>
      </c>
      <c r="G15" s="90">
        <f t="shared" si="2"/>
        <v>-0.42538940325211472</v>
      </c>
      <c r="H15" s="90"/>
      <c r="I15" s="130" t="e">
        <f t="shared" si="0"/>
        <v>#DIV/0!</v>
      </c>
      <c r="N15" s="89"/>
      <c r="O15" s="129" t="s">
        <v>98</v>
      </c>
      <c r="P15" s="116">
        <v>5049769</v>
      </c>
      <c r="Q15" s="116">
        <v>7112279675</v>
      </c>
      <c r="R15" s="116">
        <v>45043.6</v>
      </c>
      <c r="S15" s="130">
        <f t="shared" si="1"/>
        <v>112.10846823966114</v>
      </c>
      <c r="T15" s="78"/>
    </row>
    <row r="16" spans="1:20" ht="15" hidden="1" customHeight="1">
      <c r="A16" s="129" t="s">
        <v>99</v>
      </c>
      <c r="B16" s="131">
        <f>F14+F15+F16</f>
        <v>1128663.4772727273</v>
      </c>
      <c r="C16" s="131">
        <f>AVERAGE(F14:F16)</f>
        <v>376221.15909090912</v>
      </c>
      <c r="D16" s="90">
        <f>C16/C13-1</f>
        <v>-0.39049607550326715</v>
      </c>
      <c r="E16" s="90"/>
      <c r="F16" s="78">
        <f>P16/22</f>
        <v>499666.77272727271</v>
      </c>
      <c r="G16" s="90">
        <f t="shared" si="2"/>
        <v>1.1768657140554346</v>
      </c>
      <c r="H16" s="90"/>
      <c r="I16" s="130" t="e">
        <f t="shared" si="0"/>
        <v>#DIV/0!</v>
      </c>
      <c r="J16" s="78">
        <f>Q14+Q15+Q16</f>
        <v>32792595783</v>
      </c>
      <c r="K16" s="87">
        <f>T16/T13-1</f>
        <v>-0.37829683144637694</v>
      </c>
      <c r="M16" s="88">
        <f>AVERAGE(S14:S16)</f>
        <v>185.88504087648485</v>
      </c>
      <c r="N16" s="89">
        <f>M16/M13-1</f>
        <v>-7.1686231137448875E-3</v>
      </c>
      <c r="O16" s="129" t="s">
        <v>99</v>
      </c>
      <c r="P16" s="116">
        <v>10992669</v>
      </c>
      <c r="Q16" s="116">
        <v>14293544796</v>
      </c>
      <c r="R16" s="116">
        <v>50736.75</v>
      </c>
      <c r="S16" s="130">
        <f t="shared" si="1"/>
        <v>216.66088190512795</v>
      </c>
      <c r="T16" s="85">
        <f>P14+P15+P16</f>
        <v>24031673</v>
      </c>
    </row>
    <row r="17" spans="1:20" ht="15" hidden="1" customHeight="1">
      <c r="A17" s="129" t="s">
        <v>100</v>
      </c>
      <c r="C17" s="79"/>
      <c r="F17" s="78">
        <f>P17/20</f>
        <v>275871.55</v>
      </c>
      <c r="G17" s="90">
        <f t="shared" si="2"/>
        <v>-0.44788894307651761</v>
      </c>
      <c r="H17" s="90">
        <f t="shared" ref="H17:H30" si="3">F17/F5-1</f>
        <v>0.58731644221477342</v>
      </c>
      <c r="I17" s="130">
        <f t="shared" si="0"/>
        <v>469715.35303811164</v>
      </c>
      <c r="N17" s="89"/>
      <c r="O17" s="129" t="s">
        <v>100</v>
      </c>
      <c r="P17" s="116">
        <v>5517431</v>
      </c>
      <c r="Q17" s="116">
        <v>6961199649</v>
      </c>
      <c r="R17" s="116">
        <v>43299.3</v>
      </c>
      <c r="S17" s="130">
        <f t="shared" si="1"/>
        <v>127.42540872485236</v>
      </c>
      <c r="T17" s="78"/>
    </row>
    <row r="18" spans="1:20" ht="15" hidden="1" customHeight="1">
      <c r="A18" s="129" t="s">
        <v>106</v>
      </c>
      <c r="C18" s="79"/>
      <c r="F18" s="78">
        <f>P18/20</f>
        <v>607158.35</v>
      </c>
      <c r="G18" s="90">
        <f t="shared" si="2"/>
        <v>1.2008733774831075</v>
      </c>
      <c r="H18" s="90">
        <f t="shared" si="3"/>
        <v>0.1078055084911127</v>
      </c>
      <c r="I18" s="130">
        <f t="shared" si="0"/>
        <v>5631978.9081098121</v>
      </c>
      <c r="N18" s="89"/>
      <c r="O18" s="129" t="s">
        <v>106</v>
      </c>
      <c r="P18" s="116">
        <v>12143167</v>
      </c>
      <c r="Q18" s="116">
        <v>15300636895</v>
      </c>
      <c r="R18" s="116">
        <v>22970.35</v>
      </c>
      <c r="S18" s="130">
        <f t="shared" si="1"/>
        <v>528.64527532231773</v>
      </c>
      <c r="T18" s="78"/>
    </row>
    <row r="19" spans="1:20" hidden="1">
      <c r="A19" s="129" t="s">
        <v>114</v>
      </c>
      <c r="B19" s="131">
        <f>SUM(F17:F19)</f>
        <v>1237217.0363636361</v>
      </c>
      <c r="C19" s="131">
        <f>AVERAGE(F17:F19)</f>
        <v>412405.67878787871</v>
      </c>
      <c r="D19" s="90">
        <f>C19/C16-1</f>
        <v>9.6178853375511686E-2</v>
      </c>
      <c r="E19" s="90">
        <f>C19/C7-1</f>
        <v>-8.2795464428410903E-2</v>
      </c>
      <c r="F19" s="78">
        <f>P19/22</f>
        <v>354187.13636363635</v>
      </c>
      <c r="G19" s="90">
        <f t="shared" si="2"/>
        <v>-0.41664783764624769</v>
      </c>
      <c r="H19" s="90">
        <f t="shared" si="3"/>
        <v>-0.43513464826387349</v>
      </c>
      <c r="I19" s="130">
        <f t="shared" si="0"/>
        <v>-813971.34835571842</v>
      </c>
      <c r="J19" s="78">
        <f>Q17+Q18+Q19</f>
        <v>32467112387</v>
      </c>
      <c r="K19" s="87">
        <f>T19/T16-1</f>
        <v>5.9132046279091854E-2</v>
      </c>
      <c r="L19" s="87">
        <f>T19/T7-1</f>
        <v>-6.2028288788851693E-2</v>
      </c>
      <c r="M19" s="88">
        <f>AVERAGE(S17:S19)</f>
        <v>312.48774374300251</v>
      </c>
      <c r="N19" s="89">
        <f>M19/M16-1</f>
        <v>0.68108064139836544</v>
      </c>
      <c r="O19" s="129" t="s">
        <v>114</v>
      </c>
      <c r="P19" s="116">
        <v>7792117</v>
      </c>
      <c r="Q19" s="116">
        <v>10205275843</v>
      </c>
      <c r="R19" s="116">
        <v>27691.27</v>
      </c>
      <c r="S19" s="130">
        <f t="shared" si="1"/>
        <v>281.39254718183747</v>
      </c>
      <c r="T19" s="85">
        <f>P17+P18+P19</f>
        <v>25452715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323324.2</v>
      </c>
      <c r="G20" s="90">
        <f t="shared" si="2"/>
        <v>-8.7137372295616133E-2</v>
      </c>
      <c r="H20" s="90">
        <f t="shared" si="3"/>
        <v>-0.16849730605111035</v>
      </c>
      <c r="I20" s="130">
        <f t="shared" si="0"/>
        <v>-1918868.6607364865</v>
      </c>
      <c r="N20" s="89"/>
      <c r="O20" s="129" t="s">
        <v>131</v>
      </c>
      <c r="P20" s="116">
        <v>6466484</v>
      </c>
      <c r="Q20" s="116">
        <v>8498611680</v>
      </c>
      <c r="R20" s="116">
        <v>17549.7</v>
      </c>
      <c r="S20" s="130">
        <f t="shared" si="1"/>
        <v>368.46692536054746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580960.76190476189</v>
      </c>
      <c r="G21" s="90">
        <f t="shared" si="2"/>
        <v>0.79683661756454316</v>
      </c>
      <c r="H21" s="90">
        <f t="shared" si="3"/>
        <v>-0.29877223111421125</v>
      </c>
      <c r="I21" s="130">
        <f t="shared" si="0"/>
        <v>-1944493.8364525544</v>
      </c>
      <c r="N21" s="89"/>
      <c r="O21" s="129" t="s">
        <v>141</v>
      </c>
      <c r="P21" s="116">
        <v>12200176</v>
      </c>
      <c r="Q21" s="116">
        <v>16219917754</v>
      </c>
      <c r="R21" s="116">
        <v>21483.55</v>
      </c>
      <c r="S21" s="130">
        <f t="shared" si="1"/>
        <v>567.8845442210436</v>
      </c>
      <c r="T21" s="78"/>
    </row>
    <row r="22" spans="1:20" hidden="1">
      <c r="A22" s="129" t="s">
        <v>155</v>
      </c>
      <c r="B22" s="131">
        <f>SUM(F20:F22)</f>
        <v>1490999.8666666667</v>
      </c>
      <c r="C22" s="131">
        <f>AVERAGE(F20:F22)</f>
        <v>496999.95555555559</v>
      </c>
      <c r="D22" s="90">
        <f>C22/C19-1</f>
        <v>0.2051239377117986</v>
      </c>
      <c r="E22" s="90">
        <f>C22/C10-1</f>
        <v>-0.27037279383931812</v>
      </c>
      <c r="F22" s="78">
        <f>P22/21</f>
        <v>586714.90476190473</v>
      </c>
      <c r="G22" s="90">
        <f t="shared" si="2"/>
        <v>9.9045292461354961E-3</v>
      </c>
      <c r="H22" s="90">
        <f t="shared" si="3"/>
        <v>-0.28984193769140487</v>
      </c>
      <c r="I22" s="130">
        <f t="shared" si="0"/>
        <v>-2024258.1506151154</v>
      </c>
      <c r="J22" s="78">
        <f>Q20+Q21+Q22</f>
        <v>40611897362</v>
      </c>
      <c r="K22" s="87">
        <f>T22/T19-1</f>
        <v>0.217460416305294</v>
      </c>
      <c r="L22" s="87">
        <f>T22/T10-1</f>
        <v>-0.27790708382769769</v>
      </c>
      <c r="M22" s="88">
        <f>AVERAGE(S20:S22)</f>
        <v>449.54033358351785</v>
      </c>
      <c r="N22" s="89">
        <f>M22/M19-1</f>
        <v>0.4385854888223415</v>
      </c>
      <c r="O22" s="129" t="s">
        <v>155</v>
      </c>
      <c r="P22" s="116">
        <v>12321013</v>
      </c>
      <c r="Q22" s="116">
        <v>15893367928</v>
      </c>
      <c r="R22" s="116">
        <v>29885.82</v>
      </c>
      <c r="S22" s="130">
        <f t="shared" si="1"/>
        <v>412.26953116896243</v>
      </c>
      <c r="T22" s="85">
        <f>P20+P21+P22</f>
        <v>30987673</v>
      </c>
    </row>
    <row r="23" spans="1:20" hidden="1">
      <c r="A23" s="129" t="s">
        <v>189</v>
      </c>
      <c r="C23" s="131"/>
      <c r="F23" s="78">
        <f>P23/21</f>
        <v>97554.857142857145</v>
      </c>
      <c r="G23" s="90">
        <f t="shared" si="2"/>
        <v>-0.83372698332515349</v>
      </c>
      <c r="H23" s="90">
        <f t="shared" si="3"/>
        <v>-0.5754756920103139</v>
      </c>
      <c r="I23" s="130">
        <f t="shared" si="0"/>
        <v>-169520.37852731533</v>
      </c>
      <c r="N23" s="89"/>
      <c r="O23" s="129" t="s">
        <v>189</v>
      </c>
      <c r="P23" s="116">
        <v>2048652</v>
      </c>
      <c r="Q23" s="116">
        <v>2609331302</v>
      </c>
      <c r="R23" s="116">
        <v>10217.6</v>
      </c>
      <c r="S23" s="130">
        <f t="shared" si="1"/>
        <v>200.50227059191982</v>
      </c>
      <c r="T23" s="78"/>
    </row>
    <row r="24" spans="1:20" hidden="1">
      <c r="A24" s="129" t="s">
        <v>204</v>
      </c>
      <c r="C24" s="131"/>
      <c r="F24" s="78">
        <f>P24/22</f>
        <v>215695.77272727274</v>
      </c>
      <c r="G24" s="90">
        <f t="shared" si="2"/>
        <v>1.2110203330154303</v>
      </c>
      <c r="H24" s="90">
        <f t="shared" si="3"/>
        <v>-0.68949007950633612</v>
      </c>
      <c r="I24" s="130">
        <f t="shared" si="0"/>
        <v>-312833.75807481882</v>
      </c>
      <c r="N24" s="89"/>
      <c r="O24" s="129" t="s">
        <v>204</v>
      </c>
      <c r="P24" s="116">
        <v>4745307</v>
      </c>
      <c r="Q24" s="116">
        <v>6238159794</v>
      </c>
      <c r="R24" s="116">
        <v>23168.39</v>
      </c>
      <c r="S24" s="130">
        <f t="shared" si="1"/>
        <v>204.81815957000035</v>
      </c>
      <c r="T24" s="78"/>
    </row>
    <row r="25" spans="1:20" s="79" customFormat="1" ht="13.2" hidden="1">
      <c r="A25" s="129" t="s">
        <v>217</v>
      </c>
      <c r="B25" s="131">
        <f>SUM(F23:F25)</f>
        <v>798124.99829118256</v>
      </c>
      <c r="C25" s="131">
        <f>AVERAGE(F23:F25)</f>
        <v>266041.66609706084</v>
      </c>
      <c r="D25" s="90">
        <f>C25/C22-1</f>
        <v>-0.46470484932000722</v>
      </c>
      <c r="E25" s="90">
        <f>C25/C13-1</f>
        <v>-0.56899436502287304</v>
      </c>
      <c r="F25" s="78">
        <f>P25/19</f>
        <v>484874.36842105264</v>
      </c>
      <c r="G25" s="90">
        <f t="shared" si="2"/>
        <v>1.2479548963350862</v>
      </c>
      <c r="H25" s="90">
        <f t="shared" si="3"/>
        <v>-0.47712613980066265</v>
      </c>
      <c r="I25" s="130">
        <f t="shared" si="0"/>
        <v>-1016239.3714660595</v>
      </c>
      <c r="J25" s="78">
        <f>Q23+Q24+Q25</f>
        <v>21086540961</v>
      </c>
      <c r="K25" s="90">
        <f>T25/T22-1</f>
        <v>-0.48345356555169539</v>
      </c>
      <c r="L25" s="90">
        <f>T25/T13-1</f>
        <v>-0.58590745929000854</v>
      </c>
      <c r="M25" s="88">
        <f>AVERAGE(S23:S25)</f>
        <v>234.04747860008698</v>
      </c>
      <c r="N25" s="91">
        <f>M25/M22-1</f>
        <v>-0.47936267089901852</v>
      </c>
      <c r="O25" s="129" t="s">
        <v>217</v>
      </c>
      <c r="P25" s="116">
        <v>9212613</v>
      </c>
      <c r="Q25" s="116">
        <v>12239049865</v>
      </c>
      <c r="R25" s="116">
        <v>31037.5</v>
      </c>
      <c r="S25" s="130">
        <f t="shared" si="1"/>
        <v>296.82200563834073</v>
      </c>
      <c r="T25" s="85">
        <f>P23+P24+P25</f>
        <v>16006572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128202.10526315789</v>
      </c>
      <c r="G26" s="90">
        <f t="shared" si="2"/>
        <v>-0.73559727299952793</v>
      </c>
      <c r="H26" s="90">
        <f t="shared" si="3"/>
        <v>-0.6790628758243864</v>
      </c>
      <c r="I26" s="130">
        <f t="shared" si="0"/>
        <v>-188792.68743342767</v>
      </c>
      <c r="K26" s="90"/>
      <c r="L26" s="90"/>
      <c r="O26" s="129" t="s">
        <v>312</v>
      </c>
      <c r="P26" s="116">
        <v>2435840</v>
      </c>
      <c r="Q26" s="116">
        <v>3296441003</v>
      </c>
      <c r="R26" s="116">
        <v>51516.5</v>
      </c>
      <c r="S26" s="130">
        <f t="shared" si="1"/>
        <v>47.282715246571485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410593.09090909088</v>
      </c>
      <c r="G27" s="90">
        <f t="shared" si="2"/>
        <v>2.2027016254239715</v>
      </c>
      <c r="H27" s="90">
        <f t="shared" si="3"/>
        <v>0.78880420074660829</v>
      </c>
      <c r="I27" s="130">
        <f t="shared" si="0"/>
        <v>520525.99430943938</v>
      </c>
      <c r="K27" s="90"/>
      <c r="L27" s="90"/>
      <c r="O27" s="129" t="s">
        <v>375</v>
      </c>
      <c r="P27" s="116">
        <v>9033048</v>
      </c>
      <c r="Q27" s="116">
        <v>12113510074</v>
      </c>
      <c r="R27" s="116">
        <v>62283.29</v>
      </c>
      <c r="S27" s="130">
        <f t="shared" si="1"/>
        <v>145.03164492434487</v>
      </c>
      <c r="T27" s="78"/>
    </row>
    <row r="28" spans="1:20" s="79" customFormat="1" ht="13.2" hidden="1">
      <c r="A28" s="123" t="s">
        <v>413</v>
      </c>
      <c r="B28" s="131">
        <f>SUM(F26:F28)</f>
        <v>990606.82775119622</v>
      </c>
      <c r="C28" s="131">
        <f>AVERAGE(F26:F28)</f>
        <v>330202.27591706539</v>
      </c>
      <c r="D28" s="90">
        <f>C28/C25-1</f>
        <v>0.24116752372388395</v>
      </c>
      <c r="E28" s="90">
        <f>C28/C16-1</f>
        <v>-0.12231870021623059</v>
      </c>
      <c r="F28" s="78">
        <f>P28/19</f>
        <v>451811.63157894736</v>
      </c>
      <c r="G28" s="90">
        <f t="shared" si="2"/>
        <v>0.1003878087149368</v>
      </c>
      <c r="H28" s="90">
        <f t="shared" si="3"/>
        <v>-9.5774111388522432E-2</v>
      </c>
      <c r="I28" s="130">
        <f t="shared" si="0"/>
        <v>-4717471.4025390837</v>
      </c>
      <c r="J28" s="78">
        <f>Q26+Q27+Q28</f>
        <v>26655383179</v>
      </c>
      <c r="K28" s="90">
        <f>T28/T25-1</f>
        <v>0.25281721782777722</v>
      </c>
      <c r="L28" s="90">
        <f>T28/T16-1</f>
        <v>-0.16554669331594185</v>
      </c>
      <c r="M28" s="88">
        <f>AVERAGE(S26:S28)</f>
        <v>197.75605560111035</v>
      </c>
      <c r="N28" s="91">
        <f>M28/M25-1</f>
        <v>-0.15506008958544337</v>
      </c>
      <c r="O28" s="129" t="s">
        <v>413</v>
      </c>
      <c r="P28" s="116">
        <v>8584421</v>
      </c>
      <c r="Q28" s="116">
        <v>11245432102</v>
      </c>
      <c r="R28" s="116">
        <v>21410</v>
      </c>
      <c r="S28" s="130">
        <f t="shared" si="1"/>
        <v>400.95380663241474</v>
      </c>
      <c r="T28" s="85">
        <f>P26+P27+P28</f>
        <v>20053309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297731.81818181818</v>
      </c>
      <c r="G29" s="190">
        <f t="shared" si="2"/>
        <v>-0.34102666383038005</v>
      </c>
      <c r="H29" s="190">
        <f t="shared" si="3"/>
        <v>7.9240748753607315E-2</v>
      </c>
      <c r="I29" s="130">
        <f>S29</f>
        <v>539.78260690416732</v>
      </c>
      <c r="J29" s="136"/>
      <c r="K29" s="190"/>
      <c r="L29" s="190"/>
      <c r="M29" s="191"/>
      <c r="N29" s="192"/>
      <c r="O29" s="129" t="s">
        <v>427</v>
      </c>
      <c r="P29" s="116">
        <v>6550100</v>
      </c>
      <c r="Q29" s="116">
        <v>8684818824</v>
      </c>
      <c r="R29" s="116">
        <v>12134.7</v>
      </c>
      <c r="S29" s="130">
        <f t="shared" si="1"/>
        <v>539.78260690416732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431466.89473684208</v>
      </c>
      <c r="G30" s="190">
        <f t="shared" si="2"/>
        <v>0.44917965896864565</v>
      </c>
      <c r="H30" s="190">
        <f t="shared" si="3"/>
        <v>-0.28936677765060448</v>
      </c>
      <c r="I30" s="130">
        <f t="shared" ref="I30:I45" si="4">S30</f>
        <v>333.39193608274172</v>
      </c>
      <c r="J30" s="136"/>
      <c r="K30" s="190"/>
      <c r="L30" s="190"/>
      <c r="M30" s="191"/>
      <c r="N30" s="192"/>
      <c r="O30" s="129" t="s">
        <v>466</v>
      </c>
      <c r="P30" s="116">
        <v>8197871</v>
      </c>
      <c r="Q30" s="116">
        <v>10913977794</v>
      </c>
      <c r="R30" s="116">
        <v>24589.29</v>
      </c>
      <c r="S30" s="130">
        <f t="shared" si="1"/>
        <v>333.39193608274172</v>
      </c>
      <c r="T30" s="85"/>
    </row>
    <row r="31" spans="1:20" s="79" customFormat="1" ht="13.2">
      <c r="A31" s="129" t="s">
        <v>505</v>
      </c>
      <c r="B31" s="188">
        <f>SUM(F29:F31)</f>
        <v>1529110.9129186603</v>
      </c>
      <c r="C31" s="188">
        <f>AVERAGE(F29:F31)</f>
        <v>509703.63763955346</v>
      </c>
      <c r="D31" s="190">
        <f>C31/C28-1</f>
        <v>0.5436103104497445</v>
      </c>
      <c r="E31" s="190">
        <f>C31/C19-1</f>
        <v>0.2359277862944269</v>
      </c>
      <c r="F31" s="136">
        <f>P31/20</f>
        <v>799912.2</v>
      </c>
      <c r="G31" s="190">
        <f t="shared" ref="G31" si="5">F31/F30-1</f>
        <v>0.85393644276666469</v>
      </c>
      <c r="H31" s="190">
        <f t="shared" ref="H31" si="6">F31/F19-1</f>
        <v>1.2584450926494046</v>
      </c>
      <c r="I31" s="130">
        <f t="shared" si="4"/>
        <v>495.43342950958163</v>
      </c>
      <c r="J31" s="136">
        <f>Q29+Q30+Q31</f>
        <v>40831342260</v>
      </c>
      <c r="K31" s="190">
        <f>T31/T28-1</f>
        <v>0.5332240180411123</v>
      </c>
      <c r="L31" s="190">
        <f>T31/T19-1</f>
        <v>0.20797388412198847</v>
      </c>
      <c r="M31" s="191">
        <f>AVERAGE(S29:S31)</f>
        <v>456.20265749883021</v>
      </c>
      <c r="N31" s="192">
        <f>M31/M28-1</f>
        <v>1.3068960195030748</v>
      </c>
      <c r="O31" s="129" t="s">
        <v>505</v>
      </c>
      <c r="P31" s="116">
        <v>15998244</v>
      </c>
      <c r="Q31" s="116">
        <v>21232545642</v>
      </c>
      <c r="R31" s="116">
        <v>32291.41</v>
      </c>
      <c r="S31" s="130">
        <f t="shared" ref="S31" si="7">P31/R31</f>
        <v>495.43342950958163</v>
      </c>
      <c r="T31" s="85">
        <f>P29+P30+P31</f>
        <v>30746215</v>
      </c>
    </row>
    <row r="32" spans="1:20" s="79" customFormat="1" ht="13.2">
      <c r="A32" s="129" t="s">
        <v>580</v>
      </c>
      <c r="B32" s="188"/>
      <c r="C32" s="188"/>
      <c r="D32" s="190"/>
      <c r="E32" s="190"/>
      <c r="F32" s="136">
        <f>P32/21</f>
        <v>324354.33333333331</v>
      </c>
      <c r="G32" s="190">
        <f t="shared" ref="G32" si="8">F32/F31-1</f>
        <v>-0.59451258108910787</v>
      </c>
      <c r="H32" s="190">
        <f t="shared" ref="H32" si="9">F32/F20-1</f>
        <v>3.1860693796916806E-3</v>
      </c>
      <c r="I32" s="130">
        <f t="shared" si="4"/>
        <v>173.03468090619492</v>
      </c>
      <c r="J32" s="136"/>
      <c r="K32" s="190"/>
      <c r="L32" s="190"/>
      <c r="M32" s="191"/>
      <c r="N32" s="192"/>
      <c r="O32" s="129" t="s">
        <v>580</v>
      </c>
      <c r="P32" s="116">
        <v>6811441</v>
      </c>
      <c r="Q32" s="116">
        <v>9254103334</v>
      </c>
      <c r="R32" s="116">
        <v>39364.6</v>
      </c>
      <c r="S32" s="130">
        <f t="shared" ref="S32" si="10">P32/R32</f>
        <v>173.03468090619492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133266.42857142858</v>
      </c>
      <c r="G33" s="190">
        <f t="shared" ref="G33" si="11">F33/F32-1</f>
        <v>-0.58913319516384266</v>
      </c>
      <c r="H33" s="190">
        <f t="shared" ref="H33" si="12">F33/F21-1</f>
        <v>-0.7706102764419136</v>
      </c>
      <c r="I33" s="130">
        <f t="shared" si="4"/>
        <v>123.42259502798248</v>
      </c>
      <c r="J33" s="136"/>
      <c r="K33" s="190"/>
      <c r="L33" s="190"/>
      <c r="M33" s="191"/>
      <c r="N33" s="192"/>
      <c r="O33" s="129" t="s">
        <v>607</v>
      </c>
      <c r="P33" s="116">
        <v>2798595</v>
      </c>
      <c r="Q33" s="116">
        <v>3824241835</v>
      </c>
      <c r="R33" s="116">
        <v>22674.9</v>
      </c>
      <c r="S33" s="130">
        <f t="shared" ref="S33" si="13">P33/R33</f>
        <v>123.42259502798248</v>
      </c>
      <c r="T33" s="85"/>
    </row>
    <row r="34" spans="1:20" s="79" customFormat="1" ht="13.2">
      <c r="A34" s="129" t="s">
        <v>652</v>
      </c>
      <c r="B34" s="188">
        <f>SUM(F32:F34)</f>
        <v>1095254.7619047619</v>
      </c>
      <c r="C34" s="188">
        <f>AVERAGE(F32:F34)</f>
        <v>365084.92063492065</v>
      </c>
      <c r="D34" s="190">
        <f>C34/C31-1</f>
        <v>-0.28373098860813439</v>
      </c>
      <c r="E34" s="190">
        <f>C34/C22-1</f>
        <v>-0.26542262920965032</v>
      </c>
      <c r="F34" s="136">
        <f>P34/19</f>
        <v>637634</v>
      </c>
      <c r="G34" s="190">
        <f t="shared" ref="G34" si="14">F34/F33-1</f>
        <v>3.7846558719643246</v>
      </c>
      <c r="H34" s="190">
        <f t="shared" ref="H34" si="15">F34/F22-1</f>
        <v>8.6786776379507158E-2</v>
      </c>
      <c r="I34" s="130">
        <f t="shared" si="4"/>
        <v>500.85146492812817</v>
      </c>
      <c r="J34" s="136">
        <f>Q32+Q33+Q34</f>
        <v>29745360927</v>
      </c>
      <c r="K34" s="190">
        <f>T34/T31-1</f>
        <v>-0.29340629407554719</v>
      </c>
      <c r="L34" s="190">
        <f>T34/T22-1</f>
        <v>-0.29891211902229642</v>
      </c>
      <c r="M34" s="191">
        <f>AVERAGE(S32:S34)</f>
        <v>265.76958028743519</v>
      </c>
      <c r="N34" s="192">
        <f>M34/M31-1</f>
        <v>-0.41743088094984038</v>
      </c>
      <c r="O34" s="129" t="s">
        <v>652</v>
      </c>
      <c r="P34" s="116">
        <v>12115046</v>
      </c>
      <c r="Q34" s="116">
        <v>16667015758</v>
      </c>
      <c r="R34" s="116">
        <v>24188.9</v>
      </c>
      <c r="S34" s="130">
        <f t="shared" ref="S34" si="16">P34/R34</f>
        <v>500.85146492812817</v>
      </c>
      <c r="T34" s="85">
        <f>P32+P33+P34</f>
        <v>21725082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487877.08695652173</v>
      </c>
      <c r="G35" s="190">
        <f t="shared" ref="G35" si="17">F35/F34-1</f>
        <v>-0.23486343740057503</v>
      </c>
      <c r="H35" s="190">
        <f t="shared" ref="H35" si="18">F35/F23-1</f>
        <v>4.0010537788199052</v>
      </c>
      <c r="I35" s="130">
        <f t="shared" si="4"/>
        <v>138.21112165445805</v>
      </c>
      <c r="J35" s="136"/>
      <c r="K35" s="190"/>
      <c r="L35" s="190"/>
      <c r="M35" s="191"/>
      <c r="N35" s="192"/>
      <c r="O35" s="129" t="s">
        <v>660</v>
      </c>
      <c r="P35" s="116">
        <v>11221173</v>
      </c>
      <c r="Q35" s="116">
        <v>15505118731</v>
      </c>
      <c r="R35" s="116">
        <v>81188.639999999999</v>
      </c>
      <c r="S35" s="130">
        <f t="shared" ref="S35" si="19">P35/R35</f>
        <v>138.21112165445805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341834.23809523811</v>
      </c>
      <c r="G36" s="190">
        <f t="shared" ref="G36" si="20">F36/F35-1</f>
        <v>-0.29934352886365123</v>
      </c>
      <c r="H36" s="190">
        <f t="shared" ref="H36" si="21">F36/F24-1</f>
        <v>0.58479804111625189</v>
      </c>
      <c r="I36" s="130">
        <f t="shared" si="4"/>
        <v>478.01280113361685</v>
      </c>
      <c r="J36" s="136"/>
      <c r="K36" s="190"/>
      <c r="L36" s="190"/>
      <c r="M36" s="191"/>
      <c r="N36" s="192"/>
      <c r="O36" s="129" t="s">
        <v>664</v>
      </c>
      <c r="P36" s="116">
        <v>7178519</v>
      </c>
      <c r="Q36" s="116">
        <v>9861395743</v>
      </c>
      <c r="R36" s="116">
        <v>15017.42</v>
      </c>
      <c r="S36" s="130">
        <f t="shared" ref="S36" si="22">P36/R36</f>
        <v>478.01280113361685</v>
      </c>
      <c r="T36" s="85"/>
    </row>
    <row r="37" spans="1:20" s="79" customFormat="1" ht="13.2">
      <c r="A37" s="129" t="s">
        <v>702</v>
      </c>
      <c r="B37" s="188">
        <f>SUM(F35:F37)</f>
        <v>1530047.7139406488</v>
      </c>
      <c r="C37" s="188">
        <f>AVERAGE(F35:F37)</f>
        <v>510015.90464688296</v>
      </c>
      <c r="D37" s="190">
        <f>C37/C34-1</f>
        <v>0.39697882826798825</v>
      </c>
      <c r="E37" s="190">
        <f>C37/C25-1</f>
        <v>0.91705273887742167</v>
      </c>
      <c r="F37" s="136">
        <f>P37/18</f>
        <v>700336.38888888888</v>
      </c>
      <c r="G37" s="190">
        <f t="shared" ref="G37" si="23">F37/F36-1</f>
        <v>1.0487602201326855</v>
      </c>
      <c r="H37" s="190">
        <f t="shared" ref="H37" si="24">F37/F25-1</f>
        <v>0.44436669475738189</v>
      </c>
      <c r="I37" s="130">
        <f t="shared" si="4"/>
        <v>389.64460462341628</v>
      </c>
      <c r="J37" s="136">
        <f>Q35+Q36+Q37</f>
        <v>42164503817</v>
      </c>
      <c r="K37" s="190">
        <f>T37/T34-1</f>
        <v>0.42718664997443967</v>
      </c>
      <c r="L37" s="190">
        <f>T37/T25-1</f>
        <v>0.93706353865149894</v>
      </c>
      <c r="M37" s="191">
        <f>AVERAGE(S35:S37)</f>
        <v>335.28950913716375</v>
      </c>
      <c r="N37" s="192">
        <f>M37/M34-1</f>
        <v>0.26157970665619956</v>
      </c>
      <c r="O37" s="129" t="s">
        <v>702</v>
      </c>
      <c r="P37" s="116">
        <v>12606055</v>
      </c>
      <c r="Q37" s="116">
        <v>16797989343</v>
      </c>
      <c r="R37" s="116">
        <v>32352.7</v>
      </c>
      <c r="S37" s="130">
        <f t="shared" ref="S37" si="25">P37/R37</f>
        <v>389.64460462341628</v>
      </c>
      <c r="T37" s="85">
        <f>P35+P36+P37</f>
        <v>31005747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422173.1</v>
      </c>
      <c r="G38" s="190">
        <f t="shared" ref="G38" si="26">F38/F37-1</f>
        <v>-0.39718525740209765</v>
      </c>
      <c r="H38" s="190">
        <f t="shared" ref="H38" si="27">F38/F26-1</f>
        <v>2.2930278261297947</v>
      </c>
      <c r="I38" s="130">
        <f t="shared" si="4"/>
        <v>892.48694585967064</v>
      </c>
      <c r="J38" s="136"/>
      <c r="K38" s="190"/>
      <c r="L38" s="190"/>
      <c r="M38" s="191"/>
      <c r="N38" s="192"/>
      <c r="O38" s="129" t="s">
        <v>728</v>
      </c>
      <c r="P38" s="116">
        <v>8443462</v>
      </c>
      <c r="Q38" s="116">
        <v>11407701309</v>
      </c>
      <c r="R38" s="116">
        <v>9460.6</v>
      </c>
      <c r="S38" s="130">
        <f t="shared" ref="S38" si="28">P38/R38</f>
        <v>892.48694585967064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471681.33333333331</v>
      </c>
      <c r="G39" s="190">
        <f t="shared" ref="G39" si="29">F39/F38-1</f>
        <v>0.11726998554226542</v>
      </c>
      <c r="H39" s="190">
        <f t="shared" ref="H39" si="30">F39/F27-1</f>
        <v>0.14878049284508776</v>
      </c>
      <c r="I39" s="130">
        <f t="shared" si="4"/>
        <v>268.72965768894255</v>
      </c>
      <c r="J39" s="136"/>
      <c r="K39" s="190"/>
      <c r="L39" s="190"/>
      <c r="M39" s="191"/>
      <c r="N39" s="192"/>
      <c r="O39" s="129" t="s">
        <v>762</v>
      </c>
      <c r="P39" s="116">
        <v>9905308</v>
      </c>
      <c r="Q39" s="116">
        <v>13785464721</v>
      </c>
      <c r="R39" s="116">
        <v>36859.75</v>
      </c>
      <c r="S39" s="130">
        <f t="shared" ref="S39" si="31">P39/R39</f>
        <v>268.72965768894255</v>
      </c>
      <c r="T39" s="85"/>
    </row>
    <row r="40" spans="1:20" s="79" customFormat="1" ht="13.2">
      <c r="A40" s="129" t="s">
        <v>778</v>
      </c>
      <c r="B40" s="188">
        <f>SUM(F38:F40)</f>
        <v>1112938.7666666666</v>
      </c>
      <c r="C40" s="188">
        <f>AVERAGE(F38:F40)</f>
        <v>370979.58888888889</v>
      </c>
      <c r="D40" s="190">
        <f>C40/C37-1</f>
        <v>-0.27261172542110801</v>
      </c>
      <c r="E40" s="190">
        <f>C40/C28-1</f>
        <v>0.12349191978938778</v>
      </c>
      <c r="F40" s="136">
        <f>P40/21</f>
        <v>219084.33333333334</v>
      </c>
      <c r="G40" s="190">
        <f t="shared" ref="G40" si="32">F40/F39-1</f>
        <v>-0.53552469039831974</v>
      </c>
      <c r="H40" s="190">
        <f t="shared" ref="H40" si="33">F40/F28-1</f>
        <v>-0.51509806737887931</v>
      </c>
      <c r="I40" s="130">
        <f t="shared" si="4"/>
        <v>80.330104895281949</v>
      </c>
      <c r="J40" s="136">
        <f>Q38+Q39+Q40</f>
        <v>31658937555</v>
      </c>
      <c r="K40" s="190">
        <f>T40/T37-1</f>
        <v>-0.25982944387696905</v>
      </c>
      <c r="L40" s="190">
        <f>T40/T28-1</f>
        <v>0.14442663801769573</v>
      </c>
      <c r="M40" s="191">
        <f>AVERAGE(S38:S40)</f>
        <v>413.84890281463169</v>
      </c>
      <c r="N40" s="192">
        <f>M40/M37-1</f>
        <v>0.23430316647733229</v>
      </c>
      <c r="O40" s="129" t="s">
        <v>778</v>
      </c>
      <c r="P40" s="116">
        <v>4600771</v>
      </c>
      <c r="Q40" s="116">
        <v>6465771525</v>
      </c>
      <c r="R40" s="116">
        <v>57273.31</v>
      </c>
      <c r="S40" s="130">
        <f t="shared" ref="S40" si="34">P40/R40</f>
        <v>80.330104895281949</v>
      </c>
      <c r="T40" s="85">
        <f>P38+P39+P40</f>
        <v>22949541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169243.22222222222</v>
      </c>
      <c r="G41" s="190">
        <f t="shared" ref="G41" si="35">F41/F40-1</f>
        <v>-0.22749737670780257</v>
      </c>
      <c r="H41" s="190">
        <f t="shared" ref="H41" si="36">F41/F29-1</f>
        <v>-0.43155816111374046</v>
      </c>
      <c r="I41" s="130">
        <f t="shared" si="4"/>
        <v>147.50292935650995</v>
      </c>
      <c r="J41" s="193"/>
      <c r="K41" s="190"/>
      <c r="L41" s="190"/>
      <c r="M41" s="193"/>
      <c r="N41" s="193"/>
      <c r="O41" s="129" t="s">
        <v>792</v>
      </c>
      <c r="P41" s="116">
        <v>3046378</v>
      </c>
      <c r="Q41" s="116">
        <v>4448898691</v>
      </c>
      <c r="R41" s="116">
        <v>20653</v>
      </c>
      <c r="S41" s="130">
        <f t="shared" ref="S41" si="37">P41/R41</f>
        <v>147.50292935650995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75563</v>
      </c>
      <c r="G42" s="190">
        <f t="shared" ref="G42" si="38">F42/F41-1</f>
        <v>-0.5535242179401243</v>
      </c>
      <c r="H42" s="190">
        <f t="shared" ref="H42" si="39">F42/F30-1</f>
        <v>-0.82486953014996212</v>
      </c>
      <c r="I42" s="130">
        <f t="shared" si="4"/>
        <v>88.580944130338708</v>
      </c>
      <c r="J42" s="193"/>
      <c r="K42" s="190"/>
      <c r="L42" s="190"/>
      <c r="M42" s="193"/>
      <c r="N42" s="193"/>
      <c r="O42" s="129" t="s">
        <v>826</v>
      </c>
      <c r="P42" s="116">
        <v>1511260</v>
      </c>
      <c r="Q42" s="116">
        <v>2180195419</v>
      </c>
      <c r="R42" s="116">
        <v>17060.78</v>
      </c>
      <c r="S42" s="130">
        <f t="shared" ref="S42" si="40">P42/R42</f>
        <v>88.580944130338708</v>
      </c>
      <c r="T42" s="78"/>
    </row>
    <row r="43" spans="1:20" s="79" customFormat="1" ht="13.2">
      <c r="A43" s="129" t="s">
        <v>835</v>
      </c>
      <c r="B43" s="188">
        <f>SUM(F41:F43)</f>
        <v>697248.4222222222</v>
      </c>
      <c r="C43" s="188">
        <f>AVERAGE(F41:F43)</f>
        <v>232416.14074074072</v>
      </c>
      <c r="D43" s="190">
        <f>C43/C40-1</f>
        <v>-0.37350693218232267</v>
      </c>
      <c r="E43" s="190">
        <f>C43/C31-1</f>
        <v>-0.54401710410177961</v>
      </c>
      <c r="F43" s="136">
        <f>P43/20</f>
        <v>452442.2</v>
      </c>
      <c r="G43" s="190">
        <f t="shared" ref="G43" si="41">F43/F42-1</f>
        <v>4.9876156319892013</v>
      </c>
      <c r="H43" s="190">
        <f t="shared" ref="H43" si="42">F43/F31-1</f>
        <v>-0.43438517377282149</v>
      </c>
      <c r="I43" s="130">
        <f t="shared" si="4"/>
        <v>117.66352540771068</v>
      </c>
      <c r="J43" s="136">
        <f>Q41+Q42+Q43</f>
        <v>19768882995</v>
      </c>
      <c r="K43" s="190">
        <f>T43/T40-1</f>
        <v>-0.40711310958245306</v>
      </c>
      <c r="L43" s="190">
        <f>T43/T31-1</f>
        <v>-0.55745830828282439</v>
      </c>
      <c r="M43" s="191">
        <f>AVERAGE(S41:S43)</f>
        <v>117.91579963151979</v>
      </c>
      <c r="N43" s="192">
        <f>M43/M40-1</f>
        <v>-0.71507523922484384</v>
      </c>
      <c r="O43" s="129" t="s">
        <v>835</v>
      </c>
      <c r="P43" s="116">
        <v>9048844</v>
      </c>
      <c r="Q43" s="116">
        <v>13139788885</v>
      </c>
      <c r="R43" s="116">
        <v>76904.41</v>
      </c>
      <c r="S43" s="130">
        <f t="shared" ref="S43" si="43">P43/R43</f>
        <v>117.66352540771068</v>
      </c>
      <c r="T43" s="85">
        <f>P41+P42+P43</f>
        <v>13606482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75525.318181818177</v>
      </c>
      <c r="G44" s="190">
        <f t="shared" ref="G44" si="44">F44/F43-1</f>
        <v>-0.83307189695873163</v>
      </c>
      <c r="H44" s="190">
        <f t="shared" ref="H44" si="45">F44/F32-1</f>
        <v>-0.76715181386461662</v>
      </c>
      <c r="I44" s="130">
        <f t="shared" si="4"/>
        <v>77.380335869899312</v>
      </c>
      <c r="J44" s="136"/>
      <c r="K44" s="190"/>
      <c r="L44" s="190"/>
      <c r="M44" s="191"/>
      <c r="N44" s="192"/>
      <c r="O44" s="129" t="s">
        <v>843</v>
      </c>
      <c r="P44" s="116">
        <v>1661557</v>
      </c>
      <c r="Q44" s="116">
        <v>2418488385</v>
      </c>
      <c r="R44" s="116">
        <v>21472.6</v>
      </c>
      <c r="S44" s="130">
        <f t="shared" ref="S44" si="46">P44/R44</f>
        <v>77.380335869899312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97990.1</v>
      </c>
      <c r="G45" s="190">
        <f t="shared" ref="G45" si="47">F45/F44-1</f>
        <v>0.29744703311412146</v>
      </c>
      <c r="H45" s="190">
        <f t="shared" ref="H45" si="48">F45/F33-1</f>
        <v>-0.26470528961854078</v>
      </c>
      <c r="I45" s="130">
        <f t="shared" si="4"/>
        <v>123.91638087144779</v>
      </c>
      <c r="J45" s="136"/>
      <c r="K45" s="190"/>
      <c r="L45" s="190"/>
      <c r="M45" s="191"/>
      <c r="N45" s="192"/>
      <c r="O45" s="129" t="s">
        <v>849</v>
      </c>
      <c r="P45" s="116">
        <v>1959802</v>
      </c>
      <c r="Q45" s="116">
        <v>2758172948</v>
      </c>
      <c r="R45" s="116">
        <v>15815.52</v>
      </c>
      <c r="S45" s="130">
        <f t="shared" ref="S45" si="49">P45/R45</f>
        <v>123.91638087144779</v>
      </c>
      <c r="T45" s="85"/>
    </row>
    <row r="46" spans="1:20" s="183" customFormat="1" ht="13.2">
      <c r="A46" s="144" t="s">
        <v>893</v>
      </c>
      <c r="B46" s="196">
        <f>SUM(F44:F46)</f>
        <v>544872.31291866023</v>
      </c>
      <c r="C46" s="196">
        <f>AVERAGE(F44:F46)</f>
        <v>181624.10430622008</v>
      </c>
      <c r="D46" s="197">
        <f>C46/C43-1</f>
        <v>-0.21853919556808643</v>
      </c>
      <c r="E46" s="197">
        <f>C46/C34-1</f>
        <v>-0.5025154586216356</v>
      </c>
      <c r="F46" s="147">
        <f>P46/19</f>
        <v>371356.89473684208</v>
      </c>
      <c r="G46" s="197">
        <f t="shared" ref="G46" si="50">F46/F45-1</f>
        <v>2.789738909714778</v>
      </c>
      <c r="H46" s="197">
        <f t="shared" ref="H46" si="51">F46/F34-1</f>
        <v>-0.41760179862296853</v>
      </c>
      <c r="I46" s="146">
        <f t="shared" ref="I46" si="52">S46</f>
        <v>99.497168346227056</v>
      </c>
      <c r="J46" s="147">
        <f>Q44+Q45+Q46</f>
        <v>14845000402</v>
      </c>
      <c r="K46" s="197">
        <f>T46/T43-1</f>
        <v>-0.2152901830171825</v>
      </c>
      <c r="L46" s="197">
        <f>T46/T34-1</f>
        <v>-0.50853396088447445</v>
      </c>
      <c r="M46" s="198">
        <f>AVERAGE(S44:S46)</f>
        <v>100.26462836252472</v>
      </c>
      <c r="N46" s="199">
        <f>M46/M43-1</f>
        <v>-0.14969301250683953</v>
      </c>
      <c r="O46" s="144" t="s">
        <v>928</v>
      </c>
      <c r="P46" s="145">
        <v>7055781</v>
      </c>
      <c r="Q46" s="145">
        <v>9668339069</v>
      </c>
      <c r="R46" s="145">
        <v>70914.39</v>
      </c>
      <c r="S46" s="146">
        <f t="shared" ref="S46" si="53">P46/R46</f>
        <v>99.497168346227056</v>
      </c>
      <c r="T46" s="187">
        <f>P44+P45+P46</f>
        <v>10677140</v>
      </c>
    </row>
    <row r="47" spans="1:20" s="183" customFormat="1" ht="13.2">
      <c r="A47" s="144" t="s">
        <v>1005</v>
      </c>
      <c r="B47" s="196"/>
      <c r="C47" s="196"/>
      <c r="D47" s="197"/>
      <c r="E47" s="197"/>
      <c r="F47" s="147">
        <f>P47/23</f>
        <v>125278.86956521739</v>
      </c>
      <c r="G47" s="197">
        <f t="shared" ref="G47" si="54">F47/F46-1</f>
        <v>-0.66264563458827164</v>
      </c>
      <c r="H47" s="197">
        <f t="shared" ref="H47" si="55">F47/F35-1</f>
        <v>-0.7432163286315967</v>
      </c>
      <c r="I47" s="146">
        <f t="shared" ref="I47" si="56">S47</f>
        <v>75.642057871904754</v>
      </c>
      <c r="J47" s="147"/>
      <c r="K47" s="197"/>
      <c r="L47" s="197"/>
      <c r="M47" s="198"/>
      <c r="N47" s="199"/>
      <c r="O47" s="144" t="s">
        <v>1039</v>
      </c>
      <c r="P47" s="145">
        <v>2881414</v>
      </c>
      <c r="Q47" s="145">
        <v>3923754046</v>
      </c>
      <c r="R47" s="145">
        <v>38092.75</v>
      </c>
      <c r="S47" s="146">
        <f t="shared" ref="S47" si="57">P47/R47</f>
        <v>75.642057871904754</v>
      </c>
      <c r="T47" s="187">
        <f>P45+P46+P47</f>
        <v>11896997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1369.2307692307693</v>
      </c>
      <c r="G48" s="197">
        <f t="shared" ref="G48" si="58">F48/F47-1</f>
        <v>-0.98907053700290637</v>
      </c>
      <c r="H48" s="197">
        <f t="shared" ref="H48" si="59">F48/F36-1</f>
        <v>-0.99599445983860369</v>
      </c>
      <c r="I48" s="146">
        <f t="shared" ref="I48" si="60">S48</f>
        <v>278.99686520376179</v>
      </c>
      <c r="J48" s="147"/>
      <c r="K48" s="197"/>
      <c r="L48" s="197"/>
      <c r="M48" s="198"/>
      <c r="N48" s="199"/>
      <c r="O48" s="144" t="s">
        <v>1070</v>
      </c>
      <c r="P48" s="145">
        <v>17800</v>
      </c>
      <c r="Q48" s="145">
        <v>24636268</v>
      </c>
      <c r="R48" s="145">
        <v>63.8</v>
      </c>
      <c r="S48" s="146">
        <f t="shared" ref="S48" si="61">P48/R48</f>
        <v>278.99686520376179</v>
      </c>
      <c r="T48" s="187">
        <f>P46+P47+P48</f>
        <v>9954995</v>
      </c>
    </row>
    <row r="49" spans="3:5">
      <c r="C49" s="196">
        <f>AVERAGE(F47:F49)</f>
        <v>63324.050167224079</v>
      </c>
      <c r="D49" s="197">
        <f>C49/C46-1</f>
        <v>-0.65134556115712983</v>
      </c>
      <c r="E49" s="197">
        <f>C49/C37-1</f>
        <v>-0.87583906778148923</v>
      </c>
    </row>
  </sheetData>
  <phoneticPr fontId="1" type="noConversion"/>
  <conditionalFormatting sqref="C29:C30">
    <cfRule type="cellIs" dxfId="79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49"/>
  <sheetViews>
    <sheetView topLeftCell="A35" zoomScaleNormal="100" workbookViewId="0">
      <selection activeCell="F49" sqref="F4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19921875" style="87" bestFit="1" customWidth="1"/>
    <col min="12" max="12" width="5.59765625" style="87" customWidth="1"/>
    <col min="13" max="13" width="10.59765625" style="79" customWidth="1"/>
    <col min="14" max="14" width="7.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3333.7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66674</v>
      </c>
      <c r="Q5" s="116">
        <v>78914431</v>
      </c>
      <c r="R5" s="116">
        <v>25.5</v>
      </c>
      <c r="S5" s="130">
        <f t="shared" ref="S5:S30" si="1">P5/R5</f>
        <v>2614.6666666666665</v>
      </c>
      <c r="T5" s="85"/>
    </row>
    <row r="6" spans="1:20" ht="15" hidden="1" customHeight="1">
      <c r="A6" s="129" t="s">
        <v>1</v>
      </c>
      <c r="C6" s="79"/>
      <c r="F6" s="78">
        <f>P6/18</f>
        <v>12050.388888888889</v>
      </c>
      <c r="G6" s="90">
        <f t="shared" ref="G6:G30" si="2">F6/F5-1</f>
        <v>2.6147190475714339</v>
      </c>
      <c r="H6" s="90"/>
      <c r="I6" s="130" t="e">
        <f t="shared" si="0"/>
        <v>#DIV/0!</v>
      </c>
      <c r="O6" s="129" t="s">
        <v>1</v>
      </c>
      <c r="P6" s="116">
        <v>216907</v>
      </c>
      <c r="Q6" s="116">
        <v>257408941</v>
      </c>
      <c r="R6" s="116">
        <v>560.04</v>
      </c>
      <c r="S6" s="130">
        <f t="shared" si="1"/>
        <v>387.3062638382973</v>
      </c>
      <c r="T6" s="85"/>
    </row>
    <row r="7" spans="1:20" ht="15" hidden="1" customHeight="1">
      <c r="A7" s="129" t="s">
        <v>2</v>
      </c>
      <c r="B7" s="131">
        <f>F5+F6+F7</f>
        <v>15703.497979797978</v>
      </c>
      <c r="C7" s="131">
        <f>AVERAGE(F5:F7)</f>
        <v>5234.4993265993262</v>
      </c>
      <c r="F7" s="78">
        <f>P7/22</f>
        <v>319.40909090909093</v>
      </c>
      <c r="G7" s="90">
        <f t="shared" si="2"/>
        <v>-0.97349387693175582</v>
      </c>
      <c r="H7" s="90"/>
      <c r="I7" s="130" t="e">
        <f t="shared" si="0"/>
        <v>#DIV/0!</v>
      </c>
      <c r="J7" s="79">
        <f>Q5+Q6+Q7</f>
        <v>344642108</v>
      </c>
      <c r="M7" s="88">
        <f>AVERAGE(S5:S7)</f>
        <v>1112.1973260413372</v>
      </c>
      <c r="O7" s="129" t="s">
        <v>2</v>
      </c>
      <c r="P7" s="116">
        <v>7027</v>
      </c>
      <c r="Q7" s="116">
        <v>8318736</v>
      </c>
      <c r="R7" s="116">
        <v>21</v>
      </c>
      <c r="S7" s="130">
        <f t="shared" si="1"/>
        <v>334.61904761904759</v>
      </c>
      <c r="T7" s="85">
        <f>P5+P6+P7</f>
        <v>290608</v>
      </c>
    </row>
    <row r="8" spans="1:20" ht="15" hidden="1" customHeight="1">
      <c r="A8" s="129" t="s">
        <v>3</v>
      </c>
      <c r="C8" s="79"/>
      <c r="F8" s="78">
        <f>P8/21</f>
        <v>7705.333333333333</v>
      </c>
      <c r="G8" s="90">
        <f t="shared" si="2"/>
        <v>23.12371329633319</v>
      </c>
      <c r="H8" s="90"/>
      <c r="I8" s="130" t="e">
        <f t="shared" si="0"/>
        <v>#DIV/0!</v>
      </c>
      <c r="J8" s="78"/>
      <c r="O8" s="129" t="s">
        <v>3</v>
      </c>
      <c r="P8" s="116">
        <v>161812</v>
      </c>
      <c r="Q8" s="116">
        <v>195457518</v>
      </c>
      <c r="R8" s="116">
        <v>1035.8699999999999</v>
      </c>
      <c r="S8" s="130">
        <f t="shared" si="1"/>
        <v>156.208790678367</v>
      </c>
      <c r="T8" s="85"/>
    </row>
    <row r="9" spans="1:20" ht="15" hidden="1" customHeight="1">
      <c r="A9" s="129" t="s">
        <v>4</v>
      </c>
      <c r="C9" s="79"/>
      <c r="F9" s="78">
        <f>P9/21</f>
        <v>144038.47619047618</v>
      </c>
      <c r="G9" s="90">
        <f t="shared" si="2"/>
        <v>17.693347835760019</v>
      </c>
      <c r="H9" s="90"/>
      <c r="I9" s="130" t="e">
        <f t="shared" si="0"/>
        <v>#DIV/0!</v>
      </c>
      <c r="J9" s="78"/>
      <c r="O9" s="129" t="s">
        <v>4</v>
      </c>
      <c r="P9" s="116">
        <v>3024808</v>
      </c>
      <c r="Q9" s="116">
        <v>3815141475</v>
      </c>
      <c r="R9" s="116">
        <v>10453.33</v>
      </c>
      <c r="S9" s="130">
        <f t="shared" si="1"/>
        <v>289.36310247547908</v>
      </c>
      <c r="T9" s="85"/>
    </row>
    <row r="10" spans="1:20" ht="15" hidden="1" customHeight="1">
      <c r="A10" s="129" t="s">
        <v>5</v>
      </c>
      <c r="B10" s="131">
        <f>F8+F9+F10</f>
        <v>152335.85714285716</v>
      </c>
      <c r="C10" s="131">
        <f>AVERAGE(F8:F10)</f>
        <v>50778.619047619053</v>
      </c>
      <c r="D10" s="90">
        <f>C10/C7-1</f>
        <v>8.7007594956761931</v>
      </c>
      <c r="E10" s="90"/>
      <c r="F10" s="78">
        <f>P10/21</f>
        <v>592.04761904761904</v>
      </c>
      <c r="G10" s="90">
        <f t="shared" si="2"/>
        <v>-0.99588965646745187</v>
      </c>
      <c r="H10" s="90"/>
      <c r="I10" s="130" t="e">
        <f t="shared" si="0"/>
        <v>#DIV/0!</v>
      </c>
      <c r="J10" s="79">
        <f>Q8+Q9+Q10</f>
        <v>4026180458</v>
      </c>
      <c r="K10" s="87">
        <f>T10/T7-1</f>
        <v>10.00813811044431</v>
      </c>
      <c r="M10" s="88">
        <f>AVERAGE(S8:S10)</f>
        <v>255.94577188418339</v>
      </c>
      <c r="N10" s="89">
        <f>M10/M7-1</f>
        <v>-0.76987377519133626</v>
      </c>
      <c r="O10" s="129" t="s">
        <v>5</v>
      </c>
      <c r="P10" s="116">
        <v>12433</v>
      </c>
      <c r="Q10" s="116">
        <v>15581465</v>
      </c>
      <c r="R10" s="116">
        <v>38.58</v>
      </c>
      <c r="S10" s="130">
        <f t="shared" si="1"/>
        <v>322.26542249870403</v>
      </c>
      <c r="T10" s="85">
        <f>P8+P9+P10</f>
        <v>3199053</v>
      </c>
    </row>
    <row r="11" spans="1:20" ht="15" hidden="1" customHeight="1">
      <c r="A11" s="129" t="s">
        <v>6</v>
      </c>
      <c r="C11" s="79"/>
      <c r="F11" s="78">
        <f>P11/21</f>
        <v>45949.809523809527</v>
      </c>
      <c r="G11" s="90">
        <f t="shared" si="2"/>
        <v>76.61167859728144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964946</v>
      </c>
      <c r="Q11" s="116">
        <v>1236164820</v>
      </c>
      <c r="R11" s="116">
        <v>896.36</v>
      </c>
      <c r="S11" s="130">
        <f t="shared" si="1"/>
        <v>1076.5161319112856</v>
      </c>
      <c r="T11" s="85"/>
    </row>
    <row r="12" spans="1:20" ht="15" hidden="1" customHeight="1">
      <c r="A12" s="129" t="s">
        <v>7</v>
      </c>
      <c r="C12" s="79"/>
      <c r="F12" s="78">
        <f>P12/22</f>
        <v>26163.045454545456</v>
      </c>
      <c r="G12" s="90">
        <f t="shared" si="2"/>
        <v>-0.43061688991357594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575587</v>
      </c>
      <c r="Q12" s="116">
        <v>746248066</v>
      </c>
      <c r="R12" s="116">
        <v>3191.4</v>
      </c>
      <c r="S12" s="130">
        <f t="shared" si="1"/>
        <v>180.35564329134547</v>
      </c>
      <c r="T12" s="85"/>
    </row>
    <row r="13" spans="1:20" ht="15" hidden="1" customHeight="1">
      <c r="A13" s="129" t="s">
        <v>96</v>
      </c>
      <c r="B13" s="131">
        <f>F11+F12+F13</f>
        <v>87334.254978354977</v>
      </c>
      <c r="C13" s="131">
        <f>AVERAGE(F11:F13)</f>
        <v>29111.418326118324</v>
      </c>
      <c r="D13" s="90">
        <f>C13/C10-1</f>
        <v>-0.42669929052583555</v>
      </c>
      <c r="E13" s="90"/>
      <c r="F13" s="78">
        <f>P13/20</f>
        <v>15221.4</v>
      </c>
      <c r="G13" s="90">
        <f t="shared" si="2"/>
        <v>-0.41820993177399768</v>
      </c>
      <c r="H13" s="90"/>
      <c r="I13" s="130" t="e">
        <f t="shared" si="0"/>
        <v>#DIV/0!</v>
      </c>
      <c r="J13" s="78">
        <f>Q11+Q12+Q13</f>
        <v>2405647096</v>
      </c>
      <c r="K13" s="87">
        <f>T13/T10-1</f>
        <v>-0.42327901413324509</v>
      </c>
      <c r="M13" s="88">
        <f>AVERAGE(S11:S13)</f>
        <v>568.54965170816672</v>
      </c>
      <c r="N13" s="89">
        <f>M13/M10-1</f>
        <v>1.2213676261291706</v>
      </c>
      <c r="O13" s="129" t="s">
        <v>96</v>
      </c>
      <c r="P13" s="116">
        <v>304428</v>
      </c>
      <c r="Q13" s="116">
        <v>423234210</v>
      </c>
      <c r="R13" s="116">
        <v>678.35</v>
      </c>
      <c r="S13" s="130">
        <f t="shared" si="1"/>
        <v>448.77717992186922</v>
      </c>
      <c r="T13" s="85">
        <f>P11+P12+P13</f>
        <v>1844961</v>
      </c>
    </row>
    <row r="14" spans="1:20" ht="15" hidden="1" customHeight="1">
      <c r="A14" s="129" t="s">
        <v>97</v>
      </c>
      <c r="C14" s="79"/>
      <c r="F14" s="78">
        <f>P14/20</f>
        <v>802.2</v>
      </c>
      <c r="G14" s="90">
        <f t="shared" si="2"/>
        <v>-0.94729788324332842</v>
      </c>
      <c r="H14" s="90"/>
      <c r="I14" s="130" t="e">
        <f t="shared" si="0"/>
        <v>#DIV/0!</v>
      </c>
      <c r="N14" s="89"/>
      <c r="O14" s="129" t="s">
        <v>97</v>
      </c>
      <c r="P14" s="116">
        <v>16044</v>
      </c>
      <c r="Q14" s="116">
        <v>22827208</v>
      </c>
      <c r="R14" s="116">
        <v>8.15</v>
      </c>
      <c r="S14" s="130">
        <f t="shared" si="1"/>
        <v>1968.5889570552147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3841.0454545454545</v>
      </c>
      <c r="G15" s="90">
        <f t="shared" si="2"/>
        <v>3.7881394347362933</v>
      </c>
      <c r="H15" s="90"/>
      <c r="I15" s="130" t="e">
        <f t="shared" si="0"/>
        <v>#DIV/0!</v>
      </c>
      <c r="N15" s="89"/>
      <c r="O15" s="129" t="s">
        <v>98</v>
      </c>
      <c r="P15" s="116">
        <v>84503</v>
      </c>
      <c r="Q15" s="116">
        <v>114052464</v>
      </c>
      <c r="R15" s="116">
        <v>67.28</v>
      </c>
      <c r="S15" s="130">
        <f t="shared" si="1"/>
        <v>1255.9898929845422</v>
      </c>
      <c r="T15" s="78"/>
    </row>
    <row r="16" spans="1:20" ht="15" hidden="1" customHeight="1">
      <c r="A16" s="129" t="s">
        <v>99</v>
      </c>
      <c r="B16" s="131">
        <f>F14+F15+F16</f>
        <v>47042.745454545453</v>
      </c>
      <c r="C16" s="131">
        <f>AVERAGE(F14:F16)</f>
        <v>15680.915151515152</v>
      </c>
      <c r="D16" s="90">
        <f>C16/C13-1</f>
        <v>-0.46134829379142717</v>
      </c>
      <c r="E16" s="90"/>
      <c r="F16" s="78">
        <f>P16/22</f>
        <v>42399.5</v>
      </c>
      <c r="G16" s="90">
        <f t="shared" si="2"/>
        <v>10.038531176407938</v>
      </c>
      <c r="H16" s="90"/>
      <c r="I16" s="130" t="e">
        <f t="shared" si="0"/>
        <v>#DIV/0!</v>
      </c>
      <c r="J16" s="78">
        <f>Q14+Q15+Q16</f>
        <v>1354079490</v>
      </c>
      <c r="K16" s="87">
        <f>T16/T13-1</f>
        <v>-0.4399144480560836</v>
      </c>
      <c r="M16" s="88">
        <f>AVERAGE(S14:S16)</f>
        <v>1110.4179245297519</v>
      </c>
      <c r="N16" s="89">
        <f>M16/M13-1</f>
        <v>0.95307115428455669</v>
      </c>
      <c r="O16" s="129" t="s">
        <v>99</v>
      </c>
      <c r="P16" s="116">
        <v>932789</v>
      </c>
      <c r="Q16" s="116">
        <v>1217199818</v>
      </c>
      <c r="R16" s="116">
        <v>8744.2199999999993</v>
      </c>
      <c r="S16" s="130">
        <f t="shared" si="1"/>
        <v>106.67492354949898</v>
      </c>
      <c r="T16" s="85">
        <f>P14+P15+P16</f>
        <v>1033336</v>
      </c>
    </row>
    <row r="17" spans="1:20" ht="15" hidden="1" customHeight="1">
      <c r="A17" s="129" t="s">
        <v>100</v>
      </c>
      <c r="C17" s="79"/>
      <c r="F17" s="78">
        <f>P17/20</f>
        <v>4727.8999999999996</v>
      </c>
      <c r="G17" s="90">
        <f t="shared" si="2"/>
        <v>-0.88849160957086759</v>
      </c>
      <c r="H17" s="90">
        <f t="shared" ref="H17:H30" si="3">F17/F5-1</f>
        <v>0.41821399646038926</v>
      </c>
      <c r="I17" s="130">
        <f t="shared" si="0"/>
        <v>11304.977929995699</v>
      </c>
      <c r="N17" s="89"/>
      <c r="O17" s="129" t="s">
        <v>100</v>
      </c>
      <c r="P17" s="116">
        <v>94558</v>
      </c>
      <c r="Q17" s="116">
        <v>117575160</v>
      </c>
      <c r="R17" s="116">
        <v>123.58</v>
      </c>
      <c r="S17" s="130">
        <f t="shared" si="1"/>
        <v>765.15617413821008</v>
      </c>
      <c r="T17" s="78"/>
    </row>
    <row r="18" spans="1:20" ht="15" hidden="1" customHeight="1">
      <c r="A18" s="129" t="s">
        <v>106</v>
      </c>
      <c r="C18" s="79"/>
      <c r="F18" s="78">
        <f>P18/20</f>
        <v>2520.65</v>
      </c>
      <c r="G18" s="90">
        <f t="shared" si="2"/>
        <v>-0.46685632098817653</v>
      </c>
      <c r="H18" s="90">
        <f t="shared" si="3"/>
        <v>-0.79082417810397998</v>
      </c>
      <c r="I18" s="130">
        <f t="shared" si="0"/>
        <v>-3187.3709350203721</v>
      </c>
      <c r="N18" s="89"/>
      <c r="O18" s="129" t="s">
        <v>106</v>
      </c>
      <c r="P18" s="116">
        <v>50413</v>
      </c>
      <c r="Q18" s="116">
        <v>61911197</v>
      </c>
      <c r="R18" s="116">
        <v>10.98</v>
      </c>
      <c r="S18" s="130">
        <f t="shared" si="1"/>
        <v>4591.3479052823313</v>
      </c>
      <c r="T18" s="78"/>
    </row>
    <row r="19" spans="1:20" hidden="1">
      <c r="A19" s="129" t="s">
        <v>114</v>
      </c>
      <c r="B19" s="131">
        <f>SUM(F17:F19)</f>
        <v>35596.050000000003</v>
      </c>
      <c r="C19" s="131">
        <f>AVERAGE(F17:F19)</f>
        <v>11865.35</v>
      </c>
      <c r="D19" s="90">
        <f>C19/C16-1</f>
        <v>-0.24332541274840558</v>
      </c>
      <c r="E19" s="90">
        <f>C19/C7-1</f>
        <v>1.2667592943809796</v>
      </c>
      <c r="F19" s="78">
        <f>P19/22</f>
        <v>28347.5</v>
      </c>
      <c r="G19" s="90">
        <f t="shared" si="2"/>
        <v>10.246107154900521</v>
      </c>
      <c r="H19" s="90">
        <f t="shared" si="3"/>
        <v>87.749822114700436</v>
      </c>
      <c r="I19" s="130">
        <f t="shared" si="0"/>
        <v>323.0490879280203</v>
      </c>
      <c r="J19" s="78">
        <f>Q17+Q18+Q19</f>
        <v>992026866</v>
      </c>
      <c r="K19" s="87">
        <f>T19/T16-1</f>
        <v>-0.2561799840516541</v>
      </c>
      <c r="L19" s="87">
        <f>T19/T7-1</f>
        <v>1.6448549248472171</v>
      </c>
      <c r="M19" s="88">
        <f>AVERAGE(S17:S19)</f>
        <v>1897.26569672441</v>
      </c>
      <c r="N19" s="89">
        <f>M19/M16-1</f>
        <v>0.7086050709491909</v>
      </c>
      <c r="O19" s="129" t="s">
        <v>114</v>
      </c>
      <c r="P19" s="116">
        <v>623645</v>
      </c>
      <c r="Q19" s="116">
        <v>812540509</v>
      </c>
      <c r="R19" s="116">
        <v>1860</v>
      </c>
      <c r="S19" s="130">
        <f t="shared" si="1"/>
        <v>335.29301075268819</v>
      </c>
      <c r="T19" s="85">
        <f>P17+P18+P19</f>
        <v>768616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110500</v>
      </c>
      <c r="G20" s="90">
        <f t="shared" si="2"/>
        <v>2.8980509745127438</v>
      </c>
      <c r="H20" s="90">
        <f t="shared" si="3"/>
        <v>13.340716386918153</v>
      </c>
      <c r="I20" s="130">
        <f t="shared" si="0"/>
        <v>8282.913510428556</v>
      </c>
      <c r="N20" s="89"/>
      <c r="O20" s="129" t="s">
        <v>131</v>
      </c>
      <c r="P20" s="116">
        <v>2210000</v>
      </c>
      <c r="Q20" s="116">
        <v>2889443600</v>
      </c>
      <c r="R20" s="116">
        <v>3459</v>
      </c>
      <c r="S20" s="130">
        <f t="shared" si="1"/>
        <v>638.91298063023999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2858.2857142857142</v>
      </c>
      <c r="G21" s="90">
        <f t="shared" si="2"/>
        <v>-0.97413316095669034</v>
      </c>
      <c r="H21" s="90">
        <f t="shared" si="3"/>
        <v>-0.98015609585798502</v>
      </c>
      <c r="I21" s="130">
        <f t="shared" si="0"/>
        <v>-2916.1535865200103</v>
      </c>
      <c r="N21" s="89"/>
      <c r="O21" s="129" t="s">
        <v>141</v>
      </c>
      <c r="P21" s="116">
        <v>60024</v>
      </c>
      <c r="Q21" s="116">
        <v>80116952</v>
      </c>
      <c r="R21" s="116">
        <v>281.49</v>
      </c>
      <c r="S21" s="130">
        <f t="shared" si="1"/>
        <v>213.23670467867419</v>
      </c>
      <c r="T21" s="78"/>
    </row>
    <row r="22" spans="1:20" hidden="1">
      <c r="A22" s="129" t="s">
        <v>155</v>
      </c>
      <c r="B22" s="131">
        <f>SUM(F20:F22)</f>
        <v>113429.5238095238</v>
      </c>
      <c r="C22" s="131">
        <f>AVERAGE(F20:F22)</f>
        <v>37809.841269841265</v>
      </c>
      <c r="D22" s="90">
        <f>C22/C19-1</f>
        <v>2.1865761456544699</v>
      </c>
      <c r="E22" s="90">
        <f>C22/C10-1</f>
        <v>-0.25539839446236134</v>
      </c>
      <c r="F22" s="78">
        <f>P22/21</f>
        <v>71.238095238095241</v>
      </c>
      <c r="G22" s="90">
        <f t="shared" si="2"/>
        <v>-0.9750766360122618</v>
      </c>
      <c r="H22" s="90">
        <f t="shared" si="3"/>
        <v>-0.87967505831255532</v>
      </c>
      <c r="I22" s="130">
        <f t="shared" si="0"/>
        <v>-80.982283815967648</v>
      </c>
      <c r="J22" s="78">
        <f>Q20+Q21+Q22</f>
        <v>2971514419</v>
      </c>
      <c r="K22" s="87">
        <f>T22/T19-1</f>
        <v>1.9553379060545186</v>
      </c>
      <c r="L22" s="87">
        <f>T22/T10-1</f>
        <v>-0.28993986657926585</v>
      </c>
      <c r="M22" s="88">
        <f>AVERAGE(S20:S22)</f>
        <v>2777.3832284363048</v>
      </c>
      <c r="N22" s="89">
        <f>M22/M19-1</f>
        <v>0.46388733704056295</v>
      </c>
      <c r="O22" s="129" t="s">
        <v>155</v>
      </c>
      <c r="P22" s="116">
        <v>1496</v>
      </c>
      <c r="Q22" s="116">
        <v>1953867</v>
      </c>
      <c r="R22" s="116">
        <v>0.2</v>
      </c>
      <c r="S22" s="130">
        <f t="shared" si="1"/>
        <v>7480</v>
      </c>
      <c r="T22" s="85">
        <f>P20+P21+P22</f>
        <v>2271520</v>
      </c>
    </row>
    <row r="23" spans="1:20" hidden="1">
      <c r="A23" s="129" t="s">
        <v>189</v>
      </c>
      <c r="C23" s="131"/>
      <c r="F23" s="78">
        <f>P23/21</f>
        <v>2186.2380952380954</v>
      </c>
      <c r="G23" s="90">
        <f t="shared" si="2"/>
        <v>29.689171122994654</v>
      </c>
      <c r="H23" s="90">
        <f t="shared" si="3"/>
        <v>-0.95242117175468888</v>
      </c>
      <c r="I23" s="130">
        <f t="shared" si="0"/>
        <v>-2295.4530622311654</v>
      </c>
      <c r="N23" s="89"/>
      <c r="O23" s="129" t="s">
        <v>189</v>
      </c>
      <c r="P23" s="116">
        <v>45911</v>
      </c>
      <c r="Q23" s="116">
        <v>59969752</v>
      </c>
      <c r="R23" s="116">
        <v>119.4</v>
      </c>
      <c r="S23" s="130">
        <f t="shared" si="1"/>
        <v>384.51423785594636</v>
      </c>
      <c r="T23" s="78"/>
    </row>
    <row r="24" spans="1:20" hidden="1">
      <c r="A24" s="129" t="s">
        <v>204</v>
      </c>
      <c r="C24" s="131"/>
      <c r="F24" s="78">
        <f>P24/22</f>
        <v>6430.863636363636</v>
      </c>
      <c r="G24" s="90">
        <f t="shared" si="2"/>
        <v>1.9415202536132159</v>
      </c>
      <c r="H24" s="90">
        <f t="shared" si="3"/>
        <v>-0.75420049445175108</v>
      </c>
      <c r="I24" s="130">
        <f t="shared" si="0"/>
        <v>-8526.7295416431753</v>
      </c>
      <c r="N24" s="89"/>
      <c r="O24" s="129" t="s">
        <v>204</v>
      </c>
      <c r="P24" s="116">
        <v>141479</v>
      </c>
      <c r="Q24" s="116">
        <v>186659076</v>
      </c>
      <c r="R24" s="116">
        <v>2174.21</v>
      </c>
      <c r="S24" s="130">
        <f t="shared" si="1"/>
        <v>65.071451239760648</v>
      </c>
      <c r="T24" s="78"/>
    </row>
    <row r="25" spans="1:20" s="79" customFormat="1" ht="13.2" hidden="1">
      <c r="A25" s="129" t="s">
        <v>217</v>
      </c>
      <c r="B25" s="131">
        <f>SUM(F23:F25)</f>
        <v>98765.628047391219</v>
      </c>
      <c r="C25" s="131">
        <f>AVERAGE(F23:F25)</f>
        <v>32921.876015797076</v>
      </c>
      <c r="D25" s="90">
        <f>C25/C22-1</f>
        <v>-0.1292775925495101</v>
      </c>
      <c r="E25" s="90">
        <f>C25/C13-1</f>
        <v>0.13089220343002195</v>
      </c>
      <c r="F25" s="78">
        <f>P25/19</f>
        <v>90148.526315789481</v>
      </c>
      <c r="G25" s="90">
        <f t="shared" si="2"/>
        <v>13.01810571849793</v>
      </c>
      <c r="H25" s="90">
        <f t="shared" si="3"/>
        <v>4.9224858630473864</v>
      </c>
      <c r="I25" s="130">
        <f t="shared" si="0"/>
        <v>18313.618123827542</v>
      </c>
      <c r="J25" s="78">
        <f>Q23+Q24+Q25</f>
        <v>2513146579</v>
      </c>
      <c r="K25" s="90">
        <f>T25/T22-1</f>
        <v>-0.16346235120095798</v>
      </c>
      <c r="L25" s="90">
        <f>T25/T13-1</f>
        <v>2.9946974488891609E-2</v>
      </c>
      <c r="M25" s="88">
        <f>AVERAGE(S23:S25)</f>
        <v>196.52704823209024</v>
      </c>
      <c r="N25" s="91">
        <f>M25/M22-1</f>
        <v>-0.92924021207446517</v>
      </c>
      <c r="O25" s="129" t="s">
        <v>217</v>
      </c>
      <c r="P25" s="116">
        <v>1712822</v>
      </c>
      <c r="Q25" s="116">
        <v>2266517751</v>
      </c>
      <c r="R25" s="116">
        <v>12234.84</v>
      </c>
      <c r="S25" s="130">
        <f t="shared" si="1"/>
        <v>139.99545560056364</v>
      </c>
      <c r="T25" s="85">
        <f>P23+P24+P25</f>
        <v>1900212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8542.105263157895</v>
      </c>
      <c r="G26" s="90">
        <f t="shared" si="2"/>
        <v>-0.90524409424913976</v>
      </c>
      <c r="H26" s="90">
        <f t="shared" si="3"/>
        <v>9.6483486202417037</v>
      </c>
      <c r="I26" s="130">
        <f t="shared" si="0"/>
        <v>885.34376185755036</v>
      </c>
      <c r="K26" s="90"/>
      <c r="L26" s="90"/>
      <c r="O26" s="129" t="s">
        <v>312</v>
      </c>
      <c r="P26" s="116">
        <v>162300</v>
      </c>
      <c r="Q26" s="116">
        <v>219289517</v>
      </c>
      <c r="R26" s="116">
        <v>3144.86</v>
      </c>
      <c r="S26" s="130">
        <f t="shared" si="1"/>
        <v>51.608020706804119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19500.5</v>
      </c>
      <c r="G27" s="90">
        <f t="shared" si="2"/>
        <v>1.282868145409735</v>
      </c>
      <c r="H27" s="90">
        <f t="shared" si="3"/>
        <v>4.0768730104256656</v>
      </c>
      <c r="I27" s="130">
        <f t="shared" si="0"/>
        <v>4783.2002493410891</v>
      </c>
      <c r="K27" s="90"/>
      <c r="L27" s="90"/>
      <c r="O27" s="129" t="s">
        <v>375</v>
      </c>
      <c r="P27" s="116">
        <v>429011</v>
      </c>
      <c r="Q27" s="116">
        <v>563826821</v>
      </c>
      <c r="R27" s="116">
        <v>10466.67</v>
      </c>
      <c r="S27" s="130">
        <f t="shared" si="1"/>
        <v>40.988299048312406</v>
      </c>
      <c r="T27" s="78"/>
    </row>
    <row r="28" spans="1:20" s="79" customFormat="1" ht="13.2" hidden="1">
      <c r="A28" s="123" t="s">
        <v>413</v>
      </c>
      <c r="B28" s="131">
        <f>SUM(F26:F28)</f>
        <v>68258.868421052641</v>
      </c>
      <c r="C28" s="131">
        <f>AVERAGE(F26:F28)</f>
        <v>22752.956140350881</v>
      </c>
      <c r="D28" s="90">
        <f>C28/C25-1</f>
        <v>-0.30888032840433477</v>
      </c>
      <c r="E28" s="90">
        <f>C28/C16-1</f>
        <v>0.45099670016085769</v>
      </c>
      <c r="F28" s="78">
        <f>P28/19</f>
        <v>40216.26315789474</v>
      </c>
      <c r="G28" s="90">
        <f t="shared" si="2"/>
        <v>1.0623195896461497</v>
      </c>
      <c r="H28" s="90">
        <f t="shared" si="3"/>
        <v>-5.149204217279113E-2</v>
      </c>
      <c r="I28" s="130">
        <f t="shared" si="0"/>
        <v>-781018.99751696747</v>
      </c>
      <c r="J28" s="78">
        <f>Q26+Q27+Q28</f>
        <v>1780375306</v>
      </c>
      <c r="K28" s="90">
        <f>T28/T25-1</f>
        <v>-0.28670064182312294</v>
      </c>
      <c r="L28" s="90">
        <f>T28/T16-1</f>
        <v>0.31169338917835043</v>
      </c>
      <c r="M28" s="88">
        <f>AVERAGE(S26:S28)</f>
        <v>99.71395065099064</v>
      </c>
      <c r="N28" s="91">
        <f>M28/M25-1</f>
        <v>-0.49261971037578178</v>
      </c>
      <c r="O28" s="129" t="s">
        <v>413</v>
      </c>
      <c r="P28" s="116">
        <v>764109</v>
      </c>
      <c r="Q28" s="116">
        <v>997258968</v>
      </c>
      <c r="R28" s="116">
        <v>3699.47</v>
      </c>
      <c r="S28" s="130">
        <f t="shared" si="1"/>
        <v>206.54553219785538</v>
      </c>
      <c r="T28" s="85">
        <f>P26+P27+P28</f>
        <v>1355420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470.86363636363637</v>
      </c>
      <c r="G29" s="190">
        <f t="shared" si="2"/>
        <v>-0.98829171088037293</v>
      </c>
      <c r="H29" s="190">
        <f t="shared" si="3"/>
        <v>-0.90040744593505861</v>
      </c>
      <c r="I29" s="130">
        <f>S29</f>
        <v>1011.62109375</v>
      </c>
      <c r="J29" s="136"/>
      <c r="K29" s="190"/>
      <c r="L29" s="190"/>
      <c r="M29" s="191"/>
      <c r="N29" s="192"/>
      <c r="O29" s="129" t="s">
        <v>427</v>
      </c>
      <c r="P29" s="116">
        <v>10359</v>
      </c>
      <c r="Q29" s="116">
        <v>13773268</v>
      </c>
      <c r="R29" s="116">
        <v>10.24</v>
      </c>
      <c r="S29" s="130">
        <f t="shared" si="1"/>
        <v>1011.62109375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216522.26315789475</v>
      </c>
      <c r="G30" s="190">
        <f t="shared" si="2"/>
        <v>458.84069789300941</v>
      </c>
      <c r="H30" s="190">
        <f t="shared" si="3"/>
        <v>84.89937641397843</v>
      </c>
      <c r="I30" s="130">
        <f t="shared" ref="I30:I45" si="4">S30</f>
        <v>203.8816037268312</v>
      </c>
      <c r="J30" s="136"/>
      <c r="K30" s="190"/>
      <c r="L30" s="190"/>
      <c r="M30" s="191"/>
      <c r="N30" s="192"/>
      <c r="O30" s="129" t="s">
        <v>466</v>
      </c>
      <c r="P30" s="116">
        <v>4113923</v>
      </c>
      <c r="Q30" s="116">
        <v>5472240843</v>
      </c>
      <c r="R30" s="116">
        <v>20178</v>
      </c>
      <c r="S30" s="130">
        <f t="shared" si="1"/>
        <v>203.8816037268312</v>
      </c>
      <c r="T30" s="85"/>
    </row>
    <row r="31" spans="1:20" s="79" customFormat="1" ht="13.2">
      <c r="A31" s="129" t="s">
        <v>505</v>
      </c>
      <c r="B31" s="188">
        <f>SUM(F29:F31)</f>
        <v>398166.07679425844</v>
      </c>
      <c r="C31" s="188">
        <f>AVERAGE(F29:F31)</f>
        <v>132722.02559808615</v>
      </c>
      <c r="D31" s="190">
        <f>C31/C28-1</f>
        <v>4.8331772267038442</v>
      </c>
      <c r="E31" s="190">
        <f>C31/C19-1</f>
        <v>10.185681467304896</v>
      </c>
      <c r="F31" s="136">
        <f>P31/20</f>
        <v>181172.95</v>
      </c>
      <c r="G31" s="190">
        <f t="shared" ref="G31" si="5">F31/F30-1</f>
        <v>-0.16325948492472997</v>
      </c>
      <c r="H31" s="190">
        <f t="shared" ref="H31" si="6">F31/F19-1</f>
        <v>5.3911438398447835</v>
      </c>
      <c r="I31" s="130">
        <f t="shared" si="4"/>
        <v>3449.9276397219842</v>
      </c>
      <c r="J31" s="136">
        <f>Q29+Q30+Q31</f>
        <v>10266710640</v>
      </c>
      <c r="K31" s="190">
        <f>T31/T28-1</f>
        <v>4.7161182511693793</v>
      </c>
      <c r="L31" s="190">
        <f>T31/T19-1</f>
        <v>9.0801193313696302</v>
      </c>
      <c r="M31" s="191">
        <f>AVERAGE(S29:S31)</f>
        <v>1555.1434457329385</v>
      </c>
      <c r="N31" s="192">
        <f>M31/M28-1</f>
        <v>14.596046847808736</v>
      </c>
      <c r="O31" s="129" t="s">
        <v>505</v>
      </c>
      <c r="P31" s="116">
        <v>3623459</v>
      </c>
      <c r="Q31" s="116">
        <v>4780696529</v>
      </c>
      <c r="R31" s="116">
        <v>1050.3</v>
      </c>
      <c r="S31" s="130">
        <f t="shared" ref="S31" si="7">P31/R31</f>
        <v>3449.9276397219842</v>
      </c>
      <c r="T31" s="85">
        <f>P29+P30+P31</f>
        <v>7747741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3479.5238095238096</v>
      </c>
      <c r="G32" s="190">
        <f t="shared" ref="G32" si="8">F32/F31-1</f>
        <v>-0.98079446291776007</v>
      </c>
      <c r="H32" s="190">
        <f t="shared" ref="H32" si="9">F32/F20-1</f>
        <v>-0.96851109674639091</v>
      </c>
      <c r="I32" s="130">
        <f t="shared" si="4"/>
        <v>8.3796832532483165</v>
      </c>
      <c r="J32" s="136"/>
      <c r="K32" s="190"/>
      <c r="L32" s="190"/>
      <c r="M32" s="191"/>
      <c r="N32" s="192"/>
      <c r="O32" s="129" t="s">
        <v>562</v>
      </c>
      <c r="P32" s="116">
        <v>73070</v>
      </c>
      <c r="Q32" s="116">
        <v>100954901</v>
      </c>
      <c r="R32" s="116">
        <v>8719.9</v>
      </c>
      <c r="S32" s="130">
        <f t="shared" ref="S32" si="10">P32/R32</f>
        <v>8.3796832532483165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47557.619047619046</v>
      </c>
      <c r="G33" s="190">
        <f t="shared" ref="G33" si="11">F33/F32-1</f>
        <v>12.667852743944163</v>
      </c>
      <c r="H33" s="190">
        <f t="shared" ref="H33" si="12">F33/F21-1</f>
        <v>15.638511262161803</v>
      </c>
      <c r="I33" s="130">
        <f t="shared" si="4"/>
        <v>851.0524073285045</v>
      </c>
      <c r="J33" s="136"/>
      <c r="K33" s="190"/>
      <c r="L33" s="190"/>
      <c r="M33" s="191"/>
      <c r="N33" s="192"/>
      <c r="O33" s="129" t="s">
        <v>607</v>
      </c>
      <c r="P33" s="116">
        <v>998710</v>
      </c>
      <c r="Q33" s="116">
        <v>1363330933</v>
      </c>
      <c r="R33" s="116">
        <v>1173.5</v>
      </c>
      <c r="S33" s="130">
        <f t="shared" ref="S33" si="13">P33/R33</f>
        <v>851.0524073285045</v>
      </c>
      <c r="T33" s="85"/>
    </row>
    <row r="34" spans="1:20" s="79" customFormat="1" ht="13.2">
      <c r="A34" s="129" t="s">
        <v>652</v>
      </c>
      <c r="B34" s="188">
        <f>SUM(F32:F34)</f>
        <v>66027.142857142855</v>
      </c>
      <c r="C34" s="188">
        <f>AVERAGE(F32:F34)</f>
        <v>22009.047619047618</v>
      </c>
      <c r="D34" s="190">
        <f>C34/C31-1</f>
        <v>-0.83417185263811267</v>
      </c>
      <c r="E34" s="190">
        <f>C34/C22-1</f>
        <v>-0.41790161291676808</v>
      </c>
      <c r="F34" s="136">
        <f>P34/19</f>
        <v>14990</v>
      </c>
      <c r="G34" s="190">
        <f t="shared" ref="G34" si="14">F34/F33-1</f>
        <v>-0.68480339638133192</v>
      </c>
      <c r="H34" s="190">
        <f t="shared" ref="H34" si="15">F34/F22-1</f>
        <v>209.42112299465239</v>
      </c>
      <c r="I34" s="130">
        <f t="shared" si="4"/>
        <v>517.23449077437169</v>
      </c>
      <c r="J34" s="136">
        <f>Q32+Q33+Q34</f>
        <v>1857166968</v>
      </c>
      <c r="K34" s="190">
        <f>T34/T31-1</f>
        <v>-0.82490509169059734</v>
      </c>
      <c r="L34" s="190">
        <f>T34/T22-1</f>
        <v>-0.40278315841374934</v>
      </c>
      <c r="M34" s="191">
        <f>AVERAGE(S32:S34)</f>
        <v>458.88886045204146</v>
      </c>
      <c r="N34" s="192">
        <f>M34/M31-1</f>
        <v>-0.70492184389089119</v>
      </c>
      <c r="O34" s="129" t="s">
        <v>652</v>
      </c>
      <c r="P34" s="116">
        <v>284810</v>
      </c>
      <c r="Q34" s="116">
        <v>392881134</v>
      </c>
      <c r="R34" s="116">
        <v>550.64</v>
      </c>
      <c r="S34" s="130">
        <f t="shared" ref="S34" si="16">P34/R34</f>
        <v>517.23449077437169</v>
      </c>
      <c r="T34" s="85">
        <f>P32+P33+P34</f>
        <v>1356590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57776.391304347824</v>
      </c>
      <c r="G35" s="190">
        <f t="shared" ref="G35" si="17">F35/F34-1</f>
        <v>2.8543289729384806</v>
      </c>
      <c r="H35" s="190">
        <f t="shared" ref="H35" si="18">F35/F23-1</f>
        <v>25.427309738217513</v>
      </c>
      <c r="I35" s="130">
        <f t="shared" si="4"/>
        <v>560.81273844491716</v>
      </c>
      <c r="J35" s="136"/>
      <c r="K35" s="190"/>
      <c r="L35" s="190"/>
      <c r="M35" s="191"/>
      <c r="N35" s="192"/>
      <c r="O35" s="129" t="s">
        <v>660</v>
      </c>
      <c r="P35" s="116">
        <v>1328857</v>
      </c>
      <c r="Q35" s="116">
        <v>1836063158</v>
      </c>
      <c r="R35" s="116">
        <v>2369.52</v>
      </c>
      <c r="S35" s="130">
        <f t="shared" ref="S35" si="19">P35/R35</f>
        <v>560.81273844491716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545243.33333333337</v>
      </c>
      <c r="G36" s="190">
        <f t="shared" ref="G36" si="20">F36/F35-1</f>
        <v>8.4371303057188758</v>
      </c>
      <c r="H36" s="190">
        <f t="shared" ref="H36" si="21">F36/F24-1</f>
        <v>83.785398068500172</v>
      </c>
      <c r="I36" s="130">
        <f t="shared" si="4"/>
        <v>189.33112024742115</v>
      </c>
      <c r="J36" s="136"/>
      <c r="K36" s="190"/>
      <c r="L36" s="190"/>
      <c r="M36" s="191"/>
      <c r="N36" s="192"/>
      <c r="O36" s="129" t="s">
        <v>664</v>
      </c>
      <c r="P36" s="116">
        <v>11450110</v>
      </c>
      <c r="Q36" s="116">
        <v>15539486697</v>
      </c>
      <c r="R36" s="116">
        <v>60476.639999999999</v>
      </c>
      <c r="S36" s="130">
        <f t="shared" ref="S36" si="22">P36/R36</f>
        <v>189.33112024742115</v>
      </c>
      <c r="T36" s="85"/>
    </row>
    <row r="37" spans="1:20" s="79" customFormat="1" ht="13.2">
      <c r="A37" s="129" t="s">
        <v>702</v>
      </c>
      <c r="B37" s="188">
        <f>SUM(F35:F37)</f>
        <v>1151009.1690821256</v>
      </c>
      <c r="C37" s="188">
        <f>AVERAGE(F35:F37)</f>
        <v>383669.72302737524</v>
      </c>
      <c r="D37" s="190">
        <f>C37/C34-1</f>
        <v>16.432363710973583</v>
      </c>
      <c r="E37" s="190">
        <f>C37/C25-1</f>
        <v>10.653944715765196</v>
      </c>
      <c r="F37" s="136">
        <f>P37/18</f>
        <v>547989.4444444445</v>
      </c>
      <c r="G37" s="190">
        <f t="shared" ref="G37" si="23">F37/F36-1</f>
        <v>5.0364872768324798E-3</v>
      </c>
      <c r="H37" s="190">
        <f t="shared" ref="H37" si="24">F37/F25-1</f>
        <v>5.0787399066829151</v>
      </c>
      <c r="I37" s="130">
        <f t="shared" si="4"/>
        <v>108.27789710701222</v>
      </c>
      <c r="J37" s="136">
        <f>Q35+Q36+Q37</f>
        <v>30544083641</v>
      </c>
      <c r="K37" s="190">
        <f>T37/T34-1</f>
        <v>15.690950839973759</v>
      </c>
      <c r="L37" s="190">
        <f>T37/T25-1</f>
        <v>10.915921486655174</v>
      </c>
      <c r="M37" s="191">
        <f>AVERAGE(S35:S37)</f>
        <v>286.14058526645016</v>
      </c>
      <c r="N37" s="192">
        <f>M37/M34-1</f>
        <v>-0.37644904915630495</v>
      </c>
      <c r="O37" s="129" t="s">
        <v>702</v>
      </c>
      <c r="P37" s="116">
        <v>9863810</v>
      </c>
      <c r="Q37" s="116">
        <v>13168533786</v>
      </c>
      <c r="R37" s="116">
        <v>91097.17</v>
      </c>
      <c r="S37" s="130">
        <f t="shared" ref="S37" si="25">P37/R37</f>
        <v>108.27789710701222</v>
      </c>
      <c r="T37" s="85">
        <f>P35+P36+P37</f>
        <v>22642777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117816.35</v>
      </c>
      <c r="G38" s="190">
        <f t="shared" ref="G38" si="26">F38/F37-1</f>
        <v>-0.78500251931048959</v>
      </c>
      <c r="H38" s="190">
        <f t="shared" ref="H38" si="27">F38/F26-1</f>
        <v>12.792425446703636</v>
      </c>
      <c r="I38" s="130">
        <f t="shared" si="4"/>
        <v>933.42061479955635</v>
      </c>
      <c r="J38" s="136"/>
      <c r="K38" s="190"/>
      <c r="L38" s="190"/>
      <c r="M38" s="191"/>
      <c r="N38" s="192"/>
      <c r="O38" s="129" t="s">
        <v>728</v>
      </c>
      <c r="P38" s="116">
        <v>2356327</v>
      </c>
      <c r="Q38" s="116">
        <v>3119168048</v>
      </c>
      <c r="R38" s="116">
        <v>2524.4</v>
      </c>
      <c r="S38" s="130">
        <f t="shared" ref="S38" si="28">P38/R38</f>
        <v>933.42061479955635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55352</v>
      </c>
      <c r="G39" s="190">
        <f t="shared" ref="G39" si="29">F39/F38-1</f>
        <v>-0.53018405340175623</v>
      </c>
      <c r="H39" s="190">
        <f t="shared" ref="H39" si="30">F39/F27-1</f>
        <v>1.8384913207353657</v>
      </c>
      <c r="I39" s="130">
        <f t="shared" si="4"/>
        <v>4787.8408435620722</v>
      </c>
      <c r="J39" s="136"/>
      <c r="K39" s="190"/>
      <c r="L39" s="190"/>
      <c r="M39" s="191"/>
      <c r="N39" s="192"/>
      <c r="O39" s="129" t="s">
        <v>762</v>
      </c>
      <c r="P39" s="116">
        <v>1162392</v>
      </c>
      <c r="Q39" s="116">
        <v>1608286422</v>
      </c>
      <c r="R39" s="116">
        <v>242.78</v>
      </c>
      <c r="S39" s="130">
        <f t="shared" ref="S39" si="31">P39/R39</f>
        <v>4787.8408435620722</v>
      </c>
      <c r="T39" s="85"/>
    </row>
    <row r="40" spans="1:20" s="79" customFormat="1" ht="13.2">
      <c r="A40" s="129" t="s">
        <v>778</v>
      </c>
      <c r="B40" s="188">
        <f>SUM(F38:F40)</f>
        <v>197665.96904761906</v>
      </c>
      <c r="C40" s="188">
        <f>AVERAGE(F38:F40)</f>
        <v>65888.656349206358</v>
      </c>
      <c r="D40" s="190">
        <f>C40/C37-1</f>
        <v>-0.8282672507246418</v>
      </c>
      <c r="E40" s="190">
        <f>C40/C28-1</f>
        <v>1.8958283900682749</v>
      </c>
      <c r="F40" s="136">
        <f>P40/21</f>
        <v>24497.619047619046</v>
      </c>
      <c r="G40" s="190">
        <f t="shared" ref="G40" si="32">F40/F39-1</f>
        <v>-0.55742124859771924</v>
      </c>
      <c r="H40" s="190">
        <f t="shared" ref="H40" si="33">F40/F28-1</f>
        <v>-0.39085292555805284</v>
      </c>
      <c r="I40" s="130">
        <f t="shared" si="4"/>
        <v>191.71216158303679</v>
      </c>
      <c r="J40" s="136">
        <f>Q38+Q39+Q40</f>
        <v>5451618572</v>
      </c>
      <c r="K40" s="190">
        <f>T40/T37-1</f>
        <v>-0.82187834115930214</v>
      </c>
      <c r="L40" s="190">
        <f>T40/T28-1</f>
        <v>1.9755861651738944</v>
      </c>
      <c r="M40" s="191">
        <f>AVERAGE(S38:S40)</f>
        <v>1970.9912066482218</v>
      </c>
      <c r="N40" s="192">
        <f>M40/M37-1</f>
        <v>5.8881917076281294</v>
      </c>
      <c r="O40" s="129" t="s">
        <v>778</v>
      </c>
      <c r="P40" s="116">
        <v>514450</v>
      </c>
      <c r="Q40" s="116">
        <v>724164102</v>
      </c>
      <c r="R40" s="116">
        <v>2683.45</v>
      </c>
      <c r="S40" s="130">
        <f t="shared" ref="S40" si="34">P40/R40</f>
        <v>191.71216158303679</v>
      </c>
      <c r="T40" s="85">
        <f>P38+P39+P40</f>
        <v>4033169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71045.222222222219</v>
      </c>
      <c r="G41" s="190">
        <f t="shared" ref="G41" si="35">F41/F40-1</f>
        <v>1.9000868241163702</v>
      </c>
      <c r="H41" s="190">
        <f t="shared" ref="H41" si="36">F41/F29-1</f>
        <v>149.88279649472813</v>
      </c>
      <c r="I41" s="130">
        <f t="shared" si="4"/>
        <v>237.69776951672861</v>
      </c>
      <c r="J41" s="193"/>
      <c r="K41" s="190"/>
      <c r="L41" s="190"/>
      <c r="M41" s="193"/>
      <c r="N41" s="193"/>
      <c r="O41" s="129" t="s">
        <v>792</v>
      </c>
      <c r="P41" s="116">
        <v>1278814</v>
      </c>
      <c r="Q41" s="116">
        <v>1873772905</v>
      </c>
      <c r="R41" s="116">
        <v>5380</v>
      </c>
      <c r="S41" s="130">
        <f t="shared" ref="S41" si="37">P41/R41</f>
        <v>237.69776951672861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2554.1</v>
      </c>
      <c r="G42" s="190">
        <f t="shared" ref="G42" si="38">F42/F41-1</f>
        <v>-0.96404965851171476</v>
      </c>
      <c r="H42" s="190">
        <f t="shared" ref="H42" si="39">F42/F30-1</f>
        <v>-0.98820398437209445</v>
      </c>
      <c r="I42" s="130">
        <f t="shared" si="4"/>
        <v>7.8418790297820076</v>
      </c>
      <c r="J42" s="193"/>
      <c r="K42" s="190"/>
      <c r="L42" s="190"/>
      <c r="M42" s="193"/>
      <c r="N42" s="193"/>
      <c r="O42" s="129" t="s">
        <v>826</v>
      </c>
      <c r="P42" s="116">
        <v>51082</v>
      </c>
      <c r="Q42" s="116">
        <v>74351128</v>
      </c>
      <c r="R42" s="116">
        <v>6514</v>
      </c>
      <c r="S42" s="130">
        <f t="shared" ref="S42" si="40">P42/R42</f>
        <v>7.8418790297820076</v>
      </c>
      <c r="T42" s="78"/>
    </row>
    <row r="43" spans="1:20" s="79" customFormat="1" ht="13.2">
      <c r="A43" s="129" t="s">
        <v>835</v>
      </c>
      <c r="B43" s="188">
        <f>SUM(F41:F43)</f>
        <v>77176.822222222225</v>
      </c>
      <c r="C43" s="188">
        <f>AVERAGE(F41:F43)</f>
        <v>25725.607407407409</v>
      </c>
      <c r="D43" s="190">
        <f>C43/C40-1</f>
        <v>-0.60955938650405828</v>
      </c>
      <c r="E43" s="190">
        <f>C43/C31-1</f>
        <v>-0.80616926774979558</v>
      </c>
      <c r="F43" s="136">
        <f>P43/20</f>
        <v>3577.5</v>
      </c>
      <c r="G43" s="190">
        <f t="shared" ref="G43" si="41">F43/F42-1</f>
        <v>0.40068908813280624</v>
      </c>
      <c r="H43" s="190">
        <f t="shared" ref="H43" si="42">F43/F31-1</f>
        <v>-0.98025367473455616</v>
      </c>
      <c r="I43" s="130">
        <f t="shared" si="4"/>
        <v>1036.9565217391305</v>
      </c>
      <c r="J43" s="136">
        <f>Q41+Q42+Q43</f>
        <v>2052032158</v>
      </c>
      <c r="K43" s="190">
        <f>T43/T40-1</f>
        <v>-0.65251989192617521</v>
      </c>
      <c r="L43" s="190">
        <f>T43/T31-1</f>
        <v>-0.81911553315992358</v>
      </c>
      <c r="M43" s="191">
        <f>AVERAGE(S41:S43)</f>
        <v>427.49872342854701</v>
      </c>
      <c r="N43" s="192">
        <f>M43/M40-1</f>
        <v>-0.78310470285885647</v>
      </c>
      <c r="O43" s="129" t="s">
        <v>835</v>
      </c>
      <c r="P43" s="116">
        <v>71550</v>
      </c>
      <c r="Q43" s="116">
        <v>103908125</v>
      </c>
      <c r="R43" s="116">
        <v>69</v>
      </c>
      <c r="S43" s="130">
        <f t="shared" ref="S43" si="43">P43/R43</f>
        <v>1036.9565217391305</v>
      </c>
      <c r="T43" s="85">
        <f>P41+P42+P43</f>
        <v>1401446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6265.909090909091</v>
      </c>
      <c r="G44" s="190">
        <f t="shared" ref="G44" si="44">F44/F43-1</f>
        <v>0.75147703449590253</v>
      </c>
      <c r="H44" s="190">
        <f t="shared" ref="H44" si="45">F44/F32-1</f>
        <v>0.80079500354579047</v>
      </c>
      <c r="I44" s="130">
        <f t="shared" si="4"/>
        <v>1378.5</v>
      </c>
      <c r="J44" s="136"/>
      <c r="K44" s="190"/>
      <c r="L44" s="190"/>
      <c r="M44" s="191"/>
      <c r="N44" s="192"/>
      <c r="O44" s="129" t="s">
        <v>843</v>
      </c>
      <c r="P44" s="116">
        <v>137850</v>
      </c>
      <c r="Q44" s="116">
        <v>199363695</v>
      </c>
      <c r="R44" s="116">
        <v>100</v>
      </c>
      <c r="S44" s="130">
        <f t="shared" ref="S44" si="46">P44/R44</f>
        <v>1378.5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6952.55</v>
      </c>
      <c r="G45" s="190">
        <f t="shared" ref="G45" si="47">F45/F44-1</f>
        <v>0.10958360536815381</v>
      </c>
      <c r="H45" s="190">
        <f t="shared" ref="H45" si="48">F45/F33-1</f>
        <v>-0.85380786214216342</v>
      </c>
      <c r="I45" s="130">
        <f t="shared" si="4"/>
        <v>100.64417599756806</v>
      </c>
      <c r="J45" s="136"/>
      <c r="K45" s="190"/>
      <c r="L45" s="190"/>
      <c r="M45" s="191"/>
      <c r="N45" s="192"/>
      <c r="O45" s="129" t="s">
        <v>863</v>
      </c>
      <c r="P45" s="116">
        <v>139051</v>
      </c>
      <c r="Q45" s="116">
        <v>195178861</v>
      </c>
      <c r="R45" s="116">
        <v>1381.61</v>
      </c>
      <c r="S45" s="130">
        <f t="shared" ref="S45" si="49">P45/R45</f>
        <v>100.64417599756806</v>
      </c>
      <c r="T45" s="85"/>
    </row>
    <row r="46" spans="1:20" s="183" customFormat="1" ht="13.2">
      <c r="A46" s="144" t="s">
        <v>907</v>
      </c>
      <c r="B46" s="196">
        <f>SUM(F44:F46)</f>
        <v>107957.61698564593</v>
      </c>
      <c r="C46" s="196">
        <f>AVERAGE(F44:F46)</f>
        <v>35985.872328548641</v>
      </c>
      <c r="D46" s="197">
        <f>C46/C43-1</f>
        <v>0.3988347003300261</v>
      </c>
      <c r="E46" s="197">
        <f>C46/C34-1</f>
        <v>0.63504904671135565</v>
      </c>
      <c r="F46" s="147">
        <f>P46/19</f>
        <v>94739.15789473684</v>
      </c>
      <c r="G46" s="197">
        <f t="shared" ref="G46" si="50">F46/F45-1</f>
        <v>12.626533846536427</v>
      </c>
      <c r="H46" s="197">
        <f t="shared" ref="H46" si="51">F46/F34-1</f>
        <v>5.3201572978476879</v>
      </c>
      <c r="I46" s="146">
        <f t="shared" ref="I46" si="52">S46</f>
        <v>246.78420619687415</v>
      </c>
      <c r="J46" s="147">
        <f>Q44+Q45+Q46</f>
        <v>2861684518</v>
      </c>
      <c r="K46" s="197">
        <f>T46/T43-1</f>
        <v>0.48200144707680503</v>
      </c>
      <c r="L46" s="197">
        <f>T46/T34-1</f>
        <v>0.53100420908306867</v>
      </c>
      <c r="M46" s="198">
        <f>AVERAGE(S44:S46)</f>
        <v>575.30946073148073</v>
      </c>
      <c r="N46" s="199">
        <f>M46/M43-1</f>
        <v>0.34575714312662531</v>
      </c>
      <c r="O46" s="144" t="s">
        <v>888</v>
      </c>
      <c r="P46" s="145">
        <v>1800044</v>
      </c>
      <c r="Q46" s="145">
        <v>2467141962</v>
      </c>
      <c r="R46" s="145">
        <v>7294</v>
      </c>
      <c r="S46" s="146">
        <f t="shared" ref="S46" si="53">P46/R46</f>
        <v>246.78420619687415</v>
      </c>
      <c r="T46" s="187">
        <f>P44+P45+P46</f>
        <v>2076945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12010</v>
      </c>
      <c r="G47" s="197">
        <f t="shared" ref="G47" si="54">F47/F46-1</f>
        <v>-0.87323087657857257</v>
      </c>
      <c r="H47" s="197">
        <f t="shared" ref="H47" si="55">F47/F35-1</f>
        <v>-0.79212962719088664</v>
      </c>
      <c r="I47" s="146">
        <f t="shared" ref="I47" si="56">S47</f>
        <v>341.55600069243513</v>
      </c>
      <c r="J47" s="147"/>
      <c r="K47" s="197"/>
      <c r="L47" s="197"/>
      <c r="M47" s="198"/>
      <c r="N47" s="199"/>
      <c r="O47" s="144" t="s">
        <v>991</v>
      </c>
      <c r="P47" s="145">
        <v>276230</v>
      </c>
      <c r="Q47" s="145">
        <v>375881562</v>
      </c>
      <c r="R47" s="145">
        <v>808.74</v>
      </c>
      <c r="S47" s="146">
        <f t="shared" ref="S47" si="57">P47/R47</f>
        <v>341.55600069243513</v>
      </c>
      <c r="T47" s="187">
        <f>P45+P46+P47</f>
        <v>2215325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4615.3846153846152</v>
      </c>
      <c r="G48" s="197">
        <f t="shared" ref="G48" si="58">F48/F47-1</f>
        <v>-0.61570486133350411</v>
      </c>
      <c r="H48" s="197">
        <f t="shared" ref="H48" si="59">F48/F36-1</f>
        <v>-0.99153518377351157</v>
      </c>
      <c r="I48" s="146">
        <f t="shared" ref="I48" si="60">S48</f>
        <v>70.588235294117652</v>
      </c>
      <c r="J48" s="147"/>
      <c r="K48" s="197"/>
      <c r="L48" s="197"/>
      <c r="M48" s="198"/>
      <c r="N48" s="199"/>
      <c r="O48" s="144" t="s">
        <v>1129</v>
      </c>
      <c r="P48" s="145">
        <v>60000</v>
      </c>
      <c r="Q48" s="145">
        <v>83005200</v>
      </c>
      <c r="R48" s="145">
        <v>850</v>
      </c>
      <c r="S48" s="146">
        <f t="shared" ref="S48" si="61">P48/R48</f>
        <v>70.588235294117652</v>
      </c>
      <c r="T48" s="187">
        <f>P46+P47+P48</f>
        <v>2136274</v>
      </c>
    </row>
    <row r="49" spans="3:5">
      <c r="C49" s="196">
        <f>AVERAGE(F47:F49)</f>
        <v>8312.6923076923085</v>
      </c>
      <c r="D49" s="197">
        <f>C49/C46-1</f>
        <v>-0.7690012282654155</v>
      </c>
      <c r="E49" s="197">
        <f>C49/C37-1</f>
        <v>-0.97833372870264457</v>
      </c>
    </row>
  </sheetData>
  <phoneticPr fontId="1" type="noConversion"/>
  <conditionalFormatting sqref="C29:C30">
    <cfRule type="cellIs" dxfId="78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FF00"/>
  </sheetPr>
  <dimension ref="A1:Z72"/>
  <sheetViews>
    <sheetView zoomScale="90" zoomScaleNormal="9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408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8486207000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409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717606.6</v>
      </c>
      <c r="G5" s="90"/>
      <c r="H5" s="90"/>
      <c r="I5" s="130">
        <f t="shared" ref="I5:I49" si="0">T5</f>
        <v>99.610653078136608</v>
      </c>
      <c r="J5" s="130"/>
      <c r="L5" s="80"/>
      <c r="M5" s="80"/>
      <c r="P5" s="129" t="s">
        <v>0</v>
      </c>
      <c r="Q5" s="116">
        <v>14352132</v>
      </c>
      <c r="R5" s="116"/>
      <c r="S5" s="116">
        <v>144082.29999999999</v>
      </c>
      <c r="T5" s="130">
        <f t="shared" ref="T5:T27" si="1">Q5/S5</f>
        <v>99.610653078136608</v>
      </c>
      <c r="U5" s="85"/>
    </row>
    <row r="6" spans="1:21" ht="15" hidden="1" customHeight="1">
      <c r="A6" s="129" t="s">
        <v>1</v>
      </c>
      <c r="C6" s="79"/>
      <c r="F6" s="78">
        <f>Q6/18</f>
        <v>1638741.111111111</v>
      </c>
      <c r="G6" s="90">
        <f t="shared" ref="G6:G27" si="2">F6/F5-1</f>
        <v>1.2836204559867634</v>
      </c>
      <c r="H6" s="90"/>
      <c r="I6" s="130">
        <f t="shared" si="0"/>
        <v>151.16968482378303</v>
      </c>
      <c r="J6" s="130"/>
      <c r="P6" s="129" t="s">
        <v>1</v>
      </c>
      <c r="Q6" s="116">
        <v>29497340</v>
      </c>
      <c r="R6" s="116"/>
      <c r="S6" s="116">
        <v>195127.35</v>
      </c>
      <c r="T6" s="130">
        <f t="shared" si="1"/>
        <v>151.16968482378303</v>
      </c>
      <c r="U6" s="85"/>
    </row>
    <row r="7" spans="1:21" ht="15" hidden="1" customHeight="1">
      <c r="A7" s="129" t="s">
        <v>2</v>
      </c>
      <c r="B7" s="131">
        <f>F5+F6+F7</f>
        <v>3208167.8474747473</v>
      </c>
      <c r="C7" s="131">
        <f>AVERAGE(F5:F7)</f>
        <v>1069389.2824915824</v>
      </c>
      <c r="F7" s="78">
        <f>Q7/22</f>
        <v>851820.13636363635</v>
      </c>
      <c r="G7" s="90">
        <f t="shared" si="2"/>
        <v>-0.48019847028425422</v>
      </c>
      <c r="H7" s="90"/>
      <c r="I7" s="130">
        <f t="shared" si="0"/>
        <v>119.0750482430752</v>
      </c>
      <c r="J7" s="130"/>
      <c r="K7" s="79">
        <f>R5+R6+R7</f>
        <v>0</v>
      </c>
      <c r="N7" s="88">
        <f>AVERAGE(T5:T7)</f>
        <v>123.28512871499828</v>
      </c>
      <c r="P7" s="129" t="s">
        <v>2</v>
      </c>
      <c r="Q7" s="116">
        <v>18740043</v>
      </c>
      <c r="R7" s="116"/>
      <c r="S7" s="116">
        <v>157380.1</v>
      </c>
      <c r="T7" s="130">
        <f t="shared" si="1"/>
        <v>119.0750482430752</v>
      </c>
      <c r="U7" s="85">
        <f>Q5+Q6+Q7</f>
        <v>62589515</v>
      </c>
    </row>
    <row r="8" spans="1:21" ht="15" hidden="1" customHeight="1">
      <c r="A8" s="129" t="s">
        <v>3</v>
      </c>
      <c r="C8" s="79"/>
      <c r="F8" s="78">
        <f>Q8/21</f>
        <v>1248405.5714285714</v>
      </c>
      <c r="G8" s="90">
        <f t="shared" si="2"/>
        <v>0.46557414897226068</v>
      </c>
      <c r="H8" s="90"/>
      <c r="I8" s="130">
        <f t="shared" si="0"/>
        <v>96.706496076171462</v>
      </c>
      <c r="J8" s="130"/>
      <c r="K8" s="78"/>
      <c r="P8" s="129" t="s">
        <v>3</v>
      </c>
      <c r="Q8" s="116">
        <v>26216517</v>
      </c>
      <c r="R8" s="116"/>
      <c r="S8" s="116">
        <v>271093.65000000002</v>
      </c>
      <c r="T8" s="130">
        <f t="shared" si="1"/>
        <v>96.706496076171462</v>
      </c>
      <c r="U8" s="85"/>
    </row>
    <row r="9" spans="1:21" ht="15" hidden="1" customHeight="1">
      <c r="A9" s="129" t="s">
        <v>4</v>
      </c>
      <c r="C9" s="79"/>
      <c r="F9" s="78">
        <f>Q9/21</f>
        <v>896683.04761904757</v>
      </c>
      <c r="G9" s="90">
        <f t="shared" si="2"/>
        <v>-0.28173738715940033</v>
      </c>
      <c r="H9" s="90"/>
      <c r="I9" s="130">
        <f t="shared" si="0"/>
        <v>69.990298919649035</v>
      </c>
      <c r="J9" s="130"/>
      <c r="K9" s="78"/>
      <c r="P9" s="129" t="s">
        <v>4</v>
      </c>
      <c r="Q9" s="116">
        <v>18830344</v>
      </c>
      <c r="R9" s="116"/>
      <c r="S9" s="116">
        <v>269042.2</v>
      </c>
      <c r="T9" s="130">
        <f t="shared" si="1"/>
        <v>69.990298919649035</v>
      </c>
      <c r="U9" s="85"/>
    </row>
    <row r="10" spans="1:21" ht="15" hidden="1" customHeight="1">
      <c r="A10" s="129" t="s">
        <v>5</v>
      </c>
      <c r="B10" s="131">
        <f>F8+F9+F10</f>
        <v>3866065.0952380951</v>
      </c>
      <c r="C10" s="131">
        <f>AVERAGE(F8:F10)</f>
        <v>1288688.365079365</v>
      </c>
      <c r="D10" s="90">
        <f>C10/C7-1</f>
        <v>0.20506945990410075</v>
      </c>
      <c r="E10" s="286"/>
      <c r="F10" s="78">
        <f>Q10/21</f>
        <v>1720976.4761904762</v>
      </c>
      <c r="G10" s="90">
        <f t="shared" si="2"/>
        <v>0.91926955768837804</v>
      </c>
      <c r="H10" s="90"/>
      <c r="I10" s="130">
        <f t="shared" si="0"/>
        <v>144.71268147843355</v>
      </c>
      <c r="J10" s="130"/>
      <c r="K10" s="79">
        <f>R8+R9+R10</f>
        <v>0</v>
      </c>
      <c r="L10" s="87">
        <f>U10/U7-1</f>
        <v>0.29714005612601402</v>
      </c>
      <c r="N10" s="88">
        <f>AVERAGE(T8:T10)</f>
        <v>103.80315882475134</v>
      </c>
      <c r="O10" s="89">
        <f>N10/N7-1</f>
        <v>-0.15802368130939759</v>
      </c>
      <c r="P10" s="129" t="s">
        <v>5</v>
      </c>
      <c r="Q10" s="116">
        <v>36140506</v>
      </c>
      <c r="R10" s="116"/>
      <c r="S10" s="116">
        <v>249739.73</v>
      </c>
      <c r="T10" s="130">
        <f t="shared" si="1"/>
        <v>144.71268147843355</v>
      </c>
      <c r="U10" s="85">
        <f>Q8+Q9+Q10</f>
        <v>81187367</v>
      </c>
    </row>
    <row r="11" spans="1:21" ht="15" hidden="1" customHeight="1">
      <c r="A11" s="129" t="s">
        <v>6</v>
      </c>
      <c r="C11" s="79"/>
      <c r="F11" s="78">
        <f>Q11/21</f>
        <v>2083539.2857142857</v>
      </c>
      <c r="G11" s="90">
        <f t="shared" si="2"/>
        <v>0.21067272826783334</v>
      </c>
      <c r="H11" s="90"/>
      <c r="I11" s="130">
        <f t="shared" si="0"/>
        <v>138.5868170879184</v>
      </c>
      <c r="J11" s="130"/>
      <c r="K11" s="78"/>
      <c r="O11" s="89"/>
      <c r="P11" s="129" t="s">
        <v>6</v>
      </c>
      <c r="Q11" s="116">
        <v>43754325</v>
      </c>
      <c r="R11" s="116"/>
      <c r="S11" s="116">
        <v>315717.8</v>
      </c>
      <c r="T11" s="130">
        <f t="shared" si="1"/>
        <v>138.5868170879184</v>
      </c>
      <c r="U11" s="85"/>
    </row>
    <row r="12" spans="1:21" ht="15" hidden="1" customHeight="1">
      <c r="A12" s="129" t="s">
        <v>7</v>
      </c>
      <c r="C12" s="79"/>
      <c r="F12" s="78">
        <f>Q12/22</f>
        <v>2248419.5909090908</v>
      </c>
      <c r="G12" s="90">
        <f t="shared" si="2"/>
        <v>7.9134723460844381E-2</v>
      </c>
      <c r="H12" s="90"/>
      <c r="I12" s="130">
        <f t="shared" si="0"/>
        <v>164.23715129609118</v>
      </c>
      <c r="J12" s="130"/>
      <c r="K12" s="78"/>
      <c r="O12" s="89"/>
      <c r="P12" s="129" t="s">
        <v>7</v>
      </c>
      <c r="Q12" s="116">
        <v>49465231</v>
      </c>
      <c r="R12" s="116"/>
      <c r="S12" s="116">
        <v>301181.74</v>
      </c>
      <c r="T12" s="130">
        <f t="shared" si="1"/>
        <v>164.23715129609118</v>
      </c>
      <c r="U12" s="85"/>
    </row>
    <row r="13" spans="1:21" ht="15" hidden="1" customHeight="1">
      <c r="A13" s="129" t="s">
        <v>96</v>
      </c>
      <c r="B13" s="131">
        <f>F11+F12+F13</f>
        <v>5420402.6766233761</v>
      </c>
      <c r="C13" s="131">
        <f>AVERAGE(F11:F13)</f>
        <v>1806800.892207792</v>
      </c>
      <c r="D13" s="90">
        <f>C13/C10-1</f>
        <v>0.40204640715951423</v>
      </c>
      <c r="E13" s="286"/>
      <c r="F13" s="78">
        <f>Q13/20</f>
        <v>1088443.8</v>
      </c>
      <c r="G13" s="90">
        <f t="shared" si="2"/>
        <v>-0.51590717124114915</v>
      </c>
      <c r="H13" s="90"/>
      <c r="I13" s="130">
        <f t="shared" si="0"/>
        <v>177.37277877400643</v>
      </c>
      <c r="J13" s="130"/>
      <c r="K13" s="78">
        <f>R11+R12+R13</f>
        <v>0</v>
      </c>
      <c r="L13" s="87">
        <f>U13/U10-1</f>
        <v>0.41633404615769831</v>
      </c>
      <c r="N13" s="88">
        <f>AVERAGE(T11:T13)</f>
        <v>160.06558238600533</v>
      </c>
      <c r="O13" s="89">
        <f>N13/N10-1</f>
        <v>0.5420107075569891</v>
      </c>
      <c r="P13" s="129" t="s">
        <v>96</v>
      </c>
      <c r="Q13" s="116">
        <v>21768876</v>
      </c>
      <c r="R13" s="116"/>
      <c r="S13" s="116">
        <v>122729.52</v>
      </c>
      <c r="T13" s="130">
        <f t="shared" si="1"/>
        <v>177.37277877400643</v>
      </c>
      <c r="U13" s="85">
        <f>Q11+Q12+Q13</f>
        <v>114988432</v>
      </c>
    </row>
    <row r="14" spans="1:21" ht="15" hidden="1" customHeight="1">
      <c r="A14" s="129" t="s">
        <v>97</v>
      </c>
      <c r="C14" s="79"/>
      <c r="F14" s="78">
        <f>Q14/20</f>
        <v>280333.25</v>
      </c>
      <c r="G14" s="90">
        <f t="shared" si="2"/>
        <v>-0.74244582035379314</v>
      </c>
      <c r="H14" s="90"/>
      <c r="I14" s="130">
        <f t="shared" si="0"/>
        <v>60.06269947776503</v>
      </c>
      <c r="J14" s="130"/>
      <c r="O14" s="89"/>
      <c r="P14" s="129" t="s">
        <v>97</v>
      </c>
      <c r="Q14" s="116">
        <v>5606665</v>
      </c>
      <c r="R14" s="116"/>
      <c r="S14" s="116">
        <v>93346.87</v>
      </c>
      <c r="T14" s="130">
        <f t="shared" si="1"/>
        <v>60.06269947776503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976634.95454545459</v>
      </c>
      <c r="G15" s="90">
        <f t="shared" si="2"/>
        <v>2.4838355940490633</v>
      </c>
      <c r="H15" s="90"/>
      <c r="I15" s="130">
        <f t="shared" si="0"/>
        <v>105.06724513882359</v>
      </c>
      <c r="J15" s="130"/>
      <c r="O15" s="89"/>
      <c r="P15" s="129" t="s">
        <v>98</v>
      </c>
      <c r="Q15" s="116">
        <v>21485969</v>
      </c>
      <c r="R15" s="116"/>
      <c r="S15" s="116">
        <v>204497.31</v>
      </c>
      <c r="T15" s="130">
        <f t="shared" si="1"/>
        <v>105.06724513882359</v>
      </c>
      <c r="U15" s="78"/>
    </row>
    <row r="16" spans="1:21" ht="15" hidden="1" customHeight="1">
      <c r="A16" s="129" t="s">
        <v>99</v>
      </c>
      <c r="B16" s="131">
        <f>F14+F15+F16</f>
        <v>2066756.3863636362</v>
      </c>
      <c r="C16" s="131">
        <f>AVERAGE(F14:F16)</f>
        <v>688918.79545454541</v>
      </c>
      <c r="D16" s="90">
        <f>C16/C13-1</f>
        <v>-0.61870796144409035</v>
      </c>
      <c r="E16" s="286"/>
      <c r="F16" s="78">
        <f>Q16/22</f>
        <v>809788.18181818177</v>
      </c>
      <c r="G16" s="90">
        <f t="shared" si="2"/>
        <v>-0.17083842018016515</v>
      </c>
      <c r="H16" s="90"/>
      <c r="I16" s="130">
        <f t="shared" si="0"/>
        <v>97.313579226735868</v>
      </c>
      <c r="J16" s="130"/>
      <c r="K16" s="78">
        <f>R14+R15+R16</f>
        <v>0</v>
      </c>
      <c r="L16" s="87">
        <f>U16/U13-1</f>
        <v>-0.60945659299015398</v>
      </c>
      <c r="N16" s="88">
        <f>AVERAGE(T14:T16)</f>
        <v>87.4811746144415</v>
      </c>
      <c r="O16" s="89">
        <f>N16/N13-1</f>
        <v>-0.45346667715563782</v>
      </c>
      <c r="P16" s="129" t="s">
        <v>99</v>
      </c>
      <c r="Q16" s="116">
        <v>17815340</v>
      </c>
      <c r="R16" s="116"/>
      <c r="S16" s="116">
        <v>183071.47</v>
      </c>
      <c r="T16" s="130">
        <f t="shared" si="1"/>
        <v>97.313579226735868</v>
      </c>
      <c r="U16" s="85">
        <f>Q14+Q15+Q16</f>
        <v>44907974</v>
      </c>
    </row>
    <row r="17" spans="1:21" ht="15" hidden="1" customHeight="1">
      <c r="A17" s="129" t="s">
        <v>100</v>
      </c>
      <c r="C17" s="79"/>
      <c r="F17" s="78">
        <f>Q17/20</f>
        <v>624942.75</v>
      </c>
      <c r="G17" s="90">
        <f t="shared" si="2"/>
        <v>-0.22826392872659174</v>
      </c>
      <c r="H17" s="90">
        <f t="shared" ref="H17:H27" si="3">F17/F5-1</f>
        <v>-0.12912903811085352</v>
      </c>
      <c r="I17" s="130">
        <f t="shared" si="0"/>
        <v>122.72247941755485</v>
      </c>
      <c r="J17" s="130">
        <f t="shared" ref="J17:J49" si="4">I17/I5-1</f>
        <v>0.23202163247829377</v>
      </c>
      <c r="O17" s="89"/>
      <c r="P17" s="129" t="s">
        <v>100</v>
      </c>
      <c r="Q17" s="116">
        <v>12498855</v>
      </c>
      <c r="R17" s="116">
        <v>15571641130</v>
      </c>
      <c r="S17" s="116">
        <v>101846.5</v>
      </c>
      <c r="T17" s="130">
        <f t="shared" si="1"/>
        <v>122.72247941755485</v>
      </c>
      <c r="U17" s="78"/>
    </row>
    <row r="18" spans="1:21" ht="15" hidden="1" customHeight="1">
      <c r="A18" s="129" t="s">
        <v>107</v>
      </c>
      <c r="C18" s="79"/>
      <c r="F18" s="78">
        <f>Q18/20</f>
        <v>425751.25</v>
      </c>
      <c r="G18" s="90">
        <f t="shared" si="2"/>
        <v>-0.31873559618061009</v>
      </c>
      <c r="H18" s="90">
        <f t="shared" si="3"/>
        <v>-0.74019614989012572</v>
      </c>
      <c r="I18" s="130">
        <f t="shared" si="0"/>
        <v>89.620427292944782</v>
      </c>
      <c r="J18" s="130">
        <f t="shared" si="4"/>
        <v>-0.40715344219038097</v>
      </c>
      <c r="O18" s="89"/>
      <c r="P18" s="129" t="s">
        <v>107</v>
      </c>
      <c r="Q18" s="116">
        <v>8515025</v>
      </c>
      <c r="R18" s="116">
        <v>10669752252</v>
      </c>
      <c r="S18" s="116">
        <v>95012.1</v>
      </c>
      <c r="T18" s="130">
        <f t="shared" si="1"/>
        <v>89.620427292944782</v>
      </c>
      <c r="U18" s="78"/>
    </row>
    <row r="19" spans="1:21" hidden="1">
      <c r="A19" s="129" t="s">
        <v>114</v>
      </c>
      <c r="B19" s="131">
        <f>SUM(F17:F19)</f>
        <v>1750678.9090909092</v>
      </c>
      <c r="C19" s="131">
        <f>AVERAGE(F17:F19)</f>
        <v>583559.63636363635</v>
      </c>
      <c r="D19" s="90">
        <f>C19/C16-1</f>
        <v>-0.15293407551958804</v>
      </c>
      <c r="E19" s="286">
        <f>C19/C7-1</f>
        <v>-0.45430569960080958</v>
      </c>
      <c r="F19" s="78">
        <f>Q19/22</f>
        <v>699984.90909090906</v>
      </c>
      <c r="G19" s="90">
        <f t="shared" si="2"/>
        <v>0.64411709675757622</v>
      </c>
      <c r="H19" s="90">
        <f t="shared" si="3"/>
        <v>-0.17824799014602055</v>
      </c>
      <c r="I19" s="130">
        <f t="shared" si="0"/>
        <v>109.93030411232436</v>
      </c>
      <c r="J19" s="130">
        <f t="shared" si="4"/>
        <v>-7.679815600060147E-2</v>
      </c>
      <c r="K19" s="78">
        <f>R17+R18+R19</f>
        <v>46353360455</v>
      </c>
      <c r="L19" s="87">
        <f>U19/U16-1</f>
        <v>-0.18915184194236867</v>
      </c>
      <c r="M19" s="87">
        <f>U19/U7-1</f>
        <v>-0.41821648562063474</v>
      </c>
      <c r="N19" s="88">
        <f>AVERAGE(T17:T19)</f>
        <v>107.424403607608</v>
      </c>
      <c r="O19" s="89">
        <f>N19/N16-1</f>
        <v>0.2279716645445482</v>
      </c>
      <c r="P19" s="129" t="s">
        <v>114</v>
      </c>
      <c r="Q19" s="116">
        <v>15399668</v>
      </c>
      <c r="R19" s="116">
        <v>20111967073</v>
      </c>
      <c r="S19" s="116">
        <v>140085.74</v>
      </c>
      <c r="T19" s="130">
        <f t="shared" si="1"/>
        <v>109.93030411232436</v>
      </c>
      <c r="U19" s="85">
        <f>Q17+Q18+Q19</f>
        <v>36413548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420734</v>
      </c>
      <c r="G20" s="90">
        <f t="shared" si="2"/>
        <v>-0.39893847062157439</v>
      </c>
      <c r="H20" s="90">
        <f t="shared" si="3"/>
        <v>-0.66298292027121675</v>
      </c>
      <c r="I20" s="130">
        <f t="shared" si="0"/>
        <v>141.71624818784929</v>
      </c>
      <c r="J20" s="130">
        <f t="shared" si="4"/>
        <v>0.46542635642827568</v>
      </c>
      <c r="O20" s="89"/>
      <c r="P20" s="129" t="s">
        <v>131</v>
      </c>
      <c r="Q20" s="116">
        <v>8414680</v>
      </c>
      <c r="R20" s="116">
        <v>11068295660</v>
      </c>
      <c r="S20" s="116">
        <v>59376.959999999999</v>
      </c>
      <c r="T20" s="130">
        <f t="shared" si="1"/>
        <v>141.71624818784929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381230.80952380953</v>
      </c>
      <c r="G21" s="90">
        <f t="shared" si="2"/>
        <v>-9.3891129493196335E-2</v>
      </c>
      <c r="H21" s="90">
        <f t="shared" si="3"/>
        <v>-0.57484329548095348</v>
      </c>
      <c r="I21" s="130">
        <f t="shared" si="0"/>
        <v>169.56191150715378</v>
      </c>
      <c r="J21" s="130">
        <f t="shared" si="4"/>
        <v>1.4226487688217468</v>
      </c>
      <c r="O21" s="89"/>
      <c r="P21" s="129" t="s">
        <v>141</v>
      </c>
      <c r="Q21" s="116">
        <v>8005847</v>
      </c>
      <c r="R21" s="116">
        <v>10685527750</v>
      </c>
      <c r="S21" s="116">
        <v>47214.89</v>
      </c>
      <c r="T21" s="130">
        <f t="shared" si="1"/>
        <v>169.56191150715378</v>
      </c>
      <c r="U21" s="78"/>
    </row>
    <row r="22" spans="1:21" hidden="1">
      <c r="A22" s="129" t="s">
        <v>155</v>
      </c>
      <c r="B22" s="131">
        <f>SUM(F20:F22)</f>
        <v>1532045.1904761903</v>
      </c>
      <c r="C22" s="131">
        <f>AVERAGE(F20:F22)</f>
        <v>510681.73015873012</v>
      </c>
      <c r="D22" s="90">
        <f>C22/C19-1</f>
        <v>-0.12488510456109314</v>
      </c>
      <c r="E22" s="286">
        <f>C22/C10-1</f>
        <v>-0.60371976344546319</v>
      </c>
      <c r="F22" s="78">
        <f>Q22/21</f>
        <v>730080.38095238095</v>
      </c>
      <c r="G22" s="90">
        <f t="shared" si="2"/>
        <v>0.91506132955076458</v>
      </c>
      <c r="H22" s="90">
        <f t="shared" si="3"/>
        <v>-0.57577550242379005</v>
      </c>
      <c r="I22" s="130">
        <f t="shared" si="0"/>
        <v>111.9761728084885</v>
      </c>
      <c r="J22" s="130">
        <f t="shared" si="4"/>
        <v>-0.22621727643699119</v>
      </c>
      <c r="K22" s="78">
        <f>R20+R21+R22</f>
        <v>41637815538</v>
      </c>
      <c r="L22" s="87">
        <f>U22/U19-1</f>
        <v>-0.12801095350554692</v>
      </c>
      <c r="M22" s="87">
        <f>U22/U10-1</f>
        <v>-0.60890202289723228</v>
      </c>
      <c r="N22" s="88">
        <f>AVERAGE(T20:T22)</f>
        <v>141.08477750116387</v>
      </c>
      <c r="O22" s="89">
        <f>N22/N19-1</f>
        <v>0.31334010488443598</v>
      </c>
      <c r="P22" s="129" t="s">
        <v>155</v>
      </c>
      <c r="Q22" s="116">
        <v>15331688</v>
      </c>
      <c r="R22" s="116">
        <v>19883992128</v>
      </c>
      <c r="S22" s="116">
        <v>136919.20000000001</v>
      </c>
      <c r="T22" s="130">
        <f t="shared" si="1"/>
        <v>111.9761728084885</v>
      </c>
      <c r="U22" s="85">
        <f>Q20+Q21+Q22</f>
        <v>31752215</v>
      </c>
    </row>
    <row r="23" spans="1:21" hidden="1">
      <c r="A23" s="129" t="s">
        <v>189</v>
      </c>
      <c r="B23" s="131"/>
      <c r="C23" s="131"/>
      <c r="F23" s="78">
        <f>Q23/21</f>
        <v>517673.76190476189</v>
      </c>
      <c r="G23" s="90">
        <f t="shared" si="2"/>
        <v>-0.29093593608218482</v>
      </c>
      <c r="H23" s="90">
        <f t="shared" si="3"/>
        <v>-0.75154115621712825</v>
      </c>
      <c r="I23" s="130">
        <f t="shared" si="0"/>
        <v>189.1611008952099</v>
      </c>
      <c r="J23" s="130">
        <f t="shared" si="4"/>
        <v>0.36492853266994052</v>
      </c>
      <c r="O23" s="89"/>
      <c r="P23" s="129" t="s">
        <v>189</v>
      </c>
      <c r="Q23" s="116">
        <v>10871149</v>
      </c>
      <c r="R23" s="116">
        <v>14125880062</v>
      </c>
      <c r="S23" s="116">
        <v>57470.32</v>
      </c>
      <c r="T23" s="130">
        <f t="shared" si="1"/>
        <v>189.1611008952099</v>
      </c>
      <c r="U23" s="78"/>
    </row>
    <row r="24" spans="1:21" hidden="1">
      <c r="A24" s="129" t="s">
        <v>204</v>
      </c>
      <c r="B24" s="131"/>
      <c r="C24" s="131"/>
      <c r="F24" s="78">
        <f>Q24/22</f>
        <v>797710.86363636365</v>
      </c>
      <c r="G24" s="90">
        <f t="shared" si="2"/>
        <v>0.54095285938621918</v>
      </c>
      <c r="H24" s="90">
        <f t="shared" si="3"/>
        <v>-0.64521263430468967</v>
      </c>
      <c r="I24" s="130">
        <f t="shared" si="0"/>
        <v>118.37614669554789</v>
      </c>
      <c r="J24" s="130">
        <f t="shared" si="4"/>
        <v>-0.27923648357650721</v>
      </c>
      <c r="O24" s="89"/>
      <c r="P24" s="129" t="s">
        <v>204</v>
      </c>
      <c r="Q24" s="116">
        <v>17549639</v>
      </c>
      <c r="R24" s="116">
        <v>22966210043</v>
      </c>
      <c r="S24" s="116">
        <v>148253.17000000001</v>
      </c>
      <c r="T24" s="130">
        <f t="shared" si="1"/>
        <v>118.37614669554789</v>
      </c>
      <c r="U24" s="78"/>
    </row>
    <row r="25" spans="1:21" s="79" customFormat="1" ht="13.2" hidden="1">
      <c r="A25" s="129" t="s">
        <v>217</v>
      </c>
      <c r="B25" s="131">
        <f>SUM(F23:F25)</f>
        <v>1866278.099225336</v>
      </c>
      <c r="C25" s="131">
        <f>AVERAGE(F23:F25)</f>
        <v>622092.69974177866</v>
      </c>
      <c r="D25" s="90">
        <f>C25/C22-1</f>
        <v>0.21816125975060774</v>
      </c>
      <c r="E25" s="286">
        <f>C25/C13-1</f>
        <v>-0.65569382745786542</v>
      </c>
      <c r="F25" s="78">
        <f>Q25/19</f>
        <v>550893.47368421056</v>
      </c>
      <c r="G25" s="90">
        <f t="shared" si="2"/>
        <v>-0.30940708119109273</v>
      </c>
      <c r="H25" s="90">
        <f t="shared" si="3"/>
        <v>-0.4938705391273206</v>
      </c>
      <c r="I25" s="130">
        <f t="shared" si="0"/>
        <v>104.39023426969604</v>
      </c>
      <c r="J25" s="130">
        <f t="shared" si="4"/>
        <v>-0.41146417736003704</v>
      </c>
      <c r="K25" s="78">
        <f>R23+R24+R25</f>
        <v>50971374373</v>
      </c>
      <c r="L25" s="90">
        <f>U25/U22-1</f>
        <v>0.22472602305067535</v>
      </c>
      <c r="M25" s="90">
        <f>U25/U13-1</f>
        <v>-0.6618115116136204</v>
      </c>
      <c r="N25" s="88">
        <f>AVERAGE(T23:T25)</f>
        <v>137.30916062015126</v>
      </c>
      <c r="O25" s="91">
        <f>N25/N22-1</f>
        <v>-2.6761334198379116E-2</v>
      </c>
      <c r="P25" s="129" t="s">
        <v>217</v>
      </c>
      <c r="Q25" s="116">
        <v>10466976</v>
      </c>
      <c r="R25" s="116">
        <v>13879284268</v>
      </c>
      <c r="S25" s="116">
        <v>100267.77</v>
      </c>
      <c r="T25" s="130">
        <f t="shared" si="1"/>
        <v>104.39023426969604</v>
      </c>
      <c r="U25" s="85">
        <f>Q23+Q24+Q25</f>
        <v>38887764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1297913.2631578948</v>
      </c>
      <c r="G26" s="90">
        <f t="shared" si="2"/>
        <v>1.3560149559911094</v>
      </c>
      <c r="H26" s="90">
        <f t="shared" si="3"/>
        <v>3.6298941105198717</v>
      </c>
      <c r="I26" s="130">
        <f t="shared" si="0"/>
        <v>126.7864865837545</v>
      </c>
      <c r="J26" s="130">
        <f t="shared" si="4"/>
        <v>1.1109022352665043</v>
      </c>
      <c r="L26" s="90"/>
      <c r="M26" s="90"/>
      <c r="P26" s="129" t="s">
        <v>312</v>
      </c>
      <c r="Q26" s="116">
        <v>24660352</v>
      </c>
      <c r="R26" s="116">
        <v>33179919097</v>
      </c>
      <c r="S26" s="116">
        <v>194503</v>
      </c>
      <c r="T26" s="130">
        <f t="shared" si="1"/>
        <v>126.7864865837545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657716.36363636365</v>
      </c>
      <c r="G27" s="90">
        <f t="shared" si="2"/>
        <v>-0.49325091105386865</v>
      </c>
      <c r="H27" s="90">
        <f t="shared" si="3"/>
        <v>-0.3265484093363441</v>
      </c>
      <c r="I27" s="130">
        <f t="shared" si="0"/>
        <v>161.98169475739283</v>
      </c>
      <c r="J27" s="130">
        <f t="shared" si="4"/>
        <v>0.54169545935433194</v>
      </c>
      <c r="L27" s="90"/>
      <c r="M27" s="90"/>
      <c r="P27" s="129" t="s">
        <v>373</v>
      </c>
      <c r="Q27" s="116">
        <v>14469760</v>
      </c>
      <c r="R27" s="116">
        <v>18987641872</v>
      </c>
      <c r="S27" s="116">
        <v>89329.600000000006</v>
      </c>
      <c r="T27" s="130">
        <f t="shared" si="1"/>
        <v>161.98169475739283</v>
      </c>
      <c r="U27" s="78"/>
    </row>
    <row r="28" spans="1:21" s="79" customFormat="1" ht="13.2" hidden="1">
      <c r="A28" s="123" t="s">
        <v>413</v>
      </c>
      <c r="B28" s="131">
        <f>SUM(F26:F28)</f>
        <v>2820689.3636363638</v>
      </c>
      <c r="C28" s="131">
        <f>AVERAGE(F26:F28)</f>
        <v>940229.78787878796</v>
      </c>
      <c r="D28" s="90">
        <f>C28/C25-1</f>
        <v>0.51139820201886832</v>
      </c>
      <c r="E28" s="286">
        <f>C28/C16-1</f>
        <v>0.36479044276681227</v>
      </c>
      <c r="F28" s="78">
        <f>Q28/19</f>
        <v>865059.73684210528</v>
      </c>
      <c r="G28" s="90">
        <f t="shared" ref="G28" si="5">F28/F27-1</f>
        <v>0.31524739944037194</v>
      </c>
      <c r="H28" s="90">
        <f t="shared" ref="H28" si="6">F28/F16-1</f>
        <v>6.8254336460955356E-2</v>
      </c>
      <c r="I28" s="130">
        <f t="shared" si="0"/>
        <v>130.90357449201213</v>
      </c>
      <c r="J28" s="130">
        <f t="shared" si="4"/>
        <v>0.34517274497748374</v>
      </c>
      <c r="K28" s="78">
        <f>R26+R27+R28</f>
        <v>73588893659</v>
      </c>
      <c r="L28" s="90">
        <f>U28/U25-1</f>
        <v>0.42888768302543689</v>
      </c>
      <c r="M28" s="90">
        <f>U28/U16-1</f>
        <v>0.23733586823578379</v>
      </c>
      <c r="N28" s="88">
        <f>AVERAGE(T26:T28)</f>
        <v>139.89058527771982</v>
      </c>
      <c r="O28" s="91">
        <f>N28/N25-1</f>
        <v>1.8800090583247719E-2</v>
      </c>
      <c r="P28" s="129" t="s">
        <v>413</v>
      </c>
      <c r="Q28" s="116">
        <v>16436135</v>
      </c>
      <c r="R28" s="116">
        <v>21421332690</v>
      </c>
      <c r="S28" s="116">
        <v>125559.1</v>
      </c>
      <c r="T28" s="130">
        <f t="shared" ref="T28" si="7">Q28/S28</f>
        <v>130.90357449201213</v>
      </c>
      <c r="U28" s="85">
        <f>Q26+Q27+Q28</f>
        <v>55566247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271303</v>
      </c>
      <c r="G29" s="190">
        <f t="shared" ref="G29" si="8">F29/F28-1</f>
        <v>-0.68637657210773706</v>
      </c>
      <c r="H29" s="190">
        <f t="shared" ref="H29" si="9">F29/F17-1</f>
        <v>-0.56587543418977182</v>
      </c>
      <c r="I29" s="130">
        <f t="shared" si="0"/>
        <v>239.71316347513172</v>
      </c>
      <c r="J29" s="130">
        <f t="shared" si="4"/>
        <v>0.95329465810028213</v>
      </c>
      <c r="K29" s="136"/>
      <c r="L29" s="190"/>
      <c r="M29" s="190"/>
      <c r="N29" s="191"/>
      <c r="O29" s="192"/>
      <c r="P29" s="129" t="s">
        <v>430</v>
      </c>
      <c r="Q29" s="116">
        <v>5968666</v>
      </c>
      <c r="R29" s="116">
        <v>7778213892</v>
      </c>
      <c r="S29" s="116">
        <v>24899.200000000001</v>
      </c>
      <c r="T29" s="130">
        <f t="shared" ref="T29" si="10">Q29/S29</f>
        <v>239.71316347513172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686125.73684210528</v>
      </c>
      <c r="G30" s="190">
        <f t="shared" ref="G30" si="11">F30/F29-1</f>
        <v>1.5290016580800998</v>
      </c>
      <c r="H30" s="190">
        <f t="shared" ref="H30" si="12">F30/F18-1</f>
        <v>0.61156482063671058</v>
      </c>
      <c r="I30" s="130">
        <f t="shared" si="0"/>
        <v>101.65031805713021</v>
      </c>
      <c r="J30" s="130">
        <f t="shared" si="4"/>
        <v>0.13423157116695039</v>
      </c>
      <c r="K30" s="136"/>
      <c r="L30" s="190"/>
      <c r="M30" s="190"/>
      <c r="N30" s="191"/>
      <c r="O30" s="192"/>
      <c r="P30" s="129" t="s">
        <v>469</v>
      </c>
      <c r="Q30" s="116">
        <v>13036389</v>
      </c>
      <c r="R30" s="116">
        <v>17390079601</v>
      </c>
      <c r="S30" s="116">
        <v>128247.4</v>
      </c>
      <c r="T30" s="130">
        <f t="shared" ref="T30" si="13">Q30/S30</f>
        <v>101.65031805713021</v>
      </c>
      <c r="U30" s="85"/>
    </row>
    <row r="31" spans="1:21" s="79" customFormat="1" ht="13.2" hidden="1">
      <c r="A31" s="129" t="s">
        <v>505</v>
      </c>
      <c r="B31" s="188">
        <f>SUM(F29:F31)</f>
        <v>1452130.7368421052</v>
      </c>
      <c r="C31" s="188">
        <f>AVERAGE(F29:F31)</f>
        <v>484043.57894736837</v>
      </c>
      <c r="D31" s="190">
        <f>C31/C28-1</f>
        <v>-0.48518587138214553</v>
      </c>
      <c r="E31" s="287">
        <f>C31/C19-1</f>
        <v>-0.17053279770408258</v>
      </c>
      <c r="F31" s="136">
        <f>Q31/20</f>
        <v>494702</v>
      </c>
      <c r="G31" s="190">
        <f t="shared" ref="G31" si="14">F31/F30-1</f>
        <v>-0.27899221172366062</v>
      </c>
      <c r="H31" s="190">
        <f t="shared" ref="H31" si="15">F31/F19-1</f>
        <v>-0.29326762109416904</v>
      </c>
      <c r="I31" s="130">
        <f t="shared" si="0"/>
        <v>129.5658892395532</v>
      </c>
      <c r="J31" s="130">
        <f t="shared" si="4"/>
        <v>0.17861849183247624</v>
      </c>
      <c r="K31" s="136">
        <f>R29+R30+R31</f>
        <v>38308968369</v>
      </c>
      <c r="L31" s="190">
        <f>U31/U28-1</f>
        <v>-0.47991637801271692</v>
      </c>
      <c r="M31" s="190">
        <f>U31/U19-1</f>
        <v>-0.2063642081787801</v>
      </c>
      <c r="N31" s="191">
        <f>AVERAGE(T29:T31)</f>
        <v>156.97645692393837</v>
      </c>
      <c r="O31" s="192">
        <f>N31/N28-1</f>
        <v>0.12213739482395169</v>
      </c>
      <c r="P31" s="129" t="s">
        <v>505</v>
      </c>
      <c r="Q31" s="116">
        <v>9894040</v>
      </c>
      <c r="R31" s="116">
        <v>13140674876</v>
      </c>
      <c r="S31" s="116">
        <v>76363</v>
      </c>
      <c r="T31" s="130">
        <f t="shared" ref="T31" si="16">Q31/S31</f>
        <v>129.5658892395532</v>
      </c>
      <c r="U31" s="85">
        <f>Q29+Q30+Q31</f>
        <v>28899095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722604.23809523811</v>
      </c>
      <c r="G32" s="190">
        <f t="shared" ref="G32" si="17">F32/F31-1</f>
        <v>0.46068590402957366</v>
      </c>
      <c r="H32" s="190">
        <f t="shared" ref="H32" si="18">F32/F20-1</f>
        <v>0.7174847720774602</v>
      </c>
      <c r="I32" s="130">
        <f t="shared" si="0"/>
        <v>137.54446153525424</v>
      </c>
      <c r="J32" s="130">
        <f t="shared" si="4"/>
        <v>-2.9437602998529933E-2</v>
      </c>
      <c r="K32" s="136"/>
      <c r="L32" s="190"/>
      <c r="M32" s="190"/>
      <c r="N32" s="191"/>
      <c r="O32" s="192"/>
      <c r="P32" s="129" t="s">
        <v>562</v>
      </c>
      <c r="Q32" s="116">
        <v>15174689</v>
      </c>
      <c r="R32" s="116">
        <v>20638901336</v>
      </c>
      <c r="S32" s="116">
        <v>110325.7</v>
      </c>
      <c r="T32" s="130">
        <f t="shared" ref="T32" si="19">Q32/S32</f>
        <v>137.54446153525424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647871.23809523811</v>
      </c>
      <c r="G33" s="190">
        <f t="shared" ref="G33" si="20">F33/F32-1</f>
        <v>-0.10342175711146373</v>
      </c>
      <c r="H33" s="190">
        <f t="shared" ref="H33" si="21">F33/F21-1</f>
        <v>0.69941993645394418</v>
      </c>
      <c r="I33" s="130">
        <f t="shared" si="0"/>
        <v>157.58415598465081</v>
      </c>
      <c r="J33" s="130">
        <f t="shared" si="4"/>
        <v>-7.0639422592246648E-2</v>
      </c>
      <c r="K33" s="136"/>
      <c r="L33" s="190"/>
      <c r="M33" s="190"/>
      <c r="N33" s="191"/>
      <c r="O33" s="192"/>
      <c r="P33" s="129" t="s">
        <v>607</v>
      </c>
      <c r="Q33" s="116">
        <v>13605296</v>
      </c>
      <c r="R33" s="116">
        <v>18566833973</v>
      </c>
      <c r="S33" s="116">
        <v>86336.7</v>
      </c>
      <c r="T33" s="130">
        <f t="shared" ref="T33" si="22">Q33/S33</f>
        <v>157.58415598465081</v>
      </c>
      <c r="U33" s="85"/>
    </row>
    <row r="34" spans="1:21" s="79" customFormat="1" ht="13.2" hidden="1">
      <c r="A34" s="129" t="s">
        <v>652</v>
      </c>
      <c r="B34" s="188">
        <f>SUM(F32:F34)</f>
        <v>2550652.370927318</v>
      </c>
      <c r="C34" s="188">
        <f>AVERAGE(F32:F34)</f>
        <v>850217.45697577263</v>
      </c>
      <c r="D34" s="190">
        <f>C34/C31-1</f>
        <v>0.75648948556390105</v>
      </c>
      <c r="E34" s="287">
        <f>C34/C22-1</f>
        <v>0.66486758144159186</v>
      </c>
      <c r="F34" s="136">
        <f>Q34/19</f>
        <v>1180176.894736842</v>
      </c>
      <c r="G34" s="190">
        <f t="shared" ref="G34" si="23">F34/F33-1</f>
        <v>0.82162260853962188</v>
      </c>
      <c r="H34" s="190">
        <f t="shared" ref="H34" si="24">F34/F22-1</f>
        <v>0.61650268316663381</v>
      </c>
      <c r="I34" s="130">
        <f t="shared" si="0"/>
        <v>104.20508595166297</v>
      </c>
      <c r="J34" s="130">
        <f t="shared" si="4"/>
        <v>-6.9399468314713109E-2</v>
      </c>
      <c r="K34" s="136">
        <f>R32+R33+R34</f>
        <v>70037575782</v>
      </c>
      <c r="L34" s="190">
        <f>U34/U31-1</f>
        <v>0.77179755975057351</v>
      </c>
      <c r="M34" s="190">
        <f>U34/U22-1</f>
        <v>0.61259131055896421</v>
      </c>
      <c r="N34" s="191">
        <f>AVERAGE(T32:T34)</f>
        <v>133.11123449052266</v>
      </c>
      <c r="O34" s="192">
        <f>N34/N31-1</f>
        <v>-0.15203058408293291</v>
      </c>
      <c r="P34" s="129" t="s">
        <v>652</v>
      </c>
      <c r="Q34" s="116">
        <v>22423361</v>
      </c>
      <c r="R34" s="116">
        <v>30831840473</v>
      </c>
      <c r="S34" s="116">
        <v>215184.9</v>
      </c>
      <c r="T34" s="130">
        <f t="shared" ref="T34" si="25">Q34/S34</f>
        <v>104.20508595166297</v>
      </c>
      <c r="U34" s="85">
        <f>Q32+Q33+Q34</f>
        <v>51203346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1480061.7826086956</v>
      </c>
      <c r="G35" s="190">
        <f t="shared" ref="G35" si="26">F35/F34-1</f>
        <v>0.25410164290559378</v>
      </c>
      <c r="H35" s="190">
        <f t="shared" ref="H35" si="27">F35/F23-1</f>
        <v>1.8590627756810809</v>
      </c>
      <c r="I35" s="130">
        <f t="shared" si="0"/>
        <v>96.642744516661665</v>
      </c>
      <c r="J35" s="130">
        <f t="shared" si="4"/>
        <v>-0.48909821279693699</v>
      </c>
      <c r="K35" s="136"/>
      <c r="L35" s="190"/>
      <c r="M35" s="190"/>
      <c r="N35" s="191"/>
      <c r="O35" s="192"/>
      <c r="P35" s="129" t="s">
        <v>660</v>
      </c>
      <c r="Q35" s="116">
        <v>34041421</v>
      </c>
      <c r="R35" s="116">
        <v>47092158757</v>
      </c>
      <c r="S35" s="116">
        <v>352239.8</v>
      </c>
      <c r="T35" s="130">
        <f t="shared" ref="T35" si="28">Q35/S35</f>
        <v>96.642744516661665</v>
      </c>
      <c r="U35" s="85"/>
    </row>
    <row r="36" spans="1:21" s="79" customFormat="1" ht="13.2" hidden="1">
      <c r="A36" s="129" t="s">
        <v>679</v>
      </c>
      <c r="B36" s="188"/>
      <c r="C36" s="188"/>
      <c r="D36" s="190"/>
      <c r="E36" s="287"/>
      <c r="F36" s="136">
        <f>Q36/21</f>
        <v>805288.61904761905</v>
      </c>
      <c r="G36" s="190">
        <f t="shared" ref="G36" si="29">F36/F35-1</f>
        <v>-0.45590878130218948</v>
      </c>
      <c r="H36" s="190">
        <f t="shared" ref="H36" si="30">F36/F24-1</f>
        <v>9.4993759727832749E-3</v>
      </c>
      <c r="I36" s="130">
        <f t="shared" si="0"/>
        <v>92.604588431012004</v>
      </c>
      <c r="J36" s="130">
        <f t="shared" si="4"/>
        <v>-0.21770904851986661</v>
      </c>
      <c r="K36" s="136"/>
      <c r="L36" s="190"/>
      <c r="M36" s="190"/>
      <c r="N36" s="191"/>
      <c r="O36" s="192"/>
      <c r="P36" s="129" t="s">
        <v>679</v>
      </c>
      <c r="Q36" s="116">
        <v>16911061</v>
      </c>
      <c r="R36" s="116">
        <v>23114320711</v>
      </c>
      <c r="S36" s="116">
        <v>182615.8</v>
      </c>
      <c r="T36" s="130">
        <f t="shared" ref="T36" si="31">Q36/S36</f>
        <v>92.604588431012004</v>
      </c>
      <c r="U36" s="85"/>
    </row>
    <row r="37" spans="1:21" s="79" customFormat="1" ht="13.2" hidden="1">
      <c r="A37" s="129" t="s">
        <v>702</v>
      </c>
      <c r="B37" s="188">
        <f>SUM(F35:F37)</f>
        <v>2606056.2349896482</v>
      </c>
      <c r="C37" s="188">
        <f>AVERAGE(F35:F37)</f>
        <v>868685.41166321607</v>
      </c>
      <c r="D37" s="190">
        <f>C37/C34-1</f>
        <v>2.1721448478762229E-2</v>
      </c>
      <c r="E37" s="287">
        <f>C37/C25-1</f>
        <v>0.39639222904206139</v>
      </c>
      <c r="F37" s="136">
        <f>Q37/18</f>
        <v>320705.83333333331</v>
      </c>
      <c r="G37" s="190">
        <f t="shared" ref="G37" si="32">F37/F36-1</f>
        <v>-0.60175044605421268</v>
      </c>
      <c r="H37" s="190">
        <f t="shared" ref="H37" si="33">F37/F25-1</f>
        <v>-0.41784419556008034</v>
      </c>
      <c r="I37" s="130">
        <f t="shared" si="0"/>
        <v>176.03177333096701</v>
      </c>
      <c r="J37" s="130">
        <f t="shared" si="4"/>
        <v>0.68628583470923532</v>
      </c>
      <c r="K37" s="136">
        <f>R35+R36+R37</f>
        <v>77903197532</v>
      </c>
      <c r="L37" s="190">
        <f>U37/U34-1</f>
        <v>0.10784140942664178</v>
      </c>
      <c r="M37" s="190">
        <f>U37/U25-1</f>
        <v>0.45868985936038897</v>
      </c>
      <c r="N37" s="191">
        <f>AVERAGE(T35:T37)</f>
        <v>121.75970209288023</v>
      </c>
      <c r="O37" s="192">
        <f>N37/N34-1</f>
        <v>-8.5278544978490523E-2</v>
      </c>
      <c r="P37" s="129" t="s">
        <v>702</v>
      </c>
      <c r="Q37" s="116">
        <v>5772705</v>
      </c>
      <c r="R37" s="116">
        <v>7696718064</v>
      </c>
      <c r="S37" s="116">
        <v>32793.54</v>
      </c>
      <c r="T37" s="130">
        <f t="shared" ref="T37" si="34">Q37/S37</f>
        <v>176.03177333096701</v>
      </c>
      <c r="U37" s="85">
        <f>Q35+Q36+Q37</f>
        <v>56725187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173846.35</v>
      </c>
      <c r="G38" s="190">
        <f t="shared" ref="G38" si="35">F38/F37-1</f>
        <v>-0.45792582506814394</v>
      </c>
      <c r="H38" s="190">
        <f t="shared" ref="H38" si="36">F38/F26-1</f>
        <v>-0.86605703560111391</v>
      </c>
      <c r="I38" s="130">
        <f t="shared" si="0"/>
        <v>70.23331605574991</v>
      </c>
      <c r="J38" s="130">
        <f t="shared" si="4"/>
        <v>-0.44605045893945372</v>
      </c>
      <c r="K38" s="136"/>
      <c r="L38" s="190"/>
      <c r="M38" s="190"/>
      <c r="N38" s="191"/>
      <c r="O38" s="192"/>
      <c r="P38" s="129" t="s">
        <v>728</v>
      </c>
      <c r="Q38" s="116">
        <v>3476927</v>
      </c>
      <c r="R38" s="116">
        <v>4705851772</v>
      </c>
      <c r="S38" s="116">
        <v>49505.38</v>
      </c>
      <c r="T38" s="130">
        <f t="shared" ref="T38" si="37">Q38/S38</f>
        <v>70.23331605574991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263171.61904761905</v>
      </c>
      <c r="G39" s="190">
        <f t="shared" ref="G39" si="38">F39/F38-1</f>
        <v>0.51381733955081055</v>
      </c>
      <c r="H39" s="190">
        <f t="shared" ref="H39" si="39">F39/F27-1</f>
        <v>-0.59987065306904752</v>
      </c>
      <c r="I39" s="130">
        <f t="shared" si="0"/>
        <v>171.55002064210927</v>
      </c>
      <c r="J39" s="130">
        <f t="shared" si="4"/>
        <v>5.9070414709806229E-2</v>
      </c>
      <c r="K39" s="136"/>
      <c r="L39" s="190"/>
      <c r="M39" s="190"/>
      <c r="N39" s="191"/>
      <c r="O39" s="192"/>
      <c r="P39" s="129" t="s">
        <v>762</v>
      </c>
      <c r="Q39" s="116">
        <v>5526604</v>
      </c>
      <c r="R39" s="116">
        <v>7664420369</v>
      </c>
      <c r="S39" s="116">
        <v>32215.7</v>
      </c>
      <c r="T39" s="130">
        <f t="shared" ref="T39" si="40">Q39/S39</f>
        <v>171.55002064210927</v>
      </c>
      <c r="U39" s="85"/>
    </row>
    <row r="40" spans="1:21" s="79" customFormat="1" ht="13.2" hidden="1">
      <c r="A40" s="129" t="s">
        <v>778</v>
      </c>
      <c r="B40" s="188">
        <f>SUM(F38:F40)</f>
        <v>1158653.1119047618</v>
      </c>
      <c r="C40" s="188">
        <f>AVERAGE(F38:F40)</f>
        <v>386217.70396825392</v>
      </c>
      <c r="D40" s="190">
        <f>C40/C37-1</f>
        <v>-0.55539980436785774</v>
      </c>
      <c r="E40" s="287">
        <f>C40/C28-1</f>
        <v>-0.5892305168935531</v>
      </c>
      <c r="F40" s="136">
        <f>Q40/21</f>
        <v>721635.14285714284</v>
      </c>
      <c r="G40" s="190">
        <f t="shared" ref="G40" si="41">F40/F39-1</f>
        <v>1.7420705373498806</v>
      </c>
      <c r="H40" s="190">
        <f t="shared" ref="H40" si="42">F40/F28-1</f>
        <v>-0.16579732922090784</v>
      </c>
      <c r="I40" s="130">
        <f t="shared" si="0"/>
        <v>183.02782675910046</v>
      </c>
      <c r="J40" s="130">
        <f t="shared" si="4"/>
        <v>0.39818815085350479</v>
      </c>
      <c r="K40" s="136">
        <f>R38+R39+R40</f>
        <v>33794194273</v>
      </c>
      <c r="L40" s="190">
        <f>U40/U37-1</f>
        <v>-0.5741244713745941</v>
      </c>
      <c r="M40" s="190">
        <f>U40/U28-1</f>
        <v>-0.56524202543317348</v>
      </c>
      <c r="N40" s="191">
        <f>AVERAGE(T38:T40)</f>
        <v>141.60372115231988</v>
      </c>
      <c r="O40" s="192">
        <f>N40/N37-1</f>
        <v>0.16297690219628103</v>
      </c>
      <c r="P40" s="129" t="s">
        <v>778</v>
      </c>
      <c r="Q40" s="116">
        <v>15154338</v>
      </c>
      <c r="R40" s="116">
        <v>21423922132</v>
      </c>
      <c r="S40" s="116">
        <v>82798</v>
      </c>
      <c r="T40" s="130">
        <f t="shared" ref="T40" si="43">Q40/S40</f>
        <v>183.02782675910046</v>
      </c>
      <c r="U40" s="85">
        <f>Q38+Q39+Q40</f>
        <v>24157869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448588.11111111112</v>
      </c>
      <c r="G41" s="190">
        <f t="shared" ref="G41" si="44">F41/F40-1</f>
        <v>-0.37837269214047264</v>
      </c>
      <c r="H41" s="190">
        <f t="shared" ref="H41" si="45">F41/F29-1</f>
        <v>0.65345798281298451</v>
      </c>
      <c r="I41" s="130">
        <f t="shared" si="0"/>
        <v>289.4313949695499</v>
      </c>
      <c r="J41" s="130">
        <f t="shared" si="4"/>
        <v>0.2074071810394178</v>
      </c>
      <c r="K41" s="193"/>
      <c r="L41" s="190"/>
      <c r="M41" s="190"/>
      <c r="N41" s="193"/>
      <c r="O41" s="193"/>
      <c r="P41" s="129" t="s">
        <v>792</v>
      </c>
      <c r="Q41" s="116">
        <v>8074586</v>
      </c>
      <c r="R41" s="116">
        <v>11812536439</v>
      </c>
      <c r="S41" s="116">
        <v>27898.1</v>
      </c>
      <c r="T41" s="130">
        <f t="shared" ref="T41" si="46">Q41/S41</f>
        <v>289.4313949695499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980945.3</v>
      </c>
      <c r="G42" s="190">
        <f t="shared" ref="G42" si="47">F42/F41-1</f>
        <v>1.1867394068253159</v>
      </c>
      <c r="H42" s="190">
        <f t="shared" ref="H42" si="48">F42/F30-1</f>
        <v>0.42968736971564758</v>
      </c>
      <c r="I42" s="130">
        <f t="shared" si="0"/>
        <v>149.48182079315117</v>
      </c>
      <c r="J42" s="130">
        <f t="shared" si="4"/>
        <v>0.47054946457854041</v>
      </c>
      <c r="K42" s="193"/>
      <c r="L42" s="190"/>
      <c r="M42" s="190"/>
      <c r="N42" s="193"/>
      <c r="O42" s="193"/>
      <c r="P42" s="129" t="s">
        <v>826</v>
      </c>
      <c r="Q42" s="116">
        <v>19618906</v>
      </c>
      <c r="R42" s="116">
        <v>28325633111</v>
      </c>
      <c r="S42" s="116">
        <v>131246.1</v>
      </c>
      <c r="T42" s="130">
        <f t="shared" ref="T42" si="49">Q42/S42</f>
        <v>149.48182079315117</v>
      </c>
      <c r="U42" s="78"/>
    </row>
    <row r="43" spans="1:21" s="79" customFormat="1" ht="13.2">
      <c r="A43" s="129" t="s">
        <v>835</v>
      </c>
      <c r="B43" s="188">
        <f>SUM(F41:F43)</f>
        <v>2268931.4111111113</v>
      </c>
      <c r="C43" s="188">
        <f>AVERAGE(F41:F43)</f>
        <v>756310.47037037043</v>
      </c>
      <c r="D43" s="190">
        <f>C43/C40-1</f>
        <v>0.95824909785217183</v>
      </c>
      <c r="E43" s="287">
        <f>C43/C31-1</f>
        <v>0.56248425403161173</v>
      </c>
      <c r="F43" s="136">
        <f>Q43/20</f>
        <v>839398</v>
      </c>
      <c r="G43" s="190">
        <f t="shared" ref="G43" si="50">F43/F42-1</f>
        <v>-0.14429683286111883</v>
      </c>
      <c r="H43" s="190">
        <f t="shared" ref="H43" si="51">F43/F31-1</f>
        <v>0.69677502819879433</v>
      </c>
      <c r="I43" s="130">
        <f t="shared" si="0"/>
        <v>157.39666717294736</v>
      </c>
      <c r="J43" s="130">
        <f t="shared" si="4"/>
        <v>0.21480019237114245</v>
      </c>
      <c r="K43" s="136">
        <f>R41+R42+R43</f>
        <v>64506925537</v>
      </c>
      <c r="L43" s="190">
        <f>U43/U40-1</f>
        <v>0.84128210977549389</v>
      </c>
      <c r="M43" s="190">
        <f>K43/K31-1</f>
        <v>0.68385963609502065</v>
      </c>
      <c r="N43" s="191">
        <f>AVERAGE(T41:T43)</f>
        <v>198.76996097854945</v>
      </c>
      <c r="O43" s="192">
        <f>N43/N40-1</f>
        <v>0.40370577383864914</v>
      </c>
      <c r="P43" s="129" t="s">
        <v>835</v>
      </c>
      <c r="Q43" s="116">
        <v>16787960</v>
      </c>
      <c r="R43" s="116">
        <v>24368755987</v>
      </c>
      <c r="S43" s="116">
        <v>106660.2</v>
      </c>
      <c r="T43" s="130">
        <f t="shared" ref="T43" si="52">Q43/S43</f>
        <v>157.39666717294736</v>
      </c>
      <c r="U43" s="85">
        <f>Q41+Q42+Q43</f>
        <v>44481452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306758.22727272729</v>
      </c>
      <c r="G44" s="190">
        <f t="shared" ref="G44" si="53">F44/F43-1</f>
        <v>-0.63454972817098998</v>
      </c>
      <c r="H44" s="190">
        <f t="shared" ref="H44" si="54">F44/F32-1</f>
        <v>-0.5754823856536847</v>
      </c>
      <c r="I44" s="130">
        <f t="shared" si="0"/>
        <v>92.837155876536841</v>
      </c>
      <c r="J44" s="130">
        <f t="shared" si="4"/>
        <v>-0.32503893766204761</v>
      </c>
      <c r="K44" s="136"/>
      <c r="L44" s="190"/>
      <c r="M44" s="190"/>
      <c r="N44" s="191"/>
      <c r="O44" s="192"/>
      <c r="P44" s="129" t="s">
        <v>843</v>
      </c>
      <c r="Q44" s="116">
        <v>6748681</v>
      </c>
      <c r="R44" s="116">
        <v>9791733902</v>
      </c>
      <c r="S44" s="116">
        <v>72693.75</v>
      </c>
      <c r="T44" s="130">
        <f t="shared" ref="T44" si="55">Q44/S44</f>
        <v>92.837155876536841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428537.25</v>
      </c>
      <c r="G45" s="190">
        <f t="shared" ref="G45" si="56">F45/F44-1</f>
        <v>0.39698698160425705</v>
      </c>
      <c r="H45" s="190">
        <f t="shared" ref="H45" si="57">F45/F33-1</f>
        <v>-0.33854564795944164</v>
      </c>
      <c r="I45" s="130">
        <f t="shared" si="0"/>
        <v>202.68780396093692</v>
      </c>
      <c r="J45" s="130">
        <f t="shared" si="4"/>
        <v>0.28621943427281704</v>
      </c>
      <c r="K45" s="136"/>
      <c r="L45" s="190"/>
      <c r="M45" s="190"/>
      <c r="N45" s="191"/>
      <c r="O45" s="192"/>
      <c r="P45" s="129" t="s">
        <v>853</v>
      </c>
      <c r="Q45" s="116">
        <v>8570745</v>
      </c>
      <c r="R45" s="116">
        <v>12032033125</v>
      </c>
      <c r="S45" s="116">
        <v>42285.45</v>
      </c>
      <c r="T45" s="130">
        <f t="shared" ref="T45" si="58">Q45/S45</f>
        <v>202.68780396093692</v>
      </c>
      <c r="U45" s="85"/>
    </row>
    <row r="46" spans="1:21" s="79" customFormat="1" ht="13.2">
      <c r="A46" s="129" t="s">
        <v>888</v>
      </c>
      <c r="B46" s="188">
        <f>SUM(F44:F46)</f>
        <v>1496430.2141148327</v>
      </c>
      <c r="C46" s="188">
        <f>AVERAGE(F44:F46)</f>
        <v>498810.07137161092</v>
      </c>
      <c r="D46" s="190">
        <f>C46/C43-1</f>
        <v>-0.34046917117603803</v>
      </c>
      <c r="E46" s="287">
        <f>C46/C34-1</f>
        <v>-0.41331471463091263</v>
      </c>
      <c r="F46" s="136">
        <f>Q46/19</f>
        <v>761134.73684210528</v>
      </c>
      <c r="G46" s="190">
        <f t="shared" ref="G46" si="59">F46/F45-1</f>
        <v>0.77612269841677772</v>
      </c>
      <c r="H46" s="190">
        <f t="shared" ref="H46" si="60">F46/F34-1</f>
        <v>-0.35506724437964488</v>
      </c>
      <c r="I46" s="130">
        <f t="shared" si="0"/>
        <v>88.028368129498517</v>
      </c>
      <c r="J46" s="130">
        <f t="shared" si="4"/>
        <v>-0.15523923496083725</v>
      </c>
      <c r="K46" s="136">
        <f>R44+R45+R46</f>
        <v>41601825133</v>
      </c>
      <c r="L46" s="190">
        <f>U46/U43-1</f>
        <v>-0.33048529980541108</v>
      </c>
      <c r="M46" s="190">
        <f>K46/K34-1</f>
        <v>-0.40600706594285241</v>
      </c>
      <c r="N46" s="191">
        <f>AVERAGE(T44:T46)</f>
        <v>127.85110932232409</v>
      </c>
      <c r="O46" s="192">
        <f>N46/N43-1</f>
        <v>-0.35678857764568694</v>
      </c>
      <c r="P46" s="129" t="s">
        <v>943</v>
      </c>
      <c r="Q46" s="116">
        <v>14461560</v>
      </c>
      <c r="R46" s="116">
        <v>19778058106</v>
      </c>
      <c r="S46" s="116">
        <v>164282.95000000001</v>
      </c>
      <c r="T46" s="130">
        <f t="shared" ref="T46" si="61">Q46/S46</f>
        <v>88.028368129498517</v>
      </c>
      <c r="U46" s="85">
        <f t="shared" ref="U46:U51" si="62">Q44+Q45+Q46</f>
        <v>29780986</v>
      </c>
    </row>
    <row r="47" spans="1:21" s="79" customFormat="1" ht="13.2">
      <c r="A47" s="129" t="s">
        <v>1003</v>
      </c>
      <c r="B47" s="188"/>
      <c r="C47" s="188"/>
      <c r="D47" s="190"/>
      <c r="E47" s="287"/>
      <c r="F47" s="136">
        <f>Q47/23</f>
        <v>659296.30434782605</v>
      </c>
      <c r="G47" s="190">
        <f t="shared" ref="G47" si="63">F47/F46-1</f>
        <v>-0.1337981668223418</v>
      </c>
      <c r="H47" s="190">
        <f t="shared" ref="H47" si="64">F47/F35-1</f>
        <v>-0.55454811948067628</v>
      </c>
      <c r="I47" s="130">
        <f t="shared" si="0"/>
        <v>151.84564707673033</v>
      </c>
      <c r="J47" s="130">
        <f t="shared" si="4"/>
        <v>0.57120586585319311</v>
      </c>
      <c r="K47" s="136"/>
      <c r="L47" s="190"/>
      <c r="M47" s="190"/>
      <c r="N47" s="191"/>
      <c r="O47" s="192"/>
      <c r="P47" s="129" t="s">
        <v>991</v>
      </c>
      <c r="Q47" s="116">
        <v>15163815</v>
      </c>
      <c r="R47" s="116">
        <v>20806220063</v>
      </c>
      <c r="S47" s="116">
        <v>99863.35</v>
      </c>
      <c r="T47" s="130">
        <f t="shared" ref="T47" si="65">Q47/S47</f>
        <v>151.84564707673033</v>
      </c>
      <c r="U47" s="85">
        <f t="shared" si="62"/>
        <v>38196120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555154.55000000005</v>
      </c>
      <c r="G48" s="190">
        <f t="shared" ref="G48" si="66">F48/F47-1</f>
        <v>-0.15795895360105605</v>
      </c>
      <c r="H48" s="190">
        <f t="shared" ref="H48" si="67">F48/F36-1</f>
        <v>-0.31061418618264103</v>
      </c>
      <c r="I48" s="130">
        <f t="shared" si="0"/>
        <v>199.46574231349979</v>
      </c>
      <c r="J48" s="130">
        <f t="shared" si="4"/>
        <v>1.1539509617506325</v>
      </c>
      <c r="K48" s="136"/>
      <c r="L48" s="190"/>
      <c r="M48" s="190"/>
      <c r="N48" s="191"/>
      <c r="O48" s="192"/>
      <c r="P48" s="129" t="s">
        <v>1070</v>
      </c>
      <c r="Q48" s="116">
        <v>11103091</v>
      </c>
      <c r="R48" s="116">
        <v>15412480350</v>
      </c>
      <c r="S48" s="116">
        <v>55664.15</v>
      </c>
      <c r="T48" s="130">
        <f t="shared" ref="T48" si="68">Q48/S48</f>
        <v>199.46574231349979</v>
      </c>
      <c r="U48" s="85">
        <f t="shared" si="62"/>
        <v>40728466</v>
      </c>
    </row>
    <row r="49" spans="1:26" ht="13.2">
      <c r="A49" s="129" t="s">
        <v>1223</v>
      </c>
      <c r="B49" s="188">
        <f>SUM(F47:F49)</f>
        <v>1602722.7634387352</v>
      </c>
      <c r="C49" s="188">
        <f>AVERAGE(F47:F49)</f>
        <v>534240.92114624509</v>
      </c>
      <c r="D49" s="190">
        <f>C49/C46-1</f>
        <v>7.1030742577445682E-2</v>
      </c>
      <c r="E49" s="287">
        <f>C49/C37-1</f>
        <v>-0.38500069878764465</v>
      </c>
      <c r="F49" s="136">
        <f>Q49/22</f>
        <v>388271.90909090912</v>
      </c>
      <c r="G49" s="190">
        <f t="shared" ref="G49" si="69">F49/F48-1</f>
        <v>-0.30060573386112199</v>
      </c>
      <c r="H49" s="190">
        <f t="shared" ref="H49" si="70">F49/F37-1</f>
        <v>0.21067928529803015</v>
      </c>
      <c r="I49" s="130">
        <f t="shared" si="0"/>
        <v>182.25577738376424</v>
      </c>
      <c r="J49" s="130">
        <f t="shared" si="4"/>
        <v>3.5357276331558163E-2</v>
      </c>
      <c r="K49" s="136">
        <f>R47+R48+R49</f>
        <v>48094576864</v>
      </c>
      <c r="L49" s="190">
        <f>U49/U46-1</f>
        <v>0.16882926576037471</v>
      </c>
      <c r="M49" s="190">
        <f>K49/K37-1</f>
        <v>-0.3826366774708525</v>
      </c>
      <c r="N49" s="191">
        <f>AVERAGE(T47:T49)</f>
        <v>177.85572225799811</v>
      </c>
      <c r="O49" s="192">
        <f>N49/N46-1</f>
        <v>0.39111598797009983</v>
      </c>
      <c r="P49" s="129" t="s">
        <v>1165</v>
      </c>
      <c r="Q49" s="116">
        <v>8541982</v>
      </c>
      <c r="R49" s="116">
        <v>11875876451</v>
      </c>
      <c r="S49" s="116">
        <v>46868.1</v>
      </c>
      <c r="T49" s="130">
        <f t="shared" ref="T49" si="71">Q49/S49</f>
        <v>182.25577738376424</v>
      </c>
      <c r="U49" s="85">
        <f t="shared" si="62"/>
        <v>34808888</v>
      </c>
      <c r="V49" s="79"/>
      <c r="W49" s="79"/>
      <c r="X49" s="79"/>
      <c r="Y49" s="79"/>
      <c r="Z49" s="79"/>
    </row>
    <row r="50" spans="1:26" ht="13.2">
      <c r="A50" s="129" t="s">
        <v>1305</v>
      </c>
      <c r="B50" s="188"/>
      <c r="C50" s="188"/>
      <c r="D50" s="190"/>
      <c r="E50" s="287"/>
      <c r="F50" s="136">
        <f>Q50/18</f>
        <v>665448.27777777775</v>
      </c>
      <c r="G50" s="190">
        <f t="shared" ref="G50" si="72">F50/F49-1</f>
        <v>0.71387180529192285</v>
      </c>
      <c r="H50" s="190">
        <f t="shared" ref="H50" si="73">F50/F38-1</f>
        <v>2.8277955089524616</v>
      </c>
      <c r="I50" s="130">
        <f t="shared" ref="I50" si="74">T50</f>
        <v>141.78561967345226</v>
      </c>
      <c r="J50" s="130">
        <f t="shared" ref="J50" si="75">I50/I38-1</f>
        <v>1.0187800838124383</v>
      </c>
      <c r="K50" s="136"/>
      <c r="L50" s="190"/>
      <c r="M50" s="190"/>
      <c r="N50" s="191"/>
      <c r="O50" s="192"/>
      <c r="P50" s="129" t="s">
        <v>1346</v>
      </c>
      <c r="Q50" s="116">
        <v>11978069</v>
      </c>
      <c r="R50" s="116">
        <v>16932229449</v>
      </c>
      <c r="S50" s="116">
        <v>84480.14</v>
      </c>
      <c r="T50" s="130">
        <f t="shared" ref="T50" si="76">Q50/S50</f>
        <v>141.78561967345226</v>
      </c>
      <c r="U50" s="85">
        <f t="shared" si="62"/>
        <v>31623142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546683.6</v>
      </c>
      <c r="G51" s="190">
        <f t="shared" ref="G51:G52" si="77">F51/F50-1</f>
        <v>-0.17847319129652706</v>
      </c>
      <c r="H51" s="190">
        <f t="shared" ref="H51:H52" si="78">F51/F39-1</f>
        <v>1.0772893444147615</v>
      </c>
      <c r="I51" s="130">
        <f t="shared" ref="I51:I52" si="79">T51</f>
        <v>105.54144947681378</v>
      </c>
      <c r="J51" s="130">
        <f t="shared" ref="J51:J52" si="80">I51/I39-1</f>
        <v>-0.38477740147291362</v>
      </c>
      <c r="K51" s="136"/>
      <c r="L51" s="190"/>
      <c r="M51" s="190"/>
      <c r="N51" s="191"/>
      <c r="O51" s="192"/>
      <c r="P51" s="129" t="s">
        <v>1402</v>
      </c>
      <c r="Q51" s="116">
        <v>10933672</v>
      </c>
      <c r="R51" s="116">
        <v>15888725800</v>
      </c>
      <c r="S51" s="116">
        <v>103596</v>
      </c>
      <c r="T51" s="130">
        <f t="shared" ref="T51:T52" si="81">Q51/S51</f>
        <v>105.54144947681378</v>
      </c>
      <c r="U51" s="85">
        <f t="shared" si="62"/>
        <v>31453723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1941437.423232323</v>
      </c>
      <c r="C52" s="188">
        <f>AVERAGE(F50:F52)</f>
        <v>647145.80774410767</v>
      </c>
      <c r="D52" s="190">
        <f>C52/C49-1</f>
        <v>0.21133702441890545</v>
      </c>
      <c r="E52" s="287">
        <f>C52/C40-1</f>
        <v>0.67559850595896398</v>
      </c>
      <c r="F52" s="136">
        <f>Q52/22</f>
        <v>729305.54545454541</v>
      </c>
      <c r="G52" s="190">
        <f t="shared" si="77"/>
        <v>0.33405418683594212</v>
      </c>
      <c r="H52" s="190">
        <f t="shared" si="78"/>
        <v>1.0629197695435799E-2</v>
      </c>
      <c r="I52" s="130">
        <f t="shared" si="79"/>
        <v>132.50507896762343</v>
      </c>
      <c r="J52" s="130">
        <f t="shared" si="80"/>
        <v>-0.27603861492588555</v>
      </c>
      <c r="K52" s="136">
        <f>R50+R51+R52</f>
        <v>56435552415</v>
      </c>
      <c r="L52" s="190">
        <f>U52/U49-1</f>
        <v>0.11915275776692447</v>
      </c>
      <c r="M52" s="190">
        <f>K52/K40-1</f>
        <v>0.6699777470383248</v>
      </c>
      <c r="N52" s="191">
        <f>AVERAGE(T50:T52)</f>
        <v>126.61071603929649</v>
      </c>
      <c r="O52" s="192">
        <f>N52/N49-1</f>
        <v>-0.28812683431329489</v>
      </c>
      <c r="P52" s="129" t="s">
        <v>1403</v>
      </c>
      <c r="Q52" s="116">
        <v>16044722</v>
      </c>
      <c r="R52" s="116">
        <v>23614597166</v>
      </c>
      <c r="S52" s="116">
        <v>121087.6</v>
      </c>
      <c r="T52" s="130">
        <f t="shared" si="81"/>
        <v>132.50507896762343</v>
      </c>
      <c r="U52" s="85">
        <f t="shared" ref="U52" si="82">Q50+Q51+Q52</f>
        <v>38956463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514696.42857142858</v>
      </c>
      <c r="G53" s="190">
        <f t="shared" ref="G53" si="83">F53/F52-1</f>
        <v>-0.2942650281774013</v>
      </c>
      <c r="H53" s="190">
        <f t="shared" ref="H53" si="84">F53/F41-1</f>
        <v>0.14736974927082502</v>
      </c>
      <c r="I53" s="130">
        <f t="shared" ref="I53" si="85">T53</f>
        <v>129.13826697099861</v>
      </c>
      <c r="J53" s="130">
        <f t="shared" ref="J53" si="86">I53/I41-1</f>
        <v>-0.553820804461849</v>
      </c>
      <c r="K53" s="136"/>
      <c r="L53" s="190"/>
      <c r="M53" s="190"/>
      <c r="N53" s="191"/>
      <c r="O53" s="192"/>
      <c r="P53" s="129" t="s">
        <v>1414</v>
      </c>
      <c r="Q53" s="116">
        <v>10808625</v>
      </c>
      <c r="R53" s="116">
        <v>15759508101</v>
      </c>
      <c r="S53" s="116">
        <v>83698.080000000002</v>
      </c>
      <c r="T53" s="130">
        <f t="shared" ref="T53" si="87">Q53/S53</f>
        <v>129.13826697099861</v>
      </c>
      <c r="U53" s="85">
        <f t="shared" ref="U53" si="88">Q51+Q52+Q53</f>
        <v>37787019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831525.6470588235</v>
      </c>
      <c r="G54" s="190">
        <f t="shared" ref="G54" si="89">F54/F53-1</f>
        <v>0.61556521650397644</v>
      </c>
      <c r="H54" s="190">
        <f t="shared" ref="H54" si="90">F54/F42-1</f>
        <v>-0.1523221049544522</v>
      </c>
      <c r="I54" s="130">
        <f t="shared" ref="I54" si="91">T54</f>
        <v>137.47674185648904</v>
      </c>
      <c r="J54" s="130">
        <f t="shared" ref="J54" si="92">I54/I42-1</f>
        <v>-8.0311297206330012E-2</v>
      </c>
      <c r="K54" s="136"/>
      <c r="L54" s="190"/>
      <c r="M54" s="190"/>
      <c r="N54" s="191"/>
      <c r="O54" s="192"/>
      <c r="P54" s="129" t="s">
        <v>1417</v>
      </c>
      <c r="Q54" s="116">
        <v>14135936</v>
      </c>
      <c r="R54" s="116">
        <v>20505394764</v>
      </c>
      <c r="S54" s="116">
        <v>102824.2</v>
      </c>
      <c r="T54" s="130">
        <f t="shared" ref="T54" si="93">Q54/S54</f>
        <v>137.47674185648904</v>
      </c>
      <c r="U54" s="85">
        <f t="shared" ref="U54" si="94">Q52+Q53+Q54</f>
        <v>40989283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3195699.8851540615</v>
      </c>
      <c r="C55" s="188">
        <f>AVERAGE(F53:F55)</f>
        <v>1065233.2950513538</v>
      </c>
      <c r="D55" s="190">
        <f>C55/C52-1</f>
        <v>0.64604835927881799</v>
      </c>
      <c r="E55" s="287">
        <f>C55/C43-1</f>
        <v>0.40846033049060093</v>
      </c>
      <c r="F55" s="136">
        <f>Q55/21</f>
        <v>1849477.8095238095</v>
      </c>
      <c r="G55" s="190">
        <f t="shared" ref="G55" si="95">F55/F54-1</f>
        <v>1.2241981543991685</v>
      </c>
      <c r="H55" s="190">
        <f t="shared" ref="H55" si="96">F55/F43-1</f>
        <v>1.203338356207436</v>
      </c>
      <c r="I55" s="130">
        <f>T55</f>
        <v>167.99660365051338</v>
      </c>
      <c r="J55" s="130">
        <f t="shared" ref="J55" si="97">I55/I43-1</f>
        <v>6.7345368030689023E-2</v>
      </c>
      <c r="K55" s="136">
        <f>R53+R54+R55</f>
        <v>93759893166</v>
      </c>
      <c r="L55" s="190">
        <f>U55/U52-1</f>
        <v>0.63730457254294359</v>
      </c>
      <c r="M55" s="190">
        <f>K55/K43-1</f>
        <v>0.45348568987714399</v>
      </c>
      <c r="N55" s="191">
        <f>AVERAGE(T53:T55)</f>
        <v>144.87053749266701</v>
      </c>
      <c r="O55" s="192">
        <f>N55/N52-1</f>
        <v>0.14422018944828641</v>
      </c>
      <c r="P55" s="129" t="s">
        <v>1418</v>
      </c>
      <c r="Q55" s="116">
        <v>38839034</v>
      </c>
      <c r="R55" s="116">
        <v>57494990301</v>
      </c>
      <c r="S55" s="116">
        <v>231189.4</v>
      </c>
      <c r="T55" s="130">
        <f t="shared" ref="T55" si="98">Q55/S55</f>
        <v>167.99660365051338</v>
      </c>
      <c r="U55" s="85">
        <f t="shared" ref="U55" si="99">Q53+Q54+Q55</f>
        <v>63783595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1975231.4090909092</v>
      </c>
      <c r="G56" s="190">
        <f t="shared" ref="G56" si="100">F56/F55-1</f>
        <v>6.7994111050987849E-2</v>
      </c>
      <c r="H56" s="190">
        <f t="shared" ref="H56" si="101">F56/F44-1</f>
        <v>5.4390494972276802</v>
      </c>
      <c r="I56" s="291">
        <f>T56</f>
        <v>217.38371208862014</v>
      </c>
      <c r="J56" s="130">
        <f t="shared" ref="J56" si="102">I56/I44-1</f>
        <v>1.3415593685109921</v>
      </c>
      <c r="K56" s="136"/>
      <c r="L56" s="190"/>
      <c r="M56" s="190"/>
      <c r="N56" s="191"/>
      <c r="O56" s="192"/>
      <c r="P56" s="129" t="s">
        <v>1420</v>
      </c>
      <c r="Q56" s="116">
        <v>43455091</v>
      </c>
      <c r="R56" s="116">
        <v>65095077526</v>
      </c>
      <c r="S56" s="116">
        <v>199900.4</v>
      </c>
      <c r="T56" s="130">
        <f t="shared" ref="T56" si="103">Q56/S56</f>
        <v>217.38371208862014</v>
      </c>
      <c r="U56" s="85">
        <f t="shared" ref="U56" si="104">Q54+Q55+Q56</f>
        <v>96430061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1373880.9166666667</v>
      </c>
      <c r="G57" s="254">
        <f t="shared" ref="G57" si="105">F57/F56-1</f>
        <v>-0.30444559035288488</v>
      </c>
      <c r="H57" s="254">
        <f t="shared" ref="H57" si="106">F57/F45-1</f>
        <v>2.2059778156196845</v>
      </c>
      <c r="I57" s="282">
        <f>T57</f>
        <v>175.69689658369504</v>
      </c>
      <c r="J57" s="277">
        <f t="shared" ref="J57" si="107">I57/I45-1</f>
        <v>-0.13316493074464275</v>
      </c>
      <c r="K57" s="204"/>
      <c r="L57" s="254"/>
      <c r="M57" s="254"/>
      <c r="N57" s="257"/>
      <c r="O57" s="258"/>
      <c r="P57" s="129" t="s">
        <v>1436</v>
      </c>
      <c r="Q57" s="116">
        <v>16486571</v>
      </c>
      <c r="R57" s="116">
        <v>24353792398</v>
      </c>
      <c r="S57" s="116">
        <v>93835.3</v>
      </c>
      <c r="T57" s="130">
        <f t="shared" ref="T57" si="108">Q57/S57</f>
        <v>175.69689658369504</v>
      </c>
      <c r="U57" s="85">
        <f t="shared" ref="U57" si="109">Q55+Q56+Q57</f>
        <v>98780696</v>
      </c>
      <c r="V57" s="79"/>
      <c r="W57" s="79"/>
      <c r="X57" s="79"/>
      <c r="Y57" s="79"/>
      <c r="Z57" s="79"/>
    </row>
    <row r="58" spans="1:26">
      <c r="B58" s="196">
        <f>SUM(F56:F58)</f>
        <v>3349112.3257575762</v>
      </c>
      <c r="C58" s="196">
        <f>AVERAGE(F56:F58)</f>
        <v>1674556.1628787881</v>
      </c>
      <c r="D58" s="197">
        <f>C58/C55-1</f>
        <v>0.57200884600406665</v>
      </c>
      <c r="E58" s="233">
        <f>C58/C46-1</f>
        <v>2.3571017487160004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123725257</v>
      </c>
      <c r="R66" s="212">
        <v>183208763090</v>
      </c>
      <c r="S66" s="213">
        <v>711447.39</v>
      </c>
      <c r="T66" s="214">
        <v>25</v>
      </c>
      <c r="U66" s="214">
        <v>34</v>
      </c>
    </row>
    <row r="67" spans="16:21" ht="18" thickBot="1">
      <c r="P67" s="180" t="s">
        <v>976</v>
      </c>
      <c r="Q67" s="181">
        <v>10808625</v>
      </c>
      <c r="R67" s="181">
        <v>15759508101</v>
      </c>
      <c r="S67" s="182">
        <v>83698.080000000002</v>
      </c>
      <c r="T67" s="210">
        <v>9</v>
      </c>
      <c r="U67" s="210">
        <v>10</v>
      </c>
    </row>
    <row r="68" spans="16:21" ht="18" thickBot="1">
      <c r="P68" s="180" t="s">
        <v>977</v>
      </c>
      <c r="Q68" s="181">
        <v>14135936</v>
      </c>
      <c r="R68" s="181">
        <v>20505394764</v>
      </c>
      <c r="S68" s="182">
        <v>102824.2</v>
      </c>
      <c r="T68" s="210">
        <v>7</v>
      </c>
      <c r="U68" s="210">
        <v>8</v>
      </c>
    </row>
    <row r="69" spans="16:21" ht="18" thickBot="1">
      <c r="P69" s="180" t="s">
        <v>978</v>
      </c>
      <c r="Q69" s="181">
        <v>38839034</v>
      </c>
      <c r="R69" s="181">
        <v>57494990301</v>
      </c>
      <c r="S69" s="182">
        <v>231189.4</v>
      </c>
      <c r="T69" s="210">
        <v>13</v>
      </c>
      <c r="U69" s="210">
        <v>16</v>
      </c>
    </row>
    <row r="70" spans="16:21" ht="18" thickBot="1">
      <c r="P70" s="180" t="s">
        <v>979</v>
      </c>
      <c r="Q70" s="181">
        <v>43455091</v>
      </c>
      <c r="R70" s="181">
        <v>65095077526</v>
      </c>
      <c r="S70" s="182">
        <v>199900.4</v>
      </c>
      <c r="T70" s="210">
        <v>14</v>
      </c>
      <c r="U70" s="210">
        <v>14</v>
      </c>
    </row>
    <row r="71" spans="16:21" ht="18" thickBot="1">
      <c r="P71" s="180" t="s">
        <v>980</v>
      </c>
      <c r="Q71" s="181">
        <v>16486571</v>
      </c>
      <c r="R71" s="181">
        <v>24353792398</v>
      </c>
      <c r="S71" s="182">
        <v>93835.3</v>
      </c>
      <c r="T71" s="210">
        <v>7</v>
      </c>
      <c r="U71" s="210">
        <v>7</v>
      </c>
    </row>
    <row r="72" spans="16:21" ht="18" thickBot="1">
      <c r="P72" s="215" t="s">
        <v>975</v>
      </c>
      <c r="Q72" s="217" t="s">
        <v>1523</v>
      </c>
      <c r="R72"/>
      <c r="S72"/>
      <c r="T72"/>
      <c r="U72"/>
    </row>
  </sheetData>
  <phoneticPr fontId="1" type="noConversion"/>
  <conditionalFormatting sqref="C29:C30">
    <cfRule type="cellIs" dxfId="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76"/>
  <dimension ref="A1:Z74"/>
  <sheetViews>
    <sheetView zoomScale="90" zoomScaleNormal="90" workbookViewId="0">
      <selection activeCell="I62" sqref="I6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8486208420</v>
      </c>
      <c r="L2" s="96"/>
      <c r="M2" s="80"/>
      <c r="N2" s="79" t="s">
        <v>599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658030.1</v>
      </c>
      <c r="G5" s="90"/>
      <c r="H5" s="90"/>
      <c r="I5" s="130">
        <f t="shared" ref="I5:I49" si="0">T5</f>
        <v>229.36269366841526</v>
      </c>
      <c r="J5" s="130"/>
      <c r="L5" s="80"/>
      <c r="M5" s="80"/>
      <c r="P5" s="129" t="s">
        <v>0</v>
      </c>
      <c r="Q5" s="116">
        <v>13160602</v>
      </c>
      <c r="R5" s="116">
        <v>15501627585</v>
      </c>
      <c r="S5" s="116">
        <v>57379</v>
      </c>
      <c r="T5" s="130">
        <f t="shared" ref="T5:T17" si="1">Q5/S5</f>
        <v>229.36269366841526</v>
      </c>
      <c r="U5" s="85"/>
    </row>
    <row r="6" spans="1:21" ht="15" hidden="1" customHeight="1">
      <c r="A6" s="129" t="s">
        <v>1</v>
      </c>
      <c r="C6" s="79"/>
      <c r="F6" s="78">
        <f>Q6/18</f>
        <v>651787.66666666663</v>
      </c>
      <c r="G6" s="90">
        <f t="shared" ref="G6:G16" si="2">F6/F5-1</f>
        <v>-9.4865467906913858E-3</v>
      </c>
      <c r="H6" s="90"/>
      <c r="I6" s="130">
        <f t="shared" si="0"/>
        <v>166.09111372227019</v>
      </c>
      <c r="J6" s="130"/>
      <c r="P6" s="129" t="s">
        <v>1</v>
      </c>
      <c r="Q6" s="116">
        <v>11732178</v>
      </c>
      <c r="R6" s="116">
        <v>13951968592</v>
      </c>
      <c r="S6" s="116">
        <v>70637</v>
      </c>
      <c r="T6" s="130">
        <f t="shared" si="1"/>
        <v>166.09111372227019</v>
      </c>
      <c r="U6" s="85"/>
    </row>
    <row r="7" spans="1:21" ht="15" hidden="1" customHeight="1">
      <c r="A7" s="129" t="s">
        <v>2</v>
      </c>
      <c r="B7" s="131">
        <f>F5+F6+F7</f>
        <v>2206577.3575757574</v>
      </c>
      <c r="C7" s="131">
        <f>AVERAGE(F5:F7)</f>
        <v>735525.78585858585</v>
      </c>
      <c r="F7" s="78">
        <f>Q7/22</f>
        <v>896759.59090909094</v>
      </c>
      <c r="G7" s="90">
        <f t="shared" si="2"/>
        <v>0.37584621000155627</v>
      </c>
      <c r="H7" s="90"/>
      <c r="I7" s="130">
        <f t="shared" si="0"/>
        <v>273.59947578632051</v>
      </c>
      <c r="J7" s="130"/>
      <c r="K7" s="79">
        <f>R5+R6+R7</f>
        <v>53092614641</v>
      </c>
      <c r="N7" s="88">
        <f>AVERAGE(T5:T7)</f>
        <v>223.01776105900203</v>
      </c>
      <c r="P7" s="129" t="s">
        <v>2</v>
      </c>
      <c r="Q7" s="116">
        <v>19728711</v>
      </c>
      <c r="R7" s="116">
        <v>23639018464</v>
      </c>
      <c r="S7" s="116">
        <v>72108</v>
      </c>
      <c r="T7" s="130">
        <f t="shared" si="1"/>
        <v>273.59947578632051</v>
      </c>
      <c r="U7" s="85">
        <f>Q5+Q6+Q7</f>
        <v>44621491</v>
      </c>
    </row>
    <row r="8" spans="1:21" ht="15" hidden="1" customHeight="1">
      <c r="A8" s="129" t="s">
        <v>3</v>
      </c>
      <c r="C8" s="79"/>
      <c r="F8" s="78">
        <f>Q8/21</f>
        <v>751108.71428571432</v>
      </c>
      <c r="G8" s="90">
        <f t="shared" si="2"/>
        <v>-0.16241908990984188</v>
      </c>
      <c r="H8" s="90"/>
      <c r="I8" s="130">
        <f t="shared" si="0"/>
        <v>212.94815784855072</v>
      </c>
      <c r="J8" s="130"/>
      <c r="K8" s="78"/>
      <c r="P8" s="129" t="s">
        <v>3</v>
      </c>
      <c r="Q8" s="116">
        <v>15773283</v>
      </c>
      <c r="R8" s="116">
        <v>19074344601</v>
      </c>
      <c r="S8" s="116">
        <v>74071</v>
      </c>
      <c r="T8" s="130">
        <f t="shared" si="1"/>
        <v>212.94815784855072</v>
      </c>
      <c r="U8" s="85"/>
    </row>
    <row r="9" spans="1:21" ht="15" hidden="1" customHeight="1">
      <c r="A9" s="129" t="s">
        <v>4</v>
      </c>
      <c r="C9" s="79"/>
      <c r="F9" s="78">
        <f>Q9/21</f>
        <v>606472.42857142852</v>
      </c>
      <c r="G9" s="90">
        <f t="shared" si="2"/>
        <v>-0.19256371676080375</v>
      </c>
      <c r="H9" s="90"/>
      <c r="I9" s="130">
        <f t="shared" si="0"/>
        <v>176.96398449332352</v>
      </c>
      <c r="J9" s="130"/>
      <c r="K9" s="78"/>
      <c r="P9" s="129" t="s">
        <v>4</v>
      </c>
      <c r="Q9" s="116">
        <v>12735921</v>
      </c>
      <c r="R9" s="116">
        <v>16040146832</v>
      </c>
      <c r="S9" s="116">
        <v>71969</v>
      </c>
      <c r="T9" s="130">
        <f t="shared" si="1"/>
        <v>176.96398449332352</v>
      </c>
      <c r="U9" s="85"/>
    </row>
    <row r="10" spans="1:21" ht="15" hidden="1" customHeight="1">
      <c r="A10" s="129" t="s">
        <v>5</v>
      </c>
      <c r="B10" s="131">
        <f>F8+F9+F10</f>
        <v>2110389.0476190476</v>
      </c>
      <c r="C10" s="131">
        <f>AVERAGE(F8:F10)</f>
        <v>703463.01587301586</v>
      </c>
      <c r="D10" s="90">
        <f>C10/C7-1</f>
        <v>-4.3591632818342108E-2</v>
      </c>
      <c r="E10" s="286"/>
      <c r="F10" s="78">
        <f>Q10/21</f>
        <v>752807.90476190473</v>
      </c>
      <c r="G10" s="90">
        <f t="shared" si="2"/>
        <v>0.24128957772272619</v>
      </c>
      <c r="H10" s="90"/>
      <c r="I10" s="130">
        <f t="shared" si="0"/>
        <v>322.92852619752836</v>
      </c>
      <c r="J10" s="130"/>
      <c r="K10" s="79">
        <f>R8+R9+R10</f>
        <v>55026585294</v>
      </c>
      <c r="L10" s="87">
        <f>U10/U7-1</f>
        <v>-6.7976437631812603E-3</v>
      </c>
      <c r="N10" s="88">
        <f>AVERAGE(T8:T10)</f>
        <v>237.61355617980087</v>
      </c>
      <c r="O10" s="89">
        <f>N10/N7-1</f>
        <v>6.5446783482582482E-2</v>
      </c>
      <c r="P10" s="129" t="s">
        <v>5</v>
      </c>
      <c r="Q10" s="116">
        <v>15808966</v>
      </c>
      <c r="R10" s="116">
        <v>19912093861</v>
      </c>
      <c r="S10" s="116">
        <v>48955</v>
      </c>
      <c r="T10" s="130">
        <f t="shared" si="1"/>
        <v>322.92852619752836</v>
      </c>
      <c r="U10" s="85">
        <f>Q8+Q9+Q10</f>
        <v>44318170</v>
      </c>
    </row>
    <row r="11" spans="1:21" ht="15" hidden="1" customHeight="1">
      <c r="A11" s="129" t="s">
        <v>6</v>
      </c>
      <c r="C11" s="79"/>
      <c r="F11" s="78">
        <f>Q11/21</f>
        <v>1535465</v>
      </c>
      <c r="G11" s="90">
        <f t="shared" si="2"/>
        <v>1.0396504742941444</v>
      </c>
      <c r="H11" s="90"/>
      <c r="I11" s="130">
        <f t="shared" si="0"/>
        <v>309.48339076102081</v>
      </c>
      <c r="J11" s="130"/>
      <c r="K11" s="78"/>
      <c r="O11" s="89"/>
      <c r="P11" s="129" t="s">
        <v>6</v>
      </c>
      <c r="Q11" s="116">
        <v>32244765</v>
      </c>
      <c r="R11" s="116">
        <v>41604024106</v>
      </c>
      <c r="S11" s="116">
        <v>104189</v>
      </c>
      <c r="T11" s="130">
        <f t="shared" si="1"/>
        <v>309.48339076102081</v>
      </c>
      <c r="U11" s="85"/>
    </row>
    <row r="12" spans="1:21" ht="15" hidden="1" customHeight="1">
      <c r="A12" s="129" t="s">
        <v>7</v>
      </c>
      <c r="C12" s="79"/>
      <c r="F12" s="78">
        <f>Q12/22</f>
        <v>974103.59090909094</v>
      </c>
      <c r="G12" s="90">
        <f t="shared" si="2"/>
        <v>-0.36559700748041091</v>
      </c>
      <c r="H12" s="90"/>
      <c r="I12" s="130">
        <f t="shared" si="0"/>
        <v>321.29835529768064</v>
      </c>
      <c r="J12" s="130"/>
      <c r="K12" s="78"/>
      <c r="O12" s="89"/>
      <c r="P12" s="129" t="s">
        <v>7</v>
      </c>
      <c r="Q12" s="116">
        <v>21430279</v>
      </c>
      <c r="R12" s="116">
        <v>27735131868</v>
      </c>
      <c r="S12" s="116">
        <v>66699</v>
      </c>
      <c r="T12" s="130">
        <f t="shared" si="1"/>
        <v>321.29835529768064</v>
      </c>
      <c r="U12" s="85"/>
    </row>
    <row r="13" spans="1:21" ht="15" hidden="1" customHeight="1">
      <c r="A13" s="129" t="s">
        <v>96</v>
      </c>
      <c r="B13" s="131">
        <f>F11+F12+F13</f>
        <v>3625873.3409090908</v>
      </c>
      <c r="C13" s="131">
        <f>AVERAGE(F11:F13)</f>
        <v>1208624.446969697</v>
      </c>
      <c r="D13" s="90">
        <f>C13/C10-1</f>
        <v>0.71810659508483576</v>
      </c>
      <c r="E13" s="286"/>
      <c r="F13" s="78">
        <f>Q13/20</f>
        <v>1116304.75</v>
      </c>
      <c r="G13" s="90">
        <f t="shared" si="2"/>
        <v>0.14598155721631056</v>
      </c>
      <c r="H13" s="90"/>
      <c r="I13" s="130">
        <f t="shared" si="0"/>
        <v>259.27713711690996</v>
      </c>
      <c r="J13" s="130"/>
      <c r="K13" s="78">
        <f>R11+R12+R13</f>
        <v>99730065560</v>
      </c>
      <c r="L13" s="87">
        <f>U13/U10-1</f>
        <v>0.71489795269073619</v>
      </c>
      <c r="N13" s="88">
        <f>AVERAGE(T11:T13)</f>
        <v>296.68629439187043</v>
      </c>
      <c r="O13" s="89">
        <f>N13/N10-1</f>
        <v>0.24860845130977949</v>
      </c>
      <c r="P13" s="129" t="s">
        <v>96</v>
      </c>
      <c r="Q13" s="116">
        <v>22326095</v>
      </c>
      <c r="R13" s="116">
        <v>30390909586</v>
      </c>
      <c r="S13" s="116">
        <v>86109</v>
      </c>
      <c r="T13" s="130">
        <f t="shared" si="1"/>
        <v>259.27713711690996</v>
      </c>
      <c r="U13" s="85">
        <f>Q11+Q12+Q13</f>
        <v>76001139</v>
      </c>
    </row>
    <row r="14" spans="1:21" ht="15" hidden="1" customHeight="1">
      <c r="A14" s="129" t="s">
        <v>97</v>
      </c>
      <c r="C14" s="79"/>
      <c r="F14" s="78">
        <f>Q14/20</f>
        <v>431550.75</v>
      </c>
      <c r="G14" s="90">
        <f t="shared" si="2"/>
        <v>-0.61341134667750896</v>
      </c>
      <c r="H14" s="90"/>
      <c r="I14" s="130">
        <f t="shared" si="0"/>
        <v>247.74003272194955</v>
      </c>
      <c r="J14" s="130"/>
      <c r="O14" s="89"/>
      <c r="P14" s="129" t="s">
        <v>97</v>
      </c>
      <c r="Q14" s="116">
        <v>8631015</v>
      </c>
      <c r="R14" s="116">
        <v>12295974624</v>
      </c>
      <c r="S14" s="116">
        <v>34839</v>
      </c>
      <c r="T14" s="130">
        <f t="shared" si="1"/>
        <v>247.74003272194955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619171.63636363635</v>
      </c>
      <c r="G15" s="90">
        <f t="shared" si="2"/>
        <v>0.43475972724792245</v>
      </c>
      <c r="H15" s="90"/>
      <c r="I15" s="130">
        <f t="shared" si="0"/>
        <v>298.38943287113096</v>
      </c>
      <c r="J15" s="130"/>
      <c r="O15" s="89"/>
      <c r="P15" s="129" t="s">
        <v>98</v>
      </c>
      <c r="Q15" s="116">
        <v>13621776</v>
      </c>
      <c r="R15" s="116">
        <v>18946491288</v>
      </c>
      <c r="S15" s="116">
        <v>45651</v>
      </c>
      <c r="T15" s="130">
        <f t="shared" si="1"/>
        <v>298.38943287113096</v>
      </c>
      <c r="U15" s="78"/>
    </row>
    <row r="16" spans="1:21" ht="15" hidden="1" customHeight="1">
      <c r="A16" s="129" t="s">
        <v>99</v>
      </c>
      <c r="B16" s="131">
        <f>F14+F15+F16</f>
        <v>1573698.9772727271</v>
      </c>
      <c r="C16" s="131">
        <f>AVERAGE(F14:F16)</f>
        <v>524566.32575757569</v>
      </c>
      <c r="D16" s="90">
        <f>C16/C13-1</f>
        <v>-0.56598070883574658</v>
      </c>
      <c r="E16" s="286"/>
      <c r="F16" s="78">
        <f>Q16/22</f>
        <v>522976.59090909088</v>
      </c>
      <c r="G16" s="90">
        <f t="shared" si="2"/>
        <v>-0.15536087217995664</v>
      </c>
      <c r="H16" s="90"/>
      <c r="I16" s="130">
        <f t="shared" si="0"/>
        <v>260.08737030087934</v>
      </c>
      <c r="J16" s="130"/>
      <c r="K16" s="78">
        <f>R14+R15+R16</f>
        <v>46331677865</v>
      </c>
      <c r="L16" s="87">
        <f>U16/U13-1</f>
        <v>-0.55581881476802608</v>
      </c>
      <c r="N16" s="88">
        <f>AVERAGE(T14:T16)</f>
        <v>268.73894529798662</v>
      </c>
      <c r="O16" s="89">
        <f>N16/N13-1</f>
        <v>-9.4198315264844235E-2</v>
      </c>
      <c r="P16" s="129" t="s">
        <v>99</v>
      </c>
      <c r="Q16" s="116">
        <v>11505485</v>
      </c>
      <c r="R16" s="116">
        <v>15089211953</v>
      </c>
      <c r="S16" s="116">
        <v>44237</v>
      </c>
      <c r="T16" s="130">
        <f t="shared" si="1"/>
        <v>260.08737030087934</v>
      </c>
      <c r="U16" s="85">
        <f>Q14+Q15+Q16</f>
        <v>33758276</v>
      </c>
    </row>
    <row r="17" spans="1:21" ht="15" hidden="1" customHeight="1">
      <c r="A17" s="129" t="s">
        <v>100</v>
      </c>
      <c r="C17" s="79"/>
      <c r="F17" s="78">
        <f>Q17/20</f>
        <v>500165.9</v>
      </c>
      <c r="G17" s="90">
        <f t="shared" ref="G17:G22" si="3">F17/F16-1</f>
        <v>-4.3617040046551647E-2</v>
      </c>
      <c r="H17" s="90">
        <f t="shared" ref="H17:H22" si="4">F17/F5-1</f>
        <v>-0.2399042232262627</v>
      </c>
      <c r="I17" s="130">
        <f t="shared" si="0"/>
        <v>261.94239178821124</v>
      </c>
      <c r="J17" s="130">
        <f t="shared" ref="J17:J49" si="5">I17/I5-1</f>
        <v>0.1420444519495212</v>
      </c>
      <c r="O17" s="89"/>
      <c r="P17" s="129" t="s">
        <v>100</v>
      </c>
      <c r="Q17" s="116">
        <v>10003318</v>
      </c>
      <c r="R17" s="116">
        <v>12533126508</v>
      </c>
      <c r="S17" s="116">
        <v>38189</v>
      </c>
      <c r="T17" s="130">
        <f t="shared" si="1"/>
        <v>261.94239178821124</v>
      </c>
      <c r="U17" s="78"/>
    </row>
    <row r="18" spans="1:21" ht="15" hidden="1" customHeight="1">
      <c r="A18" s="129" t="s">
        <v>107</v>
      </c>
      <c r="C18" s="79"/>
      <c r="F18" s="78">
        <f>Q18/20</f>
        <v>379080.6</v>
      </c>
      <c r="G18" s="90">
        <f t="shared" si="3"/>
        <v>-0.24209027444693854</v>
      </c>
      <c r="H18" s="90">
        <f t="shared" si="4"/>
        <v>-0.41839862981962939</v>
      </c>
      <c r="I18" s="130">
        <f t="shared" si="0"/>
        <v>246.95000162861146</v>
      </c>
      <c r="J18" s="130">
        <f t="shared" si="5"/>
        <v>0.48683452169241104</v>
      </c>
      <c r="O18" s="89"/>
      <c r="P18" s="129" t="s">
        <v>107</v>
      </c>
      <c r="Q18" s="116">
        <v>7581612</v>
      </c>
      <c r="R18" s="116">
        <v>9627058313</v>
      </c>
      <c r="S18" s="116">
        <v>30701</v>
      </c>
      <c r="T18" s="130">
        <f t="shared" ref="T18" si="6">Q18/S18</f>
        <v>246.95000162861146</v>
      </c>
      <c r="U18" s="78"/>
    </row>
    <row r="19" spans="1:21" hidden="1">
      <c r="A19" s="129" t="s">
        <v>114</v>
      </c>
      <c r="B19" s="131">
        <f>SUM(F17:F19)</f>
        <v>1150810.0454545454</v>
      </c>
      <c r="C19" s="131">
        <f>AVERAGE(F17:F19)</f>
        <v>383603.34848484845</v>
      </c>
      <c r="D19" s="90">
        <f>C19/C16-1</f>
        <v>-0.26872288660380417</v>
      </c>
      <c r="E19" s="286">
        <f>C19/C7-1</f>
        <v>-0.47846376583920192</v>
      </c>
      <c r="F19" s="78">
        <f>Q19/22</f>
        <v>271563.54545454547</v>
      </c>
      <c r="G19" s="90">
        <f t="shared" si="3"/>
        <v>-0.28362584248693945</v>
      </c>
      <c r="H19" s="90">
        <f t="shared" si="4"/>
        <v>-0.69717241030090604</v>
      </c>
      <c r="I19" s="130">
        <f t="shared" si="0"/>
        <v>253.73303321158582</v>
      </c>
      <c r="J19" s="130">
        <f t="shared" si="5"/>
        <v>-7.2611405842934684E-2</v>
      </c>
      <c r="K19" s="78">
        <f>R17+R18+R19</f>
        <v>29972495374</v>
      </c>
      <c r="L19" s="87">
        <f>U19/U16-1</f>
        <v>-0.3021169682954189</v>
      </c>
      <c r="M19" s="87">
        <f>U19/U7-1</f>
        <v>-0.47201835994229779</v>
      </c>
      <c r="N19" s="88">
        <f>AVERAGE(T17:T19)</f>
        <v>254.20847554280283</v>
      </c>
      <c r="O19" s="89">
        <f>N19/N16-1</f>
        <v>-5.4069088271042842E-2</v>
      </c>
      <c r="P19" s="129" t="s">
        <v>115</v>
      </c>
      <c r="Q19" s="116">
        <v>5974398</v>
      </c>
      <c r="R19" s="116">
        <v>7812310553</v>
      </c>
      <c r="S19" s="116">
        <v>23546</v>
      </c>
      <c r="T19" s="130">
        <f t="shared" ref="T19" si="7">Q19/S19</f>
        <v>253.73303321158582</v>
      </c>
      <c r="U19" s="85">
        <f>Q17+Q18+Q19</f>
        <v>23559328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114841.2</v>
      </c>
      <c r="G20" s="90">
        <f t="shared" si="3"/>
        <v>-0.57711113320538743</v>
      </c>
      <c r="H20" s="90">
        <f t="shared" si="4"/>
        <v>-0.84710442334674396</v>
      </c>
      <c r="I20" s="130">
        <f t="shared" si="0"/>
        <v>272.10330529558109</v>
      </c>
      <c r="J20" s="130">
        <f t="shared" si="5"/>
        <v>0.27779130866725632</v>
      </c>
      <c r="O20" s="89"/>
      <c r="P20" s="129" t="s">
        <v>132</v>
      </c>
      <c r="Q20" s="116">
        <v>2296824</v>
      </c>
      <c r="R20" s="116">
        <v>2997861660</v>
      </c>
      <c r="S20" s="116">
        <v>8441</v>
      </c>
      <c r="T20" s="130">
        <f t="shared" ref="T20" si="8">Q20/S20</f>
        <v>272.10330529558109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340519.76190476189</v>
      </c>
      <c r="G21" s="90">
        <f t="shared" si="3"/>
        <v>1.9651358737522937</v>
      </c>
      <c r="H21" s="90">
        <f t="shared" si="4"/>
        <v>-0.43852391986413852</v>
      </c>
      <c r="I21" s="130">
        <f t="shared" si="0"/>
        <v>266.21923979003014</v>
      </c>
      <c r="J21" s="130">
        <f t="shared" si="5"/>
        <v>0.50436960691328703</v>
      </c>
      <c r="O21" s="89"/>
      <c r="P21" s="129" t="s">
        <v>141</v>
      </c>
      <c r="Q21" s="116">
        <v>7150915</v>
      </c>
      <c r="R21" s="116">
        <v>9510078321</v>
      </c>
      <c r="S21" s="116">
        <v>26861</v>
      </c>
      <c r="T21" s="130">
        <f t="shared" ref="T21" si="9">Q21/S21</f>
        <v>266.21923979003014</v>
      </c>
      <c r="U21" s="78"/>
    </row>
    <row r="22" spans="1:21" hidden="1">
      <c r="A22" s="129" t="s">
        <v>156</v>
      </c>
      <c r="B22" s="131">
        <f>SUM(F20:F22)</f>
        <v>1065062.3904761905</v>
      </c>
      <c r="C22" s="131">
        <f>AVERAGE(F20:F22)</f>
        <v>355020.79682539683</v>
      </c>
      <c r="D22" s="90">
        <f>C22/C19-1</f>
        <v>-7.4510693851726262E-2</v>
      </c>
      <c r="E22" s="286">
        <f>C22/C10-1</f>
        <v>-0.49532414808643943</v>
      </c>
      <c r="F22" s="78">
        <f>Q22/21</f>
        <v>609701.42857142852</v>
      </c>
      <c r="G22" s="90">
        <f t="shared" si="3"/>
        <v>0.79050233431665728</v>
      </c>
      <c r="H22" s="90">
        <f t="shared" si="4"/>
        <v>-0.19009693613105372</v>
      </c>
      <c r="I22" s="130">
        <f t="shared" si="0"/>
        <v>366.69043732279408</v>
      </c>
      <c r="J22" s="130">
        <f t="shared" si="5"/>
        <v>0.13551578004136289</v>
      </c>
      <c r="K22" s="78">
        <f>R20+R21+R22</f>
        <v>29129119478</v>
      </c>
      <c r="L22" s="87">
        <f>U22/U19-1</f>
        <v>-5.5513425510269276E-2</v>
      </c>
      <c r="M22" s="87">
        <f>U22/U10-1</f>
        <v>-0.49791543739283461</v>
      </c>
      <c r="N22" s="88">
        <f>AVERAGE(T20:T22)</f>
        <v>301.67099413613511</v>
      </c>
      <c r="O22" s="89">
        <f>N22/N19-1</f>
        <v>0.18670706589143871</v>
      </c>
      <c r="P22" s="129" t="s">
        <v>156</v>
      </c>
      <c r="Q22" s="116">
        <v>12803730</v>
      </c>
      <c r="R22" s="116">
        <v>16621179497</v>
      </c>
      <c r="S22" s="116">
        <v>34917</v>
      </c>
      <c r="T22" s="130">
        <f t="shared" ref="T22:T23" si="10">Q22/S22</f>
        <v>366.69043732279408</v>
      </c>
      <c r="U22" s="85">
        <f>Q20+Q21+Q22</f>
        <v>22251469</v>
      </c>
    </row>
    <row r="23" spans="1:21" hidden="1">
      <c r="A23" s="129" t="s">
        <v>189</v>
      </c>
      <c r="B23" s="131"/>
      <c r="C23" s="131"/>
      <c r="F23" s="78">
        <f>Q23/21</f>
        <v>421732</v>
      </c>
      <c r="G23" s="90">
        <f t="shared" ref="G23" si="11">F23/F22-1</f>
        <v>-0.30829750393049515</v>
      </c>
      <c r="H23" s="90">
        <f t="shared" ref="H23" si="12">F23/F11-1</f>
        <v>-0.72533922948422791</v>
      </c>
      <c r="I23" s="130">
        <f t="shared" si="0"/>
        <v>329.18421052631578</v>
      </c>
      <c r="J23" s="130">
        <f t="shared" si="5"/>
        <v>6.365711489993231E-2</v>
      </c>
      <c r="O23" s="89"/>
      <c r="P23" s="129" t="s">
        <v>189</v>
      </c>
      <c r="Q23" s="116">
        <v>8856372</v>
      </c>
      <c r="R23" s="116">
        <v>11488343182</v>
      </c>
      <c r="S23" s="116">
        <v>26904</v>
      </c>
      <c r="T23" s="130">
        <f t="shared" si="10"/>
        <v>329.18421052631578</v>
      </c>
      <c r="U23" s="78"/>
    </row>
    <row r="24" spans="1:21" hidden="1">
      <c r="A24" s="129" t="s">
        <v>204</v>
      </c>
      <c r="B24" s="131"/>
      <c r="C24" s="131"/>
      <c r="F24" s="78">
        <f>Q24/22</f>
        <v>309777.68181818182</v>
      </c>
      <c r="G24" s="90">
        <f t="shared" ref="G24" si="13">F24/F23-1</f>
        <v>-0.26546318083953357</v>
      </c>
      <c r="H24" s="90">
        <f t="shared" ref="H24" si="14">F24/F12-1</f>
        <v>-0.68198692140218986</v>
      </c>
      <c r="I24" s="130">
        <f t="shared" si="0"/>
        <v>239.41224618843532</v>
      </c>
      <c r="J24" s="130">
        <f t="shared" si="5"/>
        <v>-0.25486003198920337</v>
      </c>
      <c r="O24" s="89"/>
      <c r="P24" s="129" t="s">
        <v>204</v>
      </c>
      <c r="Q24" s="116">
        <v>6815109</v>
      </c>
      <c r="R24" s="116">
        <v>8947556692</v>
      </c>
      <c r="S24" s="116">
        <v>28466</v>
      </c>
      <c r="T24" s="130">
        <f t="shared" ref="T24" si="15">Q24/S24</f>
        <v>239.41224618843532</v>
      </c>
      <c r="U24" s="78"/>
    </row>
    <row r="25" spans="1:21" s="79" customFormat="1" ht="13.2" hidden="1">
      <c r="A25" s="129" t="s">
        <v>218</v>
      </c>
      <c r="B25" s="131">
        <f>SUM(F23:F25)</f>
        <v>1382092.523923445</v>
      </c>
      <c r="C25" s="131">
        <f>AVERAGE(F23:F25)</f>
        <v>460697.50797448168</v>
      </c>
      <c r="D25" s="90">
        <f>C25/C22-1</f>
        <v>0.29766343857612898</v>
      </c>
      <c r="E25" s="286">
        <f>C25/C13-1</f>
        <v>-0.61882493016787998</v>
      </c>
      <c r="F25" s="78">
        <f>Q25/19</f>
        <v>650582.84210526315</v>
      </c>
      <c r="G25" s="90">
        <f t="shared" ref="G25" si="16">F25/F24-1</f>
        <v>1.1001604708473174</v>
      </c>
      <c r="H25" s="90">
        <f t="shared" ref="H25" si="17">F25/F13-1</f>
        <v>-0.41719961139172512</v>
      </c>
      <c r="I25" s="130">
        <f t="shared" si="0"/>
        <v>284.23972479891097</v>
      </c>
      <c r="J25" s="130">
        <f t="shared" si="5"/>
        <v>9.627762771364301E-2</v>
      </c>
      <c r="K25" s="78">
        <f>R23+R24+R25</f>
        <v>36847086029</v>
      </c>
      <c r="L25" s="90">
        <f>U25/U22-1</f>
        <v>0.25980693679145417</v>
      </c>
      <c r="M25" s="90">
        <f>U25/U13-1</f>
        <v>-0.63115611991025555</v>
      </c>
      <c r="N25" s="88">
        <f>AVERAGE(T23:T25)</f>
        <v>284.27872717122068</v>
      </c>
      <c r="O25" s="91">
        <f>N25/N22-1</f>
        <v>-5.7653096595245756E-2</v>
      </c>
      <c r="P25" s="129" t="s">
        <v>220</v>
      </c>
      <c r="Q25" s="116">
        <v>12361074</v>
      </c>
      <c r="R25" s="116">
        <v>16411186155</v>
      </c>
      <c r="S25" s="116">
        <v>43488.2</v>
      </c>
      <c r="T25" s="130">
        <f t="shared" ref="T25" si="18">Q25/S25</f>
        <v>284.23972479891097</v>
      </c>
      <c r="U25" s="85">
        <f>Q23+Q24+Q25</f>
        <v>28032555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461208.15789473685</v>
      </c>
      <c r="G26" s="90">
        <f t="shared" ref="G26" si="19">F26/F25-1</f>
        <v>-0.2910846581777603</v>
      </c>
      <c r="H26" s="90">
        <f t="shared" ref="H26" si="20">F26/F14-1</f>
        <v>6.8722874180468629E-2</v>
      </c>
      <c r="I26" s="130">
        <f t="shared" si="0"/>
        <v>252.71679884643115</v>
      </c>
      <c r="J26" s="130">
        <f t="shared" si="5"/>
        <v>2.0088663385571026E-2</v>
      </c>
      <c r="L26" s="90"/>
      <c r="M26" s="90"/>
      <c r="P26" s="129" t="s">
        <v>312</v>
      </c>
      <c r="Q26" s="116">
        <v>8762955</v>
      </c>
      <c r="R26" s="116">
        <v>11852155579</v>
      </c>
      <c r="S26" s="116">
        <v>34675</v>
      </c>
      <c r="T26" s="130">
        <f t="shared" ref="T26" si="21">Q26/S26</f>
        <v>252.71679884643115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537304.72727272729</v>
      </c>
      <c r="G27" s="90">
        <f t="shared" ref="G27" si="22">F27/F26-1</f>
        <v>0.16499397956303752</v>
      </c>
      <c r="H27" s="90">
        <f t="shared" ref="H27" si="23">F27/F15-1</f>
        <v>-0.13222005706157547</v>
      </c>
      <c r="I27" s="130">
        <f t="shared" si="0"/>
        <v>334.32429221936252</v>
      </c>
      <c r="J27" s="130">
        <f t="shared" si="5"/>
        <v>0.12042939658574037</v>
      </c>
      <c r="L27" s="90"/>
      <c r="M27" s="90"/>
      <c r="P27" s="129" t="s">
        <v>375</v>
      </c>
      <c r="Q27" s="116">
        <v>11820704</v>
      </c>
      <c r="R27" s="116">
        <v>15588759929</v>
      </c>
      <c r="S27" s="116">
        <v>35357</v>
      </c>
      <c r="T27" s="130">
        <f t="shared" ref="T27" si="24">Q27/S27</f>
        <v>334.32429221936252</v>
      </c>
      <c r="U27" s="78"/>
    </row>
    <row r="28" spans="1:21" s="79" customFormat="1" ht="13.2" hidden="1">
      <c r="A28" s="123" t="s">
        <v>413</v>
      </c>
      <c r="B28" s="131">
        <f>SUM(F26:F28)</f>
        <v>1500478.5693779904</v>
      </c>
      <c r="C28" s="131">
        <f>AVERAGE(F26:F28)</f>
        <v>500159.52312599681</v>
      </c>
      <c r="D28" s="90">
        <f>C28/C25-1</f>
        <v>8.5657105733033312E-2</v>
      </c>
      <c r="E28" s="286">
        <f>C28/C16-1</f>
        <v>-4.6527581800701157E-2</v>
      </c>
      <c r="F28" s="78">
        <f>Q28/19</f>
        <v>501965.68421052629</v>
      </c>
      <c r="G28" s="90">
        <f t="shared" ref="G28" si="25">F28/F27-1</f>
        <v>-6.5770951321378335E-2</v>
      </c>
      <c r="H28" s="90">
        <f t="shared" ref="H28" si="26">F28/F16-1</f>
        <v>-4.0175616009965776E-2</v>
      </c>
      <c r="I28" s="130">
        <f t="shared" si="0"/>
        <v>291.2700952846323</v>
      </c>
      <c r="J28" s="130">
        <f t="shared" si="5"/>
        <v>0.11989326874149842</v>
      </c>
      <c r="K28" s="78">
        <f>R26+R27+R28</f>
        <v>39910664576</v>
      </c>
      <c r="L28" s="90">
        <f>U28/U25-1</f>
        <v>7.4500950769560648E-2</v>
      </c>
      <c r="M28" s="90">
        <f>U28/U16-1</f>
        <v>-0.10774451278258401</v>
      </c>
      <c r="N28" s="88">
        <f>AVERAGE(T26:T28)</f>
        <v>292.77039545014196</v>
      </c>
      <c r="O28" s="91">
        <f>N28/N25-1</f>
        <v>2.9870924087143313E-2</v>
      </c>
      <c r="P28" s="129" t="s">
        <v>413</v>
      </c>
      <c r="Q28" s="116">
        <v>9537348</v>
      </c>
      <c r="R28" s="116">
        <v>12469749068</v>
      </c>
      <c r="S28" s="116">
        <v>32744</v>
      </c>
      <c r="T28" s="130">
        <f t="shared" ref="T28" si="27">Q28/S28</f>
        <v>291.2700952846323</v>
      </c>
      <c r="U28" s="85">
        <f>Q26+Q27+Q28</f>
        <v>30121007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364902.31818181818</v>
      </c>
      <c r="G29" s="190">
        <f t="shared" ref="G29" si="28">F29/F28-1</f>
        <v>-0.27305325909733547</v>
      </c>
      <c r="H29" s="190">
        <f t="shared" ref="H29" si="29">F29/F17-1</f>
        <v>-0.2704374324962614</v>
      </c>
      <c r="I29" s="130">
        <f t="shared" si="0"/>
        <v>287.64380665735069</v>
      </c>
      <c r="J29" s="130">
        <f t="shared" si="5"/>
        <v>9.8118577499742177E-2</v>
      </c>
      <c r="K29" s="136"/>
      <c r="L29" s="190"/>
      <c r="M29" s="190"/>
      <c r="N29" s="191"/>
      <c r="O29" s="192"/>
      <c r="P29" s="129" t="s">
        <v>430</v>
      </c>
      <c r="Q29" s="116">
        <v>8027851</v>
      </c>
      <c r="R29" s="116">
        <v>10507316540</v>
      </c>
      <c r="S29" s="116">
        <v>27909</v>
      </c>
      <c r="T29" s="130">
        <f t="shared" ref="T29" si="30">Q29/S29</f>
        <v>287.64380665735069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257891</v>
      </c>
      <c r="G30" s="190">
        <f t="shared" ref="G30" si="31">F30/F29-1</f>
        <v>-0.29326017635354718</v>
      </c>
      <c r="H30" s="190">
        <f t="shared" ref="H30" si="32">F30/F18-1</f>
        <v>-0.31969348998603464</v>
      </c>
      <c r="I30" s="130">
        <f t="shared" si="0"/>
        <v>267.82886034435637</v>
      </c>
      <c r="J30" s="130">
        <f t="shared" si="5"/>
        <v>8.4546906572386504E-2</v>
      </c>
      <c r="K30" s="136"/>
      <c r="L30" s="190"/>
      <c r="M30" s="190"/>
      <c r="N30" s="191"/>
      <c r="O30" s="192"/>
      <c r="P30" s="129" t="s">
        <v>485</v>
      </c>
      <c r="Q30" s="116">
        <v>4899929</v>
      </c>
      <c r="R30" s="116">
        <v>6528429894</v>
      </c>
      <c r="S30" s="116">
        <v>18295</v>
      </c>
      <c r="T30" s="130">
        <f t="shared" ref="T30" si="33">Q30/S30</f>
        <v>267.82886034435637</v>
      </c>
      <c r="U30" s="85"/>
    </row>
    <row r="31" spans="1:21" s="79" customFormat="1" ht="13.2" hidden="1">
      <c r="A31" s="129" t="s">
        <v>505</v>
      </c>
      <c r="B31" s="188">
        <f>SUM(F29:F31)</f>
        <v>1369437.9681818183</v>
      </c>
      <c r="C31" s="188">
        <f>AVERAGE(F29:F31)</f>
        <v>456479.32272727275</v>
      </c>
      <c r="D31" s="190">
        <f>C31/C28-1</f>
        <v>-8.73325376786247E-2</v>
      </c>
      <c r="E31" s="287">
        <f>C31/C19-1</f>
        <v>0.18997741946275726</v>
      </c>
      <c r="F31" s="136">
        <f>Q31/20</f>
        <v>746644.65</v>
      </c>
      <c r="G31" s="190">
        <f t="shared" ref="G31" si="34">F31/F30-1</f>
        <v>1.8951946752697846</v>
      </c>
      <c r="H31" s="190">
        <f t="shared" ref="H31" si="35">F31/F19-1</f>
        <v>1.7494288629582426</v>
      </c>
      <c r="I31" s="130">
        <f t="shared" si="0"/>
        <v>223.47270360061057</v>
      </c>
      <c r="J31" s="130">
        <f t="shared" si="5"/>
        <v>-0.11926050474374539</v>
      </c>
      <c r="K31" s="136">
        <f>R29+R30+R31</f>
        <v>36932611892</v>
      </c>
      <c r="L31" s="190">
        <f>U31/U28-1</f>
        <v>-7.5041780641663114E-2</v>
      </c>
      <c r="M31" s="190">
        <f>U31/U19-1</f>
        <v>0.18257502930474079</v>
      </c>
      <c r="N31" s="191">
        <f>AVERAGE(T29:T31)</f>
        <v>259.64845686743922</v>
      </c>
      <c r="O31" s="192">
        <f>N31/N28-1</f>
        <v>-0.11313281362269201</v>
      </c>
      <c r="P31" s="129" t="s">
        <v>518</v>
      </c>
      <c r="Q31" s="116">
        <v>14932893</v>
      </c>
      <c r="R31" s="116">
        <v>19896865458</v>
      </c>
      <c r="S31" s="116">
        <v>66822</v>
      </c>
      <c r="T31" s="130">
        <f t="shared" ref="T31" si="36">Q31/S31</f>
        <v>223.47270360061057</v>
      </c>
      <c r="U31" s="85">
        <f>Q29+Q30+Q31</f>
        <v>27860673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1165662.857142857</v>
      </c>
      <c r="G32" s="190">
        <f t="shared" ref="G32" si="37">F32/F31-1</f>
        <v>0.56120164678452733</v>
      </c>
      <c r="H32" s="190">
        <f t="shared" ref="H32" si="38">F32/F20-1</f>
        <v>9.1502148805729746</v>
      </c>
      <c r="I32" s="130">
        <f t="shared" si="0"/>
        <v>297.59795757096833</v>
      </c>
      <c r="J32" s="130">
        <f t="shared" si="5"/>
        <v>9.3694754085007714E-2</v>
      </c>
      <c r="K32" s="136"/>
      <c r="L32" s="190"/>
      <c r="M32" s="190"/>
      <c r="N32" s="191"/>
      <c r="O32" s="192"/>
      <c r="P32" s="129" t="s">
        <v>562</v>
      </c>
      <c r="Q32" s="116">
        <v>24478920</v>
      </c>
      <c r="R32" s="116">
        <v>33357982788</v>
      </c>
      <c r="S32" s="116">
        <v>82255</v>
      </c>
      <c r="T32" s="130">
        <f t="shared" ref="T32" si="39">Q32/S32</f>
        <v>297.59795757096833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692997.90476190473</v>
      </c>
      <c r="G33" s="190">
        <f t="shared" ref="G33" si="40">F33/F32-1</f>
        <v>-0.40549027489774869</v>
      </c>
      <c r="H33" s="190">
        <f t="shared" ref="H33" si="41">F33/F21-1</f>
        <v>1.0351180233578501</v>
      </c>
      <c r="I33" s="130">
        <f t="shared" si="0"/>
        <v>265.77828913726347</v>
      </c>
      <c r="J33" s="130">
        <f t="shared" si="5"/>
        <v>-1.6563440460368728E-3</v>
      </c>
      <c r="K33" s="136"/>
      <c r="L33" s="190"/>
      <c r="M33" s="190"/>
      <c r="N33" s="191"/>
      <c r="O33" s="192"/>
      <c r="P33" s="129" t="s">
        <v>609</v>
      </c>
      <c r="Q33" s="116">
        <v>14552956</v>
      </c>
      <c r="R33" s="116">
        <v>19905714156</v>
      </c>
      <c r="S33" s="116">
        <v>54756</v>
      </c>
      <c r="T33" s="130">
        <f t="shared" ref="T33" si="42">Q33/S33</f>
        <v>265.77828913726347</v>
      </c>
      <c r="U33" s="85"/>
    </row>
    <row r="34" spans="1:21" s="79" customFormat="1" ht="13.2" hidden="1">
      <c r="A34" s="129" t="s">
        <v>652</v>
      </c>
      <c r="B34" s="188">
        <f>SUM(F32:F34)</f>
        <v>3047543.7092731828</v>
      </c>
      <c r="C34" s="188">
        <f>AVERAGE(F32:F34)</f>
        <v>1015847.9030910609</v>
      </c>
      <c r="D34" s="190">
        <f>C34/C31-1</f>
        <v>1.2253974112601536</v>
      </c>
      <c r="E34" s="287">
        <f>C34/C22-1</f>
        <v>1.8613757621378619</v>
      </c>
      <c r="F34" s="136">
        <f>Q34/19</f>
        <v>1188882.9473684211</v>
      </c>
      <c r="G34" s="190">
        <f t="shared" ref="G34" si="43">F34/F33-1</f>
        <v>0.71556499550585073</v>
      </c>
      <c r="H34" s="190">
        <f t="shared" ref="H34" si="44">F34/F22-1</f>
        <v>0.94994285998977213</v>
      </c>
      <c r="I34" s="130">
        <f t="shared" si="0"/>
        <v>321.11873080859777</v>
      </c>
      <c r="J34" s="130">
        <f t="shared" si="5"/>
        <v>-0.12427841545832286</v>
      </c>
      <c r="K34" s="136">
        <f>R32+R33+R34</f>
        <v>84364041278</v>
      </c>
      <c r="L34" s="190">
        <f>U34/U31-1</f>
        <v>1.2117431262338854</v>
      </c>
      <c r="M34" s="190">
        <f>U34/U22-1</f>
        <v>1.7692846705986018</v>
      </c>
      <c r="N34" s="191">
        <f>AVERAGE(T32:T34)</f>
        <v>294.83165917227649</v>
      </c>
      <c r="O34" s="192">
        <f>N34/N31-1</f>
        <v>0.13550322127583336</v>
      </c>
      <c r="P34" s="129" t="s">
        <v>652</v>
      </c>
      <c r="Q34" s="116">
        <v>22588776</v>
      </c>
      <c r="R34" s="116">
        <v>31100344334</v>
      </c>
      <c r="S34" s="116">
        <v>70344</v>
      </c>
      <c r="T34" s="130">
        <f t="shared" ref="T34" si="45">Q34/S34</f>
        <v>321.11873080859777</v>
      </c>
      <c r="U34" s="85">
        <f>Q32+Q33+Q34</f>
        <v>61620652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424608.95652173914</v>
      </c>
      <c r="G35" s="190">
        <f t="shared" ref="G35" si="46">F35/F34-1</f>
        <v>-0.64285049469200795</v>
      </c>
      <c r="H35" s="190">
        <f t="shared" ref="H35" si="47">F35/F23-1</f>
        <v>6.8217648215909144E-3</v>
      </c>
      <c r="I35" s="130">
        <f t="shared" si="0"/>
        <v>215.21929611917932</v>
      </c>
      <c r="J35" s="130">
        <f t="shared" si="5"/>
        <v>-0.34620407286523192</v>
      </c>
      <c r="K35" s="136"/>
      <c r="L35" s="190"/>
      <c r="M35" s="190"/>
      <c r="N35" s="191"/>
      <c r="O35" s="192"/>
      <c r="P35" s="129" t="s">
        <v>660</v>
      </c>
      <c r="Q35" s="116">
        <v>9766006</v>
      </c>
      <c r="R35" s="116">
        <v>13527820856</v>
      </c>
      <c r="S35" s="116">
        <v>45377</v>
      </c>
      <c r="T35" s="130">
        <f t="shared" ref="T35" si="48">Q35/S35</f>
        <v>215.21929611917932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512206.09523809527</v>
      </c>
      <c r="G36" s="190">
        <f t="shared" ref="G36" si="49">F36/F35-1</f>
        <v>0.20630073240546754</v>
      </c>
      <c r="H36" s="190">
        <f t="shared" ref="H36" si="50">F36/F24-1</f>
        <v>0.6534635169060532</v>
      </c>
      <c r="I36" s="130">
        <f t="shared" si="0"/>
        <v>334.70230575349285</v>
      </c>
      <c r="J36" s="130">
        <f t="shared" si="5"/>
        <v>0.39801664736087528</v>
      </c>
      <c r="K36" s="136"/>
      <c r="L36" s="190"/>
      <c r="M36" s="190"/>
      <c r="N36" s="191"/>
      <c r="O36" s="192"/>
      <c r="P36" s="129" t="s">
        <v>664</v>
      </c>
      <c r="Q36" s="116">
        <v>10756328</v>
      </c>
      <c r="R36" s="116">
        <v>14628160185</v>
      </c>
      <c r="S36" s="116">
        <v>32137</v>
      </c>
      <c r="T36" s="130">
        <f t="shared" ref="T36" si="51">Q36/S36</f>
        <v>334.70230575349285</v>
      </c>
      <c r="U36" s="85"/>
    </row>
    <row r="37" spans="1:21" s="79" customFormat="1" ht="13.2" hidden="1">
      <c r="A37" s="129" t="s">
        <v>703</v>
      </c>
      <c r="B37" s="188">
        <f>SUM(F35:F37)</f>
        <v>1547682.4962042789</v>
      </c>
      <c r="C37" s="188">
        <f>AVERAGE(F35:F37)</f>
        <v>515894.16540142632</v>
      </c>
      <c r="D37" s="190">
        <f>C37/C34-1</f>
        <v>-0.49215412678251957</v>
      </c>
      <c r="E37" s="287">
        <f>C37/C25-1</f>
        <v>0.11981106142645337</v>
      </c>
      <c r="F37" s="136">
        <f>Q37/18</f>
        <v>610867.4444444445</v>
      </c>
      <c r="G37" s="190">
        <f t="shared" ref="G37" si="52">F37/F36-1</f>
        <v>0.19262041221998194</v>
      </c>
      <c r="H37" s="190">
        <f t="shared" ref="H37" si="53">F37/F25-1</f>
        <v>-6.1045873162441588E-2</v>
      </c>
      <c r="I37" s="130">
        <f t="shared" si="0"/>
        <v>207.59367153133084</v>
      </c>
      <c r="J37" s="130">
        <f t="shared" si="5"/>
        <v>-0.26965285489846413</v>
      </c>
      <c r="K37" s="136">
        <f>R35+R36+R37</f>
        <v>42849663838</v>
      </c>
      <c r="L37" s="190">
        <f>U37/U34-1</f>
        <v>-0.48851647983211866</v>
      </c>
      <c r="M37" s="190">
        <f>U37/U25-1</f>
        <v>0.12433376122868567</v>
      </c>
      <c r="N37" s="191">
        <f>AVERAGE(T35:T37)</f>
        <v>252.50509113466771</v>
      </c>
      <c r="O37" s="192">
        <f>N37/N34-1</f>
        <v>-0.14356181475367424</v>
      </c>
      <c r="P37" s="129" t="s">
        <v>705</v>
      </c>
      <c r="Q37" s="116">
        <v>10995614</v>
      </c>
      <c r="R37" s="116">
        <v>14693682797</v>
      </c>
      <c r="S37" s="116">
        <v>52967</v>
      </c>
      <c r="T37" s="130">
        <f t="shared" ref="T37" si="54">Q37/S37</f>
        <v>207.59367153133084</v>
      </c>
      <c r="U37" s="85">
        <f>Q35+Q36+Q37</f>
        <v>31517948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413456</v>
      </c>
      <c r="G38" s="190">
        <f t="shared" ref="G38" si="55">F38/F37-1</f>
        <v>-0.32316576409466546</v>
      </c>
      <c r="H38" s="190">
        <f t="shared" ref="H38" si="56">F38/F26-1</f>
        <v>-0.10353710591917908</v>
      </c>
      <c r="I38" s="130">
        <f t="shared" si="0"/>
        <v>244.15731664107713</v>
      </c>
      <c r="J38" s="130">
        <f t="shared" si="5"/>
        <v>-3.3869858451932133E-2</v>
      </c>
      <c r="K38" s="136"/>
      <c r="L38" s="190"/>
      <c r="M38" s="190"/>
      <c r="N38" s="191"/>
      <c r="O38" s="192"/>
      <c r="P38" s="129" t="s">
        <v>728</v>
      </c>
      <c r="Q38" s="116">
        <v>8269120</v>
      </c>
      <c r="R38" s="116">
        <v>11140283840</v>
      </c>
      <c r="S38" s="116">
        <v>33868</v>
      </c>
      <c r="T38" s="130">
        <f t="shared" ref="T38" si="57">Q38/S38</f>
        <v>244.15731664107713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533370.33333333337</v>
      </c>
      <c r="G39" s="190">
        <f t="shared" ref="G39" si="58">F39/F38-1</f>
        <v>0.29002924938405394</v>
      </c>
      <c r="H39" s="190">
        <f t="shared" ref="H39" si="59">F39/F27-1</f>
        <v>-7.3224629147863318E-3</v>
      </c>
      <c r="I39" s="130">
        <f t="shared" si="0"/>
        <v>255.70798803734905</v>
      </c>
      <c r="J39" s="130">
        <f t="shared" si="5"/>
        <v>-0.23514984107236336</v>
      </c>
      <c r="K39" s="136"/>
      <c r="L39" s="190"/>
      <c r="M39" s="190"/>
      <c r="N39" s="191"/>
      <c r="O39" s="192"/>
      <c r="P39" s="129" t="s">
        <v>762</v>
      </c>
      <c r="Q39" s="116">
        <v>11200777</v>
      </c>
      <c r="R39" s="116">
        <v>15523588365</v>
      </c>
      <c r="S39" s="116">
        <v>43803</v>
      </c>
      <c r="T39" s="130">
        <f t="shared" ref="T39" si="60">Q39/S39</f>
        <v>255.70798803734905</v>
      </c>
      <c r="U39" s="85"/>
    </row>
    <row r="40" spans="1:21" s="79" customFormat="1" ht="13.2" hidden="1">
      <c r="A40" s="129" t="s">
        <v>778</v>
      </c>
      <c r="B40" s="188">
        <f>SUM(F38:F40)</f>
        <v>2004745.9047619049</v>
      </c>
      <c r="C40" s="188">
        <f>AVERAGE(F38:F40)</f>
        <v>668248.63492063491</v>
      </c>
      <c r="D40" s="190">
        <f>C40/C37-1</f>
        <v>0.29532117193195795</v>
      </c>
      <c r="E40" s="287">
        <f>C40/C28-1</f>
        <v>0.3360710013958772</v>
      </c>
      <c r="F40" s="136">
        <f>Q40/21</f>
        <v>1057919.5714285714</v>
      </c>
      <c r="G40" s="190">
        <f t="shared" ref="G40" si="61">F40/F39-1</f>
        <v>0.98346159378050269</v>
      </c>
      <c r="H40" s="190">
        <f t="shared" ref="H40" si="62">F40/F28-1</f>
        <v>1.1075535732934205</v>
      </c>
      <c r="I40" s="130">
        <f t="shared" si="0"/>
        <v>302.71990352777664</v>
      </c>
      <c r="J40" s="130">
        <f t="shared" si="5"/>
        <v>3.9309934073237018E-2</v>
      </c>
      <c r="K40" s="136">
        <f>R38+R39+R40</f>
        <v>58150021493</v>
      </c>
      <c r="L40" s="190">
        <f>U40/U37-1</f>
        <v>0.32261808414684867</v>
      </c>
      <c r="M40" s="190">
        <f>U40/U28-1</f>
        <v>0.38395797989091141</v>
      </c>
      <c r="N40" s="191">
        <f>AVERAGE(T38:T40)</f>
        <v>267.52840273540096</v>
      </c>
      <c r="O40" s="192">
        <f>N40/N37-1</f>
        <v>5.9497064131356137E-2</v>
      </c>
      <c r="P40" s="129" t="s">
        <v>778</v>
      </c>
      <c r="Q40" s="116">
        <v>22216311</v>
      </c>
      <c r="R40" s="116">
        <v>31486149288</v>
      </c>
      <c r="S40" s="116">
        <v>73389</v>
      </c>
      <c r="T40" s="130">
        <f t="shared" ref="T40" si="63">Q40/S40</f>
        <v>302.71990352777664</v>
      </c>
      <c r="U40" s="85">
        <f>Q38+Q39+Q40</f>
        <v>41686208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725813.16666666663</v>
      </c>
      <c r="G41" s="190">
        <f t="shared" ref="G41" si="64">F41/F40-1</f>
        <v>-0.31392405786901345</v>
      </c>
      <c r="H41" s="190">
        <f t="shared" ref="H41" si="65">F41/F29-1</f>
        <v>0.98906153921724083</v>
      </c>
      <c r="I41" s="130">
        <f t="shared" si="0"/>
        <v>204.03293665667167</v>
      </c>
      <c r="J41" s="130">
        <f t="shared" si="5"/>
        <v>-0.29067502259931721</v>
      </c>
      <c r="K41" s="193"/>
      <c r="L41" s="190"/>
      <c r="M41" s="190"/>
      <c r="N41" s="193"/>
      <c r="O41" s="193"/>
      <c r="P41" s="129" t="s">
        <v>792</v>
      </c>
      <c r="Q41" s="116">
        <v>13064637</v>
      </c>
      <c r="R41" s="116">
        <v>19130645070</v>
      </c>
      <c r="S41" s="116">
        <v>64032</v>
      </c>
      <c r="T41" s="130">
        <f t="shared" ref="T41" si="66">Q41/S41</f>
        <v>204.03293665667167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200344.7</v>
      </c>
      <c r="G42" s="190">
        <f t="shared" ref="G42" si="67">F42/F41-1</f>
        <v>-0.72397207821388376</v>
      </c>
      <c r="H42" s="190">
        <f t="shared" ref="H42" si="68">F42/F30-1</f>
        <v>-0.22314194756699535</v>
      </c>
      <c r="I42" s="130">
        <f t="shared" si="0"/>
        <v>260.01907852044127</v>
      </c>
      <c r="J42" s="130">
        <f t="shared" si="5"/>
        <v>-2.9159597714278451E-2</v>
      </c>
      <c r="K42" s="193"/>
      <c r="L42" s="190"/>
      <c r="M42" s="190"/>
      <c r="N42" s="193"/>
      <c r="O42" s="193"/>
      <c r="P42" s="129" t="s">
        <v>826</v>
      </c>
      <c r="Q42" s="116">
        <v>4006894</v>
      </c>
      <c r="R42" s="116">
        <v>5785168794</v>
      </c>
      <c r="S42" s="116">
        <v>15410</v>
      </c>
      <c r="T42" s="130">
        <f t="shared" ref="T42" si="69">Q42/S42</f>
        <v>260.01907852044127</v>
      </c>
      <c r="U42" s="78"/>
    </row>
    <row r="43" spans="1:21" s="79" customFormat="1" ht="13.2">
      <c r="A43" s="129" t="s">
        <v>835</v>
      </c>
      <c r="B43" s="188">
        <f>SUM(F41:F43)</f>
        <v>1690933.3166666667</v>
      </c>
      <c r="C43" s="188">
        <f>AVERAGE(F41:F43)</f>
        <v>563644.43888888892</v>
      </c>
      <c r="D43" s="190">
        <f>C43/C40-1</f>
        <v>-0.1565348443160971</v>
      </c>
      <c r="E43" s="287">
        <f>C43/C31-1</f>
        <v>0.2347644478644717</v>
      </c>
      <c r="F43" s="136">
        <f>Q43/20</f>
        <v>764775.45</v>
      </c>
      <c r="G43" s="190">
        <f t="shared" ref="G43" si="70">F43/F42-1</f>
        <v>2.8172981366614636</v>
      </c>
      <c r="H43" s="190">
        <f t="shared" ref="H43" si="71">F43/F31-1</f>
        <v>2.4283037452957013E-2</v>
      </c>
      <c r="I43" s="130">
        <f t="shared" si="0"/>
        <v>242.48563683059069</v>
      </c>
      <c r="J43" s="130">
        <f t="shared" si="5"/>
        <v>8.5079443366649077E-2</v>
      </c>
      <c r="K43" s="136">
        <f>R41+R42+R43</f>
        <v>47105728519</v>
      </c>
      <c r="L43" s="190">
        <f>U43/U40-1</f>
        <v>-0.22355518640601701</v>
      </c>
      <c r="M43" s="190">
        <f>K43/K31-1</f>
        <v>0.27545077658597994</v>
      </c>
      <c r="N43" s="191">
        <f>AVERAGE(T41:T43)</f>
        <v>235.51255066923454</v>
      </c>
      <c r="O43" s="192">
        <f>N43/N40-1</f>
        <v>-0.11967272162063369</v>
      </c>
      <c r="P43" s="129" t="s">
        <v>835</v>
      </c>
      <c r="Q43" s="116">
        <v>15295509</v>
      </c>
      <c r="R43" s="116">
        <v>22189914655</v>
      </c>
      <c r="S43" s="116">
        <v>63078</v>
      </c>
      <c r="T43" s="130">
        <f t="shared" ref="T43" si="72">Q43/S43</f>
        <v>242.48563683059069</v>
      </c>
      <c r="U43" s="85">
        <f>Q41+Q42+Q43</f>
        <v>32367040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646510.63636363635</v>
      </c>
      <c r="G44" s="190">
        <f t="shared" ref="G44" si="73">F44/F43-1</f>
        <v>-0.15463991899369101</v>
      </c>
      <c r="H44" s="190">
        <f t="shared" ref="H44" si="74">F44/F32-1</f>
        <v>-0.44537081849867699</v>
      </c>
      <c r="I44" s="130">
        <f t="shared" si="0"/>
        <v>244.24277913246556</v>
      </c>
      <c r="J44" s="130">
        <f t="shared" si="5"/>
        <v>-0.17928610422596447</v>
      </c>
      <c r="K44" s="136"/>
      <c r="L44" s="190"/>
      <c r="M44" s="190"/>
      <c r="N44" s="191"/>
      <c r="O44" s="192"/>
      <c r="P44" s="129" t="s">
        <v>843</v>
      </c>
      <c r="Q44" s="116">
        <v>14223234</v>
      </c>
      <c r="R44" s="116">
        <v>20613504982</v>
      </c>
      <c r="S44" s="116">
        <v>58234</v>
      </c>
      <c r="T44" s="130">
        <f t="shared" ref="T44" si="75">Q44/S44</f>
        <v>244.24277913246556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1073912.3999999999</v>
      </c>
      <c r="G45" s="190">
        <f t="shared" ref="G45" si="76">F45/F44-1</f>
        <v>0.66109007276404208</v>
      </c>
      <c r="H45" s="190">
        <f t="shared" ref="H45" si="77">F45/F33-1</f>
        <v>0.54966182815367537</v>
      </c>
      <c r="I45" s="130">
        <f t="shared" si="0"/>
        <v>281.05532583093429</v>
      </c>
      <c r="J45" s="130">
        <f t="shared" si="5"/>
        <v>5.7480378639132912E-2</v>
      </c>
      <c r="K45" s="136"/>
      <c r="L45" s="190"/>
      <c r="M45" s="190"/>
      <c r="N45" s="191"/>
      <c r="O45" s="192"/>
      <c r="P45" s="129" t="s">
        <v>853</v>
      </c>
      <c r="Q45" s="116">
        <v>21478248</v>
      </c>
      <c r="R45" s="116">
        <v>30276577438</v>
      </c>
      <c r="S45" s="116">
        <v>76420</v>
      </c>
      <c r="T45" s="130">
        <f t="shared" ref="T45" si="78">Q45/S45</f>
        <v>281.05532583093429</v>
      </c>
      <c r="U45" s="85"/>
    </row>
    <row r="46" spans="1:21" s="79" customFormat="1" ht="13.2">
      <c r="A46" s="129" t="s">
        <v>893</v>
      </c>
      <c r="B46" s="188">
        <f>SUM(F44:F46)</f>
        <v>2432425.8784688991</v>
      </c>
      <c r="C46" s="188">
        <f>AVERAGE(F44:F46)</f>
        <v>810808.62615629972</v>
      </c>
      <c r="D46" s="190">
        <f>C46/C43-1</f>
        <v>0.43851082387088747</v>
      </c>
      <c r="E46" s="287">
        <f>C46/C34-1</f>
        <v>-0.20184052781017692</v>
      </c>
      <c r="F46" s="136">
        <f>Q46/19</f>
        <v>712002.84210526315</v>
      </c>
      <c r="G46" s="190">
        <f t="shared" ref="G46" si="79">F46/F45-1</f>
        <v>-0.33700100482566064</v>
      </c>
      <c r="H46" s="190">
        <f t="shared" ref="H46" si="80">F46/F34-1</f>
        <v>-0.40111611182473994</v>
      </c>
      <c r="I46" s="130">
        <f t="shared" si="0"/>
        <v>236.31026953377469</v>
      </c>
      <c r="J46" s="130">
        <f t="shared" si="5"/>
        <v>-0.26410312802766089</v>
      </c>
      <c r="K46" s="136">
        <f>R44+R45+R46</f>
        <v>69451481509</v>
      </c>
      <c r="L46" s="190">
        <f>U46/U43-1</f>
        <v>0.52097738934422178</v>
      </c>
      <c r="M46" s="190">
        <f>K46/K34-1</f>
        <v>-0.17676440747853095</v>
      </c>
      <c r="N46" s="191">
        <f>AVERAGE(T44:T46)</f>
        <v>253.86945816572484</v>
      </c>
      <c r="O46" s="192">
        <f>N46/N43-1</f>
        <v>7.7944497838128513E-2</v>
      </c>
      <c r="P46" s="129" t="s">
        <v>940</v>
      </c>
      <c r="Q46" s="116">
        <v>13528054</v>
      </c>
      <c r="R46" s="116">
        <v>18561399089</v>
      </c>
      <c r="S46" s="116">
        <v>57247</v>
      </c>
      <c r="T46" s="130">
        <f t="shared" ref="T46" si="81">Q46/S46</f>
        <v>236.31026953377469</v>
      </c>
      <c r="U46" s="85">
        <f t="shared" ref="U46:U51" si="82">Q44+Q45+Q46</f>
        <v>49229536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746347.34782608692</v>
      </c>
      <c r="G47" s="190">
        <f t="shared" ref="G47" si="83">F47/F46-1</f>
        <v>4.823647279170018E-2</v>
      </c>
      <c r="H47" s="190">
        <f t="shared" ref="H47" si="84">F47/F35-1</f>
        <v>0.75772869686952871</v>
      </c>
      <c r="I47" s="130">
        <f t="shared" si="0"/>
        <v>245.21790494693084</v>
      </c>
      <c r="J47" s="130">
        <f t="shared" si="5"/>
        <v>0.13938624170176439</v>
      </c>
      <c r="K47" s="136"/>
      <c r="L47" s="190"/>
      <c r="M47" s="190"/>
      <c r="N47" s="191"/>
      <c r="O47" s="192"/>
      <c r="P47" s="129" t="s">
        <v>991</v>
      </c>
      <c r="Q47" s="116">
        <v>17165989</v>
      </c>
      <c r="R47" s="116">
        <v>23545595256</v>
      </c>
      <c r="S47" s="116">
        <v>70003</v>
      </c>
      <c r="T47" s="130">
        <f t="shared" ref="T47" si="85">Q47/S47</f>
        <v>245.21790494693084</v>
      </c>
      <c r="U47" s="85">
        <f t="shared" si="82"/>
        <v>52172291</v>
      </c>
    </row>
    <row r="48" spans="1:21" s="79" customFormat="1" ht="13.2">
      <c r="A48" s="129" t="s">
        <v>1087</v>
      </c>
      <c r="B48" s="188"/>
      <c r="C48" s="188"/>
      <c r="D48" s="190"/>
      <c r="E48" s="287"/>
      <c r="F48" s="136">
        <f>Q48/20</f>
        <v>562526.15</v>
      </c>
      <c r="G48" s="190">
        <f t="shared" ref="G48" si="86">F48/F47-1</f>
        <v>-0.2462944343026201</v>
      </c>
      <c r="H48" s="190">
        <f t="shared" ref="H48" si="87">F48/F36-1</f>
        <v>9.8241811703771109E-2</v>
      </c>
      <c r="I48" s="130">
        <f t="shared" si="0"/>
        <v>249.15894494396952</v>
      </c>
      <c r="J48" s="130">
        <f t="shared" si="5"/>
        <v>-0.25558043472973779</v>
      </c>
      <c r="K48" s="136"/>
      <c r="L48" s="190"/>
      <c r="M48" s="190"/>
      <c r="N48" s="191"/>
      <c r="O48" s="192"/>
      <c r="P48" s="129" t="s">
        <v>1070</v>
      </c>
      <c r="Q48" s="116">
        <v>11250523</v>
      </c>
      <c r="R48" s="116">
        <v>15599091463</v>
      </c>
      <c r="S48" s="116">
        <v>45154</v>
      </c>
      <c r="T48" s="130">
        <f t="shared" ref="T48" si="88">Q48/S48</f>
        <v>249.15894494396952</v>
      </c>
      <c r="U48" s="85">
        <f t="shared" si="82"/>
        <v>41944566</v>
      </c>
    </row>
    <row r="49" spans="1:26" ht="13.2">
      <c r="A49" s="129" t="s">
        <v>1207</v>
      </c>
      <c r="B49" s="188">
        <f>SUM(F47:F49)</f>
        <v>1808721.6341897231</v>
      </c>
      <c r="C49" s="188">
        <f>AVERAGE(F47:F49)</f>
        <v>602907.21139657439</v>
      </c>
      <c r="D49" s="190">
        <f>C49/C46-1</f>
        <v>-0.25641243574984873</v>
      </c>
      <c r="E49" s="287">
        <f>C49/C37-1</f>
        <v>0.16866452817399424</v>
      </c>
      <c r="F49" s="136">
        <f>Q49/22</f>
        <v>499848.13636363635</v>
      </c>
      <c r="G49" s="190">
        <f t="shared" ref="G49" si="89">F49/F48-1</f>
        <v>-0.11142239989441138</v>
      </c>
      <c r="H49" s="190">
        <f t="shared" ref="H49" si="90">F49/F37-1</f>
        <v>-0.18174042354110886</v>
      </c>
      <c r="I49" s="130">
        <f t="shared" si="0"/>
        <v>214.61920840001562</v>
      </c>
      <c r="J49" s="130">
        <f t="shared" si="5"/>
        <v>3.3842731413054938E-2</v>
      </c>
      <c r="K49" s="136">
        <f>R47+R48+R49</f>
        <v>54439886838</v>
      </c>
      <c r="L49" s="190">
        <f>U49/U46-1</f>
        <v>-0.1993999090302212</v>
      </c>
      <c r="M49" s="190">
        <f>K49/K37-1</f>
        <v>0.2704857392538409</v>
      </c>
      <c r="N49" s="191">
        <f>AVERAGE(T47:T49)</f>
        <v>236.33201943030531</v>
      </c>
      <c r="O49" s="192">
        <f>N49/N46-1</f>
        <v>-6.908053793525315E-2</v>
      </c>
      <c r="P49" s="129" t="s">
        <v>1158</v>
      </c>
      <c r="Q49" s="116">
        <v>10996659</v>
      </c>
      <c r="R49" s="116">
        <v>15295200119</v>
      </c>
      <c r="S49" s="116">
        <v>51238</v>
      </c>
      <c r="T49" s="130">
        <f t="shared" ref="T49" si="91">Q49/S49</f>
        <v>214.61920840001562</v>
      </c>
      <c r="U49" s="85">
        <f t="shared" si="82"/>
        <v>39413171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348188.33333333331</v>
      </c>
      <c r="G50" s="190">
        <f t="shared" ref="G50" si="92">F50/F49-1</f>
        <v>-0.30341176048713225</v>
      </c>
      <c r="H50" s="190">
        <f t="shared" ref="H50" si="93">F50/F38-1</f>
        <v>-0.15785879674419212</v>
      </c>
      <c r="I50" s="130">
        <f t="shared" ref="I50" si="94">T50</f>
        <v>299.91817007225916</v>
      </c>
      <c r="J50" s="130">
        <f t="shared" ref="J50" si="95">I50/I38-1</f>
        <v>0.22838084149308191</v>
      </c>
      <c r="K50" s="136"/>
      <c r="L50" s="190"/>
      <c r="M50" s="190"/>
      <c r="N50" s="191"/>
      <c r="O50" s="192"/>
      <c r="P50" s="129" t="s">
        <v>1346</v>
      </c>
      <c r="Q50" s="116">
        <v>6267390</v>
      </c>
      <c r="R50" s="116">
        <v>8822543580</v>
      </c>
      <c r="S50" s="116">
        <v>20897</v>
      </c>
      <c r="T50" s="130">
        <f t="shared" ref="T50" si="96">Q50/S50</f>
        <v>299.91817007225916</v>
      </c>
      <c r="U50" s="85">
        <f t="shared" si="82"/>
        <v>28514572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433823.9</v>
      </c>
      <c r="G51" s="190">
        <f t="shared" ref="G51:G52" si="97">F51/F50-1</f>
        <v>0.24594611153925339</v>
      </c>
      <c r="H51" s="190">
        <f t="shared" ref="H51:H52" si="98">F51/F39-1</f>
        <v>-0.18663661458486314</v>
      </c>
      <c r="I51" s="130">
        <f t="shared" ref="I51:I52" si="99">T51</f>
        <v>201.13772399564181</v>
      </c>
      <c r="J51" s="130">
        <f t="shared" ref="J51:J52" si="100">I51/I39-1</f>
        <v>-0.21340852298183444</v>
      </c>
      <c r="K51" s="136"/>
      <c r="L51" s="190"/>
      <c r="M51" s="190"/>
      <c r="N51" s="191"/>
      <c r="O51" s="192"/>
      <c r="P51" s="129" t="s">
        <v>1402</v>
      </c>
      <c r="Q51" s="116">
        <v>8676478</v>
      </c>
      <c r="R51" s="116">
        <v>12498447304</v>
      </c>
      <c r="S51" s="116">
        <v>43137</v>
      </c>
      <c r="T51" s="130">
        <f t="shared" ref="T51:T52" si="101">Q51/S51</f>
        <v>201.13772399564181</v>
      </c>
      <c r="U51" s="85">
        <f t="shared" si="82"/>
        <v>25940527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1337725.6424242426</v>
      </c>
      <c r="C52" s="188">
        <f>AVERAGE(F50:F52)</f>
        <v>445908.54747474752</v>
      </c>
      <c r="D52" s="190">
        <f>C52/C49-1</f>
        <v>-0.26040269705541441</v>
      </c>
      <c r="E52" s="287">
        <f>C52/C40-1</f>
        <v>-0.33272060102643353</v>
      </c>
      <c r="F52" s="136">
        <f>Q52/22</f>
        <v>555713.40909090906</v>
      </c>
      <c r="G52" s="190">
        <f t="shared" si="97"/>
        <v>0.28096540806283166</v>
      </c>
      <c r="H52" s="190">
        <f t="shared" si="98"/>
        <v>-0.4747110989349631</v>
      </c>
      <c r="I52" s="130">
        <f t="shared" si="99"/>
        <v>237.05151820684841</v>
      </c>
      <c r="J52" s="130">
        <f t="shared" si="100"/>
        <v>-0.21692787476361852</v>
      </c>
      <c r="K52" s="136">
        <f>R50+R51+R52</f>
        <v>39300379816</v>
      </c>
      <c r="L52" s="190">
        <f>U52/U49-1</f>
        <v>-0.31064762589135497</v>
      </c>
      <c r="M52" s="190">
        <f>K52/K40-1</f>
        <v>-0.32415536904434483</v>
      </c>
      <c r="N52" s="191">
        <f>AVERAGE(T50:T52)</f>
        <v>246.03580409158312</v>
      </c>
      <c r="O52" s="192">
        <f>N52/N49-1</f>
        <v>4.1059965910118512E-2</v>
      </c>
      <c r="P52" s="129" t="s">
        <v>1403</v>
      </c>
      <c r="Q52" s="116">
        <v>12225695</v>
      </c>
      <c r="R52" s="116">
        <v>17979388932</v>
      </c>
      <c r="S52" s="116">
        <v>51574</v>
      </c>
      <c r="T52" s="130">
        <f t="shared" si="101"/>
        <v>237.05151820684841</v>
      </c>
      <c r="U52" s="85">
        <f t="shared" ref="U52" si="102">Q50+Q51+Q52</f>
        <v>27169563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473331.42857142858</v>
      </c>
      <c r="G53" s="190">
        <f t="shared" ref="G53" si="103">F53/F52-1</f>
        <v>-0.14824544301396125</v>
      </c>
      <c r="H53" s="190">
        <f t="shared" ref="H53" si="104">F53/F41-1</f>
        <v>-0.3478605096884273</v>
      </c>
      <c r="I53" s="130">
        <f t="shared" ref="I53" si="105">T53</f>
        <v>262.06754725935298</v>
      </c>
      <c r="J53" s="130">
        <f t="shared" ref="J53" si="106">I53/I41-1</f>
        <v>0.28443746168461392</v>
      </c>
      <c r="K53" s="136"/>
      <c r="L53" s="190"/>
      <c r="M53" s="190"/>
      <c r="N53" s="191"/>
      <c r="O53" s="192"/>
      <c r="P53" s="129" t="s">
        <v>1414</v>
      </c>
      <c r="Q53" s="116">
        <v>9939960</v>
      </c>
      <c r="R53" s="116">
        <v>14585377857</v>
      </c>
      <c r="S53" s="116">
        <v>37929</v>
      </c>
      <c r="T53" s="130">
        <f t="shared" ref="T53" si="107">Q53/S53</f>
        <v>262.06754725935298</v>
      </c>
      <c r="U53" s="85">
        <f t="shared" ref="U53" si="108">Q51+Q52+Q53</f>
        <v>30842133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971068.9411764706</v>
      </c>
      <c r="G54" s="190">
        <f t="shared" ref="G54" si="109">F54/F53-1</f>
        <v>1.0515623568611829</v>
      </c>
      <c r="H54" s="190">
        <f t="shared" ref="H54" si="110">F54/F42-1</f>
        <v>3.8469909170368402</v>
      </c>
      <c r="I54" s="130">
        <f t="shared" ref="I54" si="111">T54</f>
        <v>263.17070526718533</v>
      </c>
      <c r="J54" s="130">
        <f t="shared" ref="J54" si="112">I54/I42-1</f>
        <v>1.2120751925887241E-2</v>
      </c>
      <c r="K54" s="136"/>
      <c r="L54" s="190"/>
      <c r="M54" s="190"/>
      <c r="N54" s="191"/>
      <c r="O54" s="192"/>
      <c r="P54" s="129" t="s">
        <v>1417</v>
      </c>
      <c r="Q54" s="116">
        <v>16508172</v>
      </c>
      <c r="R54" s="116">
        <v>23931970586</v>
      </c>
      <c r="S54" s="116">
        <v>62728</v>
      </c>
      <c r="T54" s="130">
        <f t="shared" ref="T54" si="113">Q54/S54</f>
        <v>263.17070526718533</v>
      </c>
      <c r="U54" s="85">
        <f t="shared" ref="U54" si="114">Q52+Q53+Q54</f>
        <v>38673827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2431401.2268907563</v>
      </c>
      <c r="C55" s="188">
        <f>AVERAGE(F53:F55)</f>
        <v>810467.07563025213</v>
      </c>
      <c r="D55" s="190">
        <f>C55/C52-1</f>
        <v>0.81756344483652255</v>
      </c>
      <c r="E55" s="287">
        <f>C55/C43-1</f>
        <v>0.43790485581286687</v>
      </c>
      <c r="F55" s="136">
        <f>Q55/21</f>
        <v>987000.85714285716</v>
      </c>
      <c r="G55" s="190">
        <f t="shared" ref="G55" si="115">F55/F54-1</f>
        <v>1.640657556927394E-2</v>
      </c>
      <c r="H55" s="190">
        <f t="shared" ref="H55" si="116">F55/F43-1</f>
        <v>0.29057602089980428</v>
      </c>
      <c r="I55" s="130">
        <f>T55</f>
        <v>263.34402276798761</v>
      </c>
      <c r="J55" s="130">
        <f t="shared" ref="J55" si="117">I55/I43-1</f>
        <v>8.6019057499761686E-2</v>
      </c>
      <c r="K55" s="136">
        <f>R53+R54+R55</f>
        <v>68879621819</v>
      </c>
      <c r="L55" s="190">
        <f>U55/U52-1</f>
        <v>0.73632347343974569</v>
      </c>
      <c r="M55" s="190">
        <f>K55/K43-1</f>
        <v>0.46223450914717401</v>
      </c>
      <c r="N55" s="191">
        <f>AVERAGE(T53:T55)</f>
        <v>262.86075843150866</v>
      </c>
      <c r="O55" s="192">
        <f>N55/N52-1</f>
        <v>6.8384170352956852E-2</v>
      </c>
      <c r="P55" s="129" t="s">
        <v>1418</v>
      </c>
      <c r="Q55" s="116">
        <v>20727018</v>
      </c>
      <c r="R55" s="116">
        <v>30362273376</v>
      </c>
      <c r="S55" s="116">
        <v>78707</v>
      </c>
      <c r="T55" s="130">
        <f t="shared" ref="T55" si="118">Q55/S55</f>
        <v>263.34402276798761</v>
      </c>
      <c r="U55" s="85">
        <f t="shared" ref="U55" si="119">Q53+Q54+Q55</f>
        <v>47175150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665772.72727272729</v>
      </c>
      <c r="G56" s="190">
        <f t="shared" ref="G56" si="120">F56/F55-1</f>
        <v>-0.32545881550702216</v>
      </c>
      <c r="H56" s="190">
        <f t="shared" ref="H56" si="121">F56/F44-1</f>
        <v>2.9793927316389635E-2</v>
      </c>
      <c r="I56" s="291">
        <f>T56</f>
        <v>255.72665688944758</v>
      </c>
      <c r="J56" s="130">
        <f t="shared" ref="J56" si="122">I56/I44-1</f>
        <v>4.7018289743393948E-2</v>
      </c>
      <c r="K56" s="136"/>
      <c r="L56" s="190"/>
      <c r="M56" s="190"/>
      <c r="N56" s="191"/>
      <c r="O56" s="192"/>
      <c r="P56" s="129" t="s">
        <v>1420</v>
      </c>
      <c r="Q56" s="116">
        <v>14647000</v>
      </c>
      <c r="R56" s="116">
        <v>21921531938</v>
      </c>
      <c r="S56" s="116">
        <v>57276</v>
      </c>
      <c r="T56" s="130">
        <f t="shared" ref="T56" si="123">Q56/S56</f>
        <v>255.72665688944758</v>
      </c>
      <c r="U56" s="85">
        <f t="shared" ref="U56" si="124">Q54+Q55+Q56</f>
        <v>51882190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967411.58333333337</v>
      </c>
      <c r="G57" s="254">
        <f t="shared" ref="G57" si="125">F57/F56-1</f>
        <v>0.45306580414646924</v>
      </c>
      <c r="H57" s="254">
        <f t="shared" ref="H57" si="126">F57/F45-1</f>
        <v>-9.9170860366885161E-2</v>
      </c>
      <c r="I57" s="282">
        <f>T57</f>
        <v>293.72615945145867</v>
      </c>
      <c r="J57" s="277">
        <f t="shared" ref="J57" si="127">I57/I45-1</f>
        <v>4.5083058230842354E-2</v>
      </c>
      <c r="K57" s="204"/>
      <c r="L57" s="254"/>
      <c r="M57" s="254"/>
      <c r="N57" s="257"/>
      <c r="O57" s="258"/>
      <c r="P57" s="129" t="s">
        <v>1436</v>
      </c>
      <c r="Q57" s="116">
        <v>11608939</v>
      </c>
      <c r="R57" s="116">
        <v>17074128469</v>
      </c>
      <c r="S57" s="116">
        <v>39523</v>
      </c>
      <c r="T57" s="130">
        <f t="shared" ref="T57" si="128">Q57/S57</f>
        <v>293.72615945145867</v>
      </c>
      <c r="U57" s="85">
        <f t="shared" ref="U57" si="129">Q55+Q56+Q57</f>
        <v>46982957</v>
      </c>
      <c r="V57" s="79"/>
      <c r="W57" s="79"/>
      <c r="X57" s="79"/>
      <c r="Y57" s="79"/>
      <c r="Z57" s="79"/>
    </row>
    <row r="58" spans="1:26">
      <c r="B58" s="196">
        <f>SUM(F56:F58)</f>
        <v>1633184.3106060605</v>
      </c>
      <c r="C58" s="196">
        <f>AVERAGE(F56:F58)</f>
        <v>816592.15530303027</v>
      </c>
      <c r="D58" s="197">
        <f>C58/C55-1</f>
        <v>7.5574688435247062E-3</v>
      </c>
      <c r="E58" s="233">
        <f>C58/C46-1</f>
        <v>7.1330385002781327E-3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73431089</v>
      </c>
      <c r="R67" s="212">
        <v>107875282226</v>
      </c>
      <c r="S67" s="213">
        <v>276163</v>
      </c>
      <c r="T67" s="214">
        <v>5</v>
      </c>
      <c r="U67" s="214">
        <v>20</v>
      </c>
    </row>
    <row r="68" spans="16:21" ht="18" thickBot="1">
      <c r="P68" s="180" t="s">
        <v>976</v>
      </c>
      <c r="Q68" s="181">
        <v>9939960</v>
      </c>
      <c r="R68" s="181">
        <v>14585377857</v>
      </c>
      <c r="S68" s="182">
        <v>37929</v>
      </c>
      <c r="T68" s="210">
        <v>5</v>
      </c>
      <c r="U68" s="210">
        <v>8</v>
      </c>
    </row>
    <row r="69" spans="16:21" ht="18" thickBot="1">
      <c r="P69" s="180" t="s">
        <v>977</v>
      </c>
      <c r="Q69" s="181">
        <v>16508172</v>
      </c>
      <c r="R69" s="181">
        <v>23931970586</v>
      </c>
      <c r="S69" s="182">
        <v>62728</v>
      </c>
      <c r="T69" s="210" t="s">
        <v>1421</v>
      </c>
      <c r="U69" s="210">
        <v>11</v>
      </c>
    </row>
    <row r="70" spans="16:21" ht="18" thickBot="1">
      <c r="P70" s="180" t="s">
        <v>978</v>
      </c>
      <c r="Q70" s="181">
        <v>20727018</v>
      </c>
      <c r="R70" s="181">
        <v>30362273376</v>
      </c>
      <c r="S70" s="182">
        <v>78707</v>
      </c>
      <c r="T70" s="210" t="s">
        <v>1421</v>
      </c>
      <c r="U70" s="210">
        <v>12</v>
      </c>
    </row>
    <row r="71" spans="16:21" ht="18" thickBot="1">
      <c r="P71" s="180" t="s">
        <v>979</v>
      </c>
      <c r="Q71" s="181">
        <v>14647000</v>
      </c>
      <c r="R71" s="181">
        <v>21921531938</v>
      </c>
      <c r="S71" s="182">
        <v>57276</v>
      </c>
      <c r="T71" s="210" t="s">
        <v>1421</v>
      </c>
      <c r="U71" s="210">
        <v>7</v>
      </c>
    </row>
    <row r="72" spans="16:21" ht="18" thickBot="1">
      <c r="P72" s="180" t="s">
        <v>980</v>
      </c>
      <c r="Q72" s="181">
        <v>11608939</v>
      </c>
      <c r="R72" s="181">
        <v>17074128469</v>
      </c>
      <c r="S72" s="182">
        <v>39523</v>
      </c>
      <c r="T72" s="210" t="s">
        <v>1421</v>
      </c>
      <c r="U72" s="210">
        <v>7</v>
      </c>
    </row>
    <row r="73" spans="16:21" ht="18" thickBot="1">
      <c r="P73" s="180" t="s">
        <v>975</v>
      </c>
      <c r="Q73" s="181">
        <v>148179310</v>
      </c>
      <c r="R73" s="181">
        <v>210297476682</v>
      </c>
      <c r="S73" s="182">
        <v>616424</v>
      </c>
      <c r="T73" s="210">
        <v>10</v>
      </c>
      <c r="U73" s="210">
        <v>39</v>
      </c>
    </row>
    <row r="74" spans="16:21" ht="18" thickBot="1">
      <c r="P74" s="215" t="s">
        <v>982</v>
      </c>
      <c r="Q74" s="217" t="s">
        <v>1524</v>
      </c>
      <c r="R74"/>
      <c r="S74"/>
      <c r="T74"/>
      <c r="U74"/>
    </row>
  </sheetData>
  <phoneticPr fontId="1" type="noConversion"/>
  <conditionalFormatting sqref="C29:C30">
    <cfRule type="cellIs" dxfId="7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28">
    <tabColor rgb="FFFFFF00"/>
  </sheetPr>
  <dimension ref="A1:Z73"/>
  <sheetViews>
    <sheetView zoomScale="90" zoomScaleNormal="9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9030820000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307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772983.1</v>
      </c>
      <c r="G5" s="90"/>
      <c r="H5" s="90"/>
      <c r="I5" s="130">
        <f t="shared" ref="I5:I49" si="0">T5</f>
        <v>106.33835872165568</v>
      </c>
      <c r="J5" s="130"/>
      <c r="L5" s="80"/>
      <c r="M5" s="80"/>
      <c r="P5" s="129" t="s">
        <v>0</v>
      </c>
      <c r="Q5" s="116">
        <v>15459662</v>
      </c>
      <c r="R5" s="116"/>
      <c r="S5" s="116">
        <v>145381.79999999999</v>
      </c>
      <c r="T5" s="130">
        <f t="shared" ref="T5:T23" si="1">Q5/S5</f>
        <v>106.33835872165568</v>
      </c>
      <c r="U5" s="85"/>
    </row>
    <row r="6" spans="1:21" ht="15" hidden="1" customHeight="1">
      <c r="A6" s="129" t="s">
        <v>1</v>
      </c>
      <c r="C6" s="79"/>
      <c r="F6" s="78">
        <f>Q6/18</f>
        <v>993310.33333333337</v>
      </c>
      <c r="G6" s="90">
        <f t="shared" ref="G6:G23" si="2">F6/F5-1</f>
        <v>0.28503499408115562</v>
      </c>
      <c r="H6" s="90"/>
      <c r="I6" s="130">
        <f t="shared" si="0"/>
        <v>120.04098406882295</v>
      </c>
      <c r="J6" s="130"/>
      <c r="P6" s="129" t="s">
        <v>1</v>
      </c>
      <c r="Q6" s="116">
        <v>17879586</v>
      </c>
      <c r="R6" s="116"/>
      <c r="S6" s="116">
        <v>148945.68</v>
      </c>
      <c r="T6" s="130">
        <f t="shared" si="1"/>
        <v>120.04098406882295</v>
      </c>
      <c r="U6" s="85"/>
    </row>
    <row r="7" spans="1:21" ht="15" hidden="1" customHeight="1">
      <c r="A7" s="129" t="s">
        <v>2</v>
      </c>
      <c r="B7" s="131">
        <f>F5+F6+F7</f>
        <v>3229867.2060606061</v>
      </c>
      <c r="C7" s="131">
        <f>AVERAGE(F5:F7)</f>
        <v>1076622.402020202</v>
      </c>
      <c r="F7" s="78">
        <f>Q7/22</f>
        <v>1463573.7727272727</v>
      </c>
      <c r="G7" s="90">
        <f t="shared" si="2"/>
        <v>0.47343053184178352</v>
      </c>
      <c r="H7" s="90"/>
      <c r="I7" s="130">
        <f t="shared" si="0"/>
        <v>251.25545704151682</v>
      </c>
      <c r="J7" s="130"/>
      <c r="K7" s="79">
        <f>R5+R6+R7</f>
        <v>0</v>
      </c>
      <c r="N7" s="88">
        <f>AVERAGE(T5:T7)</f>
        <v>159.21159994399849</v>
      </c>
      <c r="P7" s="129" t="s">
        <v>2</v>
      </c>
      <c r="Q7" s="116">
        <v>32198623</v>
      </c>
      <c r="R7" s="116"/>
      <c r="S7" s="116">
        <v>128150.94</v>
      </c>
      <c r="T7" s="130">
        <f t="shared" si="1"/>
        <v>251.25545704151682</v>
      </c>
      <c r="U7" s="85">
        <f>Q5+Q6+Q7</f>
        <v>65537871</v>
      </c>
    </row>
    <row r="8" spans="1:21" ht="15" hidden="1" customHeight="1">
      <c r="A8" s="129" t="s">
        <v>3</v>
      </c>
      <c r="C8" s="79"/>
      <c r="F8" s="78">
        <f>Q8/21</f>
        <v>861460.47619047621</v>
      </c>
      <c r="G8" s="90">
        <f t="shared" si="2"/>
        <v>-0.41139934846932813</v>
      </c>
      <c r="H8" s="90"/>
      <c r="I8" s="130">
        <f t="shared" si="0"/>
        <v>97.376759714277341</v>
      </c>
      <c r="J8" s="130"/>
      <c r="K8" s="78"/>
      <c r="P8" s="129" t="s">
        <v>3</v>
      </c>
      <c r="Q8" s="116">
        <v>18090670</v>
      </c>
      <c r="R8" s="116"/>
      <c r="S8" s="116">
        <v>185780.16</v>
      </c>
      <c r="T8" s="130">
        <f t="shared" si="1"/>
        <v>97.376759714277341</v>
      </c>
      <c r="U8" s="85"/>
    </row>
    <row r="9" spans="1:21" ht="15" hidden="1" customHeight="1">
      <c r="A9" s="129" t="s">
        <v>4</v>
      </c>
      <c r="C9" s="79"/>
      <c r="F9" s="78">
        <f>Q9/21</f>
        <v>1459603.142857143</v>
      </c>
      <c r="G9" s="90">
        <f t="shared" si="2"/>
        <v>0.69433558845526466</v>
      </c>
      <c r="H9" s="90"/>
      <c r="I9" s="130">
        <f t="shared" si="0"/>
        <v>160.89870981996231</v>
      </c>
      <c r="J9" s="130"/>
      <c r="K9" s="78"/>
      <c r="P9" s="129" t="s">
        <v>4</v>
      </c>
      <c r="Q9" s="116">
        <v>30651666</v>
      </c>
      <c r="R9" s="116"/>
      <c r="S9" s="116">
        <v>190502.87</v>
      </c>
      <c r="T9" s="130">
        <f t="shared" si="1"/>
        <v>160.89870981996231</v>
      </c>
      <c r="U9" s="85"/>
    </row>
    <row r="10" spans="1:21" ht="15" hidden="1" customHeight="1">
      <c r="A10" s="129" t="s">
        <v>5</v>
      </c>
      <c r="B10" s="131">
        <f>F8+F9+F10</f>
        <v>3049689.0000000005</v>
      </c>
      <c r="C10" s="131">
        <f>AVERAGE(F8:F10)</f>
        <v>1016563.0000000001</v>
      </c>
      <c r="D10" s="90">
        <f>C10/C7-1</f>
        <v>-5.5785019805927205E-2</v>
      </c>
      <c r="E10" s="286"/>
      <c r="F10" s="78">
        <f>Q10/21</f>
        <v>728625.38095238095</v>
      </c>
      <c r="G10" s="90">
        <f t="shared" si="2"/>
        <v>-0.50080582895559411</v>
      </c>
      <c r="H10" s="90"/>
      <c r="I10" s="130">
        <f t="shared" si="0"/>
        <v>196.32089803103437</v>
      </c>
      <c r="J10" s="130"/>
      <c r="K10" s="79">
        <f>R8+R9+R10</f>
        <v>0</v>
      </c>
      <c r="L10" s="87">
        <f>U10/U7-1</f>
        <v>-2.2802113910596833E-2</v>
      </c>
      <c r="N10" s="88">
        <f>AVERAGE(T8:T10)</f>
        <v>151.532122521758</v>
      </c>
      <c r="O10" s="89">
        <f>N10/N7-1</f>
        <v>-4.8234408956016384E-2</v>
      </c>
      <c r="P10" s="129" t="s">
        <v>5</v>
      </c>
      <c r="Q10" s="116">
        <v>15301133</v>
      </c>
      <c r="R10" s="116"/>
      <c r="S10" s="116">
        <v>77939.399999999994</v>
      </c>
      <c r="T10" s="130">
        <f t="shared" si="1"/>
        <v>196.32089803103437</v>
      </c>
      <c r="U10" s="85">
        <f>Q8+Q9+Q10</f>
        <v>64043469</v>
      </c>
    </row>
    <row r="11" spans="1:21" ht="15" hidden="1" customHeight="1">
      <c r="A11" s="129" t="s">
        <v>6</v>
      </c>
      <c r="C11" s="79"/>
      <c r="F11" s="78">
        <f>Q11/21</f>
        <v>775320.90476190473</v>
      </c>
      <c r="G11" s="90">
        <f t="shared" si="2"/>
        <v>6.4087149624802331E-2</v>
      </c>
      <c r="H11" s="90"/>
      <c r="I11" s="130">
        <f t="shared" si="0"/>
        <v>223.18647458961652</v>
      </c>
      <c r="J11" s="130"/>
      <c r="K11" s="78"/>
      <c r="O11" s="89"/>
      <c r="P11" s="129" t="s">
        <v>6</v>
      </c>
      <c r="Q11" s="116">
        <v>16281739</v>
      </c>
      <c r="R11" s="116"/>
      <c r="S11" s="116">
        <v>72951.28</v>
      </c>
      <c r="T11" s="130">
        <f t="shared" si="1"/>
        <v>223.18647458961652</v>
      </c>
      <c r="U11" s="85"/>
    </row>
    <row r="12" spans="1:21" ht="15" hidden="1" customHeight="1">
      <c r="A12" s="129" t="s">
        <v>7</v>
      </c>
      <c r="C12" s="79"/>
      <c r="F12" s="78">
        <f>Q12/22</f>
        <v>938008.81818181823</v>
      </c>
      <c r="G12" s="90">
        <f t="shared" si="2"/>
        <v>0.20983300259377602</v>
      </c>
      <c r="H12" s="90"/>
      <c r="I12" s="130">
        <f t="shared" si="0"/>
        <v>134.43989171162667</v>
      </c>
      <c r="J12" s="130"/>
      <c r="K12" s="78"/>
      <c r="O12" s="89"/>
      <c r="P12" s="129" t="s">
        <v>7</v>
      </c>
      <c r="Q12" s="116">
        <v>20636194</v>
      </c>
      <c r="R12" s="116"/>
      <c r="S12" s="116">
        <v>153497.54999999999</v>
      </c>
      <c r="T12" s="130">
        <f t="shared" si="1"/>
        <v>134.43989171162667</v>
      </c>
      <c r="U12" s="85"/>
    </row>
    <row r="13" spans="1:21" ht="15" hidden="1" customHeight="1">
      <c r="A13" s="129" t="s">
        <v>96</v>
      </c>
      <c r="B13" s="131">
        <f>F11+F12+F13</f>
        <v>2629080.9229437229</v>
      </c>
      <c r="C13" s="131">
        <f>AVERAGE(F11:F13)</f>
        <v>876360.30764790764</v>
      </c>
      <c r="D13" s="90">
        <f>C13/C10-1</f>
        <v>-0.13791835070929437</v>
      </c>
      <c r="E13" s="286"/>
      <c r="F13" s="78">
        <f>Q13/20</f>
        <v>915751.2</v>
      </c>
      <c r="G13" s="90">
        <f t="shared" si="2"/>
        <v>-2.3728580958291112E-2</v>
      </c>
      <c r="H13" s="90"/>
      <c r="I13" s="130">
        <f t="shared" si="0"/>
        <v>140.8332875167583</v>
      </c>
      <c r="J13" s="130"/>
      <c r="K13" s="78">
        <f>R11+R12+R13</f>
        <v>0</v>
      </c>
      <c r="L13" s="87">
        <f>U13/U10-1</f>
        <v>-0.13757081147493744</v>
      </c>
      <c r="N13" s="88">
        <f>AVERAGE(T11:T13)</f>
        <v>166.15321793933381</v>
      </c>
      <c r="O13" s="89">
        <f>N13/N10-1</f>
        <v>9.6488422218704351E-2</v>
      </c>
      <c r="P13" s="129" t="s">
        <v>96</v>
      </c>
      <c r="Q13" s="116">
        <v>18315024</v>
      </c>
      <c r="R13" s="116"/>
      <c r="S13" s="116">
        <v>130047.55</v>
      </c>
      <c r="T13" s="130">
        <f t="shared" si="1"/>
        <v>140.8332875167583</v>
      </c>
      <c r="U13" s="85">
        <f>Q11+Q12+Q13</f>
        <v>55232957</v>
      </c>
    </row>
    <row r="14" spans="1:21" ht="15" hidden="1" customHeight="1">
      <c r="A14" s="129" t="s">
        <v>97</v>
      </c>
      <c r="C14" s="79"/>
      <c r="F14" s="78">
        <f>Q14/20</f>
        <v>733047</v>
      </c>
      <c r="G14" s="90">
        <f t="shared" si="2"/>
        <v>-0.19951292447118818</v>
      </c>
      <c r="H14" s="90"/>
      <c r="I14" s="130">
        <f t="shared" si="0"/>
        <v>205.86890979180913</v>
      </c>
      <c r="J14" s="130"/>
      <c r="O14" s="89"/>
      <c r="P14" s="129" t="s">
        <v>97</v>
      </c>
      <c r="Q14" s="116">
        <v>14660940</v>
      </c>
      <c r="R14" s="116"/>
      <c r="S14" s="116">
        <v>71214.929999999993</v>
      </c>
      <c r="T14" s="130">
        <f t="shared" si="1"/>
        <v>205.86890979180913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551276.40909090906</v>
      </c>
      <c r="G15" s="90">
        <f t="shared" si="2"/>
        <v>-0.24796580697975834</v>
      </c>
      <c r="H15" s="90"/>
      <c r="I15" s="130">
        <f t="shared" si="0"/>
        <v>237.73064795674148</v>
      </c>
      <c r="J15" s="130"/>
      <c r="O15" s="89"/>
      <c r="P15" s="129" t="s">
        <v>98</v>
      </c>
      <c r="Q15" s="116">
        <v>12128081</v>
      </c>
      <c r="R15" s="116"/>
      <c r="S15" s="116">
        <v>51016.06</v>
      </c>
      <c r="T15" s="130">
        <f t="shared" si="1"/>
        <v>237.73064795674148</v>
      </c>
      <c r="U15" s="78"/>
    </row>
    <row r="16" spans="1:21" ht="15" hidden="1" customHeight="1">
      <c r="A16" s="129" t="s">
        <v>99</v>
      </c>
      <c r="B16" s="131">
        <f>F14+F15+F16</f>
        <v>2065064.2727272729</v>
      </c>
      <c r="C16" s="131">
        <f>AVERAGE(F14:F16)</f>
        <v>688354.75757575769</v>
      </c>
      <c r="D16" s="90">
        <f>C16/C13-1</f>
        <v>-0.21452996950163594</v>
      </c>
      <c r="E16" s="286"/>
      <c r="F16" s="78">
        <f>Q16/22</f>
        <v>780740.86363636365</v>
      </c>
      <c r="G16" s="90">
        <f t="shared" si="2"/>
        <v>0.41624210788170046</v>
      </c>
      <c r="H16" s="90"/>
      <c r="I16" s="130">
        <f t="shared" si="0"/>
        <v>252.10007329796517</v>
      </c>
      <c r="J16" s="130"/>
      <c r="K16" s="78">
        <f>R14+R15+R16</f>
        <v>0</v>
      </c>
      <c r="L16" s="87">
        <f>U16/U13-1</f>
        <v>-0.20400205985712483</v>
      </c>
      <c r="N16" s="88">
        <f>AVERAGE(T14:T16)</f>
        <v>231.89987701550527</v>
      </c>
      <c r="O16" s="89">
        <f>N16/N13-1</f>
        <v>0.39569898128712144</v>
      </c>
      <c r="P16" s="129" t="s">
        <v>99</v>
      </c>
      <c r="Q16" s="116">
        <v>17176299</v>
      </c>
      <c r="R16" s="116"/>
      <c r="S16" s="116">
        <v>68132.86</v>
      </c>
      <c r="T16" s="130">
        <f t="shared" si="1"/>
        <v>252.10007329796517</v>
      </c>
      <c r="U16" s="85">
        <f>Q14+Q15+Q16</f>
        <v>43965320</v>
      </c>
    </row>
    <row r="17" spans="1:21" ht="15" hidden="1" customHeight="1">
      <c r="A17" s="129" t="s">
        <v>100</v>
      </c>
      <c r="C17" s="79"/>
      <c r="F17" s="78">
        <f>Q17/20</f>
        <v>888301.55</v>
      </c>
      <c r="G17" s="90">
        <f t="shared" si="2"/>
        <v>0.13776746084823044</v>
      </c>
      <c r="H17" s="90">
        <f t="shared" ref="H17:H23" si="3">F17/F5-1</f>
        <v>0.14918624999692764</v>
      </c>
      <c r="I17" s="130">
        <f t="shared" si="0"/>
        <v>130.81338229021392</v>
      </c>
      <c r="J17" s="130">
        <f t="shared" ref="J17:J49" si="4">I17/I5-1</f>
        <v>0.2301617578339954</v>
      </c>
      <c r="O17" s="89"/>
      <c r="P17" s="129" t="s">
        <v>100</v>
      </c>
      <c r="Q17" s="116">
        <v>17766031</v>
      </c>
      <c r="R17" s="116">
        <v>22373854615</v>
      </c>
      <c r="S17" s="116">
        <v>135812.03</v>
      </c>
      <c r="T17" s="130">
        <f t="shared" si="1"/>
        <v>130.81338229021392</v>
      </c>
      <c r="U17" s="78"/>
    </row>
    <row r="18" spans="1:21" ht="15" hidden="1" customHeight="1">
      <c r="A18" s="129" t="s">
        <v>106</v>
      </c>
      <c r="C18" s="79"/>
      <c r="F18" s="78">
        <f>Q18/20</f>
        <v>1902925.75</v>
      </c>
      <c r="G18" s="90">
        <f t="shared" si="2"/>
        <v>1.1422069453779518</v>
      </c>
      <c r="H18" s="90">
        <f t="shared" si="3"/>
        <v>0.91574142152955873</v>
      </c>
      <c r="I18" s="130">
        <f t="shared" si="0"/>
        <v>323.18412643768841</v>
      </c>
      <c r="J18" s="130">
        <f t="shared" si="4"/>
        <v>1.6922815482118811</v>
      </c>
      <c r="O18" s="89"/>
      <c r="P18" s="129" t="s">
        <v>106</v>
      </c>
      <c r="Q18" s="116">
        <v>38058515</v>
      </c>
      <c r="R18" s="116">
        <v>48290640364</v>
      </c>
      <c r="S18" s="116">
        <v>117761.09</v>
      </c>
      <c r="T18" s="130">
        <f t="shared" si="1"/>
        <v>323.18412643768841</v>
      </c>
      <c r="U18" s="78"/>
    </row>
    <row r="19" spans="1:21" hidden="1">
      <c r="A19" s="129" t="s">
        <v>199</v>
      </c>
      <c r="B19" s="131">
        <f>SUM(F17:F19)</f>
        <v>3814048.8454545452</v>
      </c>
      <c r="C19" s="131">
        <f>AVERAGE(F17:F19)</f>
        <v>1271349.615151515</v>
      </c>
      <c r="D19" s="90">
        <f>C19/C16-1</f>
        <v>0.84693953395331212</v>
      </c>
      <c r="E19" s="286">
        <f>C19/C7-1</f>
        <v>0.18086862465978948</v>
      </c>
      <c r="F19" s="78">
        <f>Q19/22</f>
        <v>1022821.5454545454</v>
      </c>
      <c r="G19" s="90">
        <f t="shared" si="2"/>
        <v>-0.46250054924394957</v>
      </c>
      <c r="H19" s="90">
        <f t="shared" si="3"/>
        <v>-0.30114794039484238</v>
      </c>
      <c r="I19" s="130">
        <f t="shared" si="0"/>
        <v>242.72013496152971</v>
      </c>
      <c r="J19" s="130">
        <f t="shared" si="4"/>
        <v>-3.39706933353362E-2</v>
      </c>
      <c r="K19" s="78">
        <f>R17+R18+R19</f>
        <v>100100624672</v>
      </c>
      <c r="L19" s="87">
        <f>U19/U16-1</f>
        <v>0.78155464352357717</v>
      </c>
      <c r="M19" s="87">
        <f>U19/U7-1</f>
        <v>0.19513525241001495</v>
      </c>
      <c r="N19" s="88">
        <f>AVERAGE(T17:T19)</f>
        <v>232.23921456314397</v>
      </c>
      <c r="O19" s="89">
        <f>N19/N16-1</f>
        <v>1.4632933488620825E-3</v>
      </c>
      <c r="P19" s="129" t="s">
        <v>199</v>
      </c>
      <c r="Q19" s="116">
        <v>22502074</v>
      </c>
      <c r="R19" s="116">
        <v>29436129693</v>
      </c>
      <c r="S19" s="116">
        <v>92707.9</v>
      </c>
      <c r="T19" s="130">
        <f t="shared" si="1"/>
        <v>242.72013496152971</v>
      </c>
      <c r="U19" s="85">
        <f>Q17+Q18+Q19</f>
        <v>78326620</v>
      </c>
    </row>
    <row r="20" spans="1:21" hidden="1">
      <c r="A20" s="129" t="s">
        <v>200</v>
      </c>
      <c r="B20" s="131"/>
      <c r="C20" s="131"/>
      <c r="D20" s="90"/>
      <c r="E20" s="286"/>
      <c r="F20" s="78">
        <f>Q20/20</f>
        <v>1878644.2</v>
      </c>
      <c r="G20" s="90">
        <f t="shared" si="2"/>
        <v>0.83672724567522083</v>
      </c>
      <c r="H20" s="90">
        <f t="shared" si="3"/>
        <v>1.1807665608846989</v>
      </c>
      <c r="I20" s="130">
        <f t="shared" si="0"/>
        <v>146.49315597676221</v>
      </c>
      <c r="J20" s="130">
        <f t="shared" si="4"/>
        <v>0.50439546773380095</v>
      </c>
      <c r="O20" s="89"/>
      <c r="P20" s="129" t="s">
        <v>200</v>
      </c>
      <c r="Q20" s="116">
        <v>37572884</v>
      </c>
      <c r="R20" s="116">
        <v>49289821861</v>
      </c>
      <c r="S20" s="116">
        <v>256482.18</v>
      </c>
      <c r="T20" s="130">
        <f t="shared" si="1"/>
        <v>146.49315597676221</v>
      </c>
      <c r="U20" s="78"/>
    </row>
    <row r="21" spans="1:21" hidden="1">
      <c r="A21" s="129" t="s">
        <v>201</v>
      </c>
      <c r="B21" s="131"/>
      <c r="C21" s="131"/>
      <c r="D21" s="90"/>
      <c r="E21" s="286"/>
      <c r="F21" s="78">
        <f>Q21/21</f>
        <v>1321414.5714285714</v>
      </c>
      <c r="G21" s="90">
        <f t="shared" si="2"/>
        <v>-0.29661264680743094</v>
      </c>
      <c r="H21" s="90">
        <f t="shared" si="3"/>
        <v>-9.4675441132628935E-2</v>
      </c>
      <c r="I21" s="130">
        <f t="shared" si="0"/>
        <v>184.67275740510667</v>
      </c>
      <c r="J21" s="130">
        <f t="shared" si="4"/>
        <v>0.14775785095944105</v>
      </c>
      <c r="O21" s="89"/>
      <c r="P21" s="129" t="s">
        <v>201</v>
      </c>
      <c r="Q21" s="116">
        <v>27749706</v>
      </c>
      <c r="R21" s="116">
        <v>36948235513</v>
      </c>
      <c r="S21" s="116">
        <v>150264.21</v>
      </c>
      <c r="T21" s="130">
        <f t="shared" si="1"/>
        <v>184.67275740510667</v>
      </c>
      <c r="U21" s="78"/>
    </row>
    <row r="22" spans="1:21" hidden="1">
      <c r="A22" s="129" t="s">
        <v>202</v>
      </c>
      <c r="B22" s="131">
        <f>SUM(F20:F22)</f>
        <v>5360477.8190476187</v>
      </c>
      <c r="C22" s="131">
        <f>AVERAGE(F20:F22)</f>
        <v>1786825.9396825396</v>
      </c>
      <c r="D22" s="90">
        <f>C22/C19-1</f>
        <v>0.40545599604369409</v>
      </c>
      <c r="E22" s="286">
        <f>C22/C10-1</f>
        <v>0.75771294025312685</v>
      </c>
      <c r="F22" s="78">
        <f>Q22/21</f>
        <v>2160419.0476190476</v>
      </c>
      <c r="G22" s="90">
        <f t="shared" si="2"/>
        <v>0.63492903312200855</v>
      </c>
      <c r="H22" s="90">
        <f t="shared" si="3"/>
        <v>1.9650614761665035</v>
      </c>
      <c r="I22" s="130">
        <f t="shared" si="0"/>
        <v>183.3817392550697</v>
      </c>
      <c r="J22" s="130">
        <f t="shared" si="4"/>
        <v>-6.5908208987100592E-2</v>
      </c>
      <c r="K22" s="78">
        <f>R20+R21+R22</f>
        <v>145189741658</v>
      </c>
      <c r="L22" s="87">
        <f>U22/U19-1</f>
        <v>0.41320268894534196</v>
      </c>
      <c r="M22" s="87">
        <f>U22/U10-1</f>
        <v>0.72837904829921074</v>
      </c>
      <c r="N22" s="88">
        <f>AVERAGE(T20:T22)</f>
        <v>171.5158842123129</v>
      </c>
      <c r="O22" s="89">
        <f>N22/N19-1</f>
        <v>-0.26146889303365639</v>
      </c>
      <c r="P22" s="129" t="s">
        <v>202</v>
      </c>
      <c r="Q22" s="116">
        <v>45368800</v>
      </c>
      <c r="R22" s="116">
        <v>58951684284</v>
      </c>
      <c r="S22" s="116">
        <v>247400.86</v>
      </c>
      <c r="T22" s="130">
        <f t="shared" si="1"/>
        <v>183.3817392550697</v>
      </c>
      <c r="U22" s="85">
        <f>Q20+Q21+Q22</f>
        <v>110691390</v>
      </c>
    </row>
    <row r="23" spans="1:21" hidden="1">
      <c r="A23" s="129" t="s">
        <v>203</v>
      </c>
      <c r="C23" s="131"/>
      <c r="F23" s="78">
        <f>Q23/21</f>
        <v>1345994.9047619049</v>
      </c>
      <c r="G23" s="90">
        <f t="shared" si="2"/>
        <v>-0.37697507979051681</v>
      </c>
      <c r="H23" s="90">
        <f t="shared" si="3"/>
        <v>0.73604877218582132</v>
      </c>
      <c r="I23" s="130">
        <f t="shared" si="0"/>
        <v>248.04584398782285</v>
      </c>
      <c r="J23" s="130">
        <f t="shared" si="4"/>
        <v>0.11138385264571449</v>
      </c>
      <c r="O23" s="89"/>
      <c r="P23" s="129" t="s">
        <v>203</v>
      </c>
      <c r="Q23" s="116">
        <v>28265893</v>
      </c>
      <c r="R23" s="116">
        <v>36300052002</v>
      </c>
      <c r="S23" s="116">
        <v>113954.31</v>
      </c>
      <c r="T23" s="130">
        <f t="shared" si="1"/>
        <v>248.04584398782285</v>
      </c>
      <c r="U23" s="78"/>
    </row>
    <row r="24" spans="1:21" hidden="1">
      <c r="A24" s="129" t="s">
        <v>204</v>
      </c>
      <c r="C24" s="131"/>
      <c r="F24" s="78">
        <f>Q24/22</f>
        <v>880022.45454545459</v>
      </c>
      <c r="G24" s="90">
        <f t="shared" ref="G24" si="5">F24/F23-1</f>
        <v>-0.34619183814731957</v>
      </c>
      <c r="H24" s="90">
        <f t="shared" ref="H24" si="6">F24/F12-1</f>
        <v>-6.1818569838992588E-2</v>
      </c>
      <c r="I24" s="130">
        <f t="shared" si="0"/>
        <v>257.0727595605124</v>
      </c>
      <c r="J24" s="130">
        <f t="shared" si="4"/>
        <v>0.91217618734722739</v>
      </c>
      <c r="O24" s="89"/>
      <c r="P24" s="129" t="s">
        <v>204</v>
      </c>
      <c r="Q24" s="116">
        <v>19360494</v>
      </c>
      <c r="R24" s="116">
        <v>25250938097</v>
      </c>
      <c r="S24" s="116">
        <v>75311.34</v>
      </c>
      <c r="T24" s="130">
        <f t="shared" ref="T24" si="7">Q24/S24</f>
        <v>257.0727595605124</v>
      </c>
      <c r="U24" s="78"/>
    </row>
    <row r="25" spans="1:21" s="79" customFormat="1" ht="13.2" hidden="1">
      <c r="A25" s="129" t="s">
        <v>218</v>
      </c>
      <c r="B25" s="131">
        <f>SUM(F23:F25)</f>
        <v>3658893.2014126228</v>
      </c>
      <c r="C25" s="131">
        <f>AVERAGE(F23:F25)</f>
        <v>1219631.067137541</v>
      </c>
      <c r="D25" s="90">
        <f>C25/C22-1</f>
        <v>-0.3174315191807493</v>
      </c>
      <c r="E25" s="286">
        <f>C25/C13-1</f>
        <v>0.39170048722419781</v>
      </c>
      <c r="F25" s="78">
        <f>Q25/19</f>
        <v>1432875.8421052631</v>
      </c>
      <c r="G25" s="90">
        <f t="shared" ref="G25" si="8">F25/F24-1</f>
        <v>0.62822645570489</v>
      </c>
      <c r="H25" s="90">
        <f t="shared" ref="H25" si="9">F25/F13-1</f>
        <v>0.56469993389608786</v>
      </c>
      <c r="I25" s="130">
        <f t="shared" si="0"/>
        <v>245.75453776279269</v>
      </c>
      <c r="J25" s="130">
        <f t="shared" si="4"/>
        <v>0.74500320269488429</v>
      </c>
      <c r="K25" s="78">
        <f>R23+R24+R25</f>
        <v>97734732474</v>
      </c>
      <c r="L25" s="90">
        <f>U25/U22-1</f>
        <v>-0.32378635772845565</v>
      </c>
      <c r="M25" s="90">
        <f>U25/U13-1</f>
        <v>0.35518777312610661</v>
      </c>
      <c r="N25" s="88">
        <f>AVERAGE(T23:T25)</f>
        <v>250.2910471037093</v>
      </c>
      <c r="O25" s="91">
        <f>N25/N22-1</f>
        <v>0.4592878569420642</v>
      </c>
      <c r="P25" s="129" t="s">
        <v>220</v>
      </c>
      <c r="Q25" s="116">
        <v>27224641</v>
      </c>
      <c r="R25" s="116">
        <v>36183742375</v>
      </c>
      <c r="S25" s="116">
        <v>110779.81</v>
      </c>
      <c r="T25" s="130">
        <f t="shared" ref="T25" si="10">Q25/S25</f>
        <v>245.75453776279269</v>
      </c>
      <c r="U25" s="85">
        <f>Q23+Q24+Q25</f>
        <v>74851028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774571.52631578944</v>
      </c>
      <c r="G26" s="90">
        <f t="shared" ref="G26" si="11">F26/F25-1</f>
        <v>-0.45942872120884903</v>
      </c>
      <c r="H26" s="90">
        <f t="shared" ref="H26" si="12">F26/F14-1</f>
        <v>5.6646471939438392E-2</v>
      </c>
      <c r="I26" s="130">
        <f t="shared" si="0"/>
        <v>389.46688017817678</v>
      </c>
      <c r="J26" s="130">
        <f t="shared" si="4"/>
        <v>0.89181980208685419</v>
      </c>
      <c r="L26" s="90"/>
      <c r="M26" s="90"/>
      <c r="P26" s="129" t="s">
        <v>312</v>
      </c>
      <c r="Q26" s="116">
        <v>14716859</v>
      </c>
      <c r="R26" s="116">
        <v>19846130096</v>
      </c>
      <c r="S26" s="116">
        <v>37787.19</v>
      </c>
      <c r="T26" s="130">
        <f t="shared" ref="T26" si="13">Q26/S26</f>
        <v>389.46688017817678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86"/>
      <c r="F27" s="78">
        <f>Q27/22</f>
        <v>945747.68181818177</v>
      </c>
      <c r="G27" s="90">
        <f t="shared" ref="G27" si="14">F27/F26-1</f>
        <v>0.22099463985796519</v>
      </c>
      <c r="H27" s="90">
        <f t="shared" ref="H27" si="15">F27/F15-1</f>
        <v>0.71555986474694544</v>
      </c>
      <c r="I27" s="130">
        <f t="shared" si="0"/>
        <v>140.4207239670651</v>
      </c>
      <c r="J27" s="130">
        <f t="shared" si="4"/>
        <v>-0.40932847668586392</v>
      </c>
      <c r="L27" s="90"/>
      <c r="M27" s="90"/>
      <c r="P27" s="129" t="s">
        <v>401</v>
      </c>
      <c r="Q27" s="116">
        <v>20806449</v>
      </c>
      <c r="R27" s="116">
        <v>27519250460</v>
      </c>
      <c r="S27" s="116">
        <v>148172.21</v>
      </c>
      <c r="T27" s="130">
        <f t="shared" ref="T27" si="16">Q27/S27</f>
        <v>140.4207239670651</v>
      </c>
      <c r="U27" s="78"/>
    </row>
    <row r="28" spans="1:21" s="79" customFormat="1" ht="13.2" hidden="1">
      <c r="A28" s="123" t="s">
        <v>413</v>
      </c>
      <c r="B28" s="131">
        <f>SUM(F26:F28)</f>
        <v>2457860.1555023924</v>
      </c>
      <c r="C28" s="131">
        <f>AVERAGE(F26:F28)</f>
        <v>819286.71850079752</v>
      </c>
      <c r="D28" s="90">
        <f>C28/C25-1</f>
        <v>-0.32825036966002086</v>
      </c>
      <c r="E28" s="286">
        <f>C28/C16-1</f>
        <v>0.19021000361231599</v>
      </c>
      <c r="F28" s="78">
        <f>Q28/19</f>
        <v>737540.94736842101</v>
      </c>
      <c r="G28" s="90">
        <f t="shared" ref="G28" si="17">F28/F27-1</f>
        <v>-0.22015040422778231</v>
      </c>
      <c r="H28" s="90">
        <f t="shared" ref="H28" si="18">F28/F16-1</f>
        <v>-5.5331952354505387E-2</v>
      </c>
      <c r="I28" s="130">
        <f t="shared" si="0"/>
        <v>190.77525397396315</v>
      </c>
      <c r="J28" s="130">
        <f t="shared" si="4"/>
        <v>-0.24325585677843198</v>
      </c>
      <c r="K28" s="78">
        <f>R26+R27+R28</f>
        <v>65644659774</v>
      </c>
      <c r="L28" s="90">
        <f>U28/U25-1</f>
        <v>-0.33819765307698912</v>
      </c>
      <c r="M28" s="90">
        <f>U28/U16-1</f>
        <v>0.12671955987128047</v>
      </c>
      <c r="N28" s="88">
        <f>AVERAGE(T26:T28)</f>
        <v>240.22095270640168</v>
      </c>
      <c r="O28" s="91">
        <f>N28/N25-1</f>
        <v>-4.0233538170204808E-2</v>
      </c>
      <c r="P28" s="129" t="s">
        <v>413</v>
      </c>
      <c r="Q28" s="116">
        <v>14013278</v>
      </c>
      <c r="R28" s="116">
        <v>18279279218</v>
      </c>
      <c r="S28" s="116">
        <v>73454.38</v>
      </c>
      <c r="T28" s="130">
        <f t="shared" ref="T28" si="19">Q28/S28</f>
        <v>190.77525397396315</v>
      </c>
      <c r="U28" s="85">
        <f>Q26+Q27+Q28</f>
        <v>49536586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447135.45454545453</v>
      </c>
      <c r="G29" s="190">
        <f t="shared" ref="G29" si="20">F29/F28-1</f>
        <v>-0.39374829812384826</v>
      </c>
      <c r="H29" s="190">
        <f t="shared" ref="H29" si="21">F29/F17-1</f>
        <v>-0.49664001538052649</v>
      </c>
      <c r="I29" s="130">
        <f t="shared" si="0"/>
        <v>143.41943717123866</v>
      </c>
      <c r="J29" s="130">
        <f t="shared" si="4"/>
        <v>9.636670698612293E-2</v>
      </c>
      <c r="K29" s="136"/>
      <c r="L29" s="190"/>
      <c r="M29" s="190"/>
      <c r="N29" s="191"/>
      <c r="O29" s="192"/>
      <c r="P29" s="129" t="s">
        <v>427</v>
      </c>
      <c r="Q29" s="116">
        <v>9836980</v>
      </c>
      <c r="R29" s="116">
        <v>12919913376</v>
      </c>
      <c r="S29" s="116">
        <v>68588.89</v>
      </c>
      <c r="T29" s="130">
        <f t="shared" ref="T29" si="22">Q29/S29</f>
        <v>143.41943717123866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348348.4736842105</v>
      </c>
      <c r="G30" s="190">
        <f t="shared" ref="G30" si="23">F30/F29-1</f>
        <v>-0.22093300778769176</v>
      </c>
      <c r="H30" s="190">
        <f t="shared" ref="H30" si="24">F30/F18-1</f>
        <v>-0.81694058547254911</v>
      </c>
      <c r="I30" s="130">
        <f t="shared" si="0"/>
        <v>217.745014179404</v>
      </c>
      <c r="J30" s="130">
        <f t="shared" si="4"/>
        <v>-0.3262509004402282</v>
      </c>
      <c r="K30" s="136"/>
      <c r="L30" s="190"/>
      <c r="M30" s="190"/>
      <c r="N30" s="191"/>
      <c r="O30" s="192"/>
      <c r="P30" s="129" t="s">
        <v>469</v>
      </c>
      <c r="Q30" s="116">
        <v>6618621</v>
      </c>
      <c r="R30" s="116">
        <v>8817677620</v>
      </c>
      <c r="S30" s="116">
        <v>30396.2</v>
      </c>
      <c r="T30" s="130">
        <f t="shared" ref="T30" si="25">Q30/S30</f>
        <v>217.745014179404</v>
      </c>
      <c r="U30" s="85"/>
    </row>
    <row r="31" spans="1:21" s="79" customFormat="1" ht="13.2" hidden="1">
      <c r="A31" s="129" t="s">
        <v>505</v>
      </c>
      <c r="B31" s="188">
        <f>SUM(F29:F31)</f>
        <v>1580263.1282296651</v>
      </c>
      <c r="C31" s="188">
        <f>AVERAGE(F29:F31)</f>
        <v>526754.376076555</v>
      </c>
      <c r="D31" s="190">
        <f>C31/C28-1</f>
        <v>-0.35705734734665762</v>
      </c>
      <c r="E31" s="287">
        <f>C31/C19-1</f>
        <v>-0.58567307544763891</v>
      </c>
      <c r="F31" s="136">
        <f>Q31/20</f>
        <v>784779.2</v>
      </c>
      <c r="G31" s="190">
        <f t="shared" ref="G31" si="26">F31/F30-1</f>
        <v>1.2528567204558172</v>
      </c>
      <c r="H31" s="190">
        <f t="shared" ref="H31" si="27">F31/F19-1</f>
        <v>-0.23273106292335544</v>
      </c>
      <c r="I31" s="130">
        <f t="shared" si="0"/>
        <v>273.70334486349697</v>
      </c>
      <c r="J31" s="130">
        <f t="shared" si="4"/>
        <v>0.12764993685784654</v>
      </c>
      <c r="K31" s="136">
        <f>R29+R30+R31</f>
        <v>42622848523</v>
      </c>
      <c r="L31" s="190">
        <f>U31/U28-1</f>
        <v>-0.35096082317824651</v>
      </c>
      <c r="M31" s="190">
        <f>U31/U19-1</f>
        <v>-0.58952416177284306</v>
      </c>
      <c r="N31" s="191">
        <f>AVERAGE(T29:T31)</f>
        <v>211.62259873804655</v>
      </c>
      <c r="O31" s="192">
        <f>N31/N28-1</f>
        <v>-0.11905020626284868</v>
      </c>
      <c r="P31" s="129" t="s">
        <v>505</v>
      </c>
      <c r="Q31" s="116">
        <v>15695584</v>
      </c>
      <c r="R31" s="116">
        <v>20885257527</v>
      </c>
      <c r="S31" s="116">
        <v>57345.24</v>
      </c>
      <c r="T31" s="130">
        <f t="shared" ref="T31" si="28">Q31/S31</f>
        <v>273.70334486349697</v>
      </c>
      <c r="U31" s="85">
        <f>Q29+Q30+Q31</f>
        <v>32151185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696133.80952380947</v>
      </c>
      <c r="G32" s="190">
        <f t="shared" ref="G32" si="29">F32/F31-1</f>
        <v>-0.11295583582769586</v>
      </c>
      <c r="H32" s="190">
        <f t="shared" ref="H32" si="30">F32/F20-1</f>
        <v>-0.6294488282965931</v>
      </c>
      <c r="I32" s="130">
        <f t="shared" si="0"/>
        <v>107.76277256820551</v>
      </c>
      <c r="J32" s="130">
        <f t="shared" si="4"/>
        <v>-0.26438356898188742</v>
      </c>
      <c r="K32" s="136"/>
      <c r="L32" s="190"/>
      <c r="M32" s="190"/>
      <c r="N32" s="191"/>
      <c r="O32" s="192"/>
      <c r="P32" s="129" t="s">
        <v>566</v>
      </c>
      <c r="Q32" s="116">
        <v>14618810</v>
      </c>
      <c r="R32" s="116">
        <v>19723704417</v>
      </c>
      <c r="S32" s="116">
        <v>135657.32999999999</v>
      </c>
      <c r="T32" s="130">
        <f t="shared" ref="T32" si="31">Q32/S32</f>
        <v>107.76277256820551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585436.33333333337</v>
      </c>
      <c r="G33" s="190">
        <f t="shared" ref="G33" si="32">F33/F32-1</f>
        <v>-0.15901752605034192</v>
      </c>
      <c r="H33" s="190">
        <f t="shared" ref="H33" si="33">F33/F21-1</f>
        <v>-0.55696240529539298</v>
      </c>
      <c r="I33" s="130">
        <f t="shared" si="0"/>
        <v>264.82480092090771</v>
      </c>
      <c r="J33" s="130">
        <f t="shared" si="4"/>
        <v>0.43402202166709314</v>
      </c>
      <c r="K33" s="136"/>
      <c r="L33" s="190"/>
      <c r="M33" s="190"/>
      <c r="N33" s="191"/>
      <c r="O33" s="192"/>
      <c r="P33" s="129" t="s">
        <v>607</v>
      </c>
      <c r="Q33" s="116">
        <v>12294163</v>
      </c>
      <c r="R33" s="116">
        <v>16831624943</v>
      </c>
      <c r="S33" s="116">
        <v>46423.76</v>
      </c>
      <c r="T33" s="130">
        <f t="shared" ref="T33" si="34">Q33/S33</f>
        <v>264.82480092090771</v>
      </c>
      <c r="U33" s="85"/>
    </row>
    <row r="34" spans="1:21" s="79" customFormat="1" ht="13.2" hidden="1">
      <c r="A34" s="129" t="s">
        <v>652</v>
      </c>
      <c r="B34" s="188">
        <f>SUM(F32:F34)</f>
        <v>2119359.5639097742</v>
      </c>
      <c r="C34" s="188">
        <f>AVERAGE(F32:F34)</f>
        <v>706453.18796992477</v>
      </c>
      <c r="D34" s="190">
        <f>C34/C31-1</f>
        <v>0.34114346278777474</v>
      </c>
      <c r="E34" s="287">
        <f>C34/C22-1</f>
        <v>-0.60463234147169453</v>
      </c>
      <c r="F34" s="136">
        <f>Q34/19</f>
        <v>837789.42105263157</v>
      </c>
      <c r="G34" s="190">
        <f t="shared" ref="G34" si="35">F34/F33-1</f>
        <v>0.43105129174757661</v>
      </c>
      <c r="H34" s="190">
        <f t="shared" ref="H34" si="36">F34/F22-1</f>
        <v>-0.61220975996488192</v>
      </c>
      <c r="I34" s="130">
        <f t="shared" si="0"/>
        <v>268.01019172882576</v>
      </c>
      <c r="J34" s="130">
        <f t="shared" si="4"/>
        <v>0.46148789305594096</v>
      </c>
      <c r="K34" s="136">
        <f>R32+R33+R34</f>
        <v>58429316093</v>
      </c>
      <c r="L34" s="190">
        <f>U34/U31-1</f>
        <v>0.33217397741327415</v>
      </c>
      <c r="M34" s="190">
        <f>U34/U22-1</f>
        <v>-0.61305958846483</v>
      </c>
      <c r="N34" s="191">
        <f>AVERAGE(T32:T34)</f>
        <v>213.53258840597968</v>
      </c>
      <c r="O34" s="192">
        <f>N34/N31-1</f>
        <v>9.0254522878125965E-3</v>
      </c>
      <c r="P34" s="129" t="s">
        <v>652</v>
      </c>
      <c r="Q34" s="116">
        <v>15917999</v>
      </c>
      <c r="R34" s="116">
        <v>21873986733</v>
      </c>
      <c r="S34" s="116">
        <v>59393.26</v>
      </c>
      <c r="T34" s="130">
        <f t="shared" ref="T34" si="37">Q34/S34</f>
        <v>268.01019172882576</v>
      </c>
      <c r="U34" s="85">
        <f>Q32+Q33+Q34</f>
        <v>42830972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462482.73913043475</v>
      </c>
      <c r="G35" s="190">
        <f t="shared" ref="G35" si="38">F35/F34-1</f>
        <v>-0.44797257221348863</v>
      </c>
      <c r="H35" s="190">
        <f t="shared" ref="H35" si="39">F35/F23-1</f>
        <v>-0.65640082477708628</v>
      </c>
      <c r="I35" s="130">
        <f t="shared" si="0"/>
        <v>279.72030344244342</v>
      </c>
      <c r="J35" s="130">
        <f t="shared" si="4"/>
        <v>0.12769598935983595</v>
      </c>
      <c r="K35" s="136"/>
      <c r="L35" s="190"/>
      <c r="M35" s="190"/>
      <c r="N35" s="191"/>
      <c r="O35" s="192"/>
      <c r="P35" s="129" t="s">
        <v>660</v>
      </c>
      <c r="Q35" s="116">
        <v>10637103</v>
      </c>
      <c r="R35" s="116">
        <v>14725483955</v>
      </c>
      <c r="S35" s="116">
        <v>38027.64</v>
      </c>
      <c r="T35" s="130">
        <f t="shared" ref="T35" si="40">Q35/S35</f>
        <v>279.72030344244342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944955.04761904757</v>
      </c>
      <c r="G36" s="190">
        <f t="shared" ref="G36" si="41">F36/F35-1</f>
        <v>1.0432223035950763</v>
      </c>
      <c r="H36" s="190">
        <f t="shared" ref="H36" si="42">F36/F24-1</f>
        <v>7.3785154842590517E-2</v>
      </c>
      <c r="I36" s="130">
        <f t="shared" si="0"/>
        <v>130.0945792264508</v>
      </c>
      <c r="J36" s="130">
        <f t="shared" si="4"/>
        <v>-0.49393868316169132</v>
      </c>
      <c r="K36" s="136"/>
      <c r="L36" s="190"/>
      <c r="M36" s="190"/>
      <c r="N36" s="191"/>
      <c r="O36" s="192"/>
      <c r="P36" s="129" t="s">
        <v>664</v>
      </c>
      <c r="Q36" s="116">
        <v>19844056</v>
      </c>
      <c r="R36" s="116">
        <v>27165597908</v>
      </c>
      <c r="S36" s="116">
        <v>152535.60999999999</v>
      </c>
      <c r="T36" s="130">
        <f t="shared" ref="T36" si="43">Q36/S36</f>
        <v>130.0945792264508</v>
      </c>
      <c r="U36" s="85"/>
    </row>
    <row r="37" spans="1:21" s="79" customFormat="1" ht="13.2" hidden="1">
      <c r="A37" s="129" t="s">
        <v>702</v>
      </c>
      <c r="B37" s="188">
        <f>SUM(F35:F37)</f>
        <v>2991961.8423050381</v>
      </c>
      <c r="C37" s="188">
        <f>AVERAGE(F35:F37)</f>
        <v>997320.61410167941</v>
      </c>
      <c r="D37" s="190">
        <f>C37/C34-1</f>
        <v>0.41172922860974825</v>
      </c>
      <c r="E37" s="287">
        <f>C37/C25-1</f>
        <v>-0.1822768040483107</v>
      </c>
      <c r="F37" s="136">
        <f>Q37/18</f>
        <v>1584524.0555555555</v>
      </c>
      <c r="G37" s="190">
        <f t="shared" ref="G37" si="44">F37/F36-1</f>
        <v>0.67682479663767658</v>
      </c>
      <c r="H37" s="190">
        <f t="shared" ref="H37" si="45">F37/F25-1</f>
        <v>0.10583485951405391</v>
      </c>
      <c r="I37" s="130">
        <f t="shared" si="0"/>
        <v>182.57711030803409</v>
      </c>
      <c r="J37" s="130">
        <f t="shared" si="4"/>
        <v>-0.25707532414208667</v>
      </c>
      <c r="K37" s="136">
        <f>R35+R36+R37</f>
        <v>79981353255</v>
      </c>
      <c r="L37" s="190">
        <f>U37/U34-1</f>
        <v>0.37756836337965893</v>
      </c>
      <c r="M37" s="190">
        <f>U37/U25-1</f>
        <v>-0.2117330439336117</v>
      </c>
      <c r="N37" s="191">
        <f>AVERAGE(T35:T37)</f>
        <v>197.46399765897613</v>
      </c>
      <c r="O37" s="192">
        <f>N37/N34-1</f>
        <v>-7.525123386062782E-2</v>
      </c>
      <c r="P37" s="129" t="s">
        <v>702</v>
      </c>
      <c r="Q37" s="116">
        <v>28521433</v>
      </c>
      <c r="R37" s="116">
        <v>38090271392</v>
      </c>
      <c r="S37" s="116">
        <v>156215.82</v>
      </c>
      <c r="T37" s="130">
        <f t="shared" ref="T37" si="46">Q37/S37</f>
        <v>182.57711030803409</v>
      </c>
      <c r="U37" s="85">
        <f>Q35+Q36+Q37</f>
        <v>59002592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1089677.45</v>
      </c>
      <c r="G38" s="190">
        <f t="shared" ref="G38" si="47">F38/F37-1</f>
        <v>-0.31229983780969206</v>
      </c>
      <c r="H38" s="190">
        <f t="shared" ref="H38" si="48">F38/F26-1</f>
        <v>0.40681320314341529</v>
      </c>
      <c r="I38" s="130">
        <f t="shared" si="0"/>
        <v>103.28402999365089</v>
      </c>
      <c r="J38" s="130">
        <f t="shared" si="4"/>
        <v>-0.73480664146229946</v>
      </c>
      <c r="K38" s="136"/>
      <c r="L38" s="190"/>
      <c r="M38" s="190"/>
      <c r="N38" s="191"/>
      <c r="O38" s="192"/>
      <c r="P38" s="129" t="s">
        <v>740</v>
      </c>
      <c r="Q38" s="116">
        <v>21793549</v>
      </c>
      <c r="R38" s="116">
        <v>29476188327</v>
      </c>
      <c r="S38" s="116">
        <v>211005.99</v>
      </c>
      <c r="T38" s="130">
        <f t="shared" ref="T38" si="49">Q38/S38</f>
        <v>103.28402999365089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1190032.9047619049</v>
      </c>
      <c r="G39" s="190">
        <f t="shared" ref="G39" si="50">F39/F38-1</f>
        <v>9.2096477505251517E-2</v>
      </c>
      <c r="H39" s="190">
        <f t="shared" ref="H39" si="51">F39/F27-1</f>
        <v>0.25829851623224642</v>
      </c>
      <c r="I39" s="130">
        <f t="shared" si="0"/>
        <v>211.64093749176939</v>
      </c>
      <c r="J39" s="130">
        <f t="shared" si="4"/>
        <v>0.50719161326506623</v>
      </c>
      <c r="K39" s="136"/>
      <c r="L39" s="190"/>
      <c r="M39" s="190"/>
      <c r="N39" s="191"/>
      <c r="O39" s="192"/>
      <c r="P39" s="129" t="s">
        <v>762</v>
      </c>
      <c r="Q39" s="116">
        <v>24990691</v>
      </c>
      <c r="R39" s="116">
        <v>34700119835</v>
      </c>
      <c r="S39" s="116">
        <v>118080.61</v>
      </c>
      <c r="T39" s="130">
        <f t="shared" ref="T39" si="52">Q39/S39</f>
        <v>211.64093749176939</v>
      </c>
      <c r="U39" s="85"/>
    </row>
    <row r="40" spans="1:21" s="79" customFormat="1" ht="13.2" hidden="1">
      <c r="A40" s="129" t="s">
        <v>778</v>
      </c>
      <c r="B40" s="188">
        <f>SUM(F38:F40)</f>
        <v>4080509.7357142861</v>
      </c>
      <c r="C40" s="188">
        <f>AVERAGE(F38:F40)</f>
        <v>1360169.911904762</v>
      </c>
      <c r="D40" s="190">
        <f>C40/C37-1</f>
        <v>0.3638241230277921</v>
      </c>
      <c r="E40" s="287">
        <f>C40/C28-1</f>
        <v>0.66018791857595338</v>
      </c>
      <c r="F40" s="136">
        <f>Q40/21</f>
        <v>1800799.3809523811</v>
      </c>
      <c r="G40" s="190">
        <f t="shared" ref="G40" si="53">F40/F39-1</f>
        <v>0.51323494816529891</v>
      </c>
      <c r="H40" s="190">
        <f t="shared" ref="H40" si="54">F40/F28-1</f>
        <v>1.4416263088547336</v>
      </c>
      <c r="I40" s="130">
        <f t="shared" si="0"/>
        <v>76.49259347397205</v>
      </c>
      <c r="J40" s="130">
        <f t="shared" si="4"/>
        <v>-0.59904341951806961</v>
      </c>
      <c r="K40" s="136">
        <f>R38+R39+R40</f>
        <v>118139344843</v>
      </c>
      <c r="L40" s="190">
        <f>U40/U37-1</f>
        <v>0.4338527195551003</v>
      </c>
      <c r="M40" s="190">
        <f>U40/U28-1</f>
        <v>0.70784936612305094</v>
      </c>
      <c r="N40" s="191">
        <f>AVERAGE(T38:T40)</f>
        <v>130.47252031979744</v>
      </c>
      <c r="O40" s="192">
        <f>N40/N37-1</f>
        <v>-0.339259197288582</v>
      </c>
      <c r="P40" s="129" t="s">
        <v>778</v>
      </c>
      <c r="Q40" s="116">
        <v>37816787</v>
      </c>
      <c r="R40" s="116">
        <v>53963036681</v>
      </c>
      <c r="S40" s="116">
        <v>494384.95</v>
      </c>
      <c r="T40" s="130">
        <f t="shared" ref="T40" si="55">Q40/S40</f>
        <v>76.49259347397205</v>
      </c>
      <c r="U40" s="85">
        <f>Q38+Q39+Q40</f>
        <v>84601027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779874.38888888888</v>
      </c>
      <c r="G41" s="190">
        <f t="shared" ref="G41" si="56">F41/F40-1</f>
        <v>-0.56692877777621176</v>
      </c>
      <c r="H41" s="190">
        <f t="shared" ref="H41" si="57">F41/F29-1</f>
        <v>0.74415690136155166</v>
      </c>
      <c r="I41" s="130">
        <f t="shared" si="0"/>
        <v>225.34302121936631</v>
      </c>
      <c r="J41" s="130">
        <f t="shared" si="4"/>
        <v>0.57121674484270413</v>
      </c>
      <c r="K41" s="193"/>
      <c r="L41" s="190"/>
      <c r="M41" s="190"/>
      <c r="N41" s="193"/>
      <c r="O41" s="193"/>
      <c r="P41" s="129" t="s">
        <v>793</v>
      </c>
      <c r="Q41" s="116">
        <v>14037739</v>
      </c>
      <c r="R41" s="116">
        <v>20511342533</v>
      </c>
      <c r="S41" s="116">
        <v>62294.98</v>
      </c>
      <c r="T41" s="130">
        <f t="shared" ref="T41" si="58">Q41/S41</f>
        <v>225.34302121936631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1369029.9</v>
      </c>
      <c r="G42" s="190">
        <f t="shared" ref="G42" si="59">F42/F41-1</f>
        <v>0.75544923580642154</v>
      </c>
      <c r="H42" s="190">
        <f t="shared" ref="H42" si="60">F42/F30-1</f>
        <v>2.9300585575152285</v>
      </c>
      <c r="I42" s="130">
        <f t="shared" si="0"/>
        <v>91.36567816812412</v>
      </c>
      <c r="J42" s="130">
        <f t="shared" si="4"/>
        <v>-0.5804005960253753</v>
      </c>
      <c r="K42" s="193"/>
      <c r="L42" s="190"/>
      <c r="M42" s="190"/>
      <c r="N42" s="193"/>
      <c r="O42" s="193"/>
      <c r="P42" s="129" t="s">
        <v>826</v>
      </c>
      <c r="Q42" s="116">
        <v>27380598</v>
      </c>
      <c r="R42" s="116">
        <v>39562317857</v>
      </c>
      <c r="S42" s="116">
        <v>299681.44</v>
      </c>
      <c r="T42" s="130">
        <f t="shared" ref="T42" si="61">Q42/S42</f>
        <v>91.36567816812412</v>
      </c>
      <c r="U42" s="78"/>
    </row>
    <row r="43" spans="1:21" s="79" customFormat="1" ht="13.2">
      <c r="A43" s="129" t="s">
        <v>835</v>
      </c>
      <c r="B43" s="188">
        <f>SUM(F41:F43)</f>
        <v>3429769.7388888886</v>
      </c>
      <c r="C43" s="188">
        <f>AVERAGE(F41:F43)</f>
        <v>1143256.5796296296</v>
      </c>
      <c r="D43" s="190">
        <f>C43/C40-1</f>
        <v>-0.15947517319462701</v>
      </c>
      <c r="E43" s="287">
        <f>C43/C31-1</f>
        <v>1.1703788929956156</v>
      </c>
      <c r="F43" s="136">
        <f>Q43/20</f>
        <v>1280865.45</v>
      </c>
      <c r="G43" s="190">
        <f t="shared" ref="G43" si="62">F43/F42-1</f>
        <v>-6.4399214363397017E-2</v>
      </c>
      <c r="H43" s="190">
        <f t="shared" ref="H43" si="63">F43/F31-1</f>
        <v>0.63213480938332722</v>
      </c>
      <c r="I43" s="130">
        <f t="shared" si="0"/>
        <v>82.471704839270004</v>
      </c>
      <c r="J43" s="130">
        <f t="shared" si="4"/>
        <v>-0.69868214478562252</v>
      </c>
      <c r="K43" s="136">
        <f>R41+R42+R43</f>
        <v>97171348221</v>
      </c>
      <c r="L43" s="190">
        <f>U43/U40-1</f>
        <v>-0.20762609654844966</v>
      </c>
      <c r="M43" s="190">
        <f>K43/K31-1</f>
        <v>1.2797947952391011</v>
      </c>
      <c r="N43" s="191">
        <f>AVERAGE(T41:T43)</f>
        <v>133.06013474225347</v>
      </c>
      <c r="O43" s="192">
        <f>N43/N40-1</f>
        <v>1.9832639211027736E-2</v>
      </c>
      <c r="P43" s="129" t="s">
        <v>835</v>
      </c>
      <c r="Q43" s="116">
        <v>25617309</v>
      </c>
      <c r="R43" s="116">
        <v>37097687831</v>
      </c>
      <c r="S43" s="116">
        <v>310619.37</v>
      </c>
      <c r="T43" s="130">
        <f t="shared" ref="T43" si="64">Q43/S43</f>
        <v>82.471704839270004</v>
      </c>
      <c r="U43" s="85">
        <f>Q41+Q42+Q43</f>
        <v>67035646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1862385.8181818181</v>
      </c>
      <c r="G44" s="190">
        <f t="shared" ref="G44" si="65">F44/F43-1</f>
        <v>0.45400581941047613</v>
      </c>
      <c r="H44" s="190">
        <f t="shared" ref="H44" si="66">F44/F32-1</f>
        <v>1.6753273475623653</v>
      </c>
      <c r="I44" s="130">
        <f t="shared" si="0"/>
        <v>107.27418551515699</v>
      </c>
      <c r="J44" s="130">
        <f t="shared" si="4"/>
        <v>-4.5339131631870755E-3</v>
      </c>
      <c r="K44" s="136"/>
      <c r="L44" s="190"/>
      <c r="M44" s="190"/>
      <c r="N44" s="191"/>
      <c r="O44" s="192"/>
      <c r="P44" s="129" t="s">
        <v>843</v>
      </c>
      <c r="Q44" s="116">
        <v>40972488</v>
      </c>
      <c r="R44" s="116">
        <v>59621755138</v>
      </c>
      <c r="S44" s="116">
        <v>381941.73</v>
      </c>
      <c r="T44" s="130">
        <f t="shared" ref="T44" si="67">Q44/S44</f>
        <v>107.27418551515699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1799224.95</v>
      </c>
      <c r="G45" s="190">
        <f t="shared" ref="G45" si="68">F45/F44-1</f>
        <v>-3.3913954651716538E-2</v>
      </c>
      <c r="H45" s="190">
        <f t="shared" ref="H45" si="69">F45/F33-1</f>
        <v>2.0733059216800687</v>
      </c>
      <c r="I45" s="130">
        <f t="shared" si="0"/>
        <v>103.52055630135249</v>
      </c>
      <c r="J45" s="130">
        <f t="shared" si="4"/>
        <v>-0.60909795479363038</v>
      </c>
      <c r="K45" s="136"/>
      <c r="L45" s="190"/>
      <c r="M45" s="190"/>
      <c r="N45" s="191"/>
      <c r="O45" s="192"/>
      <c r="P45" s="129" t="s">
        <v>849</v>
      </c>
      <c r="Q45" s="116">
        <v>35984499</v>
      </c>
      <c r="R45" s="116">
        <v>50644744474</v>
      </c>
      <c r="S45" s="116">
        <v>347607.28</v>
      </c>
      <c r="T45" s="130">
        <f t="shared" ref="T45" si="70">Q45/S45</f>
        <v>103.52055630135249</v>
      </c>
      <c r="U45" s="85"/>
    </row>
    <row r="46" spans="1:21" s="79" customFormat="1" ht="13.2">
      <c r="A46" s="129" t="s">
        <v>903</v>
      </c>
      <c r="B46" s="188">
        <f>SUM(F44:F46)</f>
        <v>5203327.2418660289</v>
      </c>
      <c r="C46" s="188">
        <f>AVERAGE(F44:F46)</f>
        <v>1734442.413955343</v>
      </c>
      <c r="D46" s="190">
        <f>C46/C43-1</f>
        <v>0.51710687247234954</v>
      </c>
      <c r="E46" s="287">
        <f>C46/C34-1</f>
        <v>1.4551413221581808</v>
      </c>
      <c r="F46" s="136">
        <f>Q46/19</f>
        <v>1541716.4736842106</v>
      </c>
      <c r="G46" s="190">
        <f t="shared" ref="G46" si="71">F46/F45-1</f>
        <v>-0.14312189052057633</v>
      </c>
      <c r="H46" s="190">
        <f t="shared" ref="H46" si="72">F46/F34-1</f>
        <v>0.84021955272141935</v>
      </c>
      <c r="I46" s="130">
        <f t="shared" si="0"/>
        <v>224.63472506249758</v>
      </c>
      <c r="J46" s="130">
        <f t="shared" si="4"/>
        <v>-0.16184260153142138</v>
      </c>
      <c r="K46" s="136">
        <f>R44+R45+R46</f>
        <v>150414541973</v>
      </c>
      <c r="L46" s="190">
        <f>U46/U43-1</f>
        <v>0.58497167313044174</v>
      </c>
      <c r="M46" s="190">
        <f>K46/K34-1</f>
        <v>1.5742992051043379</v>
      </c>
      <c r="N46" s="191">
        <f>AVERAGE(T44:T46)</f>
        <v>145.1431556263357</v>
      </c>
      <c r="O46" s="192">
        <f>N46/N43-1</f>
        <v>9.0808722743952242E-2</v>
      </c>
      <c r="P46" s="129" t="s">
        <v>940</v>
      </c>
      <c r="Q46" s="116">
        <v>29292613</v>
      </c>
      <c r="R46" s="116">
        <v>40148042361</v>
      </c>
      <c r="S46" s="116">
        <v>130401.09</v>
      </c>
      <c r="T46" s="130">
        <f t="shared" ref="T46" si="73">Q46/S46</f>
        <v>224.63472506249758</v>
      </c>
      <c r="U46" s="85">
        <f t="shared" ref="U46:U51" si="74">Q44+Q45+Q46</f>
        <v>106249600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1636815.2608695652</v>
      </c>
      <c r="G47" s="190">
        <f t="shared" ref="G47" si="75">F47/F46-1</f>
        <v>6.1683706964678731E-2</v>
      </c>
      <c r="H47" s="190">
        <f t="shared" ref="H47" si="76">F47/F35-1</f>
        <v>2.5391921089792966</v>
      </c>
      <c r="I47" s="130">
        <f t="shared" si="0"/>
        <v>207.79857243031717</v>
      </c>
      <c r="J47" s="130">
        <f t="shared" si="4"/>
        <v>-0.25712016656282943</v>
      </c>
      <c r="K47" s="136"/>
      <c r="L47" s="190"/>
      <c r="M47" s="190"/>
      <c r="N47" s="191"/>
      <c r="O47" s="192"/>
      <c r="P47" s="129" t="s">
        <v>991</v>
      </c>
      <c r="Q47" s="116">
        <v>37646751</v>
      </c>
      <c r="R47" s="116">
        <v>51742688628</v>
      </c>
      <c r="S47" s="116">
        <v>181169.44</v>
      </c>
      <c r="T47" s="130">
        <f t="shared" ref="T47" si="77">Q47/S47</f>
        <v>207.79857243031717</v>
      </c>
      <c r="U47" s="85">
        <f t="shared" si="74"/>
        <v>102923863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825733.7</v>
      </c>
      <c r="G48" s="190">
        <f t="shared" ref="G48" si="78">F48/F47-1</f>
        <v>-0.49552419277828252</v>
      </c>
      <c r="H48" s="190">
        <f t="shared" ref="H48" si="79">F48/F36-1</f>
        <v>-0.1261661577653278</v>
      </c>
      <c r="I48" s="130">
        <f t="shared" si="0"/>
        <v>136.00905723726592</v>
      </c>
      <c r="J48" s="130">
        <f t="shared" si="4"/>
        <v>4.5462908954261749E-2</v>
      </c>
      <c r="K48" s="136"/>
      <c r="L48" s="190"/>
      <c r="M48" s="190"/>
      <c r="N48" s="191"/>
      <c r="O48" s="192"/>
      <c r="P48" s="129" t="s">
        <v>1070</v>
      </c>
      <c r="Q48" s="116">
        <v>16514674</v>
      </c>
      <c r="R48" s="116">
        <v>22919442164</v>
      </c>
      <c r="S48" s="116">
        <v>121423.34</v>
      </c>
      <c r="T48" s="130">
        <f t="shared" ref="T48" si="80">Q48/S48</f>
        <v>136.00905723726592</v>
      </c>
      <c r="U48" s="85">
        <f t="shared" si="74"/>
        <v>83454038</v>
      </c>
    </row>
    <row r="49" spans="1:26" ht="13.2">
      <c r="A49" s="129" t="s">
        <v>1223</v>
      </c>
      <c r="B49" s="188">
        <f>SUM(F47:F49)</f>
        <v>3290902.1426877468</v>
      </c>
      <c r="C49" s="188">
        <f>AVERAGE(F47:F49)</f>
        <v>1096967.3808959157</v>
      </c>
      <c r="D49" s="190">
        <f>C49/C46-1</f>
        <v>-0.36753888623242614</v>
      </c>
      <c r="E49" s="287">
        <f>C49/C37-1</f>
        <v>9.9914476232892735E-2</v>
      </c>
      <c r="F49" s="136">
        <f>Q49/22</f>
        <v>828353.18181818177</v>
      </c>
      <c r="G49" s="190">
        <f t="shared" ref="G49" si="81">F49/F48-1</f>
        <v>3.1723082371251099E-3</v>
      </c>
      <c r="H49" s="190">
        <f t="shared" ref="H49" si="82">F49/F37-1</f>
        <v>-0.4772227162384417</v>
      </c>
      <c r="I49" s="130">
        <f t="shared" si="0"/>
        <v>122.25038810828956</v>
      </c>
      <c r="J49" s="130">
        <f t="shared" si="4"/>
        <v>-0.33041777306018594</v>
      </c>
      <c r="K49" s="136">
        <f>R47+R48+R49</f>
        <v>99987319744</v>
      </c>
      <c r="L49" s="190">
        <f>U49/U46-1</f>
        <v>-0.31872501167063216</v>
      </c>
      <c r="M49" s="190">
        <f>K49/K37-1</f>
        <v>0.25013288316360582</v>
      </c>
      <c r="N49" s="191">
        <f>AVERAGE(T47:T49)</f>
        <v>155.35267259195754</v>
      </c>
      <c r="O49" s="192">
        <f>N49/N46-1</f>
        <v>7.0341015541275587E-2</v>
      </c>
      <c r="P49" s="129" t="s">
        <v>1165</v>
      </c>
      <c r="Q49" s="116">
        <v>18223770</v>
      </c>
      <c r="R49" s="116">
        <v>25325188952</v>
      </c>
      <c r="S49" s="116">
        <v>149069.22</v>
      </c>
      <c r="T49" s="130">
        <f t="shared" ref="T49" si="83">Q49/S49</f>
        <v>122.25038810828956</v>
      </c>
      <c r="U49" s="85">
        <f t="shared" si="74"/>
        <v>72385195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972819.88888888888</v>
      </c>
      <c r="G50" s="190">
        <f t="shared" ref="G50" si="84">F50/F49-1</f>
        <v>0.1744023083892936</v>
      </c>
      <c r="H50" s="190">
        <f t="shared" ref="H50" si="85">F50/F38-1</f>
        <v>-0.10724050599662416</v>
      </c>
      <c r="I50" s="130">
        <f t="shared" ref="I50" si="86">T50</f>
        <v>81.138689348559126</v>
      </c>
      <c r="J50" s="130">
        <f t="shared" ref="J50" si="87">I50/I38-1</f>
        <v>-0.21441205040559597</v>
      </c>
      <c r="K50" s="136"/>
      <c r="L50" s="190"/>
      <c r="M50" s="190"/>
      <c r="N50" s="191"/>
      <c r="O50" s="192"/>
      <c r="P50" s="129" t="s">
        <v>1291</v>
      </c>
      <c r="Q50" s="116">
        <v>17510758</v>
      </c>
      <c r="R50" s="116">
        <v>24732564747</v>
      </c>
      <c r="S50" s="116">
        <v>215812.68</v>
      </c>
      <c r="T50" s="130">
        <f t="shared" ref="T50" si="88">Q50/S50</f>
        <v>81.138689348559126</v>
      </c>
      <c r="U50" s="85">
        <f t="shared" si="74"/>
        <v>52249202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1254713.8999999999</v>
      </c>
      <c r="G51" s="190">
        <f t="shared" ref="G51:G52" si="89">F51/F50-1</f>
        <v>0.28976999168168494</v>
      </c>
      <c r="H51" s="190">
        <f t="shared" ref="H51:H52" si="90">F51/F39-1</f>
        <v>5.435227461297476E-2</v>
      </c>
      <c r="I51" s="130">
        <f t="shared" ref="I51:I52" si="91">T51</f>
        <v>93.171043604003458</v>
      </c>
      <c r="J51" s="130">
        <f t="shared" ref="J51:J52" si="92">I51/I39-1</f>
        <v>-0.55976832881102301</v>
      </c>
      <c r="K51" s="136"/>
      <c r="L51" s="190"/>
      <c r="M51" s="190"/>
      <c r="N51" s="191"/>
      <c r="O51" s="192"/>
      <c r="P51" s="129" t="s">
        <v>1402</v>
      </c>
      <c r="Q51" s="116">
        <v>25094278</v>
      </c>
      <c r="R51" s="116">
        <v>36432062588</v>
      </c>
      <c r="S51" s="116">
        <v>269335.59000000003</v>
      </c>
      <c r="T51" s="130">
        <f t="shared" ref="T51:T52" si="93">Q51/S51</f>
        <v>93.171043604003458</v>
      </c>
      <c r="U51" s="85">
        <f t="shared" si="74"/>
        <v>60828806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3541569.3797979797</v>
      </c>
      <c r="C52" s="188">
        <f>AVERAGE(F50:F52)</f>
        <v>1180523.1265993265</v>
      </c>
      <c r="D52" s="190">
        <f>C52/C49-1</f>
        <v>7.6169763256924927E-2</v>
      </c>
      <c r="E52" s="287">
        <f>C52/C40-1</f>
        <v>-0.13207672345424903</v>
      </c>
      <c r="F52" s="136">
        <f>Q52/22</f>
        <v>1314035.5909090908</v>
      </c>
      <c r="G52" s="190">
        <f t="shared" si="89"/>
        <v>4.7279057727096951E-2</v>
      </c>
      <c r="H52" s="190">
        <f t="shared" si="90"/>
        <v>-0.27030428552560781</v>
      </c>
      <c r="I52" s="130">
        <f t="shared" si="91"/>
        <v>142.80377249013287</v>
      </c>
      <c r="J52" s="130">
        <f t="shared" si="92"/>
        <v>0.86689672822669261</v>
      </c>
      <c r="K52" s="136">
        <f>R50+R51+R52</f>
        <v>103713512451</v>
      </c>
      <c r="L52" s="190">
        <f>U52/U49-1</f>
        <v>-1.2038041757019502E-2</v>
      </c>
      <c r="M52" s="190">
        <f>K52/K40-1</f>
        <v>-0.122108620215992</v>
      </c>
      <c r="N52" s="191">
        <f>AVERAGE(T50:T52)</f>
        <v>105.70450181423182</v>
      </c>
      <c r="O52" s="192">
        <f>N52/N49-1</f>
        <v>-0.31958362833016341</v>
      </c>
      <c r="P52" s="129" t="s">
        <v>1403</v>
      </c>
      <c r="Q52" s="116">
        <v>28908783</v>
      </c>
      <c r="R52" s="116">
        <v>42548885116</v>
      </c>
      <c r="S52" s="116">
        <v>202437.11</v>
      </c>
      <c r="T52" s="130">
        <f t="shared" si="93"/>
        <v>142.80377249013287</v>
      </c>
      <c r="U52" s="85">
        <f t="shared" ref="U52" si="94">Q50+Q51+Q52</f>
        <v>71513819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1618764.142857143</v>
      </c>
      <c r="G53" s="190">
        <f t="shared" ref="G53" si="95">F53/F52-1</f>
        <v>0.23190281454799222</v>
      </c>
      <c r="H53" s="190">
        <f t="shared" ref="H53" si="96">F53/F41-1</f>
        <v>1.075672910817659</v>
      </c>
      <c r="I53" s="130">
        <f t="shared" ref="I53" si="97">T53</f>
        <v>127.21695940361025</v>
      </c>
      <c r="J53" s="130">
        <f t="shared" ref="J53" si="98">I53/I41-1</f>
        <v>-0.43545196689376309</v>
      </c>
      <c r="K53" s="136"/>
      <c r="L53" s="190"/>
      <c r="M53" s="190"/>
      <c r="N53" s="191"/>
      <c r="O53" s="192"/>
      <c r="P53" s="129" t="s">
        <v>1414</v>
      </c>
      <c r="Q53" s="116">
        <v>33994047</v>
      </c>
      <c r="R53" s="116">
        <v>49448579787</v>
      </c>
      <c r="S53" s="116">
        <v>267213.17</v>
      </c>
      <c r="T53" s="130">
        <f t="shared" ref="T53" si="99">Q53/S53</f>
        <v>127.21695940361025</v>
      </c>
      <c r="U53" s="85">
        <f t="shared" ref="U53" si="100">Q51+Q52+Q53</f>
        <v>87997108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1147961.4117647058</v>
      </c>
      <c r="G54" s="190">
        <f t="shared" ref="G54" si="101">F54/F53-1</f>
        <v>-0.29084084495562357</v>
      </c>
      <c r="H54" s="190">
        <f t="shared" ref="H54" si="102">F54/F42-1</f>
        <v>-0.16147820309497563</v>
      </c>
      <c r="I54" s="130">
        <f t="shared" ref="I54" si="103">T54</f>
        <v>138.28136896354715</v>
      </c>
      <c r="J54" s="130">
        <f t="shared" ref="J54" si="104">I54/I42-1</f>
        <v>0.5134935977719377</v>
      </c>
      <c r="K54" s="136"/>
      <c r="L54" s="190"/>
      <c r="M54" s="190"/>
      <c r="N54" s="191"/>
      <c r="O54" s="192"/>
      <c r="P54" s="129" t="s">
        <v>1417</v>
      </c>
      <c r="Q54" s="116">
        <v>19515344</v>
      </c>
      <c r="R54" s="116">
        <v>28250117418</v>
      </c>
      <c r="S54" s="116">
        <v>141127.79</v>
      </c>
      <c r="T54" s="130">
        <f t="shared" ref="T54" si="105">Q54/S54</f>
        <v>138.28136896354715</v>
      </c>
      <c r="U54" s="85">
        <f t="shared" ref="U54" si="106">Q52+Q53+Q54</f>
        <v>82418174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4207966.364145658</v>
      </c>
      <c r="C55" s="188">
        <f>AVERAGE(F53:F55)</f>
        <v>1402655.4547152193</v>
      </c>
      <c r="D55" s="190">
        <f>C55/C52-1</f>
        <v>0.18816431725126659</v>
      </c>
      <c r="E55" s="287">
        <f>C55/C43-1</f>
        <v>0.22689471436903941</v>
      </c>
      <c r="F55" s="136">
        <f>Q55/21</f>
        <v>1441240.8095238095</v>
      </c>
      <c r="G55" s="190">
        <f t="shared" ref="G55" si="107">F55/F54-1</f>
        <v>0.2554784461859736</v>
      </c>
      <c r="H55" s="190">
        <f t="shared" ref="H55" si="108">F55/F43-1</f>
        <v>0.12520859199052436</v>
      </c>
      <c r="I55" s="130">
        <f>T55</f>
        <v>137.36100711125297</v>
      </c>
      <c r="J55" s="130">
        <f t="shared" ref="J55" si="109">I55/I43-1</f>
        <v>0.66555314188008263</v>
      </c>
      <c r="K55" s="136">
        <f>R53+R54+R55</f>
        <v>122161283718</v>
      </c>
      <c r="L55" s="190">
        <f>U55/U52-1</f>
        <v>0.1714581764959302</v>
      </c>
      <c r="M55" s="190">
        <f>K55/K43-1</f>
        <v>0.25717390933142736</v>
      </c>
      <c r="N55" s="191">
        <f>AVERAGE(T53:T55)</f>
        <v>134.28644515947011</v>
      </c>
      <c r="O55" s="192">
        <f>N55/N52-1</f>
        <v>0.27039475949159697</v>
      </c>
      <c r="P55" s="129" t="s">
        <v>1418</v>
      </c>
      <c r="Q55" s="116">
        <v>30266057</v>
      </c>
      <c r="R55" s="116">
        <v>44462586513</v>
      </c>
      <c r="S55" s="116">
        <v>220339.51</v>
      </c>
      <c r="T55" s="130">
        <f t="shared" ref="T55" si="110">Q55/S55</f>
        <v>137.36100711125297</v>
      </c>
      <c r="U55" s="85">
        <f t="shared" ref="U55" si="111">Q53+Q54+Q55</f>
        <v>83775448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1830392.3636363635</v>
      </c>
      <c r="G56" s="190">
        <f t="shared" ref="G56" si="112">F56/F55-1</f>
        <v>0.27001147312858209</v>
      </c>
      <c r="H56" s="190">
        <f t="shared" ref="H56" si="113">F56/F44-1</f>
        <v>-1.7178746870338935E-2</v>
      </c>
      <c r="I56" s="291">
        <f>T56</f>
        <v>155.77686223793771</v>
      </c>
      <c r="J56" s="130">
        <f t="shared" ref="J56" si="114">I56/I44-1</f>
        <v>0.45213745030884134</v>
      </c>
      <c r="K56" s="136"/>
      <c r="L56" s="190"/>
      <c r="M56" s="190"/>
      <c r="N56" s="191"/>
      <c r="O56" s="192"/>
      <c r="P56" s="129" t="s">
        <v>1420</v>
      </c>
      <c r="Q56" s="116">
        <v>40268632</v>
      </c>
      <c r="R56" s="116">
        <v>60137590772</v>
      </c>
      <c r="S56" s="116">
        <v>258502.01</v>
      </c>
      <c r="T56" s="130">
        <f t="shared" ref="T56" si="115">Q56/S56</f>
        <v>155.77686223793771</v>
      </c>
      <c r="U56" s="85">
        <f t="shared" ref="U56" si="116">Q54+Q55+Q56</f>
        <v>90050033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1975911.9166666667</v>
      </c>
      <c r="G57" s="254">
        <f t="shared" ref="G57" si="117">F57/F56-1</f>
        <v>7.9501835738216009E-2</v>
      </c>
      <c r="H57" s="254">
        <f t="shared" ref="H57" si="118">F57/F45-1</f>
        <v>9.8201709945533455E-2</v>
      </c>
      <c r="I57" s="282">
        <f>T57</f>
        <v>79.507031079407028</v>
      </c>
      <c r="J57" s="277">
        <f t="shared" ref="J57" si="119">I57/I45-1</f>
        <v>-0.23196866477457023</v>
      </c>
      <c r="K57" s="204"/>
      <c r="L57" s="254"/>
      <c r="M57" s="254"/>
      <c r="N57" s="257"/>
      <c r="O57" s="258"/>
      <c r="P57" s="129" t="s">
        <v>1436</v>
      </c>
      <c r="Q57" s="116">
        <v>23710943</v>
      </c>
      <c r="R57" s="116">
        <v>34931113656</v>
      </c>
      <c r="S57" s="116">
        <v>298224.48</v>
      </c>
      <c r="T57" s="130">
        <f t="shared" ref="T57" si="120">Q57/S57</f>
        <v>79.507031079407028</v>
      </c>
      <c r="U57" s="85">
        <f t="shared" ref="U57" si="121">Q55+Q56+Q57</f>
        <v>94245632</v>
      </c>
      <c r="V57" s="79"/>
      <c r="W57" s="79"/>
      <c r="X57" s="79"/>
      <c r="Y57" s="79"/>
      <c r="Z57" s="79"/>
    </row>
    <row r="58" spans="1:26">
      <c r="B58" s="196">
        <f>SUM(F56:F58)</f>
        <v>3806304.2803030303</v>
      </c>
      <c r="C58" s="196">
        <f>AVERAGE(F56:F58)</f>
        <v>1903152.1401515151</v>
      </c>
      <c r="D58" s="197">
        <f>C58/C55-1</f>
        <v>0.35682083134087361</v>
      </c>
      <c r="E58" s="233">
        <f>C58/C46-1</f>
        <v>9.7270295536324491E-2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147755023</v>
      </c>
      <c r="R66" s="212">
        <v>217229988146</v>
      </c>
      <c r="S66" s="213">
        <v>1185406.97</v>
      </c>
      <c r="T66" s="214">
        <v>137</v>
      </c>
      <c r="U66" s="214">
        <v>237</v>
      </c>
    </row>
    <row r="67" spans="16:21" ht="18" thickBot="1">
      <c r="P67" s="180" t="s">
        <v>976</v>
      </c>
      <c r="Q67" s="181">
        <v>33994047</v>
      </c>
      <c r="R67" s="181">
        <v>49448579787</v>
      </c>
      <c r="S67" s="182">
        <v>267213.17</v>
      </c>
      <c r="T67" s="210">
        <v>63</v>
      </c>
      <c r="U67" s="210">
        <v>88</v>
      </c>
    </row>
    <row r="68" spans="16:21" ht="18" thickBot="1">
      <c r="P68" s="180" t="s">
        <v>977</v>
      </c>
      <c r="Q68" s="181">
        <v>19515344</v>
      </c>
      <c r="R68" s="181">
        <v>28250117418</v>
      </c>
      <c r="S68" s="182">
        <v>141127.79</v>
      </c>
      <c r="T68" s="210">
        <v>42</v>
      </c>
      <c r="U68" s="210">
        <v>62</v>
      </c>
    </row>
    <row r="69" spans="16:21" ht="18" thickBot="1">
      <c r="P69" s="180" t="s">
        <v>978</v>
      </c>
      <c r="Q69" s="181">
        <v>30266057</v>
      </c>
      <c r="R69" s="181">
        <v>44462586513</v>
      </c>
      <c r="S69" s="182">
        <v>220339.51</v>
      </c>
      <c r="T69" s="210">
        <v>61</v>
      </c>
      <c r="U69" s="210">
        <v>87</v>
      </c>
    </row>
    <row r="70" spans="16:21" ht="18" thickBot="1">
      <c r="P70" s="180" t="s">
        <v>979</v>
      </c>
      <c r="Q70" s="181">
        <v>40268632</v>
      </c>
      <c r="R70" s="181">
        <v>60137590772</v>
      </c>
      <c r="S70" s="182">
        <v>258502.01</v>
      </c>
      <c r="T70" s="210">
        <v>70</v>
      </c>
      <c r="U70" s="210">
        <v>103</v>
      </c>
    </row>
    <row r="71" spans="16:21" ht="18" thickBot="1">
      <c r="P71" s="180" t="s">
        <v>980</v>
      </c>
      <c r="Q71" s="181">
        <v>23710943</v>
      </c>
      <c r="R71" s="181">
        <v>34931113656</v>
      </c>
      <c r="S71" s="182">
        <v>298224.48</v>
      </c>
      <c r="T71" s="210">
        <v>48</v>
      </c>
      <c r="U71" s="210">
        <v>65</v>
      </c>
    </row>
    <row r="72" spans="16:21" ht="18" thickBot="1">
      <c r="P72" s="180" t="s">
        <v>975</v>
      </c>
      <c r="Q72" s="181">
        <v>317186412</v>
      </c>
      <c r="R72" s="181">
        <v>451289951491</v>
      </c>
      <c r="S72" s="182">
        <v>2671793.42</v>
      </c>
      <c r="T72" s="210">
        <v>193</v>
      </c>
      <c r="U72" s="210">
        <v>525</v>
      </c>
    </row>
    <row r="73" spans="16:21" ht="18" thickBot="1">
      <c r="P73" s="215" t="s">
        <v>982</v>
      </c>
      <c r="Q73" s="217" t="s">
        <v>1525</v>
      </c>
      <c r="R73"/>
      <c r="S73"/>
      <c r="T73"/>
      <c r="U73"/>
    </row>
  </sheetData>
  <phoneticPr fontId="1" type="noConversion"/>
  <conditionalFormatting sqref="C29:C30">
    <cfRule type="cellIs" dxfId="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45">
    <tabColor rgb="FFFFFF00"/>
  </sheetPr>
  <dimension ref="A1:Z72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0976562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8534009000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12236586</v>
      </c>
      <c r="G5" s="90"/>
      <c r="H5" s="90"/>
      <c r="I5" s="130">
        <f t="shared" ref="I5:I49" si="0">T5</f>
        <v>218.56747722184852</v>
      </c>
      <c r="J5" s="130"/>
      <c r="K5" s="78"/>
      <c r="L5" s="80"/>
      <c r="M5" s="80"/>
      <c r="P5" s="129" t="s">
        <v>0</v>
      </c>
      <c r="Q5" s="116">
        <v>244731720</v>
      </c>
      <c r="R5" s="116"/>
      <c r="S5" s="116">
        <v>1119707.8500000001</v>
      </c>
      <c r="T5" s="130">
        <f t="shared" ref="T5:T11" si="1">Q5/S5</f>
        <v>218.56747722184852</v>
      </c>
      <c r="U5" s="85"/>
    </row>
    <row r="6" spans="1:21" ht="15" hidden="1" customHeight="1">
      <c r="A6" s="129" t="s">
        <v>1</v>
      </c>
      <c r="C6" s="79"/>
      <c r="F6" s="78">
        <f>Q6/18</f>
        <v>12984353.055555556</v>
      </c>
      <c r="G6" s="90">
        <f t="shared" ref="G6:G22" si="2">F6/F5-1</f>
        <v>6.1109124355073874E-2</v>
      </c>
      <c r="H6" s="90"/>
      <c r="I6" s="130">
        <f t="shared" si="0"/>
        <v>201.26431859053497</v>
      </c>
      <c r="J6" s="130"/>
      <c r="K6" s="78">
        <f t="shared" ref="K6:K16" si="3">R4+R5+R6</f>
        <v>0</v>
      </c>
      <c r="P6" s="129" t="s">
        <v>1</v>
      </c>
      <c r="Q6" s="116">
        <v>233718355</v>
      </c>
      <c r="R6" s="116"/>
      <c r="S6" s="116">
        <v>1161250.82</v>
      </c>
      <c r="T6" s="130">
        <f t="shared" si="1"/>
        <v>201.26431859053497</v>
      </c>
      <c r="U6" s="85">
        <f t="shared" ref="U6" si="4">Q4+Q5+Q6</f>
        <v>478450075</v>
      </c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191.52698084788483</v>
      </c>
      <c r="J7" s="130"/>
      <c r="K7" s="78">
        <f t="shared" si="3"/>
        <v>0</v>
      </c>
      <c r="N7" s="88">
        <f>AVERAGE(T5:T7)</f>
        <v>203.78625888675609</v>
      </c>
      <c r="P7" s="129" t="s">
        <v>2</v>
      </c>
      <c r="Q7" s="116">
        <v>258089155</v>
      </c>
      <c r="R7" s="116"/>
      <c r="S7" s="116">
        <v>1347534.19</v>
      </c>
      <c r="T7" s="130">
        <f t="shared" si="1"/>
        <v>191.52698084788483</v>
      </c>
      <c r="U7" s="85">
        <f t="shared" ref="U7" si="5">Q5+Q6+Q7</f>
        <v>736539230</v>
      </c>
    </row>
    <row r="8" spans="1:21" ht="15" hidden="1" customHeight="1">
      <c r="A8" s="129" t="s">
        <v>3</v>
      </c>
      <c r="C8" s="79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204.42947487788703</v>
      </c>
      <c r="J8" s="130"/>
      <c r="K8" s="78">
        <f t="shared" si="3"/>
        <v>0</v>
      </c>
      <c r="P8" s="129" t="s">
        <v>3</v>
      </c>
      <c r="Q8" s="116">
        <v>253984537</v>
      </c>
      <c r="R8" s="116"/>
      <c r="S8" s="116">
        <v>1242406.6399999999</v>
      </c>
      <c r="T8" s="130">
        <f t="shared" si="1"/>
        <v>204.42947487788703</v>
      </c>
      <c r="U8" s="85">
        <f t="shared" ref="U8" si="6">Q6+Q7+Q8</f>
        <v>745792047</v>
      </c>
    </row>
    <row r="9" spans="1:21" ht="15" hidden="1" customHeight="1">
      <c r="A9" s="129" t="s">
        <v>4</v>
      </c>
      <c r="C9" s="79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213.30930742145333</v>
      </c>
      <c r="J9" s="130"/>
      <c r="K9" s="78">
        <f t="shared" si="3"/>
        <v>0</v>
      </c>
      <c r="P9" s="129" t="s">
        <v>4</v>
      </c>
      <c r="Q9" s="116">
        <v>252785981</v>
      </c>
      <c r="R9" s="116"/>
      <c r="S9" s="116">
        <v>1185067.75</v>
      </c>
      <c r="T9" s="130">
        <f t="shared" si="1"/>
        <v>213.30930742145333</v>
      </c>
      <c r="U9" s="85">
        <f t="shared" ref="U9" si="7">Q7+Q8+Q9</f>
        <v>764859673</v>
      </c>
    </row>
    <row r="10" spans="1:21" ht="15" hidden="1" customHeight="1">
      <c r="A10" s="129" t="s">
        <v>5</v>
      </c>
      <c r="B10" s="131">
        <f>F8+F9+F10</f>
        <v>36119955.809523806</v>
      </c>
      <c r="C10" s="131">
        <f>AVERAGE(F8:F10)</f>
        <v>12039985.269841269</v>
      </c>
      <c r="D10" s="90">
        <f>C10/C7-1</f>
        <v>-2.2523882892103386E-2</v>
      </c>
      <c r="E10" s="286"/>
      <c r="F10" s="78">
        <f>Q10/21</f>
        <v>11988026.380952381</v>
      </c>
      <c r="G10" s="90">
        <f t="shared" si="2"/>
        <v>-4.1039736297717733E-3</v>
      </c>
      <c r="H10" s="90"/>
      <c r="I10" s="130">
        <f t="shared" si="0"/>
        <v>205.39064991612466</v>
      </c>
      <c r="J10" s="130"/>
      <c r="K10" s="78">
        <f t="shared" si="3"/>
        <v>0</v>
      </c>
      <c r="L10" s="87">
        <f>U10/U7-1</f>
        <v>2.9842051997691854E-2</v>
      </c>
      <c r="N10" s="88">
        <f>AVERAGE(T8:T10)</f>
        <v>207.70981073848836</v>
      </c>
      <c r="O10" s="89">
        <f>N10/N7-1</f>
        <v>1.9253269936676976E-2</v>
      </c>
      <c r="P10" s="129" t="s">
        <v>5</v>
      </c>
      <c r="Q10" s="116">
        <v>251748554</v>
      </c>
      <c r="R10" s="116"/>
      <c r="S10" s="116">
        <v>1225706.01</v>
      </c>
      <c r="T10" s="130">
        <f t="shared" si="1"/>
        <v>205.39064991612466</v>
      </c>
      <c r="U10" s="85">
        <f t="shared" ref="U10" si="8">Q8+Q9+Q10</f>
        <v>758519072</v>
      </c>
    </row>
    <row r="11" spans="1:21" ht="15" hidden="1" customHeight="1">
      <c r="A11" s="129" t="s">
        <v>6</v>
      </c>
      <c r="C11" s="79"/>
      <c r="F11" s="78">
        <f>Q11/21</f>
        <v>12277088.142857144</v>
      </c>
      <c r="G11" s="90">
        <f t="shared" si="2"/>
        <v>2.4112539689105983E-2</v>
      </c>
      <c r="H11" s="90"/>
      <c r="I11" s="130">
        <f t="shared" si="0"/>
        <v>232.88489257443183</v>
      </c>
      <c r="J11" s="130"/>
      <c r="K11" s="78">
        <f t="shared" si="3"/>
        <v>0</v>
      </c>
      <c r="O11" s="89"/>
      <c r="P11" s="129" t="s">
        <v>6</v>
      </c>
      <c r="Q11" s="116">
        <v>257818851</v>
      </c>
      <c r="R11" s="116"/>
      <c r="S11" s="116">
        <v>1107065.5900000001</v>
      </c>
      <c r="T11" s="130">
        <f t="shared" si="1"/>
        <v>232.88489257443183</v>
      </c>
      <c r="U11" s="85">
        <f t="shared" ref="U11" si="9">Q9+Q10+Q11</f>
        <v>762353386</v>
      </c>
    </row>
    <row r="12" spans="1:21" ht="15" hidden="1" customHeight="1">
      <c r="A12" s="129" t="s">
        <v>7</v>
      </c>
      <c r="C12" s="79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248.22042380089954</v>
      </c>
      <c r="J12" s="130"/>
      <c r="K12" s="78">
        <f t="shared" si="3"/>
        <v>0</v>
      </c>
      <c r="O12" s="89"/>
      <c r="P12" s="129" t="s">
        <v>7</v>
      </c>
      <c r="Q12" s="116">
        <v>249284232</v>
      </c>
      <c r="R12" s="116"/>
      <c r="S12" s="116">
        <v>1004285.74</v>
      </c>
      <c r="T12" s="130">
        <f>Q12/S12</f>
        <v>248.22042380089954</v>
      </c>
      <c r="U12" s="85">
        <f t="shared" ref="U12" si="10">Q10+Q11+Q12</f>
        <v>758851637</v>
      </c>
    </row>
    <row r="13" spans="1:21" ht="15" hidden="1" customHeight="1">
      <c r="A13" s="129" t="s">
        <v>35</v>
      </c>
      <c r="B13" s="131">
        <f>F11+F12+F13</f>
        <v>35848847.997402601</v>
      </c>
      <c r="C13" s="131">
        <f>AVERAGE(F11:F13)</f>
        <v>11949615.9991342</v>
      </c>
      <c r="D13" s="90">
        <f>C13/C10-1</f>
        <v>-7.5057625637992009E-3</v>
      </c>
      <c r="E13" s="286"/>
      <c r="F13" s="78">
        <f>Q13/20</f>
        <v>12240658.4</v>
      </c>
      <c r="G13" s="90">
        <f t="shared" si="2"/>
        <v>8.0270832372582701E-2</v>
      </c>
      <c r="H13" s="90"/>
      <c r="I13" s="130">
        <f t="shared" si="0"/>
        <v>229.10476261564008</v>
      </c>
      <c r="J13" s="130"/>
      <c r="K13" s="78">
        <f t="shared" si="3"/>
        <v>0</v>
      </c>
      <c r="L13" s="87">
        <f>U13/U10-1</f>
        <v>-8.7048846149513359E-3</v>
      </c>
      <c r="N13" s="88">
        <f>AVERAGE(T11:T13)</f>
        <v>236.73669299699046</v>
      </c>
      <c r="O13" s="89">
        <f>N13/N10-1</f>
        <v>0.13974728567370187</v>
      </c>
      <c r="P13" s="129" t="s">
        <v>35</v>
      </c>
      <c r="Q13" s="116">
        <v>244813168</v>
      </c>
      <c r="R13" s="116"/>
      <c r="S13" s="116">
        <v>1068564.29</v>
      </c>
      <c r="T13" s="130">
        <f>Q13/S13</f>
        <v>229.10476261564008</v>
      </c>
      <c r="U13" s="85">
        <f t="shared" ref="U13" si="11">Q11+Q12+Q13</f>
        <v>751916251</v>
      </c>
    </row>
    <row r="14" spans="1:21" ht="15" hidden="1" customHeight="1">
      <c r="A14" s="129" t="s">
        <v>36</v>
      </c>
      <c r="C14" s="79"/>
      <c r="F14" s="78">
        <f>Q14/20</f>
        <v>11317830.1</v>
      </c>
      <c r="G14" s="90">
        <f t="shared" si="2"/>
        <v>-7.5390413639841558E-2</v>
      </c>
      <c r="H14" s="90"/>
      <c r="I14" s="130">
        <f t="shared" si="0"/>
        <v>229.56535635982661</v>
      </c>
      <c r="J14" s="130"/>
      <c r="K14" s="78">
        <f t="shared" si="3"/>
        <v>0</v>
      </c>
      <c r="O14" s="89"/>
      <c r="P14" s="129" t="s">
        <v>36</v>
      </c>
      <c r="Q14" s="116">
        <v>226356602</v>
      </c>
      <c r="R14" s="116"/>
      <c r="S14" s="116">
        <v>986022.48</v>
      </c>
      <c r="T14" s="130">
        <f>Q14/S14</f>
        <v>229.56535635982661</v>
      </c>
      <c r="U14" s="85">
        <f t="shared" ref="U14" si="12">Q12+Q13+Q14</f>
        <v>720454002</v>
      </c>
    </row>
    <row r="15" spans="1:21" ht="15" hidden="1" customHeight="1">
      <c r="A15" s="129" t="s">
        <v>37</v>
      </c>
      <c r="B15" s="131"/>
      <c r="C15" s="131"/>
      <c r="F15" s="78">
        <f>Q15/22</f>
        <v>9903216.7727272734</v>
      </c>
      <c r="G15" s="90">
        <f t="shared" si="2"/>
        <v>-0.12498980058666243</v>
      </c>
      <c r="H15" s="90"/>
      <c r="I15" s="130">
        <f t="shared" si="0"/>
        <v>230.44133945864215</v>
      </c>
      <c r="J15" s="130"/>
      <c r="K15" s="78">
        <f t="shared" si="3"/>
        <v>0</v>
      </c>
      <c r="O15" s="89"/>
      <c r="P15" s="129" t="s">
        <v>37</v>
      </c>
      <c r="Q15" s="116">
        <v>217870769</v>
      </c>
      <c r="R15" s="116"/>
      <c r="S15" s="116">
        <v>945450.02</v>
      </c>
      <c r="T15" s="130">
        <f t="shared" ref="T15:T23" si="13">Q15/S15</f>
        <v>230.44133945864215</v>
      </c>
      <c r="U15" s="85">
        <f t="shared" ref="U15" si="14">Q13+Q14+Q15</f>
        <v>689040539</v>
      </c>
    </row>
    <row r="16" spans="1:21" ht="15" hidden="1" customHeight="1">
      <c r="A16" s="123" t="s">
        <v>38</v>
      </c>
      <c r="B16" s="131">
        <f>F14+F15+F16</f>
        <v>29964317.372727275</v>
      </c>
      <c r="C16" s="131">
        <f>AVERAGE(F14:F16)</f>
        <v>9988105.790909091</v>
      </c>
      <c r="D16" s="90">
        <f>C16/C13-1</f>
        <v>-0.16414838839735335</v>
      </c>
      <c r="E16" s="286"/>
      <c r="F16" s="78">
        <f>Q16/22</f>
        <v>8743270.5</v>
      </c>
      <c r="G16" s="90">
        <f t="shared" si="2"/>
        <v>-0.11712823210349987</v>
      </c>
      <c r="H16" s="90"/>
      <c r="I16" s="130">
        <f t="shared" si="0"/>
        <v>201.64404324168882</v>
      </c>
      <c r="J16" s="130"/>
      <c r="K16" s="78">
        <f t="shared" si="3"/>
        <v>0</v>
      </c>
      <c r="L16" s="87">
        <f>U16/U13-1</f>
        <v>-0.15339065866259616</v>
      </c>
      <c r="N16" s="88">
        <f>AVERAGE(T14:T16)</f>
        <v>220.55024635338586</v>
      </c>
      <c r="O16" s="89">
        <f>N16/N13-1</f>
        <v>-6.8373205854532992E-2</v>
      </c>
      <c r="P16" s="123" t="s">
        <v>38</v>
      </c>
      <c r="Q16" s="133">
        <v>192351951</v>
      </c>
      <c r="R16" s="133"/>
      <c r="S16" s="133">
        <v>953918.34</v>
      </c>
      <c r="T16" s="134">
        <f t="shared" si="13"/>
        <v>201.64404324168882</v>
      </c>
      <c r="U16" s="85">
        <f t="shared" ref="U16" si="15">Q14+Q15+Q16</f>
        <v>636579322</v>
      </c>
    </row>
    <row r="17" spans="1:21" ht="15" hidden="1" customHeight="1">
      <c r="A17" s="129" t="s">
        <v>100</v>
      </c>
      <c r="C17" s="79"/>
      <c r="F17" s="78">
        <f>Q17/20</f>
        <v>9708677.3499999996</v>
      </c>
      <c r="G17" s="90">
        <f t="shared" si="2"/>
        <v>0.11041713166714895</v>
      </c>
      <c r="H17" s="90">
        <f t="shared" ref="H17:H22" si="16">F17/F5-1</f>
        <v>-0.20658610579781</v>
      </c>
      <c r="I17" s="130">
        <f t="shared" si="0"/>
        <v>192.89526863381741</v>
      </c>
      <c r="J17" s="130">
        <f t="shared" ref="J17:J49" si="17">I17/I5-1</f>
        <v>-0.11745667248551128</v>
      </c>
      <c r="K17" s="78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3"/>
        <v>192.89526863381741</v>
      </c>
      <c r="U17" s="85"/>
    </row>
    <row r="18" spans="1:21" hidden="1">
      <c r="A18" s="129" t="s">
        <v>106</v>
      </c>
      <c r="C18" s="79"/>
      <c r="F18" s="78">
        <f>Q18/20</f>
        <v>9773298.6999999993</v>
      </c>
      <c r="G18" s="90">
        <f t="shared" si="2"/>
        <v>6.6560405367677156E-3</v>
      </c>
      <c r="H18" s="90">
        <f t="shared" si="16"/>
        <v>-0.24730183643471226</v>
      </c>
      <c r="I18" s="130">
        <f t="shared" si="0"/>
        <v>188.65083978955641</v>
      </c>
      <c r="J18" s="130">
        <f t="shared" si="17"/>
        <v>-6.2671212112069496E-2</v>
      </c>
      <c r="K18" s="78"/>
      <c r="O18" s="89"/>
      <c r="P18" s="129" t="s">
        <v>106</v>
      </c>
      <c r="Q18" s="116">
        <v>195465974</v>
      </c>
      <c r="R18" s="116">
        <v>245524877421</v>
      </c>
      <c r="S18" s="116">
        <v>1036125.65</v>
      </c>
      <c r="T18" s="130">
        <f t="shared" si="13"/>
        <v>188.65083978955641</v>
      </c>
      <c r="U18" s="85"/>
    </row>
    <row r="19" spans="1:21" hidden="1">
      <c r="A19" s="129" t="s">
        <v>114</v>
      </c>
      <c r="B19" s="131">
        <f>SUM(F17:F19)</f>
        <v>30279095.00454545</v>
      </c>
      <c r="C19" s="131">
        <f>AVERAGE(F17:F19)</f>
        <v>10093031.668181816</v>
      </c>
      <c r="D19" s="90">
        <f>C19/C16-1</f>
        <v>1.0505082692278345E-2</v>
      </c>
      <c r="E19" s="286">
        <f>C19/C7-1</f>
        <v>-0.18058891404345845</v>
      </c>
      <c r="F19" s="78">
        <f>Q19/22</f>
        <v>10797118.954545455</v>
      </c>
      <c r="G19" s="90">
        <f t="shared" si="2"/>
        <v>0.10475687748553675</v>
      </c>
      <c r="H19" s="90">
        <f t="shared" si="16"/>
        <v>-7.9633481693564323E-2</v>
      </c>
      <c r="I19" s="130">
        <f t="shared" si="0"/>
        <v>190.13011275410946</v>
      </c>
      <c r="J19" s="130">
        <f t="shared" si="17"/>
        <v>-7.2933227871679884E-3</v>
      </c>
      <c r="K19" s="78">
        <f>R17+R18+R19</f>
        <v>799996994930</v>
      </c>
      <c r="L19" s="87">
        <f>U19/U16-1</f>
        <v>-1.4771425453244613E-2</v>
      </c>
      <c r="M19" s="87">
        <f>U19/U7-1</f>
        <v>-0.14848237207948856</v>
      </c>
      <c r="N19" s="88">
        <f>AVERAGE(T17:T19)</f>
        <v>190.55874039249443</v>
      </c>
      <c r="O19" s="89">
        <f>N19/N16-1</f>
        <v>-0.13598491253932354</v>
      </c>
      <c r="P19" s="129" t="s">
        <v>114</v>
      </c>
      <c r="Q19" s="116">
        <v>237536617</v>
      </c>
      <c r="R19" s="116">
        <v>310552189248</v>
      </c>
      <c r="S19" s="136">
        <v>1249337.17</v>
      </c>
      <c r="T19" s="130">
        <f t="shared" si="13"/>
        <v>190.13011275410946</v>
      </c>
      <c r="U19" s="85">
        <f>Q17+Q18+Q19</f>
        <v>627176138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9385062.8000000007</v>
      </c>
      <c r="G20" s="90">
        <f t="shared" si="2"/>
        <v>-0.13078082778285927</v>
      </c>
      <c r="H20" s="90">
        <f t="shared" si="16"/>
        <v>-0.22402237109418977</v>
      </c>
      <c r="I20" s="130">
        <f t="shared" si="0"/>
        <v>184.7666225159096</v>
      </c>
      <c r="J20" s="130">
        <f t="shared" si="17"/>
        <v>-9.6184037911963283E-2</v>
      </c>
      <c r="K20" s="78"/>
      <c r="O20" s="89"/>
      <c r="P20" s="129" t="s">
        <v>132</v>
      </c>
      <c r="Q20" s="116">
        <v>187701256</v>
      </c>
      <c r="R20" s="116">
        <v>246051315138</v>
      </c>
      <c r="S20" s="136">
        <v>1015882.92</v>
      </c>
      <c r="T20" s="130">
        <f t="shared" si="13"/>
        <v>184.7666225159096</v>
      </c>
      <c r="U20" s="85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9521224.666666666</v>
      </c>
      <c r="G21" s="90">
        <f t="shared" si="2"/>
        <v>1.450835967412667E-2</v>
      </c>
      <c r="H21" s="90">
        <f t="shared" si="16"/>
        <v>-0.20903161951848903</v>
      </c>
      <c r="I21" s="130">
        <f t="shared" si="0"/>
        <v>175.23031295007527</v>
      </c>
      <c r="J21" s="130">
        <f t="shared" si="17"/>
        <v>-0.17851539124892546</v>
      </c>
      <c r="K21" s="78"/>
      <c r="O21" s="89"/>
      <c r="P21" s="129" t="s">
        <v>141</v>
      </c>
      <c r="Q21" s="116">
        <v>199945718</v>
      </c>
      <c r="R21" s="116">
        <v>266240573679</v>
      </c>
      <c r="S21" s="136">
        <v>1141045.26</v>
      </c>
      <c r="T21" s="130">
        <f t="shared" si="13"/>
        <v>175.23031295007527</v>
      </c>
      <c r="U21" s="85"/>
    </row>
    <row r="22" spans="1:21" hidden="1">
      <c r="A22" s="129" t="s">
        <v>156</v>
      </c>
      <c r="B22" s="131">
        <f>SUM(F20:F22)</f>
        <v>28467320.800000004</v>
      </c>
      <c r="C22" s="131">
        <f>AVERAGE(F20:F22)</f>
        <v>9489106.9333333354</v>
      </c>
      <c r="D22" s="90">
        <f>C22/C19-1</f>
        <v>-5.9835810953843271E-2</v>
      </c>
      <c r="E22" s="286">
        <f>C22/C10-1</f>
        <v>-0.21186723067656732</v>
      </c>
      <c r="F22" s="78">
        <f>Q22/21</f>
        <v>9561033.333333334</v>
      </c>
      <c r="G22" s="90">
        <f t="shared" si="2"/>
        <v>4.181044777363141E-3</v>
      </c>
      <c r="H22" s="90">
        <f t="shared" si="16"/>
        <v>-0.20245142699012275</v>
      </c>
      <c r="I22" s="130">
        <f t="shared" si="0"/>
        <v>168.72663153208157</v>
      </c>
      <c r="J22" s="130">
        <f t="shared" si="17"/>
        <v>-0.17850870231442162</v>
      </c>
      <c r="K22" s="78">
        <f>R20+R21+R22</f>
        <v>773268629387</v>
      </c>
      <c r="L22" s="87">
        <f>U22/U19-1</f>
        <v>-6.1780832611970316E-2</v>
      </c>
      <c r="M22" s="87">
        <f>U22/U10-1</f>
        <v>-0.22424010717557807</v>
      </c>
      <c r="N22" s="88">
        <f>AVERAGE(T20:T22)</f>
        <v>176.24118899935547</v>
      </c>
      <c r="O22" s="89">
        <f>N22/N19-1</f>
        <v>-7.5134582458138865E-2</v>
      </c>
      <c r="P22" s="129" t="s">
        <v>156</v>
      </c>
      <c r="Q22" s="116">
        <v>200781700</v>
      </c>
      <c r="R22" s="116">
        <v>260976740570</v>
      </c>
      <c r="S22" s="136">
        <v>1189982.27</v>
      </c>
      <c r="T22" s="130">
        <f t="shared" si="13"/>
        <v>168.72663153208157</v>
      </c>
      <c r="U22" s="85">
        <f t="shared" ref="U22" si="18">Q20+Q21+Q22</f>
        <v>588428674</v>
      </c>
    </row>
    <row r="23" spans="1:21" hidden="1">
      <c r="A23" s="129" t="s">
        <v>190</v>
      </c>
      <c r="B23" s="131"/>
      <c r="C23" s="131"/>
      <c r="F23" s="78">
        <f>Q23/21</f>
        <v>9810868.8571428563</v>
      </c>
      <c r="G23" s="90">
        <f t="shared" ref="G23" si="19">F23/F22-1</f>
        <v>2.6130598555545559E-2</v>
      </c>
      <c r="H23" s="90">
        <f t="shared" ref="H23" si="20">F23/F11-1</f>
        <v>-0.20087982239902247</v>
      </c>
      <c r="I23" s="130">
        <f t="shared" si="0"/>
        <v>178.6242866802109</v>
      </c>
      <c r="J23" s="130">
        <f t="shared" si="17"/>
        <v>-0.23299324097151908</v>
      </c>
      <c r="K23" s="78"/>
      <c r="O23" s="89"/>
      <c r="P23" s="129" t="s">
        <v>190</v>
      </c>
      <c r="Q23" s="116">
        <v>206028246</v>
      </c>
      <c r="R23" s="116">
        <v>266295077251</v>
      </c>
      <c r="S23" s="136">
        <v>1153416.76</v>
      </c>
      <c r="T23" s="130">
        <f t="shared" si="13"/>
        <v>178.6242866802109</v>
      </c>
      <c r="U23" s="85"/>
    </row>
    <row r="24" spans="1:21" hidden="1">
      <c r="A24" s="129" t="s">
        <v>204</v>
      </c>
      <c r="B24" s="131"/>
      <c r="C24" s="131"/>
      <c r="F24" s="78">
        <f>Q24/22</f>
        <v>8786115.9090909082</v>
      </c>
      <c r="G24" s="90">
        <f t="shared" ref="G24" si="21">F24/F23-1</f>
        <v>-0.10445078442832012</v>
      </c>
      <c r="H24" s="90">
        <f t="shared" ref="H24" si="22">F24/F12-1</f>
        <v>-0.22460177906479073</v>
      </c>
      <c r="I24" s="130">
        <f t="shared" si="0"/>
        <v>177.73215050187025</v>
      </c>
      <c r="J24" s="130">
        <f t="shared" si="17"/>
        <v>-0.28397451031494791</v>
      </c>
      <c r="K24" s="78"/>
      <c r="O24" s="89"/>
      <c r="P24" s="129" t="s">
        <v>204</v>
      </c>
      <c r="Q24" s="116">
        <v>193294550</v>
      </c>
      <c r="R24" s="116">
        <v>253399461372</v>
      </c>
      <c r="S24" s="136">
        <v>1087560.97</v>
      </c>
      <c r="T24" s="130">
        <f t="shared" ref="T24" si="23">Q24/S24</f>
        <v>177.73215050187025</v>
      </c>
      <c r="U24" s="85"/>
    </row>
    <row r="25" spans="1:21" s="79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1.1869183733321353E-2</v>
      </c>
      <c r="E25" s="286">
        <f>C25/C13-1</f>
        <v>-0.19648172061044566</v>
      </c>
      <c r="F25" s="78">
        <f>Q25/19</f>
        <v>10208219.894736841</v>
      </c>
      <c r="G25" s="90">
        <f t="shared" ref="G25" si="24">F25/F24-1</f>
        <v>0.16185809524485051</v>
      </c>
      <c r="H25" s="90">
        <f t="shared" ref="H25" si="25">F25/F13-1</f>
        <v>-0.16603996605796623</v>
      </c>
      <c r="I25" s="130">
        <f t="shared" si="0"/>
        <v>190.38855540023494</v>
      </c>
      <c r="J25" s="130">
        <f t="shared" si="17"/>
        <v>-0.16898909814615148</v>
      </c>
      <c r="K25" s="78">
        <f>R23+R24+R25</f>
        <v>777082193052</v>
      </c>
      <c r="L25" s="90">
        <f>U25/U22-1</f>
        <v>8.2428002140493284E-3</v>
      </c>
      <c r="M25" s="90">
        <f>U25/U13-1</f>
        <v>-0.21097732199433472</v>
      </c>
      <c r="N25" s="88">
        <f>AVERAGE(T23:T25)</f>
        <v>182.24833086077203</v>
      </c>
      <c r="O25" s="91">
        <f>N25/N22-1</f>
        <v>3.4084778339974253E-2</v>
      </c>
      <c r="P25" s="129" t="s">
        <v>244</v>
      </c>
      <c r="Q25" s="116">
        <v>193956178</v>
      </c>
      <c r="R25" s="116">
        <v>257387654429</v>
      </c>
      <c r="S25" s="136">
        <v>1018738.64</v>
      </c>
      <c r="T25" s="130">
        <f t="shared" ref="T25" si="26">Q25/S25</f>
        <v>190.38855540023494</v>
      </c>
      <c r="U25" s="85">
        <f t="shared" ref="U25" si="27">Q23+Q24+Q25</f>
        <v>593278974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10791534.684210526</v>
      </c>
      <c r="G26" s="90">
        <f t="shared" ref="G26" si="28">F26/F25-1</f>
        <v>5.7141675579934326E-2</v>
      </c>
      <c r="H26" s="90">
        <f t="shared" ref="H26" si="29">F26/F14-1</f>
        <v>-4.650144163141956E-2</v>
      </c>
      <c r="I26" s="130">
        <f t="shared" si="0"/>
        <v>198.34228065054484</v>
      </c>
      <c r="J26" s="130">
        <f t="shared" si="17"/>
        <v>-0.136009527763161</v>
      </c>
      <c r="K26" s="78"/>
      <c r="L26" s="90"/>
      <c r="M26" s="90"/>
      <c r="P26" s="129" t="s">
        <v>312</v>
      </c>
      <c r="Q26" s="116">
        <v>205039159</v>
      </c>
      <c r="R26" s="116">
        <v>276353783394</v>
      </c>
      <c r="S26" s="136">
        <v>1033764.25</v>
      </c>
      <c r="T26" s="130">
        <f t="shared" ref="T26" si="30">Q26/S26</f>
        <v>198.34228065054484</v>
      </c>
      <c r="U26" s="85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9576958.2272727266</v>
      </c>
      <c r="G27" s="90">
        <f t="shared" ref="G27" si="31">F27/F26-1</f>
        <v>-0.11254900183149008</v>
      </c>
      <c r="H27" s="90">
        <f t="shared" ref="H27" si="32">F27/F15-1</f>
        <v>-3.2944704023145199E-2</v>
      </c>
      <c r="I27" s="130">
        <f t="shared" si="0"/>
        <v>187.21026915545377</v>
      </c>
      <c r="J27" s="130">
        <f t="shared" si="17"/>
        <v>-0.1876011934523022</v>
      </c>
      <c r="K27" s="78"/>
      <c r="L27" s="90"/>
      <c r="M27" s="90"/>
      <c r="P27" s="129" t="s">
        <v>375</v>
      </c>
      <c r="Q27" s="116">
        <v>210693081</v>
      </c>
      <c r="R27" s="116">
        <v>278621655787</v>
      </c>
      <c r="S27" s="136">
        <v>1125435.49</v>
      </c>
      <c r="T27" s="130">
        <f t="shared" ref="T27" si="33">Q27/S27</f>
        <v>187.21026915545377</v>
      </c>
      <c r="U27" s="85"/>
    </row>
    <row r="28" spans="1:21" s="79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86">
        <f>C28/C16-1</f>
        <v>7.4916304147771839E-3</v>
      </c>
      <c r="F28" s="78">
        <f>Q28/19</f>
        <v>9820306.0526315793</v>
      </c>
      <c r="G28" s="90">
        <f t="shared" ref="G28" si="34">F28/F27-1</f>
        <v>2.5409719827936605E-2</v>
      </c>
      <c r="H28" s="90">
        <f t="shared" ref="H28" si="35">F28/F16-1</f>
        <v>0.12318451689577481</v>
      </c>
      <c r="I28" s="130">
        <f t="shared" si="0"/>
        <v>182.40876375526273</v>
      </c>
      <c r="J28" s="130">
        <f t="shared" si="17"/>
        <v>-9.5392252492035423E-2</v>
      </c>
      <c r="K28" s="78">
        <f>R26+R27+R28</f>
        <v>798300552776</v>
      </c>
      <c r="L28" s="90">
        <f>U28/U25-1</f>
        <v>1.5235802036025037E-2</v>
      </c>
      <c r="M28" s="90">
        <f>U28/U16-1</f>
        <v>-5.3820892096146378E-2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36">
        <v>1022899.4</v>
      </c>
      <c r="T28" s="130">
        <f t="shared" ref="T28" si="36">Q28/S28</f>
        <v>182.40876375526273</v>
      </c>
      <c r="U28" s="85">
        <f t="shared" ref="U28" si="37">Q26+Q27+Q28</f>
        <v>602318055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10155632.727272727</v>
      </c>
      <c r="G29" s="190">
        <f t="shared" ref="G29" si="38">F29/F28-1</f>
        <v>3.4146254998976167E-2</v>
      </c>
      <c r="H29" s="190">
        <f t="shared" ref="H29" si="39">F29/F17-1</f>
        <v>4.6036690803482827E-2</v>
      </c>
      <c r="I29" s="130">
        <f t="shared" si="0"/>
        <v>193.41184938694357</v>
      </c>
      <c r="J29" s="130">
        <f t="shared" si="17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36">
        <v>1155171.83</v>
      </c>
      <c r="T29" s="130">
        <f t="shared" ref="T29" si="40">Q29/S29</f>
        <v>193.41184938694357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87"/>
      <c r="F30" s="136">
        <f>Q30/19</f>
        <v>10167632.315789474</v>
      </c>
      <c r="G30" s="190">
        <f t="shared" ref="G30" si="41">F30/F29-1</f>
        <v>1.1815697592649776E-3</v>
      </c>
      <c r="H30" s="190">
        <f t="shared" ref="H30" si="42">F30/F18-1</f>
        <v>4.0348057282795891E-2</v>
      </c>
      <c r="I30" s="130">
        <f t="shared" si="0"/>
        <v>181.279854730648</v>
      </c>
      <c r="J30" s="130">
        <f t="shared" si="17"/>
        <v>-3.907210308276865E-2</v>
      </c>
      <c r="K30" s="136"/>
      <c r="L30" s="190"/>
      <c r="M30" s="190"/>
      <c r="N30" s="191"/>
      <c r="O30" s="192"/>
      <c r="P30" s="129" t="s">
        <v>484</v>
      </c>
      <c r="Q30" s="116">
        <v>193185014</v>
      </c>
      <c r="R30" s="116">
        <v>257418501491</v>
      </c>
      <c r="S30" s="136">
        <v>1065672.82</v>
      </c>
      <c r="T30" s="130">
        <f t="shared" ref="T30" si="43">Q30/S30</f>
        <v>181.279854730648</v>
      </c>
      <c r="U30" s="85"/>
    </row>
    <row r="31" spans="1:21" s="79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87">
        <f>C31/C19-1</f>
        <v>9.6227822685259756E-3</v>
      </c>
      <c r="F31" s="136">
        <f>Q31/20</f>
        <v>10247199.1</v>
      </c>
      <c r="G31" s="190">
        <f t="shared" ref="G31" si="44">F31/F30-1</f>
        <v>7.8254977893885691E-3</v>
      </c>
      <c r="H31" s="190">
        <f t="shared" ref="H31" si="45">F31/F19-1</f>
        <v>-5.0932091871966123E-2</v>
      </c>
      <c r="I31" s="130">
        <f t="shared" si="0"/>
        <v>206.06210175218055</v>
      </c>
      <c r="J31" s="130">
        <f t="shared" si="17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-8.9659374126251912E-3</v>
      </c>
      <c r="N31" s="191">
        <f>AVERAGE(T29:T31)</f>
        <v>193.58460195659072</v>
      </c>
      <c r="O31" s="192">
        <f>N31/N28-1</f>
        <v>2.2523527576726377E-2</v>
      </c>
      <c r="P31" s="129" t="s">
        <v>505</v>
      </c>
      <c r="Q31" s="116">
        <v>204943982</v>
      </c>
      <c r="R31" s="116">
        <v>272268672955</v>
      </c>
      <c r="S31" s="136">
        <v>994573.87</v>
      </c>
      <c r="T31" s="130">
        <f t="shared" ref="T31" si="46">Q31/S31</f>
        <v>206.06210175218055</v>
      </c>
      <c r="U31" s="85">
        <f t="shared" ref="U31" si="47">Q29+Q30+Q31</f>
        <v>621552916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9833925.7619047612</v>
      </c>
      <c r="G32" s="190">
        <f t="shared" ref="G32" si="48">F32/F31-1</f>
        <v>-4.0330370676142979E-2</v>
      </c>
      <c r="H32" s="190">
        <f t="shared" ref="H32" si="49">F32/F20-1</f>
        <v>4.7827379685169591E-2</v>
      </c>
      <c r="I32" s="130">
        <f t="shared" si="0"/>
        <v>180.4264923978142</v>
      </c>
      <c r="J32" s="130">
        <f t="shared" si="17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36">
        <v>1144579.3700000001</v>
      </c>
      <c r="T32" s="130">
        <f t="shared" ref="T32" si="50">Q32/S32</f>
        <v>180.4264923978142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10323316.142857144</v>
      </c>
      <c r="G33" s="190">
        <f t="shared" ref="G33" si="51">F33/F32-1</f>
        <v>4.9765515095528956E-2</v>
      </c>
      <c r="H33" s="190">
        <f t="shared" ref="H33" si="52">F33/F21-1</f>
        <v>8.4242469248578811E-2</v>
      </c>
      <c r="I33" s="130">
        <f t="shared" si="0"/>
        <v>189.0269832260791</v>
      </c>
      <c r="J33" s="130">
        <f t="shared" si="17"/>
        <v>7.8734495440492713E-2</v>
      </c>
      <c r="K33" s="136"/>
      <c r="L33" s="190"/>
      <c r="M33" s="190"/>
      <c r="N33" s="191"/>
      <c r="O33" s="192"/>
      <c r="P33" s="129" t="s">
        <v>607</v>
      </c>
      <c r="Q33" s="116">
        <v>216789639</v>
      </c>
      <c r="R33" s="116">
        <v>296566089080</v>
      </c>
      <c r="S33" s="136">
        <v>1146871.3899999999</v>
      </c>
      <c r="T33" s="130">
        <f t="shared" ref="T33" si="53">Q33/S33</f>
        <v>189.0269832260791</v>
      </c>
      <c r="U33" s="85"/>
    </row>
    <row r="34" spans="1:21" s="79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87">
        <f>C34/C22-1</f>
        <v>8.5647170322503685E-2</v>
      </c>
      <c r="F34" s="136">
        <f>Q34/19</f>
        <v>10748224.368421054</v>
      </c>
      <c r="G34" s="190">
        <f t="shared" ref="G34" si="54">F34/F33-1</f>
        <v>4.1160051642699091E-2</v>
      </c>
      <c r="H34" s="190">
        <f t="shared" ref="H34" si="55">F34/F22-1</f>
        <v>0.12416974125053293</v>
      </c>
      <c r="I34" s="130">
        <f t="shared" si="0"/>
        <v>204.53973440837746</v>
      </c>
      <c r="J34" s="130">
        <f t="shared" si="17"/>
        <v>0.21225518788055941</v>
      </c>
      <c r="K34" s="136">
        <f>R32+R33+R34</f>
        <v>858102697905</v>
      </c>
      <c r="L34" s="190">
        <f>U34/U31-1</f>
        <v>9.5976172686800254E-3</v>
      </c>
      <c r="M34" s="190">
        <f>U34/U22-1</f>
        <v>6.6430598519745088E-2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36">
        <v>998418.54</v>
      </c>
      <c r="T34" s="130">
        <f t="shared" ref="T34" si="56">Q34/S34</f>
        <v>204.53973440837746</v>
      </c>
      <c r="U34" s="85">
        <f t="shared" ref="U34" si="57">Q32+Q33+Q34</f>
        <v>627518343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9810577.1304347832</v>
      </c>
      <c r="G35" s="190">
        <f t="shared" ref="G35" si="58">F35/F34-1</f>
        <v>-8.723740832403315E-2</v>
      </c>
      <c r="H35" s="190">
        <f t="shared" ref="H35" si="59">F35/F23-1</f>
        <v>-2.9735053268087341E-5</v>
      </c>
      <c r="I35" s="130">
        <f t="shared" si="0"/>
        <v>193.44036969926938</v>
      </c>
      <c r="J35" s="130">
        <f t="shared" si="17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36">
        <v>1166474.58</v>
      </c>
      <c r="T35" s="130">
        <f t="shared" ref="T35" si="60">Q35/S35</f>
        <v>193.44036969926938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9423722.4761904757</v>
      </c>
      <c r="G36" s="190">
        <f t="shared" ref="G36" si="61">F36/F35-1</f>
        <v>-3.9432405362187173E-2</v>
      </c>
      <c r="H36" s="190">
        <f t="shared" ref="H36" si="62">F36/F24-1</f>
        <v>7.2569787798934193E-2</v>
      </c>
      <c r="I36" s="130">
        <f t="shared" si="0"/>
        <v>194.09517212683627</v>
      </c>
      <c r="J36" s="130">
        <f t="shared" si="17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36">
        <v>1019593.48</v>
      </c>
      <c r="T36" s="130">
        <f t="shared" ref="T36" si="63">Q36/S36</f>
        <v>194.09517212683627</v>
      </c>
      <c r="U36" s="85"/>
    </row>
    <row r="37" spans="1:21" s="79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87">
        <f>C37/C25-1</f>
        <v>3.3546468475830427E-2</v>
      </c>
      <c r="F37" s="136">
        <f>Q37/18</f>
        <v>10537217.944444444</v>
      </c>
      <c r="G37" s="190">
        <f t="shared" ref="G37" si="64">F37/F36-1</f>
        <v>0.11815877123581187</v>
      </c>
      <c r="H37" s="190">
        <f t="shared" ref="H37" si="65">F37/F25-1</f>
        <v>3.2228738516617117E-2</v>
      </c>
      <c r="I37" s="130">
        <f t="shared" si="0"/>
        <v>217.45791037779344</v>
      </c>
      <c r="J37" s="130">
        <f t="shared" si="17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36">
        <v>872214.41</v>
      </c>
      <c r="T37" s="130">
        <f t="shared" ref="T37" si="66">Q37/S37</f>
        <v>217.45791037779344</v>
      </c>
      <c r="U37" s="85">
        <f t="shared" ref="U37" si="67">Q35+Q36+Q37</f>
        <v>613211369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10676955.800000001</v>
      </c>
      <c r="G38" s="190">
        <f t="shared" ref="G38" si="68">F38/F37-1</f>
        <v>1.3261361423128948E-2</v>
      </c>
      <c r="H38" s="190">
        <f t="shared" ref="H38" si="69">F38/F26-1</f>
        <v>-1.0617478195957597E-2</v>
      </c>
      <c r="I38" s="130">
        <f t="shared" si="0"/>
        <v>199.34707913404179</v>
      </c>
      <c r="J38" s="130">
        <f t="shared" si="17"/>
        <v>5.0659823019141292E-3</v>
      </c>
      <c r="K38" s="136"/>
      <c r="L38" s="190"/>
      <c r="M38" s="190"/>
      <c r="N38" s="191"/>
      <c r="O38" s="192"/>
      <c r="P38" s="129" t="s">
        <v>728</v>
      </c>
      <c r="Q38" s="116">
        <v>213539116</v>
      </c>
      <c r="R38" s="116">
        <v>287324483481</v>
      </c>
      <c r="S38" s="136">
        <v>1071192.6000000001</v>
      </c>
      <c r="T38" s="130">
        <f t="shared" ref="T38" si="70">Q38/S38</f>
        <v>199.34707913404179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9260507.5714285709</v>
      </c>
      <c r="G39" s="190">
        <f t="shared" ref="G39" si="71">F39/F38-1</f>
        <v>-0.13266405285403815</v>
      </c>
      <c r="H39" s="190">
        <f t="shared" ref="H39" si="72">F39/F27-1</f>
        <v>-3.304291909126067E-2</v>
      </c>
      <c r="I39" s="130">
        <f t="shared" si="0"/>
        <v>190.39192142607737</v>
      </c>
      <c r="J39" s="130">
        <f t="shared" si="17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36">
        <v>1021422.85</v>
      </c>
      <c r="T39" s="130">
        <f t="shared" ref="T39" si="73">Q39/S39</f>
        <v>190.39192142607737</v>
      </c>
      <c r="U39" s="85"/>
    </row>
    <row r="40" spans="1:21" s="79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87">
        <f>C40/C28-1</f>
        <v>-3.7757614094307779E-2</v>
      </c>
      <c r="F40" s="136">
        <f>Q40/21</f>
        <v>9111478.5714285709</v>
      </c>
      <c r="G40" s="190">
        <f t="shared" ref="G40" si="74">F40/F39-1</f>
        <v>-1.6092962383595366E-2</v>
      </c>
      <c r="H40" s="190">
        <f t="shared" ref="H40" si="75">F40/F28-1</f>
        <v>-7.2179774989096335E-2</v>
      </c>
      <c r="I40" s="130">
        <f t="shared" si="0"/>
        <v>179.61603664079453</v>
      </c>
      <c r="J40" s="130">
        <f t="shared" si="17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36">
        <v>1065278.21</v>
      </c>
      <c r="T40" s="130">
        <f t="shared" ref="T40" si="76">Q40/S40</f>
        <v>179.61603664079453</v>
      </c>
      <c r="U40" s="85">
        <f t="shared" ref="U40" si="77">Q38+Q39+Q40</f>
        <v>599350825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10345781.055555556</v>
      </c>
      <c r="G41" s="190">
        <f t="shared" ref="G41" si="78">F41/F40-1</f>
        <v>0.13546676035626803</v>
      </c>
      <c r="H41" s="190">
        <f t="shared" ref="H41" si="79">F41/F29-1</f>
        <v>1.8723434904473368E-2</v>
      </c>
      <c r="I41" s="130">
        <f t="shared" si="0"/>
        <v>184.60515486416099</v>
      </c>
      <c r="J41" s="130">
        <f t="shared" si="17"/>
        <v>-4.5533376319481511E-2</v>
      </c>
      <c r="K41" s="193"/>
      <c r="L41" s="190"/>
      <c r="M41" s="190"/>
      <c r="N41" s="193"/>
      <c r="O41" s="193"/>
      <c r="P41" s="129" t="s">
        <v>792</v>
      </c>
      <c r="Q41" s="116">
        <v>186224059</v>
      </c>
      <c r="R41" s="116">
        <v>272234092705</v>
      </c>
      <c r="S41" s="136">
        <v>1008769.55</v>
      </c>
      <c r="T41" s="130">
        <f t="shared" ref="T41" si="80">Q41/S41</f>
        <v>184.60515486416099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9488999.0500000007</v>
      </c>
      <c r="G42" s="190">
        <f t="shared" ref="G42" si="81">F42/F41-1</f>
        <v>-8.2814627620161563E-2</v>
      </c>
      <c r="H42" s="190">
        <f t="shared" ref="H42" si="82">F42/F30-1</f>
        <v>-6.6744473512836744E-2</v>
      </c>
      <c r="I42" s="130">
        <f t="shared" si="0"/>
        <v>186.73343251780926</v>
      </c>
      <c r="J42" s="130">
        <f t="shared" si="17"/>
        <v>3.0083749765049017E-2</v>
      </c>
      <c r="K42" s="193"/>
      <c r="L42" s="190"/>
      <c r="M42" s="190"/>
      <c r="N42" s="193"/>
      <c r="O42" s="193"/>
      <c r="P42" s="129" t="s">
        <v>826</v>
      </c>
      <c r="Q42" s="116">
        <v>189779981</v>
      </c>
      <c r="R42" s="116">
        <v>274152058633</v>
      </c>
      <c r="S42" s="136">
        <v>1016314.96</v>
      </c>
      <c r="T42" s="130">
        <f t="shared" ref="T42" si="83">Q42/S42</f>
        <v>186.73343251780926</v>
      </c>
      <c r="U42" s="78"/>
    </row>
    <row r="43" spans="1:21" s="79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87">
        <f>C43/C31-1</f>
        <v>6.6285651256408062E-3</v>
      </c>
      <c r="F43" s="136">
        <f>Q43/20</f>
        <v>10938322.35</v>
      </c>
      <c r="G43" s="190">
        <f t="shared" ref="G43" si="84">F43/F42-1</f>
        <v>0.15273721626097103</v>
      </c>
      <c r="H43" s="190">
        <f t="shared" ref="H43" si="85">F43/F31-1</f>
        <v>6.7445088482763982E-2</v>
      </c>
      <c r="I43" s="130">
        <f t="shared" si="0"/>
        <v>191.59125289621502</v>
      </c>
      <c r="J43" s="130">
        <f t="shared" si="17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36">
        <v>1141839.43</v>
      </c>
      <c r="T43" s="130">
        <f t="shared" ref="T43" si="86">Q43/S43</f>
        <v>191.59125289621502</v>
      </c>
      <c r="U43" s="85">
        <f t="shared" ref="U43" si="87">Q41+Q42+Q43</f>
        <v>594770487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11056774</v>
      </c>
      <c r="G44" s="190">
        <f t="shared" ref="G44" si="88">F44/F43-1</f>
        <v>1.0829050946738583E-2</v>
      </c>
      <c r="H44" s="190">
        <f t="shared" ref="H44" si="89">F44/F32-1</f>
        <v>0.1243499562333874</v>
      </c>
      <c r="I44" s="130">
        <f t="shared" si="0"/>
        <v>203.10995524315439</v>
      </c>
      <c r="J44" s="130">
        <f t="shared" si="17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36">
        <v>1197622.3799999999</v>
      </c>
      <c r="T44" s="130">
        <f t="shared" ref="T44" si="90">Q44/S44</f>
        <v>203.10995524315439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11175898.25</v>
      </c>
      <c r="G45" s="190">
        <f t="shared" ref="G45" si="91">F45/F44-1</f>
        <v>1.0773870389319651E-2</v>
      </c>
      <c r="H45" s="190">
        <f t="shared" ref="H45" si="92">F45/F33-1</f>
        <v>8.2588007123347795E-2</v>
      </c>
      <c r="I45" s="130">
        <f t="shared" si="0"/>
        <v>207.52485263182709</v>
      </c>
      <c r="J45" s="130">
        <f t="shared" si="17"/>
        <v>9.7858353818323751E-2</v>
      </c>
      <c r="K45" s="136"/>
      <c r="L45" s="190"/>
      <c r="M45" s="190"/>
      <c r="N45" s="191"/>
      <c r="O45" s="192"/>
      <c r="P45" s="129" t="s">
        <v>849</v>
      </c>
      <c r="Q45" s="116">
        <v>223517965</v>
      </c>
      <c r="R45" s="116">
        <v>314781408758</v>
      </c>
      <c r="S45" s="136">
        <v>1077066.01</v>
      </c>
      <c r="T45" s="130">
        <f t="shared" ref="T45" si="93">Q45/S45</f>
        <v>207.52485263182709</v>
      </c>
      <c r="U45" s="85"/>
    </row>
    <row r="46" spans="1:21" s="79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87">
        <f>C46/C34-1</f>
        <v>0.11648561822093906</v>
      </c>
      <c r="F46" s="136">
        <f>Q46/19</f>
        <v>12272836.368421054</v>
      </c>
      <c r="G46" s="190">
        <f t="shared" ref="G46" si="94">F46/F45-1</f>
        <v>9.8152121098727285E-2</v>
      </c>
      <c r="H46" s="190">
        <f t="shared" ref="H46" si="95">F46/F34-1</f>
        <v>0.14184780180802736</v>
      </c>
      <c r="I46" s="130">
        <f t="shared" si="0"/>
        <v>217.92710019953205</v>
      </c>
      <c r="J46" s="130">
        <f t="shared" si="17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888</v>
      </c>
      <c r="Q46" s="116">
        <v>233183891</v>
      </c>
      <c r="R46" s="116">
        <v>319359936041</v>
      </c>
      <c r="S46" s="136">
        <v>1070008.69</v>
      </c>
      <c r="T46" s="130">
        <f t="shared" ref="T46" si="96">Q46/S46</f>
        <v>217.92710019953205</v>
      </c>
      <c r="U46" s="85">
        <f t="shared" ref="U46" si="97">Q44+Q45+Q46</f>
        <v>699950884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11039388.478260869</v>
      </c>
      <c r="G47" s="190">
        <f t="shared" ref="G47" si="98">F47/F46-1</f>
        <v>-0.10050226802778373</v>
      </c>
      <c r="H47" s="190">
        <f t="shared" ref="H47" si="99">F47/F35-1</f>
        <v>0.12525372681837599</v>
      </c>
      <c r="I47" s="130">
        <f t="shared" si="0"/>
        <v>210.04511968139144</v>
      </c>
      <c r="J47" s="130">
        <f t="shared" si="17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36">
        <v>1208816.1599999999</v>
      </c>
      <c r="T47" s="130">
        <f t="shared" ref="T47" si="100">Q47/S47</f>
        <v>210.04511968139144</v>
      </c>
      <c r="U47" s="85">
        <f t="shared" ref="U47" si="101">Q45+Q46+Q47</f>
        <v>710607791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12298503.449999999</v>
      </c>
      <c r="G48" s="190">
        <f t="shared" ref="G48" si="102">F48/F47-1</f>
        <v>0.11405658694035647</v>
      </c>
      <c r="H48" s="190">
        <f t="shared" ref="H48" si="103">F48/F36-1</f>
        <v>0.30505789841252295</v>
      </c>
      <c r="I48" s="130">
        <f t="shared" si="0"/>
        <v>215.99241289651988</v>
      </c>
      <c r="J48" s="130">
        <f t="shared" si="17"/>
        <v>0.11281702955174122</v>
      </c>
      <c r="K48" s="136"/>
      <c r="L48" s="190"/>
      <c r="M48" s="190"/>
      <c r="N48" s="191"/>
      <c r="O48" s="192"/>
      <c r="P48" s="129" t="s">
        <v>1070</v>
      </c>
      <c r="Q48" s="116">
        <v>245970069</v>
      </c>
      <c r="R48" s="116">
        <v>341319517246</v>
      </c>
      <c r="S48" s="136">
        <v>1138790.32</v>
      </c>
      <c r="T48" s="130">
        <f t="shared" ref="T48" si="104">Q48/S48</f>
        <v>215.99241289651988</v>
      </c>
      <c r="U48" s="85">
        <f t="shared" ref="U48" si="105">Q46+Q47+Q48</f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87">
        <f>C49/C37-1</f>
        <v>0.13976373427933497</v>
      </c>
      <c r="F49" s="136">
        <f>Q49/22</f>
        <v>10594604.090909092</v>
      </c>
      <c r="G49" s="190">
        <f t="shared" ref="G49" si="106">F49/F48-1</f>
        <v>-0.1385452600812912</v>
      </c>
      <c r="H49" s="190">
        <f t="shared" ref="H49" si="107">F49/F37-1</f>
        <v>5.4460434212526554E-3</v>
      </c>
      <c r="I49" s="130">
        <f t="shared" si="0"/>
        <v>202.090578528333</v>
      </c>
      <c r="J49" s="130">
        <f t="shared" si="17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1158</v>
      </c>
      <c r="Q49" s="116">
        <v>233081290</v>
      </c>
      <c r="R49" s="116">
        <v>323939655281</v>
      </c>
      <c r="S49" s="136">
        <v>1153350.6000000001</v>
      </c>
      <c r="T49" s="130">
        <f t="shared" ref="T49" si="108">Q49/S49</f>
        <v>202.090578528333</v>
      </c>
      <c r="U49" s="85">
        <f t="shared" ref="U49" si="109">Q47+Q48+Q49</f>
        <v>732957294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13182336.166666666</v>
      </c>
      <c r="G50" s="190">
        <f t="shared" ref="G50" si="110">F50/F49-1</f>
        <v>0.2442500025062786</v>
      </c>
      <c r="H50" s="190">
        <f t="shared" ref="H50" si="111">F50/F38-1</f>
        <v>0.23465306156523247</v>
      </c>
      <c r="I50" s="130">
        <f t="shared" ref="I50" si="112">T50</f>
        <v>227.53650547050933</v>
      </c>
      <c r="J50" s="130">
        <f t="shared" ref="J50" si="113">I50/I38-1</f>
        <v>0.14140877538272245</v>
      </c>
      <c r="K50" s="136"/>
      <c r="L50" s="190"/>
      <c r="M50" s="190"/>
      <c r="N50" s="191"/>
      <c r="O50" s="192"/>
      <c r="P50" s="129" t="s">
        <v>1293</v>
      </c>
      <c r="Q50" s="116">
        <v>237282051</v>
      </c>
      <c r="R50" s="116">
        <v>335067044178</v>
      </c>
      <c r="S50" s="136">
        <v>1042830.69</v>
      </c>
      <c r="T50" s="130">
        <f t="shared" ref="T50" si="114">Q50/S50</f>
        <v>227.53650547050933</v>
      </c>
      <c r="U50" s="85">
        <f t="shared" ref="U50" si="115">Q48+Q49+Q50</f>
        <v>716333410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11960219.25</v>
      </c>
      <c r="G51" s="190">
        <f t="shared" ref="G51:G52" si="116">F51/F50-1</f>
        <v>-9.2708674791419421E-2</v>
      </c>
      <c r="H51" s="190">
        <f t="shared" ref="H51:H52" si="117">F51/F39-1</f>
        <v>0.29152955793706647</v>
      </c>
      <c r="I51" s="130">
        <f t="shared" ref="I51:I52" si="118">T51</f>
        <v>224.70279889071747</v>
      </c>
      <c r="J51" s="130">
        <f t="shared" ref="J51:J52" si="119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36">
        <v>1064536.74</v>
      </c>
      <c r="T51" s="130">
        <f t="shared" ref="T51:T52" si="120">Q51/S51</f>
        <v>224.70279889071747</v>
      </c>
      <c r="U51" s="85">
        <f t="shared" ref="U51:U52" si="121">Q49+Q50+Q51</f>
        <v>709567726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87">
        <f>C52/C40-1</f>
        <v>0.26608981734456405</v>
      </c>
      <c r="F52" s="136">
        <f>Q52/22</f>
        <v>11636014.181818182</v>
      </c>
      <c r="G52" s="190">
        <f t="shared" si="116"/>
        <v>-2.7106950249412676E-2</v>
      </c>
      <c r="H52" s="190">
        <f t="shared" si="117"/>
        <v>0.27707200215626404</v>
      </c>
      <c r="I52" s="130">
        <f t="shared" si="118"/>
        <v>232.65618685688455</v>
      </c>
      <c r="J52" s="130">
        <f t="shared" si="119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36">
        <v>1100303.05</v>
      </c>
      <c r="T52" s="130">
        <f t="shared" si="120"/>
        <v>232.65618685688455</v>
      </c>
      <c r="U52" s="85">
        <f t="shared" si="121"/>
        <v>732478748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12696959.952380951</v>
      </c>
      <c r="G53" s="190">
        <f t="shared" ref="G53" si="122">F53/F52-1</f>
        <v>9.1177765340003436E-2</v>
      </c>
      <c r="H53" s="190">
        <f t="shared" ref="H53" si="123">F53/F41-1</f>
        <v>0.22725968046296918</v>
      </c>
      <c r="I53" s="130">
        <f t="shared" ref="I53" si="124">T53</f>
        <v>240.05332368400624</v>
      </c>
      <c r="J53" s="130">
        <f t="shared" ref="J53" si="125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36">
        <v>1110737.21</v>
      </c>
      <c r="T53" s="130">
        <f t="shared" ref="T53" si="126">Q53/S53</f>
        <v>240.05332368400624</v>
      </c>
      <c r="U53" s="85">
        <f t="shared" ref="U53" si="127">Q51+Q52+Q53</f>
        <v>761832856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13276513.176470589</v>
      </c>
      <c r="G54" s="190">
        <f t="shared" ref="G54" si="128">F54/F53-1</f>
        <v>4.5645038360616397E-2</v>
      </c>
      <c r="H54" s="190">
        <f t="shared" ref="H54" si="129">F54/F42-1</f>
        <v>0.39914790870071681</v>
      </c>
      <c r="I54" s="130">
        <f t="shared" ref="I54" si="130">T54</f>
        <v>227.08853927360434</v>
      </c>
      <c r="J54" s="130">
        <f t="shared" ref="J54" si="131">I54/I42-1</f>
        <v>0.21611077465705719</v>
      </c>
      <c r="K54" s="136"/>
      <c r="L54" s="190"/>
      <c r="M54" s="190"/>
      <c r="N54" s="191"/>
      <c r="O54" s="192"/>
      <c r="P54" s="129" t="s">
        <v>1417</v>
      </c>
      <c r="Q54" s="116">
        <v>225700724</v>
      </c>
      <c r="R54" s="116">
        <v>326952025896</v>
      </c>
      <c r="S54" s="136">
        <v>993888.66</v>
      </c>
      <c r="T54" s="130">
        <f t="shared" ref="T54" si="132">Q54/S54</f>
        <v>227.08853927360434</v>
      </c>
      <c r="U54" s="85">
        <f t="shared" ref="U54" si="133">Q52+Q53+Q54</f>
        <v>748329195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38556661.509803921</v>
      </c>
      <c r="C55" s="188">
        <f>AVERAGE(F53:F55)</f>
        <v>12852220.503267974</v>
      </c>
      <c r="D55" s="190">
        <f>C55/C52-1</f>
        <v>4.8345869095254956E-2</v>
      </c>
      <c r="E55" s="287">
        <f>C55/C43-1</f>
        <v>0.25293384264683305</v>
      </c>
      <c r="F55" s="136">
        <f>Q55/21</f>
        <v>12583188.380952381</v>
      </c>
      <c r="G55" s="190">
        <f t="shared" ref="G55" si="134">F55/F54-1</f>
        <v>-5.2221903921803703E-2</v>
      </c>
      <c r="H55" s="190">
        <f t="shared" ref="H55" si="135">F55/F43-1</f>
        <v>0.15037644515499049</v>
      </c>
      <c r="I55" s="130">
        <f>T55</f>
        <v>239.65450029765114</v>
      </c>
      <c r="J55" s="130">
        <f t="shared" ref="J55" si="136">I55/I43-1</f>
        <v>0.25086347458394664</v>
      </c>
      <c r="K55" s="136">
        <f>R53+R54+R55</f>
        <v>1104079696000</v>
      </c>
      <c r="L55" s="190">
        <f>U55/U52-1</f>
        <v>3.2908928847175334E-2</v>
      </c>
      <c r="M55" s="190">
        <f>K55/K43-1</f>
        <v>0.27881981449359072</v>
      </c>
      <c r="N55" s="191">
        <f>AVERAGE(T53:T55)</f>
        <v>235.59878775175389</v>
      </c>
      <c r="O55" s="192">
        <f>N55/N52-1</f>
        <v>3.1976954612737751E-2</v>
      </c>
      <c r="P55" s="129" t="s">
        <v>1418</v>
      </c>
      <c r="Q55" s="116">
        <v>264246956</v>
      </c>
      <c r="R55" s="116">
        <v>388870924008</v>
      </c>
      <c r="S55" s="136">
        <v>1102616.29</v>
      </c>
      <c r="T55" s="130">
        <f t="shared" ref="T55" si="137">Q55/S55</f>
        <v>239.65450029765114</v>
      </c>
      <c r="U55" s="85">
        <f t="shared" ref="U55" si="138">Q53+Q54+Q55</f>
        <v>756583839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11936333.363636363</v>
      </c>
      <c r="G56" s="190">
        <f t="shared" ref="G56" si="139">F56/F55-1</f>
        <v>-5.1406288909668141E-2</v>
      </c>
      <c r="H56" s="190">
        <f t="shared" ref="H56" si="140">F56/F44-1</f>
        <v>7.9549366174651137E-2</v>
      </c>
      <c r="I56" s="291">
        <f>T56</f>
        <v>221.29831449135489</v>
      </c>
      <c r="J56" s="130">
        <f t="shared" ref="J56" si="141">I56/I44-1</f>
        <v>8.9549324288049625E-2</v>
      </c>
      <c r="K56" s="136"/>
      <c r="L56" s="190"/>
      <c r="M56" s="190"/>
      <c r="N56" s="191"/>
      <c r="O56" s="192"/>
      <c r="P56" s="129" t="s">
        <v>1420</v>
      </c>
      <c r="Q56" s="116">
        <v>262599334</v>
      </c>
      <c r="R56" s="116">
        <v>392270976961</v>
      </c>
      <c r="S56" s="136">
        <v>1186630.52</v>
      </c>
      <c r="T56" s="130">
        <f t="shared" ref="T56" si="142">Q56/S56</f>
        <v>221.29831449135489</v>
      </c>
      <c r="U56" s="85">
        <f t="shared" ref="U56" si="143">Q54+Q55+Q56</f>
        <v>752547014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13424501.833333334</v>
      </c>
      <c r="G57" s="254">
        <f t="shared" ref="G57" si="144">F57/F56-1</f>
        <v>0.12467551168021385</v>
      </c>
      <c r="H57" s="254">
        <f t="shared" ref="H57" si="145">F57/F45-1</f>
        <v>0.20120115028188756</v>
      </c>
      <c r="I57" s="282">
        <f>T57</f>
        <v>232.05827584155901</v>
      </c>
      <c r="J57" s="277">
        <f t="shared" ref="J57" si="146">I57/I45-1</f>
        <v>0.11821920554863397</v>
      </c>
      <c r="K57" s="204"/>
      <c r="L57" s="254"/>
      <c r="M57" s="254"/>
      <c r="N57" s="257"/>
      <c r="O57" s="258"/>
      <c r="P57" s="129" t="s">
        <v>1436</v>
      </c>
      <c r="Q57" s="116">
        <v>161094022</v>
      </c>
      <c r="R57" s="116">
        <v>237378388890</v>
      </c>
      <c r="S57" s="136">
        <v>694196.41</v>
      </c>
      <c r="T57" s="130">
        <f t="shared" ref="T57" si="147">Q57/S57</f>
        <v>232.05827584155901</v>
      </c>
      <c r="U57" s="85">
        <f t="shared" ref="U57" si="148">Q55+Q56+Q57</f>
        <v>687940312</v>
      </c>
      <c r="V57" s="79"/>
      <c r="W57" s="79"/>
      <c r="X57" s="79"/>
      <c r="Y57" s="79"/>
      <c r="Z57" s="79"/>
    </row>
    <row r="58" spans="1:26">
      <c r="B58" s="196">
        <f>SUM(F56:F58)</f>
        <v>25360835.196969695</v>
      </c>
      <c r="C58" s="196">
        <f>AVERAGE(F56:F58)</f>
        <v>12680417.598484848</v>
      </c>
      <c r="D58" s="197">
        <f>C58/C55-1</f>
        <v>-1.3367565919013114E-2</v>
      </c>
      <c r="E58" s="233">
        <f>C58/C46-1</f>
        <v>0.10246897723298298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1180277195</v>
      </c>
      <c r="R66" s="212">
        <v>1733729061851</v>
      </c>
      <c r="S66" s="213">
        <v>5088069.0999999996</v>
      </c>
      <c r="T66" s="214">
        <v>729</v>
      </c>
      <c r="U66" s="214">
        <v>1760</v>
      </c>
    </row>
    <row r="67" spans="16:21" ht="18" thickBot="1">
      <c r="P67" s="180" t="s">
        <v>976</v>
      </c>
      <c r="Q67" s="181">
        <v>266636159</v>
      </c>
      <c r="R67" s="181">
        <v>388256746096</v>
      </c>
      <c r="S67" s="182">
        <v>1110737.21</v>
      </c>
      <c r="T67" s="210">
        <v>394</v>
      </c>
      <c r="U67" s="210">
        <v>944</v>
      </c>
    </row>
    <row r="68" spans="16:21" ht="18" thickBot="1">
      <c r="P68" s="180" t="s">
        <v>977</v>
      </c>
      <c r="Q68" s="181">
        <v>225700724</v>
      </c>
      <c r="R68" s="181">
        <v>326952025896</v>
      </c>
      <c r="S68" s="182">
        <v>993888.66</v>
      </c>
      <c r="T68" s="210">
        <v>377</v>
      </c>
      <c r="U68" s="210">
        <v>861</v>
      </c>
    </row>
    <row r="69" spans="16:21" ht="18" thickBot="1">
      <c r="P69" s="180" t="s">
        <v>978</v>
      </c>
      <c r="Q69" s="181">
        <v>264246956</v>
      </c>
      <c r="R69" s="181">
        <v>388870924008</v>
      </c>
      <c r="S69" s="182">
        <v>1102616.29</v>
      </c>
      <c r="T69" s="210">
        <v>404</v>
      </c>
      <c r="U69" s="210">
        <v>909</v>
      </c>
    </row>
    <row r="70" spans="16:21" ht="18" thickBot="1">
      <c r="P70" s="180" t="s">
        <v>979</v>
      </c>
      <c r="Q70" s="181">
        <v>262599334</v>
      </c>
      <c r="R70" s="181">
        <v>392270976961</v>
      </c>
      <c r="S70" s="182">
        <v>1186630.52</v>
      </c>
      <c r="T70" s="210">
        <v>411</v>
      </c>
      <c r="U70" s="210">
        <v>964</v>
      </c>
    </row>
    <row r="71" spans="16:21" ht="18" thickBot="1">
      <c r="P71" s="180" t="s">
        <v>980</v>
      </c>
      <c r="Q71" s="181">
        <v>161094022</v>
      </c>
      <c r="R71" s="181">
        <v>237378388890</v>
      </c>
      <c r="S71" s="182">
        <v>694196.41</v>
      </c>
      <c r="T71" s="210">
        <v>325</v>
      </c>
      <c r="U71" s="210">
        <v>734</v>
      </c>
    </row>
    <row r="72" spans="16:21" ht="18" thickBot="1">
      <c r="P72" s="215" t="s">
        <v>975</v>
      </c>
      <c r="Q72" s="216">
        <v>2759840</v>
      </c>
      <c r="R72"/>
      <c r="S72"/>
      <c r="T72"/>
      <c r="U72"/>
    </row>
  </sheetData>
  <phoneticPr fontId="1" type="noConversion"/>
  <conditionalFormatting sqref="C29:C30">
    <cfRule type="cellIs" dxfId="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24">
    <tabColor rgb="FFFFFF00"/>
  </sheetPr>
  <dimension ref="A1:Z73"/>
  <sheetViews>
    <sheetView zoomScale="90" zoomScaleNormal="9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8486208410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412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1188602.6499999999</v>
      </c>
      <c r="G5" s="90"/>
      <c r="H5" s="90"/>
      <c r="I5" s="130">
        <f t="shared" ref="I5:I49" si="0">T5</f>
        <v>125.52839616867828</v>
      </c>
      <c r="J5" s="130"/>
      <c r="L5" s="80"/>
      <c r="M5" s="80"/>
      <c r="P5" s="129" t="s">
        <v>0</v>
      </c>
      <c r="Q5" s="116">
        <v>23772053</v>
      </c>
      <c r="R5" s="116"/>
      <c r="S5" s="116">
        <v>189375.9</v>
      </c>
      <c r="T5" s="130">
        <f t="shared" ref="T5:T26" si="1">Q5/S5</f>
        <v>125.52839616867828</v>
      </c>
      <c r="U5" s="85"/>
    </row>
    <row r="6" spans="1:21" ht="15" hidden="1" customHeight="1">
      <c r="A6" s="129" t="s">
        <v>1</v>
      </c>
      <c r="C6" s="79"/>
      <c r="F6" s="78">
        <f>Q6/18</f>
        <v>1613800.5</v>
      </c>
      <c r="G6" s="90">
        <f t="shared" ref="G6:G26" si="2">F6/F5-1</f>
        <v>0.35772917888076394</v>
      </c>
      <c r="H6" s="90"/>
      <c r="I6" s="130">
        <f t="shared" si="0"/>
        <v>146.17088790720635</v>
      </c>
      <c r="J6" s="130"/>
      <c r="P6" s="129" t="s">
        <v>1</v>
      </c>
      <c r="Q6" s="116">
        <v>29048409</v>
      </c>
      <c r="R6" s="116"/>
      <c r="S6" s="116">
        <v>198729.1</v>
      </c>
      <c r="T6" s="130">
        <f t="shared" si="1"/>
        <v>146.17088790720635</v>
      </c>
      <c r="U6" s="85"/>
    </row>
    <row r="7" spans="1:21" ht="15" hidden="1" customHeight="1">
      <c r="A7" s="129" t="s">
        <v>2</v>
      </c>
      <c r="B7" s="131">
        <f>F5+F6+F7</f>
        <v>3550095.7863636361</v>
      </c>
      <c r="C7" s="131">
        <f>AVERAGE(F5:F7)</f>
        <v>1183365.262121212</v>
      </c>
      <c r="F7" s="78">
        <f>Q7/22</f>
        <v>747692.63636363635</v>
      </c>
      <c r="G7" s="90">
        <f t="shared" si="2"/>
        <v>-0.53668831038059761</v>
      </c>
      <c r="H7" s="90"/>
      <c r="I7" s="130">
        <f t="shared" si="0"/>
        <v>110.25438775817982</v>
      </c>
      <c r="J7" s="130"/>
      <c r="K7" s="79">
        <f>R5+R6+R7</f>
        <v>0</v>
      </c>
      <c r="N7" s="88">
        <f>AVERAGE(T5:T7)</f>
        <v>127.31789061135481</v>
      </c>
      <c r="P7" s="129" t="s">
        <v>2</v>
      </c>
      <c r="Q7" s="116">
        <v>16449238</v>
      </c>
      <c r="R7" s="116"/>
      <c r="S7" s="116">
        <v>149193.5</v>
      </c>
      <c r="T7" s="130">
        <f t="shared" si="1"/>
        <v>110.25438775817982</v>
      </c>
      <c r="U7" s="85">
        <f>Q5+Q6+Q7</f>
        <v>69269700</v>
      </c>
    </row>
    <row r="8" spans="1:21" ht="15" hidden="1" customHeight="1">
      <c r="A8" s="129" t="s">
        <v>3</v>
      </c>
      <c r="C8" s="79"/>
      <c r="F8" s="78">
        <f>Q8/21</f>
        <v>1163339.0476190476</v>
      </c>
      <c r="G8" s="90">
        <f t="shared" si="2"/>
        <v>0.55590544970040834</v>
      </c>
      <c r="H8" s="90"/>
      <c r="I8" s="130">
        <f t="shared" si="0"/>
        <v>120.14974627527779</v>
      </c>
      <c r="J8" s="130"/>
      <c r="K8" s="78"/>
      <c r="P8" s="129" t="s">
        <v>3</v>
      </c>
      <c r="Q8" s="116">
        <v>24430120</v>
      </c>
      <c r="R8" s="116"/>
      <c r="S8" s="116">
        <v>203330.6</v>
      </c>
      <c r="T8" s="130">
        <f t="shared" si="1"/>
        <v>120.14974627527779</v>
      </c>
      <c r="U8" s="85"/>
    </row>
    <row r="9" spans="1:21" ht="15" hidden="1" customHeight="1">
      <c r="A9" s="129" t="s">
        <v>4</v>
      </c>
      <c r="C9" s="79"/>
      <c r="F9" s="78">
        <f>Q9/21</f>
        <v>433540.19047619047</v>
      </c>
      <c r="G9" s="90">
        <f t="shared" si="2"/>
        <v>-0.62733117970767238</v>
      </c>
      <c r="H9" s="90"/>
      <c r="I9" s="130">
        <f t="shared" si="0"/>
        <v>47.793425135168548</v>
      </c>
      <c r="J9" s="130"/>
      <c r="K9" s="78"/>
      <c r="P9" s="129" t="s">
        <v>4</v>
      </c>
      <c r="Q9" s="116">
        <v>9104344</v>
      </c>
      <c r="R9" s="116"/>
      <c r="S9" s="116">
        <v>190493.65</v>
      </c>
      <c r="T9" s="130">
        <f t="shared" si="1"/>
        <v>47.793425135168548</v>
      </c>
      <c r="U9" s="85"/>
    </row>
    <row r="10" spans="1:21" ht="15" hidden="1" customHeight="1">
      <c r="A10" s="129" t="s">
        <v>5</v>
      </c>
      <c r="B10" s="131">
        <f>F8+F9+F10</f>
        <v>2483974.0952380951</v>
      </c>
      <c r="C10" s="131">
        <f>AVERAGE(F8:F10)</f>
        <v>827991.36507936509</v>
      </c>
      <c r="D10" s="90">
        <f>C10/C7-1</f>
        <v>-0.30030786640198504</v>
      </c>
      <c r="E10" s="286"/>
      <c r="F10" s="78">
        <f>Q10/21</f>
        <v>887094.85714285716</v>
      </c>
      <c r="G10" s="90">
        <f t="shared" si="2"/>
        <v>1.0461652151983714</v>
      </c>
      <c r="H10" s="90"/>
      <c r="I10" s="130">
        <f t="shared" si="0"/>
        <v>248.16651901980245</v>
      </c>
      <c r="J10" s="130"/>
      <c r="K10" s="79">
        <f>R8+R9+R10</f>
        <v>0</v>
      </c>
      <c r="L10" s="87">
        <f>U10/U7-1</f>
        <v>-0.24695132215095494</v>
      </c>
      <c r="N10" s="88">
        <f>AVERAGE(T8:T10)</f>
        <v>138.70323014341625</v>
      </c>
      <c r="O10" s="89">
        <f>N10/N7-1</f>
        <v>8.9424506464812925E-2</v>
      </c>
      <c r="P10" s="129" t="s">
        <v>5</v>
      </c>
      <c r="Q10" s="116">
        <v>18628992</v>
      </c>
      <c r="R10" s="116"/>
      <c r="S10" s="116">
        <v>75066.5</v>
      </c>
      <c r="T10" s="130">
        <f t="shared" si="1"/>
        <v>248.16651901980245</v>
      </c>
      <c r="U10" s="85">
        <f>Q8+Q9+Q10</f>
        <v>52163456</v>
      </c>
    </row>
    <row r="11" spans="1:21" ht="15" hidden="1" customHeight="1">
      <c r="A11" s="129" t="s">
        <v>6</v>
      </c>
      <c r="C11" s="79"/>
      <c r="F11" s="78">
        <f>Q11/21</f>
        <v>601852.85714285716</v>
      </c>
      <c r="G11" s="90">
        <f t="shared" si="2"/>
        <v>-0.32154622214664108</v>
      </c>
      <c r="H11" s="90"/>
      <c r="I11" s="130">
        <f t="shared" si="0"/>
        <v>217.00642662266642</v>
      </c>
      <c r="J11" s="130"/>
      <c r="K11" s="78"/>
      <c r="O11" s="89"/>
      <c r="P11" s="129" t="s">
        <v>6</v>
      </c>
      <c r="Q11" s="116">
        <v>12638910</v>
      </c>
      <c r="R11" s="116"/>
      <c r="S11" s="116">
        <v>58242.1</v>
      </c>
      <c r="T11" s="130">
        <f t="shared" si="1"/>
        <v>217.00642662266642</v>
      </c>
      <c r="U11" s="85"/>
    </row>
    <row r="12" spans="1:21" ht="15" hidden="1" customHeight="1">
      <c r="A12" s="129" t="s">
        <v>7</v>
      </c>
      <c r="C12" s="79"/>
      <c r="F12" s="78">
        <f>Q12/22</f>
        <v>447384.40909090912</v>
      </c>
      <c r="G12" s="90">
        <f t="shared" si="2"/>
        <v>-0.2566548388342752</v>
      </c>
      <c r="H12" s="90"/>
      <c r="I12" s="130">
        <f t="shared" si="0"/>
        <v>143.23843245461609</v>
      </c>
      <c r="J12" s="130"/>
      <c r="K12" s="78"/>
      <c r="O12" s="89"/>
      <c r="P12" s="129" t="s">
        <v>7</v>
      </c>
      <c r="Q12" s="116">
        <v>9842457</v>
      </c>
      <c r="R12" s="116"/>
      <c r="S12" s="116">
        <v>68713.8</v>
      </c>
      <c r="T12" s="130">
        <f t="shared" si="1"/>
        <v>143.23843245461609</v>
      </c>
      <c r="U12" s="85"/>
    </row>
    <row r="13" spans="1:21" ht="15" hidden="1" customHeight="1">
      <c r="A13" s="129" t="s">
        <v>96</v>
      </c>
      <c r="B13" s="131">
        <f>F11+F12+F13</f>
        <v>2080138.9162337664</v>
      </c>
      <c r="C13" s="131">
        <f>AVERAGE(F11:F13)</f>
        <v>693379.63874458882</v>
      </c>
      <c r="D13" s="90">
        <f>C13/C10-1</f>
        <v>-0.16257624416393934</v>
      </c>
      <c r="E13" s="286"/>
      <c r="F13" s="78">
        <f>Q13/20</f>
        <v>1030901.65</v>
      </c>
      <c r="G13" s="90">
        <f t="shared" si="2"/>
        <v>1.3042860436169543</v>
      </c>
      <c r="H13" s="90"/>
      <c r="I13" s="130">
        <f t="shared" si="0"/>
        <v>297.74579729692647</v>
      </c>
      <c r="J13" s="130"/>
      <c r="K13" s="78">
        <f>R11+R12+R13</f>
        <v>0</v>
      </c>
      <c r="L13" s="87">
        <f>U13/U10-1</f>
        <v>-0.1737625666520255</v>
      </c>
      <c r="N13" s="88">
        <f>AVERAGE(T11:T13)</f>
        <v>219.33021879140301</v>
      </c>
      <c r="O13" s="89">
        <f>N13/N10-1</f>
        <v>0.58129135539684351</v>
      </c>
      <c r="P13" s="129" t="s">
        <v>96</v>
      </c>
      <c r="Q13" s="116">
        <v>20618033</v>
      </c>
      <c r="R13" s="116"/>
      <c r="S13" s="116">
        <v>69247.100000000006</v>
      </c>
      <c r="T13" s="130">
        <f t="shared" si="1"/>
        <v>297.74579729692647</v>
      </c>
      <c r="U13" s="85">
        <f>Q11+Q12+Q13</f>
        <v>43099400</v>
      </c>
    </row>
    <row r="14" spans="1:21" ht="15" hidden="1" customHeight="1">
      <c r="A14" s="129" t="s">
        <v>97</v>
      </c>
      <c r="C14" s="79"/>
      <c r="F14" s="78">
        <f>Q14/20</f>
        <v>1067306.1499999999</v>
      </c>
      <c r="G14" s="90">
        <f t="shared" si="2"/>
        <v>3.5313261939196483E-2</v>
      </c>
      <c r="H14" s="90"/>
      <c r="I14" s="130">
        <f t="shared" si="0"/>
        <v>261.86067708493061</v>
      </c>
      <c r="J14" s="130"/>
      <c r="O14" s="89"/>
      <c r="P14" s="129" t="s">
        <v>97</v>
      </c>
      <c r="Q14" s="116">
        <v>21346123</v>
      </c>
      <c r="R14" s="116"/>
      <c r="S14" s="116">
        <v>81517.100000000006</v>
      </c>
      <c r="T14" s="130">
        <f t="shared" si="1"/>
        <v>261.86067708493061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545810.59090909094</v>
      </c>
      <c r="G15" s="90">
        <f t="shared" si="2"/>
        <v>-0.48860915782309411</v>
      </c>
      <c r="H15" s="90"/>
      <c r="I15" s="130">
        <f t="shared" si="0"/>
        <v>280.03929653374257</v>
      </c>
      <c r="J15" s="130"/>
      <c r="O15" s="89"/>
      <c r="P15" s="129" t="s">
        <v>98</v>
      </c>
      <c r="Q15" s="116">
        <v>12007833</v>
      </c>
      <c r="R15" s="116"/>
      <c r="S15" s="116">
        <v>42879.1</v>
      </c>
      <c r="T15" s="130">
        <f t="shared" si="1"/>
        <v>280.03929653374257</v>
      </c>
      <c r="U15" s="78"/>
    </row>
    <row r="16" spans="1:21" ht="15" hidden="1" customHeight="1">
      <c r="A16" s="129" t="s">
        <v>99</v>
      </c>
      <c r="B16" s="131">
        <f>F14+F15+F16</f>
        <v>2833683.9681818178</v>
      </c>
      <c r="C16" s="131">
        <f>AVERAGE(F14:F16)</f>
        <v>944561.32272727264</v>
      </c>
      <c r="D16" s="90">
        <f>C16/C13-1</f>
        <v>0.36225708103783583</v>
      </c>
      <c r="E16" s="286"/>
      <c r="F16" s="78">
        <f>Q16/22</f>
        <v>1220567.2272727273</v>
      </c>
      <c r="G16" s="90">
        <f t="shared" si="2"/>
        <v>1.2362468731868606</v>
      </c>
      <c r="H16" s="90"/>
      <c r="I16" s="130">
        <f t="shared" si="0"/>
        <v>240.94480226404394</v>
      </c>
      <c r="J16" s="130"/>
      <c r="K16" s="78">
        <f>R14+R15+R16</f>
        <v>0</v>
      </c>
      <c r="L16" s="87">
        <f>U16/U13-1</f>
        <v>0.39692049077249325</v>
      </c>
      <c r="N16" s="88">
        <f>AVERAGE(T14:T16)</f>
        <v>260.94825862757233</v>
      </c>
      <c r="O16" s="89">
        <f>N16/N13-1</f>
        <v>0.18975059645452097</v>
      </c>
      <c r="P16" s="129" t="s">
        <v>99</v>
      </c>
      <c r="Q16" s="116">
        <v>26852479</v>
      </c>
      <c r="R16" s="116"/>
      <c r="S16" s="116">
        <v>111446.6</v>
      </c>
      <c r="T16" s="130">
        <f t="shared" si="1"/>
        <v>240.94480226404394</v>
      </c>
      <c r="U16" s="85">
        <f>Q14+Q15+Q16</f>
        <v>60206435</v>
      </c>
    </row>
    <row r="17" spans="1:21" ht="15" hidden="1" customHeight="1">
      <c r="A17" s="129" t="s">
        <v>100</v>
      </c>
      <c r="C17" s="79"/>
      <c r="F17" s="78">
        <f>Q17/20</f>
        <v>548629.80000000005</v>
      </c>
      <c r="G17" s="90">
        <f t="shared" si="2"/>
        <v>-0.55051242754905427</v>
      </c>
      <c r="H17" s="90">
        <f t="shared" ref="H17:H26" si="3">F17/F5-1</f>
        <v>-0.53842455256178323</v>
      </c>
      <c r="I17" s="130">
        <f t="shared" si="0"/>
        <v>179.72559102953977</v>
      </c>
      <c r="J17" s="130">
        <f t="shared" ref="J17:J49" si="4">I17/I5-1</f>
        <v>0.4317524680872542</v>
      </c>
      <c r="O17" s="89"/>
      <c r="P17" s="129" t="s">
        <v>100</v>
      </c>
      <c r="Q17" s="116">
        <v>10972596</v>
      </c>
      <c r="R17" s="116">
        <v>13799040338</v>
      </c>
      <c r="S17" s="116">
        <v>61051.94</v>
      </c>
      <c r="T17" s="130">
        <f t="shared" si="1"/>
        <v>179.72559102953977</v>
      </c>
      <c r="U17" s="78"/>
    </row>
    <row r="18" spans="1:21" ht="15" hidden="1" customHeight="1">
      <c r="A18" s="129" t="s">
        <v>107</v>
      </c>
      <c r="C18" s="79"/>
      <c r="F18" s="78">
        <f>Q18/20</f>
        <v>313021.90000000002</v>
      </c>
      <c r="G18" s="90">
        <f t="shared" si="2"/>
        <v>-0.42944787177072774</v>
      </c>
      <c r="H18" s="90">
        <f t="shared" si="3"/>
        <v>-0.8060343270435224</v>
      </c>
      <c r="I18" s="130">
        <f t="shared" si="0"/>
        <v>177.81496040627593</v>
      </c>
      <c r="J18" s="130">
        <f t="shared" si="4"/>
        <v>0.21648683231067323</v>
      </c>
      <c r="O18" s="89"/>
      <c r="P18" s="129" t="s">
        <v>107</v>
      </c>
      <c r="Q18" s="116">
        <v>6260438</v>
      </c>
      <c r="R18" s="116">
        <v>7735305128</v>
      </c>
      <c r="S18" s="116">
        <v>35207.599999999999</v>
      </c>
      <c r="T18" s="130">
        <f t="shared" si="1"/>
        <v>177.81496040627593</v>
      </c>
      <c r="U18" s="78"/>
    </row>
    <row r="19" spans="1:21" hidden="1">
      <c r="A19" s="129" t="s">
        <v>114</v>
      </c>
      <c r="B19" s="131">
        <f>SUM(F17:F19)</f>
        <v>1730349.5636363637</v>
      </c>
      <c r="C19" s="131">
        <f>AVERAGE(F17:F19)</f>
        <v>576783.18787878787</v>
      </c>
      <c r="D19" s="90">
        <f>C19/C16-1</f>
        <v>-0.3893639576375868</v>
      </c>
      <c r="E19" s="286">
        <f>C19/C7-1</f>
        <v>-0.5125907390209431</v>
      </c>
      <c r="F19" s="78">
        <f>Q19/22</f>
        <v>868697.86363636365</v>
      </c>
      <c r="G19" s="90">
        <f t="shared" si="2"/>
        <v>1.7751983603586958</v>
      </c>
      <c r="H19" s="90">
        <f t="shared" si="3"/>
        <v>0.16183819578754965</v>
      </c>
      <c r="I19" s="130">
        <f t="shared" si="0"/>
        <v>263.97990248214705</v>
      </c>
      <c r="J19" s="130">
        <f t="shared" si="4"/>
        <v>1.3942802445298805</v>
      </c>
      <c r="K19" s="78">
        <f>R17+R18+R19</f>
        <v>46474864081</v>
      </c>
      <c r="L19" s="87">
        <f>U19/U16-1</f>
        <v>-0.39633716894215709</v>
      </c>
      <c r="M19" s="87">
        <f>U19/U7-1</f>
        <v>-0.47532056584625026</v>
      </c>
      <c r="N19" s="88">
        <f>AVERAGE(T17:T19)</f>
        <v>207.17348463932092</v>
      </c>
      <c r="O19" s="89">
        <f>N19/N16-1</f>
        <v>-0.20607446959436981</v>
      </c>
      <c r="P19" s="129" t="s">
        <v>114</v>
      </c>
      <c r="Q19" s="116">
        <v>19111353</v>
      </c>
      <c r="R19" s="116">
        <v>24940518615</v>
      </c>
      <c r="S19" s="116">
        <v>72397</v>
      </c>
      <c r="T19" s="130">
        <f t="shared" si="1"/>
        <v>263.97990248214705</v>
      </c>
      <c r="U19" s="85">
        <f>Q17+Q18+Q19</f>
        <v>36344387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609576</v>
      </c>
      <c r="G20" s="90">
        <f t="shared" si="2"/>
        <v>-0.29828767225428776</v>
      </c>
      <c r="H20" s="90">
        <f t="shared" si="3"/>
        <v>-0.47601174288132841</v>
      </c>
      <c r="I20" s="130">
        <f t="shared" si="0"/>
        <v>421.38094793708069</v>
      </c>
      <c r="J20" s="130">
        <f t="shared" si="4"/>
        <v>2.507131400607749</v>
      </c>
      <c r="O20" s="89"/>
      <c r="P20" s="129" t="s">
        <v>131</v>
      </c>
      <c r="Q20" s="116">
        <v>12191520</v>
      </c>
      <c r="R20" s="116">
        <v>16091371655</v>
      </c>
      <c r="S20" s="116">
        <v>28932.3</v>
      </c>
      <c r="T20" s="130">
        <f t="shared" si="1"/>
        <v>421.38094793708069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260504.71428571429</v>
      </c>
      <c r="G21" s="90">
        <f t="shared" si="2"/>
        <v>-0.57264604530737051</v>
      </c>
      <c r="H21" s="90">
        <f t="shared" si="3"/>
        <v>-0.39912211137891973</v>
      </c>
      <c r="I21" s="130">
        <f t="shared" si="0"/>
        <v>176.75945252573555</v>
      </c>
      <c r="J21" s="130">
        <f t="shared" si="4"/>
        <v>2.6984052100435885</v>
      </c>
      <c r="O21" s="89"/>
      <c r="P21" s="129" t="s">
        <v>141</v>
      </c>
      <c r="Q21" s="116">
        <v>5470599</v>
      </c>
      <c r="R21" s="116">
        <v>7294757559</v>
      </c>
      <c r="S21" s="116">
        <v>30949.4</v>
      </c>
      <c r="T21" s="130">
        <f t="shared" si="1"/>
        <v>176.75945252573555</v>
      </c>
      <c r="U21" s="78"/>
    </row>
    <row r="22" spans="1:21" hidden="1">
      <c r="A22" s="129" t="s">
        <v>155</v>
      </c>
      <c r="B22" s="131">
        <f>SUM(F20:F22)</f>
        <v>1311488.1904761905</v>
      </c>
      <c r="C22" s="131">
        <f>AVERAGE(F20:F22)</f>
        <v>437162.73015873018</v>
      </c>
      <c r="D22" s="90">
        <f>C22/C19-1</f>
        <v>-0.24206748853678306</v>
      </c>
      <c r="E22" s="286">
        <f>C22/C10-1</f>
        <v>-0.47202018209836405</v>
      </c>
      <c r="F22" s="78">
        <f>Q22/21</f>
        <v>441407.47619047621</v>
      </c>
      <c r="G22" s="90">
        <f t="shared" si="2"/>
        <v>0.6944318163330927</v>
      </c>
      <c r="H22" s="90">
        <f t="shared" si="3"/>
        <v>-0.50241231516981699</v>
      </c>
      <c r="I22" s="130">
        <f t="shared" si="0"/>
        <v>292.53593756410379</v>
      </c>
      <c r="J22" s="130">
        <f t="shared" si="4"/>
        <v>0.17878889835562739</v>
      </c>
      <c r="K22" s="78">
        <f>R20+R21+R22</f>
        <v>35399753608</v>
      </c>
      <c r="L22" s="87">
        <f>U22/U19-1</f>
        <v>-0.2589866490250613</v>
      </c>
      <c r="M22" s="87">
        <f>U22/U10-1</f>
        <v>-0.48370606426077289</v>
      </c>
      <c r="N22" s="88">
        <f>AVERAGE(T20:T22)</f>
        <v>296.89211267564002</v>
      </c>
      <c r="O22" s="89">
        <f>N22/N19-1</f>
        <v>0.43306038025336546</v>
      </c>
      <c r="P22" s="129" t="s">
        <v>155</v>
      </c>
      <c r="Q22" s="116">
        <v>9269557</v>
      </c>
      <c r="R22" s="116">
        <v>12013624394</v>
      </c>
      <c r="S22" s="116">
        <v>31686.9</v>
      </c>
      <c r="T22" s="130">
        <f t="shared" si="1"/>
        <v>292.53593756410379</v>
      </c>
      <c r="U22" s="85">
        <f>Q20+Q21+Q22</f>
        <v>26931676</v>
      </c>
    </row>
    <row r="23" spans="1:21" hidden="1">
      <c r="A23" s="129" t="s">
        <v>189</v>
      </c>
      <c r="B23" s="131"/>
      <c r="C23" s="131"/>
      <c r="F23" s="78">
        <f>Q23/21</f>
        <v>503515.90476190473</v>
      </c>
      <c r="G23" s="90">
        <f t="shared" si="2"/>
        <v>0.1407054296122241</v>
      </c>
      <c r="H23" s="90">
        <f t="shared" si="3"/>
        <v>-0.16339035565566973</v>
      </c>
      <c r="I23" s="130">
        <f t="shared" si="0"/>
        <v>216.91740228408952</v>
      </c>
      <c r="J23" s="130">
        <f t="shared" si="4"/>
        <v>-4.1023825866548513E-4</v>
      </c>
      <c r="O23" s="89"/>
      <c r="P23" s="129" t="s">
        <v>189</v>
      </c>
      <c r="Q23" s="116">
        <v>10573834</v>
      </c>
      <c r="R23" s="116">
        <v>13653246946</v>
      </c>
      <c r="S23" s="116">
        <v>48745.9</v>
      </c>
      <c r="T23" s="130">
        <f t="shared" si="1"/>
        <v>216.91740228408952</v>
      </c>
      <c r="U23" s="78"/>
    </row>
    <row r="24" spans="1:21" hidden="1">
      <c r="A24" s="129" t="s">
        <v>204</v>
      </c>
      <c r="B24" s="131"/>
      <c r="C24" s="131"/>
      <c r="F24" s="78">
        <f>Q24/22</f>
        <v>794846.95454545459</v>
      </c>
      <c r="G24" s="90">
        <f t="shared" si="2"/>
        <v>0.57859354000209828</v>
      </c>
      <c r="H24" s="90">
        <f t="shared" si="3"/>
        <v>0.7766532279490781</v>
      </c>
      <c r="I24" s="130">
        <f t="shared" si="0"/>
        <v>398.79842548057735</v>
      </c>
      <c r="J24" s="130">
        <f t="shared" si="4"/>
        <v>1.7841579850221647</v>
      </c>
      <c r="O24" s="89"/>
      <c r="P24" s="129" t="s">
        <v>204</v>
      </c>
      <c r="Q24" s="116">
        <v>17486633</v>
      </c>
      <c r="R24" s="116">
        <v>22726097335</v>
      </c>
      <c r="S24" s="116">
        <v>43848.3</v>
      </c>
      <c r="T24" s="130">
        <f t="shared" si="1"/>
        <v>398.79842548057735</v>
      </c>
      <c r="U24" s="78"/>
    </row>
    <row r="25" spans="1:21" s="79" customFormat="1" ht="13.2" hidden="1">
      <c r="A25" s="129" t="s">
        <v>217</v>
      </c>
      <c r="B25" s="131">
        <f>SUM(F23:F25)</f>
        <v>1613730.7014126226</v>
      </c>
      <c r="C25" s="131">
        <f>AVERAGE(F23:F25)</f>
        <v>537910.23380420753</v>
      </c>
      <c r="D25" s="90">
        <f>C25/C22-1</f>
        <v>0.23045766872417683</v>
      </c>
      <c r="E25" s="286">
        <f>C25/C13-1</f>
        <v>-0.22421974377827025</v>
      </c>
      <c r="F25" s="78">
        <f>Q25/19</f>
        <v>315367.84210526315</v>
      </c>
      <c r="G25" s="90">
        <f t="shared" si="2"/>
        <v>-0.60323450910671084</v>
      </c>
      <c r="H25" s="90">
        <f t="shared" si="3"/>
        <v>-0.69408542308059828</v>
      </c>
      <c r="I25" s="130">
        <f t="shared" si="0"/>
        <v>339.60298343355572</v>
      </c>
      <c r="J25" s="130">
        <f t="shared" si="4"/>
        <v>0.14058027524360739</v>
      </c>
      <c r="K25" s="78">
        <f>R23+R24+R25</f>
        <v>44324591173</v>
      </c>
      <c r="L25" s="90">
        <f>U25/U22-1</f>
        <v>0.26440166590449099</v>
      </c>
      <c r="M25" s="90">
        <f>U25/U13-1</f>
        <v>-0.20990881543594575</v>
      </c>
      <c r="N25" s="88">
        <f>AVERAGE(T23:T25)</f>
        <v>318.43960373274086</v>
      </c>
      <c r="O25" s="91">
        <f>N25/N22-1</f>
        <v>7.2576838983398284E-2</v>
      </c>
      <c r="P25" s="129" t="s">
        <v>217</v>
      </c>
      <c r="Q25" s="116">
        <v>5991989</v>
      </c>
      <c r="R25" s="116">
        <v>7945246892</v>
      </c>
      <c r="S25" s="116">
        <v>17644.099999999999</v>
      </c>
      <c r="T25" s="130">
        <f t="shared" si="1"/>
        <v>339.60298343355572</v>
      </c>
      <c r="U25" s="85">
        <f>Q23+Q24+Q25</f>
        <v>34052456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424450.4736842105</v>
      </c>
      <c r="G26" s="90">
        <f t="shared" si="2"/>
        <v>0.34589015433773329</v>
      </c>
      <c r="H26" s="90">
        <f t="shared" si="3"/>
        <v>-0.60231609863373259</v>
      </c>
      <c r="I26" s="130">
        <f t="shared" si="0"/>
        <v>265.94597357542943</v>
      </c>
      <c r="J26" s="130">
        <f t="shared" si="4"/>
        <v>1.5601030807591787E-2</v>
      </c>
      <c r="L26" s="90"/>
      <c r="M26" s="90"/>
      <c r="P26" s="129" t="s">
        <v>312</v>
      </c>
      <c r="Q26" s="116">
        <v>8064559</v>
      </c>
      <c r="R26" s="116">
        <v>10915455053</v>
      </c>
      <c r="S26" s="116">
        <v>30324.05</v>
      </c>
      <c r="T26" s="130">
        <f t="shared" si="1"/>
        <v>265.94597357542943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531618.13636363635</v>
      </c>
      <c r="G27" s="90">
        <f t="shared" ref="G27" si="5">F27/F26-1</f>
        <v>0.25248567105889985</v>
      </c>
      <c r="H27" s="90">
        <f t="shared" ref="H27" si="6">F27/F15-1</f>
        <v>-2.600252685059834E-2</v>
      </c>
      <c r="I27" s="130">
        <f t="shared" si="0"/>
        <v>278.22816157579217</v>
      </c>
      <c r="J27" s="130">
        <f t="shared" si="4"/>
        <v>-6.467431465398521E-3</v>
      </c>
      <c r="L27" s="90"/>
      <c r="M27" s="90"/>
      <c r="P27" s="129" t="s">
        <v>402</v>
      </c>
      <c r="Q27" s="116">
        <v>11695599</v>
      </c>
      <c r="R27" s="116">
        <v>15530907813</v>
      </c>
      <c r="S27" s="116">
        <v>42036</v>
      </c>
      <c r="T27" s="130">
        <f t="shared" ref="T27" si="7">Q27/S27</f>
        <v>278.22816157579217</v>
      </c>
      <c r="U27" s="78"/>
    </row>
    <row r="28" spans="1:21" s="79" customFormat="1" ht="13.2" hidden="1">
      <c r="A28" s="123" t="s">
        <v>413</v>
      </c>
      <c r="B28" s="131">
        <f>SUM(F26:F28)</f>
        <v>1033904.6626794258</v>
      </c>
      <c r="C28" s="131">
        <f>AVERAGE(F26:F28)</f>
        <v>344634.88755980862</v>
      </c>
      <c r="D28" s="90">
        <f>C28/C25-1</f>
        <v>-0.35930780657865058</v>
      </c>
      <c r="E28" s="286">
        <f>C28/C16-1</f>
        <v>-0.63513762498264326</v>
      </c>
      <c r="F28" s="78">
        <f>Q28/19</f>
        <v>77836.052631578947</v>
      </c>
      <c r="G28" s="90">
        <f t="shared" ref="G28" si="8">F28/F27-1</f>
        <v>-0.85358653644890381</v>
      </c>
      <c r="H28" s="90">
        <f t="shared" ref="H28" si="9">F28/F16-1</f>
        <v>-0.93622960629092244</v>
      </c>
      <c r="I28" s="130">
        <f t="shared" si="0"/>
        <v>313.70192817597524</v>
      </c>
      <c r="J28" s="130">
        <f t="shared" si="4"/>
        <v>0.30196594916456854</v>
      </c>
      <c r="K28" s="78">
        <f>R26+R27+R28</f>
        <v>28383572490</v>
      </c>
      <c r="L28" s="90">
        <f>U28/U25-1</f>
        <v>-0.37628454758153129</v>
      </c>
      <c r="M28" s="90">
        <f>U28/U16-1</f>
        <v>-0.64722968566399919</v>
      </c>
      <c r="N28" s="88">
        <f>AVERAGE(T26:T28)</f>
        <v>285.9586877757323</v>
      </c>
      <c r="O28" s="91">
        <f>N28/N25-1</f>
        <v>-0.10200023984538387</v>
      </c>
      <c r="P28" s="129" t="s">
        <v>413</v>
      </c>
      <c r="Q28" s="116">
        <v>1478885</v>
      </c>
      <c r="R28" s="116">
        <v>1937209624</v>
      </c>
      <c r="S28" s="116">
        <v>4714.3</v>
      </c>
      <c r="T28" s="130">
        <f t="shared" ref="T28" si="10">Q28/S28</f>
        <v>313.70192817597524</v>
      </c>
      <c r="U28" s="85">
        <f>Q26+Q27+Q28</f>
        <v>21239043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203938.68181818182</v>
      </c>
      <c r="G29" s="190">
        <f t="shared" ref="G29" si="11">F29/F28-1</f>
        <v>1.6201056569952734</v>
      </c>
      <c r="H29" s="190">
        <f t="shared" ref="H29" si="12">F29/F17-1</f>
        <v>-0.62827633165719066</v>
      </c>
      <c r="I29" s="130">
        <f t="shared" si="0"/>
        <v>165.95344656674902</v>
      </c>
      <c r="J29" s="130">
        <f t="shared" si="4"/>
        <v>-7.6628733748479672E-2</v>
      </c>
      <c r="K29" s="136"/>
      <c r="L29" s="190"/>
      <c r="M29" s="190"/>
      <c r="N29" s="191"/>
      <c r="O29" s="192"/>
      <c r="P29" s="129" t="s">
        <v>427</v>
      </c>
      <c r="Q29" s="116">
        <v>4486651</v>
      </c>
      <c r="R29" s="116">
        <v>5855140471</v>
      </c>
      <c r="S29" s="116">
        <v>27035.599999999999</v>
      </c>
      <c r="T29" s="130">
        <f t="shared" ref="T29" si="13">Q29/S29</f>
        <v>165.95344656674902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569686.84210526315</v>
      </c>
      <c r="G30" s="190">
        <f t="shared" ref="G30" si="14">F30/F29-1</f>
        <v>1.7934222042935342</v>
      </c>
      <c r="H30" s="190">
        <f t="shared" ref="H30" si="15">F30/F18-1</f>
        <v>0.81995841858113794</v>
      </c>
      <c r="I30" s="130">
        <f t="shared" si="0"/>
        <v>269.89816527944708</v>
      </c>
      <c r="J30" s="130">
        <f t="shared" si="4"/>
        <v>0.51785971586854784</v>
      </c>
      <c r="K30" s="136"/>
      <c r="L30" s="190"/>
      <c r="M30" s="190"/>
      <c r="N30" s="191"/>
      <c r="O30" s="192"/>
      <c r="P30" s="129" t="s">
        <v>469</v>
      </c>
      <c r="Q30" s="116">
        <v>10824050</v>
      </c>
      <c r="R30" s="116">
        <v>14403513623</v>
      </c>
      <c r="S30" s="116">
        <v>40104.199999999997</v>
      </c>
      <c r="T30" s="130">
        <f t="shared" ref="T30" si="16">Q30/S30</f>
        <v>269.89816527944708</v>
      </c>
      <c r="U30" s="85"/>
    </row>
    <row r="31" spans="1:21" s="79" customFormat="1" ht="13.2" hidden="1">
      <c r="A31" s="129" t="s">
        <v>508</v>
      </c>
      <c r="B31" s="188">
        <f>SUM(F29:F31)</f>
        <v>1090024.223923445</v>
      </c>
      <c r="C31" s="188">
        <f>AVERAGE(F29:F31)</f>
        <v>363341.40797448164</v>
      </c>
      <c r="D31" s="190">
        <f>C31/C28-1</f>
        <v>5.4279241858317784E-2</v>
      </c>
      <c r="E31" s="287">
        <f>C31/C19-1</f>
        <v>-0.37005548079387063</v>
      </c>
      <c r="F31" s="136">
        <f>Q31/20</f>
        <v>316398.7</v>
      </c>
      <c r="G31" s="190">
        <f t="shared" ref="G31" si="17">F31/F30-1</f>
        <v>-0.4446094299268758</v>
      </c>
      <c r="H31" s="190">
        <f t="shared" ref="H31" si="18">F31/F19-1</f>
        <v>-0.63577819948174263</v>
      </c>
      <c r="I31" s="130">
        <f t="shared" si="0"/>
        <v>262.81832276531867</v>
      </c>
      <c r="J31" s="130">
        <f t="shared" si="4"/>
        <v>-4.4002581480874214E-3</v>
      </c>
      <c r="K31" s="136">
        <f>R29+R30+R31</f>
        <v>28688320733</v>
      </c>
      <c r="L31" s="190">
        <f>U31/U28-1</f>
        <v>1.8815913692533215E-2</v>
      </c>
      <c r="M31" s="190">
        <f>U31/U19-1</f>
        <v>-0.40462126930356535</v>
      </c>
      <c r="N31" s="191">
        <f>AVERAGE(T29:T31)</f>
        <v>232.88997820383824</v>
      </c>
      <c r="O31" s="192">
        <f>N31/N28-1</f>
        <v>-0.18558173554605917</v>
      </c>
      <c r="P31" s="129" t="s">
        <v>519</v>
      </c>
      <c r="Q31" s="116">
        <v>6327974</v>
      </c>
      <c r="R31" s="116">
        <v>8429666639</v>
      </c>
      <c r="S31" s="116">
        <v>24077.37</v>
      </c>
      <c r="T31" s="130">
        <f t="shared" ref="T31" si="19">Q31/S31</f>
        <v>262.81832276531867</v>
      </c>
      <c r="U31" s="85">
        <f>Q29+Q30+Q31</f>
        <v>21638675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273235.47619047621</v>
      </c>
      <c r="G32" s="190">
        <f t="shared" ref="G32" si="20">F32/F31-1</f>
        <v>-0.13642035763586824</v>
      </c>
      <c r="H32" s="190">
        <f t="shared" ref="H32" si="21">F32/F20-1</f>
        <v>-0.5517614273027871</v>
      </c>
      <c r="I32" s="130">
        <f t="shared" si="0"/>
        <v>290.59360059962728</v>
      </c>
      <c r="J32" s="130">
        <f t="shared" si="4"/>
        <v>-0.31037793231454347</v>
      </c>
      <c r="K32" s="136"/>
      <c r="L32" s="190"/>
      <c r="M32" s="190"/>
      <c r="N32" s="191"/>
      <c r="O32" s="192"/>
      <c r="P32" s="129" t="s">
        <v>562</v>
      </c>
      <c r="Q32" s="116">
        <v>5737945</v>
      </c>
      <c r="R32" s="116">
        <v>7926287245</v>
      </c>
      <c r="S32" s="116">
        <v>19745.599999999999</v>
      </c>
      <c r="T32" s="130">
        <f t="shared" ref="T32" si="22">Q32/S32</f>
        <v>290.59360059962728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97304.380952380947</v>
      </c>
      <c r="G33" s="190">
        <f t="shared" ref="G33" si="23">F33/F32-1</f>
        <v>-0.64388086675630385</v>
      </c>
      <c r="H33" s="190">
        <f t="shared" ref="H33" si="24">F33/F21-1</f>
        <v>-0.62647746617874933</v>
      </c>
      <c r="I33" s="130">
        <f t="shared" si="0"/>
        <v>92.816609486917557</v>
      </c>
      <c r="J33" s="130">
        <f t="shared" si="4"/>
        <v>-0.47489874990756842</v>
      </c>
      <c r="K33" s="136"/>
      <c r="L33" s="190"/>
      <c r="M33" s="190"/>
      <c r="N33" s="191"/>
      <c r="O33" s="192"/>
      <c r="P33" s="129" t="s">
        <v>624</v>
      </c>
      <c r="Q33" s="116">
        <v>2043392</v>
      </c>
      <c r="R33" s="116">
        <v>2791511513</v>
      </c>
      <c r="S33" s="116">
        <v>22015.37</v>
      </c>
      <c r="T33" s="130">
        <f t="shared" ref="T33" si="25">Q33/S33</f>
        <v>92.816609486917557</v>
      </c>
      <c r="U33" s="85"/>
    </row>
    <row r="34" spans="1:21" s="79" customFormat="1" ht="13.2" hidden="1">
      <c r="A34" s="129" t="s">
        <v>652</v>
      </c>
      <c r="B34" s="188">
        <f>SUM(F32:F34)</f>
        <v>481251.2255639098</v>
      </c>
      <c r="C34" s="188">
        <f>AVERAGE(F32:F34)</f>
        <v>160417.07518796992</v>
      </c>
      <c r="D34" s="190">
        <f>C34/C31-1</f>
        <v>-0.55849492607449691</v>
      </c>
      <c r="E34" s="287">
        <f>C34/C22-1</f>
        <v>-0.63304951652734942</v>
      </c>
      <c r="F34" s="136">
        <f>Q34/19</f>
        <v>110711.36842105263</v>
      </c>
      <c r="G34" s="190">
        <f t="shared" ref="G34" si="26">F34/F33-1</f>
        <v>0.13778400661356471</v>
      </c>
      <c r="H34" s="190">
        <f t="shared" ref="H34" si="27">F34/F22-1</f>
        <v>-0.74918556120404622</v>
      </c>
      <c r="I34" s="130">
        <f t="shared" si="0"/>
        <v>231.52706540163339</v>
      </c>
      <c r="J34" s="130">
        <f t="shared" si="4"/>
        <v>-0.20855171733934896</v>
      </c>
      <c r="K34" s="136">
        <f>R32+R33+R34</f>
        <v>13607032444</v>
      </c>
      <c r="L34" s="190">
        <f>U34/U31-1</f>
        <v>-0.54318584663802194</v>
      </c>
      <c r="M34" s="190">
        <f>U34/U22-1</f>
        <v>-0.63296554585017284</v>
      </c>
      <c r="N34" s="191">
        <f>AVERAGE(T32:T34)</f>
        <v>204.97909182939273</v>
      </c>
      <c r="O34" s="192">
        <f>N34/N31-1</f>
        <v>-0.11984580268205591</v>
      </c>
      <c r="P34" s="129" t="s">
        <v>652</v>
      </c>
      <c r="Q34" s="116">
        <v>2103516</v>
      </c>
      <c r="R34" s="116">
        <v>2889233686</v>
      </c>
      <c r="S34" s="116">
        <v>9085.4</v>
      </c>
      <c r="T34" s="130">
        <f t="shared" ref="T34" si="28">Q34/S34</f>
        <v>231.52706540163339</v>
      </c>
      <c r="U34" s="85">
        <f>Q32+Q33+Q34</f>
        <v>9884853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164118.08695652173</v>
      </c>
      <c r="G35" s="190">
        <f t="shared" ref="G35" si="29">F35/F34-1</f>
        <v>0.48239597520242916</v>
      </c>
      <c r="H35" s="190">
        <f t="shared" ref="H35" si="30">F35/F23-1</f>
        <v>-0.67405580359149231</v>
      </c>
      <c r="I35" s="130">
        <f t="shared" si="0"/>
        <v>102.77320671084659</v>
      </c>
      <c r="J35" s="130">
        <f t="shared" si="4"/>
        <v>-0.52621041175733829</v>
      </c>
      <c r="K35" s="136"/>
      <c r="L35" s="190"/>
      <c r="M35" s="190"/>
      <c r="N35" s="191"/>
      <c r="O35" s="192"/>
      <c r="P35" s="129" t="s">
        <v>660</v>
      </c>
      <c r="Q35" s="116">
        <v>3774716</v>
      </c>
      <c r="R35" s="116">
        <v>5229314049</v>
      </c>
      <c r="S35" s="116">
        <v>36728.6</v>
      </c>
      <c r="T35" s="130">
        <f t="shared" ref="T35" si="31">Q35/S35</f>
        <v>102.77320671084659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327069.23809523811</v>
      </c>
      <c r="G36" s="190">
        <f t="shared" ref="G36" si="32">F36/F35-1</f>
        <v>0.99288965744455404</v>
      </c>
      <c r="H36" s="190">
        <f t="shared" ref="H36" si="33">F36/F24-1</f>
        <v>-0.58851293796265769</v>
      </c>
      <c r="I36" s="130">
        <f t="shared" si="0"/>
        <v>147.04933791494054</v>
      </c>
      <c r="J36" s="130">
        <f t="shared" si="4"/>
        <v>-0.63126901080981757</v>
      </c>
      <c r="K36" s="136"/>
      <c r="L36" s="190"/>
      <c r="M36" s="190"/>
      <c r="N36" s="191"/>
      <c r="O36" s="192"/>
      <c r="P36" s="129" t="s">
        <v>666</v>
      </c>
      <c r="Q36" s="116">
        <v>6868454</v>
      </c>
      <c r="R36" s="116">
        <v>9312756154</v>
      </c>
      <c r="S36" s="116">
        <v>46708.5</v>
      </c>
      <c r="T36" s="130">
        <f t="shared" ref="T36" si="34">Q36/S36</f>
        <v>147.04933791494054</v>
      </c>
      <c r="U36" s="85"/>
    </row>
    <row r="37" spans="1:21" s="79" customFormat="1" ht="13.2" hidden="1">
      <c r="A37" s="129" t="s">
        <v>702</v>
      </c>
      <c r="B37" s="188">
        <f>SUM(F35:F37)</f>
        <v>1964380.4917184266</v>
      </c>
      <c r="C37" s="188">
        <f>AVERAGE(F35:F37)</f>
        <v>654793.49723947549</v>
      </c>
      <c r="D37" s="190">
        <f>C37/C34-1</f>
        <v>3.0818191983129992</v>
      </c>
      <c r="E37" s="287">
        <f>C37/C25-1</f>
        <v>0.21729139192732294</v>
      </c>
      <c r="F37" s="136">
        <f>Q37/18</f>
        <v>1473193.1666666667</v>
      </c>
      <c r="G37" s="190">
        <f t="shared" ref="G37" si="35">F37/F36-1</f>
        <v>3.5042241674764076</v>
      </c>
      <c r="H37" s="190">
        <f t="shared" ref="H37" si="36">F37/F25-1</f>
        <v>3.6713487235485029</v>
      </c>
      <c r="I37" s="130">
        <f t="shared" si="0"/>
        <v>550.43490986082134</v>
      </c>
      <c r="J37" s="130">
        <f t="shared" si="4"/>
        <v>0.6208188287854528</v>
      </c>
      <c r="K37" s="136">
        <f>R35+R36+R37</f>
        <v>49858865233</v>
      </c>
      <c r="L37" s="190">
        <f>U37/U34-1</f>
        <v>2.7593525164208308</v>
      </c>
      <c r="M37" s="190">
        <f>U37/U25-1</f>
        <v>9.1276558730448043E-2</v>
      </c>
      <c r="N37" s="191">
        <f>AVERAGE(T35:T37)</f>
        <v>266.75248482886951</v>
      </c>
      <c r="O37" s="192">
        <f>N37/N34-1</f>
        <v>0.3013643608631642</v>
      </c>
      <c r="P37" s="129" t="s">
        <v>702</v>
      </c>
      <c r="Q37" s="116">
        <v>26517477</v>
      </c>
      <c r="R37" s="116">
        <v>35316795030</v>
      </c>
      <c r="S37" s="116">
        <v>48175.5</v>
      </c>
      <c r="T37" s="130">
        <f t="shared" ref="T37" si="37">Q37/S37</f>
        <v>550.43490986082134</v>
      </c>
      <c r="U37" s="85">
        <f>Q35+Q36+Q37</f>
        <v>37160647</v>
      </c>
    </row>
    <row r="38" spans="1:21" s="79" customFormat="1" ht="13.2" hidden="1">
      <c r="A38" s="129" t="s">
        <v>741</v>
      </c>
      <c r="B38" s="188"/>
      <c r="C38" s="188"/>
      <c r="D38" s="190"/>
      <c r="E38" s="287"/>
      <c r="F38" s="136">
        <f>Q38/20</f>
        <v>1041805</v>
      </c>
      <c r="G38" s="190">
        <f t="shared" ref="G38" si="38">F38/F37-1</f>
        <v>-0.29282525633943235</v>
      </c>
      <c r="H38" s="190">
        <f t="shared" ref="H38" si="39">F38/F26-1</f>
        <v>1.454479531986808</v>
      </c>
      <c r="I38" s="130">
        <f t="shared" si="0"/>
        <v>719.94571063200192</v>
      </c>
      <c r="J38" s="130">
        <f t="shared" si="4"/>
        <v>1.7071126550739297</v>
      </c>
      <c r="K38" s="136"/>
      <c r="L38" s="190"/>
      <c r="M38" s="190"/>
      <c r="N38" s="191"/>
      <c r="O38" s="192"/>
      <c r="P38" s="129" t="s">
        <v>741</v>
      </c>
      <c r="Q38" s="116">
        <v>20836100</v>
      </c>
      <c r="R38" s="116">
        <v>27424010621</v>
      </c>
      <c r="S38" s="116">
        <v>28941.21</v>
      </c>
      <c r="T38" s="130">
        <f t="shared" ref="T38" si="40">Q38/S38</f>
        <v>719.94571063200192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711716.33333333337</v>
      </c>
      <c r="G39" s="190">
        <f t="shared" ref="G39" si="41">F39/F38-1</f>
        <v>-0.31684304324385715</v>
      </c>
      <c r="H39" s="190">
        <f t="shared" ref="H39" si="42">F39/F27-1</f>
        <v>0.33877361333381328</v>
      </c>
      <c r="I39" s="130">
        <f t="shared" si="0"/>
        <v>244.92073610382801</v>
      </c>
      <c r="J39" s="130">
        <f t="shared" si="4"/>
        <v>-0.11971263183181002</v>
      </c>
      <c r="K39" s="136"/>
      <c r="L39" s="190"/>
      <c r="M39" s="190"/>
      <c r="N39" s="191"/>
      <c r="O39" s="192"/>
      <c r="P39" s="129" t="s">
        <v>762</v>
      </c>
      <c r="Q39" s="116">
        <v>14946043</v>
      </c>
      <c r="R39" s="116">
        <v>20883540977</v>
      </c>
      <c r="S39" s="116">
        <v>61024</v>
      </c>
      <c r="T39" s="130">
        <f t="shared" ref="T39" si="43">Q39/S39</f>
        <v>244.92073610382801</v>
      </c>
      <c r="U39" s="85"/>
    </row>
    <row r="40" spans="1:21" s="79" customFormat="1" ht="13.2" hidden="1">
      <c r="A40" s="129" t="s">
        <v>778</v>
      </c>
      <c r="B40" s="188">
        <f>SUM(F38:F40)</f>
        <v>2654632.7619047621</v>
      </c>
      <c r="C40" s="188">
        <f>AVERAGE(F38:F40)</f>
        <v>884877.58730158734</v>
      </c>
      <c r="D40" s="190">
        <f>C40/C37-1</f>
        <v>0.35138420132777215</v>
      </c>
      <c r="E40" s="287">
        <f>C40/C28-1</f>
        <v>1.5675798337393334</v>
      </c>
      <c r="F40" s="136">
        <f>Q40/21</f>
        <v>901111.42857142852</v>
      </c>
      <c r="G40" s="190">
        <f t="shared" ref="G40" si="44">F40/F39-1</f>
        <v>0.26611036780771991</v>
      </c>
      <c r="H40" s="190">
        <f t="shared" ref="H40" si="45">F40/F28-1</f>
        <v>10.57704428867501</v>
      </c>
      <c r="I40" s="130">
        <f t="shared" si="0"/>
        <v>258.95955497471761</v>
      </c>
      <c r="J40" s="130">
        <f t="shared" si="4"/>
        <v>-0.17450442054837856</v>
      </c>
      <c r="K40" s="136">
        <f>R38+R39+R40</f>
        <v>75471207701</v>
      </c>
      <c r="L40" s="190">
        <f>U40/U37-1</f>
        <v>0.47213483661896416</v>
      </c>
      <c r="M40" s="190">
        <f>U40/U28-1</f>
        <v>1.5757037640537757</v>
      </c>
      <c r="N40" s="191">
        <f>AVERAGE(T38:T40)</f>
        <v>407.94200057018247</v>
      </c>
      <c r="O40" s="192">
        <f>N40/N37-1</f>
        <v>0.52929034881114867</v>
      </c>
      <c r="P40" s="129" t="s">
        <v>778</v>
      </c>
      <c r="Q40" s="116">
        <v>18923340</v>
      </c>
      <c r="R40" s="116">
        <v>27163656103</v>
      </c>
      <c r="S40" s="116">
        <v>73074.5</v>
      </c>
      <c r="T40" s="130">
        <f t="shared" ref="T40" si="46">Q40/S40</f>
        <v>258.95955497471761</v>
      </c>
      <c r="U40" s="85">
        <f>Q38+Q39+Q40</f>
        <v>54705483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558070.9444444445</v>
      </c>
      <c r="G41" s="190">
        <f t="shared" ref="G41" si="47">F41/F40-1</f>
        <v>-0.38068597650661373</v>
      </c>
      <c r="H41" s="190">
        <f t="shared" ref="H41" si="48">F41/F29-1</f>
        <v>1.7364644091501162</v>
      </c>
      <c r="I41" s="130">
        <f t="shared" si="0"/>
        <v>191.22351118184102</v>
      </c>
      <c r="J41" s="130">
        <f t="shared" si="4"/>
        <v>0.1522720084329674</v>
      </c>
      <c r="K41" s="193"/>
      <c r="L41" s="190"/>
      <c r="M41" s="190"/>
      <c r="N41" s="193"/>
      <c r="O41" s="193"/>
      <c r="P41" s="129" t="s">
        <v>792</v>
      </c>
      <c r="Q41" s="116">
        <v>10045277</v>
      </c>
      <c r="R41" s="116">
        <v>14702107355</v>
      </c>
      <c r="S41" s="116">
        <v>52531.6</v>
      </c>
      <c r="T41" s="130">
        <f t="shared" ref="T41" si="49">Q41/S41</f>
        <v>191.22351118184102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149906.9</v>
      </c>
      <c r="G42" s="190">
        <f t="shared" ref="G42" si="50">F42/F41-1</f>
        <v>-0.73138379359772765</v>
      </c>
      <c r="H42" s="190">
        <f t="shared" ref="H42" si="51">F42/F30-1</f>
        <v>-0.73686087000706757</v>
      </c>
      <c r="I42" s="130">
        <f t="shared" si="0"/>
        <v>552.4383188074662</v>
      </c>
      <c r="J42" s="130">
        <f t="shared" si="4"/>
        <v>1.0468398450781717</v>
      </c>
      <c r="K42" s="193"/>
      <c r="L42" s="190"/>
      <c r="M42" s="190"/>
      <c r="N42" s="193"/>
      <c r="O42" s="193"/>
      <c r="P42" s="129" t="s">
        <v>826</v>
      </c>
      <c r="Q42" s="116">
        <v>2998138</v>
      </c>
      <c r="R42" s="116">
        <v>4332466836</v>
      </c>
      <c r="S42" s="116">
        <v>5427.1</v>
      </c>
      <c r="T42" s="130">
        <f t="shared" ref="T42" si="52">Q42/S42</f>
        <v>552.4383188074662</v>
      </c>
      <c r="U42" s="78"/>
    </row>
    <row r="43" spans="1:21" s="79" customFormat="1" ht="13.2">
      <c r="A43" s="129" t="s">
        <v>835</v>
      </c>
      <c r="B43" s="188">
        <f>SUM(F41:F43)</f>
        <v>2013373.6944444445</v>
      </c>
      <c r="C43" s="188">
        <f>AVERAGE(F41:F43)</f>
        <v>671124.56481481483</v>
      </c>
      <c r="D43" s="190">
        <f>C43/C40-1</f>
        <v>-0.24156225172185353</v>
      </c>
      <c r="E43" s="287">
        <f>C43/C31-1</f>
        <v>0.84709078042090247</v>
      </c>
      <c r="F43" s="136">
        <f>Q43/20</f>
        <v>1305395.8500000001</v>
      </c>
      <c r="G43" s="190">
        <f t="shared" ref="G43" si="53">F43/F42-1</f>
        <v>7.7080437925138874</v>
      </c>
      <c r="H43" s="190">
        <f t="shared" ref="H43" si="54">F43/F31-1</f>
        <v>3.1257939745011596</v>
      </c>
      <c r="I43" s="130">
        <f t="shared" si="0"/>
        <v>296.86709163020441</v>
      </c>
      <c r="J43" s="130">
        <f t="shared" si="4"/>
        <v>0.12955249278905612</v>
      </c>
      <c r="K43" s="136">
        <f>R41+R42+R43</f>
        <v>56923920336</v>
      </c>
      <c r="L43" s="190">
        <f>U43/U40-1</f>
        <v>-0.28432526589702167</v>
      </c>
      <c r="M43" s="190">
        <f>K43/K31-1</f>
        <v>0.9842193227615712</v>
      </c>
      <c r="N43" s="191">
        <f>AVERAGE(T41:T43)</f>
        <v>346.84297387317048</v>
      </c>
      <c r="O43" s="192">
        <f>N43/N40-1</f>
        <v>-0.14977380757954217</v>
      </c>
      <c r="P43" s="129" t="s">
        <v>835</v>
      </c>
      <c r="Q43" s="116">
        <v>26107917</v>
      </c>
      <c r="R43" s="116">
        <v>37889346145</v>
      </c>
      <c r="S43" s="116">
        <v>87944.8</v>
      </c>
      <c r="T43" s="130">
        <f t="shared" ref="T43" si="55">Q43/S43</f>
        <v>296.86709163020441</v>
      </c>
      <c r="U43" s="85">
        <f>Q41+Q42+Q43</f>
        <v>39151332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870803.09090909094</v>
      </c>
      <c r="G44" s="190">
        <f t="shared" ref="G44" si="56">F44/F43-1</f>
        <v>-0.3329202855140907</v>
      </c>
      <c r="H44" s="190">
        <f t="shared" ref="H44" si="57">F44/F32-1</f>
        <v>2.1870059592922044</v>
      </c>
      <c r="I44" s="130">
        <f t="shared" si="0"/>
        <v>199.95144638018778</v>
      </c>
      <c r="J44" s="130">
        <f t="shared" si="4"/>
        <v>-0.31192068246652149</v>
      </c>
      <c r="K44" s="136"/>
      <c r="L44" s="190"/>
      <c r="M44" s="190"/>
      <c r="N44" s="191"/>
      <c r="O44" s="192"/>
      <c r="P44" s="129" t="s">
        <v>843</v>
      </c>
      <c r="Q44" s="116">
        <v>19157668</v>
      </c>
      <c r="R44" s="116">
        <v>28060921120</v>
      </c>
      <c r="S44" s="116">
        <v>95811.6</v>
      </c>
      <c r="T44" s="130">
        <f t="shared" ref="T44" si="58">Q44/S44</f>
        <v>199.95144638018778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1246979.5</v>
      </c>
      <c r="G45" s="190">
        <f t="shared" ref="G45" si="59">F45/F44-1</f>
        <v>0.4319879120986958</v>
      </c>
      <c r="H45" s="190">
        <f t="shared" ref="H45" si="60">F45/F33-1</f>
        <v>11.815245190350163</v>
      </c>
      <c r="I45" s="130">
        <f t="shared" si="0"/>
        <v>161.57786292465016</v>
      </c>
      <c r="J45" s="130">
        <f t="shared" si="4"/>
        <v>0.7408291879852007</v>
      </c>
      <c r="K45" s="136"/>
      <c r="L45" s="190"/>
      <c r="M45" s="190"/>
      <c r="N45" s="191"/>
      <c r="O45" s="192"/>
      <c r="P45" s="129" t="s">
        <v>849</v>
      </c>
      <c r="Q45" s="116">
        <v>24939590</v>
      </c>
      <c r="R45" s="116">
        <v>35042247869</v>
      </c>
      <c r="S45" s="116">
        <v>154350.29</v>
      </c>
      <c r="T45" s="130">
        <f t="shared" ref="T45" si="61">Q45/S45</f>
        <v>161.57786292465016</v>
      </c>
      <c r="U45" s="85"/>
    </row>
    <row r="46" spans="1:21" s="79" customFormat="1" ht="13.2">
      <c r="A46" s="129" t="s">
        <v>888</v>
      </c>
      <c r="B46" s="188">
        <f>SUM(F44:F46)</f>
        <v>4195284.6435406692</v>
      </c>
      <c r="C46" s="188">
        <f>AVERAGE(F44:F46)</f>
        <v>1398428.2145135563</v>
      </c>
      <c r="D46" s="190">
        <f>C46/C43-1</f>
        <v>1.0837088788419305</v>
      </c>
      <c r="E46" s="287">
        <f>C46/C34-1</f>
        <v>7.7174523838870481</v>
      </c>
      <c r="F46" s="136">
        <f>Q46/19</f>
        <v>2077502.0526315789</v>
      </c>
      <c r="G46" s="190">
        <f t="shared" ref="G46" si="62">F46/F45-1</f>
        <v>0.66602743078902171</v>
      </c>
      <c r="H46" s="190">
        <f t="shared" ref="H46" si="63">F46/F34-1</f>
        <v>17.765029122668903</v>
      </c>
      <c r="I46" s="130">
        <f t="shared" si="0"/>
        <v>252.1040198456395</v>
      </c>
      <c r="J46" s="130">
        <f t="shared" si="4"/>
        <v>8.887494171928001E-2</v>
      </c>
      <c r="K46" s="136">
        <f>R44+R45+R46</f>
        <v>117225063391</v>
      </c>
      <c r="L46" s="190">
        <f>U46/U43-1</f>
        <v>1.1345326641760236</v>
      </c>
      <c r="M46" s="190">
        <f>K46/K34-1</f>
        <v>7.6150351940029513</v>
      </c>
      <c r="N46" s="191">
        <f>AVERAGE(T44:T46)</f>
        <v>204.54444305015917</v>
      </c>
      <c r="O46" s="192">
        <f>N46/N43-1</f>
        <v>-0.41026787780641449</v>
      </c>
      <c r="P46" s="129" t="s">
        <v>942</v>
      </c>
      <c r="Q46" s="116">
        <v>39472539</v>
      </c>
      <c r="R46" s="116">
        <v>54121894402</v>
      </c>
      <c r="S46" s="116">
        <v>156572.43</v>
      </c>
      <c r="T46" s="130">
        <f t="shared" ref="T46" si="64">Q46/S46</f>
        <v>252.1040198456395</v>
      </c>
      <c r="U46" s="85">
        <f t="shared" ref="U46:U51" si="65">Q44+Q45+Q46</f>
        <v>83569797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1498494.5652173914</v>
      </c>
      <c r="G47" s="190">
        <f t="shared" ref="G47" si="66">F47/F46-1</f>
        <v>-0.27870368969347437</v>
      </c>
      <c r="H47" s="190">
        <f t="shared" ref="H47" si="67">F47/F35-1</f>
        <v>8.130587572680966</v>
      </c>
      <c r="I47" s="130">
        <f t="shared" si="0"/>
        <v>189.18997326557664</v>
      </c>
      <c r="J47" s="130">
        <f t="shared" si="4"/>
        <v>0.84084917966863149</v>
      </c>
      <c r="K47" s="136"/>
      <c r="L47" s="190"/>
      <c r="M47" s="190"/>
      <c r="N47" s="191"/>
      <c r="O47" s="192"/>
      <c r="P47" s="129" t="s">
        <v>991</v>
      </c>
      <c r="Q47" s="116">
        <v>34465375</v>
      </c>
      <c r="R47" s="116">
        <v>47246668036</v>
      </c>
      <c r="S47" s="116">
        <v>182173.37</v>
      </c>
      <c r="T47" s="130">
        <f t="shared" ref="T47" si="68">Q47/S47</f>
        <v>189.18997326557664</v>
      </c>
      <c r="U47" s="85">
        <f t="shared" si="65"/>
        <v>98877504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667455.44999999995</v>
      </c>
      <c r="G48" s="190">
        <f t="shared" ref="G48" si="69">F48/F47-1</f>
        <v>-0.55458266883792795</v>
      </c>
      <c r="H48" s="190">
        <f t="shared" ref="H48" si="70">F48/F36-1</f>
        <v>1.0407160694386244</v>
      </c>
      <c r="I48" s="130">
        <f t="shared" si="0"/>
        <v>150.18168133707744</v>
      </c>
      <c r="J48" s="130">
        <f t="shared" si="4"/>
        <v>2.1301309251380518E-2</v>
      </c>
      <c r="K48" s="136"/>
      <c r="L48" s="190"/>
      <c r="M48" s="190"/>
      <c r="N48" s="191"/>
      <c r="O48" s="192"/>
      <c r="P48" s="129" t="s">
        <v>1070</v>
      </c>
      <c r="Q48" s="116">
        <v>13349109</v>
      </c>
      <c r="R48" s="116">
        <v>18507514039</v>
      </c>
      <c r="S48" s="116">
        <v>88886.399999999994</v>
      </c>
      <c r="T48" s="130">
        <f t="shared" ref="T48" si="71">Q48/S48</f>
        <v>150.18168133707744</v>
      </c>
      <c r="U48" s="85">
        <f t="shared" si="65"/>
        <v>87287023</v>
      </c>
    </row>
    <row r="49" spans="1:26" ht="13.2">
      <c r="A49" s="129" t="s">
        <v>1158</v>
      </c>
      <c r="B49" s="188">
        <f>SUM(F47:F49)</f>
        <v>3325314.1515810275</v>
      </c>
      <c r="C49" s="188">
        <f>AVERAGE(F47:F49)</f>
        <v>1108438.0505270092</v>
      </c>
      <c r="D49" s="190">
        <f>C49/C46-1</f>
        <v>-0.2073686450093688</v>
      </c>
      <c r="E49" s="287">
        <f>C49/C37-1</f>
        <v>0.69280552601704248</v>
      </c>
      <c r="F49" s="136">
        <f>Q49/22</f>
        <v>1159364.1363636365</v>
      </c>
      <c r="G49" s="190">
        <f t="shared" ref="G49" si="72">F49/F48-1</f>
        <v>0.73699104017149986</v>
      </c>
      <c r="H49" s="190">
        <f t="shared" ref="H49" si="73">F49/F37-1</f>
        <v>-0.21302639559014402</v>
      </c>
      <c r="I49" s="130">
        <f t="shared" si="0"/>
        <v>221.99596445524628</v>
      </c>
      <c r="J49" s="130">
        <f t="shared" si="4"/>
        <v>-0.59668988925252142</v>
      </c>
      <c r="K49" s="136">
        <f>R47+R48+R49</f>
        <v>101150182478</v>
      </c>
      <c r="L49" s="190">
        <f>U49/U46-1</f>
        <v>-0.12264361489354825</v>
      </c>
      <c r="M49" s="190">
        <f>K49/K37-1</f>
        <v>1.028730136662876</v>
      </c>
      <c r="N49" s="191">
        <f>AVERAGE(T47:T49)</f>
        <v>187.12253968596679</v>
      </c>
      <c r="O49" s="192">
        <f>N49/N46-1</f>
        <v>-8.5174170974276375E-2</v>
      </c>
      <c r="P49" s="129" t="s">
        <v>1165</v>
      </c>
      <c r="Q49" s="116">
        <v>25506011</v>
      </c>
      <c r="R49" s="116">
        <v>35396000403</v>
      </c>
      <c r="S49" s="116">
        <v>114894.03</v>
      </c>
      <c r="T49" s="130">
        <f t="shared" ref="T49" si="74">Q49/S49</f>
        <v>221.99596445524628</v>
      </c>
      <c r="U49" s="85">
        <f t="shared" si="65"/>
        <v>73320495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722383.5555555555</v>
      </c>
      <c r="G50" s="190">
        <f t="shared" ref="G50" si="75">F50/F49-1</f>
        <v>-0.37691400579172418</v>
      </c>
      <c r="H50" s="190">
        <f t="shared" ref="H50" si="76">F50/F38-1</f>
        <v>-0.3066038696727742</v>
      </c>
      <c r="I50" s="130">
        <f t="shared" ref="I50" si="77">T50</f>
        <v>187.82482284491346</v>
      </c>
      <c r="J50" s="130">
        <f t="shared" ref="J50" si="78">I50/I38-1</f>
        <v>-0.73911251908142894</v>
      </c>
      <c r="K50" s="136"/>
      <c r="L50" s="190"/>
      <c r="M50" s="190"/>
      <c r="N50" s="191"/>
      <c r="O50" s="192"/>
      <c r="P50" s="129" t="s">
        <v>1347</v>
      </c>
      <c r="Q50" s="116">
        <v>13002904</v>
      </c>
      <c r="R50" s="116">
        <v>18438848838</v>
      </c>
      <c r="S50" s="116">
        <v>69228.89</v>
      </c>
      <c r="T50" s="130">
        <f t="shared" ref="T50" si="79">Q50/S50</f>
        <v>187.82482284491346</v>
      </c>
      <c r="U50" s="85">
        <f t="shared" si="65"/>
        <v>51858024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377028.6</v>
      </c>
      <c r="G51" s="190">
        <f t="shared" ref="G51:G52" si="80">F51/F50-1</f>
        <v>-0.47807698957094502</v>
      </c>
      <c r="H51" s="190">
        <f t="shared" ref="H51:H52" si="81">F51/F39-1</f>
        <v>-0.47025439442399575</v>
      </c>
      <c r="I51" s="130">
        <f t="shared" ref="I51:I52" si="82">T51</f>
        <v>221.56875823657575</v>
      </c>
      <c r="J51" s="130">
        <f t="shared" ref="J51:J52" si="83">I51/I39-1</f>
        <v>-9.5345041986778845E-2</v>
      </c>
      <c r="K51" s="136"/>
      <c r="L51" s="190"/>
      <c r="M51" s="190"/>
      <c r="N51" s="191"/>
      <c r="O51" s="192"/>
      <c r="P51" s="129" t="s">
        <v>1402</v>
      </c>
      <c r="Q51" s="116">
        <v>7540572</v>
      </c>
      <c r="R51" s="116">
        <v>10880639079</v>
      </c>
      <c r="S51" s="116">
        <v>34032.65</v>
      </c>
      <c r="T51" s="130">
        <f t="shared" ref="T51:T52" si="84">Q51/S51</f>
        <v>221.56875823657575</v>
      </c>
      <c r="U51" s="85">
        <f t="shared" si="65"/>
        <v>46049487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2420206.701010101</v>
      </c>
      <c r="C52" s="188">
        <f>AVERAGE(F50:F52)</f>
        <v>806735.567003367</v>
      </c>
      <c r="D52" s="190">
        <f>C52/C49-1</f>
        <v>-0.27218705039961155</v>
      </c>
      <c r="E52" s="287">
        <f>C52/C40-1</f>
        <v>-8.8308282885220857E-2</v>
      </c>
      <c r="F52" s="136">
        <f>Q52/22</f>
        <v>1320794.5454545454</v>
      </c>
      <c r="G52" s="190">
        <f t="shared" si="80"/>
        <v>2.5031680499955322</v>
      </c>
      <c r="H52" s="190">
        <f t="shared" si="81"/>
        <v>0.46573942309050387</v>
      </c>
      <c r="I52" s="130">
        <f t="shared" si="82"/>
        <v>242.82979915415029</v>
      </c>
      <c r="J52" s="130">
        <f t="shared" si="83"/>
        <v>-6.228677610348099E-2</v>
      </c>
      <c r="K52" s="136">
        <f>R50+R51+R52</f>
        <v>72033649466</v>
      </c>
      <c r="L52" s="190">
        <f>U52/U49-1</f>
        <v>-0.32350489450459929</v>
      </c>
      <c r="M52" s="190">
        <f>K52/K40-1</f>
        <v>-4.5547942582538692E-2</v>
      </c>
      <c r="N52" s="191">
        <f>AVERAGE(T50:T52)</f>
        <v>217.40779341187985</v>
      </c>
      <c r="O52" s="192">
        <f>N52/N49-1</f>
        <v>0.16184717125333203</v>
      </c>
      <c r="P52" s="129" t="s">
        <v>1403</v>
      </c>
      <c r="Q52" s="116">
        <v>29057480</v>
      </c>
      <c r="R52" s="116">
        <v>42714161549</v>
      </c>
      <c r="S52" s="116">
        <v>119661.92</v>
      </c>
      <c r="T52" s="130">
        <f t="shared" si="84"/>
        <v>242.82979915415029</v>
      </c>
      <c r="U52" s="85">
        <f t="shared" ref="U52" si="85">Q50+Q51+Q52</f>
        <v>49600956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640537.04761904757</v>
      </c>
      <c r="G53" s="190">
        <f t="shared" ref="G53" si="86">F53/F52-1</f>
        <v>-0.5150365741413554</v>
      </c>
      <c r="H53" s="190">
        <f t="shared" ref="H53" si="87">F53/F41-1</f>
        <v>0.1477699278121305</v>
      </c>
      <c r="I53" s="130">
        <f t="shared" ref="I53" si="88">T53</f>
        <v>132.79759285026455</v>
      </c>
      <c r="J53" s="130">
        <f t="shared" ref="J53" si="89">I53/I41-1</f>
        <v>-0.30553731583778554</v>
      </c>
      <c r="K53" s="136"/>
      <c r="L53" s="190"/>
      <c r="M53" s="190"/>
      <c r="N53" s="191"/>
      <c r="O53" s="192"/>
      <c r="P53" s="129" t="s">
        <v>1414</v>
      </c>
      <c r="Q53" s="116">
        <v>13451278</v>
      </c>
      <c r="R53" s="116">
        <v>19526130091</v>
      </c>
      <c r="S53" s="116">
        <v>101291.58</v>
      </c>
      <c r="T53" s="130">
        <f t="shared" ref="T53" si="90">Q53/S53</f>
        <v>132.79759285026455</v>
      </c>
      <c r="U53" s="85">
        <f t="shared" ref="U53" si="91">Q51+Q52+Q53</f>
        <v>50049330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381223.29411764705</v>
      </c>
      <c r="G54" s="190">
        <f t="shared" ref="G54" si="92">F54/F53-1</f>
        <v>-0.40483802531844271</v>
      </c>
      <c r="H54" s="190">
        <f t="shared" ref="H54" si="93">F54/F42-1</f>
        <v>1.5430670243841149</v>
      </c>
      <c r="I54" s="130">
        <f t="shared" ref="I54" si="94">T54</f>
        <v>177.92692274746926</v>
      </c>
      <c r="J54" s="130">
        <f t="shared" ref="J54" si="95">I54/I42-1</f>
        <v>-0.67792436424114211</v>
      </c>
      <c r="K54" s="136"/>
      <c r="L54" s="190"/>
      <c r="M54" s="190"/>
      <c r="N54" s="191"/>
      <c r="O54" s="192"/>
      <c r="P54" s="129" t="s">
        <v>1417</v>
      </c>
      <c r="Q54" s="116">
        <v>6480796</v>
      </c>
      <c r="R54" s="116">
        <v>9377571197</v>
      </c>
      <c r="S54" s="116">
        <v>36423.919999999998</v>
      </c>
      <c r="T54" s="130">
        <f t="shared" ref="T54" si="96">Q54/S54</f>
        <v>177.92692274746926</v>
      </c>
      <c r="U54" s="85">
        <f t="shared" ref="U54" si="97">Q52+Q53+Q54</f>
        <v>48989554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1892435.7226890754</v>
      </c>
      <c r="C55" s="188">
        <f>AVERAGE(F53:F55)</f>
        <v>630811.90756302513</v>
      </c>
      <c r="D55" s="190">
        <f>C55/C52-1</f>
        <v>-0.21806855509521328</v>
      </c>
      <c r="E55" s="287">
        <f>C55/C43-1</f>
        <v>-6.0067324853342652E-2</v>
      </c>
      <c r="F55" s="136">
        <f>Q55/21</f>
        <v>870675.38095238095</v>
      </c>
      <c r="G55" s="190">
        <f t="shared" ref="G55" si="98">F55/F54-1</f>
        <v>1.283898687165971</v>
      </c>
      <c r="H55" s="190">
        <f t="shared" ref="H55" si="99">F55/F43-1</f>
        <v>-0.33301811787406799</v>
      </c>
      <c r="I55" s="130">
        <f>T55</f>
        <v>259.73710333807986</v>
      </c>
      <c r="J55" s="130">
        <f t="shared" ref="J55" si="100">I55/I43-1</f>
        <v>-0.12507276602546402</v>
      </c>
      <c r="K55" s="136">
        <f>R53+R54+R55</f>
        <v>55859506102</v>
      </c>
      <c r="L55" s="190">
        <f>U55/U52-1</f>
        <v>-0.22952579784954141</v>
      </c>
      <c r="M55" s="190">
        <f>K55/K43-1</f>
        <v>-1.8698891919551097E-2</v>
      </c>
      <c r="N55" s="191">
        <f>AVERAGE(T53:T55)</f>
        <v>190.15387297860457</v>
      </c>
      <c r="O55" s="192">
        <f>N55/N52-1</f>
        <v>-0.12535852558717908</v>
      </c>
      <c r="P55" s="129" t="s">
        <v>1418</v>
      </c>
      <c r="Q55" s="116">
        <v>18284183</v>
      </c>
      <c r="R55" s="116">
        <v>26955804814</v>
      </c>
      <c r="S55" s="116">
        <v>70394.960000000006</v>
      </c>
      <c r="T55" s="130">
        <f t="shared" ref="T55" si="101">Q55/S55</f>
        <v>259.73710333807986</v>
      </c>
      <c r="U55" s="85">
        <f t="shared" ref="U55" si="102">Q53+Q54+Q55</f>
        <v>38216257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2534554.5</v>
      </c>
      <c r="G56" s="190">
        <f t="shared" ref="G56" si="103">F56/F55-1</f>
        <v>1.9110212088776404</v>
      </c>
      <c r="H56" s="190">
        <f t="shared" ref="H56" si="104">F56/F44-1</f>
        <v>1.9105942852752222</v>
      </c>
      <c r="I56" s="291">
        <f>T56</f>
        <v>309.87356692322652</v>
      </c>
      <c r="J56" s="130">
        <f t="shared" ref="J56" si="105">I56/I44-1</f>
        <v>0.54974406303634726</v>
      </c>
      <c r="K56" s="136"/>
      <c r="L56" s="190"/>
      <c r="M56" s="190"/>
      <c r="N56" s="191"/>
      <c r="O56" s="192"/>
      <c r="P56" s="129" t="s">
        <v>1420</v>
      </c>
      <c r="Q56" s="116">
        <v>55760199</v>
      </c>
      <c r="R56" s="116">
        <v>83477321640</v>
      </c>
      <c r="S56" s="116">
        <v>179945</v>
      </c>
      <c r="T56" s="130">
        <f t="shared" ref="T56" si="106">Q56/S56</f>
        <v>309.87356692322652</v>
      </c>
      <c r="U56" s="85">
        <f t="shared" ref="U56" si="107">Q54+Q55+Q56</f>
        <v>80525178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2446637.3333333335</v>
      </c>
      <c r="G57" s="254">
        <f t="shared" ref="G57" si="108">F57/F56-1</f>
        <v>-3.4687424029219538E-2</v>
      </c>
      <c r="H57" s="254">
        <f t="shared" ref="H57" si="109">F57/F45-1</f>
        <v>0.96205096662241329</v>
      </c>
      <c r="I57" s="282">
        <f>T57</f>
        <v>327.17985635562292</v>
      </c>
      <c r="J57" s="277">
        <f t="shared" ref="J57" si="110">I57/I45-1</f>
        <v>1.0249052093738804</v>
      </c>
      <c r="K57" s="204"/>
      <c r="L57" s="254"/>
      <c r="M57" s="254"/>
      <c r="N57" s="257"/>
      <c r="O57" s="258"/>
      <c r="P57" s="129" t="s">
        <v>1436</v>
      </c>
      <c r="Q57" s="116">
        <v>29359648</v>
      </c>
      <c r="R57" s="116">
        <v>43271200527</v>
      </c>
      <c r="S57" s="116">
        <v>89735.5</v>
      </c>
      <c r="T57" s="130">
        <f t="shared" ref="T57" si="111">Q57/S57</f>
        <v>327.17985635562292</v>
      </c>
      <c r="U57" s="85">
        <f t="shared" ref="U57" si="112">Q55+Q56+Q57</f>
        <v>103404030</v>
      </c>
      <c r="V57" s="79"/>
      <c r="W57" s="79"/>
      <c r="X57" s="79"/>
      <c r="Y57" s="79"/>
      <c r="Z57" s="79"/>
    </row>
    <row r="58" spans="1:26">
      <c r="B58" s="196">
        <f>SUM(F56:F58)</f>
        <v>4981191.833333334</v>
      </c>
      <c r="C58" s="196">
        <f>AVERAGE(F56:F58)</f>
        <v>2490595.916666667</v>
      </c>
      <c r="D58" s="197">
        <f>C58/C55-1</f>
        <v>2.9482385903088373</v>
      </c>
      <c r="E58" s="233">
        <f>C58/C46-1</f>
        <v>0.78099661521275987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123336104</v>
      </c>
      <c r="R65" s="212">
        <v>182608028269</v>
      </c>
      <c r="S65" s="213">
        <v>477790.96</v>
      </c>
      <c r="T65" s="214">
        <v>27</v>
      </c>
      <c r="U65" s="214">
        <v>34</v>
      </c>
    </row>
    <row r="66" spans="16:21" ht="18" thickBot="1">
      <c r="P66" s="180" t="s">
        <v>976</v>
      </c>
      <c r="Q66" s="181">
        <v>13451278</v>
      </c>
      <c r="R66" s="181">
        <v>19526130091</v>
      </c>
      <c r="S66" s="182">
        <v>101291.58</v>
      </c>
      <c r="T66" s="210">
        <v>14</v>
      </c>
      <c r="U66" s="210">
        <v>14</v>
      </c>
    </row>
    <row r="67" spans="16:21" ht="18" thickBot="1">
      <c r="P67" s="180" t="s">
        <v>977</v>
      </c>
      <c r="Q67" s="181">
        <v>6480796</v>
      </c>
      <c r="R67" s="181">
        <v>9377571197</v>
      </c>
      <c r="S67" s="182">
        <v>36423.919999999998</v>
      </c>
      <c r="T67" s="210">
        <v>7</v>
      </c>
      <c r="U67" s="210">
        <v>9</v>
      </c>
    </row>
    <row r="68" spans="16:21" ht="18" thickBot="1">
      <c r="P68" s="180" t="s">
        <v>978</v>
      </c>
      <c r="Q68" s="181">
        <v>18284183</v>
      </c>
      <c r="R68" s="181">
        <v>26955804814</v>
      </c>
      <c r="S68" s="182">
        <v>70394.960000000006</v>
      </c>
      <c r="T68" s="210">
        <v>14</v>
      </c>
      <c r="U68" s="210">
        <v>16</v>
      </c>
    </row>
    <row r="69" spans="16:21" ht="18" thickBot="1">
      <c r="P69" s="180" t="s">
        <v>979</v>
      </c>
      <c r="Q69" s="181">
        <v>55760199</v>
      </c>
      <c r="R69" s="181">
        <v>83477321640</v>
      </c>
      <c r="S69" s="182">
        <v>179945</v>
      </c>
      <c r="T69" s="210">
        <v>11</v>
      </c>
      <c r="U69" s="210">
        <v>13</v>
      </c>
    </row>
    <row r="70" spans="16:21" ht="18" thickBot="1">
      <c r="P70" s="180" t="s">
        <v>980</v>
      </c>
      <c r="Q70" s="181">
        <v>29359648</v>
      </c>
      <c r="R70" s="181">
        <v>43271200527</v>
      </c>
      <c r="S70" s="182">
        <v>89735.5</v>
      </c>
      <c r="T70" s="210">
        <v>8</v>
      </c>
      <c r="U70" s="210">
        <v>9</v>
      </c>
    </row>
    <row r="71" spans="16:21" ht="18" thickBot="1">
      <c r="P71" s="180" t="s">
        <v>975</v>
      </c>
      <c r="Q71" s="181">
        <v>245642580</v>
      </c>
      <c r="R71" s="181">
        <v>347332815671</v>
      </c>
      <c r="S71" s="182">
        <v>1161515.1000000001</v>
      </c>
      <c r="T71" s="210">
        <v>35</v>
      </c>
      <c r="U71" s="210">
        <v>72</v>
      </c>
    </row>
    <row r="72" spans="16:21" ht="18" thickBot="1">
      <c r="P72" s="180" t="s">
        <v>982</v>
      </c>
      <c r="Q72" s="181">
        <v>123389658</v>
      </c>
      <c r="R72" s="181">
        <v>167625426111</v>
      </c>
      <c r="S72" s="182">
        <v>436715.85</v>
      </c>
      <c r="T72" s="210">
        <v>30</v>
      </c>
      <c r="U72" s="210">
        <v>53</v>
      </c>
    </row>
    <row r="73" spans="16:21" ht="18" thickBot="1">
      <c r="P73" s="215" t="s">
        <v>1386</v>
      </c>
      <c r="Q73" s="216">
        <v>118567562</v>
      </c>
      <c r="R73"/>
      <c r="S73"/>
      <c r="T73"/>
      <c r="U73"/>
    </row>
  </sheetData>
  <phoneticPr fontId="1" type="noConversion"/>
  <conditionalFormatting sqref="C29:C30">
    <cfRule type="cellIs" dxfId="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33"/>
  <dimension ref="A1:Z72"/>
  <sheetViews>
    <sheetView topLeftCell="B1"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9012101090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308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85735.55</v>
      </c>
      <c r="G5" s="90"/>
      <c r="H5" s="90"/>
      <c r="I5" s="130">
        <f t="shared" ref="I5:I49" si="0">T5</f>
        <v>139.27480423109381</v>
      </c>
      <c r="J5" s="130"/>
      <c r="L5" s="80"/>
      <c r="M5" s="80"/>
      <c r="P5" s="129" t="s">
        <v>0</v>
      </c>
      <c r="Q5" s="116">
        <v>1714711</v>
      </c>
      <c r="R5" s="116">
        <v>2019305068</v>
      </c>
      <c r="S5" s="116">
        <v>12311.71</v>
      </c>
      <c r="T5" s="130">
        <f t="shared" ref="T5:T17" si="1">Q5/S5</f>
        <v>139.27480423109381</v>
      </c>
      <c r="U5" s="85"/>
    </row>
    <row r="6" spans="1:21" ht="15" hidden="1" customHeight="1">
      <c r="A6" s="129" t="s">
        <v>1</v>
      </c>
      <c r="C6" s="79"/>
      <c r="F6" s="78">
        <f>Q6/18</f>
        <v>245974.44444444444</v>
      </c>
      <c r="G6" s="90">
        <f t="shared" ref="G6:G16" si="2">F6/F5-1</f>
        <v>1.8689901032237435</v>
      </c>
      <c r="H6" s="90"/>
      <c r="I6" s="130">
        <f t="shared" si="0"/>
        <v>327.86902241485666</v>
      </c>
      <c r="J6" s="130"/>
      <c r="P6" s="129" t="s">
        <v>1</v>
      </c>
      <c r="Q6" s="116">
        <v>4427540</v>
      </c>
      <c r="R6" s="116">
        <v>5257696508</v>
      </c>
      <c r="S6" s="116">
        <v>13503.99</v>
      </c>
      <c r="T6" s="130">
        <f t="shared" si="1"/>
        <v>327.86902241485666</v>
      </c>
      <c r="U6" s="85"/>
    </row>
    <row r="7" spans="1:21" ht="15" hidden="1" customHeight="1">
      <c r="A7" s="129" t="s">
        <v>2</v>
      </c>
      <c r="B7" s="131">
        <f>F5+F6+F7</f>
        <v>767567.08535353537</v>
      </c>
      <c r="C7" s="131">
        <f>AVERAGE(F5:F7)</f>
        <v>255855.69511784511</v>
      </c>
      <c r="F7" s="78">
        <f>Q7/22</f>
        <v>435857.09090909088</v>
      </c>
      <c r="G7" s="90">
        <f t="shared" si="2"/>
        <v>0.77196087135602065</v>
      </c>
      <c r="H7" s="90"/>
      <c r="I7" s="130">
        <f t="shared" si="0"/>
        <v>291.45255215541044</v>
      </c>
      <c r="J7" s="130"/>
      <c r="K7" s="79">
        <f>R5+R6+R7</f>
        <v>18838859707</v>
      </c>
      <c r="N7" s="88">
        <f>AVERAGE(T5:T7)</f>
        <v>252.86545960045365</v>
      </c>
      <c r="P7" s="129" t="s">
        <v>2</v>
      </c>
      <c r="Q7" s="116">
        <v>9588856</v>
      </c>
      <c r="R7" s="116">
        <v>11561858131</v>
      </c>
      <c r="S7" s="116">
        <v>32900.230000000003</v>
      </c>
      <c r="T7" s="130">
        <f t="shared" si="1"/>
        <v>291.45255215541044</v>
      </c>
      <c r="U7" s="85">
        <f>Q5+Q6+Q7</f>
        <v>15731107</v>
      </c>
    </row>
    <row r="8" spans="1:21" ht="15" hidden="1" customHeight="1">
      <c r="A8" s="129" t="s">
        <v>3</v>
      </c>
      <c r="C8" s="79"/>
      <c r="F8" s="78">
        <f>Q8/21</f>
        <v>135118.57142857142</v>
      </c>
      <c r="G8" s="90">
        <f t="shared" si="2"/>
        <v>-0.68999340782377261</v>
      </c>
      <c r="H8" s="90"/>
      <c r="I8" s="130">
        <f t="shared" si="0"/>
        <v>277.36624790325038</v>
      </c>
      <c r="J8" s="130"/>
      <c r="K8" s="78"/>
      <c r="P8" s="129" t="s">
        <v>3</v>
      </c>
      <c r="Q8" s="116">
        <v>2837490</v>
      </c>
      <c r="R8" s="116">
        <v>3429501244</v>
      </c>
      <c r="S8" s="116">
        <v>10230.120000000001</v>
      </c>
      <c r="T8" s="130">
        <f t="shared" si="1"/>
        <v>277.36624790325038</v>
      </c>
      <c r="U8" s="85"/>
    </row>
    <row r="9" spans="1:21" ht="15" hidden="1" customHeight="1">
      <c r="A9" s="129" t="s">
        <v>4</v>
      </c>
      <c r="C9" s="79"/>
      <c r="F9" s="78">
        <f>Q9/21</f>
        <v>101594.14285714286</v>
      </c>
      <c r="G9" s="90">
        <f t="shared" si="2"/>
        <v>-0.24811118277068811</v>
      </c>
      <c r="H9" s="90"/>
      <c r="I9" s="130">
        <f t="shared" si="0"/>
        <v>329.2123353727693</v>
      </c>
      <c r="J9" s="130"/>
      <c r="K9" s="78"/>
      <c r="P9" s="129" t="s">
        <v>4</v>
      </c>
      <c r="Q9" s="116">
        <v>2133477</v>
      </c>
      <c r="R9" s="116">
        <v>2685942502</v>
      </c>
      <c r="S9" s="116">
        <v>6480.55</v>
      </c>
      <c r="T9" s="130">
        <f t="shared" si="1"/>
        <v>329.2123353727693</v>
      </c>
      <c r="U9" s="85"/>
    </row>
    <row r="10" spans="1:21" ht="15" hidden="1" customHeight="1">
      <c r="A10" s="129" t="s">
        <v>5</v>
      </c>
      <c r="B10" s="131">
        <f>F8+F9+F10</f>
        <v>400723.42857142852</v>
      </c>
      <c r="C10" s="131">
        <f>AVERAGE(F8:F10)</f>
        <v>133574.47619047618</v>
      </c>
      <c r="D10" s="90">
        <f>C10/C7-1</f>
        <v>-0.47793041648358525</v>
      </c>
      <c r="E10" s="286"/>
      <c r="F10" s="78">
        <f>Q10/21</f>
        <v>164010.71428571429</v>
      </c>
      <c r="G10" s="90">
        <f t="shared" si="2"/>
        <v>0.61437175090240026</v>
      </c>
      <c r="H10" s="90"/>
      <c r="I10" s="130">
        <f t="shared" si="0"/>
        <v>257.90918505572319</v>
      </c>
      <c r="J10" s="130"/>
      <c r="K10" s="79">
        <f>R8+R9+R10</f>
        <v>10485200044</v>
      </c>
      <c r="L10" s="87">
        <f>U10/U7-1</f>
        <v>-0.46506040547559691</v>
      </c>
      <c r="N10" s="88">
        <f>AVERAGE(T8:T10)</f>
        <v>288.16258944391433</v>
      </c>
      <c r="O10" s="89">
        <f>N10/N7-1</f>
        <v>0.1395885776540331</v>
      </c>
      <c r="P10" s="129" t="s">
        <v>5</v>
      </c>
      <c r="Q10" s="116">
        <v>3444225</v>
      </c>
      <c r="R10" s="116">
        <v>4369756298</v>
      </c>
      <c r="S10" s="116">
        <v>13354.41</v>
      </c>
      <c r="T10" s="130">
        <f t="shared" si="1"/>
        <v>257.90918505572319</v>
      </c>
      <c r="U10" s="85">
        <f>Q8+Q9+Q10</f>
        <v>8415192</v>
      </c>
    </row>
    <row r="11" spans="1:21" ht="15" hidden="1" customHeight="1">
      <c r="A11" s="129" t="s">
        <v>6</v>
      </c>
      <c r="C11" s="79"/>
      <c r="F11" s="78">
        <f>Q11/21</f>
        <v>243036.71428571429</v>
      </c>
      <c r="G11" s="90">
        <f t="shared" si="2"/>
        <v>0.48183437493195136</v>
      </c>
      <c r="H11" s="90"/>
      <c r="I11" s="130">
        <f t="shared" si="0"/>
        <v>425.17783877672576</v>
      </c>
      <c r="J11" s="130"/>
      <c r="K11" s="78"/>
      <c r="O11" s="89"/>
      <c r="P11" s="129" t="s">
        <v>6</v>
      </c>
      <c r="Q11" s="116">
        <v>5103771</v>
      </c>
      <c r="R11" s="116">
        <v>6607946731</v>
      </c>
      <c r="S11" s="116">
        <v>12003.85</v>
      </c>
      <c r="T11" s="130">
        <f t="shared" si="1"/>
        <v>425.17783877672576</v>
      </c>
      <c r="U11" s="85"/>
    </row>
    <row r="12" spans="1:21" ht="15" hidden="1" customHeight="1">
      <c r="A12" s="129" t="s">
        <v>7</v>
      </c>
      <c r="C12" s="79"/>
      <c r="F12" s="78">
        <f>Q12/22</f>
        <v>397436.68181818182</v>
      </c>
      <c r="G12" s="90">
        <f t="shared" si="2"/>
        <v>0.6352948277228383</v>
      </c>
      <c r="H12" s="90"/>
      <c r="I12" s="130">
        <f t="shared" si="0"/>
        <v>501.97417219911773</v>
      </c>
      <c r="J12" s="130"/>
      <c r="K12" s="78"/>
      <c r="O12" s="89"/>
      <c r="P12" s="129" t="s">
        <v>7</v>
      </c>
      <c r="Q12" s="116">
        <v>8743607</v>
      </c>
      <c r="R12" s="116">
        <v>11383014085</v>
      </c>
      <c r="S12" s="116">
        <v>17418.439999999999</v>
      </c>
      <c r="T12" s="130">
        <f t="shared" si="1"/>
        <v>501.97417219911773</v>
      </c>
      <c r="U12" s="85"/>
    </row>
    <row r="13" spans="1:21" ht="15" hidden="1" customHeight="1">
      <c r="A13" s="129" t="s">
        <v>96</v>
      </c>
      <c r="B13" s="131">
        <f>F11+F12+F13</f>
        <v>906557.89610389608</v>
      </c>
      <c r="C13" s="131">
        <f>AVERAGE(F11:F13)</f>
        <v>302185.96536796534</v>
      </c>
      <c r="D13" s="90">
        <f>C13/C10-1</f>
        <v>1.2623032033234436</v>
      </c>
      <c r="E13" s="286"/>
      <c r="F13" s="78">
        <f>Q13/20</f>
        <v>266084.5</v>
      </c>
      <c r="G13" s="90">
        <f t="shared" si="2"/>
        <v>-0.33049838584922675</v>
      </c>
      <c r="H13" s="90"/>
      <c r="I13" s="130">
        <f t="shared" si="0"/>
        <v>254.81041326508625</v>
      </c>
      <c r="J13" s="130"/>
      <c r="K13" s="78">
        <f>R11+R12+R13</f>
        <v>25346954264</v>
      </c>
      <c r="L13" s="87">
        <f>U13/U10-1</f>
        <v>1.2779121379524079</v>
      </c>
      <c r="N13" s="88">
        <f>AVERAGE(T11:T13)</f>
        <v>393.9874747469766</v>
      </c>
      <c r="O13" s="89">
        <f>N13/N10-1</f>
        <v>0.36724019418092846</v>
      </c>
      <c r="P13" s="129" t="s">
        <v>96</v>
      </c>
      <c r="Q13" s="116">
        <v>5321690</v>
      </c>
      <c r="R13" s="116">
        <v>7355993448</v>
      </c>
      <c r="S13" s="116">
        <v>20884.900000000001</v>
      </c>
      <c r="T13" s="130">
        <f t="shared" si="1"/>
        <v>254.81041326508625</v>
      </c>
      <c r="U13" s="85">
        <f>Q11+Q12+Q13</f>
        <v>19169068</v>
      </c>
    </row>
    <row r="14" spans="1:21" ht="15" hidden="1" customHeight="1">
      <c r="A14" s="129" t="s">
        <v>97</v>
      </c>
      <c r="C14" s="79"/>
      <c r="F14" s="78">
        <f>Q14/20</f>
        <v>295212.79999999999</v>
      </c>
      <c r="G14" s="90">
        <f t="shared" si="2"/>
        <v>0.10947011193812495</v>
      </c>
      <c r="H14" s="90"/>
      <c r="I14" s="130">
        <f t="shared" si="0"/>
        <v>424.00523951235772</v>
      </c>
      <c r="J14" s="130"/>
      <c r="O14" s="89"/>
      <c r="P14" s="129" t="s">
        <v>97</v>
      </c>
      <c r="Q14" s="116">
        <v>5904256</v>
      </c>
      <c r="R14" s="116">
        <v>8426446852</v>
      </c>
      <c r="S14" s="116">
        <v>13924.96</v>
      </c>
      <c r="T14" s="130">
        <f t="shared" si="1"/>
        <v>424.00523951235772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393682.5</v>
      </c>
      <c r="G15" s="90">
        <f t="shared" si="2"/>
        <v>0.33355498135582207</v>
      </c>
      <c r="H15" s="90"/>
      <c r="I15" s="130">
        <f t="shared" si="0"/>
        <v>445.35295741927126</v>
      </c>
      <c r="J15" s="130"/>
      <c r="O15" s="89"/>
      <c r="P15" s="129" t="s">
        <v>98</v>
      </c>
      <c r="Q15" s="116">
        <v>8661015</v>
      </c>
      <c r="R15" s="116">
        <v>11854399821</v>
      </c>
      <c r="S15" s="116">
        <v>19447.53</v>
      </c>
      <c r="T15" s="130">
        <f t="shared" si="1"/>
        <v>445.35295741927126</v>
      </c>
      <c r="U15" s="85"/>
    </row>
    <row r="16" spans="1:21" ht="15" hidden="1" customHeight="1">
      <c r="A16" s="129" t="s">
        <v>99</v>
      </c>
      <c r="B16" s="131">
        <f>F14+F15+F16</f>
        <v>1044473.2090909092</v>
      </c>
      <c r="C16" s="131">
        <f>AVERAGE(F14:F16)</f>
        <v>348157.73636363639</v>
      </c>
      <c r="D16" s="90">
        <f>C16/C13-1</f>
        <v>0.15213072830729324</v>
      </c>
      <c r="E16" s="286"/>
      <c r="F16" s="78">
        <f>Q16/22</f>
        <v>355577.90909090912</v>
      </c>
      <c r="G16" s="90">
        <f t="shared" si="2"/>
        <v>-9.679015681187475E-2</v>
      </c>
      <c r="H16" s="90"/>
      <c r="I16" s="130">
        <f t="shared" si="0"/>
        <v>268.9306530272392</v>
      </c>
      <c r="J16" s="130"/>
      <c r="K16" s="78">
        <f>R14+R15+R16</f>
        <v>30588210845</v>
      </c>
      <c r="L16" s="87">
        <f>U16/U13-1</f>
        <v>0.16792245715858489</v>
      </c>
      <c r="N16" s="88">
        <f>AVERAGE(T14:T16)</f>
        <v>379.4296166529561</v>
      </c>
      <c r="O16" s="89">
        <f>N16/N13-1</f>
        <v>-3.6950053052751786E-2</v>
      </c>
      <c r="P16" s="129" t="s">
        <v>99</v>
      </c>
      <c r="Q16" s="116">
        <v>7822714</v>
      </c>
      <c r="R16" s="116">
        <v>10307364172</v>
      </c>
      <c r="S16" s="116">
        <v>29088.22</v>
      </c>
      <c r="T16" s="130">
        <f t="shared" si="1"/>
        <v>268.9306530272392</v>
      </c>
      <c r="U16" s="85">
        <f>Q14+Q15+Q16</f>
        <v>22387985</v>
      </c>
    </row>
    <row r="17" spans="1:21" ht="15" hidden="1" customHeight="1">
      <c r="A17" s="129" t="s">
        <v>100</v>
      </c>
      <c r="C17" s="79"/>
      <c r="F17" s="78">
        <f>Q17/20</f>
        <v>63601.95</v>
      </c>
      <c r="G17" s="90">
        <f t="shared" ref="G17:G22" si="3">F17/F16-1</f>
        <v>-0.82113076101209892</v>
      </c>
      <c r="H17" s="90">
        <f t="shared" ref="H17:H22" si="4">F17/F5-1</f>
        <v>-0.25816128782051329</v>
      </c>
      <c r="I17" s="130">
        <f t="shared" si="0"/>
        <v>338.82188423940545</v>
      </c>
      <c r="J17" s="130">
        <f t="shared" ref="J17:J49" si="5">I17/I5-1</f>
        <v>1.4327579285425536</v>
      </c>
      <c r="O17" s="89"/>
      <c r="P17" s="129" t="s">
        <v>100</v>
      </c>
      <c r="Q17" s="116">
        <v>1272039</v>
      </c>
      <c r="R17" s="116">
        <v>1595109652</v>
      </c>
      <c r="S17" s="116">
        <v>3754.3</v>
      </c>
      <c r="T17" s="130">
        <f t="shared" si="1"/>
        <v>338.82188423940545</v>
      </c>
      <c r="U17" s="78"/>
    </row>
    <row r="18" spans="1:21" ht="15" hidden="1" customHeight="1">
      <c r="A18" s="129" t="s">
        <v>106</v>
      </c>
      <c r="C18" s="79"/>
      <c r="F18" s="78">
        <f>Q18/20</f>
        <v>602581.30000000005</v>
      </c>
      <c r="G18" s="90">
        <f t="shared" si="3"/>
        <v>8.4742582578049905</v>
      </c>
      <c r="H18" s="90">
        <f t="shared" si="4"/>
        <v>1.4497719726981577</v>
      </c>
      <c r="I18" s="130">
        <f t="shared" si="0"/>
        <v>451.95388367264053</v>
      </c>
      <c r="J18" s="130">
        <f t="shared" si="5"/>
        <v>0.37845863065641439</v>
      </c>
      <c r="O18" s="89"/>
      <c r="P18" s="129" t="s">
        <v>106</v>
      </c>
      <c r="Q18" s="116">
        <v>12051626</v>
      </c>
      <c r="R18" s="116">
        <v>15080712773</v>
      </c>
      <c r="S18" s="116">
        <v>26665.61</v>
      </c>
      <c r="T18" s="130">
        <f t="shared" ref="T18" si="6">Q18/S18</f>
        <v>451.95388367264053</v>
      </c>
      <c r="U18" s="78"/>
    </row>
    <row r="19" spans="1:21" hidden="1">
      <c r="A19" s="129" t="s">
        <v>114</v>
      </c>
      <c r="B19" s="131">
        <f>SUM(F17:F19)</f>
        <v>974989.20454545459</v>
      </c>
      <c r="C19" s="131">
        <f>AVERAGE(F17:F19)</f>
        <v>324996.40151515155</v>
      </c>
      <c r="D19" s="90">
        <f>C19/C16-1</f>
        <v>-6.6525406243719942E-2</v>
      </c>
      <c r="E19" s="286">
        <f>C19/C7-1</f>
        <v>0.27023321237958275</v>
      </c>
      <c r="F19" s="78">
        <f>Q19/22</f>
        <v>308805.95454545453</v>
      </c>
      <c r="G19" s="90">
        <f t="shared" si="3"/>
        <v>-0.48752814840843139</v>
      </c>
      <c r="H19" s="90">
        <f t="shared" si="4"/>
        <v>-0.29149723387232007</v>
      </c>
      <c r="I19" s="130">
        <f t="shared" si="0"/>
        <v>344.47527300771674</v>
      </c>
      <c r="J19" s="130">
        <f t="shared" si="5"/>
        <v>0.18192573871864104</v>
      </c>
      <c r="K19" s="78">
        <f>R17+R18+R19</f>
        <v>25542187644</v>
      </c>
      <c r="L19" s="87">
        <f>U19/U16-1</f>
        <v>-0.10141998040466793</v>
      </c>
      <c r="M19" s="87">
        <f>U19/U7-1</f>
        <v>0.27882901057122056</v>
      </c>
      <c r="N19" s="88">
        <f>AVERAGE(T17:T19)</f>
        <v>378.41701363992087</v>
      </c>
      <c r="O19" s="89">
        <f>N19/N16-1</f>
        <v>-2.6687505892862839E-3</v>
      </c>
      <c r="P19" s="129" t="s">
        <v>115</v>
      </c>
      <c r="Q19" s="116">
        <v>6793731</v>
      </c>
      <c r="R19" s="116">
        <v>8866365219</v>
      </c>
      <c r="S19" s="116">
        <v>19721.97</v>
      </c>
      <c r="T19" s="130">
        <f t="shared" ref="T19" si="7">Q19/S19</f>
        <v>344.47527300771674</v>
      </c>
      <c r="U19" s="85">
        <f>Q17+Q18+Q19</f>
        <v>20117396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235515.9</v>
      </c>
      <c r="G20" s="90">
        <f t="shared" si="3"/>
        <v>-0.23733368306752212</v>
      </c>
      <c r="H20" s="90">
        <f t="shared" si="4"/>
        <v>0.74303130583720134</v>
      </c>
      <c r="I20" s="130">
        <f t="shared" si="0"/>
        <v>495.58245945914666</v>
      </c>
      <c r="J20" s="130">
        <f t="shared" si="5"/>
        <v>0.78674392867012943</v>
      </c>
      <c r="O20" s="89"/>
      <c r="P20" s="129" t="s">
        <v>132</v>
      </c>
      <c r="Q20" s="116">
        <v>4710318</v>
      </c>
      <c r="R20" s="116">
        <v>6187974526</v>
      </c>
      <c r="S20" s="116">
        <v>9504.61</v>
      </c>
      <c r="T20" s="130">
        <f t="shared" ref="T20" si="8">Q20/S20</f>
        <v>495.58245945914666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354790.57142857142</v>
      </c>
      <c r="G21" s="90">
        <f t="shared" si="3"/>
        <v>0.50643999589230049</v>
      </c>
      <c r="H21" s="90">
        <f t="shared" si="4"/>
        <v>2.4922345073323968</v>
      </c>
      <c r="I21" s="130">
        <f t="shared" si="0"/>
        <v>373.08487721241488</v>
      </c>
      <c r="J21" s="130">
        <f t="shared" si="5"/>
        <v>0.13326518215050598</v>
      </c>
      <c r="O21" s="89"/>
      <c r="P21" s="129" t="s">
        <v>141</v>
      </c>
      <c r="Q21" s="116">
        <v>7450602</v>
      </c>
      <c r="R21" s="116">
        <v>9934254934</v>
      </c>
      <c r="S21" s="116">
        <v>19970.259999999998</v>
      </c>
      <c r="T21" s="130">
        <f t="shared" ref="T21" si="9">Q21/S21</f>
        <v>373.08487721241488</v>
      </c>
      <c r="U21" s="78"/>
    </row>
    <row r="22" spans="1:21" hidden="1">
      <c r="A22" s="129" t="s">
        <v>156</v>
      </c>
      <c r="B22" s="131">
        <f>SUM(F20:F22)</f>
        <v>913087.13809523801</v>
      </c>
      <c r="C22" s="131">
        <f>AVERAGE(F20:F22)</f>
        <v>304362.37936507934</v>
      </c>
      <c r="D22" s="90">
        <f>C22/C19-1</f>
        <v>-6.3490001901175597E-2</v>
      </c>
      <c r="E22" s="286">
        <f>C22/C10-1</f>
        <v>1.2785968400958647</v>
      </c>
      <c r="F22" s="78">
        <f>Q22/21</f>
        <v>322780.66666666669</v>
      </c>
      <c r="G22" s="90">
        <f t="shared" si="3"/>
        <v>-9.022197132526999E-2</v>
      </c>
      <c r="H22" s="90">
        <f t="shared" si="4"/>
        <v>0.96804622229964665</v>
      </c>
      <c r="I22" s="130">
        <f t="shared" si="0"/>
        <v>365.23192064291737</v>
      </c>
      <c r="J22" s="130">
        <f t="shared" si="5"/>
        <v>0.41612606997306556</v>
      </c>
      <c r="K22" s="78">
        <f>R20+R21+R22</f>
        <v>24900607051</v>
      </c>
      <c r="L22" s="87">
        <f>U22/U19-1</f>
        <v>-5.8560362384873277E-2</v>
      </c>
      <c r="M22" s="87">
        <f>U22/U10-1</f>
        <v>1.2506098494247073</v>
      </c>
      <c r="N22" s="88">
        <f>AVERAGE(T20:T22)</f>
        <v>411.29975243815966</v>
      </c>
      <c r="O22" s="89">
        <f>N22/N19-1</f>
        <v>8.6895508428508572E-2</v>
      </c>
      <c r="P22" s="129" t="s">
        <v>156</v>
      </c>
      <c r="Q22" s="116">
        <v>6778394</v>
      </c>
      <c r="R22" s="116">
        <v>8778377591</v>
      </c>
      <c r="S22" s="116">
        <v>18559.150000000001</v>
      </c>
      <c r="T22" s="130">
        <f t="shared" ref="T22:T23" si="10">Q22/S22</f>
        <v>365.23192064291737</v>
      </c>
      <c r="U22" s="85">
        <f>Q20+Q21+Q22</f>
        <v>18939314</v>
      </c>
    </row>
    <row r="23" spans="1:21" hidden="1">
      <c r="A23" s="129" t="s">
        <v>189</v>
      </c>
      <c r="B23" s="131"/>
      <c r="C23" s="131"/>
      <c r="F23" s="78">
        <f>Q23/21</f>
        <v>246744.19047619047</v>
      </c>
      <c r="G23" s="90">
        <f t="shared" ref="G23" si="11">F23/F22-1</f>
        <v>-0.23556700894046589</v>
      </c>
      <c r="H23" s="90">
        <f t="shared" ref="H23" si="12">F23/F11-1</f>
        <v>1.5254798853632012E-2</v>
      </c>
      <c r="I23" s="130">
        <f t="shared" si="0"/>
        <v>406.72023535266396</v>
      </c>
      <c r="J23" s="130">
        <f t="shared" si="5"/>
        <v>-4.3411489830151861E-2</v>
      </c>
      <c r="O23" s="89"/>
      <c r="P23" s="129" t="s">
        <v>189</v>
      </c>
      <c r="Q23" s="116">
        <v>5181628</v>
      </c>
      <c r="R23" s="116">
        <v>6653894630</v>
      </c>
      <c r="S23" s="116">
        <v>12740.03</v>
      </c>
      <c r="T23" s="130">
        <f t="shared" si="10"/>
        <v>406.72023535266396</v>
      </c>
      <c r="U23" s="78"/>
    </row>
    <row r="24" spans="1:21" hidden="1">
      <c r="A24" s="129" t="s">
        <v>204</v>
      </c>
      <c r="B24" s="131"/>
      <c r="C24" s="131"/>
      <c r="F24" s="78">
        <f>Q24/22</f>
        <v>164373.81818181818</v>
      </c>
      <c r="G24" s="90">
        <f t="shared" ref="G24" si="13">F24/F23-1</f>
        <v>-0.33382902404067183</v>
      </c>
      <c r="H24" s="90">
        <f t="shared" ref="H24" si="14">F24/F12-1</f>
        <v>-0.58641508018372734</v>
      </c>
      <c r="I24" s="130">
        <f t="shared" si="0"/>
        <v>483.4853713287938</v>
      </c>
      <c r="J24" s="130">
        <f t="shared" si="5"/>
        <v>-3.6832175626338781E-2</v>
      </c>
      <c r="O24" s="89"/>
      <c r="P24" s="129" t="s">
        <v>204</v>
      </c>
      <c r="Q24" s="116">
        <v>3616224</v>
      </c>
      <c r="R24" s="116">
        <v>4724189527</v>
      </c>
      <c r="S24" s="116">
        <v>7479.49</v>
      </c>
      <c r="T24" s="130">
        <f t="shared" ref="T24" si="15">Q24/S24</f>
        <v>483.4853713287938</v>
      </c>
      <c r="U24" s="78"/>
    </row>
    <row r="25" spans="1:21" s="79" customFormat="1" ht="13.2" hidden="1">
      <c r="A25" s="129" t="s">
        <v>218</v>
      </c>
      <c r="B25" s="131">
        <f>SUM(F23:F25)</f>
        <v>811538.74550011393</v>
      </c>
      <c r="C25" s="131">
        <f>AVERAGE(F23:F25)</f>
        <v>270512.91516670462</v>
      </c>
      <c r="D25" s="90">
        <f>C25/C22-1</f>
        <v>-0.11121435004216684</v>
      </c>
      <c r="E25" s="286">
        <f>C25/C13-1</f>
        <v>-0.10481310792409937</v>
      </c>
      <c r="F25" s="78">
        <f>Q25/19</f>
        <v>400420.73684210528</v>
      </c>
      <c r="G25" s="90">
        <f t="shared" ref="G25" si="16">F25/F24-1</f>
        <v>1.4360372063584328</v>
      </c>
      <c r="H25" s="90">
        <f t="shared" ref="H25" si="17">F25/F13-1</f>
        <v>0.50486306734178532</v>
      </c>
      <c r="I25" s="130">
        <f t="shared" si="0"/>
        <v>510.37960519342516</v>
      </c>
      <c r="J25" s="130">
        <f t="shared" si="5"/>
        <v>1.0029778165402656</v>
      </c>
      <c r="K25" s="78">
        <f>R23+R24+R25</f>
        <v>21493173757</v>
      </c>
      <c r="L25" s="90">
        <f>U25/U22-1</f>
        <v>-0.13376767500660269</v>
      </c>
      <c r="M25" s="90">
        <f>U25/U13-1</f>
        <v>-0.14415004422750233</v>
      </c>
      <c r="N25" s="88">
        <f>AVERAGE(T23:T25)</f>
        <v>466.86173729162766</v>
      </c>
      <c r="O25" s="91">
        <f>N25/N22-1</f>
        <v>0.13508878749403563</v>
      </c>
      <c r="P25" s="129" t="s">
        <v>222</v>
      </c>
      <c r="Q25" s="116">
        <v>7607994</v>
      </c>
      <c r="R25" s="116">
        <v>10115089600</v>
      </c>
      <c r="S25" s="116">
        <v>14906.54</v>
      </c>
      <c r="T25" s="130">
        <f t="shared" ref="T25" si="18">Q25/S25</f>
        <v>510.37960519342516</v>
      </c>
      <c r="U25" s="85">
        <f>Q23+Q24+Q25</f>
        <v>16405846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157922.57894736843</v>
      </c>
      <c r="G26" s="90">
        <f t="shared" ref="G26" si="19">F26/F25-1</f>
        <v>-0.60560839033258962</v>
      </c>
      <c r="H26" s="90">
        <f t="shared" ref="H26" si="20">F26/F14-1</f>
        <v>-0.46505510957733398</v>
      </c>
      <c r="I26" s="130">
        <f t="shared" si="0"/>
        <v>202.75118639211789</v>
      </c>
      <c r="J26" s="130">
        <f t="shared" si="5"/>
        <v>-0.5218191486848156</v>
      </c>
      <c r="L26" s="90"/>
      <c r="M26" s="90"/>
      <c r="P26" s="129" t="s">
        <v>312</v>
      </c>
      <c r="Q26" s="116">
        <v>3000529</v>
      </c>
      <c r="R26" s="116">
        <v>4038298247</v>
      </c>
      <c r="S26" s="116">
        <v>14799.07</v>
      </c>
      <c r="T26" s="130">
        <f t="shared" ref="T26" si="21">Q26/S26</f>
        <v>202.75118639211789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145260.27272727274</v>
      </c>
      <c r="G27" s="90">
        <f t="shared" ref="G27" si="22">F27/F26-1</f>
        <v>-8.0180467571490888E-2</v>
      </c>
      <c r="H27" s="90">
        <f t="shared" ref="H27" si="23">F27/F15-1</f>
        <v>-0.63102176823386169</v>
      </c>
      <c r="I27" s="130">
        <f t="shared" si="0"/>
        <v>320.27592593334958</v>
      </c>
      <c r="J27" s="130">
        <f t="shared" si="5"/>
        <v>-0.28084922172902438</v>
      </c>
      <c r="L27" s="90"/>
      <c r="M27" s="90"/>
      <c r="P27" s="129" t="s">
        <v>375</v>
      </c>
      <c r="Q27" s="116">
        <v>3195726</v>
      </c>
      <c r="R27" s="116">
        <v>4220380508</v>
      </c>
      <c r="S27" s="116">
        <v>9978.0400000000009</v>
      </c>
      <c r="T27" s="130">
        <f t="shared" ref="T27" si="24">Q27/S27</f>
        <v>320.27592593334958</v>
      </c>
      <c r="U27" s="78"/>
    </row>
    <row r="28" spans="1:21" s="79" customFormat="1" ht="13.2" hidden="1">
      <c r="A28" s="123" t="s">
        <v>413</v>
      </c>
      <c r="B28" s="131">
        <f>SUM(F26:F28)</f>
        <v>964348.37799043057</v>
      </c>
      <c r="C28" s="131">
        <f>AVERAGE(F26:F28)</f>
        <v>321449.45933014352</v>
      </c>
      <c r="D28" s="90">
        <f>C28/C25-1</f>
        <v>0.18829616372308533</v>
      </c>
      <c r="E28" s="286">
        <f>C28/C16-1</f>
        <v>-7.6713151091944098E-2</v>
      </c>
      <c r="F28" s="78">
        <f>Q28/19</f>
        <v>661165.52631578944</v>
      </c>
      <c r="G28" s="90">
        <f t="shared" ref="G28" si="25">F28/F27-1</f>
        <v>3.5515922137715705</v>
      </c>
      <c r="H28" s="90">
        <f t="shared" ref="H28" si="26">F28/F16-1</f>
        <v>0.85941114285238696</v>
      </c>
      <c r="I28" s="130">
        <f t="shared" si="0"/>
        <v>388.89152026905708</v>
      </c>
      <c r="J28" s="130">
        <f t="shared" si="5"/>
        <v>0.44606617316199881</v>
      </c>
      <c r="K28" s="78">
        <f>R26+R27+R28</f>
        <v>24665061239</v>
      </c>
      <c r="L28" s="90">
        <f>U28/U25-1</f>
        <v>0.14339729874338691</v>
      </c>
      <c r="M28" s="90">
        <f>U28/U16-1</f>
        <v>-0.16212200428042089</v>
      </c>
      <c r="N28" s="88">
        <f>AVERAGE(T26:T28)</f>
        <v>303.97287753150817</v>
      </c>
      <c r="O28" s="91">
        <f>N28/N25-1</f>
        <v>-0.34890171275349147</v>
      </c>
      <c r="P28" s="129" t="s">
        <v>413</v>
      </c>
      <c r="Q28" s="116">
        <v>12562145</v>
      </c>
      <c r="R28" s="116">
        <v>16406382484</v>
      </c>
      <c r="S28" s="116">
        <v>32302.44</v>
      </c>
      <c r="T28" s="130">
        <f t="shared" ref="T28" si="27">Q28/S28</f>
        <v>388.89152026905708</v>
      </c>
      <c r="U28" s="85">
        <f>Q26+Q27+Q28</f>
        <v>18758400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313214.09090909088</v>
      </c>
      <c r="G29" s="190">
        <f t="shared" ref="G29" si="28">F29/F28-1</f>
        <v>-0.52626977898498017</v>
      </c>
      <c r="H29" s="190">
        <f t="shared" ref="H29" si="29">F29/F17-1</f>
        <v>3.9245988670015759</v>
      </c>
      <c r="I29" s="130">
        <f t="shared" si="0"/>
        <v>485.28006366443771</v>
      </c>
      <c r="J29" s="130">
        <f t="shared" si="5"/>
        <v>0.43225714228525902</v>
      </c>
      <c r="K29" s="136"/>
      <c r="L29" s="190"/>
      <c r="M29" s="190"/>
      <c r="N29" s="191"/>
      <c r="O29" s="192"/>
      <c r="P29" s="129" t="s">
        <v>427</v>
      </c>
      <c r="Q29" s="116">
        <v>6890710</v>
      </c>
      <c r="R29" s="116">
        <v>9101309664</v>
      </c>
      <c r="S29" s="116">
        <v>14199.45</v>
      </c>
      <c r="T29" s="130">
        <f t="shared" ref="T29" si="30">Q29/S29</f>
        <v>485.28006366443771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212660.89473684211</v>
      </c>
      <c r="G30" s="190">
        <f t="shared" ref="G30" si="31">F30/F29-1</f>
        <v>-0.32103662986680226</v>
      </c>
      <c r="H30" s="190">
        <f t="shared" ref="H30" si="32">F30/F18-1</f>
        <v>-0.64708348112222858</v>
      </c>
      <c r="I30" s="130">
        <f t="shared" si="0"/>
        <v>403.54158801686651</v>
      </c>
      <c r="J30" s="130">
        <f t="shared" si="5"/>
        <v>-0.10711777773070319</v>
      </c>
      <c r="K30" s="136"/>
      <c r="L30" s="190"/>
      <c r="M30" s="190"/>
      <c r="N30" s="191"/>
      <c r="O30" s="192"/>
      <c r="P30" s="129" t="s">
        <v>466</v>
      </c>
      <c r="Q30" s="116">
        <v>4040557</v>
      </c>
      <c r="R30" s="116">
        <v>5388599247</v>
      </c>
      <c r="S30" s="116">
        <v>10012.74</v>
      </c>
      <c r="T30" s="130">
        <f t="shared" ref="T30" si="33">Q30/S30</f>
        <v>403.54158801686651</v>
      </c>
      <c r="U30" s="85"/>
    </row>
    <row r="31" spans="1:21" s="79" customFormat="1" ht="13.2" hidden="1">
      <c r="A31" s="129" t="s">
        <v>505</v>
      </c>
      <c r="B31" s="188">
        <f>SUM(F29:F31)</f>
        <v>716219.78564593289</v>
      </c>
      <c r="C31" s="188">
        <f>AVERAGE(F29:F31)</f>
        <v>238739.9285486443</v>
      </c>
      <c r="D31" s="190">
        <f>C31/C28-1</f>
        <v>-0.25730181955774489</v>
      </c>
      <c r="E31" s="287">
        <f>C31/C19-1</f>
        <v>-0.26540747086544558</v>
      </c>
      <c r="F31" s="136">
        <f>Q31/20</f>
        <v>190344.8</v>
      </c>
      <c r="G31" s="190">
        <f t="shared" ref="G31" si="34">F31/F30-1</f>
        <v>-0.10493746283000094</v>
      </c>
      <c r="H31" s="190">
        <f t="shared" ref="H31" si="35">F31/F19-1</f>
        <v>-0.38361033134812084</v>
      </c>
      <c r="I31" s="130">
        <f t="shared" si="0"/>
        <v>299.71617905362052</v>
      </c>
      <c r="J31" s="130">
        <f t="shared" si="5"/>
        <v>-0.12993412724022591</v>
      </c>
      <c r="K31" s="136">
        <f>R29+R30+R31</f>
        <v>19552174015</v>
      </c>
      <c r="L31" s="190">
        <f>U31/U28-1</f>
        <v>-0.21431662615148417</v>
      </c>
      <c r="M31" s="190">
        <f>U31/U19-1</f>
        <v>-0.26739211178226052</v>
      </c>
      <c r="N31" s="191">
        <f>AVERAGE(T29:T31)</f>
        <v>396.17927691164158</v>
      </c>
      <c r="O31" s="192">
        <f>N31/N28-1</f>
        <v>0.30333758764571295</v>
      </c>
      <c r="P31" s="129" t="s">
        <v>505</v>
      </c>
      <c r="Q31" s="116">
        <v>3806896</v>
      </c>
      <c r="R31" s="116">
        <v>5062265104</v>
      </c>
      <c r="S31" s="116">
        <v>12701.67</v>
      </c>
      <c r="T31" s="130">
        <f t="shared" ref="T31" si="36">Q31/S31</f>
        <v>299.71617905362052</v>
      </c>
      <c r="U31" s="85">
        <f>Q29+Q30+Q31</f>
        <v>14738163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285855.52380952379</v>
      </c>
      <c r="G32" s="190">
        <f t="shared" ref="G32" si="37">F32/F31-1</f>
        <v>0.50177742606850195</v>
      </c>
      <c r="H32" s="190">
        <f t="shared" ref="H32" si="38">F32/F20-1</f>
        <v>0.21374193338761338</v>
      </c>
      <c r="I32" s="130">
        <f t="shared" si="0"/>
        <v>389.88146964648729</v>
      </c>
      <c r="J32" s="130">
        <f t="shared" si="5"/>
        <v>-0.21328638210483886</v>
      </c>
      <c r="K32" s="136"/>
      <c r="L32" s="190"/>
      <c r="M32" s="190"/>
      <c r="N32" s="191"/>
      <c r="O32" s="192"/>
      <c r="P32" s="129" t="s">
        <v>566</v>
      </c>
      <c r="Q32" s="116">
        <v>6002966</v>
      </c>
      <c r="R32" s="116">
        <v>8241618398</v>
      </c>
      <c r="S32" s="116">
        <v>15396.9</v>
      </c>
      <c r="T32" s="130">
        <f t="shared" ref="T32" si="39">Q32/S32</f>
        <v>389.88146964648729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301503.42857142858</v>
      </c>
      <c r="G33" s="190">
        <f t="shared" ref="G33" si="40">F33/F32-1</f>
        <v>5.4740606560157223E-2</v>
      </c>
      <c r="H33" s="190">
        <f t="shared" ref="H33" si="41">F33/F21-1</f>
        <v>-0.1501932327079073</v>
      </c>
      <c r="I33" s="130">
        <f t="shared" si="0"/>
        <v>398.00431221437867</v>
      </c>
      <c r="J33" s="130">
        <f t="shared" si="5"/>
        <v>6.6792937811242181E-2</v>
      </c>
      <c r="K33" s="136"/>
      <c r="L33" s="190"/>
      <c r="M33" s="190"/>
      <c r="N33" s="191"/>
      <c r="O33" s="192"/>
      <c r="P33" s="129" t="s">
        <v>607</v>
      </c>
      <c r="Q33" s="116">
        <v>6331572</v>
      </c>
      <c r="R33" s="116">
        <v>8645082208</v>
      </c>
      <c r="S33" s="116">
        <v>15908.3</v>
      </c>
      <c r="T33" s="130">
        <f t="shared" ref="T33" si="42">Q33/S33</f>
        <v>398.00431221437867</v>
      </c>
      <c r="U33" s="85"/>
    </row>
    <row r="34" spans="1:21" s="79" customFormat="1" ht="13.2" hidden="1">
      <c r="A34" s="129" t="s">
        <v>652</v>
      </c>
      <c r="B34" s="188">
        <f>SUM(F32:F34)</f>
        <v>1127400.7944862156</v>
      </c>
      <c r="C34" s="188">
        <f>AVERAGE(F32:F34)</f>
        <v>375800.26482873852</v>
      </c>
      <c r="D34" s="190">
        <f>C34/C31-1</f>
        <v>0.57409892477272639</v>
      </c>
      <c r="E34" s="287">
        <f>C34/C22-1</f>
        <v>0.23471325731085257</v>
      </c>
      <c r="F34" s="136">
        <f>Q34/19</f>
        <v>540041.84210526315</v>
      </c>
      <c r="G34" s="190">
        <f t="shared" ref="G34" si="43">F34/F33-1</f>
        <v>0.79116318731122792</v>
      </c>
      <c r="H34" s="190">
        <f t="shared" ref="H34" si="44">F34/F22-1</f>
        <v>0.67309228177213143</v>
      </c>
      <c r="I34" s="130">
        <f t="shared" si="0"/>
        <v>434.93351882276943</v>
      </c>
      <c r="J34" s="130">
        <f t="shared" si="5"/>
        <v>0.19084202185054466</v>
      </c>
      <c r="K34" s="136">
        <f>R32+R33+R34</f>
        <v>31026565400</v>
      </c>
      <c r="L34" s="190">
        <f>U34/U31-1</f>
        <v>0.53311732269482981</v>
      </c>
      <c r="M34" s="190">
        <f>U34/U22-1</f>
        <v>0.19303861797739885</v>
      </c>
      <c r="N34" s="191">
        <f>AVERAGE(T32:T34)</f>
        <v>407.60643356121182</v>
      </c>
      <c r="O34" s="192">
        <f>N34/N31-1</f>
        <v>2.884339821771853E-2</v>
      </c>
      <c r="P34" s="129" t="s">
        <v>652</v>
      </c>
      <c r="Q34" s="116">
        <v>10260795</v>
      </c>
      <c r="R34" s="116">
        <v>14139864794</v>
      </c>
      <c r="S34" s="116">
        <v>23591.64</v>
      </c>
      <c r="T34" s="130">
        <f t="shared" ref="T34" si="45">Q34/S34</f>
        <v>434.93351882276943</v>
      </c>
      <c r="U34" s="85">
        <f>Q32+Q33+Q34</f>
        <v>22595333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163715.95652173914</v>
      </c>
      <c r="G35" s="190">
        <f t="shared" ref="G35" si="46">F35/F34-1</f>
        <v>-0.69684579275650238</v>
      </c>
      <c r="H35" s="190">
        <f t="shared" ref="H35" si="47">F35/F23-1</f>
        <v>-0.33649519283195906</v>
      </c>
      <c r="I35" s="130">
        <f t="shared" si="0"/>
        <v>312.529163696002</v>
      </c>
      <c r="J35" s="130">
        <f t="shared" si="5"/>
        <v>-0.23158688324171928</v>
      </c>
      <c r="K35" s="136"/>
      <c r="L35" s="190"/>
      <c r="M35" s="190"/>
      <c r="N35" s="191"/>
      <c r="O35" s="192"/>
      <c r="P35" s="129" t="s">
        <v>660</v>
      </c>
      <c r="Q35" s="116">
        <v>3765467</v>
      </c>
      <c r="R35" s="116">
        <v>5211054182</v>
      </c>
      <c r="S35" s="116">
        <v>12048.37</v>
      </c>
      <c r="T35" s="130">
        <f t="shared" ref="T35" si="48">Q35/S35</f>
        <v>312.529163696002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259214.85714285713</v>
      </c>
      <c r="G36" s="190">
        <f t="shared" ref="G36" si="49">F36/F35-1</f>
        <v>0.58332066494958368</v>
      </c>
      <c r="H36" s="190">
        <f t="shared" ref="H36" si="50">F36/F24-1</f>
        <v>0.57698385308621836</v>
      </c>
      <c r="I36" s="130">
        <f t="shared" si="0"/>
        <v>391.13220073979761</v>
      </c>
      <c r="J36" s="130">
        <f t="shared" si="5"/>
        <v>-0.1910154392782889</v>
      </c>
      <c r="K36" s="136"/>
      <c r="L36" s="190"/>
      <c r="M36" s="190"/>
      <c r="N36" s="191"/>
      <c r="O36" s="192"/>
      <c r="P36" s="129" t="s">
        <v>664</v>
      </c>
      <c r="Q36" s="116">
        <v>5443512</v>
      </c>
      <c r="R36" s="116">
        <v>7345610863</v>
      </c>
      <c r="S36" s="116">
        <v>13917.32</v>
      </c>
      <c r="T36" s="130">
        <f t="shared" ref="T36" si="51">Q36/S36</f>
        <v>391.13220073979761</v>
      </c>
      <c r="U36" s="85"/>
    </row>
    <row r="37" spans="1:21" s="79" customFormat="1" ht="13.2" hidden="1">
      <c r="A37" s="129" t="s">
        <v>703</v>
      </c>
      <c r="B37" s="188">
        <f>SUM(F35:F37)</f>
        <v>764296.59144237405</v>
      </c>
      <c r="C37" s="188">
        <f>AVERAGE(F35:F37)</f>
        <v>254765.53048079135</v>
      </c>
      <c r="D37" s="190">
        <f>C37/C34-1</f>
        <v>-0.32207197725926484</v>
      </c>
      <c r="E37" s="287">
        <f>C37/C25-1</f>
        <v>-5.8213060460380883E-2</v>
      </c>
      <c r="F37" s="136">
        <f>Q37/18</f>
        <v>341365.77777777775</v>
      </c>
      <c r="G37" s="190">
        <f t="shared" ref="G37" si="52">F37/F36-1</f>
        <v>0.31692211449765018</v>
      </c>
      <c r="H37" s="190">
        <f t="shared" ref="H37" si="53">F37/F25-1</f>
        <v>-0.14748226959987387</v>
      </c>
      <c r="I37" s="130">
        <f t="shared" si="0"/>
        <v>360.59066931215528</v>
      </c>
      <c r="J37" s="130">
        <f t="shared" si="5"/>
        <v>-0.2934853476844993</v>
      </c>
      <c r="K37" s="136">
        <f>R35+R36+R37</f>
        <v>20756228352</v>
      </c>
      <c r="L37" s="190">
        <f>U37/U34-1</f>
        <v>-0.32049848524029279</v>
      </c>
      <c r="M37" s="190">
        <f>U37/U25-1</f>
        <v>-6.4140733736010924E-2</v>
      </c>
      <c r="N37" s="191">
        <f>AVERAGE(T35:T37)</f>
        <v>354.75067791598502</v>
      </c>
      <c r="O37" s="192">
        <f>N37/N34-1</f>
        <v>-0.1296735068272401</v>
      </c>
      <c r="P37" s="129" t="s">
        <v>703</v>
      </c>
      <c r="Q37" s="116">
        <v>6144584</v>
      </c>
      <c r="R37" s="116">
        <v>8199563307</v>
      </c>
      <c r="S37" s="116">
        <v>17040.330000000002</v>
      </c>
      <c r="T37" s="130">
        <f t="shared" ref="T37" si="54">Q37/S37</f>
        <v>360.59066931215528</v>
      </c>
      <c r="U37" s="85">
        <f>Q35+Q36+Q37</f>
        <v>15353563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331260.45</v>
      </c>
      <c r="G38" s="190">
        <f t="shared" ref="G38" si="55">F38/F37-1</f>
        <v>-2.9602638681479387E-2</v>
      </c>
      <c r="H38" s="190">
        <f t="shared" ref="H38" si="56">F38/F26-1</f>
        <v>1.0976129709127957</v>
      </c>
      <c r="I38" s="130">
        <f t="shared" si="0"/>
        <v>371.27872766093378</v>
      </c>
      <c r="J38" s="130">
        <f t="shared" si="5"/>
        <v>0.83120372446495105</v>
      </c>
      <c r="K38" s="136"/>
      <c r="L38" s="190"/>
      <c r="M38" s="190"/>
      <c r="N38" s="191"/>
      <c r="O38" s="192"/>
      <c r="P38" s="129" t="s">
        <v>727</v>
      </c>
      <c r="Q38" s="116">
        <v>6625209</v>
      </c>
      <c r="R38" s="116">
        <v>8882017963</v>
      </c>
      <c r="S38" s="116">
        <v>17844.3</v>
      </c>
      <c r="T38" s="130">
        <f t="shared" ref="T38" si="57">Q38/S38</f>
        <v>371.27872766093378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325156.52380952379</v>
      </c>
      <c r="G39" s="190">
        <f t="shared" ref="G39" si="58">F39/F38-1</f>
        <v>-1.8426365690429436E-2</v>
      </c>
      <c r="H39" s="190">
        <f t="shared" ref="H39" si="59">F39/F27-1</f>
        <v>1.2384408187089639</v>
      </c>
      <c r="I39" s="130">
        <f t="shared" si="0"/>
        <v>346.21689769639556</v>
      </c>
      <c r="J39" s="130">
        <f t="shared" si="5"/>
        <v>8.0995696718224153E-2</v>
      </c>
      <c r="K39" s="136"/>
      <c r="L39" s="190"/>
      <c r="M39" s="190"/>
      <c r="N39" s="191"/>
      <c r="O39" s="192"/>
      <c r="P39" s="129" t="s">
        <v>762</v>
      </c>
      <c r="Q39" s="116">
        <v>6828287</v>
      </c>
      <c r="R39" s="116">
        <v>9506087824</v>
      </c>
      <c r="S39" s="116">
        <v>19722.57</v>
      </c>
      <c r="T39" s="130">
        <f t="shared" ref="T39" si="60">Q39/S39</f>
        <v>346.21689769639556</v>
      </c>
      <c r="U39" s="85"/>
    </row>
    <row r="40" spans="1:21" s="79" customFormat="1" ht="13.2" hidden="1">
      <c r="A40" s="129" t="s">
        <v>778</v>
      </c>
      <c r="B40" s="188">
        <f>SUM(F38:F40)</f>
        <v>1187959.8785714284</v>
      </c>
      <c r="C40" s="188">
        <f>AVERAGE(F38:F40)</f>
        <v>395986.62619047612</v>
      </c>
      <c r="D40" s="190">
        <f>C40/C37-1</f>
        <v>0.55431790730548802</v>
      </c>
      <c r="E40" s="287">
        <f>C40/C28-1</f>
        <v>0.23187833949280168</v>
      </c>
      <c r="F40" s="136">
        <f>Q40/21</f>
        <v>531542.90476190473</v>
      </c>
      <c r="G40" s="190">
        <f t="shared" ref="G40" si="61">F40/F39-1</f>
        <v>0.63472932523193593</v>
      </c>
      <c r="H40" s="190">
        <f t="shared" ref="H40" si="62">F40/F28-1</f>
        <v>-0.19605169415922274</v>
      </c>
      <c r="I40" s="130">
        <f t="shared" si="0"/>
        <v>456.12912215665074</v>
      </c>
      <c r="J40" s="130">
        <f t="shared" si="5"/>
        <v>0.17289552068678415</v>
      </c>
      <c r="K40" s="136">
        <f>R38+R39+R40</f>
        <v>34327309743</v>
      </c>
      <c r="L40" s="190">
        <f>U40/U37-1</f>
        <v>0.60326935187617359</v>
      </c>
      <c r="M40" s="190">
        <f>U40/U28-1</f>
        <v>0.31225994754350062</v>
      </c>
      <c r="N40" s="191">
        <f>AVERAGE(T38:T40)</f>
        <v>391.20824917132671</v>
      </c>
      <c r="O40" s="192">
        <f>N40/N37-1</f>
        <v>0.10276956049672692</v>
      </c>
      <c r="P40" s="129" t="s">
        <v>778</v>
      </c>
      <c r="Q40" s="116">
        <v>11162401</v>
      </c>
      <c r="R40" s="116">
        <v>15939203956</v>
      </c>
      <c r="S40" s="116">
        <v>24472.02</v>
      </c>
      <c r="T40" s="130">
        <f t="shared" ref="T40" si="63">Q40/S40</f>
        <v>456.12912215665074</v>
      </c>
      <c r="U40" s="85">
        <f>Q38+Q39+Q40</f>
        <v>24615897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160643.94444444444</v>
      </c>
      <c r="G41" s="190">
        <f t="shared" ref="G41" si="64">F41/F40-1</f>
        <v>-0.69777802881894913</v>
      </c>
      <c r="H41" s="190">
        <f t="shared" ref="H41" si="65">F41/F29-1</f>
        <v>-0.48711137491234169</v>
      </c>
      <c r="I41" s="130">
        <f t="shared" si="0"/>
        <v>347.63891894491337</v>
      </c>
      <c r="J41" s="130">
        <f t="shared" si="5"/>
        <v>-0.28363239091293202</v>
      </c>
      <c r="K41" s="193"/>
      <c r="L41" s="190"/>
      <c r="M41" s="190"/>
      <c r="N41" s="193"/>
      <c r="O41" s="193"/>
      <c r="P41" s="129" t="s">
        <v>792</v>
      </c>
      <c r="Q41" s="116">
        <v>2891591</v>
      </c>
      <c r="R41" s="116">
        <v>4209193691</v>
      </c>
      <c r="S41" s="116">
        <v>8317.7999999999993</v>
      </c>
      <c r="T41" s="130">
        <f t="shared" ref="T41" si="66">Q41/S41</f>
        <v>347.63891894491337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172453.2</v>
      </c>
      <c r="G42" s="190">
        <f t="shared" ref="G42" si="67">F42/F41-1</f>
        <v>7.3511986999544643E-2</v>
      </c>
      <c r="H42" s="190">
        <f t="shared" ref="H42" si="68">F42/F30-1</f>
        <v>-0.18906952680038913</v>
      </c>
      <c r="I42" s="130">
        <f t="shared" si="0"/>
        <v>229.73849330580163</v>
      </c>
      <c r="J42" s="130">
        <f t="shared" si="5"/>
        <v>-0.4306943816254214</v>
      </c>
      <c r="K42" s="193"/>
      <c r="L42" s="190"/>
      <c r="M42" s="190"/>
      <c r="N42" s="193"/>
      <c r="O42" s="193"/>
      <c r="P42" s="129" t="s">
        <v>826</v>
      </c>
      <c r="Q42" s="116">
        <v>3449064</v>
      </c>
      <c r="R42" s="116">
        <v>4986036373</v>
      </c>
      <c r="S42" s="116">
        <v>15013</v>
      </c>
      <c r="T42" s="130">
        <f t="shared" ref="T42" si="69">Q42/S42</f>
        <v>229.73849330580163</v>
      </c>
      <c r="U42" s="78"/>
    </row>
    <row r="43" spans="1:21" s="79" customFormat="1" ht="13.2">
      <c r="A43" s="129" t="s">
        <v>835</v>
      </c>
      <c r="B43" s="188">
        <f>SUM(F41:F43)</f>
        <v>822764.79444444447</v>
      </c>
      <c r="C43" s="188">
        <f>AVERAGE(F41:F43)</f>
        <v>274254.93148148147</v>
      </c>
      <c r="D43" s="190">
        <f>C43/C40-1</f>
        <v>-0.30741365151670474</v>
      </c>
      <c r="E43" s="287">
        <f>C43/C31-1</f>
        <v>0.14876021429989184</v>
      </c>
      <c r="F43" s="136">
        <f>Q43/20</f>
        <v>489667.65</v>
      </c>
      <c r="G43" s="190">
        <f t="shared" ref="G43" si="70">F43/F42-1</f>
        <v>1.8394233913896638</v>
      </c>
      <c r="H43" s="190">
        <f t="shared" ref="H43" si="71">F43/F31-1</f>
        <v>1.5725296934825646</v>
      </c>
      <c r="I43" s="130">
        <f t="shared" si="0"/>
        <v>288.08148120257403</v>
      </c>
      <c r="J43" s="130">
        <f t="shared" si="5"/>
        <v>-3.8819051703461782E-2</v>
      </c>
      <c r="K43" s="136">
        <f>R41+R42+R43</f>
        <v>23358085775</v>
      </c>
      <c r="L43" s="190">
        <f>U43/U40-1</f>
        <v>-0.34456956819408202</v>
      </c>
      <c r="M43" s="190">
        <f>K43/K31-1</f>
        <v>0.1946541472615877</v>
      </c>
      <c r="N43" s="191">
        <f>AVERAGE(T41:T43)</f>
        <v>288.48629781776299</v>
      </c>
      <c r="O43" s="192">
        <f>N43/N40-1</f>
        <v>-0.26257613833847715</v>
      </c>
      <c r="P43" s="129" t="s">
        <v>835</v>
      </c>
      <c r="Q43" s="116">
        <v>9793353</v>
      </c>
      <c r="R43" s="116">
        <v>14162855711</v>
      </c>
      <c r="S43" s="116">
        <v>33995.08</v>
      </c>
      <c r="T43" s="130">
        <f t="shared" ref="T43" si="72">Q43/S43</f>
        <v>288.08148120257403</v>
      </c>
      <c r="U43" s="85">
        <f>Q41+Q42+Q43</f>
        <v>16134008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251014.59090909091</v>
      </c>
      <c r="G44" s="190">
        <f t="shared" ref="G44" si="73">F44/F43-1</f>
        <v>-0.48737763070709106</v>
      </c>
      <c r="H44" s="190">
        <f t="shared" ref="H44" si="74">F44/F32-1</f>
        <v>-0.12188301431477211</v>
      </c>
      <c r="I44" s="130">
        <f t="shared" si="0"/>
        <v>94.468863353480501</v>
      </c>
      <c r="J44" s="130">
        <f t="shared" si="5"/>
        <v>-0.75769850401164962</v>
      </c>
      <c r="K44" s="136"/>
      <c r="L44" s="190"/>
      <c r="M44" s="190"/>
      <c r="N44" s="191"/>
      <c r="O44" s="192"/>
      <c r="P44" s="129" t="s">
        <v>843</v>
      </c>
      <c r="Q44" s="116">
        <v>5522321</v>
      </c>
      <c r="R44" s="116">
        <v>8078764250</v>
      </c>
      <c r="S44" s="116">
        <v>58456.52</v>
      </c>
      <c r="T44" s="130">
        <f t="shared" ref="T44" si="75">Q44/S44</f>
        <v>94.468863353480501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192381.15</v>
      </c>
      <c r="G45" s="190">
        <f t="shared" ref="G45" si="76">F45/F44-1</f>
        <v>-0.23358578757011772</v>
      </c>
      <c r="H45" s="190">
        <f t="shared" ref="H45" si="77">F45/F33-1</f>
        <v>-0.36192715647867546</v>
      </c>
      <c r="I45" s="130">
        <f t="shared" si="0"/>
        <v>310.15435882926215</v>
      </c>
      <c r="J45" s="130">
        <f t="shared" si="5"/>
        <v>-0.22072613458971158</v>
      </c>
      <c r="K45" s="136"/>
      <c r="L45" s="190"/>
      <c r="M45" s="190"/>
      <c r="N45" s="191"/>
      <c r="O45" s="192"/>
      <c r="P45" s="129" t="s">
        <v>849</v>
      </c>
      <c r="Q45" s="116">
        <v>3847623</v>
      </c>
      <c r="R45" s="116">
        <v>5401213691</v>
      </c>
      <c r="S45" s="116">
        <v>12405.51</v>
      </c>
      <c r="T45" s="130">
        <f t="shared" ref="T45" si="78">Q45/S45</f>
        <v>310.15435882926215</v>
      </c>
      <c r="U45" s="85"/>
    </row>
    <row r="46" spans="1:21" s="79" customFormat="1" ht="13.2">
      <c r="A46" s="129" t="s">
        <v>904</v>
      </c>
      <c r="B46" s="188">
        <f>SUM(F44:F46)</f>
        <v>855876.42511961726</v>
      </c>
      <c r="C46" s="188">
        <f>AVERAGE(F44:F46)</f>
        <v>285292.14170653909</v>
      </c>
      <c r="D46" s="190">
        <f>C46/C43-1</f>
        <v>4.0244345527120862E-2</v>
      </c>
      <c r="E46" s="287">
        <f>C46/C34-1</f>
        <v>-0.24084103070934826</v>
      </c>
      <c r="F46" s="136">
        <f>Q46/19</f>
        <v>412480.68421052629</v>
      </c>
      <c r="G46" s="190">
        <f t="shared" ref="G46" si="79">F46/F45-1</f>
        <v>1.1440805620016632</v>
      </c>
      <c r="H46" s="190">
        <f t="shared" ref="H46" si="80">F46/F34-1</f>
        <v>-0.23620606395508348</v>
      </c>
      <c r="I46" s="130">
        <f t="shared" si="0"/>
        <v>427.35022275054661</v>
      </c>
      <c r="J46" s="130">
        <f t="shared" si="5"/>
        <v>-1.7435529210874434E-2</v>
      </c>
      <c r="K46" s="136">
        <f>R44+R45+R46</f>
        <v>24210537236</v>
      </c>
      <c r="L46" s="190">
        <f>U46/U43-1</f>
        <v>6.6509760005077467E-2</v>
      </c>
      <c r="M46" s="190">
        <f>K46/K34-1</f>
        <v>-0.21968361873531772</v>
      </c>
      <c r="N46" s="191">
        <f>AVERAGE(T44:T46)</f>
        <v>277.3244816444298</v>
      </c>
      <c r="O46" s="192">
        <f>N46/N43-1</f>
        <v>-3.8690975126950855E-2</v>
      </c>
      <c r="P46" s="129" t="s">
        <v>941</v>
      </c>
      <c r="Q46" s="116">
        <v>7837133</v>
      </c>
      <c r="R46" s="116">
        <v>10730559295</v>
      </c>
      <c r="S46" s="116">
        <v>18338.900000000001</v>
      </c>
      <c r="T46" s="130">
        <f t="shared" ref="T46" si="81">Q46/S46</f>
        <v>427.35022275054661</v>
      </c>
      <c r="U46" s="85">
        <f t="shared" ref="U46:U51" si="82">Q44+Q45+Q46</f>
        <v>17207077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311397.60869565216</v>
      </c>
      <c r="G47" s="190">
        <f t="shared" ref="G47" si="83">F47/F46-1</f>
        <v>-0.24506135531738571</v>
      </c>
      <c r="H47" s="190">
        <f t="shared" ref="H47" si="84">F47/F35-1</f>
        <v>0.90206022254344531</v>
      </c>
      <c r="I47" s="130">
        <f t="shared" si="0"/>
        <v>448.16934476114909</v>
      </c>
      <c r="J47" s="130">
        <f t="shared" si="5"/>
        <v>0.43400807611376924</v>
      </c>
      <c r="K47" s="136"/>
      <c r="L47" s="190"/>
      <c r="M47" s="190"/>
      <c r="N47" s="191"/>
      <c r="O47" s="192"/>
      <c r="P47" s="129" t="s">
        <v>991</v>
      </c>
      <c r="Q47" s="116">
        <v>7162145</v>
      </c>
      <c r="R47" s="116">
        <v>9818317884</v>
      </c>
      <c r="S47" s="116">
        <v>15980.89</v>
      </c>
      <c r="T47" s="130">
        <f t="shared" ref="T47" si="85">Q47/S47</f>
        <v>448.16934476114909</v>
      </c>
      <c r="U47" s="85">
        <f t="shared" si="82"/>
        <v>18846901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195233.05</v>
      </c>
      <c r="G48" s="190">
        <f t="shared" ref="G48" si="86">F48/F47-1</f>
        <v>-0.37304255219630433</v>
      </c>
      <c r="H48" s="190">
        <f t="shared" ref="H48" si="87">F48/F36-1</f>
        <v>-0.2468292436941445</v>
      </c>
      <c r="I48" s="130">
        <f t="shared" si="0"/>
        <v>434.97006188139488</v>
      </c>
      <c r="J48" s="130">
        <f t="shared" si="5"/>
        <v>0.11207939683483281</v>
      </c>
      <c r="K48" s="136"/>
      <c r="L48" s="190"/>
      <c r="M48" s="190"/>
      <c r="N48" s="191"/>
      <c r="O48" s="192"/>
      <c r="P48" s="129" t="s">
        <v>1070</v>
      </c>
      <c r="Q48" s="116">
        <v>3904661</v>
      </c>
      <c r="R48" s="116">
        <v>5419216777</v>
      </c>
      <c r="S48" s="116">
        <v>8976.85</v>
      </c>
      <c r="T48" s="130">
        <f t="shared" ref="T48" si="88">Q48/S48</f>
        <v>434.97006188139488</v>
      </c>
      <c r="U48" s="85">
        <f t="shared" si="82"/>
        <v>18903939</v>
      </c>
    </row>
    <row r="49" spans="1:26" ht="13.2">
      <c r="A49" s="129" t="s">
        <v>1207</v>
      </c>
      <c r="B49" s="188">
        <f>SUM(F47:F49)</f>
        <v>797974.15869565215</v>
      </c>
      <c r="C49" s="188">
        <f>AVERAGE(F47:F49)</f>
        <v>265991.38623188407</v>
      </c>
      <c r="D49" s="190">
        <f>C49/C46-1</f>
        <v>-6.7652601151939273E-2</v>
      </c>
      <c r="E49" s="287">
        <f>C49/C37-1</f>
        <v>4.4063479584178333E-2</v>
      </c>
      <c r="F49" s="136">
        <f>Q49/22</f>
        <v>291343.5</v>
      </c>
      <c r="G49" s="190">
        <f t="shared" ref="G49" si="89">F49/F48-1</f>
        <v>0.49228575796977014</v>
      </c>
      <c r="H49" s="190">
        <f t="shared" ref="H49" si="90">F49/F37-1</f>
        <v>-0.1465357134022417</v>
      </c>
      <c r="I49" s="130">
        <f t="shared" si="0"/>
        <v>483.17164935747297</v>
      </c>
      <c r="J49" s="130">
        <f t="shared" si="5"/>
        <v>0.33994495830728799</v>
      </c>
      <c r="K49" s="136">
        <f>R47+R48+R49</f>
        <v>24135161206</v>
      </c>
      <c r="L49" s="190">
        <f>U49/U46-1</f>
        <v>1.5649723657306769E-2</v>
      </c>
      <c r="M49" s="190">
        <f>K49/K37-1</f>
        <v>0.16279127386235448</v>
      </c>
      <c r="N49" s="191">
        <f>AVERAGE(T47:T49)</f>
        <v>455.43701866667226</v>
      </c>
      <c r="O49" s="192">
        <f>N49/N46-1</f>
        <v>0.64225320449930035</v>
      </c>
      <c r="P49" s="129" t="s">
        <v>1158</v>
      </c>
      <c r="Q49" s="116">
        <v>6409557</v>
      </c>
      <c r="R49" s="116">
        <v>8897626545</v>
      </c>
      <c r="S49" s="116">
        <v>13265.59</v>
      </c>
      <c r="T49" s="130">
        <f t="shared" ref="T49" si="91">Q49/S49</f>
        <v>483.17164935747297</v>
      </c>
      <c r="U49" s="85">
        <f t="shared" si="82"/>
        <v>17476363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311354.11111111112</v>
      </c>
      <c r="G50" s="190">
        <f t="shared" ref="G50" si="92">F50/F49-1</f>
        <v>6.8683911297527267E-2</v>
      </c>
      <c r="H50" s="190">
        <f t="shared" ref="H50" si="93">F50/F38-1</f>
        <v>-6.0092712211460508E-2</v>
      </c>
      <c r="I50" s="130">
        <f t="shared" ref="I50" si="94">T50</f>
        <v>273.72110833045178</v>
      </c>
      <c r="J50" s="130">
        <f t="shared" ref="J50" si="95">I50/I38-1</f>
        <v>-0.26276113351577579</v>
      </c>
      <c r="K50" s="136"/>
      <c r="L50" s="190"/>
      <c r="M50" s="190"/>
      <c r="N50" s="191"/>
      <c r="O50" s="192"/>
      <c r="P50" s="129" t="s">
        <v>1291</v>
      </c>
      <c r="Q50" s="116">
        <v>5604374</v>
      </c>
      <c r="R50" s="116">
        <v>7888963943</v>
      </c>
      <c r="S50" s="116">
        <v>20474.759999999998</v>
      </c>
      <c r="T50" s="130">
        <f t="shared" ref="T50" si="96">Q50/S50</f>
        <v>273.72110833045178</v>
      </c>
      <c r="U50" s="85">
        <f t="shared" si="82"/>
        <v>15918592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122334.75</v>
      </c>
      <c r="G51" s="190">
        <f t="shared" ref="G51:G52" si="97">F51/F50-1</f>
        <v>-0.607088053010024</v>
      </c>
      <c r="H51" s="190">
        <f t="shared" ref="H51:H52" si="98">F51/F39-1</f>
        <v>-0.62376658303905508</v>
      </c>
      <c r="I51" s="130">
        <f t="shared" ref="I51:I52" si="99">T51</f>
        <v>350.83899257797714</v>
      </c>
      <c r="J51" s="130">
        <f t="shared" ref="J51:J52" si="100">I51/I39-1</f>
        <v>1.3350286806725453E-2</v>
      </c>
      <c r="K51" s="136"/>
      <c r="L51" s="190"/>
      <c r="M51" s="190"/>
      <c r="N51" s="191"/>
      <c r="O51" s="192"/>
      <c r="P51" s="129" t="s">
        <v>1402</v>
      </c>
      <c r="Q51" s="116">
        <v>2446695</v>
      </c>
      <c r="R51" s="116">
        <v>3551868964</v>
      </c>
      <c r="S51" s="116">
        <v>6973.84</v>
      </c>
      <c r="T51" s="130">
        <f t="shared" ref="T51:T52" si="101">Q51/S51</f>
        <v>350.83899257797714</v>
      </c>
      <c r="U51" s="85">
        <f t="shared" si="82"/>
        <v>14460626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1064377.2702020202</v>
      </c>
      <c r="C52" s="188">
        <f>AVERAGE(F50:F52)</f>
        <v>354792.42340067337</v>
      </c>
      <c r="D52" s="190">
        <f>C52/C49-1</f>
        <v>0.33384929650080841</v>
      </c>
      <c r="E52" s="287">
        <f>C52/C40-1</f>
        <v>-0.10402927792310757</v>
      </c>
      <c r="F52" s="136">
        <f>Q52/22</f>
        <v>630688.40909090906</v>
      </c>
      <c r="G52" s="190">
        <f t="shared" si="97"/>
        <v>4.1554313806249574</v>
      </c>
      <c r="H52" s="190">
        <f t="shared" si="98"/>
        <v>0.1865239916492063</v>
      </c>
      <c r="I52" s="130">
        <f t="shared" si="99"/>
        <v>454.91428520844039</v>
      </c>
      <c r="J52" s="130">
        <f t="shared" si="100"/>
        <v>-2.6633619499373262E-3</v>
      </c>
      <c r="K52" s="136">
        <f>R50+R51+R52</f>
        <v>31860641724</v>
      </c>
      <c r="L52" s="190">
        <f>U52/U49-1</f>
        <v>0.25462111310001978</v>
      </c>
      <c r="M52" s="190">
        <f>K52/K40-1</f>
        <v>-7.1857306543021471E-2</v>
      </c>
      <c r="N52" s="191">
        <f>AVERAGE(T50:T52)</f>
        <v>359.82479537228977</v>
      </c>
      <c r="O52" s="192">
        <f>N52/N49-1</f>
        <v>-0.2099351158899968</v>
      </c>
      <c r="P52" s="129" t="s">
        <v>1403</v>
      </c>
      <c r="Q52" s="116">
        <v>13875145</v>
      </c>
      <c r="R52" s="116">
        <v>20419808817</v>
      </c>
      <c r="S52" s="116">
        <v>30500.57</v>
      </c>
      <c r="T52" s="130">
        <f t="shared" si="101"/>
        <v>454.91428520844039</v>
      </c>
      <c r="U52" s="85">
        <f t="shared" ref="U52" si="102">Q50+Q51+Q52</f>
        <v>21926214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171733.19047619047</v>
      </c>
      <c r="G53" s="190">
        <f t="shared" ref="G53" si="103">F53/F52-1</f>
        <v>-0.72770517421791336</v>
      </c>
      <c r="H53" s="190">
        <f t="shared" ref="H53" si="104">F53/F41-1</f>
        <v>6.9029966053784531E-2</v>
      </c>
      <c r="I53" s="130">
        <f t="shared" ref="I53" si="105">T53</f>
        <v>543.50041443749524</v>
      </c>
      <c r="J53" s="130">
        <f t="shared" ref="J53" si="106">I53/I41-1</f>
        <v>0.56340497228280118</v>
      </c>
      <c r="K53" s="136"/>
      <c r="L53" s="190"/>
      <c r="M53" s="190"/>
      <c r="N53" s="191"/>
      <c r="O53" s="192"/>
      <c r="P53" s="129" t="s">
        <v>1414</v>
      </c>
      <c r="Q53" s="116">
        <v>3606397</v>
      </c>
      <c r="R53" s="116">
        <v>5268498024</v>
      </c>
      <c r="S53" s="116">
        <v>6635.5</v>
      </c>
      <c r="T53" s="130">
        <f t="shared" ref="T53" si="107">Q53/S53</f>
        <v>543.50041443749524</v>
      </c>
      <c r="U53" s="85">
        <f t="shared" ref="U53" si="108">Q51+Q52+Q53</f>
        <v>19928237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259983.9411764706</v>
      </c>
      <c r="G54" s="190">
        <f t="shared" ref="G54" si="109">F54/F53-1</f>
        <v>0.51388290437960182</v>
      </c>
      <c r="H54" s="190">
        <f t="shared" ref="H54" si="110">F54/F42-1</f>
        <v>0.50756229038643874</v>
      </c>
      <c r="I54" s="130">
        <f t="shared" ref="I54" si="111">T54</f>
        <v>439.8955133857923</v>
      </c>
      <c r="J54" s="130">
        <f t="shared" ref="J54" si="112">I54/I42-1</f>
        <v>0.91476625033948356</v>
      </c>
      <c r="K54" s="136"/>
      <c r="L54" s="190"/>
      <c r="M54" s="190"/>
      <c r="N54" s="191"/>
      <c r="O54" s="192"/>
      <c r="P54" s="129" t="s">
        <v>1417</v>
      </c>
      <c r="Q54" s="116">
        <v>4419727</v>
      </c>
      <c r="R54" s="116">
        <v>6398314340</v>
      </c>
      <c r="S54" s="116">
        <v>10047.219999999999</v>
      </c>
      <c r="T54" s="130">
        <f t="shared" ref="T54" si="113">Q54/S54</f>
        <v>439.8955133857923</v>
      </c>
      <c r="U54" s="85">
        <f t="shared" ref="U54" si="114">Q52+Q53+Q54</f>
        <v>21901269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773325.22689075628</v>
      </c>
      <c r="C55" s="188">
        <f>AVERAGE(F53:F55)</f>
        <v>257775.0756302521</v>
      </c>
      <c r="D55" s="190">
        <f>C55/C52-1</f>
        <v>-0.27344819497697637</v>
      </c>
      <c r="E55" s="287">
        <f>C55/C43-1</f>
        <v>-6.0089551579648237E-2</v>
      </c>
      <c r="F55" s="136">
        <f>Q55/21</f>
        <v>341608.09523809527</v>
      </c>
      <c r="G55" s="190">
        <f t="shared" ref="G55" si="115">F55/F54-1</f>
        <v>0.3139584456342257</v>
      </c>
      <c r="H55" s="190">
        <f t="shared" ref="H55" si="116">F55/F43-1</f>
        <v>-0.30236744200255983</v>
      </c>
      <c r="I55" s="130">
        <f>T55</f>
        <v>392.12564165214053</v>
      </c>
      <c r="J55" s="130">
        <f t="shared" ref="J55" si="117">I55/I43-1</f>
        <v>0.36116226567303866</v>
      </c>
      <c r="K55" s="136">
        <f>R53+R54+R55</f>
        <v>22292713519</v>
      </c>
      <c r="L55" s="190">
        <f>U55/U52-1</f>
        <v>-0.30677069921875244</v>
      </c>
      <c r="M55" s="190">
        <f>K55/K43-1</f>
        <v>-4.5610426567585405E-2</v>
      </c>
      <c r="N55" s="191">
        <f>AVERAGE(T53:T55)</f>
        <v>458.50718982514269</v>
      </c>
      <c r="O55" s="192">
        <f>N55/N52-1</f>
        <v>0.27425123482875047</v>
      </c>
      <c r="P55" s="129" t="s">
        <v>1418</v>
      </c>
      <c r="Q55" s="116">
        <v>7173770</v>
      </c>
      <c r="R55" s="116">
        <v>10625901155</v>
      </c>
      <c r="S55" s="116">
        <v>18294.57</v>
      </c>
      <c r="T55" s="130">
        <f t="shared" ref="T55" si="118">Q55/S55</f>
        <v>392.12564165214053</v>
      </c>
      <c r="U55" s="85">
        <f t="shared" ref="U55" si="119">Q53+Q54+Q55</f>
        <v>15199894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170395.04545454544</v>
      </c>
      <c r="G56" s="190">
        <f t="shared" ref="G56" si="120">F56/F55-1</f>
        <v>-0.50119728475467518</v>
      </c>
      <c r="H56" s="190">
        <f t="shared" ref="H56" si="121">F56/F44-1</f>
        <v>-0.32117473794080431</v>
      </c>
      <c r="I56" s="291">
        <f>T56</f>
        <v>436.86302067491516</v>
      </c>
      <c r="J56" s="130">
        <f t="shared" ref="J56" si="122">I56/I44-1</f>
        <v>3.6244127976884339</v>
      </c>
      <c r="K56" s="136"/>
      <c r="L56" s="190"/>
      <c r="M56" s="190"/>
      <c r="N56" s="191"/>
      <c r="O56" s="192"/>
      <c r="P56" s="129" t="s">
        <v>1420</v>
      </c>
      <c r="Q56" s="116">
        <v>3748691</v>
      </c>
      <c r="R56" s="116">
        <v>5601638598</v>
      </c>
      <c r="S56" s="116">
        <v>8580.93</v>
      </c>
      <c r="T56" s="130">
        <f t="shared" ref="T56" si="123">Q56/S56</f>
        <v>436.86302067491516</v>
      </c>
      <c r="U56" s="85">
        <f t="shared" ref="U56" si="124">Q54+Q55+Q56</f>
        <v>15342188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173820.16666666666</v>
      </c>
      <c r="G57" s="254">
        <f t="shared" ref="G57" si="125">F57/F56-1</f>
        <v>2.0101061054823344E-2</v>
      </c>
      <c r="H57" s="254">
        <f t="shared" ref="H57" si="126">F57/F45-1</f>
        <v>-9.6480259803693569E-2</v>
      </c>
      <c r="I57" s="282">
        <f>T57</f>
        <v>1102.09233760607</v>
      </c>
      <c r="J57" s="277">
        <f t="shared" ref="J57" si="127">I57/I45-1</f>
        <v>2.5533672387069832</v>
      </c>
      <c r="K57" s="204"/>
      <c r="L57" s="254"/>
      <c r="M57" s="254"/>
      <c r="N57" s="257"/>
      <c r="O57" s="258"/>
      <c r="P57" s="129" t="s">
        <v>1436</v>
      </c>
      <c r="Q57" s="116">
        <v>2085842</v>
      </c>
      <c r="R57" s="116">
        <v>3076662265</v>
      </c>
      <c r="S57" s="116">
        <v>1892.62</v>
      </c>
      <c r="T57" s="130">
        <f t="shared" ref="T57" si="128">Q57/S57</f>
        <v>1102.09233760607</v>
      </c>
      <c r="U57" s="85">
        <f t="shared" ref="U57" si="129">Q55+Q56+Q57</f>
        <v>13008303</v>
      </c>
      <c r="V57" s="79"/>
      <c r="W57" s="79"/>
      <c r="X57" s="79"/>
      <c r="Y57" s="79"/>
      <c r="Z57" s="79"/>
    </row>
    <row r="58" spans="1:26">
      <c r="B58" s="196">
        <f>SUM(F56:F58)</f>
        <v>344215.2121212121</v>
      </c>
      <c r="C58" s="196">
        <f>AVERAGE(F56:F58)</f>
        <v>172107.60606060605</v>
      </c>
      <c r="D58" s="197">
        <f>C58/C55-1</f>
        <v>-0.33233418459946806</v>
      </c>
      <c r="E58" s="233">
        <f>C58/C46-1</f>
        <v>-0.39673204795931039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21034427</v>
      </c>
      <c r="R65" s="212">
        <v>30971014382</v>
      </c>
      <c r="S65" s="213">
        <v>45450.85</v>
      </c>
      <c r="T65" s="214">
        <v>27</v>
      </c>
      <c r="U65" s="214">
        <v>73</v>
      </c>
    </row>
    <row r="66" spans="16:21" ht="18" thickBot="1">
      <c r="P66" s="180" t="s">
        <v>976</v>
      </c>
      <c r="Q66" s="181">
        <v>3606397</v>
      </c>
      <c r="R66" s="181">
        <v>5268498024</v>
      </c>
      <c r="S66" s="182">
        <v>6635.5</v>
      </c>
      <c r="T66" s="210">
        <v>14</v>
      </c>
      <c r="U66" s="210">
        <v>28</v>
      </c>
    </row>
    <row r="67" spans="16:21" ht="18" thickBot="1">
      <c r="P67" s="180" t="s">
        <v>977</v>
      </c>
      <c r="Q67" s="181">
        <v>4419727</v>
      </c>
      <c r="R67" s="181">
        <v>6398314340</v>
      </c>
      <c r="S67" s="182">
        <v>10047.219999999999</v>
      </c>
      <c r="T67" s="210">
        <v>7</v>
      </c>
      <c r="U67" s="210">
        <v>15</v>
      </c>
    </row>
    <row r="68" spans="16:21" ht="18" thickBot="1">
      <c r="P68" s="180" t="s">
        <v>978</v>
      </c>
      <c r="Q68" s="181">
        <v>7173770</v>
      </c>
      <c r="R68" s="181">
        <v>10625901155</v>
      </c>
      <c r="S68" s="182">
        <v>18294.57</v>
      </c>
      <c r="T68" s="210">
        <v>12</v>
      </c>
      <c r="U68" s="210">
        <v>29</v>
      </c>
    </row>
    <row r="69" spans="16:21" ht="18" thickBot="1">
      <c r="P69" s="180" t="s">
        <v>979</v>
      </c>
      <c r="Q69" s="181">
        <v>3748691</v>
      </c>
      <c r="R69" s="181">
        <v>5601638598</v>
      </c>
      <c r="S69" s="182">
        <v>8580.93</v>
      </c>
      <c r="T69" s="210">
        <v>12</v>
      </c>
      <c r="U69" s="210">
        <v>24</v>
      </c>
    </row>
    <row r="70" spans="16:21" ht="18" thickBot="1">
      <c r="P70" s="180" t="s">
        <v>980</v>
      </c>
      <c r="Q70" s="181">
        <v>2085842</v>
      </c>
      <c r="R70" s="181">
        <v>3076662265</v>
      </c>
      <c r="S70" s="182">
        <v>1892.62</v>
      </c>
      <c r="T70" s="210">
        <v>9</v>
      </c>
      <c r="U70" s="210">
        <v>13</v>
      </c>
    </row>
    <row r="71" spans="16:21" ht="18" thickBot="1">
      <c r="P71" s="215" t="s">
        <v>975</v>
      </c>
      <c r="Q71" s="217">
        <v>7</v>
      </c>
      <c r="R71"/>
      <c r="S71"/>
      <c r="T71"/>
      <c r="U71"/>
    </row>
    <row r="72" spans="16:21" ht="18" thickBot="1">
      <c r="P72" s="215" t="s">
        <v>982</v>
      </c>
      <c r="Q72" s="216">
        <v>77277</v>
      </c>
      <c r="R72"/>
      <c r="S72"/>
      <c r="T72"/>
      <c r="U72"/>
    </row>
  </sheetData>
  <phoneticPr fontId="1" type="noConversion"/>
  <conditionalFormatting sqref="C29:C30">
    <cfRule type="cellIs" dxfId="7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02">
    <tabColor rgb="FFFF0000"/>
  </sheetPr>
  <dimension ref="A1:R28"/>
  <sheetViews>
    <sheetView zoomScale="95" zoomScaleNormal="95" workbookViewId="0">
      <selection activeCell="E31" sqref="E31"/>
    </sheetView>
  </sheetViews>
  <sheetFormatPr defaultColWidth="8.69921875" defaultRowHeight="17.399999999999999"/>
  <cols>
    <col min="1" max="1" width="14.19921875" style="2" bestFit="1" customWidth="1"/>
    <col min="2" max="2" width="14.19921875" style="2" customWidth="1"/>
    <col min="3" max="4" width="12.19921875" style="2" customWidth="1"/>
    <col min="5" max="5" width="12.5" style="2" bestFit="1" customWidth="1"/>
    <col min="6" max="6" width="11.69921875" style="2" customWidth="1"/>
    <col min="7" max="7" width="9.59765625" style="2" customWidth="1"/>
    <col min="8" max="11" width="20.69921875" style="2" customWidth="1"/>
    <col min="12" max="12" width="14.19921875" style="2" bestFit="1" customWidth="1"/>
    <col min="13" max="13" width="15.69921875" style="2" customWidth="1"/>
    <col min="14" max="14" width="25" style="2" customWidth="1"/>
    <col min="15" max="15" width="9.3984375" style="2" bestFit="1" customWidth="1"/>
    <col min="16" max="16384" width="8.69921875" style="2"/>
  </cols>
  <sheetData>
    <row r="1" spans="1:18" ht="15" customHeight="1">
      <c r="H1" s="4"/>
      <c r="I1" s="4"/>
      <c r="J1" s="4"/>
      <c r="K1" s="4"/>
      <c r="N1" s="2" t="s">
        <v>354</v>
      </c>
    </row>
    <row r="2" spans="1:18" ht="15" customHeight="1">
      <c r="H2" s="5"/>
      <c r="I2" s="5"/>
      <c r="J2" s="5"/>
      <c r="K2" s="5"/>
      <c r="N2" s="7">
        <v>2931909090</v>
      </c>
    </row>
    <row r="3" spans="1:18" ht="15" customHeight="1">
      <c r="H3" s="5" t="s">
        <v>8</v>
      </c>
      <c r="I3" s="5" t="s">
        <v>9</v>
      </c>
      <c r="J3" s="5" t="s">
        <v>10</v>
      </c>
      <c r="K3" s="5" t="s">
        <v>11</v>
      </c>
    </row>
    <row r="4" spans="1:18" ht="15" customHeight="1">
      <c r="A4" s="1" t="s">
        <v>345</v>
      </c>
      <c r="B4" s="1" t="s">
        <v>353</v>
      </c>
      <c r="C4" s="13" t="s">
        <v>89</v>
      </c>
      <c r="D4" s="14" t="s">
        <v>260</v>
      </c>
      <c r="E4" s="14" t="s">
        <v>73</v>
      </c>
      <c r="F4" s="14" t="s">
        <v>282</v>
      </c>
      <c r="G4" s="14" t="s">
        <v>260</v>
      </c>
      <c r="H4" s="6"/>
      <c r="I4" s="6"/>
      <c r="J4" s="6"/>
      <c r="K4" s="5"/>
      <c r="L4" s="2" t="s">
        <v>45</v>
      </c>
      <c r="M4" s="2" t="s">
        <v>62</v>
      </c>
      <c r="N4" s="2" t="s">
        <v>64</v>
      </c>
      <c r="O4" s="2" t="s">
        <v>367</v>
      </c>
      <c r="P4" s="2" t="s">
        <v>368</v>
      </c>
      <c r="Q4" s="2" t="s">
        <v>369</v>
      </c>
      <c r="R4" s="2" t="s">
        <v>367</v>
      </c>
    </row>
    <row r="5" spans="1:18" ht="15" customHeight="1">
      <c r="E5" s="12">
        <f>I5/20</f>
        <v>1171624.45</v>
      </c>
      <c r="F5" s="17"/>
      <c r="G5" s="12"/>
      <c r="H5" s="3" t="s">
        <v>0</v>
      </c>
      <c r="I5" s="8">
        <v>23432489</v>
      </c>
      <c r="J5" s="8"/>
      <c r="K5" s="8">
        <v>622948.9</v>
      </c>
      <c r="L5" s="10">
        <f t="shared" ref="L5:L18" si="0">I5/K5</f>
        <v>37.61542720438225</v>
      </c>
    </row>
    <row r="6" spans="1:18" ht="15" customHeight="1">
      <c r="E6" s="12">
        <f>I6/18</f>
        <v>1460317.7777777778</v>
      </c>
      <c r="F6" s="17">
        <f t="shared" ref="F6:F16" si="1">E6/E5-1</f>
        <v>0.24640432160474091</v>
      </c>
      <c r="G6" s="12"/>
      <c r="H6" s="3" t="s">
        <v>1</v>
      </c>
      <c r="I6" s="8">
        <v>26285720</v>
      </c>
      <c r="J6" s="8"/>
      <c r="K6" s="8">
        <v>520305.06</v>
      </c>
      <c r="L6" s="10">
        <f t="shared" si="0"/>
        <v>50.51982388946977</v>
      </c>
    </row>
    <row r="7" spans="1:18" ht="15" customHeight="1">
      <c r="A7" s="15">
        <f>E5+E6+E7</f>
        <v>3877975.7732323231</v>
      </c>
      <c r="B7" s="15">
        <f>AVERAGE(E5:E7)</f>
        <v>1292658.5910774411</v>
      </c>
      <c r="C7" s="15"/>
      <c r="D7" s="15"/>
      <c r="E7" s="12">
        <f>I7/22</f>
        <v>1246033.5454545454</v>
      </c>
      <c r="F7" s="17">
        <f t="shared" si="1"/>
        <v>-0.14673808371306485</v>
      </c>
      <c r="G7" s="12"/>
      <c r="H7" s="3" t="s">
        <v>2</v>
      </c>
      <c r="I7" s="8">
        <v>27412738</v>
      </c>
      <c r="J7" s="8"/>
      <c r="K7" s="8">
        <v>670303.69999999995</v>
      </c>
      <c r="L7" s="10">
        <f t="shared" si="0"/>
        <v>40.89599684441545</v>
      </c>
      <c r="M7" s="2">
        <f>I5+I6+I7</f>
        <v>77130947</v>
      </c>
      <c r="N7" s="2">
        <f>J5+J6+J7</f>
        <v>0</v>
      </c>
      <c r="Q7" s="50">
        <f>AVERAGE(L5:L7)</f>
        <v>43.010415979422497</v>
      </c>
    </row>
    <row r="8" spans="1:18" ht="15" customHeight="1">
      <c r="E8" s="12">
        <f>I8/21</f>
        <v>1146686.7619047619</v>
      </c>
      <c r="F8" s="17">
        <f t="shared" si="1"/>
        <v>-7.97304245236371E-2</v>
      </c>
      <c r="G8" s="12"/>
      <c r="H8" s="3" t="s">
        <v>3</v>
      </c>
      <c r="I8" s="9">
        <v>24080422</v>
      </c>
      <c r="J8" s="9"/>
      <c r="K8" s="9">
        <v>747246.06</v>
      </c>
      <c r="L8" s="10">
        <f t="shared" si="0"/>
        <v>32.225559007965863</v>
      </c>
      <c r="N8" s="12"/>
    </row>
    <row r="9" spans="1:18" ht="15" customHeight="1">
      <c r="E9" s="12">
        <f>I9/21</f>
        <v>1650126.0476190476</v>
      </c>
      <c r="F9" s="17">
        <f t="shared" si="1"/>
        <v>0.43903819459642368</v>
      </c>
      <c r="G9" s="12"/>
      <c r="H9" s="3" t="s">
        <v>4</v>
      </c>
      <c r="I9" s="9">
        <v>34652647</v>
      </c>
      <c r="J9" s="9"/>
      <c r="K9" s="9">
        <v>456887.22</v>
      </c>
      <c r="L9" s="10">
        <f t="shared" si="0"/>
        <v>75.845078354347493</v>
      </c>
      <c r="N9" s="12"/>
    </row>
    <row r="10" spans="1:18" ht="15" customHeight="1">
      <c r="A10" s="15">
        <f>E8+E9+E10</f>
        <v>4241300.6190476194</v>
      </c>
      <c r="B10" s="15">
        <f>AVERAGE(E8:E10)</f>
        <v>1413766.8730158731</v>
      </c>
      <c r="C10" s="17">
        <f>A10/A7-1</f>
        <v>9.3689302631321469E-2</v>
      </c>
      <c r="D10" s="17"/>
      <c r="E10" s="12">
        <f>I10/21</f>
        <v>1444487.8095238095</v>
      </c>
      <c r="F10" s="17">
        <f t="shared" si="1"/>
        <v>-0.12461971519809156</v>
      </c>
      <c r="G10" s="12"/>
      <c r="H10" s="3" t="s">
        <v>5</v>
      </c>
      <c r="I10" s="9">
        <v>30334244</v>
      </c>
      <c r="J10" s="9"/>
      <c r="K10" s="9">
        <v>611679.34</v>
      </c>
      <c r="L10" s="10">
        <f t="shared" si="0"/>
        <v>49.591741973825698</v>
      </c>
      <c r="M10" s="2">
        <f>I8+I9+I10</f>
        <v>89067313</v>
      </c>
      <c r="N10" s="2">
        <f>J8+J9+J10</f>
        <v>0</v>
      </c>
      <c r="O10" s="49">
        <f>M10/M7-1</f>
        <v>0.15475456304199153</v>
      </c>
      <c r="Q10" s="50">
        <f>AVERAGE(L8:L10)</f>
        <v>52.554126445379687</v>
      </c>
      <c r="R10" s="47">
        <f>Q10/Q7-1</f>
        <v>0.22189300541811074</v>
      </c>
    </row>
    <row r="11" spans="1:18" ht="15" customHeight="1">
      <c r="E11" s="12">
        <f>I11/21</f>
        <v>1410889.2380952381</v>
      </c>
      <c r="F11" s="17">
        <f t="shared" si="1"/>
        <v>-2.3259851143809573E-2</v>
      </c>
      <c r="G11" s="12"/>
      <c r="H11" s="3" t="s">
        <v>6</v>
      </c>
      <c r="I11" s="9">
        <v>29628674</v>
      </c>
      <c r="J11" s="9"/>
      <c r="K11" s="9">
        <v>611134.36</v>
      </c>
      <c r="L11" s="10">
        <f t="shared" si="0"/>
        <v>48.481440316986927</v>
      </c>
      <c r="N11" s="12"/>
      <c r="O11" s="49"/>
      <c r="R11" s="47"/>
    </row>
    <row r="12" spans="1:18" ht="15" customHeight="1">
      <c r="E12" s="12">
        <f>I12/22</f>
        <v>1302946</v>
      </c>
      <c r="F12" s="17">
        <f t="shared" si="1"/>
        <v>-7.650723754967903E-2</v>
      </c>
      <c r="G12" s="12"/>
      <c r="H12" s="3" t="s">
        <v>7</v>
      </c>
      <c r="I12" s="9">
        <v>28664812</v>
      </c>
      <c r="J12" s="9"/>
      <c r="K12" s="9">
        <v>713168.01</v>
      </c>
      <c r="L12" s="10">
        <f t="shared" si="0"/>
        <v>40.193631231440122</v>
      </c>
      <c r="N12" s="12"/>
      <c r="O12" s="49"/>
      <c r="R12" s="47"/>
    </row>
    <row r="13" spans="1:18" ht="15" customHeight="1">
      <c r="A13" s="15">
        <f>E11+E12+E13</f>
        <v>4218885.6880952381</v>
      </c>
      <c r="B13" s="15">
        <f>AVERAGE(E11:E13)</f>
        <v>1406295.2293650794</v>
      </c>
      <c r="C13" s="17">
        <f>A13/A10-1</f>
        <v>-5.2849191711892285E-3</v>
      </c>
      <c r="D13" s="17"/>
      <c r="E13" s="11">
        <f>I13/20</f>
        <v>1505050.45</v>
      </c>
      <c r="F13" s="16">
        <f t="shared" si="1"/>
        <v>0.15511345059580361</v>
      </c>
      <c r="G13" s="11"/>
      <c r="H13" s="3" t="s">
        <v>96</v>
      </c>
      <c r="I13" s="9">
        <v>30101009</v>
      </c>
      <c r="J13" s="9"/>
      <c r="K13" s="9">
        <v>564699.35</v>
      </c>
      <c r="L13" s="10">
        <f t="shared" si="0"/>
        <v>53.304486714921843</v>
      </c>
      <c r="M13" s="2">
        <f>I11+I12+I13</f>
        <v>88394495</v>
      </c>
      <c r="N13" s="12">
        <f>J11+J12+J13</f>
        <v>0</v>
      </c>
      <c r="O13" s="49">
        <f>M13/M10-1</f>
        <v>-7.5540394937029243E-3</v>
      </c>
      <c r="Q13" s="50">
        <f>AVERAGE(L11:L13)</f>
        <v>47.326519421116295</v>
      </c>
      <c r="R13" s="47">
        <f>Q13/Q10-1</f>
        <v>-9.9470914614031791E-2</v>
      </c>
    </row>
    <row r="14" spans="1:18" ht="15" customHeight="1">
      <c r="E14" s="11">
        <f>I14/20</f>
        <v>1407671.65</v>
      </c>
      <c r="F14" s="16">
        <f t="shared" si="1"/>
        <v>-6.4701352702163595E-2</v>
      </c>
      <c r="G14" s="11"/>
      <c r="H14" s="3" t="s">
        <v>97</v>
      </c>
      <c r="I14" s="9">
        <v>28153433</v>
      </c>
      <c r="J14" s="9"/>
      <c r="K14" s="9">
        <v>571074.30000000005</v>
      </c>
      <c r="L14" s="10">
        <f t="shared" si="0"/>
        <v>49.29907194212732</v>
      </c>
      <c r="O14" s="48"/>
      <c r="R14" s="47"/>
    </row>
    <row r="15" spans="1:18" ht="15" customHeight="1">
      <c r="A15" s="15"/>
      <c r="B15" s="15"/>
      <c r="C15" s="15"/>
      <c r="D15" s="15"/>
      <c r="E15" s="11">
        <f>I15/22</f>
        <v>997804.77272727271</v>
      </c>
      <c r="F15" s="16">
        <f t="shared" si="1"/>
        <v>-0.29116653537259718</v>
      </c>
      <c r="G15" s="11"/>
      <c r="H15" s="3" t="s">
        <v>98</v>
      </c>
      <c r="I15" s="9">
        <v>21951705</v>
      </c>
      <c r="J15" s="9"/>
      <c r="K15" s="9">
        <v>386765.92</v>
      </c>
      <c r="L15" s="10">
        <f t="shared" si="0"/>
        <v>56.757081906285848</v>
      </c>
      <c r="O15" s="49"/>
      <c r="R15" s="47"/>
    </row>
    <row r="16" spans="1:18" ht="15" customHeight="1">
      <c r="A16" s="15">
        <f>E14+E15+E16</f>
        <v>3863305.2863636361</v>
      </c>
      <c r="B16" s="15">
        <f>AVERAGE(E14:E16)</f>
        <v>1287768.4287878787</v>
      </c>
      <c r="C16" s="17">
        <f>A16/A13-1</f>
        <v>-8.4283014051547145E-2</v>
      </c>
      <c r="D16" s="17"/>
      <c r="E16" s="11">
        <f>I16/22</f>
        <v>1457828.8636363635</v>
      </c>
      <c r="F16" s="16">
        <f t="shared" si="1"/>
        <v>0.46103617008337161</v>
      </c>
      <c r="G16" s="11"/>
      <c r="H16" s="3" t="s">
        <v>99</v>
      </c>
      <c r="I16" s="9">
        <v>32072235</v>
      </c>
      <c r="J16" s="9"/>
      <c r="K16" s="9">
        <v>451420.2</v>
      </c>
      <c r="L16" s="10">
        <f t="shared" si="0"/>
        <v>71.0474077145861</v>
      </c>
      <c r="M16" s="2">
        <f>I14+I15+I16</f>
        <v>82177373</v>
      </c>
      <c r="N16" s="12">
        <f>J14+J15+J16</f>
        <v>0</v>
      </c>
      <c r="O16" s="49">
        <f>M16/M13-1</f>
        <v>-7.0333814339908818E-2</v>
      </c>
      <c r="Q16" s="50">
        <f>AVERAGE(L14:L16)</f>
        <v>59.034520520999763</v>
      </c>
      <c r="R16" s="47">
        <f>Q16/Q13-1</f>
        <v>0.24738774883706238</v>
      </c>
    </row>
    <row r="17" spans="1:18" ht="15" customHeight="1">
      <c r="E17" s="11">
        <f>I17/20</f>
        <v>1303143</v>
      </c>
      <c r="F17" s="16">
        <f t="shared" ref="F17:F22" si="2">E17/E16-1</f>
        <v>-0.1061070112513206</v>
      </c>
      <c r="G17" s="16">
        <f t="shared" ref="G17:G22" si="3">E17/E5-1</f>
        <v>0.1122531626921921</v>
      </c>
      <c r="H17" s="3" t="s">
        <v>100</v>
      </c>
      <c r="I17" s="9">
        <v>26062860</v>
      </c>
      <c r="J17" s="9">
        <v>32677012464</v>
      </c>
      <c r="K17" s="9">
        <v>516835.71</v>
      </c>
      <c r="L17" s="10">
        <f t="shared" si="0"/>
        <v>50.427746178761524</v>
      </c>
      <c r="O17" s="49"/>
      <c r="R17" s="47"/>
    </row>
    <row r="18" spans="1:18">
      <c r="E18" s="11">
        <f>I18/20</f>
        <v>1577849.9</v>
      </c>
      <c r="F18" s="16">
        <f t="shared" si="2"/>
        <v>0.21080334238069032</v>
      </c>
      <c r="G18" s="16">
        <f t="shared" si="3"/>
        <v>8.0483935764361636E-2</v>
      </c>
      <c r="H18" s="3" t="s">
        <v>106</v>
      </c>
      <c r="I18" s="9">
        <v>31556998</v>
      </c>
      <c r="J18" s="9">
        <v>39493313603</v>
      </c>
      <c r="K18" s="9">
        <v>579540.96</v>
      </c>
      <c r="L18" s="10">
        <f t="shared" si="0"/>
        <v>54.451712955715848</v>
      </c>
      <c r="O18" s="49"/>
      <c r="R18" s="47"/>
    </row>
    <row r="19" spans="1:18">
      <c r="A19" s="15">
        <f>SUM(E17:E19)</f>
        <v>4028355.3090909091</v>
      </c>
      <c r="B19" s="15">
        <f>AVERAGE(E17:E19)</f>
        <v>1342785.103030303</v>
      </c>
      <c r="C19" s="17">
        <f>A19/A16-1</f>
        <v>4.2722490327091744E-2</v>
      </c>
      <c r="D19" s="17">
        <f>A19/A7-1</f>
        <v>3.8777843042903548E-2</v>
      </c>
      <c r="E19" s="11">
        <f>I19/22</f>
        <v>1147362.4090909092</v>
      </c>
      <c r="F19" s="16">
        <f t="shared" si="2"/>
        <v>-0.27283171289556174</v>
      </c>
      <c r="G19" s="16">
        <f t="shared" si="3"/>
        <v>-7.918818616367318E-2</v>
      </c>
      <c r="H19" s="3" t="s">
        <v>115</v>
      </c>
      <c r="I19" s="9">
        <v>25241973</v>
      </c>
      <c r="J19" s="9">
        <v>32995139849</v>
      </c>
      <c r="K19" s="9">
        <v>515415.66</v>
      </c>
      <c r="L19" s="10">
        <f t="shared" ref="L19" si="4">I19/K19</f>
        <v>48.974012547465094</v>
      </c>
      <c r="M19" s="2">
        <f>I17+I18+I19</f>
        <v>82861831</v>
      </c>
      <c r="N19" s="12">
        <f>J17+J18+J19</f>
        <v>105165465916</v>
      </c>
      <c r="O19" s="49">
        <f>M19/M16-1</f>
        <v>8.329032372451195E-3</v>
      </c>
      <c r="P19" s="47">
        <f>M19/M7-1</f>
        <v>7.4300708378441049E-2</v>
      </c>
      <c r="Q19" s="50">
        <f>AVERAGE(L17:L19)</f>
        <v>51.284490560647491</v>
      </c>
      <c r="R19" s="47">
        <f>Q19/Q16-1</f>
        <v>-0.13127962913826718</v>
      </c>
    </row>
    <row r="20" spans="1:18">
      <c r="A20" s="15"/>
      <c r="B20" s="15"/>
      <c r="C20" s="17"/>
      <c r="D20" s="17"/>
      <c r="E20" s="11">
        <f>I20/20</f>
        <v>1437779.45</v>
      </c>
      <c r="F20" s="16">
        <f t="shared" si="2"/>
        <v>0.25311709587836084</v>
      </c>
      <c r="G20" s="16">
        <f t="shared" si="3"/>
        <v>0.25385545361289763</v>
      </c>
      <c r="H20" s="3" t="s">
        <v>132</v>
      </c>
      <c r="I20" s="9">
        <v>28755589</v>
      </c>
      <c r="J20" s="9">
        <v>37663633182</v>
      </c>
      <c r="K20" s="9">
        <v>329071.86</v>
      </c>
      <c r="L20" s="10">
        <f t="shared" ref="L20" si="5">I20/K20</f>
        <v>87.383919731088525</v>
      </c>
      <c r="O20" s="49"/>
      <c r="P20" s="47"/>
      <c r="R20" s="47"/>
    </row>
    <row r="21" spans="1:18">
      <c r="A21" s="15"/>
      <c r="B21" s="15"/>
      <c r="C21" s="17"/>
      <c r="D21" s="17"/>
      <c r="E21" s="11">
        <f>I21/21</f>
        <v>1057864.9047619049</v>
      </c>
      <c r="F21" s="16">
        <f t="shared" si="2"/>
        <v>-0.26423701162100699</v>
      </c>
      <c r="G21" s="16">
        <f t="shared" si="3"/>
        <v>-0.35891872848847584</v>
      </c>
      <c r="H21" s="3" t="s">
        <v>141</v>
      </c>
      <c r="I21" s="9">
        <v>22215163</v>
      </c>
      <c r="J21" s="9">
        <v>29598258491</v>
      </c>
      <c r="K21" s="9">
        <v>391852.43</v>
      </c>
      <c r="L21" s="10">
        <f t="shared" ref="L21" si="6">I21/K21</f>
        <v>56.692676373092802</v>
      </c>
      <c r="O21" s="49"/>
      <c r="P21" s="47"/>
      <c r="R21" s="47"/>
    </row>
    <row r="22" spans="1:18" ht="21">
      <c r="A22" s="15">
        <f>SUM(E20:E22)</f>
        <v>3566626.8785714288</v>
      </c>
      <c r="B22" s="15">
        <f>AVERAGE(E20:E22)</f>
        <v>1188875.6261904764</v>
      </c>
      <c r="C22" s="42">
        <f>A22/A19-1</f>
        <v>-0.11461958916024217</v>
      </c>
      <c r="D22" s="17">
        <f>A22/A10-1</f>
        <v>-0.15907236979294526</v>
      </c>
      <c r="E22" s="11">
        <f>I22/21</f>
        <v>1070982.5238095238</v>
      </c>
      <c r="F22" s="16">
        <f t="shared" si="2"/>
        <v>1.2400089074295684E-2</v>
      </c>
      <c r="G22" s="16">
        <f t="shared" si="3"/>
        <v>-0.25857281955007683</v>
      </c>
      <c r="H22" s="3" t="s">
        <v>156</v>
      </c>
      <c r="I22" s="9">
        <v>22490633</v>
      </c>
      <c r="J22" s="9">
        <v>29383180522</v>
      </c>
      <c r="K22" s="9">
        <v>463449.56</v>
      </c>
      <c r="L22" s="10">
        <f t="shared" ref="L22:L23" si="7">I22/K22</f>
        <v>48.528761145010044</v>
      </c>
      <c r="M22" s="2">
        <f>I20+I21+I22</f>
        <v>73461385</v>
      </c>
      <c r="N22" s="12">
        <f>J20+J21+J22</f>
        <v>96645072195</v>
      </c>
      <c r="O22" s="49">
        <f>M22/M19-1</f>
        <v>-0.11344723965851056</v>
      </c>
      <c r="P22" s="47">
        <f>M22/M10-1</f>
        <v>-0.17521498599604102</v>
      </c>
      <c r="Q22" s="50">
        <f>AVERAGE(L20:L22)</f>
        <v>64.201785749730462</v>
      </c>
      <c r="R22" s="47">
        <f>Q22/Q19-1</f>
        <v>0.2518752755047331</v>
      </c>
    </row>
    <row r="23" spans="1:18">
      <c r="A23" s="15"/>
      <c r="B23" s="15"/>
      <c r="E23" s="11">
        <f>I23/21</f>
        <v>1058710.4761904762</v>
      </c>
      <c r="F23" s="16">
        <f t="shared" ref="F23" si="8">E23/E22-1</f>
        <v>-1.145868148753304E-2</v>
      </c>
      <c r="G23" s="16">
        <f t="shared" ref="G23" si="9">E23/E11-1</f>
        <v>-0.24961474819966634</v>
      </c>
      <c r="H23" s="3" t="s">
        <v>189</v>
      </c>
      <c r="I23" s="9">
        <v>22232920</v>
      </c>
      <c r="J23" s="9">
        <v>28798689495</v>
      </c>
      <c r="K23" s="9">
        <v>434267.96</v>
      </c>
      <c r="L23" s="10">
        <f t="shared" si="7"/>
        <v>51.196316670472299</v>
      </c>
      <c r="O23" s="49"/>
      <c r="P23" s="47"/>
      <c r="R23" s="47"/>
    </row>
    <row r="24" spans="1:18">
      <c r="A24" s="15"/>
      <c r="B24" s="15"/>
      <c r="E24" s="11">
        <f>I24/22</f>
        <v>926092.04545454541</v>
      </c>
      <c r="F24" s="16">
        <f t="shared" ref="F24" si="10">E24/E23-1</f>
        <v>-0.12526411490054146</v>
      </c>
      <c r="G24" s="16">
        <f t="shared" ref="G24" si="11">E24/E12-1</f>
        <v>-0.28923221265152554</v>
      </c>
      <c r="H24" s="3" t="s">
        <v>204</v>
      </c>
      <c r="I24" s="9">
        <v>20374025</v>
      </c>
      <c r="J24" s="9">
        <v>26630740307</v>
      </c>
      <c r="K24" s="9">
        <v>428520.51</v>
      </c>
      <c r="L24" s="10">
        <f t="shared" ref="L24" si="12">I24/K24</f>
        <v>47.545040492927633</v>
      </c>
      <c r="O24" s="49"/>
      <c r="P24" s="47"/>
      <c r="R24" s="47"/>
    </row>
    <row r="25" spans="1:18" ht="21">
      <c r="A25" s="15">
        <f>SUM(E23:E25)</f>
        <v>3006267.5742766005</v>
      </c>
      <c r="B25" s="46">
        <f>AVERAGE(E23:E25)</f>
        <v>1002089.1914255335</v>
      </c>
      <c r="C25" s="42">
        <f>A25/A22-1</f>
        <v>-0.15711183798381334</v>
      </c>
      <c r="D25" s="43">
        <f>A25/A13-1</f>
        <v>-0.28742616023951006</v>
      </c>
      <c r="E25" s="11">
        <f>I25/19</f>
        <v>1021465.052631579</v>
      </c>
      <c r="F25" s="16">
        <f t="shared" ref="F25" si="13">E25/E24-1</f>
        <v>0.10298437141874217</v>
      </c>
      <c r="G25" s="16">
        <f t="shared" ref="G25" si="14">E25/E13-1</f>
        <v>-0.32130843013828603</v>
      </c>
      <c r="H25" s="3" t="s">
        <v>219</v>
      </c>
      <c r="I25" s="9">
        <v>19407836</v>
      </c>
      <c r="J25" s="9">
        <v>25752939953</v>
      </c>
      <c r="K25" s="9">
        <v>315007.68</v>
      </c>
      <c r="L25" s="10">
        <f t="shared" ref="L25" si="15">I25/K25</f>
        <v>61.610675650828576</v>
      </c>
      <c r="M25" s="2">
        <f>I23+I24+I25</f>
        <v>62014781</v>
      </c>
      <c r="N25" s="12">
        <f>J23+J24+J25</f>
        <v>81182369755</v>
      </c>
      <c r="O25" s="49">
        <f>M25/M22-1</f>
        <v>-0.15581797157785682</v>
      </c>
      <c r="P25" s="47">
        <f>M25/M13-1</f>
        <v>-0.2984316387575946</v>
      </c>
      <c r="Q25" s="50">
        <f>AVERAGE(L23:L25)</f>
        <v>53.450677604742829</v>
      </c>
      <c r="R25" s="47">
        <f>Q25/Q22-1</f>
        <v>-0.16745808577501708</v>
      </c>
    </row>
    <row r="26" spans="1:18" ht="21">
      <c r="A26" s="15"/>
      <c r="B26" s="15"/>
      <c r="C26" s="42"/>
      <c r="D26" s="43"/>
      <c r="E26" s="45">
        <f>I26/19</f>
        <v>1219583.3684210526</v>
      </c>
      <c r="F26" s="16">
        <f t="shared" ref="F26" si="16">E26/E25-1</f>
        <v>0.19395506021382292</v>
      </c>
      <c r="G26" s="16">
        <f t="shared" ref="G26" si="17">E26/E14-1</f>
        <v>-0.13361658706343016</v>
      </c>
      <c r="H26" s="3" t="s">
        <v>312</v>
      </c>
      <c r="I26" s="9">
        <v>23172084</v>
      </c>
      <c r="J26" s="9">
        <v>31235586570</v>
      </c>
      <c r="K26" s="9">
        <v>483210.48</v>
      </c>
      <c r="L26" s="44">
        <f t="shared" ref="L26" si="18">I26/K26</f>
        <v>47.954431783019274</v>
      </c>
    </row>
    <row r="27" spans="1:18" ht="21">
      <c r="A27" s="15"/>
      <c r="B27" s="15"/>
      <c r="C27" s="42"/>
      <c r="D27" s="43"/>
      <c r="E27" s="45">
        <f>I27/22</f>
        <v>1415204.4545454546</v>
      </c>
      <c r="F27" s="16">
        <f t="shared" ref="F27" si="19">E27/E26-1</f>
        <v>0.16039992934444913</v>
      </c>
      <c r="G27" s="16">
        <f t="shared" ref="G27" si="20">E27/E15-1</f>
        <v>0.4183179848672347</v>
      </c>
      <c r="H27" s="3" t="s">
        <v>375</v>
      </c>
      <c r="I27" s="9">
        <v>31134498</v>
      </c>
      <c r="J27" s="9">
        <v>40931456393</v>
      </c>
      <c r="K27" s="9">
        <v>444805.52</v>
      </c>
      <c r="L27" s="44">
        <f t="shared" ref="L27" si="21">I27/K27</f>
        <v>69.995754549089227</v>
      </c>
    </row>
    <row r="28" spans="1:18" ht="21">
      <c r="A28" s="15">
        <f>SUM(E26:E28)</f>
        <v>3720464.180109364</v>
      </c>
      <c r="B28" s="18">
        <f>AVERAGE(E26:E28)</f>
        <v>1240154.7267031213</v>
      </c>
      <c r="C28" s="42">
        <f>A28/A25-1</f>
        <v>0.23756920772583623</v>
      </c>
      <c r="D28" s="43">
        <f>A28/A16-1</f>
        <v>-3.6973807573131845E-2</v>
      </c>
      <c r="E28" s="45">
        <f>I28/14</f>
        <v>1085676.357142857</v>
      </c>
      <c r="F28" s="16">
        <f t="shared" ref="F28" si="22">E28/E27-1</f>
        <v>-0.23284840317184963</v>
      </c>
      <c r="G28" s="16">
        <f t="shared" ref="G28" si="23">E28/E16-1</f>
        <v>-0.25527859666958486</v>
      </c>
      <c r="H28" s="3" t="s">
        <v>413</v>
      </c>
      <c r="I28" s="9">
        <v>15199469</v>
      </c>
      <c r="J28" s="9">
        <v>19817508700</v>
      </c>
      <c r="K28" s="9">
        <v>302647.86</v>
      </c>
      <c r="L28" s="44">
        <f t="shared" ref="L28" si="24">I28/K28</f>
        <v>50.221630511446541</v>
      </c>
      <c r="M28" s="2">
        <f>I26+I27+I28</f>
        <v>69506051</v>
      </c>
      <c r="N28" s="12">
        <f>J26+J27+J28</f>
        <v>91984551663</v>
      </c>
      <c r="O28" s="49">
        <f>M28/M25-1</f>
        <v>0.12079813681838214</v>
      </c>
      <c r="P28" s="47">
        <f>M28/M16-1</f>
        <v>-0.15419478059976433</v>
      </c>
      <c r="Q28" s="50">
        <f>AVERAGE(L26:L28)</f>
        <v>56.057272281185014</v>
      </c>
      <c r="R28" s="47">
        <f>Q28/Q25-1</f>
        <v>4.8766354202605999E-2</v>
      </c>
    </row>
  </sheetData>
  <phoneticPr fontId="1" type="noConversion"/>
  <conditionalFormatting sqref="B28">
    <cfRule type="cellIs" dxfId="71" priority="1" operator="greaterThan">
      <formula>$B$25</formula>
    </cfRule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46">
    <tabColor rgb="FFFFFF00"/>
  </sheetPr>
  <dimension ref="A1:Z72"/>
  <sheetViews>
    <sheetView zoomScale="90" zoomScaleNormal="90" workbookViewId="0">
      <selection activeCell="G72" sqref="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87510.65</v>
      </c>
      <c r="G5" s="90"/>
      <c r="H5" s="90"/>
      <c r="I5" s="130">
        <f t="shared" ref="I5:I49" si="0">T5</f>
        <v>97.553543410224037</v>
      </c>
      <c r="J5" s="130"/>
      <c r="L5" s="80"/>
      <c r="M5" s="80"/>
      <c r="P5" s="129" t="s">
        <v>0</v>
      </c>
      <c r="Q5" s="116">
        <v>1750213</v>
      </c>
      <c r="R5" s="116"/>
      <c r="S5" s="116">
        <v>17941.05</v>
      </c>
      <c r="T5" s="130">
        <f t="shared" ref="T5:T11" si="1">Q5/S5</f>
        <v>97.553543410224037</v>
      </c>
      <c r="U5" s="85"/>
    </row>
    <row r="6" spans="1:21" ht="15" hidden="1" customHeight="1">
      <c r="A6" s="129" t="s">
        <v>1</v>
      </c>
      <c r="C6" s="79"/>
      <c r="F6" s="78">
        <f>Q6/18</f>
        <v>60674.611111111109</v>
      </c>
      <c r="G6" s="90">
        <f t="shared" ref="G6:G22" si="2">F6/F5-1</f>
        <v>-0.30666026236679633</v>
      </c>
      <c r="H6" s="90"/>
      <c r="I6" s="130">
        <f t="shared" si="0"/>
        <v>186.97460936496876</v>
      </c>
      <c r="J6" s="130"/>
      <c r="P6" s="129" t="s">
        <v>1</v>
      </c>
      <c r="Q6" s="116">
        <v>1092143</v>
      </c>
      <c r="R6" s="116"/>
      <c r="S6" s="116">
        <v>5841.13</v>
      </c>
      <c r="T6" s="130">
        <f t="shared" si="1"/>
        <v>186.97460936496876</v>
      </c>
      <c r="U6" s="85"/>
    </row>
    <row r="7" spans="1:21" ht="15" hidden="1" customHeight="1">
      <c r="A7" s="129" t="s">
        <v>2</v>
      </c>
      <c r="B7" s="131">
        <f>F5+F6+F7</f>
        <v>274118.98838383838</v>
      </c>
      <c r="C7" s="131">
        <f>AVERAGE(F5:F7)</f>
        <v>91372.996127946128</v>
      </c>
      <c r="F7" s="78">
        <f>Q7/22</f>
        <v>125933.72727272728</v>
      </c>
      <c r="G7" s="90">
        <f t="shared" si="2"/>
        <v>1.075558869954842</v>
      </c>
      <c r="H7" s="90"/>
      <c r="I7" s="130">
        <f t="shared" si="0"/>
        <v>139.78601283156104</v>
      </c>
      <c r="J7" s="130"/>
      <c r="K7" s="79">
        <f>R5+R6+R7</f>
        <v>0</v>
      </c>
      <c r="N7" s="88">
        <f>AVERAGE(T5:T7)</f>
        <v>141.43805520225126</v>
      </c>
      <c r="P7" s="129" t="s">
        <v>2</v>
      </c>
      <c r="Q7" s="116">
        <v>2770542</v>
      </c>
      <c r="R7" s="116"/>
      <c r="S7" s="116">
        <v>19819.88</v>
      </c>
      <c r="T7" s="130">
        <f t="shared" si="1"/>
        <v>139.78601283156104</v>
      </c>
      <c r="U7" s="85">
        <f>Q5+Q6+Q7</f>
        <v>5612898</v>
      </c>
    </row>
    <row r="8" spans="1:21" ht="15" hidden="1" customHeight="1">
      <c r="A8" s="129" t="s">
        <v>3</v>
      </c>
      <c r="C8" s="79"/>
      <c r="F8" s="78">
        <f>Q8/21</f>
        <v>43305.476190476191</v>
      </c>
      <c r="G8" s="90">
        <f t="shared" si="2"/>
        <v>-0.65612487513617324</v>
      </c>
      <c r="H8" s="90"/>
      <c r="I8" s="130">
        <f t="shared" si="0"/>
        <v>696.51747009175426</v>
      </c>
      <c r="J8" s="130"/>
      <c r="K8" s="78"/>
      <c r="P8" s="129" t="s">
        <v>3</v>
      </c>
      <c r="Q8" s="116">
        <v>909415</v>
      </c>
      <c r="R8" s="116"/>
      <c r="S8" s="116">
        <v>1305.6600000000001</v>
      </c>
      <c r="T8" s="130">
        <f t="shared" si="1"/>
        <v>696.51747009175426</v>
      </c>
      <c r="U8" s="85"/>
    </row>
    <row r="9" spans="1:21" ht="15" hidden="1" customHeight="1">
      <c r="A9" s="129" t="s">
        <v>4</v>
      </c>
      <c r="C9" s="79"/>
      <c r="F9" s="78">
        <f>Q9/21</f>
        <v>71052.523809523816</v>
      </c>
      <c r="G9" s="90">
        <f t="shared" si="2"/>
        <v>0.64072838033241175</v>
      </c>
      <c r="H9" s="90"/>
      <c r="I9" s="130">
        <f t="shared" si="0"/>
        <v>236.0253978699071</v>
      </c>
      <c r="J9" s="130"/>
      <c r="K9" s="78"/>
      <c r="P9" s="129" t="s">
        <v>4</v>
      </c>
      <c r="Q9" s="116">
        <v>1492103</v>
      </c>
      <c r="R9" s="116"/>
      <c r="S9" s="116">
        <v>6321.79</v>
      </c>
      <c r="T9" s="130">
        <f t="shared" si="1"/>
        <v>236.0253978699071</v>
      </c>
      <c r="U9" s="85"/>
    </row>
    <row r="10" spans="1:21" ht="15" hidden="1" customHeight="1">
      <c r="A10" s="129" t="s">
        <v>5</v>
      </c>
      <c r="B10" s="131">
        <f>F8+F9+F10</f>
        <v>176270.52380952382</v>
      </c>
      <c r="C10" s="131">
        <f>AVERAGE(F8:F10)</f>
        <v>58756.841269841272</v>
      </c>
      <c r="D10" s="90">
        <f>C10/C7-1</f>
        <v>-0.35695617130069479</v>
      </c>
      <c r="E10" s="286"/>
      <c r="F10" s="78">
        <f>Q10/21</f>
        <v>61912.523809523809</v>
      </c>
      <c r="G10" s="90">
        <f t="shared" si="2"/>
        <v>-0.1286372321481829</v>
      </c>
      <c r="H10" s="90"/>
      <c r="I10" s="130">
        <f t="shared" si="0"/>
        <v>199.61785649582544</v>
      </c>
      <c r="J10" s="130"/>
      <c r="K10" s="79">
        <f>R8+R9+R10</f>
        <v>0</v>
      </c>
      <c r="L10" s="87">
        <f>U10/U7-1</f>
        <v>-0.34050449518234605</v>
      </c>
      <c r="N10" s="88">
        <f>AVERAGE(T8:T10)</f>
        <v>377.38690815249561</v>
      </c>
      <c r="O10" s="89">
        <f>N10/N7-1</f>
        <v>1.6682133575213975</v>
      </c>
      <c r="P10" s="129" t="s">
        <v>5</v>
      </c>
      <c r="Q10" s="116">
        <v>1300163</v>
      </c>
      <c r="R10" s="116"/>
      <c r="S10" s="116">
        <v>6513.26</v>
      </c>
      <c r="T10" s="130">
        <f t="shared" si="1"/>
        <v>199.61785649582544</v>
      </c>
      <c r="U10" s="85">
        <f>Q8+Q9+Q10</f>
        <v>3701681</v>
      </c>
    </row>
    <row r="11" spans="1:21" ht="15" hidden="1" customHeight="1">
      <c r="A11" s="129" t="s">
        <v>6</v>
      </c>
      <c r="C11" s="79"/>
      <c r="F11" s="78">
        <f>Q11/21</f>
        <v>107507.47619047618</v>
      </c>
      <c r="G11" s="90">
        <f t="shared" si="2"/>
        <v>0.73644150771864747</v>
      </c>
      <c r="H11" s="90"/>
      <c r="I11" s="130">
        <f t="shared" si="0"/>
        <v>134.06076404868011</v>
      </c>
      <c r="J11" s="130"/>
      <c r="K11" s="78"/>
      <c r="O11" s="89"/>
      <c r="P11" s="129" t="s">
        <v>6</v>
      </c>
      <c r="Q11" s="116">
        <v>2257657</v>
      </c>
      <c r="R11" s="116"/>
      <c r="S11" s="116">
        <v>16840.55</v>
      </c>
      <c r="T11" s="130">
        <f t="shared" si="1"/>
        <v>134.06076404868011</v>
      </c>
      <c r="U11" s="85"/>
    </row>
    <row r="12" spans="1:21" ht="15" hidden="1" customHeight="1">
      <c r="A12" s="129" t="s">
        <v>7</v>
      </c>
      <c r="C12" s="79"/>
      <c r="F12" s="78">
        <f>Q12/22</f>
        <v>81835.045454545456</v>
      </c>
      <c r="G12" s="90">
        <f t="shared" si="2"/>
        <v>-0.23879670182607249</v>
      </c>
      <c r="H12" s="90"/>
      <c r="I12" s="130">
        <f t="shared" si="0"/>
        <v>129.33197993755988</v>
      </c>
      <c r="J12" s="130"/>
      <c r="K12" s="78"/>
      <c r="O12" s="89"/>
      <c r="P12" s="129" t="s">
        <v>7</v>
      </c>
      <c r="Q12" s="116">
        <v>1800371</v>
      </c>
      <c r="R12" s="116"/>
      <c r="S12" s="116">
        <v>13920.54</v>
      </c>
      <c r="T12" s="130">
        <f>Q12/S12</f>
        <v>129.33197993755988</v>
      </c>
      <c r="U12" s="85"/>
    </row>
    <row r="13" spans="1:21" ht="15" hidden="1" customHeight="1">
      <c r="A13" s="129" t="s">
        <v>96</v>
      </c>
      <c r="B13" s="131">
        <f>F11+F12+F13</f>
        <v>254402.92164502162</v>
      </c>
      <c r="C13" s="131">
        <f>AVERAGE(F11:F13)</f>
        <v>84800.973881673868</v>
      </c>
      <c r="D13" s="90">
        <f>C13/C10-1</f>
        <v>0.44325276936220415</v>
      </c>
      <c r="E13" s="286"/>
      <c r="F13" s="78">
        <f>Q13/20</f>
        <v>65060.4</v>
      </c>
      <c r="G13" s="90">
        <f t="shared" si="2"/>
        <v>-0.20498119554247429</v>
      </c>
      <c r="H13" s="90"/>
      <c r="I13" s="130">
        <f t="shared" si="0"/>
        <v>66.162905577083734</v>
      </c>
      <c r="J13" s="130"/>
      <c r="K13" s="78">
        <f>R11+R12+R13</f>
        <v>0</v>
      </c>
      <c r="L13" s="87">
        <f>U13/U10-1</f>
        <v>0.44778439849354923</v>
      </c>
      <c r="N13" s="88">
        <f>AVERAGE(T11:T13)</f>
        <v>109.85188318777459</v>
      </c>
      <c r="O13" s="89">
        <f>N13/N10-1</f>
        <v>-0.70891443021816403</v>
      </c>
      <c r="P13" s="129" t="s">
        <v>96</v>
      </c>
      <c r="Q13" s="116">
        <v>1301208</v>
      </c>
      <c r="R13" s="116"/>
      <c r="S13" s="116">
        <v>19666.73</v>
      </c>
      <c r="T13" s="130">
        <f>Q13/S13</f>
        <v>66.162905577083734</v>
      </c>
      <c r="U13" s="85">
        <f>Q11+Q12+Q13</f>
        <v>5359236</v>
      </c>
    </row>
    <row r="14" spans="1:21" ht="15" hidden="1" customHeight="1">
      <c r="A14" s="129" t="s">
        <v>97</v>
      </c>
      <c r="C14" s="79"/>
      <c r="F14" s="78">
        <f>Q14/20</f>
        <v>56182.3</v>
      </c>
      <c r="G14" s="90">
        <f t="shared" si="2"/>
        <v>-0.13645935161788125</v>
      </c>
      <c r="H14" s="90"/>
      <c r="I14" s="130">
        <f t="shared" si="0"/>
        <v>170.21818727172746</v>
      </c>
      <c r="J14" s="130"/>
      <c r="O14" s="89"/>
      <c r="P14" s="129" t="s">
        <v>97</v>
      </c>
      <c r="Q14" s="116">
        <v>1123646</v>
      </c>
      <c r="R14" s="116"/>
      <c r="S14" s="116">
        <v>6601.21</v>
      </c>
      <c r="T14" s="130">
        <f>Q14/S14</f>
        <v>170.21818727172746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40129.409090909088</v>
      </c>
      <c r="G15" s="90">
        <f t="shared" si="2"/>
        <v>-0.28572861753774614</v>
      </c>
      <c r="H15" s="90"/>
      <c r="I15" s="130">
        <f t="shared" si="0"/>
        <v>618.94235757652234</v>
      </c>
      <c r="J15" s="130"/>
      <c r="O15" s="89"/>
      <c r="P15" s="129" t="s">
        <v>98</v>
      </c>
      <c r="Q15" s="116">
        <v>882847</v>
      </c>
      <c r="R15" s="116"/>
      <c r="S15" s="116">
        <v>1426.38</v>
      </c>
      <c r="T15" s="130">
        <f t="shared" ref="T15:T23" si="3">Q15/S15</f>
        <v>618.94235757652234</v>
      </c>
      <c r="U15" s="85"/>
    </row>
    <row r="16" spans="1:21" ht="15" hidden="1" customHeight="1">
      <c r="A16" s="129" t="s">
        <v>99</v>
      </c>
      <c r="B16" s="131">
        <f>F14+F15+F16</f>
        <v>142505.61818181816</v>
      </c>
      <c r="C16" s="131">
        <f>AVERAGE(F14:F16)</f>
        <v>47501.872727272719</v>
      </c>
      <c r="D16" s="90">
        <f>C16/C13-1</f>
        <v>-0.43984283961698423</v>
      </c>
      <c r="E16" s="286"/>
      <c r="F16" s="78">
        <f>Q16/22</f>
        <v>46193.909090909088</v>
      </c>
      <c r="G16" s="90">
        <f t="shared" si="2"/>
        <v>0.15112358086961852</v>
      </c>
      <c r="H16" s="90"/>
      <c r="I16" s="130">
        <f t="shared" si="0"/>
        <v>176.93238460185833</v>
      </c>
      <c r="J16" s="130"/>
      <c r="K16" s="78">
        <f>R14+R15+R16</f>
        <v>0</v>
      </c>
      <c r="L16" s="87">
        <f>U16/U13-1</f>
        <v>-0.43597203034163823</v>
      </c>
      <c r="N16" s="88">
        <f>AVERAGE(T14:T16)</f>
        <v>322.03097648336939</v>
      </c>
      <c r="O16" s="89">
        <f>N16/N13-1</f>
        <v>1.9315016469304207</v>
      </c>
      <c r="P16" s="129" t="s">
        <v>99</v>
      </c>
      <c r="Q16" s="116">
        <v>1016266</v>
      </c>
      <c r="R16" s="116"/>
      <c r="S16" s="116">
        <v>5743.81</v>
      </c>
      <c r="T16" s="130">
        <f t="shared" si="3"/>
        <v>176.93238460185833</v>
      </c>
      <c r="U16" s="85">
        <f>Q14+Q15+Q16</f>
        <v>3022759</v>
      </c>
    </row>
    <row r="17" spans="1:21" ht="15" hidden="1" customHeight="1">
      <c r="A17" s="129" t="s">
        <v>100</v>
      </c>
      <c r="C17" s="79"/>
      <c r="F17" s="78">
        <f>Q17/20</f>
        <v>134383.29999999999</v>
      </c>
      <c r="G17" s="90">
        <f t="shared" si="2"/>
        <v>1.9091129684551089</v>
      </c>
      <c r="H17" s="90">
        <f t="shared" ref="H17:H22" si="4">F17/F5-1</f>
        <v>0.53562223569359846</v>
      </c>
      <c r="I17" s="130">
        <f t="shared" si="0"/>
        <v>138.92690440868606</v>
      </c>
      <c r="J17" s="130">
        <f t="shared" ref="J17:J49" si="5">I17/I5-1</f>
        <v>0.42410925889674966</v>
      </c>
      <c r="O17" s="89"/>
      <c r="P17" s="129" t="s">
        <v>100</v>
      </c>
      <c r="Q17" s="116">
        <v>2687666</v>
      </c>
      <c r="R17" s="116">
        <v>3377587884</v>
      </c>
      <c r="S17" s="116">
        <v>19345.900000000001</v>
      </c>
      <c r="T17" s="130">
        <f t="shared" si="3"/>
        <v>138.92690440868606</v>
      </c>
      <c r="U17" s="78"/>
    </row>
    <row r="18" spans="1:21" ht="15" hidden="1" customHeight="1">
      <c r="A18" s="129" t="s">
        <v>106</v>
      </c>
      <c r="C18" s="79"/>
      <c r="F18" s="78">
        <f>Q18/20</f>
        <v>79188.600000000006</v>
      </c>
      <c r="G18" s="90">
        <f t="shared" si="2"/>
        <v>-0.41072588632664908</v>
      </c>
      <c r="H18" s="90">
        <f t="shared" si="4"/>
        <v>0.3051356827814673</v>
      </c>
      <c r="I18" s="130">
        <f t="shared" si="0"/>
        <v>175.41936691517628</v>
      </c>
      <c r="J18" s="130">
        <f t="shared" si="5"/>
        <v>-6.1801131656528785E-2</v>
      </c>
      <c r="O18" s="89"/>
      <c r="P18" s="129" t="s">
        <v>106</v>
      </c>
      <c r="Q18" s="116">
        <v>1583772</v>
      </c>
      <c r="R18" s="116">
        <v>2001579195</v>
      </c>
      <c r="S18" s="116">
        <v>9028.49</v>
      </c>
      <c r="T18" s="130">
        <f t="shared" si="3"/>
        <v>175.41936691517628</v>
      </c>
      <c r="U18" s="78"/>
    </row>
    <row r="19" spans="1:21" hidden="1">
      <c r="A19" s="129" t="s">
        <v>114</v>
      </c>
      <c r="B19" s="131">
        <f>SUM(F17:F19)</f>
        <v>358396.30909090908</v>
      </c>
      <c r="C19" s="131">
        <f>AVERAGE(F17:F19)</f>
        <v>119465.43636363636</v>
      </c>
      <c r="D19" s="90">
        <f>C19/C16-1</f>
        <v>1.5149626636729732</v>
      </c>
      <c r="E19" s="286">
        <f>C19/C7-1</f>
        <v>0.30744794880484672</v>
      </c>
      <c r="F19" s="78">
        <f>Q19/22</f>
        <v>144824.40909090909</v>
      </c>
      <c r="G19" s="90">
        <f t="shared" si="2"/>
        <v>0.82885426805006124</v>
      </c>
      <c r="H19" s="90">
        <f t="shared" si="4"/>
        <v>0.15000494488082117</v>
      </c>
      <c r="I19" s="130">
        <f t="shared" si="0"/>
        <v>156.11301194512077</v>
      </c>
      <c r="J19" s="130">
        <f t="shared" si="5"/>
        <v>0.11679994859881582</v>
      </c>
      <c r="K19" s="78">
        <f>R17+R18+R19</f>
        <v>9550605110</v>
      </c>
      <c r="L19" s="87">
        <f>U19/U16-1</f>
        <v>1.46714177345928</v>
      </c>
      <c r="M19" s="87">
        <f>U19/U7-1</f>
        <v>0.32864965655887568</v>
      </c>
      <c r="N19" s="88">
        <f>AVERAGE(T17:T19)</f>
        <v>156.81976108966103</v>
      </c>
      <c r="O19" s="89">
        <f>N19/N16-1</f>
        <v>-0.51302895515779778</v>
      </c>
      <c r="P19" s="129" t="s">
        <v>114</v>
      </c>
      <c r="Q19" s="116">
        <v>3186137</v>
      </c>
      <c r="R19" s="116">
        <v>4171438031</v>
      </c>
      <c r="S19" s="116">
        <v>20409.169999999998</v>
      </c>
      <c r="T19" s="130">
        <f t="shared" si="3"/>
        <v>156.11301194512077</v>
      </c>
      <c r="U19" s="85">
        <f>Q17+Q18+Q19</f>
        <v>7457575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148902.9</v>
      </c>
      <c r="G20" s="90">
        <f t="shared" si="2"/>
        <v>2.8161626446069343E-2</v>
      </c>
      <c r="H20" s="90">
        <f t="shared" si="4"/>
        <v>2.4384311892810211</v>
      </c>
      <c r="I20" s="130">
        <f t="shared" si="0"/>
        <v>140.50505345976339</v>
      </c>
      <c r="J20" s="130">
        <f t="shared" si="5"/>
        <v>-0.79827490408639101</v>
      </c>
      <c r="O20" s="89"/>
      <c r="P20" s="129" t="s">
        <v>131</v>
      </c>
      <c r="Q20" s="116">
        <v>2978058</v>
      </c>
      <c r="R20" s="116">
        <v>3916619856</v>
      </c>
      <c r="S20" s="116">
        <v>21195.38</v>
      </c>
      <c r="T20" s="130">
        <f t="shared" si="3"/>
        <v>140.50505345976339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379984.47619047621</v>
      </c>
      <c r="G21" s="90">
        <f t="shared" si="2"/>
        <v>1.5518943968886854</v>
      </c>
      <c r="H21" s="90">
        <f t="shared" si="4"/>
        <v>4.3479377764135583</v>
      </c>
      <c r="I21" s="130">
        <f t="shared" si="0"/>
        <v>125.76015109485934</v>
      </c>
      <c r="J21" s="130">
        <f t="shared" si="5"/>
        <v>-0.46717534540847994</v>
      </c>
      <c r="O21" s="89"/>
      <c r="P21" s="129" t="s">
        <v>141</v>
      </c>
      <c r="Q21" s="116">
        <v>7979674</v>
      </c>
      <c r="R21" s="116">
        <v>10622949795</v>
      </c>
      <c r="S21" s="116">
        <v>63451.53</v>
      </c>
      <c r="T21" s="130">
        <f t="shared" si="3"/>
        <v>125.76015109485934</v>
      </c>
      <c r="U21" s="78"/>
    </row>
    <row r="22" spans="1:21" hidden="1">
      <c r="A22" s="129" t="s">
        <v>155</v>
      </c>
      <c r="B22" s="131">
        <f>SUM(F20:F22)</f>
        <v>587658.61428571434</v>
      </c>
      <c r="C22" s="131">
        <f>AVERAGE(F20:F22)</f>
        <v>195886.20476190478</v>
      </c>
      <c r="D22" s="90">
        <f>C22/C19-1</f>
        <v>0.63968935890088008</v>
      </c>
      <c r="E22" s="286">
        <f>C22/C10-1</f>
        <v>2.3338450558003245</v>
      </c>
      <c r="F22" s="78">
        <f>Q22/21</f>
        <v>58771.238095238092</v>
      </c>
      <c r="G22" s="90">
        <f t="shared" si="2"/>
        <v>-0.84533252862209662</v>
      </c>
      <c r="H22" s="90">
        <f t="shared" si="4"/>
        <v>-5.0737484453872383E-2</v>
      </c>
      <c r="I22" s="130">
        <f t="shared" si="0"/>
        <v>134.70005620706027</v>
      </c>
      <c r="J22" s="130">
        <f t="shared" si="5"/>
        <v>-0.32521038662752488</v>
      </c>
      <c r="K22" s="78">
        <f>R20+R21+R22</f>
        <v>16164901831</v>
      </c>
      <c r="L22" s="87">
        <f>U22/U19-1</f>
        <v>0.63483813438014369</v>
      </c>
      <c r="M22" s="87">
        <f>U22/U10-1</f>
        <v>2.293619304310663</v>
      </c>
      <c r="N22" s="88">
        <f>AVERAGE(T20:T22)</f>
        <v>133.65508692056099</v>
      </c>
      <c r="O22" s="89">
        <f>N22/N19-1</f>
        <v>-0.1477152752187636</v>
      </c>
      <c r="P22" s="129" t="s">
        <v>155</v>
      </c>
      <c r="Q22" s="116">
        <v>1234196</v>
      </c>
      <c r="R22" s="116">
        <v>1625332180</v>
      </c>
      <c r="S22" s="116">
        <v>9162.5499999999993</v>
      </c>
      <c r="T22" s="130">
        <f t="shared" si="3"/>
        <v>134.70005620706027</v>
      </c>
      <c r="U22" s="85">
        <f>Q20+Q21+Q22</f>
        <v>12191928</v>
      </c>
    </row>
    <row r="23" spans="1:21" hidden="1">
      <c r="A23" s="129" t="s">
        <v>189</v>
      </c>
      <c r="B23" s="131"/>
      <c r="C23" s="131"/>
      <c r="F23" s="78">
        <f>Q23/21</f>
        <v>46598.238095238092</v>
      </c>
      <c r="G23" s="90">
        <f t="shared" ref="G23" si="6">F23/F22-1</f>
        <v>-0.207125124372466</v>
      </c>
      <c r="H23" s="90">
        <f t="shared" ref="H23" si="7">F23/F11-1</f>
        <v>-0.56655816184655161</v>
      </c>
      <c r="I23" s="130">
        <f t="shared" si="0"/>
        <v>41.640783809097066</v>
      </c>
      <c r="J23" s="130">
        <f t="shared" si="5"/>
        <v>-0.68938873275422718</v>
      </c>
      <c r="O23" s="89"/>
      <c r="P23" s="129" t="s">
        <v>189</v>
      </c>
      <c r="Q23" s="116">
        <v>978563</v>
      </c>
      <c r="R23" s="116">
        <v>1260489579</v>
      </c>
      <c r="S23" s="116">
        <v>23500.11</v>
      </c>
      <c r="T23" s="130">
        <f t="shared" si="3"/>
        <v>41.640783809097066</v>
      </c>
      <c r="U23" s="78"/>
    </row>
    <row r="24" spans="1:21" hidden="1">
      <c r="A24" s="129" t="s">
        <v>204</v>
      </c>
      <c r="B24" s="131"/>
      <c r="C24" s="131"/>
      <c r="F24" s="78">
        <f>Q24/22</f>
        <v>57499.454545454544</v>
      </c>
      <c r="G24" s="90">
        <f t="shared" ref="G24" si="8">F24/F23-1</f>
        <v>0.23394052856540215</v>
      </c>
      <c r="H24" s="90">
        <f t="shared" ref="H24" si="9">F24/F12-1</f>
        <v>-0.29737370797463414</v>
      </c>
      <c r="I24" s="130">
        <f t="shared" si="0"/>
        <v>318.01596379862985</v>
      </c>
      <c r="J24" s="130">
        <f t="shared" si="5"/>
        <v>1.4589120490706522</v>
      </c>
      <c r="O24" s="89"/>
      <c r="P24" s="129" t="s">
        <v>204</v>
      </c>
      <c r="Q24" s="116">
        <v>1264988</v>
      </c>
      <c r="R24" s="116">
        <v>1649129948</v>
      </c>
      <c r="S24" s="116">
        <v>3977.75</v>
      </c>
      <c r="T24" s="130">
        <f t="shared" ref="T24" si="10">Q24/S24</f>
        <v>318.01596379862985</v>
      </c>
      <c r="U24" s="78"/>
    </row>
    <row r="25" spans="1:21" s="79" customFormat="1" ht="13.2" hidden="1">
      <c r="A25" s="129" t="s">
        <v>219</v>
      </c>
      <c r="B25" s="131">
        <f>SUM(F23:F25)</f>
        <v>217561.95579858735</v>
      </c>
      <c r="C25" s="131">
        <f>AVERAGE(F23:F25)</f>
        <v>72520.651932862456</v>
      </c>
      <c r="D25" s="90">
        <f>C25/C22-1</f>
        <v>-0.62978172954542844</v>
      </c>
      <c r="E25" s="286">
        <f>C25/C13-1</f>
        <v>-0.14481345421747904</v>
      </c>
      <c r="F25" s="78">
        <f>Q25/19</f>
        <v>113464.26315789473</v>
      </c>
      <c r="G25" s="90">
        <f t="shared" ref="G25" si="11">F25/F24-1</f>
        <v>0.97331025232941681</v>
      </c>
      <c r="H25" s="90">
        <f t="shared" ref="H25" si="12">F25/F13-1</f>
        <v>0.74398348546726933</v>
      </c>
      <c r="I25" s="130">
        <f t="shared" si="0"/>
        <v>308.90600081101724</v>
      </c>
      <c r="J25" s="130">
        <f t="shared" si="5"/>
        <v>3.6688699372660309</v>
      </c>
      <c r="K25" s="78">
        <f>R23+R24+R25</f>
        <v>5765295821</v>
      </c>
      <c r="L25" s="90">
        <f>U25/U22-1</f>
        <v>-0.63915698977224933</v>
      </c>
      <c r="M25" s="90">
        <f>U25/U13-1</f>
        <v>-0.17910463357090456</v>
      </c>
      <c r="N25" s="88">
        <f>AVERAGE(T23:T25)</f>
        <v>222.85424947291472</v>
      </c>
      <c r="O25" s="91">
        <f>N25/N22-1</f>
        <v>0.66738322204952794</v>
      </c>
      <c r="P25" s="129" t="s">
        <v>219</v>
      </c>
      <c r="Q25" s="116">
        <v>2155821</v>
      </c>
      <c r="R25" s="116">
        <v>2855676294</v>
      </c>
      <c r="S25" s="116">
        <v>6978.89</v>
      </c>
      <c r="T25" s="130">
        <f t="shared" ref="T25" si="13">Q25/S25</f>
        <v>308.90600081101724</v>
      </c>
      <c r="U25" s="85">
        <f>Q23+Q24+Q25</f>
        <v>4399372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26408.684210526317</v>
      </c>
      <c r="G26" s="90">
        <f t="shared" ref="G26" si="14">F26/F25-1</f>
        <v>-0.76725108438965939</v>
      </c>
      <c r="H26" s="90">
        <f t="shared" ref="H26" si="15">F26/F14-1</f>
        <v>-0.52994654525488782</v>
      </c>
      <c r="I26" s="130">
        <f t="shared" si="0"/>
        <v>297.43211281631784</v>
      </c>
      <c r="J26" s="130">
        <f t="shared" si="5"/>
        <v>0.74735800905641581</v>
      </c>
      <c r="L26" s="90"/>
      <c r="M26" s="90"/>
      <c r="P26" s="129" t="s">
        <v>312</v>
      </c>
      <c r="Q26" s="116">
        <v>501765</v>
      </c>
      <c r="R26" s="116">
        <v>677327223</v>
      </c>
      <c r="S26" s="116">
        <v>1686.99</v>
      </c>
      <c r="T26" s="130">
        <f t="shared" ref="T26" si="16">Q26/S26</f>
        <v>297.43211281631784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149579.63636363635</v>
      </c>
      <c r="G27" s="90">
        <f t="shared" ref="G27" si="17">F27/F26-1</f>
        <v>4.6640321483345604</v>
      </c>
      <c r="H27" s="90">
        <f t="shared" ref="H27" si="18">F27/F15-1</f>
        <v>2.7274318200095826</v>
      </c>
      <c r="I27" s="130">
        <f t="shared" si="0"/>
        <v>133.58062427567339</v>
      </c>
      <c r="J27" s="130">
        <f t="shared" si="5"/>
        <v>-0.78417921694887671</v>
      </c>
      <c r="L27" s="90"/>
      <c r="M27" s="90"/>
      <c r="P27" s="129" t="s">
        <v>378</v>
      </c>
      <c r="Q27" s="116">
        <v>3290752</v>
      </c>
      <c r="R27" s="116">
        <v>4355924043</v>
      </c>
      <c r="S27" s="116">
        <v>24634.95</v>
      </c>
      <c r="T27" s="130">
        <f t="shared" ref="T27" si="19">Q27/S27</f>
        <v>133.58062427567339</v>
      </c>
      <c r="U27" s="78"/>
    </row>
    <row r="28" spans="1:21" s="79" customFormat="1" ht="13.2" hidden="1">
      <c r="A28" s="123" t="s">
        <v>413</v>
      </c>
      <c r="B28" s="131">
        <f>SUM(F26:F28)</f>
        <v>288303.05741626793</v>
      </c>
      <c r="C28" s="131">
        <f>AVERAGE(F26:F28)</f>
        <v>96101.019138755975</v>
      </c>
      <c r="D28" s="90">
        <f>C28/C25-1</f>
        <v>0.32515382277207805</v>
      </c>
      <c r="E28" s="286">
        <f>C28/C16-1</f>
        <v>1.0230995878943641</v>
      </c>
      <c r="F28" s="78">
        <f>Q28/19</f>
        <v>112314.73684210527</v>
      </c>
      <c r="G28" s="90">
        <f t="shared" ref="G28" si="20">F28/F27-1</f>
        <v>-0.24913083376495215</v>
      </c>
      <c r="H28" s="90">
        <f t="shared" ref="H28" si="21">F28/F16-1</f>
        <v>1.4313754573372681</v>
      </c>
      <c r="I28" s="130">
        <f t="shared" si="0"/>
        <v>115.98511637209938</v>
      </c>
      <c r="J28" s="130">
        <f t="shared" si="5"/>
        <v>-0.34446643765586149</v>
      </c>
      <c r="K28" s="78">
        <f>R26+R27+R28</f>
        <v>7813661869</v>
      </c>
      <c r="L28" s="90">
        <f>U28/U25-1</f>
        <v>0.34712340761363203</v>
      </c>
      <c r="M28" s="90">
        <f>U28/U16-1</f>
        <v>0.96062504486795008</v>
      </c>
      <c r="N28" s="88">
        <f>AVERAGE(T26:T28)</f>
        <v>182.33261782136353</v>
      </c>
      <c r="O28" s="91">
        <f>N28/N25-1</f>
        <v>-0.18183019505973619</v>
      </c>
      <c r="P28" s="129" t="s">
        <v>413</v>
      </c>
      <c r="Q28" s="116">
        <v>2133980</v>
      </c>
      <c r="R28" s="116">
        <v>2780410603</v>
      </c>
      <c r="S28" s="116">
        <v>18398.740000000002</v>
      </c>
      <c r="T28" s="130">
        <f t="shared" ref="T28" si="22">Q28/S28</f>
        <v>115.98511637209938</v>
      </c>
      <c r="U28" s="85">
        <f>Q26+Q27+Q28</f>
        <v>5926497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16402.68181818182</v>
      </c>
      <c r="G29" s="190">
        <f t="shared" ref="G29" si="23">F29/F28-1</f>
        <v>-0.8539578840732085</v>
      </c>
      <c r="H29" s="190">
        <f t="shared" ref="H29" si="24">F29/F17-1</f>
        <v>-0.87794106992325815</v>
      </c>
      <c r="I29" s="130">
        <f t="shared" si="0"/>
        <v>236.41491633800231</v>
      </c>
      <c r="J29" s="130">
        <f t="shared" si="5"/>
        <v>0.70172161644466224</v>
      </c>
      <c r="K29" s="136"/>
      <c r="L29" s="190"/>
      <c r="M29" s="190"/>
      <c r="N29" s="191"/>
      <c r="O29" s="192"/>
      <c r="P29" s="129" t="s">
        <v>427</v>
      </c>
      <c r="Q29" s="116">
        <v>360859</v>
      </c>
      <c r="R29" s="116">
        <v>474625761</v>
      </c>
      <c r="S29" s="116">
        <v>1526.38</v>
      </c>
      <c r="T29" s="130">
        <f t="shared" ref="T29" si="25">Q29/S29</f>
        <v>236.41491633800231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96816.473684210519</v>
      </c>
      <c r="G30" s="190">
        <f t="shared" ref="G30" si="26">F30/F29-1</f>
        <v>4.9024783116193058</v>
      </c>
      <c r="H30" s="190">
        <f t="shared" ref="H30" si="27">F30/F18-1</f>
        <v>0.22260620448158597</v>
      </c>
      <c r="I30" s="130">
        <f t="shared" si="0"/>
        <v>155.32347499938783</v>
      </c>
      <c r="J30" s="130">
        <f t="shared" si="5"/>
        <v>-0.11455914058512018</v>
      </c>
      <c r="K30" s="136"/>
      <c r="L30" s="190"/>
      <c r="M30" s="190"/>
      <c r="N30" s="191"/>
      <c r="O30" s="192"/>
      <c r="P30" s="129" t="s">
        <v>466</v>
      </c>
      <c r="Q30" s="116">
        <v>1839513</v>
      </c>
      <c r="R30" s="116">
        <v>2448542478</v>
      </c>
      <c r="S30" s="116">
        <v>11843.11</v>
      </c>
      <c r="T30" s="130">
        <f t="shared" ref="T30" si="28">Q30/S30</f>
        <v>155.32347499938783</v>
      </c>
      <c r="U30" s="85"/>
    </row>
    <row r="31" spans="1:21" s="79" customFormat="1" ht="13.2" hidden="1">
      <c r="A31" s="129" t="s">
        <v>505</v>
      </c>
      <c r="B31" s="188">
        <f>SUM(F29:F31)</f>
        <v>229558.00550239236</v>
      </c>
      <c r="C31" s="188">
        <f>AVERAGE(F29:F31)</f>
        <v>76519.335167464116</v>
      </c>
      <c r="D31" s="190">
        <f>C31/C28-1</f>
        <v>-0.20376146004256979</v>
      </c>
      <c r="E31" s="287">
        <f>C31/C19-1</f>
        <v>-0.35948557594056085</v>
      </c>
      <c r="F31" s="136">
        <f>Q31/20</f>
        <v>116338.85</v>
      </c>
      <c r="G31" s="190">
        <f t="shared" ref="G31" si="29">F31/F30-1</f>
        <v>0.20164312510974391</v>
      </c>
      <c r="H31" s="190">
        <f t="shared" ref="H31" si="30">F31/F19-1</f>
        <v>-0.19669031808738913</v>
      </c>
      <c r="I31" s="130">
        <f t="shared" si="0"/>
        <v>164.85934598344448</v>
      </c>
      <c r="J31" s="130">
        <f t="shared" si="5"/>
        <v>5.6025656858112116E-2</v>
      </c>
      <c r="K31" s="136">
        <f>R29+R30+R31</f>
        <v>6018874885</v>
      </c>
      <c r="L31" s="190">
        <f>U31/U28-1</f>
        <v>-0.23611722067858976</v>
      </c>
      <c r="M31" s="190">
        <f>U31/U19-1</f>
        <v>-0.39294623252196592</v>
      </c>
      <c r="N31" s="191">
        <f>AVERAGE(T29:T31)</f>
        <v>185.53257910694484</v>
      </c>
      <c r="O31" s="192">
        <f>N31/N28-1</f>
        <v>1.7550130765502381E-2</v>
      </c>
      <c r="P31" s="129" t="s">
        <v>505</v>
      </c>
      <c r="Q31" s="116">
        <v>2326777</v>
      </c>
      <c r="R31" s="116">
        <v>3095706646</v>
      </c>
      <c r="S31" s="116">
        <v>14113.71</v>
      </c>
      <c r="T31" s="130">
        <f t="shared" ref="T31" si="31">Q31/S31</f>
        <v>164.85934598344448</v>
      </c>
      <c r="U31" s="85">
        <f>Q29+Q30+Q31</f>
        <v>4527149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79951.952380952382</v>
      </c>
      <c r="G32" s="190">
        <f t="shared" ref="G32" si="32">F32/F31-1</f>
        <v>-0.31276652312660491</v>
      </c>
      <c r="H32" s="190">
        <f t="shared" ref="H32" si="33">F32/F20-1</f>
        <v>-0.46305980353000253</v>
      </c>
      <c r="I32" s="130">
        <f t="shared" si="0"/>
        <v>151.94406184219815</v>
      </c>
      <c r="J32" s="130">
        <f t="shared" si="5"/>
        <v>8.1413501513029729E-2</v>
      </c>
      <c r="K32" s="136"/>
      <c r="L32" s="190"/>
      <c r="M32" s="190"/>
      <c r="N32" s="191"/>
      <c r="O32" s="192"/>
      <c r="P32" s="129" t="s">
        <v>562</v>
      </c>
      <c r="Q32" s="116">
        <v>1678991</v>
      </c>
      <c r="R32" s="116">
        <v>2267129762</v>
      </c>
      <c r="S32" s="116">
        <v>11050.06</v>
      </c>
      <c r="T32" s="130">
        <f t="shared" ref="T32" si="34">Q32/S32</f>
        <v>151.94406184219815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341973.80952380953</v>
      </c>
      <c r="G33" s="190">
        <f t="shared" ref="G33" si="35">F33/F32-1</f>
        <v>3.2772415099306667</v>
      </c>
      <c r="H33" s="190">
        <f t="shared" ref="H33" si="36">F33/F21-1</f>
        <v>-0.10003215670214105</v>
      </c>
      <c r="I33" s="130">
        <f t="shared" si="0"/>
        <v>123.29120360967705</v>
      </c>
      <c r="J33" s="130">
        <f t="shared" si="5"/>
        <v>-1.9632192420952044E-2</v>
      </c>
      <c r="K33" s="136"/>
      <c r="L33" s="190"/>
      <c r="M33" s="190"/>
      <c r="N33" s="191"/>
      <c r="O33" s="192"/>
      <c r="P33" s="129" t="s">
        <v>607</v>
      </c>
      <c r="Q33" s="116">
        <v>7181450</v>
      </c>
      <c r="R33" s="116">
        <v>9830126850</v>
      </c>
      <c r="S33" s="116">
        <v>58247.87</v>
      </c>
      <c r="T33" s="130">
        <f t="shared" ref="T33" si="37">Q33/S33</f>
        <v>123.29120360967705</v>
      </c>
      <c r="U33" s="85"/>
    </row>
    <row r="34" spans="1:21" s="79" customFormat="1" ht="13.2" hidden="1">
      <c r="A34" s="129" t="s">
        <v>652</v>
      </c>
      <c r="B34" s="188">
        <f>SUM(F32:F34)</f>
        <v>461451.02506265661</v>
      </c>
      <c r="C34" s="188">
        <f>AVERAGE(F32:F34)</f>
        <v>153817.00835421888</v>
      </c>
      <c r="D34" s="190">
        <f>C34/C31-1</f>
        <v>1.0101717823029595</v>
      </c>
      <c r="E34" s="287">
        <f>C34/C22-1</f>
        <v>-0.2147634462509499</v>
      </c>
      <c r="F34" s="136">
        <f>Q34/19</f>
        <v>39525.26315789474</v>
      </c>
      <c r="G34" s="190">
        <f t="shared" ref="G34" si="38">F34/F33-1</f>
        <v>-0.88442020395382692</v>
      </c>
      <c r="H34" s="190">
        <f t="shared" ref="H34" si="39">F34/F22-1</f>
        <v>-0.32747268155480203</v>
      </c>
      <c r="I34" s="130">
        <f t="shared" si="0"/>
        <v>326.16277302201553</v>
      </c>
      <c r="J34" s="130">
        <f t="shared" si="5"/>
        <v>1.4214004225851227</v>
      </c>
      <c r="K34" s="136">
        <f>R32+R33+R34</f>
        <v>13130465010</v>
      </c>
      <c r="L34" s="190">
        <f>U34/U31-1</f>
        <v>1.1230626604072453</v>
      </c>
      <c r="M34" s="190">
        <f>U34/U22-1</f>
        <v>-0.21165700781697527</v>
      </c>
      <c r="N34" s="191">
        <f>AVERAGE(T32:T34)</f>
        <v>200.46601282463021</v>
      </c>
      <c r="O34" s="192">
        <f>N34/N31-1</f>
        <v>8.0489549542010375E-2</v>
      </c>
      <c r="P34" s="129" t="s">
        <v>652</v>
      </c>
      <c r="Q34" s="116">
        <v>750980</v>
      </c>
      <c r="R34" s="116">
        <v>1033208398</v>
      </c>
      <c r="S34" s="116">
        <v>2302.4699999999998</v>
      </c>
      <c r="T34" s="130">
        <f t="shared" ref="T34" si="40">Q34/S34</f>
        <v>326.16277302201553</v>
      </c>
      <c r="U34" s="85">
        <f>Q32+Q33+Q34</f>
        <v>9611421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40468.391304347824</v>
      </c>
      <c r="G35" s="190">
        <f t="shared" ref="G35" si="41">F35/F34-1</f>
        <v>2.3861400813082412E-2</v>
      </c>
      <c r="H35" s="190">
        <f t="shared" ref="H35" si="42">F35/F23-1</f>
        <v>-0.13154675029476448</v>
      </c>
      <c r="I35" s="130">
        <f t="shared" si="0"/>
        <v>99.869419199776829</v>
      </c>
      <c r="J35" s="130">
        <f t="shared" si="5"/>
        <v>1.398355892089592</v>
      </c>
      <c r="K35" s="136"/>
      <c r="L35" s="190"/>
      <c r="M35" s="190"/>
      <c r="N35" s="191"/>
      <c r="O35" s="192"/>
      <c r="P35" s="129" t="s">
        <v>660</v>
      </c>
      <c r="Q35" s="116">
        <v>930773</v>
      </c>
      <c r="R35" s="116">
        <v>1288453369</v>
      </c>
      <c r="S35" s="116">
        <v>9319.9</v>
      </c>
      <c r="T35" s="130">
        <f t="shared" ref="T35" si="43">Q35/S35</f>
        <v>99.869419199776829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24371.285714285714</v>
      </c>
      <c r="G36" s="190">
        <f t="shared" ref="G36" si="44">F36/F35-1</f>
        <v>-0.3977698413806896</v>
      </c>
      <c r="H36" s="190">
        <f t="shared" ref="H36" si="45">F36/F24-1</f>
        <v>-0.57614753206015734</v>
      </c>
      <c r="I36" s="130">
        <f t="shared" si="0"/>
        <v>287.83526143221098</v>
      </c>
      <c r="J36" s="130">
        <f t="shared" si="5"/>
        <v>-9.4903104881645217E-2</v>
      </c>
      <c r="K36" s="136"/>
      <c r="L36" s="190"/>
      <c r="M36" s="190"/>
      <c r="N36" s="191"/>
      <c r="O36" s="192"/>
      <c r="P36" s="129" t="s">
        <v>664</v>
      </c>
      <c r="Q36" s="116">
        <v>511797</v>
      </c>
      <c r="R36" s="116">
        <v>700684672</v>
      </c>
      <c r="S36" s="116">
        <v>1778.09</v>
      </c>
      <c r="T36" s="130">
        <f t="shared" ref="T36" si="46">Q36/S36</f>
        <v>287.83526143221098</v>
      </c>
      <c r="U36" s="85"/>
    </row>
    <row r="37" spans="1:21" s="79" customFormat="1" ht="13.2" hidden="1">
      <c r="A37" s="129" t="s">
        <v>702</v>
      </c>
      <c r="B37" s="188">
        <f>SUM(F35:F37)</f>
        <v>139877.01035196686</v>
      </c>
      <c r="C37" s="188">
        <f>AVERAGE(F35:F37)</f>
        <v>46625.67011732229</v>
      </c>
      <c r="D37" s="190">
        <f>C37/C34-1</f>
        <v>-0.69687571864647146</v>
      </c>
      <c r="E37" s="287">
        <f>C37/C25-1</f>
        <v>-0.35707044993904635</v>
      </c>
      <c r="F37" s="136">
        <f>Q37/18</f>
        <v>75037.333333333328</v>
      </c>
      <c r="G37" s="190">
        <f t="shared" ref="G37" si="47">F37/F36-1</f>
        <v>2.0789238702063511</v>
      </c>
      <c r="H37" s="190">
        <f t="shared" ref="H37" si="48">F37/F25-1</f>
        <v>-0.33866989266115632</v>
      </c>
      <c r="I37" s="130">
        <f t="shared" si="0"/>
        <v>161.02470439843682</v>
      </c>
      <c r="J37" s="130">
        <f t="shared" si="5"/>
        <v>-0.47872587785386322</v>
      </c>
      <c r="K37" s="136">
        <f>R35+R36+R37</f>
        <v>3791108677</v>
      </c>
      <c r="L37" s="190">
        <f>U37/U34-1</f>
        <v>-0.70938303503717082</v>
      </c>
      <c r="M37" s="190">
        <f>U37/U25-1</f>
        <v>-0.36508165256313851</v>
      </c>
      <c r="N37" s="191">
        <f>AVERAGE(T35:T37)</f>
        <v>182.90979501014155</v>
      </c>
      <c r="O37" s="192">
        <f>N37/N34-1</f>
        <v>-8.7577028979206717E-2</v>
      </c>
      <c r="P37" s="129" t="s">
        <v>702</v>
      </c>
      <c r="Q37" s="116">
        <v>1350672</v>
      </c>
      <c r="R37" s="116">
        <v>1801970636</v>
      </c>
      <c r="S37" s="116">
        <v>8387.98</v>
      </c>
      <c r="T37" s="130">
        <f t="shared" ref="T37" si="49">Q37/S37</f>
        <v>161.02470439843682</v>
      </c>
      <c r="U37" s="85">
        <f>Q35+Q36+Q37</f>
        <v>2793242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33373.599999999999</v>
      </c>
      <c r="G38" s="190">
        <f t="shared" ref="G38" si="50">F38/F37-1</f>
        <v>-0.55524005828209955</v>
      </c>
      <c r="H38" s="190">
        <f t="shared" ref="H38" si="51">F38/F26-1</f>
        <v>0.26373581258158696</v>
      </c>
      <c r="I38" s="130">
        <f t="shared" si="0"/>
        <v>125.81965281744169</v>
      </c>
      <c r="J38" s="130">
        <f t="shared" si="5"/>
        <v>-0.57698026744293451</v>
      </c>
      <c r="K38" s="136"/>
      <c r="L38" s="190"/>
      <c r="M38" s="190"/>
      <c r="N38" s="191"/>
      <c r="O38" s="192"/>
      <c r="P38" s="129" t="s">
        <v>728</v>
      </c>
      <c r="Q38" s="116">
        <v>667472</v>
      </c>
      <c r="R38" s="116">
        <v>901481209</v>
      </c>
      <c r="S38" s="116">
        <v>5304.99</v>
      </c>
      <c r="T38" s="130">
        <f t="shared" ref="T38" si="52">Q38/S38</f>
        <v>125.81965281744169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28522.047619047618</v>
      </c>
      <c r="G39" s="190">
        <f t="shared" ref="G39" si="53">F39/F38-1</f>
        <v>-0.14537096330489907</v>
      </c>
      <c r="H39" s="190">
        <f t="shared" ref="H39" si="54">F39/F27-1</f>
        <v>-0.80931864582349333</v>
      </c>
      <c r="I39" s="130">
        <f t="shared" si="0"/>
        <v>316.04210637399746</v>
      </c>
      <c r="J39" s="130">
        <f t="shared" si="5"/>
        <v>1.365927754026468</v>
      </c>
      <c r="K39" s="136"/>
      <c r="L39" s="190"/>
      <c r="M39" s="190"/>
      <c r="N39" s="191"/>
      <c r="O39" s="192"/>
      <c r="P39" s="129" t="s">
        <v>762</v>
      </c>
      <c r="Q39" s="116">
        <v>598963</v>
      </c>
      <c r="R39" s="116">
        <v>833724845</v>
      </c>
      <c r="S39" s="116">
        <v>1895.2</v>
      </c>
      <c r="T39" s="130">
        <f t="shared" ref="T39" si="55">Q39/S39</f>
        <v>316.04210637399746</v>
      </c>
      <c r="U39" s="85"/>
    </row>
    <row r="40" spans="1:21" s="79" customFormat="1" ht="13.2" hidden="1">
      <c r="A40" s="129" t="s">
        <v>778</v>
      </c>
      <c r="B40" s="188">
        <f>SUM(F38:F40)</f>
        <v>313164.07619047619</v>
      </c>
      <c r="C40" s="188">
        <f>AVERAGE(F38:F40)</f>
        <v>104388.0253968254</v>
      </c>
      <c r="D40" s="190">
        <f>C40/C37-1</f>
        <v>1.2388530853102599</v>
      </c>
      <c r="E40" s="287">
        <f>C40/C28-1</f>
        <v>8.6232241159734047E-2</v>
      </c>
      <c r="F40" s="136">
        <f>Q40/21</f>
        <v>251268.42857142858</v>
      </c>
      <c r="G40" s="190">
        <f t="shared" ref="G40" si="56">F40/F39-1</f>
        <v>7.8096209615618992</v>
      </c>
      <c r="H40" s="190">
        <f t="shared" ref="H40" si="57">F40/F28-1</f>
        <v>1.2371812963838194</v>
      </c>
      <c r="I40" s="130">
        <f t="shared" si="0"/>
        <v>295.45134879991576</v>
      </c>
      <c r="J40" s="130">
        <f t="shared" si="5"/>
        <v>1.5473212256998483</v>
      </c>
      <c r="K40" s="136">
        <f>R38+R39+R40</f>
        <v>9306697073</v>
      </c>
      <c r="L40" s="190">
        <f>U40/U37-1</f>
        <v>1.3424651354948836</v>
      </c>
      <c r="M40" s="190">
        <f>U40/U28-1</f>
        <v>0.10403700533384219</v>
      </c>
      <c r="N40" s="191">
        <f>AVERAGE(T38:T40)</f>
        <v>245.77103599711828</v>
      </c>
      <c r="O40" s="192">
        <f>N40/N37-1</f>
        <v>0.34367345381088721</v>
      </c>
      <c r="P40" s="129" t="s">
        <v>778</v>
      </c>
      <c r="Q40" s="116">
        <v>5276637</v>
      </c>
      <c r="R40" s="116">
        <v>7571491019</v>
      </c>
      <c r="S40" s="116">
        <v>17859.580000000002</v>
      </c>
      <c r="T40" s="130">
        <f t="shared" ref="T40" si="58">Q40/S40</f>
        <v>295.45134879991576</v>
      </c>
      <c r="U40" s="85">
        <f>Q38+Q39+Q40</f>
        <v>6543072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24050.555555555555</v>
      </c>
      <c r="G41" s="190">
        <f t="shared" ref="G41" si="59">F41/F40-1</f>
        <v>-0.90428341637549325</v>
      </c>
      <c r="H41" s="190">
        <f t="shared" ref="H41" si="60">F41/F29-1</f>
        <v>0.46625751948052319</v>
      </c>
      <c r="I41" s="130">
        <f t="shared" si="0"/>
        <v>398.39687842227801</v>
      </c>
      <c r="J41" s="130">
        <f t="shared" si="5"/>
        <v>0.68515965317810212</v>
      </c>
      <c r="K41" s="193"/>
      <c r="L41" s="190"/>
      <c r="M41" s="190"/>
      <c r="N41" s="193"/>
      <c r="O41" s="193"/>
      <c r="P41" s="129" t="s">
        <v>792</v>
      </c>
      <c r="Q41" s="116">
        <v>432910</v>
      </c>
      <c r="R41" s="116">
        <v>632336820</v>
      </c>
      <c r="S41" s="116">
        <v>1086.6300000000001</v>
      </c>
      <c r="T41" s="130">
        <f t="shared" ref="T41" si="61">Q41/S41</f>
        <v>398.39687842227801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157586.6</v>
      </c>
      <c r="G42" s="190">
        <f t="shared" ref="G42" si="62">F42/F41-1</f>
        <v>5.5523060220369134</v>
      </c>
      <c r="H42" s="190">
        <f t="shared" ref="H42" si="63">F42/F30-1</f>
        <v>0.62768374020732676</v>
      </c>
      <c r="I42" s="130">
        <f t="shared" si="0"/>
        <v>163.79023712627625</v>
      </c>
      <c r="J42" s="130">
        <f t="shared" si="5"/>
        <v>5.4510511865137001E-2</v>
      </c>
      <c r="K42" s="193"/>
      <c r="L42" s="190"/>
      <c r="M42" s="190"/>
      <c r="N42" s="193"/>
      <c r="O42" s="193"/>
      <c r="P42" s="129" t="s">
        <v>826</v>
      </c>
      <c r="Q42" s="116">
        <v>3151732</v>
      </c>
      <c r="R42" s="116">
        <v>4542321572</v>
      </c>
      <c r="S42" s="116">
        <v>19242.490000000002</v>
      </c>
      <c r="T42" s="130">
        <f t="shared" ref="T42" si="64">Q42/S42</f>
        <v>163.79023712627625</v>
      </c>
      <c r="U42" s="78"/>
    </row>
    <row r="43" spans="1:21" s="79" customFormat="1" ht="13.2">
      <c r="A43" s="129" t="s">
        <v>835</v>
      </c>
      <c r="B43" s="188">
        <f>SUM(F41:F43)</f>
        <v>215456.25555555557</v>
      </c>
      <c r="C43" s="188">
        <f>AVERAGE(F41:F43)</f>
        <v>71818.751851851863</v>
      </c>
      <c r="D43" s="190">
        <f>C43/C40-1</f>
        <v>-0.31200200809588274</v>
      </c>
      <c r="E43" s="287">
        <f>C43/C31-1</f>
        <v>-6.1430007269730358E-2</v>
      </c>
      <c r="F43" s="136">
        <f>Q43/20</f>
        <v>33819.1</v>
      </c>
      <c r="G43" s="190">
        <f t="shared" ref="G43" si="65">F43/F42-1</f>
        <v>-0.7853935550357708</v>
      </c>
      <c r="H43" s="190">
        <f t="shared" ref="H43" si="66">F43/F31-1</f>
        <v>-0.70930518910922702</v>
      </c>
      <c r="I43" s="130">
        <f t="shared" si="0"/>
        <v>764.2302694763008</v>
      </c>
      <c r="J43" s="130">
        <f t="shared" si="5"/>
        <v>3.6356502563891429</v>
      </c>
      <c r="K43" s="136">
        <f>R41+R42+R43</f>
        <v>6155492215</v>
      </c>
      <c r="L43" s="190">
        <f>U43/U40-1</f>
        <v>-0.34877317565816179</v>
      </c>
      <c r="M43" s="190">
        <f>K43/K31-1</f>
        <v>2.2698150835544384E-2</v>
      </c>
      <c r="N43" s="191">
        <f>AVERAGE(T41:T43)</f>
        <v>442.13912834161835</v>
      </c>
      <c r="O43" s="192">
        <f>N43/N40-1</f>
        <v>0.79898793422835435</v>
      </c>
      <c r="P43" s="129" t="s">
        <v>835</v>
      </c>
      <c r="Q43" s="116">
        <v>676382</v>
      </c>
      <c r="R43" s="116">
        <v>980833823</v>
      </c>
      <c r="S43" s="116">
        <v>885.05</v>
      </c>
      <c r="T43" s="130">
        <f t="shared" ref="T43" si="67">Q43/S43</f>
        <v>764.2302694763008</v>
      </c>
      <c r="U43" s="85">
        <f>Q41+Q42+Q43</f>
        <v>4261024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71924.5</v>
      </c>
      <c r="G44" s="190">
        <f t="shared" ref="G44" si="68">F44/F43-1</f>
        <v>1.126741988994385</v>
      </c>
      <c r="H44" s="190">
        <f t="shared" ref="H44" si="69">F44/F32-1</f>
        <v>-0.10040345659982697</v>
      </c>
      <c r="I44" s="130">
        <f t="shared" si="0"/>
        <v>286.59123675116462</v>
      </c>
      <c r="J44" s="130">
        <f t="shared" si="5"/>
        <v>0.88616279752218685</v>
      </c>
      <c r="K44" s="136"/>
      <c r="L44" s="190"/>
      <c r="M44" s="190"/>
      <c r="N44" s="191"/>
      <c r="O44" s="192"/>
      <c r="P44" s="129" t="s">
        <v>843</v>
      </c>
      <c r="Q44" s="116">
        <v>1582339</v>
      </c>
      <c r="R44" s="116">
        <v>2305932661</v>
      </c>
      <c r="S44" s="116">
        <v>5521.24</v>
      </c>
      <c r="T44" s="130">
        <f t="shared" ref="T44" si="70">Q44/S44</f>
        <v>286.59123675116462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79507.600000000006</v>
      </c>
      <c r="G45" s="190">
        <f t="shared" ref="G45" si="71">F45/F44-1</f>
        <v>0.10543138986020062</v>
      </c>
      <c r="H45" s="190">
        <f t="shared" ref="H45" si="72">F45/F33-1</f>
        <v>-0.76750383279142786</v>
      </c>
      <c r="I45" s="130">
        <f t="shared" si="0"/>
        <v>1273.7315967382772</v>
      </c>
      <c r="J45" s="130">
        <f t="shared" si="5"/>
        <v>9.3310825058593458</v>
      </c>
      <c r="K45" s="136"/>
      <c r="L45" s="190"/>
      <c r="M45" s="190"/>
      <c r="N45" s="191"/>
      <c r="O45" s="192"/>
      <c r="P45" s="129" t="s">
        <v>849</v>
      </c>
      <c r="Q45" s="116">
        <v>1590152</v>
      </c>
      <c r="R45" s="116">
        <v>2253400972</v>
      </c>
      <c r="S45" s="116">
        <v>1248.42</v>
      </c>
      <c r="T45" s="130">
        <f t="shared" ref="T45" si="73">Q45/S45</f>
        <v>1273.7315967382772</v>
      </c>
      <c r="U45" s="85"/>
    </row>
    <row r="46" spans="1:21" s="79" customFormat="1" ht="13.2">
      <c r="A46" s="129" t="s">
        <v>888</v>
      </c>
      <c r="B46" s="188">
        <f>SUM(F44:F46)</f>
        <v>175224.1</v>
      </c>
      <c r="C46" s="188">
        <f>AVERAGE(F44:F46)</f>
        <v>58408.033333333333</v>
      </c>
      <c r="D46" s="190">
        <f>C46/C43-1</f>
        <v>-0.18673004156605555</v>
      </c>
      <c r="E46" s="287">
        <f>C46/C34-1</f>
        <v>-0.62027584622613463</v>
      </c>
      <c r="F46" s="136">
        <f>Q46/19</f>
        <v>23792</v>
      </c>
      <c r="G46" s="190">
        <f t="shared" ref="G46" si="74">F46/F45-1</f>
        <v>-0.70075816651489919</v>
      </c>
      <c r="H46" s="190">
        <f t="shared" ref="H46" si="75">F46/F34-1</f>
        <v>-0.39805587365841977</v>
      </c>
      <c r="I46" s="130">
        <f t="shared" si="0"/>
        <v>931.75035039986801</v>
      </c>
      <c r="J46" s="130">
        <f t="shared" si="5"/>
        <v>1.8567035464129322</v>
      </c>
      <c r="K46" s="136">
        <f>R44+R45+R46</f>
        <v>5178961683</v>
      </c>
      <c r="L46" s="190">
        <f>U46/U43-1</f>
        <v>-0.14937371861787219</v>
      </c>
      <c r="M46" s="190">
        <f>K46/K34-1</f>
        <v>-0.60557667386069214</v>
      </c>
      <c r="N46" s="191">
        <f>AVERAGE(T44:T46)</f>
        <v>830.6910612964366</v>
      </c>
      <c r="O46" s="192">
        <f>N46/N43-1</f>
        <v>0.87880015146409751</v>
      </c>
      <c r="P46" s="129" t="s">
        <v>888</v>
      </c>
      <c r="Q46" s="116">
        <v>452048</v>
      </c>
      <c r="R46" s="116">
        <v>619628050</v>
      </c>
      <c r="S46" s="116">
        <v>485.16</v>
      </c>
      <c r="T46" s="130">
        <f t="shared" ref="T46" si="76">Q46/S46</f>
        <v>931.75035039986801</v>
      </c>
      <c r="U46" s="85">
        <f t="shared" ref="U46:U51" si="77">Q44+Q45+Q46</f>
        <v>3624539</v>
      </c>
    </row>
    <row r="47" spans="1:21" s="79" customFormat="1" ht="13.2">
      <c r="A47" s="129" t="s">
        <v>1002</v>
      </c>
      <c r="B47" s="188"/>
      <c r="C47" s="188"/>
      <c r="D47" s="190"/>
      <c r="E47" s="287"/>
      <c r="F47" s="136">
        <f>Q47/23</f>
        <v>20786.217391304348</v>
      </c>
      <c r="G47" s="190">
        <f t="shared" ref="G47" si="78">F47/F46-1</f>
        <v>-0.12633585275284342</v>
      </c>
      <c r="H47" s="190">
        <f t="shared" ref="H47" si="79">F47/F35-1</f>
        <v>-0.486359187471059</v>
      </c>
      <c r="I47" s="130">
        <f t="shared" si="0"/>
        <v>745.93240966111216</v>
      </c>
      <c r="J47" s="130">
        <f t="shared" si="5"/>
        <v>6.4690772774893546</v>
      </c>
      <c r="K47" s="136"/>
      <c r="L47" s="190"/>
      <c r="M47" s="190"/>
      <c r="N47" s="191"/>
      <c r="O47" s="192"/>
      <c r="P47" s="129" t="s">
        <v>991</v>
      </c>
      <c r="Q47" s="116">
        <v>478083</v>
      </c>
      <c r="R47" s="116">
        <v>654085957</v>
      </c>
      <c r="S47" s="116">
        <v>640.91999999999996</v>
      </c>
      <c r="T47" s="130">
        <f t="shared" ref="T47" si="80">Q47/S47</f>
        <v>745.93240966111216</v>
      </c>
      <c r="U47" s="85">
        <f t="shared" si="77"/>
        <v>2520283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66074.649999999994</v>
      </c>
      <c r="G48" s="190">
        <f t="shared" ref="G48" si="81">F48/F47-1</f>
        <v>2.1787722006429844</v>
      </c>
      <c r="H48" s="190">
        <f t="shared" ref="H48" si="82">F48/F36-1</f>
        <v>1.711168002157105</v>
      </c>
      <c r="I48" s="130">
        <f t="shared" si="0"/>
        <v>221.27444036442245</v>
      </c>
      <c r="J48" s="130">
        <f t="shared" si="5"/>
        <v>-0.23124623695024416</v>
      </c>
      <c r="K48" s="136"/>
      <c r="L48" s="190"/>
      <c r="M48" s="190"/>
      <c r="N48" s="191"/>
      <c r="O48" s="192"/>
      <c r="P48" s="129" t="s">
        <v>1070</v>
      </c>
      <c r="Q48" s="116">
        <v>1321493</v>
      </c>
      <c r="R48" s="116">
        <v>1834665243</v>
      </c>
      <c r="S48" s="116">
        <v>5972.19</v>
      </c>
      <c r="T48" s="130">
        <f t="shared" ref="T48" si="83">Q48/S48</f>
        <v>221.27444036442245</v>
      </c>
      <c r="U48" s="85">
        <f t="shared" si="77"/>
        <v>2251624</v>
      </c>
    </row>
    <row r="49" spans="1:26" ht="13.2">
      <c r="A49" s="129" t="s">
        <v>1222</v>
      </c>
      <c r="B49" s="188">
        <f>SUM(F47:F49)</f>
        <v>164572.95830039526</v>
      </c>
      <c r="C49" s="188">
        <f>AVERAGE(F47:F49)</f>
        <v>54857.652766798419</v>
      </c>
      <c r="D49" s="190">
        <f>C49/C46-1</f>
        <v>-6.078582626251039E-2</v>
      </c>
      <c r="E49" s="287">
        <f>C49/C37-1</f>
        <v>0.17655473109045561</v>
      </c>
      <c r="F49" s="136">
        <f>Q49/22</f>
        <v>77712.090909090912</v>
      </c>
      <c r="G49" s="190">
        <f t="shared" ref="G49" si="84">F49/F48-1</f>
        <v>0.17612565347059594</v>
      </c>
      <c r="H49" s="190">
        <f t="shared" ref="H49" si="85">F49/F37-1</f>
        <v>3.5645690710725209E-2</v>
      </c>
      <c r="I49" s="130">
        <f t="shared" si="0"/>
        <v>301.91124194525332</v>
      </c>
      <c r="J49" s="130">
        <f t="shared" si="5"/>
        <v>0.87493740835076594</v>
      </c>
      <c r="K49" s="136">
        <f>R47+R48+R49</f>
        <v>4861803357</v>
      </c>
      <c r="L49" s="190">
        <f>U49/U46-1</f>
        <v>-3.1810114334540174E-2</v>
      </c>
      <c r="M49" s="190">
        <f>K49/K37-1</f>
        <v>0.28242257640771928</v>
      </c>
      <c r="N49" s="191">
        <f>AVERAGE(T47:T49)</f>
        <v>423.03936399026264</v>
      </c>
      <c r="O49" s="192">
        <f>N49/N46-1</f>
        <v>-0.49073803282529993</v>
      </c>
      <c r="P49" s="129" t="s">
        <v>1158</v>
      </c>
      <c r="Q49" s="116">
        <v>1709666</v>
      </c>
      <c r="R49" s="116">
        <v>2373052157</v>
      </c>
      <c r="S49" s="116">
        <v>5662.81</v>
      </c>
      <c r="T49" s="130">
        <f t="shared" ref="T49" si="86">Q49/S49</f>
        <v>301.91124194525332</v>
      </c>
      <c r="U49" s="85">
        <f t="shared" si="77"/>
        <v>3509242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117652.83333333333</v>
      </c>
      <c r="G50" s="190">
        <f t="shared" ref="G50" si="87">F50/F49-1</f>
        <v>0.51395789197032227</v>
      </c>
      <c r="H50" s="190">
        <f t="shared" ref="H50" si="88">F50/F38-1</f>
        <v>2.5253264057019122</v>
      </c>
      <c r="I50" s="130">
        <f t="shared" ref="I50" si="89">T50</f>
        <v>341.25350478584551</v>
      </c>
      <c r="J50" s="130">
        <f t="shared" ref="J50" si="90">I50/I38-1</f>
        <v>1.7122432556779348</v>
      </c>
      <c r="K50" s="136"/>
      <c r="L50" s="190"/>
      <c r="M50" s="190"/>
      <c r="N50" s="191"/>
      <c r="O50" s="192"/>
      <c r="P50" s="129" t="s">
        <v>1293</v>
      </c>
      <c r="Q50" s="116">
        <v>2117751</v>
      </c>
      <c r="R50" s="116">
        <v>2982351241</v>
      </c>
      <c r="S50" s="116">
        <v>6205.8</v>
      </c>
      <c r="T50" s="130">
        <f t="shared" ref="T50" si="91">Q50/S50</f>
        <v>341.25350478584551</v>
      </c>
      <c r="U50" s="85">
        <f t="shared" si="77"/>
        <v>5148910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210954.45</v>
      </c>
      <c r="G51" s="190">
        <f t="shared" ref="G51:G52" si="92">F51/F50-1</f>
        <v>0.79302481736521457</v>
      </c>
      <c r="H51" s="190">
        <f t="shared" ref="H51:H52" si="93">F51/F39-1</f>
        <v>6.3961888296939886</v>
      </c>
      <c r="I51" s="130">
        <f t="shared" ref="I51:I52" si="94">T51</f>
        <v>384.46192412800792</v>
      </c>
      <c r="J51" s="130">
        <f t="shared" ref="J51:J52" si="95">I51/I39-1</f>
        <v>0.21648956380845008</v>
      </c>
      <c r="K51" s="136"/>
      <c r="L51" s="190"/>
      <c r="M51" s="190"/>
      <c r="N51" s="191"/>
      <c r="O51" s="192"/>
      <c r="P51" s="129" t="s">
        <v>1402</v>
      </c>
      <c r="Q51" s="116">
        <v>4219089</v>
      </c>
      <c r="R51" s="116">
        <v>6073048663</v>
      </c>
      <c r="S51" s="116">
        <v>10974.01</v>
      </c>
      <c r="T51" s="130">
        <f t="shared" ref="T51:T52" si="96">Q51/S51</f>
        <v>384.46192412800792</v>
      </c>
      <c r="U51" s="85">
        <f t="shared" si="77"/>
        <v>8046506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387384.1015151515</v>
      </c>
      <c r="C52" s="188">
        <f>AVERAGE(F50:F52)</f>
        <v>129128.03383838384</v>
      </c>
      <c r="D52" s="190">
        <f>C52/C49-1</f>
        <v>1.3538745703778305</v>
      </c>
      <c r="E52" s="287">
        <f>C52/C40-1</f>
        <v>0.2370004447110734</v>
      </c>
      <c r="F52" s="136">
        <f>Q52/22</f>
        <v>58776.818181818184</v>
      </c>
      <c r="G52" s="190">
        <f t="shared" si="92"/>
        <v>-0.72137673236180522</v>
      </c>
      <c r="H52" s="190">
        <f t="shared" si="93"/>
        <v>-0.76607957268650817</v>
      </c>
      <c r="I52" s="130">
        <f t="shared" si="94"/>
        <v>501.87851736852321</v>
      </c>
      <c r="J52" s="130">
        <f t="shared" si="95"/>
        <v>0.69868412991542339</v>
      </c>
      <c r="K52" s="136">
        <f>R50+R51+R52</f>
        <v>10958183806</v>
      </c>
      <c r="L52" s="190">
        <f>U52/U49-1</f>
        <v>1.174238767232354</v>
      </c>
      <c r="M52" s="190">
        <f>K52/K40-1</f>
        <v>0.17745143309662326</v>
      </c>
      <c r="N52" s="191">
        <f>AVERAGE(T50:T52)</f>
        <v>409.19798209412556</v>
      </c>
      <c r="O52" s="192">
        <f>N52/N49-1</f>
        <v>-3.2718898226349657E-2</v>
      </c>
      <c r="P52" s="129" t="s">
        <v>1403</v>
      </c>
      <c r="Q52" s="116">
        <v>1293090</v>
      </c>
      <c r="R52" s="116">
        <v>1902783902</v>
      </c>
      <c r="S52" s="116">
        <v>2576.5</v>
      </c>
      <c r="T52" s="130">
        <f t="shared" si="96"/>
        <v>501.87851736852321</v>
      </c>
      <c r="U52" s="85">
        <f t="shared" ref="U52" si="97">Q50+Q51+Q52</f>
        <v>7629930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72349.428571428565</v>
      </c>
      <c r="G53" s="190">
        <f t="shared" ref="G53" si="98">F53/F52-1</f>
        <v>0.23091774630646622</v>
      </c>
      <c r="H53" s="190">
        <f t="shared" ref="H53" si="99">F53/F41-1</f>
        <v>2.008222758277042</v>
      </c>
      <c r="I53" s="130">
        <f t="shared" ref="I53" si="100">T53</f>
        <v>218.37287317068964</v>
      </c>
      <c r="J53" s="130">
        <f t="shared" ref="J53" si="101">I53/I41-1</f>
        <v>-0.4518710235996708</v>
      </c>
      <c r="K53" s="136"/>
      <c r="L53" s="190"/>
      <c r="M53" s="190"/>
      <c r="N53" s="191"/>
      <c r="O53" s="192"/>
      <c r="P53" s="129" t="s">
        <v>1414</v>
      </c>
      <c r="Q53" s="116">
        <v>1519338</v>
      </c>
      <c r="R53" s="116">
        <v>2206394429</v>
      </c>
      <c r="S53" s="116">
        <v>6957.54</v>
      </c>
      <c r="T53" s="130">
        <f t="shared" ref="T53" si="102">Q53/S53</f>
        <v>218.37287317068964</v>
      </c>
      <c r="U53" s="85">
        <f t="shared" ref="U53" si="103">Q51+Q52+Q53</f>
        <v>7031517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60407.882352941175</v>
      </c>
      <c r="G54" s="190">
        <f t="shared" ref="G54" si="104">F54/F53-1</f>
        <v>-0.16505377380690489</v>
      </c>
      <c r="H54" s="190">
        <f t="shared" ref="H54" si="105">F54/F42-1</f>
        <v>-0.61666866121268449</v>
      </c>
      <c r="I54" s="130">
        <f t="shared" ref="I54" si="106">T54</f>
        <v>475.21240166589541</v>
      </c>
      <c r="J54" s="130">
        <f t="shared" ref="J54" si="107">I54/I42-1</f>
        <v>1.9013475406322549</v>
      </c>
      <c r="K54" s="136"/>
      <c r="L54" s="190"/>
      <c r="M54" s="190"/>
      <c r="N54" s="191"/>
      <c r="O54" s="192"/>
      <c r="P54" s="129" t="s">
        <v>1417</v>
      </c>
      <c r="Q54" s="116">
        <v>1026934</v>
      </c>
      <c r="R54" s="116">
        <v>1485866517</v>
      </c>
      <c r="S54" s="116">
        <v>2161</v>
      </c>
      <c r="T54" s="130">
        <f t="shared" ref="T54" si="108">Q54/S54</f>
        <v>475.21240166589541</v>
      </c>
      <c r="U54" s="85">
        <f t="shared" ref="U54" si="109">Q52+Q53+Q54</f>
        <v>3839362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267286.31092436973</v>
      </c>
      <c r="C55" s="188">
        <f>AVERAGE(F53:F55)</f>
        <v>89095.436974789904</v>
      </c>
      <c r="D55" s="190">
        <f>C55/C52-1</f>
        <v>-0.31002250768952766</v>
      </c>
      <c r="E55" s="287">
        <f>C55/C43-1</f>
        <v>0.24055952905693045</v>
      </c>
      <c r="F55" s="136">
        <f>Q55/21</f>
        <v>134529</v>
      </c>
      <c r="G55" s="190">
        <f t="shared" ref="G55" si="110">F55/F54-1</f>
        <v>1.2270106939686487</v>
      </c>
      <c r="H55" s="190">
        <f t="shared" ref="H55" si="111">F55/F43-1</f>
        <v>2.9779000623907792</v>
      </c>
      <c r="I55" s="130">
        <f>T55</f>
        <v>240.3812086156108</v>
      </c>
      <c r="J55" s="130">
        <f t="shared" ref="J55" si="112">I55/I43-1</f>
        <v>-0.68545971258069205</v>
      </c>
      <c r="K55" s="136">
        <f>R53+R54+R55</f>
        <v>7831807773</v>
      </c>
      <c r="L55" s="190">
        <f>U55/U52-1</f>
        <v>-0.29601175895453824</v>
      </c>
      <c r="M55" s="190">
        <f>K55/K43-1</f>
        <v>0.27232843442073951</v>
      </c>
      <c r="N55" s="191">
        <f>AVERAGE(T53:T55)</f>
        <v>311.32216115073197</v>
      </c>
      <c r="O55" s="192">
        <f>N55/N52-1</f>
        <v>-0.23918940274949785</v>
      </c>
      <c r="P55" s="129" t="s">
        <v>1418</v>
      </c>
      <c r="Q55" s="116">
        <v>2825109</v>
      </c>
      <c r="R55" s="116">
        <v>4139546827</v>
      </c>
      <c r="S55" s="116">
        <v>11752.62</v>
      </c>
      <c r="T55" s="130">
        <f t="shared" ref="T55" si="113">Q55/S55</f>
        <v>240.3812086156108</v>
      </c>
      <c r="U55" s="85">
        <f t="shared" ref="U55" si="114">Q53+Q54+Q55</f>
        <v>5371381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58750.318181818184</v>
      </c>
      <c r="G56" s="190">
        <f t="shared" ref="G56" si="115">F56/F55-1</f>
        <v>-0.56328882113285472</v>
      </c>
      <c r="H56" s="190">
        <f t="shared" ref="H56" si="116">F56/F44-1</f>
        <v>-0.18316681823553616</v>
      </c>
      <c r="I56" s="291">
        <f>T56</f>
        <v>74.810846790530761</v>
      </c>
      <c r="J56" s="130">
        <f t="shared" ref="J56" si="117">I56/I44-1</f>
        <v>-0.73896324382212031</v>
      </c>
      <c r="K56" s="136"/>
      <c r="L56" s="190"/>
      <c r="M56" s="190"/>
      <c r="N56" s="191"/>
      <c r="O56" s="192"/>
      <c r="P56" s="129" t="s">
        <v>1420</v>
      </c>
      <c r="Q56" s="116">
        <v>1292507</v>
      </c>
      <c r="R56" s="116">
        <v>1926895977</v>
      </c>
      <c r="S56" s="116">
        <v>17277</v>
      </c>
      <c r="T56" s="130">
        <f t="shared" ref="T56" si="118">Q56/S56</f>
        <v>74.810846790530761</v>
      </c>
      <c r="U56" s="85">
        <f t="shared" ref="U56" si="119">Q54+Q55+Q56</f>
        <v>5144550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121196.33333333333</v>
      </c>
      <c r="G57" s="254">
        <f t="shared" ref="G57" si="120">F57/F56-1</f>
        <v>1.0629051396497915</v>
      </c>
      <c r="H57" s="254">
        <f t="shared" ref="H57" si="121">F57/F45-1</f>
        <v>0.52433645756296654</v>
      </c>
      <c r="I57" s="282">
        <f>T57</f>
        <v>560.70043410876622</v>
      </c>
      <c r="J57" s="277">
        <f t="shared" ref="J57" si="122">I57/I45-1</f>
        <v>-0.5597970282400262</v>
      </c>
      <c r="K57" s="204"/>
      <c r="L57" s="254"/>
      <c r="M57" s="254"/>
      <c r="N57" s="257"/>
      <c r="O57" s="258"/>
      <c r="P57" s="129" t="s">
        <v>1436</v>
      </c>
      <c r="Q57" s="116">
        <v>1454356</v>
      </c>
      <c r="R57" s="116">
        <v>2144484313</v>
      </c>
      <c r="S57" s="116">
        <v>2593.8200000000002</v>
      </c>
      <c r="T57" s="130">
        <f t="shared" ref="T57" si="123">Q57/S57</f>
        <v>560.70043410876622</v>
      </c>
      <c r="U57" s="85">
        <f t="shared" ref="U57" si="124">Q55+Q56+Q57</f>
        <v>5571972</v>
      </c>
      <c r="V57" s="79"/>
      <c r="W57" s="79"/>
      <c r="X57" s="79"/>
      <c r="Y57" s="79"/>
      <c r="Z57" s="79"/>
    </row>
    <row r="58" spans="1:26">
      <c r="B58" s="196">
        <f>SUM(F56:F58)</f>
        <v>179946.65151515152</v>
      </c>
      <c r="C58" s="196">
        <f>AVERAGE(F56:F58)</f>
        <v>89973.32575757576</v>
      </c>
      <c r="D58" s="197">
        <f>C58/C55-1</f>
        <v>9.8533529055395697E-3</v>
      </c>
      <c r="E58" s="233">
        <f>C58/C46-1</f>
        <v>0.5404272430146726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8118244</v>
      </c>
      <c r="R65" s="212">
        <v>11903188063</v>
      </c>
      <c r="S65" s="213">
        <v>40741.99</v>
      </c>
      <c r="T65" s="214">
        <v>34</v>
      </c>
      <c r="U65" s="214">
        <v>82</v>
      </c>
    </row>
    <row r="66" spans="16:21" ht="18" thickBot="1">
      <c r="P66" s="180" t="s">
        <v>976</v>
      </c>
      <c r="Q66" s="181">
        <v>1519338</v>
      </c>
      <c r="R66" s="181">
        <v>2206394429</v>
      </c>
      <c r="S66" s="182">
        <v>6957.54</v>
      </c>
      <c r="T66" s="210">
        <v>11</v>
      </c>
      <c r="U66" s="210">
        <v>35</v>
      </c>
    </row>
    <row r="67" spans="16:21" ht="18" thickBot="1">
      <c r="P67" s="180" t="s">
        <v>977</v>
      </c>
      <c r="Q67" s="181">
        <v>1026934</v>
      </c>
      <c r="R67" s="181">
        <v>1485866517</v>
      </c>
      <c r="S67" s="182">
        <v>2161</v>
      </c>
      <c r="T67" s="210">
        <v>15</v>
      </c>
      <c r="U67" s="210">
        <v>29</v>
      </c>
    </row>
    <row r="68" spans="16:21" ht="18" thickBot="1">
      <c r="P68" s="180" t="s">
        <v>978</v>
      </c>
      <c r="Q68" s="181">
        <v>2825109</v>
      </c>
      <c r="R68" s="181">
        <v>4139546827</v>
      </c>
      <c r="S68" s="182">
        <v>11752.62</v>
      </c>
      <c r="T68" s="210">
        <v>17</v>
      </c>
      <c r="U68" s="210">
        <v>39</v>
      </c>
    </row>
    <row r="69" spans="16:21" ht="18" thickBot="1">
      <c r="P69" s="180" t="s">
        <v>979</v>
      </c>
      <c r="Q69" s="181">
        <v>1292507</v>
      </c>
      <c r="R69" s="181">
        <v>1926895977</v>
      </c>
      <c r="S69" s="182">
        <v>17277</v>
      </c>
      <c r="T69" s="210">
        <v>15</v>
      </c>
      <c r="U69" s="210">
        <v>35</v>
      </c>
    </row>
    <row r="70" spans="16:21" ht="18" thickBot="1">
      <c r="P70" s="180" t="s">
        <v>980</v>
      </c>
      <c r="Q70" s="181">
        <v>1454356</v>
      </c>
      <c r="R70" s="181">
        <v>2144484313</v>
      </c>
      <c r="S70" s="182">
        <v>2593.8200000000002</v>
      </c>
      <c r="T70" s="210">
        <v>14</v>
      </c>
      <c r="U70" s="210">
        <v>35</v>
      </c>
    </row>
    <row r="71" spans="16:21" ht="18" thickBot="1">
      <c r="P71" s="180" t="s">
        <v>975</v>
      </c>
      <c r="Q71" s="181">
        <v>18989908</v>
      </c>
      <c r="R71" s="181">
        <v>27106007295</v>
      </c>
      <c r="S71" s="182">
        <v>60500.75</v>
      </c>
      <c r="T71" s="210">
        <v>49</v>
      </c>
      <c r="U71" s="210">
        <v>147</v>
      </c>
    </row>
    <row r="72" spans="16:21" ht="18" thickBot="1">
      <c r="P72" s="215" t="s">
        <v>982</v>
      </c>
      <c r="Q72" s="217" t="s">
        <v>1526</v>
      </c>
      <c r="R72"/>
      <c r="S72"/>
      <c r="T72"/>
      <c r="U72"/>
    </row>
  </sheetData>
  <phoneticPr fontId="1" type="noConversion"/>
  <conditionalFormatting sqref="C29:C30">
    <cfRule type="cellIs" dxfId="7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47"/>
  <dimension ref="A1:Z72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39843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2811111000</v>
      </c>
      <c r="L2" s="96" t="s">
        <v>196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85" t="s">
        <v>277</v>
      </c>
      <c r="F4" s="84" t="s">
        <v>72</v>
      </c>
      <c r="G4" s="172" t="s">
        <v>282</v>
      </c>
      <c r="H4" s="172" t="s">
        <v>277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661685.94999999995</v>
      </c>
      <c r="G5" s="90"/>
      <c r="H5" s="90"/>
      <c r="I5" s="130">
        <f t="shared" ref="I5:I49" si="0">T5</f>
        <v>2.2436578360337203</v>
      </c>
      <c r="J5" s="130"/>
      <c r="L5" s="80"/>
      <c r="M5" s="80"/>
      <c r="P5" s="129" t="s">
        <v>0</v>
      </c>
      <c r="Q5" s="116">
        <v>13233719</v>
      </c>
      <c r="R5" s="116"/>
      <c r="S5" s="116">
        <v>5898278.5999999996</v>
      </c>
      <c r="T5" s="130">
        <f t="shared" ref="T5:T23" si="1">Q5/S5</f>
        <v>2.2436578360337203</v>
      </c>
      <c r="U5" s="85"/>
    </row>
    <row r="6" spans="1:21" ht="15" hidden="1" customHeight="1">
      <c r="A6" s="129" t="s">
        <v>1</v>
      </c>
      <c r="C6" s="79"/>
      <c r="F6" s="78">
        <f>Q6/18</f>
        <v>598633.66666666663</v>
      </c>
      <c r="G6" s="90">
        <f t="shared" ref="G6:G23" si="2">F6/F5-1</f>
        <v>-9.5290346324163777E-2</v>
      </c>
      <c r="H6" s="90"/>
      <c r="I6" s="130">
        <f t="shared" si="0"/>
        <v>2.0552632306757701</v>
      </c>
      <c r="J6" s="130"/>
      <c r="P6" s="129" t="s">
        <v>1</v>
      </c>
      <c r="Q6" s="116">
        <v>10775406</v>
      </c>
      <c r="R6" s="116"/>
      <c r="S6" s="116">
        <v>5242835</v>
      </c>
      <c r="T6" s="130">
        <f t="shared" si="1"/>
        <v>2.0552632306757701</v>
      </c>
      <c r="U6" s="85"/>
    </row>
    <row r="7" spans="1:21" ht="15" hidden="1" customHeight="1">
      <c r="A7" s="129" t="s">
        <v>2</v>
      </c>
      <c r="B7" s="131">
        <f>F5+F6+F7</f>
        <v>1679324.0257575759</v>
      </c>
      <c r="C7" s="131">
        <f>AVERAGE(F5:F7)</f>
        <v>559774.67525252525</v>
      </c>
      <c r="F7" s="78">
        <f>Q7/22</f>
        <v>419004.40909090912</v>
      </c>
      <c r="G7" s="90">
        <f t="shared" si="2"/>
        <v>-0.30006541158297284</v>
      </c>
      <c r="H7" s="90"/>
      <c r="I7" s="130">
        <f t="shared" si="0"/>
        <v>1.9876132332507936</v>
      </c>
      <c r="J7" s="130"/>
      <c r="K7" s="79">
        <f>R5+R6+R7</f>
        <v>0</v>
      </c>
      <c r="N7" s="88">
        <f>AVERAGE(T5:T7)</f>
        <v>2.0955114333200946</v>
      </c>
      <c r="P7" s="129" t="s">
        <v>2</v>
      </c>
      <c r="Q7" s="116">
        <v>9218097</v>
      </c>
      <c r="R7" s="116"/>
      <c r="S7" s="116">
        <v>4637772</v>
      </c>
      <c r="T7" s="130">
        <f t="shared" si="1"/>
        <v>1.9876132332507936</v>
      </c>
      <c r="U7" s="85">
        <f>Q5+Q6+Q7</f>
        <v>33227222</v>
      </c>
    </row>
    <row r="8" spans="1:21" ht="15" hidden="1" customHeight="1">
      <c r="A8" s="129" t="s">
        <v>3</v>
      </c>
      <c r="C8" s="79"/>
      <c r="F8" s="78">
        <f>Q8/21</f>
        <v>545839.80952380947</v>
      </c>
      <c r="G8" s="90">
        <f t="shared" si="2"/>
        <v>0.30270660088777634</v>
      </c>
      <c r="H8" s="90"/>
      <c r="I8" s="130">
        <f t="shared" si="0"/>
        <v>1.965112698840473</v>
      </c>
      <c r="J8" s="130"/>
      <c r="K8" s="78"/>
      <c r="P8" s="129" t="s">
        <v>3</v>
      </c>
      <c r="Q8" s="116">
        <v>11462636</v>
      </c>
      <c r="R8" s="116"/>
      <c r="S8" s="116">
        <v>5833068</v>
      </c>
      <c r="T8" s="130">
        <f t="shared" si="1"/>
        <v>1.965112698840473</v>
      </c>
      <c r="U8" s="85"/>
    </row>
    <row r="9" spans="1:21" ht="15" hidden="1" customHeight="1">
      <c r="A9" s="129" t="s">
        <v>4</v>
      </c>
      <c r="C9" s="79"/>
      <c r="F9" s="78">
        <f>Q9/21</f>
        <v>368236.14285714284</v>
      </c>
      <c r="G9" s="90">
        <f t="shared" si="2"/>
        <v>-0.32537690283456611</v>
      </c>
      <c r="H9" s="90"/>
      <c r="I9" s="130">
        <f t="shared" si="0"/>
        <v>2.1260659598071601</v>
      </c>
      <c r="J9" s="130"/>
      <c r="K9" s="78"/>
      <c r="P9" s="129" t="s">
        <v>4</v>
      </c>
      <c r="Q9" s="116">
        <v>7732959</v>
      </c>
      <c r="R9" s="116"/>
      <c r="S9" s="116">
        <v>3637215</v>
      </c>
      <c r="T9" s="130">
        <f t="shared" si="1"/>
        <v>2.1260659598071601</v>
      </c>
      <c r="U9" s="85"/>
    </row>
    <row r="10" spans="1:21" ht="15" hidden="1" customHeight="1">
      <c r="A10" s="129" t="s">
        <v>5</v>
      </c>
      <c r="B10" s="131">
        <f>F8+F9+F10</f>
        <v>1141522</v>
      </c>
      <c r="C10" s="131">
        <f>AVERAGE(F8:F10)</f>
        <v>380507.33333333331</v>
      </c>
      <c r="D10" s="90">
        <f>C10/C7-1</f>
        <v>-0.32024911065925044</v>
      </c>
      <c r="E10" s="286"/>
      <c r="F10" s="78">
        <f>Q10/21</f>
        <v>227446.04761904763</v>
      </c>
      <c r="G10" s="90">
        <f t="shared" si="2"/>
        <v>-0.38233643809568874</v>
      </c>
      <c r="H10" s="90"/>
      <c r="I10" s="130">
        <f t="shared" si="0"/>
        <v>2.0319250627802137</v>
      </c>
      <c r="J10" s="130"/>
      <c r="K10" s="79">
        <f>R8+R9+R10</f>
        <v>0</v>
      </c>
      <c r="L10" s="87">
        <f>U10/U7-1</f>
        <v>-0.27854450185453361</v>
      </c>
      <c r="N10" s="88">
        <f>AVERAGE(T8:T10)</f>
        <v>2.0410345738092825</v>
      </c>
      <c r="O10" s="89">
        <f>N10/N7-1</f>
        <v>-2.5996927835654771E-2</v>
      </c>
      <c r="P10" s="129" t="s">
        <v>5</v>
      </c>
      <c r="Q10" s="116">
        <v>4776367</v>
      </c>
      <c r="R10" s="116"/>
      <c r="S10" s="116">
        <v>2350661</v>
      </c>
      <c r="T10" s="130">
        <f t="shared" si="1"/>
        <v>2.0319250627802137</v>
      </c>
      <c r="U10" s="85">
        <f>Q8+Q9+Q10</f>
        <v>23971962</v>
      </c>
    </row>
    <row r="11" spans="1:21" ht="15" hidden="1" customHeight="1">
      <c r="A11" s="129" t="s">
        <v>6</v>
      </c>
      <c r="C11" s="79"/>
      <c r="F11" s="78">
        <f>Q11/21</f>
        <v>379447.19047619047</v>
      </c>
      <c r="G11" s="90">
        <f t="shared" si="2"/>
        <v>0.66829538014980838</v>
      </c>
      <c r="H11" s="90"/>
      <c r="I11" s="130">
        <f t="shared" si="0"/>
        <v>1.9624432697507956</v>
      </c>
      <c r="J11" s="130"/>
      <c r="K11" s="78"/>
      <c r="O11" s="89"/>
      <c r="P11" s="129" t="s">
        <v>6</v>
      </c>
      <c r="Q11" s="116">
        <v>7968391</v>
      </c>
      <c r="R11" s="116"/>
      <c r="S11" s="116">
        <v>4060444</v>
      </c>
      <c r="T11" s="130">
        <f t="shared" si="1"/>
        <v>1.9624432697507956</v>
      </c>
      <c r="U11" s="85"/>
    </row>
    <row r="12" spans="1:21" ht="15" hidden="1" customHeight="1">
      <c r="A12" s="129" t="s">
        <v>7</v>
      </c>
      <c r="C12" s="79"/>
      <c r="F12" s="78">
        <f>Q12/22</f>
        <v>365505.27272727271</v>
      </c>
      <c r="G12" s="90">
        <f t="shared" si="2"/>
        <v>-3.6742709127510542E-2</v>
      </c>
      <c r="H12" s="90"/>
      <c r="I12" s="130">
        <f t="shared" si="0"/>
        <v>1.9730141877818179</v>
      </c>
      <c r="J12" s="130"/>
      <c r="K12" s="78"/>
      <c r="O12" s="89"/>
      <c r="P12" s="129" t="s">
        <v>7</v>
      </c>
      <c r="Q12" s="116">
        <v>8041116</v>
      </c>
      <c r="R12" s="116"/>
      <c r="S12" s="116">
        <v>4075549</v>
      </c>
      <c r="T12" s="130">
        <f t="shared" si="1"/>
        <v>1.9730141877818179</v>
      </c>
      <c r="U12" s="85"/>
    </row>
    <row r="13" spans="1:21" ht="15" hidden="1" customHeight="1">
      <c r="A13" s="129" t="s">
        <v>96</v>
      </c>
      <c r="B13" s="131">
        <f>F11+F12+F13</f>
        <v>1119983.3632034631</v>
      </c>
      <c r="C13" s="131">
        <f>AVERAGE(F11:F13)</f>
        <v>373327.78773448773</v>
      </c>
      <c r="D13" s="90">
        <f>C13/C10-1</f>
        <v>-1.8868350147028923E-2</v>
      </c>
      <c r="E13" s="286"/>
      <c r="F13" s="78">
        <f>Q13/20</f>
        <v>375030.9</v>
      </c>
      <c r="G13" s="90">
        <f t="shared" si="2"/>
        <v>2.6061531757532341E-2</v>
      </c>
      <c r="H13" s="90"/>
      <c r="I13" s="130">
        <f t="shared" si="0"/>
        <v>1.8947435381755111</v>
      </c>
      <c r="J13" s="130"/>
      <c r="K13" s="78">
        <f>R11+R12+R13</f>
        <v>0</v>
      </c>
      <c r="L13" s="87">
        <f>U13/U10-1</f>
        <v>-1.9265715505472625E-2</v>
      </c>
      <c r="N13" s="88">
        <f>AVERAGE(T11:T13)</f>
        <v>1.9434003319027082</v>
      </c>
      <c r="O13" s="89">
        <f>N13/N10-1</f>
        <v>-4.7835662932624756E-2</v>
      </c>
      <c r="P13" s="129" t="s">
        <v>96</v>
      </c>
      <c r="Q13" s="116">
        <v>7500618</v>
      </c>
      <c r="R13" s="116"/>
      <c r="S13" s="116">
        <v>3958645.51</v>
      </c>
      <c r="T13" s="130">
        <f t="shared" si="1"/>
        <v>1.8947435381755111</v>
      </c>
      <c r="U13" s="85">
        <f>Q11+Q12+Q13</f>
        <v>23510125</v>
      </c>
    </row>
    <row r="14" spans="1:21" ht="15" hidden="1" customHeight="1">
      <c r="A14" s="129" t="s">
        <v>97</v>
      </c>
      <c r="C14" s="79"/>
      <c r="F14" s="78">
        <f>Q14/20</f>
        <v>329429</v>
      </c>
      <c r="G14" s="90">
        <f t="shared" si="2"/>
        <v>-0.12159504723477454</v>
      </c>
      <c r="H14" s="90"/>
      <c r="I14" s="130">
        <f t="shared" si="0"/>
        <v>2.0749064736673835</v>
      </c>
      <c r="J14" s="130"/>
      <c r="O14" s="89"/>
      <c r="P14" s="129" t="s">
        <v>97</v>
      </c>
      <c r="Q14" s="116">
        <v>6588580</v>
      </c>
      <c r="R14" s="116"/>
      <c r="S14" s="116">
        <v>3175362.4</v>
      </c>
      <c r="T14" s="130">
        <f t="shared" si="1"/>
        <v>2.0749064736673835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448625.63636363635</v>
      </c>
      <c r="G15" s="90">
        <f t="shared" si="2"/>
        <v>0.3618280004603005</v>
      </c>
      <c r="H15" s="90"/>
      <c r="I15" s="130">
        <f t="shared" si="0"/>
        <v>1.8129851045108956</v>
      </c>
      <c r="J15" s="130"/>
      <c r="O15" s="89"/>
      <c r="P15" s="129" t="s">
        <v>98</v>
      </c>
      <c r="Q15" s="116">
        <v>9869764</v>
      </c>
      <c r="R15" s="116"/>
      <c r="S15" s="116">
        <v>5443930</v>
      </c>
      <c r="T15" s="130">
        <f t="shared" si="1"/>
        <v>1.8129851045108956</v>
      </c>
      <c r="U15" s="78"/>
    </row>
    <row r="16" spans="1:21" ht="15" hidden="1" customHeight="1">
      <c r="A16" s="129" t="s">
        <v>99</v>
      </c>
      <c r="B16" s="131">
        <f>F14+F15+F16</f>
        <v>1272340.4545454546</v>
      </c>
      <c r="C16" s="131">
        <f>AVERAGE(F14:F16)</f>
        <v>424113.48484848486</v>
      </c>
      <c r="D16" s="90">
        <f>C16/C13-1</f>
        <v>0.13603513797402123</v>
      </c>
      <c r="E16" s="286"/>
      <c r="F16" s="78">
        <f>Q16/22</f>
        <v>494285.81818181818</v>
      </c>
      <c r="G16" s="90">
        <f t="shared" si="2"/>
        <v>0.10177791485186471</v>
      </c>
      <c r="H16" s="90"/>
      <c r="I16" s="130">
        <f t="shared" si="0"/>
        <v>1.9350447901001786</v>
      </c>
      <c r="J16" s="130"/>
      <c r="K16" s="78">
        <f>R14+R15+R16</f>
        <v>0</v>
      </c>
      <c r="L16" s="87">
        <f>U16/U13-1</f>
        <v>0.16258982034336267</v>
      </c>
      <c r="N16" s="88">
        <f>AVERAGE(T14:T16)</f>
        <v>1.9409787894261525</v>
      </c>
      <c r="O16" s="89">
        <f>N16/N13-1</f>
        <v>-1.2460337876883942E-3</v>
      </c>
      <c r="P16" s="129" t="s">
        <v>99</v>
      </c>
      <c r="Q16" s="116">
        <v>10874288</v>
      </c>
      <c r="R16" s="116"/>
      <c r="S16" s="116">
        <v>5619657</v>
      </c>
      <c r="T16" s="130">
        <f t="shared" si="1"/>
        <v>1.9350447901001786</v>
      </c>
      <c r="U16" s="85">
        <f>Q14+Q15+Q16</f>
        <v>27332632</v>
      </c>
    </row>
    <row r="17" spans="1:21" ht="15" hidden="1" customHeight="1">
      <c r="A17" s="129" t="s">
        <v>100</v>
      </c>
      <c r="C17" s="79"/>
      <c r="F17" s="78">
        <f>Q17/20</f>
        <v>461502.7</v>
      </c>
      <c r="G17" s="90">
        <f t="shared" si="2"/>
        <v>-6.6324213594490034E-2</v>
      </c>
      <c r="H17" s="90">
        <f t="shared" ref="H17:H23" si="3">F17/F5-1</f>
        <v>-0.30253513770392126</v>
      </c>
      <c r="I17" s="130">
        <f t="shared" si="0"/>
        <v>1.9931120351303915</v>
      </c>
      <c r="J17" s="130">
        <f t="shared" ref="J17:J49" si="4">I17/I5-1</f>
        <v>-0.11166845357589694</v>
      </c>
      <c r="O17" s="89"/>
      <c r="P17" s="129" t="s">
        <v>100</v>
      </c>
      <c r="Q17" s="116">
        <v>9230054</v>
      </c>
      <c r="R17" s="116">
        <v>11590581206</v>
      </c>
      <c r="S17" s="116">
        <v>4630976</v>
      </c>
      <c r="T17" s="130">
        <f t="shared" si="1"/>
        <v>1.9931120351303915</v>
      </c>
      <c r="U17" s="78"/>
    </row>
    <row r="18" spans="1:21" ht="15" hidden="1" customHeight="1">
      <c r="A18" s="129" t="s">
        <v>106</v>
      </c>
      <c r="C18" s="79"/>
      <c r="F18" s="78">
        <f>Q18/20</f>
        <v>408999.55</v>
      </c>
      <c r="G18" s="90">
        <f t="shared" si="2"/>
        <v>-0.11376563994100153</v>
      </c>
      <c r="H18" s="90">
        <f t="shared" si="3"/>
        <v>-0.31677823554861873</v>
      </c>
      <c r="I18" s="130">
        <f t="shared" si="0"/>
        <v>2.0126956948883823</v>
      </c>
      <c r="J18" s="130">
        <f t="shared" si="4"/>
        <v>-2.0711476346215618E-2</v>
      </c>
      <c r="O18" s="89"/>
      <c r="P18" s="129" t="s">
        <v>106</v>
      </c>
      <c r="Q18" s="116">
        <v>8179991</v>
      </c>
      <c r="R18" s="116">
        <v>10222333631</v>
      </c>
      <c r="S18" s="116">
        <v>4064196.6</v>
      </c>
      <c r="T18" s="130">
        <f t="shared" si="1"/>
        <v>2.0126956948883823</v>
      </c>
      <c r="U18" s="78"/>
    </row>
    <row r="19" spans="1:21" hidden="1">
      <c r="A19" s="129" t="s">
        <v>114</v>
      </c>
      <c r="B19" s="131">
        <f>SUM(F17:F19)</f>
        <v>1305240.1136363638</v>
      </c>
      <c r="C19" s="131">
        <f>AVERAGE(F17:F19)</f>
        <v>435080.0378787879</v>
      </c>
      <c r="D19" s="90">
        <f>C19/C16-1</f>
        <v>2.585759100355145E-2</v>
      </c>
      <c r="E19" s="286">
        <f>C19/C7-1</f>
        <v>-0.22275862572290395</v>
      </c>
      <c r="F19" s="78">
        <f>Q19/22</f>
        <v>434737.86363636365</v>
      </c>
      <c r="G19" s="90">
        <f t="shared" si="2"/>
        <v>6.2929931429908992E-2</v>
      </c>
      <c r="H19" s="90">
        <f t="shared" si="3"/>
        <v>3.7549615717864526E-2</v>
      </c>
      <c r="I19" s="130">
        <f t="shared" si="0"/>
        <v>1.9860054811086973</v>
      </c>
      <c r="J19" s="130">
        <f t="shared" si="4"/>
        <v>-8.0888581098181866E-4</v>
      </c>
      <c r="K19" s="78">
        <f>R17+R18+R19</f>
        <v>34309800230</v>
      </c>
      <c r="L19" s="87">
        <f>U19/U16-1</f>
        <v>-1.3110848600310421E-2</v>
      </c>
      <c r="M19" s="87">
        <f>U19/U7-1</f>
        <v>-0.18818738442834615</v>
      </c>
      <c r="N19" s="88">
        <f>AVERAGE(T17:T19)</f>
        <v>1.9972710703758236</v>
      </c>
      <c r="O19" s="89">
        <f>N19/N16-1</f>
        <v>2.9002007263723817E-2</v>
      </c>
      <c r="P19" s="129" t="s">
        <v>114</v>
      </c>
      <c r="Q19" s="116">
        <v>9564233</v>
      </c>
      <c r="R19" s="116">
        <v>12496885393</v>
      </c>
      <c r="S19" s="116">
        <v>4815814</v>
      </c>
      <c r="T19" s="130">
        <f t="shared" si="1"/>
        <v>1.9860054811086973</v>
      </c>
      <c r="U19" s="85">
        <f>Q17+Q18+Q19</f>
        <v>26974278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324486.8</v>
      </c>
      <c r="G20" s="90">
        <f t="shared" si="2"/>
        <v>-0.25360354562671161</v>
      </c>
      <c r="H20" s="90">
        <f t="shared" si="3"/>
        <v>-0.40552741969648165</v>
      </c>
      <c r="I20" s="130">
        <f t="shared" si="0"/>
        <v>1.8713551065274021</v>
      </c>
      <c r="J20" s="130">
        <f t="shared" si="4"/>
        <v>-4.7711051060019716E-2</v>
      </c>
      <c r="O20" s="89"/>
      <c r="P20" s="129" t="s">
        <v>131</v>
      </c>
      <c r="Q20" s="116">
        <v>6489736</v>
      </c>
      <c r="R20" s="116">
        <v>8509576425</v>
      </c>
      <c r="S20" s="116">
        <v>3467934</v>
      </c>
      <c r="T20" s="130">
        <f t="shared" si="1"/>
        <v>1.8713551065274021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331817.95238095237</v>
      </c>
      <c r="G21" s="90">
        <f t="shared" si="2"/>
        <v>2.2593068133903715E-2</v>
      </c>
      <c r="H21" s="90">
        <f t="shared" si="3"/>
        <v>-9.8899011361627598E-2</v>
      </c>
      <c r="I21" s="130">
        <f t="shared" si="0"/>
        <v>1.8337959857467565</v>
      </c>
      <c r="J21" s="130">
        <f t="shared" si="4"/>
        <v>-0.1374698525754644</v>
      </c>
      <c r="O21" s="89"/>
      <c r="P21" s="129" t="s">
        <v>141</v>
      </c>
      <c r="Q21" s="116">
        <v>6968177</v>
      </c>
      <c r="R21" s="116">
        <v>9284971872</v>
      </c>
      <c r="S21" s="116">
        <v>3799864.9</v>
      </c>
      <c r="T21" s="130">
        <f t="shared" si="1"/>
        <v>1.8337959857467565</v>
      </c>
      <c r="U21" s="78"/>
    </row>
    <row r="22" spans="1:21" hidden="1">
      <c r="A22" s="129" t="s">
        <v>155</v>
      </c>
      <c r="B22" s="131">
        <f>SUM(F20:F22)</f>
        <v>992680.75238095236</v>
      </c>
      <c r="C22" s="131">
        <f>AVERAGE(F20:F22)</f>
        <v>330893.58412698412</v>
      </c>
      <c r="D22" s="90">
        <f>C22/C19-1</f>
        <v>-0.23946502868704322</v>
      </c>
      <c r="E22" s="286">
        <f>C22/C10-1</f>
        <v>-0.13038841793592026</v>
      </c>
      <c r="F22" s="78">
        <f>Q22/21</f>
        <v>336376</v>
      </c>
      <c r="G22" s="90">
        <f t="shared" si="2"/>
        <v>1.373659136385319E-2</v>
      </c>
      <c r="H22" s="90">
        <f t="shared" si="3"/>
        <v>0.47892655652298055</v>
      </c>
      <c r="I22" s="130">
        <f t="shared" si="0"/>
        <v>1.8506107576979363</v>
      </c>
      <c r="J22" s="130">
        <f t="shared" si="4"/>
        <v>-8.9232771623079077E-2</v>
      </c>
      <c r="K22" s="78">
        <f>R20+R21+R22</f>
        <v>27022717148</v>
      </c>
      <c r="L22" s="87">
        <f>U22/U19-1</f>
        <v>-0.23920821902999589</v>
      </c>
      <c r="M22" s="87">
        <f>U22/U10-1</f>
        <v>-0.14392451481443191</v>
      </c>
      <c r="N22" s="88">
        <f>AVERAGE(T20:T22)</f>
        <v>1.851920616657365</v>
      </c>
      <c r="O22" s="89">
        <f>N22/N19-1</f>
        <v>-7.2774525137996537E-2</v>
      </c>
      <c r="P22" s="129" t="s">
        <v>155</v>
      </c>
      <c r="Q22" s="116">
        <v>7063896</v>
      </c>
      <c r="R22" s="116">
        <v>9228168851</v>
      </c>
      <c r="S22" s="116">
        <v>3817062</v>
      </c>
      <c r="T22" s="130">
        <f t="shared" si="1"/>
        <v>1.8506107576979363</v>
      </c>
      <c r="U22" s="85">
        <f>Q20+Q21+Q22</f>
        <v>20521809</v>
      </c>
    </row>
    <row r="23" spans="1:21" hidden="1">
      <c r="A23" s="129" t="s">
        <v>189</v>
      </c>
      <c r="C23" s="131"/>
      <c r="F23" s="78">
        <f>Q23/21</f>
        <v>281639</v>
      </c>
      <c r="G23" s="90">
        <f t="shared" si="2"/>
        <v>-0.16272564035484105</v>
      </c>
      <c r="H23" s="90">
        <f t="shared" si="3"/>
        <v>-0.25776496158383788</v>
      </c>
      <c r="I23" s="130">
        <f t="shared" si="0"/>
        <v>1.7522854535650587</v>
      </c>
      <c r="J23" s="130">
        <f t="shared" si="4"/>
        <v>-0.10708988097904315</v>
      </c>
      <c r="O23" s="89"/>
      <c r="P23" s="129" t="s">
        <v>189</v>
      </c>
      <c r="Q23" s="116">
        <v>5914419</v>
      </c>
      <c r="R23" s="116">
        <v>7652025878</v>
      </c>
      <c r="S23" s="116">
        <v>3375260</v>
      </c>
      <c r="T23" s="135">
        <f t="shared" si="1"/>
        <v>1.7522854535650587</v>
      </c>
      <c r="U23" s="78"/>
    </row>
    <row r="24" spans="1:21" hidden="1">
      <c r="A24" s="129" t="s">
        <v>204</v>
      </c>
      <c r="C24" s="131"/>
      <c r="F24" s="78">
        <f>Q24/22</f>
        <v>321998.22727272729</v>
      </c>
      <c r="G24" s="90">
        <f t="shared" ref="G24" si="5">F24/F23-1</f>
        <v>0.14330127316432484</v>
      </c>
      <c r="H24" s="90">
        <f t="shared" ref="H24" si="6">F24/F12-1</f>
        <v>-0.11903260691675122</v>
      </c>
      <c r="I24" s="130">
        <f t="shared" si="0"/>
        <v>1.8566912126842292</v>
      </c>
      <c r="J24" s="130">
        <f t="shared" si="4"/>
        <v>-5.8956988661275744E-2</v>
      </c>
      <c r="O24" s="89"/>
      <c r="P24" s="129" t="s">
        <v>204</v>
      </c>
      <c r="Q24" s="116">
        <v>7083961</v>
      </c>
      <c r="R24" s="116">
        <v>9283327255</v>
      </c>
      <c r="S24" s="116">
        <v>3815368.41</v>
      </c>
      <c r="T24" s="135">
        <f t="shared" ref="T24" si="7">Q24/S24</f>
        <v>1.8566912126842292</v>
      </c>
      <c r="U24" s="78"/>
    </row>
    <row r="25" spans="1:21" s="79" customFormat="1" ht="13.2" hidden="1">
      <c r="A25" s="129" t="s">
        <v>247</v>
      </c>
      <c r="B25" s="131">
        <f>SUM(F23:F25)</f>
        <v>894845.59569377988</v>
      </c>
      <c r="C25" s="131">
        <f>AVERAGE(F23:F25)</f>
        <v>298281.86523125996</v>
      </c>
      <c r="D25" s="90">
        <f>C25/C22-1</f>
        <v>-9.8556516233959557E-2</v>
      </c>
      <c r="E25" s="286">
        <f>C25/C13-1</f>
        <v>-0.20101884983873941</v>
      </c>
      <c r="F25" s="78">
        <f>Q25/19</f>
        <v>291208.36842105264</v>
      </c>
      <c r="G25" s="90">
        <f t="shared" ref="G25" si="8">F25/F24-1</f>
        <v>-9.5621206093150724E-2</v>
      </c>
      <c r="H25" s="90">
        <f t="shared" ref="H25" si="9">F25/F13-1</f>
        <v>-0.22350833379048862</v>
      </c>
      <c r="I25" s="130">
        <f t="shared" si="0"/>
        <v>1.7157472843361314</v>
      </c>
      <c r="J25" s="130">
        <f t="shared" si="4"/>
        <v>-9.4469911221726099E-2</v>
      </c>
      <c r="K25" s="78">
        <f>R23+R24+R25</f>
        <v>24280730744</v>
      </c>
      <c r="L25" s="90">
        <f>U25/U22-1</f>
        <v>-9.6992911297439699E-2</v>
      </c>
      <c r="M25" s="90">
        <f>U25/U13-1</f>
        <v>-0.21177199185457329</v>
      </c>
      <c r="N25" s="88">
        <f>AVERAGE(T23:T25)</f>
        <v>1.7749079835284729</v>
      </c>
      <c r="O25" s="91">
        <f>N25/N22-1</f>
        <v>-4.1585277703693579E-2</v>
      </c>
      <c r="P25" s="129" t="s">
        <v>247</v>
      </c>
      <c r="Q25" s="116">
        <v>5532959</v>
      </c>
      <c r="R25" s="116">
        <v>7345377611</v>
      </c>
      <c r="S25" s="116">
        <v>3224810</v>
      </c>
      <c r="T25" s="135">
        <f t="shared" ref="T25" si="10">Q25/S25</f>
        <v>1.7157472843361314</v>
      </c>
      <c r="U25" s="85">
        <f>Q23+Q24+Q25</f>
        <v>18531339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350225.10526315792</v>
      </c>
      <c r="G26" s="90">
        <f t="shared" ref="G26" si="11">F26/F25-1</f>
        <v>0.20266154150066895</v>
      </c>
      <c r="H26" s="90">
        <f t="shared" ref="H26" si="12">F26/F14-1</f>
        <v>6.3127730901523238E-2</v>
      </c>
      <c r="I26" s="130">
        <f t="shared" si="0"/>
        <v>1.8896741472951892</v>
      </c>
      <c r="J26" s="130">
        <f t="shared" si="4"/>
        <v>-8.9272614801185424E-2</v>
      </c>
      <c r="L26" s="90"/>
      <c r="M26" s="90"/>
      <c r="P26" s="129" t="s">
        <v>312</v>
      </c>
      <c r="Q26" s="116">
        <v>6654277</v>
      </c>
      <c r="R26" s="116">
        <v>8973328207</v>
      </c>
      <c r="S26" s="116">
        <v>3521388.6</v>
      </c>
      <c r="T26" s="135">
        <f t="shared" ref="T26" si="13">Q26/S26</f>
        <v>1.8896741472951892</v>
      </c>
      <c r="U26" s="78"/>
    </row>
    <row r="27" spans="1:21" s="79" customFormat="1" ht="13.2" hidden="1">
      <c r="A27" s="129" t="s">
        <v>400</v>
      </c>
      <c r="B27" s="131"/>
      <c r="C27" s="131"/>
      <c r="D27" s="132"/>
      <c r="E27" s="286"/>
      <c r="F27" s="78">
        <f>Q27/22</f>
        <v>182366.95454545456</v>
      </c>
      <c r="G27" s="90">
        <f t="shared" ref="G27" si="14">F27/F26-1</f>
        <v>-0.4792864594660492</v>
      </c>
      <c r="H27" s="90">
        <f t="shared" ref="H27" si="15">F27/F15-1</f>
        <v>-0.59349858821345669</v>
      </c>
      <c r="I27" s="130">
        <f t="shared" si="0"/>
        <v>1.8938182968218229</v>
      </c>
      <c r="J27" s="130">
        <f t="shared" si="4"/>
        <v>4.4585690257358479E-2</v>
      </c>
      <c r="L27" s="90"/>
      <c r="M27" s="90"/>
      <c r="P27" s="129" t="s">
        <v>400</v>
      </c>
      <c r="Q27" s="116">
        <v>4012073</v>
      </c>
      <c r="R27" s="116">
        <v>5327258452</v>
      </c>
      <c r="S27" s="116">
        <v>2118510</v>
      </c>
      <c r="T27" s="135">
        <f t="shared" ref="T27" si="16">Q27/S27</f>
        <v>1.8938182968218229</v>
      </c>
      <c r="U27" s="78"/>
    </row>
    <row r="28" spans="1:21" s="79" customFormat="1" ht="13.2" hidden="1">
      <c r="A28" s="123" t="s">
        <v>413</v>
      </c>
      <c r="B28" s="131">
        <f>SUM(F26:F28)</f>
        <v>820620.16507177032</v>
      </c>
      <c r="C28" s="131">
        <f>AVERAGE(F26:F28)</f>
        <v>273540.05502392346</v>
      </c>
      <c r="D28" s="90">
        <f>C28/C25-1</f>
        <v>-8.2947752080583248E-2</v>
      </c>
      <c r="E28" s="286">
        <f>C28/C16-1</f>
        <v>-0.3550309886476587</v>
      </c>
      <c r="F28" s="78">
        <f>Q28/19</f>
        <v>288028.10526315792</v>
      </c>
      <c r="G28" s="90">
        <f t="shared" ref="G28" si="17">F28/F27-1</f>
        <v>0.57938759234676773</v>
      </c>
      <c r="H28" s="90">
        <f t="shared" ref="H28" si="18">F28/F16-1</f>
        <v>-0.41728430258703153</v>
      </c>
      <c r="I28" s="130">
        <f t="shared" si="0"/>
        <v>1.8492217950275147</v>
      </c>
      <c r="J28" s="130">
        <f t="shared" si="4"/>
        <v>-4.4351942400372435E-2</v>
      </c>
      <c r="K28" s="78">
        <f>R26+R27+R28</f>
        <v>21431743227</v>
      </c>
      <c r="L28" s="90">
        <f>U28/U25-1</f>
        <v>-0.12910319108619184</v>
      </c>
      <c r="M28" s="90">
        <f>U28/U16-1</f>
        <v>-0.40953787399618158</v>
      </c>
      <c r="N28" s="88">
        <f>AVERAGE(T26:T28)</f>
        <v>1.8775714130481758</v>
      </c>
      <c r="O28" s="91">
        <f>N28/N25-1</f>
        <v>5.7841550363422423E-2</v>
      </c>
      <c r="P28" s="129" t="s">
        <v>413</v>
      </c>
      <c r="Q28" s="116">
        <v>5472534</v>
      </c>
      <c r="R28" s="116">
        <v>7131156568</v>
      </c>
      <c r="S28" s="116">
        <v>2959371.35</v>
      </c>
      <c r="T28" s="135">
        <f t="shared" ref="T28" si="19">Q28/S28</f>
        <v>1.8492217950275147</v>
      </c>
      <c r="U28" s="85">
        <f>Q26+Q27+Q28</f>
        <v>16138884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213279.31818181818</v>
      </c>
      <c r="G29" s="190">
        <f t="shared" ref="G29" si="20">F29/F28-1</f>
        <v>-0.25951907371346716</v>
      </c>
      <c r="H29" s="190">
        <f t="shared" ref="H29" si="21">F29/F17-1</f>
        <v>-0.53785900238109519</v>
      </c>
      <c r="I29" s="130">
        <f t="shared" si="0"/>
        <v>1.8887191563015739</v>
      </c>
      <c r="J29" s="130">
        <f t="shared" si="4"/>
        <v>-5.2376824277210354E-2</v>
      </c>
      <c r="K29" s="136"/>
      <c r="L29" s="190"/>
      <c r="M29" s="190"/>
      <c r="N29" s="191"/>
      <c r="O29" s="192"/>
      <c r="P29" s="129" t="s">
        <v>430</v>
      </c>
      <c r="Q29" s="116">
        <v>4692145</v>
      </c>
      <c r="R29" s="116">
        <v>6164525094</v>
      </c>
      <c r="S29" s="116">
        <v>2484300</v>
      </c>
      <c r="T29" s="135">
        <f t="shared" ref="T29" si="22">Q29/S29</f>
        <v>1.8887191563015739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214057.89473684211</v>
      </c>
      <c r="G30" s="190">
        <f t="shared" ref="G30" si="23">F30/F29-1</f>
        <v>3.6505018942352141E-3</v>
      </c>
      <c r="H30" s="190">
        <f t="shared" ref="H30" si="24">F30/F18-1</f>
        <v>-0.47663048837867394</v>
      </c>
      <c r="I30" s="130">
        <f t="shared" si="0"/>
        <v>1.8265637911831278</v>
      </c>
      <c r="J30" s="130">
        <f t="shared" si="4"/>
        <v>-9.2478909841150481E-2</v>
      </c>
      <c r="K30" s="136"/>
      <c r="L30" s="190"/>
      <c r="M30" s="190"/>
      <c r="N30" s="191"/>
      <c r="O30" s="192"/>
      <c r="P30" s="129" t="s">
        <v>466</v>
      </c>
      <c r="Q30" s="116">
        <v>4067100</v>
      </c>
      <c r="R30" s="116">
        <v>5420778228</v>
      </c>
      <c r="S30" s="116">
        <v>2226640</v>
      </c>
      <c r="T30" s="135">
        <f t="shared" ref="T30" si="25">Q30/S30</f>
        <v>1.8265637911831278</v>
      </c>
      <c r="U30" s="85"/>
    </row>
    <row r="31" spans="1:21" s="79" customFormat="1" ht="13.2" hidden="1">
      <c r="A31" s="129" t="s">
        <v>505</v>
      </c>
      <c r="B31" s="188">
        <f>SUM(F29:F31)</f>
        <v>706823.21291866025</v>
      </c>
      <c r="C31" s="188">
        <f>AVERAGE(F29:F31)</f>
        <v>235607.73763955341</v>
      </c>
      <c r="D31" s="190">
        <f>C31/C28-1</f>
        <v>-0.13867189352233089</v>
      </c>
      <c r="E31" s="287">
        <f>C31/C19-1</f>
        <v>-0.45847265531131287</v>
      </c>
      <c r="F31" s="136">
        <f>Q31/20</f>
        <v>279486</v>
      </c>
      <c r="G31" s="190">
        <f t="shared" ref="G31" si="26">F31/F30-1</f>
        <v>0.30565611861031194</v>
      </c>
      <c r="H31" s="190">
        <f t="shared" ref="H31" si="27">F31/F19-1</f>
        <v>-0.3571160384737595</v>
      </c>
      <c r="I31" s="130">
        <f t="shared" si="0"/>
        <v>1.7771150795290886</v>
      </c>
      <c r="J31" s="130">
        <f t="shared" si="4"/>
        <v>-0.10518118080066652</v>
      </c>
      <c r="K31" s="136">
        <f>R29+R30+R31</f>
        <v>19008115252</v>
      </c>
      <c r="L31" s="190">
        <f>U31/U28-1</f>
        <v>-0.11090723497362021</v>
      </c>
      <c r="M31" s="190">
        <f>U31/U19-1</f>
        <v>-0.46805008089558509</v>
      </c>
      <c r="N31" s="191">
        <f>AVERAGE(T29:T31)</f>
        <v>1.8307993423379301</v>
      </c>
      <c r="O31" s="192">
        <f>N31/N28-1</f>
        <v>-2.4910941008796428E-2</v>
      </c>
      <c r="P31" s="129" t="s">
        <v>506</v>
      </c>
      <c r="Q31" s="116">
        <v>5589720</v>
      </c>
      <c r="R31" s="116">
        <v>7422811930</v>
      </c>
      <c r="S31" s="116">
        <v>3145390</v>
      </c>
      <c r="T31" s="135">
        <f t="shared" ref="T31" si="28">Q31/S31</f>
        <v>1.7771150795290886</v>
      </c>
      <c r="U31" s="85">
        <f>Q29+Q30+Q31</f>
        <v>14348965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267770.52380952379</v>
      </c>
      <c r="G32" s="190">
        <f t="shared" ref="G32" si="29">F32/F31-1</f>
        <v>-4.191793574803826E-2</v>
      </c>
      <c r="H32" s="190">
        <f t="shared" ref="H32" si="30">F32/F20-1</f>
        <v>-0.17478762214819277</v>
      </c>
      <c r="I32" s="130">
        <f t="shared" si="0"/>
        <v>1.6797272734061699</v>
      </c>
      <c r="J32" s="130">
        <f t="shared" si="4"/>
        <v>-0.10240057189189933</v>
      </c>
      <c r="K32" s="136"/>
      <c r="L32" s="190"/>
      <c r="M32" s="190"/>
      <c r="N32" s="191"/>
      <c r="O32" s="192"/>
      <c r="P32" s="129" t="s">
        <v>566</v>
      </c>
      <c r="Q32" s="116">
        <v>5623181</v>
      </c>
      <c r="R32" s="116">
        <v>7674408642</v>
      </c>
      <c r="S32" s="116">
        <v>3347675</v>
      </c>
      <c r="T32" s="135">
        <f t="shared" ref="T32" si="31">Q32/S32</f>
        <v>1.6797272734061699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273235.90476190473</v>
      </c>
      <c r="G33" s="190">
        <f t="shared" ref="G33" si="32">F33/F32-1</f>
        <v>2.0410689252222225E-2</v>
      </c>
      <c r="H33" s="190">
        <f t="shared" ref="H33" si="33">F33/F21-1</f>
        <v>-0.17654875873560627</v>
      </c>
      <c r="I33" s="130">
        <f t="shared" si="0"/>
        <v>1.8068511634571027</v>
      </c>
      <c r="J33" s="130">
        <f t="shared" si="4"/>
        <v>-1.4693467811623173E-2</v>
      </c>
      <c r="K33" s="136"/>
      <c r="L33" s="190"/>
      <c r="M33" s="190"/>
      <c r="N33" s="191"/>
      <c r="O33" s="192"/>
      <c r="P33" s="129" t="s">
        <v>607</v>
      </c>
      <c r="Q33" s="116">
        <v>5737954</v>
      </c>
      <c r="R33" s="116">
        <v>7832434129</v>
      </c>
      <c r="S33" s="116">
        <v>3175665</v>
      </c>
      <c r="T33" s="135">
        <f t="shared" ref="T33" si="34">Q33/S33</f>
        <v>1.8068511634571027</v>
      </c>
      <c r="U33" s="85"/>
    </row>
    <row r="34" spans="1:21" s="79" customFormat="1" ht="13.2" hidden="1">
      <c r="A34" s="129" t="s">
        <v>652</v>
      </c>
      <c r="B34" s="188">
        <f>SUM(F32:F34)</f>
        <v>861762.00751879695</v>
      </c>
      <c r="C34" s="188">
        <f>AVERAGE(F32:F34)</f>
        <v>287254.00250626565</v>
      </c>
      <c r="D34" s="190">
        <f>C34/C31-1</f>
        <v>0.21920445136536104</v>
      </c>
      <c r="E34" s="287">
        <f>C34/C22-1</f>
        <v>-0.13188403678437988</v>
      </c>
      <c r="F34" s="136">
        <f>Q34/19</f>
        <v>320755.57894736843</v>
      </c>
      <c r="G34" s="190">
        <f t="shared" ref="G34" si="35">F34/F33-1</f>
        <v>0.17391445764374169</v>
      </c>
      <c r="H34" s="190">
        <f t="shared" ref="H34" si="36">F34/F22-1</f>
        <v>-4.6437382728350296E-2</v>
      </c>
      <c r="I34" s="130">
        <f t="shared" si="0"/>
        <v>1.720842459891804</v>
      </c>
      <c r="J34" s="130">
        <f t="shared" si="4"/>
        <v>-7.0121875854411098E-2</v>
      </c>
      <c r="K34" s="136">
        <f>R32+R33+R34</f>
        <v>23880556249</v>
      </c>
      <c r="L34" s="190">
        <f>U34/U31-1</f>
        <v>0.21649826311514464</v>
      </c>
      <c r="M34" s="190">
        <f>U34/U22-1</f>
        <v>-0.14941752941955555</v>
      </c>
      <c r="N34" s="191">
        <f>AVERAGE(T32:T34)</f>
        <v>1.7358069655850255</v>
      </c>
      <c r="O34" s="192">
        <f>N34/N31-1</f>
        <v>-5.1885738953565186E-2</v>
      </c>
      <c r="P34" s="129" t="s">
        <v>652</v>
      </c>
      <c r="Q34" s="116">
        <v>6094356</v>
      </c>
      <c r="R34" s="116">
        <v>8373713478</v>
      </c>
      <c r="S34" s="116">
        <v>3541495.6</v>
      </c>
      <c r="T34" s="135">
        <f t="shared" ref="T34" si="37">Q34/S34</f>
        <v>1.720842459891804</v>
      </c>
      <c r="U34" s="85">
        <f>Q32+Q33+Q34</f>
        <v>17455491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245811.4347826087</v>
      </c>
      <c r="G35" s="190">
        <f t="shared" ref="G35" si="38">F35/F34-1</f>
        <v>-0.23364876274547053</v>
      </c>
      <c r="H35" s="190">
        <f t="shared" ref="H35" si="39">F35/F23-1</f>
        <v>-0.12721095167001484</v>
      </c>
      <c r="I35" s="130">
        <f t="shared" si="0"/>
        <v>1.8236881339661679</v>
      </c>
      <c r="J35" s="130">
        <f t="shared" si="4"/>
        <v>4.074831543903934E-2</v>
      </c>
      <c r="K35" s="136"/>
      <c r="L35" s="190"/>
      <c r="M35" s="190"/>
      <c r="N35" s="191"/>
      <c r="O35" s="192"/>
      <c r="P35" s="129" t="s">
        <v>660</v>
      </c>
      <c r="Q35" s="116">
        <v>5653663</v>
      </c>
      <c r="R35" s="116">
        <v>7825649541</v>
      </c>
      <c r="S35" s="116">
        <v>3100126</v>
      </c>
      <c r="T35" s="135">
        <f t="shared" ref="T35" si="40">Q35/S35</f>
        <v>1.8236881339661679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226206.09523809524</v>
      </c>
      <c r="G36" s="190">
        <f t="shared" ref="G36" si="41">F36/F35-1</f>
        <v>-7.9757638459138747E-2</v>
      </c>
      <c r="H36" s="190">
        <f t="shared" ref="H36" si="42">F36/F24-1</f>
        <v>-0.29749273108108654</v>
      </c>
      <c r="I36" s="130">
        <f t="shared" si="0"/>
        <v>1.7631159344982703</v>
      </c>
      <c r="J36" s="130">
        <f t="shared" si="4"/>
        <v>-5.0398944933162326E-2</v>
      </c>
      <c r="K36" s="136"/>
      <c r="L36" s="190"/>
      <c r="M36" s="190"/>
      <c r="N36" s="191"/>
      <c r="O36" s="192"/>
      <c r="P36" s="129" t="s">
        <v>664</v>
      </c>
      <c r="Q36" s="116">
        <v>4750328</v>
      </c>
      <c r="R36" s="116">
        <v>6495672031</v>
      </c>
      <c r="S36" s="116">
        <v>2694280</v>
      </c>
      <c r="T36" s="135">
        <f t="shared" ref="T36" si="43">Q36/S36</f>
        <v>1.7631159344982703</v>
      </c>
      <c r="U36" s="85"/>
    </row>
    <row r="37" spans="1:21" s="79" customFormat="1" ht="13.2" hidden="1">
      <c r="A37" s="129" t="s">
        <v>702</v>
      </c>
      <c r="B37" s="188">
        <f>SUM(F35:F37)</f>
        <v>761176.53002070391</v>
      </c>
      <c r="C37" s="188">
        <f>AVERAGE(F35:F37)</f>
        <v>253725.51000690131</v>
      </c>
      <c r="D37" s="190">
        <f>C37/C34-1</f>
        <v>-0.11672071479189572</v>
      </c>
      <c r="E37" s="287">
        <f>C37/C25-1</f>
        <v>-0.14937668164913009</v>
      </c>
      <c r="F37" s="136">
        <f>Q37/18</f>
        <v>289159</v>
      </c>
      <c r="G37" s="190">
        <f t="shared" ref="G37" si="44">F37/F36-1</f>
        <v>0.27829888799257652</v>
      </c>
      <c r="H37" s="190">
        <f t="shared" ref="H37" si="45">F37/F25-1</f>
        <v>-7.0374640404889943E-3</v>
      </c>
      <c r="I37" s="130">
        <f t="shared" si="0"/>
        <v>1.9319337027402339</v>
      </c>
      <c r="J37" s="130">
        <f t="shared" si="4"/>
        <v>0.12600131754703647</v>
      </c>
      <c r="K37" s="136">
        <f>R35+R36+R37</f>
        <v>21268663484</v>
      </c>
      <c r="L37" s="190">
        <f>U37/U34-1</f>
        <v>-0.10579123784028766</v>
      </c>
      <c r="M37" s="190">
        <f>U37/U25-1</f>
        <v>-0.15770506383807448</v>
      </c>
      <c r="N37" s="191">
        <f>AVERAGE(T35:T37)</f>
        <v>1.8395792570682241</v>
      </c>
      <c r="O37" s="192">
        <f>N37/N34-1</f>
        <v>5.9783313202815602E-2</v>
      </c>
      <c r="P37" s="129" t="s">
        <v>702</v>
      </c>
      <c r="Q37" s="116">
        <v>5204862</v>
      </c>
      <c r="R37" s="116">
        <v>6947341912</v>
      </c>
      <c r="S37" s="116">
        <v>2694120.4</v>
      </c>
      <c r="T37" s="135">
        <f t="shared" ref="T37" si="46">Q37/S37</f>
        <v>1.9319337027402339</v>
      </c>
      <c r="U37" s="85">
        <f>Q35+Q36+Q37</f>
        <v>15608853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260621.9</v>
      </c>
      <c r="G38" s="190">
        <f t="shared" ref="G38" si="47">F38/F37-1</f>
        <v>-9.8689994086298527E-2</v>
      </c>
      <c r="H38" s="190">
        <f t="shared" ref="H38" si="48">F38/F26-1</f>
        <v>-0.25584460941436615</v>
      </c>
      <c r="I38" s="130">
        <f t="shared" si="0"/>
        <v>2.0472205228944231</v>
      </c>
      <c r="J38" s="130">
        <f t="shared" si="4"/>
        <v>8.3372244799316375E-2</v>
      </c>
      <c r="K38" s="136"/>
      <c r="L38" s="190"/>
      <c r="M38" s="190"/>
      <c r="N38" s="191"/>
      <c r="O38" s="192"/>
      <c r="P38" s="129" t="s">
        <v>728</v>
      </c>
      <c r="Q38" s="116">
        <v>5212438</v>
      </c>
      <c r="R38" s="116">
        <v>7026826555</v>
      </c>
      <c r="S38" s="116">
        <v>2546104.7999999998</v>
      </c>
      <c r="T38" s="135">
        <f t="shared" ref="T38" si="49">Q38/S38</f>
        <v>2.0472205228944231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245589.80952380953</v>
      </c>
      <c r="G39" s="190">
        <f t="shared" ref="G39" si="50">F39/F38-1</f>
        <v>-5.7677771807321143E-2</v>
      </c>
      <c r="H39" s="190">
        <f t="shared" ref="H39" si="51">F39/F27-1</f>
        <v>0.34667933747063162</v>
      </c>
      <c r="I39" s="130">
        <f t="shared" si="0"/>
        <v>1.7093545771942698</v>
      </c>
      <c r="J39" s="130">
        <f t="shared" si="4"/>
        <v>-9.7403071845444389E-2</v>
      </c>
      <c r="K39" s="136"/>
      <c r="L39" s="190"/>
      <c r="M39" s="190"/>
      <c r="N39" s="191"/>
      <c r="O39" s="192"/>
      <c r="P39" s="129" t="s">
        <v>762</v>
      </c>
      <c r="Q39" s="116">
        <v>5157386</v>
      </c>
      <c r="R39" s="116">
        <v>7173793024</v>
      </c>
      <c r="S39" s="116">
        <v>3017154</v>
      </c>
      <c r="T39" s="135">
        <f t="shared" ref="T39" si="52">Q39/S39</f>
        <v>1.7093545771942698</v>
      </c>
      <c r="U39" s="85"/>
    </row>
    <row r="40" spans="1:21" s="79" customFormat="1" ht="13.2" hidden="1">
      <c r="A40" s="129" t="s">
        <v>778</v>
      </c>
      <c r="B40" s="188">
        <f>SUM(F38:F40)</f>
        <v>693183.80476190476</v>
      </c>
      <c r="C40" s="188">
        <f>AVERAGE(F38:F40)</f>
        <v>231061.26825396824</v>
      </c>
      <c r="D40" s="190">
        <f>C40/C37-1</f>
        <v>-8.9325829918783461E-2</v>
      </c>
      <c r="E40" s="287">
        <f>C40/C28-1</f>
        <v>-0.15529274777048674</v>
      </c>
      <c r="F40" s="136">
        <f>Q40/21</f>
        <v>186972.09523809524</v>
      </c>
      <c r="G40" s="190">
        <f t="shared" ref="G40" si="53">F40/F39-1</f>
        <v>-0.23868137851229287</v>
      </c>
      <c r="H40" s="190">
        <f t="shared" ref="H40" si="54">F40/F28-1</f>
        <v>-0.35085468458966007</v>
      </c>
      <c r="I40" s="130">
        <f t="shared" si="0"/>
        <v>1.69035788241068</v>
      </c>
      <c r="J40" s="130">
        <f t="shared" si="4"/>
        <v>-8.5908522733191717E-2</v>
      </c>
      <c r="K40" s="136">
        <f>R38+R39+R40</f>
        <v>19784441203</v>
      </c>
      <c r="L40" s="190">
        <f>U40/U37-1</f>
        <v>-8.4094263684846071E-2</v>
      </c>
      <c r="M40" s="190">
        <f>U40/U28-1</f>
        <v>-0.11417431341597106</v>
      </c>
      <c r="N40" s="191">
        <f>AVERAGE(T38:T40)</f>
        <v>1.8156443274997909</v>
      </c>
      <c r="O40" s="192">
        <f>N40/N37-1</f>
        <v>-1.3011089071845117E-2</v>
      </c>
      <c r="P40" s="129" t="s">
        <v>778</v>
      </c>
      <c r="Q40" s="116">
        <v>3926414</v>
      </c>
      <c r="R40" s="116">
        <v>5583821624</v>
      </c>
      <c r="S40" s="116">
        <v>2322830</v>
      </c>
      <c r="T40" s="135">
        <f t="shared" ref="T40" si="55">Q40/S40</f>
        <v>1.69035788241068</v>
      </c>
      <c r="U40" s="85">
        <f>Q38+Q39+Q40</f>
        <v>14296238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272862.83333333331</v>
      </c>
      <c r="G41" s="190">
        <f t="shared" ref="G41" si="56">F41/F40-1</f>
        <v>0.4593773096774818</v>
      </c>
      <c r="H41" s="190">
        <f t="shared" ref="H41" si="57">F41/F29-1</f>
        <v>0.27936846225624601</v>
      </c>
      <c r="I41" s="130">
        <f t="shared" si="0"/>
        <v>1.9609698670963507</v>
      </c>
      <c r="J41" s="130">
        <f t="shared" si="4"/>
        <v>3.8253813730706021E-2</v>
      </c>
      <c r="K41" s="193"/>
      <c r="L41" s="190"/>
      <c r="M41" s="190"/>
      <c r="N41" s="193"/>
      <c r="O41" s="193"/>
      <c r="P41" s="129" t="s">
        <v>792</v>
      </c>
      <c r="Q41" s="116">
        <v>4911531</v>
      </c>
      <c r="R41" s="116">
        <v>7152452158</v>
      </c>
      <c r="S41" s="116">
        <v>2504643.79</v>
      </c>
      <c r="T41" s="135">
        <f t="shared" ref="T41" si="58">Q41/S41</f>
        <v>1.9609698670963507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259388.1</v>
      </c>
      <c r="G42" s="190">
        <f t="shared" ref="G42" si="59">F42/F41-1</f>
        <v>-4.9382809555716833E-2</v>
      </c>
      <c r="H42" s="190">
        <f t="shared" ref="H42" si="60">F42/F30-1</f>
        <v>0.21176609869440144</v>
      </c>
      <c r="I42" s="130">
        <f t="shared" si="0"/>
        <v>1.7872317995783207</v>
      </c>
      <c r="J42" s="130">
        <f t="shared" si="4"/>
        <v>-2.1533324921179209E-2</v>
      </c>
      <c r="K42" s="193"/>
      <c r="L42" s="190"/>
      <c r="M42" s="190"/>
      <c r="N42" s="193"/>
      <c r="O42" s="193"/>
      <c r="P42" s="129" t="s">
        <v>826</v>
      </c>
      <c r="Q42" s="116">
        <v>5187762</v>
      </c>
      <c r="R42" s="116">
        <v>7499191850</v>
      </c>
      <c r="S42" s="116">
        <v>2902680</v>
      </c>
      <c r="T42" s="135">
        <f t="shared" ref="T42" si="61">Q42/S42</f>
        <v>1.7872317995783207</v>
      </c>
      <c r="U42" s="78"/>
    </row>
    <row r="43" spans="1:21" s="79" customFormat="1" ht="13.2">
      <c r="A43" s="129" t="s">
        <v>835</v>
      </c>
      <c r="B43" s="188">
        <f>SUM(F41:F43)</f>
        <v>778117.33333333337</v>
      </c>
      <c r="C43" s="188">
        <f>AVERAGE(F41:F43)</f>
        <v>259372.44444444447</v>
      </c>
      <c r="D43" s="190">
        <f>C43/C40-1</f>
        <v>0.12252670646366548</v>
      </c>
      <c r="E43" s="287">
        <f>C43/C31-1</f>
        <v>0.10086556172975825</v>
      </c>
      <c r="F43" s="136">
        <f>Q43/20</f>
        <v>245866.4</v>
      </c>
      <c r="G43" s="190">
        <f t="shared" ref="G43" si="62">F43/F42-1</f>
        <v>-5.2129222581914991E-2</v>
      </c>
      <c r="H43" s="190">
        <f t="shared" ref="H43" si="63">F43/F31-1</f>
        <v>-0.12029081957593579</v>
      </c>
      <c r="I43" s="130">
        <f t="shared" si="0"/>
        <v>1.8422892766958645</v>
      </c>
      <c r="J43" s="130">
        <f t="shared" si="4"/>
        <v>3.6674156849789474E-2</v>
      </c>
      <c r="K43" s="136">
        <f>R41+R42+R43</f>
        <v>21773876047</v>
      </c>
      <c r="L43" s="190">
        <f>U43/U40-1</f>
        <v>5.0389689931015447E-2</v>
      </c>
      <c r="M43" s="190">
        <f>K43/K31-1</f>
        <v>0.14550421008779346</v>
      </c>
      <c r="N43" s="191">
        <f>AVERAGE(T41:T43)</f>
        <v>1.863496981123512</v>
      </c>
      <c r="O43" s="192">
        <f>N43/N40-1</f>
        <v>2.6355742090531598E-2</v>
      </c>
      <c r="P43" s="129" t="s">
        <v>835</v>
      </c>
      <c r="Q43" s="116">
        <v>4917328</v>
      </c>
      <c r="R43" s="116">
        <v>7122232039</v>
      </c>
      <c r="S43" s="116">
        <v>2669140</v>
      </c>
      <c r="T43" s="135">
        <f t="shared" ref="T43" si="64">Q43/S43</f>
        <v>1.8422892766958645</v>
      </c>
      <c r="U43" s="85">
        <f>Q41+Q42+Q43</f>
        <v>15016621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294942.36363636365</v>
      </c>
      <c r="G44" s="190">
        <f t="shared" ref="G44" si="65">F44/F43-1</f>
        <v>0.19960419006567665</v>
      </c>
      <c r="H44" s="190">
        <f t="shared" ref="H44" si="66">F44/F32-1</f>
        <v>0.10147434990330861</v>
      </c>
      <c r="I44" s="130">
        <f t="shared" si="0"/>
        <v>2.0405878972447185</v>
      </c>
      <c r="J44" s="130">
        <f t="shared" si="4"/>
        <v>0.21483286575849392</v>
      </c>
      <c r="K44" s="136"/>
      <c r="L44" s="190"/>
      <c r="M44" s="190"/>
      <c r="N44" s="191"/>
      <c r="O44" s="192"/>
      <c r="P44" s="129" t="s">
        <v>843</v>
      </c>
      <c r="Q44" s="116">
        <v>6488732</v>
      </c>
      <c r="R44" s="116">
        <v>9399798654</v>
      </c>
      <c r="S44" s="116">
        <v>3179834.6</v>
      </c>
      <c r="T44" s="135">
        <f t="shared" ref="T44" si="67">Q44/S44</f>
        <v>2.0405878972447185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265912.84999999998</v>
      </c>
      <c r="G45" s="190">
        <f t="shared" ref="G45" si="68">F45/F44-1</f>
        <v>-9.8424360876670614E-2</v>
      </c>
      <c r="H45" s="190">
        <f t="shared" ref="H45" si="69">F45/F33-1</f>
        <v>-2.6801216949456141E-2</v>
      </c>
      <c r="I45" s="130">
        <f t="shared" si="0"/>
        <v>2.2362900974812212</v>
      </c>
      <c r="J45" s="130">
        <f t="shared" si="4"/>
        <v>0.23767255583047575</v>
      </c>
      <c r="K45" s="136"/>
      <c r="L45" s="190"/>
      <c r="M45" s="190"/>
      <c r="N45" s="191"/>
      <c r="O45" s="192"/>
      <c r="P45" s="129" t="s">
        <v>849</v>
      </c>
      <c r="Q45" s="116">
        <v>5318257</v>
      </c>
      <c r="R45" s="116">
        <v>7482551706</v>
      </c>
      <c r="S45" s="116">
        <v>2378160.6</v>
      </c>
      <c r="T45" s="135">
        <f t="shared" ref="T45" si="70">Q45/S45</f>
        <v>2.2362900974812212</v>
      </c>
      <c r="U45" s="85"/>
    </row>
    <row r="46" spans="1:21" s="79" customFormat="1" ht="13.2">
      <c r="A46" s="129" t="s">
        <v>893</v>
      </c>
      <c r="B46" s="188">
        <f>SUM(F44:F46)</f>
        <v>859622.10837320564</v>
      </c>
      <c r="C46" s="188">
        <f>AVERAGE(F44:F46)</f>
        <v>286540.70279106853</v>
      </c>
      <c r="D46" s="190">
        <f>C46/C43-1</f>
        <v>0.10474612445750098</v>
      </c>
      <c r="E46" s="287">
        <f>C46/C34-1</f>
        <v>-2.4831671934024691E-3</v>
      </c>
      <c r="F46" s="136">
        <f>Q46/19</f>
        <v>298766.89473684208</v>
      </c>
      <c r="G46" s="190">
        <f t="shared" ref="G46" si="71">F46/F45-1</f>
        <v>0.12355192589166752</v>
      </c>
      <c r="H46" s="190">
        <f t="shared" ref="H46" si="72">F46/F34-1</f>
        <v>-6.8552772434035791E-2</v>
      </c>
      <c r="I46" s="130">
        <f t="shared" si="0"/>
        <v>1.8703220787117367</v>
      </c>
      <c r="J46" s="130">
        <f t="shared" si="4"/>
        <v>8.6864208841831436E-2</v>
      </c>
      <c r="K46" s="136">
        <f>R44+R45+R46</f>
        <v>24648443303</v>
      </c>
      <c r="L46" s="190">
        <f>U46/U43-1</f>
        <v>0.16428056618063414</v>
      </c>
      <c r="M46" s="190">
        <f>K46/K34-1</f>
        <v>3.2155325277741564E-2</v>
      </c>
      <c r="N46" s="191">
        <f>AVERAGE(T44:T46)</f>
        <v>2.0490666911458919</v>
      </c>
      <c r="O46" s="192">
        <f>N46/N43-1</f>
        <v>9.9581438500908614E-2</v>
      </c>
      <c r="P46" s="129" t="s">
        <v>928</v>
      </c>
      <c r="Q46" s="116">
        <v>5676571</v>
      </c>
      <c r="R46" s="116">
        <v>7766092943</v>
      </c>
      <c r="S46" s="116">
        <v>3035076.72</v>
      </c>
      <c r="T46" s="135">
        <f t="shared" ref="T46" si="73">Q46/S46</f>
        <v>1.8703220787117367</v>
      </c>
      <c r="U46" s="85">
        <f>Q44+Q45+Q46</f>
        <v>17483560</v>
      </c>
    </row>
    <row r="47" spans="1:21" s="79" customFormat="1" ht="13.2">
      <c r="A47" s="129" t="s">
        <v>1001</v>
      </c>
      <c r="B47" s="188"/>
      <c r="C47" s="188"/>
      <c r="D47" s="190"/>
      <c r="E47" s="287"/>
      <c r="F47" s="136">
        <f>Q47/23</f>
        <v>195985.60869565216</v>
      </c>
      <c r="G47" s="190">
        <f t="shared" ref="G47" si="74">F47/F46-1</f>
        <v>-0.34401832281893574</v>
      </c>
      <c r="H47" s="190">
        <f t="shared" ref="H47" si="75">F47/F35-1</f>
        <v>-0.20269938268340371</v>
      </c>
      <c r="I47" s="130">
        <f t="shared" si="0"/>
        <v>1.8292403712315815</v>
      </c>
      <c r="J47" s="130">
        <f t="shared" si="4"/>
        <v>3.0445102767315824E-3</v>
      </c>
      <c r="K47" s="136"/>
      <c r="L47" s="190"/>
      <c r="M47" s="190"/>
      <c r="N47" s="191"/>
      <c r="O47" s="192"/>
      <c r="P47" s="129" t="s">
        <v>1029</v>
      </c>
      <c r="Q47" s="116">
        <v>4507669</v>
      </c>
      <c r="R47" s="116">
        <v>6166988671</v>
      </c>
      <c r="S47" s="116">
        <v>2464230</v>
      </c>
      <c r="T47" s="135">
        <f t="shared" ref="T47" si="76">Q47/S47</f>
        <v>1.8292403712315815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241729.45</v>
      </c>
      <c r="G48" s="190">
        <f t="shared" ref="G48" si="77">F48/F47-1</f>
        <v>0.23340408313032768</v>
      </c>
      <c r="H48" s="190">
        <f t="shared" ref="H48" si="78">F48/F36-1</f>
        <v>6.8624829695970613E-2</v>
      </c>
      <c r="I48" s="130">
        <f t="shared" si="0"/>
        <v>2.1274240394446946</v>
      </c>
      <c r="J48" s="130">
        <f t="shared" si="4"/>
        <v>0.20662742467363349</v>
      </c>
      <c r="K48" s="136"/>
      <c r="L48" s="190"/>
      <c r="M48" s="190"/>
      <c r="N48" s="191"/>
      <c r="O48" s="192"/>
      <c r="P48" s="129" t="s">
        <v>1120</v>
      </c>
      <c r="Q48" s="116">
        <v>4834589</v>
      </c>
      <c r="R48" s="116">
        <v>6702763097</v>
      </c>
      <c r="S48" s="116">
        <v>2272508.4</v>
      </c>
      <c r="T48" s="135">
        <f t="shared" ref="T48" si="79">Q48/S48</f>
        <v>2.1274240394446946</v>
      </c>
      <c r="U48" s="85"/>
    </row>
    <row r="49" spans="1:26" ht="13.2">
      <c r="A49" s="129" t="s">
        <v>1158</v>
      </c>
      <c r="B49" s="188">
        <f>SUM(F47:F49)</f>
        <v>615626.37687747041</v>
      </c>
      <c r="C49" s="188">
        <f>AVERAGE(F47:F49)</f>
        <v>205208.79229249014</v>
      </c>
      <c r="D49" s="190">
        <f>C49/C46-1</f>
        <v>-0.2838406889714431</v>
      </c>
      <c r="E49" s="287">
        <f>C49/C37-1</f>
        <v>-0.19121734236770882</v>
      </c>
      <c r="F49" s="136">
        <f>Q49/22</f>
        <v>177911.31818181818</v>
      </c>
      <c r="G49" s="190">
        <f t="shared" ref="G49" si="80">F49/F48-1</f>
        <v>-0.26400644116048677</v>
      </c>
      <c r="H49" s="190">
        <f t="shared" ref="H49" si="81">F49/F37-1</f>
        <v>-0.38472840830886057</v>
      </c>
      <c r="I49" s="130">
        <f t="shared" si="0"/>
        <v>1.7934197805218905</v>
      </c>
      <c r="J49" s="130">
        <f t="shared" si="4"/>
        <v>-7.1697037026620891E-2</v>
      </c>
      <c r="K49" s="136">
        <f>R47+R48+R49</f>
        <v>18310995266</v>
      </c>
      <c r="L49" s="190">
        <f>U49/U46-1</f>
        <v>-0.24178445350946831</v>
      </c>
      <c r="M49" s="190">
        <f>K49/K37-1</f>
        <v>-0.13906225091318014</v>
      </c>
      <c r="N49" s="191">
        <f>AVERAGE(T47:T49)</f>
        <v>1.9166947303993889</v>
      </c>
      <c r="O49" s="192">
        <f>N49/N46-1</f>
        <v>-6.4601099280217733E-2</v>
      </c>
      <c r="P49" s="129" t="s">
        <v>1165</v>
      </c>
      <c r="Q49" s="116">
        <v>3914049</v>
      </c>
      <c r="R49" s="116">
        <v>5441243498</v>
      </c>
      <c r="S49" s="116">
        <v>2182450</v>
      </c>
      <c r="T49" s="135">
        <f t="shared" ref="T49" si="82">Q49/S49</f>
        <v>1.7934197805218905</v>
      </c>
      <c r="U49" s="85">
        <f t="shared" ref="U49:U54" si="83">Q47+Q48+Q49</f>
        <v>13256307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264016.5</v>
      </c>
      <c r="G50" s="190">
        <f t="shared" ref="G50" si="84">F50/F49-1</f>
        <v>0.48397810042746015</v>
      </c>
      <c r="H50" s="190">
        <f t="shared" ref="H50" si="85">F50/F38-1</f>
        <v>1.3024999050348374E-2</v>
      </c>
      <c r="I50" s="130">
        <f t="shared" ref="I50" si="86">T50</f>
        <v>1.7854555332137092</v>
      </c>
      <c r="J50" s="130">
        <f t="shared" ref="J50" si="87">I50/I38-1</f>
        <v>-0.12786360177291622</v>
      </c>
      <c r="K50" s="136"/>
      <c r="L50" s="190"/>
      <c r="M50" s="190"/>
      <c r="N50" s="191"/>
      <c r="O50" s="192"/>
      <c r="P50" s="129" t="s">
        <v>1293</v>
      </c>
      <c r="Q50" s="116">
        <v>4752297</v>
      </c>
      <c r="R50" s="116">
        <v>6711401215</v>
      </c>
      <c r="S50" s="116">
        <v>2661672</v>
      </c>
      <c r="T50" s="130">
        <f t="shared" ref="T50" si="88">Q50/S50</f>
        <v>1.7854555332137092</v>
      </c>
      <c r="U50" s="85">
        <f t="shared" si="83"/>
        <v>13500935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236016.25</v>
      </c>
      <c r="G51" s="190">
        <f t="shared" ref="G51:G52" si="89">F51/F50-1</f>
        <v>-0.10605492459751564</v>
      </c>
      <c r="H51" s="190">
        <f t="shared" ref="H51:H52" si="90">F51/F39-1</f>
        <v>-3.8981908664583176E-2</v>
      </c>
      <c r="I51" s="130">
        <f t="shared" ref="I51:I52" si="91">T51</f>
        <v>1.8345739433192991</v>
      </c>
      <c r="J51" s="130">
        <f t="shared" ref="J51:J52" si="92">I51/I39-1</f>
        <v>7.3255349004630821E-2</v>
      </c>
      <c r="K51" s="136"/>
      <c r="L51" s="190"/>
      <c r="M51" s="190"/>
      <c r="N51" s="191"/>
      <c r="O51" s="192"/>
      <c r="P51" s="129" t="s">
        <v>1402</v>
      </c>
      <c r="Q51" s="116">
        <v>4720325</v>
      </c>
      <c r="R51" s="116">
        <v>6845654646</v>
      </c>
      <c r="S51" s="116">
        <v>2572981.6</v>
      </c>
      <c r="T51" s="130">
        <f t="shared" ref="T51:T52" si="93">Q51/S51</f>
        <v>1.8345739433192991</v>
      </c>
      <c r="U51" s="85">
        <f t="shared" si="83"/>
        <v>13386671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850361.93181818188</v>
      </c>
      <c r="C52" s="188">
        <f>AVERAGE(F50:F52)</f>
        <v>283453.97727272729</v>
      </c>
      <c r="D52" s="190">
        <f>C52/C49-1</f>
        <v>0.38129548011135883</v>
      </c>
      <c r="E52" s="287">
        <f>C52/C40-1</f>
        <v>0.2267481236239568</v>
      </c>
      <c r="F52" s="136">
        <f>Q52/22</f>
        <v>350329.18181818182</v>
      </c>
      <c r="G52" s="190">
        <f t="shared" si="89"/>
        <v>0.48434347981624915</v>
      </c>
      <c r="H52" s="190">
        <f t="shared" si="90"/>
        <v>0.87369768398895742</v>
      </c>
      <c r="I52" s="130">
        <f t="shared" si="91"/>
        <v>1.9099717118950057</v>
      </c>
      <c r="J52" s="130">
        <f t="shared" si="92"/>
        <v>0.12992149873678027</v>
      </c>
      <c r="K52" s="136">
        <f>R50+R51+R52</f>
        <v>24896043018</v>
      </c>
      <c r="L52" s="190">
        <f>U52/U49-1</f>
        <v>0.29597662456067142</v>
      </c>
      <c r="M52" s="190">
        <f>K52/K40-1</f>
        <v>0.25836473027223561</v>
      </c>
      <c r="N52" s="191">
        <f>AVERAGE(T50:T52)</f>
        <v>1.8433337294760046</v>
      </c>
      <c r="O52" s="192">
        <f>N52/N49-1</f>
        <v>-3.8274744412793216E-2</v>
      </c>
      <c r="P52" s="129" t="s">
        <v>1403</v>
      </c>
      <c r="Q52" s="116">
        <v>7707242</v>
      </c>
      <c r="R52" s="116">
        <v>11338987157</v>
      </c>
      <c r="S52" s="116">
        <v>4035265</v>
      </c>
      <c r="T52" s="130">
        <f t="shared" si="93"/>
        <v>1.9099717118950057</v>
      </c>
      <c r="U52" s="85">
        <f t="shared" si="83"/>
        <v>17179864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209566.80952380953</v>
      </c>
      <c r="G53" s="190">
        <f t="shared" ref="G53" si="94">F53/F52-1</f>
        <v>-0.40180030554070967</v>
      </c>
      <c r="H53" s="190">
        <f t="shared" ref="H53" si="95">F53/F41-1</f>
        <v>-0.23197011859874817</v>
      </c>
      <c r="I53" s="130">
        <f t="shared" ref="I53" si="96">T53</f>
        <v>1.8400644837027966</v>
      </c>
      <c r="J53" s="130">
        <f t="shared" ref="J53" si="97">I53/I41-1</f>
        <v>-6.1655910895041521E-2</v>
      </c>
      <c r="K53" s="136"/>
      <c r="L53" s="190"/>
      <c r="M53" s="190"/>
      <c r="N53" s="191"/>
      <c r="O53" s="192"/>
      <c r="P53" s="129" t="s">
        <v>1414</v>
      </c>
      <c r="Q53" s="116">
        <v>4400903</v>
      </c>
      <c r="R53" s="116">
        <v>6416665876</v>
      </c>
      <c r="S53" s="116">
        <v>2391711.29</v>
      </c>
      <c r="T53" s="130">
        <f t="shared" ref="T53" si="98">Q53/S53</f>
        <v>1.8400644837027966</v>
      </c>
      <c r="U53" s="85">
        <f t="shared" si="83"/>
        <v>16828470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322530.64705882355</v>
      </c>
      <c r="G54" s="190">
        <f t="shared" ref="G54" si="99">F54/F53-1</f>
        <v>0.53903496355981817</v>
      </c>
      <c r="H54" s="190">
        <f t="shared" ref="H54" si="100">F54/F42-1</f>
        <v>0.24342885066363307</v>
      </c>
      <c r="I54" s="130">
        <f t="shared" ref="I54" si="101">T54</f>
        <v>1.8950555242575164</v>
      </c>
      <c r="J54" s="130">
        <f t="shared" ref="J54" si="102">I54/I42-1</f>
        <v>6.0330016903591188E-2</v>
      </c>
      <c r="K54" s="136"/>
      <c r="L54" s="190"/>
      <c r="M54" s="190"/>
      <c r="N54" s="191"/>
      <c r="O54" s="192"/>
      <c r="P54" s="129" t="s">
        <v>1417</v>
      </c>
      <c r="Q54" s="116">
        <v>5483021</v>
      </c>
      <c r="R54" s="116">
        <v>7943181981</v>
      </c>
      <c r="S54" s="116">
        <v>2893330</v>
      </c>
      <c r="T54" s="130">
        <f t="shared" ref="T54" si="103">Q54/S54</f>
        <v>1.8950555242575164</v>
      </c>
      <c r="U54" s="85">
        <f t="shared" si="83"/>
        <v>17591166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787505.36134453781</v>
      </c>
      <c r="C55" s="188">
        <f>AVERAGE(F53:F55)</f>
        <v>262501.78711484594</v>
      </c>
      <c r="D55" s="190">
        <f>C55/C52-1</f>
        <v>-7.3917432238821856E-2</v>
      </c>
      <c r="E55" s="287">
        <f>C55/C43-1</f>
        <v>1.2065054470625336E-2</v>
      </c>
      <c r="F55" s="136">
        <f>Q55/21</f>
        <v>255407.90476190476</v>
      </c>
      <c r="G55" s="190">
        <f t="shared" ref="G55" si="104">F55/F54-1</f>
        <v>-0.20811275737364843</v>
      </c>
      <c r="H55" s="190">
        <f t="shared" ref="H55" si="105">F55/F43-1</f>
        <v>3.8807680764450847E-2</v>
      </c>
      <c r="I55" s="130">
        <f>T55</f>
        <v>2.0658773945067406</v>
      </c>
      <c r="J55" s="130">
        <f t="shared" ref="J55" si="106">I55/I43-1</f>
        <v>0.1213642833615578</v>
      </c>
      <c r="K55" s="136">
        <f>R53+R54+R55</f>
        <v>22262940852</v>
      </c>
      <c r="L55" s="190">
        <f>U55/U52-1</f>
        <v>-0.11247900449037318</v>
      </c>
      <c r="M55" s="190">
        <f>K55/K43-1</f>
        <v>2.2461081524682625E-2</v>
      </c>
      <c r="N55" s="191">
        <f>AVERAGE(T53:T55)</f>
        <v>1.9336658008223513</v>
      </c>
      <c r="O55" s="192">
        <f>N55/N52-1</f>
        <v>4.9004729801165769E-2</v>
      </c>
      <c r="P55" s="129" t="s">
        <v>1418</v>
      </c>
      <c r="Q55" s="116">
        <v>5363566</v>
      </c>
      <c r="R55" s="116">
        <v>7903092995</v>
      </c>
      <c r="S55" s="116">
        <v>2596265.4</v>
      </c>
      <c r="T55" s="130">
        <f t="shared" ref="T55" si="107">Q55/S55</f>
        <v>2.0658773945067406</v>
      </c>
      <c r="U55" s="85">
        <f t="shared" ref="U55" si="108">Q53+Q54+Q55</f>
        <v>15247490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279421.68181818182</v>
      </c>
      <c r="G56" s="190">
        <f t="shared" ref="G56" si="109">F56/F55-1</f>
        <v>9.4021275804533344E-2</v>
      </c>
      <c r="H56" s="190">
        <f t="shared" ref="H56" si="110">F56/F44-1</f>
        <v>-5.2622762043493254E-2</v>
      </c>
      <c r="I56" s="291">
        <f>T56</f>
        <v>2.0860768062466413</v>
      </c>
      <c r="J56" s="130">
        <f t="shared" ref="J56" si="111">I56/I44-1</f>
        <v>2.2292060569085947E-2</v>
      </c>
      <c r="K56" s="136"/>
      <c r="L56" s="190"/>
      <c r="M56" s="190"/>
      <c r="N56" s="191"/>
      <c r="O56" s="192"/>
      <c r="P56" s="129" t="s">
        <v>1420</v>
      </c>
      <c r="Q56" s="116">
        <v>6147277</v>
      </c>
      <c r="R56" s="116">
        <v>9178774615</v>
      </c>
      <c r="S56" s="116">
        <v>2946812.4</v>
      </c>
      <c r="T56" s="130">
        <f t="shared" ref="T56" si="112">Q56/S56</f>
        <v>2.0860768062466413</v>
      </c>
      <c r="U56" s="85">
        <f t="shared" ref="U56" si="113">Q54+Q55+Q56</f>
        <v>16993864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215583.08333333334</v>
      </c>
      <c r="G57" s="254">
        <f t="shared" ref="G57" si="114">F57/F56-1</f>
        <v>-0.2284668751166844</v>
      </c>
      <c r="H57" s="254">
        <f t="shared" ref="H57" si="115">F57/F45-1</f>
        <v>-0.18927166049578514</v>
      </c>
      <c r="I57" s="282">
        <f>T57</f>
        <v>2.0096146227404432</v>
      </c>
      <c r="J57" s="277">
        <f t="shared" ref="J57" si="116">I57/I45-1</f>
        <v>-0.10136228524022317</v>
      </c>
      <c r="K57" s="204"/>
      <c r="L57" s="254"/>
      <c r="M57" s="254"/>
      <c r="N57" s="257"/>
      <c r="O57" s="258"/>
      <c r="P57" s="129" t="s">
        <v>1436</v>
      </c>
      <c r="Q57" s="116">
        <v>2586997</v>
      </c>
      <c r="R57" s="116">
        <v>3820763026</v>
      </c>
      <c r="S57" s="116">
        <v>1287310</v>
      </c>
      <c r="T57" s="130">
        <f t="shared" ref="T57" si="117">Q57/S57</f>
        <v>2.0096146227404432</v>
      </c>
      <c r="U57" s="85">
        <f t="shared" ref="U57" si="118">Q55+Q56+Q57</f>
        <v>14097840</v>
      </c>
      <c r="V57" s="79"/>
      <c r="W57" s="79"/>
      <c r="X57" s="79"/>
      <c r="Y57" s="79"/>
      <c r="Z57" s="79"/>
    </row>
    <row r="58" spans="1:26">
      <c r="B58" s="196">
        <f>SUM(F56:F58)</f>
        <v>495004.76515151514</v>
      </c>
      <c r="C58" s="196">
        <f>AVERAGE(F56:F58)</f>
        <v>247502.38257575757</v>
      </c>
      <c r="D58" s="197">
        <f>C58/C55-1</f>
        <v>-5.7140199706625427E-2</v>
      </c>
      <c r="E58" s="233">
        <f>C58/C46-1</f>
        <v>-0.13624005188462107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23981764</v>
      </c>
      <c r="R65" s="212">
        <v>35262478493</v>
      </c>
      <c r="S65" s="213">
        <v>12115429.1</v>
      </c>
      <c r="T65" s="214">
        <v>14</v>
      </c>
      <c r="U65" s="214">
        <v>20</v>
      </c>
    </row>
    <row r="66" spans="16:21" ht="18" thickBot="1">
      <c r="P66" s="180" t="s">
        <v>976</v>
      </c>
      <c r="Q66" s="181">
        <v>4400903</v>
      </c>
      <c r="R66" s="181">
        <v>6416665876</v>
      </c>
      <c r="S66" s="182">
        <v>2391711.29</v>
      </c>
      <c r="T66" s="210">
        <v>8</v>
      </c>
      <c r="U66" s="210">
        <v>11</v>
      </c>
    </row>
    <row r="67" spans="16:21" ht="18" thickBot="1">
      <c r="P67" s="180" t="s">
        <v>977</v>
      </c>
      <c r="Q67" s="181">
        <v>5483021</v>
      </c>
      <c r="R67" s="181">
        <v>7943181981</v>
      </c>
      <c r="S67" s="182">
        <v>2893330</v>
      </c>
      <c r="T67" s="210">
        <v>7</v>
      </c>
      <c r="U67" s="210">
        <v>10</v>
      </c>
    </row>
    <row r="68" spans="16:21" ht="18" thickBot="1">
      <c r="P68" s="180" t="s">
        <v>978</v>
      </c>
      <c r="Q68" s="181">
        <v>5363566</v>
      </c>
      <c r="R68" s="181">
        <v>7903092995</v>
      </c>
      <c r="S68" s="182">
        <v>2596265.4</v>
      </c>
      <c r="T68" s="210">
        <v>10</v>
      </c>
      <c r="U68" s="210">
        <v>14</v>
      </c>
    </row>
    <row r="69" spans="16:21" ht="18" thickBot="1">
      <c r="P69" s="180" t="s">
        <v>979</v>
      </c>
      <c r="Q69" s="181">
        <v>6147277</v>
      </c>
      <c r="R69" s="181">
        <v>9178774615</v>
      </c>
      <c r="S69" s="182">
        <v>2946812.4</v>
      </c>
      <c r="T69" s="210">
        <v>11</v>
      </c>
      <c r="U69" s="210">
        <v>17</v>
      </c>
    </row>
    <row r="70" spans="16:21" ht="18" thickBot="1">
      <c r="P70" s="180" t="s">
        <v>980</v>
      </c>
      <c r="Q70" s="181">
        <v>2586997</v>
      </c>
      <c r="R70" s="181">
        <v>3820763026</v>
      </c>
      <c r="S70" s="182">
        <v>1287310</v>
      </c>
      <c r="T70" s="210">
        <v>7</v>
      </c>
      <c r="U70" s="210">
        <v>10</v>
      </c>
    </row>
    <row r="71" spans="16:21" ht="18" thickBot="1">
      <c r="P71" s="180" t="s">
        <v>975</v>
      </c>
      <c r="Q71" s="181">
        <v>62936352</v>
      </c>
      <c r="R71" s="181">
        <v>89629357634</v>
      </c>
      <c r="S71" s="182">
        <v>32858642.32</v>
      </c>
      <c r="T71" s="210">
        <v>16</v>
      </c>
      <c r="U71" s="210">
        <v>27</v>
      </c>
    </row>
    <row r="72" spans="16:21" ht="18" thickBot="1">
      <c r="P72" s="180" t="s">
        <v>982</v>
      </c>
      <c r="Q72" s="210" t="s">
        <v>1527</v>
      </c>
      <c r="R72"/>
      <c r="S72"/>
      <c r="T72"/>
      <c r="U72"/>
    </row>
  </sheetData>
  <phoneticPr fontId="1" type="noConversion"/>
  <conditionalFormatting sqref="C29:C30">
    <cfRule type="cellIs" dxfId="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50">
    <tabColor rgb="FFFFFF00"/>
  </sheetPr>
  <dimension ref="A1:Z72"/>
  <sheetViews>
    <sheetView topLeftCell="C1" zoomScale="90" zoomScaleNormal="9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.8984375" style="87" bestFit="1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7307910000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541909.6</v>
      </c>
      <c r="G5" s="90"/>
      <c r="H5" s="90"/>
      <c r="I5" s="130">
        <f t="shared" ref="I5:I49" si="0">T5</f>
        <v>4.450573371566084</v>
      </c>
      <c r="J5" s="130"/>
      <c r="L5" s="80"/>
      <c r="M5" s="80"/>
      <c r="P5" s="129" t="s">
        <v>0</v>
      </c>
      <c r="Q5" s="116">
        <v>10838192</v>
      </c>
      <c r="R5" s="116"/>
      <c r="S5" s="116">
        <v>2435234.9900000002</v>
      </c>
      <c r="T5" s="130">
        <f t="shared" ref="T5:T38" si="1">Q5/S5</f>
        <v>4.450573371566084</v>
      </c>
      <c r="U5" s="85"/>
    </row>
    <row r="6" spans="1:21" ht="15" hidden="1" customHeight="1">
      <c r="A6" s="129" t="s">
        <v>1</v>
      </c>
      <c r="C6" s="79"/>
      <c r="F6" s="78">
        <f>Q6/18</f>
        <v>415830.38888888888</v>
      </c>
      <c r="G6" s="90">
        <f t="shared" ref="G6:G26" si="2">F6/F5-1</f>
        <v>-0.23265727551442361</v>
      </c>
      <c r="H6" s="90"/>
      <c r="I6" s="130">
        <f t="shared" si="0"/>
        <v>5.1275094935294554</v>
      </c>
      <c r="J6" s="130"/>
      <c r="P6" s="129" t="s">
        <v>1</v>
      </c>
      <c r="Q6" s="116">
        <v>7484947</v>
      </c>
      <c r="R6" s="116"/>
      <c r="S6" s="116">
        <v>1459762.68</v>
      </c>
      <c r="T6" s="130">
        <f t="shared" si="1"/>
        <v>5.1275094935294554</v>
      </c>
      <c r="U6" s="85"/>
    </row>
    <row r="7" spans="1:21" ht="15" hidden="1" customHeight="1">
      <c r="A7" s="129" t="s">
        <v>2</v>
      </c>
      <c r="B7" s="131">
        <f>F5+F6+F7</f>
        <v>1338184.5797979797</v>
      </c>
      <c r="C7" s="131">
        <f>AVERAGE(F5:F7)</f>
        <v>446061.52659932658</v>
      </c>
      <c r="F7" s="78">
        <f>Q7/22</f>
        <v>380444.59090909088</v>
      </c>
      <c r="G7" s="90">
        <f t="shared" si="2"/>
        <v>-8.5096709921441471E-2</v>
      </c>
      <c r="H7" s="90"/>
      <c r="I7" s="130">
        <f t="shared" si="0"/>
        <v>4.2986781218907435</v>
      </c>
      <c r="J7" s="130"/>
      <c r="K7" s="79">
        <f>R5+R6+R7</f>
        <v>0</v>
      </c>
      <c r="N7" s="88">
        <f>AVERAGE(T5:T7)</f>
        <v>4.6255869956620943</v>
      </c>
      <c r="P7" s="129" t="s">
        <v>2</v>
      </c>
      <c r="Q7" s="116">
        <v>8369781</v>
      </c>
      <c r="R7" s="116"/>
      <c r="S7" s="116">
        <v>1947059.25</v>
      </c>
      <c r="T7" s="130">
        <f t="shared" si="1"/>
        <v>4.2986781218907435</v>
      </c>
      <c r="U7" s="85">
        <f>Q5+Q6+Q7</f>
        <v>26692920</v>
      </c>
    </row>
    <row r="8" spans="1:21" ht="15" hidden="1" customHeight="1">
      <c r="A8" s="129" t="s">
        <v>3</v>
      </c>
      <c r="C8" s="79"/>
      <c r="F8" s="78">
        <f>Q8/21</f>
        <v>439195.61904761905</v>
      </c>
      <c r="G8" s="90">
        <f t="shared" si="2"/>
        <v>0.15442729254775234</v>
      </c>
      <c r="H8" s="90"/>
      <c r="I8" s="130">
        <f t="shared" si="0"/>
        <v>5.066193411486851</v>
      </c>
      <c r="J8" s="130"/>
      <c r="K8" s="78"/>
      <c r="P8" s="129" t="s">
        <v>3</v>
      </c>
      <c r="Q8" s="116">
        <v>9223108</v>
      </c>
      <c r="R8" s="116"/>
      <c r="S8" s="116">
        <v>1820520.31</v>
      </c>
      <c r="T8" s="130">
        <f t="shared" si="1"/>
        <v>5.066193411486851</v>
      </c>
      <c r="U8" s="85"/>
    </row>
    <row r="9" spans="1:21" ht="15" hidden="1" customHeight="1">
      <c r="A9" s="129" t="s">
        <v>4</v>
      </c>
      <c r="C9" s="79"/>
      <c r="F9" s="78">
        <f>Q9/21</f>
        <v>488514.04761904763</v>
      </c>
      <c r="G9" s="90">
        <f t="shared" si="2"/>
        <v>0.11229262413494445</v>
      </c>
      <c r="H9" s="90"/>
      <c r="I9" s="130">
        <f t="shared" si="0"/>
        <v>4.1724875332394857</v>
      </c>
      <c r="J9" s="130"/>
      <c r="K9" s="78"/>
      <c r="P9" s="129" t="s">
        <v>4</v>
      </c>
      <c r="Q9" s="116">
        <v>10258795</v>
      </c>
      <c r="R9" s="116"/>
      <c r="S9" s="116">
        <v>2458676.0099999998</v>
      </c>
      <c r="T9" s="130">
        <f t="shared" si="1"/>
        <v>4.1724875332394857</v>
      </c>
      <c r="U9" s="85"/>
    </row>
    <row r="10" spans="1:21" ht="15" hidden="1" customHeight="1">
      <c r="A10" s="129" t="s">
        <v>5</v>
      </c>
      <c r="B10" s="131">
        <f>F8+F9+F10</f>
        <v>1303340.0476190476</v>
      </c>
      <c r="C10" s="131">
        <f>AVERAGE(F8:F10)</f>
        <v>434446.68253968254</v>
      </c>
      <c r="D10" s="90">
        <f>C10/C7-1</f>
        <v>-2.603865916926984E-2</v>
      </c>
      <c r="E10" s="286"/>
      <c r="F10" s="78">
        <f>Q10/21</f>
        <v>375630.38095238095</v>
      </c>
      <c r="G10" s="90">
        <f t="shared" si="2"/>
        <v>-0.23107557953931235</v>
      </c>
      <c r="H10" s="90"/>
      <c r="I10" s="130">
        <f t="shared" si="0"/>
        <v>4.0464555191254457</v>
      </c>
      <c r="J10" s="130"/>
      <c r="K10" s="79">
        <f>R8+R9+R10</f>
        <v>0</v>
      </c>
      <c r="L10" s="87">
        <f>U10/U7-1</f>
        <v>2.5370809937616423E-2</v>
      </c>
      <c r="N10" s="88">
        <f>AVERAGE(T8:T10)</f>
        <v>4.4283788212839275</v>
      </c>
      <c r="O10" s="89">
        <f>N10/N7-1</f>
        <v>-4.2634194225102617E-2</v>
      </c>
      <c r="P10" s="129" t="s">
        <v>5</v>
      </c>
      <c r="Q10" s="116">
        <v>7888238</v>
      </c>
      <c r="R10" s="116"/>
      <c r="S10" s="116">
        <v>1949419.18</v>
      </c>
      <c r="T10" s="130">
        <f t="shared" si="1"/>
        <v>4.0464555191254457</v>
      </c>
      <c r="U10" s="85">
        <f>Q8+Q9+Q10</f>
        <v>27370141</v>
      </c>
    </row>
    <row r="11" spans="1:21" ht="15" hidden="1" customHeight="1">
      <c r="A11" s="129" t="s">
        <v>6</v>
      </c>
      <c r="C11" s="79"/>
      <c r="F11" s="78">
        <f>Q11/21</f>
        <v>453464.90476190473</v>
      </c>
      <c r="G11" s="90">
        <f t="shared" si="2"/>
        <v>0.20721040617689268</v>
      </c>
      <c r="H11" s="90"/>
      <c r="I11" s="130">
        <f t="shared" si="0"/>
        <v>5.2105953108027556</v>
      </c>
      <c r="J11" s="130"/>
      <c r="K11" s="78"/>
      <c r="O11" s="89"/>
      <c r="P11" s="129" t="s">
        <v>6</v>
      </c>
      <c r="Q11" s="116">
        <v>9522763</v>
      </c>
      <c r="R11" s="116"/>
      <c r="S11" s="116">
        <v>1827576.78</v>
      </c>
      <c r="T11" s="130">
        <f t="shared" si="1"/>
        <v>5.2105953108027556</v>
      </c>
      <c r="U11" s="85"/>
    </row>
    <row r="12" spans="1:21" ht="15" hidden="1" customHeight="1">
      <c r="A12" s="129" t="s">
        <v>7</v>
      </c>
      <c r="C12" s="79"/>
      <c r="F12" s="78">
        <f>Q12/22</f>
        <v>366639.09090909088</v>
      </c>
      <c r="G12" s="90">
        <f t="shared" si="2"/>
        <v>-0.1914719594417178</v>
      </c>
      <c r="H12" s="90"/>
      <c r="I12" s="130">
        <f t="shared" si="0"/>
        <v>6.9422361619803228</v>
      </c>
      <c r="J12" s="130"/>
      <c r="K12" s="78"/>
      <c r="O12" s="89"/>
      <c r="P12" s="129" t="s">
        <v>7</v>
      </c>
      <c r="Q12" s="116">
        <v>8066060</v>
      </c>
      <c r="R12" s="116"/>
      <c r="S12" s="116">
        <v>1161882.1100000001</v>
      </c>
      <c r="T12" s="130">
        <f t="shared" si="1"/>
        <v>6.9422361619803228</v>
      </c>
      <c r="U12" s="85"/>
    </row>
    <row r="13" spans="1:21" ht="15" hidden="1" customHeight="1">
      <c r="A13" s="129" t="s">
        <v>96</v>
      </c>
      <c r="B13" s="131">
        <f>F11+F12+F13</f>
        <v>1234015.9956709957</v>
      </c>
      <c r="C13" s="131">
        <f>AVERAGE(F11:F13)</f>
        <v>411338.66522366524</v>
      </c>
      <c r="D13" s="90">
        <f>C13/C10-1</f>
        <v>-5.3189535666224419E-2</v>
      </c>
      <c r="E13" s="286"/>
      <c r="F13" s="78">
        <f>Q13/20</f>
        <v>413912</v>
      </c>
      <c r="G13" s="90">
        <f t="shared" si="2"/>
        <v>0.12893581252804975</v>
      </c>
      <c r="H13" s="90"/>
      <c r="I13" s="130">
        <f t="shared" si="0"/>
        <v>5.2341455716577476</v>
      </c>
      <c r="J13" s="130"/>
      <c r="K13" s="78">
        <f>R11+R12+R13</f>
        <v>0</v>
      </c>
      <c r="L13" s="87">
        <f>U13/U10-1</f>
        <v>-5.4916706494131717E-2</v>
      </c>
      <c r="N13" s="88">
        <f>AVERAGE(T11:T13)</f>
        <v>5.7956590148136087</v>
      </c>
      <c r="O13" s="89">
        <f>N13/N10-1</f>
        <v>0.30875411718577039</v>
      </c>
      <c r="P13" s="129" t="s">
        <v>96</v>
      </c>
      <c r="Q13" s="116">
        <v>8278240</v>
      </c>
      <c r="R13" s="116"/>
      <c r="S13" s="116">
        <v>1581583.83</v>
      </c>
      <c r="T13" s="130">
        <f t="shared" si="1"/>
        <v>5.2341455716577476</v>
      </c>
      <c r="U13" s="85">
        <f>Q11+Q12+Q13</f>
        <v>25867063</v>
      </c>
    </row>
    <row r="14" spans="1:21" ht="15" hidden="1" customHeight="1">
      <c r="A14" s="129" t="s">
        <v>97</v>
      </c>
      <c r="C14" s="79"/>
      <c r="F14" s="78">
        <f>Q14/20</f>
        <v>408772.9</v>
      </c>
      <c r="G14" s="90">
        <f t="shared" si="2"/>
        <v>-1.2415924157791913E-2</v>
      </c>
      <c r="H14" s="90"/>
      <c r="I14" s="130">
        <f t="shared" si="0"/>
        <v>5.3699959343361758</v>
      </c>
      <c r="J14" s="130"/>
      <c r="O14" s="89"/>
      <c r="P14" s="129" t="s">
        <v>97</v>
      </c>
      <c r="Q14" s="116">
        <v>8175458</v>
      </c>
      <c r="R14" s="116"/>
      <c r="S14" s="116">
        <v>1522432.81</v>
      </c>
      <c r="T14" s="130">
        <f t="shared" si="1"/>
        <v>5.3699959343361758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522594.72727272729</v>
      </c>
      <c r="G15" s="90">
        <f t="shared" si="2"/>
        <v>0.27844758611132803</v>
      </c>
      <c r="H15" s="90"/>
      <c r="I15" s="130">
        <f t="shared" si="0"/>
        <v>4.534937992542261</v>
      </c>
      <c r="J15" s="130"/>
      <c r="O15" s="89"/>
      <c r="P15" s="129" t="s">
        <v>98</v>
      </c>
      <c r="Q15" s="116">
        <v>11497084</v>
      </c>
      <c r="R15" s="116"/>
      <c r="S15" s="116">
        <v>2535224.08</v>
      </c>
      <c r="T15" s="130">
        <f t="shared" si="1"/>
        <v>4.534937992542261</v>
      </c>
      <c r="U15" s="85"/>
    </row>
    <row r="16" spans="1:21" ht="15" hidden="1" customHeight="1">
      <c r="A16" s="129" t="s">
        <v>99</v>
      </c>
      <c r="B16" s="131">
        <f>F14+F15+F16</f>
        <v>1386671.0818181818</v>
      </c>
      <c r="C16" s="131">
        <f>AVERAGE(F14:F16)</f>
        <v>462223.69393939391</v>
      </c>
      <c r="D16" s="90">
        <f>C16/C13-1</f>
        <v>0.12370592170823502</v>
      </c>
      <c r="E16" s="286"/>
      <c r="F16" s="78">
        <f>Q16/22</f>
        <v>455303.45454545453</v>
      </c>
      <c r="G16" s="90">
        <f t="shared" si="2"/>
        <v>-0.12876378045076475</v>
      </c>
      <c r="H16" s="90"/>
      <c r="I16" s="130">
        <f t="shared" si="0"/>
        <v>5.4270185617352649</v>
      </c>
      <c r="J16" s="130"/>
      <c r="K16" s="78">
        <f>R14+R15+R16</f>
        <v>0</v>
      </c>
      <c r="L16" s="87">
        <f>U16/U13-1</f>
        <v>0.14776146020133796</v>
      </c>
      <c r="N16" s="88">
        <f>AVERAGE(T14:T16)</f>
        <v>5.1106508295379003</v>
      </c>
      <c r="O16" s="89">
        <f>N16/N13-1</f>
        <v>-0.1181933208156033</v>
      </c>
      <c r="P16" s="129" t="s">
        <v>99</v>
      </c>
      <c r="Q16" s="116">
        <v>10016676</v>
      </c>
      <c r="R16" s="116"/>
      <c r="S16" s="116">
        <v>1845705.13</v>
      </c>
      <c r="T16" s="130">
        <f t="shared" si="1"/>
        <v>5.4270185617352649</v>
      </c>
      <c r="U16" s="85">
        <f>Q14+Q15+Q16</f>
        <v>29689218</v>
      </c>
    </row>
    <row r="17" spans="1:21" ht="15" hidden="1" customHeight="1">
      <c r="A17" s="129" t="s">
        <v>100</v>
      </c>
      <c r="C17" s="79"/>
      <c r="F17" s="78">
        <f>Q17/20</f>
        <v>411845.05</v>
      </c>
      <c r="G17" s="90">
        <f t="shared" si="2"/>
        <v>-9.5449318716108955E-2</v>
      </c>
      <c r="H17" s="90">
        <f t="shared" ref="H17:H26" si="3">F17/F5-1</f>
        <v>-0.24001152590764219</v>
      </c>
      <c r="I17" s="130">
        <f t="shared" si="0"/>
        <v>5.129320779222251</v>
      </c>
      <c r="J17" s="130">
        <f t="shared" ref="J17:J49" si="4">I17/I5-1</f>
        <v>0.15250785707580117</v>
      </c>
      <c r="O17" s="89"/>
      <c r="P17" s="129" t="s">
        <v>100</v>
      </c>
      <c r="Q17" s="116">
        <v>8236901</v>
      </c>
      <c r="R17" s="116">
        <v>10361874158</v>
      </c>
      <c r="S17" s="116">
        <v>1605846.34</v>
      </c>
      <c r="T17" s="130">
        <f t="shared" si="1"/>
        <v>5.129320779222251</v>
      </c>
      <c r="U17" s="78"/>
    </row>
    <row r="18" spans="1:21" hidden="1">
      <c r="A18" s="129" t="s">
        <v>106</v>
      </c>
      <c r="C18" s="79"/>
      <c r="F18" s="78">
        <f>Q18/20</f>
        <v>629845.44999999995</v>
      </c>
      <c r="G18" s="90">
        <f t="shared" si="2"/>
        <v>0.52932625996111882</v>
      </c>
      <c r="H18" s="90">
        <f t="shared" si="3"/>
        <v>0.51466912190560588</v>
      </c>
      <c r="I18" s="130">
        <f t="shared" si="0"/>
        <v>5.4964275537166332</v>
      </c>
      <c r="J18" s="130">
        <f t="shared" si="4"/>
        <v>7.1948781499620029E-2</v>
      </c>
      <c r="O18" s="89"/>
      <c r="P18" s="129" t="s">
        <v>106</v>
      </c>
      <c r="Q18" s="116">
        <v>12596909</v>
      </c>
      <c r="R18" s="116">
        <v>15819655220</v>
      </c>
      <c r="S18" s="116">
        <v>2291835.7200000002</v>
      </c>
      <c r="T18" s="130">
        <f t="shared" si="1"/>
        <v>5.4964275537166332</v>
      </c>
      <c r="U18" s="78"/>
    </row>
    <row r="19" spans="1:21" hidden="1">
      <c r="A19" s="129" t="s">
        <v>114</v>
      </c>
      <c r="B19" s="131">
        <f>SUM(F17:F19)</f>
        <v>1526111</v>
      </c>
      <c r="C19" s="131">
        <f>AVERAGE(F17:F19)</f>
        <v>508703.66666666669</v>
      </c>
      <c r="D19" s="90">
        <f>C19/C16-1</f>
        <v>0.10055731312935934</v>
      </c>
      <c r="E19" s="286">
        <f>C19/C7-1</f>
        <v>0.14043385571696754</v>
      </c>
      <c r="F19" s="78">
        <f>Q19/22</f>
        <v>484420.5</v>
      </c>
      <c r="G19" s="90">
        <f t="shared" si="2"/>
        <v>-0.2308898952909797</v>
      </c>
      <c r="H19" s="90">
        <f t="shared" si="3"/>
        <v>0.27330105769792556</v>
      </c>
      <c r="I19" s="130">
        <f t="shared" si="0"/>
        <v>4.8706431387679636</v>
      </c>
      <c r="J19" s="130">
        <f t="shared" si="4"/>
        <v>0.13305602342369505</v>
      </c>
      <c r="K19" s="78">
        <f>R17+R18+R19</f>
        <v>40111059617</v>
      </c>
      <c r="L19" s="87">
        <f>U19/U16-1</f>
        <v>6.0690146840512993E-2</v>
      </c>
      <c r="M19" s="87">
        <f>U19/U7-1</f>
        <v>0.17975332035610947</v>
      </c>
      <c r="N19" s="88">
        <f>AVERAGE(T17:T19)</f>
        <v>5.1654638239022823</v>
      </c>
      <c r="O19" s="89">
        <f>N19/N16-1</f>
        <v>1.0725247369196333E-2</v>
      </c>
      <c r="P19" s="129" t="s">
        <v>114</v>
      </c>
      <c r="Q19" s="116">
        <v>10657251</v>
      </c>
      <c r="R19" s="116">
        <v>13929530239</v>
      </c>
      <c r="S19" s="116">
        <v>2188058.27</v>
      </c>
      <c r="T19" s="130">
        <f t="shared" si="1"/>
        <v>4.8706431387679636</v>
      </c>
      <c r="U19" s="85">
        <f>Q17+Q18+Q19</f>
        <v>31491061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519490.5</v>
      </c>
      <c r="G20" s="90">
        <f t="shared" si="2"/>
        <v>7.239578011252612E-2</v>
      </c>
      <c r="H20" s="90">
        <f t="shared" si="3"/>
        <v>0.18282259082296326</v>
      </c>
      <c r="I20" s="130">
        <f t="shared" si="0"/>
        <v>5.1787893068137523</v>
      </c>
      <c r="J20" s="130">
        <f t="shared" si="4"/>
        <v>2.2224950013082223E-2</v>
      </c>
      <c r="O20" s="89"/>
      <c r="P20" s="129" t="s">
        <v>131</v>
      </c>
      <c r="Q20" s="116">
        <v>10389810</v>
      </c>
      <c r="R20" s="116">
        <v>13607787508</v>
      </c>
      <c r="S20" s="116">
        <v>2006223.73</v>
      </c>
      <c r="T20" s="130">
        <f t="shared" si="1"/>
        <v>5.1787893068137523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515612.14285714284</v>
      </c>
      <c r="G21" s="90">
        <f t="shared" si="2"/>
        <v>-7.4656940653528014E-3</v>
      </c>
      <c r="H21" s="90">
        <f t="shared" si="3"/>
        <v>5.5470452426430228E-2</v>
      </c>
      <c r="I21" s="130">
        <f t="shared" si="0"/>
        <v>5.3491107999405427</v>
      </c>
      <c r="J21" s="130">
        <f t="shared" si="4"/>
        <v>0.28199563385814019</v>
      </c>
      <c r="O21" s="89"/>
      <c r="P21" s="129" t="s">
        <v>141</v>
      </c>
      <c r="Q21" s="116">
        <v>10827855</v>
      </c>
      <c r="R21" s="116">
        <v>14415522817</v>
      </c>
      <c r="S21" s="116">
        <v>2024234.57</v>
      </c>
      <c r="T21" s="130">
        <f t="shared" si="1"/>
        <v>5.3491107999405427</v>
      </c>
      <c r="U21" s="78"/>
    </row>
    <row r="22" spans="1:21" hidden="1">
      <c r="A22" s="129" t="s">
        <v>155</v>
      </c>
      <c r="B22" s="131">
        <f>SUM(F20:F22)</f>
        <v>1587332.2619047619</v>
      </c>
      <c r="C22" s="131">
        <f>AVERAGE(F20:F22)</f>
        <v>529110.75396825396</v>
      </c>
      <c r="D22" s="90">
        <f>C22/C19-1</f>
        <v>4.0115864379957733E-2</v>
      </c>
      <c r="E22" s="286">
        <f>C22/C10-1</f>
        <v>0.21789571708819477</v>
      </c>
      <c r="F22" s="78">
        <f>Q22/21</f>
        <v>552229.61904761905</v>
      </c>
      <c r="G22" s="90">
        <f t="shared" si="2"/>
        <v>7.101748222524229E-2</v>
      </c>
      <c r="H22" s="90">
        <f t="shared" si="3"/>
        <v>0.47014098712538854</v>
      </c>
      <c r="I22" s="130">
        <f t="shared" si="0"/>
        <v>4.4851763824908835</v>
      </c>
      <c r="J22" s="130">
        <f t="shared" si="4"/>
        <v>0.108421027067229</v>
      </c>
      <c r="K22" s="78">
        <f>R20+R21+R22</f>
        <v>43139931968</v>
      </c>
      <c r="L22" s="87">
        <f>U22/U19-1</f>
        <v>4.2025449698249284E-2</v>
      </c>
      <c r="M22" s="87">
        <f>U22/U10-1</f>
        <v>0.19891552622984299</v>
      </c>
      <c r="N22" s="88">
        <f>AVERAGE(T20:T22)</f>
        <v>5.0043588297483934</v>
      </c>
      <c r="O22" s="89">
        <f>N22/N19-1</f>
        <v>-3.1188872799457701E-2</v>
      </c>
      <c r="P22" s="129" t="s">
        <v>155</v>
      </c>
      <c r="Q22" s="116">
        <v>11596822</v>
      </c>
      <c r="R22" s="116">
        <v>15116621643</v>
      </c>
      <c r="S22" s="116">
        <v>2585588.84</v>
      </c>
      <c r="T22" s="130">
        <f t="shared" si="1"/>
        <v>4.4851763824908835</v>
      </c>
      <c r="U22" s="85">
        <f>Q20+Q21+Q22</f>
        <v>32814487</v>
      </c>
    </row>
    <row r="23" spans="1:21" hidden="1">
      <c r="A23" s="129" t="s">
        <v>189</v>
      </c>
      <c r="B23" s="131"/>
      <c r="C23" s="131"/>
      <c r="F23" s="78">
        <f>Q23/21</f>
        <v>480907.38095238095</v>
      </c>
      <c r="G23" s="90">
        <f t="shared" si="2"/>
        <v>-0.12915322835859688</v>
      </c>
      <c r="H23" s="90">
        <f t="shared" si="3"/>
        <v>6.0517309944603248E-2</v>
      </c>
      <c r="I23" s="130">
        <f t="shared" si="0"/>
        <v>5.1642108077768123</v>
      </c>
      <c r="J23" s="130">
        <f t="shared" si="4"/>
        <v>-8.9019584633214244E-3</v>
      </c>
      <c r="O23" s="89"/>
      <c r="P23" s="129" t="s">
        <v>189</v>
      </c>
      <c r="Q23" s="116">
        <v>10099055</v>
      </c>
      <c r="R23" s="116">
        <v>13035096442</v>
      </c>
      <c r="S23" s="116">
        <v>1955585.35</v>
      </c>
      <c r="T23" s="130">
        <f t="shared" si="1"/>
        <v>5.1642108077768123</v>
      </c>
      <c r="U23" s="78"/>
    </row>
    <row r="24" spans="1:21" hidden="1">
      <c r="A24" s="129" t="s">
        <v>204</v>
      </c>
      <c r="B24" s="131"/>
      <c r="C24" s="131"/>
      <c r="F24" s="78">
        <f>Q24/22</f>
        <v>390179.22727272729</v>
      </c>
      <c r="G24" s="90">
        <f t="shared" si="2"/>
        <v>-0.18866034765359008</v>
      </c>
      <c r="H24" s="90">
        <f t="shared" si="3"/>
        <v>6.4205200556405551E-2</v>
      </c>
      <c r="I24" s="130">
        <f t="shared" si="0"/>
        <v>5.5321966995393943</v>
      </c>
      <c r="J24" s="130">
        <f t="shared" si="4"/>
        <v>-0.20311027016959105</v>
      </c>
      <c r="O24" s="89"/>
      <c r="P24" s="129" t="s">
        <v>204</v>
      </c>
      <c r="Q24" s="116">
        <v>8583943</v>
      </c>
      <c r="R24" s="116">
        <v>11296896224</v>
      </c>
      <c r="S24" s="116">
        <v>1551633.73</v>
      </c>
      <c r="T24" s="130">
        <f t="shared" si="1"/>
        <v>5.5321966995393943</v>
      </c>
      <c r="U24" s="78"/>
    </row>
    <row r="25" spans="1:21" s="79" customFormat="1" ht="13.2" hidden="1">
      <c r="A25" s="129" t="s">
        <v>219</v>
      </c>
      <c r="B25" s="131">
        <f>SUM(F23:F25)</f>
        <v>1418901.4503303715</v>
      </c>
      <c r="C25" s="131">
        <f>AVERAGE(F23:F25)</f>
        <v>472967.15011012385</v>
      </c>
      <c r="D25" s="90">
        <f>C25/C22-1</f>
        <v>-0.10610936072846988</v>
      </c>
      <c r="E25" s="286">
        <f>C25/C13-1</f>
        <v>0.14982419620812482</v>
      </c>
      <c r="F25" s="78">
        <f>Q25/19</f>
        <v>547814.84210526315</v>
      </c>
      <c r="G25" s="90">
        <f t="shared" si="2"/>
        <v>0.4040082193364738</v>
      </c>
      <c r="H25" s="90">
        <f t="shared" si="3"/>
        <v>0.32350558115073524</v>
      </c>
      <c r="I25" s="130">
        <f t="shared" si="0"/>
        <v>6.0107284802424958</v>
      </c>
      <c r="J25" s="130">
        <f t="shared" si="4"/>
        <v>0.14836861106612109</v>
      </c>
      <c r="K25" s="78">
        <f>R23+R24+R25</f>
        <v>38147631161</v>
      </c>
      <c r="L25" s="90">
        <f>U25/U22-1</f>
        <v>-0.11345620000093248</v>
      </c>
      <c r="M25" s="90">
        <f>U25/U13-1</f>
        <v>0.1246533864320043</v>
      </c>
      <c r="N25" s="88">
        <f>AVERAGE(T23:T25)</f>
        <v>5.5690453291862339</v>
      </c>
      <c r="O25" s="91">
        <f>N25/N22-1</f>
        <v>0.11283893074994222</v>
      </c>
      <c r="P25" s="129" t="s">
        <v>219</v>
      </c>
      <c r="Q25" s="116">
        <v>10408482</v>
      </c>
      <c r="R25" s="116">
        <v>13815638495</v>
      </c>
      <c r="S25" s="116">
        <v>1731650.67</v>
      </c>
      <c r="T25" s="130">
        <f t="shared" si="1"/>
        <v>6.0107284802424958</v>
      </c>
      <c r="U25" s="85">
        <f>Q23+Q24+Q25</f>
        <v>29091480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613474.73684210528</v>
      </c>
      <c r="G26" s="90">
        <f t="shared" si="2"/>
        <v>0.11985782364805941</v>
      </c>
      <c r="H26" s="90">
        <f t="shared" si="3"/>
        <v>0.50077154537912194</v>
      </c>
      <c r="I26" s="130">
        <f t="shared" si="0"/>
        <v>4.84469119205355</v>
      </c>
      <c r="J26" s="130">
        <f t="shared" si="4"/>
        <v>-9.7822186218761598E-2</v>
      </c>
      <c r="L26" s="90"/>
      <c r="M26" s="90"/>
      <c r="P26" s="129" t="s">
        <v>312</v>
      </c>
      <c r="Q26" s="116">
        <v>11656020</v>
      </c>
      <c r="R26" s="116">
        <v>15699842350</v>
      </c>
      <c r="S26" s="116">
        <v>2405936.63</v>
      </c>
      <c r="T26" s="130">
        <f t="shared" si="1"/>
        <v>4.84469119205355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576262.86363636365</v>
      </c>
      <c r="G27" s="90">
        <f t="shared" ref="G27" si="5">F27/F26-1</f>
        <v>-6.0657547851590055E-2</v>
      </c>
      <c r="H27" s="90">
        <f t="shared" ref="H27" si="6">F27/F15-1</f>
        <v>0.10269551827228529</v>
      </c>
      <c r="I27" s="130">
        <f t="shared" si="0"/>
        <v>5.2052562130043727</v>
      </c>
      <c r="J27" s="130">
        <f t="shared" si="4"/>
        <v>0.14781199248246724</v>
      </c>
      <c r="L27" s="90"/>
      <c r="M27" s="90"/>
      <c r="P27" s="129" t="s">
        <v>399</v>
      </c>
      <c r="Q27" s="116">
        <v>12677783</v>
      </c>
      <c r="R27" s="116">
        <v>16736446805</v>
      </c>
      <c r="S27" s="116">
        <v>2435573.29</v>
      </c>
      <c r="T27" s="130">
        <f t="shared" si="1"/>
        <v>5.2052562130043727</v>
      </c>
      <c r="U27" s="78"/>
    </row>
    <row r="28" spans="1:21" s="79" customFormat="1" ht="13.2" hidden="1">
      <c r="A28" s="123" t="s">
        <v>413</v>
      </c>
      <c r="B28" s="131">
        <f>SUM(F26:F28)</f>
        <v>1636794.4952153109</v>
      </c>
      <c r="C28" s="131">
        <f>AVERAGE(F26:F28)</f>
        <v>545598.16507177032</v>
      </c>
      <c r="D28" s="90">
        <f>C28/C25-1</f>
        <v>0.15356460791142745</v>
      </c>
      <c r="E28" s="286">
        <f>C28/C16-1</f>
        <v>0.1803768872638285</v>
      </c>
      <c r="F28" s="78">
        <f>Q28/19</f>
        <v>447056.89473684208</v>
      </c>
      <c r="G28" s="90">
        <f t="shared" ref="G28" si="7">F28/F27-1</f>
        <v>-0.22421359600408641</v>
      </c>
      <c r="H28" s="90">
        <f t="shared" ref="H28" si="8">F28/F16-1</f>
        <v>-1.8112227628154676E-2</v>
      </c>
      <c r="I28" s="130">
        <f t="shared" si="0"/>
        <v>5.5803932735130166</v>
      </c>
      <c r="J28" s="130">
        <f t="shared" si="4"/>
        <v>2.82613206557214E-2</v>
      </c>
      <c r="K28" s="78">
        <f>R26+R27+R28</f>
        <v>43501115652</v>
      </c>
      <c r="L28" s="90">
        <f>U28/U25-1</f>
        <v>0.1284363669362989</v>
      </c>
      <c r="M28" s="90">
        <f>U28/U16-1</f>
        <v>0.10571736850731472</v>
      </c>
      <c r="N28" s="88">
        <f>AVERAGE(T26:T28)</f>
        <v>5.2101135595236459</v>
      </c>
      <c r="O28" s="91">
        <f>N28/N25-1</f>
        <v>-6.4451220711294943E-2</v>
      </c>
      <c r="P28" s="129" t="s">
        <v>413</v>
      </c>
      <c r="Q28" s="116">
        <v>8494081</v>
      </c>
      <c r="R28" s="116">
        <v>11064826497</v>
      </c>
      <c r="S28" s="116">
        <v>1522129.46</v>
      </c>
      <c r="T28" s="130">
        <f t="shared" si="1"/>
        <v>5.5803932735130166</v>
      </c>
      <c r="U28" s="85">
        <f>Q26+Q27+Q28</f>
        <v>32827884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454079.31818181818</v>
      </c>
      <c r="G29" s="190">
        <f t="shared" ref="G29" si="9">F29/F28-1</f>
        <v>1.5708120213893118E-2</v>
      </c>
      <c r="H29" s="190">
        <f t="shared" ref="H29" si="10">F29/F17-1</f>
        <v>0.10254892751975087</v>
      </c>
      <c r="I29" s="130">
        <f t="shared" si="0"/>
        <v>5.0847693146953201</v>
      </c>
      <c r="J29" s="130">
        <f t="shared" si="4"/>
        <v>-8.6856460035408256E-3</v>
      </c>
      <c r="K29" s="136"/>
      <c r="L29" s="190"/>
      <c r="M29" s="190"/>
      <c r="N29" s="191"/>
      <c r="O29" s="192"/>
      <c r="P29" s="129" t="s">
        <v>427</v>
      </c>
      <c r="Q29" s="116">
        <v>9989745</v>
      </c>
      <c r="R29" s="116">
        <v>13141693564</v>
      </c>
      <c r="S29" s="116">
        <v>1964640.75</v>
      </c>
      <c r="T29" s="130">
        <f t="shared" si="1"/>
        <v>5.0847693146953201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462899.63157894736</v>
      </c>
      <c r="G30" s="190">
        <f t="shared" ref="G30" si="11">F30/F29-1</f>
        <v>1.942460941063473E-2</v>
      </c>
      <c r="H30" s="190">
        <f t="shared" ref="H30" si="12">F30/F18-1</f>
        <v>-0.26505838602319443</v>
      </c>
      <c r="I30" s="130">
        <f t="shared" si="0"/>
        <v>5.6582378877933177</v>
      </c>
      <c r="J30" s="130">
        <f t="shared" si="4"/>
        <v>2.9439182540897946E-2</v>
      </c>
      <c r="K30" s="136"/>
      <c r="L30" s="190"/>
      <c r="M30" s="190"/>
      <c r="N30" s="191"/>
      <c r="O30" s="192"/>
      <c r="P30" s="129" t="s">
        <v>466</v>
      </c>
      <c r="Q30" s="116">
        <v>8795093</v>
      </c>
      <c r="R30" s="116">
        <v>11722589876</v>
      </c>
      <c r="S30" s="116">
        <v>1554387.28</v>
      </c>
      <c r="T30" s="130">
        <f t="shared" si="1"/>
        <v>5.6582378877933177</v>
      </c>
      <c r="U30" s="85"/>
    </row>
    <row r="31" spans="1:21" s="79" customFormat="1" ht="13.2" hidden="1">
      <c r="A31" s="129" t="s">
        <v>517</v>
      </c>
      <c r="B31" s="188">
        <f>SUM(F29:F31)</f>
        <v>1413029.8497607657</v>
      </c>
      <c r="C31" s="188">
        <f>AVERAGE(F29:F31)</f>
        <v>471009.94992025523</v>
      </c>
      <c r="D31" s="190">
        <f>C31/C28-1</f>
        <v>-0.1367090652544688</v>
      </c>
      <c r="E31" s="287">
        <f>C31/C19-1</f>
        <v>-7.4097592009515933E-2</v>
      </c>
      <c r="F31" s="136">
        <f>Q31/20</f>
        <v>496050.9</v>
      </c>
      <c r="G31" s="190">
        <f t="shared" ref="G31" si="13">F31/F30-1</f>
        <v>7.1616536630141336E-2</v>
      </c>
      <c r="H31" s="190">
        <f t="shared" ref="H31" si="14">F31/F19-1</f>
        <v>2.4008893100106343E-2</v>
      </c>
      <c r="I31" s="130">
        <f t="shared" si="0"/>
        <v>6.2325529589354289</v>
      </c>
      <c r="J31" s="130">
        <f t="shared" si="4"/>
        <v>0.2796160140182149</v>
      </c>
      <c r="K31" s="136">
        <f>R30+R31+R32</f>
        <v>40547452021</v>
      </c>
      <c r="L31" s="190">
        <f>U31/U28-1</f>
        <v>-7.9562697370320956E-2</v>
      </c>
      <c r="M31" s="190">
        <f>U31/U19-1</f>
        <v>-4.0489331242284932E-2</v>
      </c>
      <c r="N31" s="191">
        <f>AVERAGE(T29:T31)</f>
        <v>5.6585200538080223</v>
      </c>
      <c r="O31" s="192">
        <f>N31/N28-1</f>
        <v>8.6064629717086838E-2</v>
      </c>
      <c r="P31" s="129" t="s">
        <v>517</v>
      </c>
      <c r="Q31" s="116">
        <v>9921018</v>
      </c>
      <c r="R31" s="116">
        <v>13169074105</v>
      </c>
      <c r="S31" s="116">
        <v>1591806.45</v>
      </c>
      <c r="T31" s="130">
        <f t="shared" si="1"/>
        <v>6.2325529589354289</v>
      </c>
      <c r="U31" s="85">
        <f>Q30+Q31+Q32</f>
        <v>30216009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547614.19047619053</v>
      </c>
      <c r="G32" s="190">
        <f t="shared" ref="G32" si="15">F32/F31-1</f>
        <v>0.10394757972657742</v>
      </c>
      <c r="H32" s="190">
        <f t="shared" ref="H32" si="16">F32/F20-1</f>
        <v>5.4137064058323636E-2</v>
      </c>
      <c r="I32" s="130">
        <f t="shared" si="0"/>
        <v>4.6866319338244313</v>
      </c>
      <c r="J32" s="130">
        <f t="shared" si="4"/>
        <v>-9.5033287479331818E-2</v>
      </c>
      <c r="K32" s="136"/>
      <c r="L32" s="190"/>
      <c r="M32" s="190"/>
      <c r="N32" s="191"/>
      <c r="O32" s="192"/>
      <c r="P32" s="129" t="s">
        <v>562</v>
      </c>
      <c r="Q32" s="116">
        <v>11499898</v>
      </c>
      <c r="R32" s="116">
        <v>15655788040</v>
      </c>
      <c r="S32" s="116">
        <v>2453765.98</v>
      </c>
      <c r="T32" s="130">
        <f t="shared" si="1"/>
        <v>4.6866319338244313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332911.80952380953</v>
      </c>
      <c r="G33" s="190">
        <f t="shared" ref="G33" si="17">F33/F32-1</f>
        <v>-0.39206869487016327</v>
      </c>
      <c r="H33" s="190">
        <f t="shared" ref="H33" si="18">F33/F21-1</f>
        <v>-0.35433675460190406</v>
      </c>
      <c r="I33" s="130">
        <f t="shared" si="0"/>
        <v>5.8367429189413462</v>
      </c>
      <c r="J33" s="130">
        <f t="shared" si="4"/>
        <v>9.1161341994677736E-2</v>
      </c>
      <c r="K33" s="136"/>
      <c r="L33" s="190"/>
      <c r="M33" s="190"/>
      <c r="N33" s="191"/>
      <c r="O33" s="192"/>
      <c r="P33" s="129" t="s">
        <v>624</v>
      </c>
      <c r="Q33" s="116">
        <v>6991148</v>
      </c>
      <c r="R33" s="116">
        <v>9560998272</v>
      </c>
      <c r="S33" s="116">
        <v>1197782.4099999999</v>
      </c>
      <c r="T33" s="130">
        <f t="shared" si="1"/>
        <v>5.8367429189413462</v>
      </c>
      <c r="U33" s="85"/>
    </row>
    <row r="34" spans="1:21" s="79" customFormat="1" ht="13.2" hidden="1">
      <c r="A34" s="129" t="s">
        <v>652</v>
      </c>
      <c r="B34" s="188">
        <f>SUM(F32:F34)</f>
        <v>1205506.4736842106</v>
      </c>
      <c r="C34" s="188">
        <f>AVERAGE(F32:F34)</f>
        <v>401835.49122807017</v>
      </c>
      <c r="D34" s="190">
        <f>C34/C31-1</f>
        <v>-0.14686411338846816</v>
      </c>
      <c r="E34" s="287">
        <f>C34/C22-1</f>
        <v>-0.24054559803526532</v>
      </c>
      <c r="F34" s="136">
        <f>Q34/19</f>
        <v>324980.4736842105</v>
      </c>
      <c r="G34" s="190">
        <f t="shared" ref="G34" si="19">F34/F33-1</f>
        <v>-2.3824134839024902E-2</v>
      </c>
      <c r="H34" s="190">
        <f t="shared" ref="H34" si="20">F34/F22-1</f>
        <v>-0.41151205499503052</v>
      </c>
      <c r="I34" s="130">
        <f t="shared" si="0"/>
        <v>5.785813698592194</v>
      </c>
      <c r="J34" s="130">
        <f t="shared" si="4"/>
        <v>0.2899857676007358</v>
      </c>
      <c r="K34" s="136">
        <f>R33+R34+R35</f>
        <v>26092998961</v>
      </c>
      <c r="L34" s="190">
        <f>U34/U31-1</f>
        <v>-0.37198916640513313</v>
      </c>
      <c r="M34" s="190">
        <f>U34/U22-1</f>
        <v>-0.42171940704116451</v>
      </c>
      <c r="N34" s="191">
        <f>AVERAGE(T32:T34)</f>
        <v>5.4363961837859902</v>
      </c>
      <c r="O34" s="192">
        <f>N34/N31-1</f>
        <v>-3.9254764127335529E-2</v>
      </c>
      <c r="P34" s="129" t="s">
        <v>652</v>
      </c>
      <c r="Q34" s="116">
        <v>6174629</v>
      </c>
      <c r="R34" s="116">
        <v>8493397277</v>
      </c>
      <c r="S34" s="116">
        <v>1067201.49</v>
      </c>
      <c r="T34" s="130">
        <f t="shared" si="1"/>
        <v>5.785813698592194</v>
      </c>
      <c r="U34" s="85">
        <f>Q33+Q34+Q35</f>
        <v>18975981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252617.5652173913</v>
      </c>
      <c r="G35" s="190">
        <f t="shared" ref="G35" si="21">F35/F34-1</f>
        <v>-0.22266848111353166</v>
      </c>
      <c r="H35" s="190">
        <f t="shared" ref="H35" si="22">F35/F23-1</f>
        <v>-0.47470640871198178</v>
      </c>
      <c r="I35" s="130">
        <f t="shared" si="0"/>
        <v>5.3461577234507809</v>
      </c>
      <c r="J35" s="130">
        <f t="shared" si="4"/>
        <v>3.5232278937950001E-2</v>
      </c>
      <c r="K35" s="136"/>
      <c r="L35" s="190"/>
      <c r="M35" s="190"/>
      <c r="N35" s="191"/>
      <c r="O35" s="192"/>
      <c r="P35" s="129" t="s">
        <v>660</v>
      </c>
      <c r="Q35" s="116">
        <v>5810204</v>
      </c>
      <c r="R35" s="116">
        <v>8038603412</v>
      </c>
      <c r="S35" s="116">
        <v>1086799.96</v>
      </c>
      <c r="T35" s="130">
        <f t="shared" si="1"/>
        <v>5.3461577234507809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474173.57142857142</v>
      </c>
      <c r="G36" s="190">
        <f t="shared" ref="G36" si="23">F36/F35-1</f>
        <v>0.87704117494964762</v>
      </c>
      <c r="H36" s="190">
        <f t="shared" ref="H36" si="24">F36/F24-1</f>
        <v>0.2152711838171073</v>
      </c>
      <c r="I36" s="130">
        <f t="shared" si="0"/>
        <v>4.9730861445939336</v>
      </c>
      <c r="J36" s="130">
        <f t="shared" si="4"/>
        <v>-0.10106483650373665</v>
      </c>
      <c r="K36" s="136"/>
      <c r="L36" s="190"/>
      <c r="M36" s="190"/>
      <c r="N36" s="191"/>
      <c r="O36" s="192"/>
      <c r="P36" s="129" t="s">
        <v>666</v>
      </c>
      <c r="Q36" s="116">
        <v>9957645</v>
      </c>
      <c r="R36" s="116">
        <v>13540212195</v>
      </c>
      <c r="S36" s="116">
        <v>2002306.96</v>
      </c>
      <c r="T36" s="130">
        <f t="shared" si="1"/>
        <v>4.9730861445939336</v>
      </c>
      <c r="U36" s="85"/>
    </row>
    <row r="37" spans="1:21" s="79" customFormat="1" ht="13.2" hidden="1">
      <c r="A37" s="129" t="s">
        <v>702</v>
      </c>
      <c r="B37" s="188">
        <f>SUM(F35:F37)</f>
        <v>1154786.247757074</v>
      </c>
      <c r="C37" s="188">
        <f>AVERAGE(F35:F37)</f>
        <v>384928.74925235799</v>
      </c>
      <c r="D37" s="190">
        <f>C37/C34-1</f>
        <v>-4.2073789759193736E-2</v>
      </c>
      <c r="E37" s="287">
        <f>C37/C25-1</f>
        <v>-0.18614062485580096</v>
      </c>
      <c r="F37" s="136">
        <f>Q38/18</f>
        <v>427995.11111111112</v>
      </c>
      <c r="G37" s="190">
        <f t="shared" ref="G37" si="25">F37/F36-1</f>
        <v>-9.7387250365590039E-2</v>
      </c>
      <c r="H37" s="190">
        <f t="shared" ref="H37" si="26">F37/F25-1</f>
        <v>-0.21872304615494254</v>
      </c>
      <c r="I37" s="130">
        <f t="shared" si="0"/>
        <v>4.8336345101138614</v>
      </c>
      <c r="J37" s="130">
        <f t="shared" si="4"/>
        <v>-0.19583216476967635</v>
      </c>
      <c r="K37" s="136">
        <f>R36+R37+R38</f>
        <v>32834063883</v>
      </c>
      <c r="L37" s="190">
        <f>U37/U34-1</f>
        <v>0.28437907900519077</v>
      </c>
      <c r="M37" s="190">
        <f>U37/U25-1</f>
        <v>-0.16221680712016029</v>
      </c>
      <c r="N37" s="191">
        <f>AVERAGE(T35:T37)</f>
        <v>5.050959459386192</v>
      </c>
      <c r="O37" s="192">
        <f>N37/N34-1</f>
        <v>-7.0899307439983961E-2</v>
      </c>
      <c r="P37" s="129" t="s">
        <v>702</v>
      </c>
      <c r="Q37" s="116">
        <v>6710796</v>
      </c>
      <c r="R37" s="116">
        <v>8953494876</v>
      </c>
      <c r="S37" s="116">
        <v>1388354.04</v>
      </c>
      <c r="T37" s="130">
        <f t="shared" si="1"/>
        <v>4.8336345101138614</v>
      </c>
      <c r="U37" s="85">
        <f>Q36+Q37+Q38</f>
        <v>24372353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385195.6</v>
      </c>
      <c r="G38" s="190">
        <f t="shared" ref="G38" si="27">F38/F37-1</f>
        <v>-0.10000000000000009</v>
      </c>
      <c r="H38" s="190">
        <f t="shared" ref="H38" si="28">F38/F26-1</f>
        <v>-0.37210845554486016</v>
      </c>
      <c r="I38" s="130">
        <f t="shared" si="0"/>
        <v>4.9083859744734637</v>
      </c>
      <c r="J38" s="130">
        <f t="shared" si="4"/>
        <v>1.3147335897154555E-2</v>
      </c>
      <c r="K38" s="136"/>
      <c r="L38" s="190"/>
      <c r="M38" s="190"/>
      <c r="N38" s="191"/>
      <c r="O38" s="192"/>
      <c r="P38" s="129" t="s">
        <v>728</v>
      </c>
      <c r="Q38" s="116">
        <v>7703912</v>
      </c>
      <c r="R38" s="116">
        <v>10340356812</v>
      </c>
      <c r="S38" s="116">
        <v>1569540.79</v>
      </c>
      <c r="T38" s="130">
        <f t="shared" si="1"/>
        <v>4.9083859744734637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417406.66666666669</v>
      </c>
      <c r="G39" s="190">
        <f t="shared" ref="G39" si="29">F39/F38-1</f>
        <v>8.3622623588293088E-2</v>
      </c>
      <c r="H39" s="190">
        <f t="shared" ref="H39" si="30">F39/F27-1</f>
        <v>-0.2756662054661555</v>
      </c>
      <c r="I39" s="130">
        <f t="shared" si="0"/>
        <v>4.3905542771111472</v>
      </c>
      <c r="J39" s="130">
        <f t="shared" si="4"/>
        <v>-0.15651524200823064</v>
      </c>
      <c r="K39" s="136"/>
      <c r="L39" s="190"/>
      <c r="M39" s="190"/>
      <c r="N39" s="191"/>
      <c r="O39" s="192"/>
      <c r="P39" s="129" t="s">
        <v>762</v>
      </c>
      <c r="Q39" s="116">
        <v>8765540</v>
      </c>
      <c r="R39" s="116">
        <v>12168410391</v>
      </c>
      <c r="S39" s="116">
        <v>1996454.08</v>
      </c>
      <c r="T39" s="130">
        <f t="shared" ref="T39" si="31">Q39/S39</f>
        <v>4.3905542771111472</v>
      </c>
      <c r="U39" s="85"/>
    </row>
    <row r="40" spans="1:21" s="79" customFormat="1" ht="13.2" hidden="1">
      <c r="A40" s="129" t="s">
        <v>778</v>
      </c>
      <c r="B40" s="188">
        <f>SUM(F38:F40)</f>
        <v>1127843.838095238</v>
      </c>
      <c r="C40" s="188">
        <f>AVERAGE(F38:F40)</f>
        <v>375947.94603174599</v>
      </c>
      <c r="D40" s="190">
        <f>C40/C37-1</f>
        <v>-2.3331079421984646E-2</v>
      </c>
      <c r="E40" s="287">
        <f>C40/C28-1</f>
        <v>-0.31094352932383451</v>
      </c>
      <c r="F40" s="136">
        <f>Q40/21</f>
        <v>325241.57142857142</v>
      </c>
      <c r="G40" s="190">
        <f t="shared" ref="G40" si="32">F40/F39-1</f>
        <v>-0.22080408052441725</v>
      </c>
      <c r="H40" s="190">
        <f t="shared" ref="H40" si="33">F40/F28-1</f>
        <v>-0.27248281984326994</v>
      </c>
      <c r="I40" s="130">
        <f t="shared" si="0"/>
        <v>5.1664100281806125</v>
      </c>
      <c r="J40" s="130">
        <f t="shared" si="4"/>
        <v>-7.4185317242307924E-2</v>
      </c>
      <c r="K40" s="136">
        <f>R39+R40+R41</f>
        <v>31926439874</v>
      </c>
      <c r="L40" s="190">
        <f>U40/U37-1</f>
        <v>-7.8531646082756201E-2</v>
      </c>
      <c r="M40" s="190">
        <f>U40/U28-1</f>
        <v>-0.31587573539616509</v>
      </c>
      <c r="N40" s="191">
        <f>AVERAGE(T38:T40)</f>
        <v>4.8217834265884081</v>
      </c>
      <c r="O40" s="192">
        <f>N40/N37-1</f>
        <v>-4.537277217141511E-2</v>
      </c>
      <c r="P40" s="129" t="s">
        <v>778</v>
      </c>
      <c r="Q40" s="116">
        <v>6830073</v>
      </c>
      <c r="R40" s="116">
        <v>9715722458</v>
      </c>
      <c r="S40" s="116">
        <v>1322015.28</v>
      </c>
      <c r="T40" s="130">
        <f t="shared" ref="T40" si="34">Q40/S40</f>
        <v>5.1664100281806125</v>
      </c>
      <c r="U40" s="85">
        <f>Q39+Q40+Q41</f>
        <v>22458352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381263.27777777775</v>
      </c>
      <c r="G41" s="190">
        <f t="shared" ref="G41" si="35">F41/F40-1</f>
        <v>0.17224645085540558</v>
      </c>
      <c r="H41" s="190">
        <f t="shared" ref="H41" si="36">F41/F29-1</f>
        <v>-0.16035973780000279</v>
      </c>
      <c r="I41" s="130">
        <f t="shared" si="0"/>
        <v>4.0608906341093176</v>
      </c>
      <c r="J41" s="130">
        <f t="shared" si="4"/>
        <v>-0.20136187449584497</v>
      </c>
      <c r="K41" s="193"/>
      <c r="L41" s="190"/>
      <c r="M41" s="190"/>
      <c r="N41" s="193"/>
      <c r="O41" s="193"/>
      <c r="P41" s="129" t="s">
        <v>792</v>
      </c>
      <c r="Q41" s="116">
        <v>6862739</v>
      </c>
      <c r="R41" s="116">
        <v>10042307025</v>
      </c>
      <c r="S41" s="116">
        <v>1689959.08</v>
      </c>
      <c r="T41" s="130">
        <f t="shared" ref="T41" si="37">Q41/S41</f>
        <v>4.0608906341093176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511000.2</v>
      </c>
      <c r="G42" s="190">
        <f t="shared" ref="G42" si="38">F42/F41-1</f>
        <v>0.34028171550746733</v>
      </c>
      <c r="H42" s="190">
        <f t="shared" ref="H42" si="39">F42/F30-1</f>
        <v>0.10391144243727735</v>
      </c>
      <c r="I42" s="130">
        <f t="shared" si="0"/>
        <v>4.1092180846987034</v>
      </c>
      <c r="J42" s="130">
        <f t="shared" si="4"/>
        <v>-0.27376364052072821</v>
      </c>
      <c r="K42" s="193"/>
      <c r="L42" s="190"/>
      <c r="M42" s="190"/>
      <c r="N42" s="193"/>
      <c r="O42" s="193"/>
      <c r="P42" s="129" t="s">
        <v>826</v>
      </c>
      <c r="Q42" s="116">
        <v>10220004</v>
      </c>
      <c r="R42" s="116">
        <v>14775412232</v>
      </c>
      <c r="S42" s="116">
        <v>2487092.14</v>
      </c>
      <c r="T42" s="130">
        <f t="shared" ref="T42" si="40">Q42/S42</f>
        <v>4.1092180846987034</v>
      </c>
      <c r="U42" s="78"/>
    </row>
    <row r="43" spans="1:21" s="79" customFormat="1" ht="13.2">
      <c r="A43" s="129" t="s">
        <v>835</v>
      </c>
      <c r="B43" s="188">
        <f>SUM(F41:F43)</f>
        <v>1337488.5277777778</v>
      </c>
      <c r="C43" s="188">
        <f>AVERAGE(F41:F43)</f>
        <v>445829.50925925927</v>
      </c>
      <c r="D43" s="190">
        <f>C43/C40-1</f>
        <v>0.18588095497032531</v>
      </c>
      <c r="E43" s="287">
        <f>C43/C31-1</f>
        <v>-5.346052809555113E-2</v>
      </c>
      <c r="F43" s="136">
        <f>Q43/20</f>
        <v>445225.05</v>
      </c>
      <c r="G43" s="190">
        <f t="shared" ref="G43" si="41">F43/F42-1</f>
        <v>-0.12871844277164668</v>
      </c>
      <c r="H43" s="190">
        <f t="shared" ref="H43" si="42">F43/F31-1</f>
        <v>-0.10246095713161696</v>
      </c>
      <c r="I43" s="130">
        <f t="shared" si="0"/>
        <v>3.9331716294737102</v>
      </c>
      <c r="J43" s="130">
        <f t="shared" si="4"/>
        <v>-0.36893089310459259</v>
      </c>
      <c r="K43" s="136">
        <f>R42+R43+R44</f>
        <v>46317872588</v>
      </c>
      <c r="L43" s="190">
        <f>U43/U40-1</f>
        <v>0.42216285504831341</v>
      </c>
      <c r="M43" s="190">
        <f>K43/K31-1</f>
        <v>0.14231277871693226</v>
      </c>
      <c r="N43" s="191">
        <f>AVERAGE(T41:T43)</f>
        <v>4.0344267827605771</v>
      </c>
      <c r="O43" s="192">
        <f>N43/N40-1</f>
        <v>-0.16329158200805283</v>
      </c>
      <c r="P43" s="129" t="s">
        <v>835</v>
      </c>
      <c r="Q43" s="116">
        <v>8904501</v>
      </c>
      <c r="R43" s="116">
        <v>12900606796</v>
      </c>
      <c r="S43" s="116">
        <v>2263949.2599999998</v>
      </c>
      <c r="T43" s="130">
        <f t="shared" ref="T43" si="43">Q43/S43</f>
        <v>3.9331716294737102</v>
      </c>
      <c r="U43" s="85">
        <f>Q42+Q43+Q44</f>
        <v>31939434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582496.77272727271</v>
      </c>
      <c r="G44" s="190">
        <f t="shared" ref="G44" si="44">F44/F43-1</f>
        <v>0.30831985470555323</v>
      </c>
      <c r="H44" s="190">
        <f t="shared" ref="H44" si="45">F44/F32-1</f>
        <v>6.3699193442648516E-2</v>
      </c>
      <c r="I44" s="130">
        <f t="shared" si="0"/>
        <v>4.0496354895474411</v>
      </c>
      <c r="J44" s="130">
        <f t="shared" si="4"/>
        <v>-0.13591774503981202</v>
      </c>
      <c r="K44" s="136"/>
      <c r="L44" s="190"/>
      <c r="M44" s="190"/>
      <c r="N44" s="191"/>
      <c r="O44" s="192"/>
      <c r="P44" s="129" t="s">
        <v>843</v>
      </c>
      <c r="Q44" s="116">
        <v>12814929</v>
      </c>
      <c r="R44" s="116">
        <v>18641853560</v>
      </c>
      <c r="S44" s="116">
        <v>3164464.81</v>
      </c>
      <c r="T44" s="130">
        <f t="shared" ref="T44" si="46">Q44/S44</f>
        <v>4.0496354895474411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401246.6</v>
      </c>
      <c r="G45" s="190">
        <f t="shared" ref="G45" si="47">F45/F44-1</f>
        <v>-0.31116081876068136</v>
      </c>
      <c r="H45" s="190">
        <f t="shared" ref="H45" si="48">F45/F33-1</f>
        <v>0.20526394234537726</v>
      </c>
      <c r="I45" s="130">
        <f t="shared" si="0"/>
        <v>4.1024820247012812</v>
      </c>
      <c r="J45" s="130">
        <f t="shared" si="4"/>
        <v>-0.29712819603756346</v>
      </c>
      <c r="K45" s="136"/>
      <c r="L45" s="190"/>
      <c r="M45" s="190"/>
      <c r="N45" s="191"/>
      <c r="O45" s="192"/>
      <c r="P45" s="129" t="s">
        <v>849</v>
      </c>
      <c r="Q45" s="116">
        <v>8024932</v>
      </c>
      <c r="R45" s="116">
        <v>11267612850</v>
      </c>
      <c r="S45" s="116">
        <v>1956116.31</v>
      </c>
      <c r="T45" s="130">
        <f t="shared" ref="T45" si="49">Q45/S45</f>
        <v>4.1024820247012812</v>
      </c>
      <c r="U45" s="85"/>
    </row>
    <row r="46" spans="1:21" s="79" customFormat="1" ht="13.2">
      <c r="A46" s="129" t="s">
        <v>888</v>
      </c>
      <c r="B46" s="188">
        <f>SUM(F44:F46)</f>
        <v>1404610.2674641148</v>
      </c>
      <c r="C46" s="188">
        <f>AVERAGE(F44:F46)</f>
        <v>468203.42248803825</v>
      </c>
      <c r="D46" s="190">
        <f>C46/C43-1</f>
        <v>5.0184908724308031E-2</v>
      </c>
      <c r="E46" s="287">
        <f>C46/C34-1</f>
        <v>0.16516194489724545</v>
      </c>
      <c r="F46" s="136">
        <f>Q46/19</f>
        <v>420866.89473684208</v>
      </c>
      <c r="G46" s="190">
        <f t="shared" ref="G46" si="50">F46/F45-1</f>
        <v>4.8898345149446909E-2</v>
      </c>
      <c r="H46" s="190">
        <f t="shared" ref="H46" si="51">F46/F34-1</f>
        <v>0.29505286876345127</v>
      </c>
      <c r="I46" s="130">
        <f t="shared" si="0"/>
        <v>5.0973484576361408</v>
      </c>
      <c r="J46" s="130">
        <f t="shared" si="4"/>
        <v>-0.11899194768811361</v>
      </c>
      <c r="K46" s="136">
        <f>R45+R46+R47</f>
        <v>34904124062</v>
      </c>
      <c r="L46" s="190">
        <f>U46/U43-1</f>
        <v>-0.20912358684878385</v>
      </c>
      <c r="M46" s="190">
        <f>K46/K34-1</f>
        <v>0.33768157942172849</v>
      </c>
      <c r="N46" s="191">
        <f>AVERAGE(T44:T46)</f>
        <v>4.4164886572949547</v>
      </c>
      <c r="O46" s="192">
        <f>N46/N43-1</f>
        <v>9.4700411014263075E-2</v>
      </c>
      <c r="P46" s="129" t="s">
        <v>928</v>
      </c>
      <c r="Q46" s="116">
        <v>7996471</v>
      </c>
      <c r="R46" s="116">
        <v>10952054145</v>
      </c>
      <c r="S46" s="116">
        <v>1568751.1</v>
      </c>
      <c r="T46" s="130">
        <f t="shared" ref="T46" si="52">Q46/S46</f>
        <v>5.0973484576361408</v>
      </c>
      <c r="U46" s="85">
        <f>Q45+Q46+Q47</f>
        <v>25260145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401684.4347826087</v>
      </c>
      <c r="G47" s="190">
        <f t="shared" ref="G47" si="53">F47/F46-1</f>
        <v>-4.5578448184259601E-2</v>
      </c>
      <c r="H47" s="190">
        <f t="shared" ref="H47" si="54">F47/F35-1</f>
        <v>0.59008909153620093</v>
      </c>
      <c r="I47" s="130">
        <f t="shared" si="0"/>
        <v>4.7693754409240112</v>
      </c>
      <c r="J47" s="130">
        <f t="shared" si="4"/>
        <v>-0.10788725517706466</v>
      </c>
      <c r="K47" s="136"/>
      <c r="L47" s="190"/>
      <c r="M47" s="190"/>
      <c r="N47" s="191"/>
      <c r="O47" s="192"/>
      <c r="P47" s="129" t="s">
        <v>1029</v>
      </c>
      <c r="Q47" s="116">
        <v>9238742</v>
      </c>
      <c r="R47" s="116">
        <v>12684457067</v>
      </c>
      <c r="S47" s="116">
        <v>1937096.82</v>
      </c>
      <c r="T47" s="130">
        <f t="shared" ref="T47" si="55">Q47/S47</f>
        <v>4.7693754409240112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324227.84999999998</v>
      </c>
      <c r="G48" s="190">
        <f t="shared" ref="G48" si="56">F48/F47-1</f>
        <v>-0.19282944041515615</v>
      </c>
      <c r="H48" s="190">
        <f t="shared" ref="H48" si="57">F48/F36-1</f>
        <v>-0.31622538762930397</v>
      </c>
      <c r="I48" s="130">
        <f t="shared" si="0"/>
        <v>4.7026998437864522</v>
      </c>
      <c r="J48" s="130">
        <f t="shared" si="4"/>
        <v>-5.4369920999942645E-2</v>
      </c>
      <c r="K48" s="136"/>
      <c r="L48" s="190"/>
      <c r="M48" s="190"/>
      <c r="N48" s="191"/>
      <c r="O48" s="192"/>
      <c r="P48" s="129" t="s">
        <v>1070</v>
      </c>
      <c r="Q48" s="116">
        <v>6484557</v>
      </c>
      <c r="R48" s="116">
        <v>8998484183</v>
      </c>
      <c r="S48" s="116">
        <v>1378900.89</v>
      </c>
      <c r="T48" s="130">
        <f t="shared" ref="T48" si="58">Q48/S48</f>
        <v>4.7026998437864522</v>
      </c>
      <c r="U48" s="85"/>
    </row>
    <row r="49" spans="1:26" ht="13.2">
      <c r="A49" s="129" t="s">
        <v>1158</v>
      </c>
      <c r="B49" s="188">
        <f>SUM(F47:F49)</f>
        <v>1159918.4211462452</v>
      </c>
      <c r="C49" s="188">
        <f>AVERAGE(F47:F49)</f>
        <v>386639.47371541505</v>
      </c>
      <c r="D49" s="190">
        <f>C49/C46-1</f>
        <v>-0.17420622074736547</v>
      </c>
      <c r="E49" s="287">
        <f>C49/C37-1</f>
        <v>4.4442626495937443E-3</v>
      </c>
      <c r="F49" s="136">
        <f>Q49/22</f>
        <v>434006.13636363635</v>
      </c>
      <c r="G49" s="190">
        <f t="shared" ref="G49" si="59">F49/F48-1</f>
        <v>0.33858376559458536</v>
      </c>
      <c r="H49" s="190">
        <f t="shared" ref="H49" si="60">F49/F37-1</f>
        <v>1.404461195110418E-2</v>
      </c>
      <c r="I49" s="130">
        <f t="shared" si="0"/>
        <v>4.254466032271834</v>
      </c>
      <c r="J49" s="130">
        <f t="shared" si="4"/>
        <v>-0.1198204946257686</v>
      </c>
      <c r="K49" s="136">
        <f>R48+R49+R50</f>
        <v>31598003525</v>
      </c>
      <c r="L49" s="190">
        <f>U49/U46-1</f>
        <v>-0.10379635587998404</v>
      </c>
      <c r="M49" s="190">
        <f>K49/K37-1</f>
        <v>-3.7645670740135695E-2</v>
      </c>
      <c r="N49" s="191">
        <f>AVERAGE(T47:T49)</f>
        <v>4.5755137723274322</v>
      </c>
      <c r="O49" s="192">
        <f>N49/N46-1</f>
        <v>3.6007137654436638E-2</v>
      </c>
      <c r="P49" s="129" t="s">
        <v>1158</v>
      </c>
      <c r="Q49" s="116">
        <v>9548135</v>
      </c>
      <c r="R49" s="116">
        <v>13263652301</v>
      </c>
      <c r="S49" s="116">
        <v>2244261.66</v>
      </c>
      <c r="T49" s="130">
        <f t="shared" ref="T49" si="61">Q49/S49</f>
        <v>4.254466032271834</v>
      </c>
      <c r="U49" s="85">
        <f>Q48+Q49+Q50</f>
        <v>22638234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366974.55555555556</v>
      </c>
      <c r="G50" s="190">
        <f t="shared" ref="G50" si="62">F50/F49-1</f>
        <v>-0.15444846326301187</v>
      </c>
      <c r="H50" s="190">
        <f t="shared" ref="H50" si="63">F50/F38-1</f>
        <v>-4.7303355605423314E-2</v>
      </c>
      <c r="I50" s="130">
        <f t="shared" ref="I50" si="64">T50</f>
        <v>5.366310795312506</v>
      </c>
      <c r="J50" s="130">
        <f t="shared" ref="J50" si="65">I50/I38-1</f>
        <v>9.3294378889623664E-2</v>
      </c>
      <c r="K50" s="136"/>
      <c r="L50" s="190"/>
      <c r="M50" s="190"/>
      <c r="N50" s="191"/>
      <c r="O50" s="192"/>
      <c r="P50" s="129" t="s">
        <v>1291</v>
      </c>
      <c r="Q50" s="116">
        <v>6605542</v>
      </c>
      <c r="R50" s="116">
        <v>9335867041</v>
      </c>
      <c r="S50" s="116">
        <v>1230927.96</v>
      </c>
      <c r="T50" s="130">
        <f t="shared" ref="T50" si="66">Q50/S50</f>
        <v>5.366310795312506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434455.35</v>
      </c>
      <c r="G51" s="190">
        <f t="shared" ref="G51:G52" si="67">F51/F50-1</f>
        <v>0.18388412336186777</v>
      </c>
      <c r="H51" s="190">
        <f t="shared" ref="H51:H52" si="68">F51/F39-1</f>
        <v>4.0844300522272281E-2</v>
      </c>
      <c r="I51" s="130">
        <f t="shared" ref="I51:I52" si="69">T51</f>
        <v>3.818566708857742</v>
      </c>
      <c r="J51" s="130">
        <f t="shared" ref="J51:J52" si="70">I51/I39-1</f>
        <v>-0.13027684710226517</v>
      </c>
      <c r="K51" s="136"/>
      <c r="L51" s="190"/>
      <c r="M51" s="190"/>
      <c r="N51" s="191"/>
      <c r="O51" s="192"/>
      <c r="P51" s="129" t="s">
        <v>1402</v>
      </c>
      <c r="Q51" s="116">
        <v>8689107</v>
      </c>
      <c r="R51" s="116">
        <v>12583535803</v>
      </c>
      <c r="S51" s="116">
        <v>2275489.12</v>
      </c>
      <c r="T51" s="130">
        <f t="shared" ref="T51:T52" si="71">Q51/S51</f>
        <v>3.818566708857742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1174322.451010101</v>
      </c>
      <c r="C52" s="188">
        <f>AVERAGE(F50:F52)</f>
        <v>391440.817003367</v>
      </c>
      <c r="D52" s="190">
        <f>C52/C49-1</f>
        <v>1.2418140449585779E-2</v>
      </c>
      <c r="E52" s="287">
        <f>C52/C40-1</f>
        <v>4.121014926442168E-2</v>
      </c>
      <c r="F52" s="136">
        <f>Q52/22</f>
        <v>372892.54545454547</v>
      </c>
      <c r="G52" s="190">
        <f t="shared" si="67"/>
        <v>-0.14170110817015946</v>
      </c>
      <c r="H52" s="190">
        <f t="shared" si="68"/>
        <v>0.14650948160370403</v>
      </c>
      <c r="I52" s="130">
        <f t="shared" si="69"/>
        <v>3.9961646613114548</v>
      </c>
      <c r="J52" s="130">
        <f t="shared" si="70"/>
        <v>-0.22651035447940782</v>
      </c>
      <c r="K52" s="136">
        <f>R51+R52+R53</f>
        <v>33618975964</v>
      </c>
      <c r="L52" s="190">
        <f>U52/U49-1</f>
        <v>1.8084051962710568E-2</v>
      </c>
      <c r="M52" s="190">
        <f>K52/K40-1</f>
        <v>5.3013618075792746E-2</v>
      </c>
      <c r="N52" s="191">
        <f>AVERAGE(T50:T52)</f>
        <v>4.3936807218272342</v>
      </c>
      <c r="O52" s="192">
        <f>N52/N49-1</f>
        <v>-3.9740466218224246E-2</v>
      </c>
      <c r="P52" s="129" t="s">
        <v>1403</v>
      </c>
      <c r="Q52" s="116">
        <v>8203636</v>
      </c>
      <c r="R52" s="116">
        <v>12074661163</v>
      </c>
      <c r="S52" s="116">
        <v>2052877.37</v>
      </c>
      <c r="T52" s="130">
        <f t="shared" si="71"/>
        <v>3.9961646613114548</v>
      </c>
      <c r="U52" s="85">
        <f>Q51+Q52+Q53</f>
        <v>23047625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293089.61904761905</v>
      </c>
      <c r="G53" s="190">
        <f t="shared" ref="G53" si="72">F53/F52-1</f>
        <v>-0.2140105169162041</v>
      </c>
      <c r="H53" s="190">
        <f t="shared" ref="H53" si="73">F53/F41-1</f>
        <v>-0.2312671161095966</v>
      </c>
      <c r="I53" s="130">
        <f t="shared" ref="I53" si="74">T53</f>
        <v>4.1454427267516794</v>
      </c>
      <c r="J53" s="130">
        <f t="shared" ref="J53" si="75">I53/I41-1</f>
        <v>2.08210711049861E-2</v>
      </c>
      <c r="K53" s="136"/>
      <c r="L53" s="190"/>
      <c r="M53" s="190"/>
      <c r="N53" s="191"/>
      <c r="O53" s="192"/>
      <c r="P53" s="129" t="s">
        <v>1414</v>
      </c>
      <c r="Q53" s="116">
        <v>6154882</v>
      </c>
      <c r="R53" s="116">
        <v>8960778998</v>
      </c>
      <c r="S53" s="116">
        <v>1484734.54</v>
      </c>
      <c r="T53" s="130">
        <f t="shared" ref="T53" si="76">Q53/S53</f>
        <v>4.1454427267516794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449016.5882352941</v>
      </c>
      <c r="G54" s="190">
        <f t="shared" ref="G54" si="77">F54/F53-1</f>
        <v>0.53201123156238839</v>
      </c>
      <c r="H54" s="190">
        <f t="shared" ref="H54" si="78">F54/F42-1</f>
        <v>-0.12129860568490169</v>
      </c>
      <c r="I54" s="130">
        <f t="shared" ref="I54" si="79">T54</f>
        <v>3.9843726286896852</v>
      </c>
      <c r="J54" s="130">
        <f t="shared" ref="J54" si="80">I54/I42-1</f>
        <v>-3.038180340778196E-2</v>
      </c>
      <c r="K54" s="136"/>
      <c r="L54" s="190"/>
      <c r="M54" s="190"/>
      <c r="N54" s="191"/>
      <c r="O54" s="192"/>
      <c r="P54" s="129" t="s">
        <v>1417</v>
      </c>
      <c r="Q54" s="116">
        <v>7633282</v>
      </c>
      <c r="R54" s="116">
        <v>11053440986</v>
      </c>
      <c r="S54" s="116">
        <v>1915805.25</v>
      </c>
      <c r="T54" s="130">
        <f t="shared" ref="T54" si="81">Q54/S54</f>
        <v>3.9843726286896852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987935.01680672262</v>
      </c>
      <c r="C55" s="188">
        <f>AVERAGE(F53:F55)</f>
        <v>329311.67226890754</v>
      </c>
      <c r="D55" s="190">
        <f>C55/C52-1</f>
        <v>-0.15871912696811341</v>
      </c>
      <c r="E55" s="287">
        <f>C55/C43-1</f>
        <v>-0.2613506611169476</v>
      </c>
      <c r="F55" s="136">
        <f>Q55/21</f>
        <v>245828.80952380953</v>
      </c>
      <c r="G55" s="190">
        <f t="shared" ref="G55" si="82">F55/F54-1</f>
        <v>-0.4525173101288853</v>
      </c>
      <c r="H55" s="190">
        <f t="shared" ref="H55" si="83">F55/F43-1</f>
        <v>-0.44785494543981852</v>
      </c>
      <c r="I55" s="130">
        <f>T55</f>
        <v>4.1053085698153868</v>
      </c>
      <c r="J55" s="130">
        <f t="shared" ref="J55" si="84">I55/I43-1</f>
        <v>4.3765428147540586E-2</v>
      </c>
      <c r="K55" s="136">
        <f>R54+R55+R56</f>
        <v>33576199187</v>
      </c>
      <c r="L55" s="190">
        <f>U55/U52-1</f>
        <v>-1.0885373221752759E-2</v>
      </c>
      <c r="M55" s="190">
        <f>K55/K43-1</f>
        <v>-0.27509193944069665</v>
      </c>
      <c r="N55" s="191">
        <f>AVERAGE(T53:T55)</f>
        <v>4.0783746417522506</v>
      </c>
      <c r="O55" s="192">
        <f>N55/N52-1</f>
        <v>-7.176353950995662E-2</v>
      </c>
      <c r="P55" s="129" t="s">
        <v>1418</v>
      </c>
      <c r="Q55" s="116">
        <v>5162405</v>
      </c>
      <c r="R55" s="116">
        <v>7599714216</v>
      </c>
      <c r="S55" s="116">
        <v>1257495</v>
      </c>
      <c r="T55" s="130">
        <f t="shared" ref="T55" si="85">Q55/S55</f>
        <v>4.1053085698153868</v>
      </c>
      <c r="U55" s="85">
        <f>Q54+Q55+Q56</f>
        <v>22796743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454593.45454545453</v>
      </c>
      <c r="G56" s="190">
        <f t="shared" ref="G56" si="86">F56/F55-1</f>
        <v>0.84922774277774504</v>
      </c>
      <c r="H56" s="190">
        <f t="shared" ref="H56" si="87">F56/F44-1</f>
        <v>-0.21957772844469137</v>
      </c>
      <c r="I56" s="291">
        <f>T56</f>
        <v>4.2004245214798894</v>
      </c>
      <c r="J56" s="130">
        <f t="shared" ref="J56" si="88">I56/I44-1</f>
        <v>3.7235211001496626E-2</v>
      </c>
      <c r="K56" s="136"/>
      <c r="L56" s="190"/>
      <c r="M56" s="190"/>
      <c r="N56" s="191"/>
      <c r="O56" s="192"/>
      <c r="P56" s="129" t="s">
        <v>1420</v>
      </c>
      <c r="Q56" s="116">
        <v>10001056</v>
      </c>
      <c r="R56" s="116">
        <v>14923043985</v>
      </c>
      <c r="S56" s="116">
        <v>2380963.15</v>
      </c>
      <c r="T56" s="130">
        <f t="shared" ref="T56" si="89">Q56/S56</f>
        <v>4.2004245214798894</v>
      </c>
      <c r="U56" s="85"/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415536.75</v>
      </c>
      <c r="G57" s="254">
        <f t="shared" ref="G57" si="90">F57/F56-1</f>
        <v>-8.5915677304476579E-2</v>
      </c>
      <c r="H57" s="254">
        <f t="shared" ref="H57" si="91">F57/F45-1</f>
        <v>3.5614382776078424E-2</v>
      </c>
      <c r="I57" s="282">
        <f>T57</f>
        <v>3.0688225242532932</v>
      </c>
      <c r="J57" s="277">
        <f t="shared" ref="J57" si="92">I57/I45-1</f>
        <v>-0.25195954405753995</v>
      </c>
      <c r="K57" s="204"/>
      <c r="L57" s="254"/>
      <c r="M57" s="254"/>
      <c r="N57" s="257"/>
      <c r="O57" s="258"/>
      <c r="P57" s="129" t="s">
        <v>1436</v>
      </c>
      <c r="Q57" s="116">
        <v>4986441</v>
      </c>
      <c r="R57" s="116">
        <v>7357007253</v>
      </c>
      <c r="S57" s="116">
        <v>1624871.09</v>
      </c>
      <c r="T57" s="130">
        <f t="shared" ref="T57" si="93">Q57/S57</f>
        <v>3.0688225242532932</v>
      </c>
      <c r="U57" s="85"/>
      <c r="V57" s="79"/>
      <c r="W57" s="79"/>
      <c r="X57" s="79"/>
      <c r="Y57" s="79"/>
      <c r="Z57" s="79"/>
    </row>
    <row r="58" spans="1:26">
      <c r="B58" s="196">
        <f>SUM(F56:F58)</f>
        <v>870130.20454545459</v>
      </c>
      <c r="C58" s="196">
        <f>AVERAGE(F56:F58)</f>
        <v>435065.10227272729</v>
      </c>
      <c r="D58" s="197">
        <f>C58/C55-1</f>
        <v>0.32113477568284976</v>
      </c>
      <c r="E58" s="233">
        <f>C58/C46-1</f>
        <v>-7.0777612088381514E-2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33938066</v>
      </c>
      <c r="R65" s="212">
        <v>49893985438</v>
      </c>
      <c r="S65" s="213">
        <v>8663869.0399999991</v>
      </c>
      <c r="T65" s="214">
        <v>261</v>
      </c>
      <c r="U65" s="214">
        <v>568</v>
      </c>
    </row>
    <row r="66" spans="16:21" ht="18" thickBot="1">
      <c r="P66" s="180" t="s">
        <v>976</v>
      </c>
      <c r="Q66" s="181">
        <v>6154882</v>
      </c>
      <c r="R66" s="181">
        <v>8960778998</v>
      </c>
      <c r="S66" s="182">
        <v>1484734.54</v>
      </c>
      <c r="T66" s="210">
        <v>134</v>
      </c>
      <c r="U66" s="210">
        <v>243</v>
      </c>
    </row>
    <row r="67" spans="16:21" ht="18" thickBot="1">
      <c r="P67" s="180" t="s">
        <v>977</v>
      </c>
      <c r="Q67" s="181">
        <v>7633282</v>
      </c>
      <c r="R67" s="181">
        <v>11053440986</v>
      </c>
      <c r="S67" s="182">
        <v>1915805.25</v>
      </c>
      <c r="T67" s="210">
        <v>121</v>
      </c>
      <c r="U67" s="210">
        <v>208</v>
      </c>
    </row>
    <row r="68" spans="16:21" ht="18" thickBot="1">
      <c r="P68" s="180" t="s">
        <v>978</v>
      </c>
      <c r="Q68" s="181">
        <v>5162405</v>
      </c>
      <c r="R68" s="181">
        <v>7599714216</v>
      </c>
      <c r="S68" s="182">
        <v>1257495</v>
      </c>
      <c r="T68" s="210">
        <v>136</v>
      </c>
      <c r="U68" s="210">
        <v>238</v>
      </c>
    </row>
    <row r="69" spans="16:21" ht="18" thickBot="1">
      <c r="P69" s="180" t="s">
        <v>979</v>
      </c>
      <c r="Q69" s="181">
        <v>10001056</v>
      </c>
      <c r="R69" s="181">
        <v>14923043985</v>
      </c>
      <c r="S69" s="182">
        <v>2380963.15</v>
      </c>
      <c r="T69" s="210">
        <v>144</v>
      </c>
      <c r="U69" s="210">
        <v>249</v>
      </c>
    </row>
    <row r="70" spans="16:21" ht="18" thickBot="1">
      <c r="P70" s="180" t="s">
        <v>980</v>
      </c>
      <c r="Q70" s="181">
        <v>4986441</v>
      </c>
      <c r="R70" s="181">
        <v>7357007253</v>
      </c>
      <c r="S70" s="182">
        <v>1624871.09</v>
      </c>
      <c r="T70" s="210">
        <v>93</v>
      </c>
      <c r="U70" s="210">
        <v>137</v>
      </c>
    </row>
    <row r="71" spans="16:21" ht="18" thickBot="1">
      <c r="P71" s="180" t="s">
        <v>975</v>
      </c>
      <c r="Q71" s="181">
        <v>103595164</v>
      </c>
      <c r="R71" s="181">
        <v>147523163896</v>
      </c>
      <c r="S71" s="182">
        <v>24253473.170000002</v>
      </c>
      <c r="T71" s="210">
        <v>391</v>
      </c>
      <c r="U71" s="210">
        <v>1102</v>
      </c>
    </row>
    <row r="72" spans="16:21" ht="18" thickBot="1">
      <c r="P72" s="215" t="s">
        <v>982</v>
      </c>
      <c r="Q72" s="216">
        <v>99149</v>
      </c>
      <c r="R72"/>
      <c r="S72"/>
      <c r="T72"/>
      <c r="U72"/>
    </row>
  </sheetData>
  <phoneticPr fontId="1" type="noConversion"/>
  <conditionalFormatting sqref="C29:C30">
    <cfRule type="cellIs" dxfId="6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6"/>
  <dimension ref="A1:Z73"/>
  <sheetViews>
    <sheetView zoomScale="90" zoomScaleNormal="90" workbookViewId="0">
      <selection activeCell="H65" sqref="H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772508.7</v>
      </c>
      <c r="G5" s="90"/>
      <c r="H5" s="90"/>
      <c r="I5" s="130">
        <f t="shared" ref="I5:I49" si="0">T5</f>
        <v>174.68448888176843</v>
      </c>
      <c r="J5" s="130"/>
      <c r="L5" s="80"/>
      <c r="M5" s="80"/>
      <c r="P5" s="129" t="s">
        <v>0</v>
      </c>
      <c r="Q5" s="116">
        <v>15450174</v>
      </c>
      <c r="R5" s="116"/>
      <c r="S5" s="116">
        <v>88446.17</v>
      </c>
      <c r="T5" s="130">
        <f t="shared" ref="T5:T26" si="1">Q5/S5</f>
        <v>174.68448888176843</v>
      </c>
      <c r="U5" s="85"/>
    </row>
    <row r="6" spans="1:21" ht="15" hidden="1" customHeight="1">
      <c r="A6" s="129" t="s">
        <v>1</v>
      </c>
      <c r="C6" s="79"/>
      <c r="F6" s="78">
        <f>Q6/18</f>
        <v>389099.61111111112</v>
      </c>
      <c r="G6" s="90">
        <f t="shared" ref="G6:G26" si="2">F6/F5-1</f>
        <v>-0.49631685557572214</v>
      </c>
      <c r="H6" s="90"/>
      <c r="I6" s="130">
        <f t="shared" si="0"/>
        <v>132.28543825568448</v>
      </c>
      <c r="J6" s="130"/>
      <c r="P6" s="129" t="s">
        <v>1</v>
      </c>
      <c r="Q6" s="116">
        <v>7003793</v>
      </c>
      <c r="R6" s="116"/>
      <c r="S6" s="116">
        <v>52944.55</v>
      </c>
      <c r="T6" s="130">
        <f t="shared" si="1"/>
        <v>132.28543825568448</v>
      </c>
      <c r="U6" s="85"/>
    </row>
    <row r="7" spans="1:21" ht="15" hidden="1" customHeight="1">
      <c r="A7" s="129" t="s">
        <v>2</v>
      </c>
      <c r="B7" s="131">
        <f>F5+F6+F7</f>
        <v>1653247.2656565658</v>
      </c>
      <c r="C7" s="131">
        <f>AVERAGE(F5:F7)</f>
        <v>551082.42188552197</v>
      </c>
      <c r="F7" s="78">
        <f>Q7/22</f>
        <v>491638.95454545453</v>
      </c>
      <c r="G7" s="90">
        <f t="shared" si="2"/>
        <v>0.26352980189708375</v>
      </c>
      <c r="H7" s="90"/>
      <c r="I7" s="130">
        <f t="shared" si="0"/>
        <v>156.22649429074326</v>
      </c>
      <c r="J7" s="130"/>
      <c r="K7" s="79">
        <f>R5+R6+R7</f>
        <v>0</v>
      </c>
      <c r="N7" s="88">
        <f>AVERAGE(T5:T7)</f>
        <v>154.39880714273207</v>
      </c>
      <c r="P7" s="129" t="s">
        <v>2</v>
      </c>
      <c r="Q7" s="116">
        <v>10816057</v>
      </c>
      <c r="R7" s="116"/>
      <c r="S7" s="116">
        <v>69233.179999999993</v>
      </c>
      <c r="T7" s="130">
        <f t="shared" si="1"/>
        <v>156.22649429074326</v>
      </c>
      <c r="U7" s="85">
        <f>Q5+Q6+Q7</f>
        <v>33270024</v>
      </c>
    </row>
    <row r="8" spans="1:21" ht="15" hidden="1" customHeight="1">
      <c r="A8" s="129" t="s">
        <v>3</v>
      </c>
      <c r="C8" s="79"/>
      <c r="F8" s="78">
        <f>Q8/21</f>
        <v>658817.71428571432</v>
      </c>
      <c r="G8" s="90">
        <f t="shared" si="2"/>
        <v>0.34004376218484378</v>
      </c>
      <c r="H8" s="90"/>
      <c r="I8" s="130">
        <f t="shared" si="0"/>
        <v>244.15262181537878</v>
      </c>
      <c r="J8" s="130"/>
      <c r="K8" s="78"/>
      <c r="P8" s="129" t="s">
        <v>3</v>
      </c>
      <c r="Q8" s="116">
        <v>13835172</v>
      </c>
      <c r="R8" s="116"/>
      <c r="S8" s="116">
        <v>56666.080000000002</v>
      </c>
      <c r="T8" s="130">
        <f t="shared" si="1"/>
        <v>244.15262181537878</v>
      </c>
      <c r="U8" s="85"/>
    </row>
    <row r="9" spans="1:21" ht="15" hidden="1" customHeight="1">
      <c r="A9" s="129" t="s">
        <v>4</v>
      </c>
      <c r="C9" s="79"/>
      <c r="F9" s="78">
        <f>Q9/21</f>
        <v>606084</v>
      </c>
      <c r="G9" s="90">
        <f t="shared" si="2"/>
        <v>-8.0042951399520001E-2</v>
      </c>
      <c r="H9" s="90"/>
      <c r="I9" s="130">
        <f t="shared" si="0"/>
        <v>294.02943767906493</v>
      </c>
      <c r="J9" s="130"/>
      <c r="K9" s="78"/>
      <c r="P9" s="129" t="s">
        <v>4</v>
      </c>
      <c r="Q9" s="116">
        <v>12727764</v>
      </c>
      <c r="R9" s="116"/>
      <c r="S9" s="116">
        <v>43287.38</v>
      </c>
      <c r="T9" s="130">
        <f t="shared" si="1"/>
        <v>294.02943767906493</v>
      </c>
      <c r="U9" s="85"/>
    </row>
    <row r="10" spans="1:21" ht="15" hidden="1" customHeight="1">
      <c r="A10" s="129" t="s">
        <v>5</v>
      </c>
      <c r="B10" s="131">
        <f>F8+F9+F10</f>
        <v>2491983.9523809524</v>
      </c>
      <c r="C10" s="131">
        <f>AVERAGE(F8:F10)</f>
        <v>830661.31746031751</v>
      </c>
      <c r="D10" s="90">
        <f>C10/C7-1</f>
        <v>0.50732682530177553</v>
      </c>
      <c r="E10" s="286"/>
      <c r="F10" s="78">
        <f>Q10/21</f>
        <v>1227082.2380952381</v>
      </c>
      <c r="G10" s="90">
        <f t="shared" si="2"/>
        <v>1.0246075430059829</v>
      </c>
      <c r="H10" s="90"/>
      <c r="I10" s="130">
        <f t="shared" si="0"/>
        <v>357.67916245918309</v>
      </c>
      <c r="J10" s="130"/>
      <c r="K10" s="79">
        <f>R8+R9+R10</f>
        <v>0</v>
      </c>
      <c r="L10" s="87">
        <f>U10/U7-1</f>
        <v>0.57293733842812977</v>
      </c>
      <c r="N10" s="88">
        <f>AVERAGE(T8:T10)</f>
        <v>298.62040731787562</v>
      </c>
      <c r="O10" s="89">
        <f>N10/N7-1</f>
        <v>0.93408493785719271</v>
      </c>
      <c r="P10" s="129" t="s">
        <v>5</v>
      </c>
      <c r="Q10" s="116">
        <v>25768727</v>
      </c>
      <c r="R10" s="116"/>
      <c r="S10" s="116">
        <v>72044.25</v>
      </c>
      <c r="T10" s="130">
        <f t="shared" si="1"/>
        <v>357.67916245918309</v>
      </c>
      <c r="U10" s="85">
        <f>Q8+Q9+Q10</f>
        <v>52331663</v>
      </c>
    </row>
    <row r="11" spans="1:21" ht="15" hidden="1" customHeight="1">
      <c r="A11" s="129" t="s">
        <v>6</v>
      </c>
      <c r="C11" s="79"/>
      <c r="F11" s="78">
        <f>Q11/21</f>
        <v>524654.28571428568</v>
      </c>
      <c r="G11" s="90">
        <f t="shared" si="2"/>
        <v>-0.57243755192097767</v>
      </c>
      <c r="H11" s="90"/>
      <c r="I11" s="130">
        <f t="shared" si="0"/>
        <v>166.04437489177397</v>
      </c>
      <c r="J11" s="130"/>
      <c r="K11" s="78"/>
      <c r="O11" s="89"/>
      <c r="P11" s="129" t="s">
        <v>6</v>
      </c>
      <c r="Q11" s="116">
        <v>11017740</v>
      </c>
      <c r="R11" s="116"/>
      <c r="S11" s="116">
        <v>66354.19</v>
      </c>
      <c r="T11" s="130">
        <f t="shared" si="1"/>
        <v>166.04437489177397</v>
      </c>
      <c r="U11" s="85"/>
    </row>
    <row r="12" spans="1:21" ht="15" hidden="1" customHeight="1">
      <c r="A12" s="129" t="s">
        <v>7</v>
      </c>
      <c r="C12" s="79"/>
      <c r="F12" s="78">
        <f>Q12/22</f>
        <v>514596.54545454547</v>
      </c>
      <c r="G12" s="90">
        <f t="shared" si="2"/>
        <v>-1.917022415255254E-2</v>
      </c>
      <c r="H12" s="90"/>
      <c r="I12" s="130">
        <f t="shared" si="0"/>
        <v>171.40443357443141</v>
      </c>
      <c r="J12" s="130"/>
      <c r="K12" s="78"/>
      <c r="O12" s="89"/>
      <c r="P12" s="129" t="s">
        <v>7</v>
      </c>
      <c r="Q12" s="116">
        <v>11321124</v>
      </c>
      <c r="R12" s="116"/>
      <c r="S12" s="116">
        <v>66049.19</v>
      </c>
      <c r="T12" s="130">
        <f t="shared" si="1"/>
        <v>171.40443357443141</v>
      </c>
      <c r="U12" s="85"/>
    </row>
    <row r="13" spans="1:21" ht="15" hidden="1" customHeight="1">
      <c r="A13" s="129" t="s">
        <v>96</v>
      </c>
      <c r="B13" s="131">
        <f>F11+F12+F13</f>
        <v>1788133.931168831</v>
      </c>
      <c r="C13" s="131">
        <f>AVERAGE(F11:F13)</f>
        <v>596044.64372294361</v>
      </c>
      <c r="D13" s="90">
        <f>C13/C10-1</f>
        <v>-0.28244564758919577</v>
      </c>
      <c r="E13" s="286"/>
      <c r="F13" s="78">
        <f>Q13/20</f>
        <v>748883.1</v>
      </c>
      <c r="G13" s="90">
        <f t="shared" si="2"/>
        <v>0.45528201970051718</v>
      </c>
      <c r="H13" s="90"/>
      <c r="I13" s="130">
        <f t="shared" si="0"/>
        <v>225.53533853199653</v>
      </c>
      <c r="J13" s="130"/>
      <c r="K13" s="78">
        <f>R11+R12+R13</f>
        <v>0</v>
      </c>
      <c r="L13" s="87">
        <f>U13/U10-1</f>
        <v>-0.286922603625266</v>
      </c>
      <c r="N13" s="88">
        <f>AVERAGE(T11:T13)</f>
        <v>187.66138233273398</v>
      </c>
      <c r="O13" s="89">
        <f>N13/N10-1</f>
        <v>-0.37157214398622096</v>
      </c>
      <c r="P13" s="129" t="s">
        <v>96</v>
      </c>
      <c r="Q13" s="116">
        <v>14977662</v>
      </c>
      <c r="R13" s="116"/>
      <c r="S13" s="116">
        <v>66409.38</v>
      </c>
      <c r="T13" s="130">
        <f t="shared" si="1"/>
        <v>225.53533853199653</v>
      </c>
      <c r="U13" s="85">
        <f>Q11+Q12+Q13</f>
        <v>37316526</v>
      </c>
    </row>
    <row r="14" spans="1:21" ht="15" hidden="1" customHeight="1">
      <c r="A14" s="129" t="s">
        <v>97</v>
      </c>
      <c r="C14" s="79"/>
      <c r="F14" s="78">
        <f>Q14/20</f>
        <v>642493.94999999995</v>
      </c>
      <c r="G14" s="90">
        <f t="shared" si="2"/>
        <v>-0.14206376135340748</v>
      </c>
      <c r="H14" s="90"/>
      <c r="I14" s="130">
        <f t="shared" si="0"/>
        <v>214.07602252667397</v>
      </c>
      <c r="J14" s="130"/>
      <c r="O14" s="89"/>
      <c r="P14" s="129" t="s">
        <v>97</v>
      </c>
      <c r="Q14" s="116">
        <v>12849879</v>
      </c>
      <c r="R14" s="116"/>
      <c r="S14" s="116">
        <v>60024.84</v>
      </c>
      <c r="T14" s="130">
        <f t="shared" si="1"/>
        <v>214.07602252667397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856675.68181818177</v>
      </c>
      <c r="G15" s="90">
        <f t="shared" si="2"/>
        <v>0.33335992007112569</v>
      </c>
      <c r="H15" s="90"/>
      <c r="I15" s="130">
        <f t="shared" si="0"/>
        <v>232.81850267489338</v>
      </c>
      <c r="J15" s="130"/>
      <c r="O15" s="89"/>
      <c r="P15" s="129" t="s">
        <v>98</v>
      </c>
      <c r="Q15" s="116">
        <v>18846865</v>
      </c>
      <c r="R15" s="116"/>
      <c r="S15" s="116">
        <v>80950.89</v>
      </c>
      <c r="T15" s="130">
        <f t="shared" si="1"/>
        <v>232.81850267489338</v>
      </c>
      <c r="U15" s="85"/>
    </row>
    <row r="16" spans="1:21" ht="15" hidden="1" customHeight="1">
      <c r="A16" s="129" t="s">
        <v>99</v>
      </c>
      <c r="B16" s="131">
        <f>F14+F15+F16</f>
        <v>2410575.6318181818</v>
      </c>
      <c r="C16" s="131">
        <f>AVERAGE(F14:F16)</f>
        <v>803525.21060606057</v>
      </c>
      <c r="D16" s="90">
        <f>C16/C13-1</f>
        <v>0.34809568220792375</v>
      </c>
      <c r="E16" s="286"/>
      <c r="F16" s="78">
        <f>Q16/22</f>
        <v>911406</v>
      </c>
      <c r="G16" s="90">
        <f t="shared" si="2"/>
        <v>6.3886858636701627E-2</v>
      </c>
      <c r="H16" s="90"/>
      <c r="I16" s="130">
        <f t="shared" si="0"/>
        <v>228.68646546994881</v>
      </c>
      <c r="J16" s="130"/>
      <c r="K16" s="78">
        <f>R14+R15+R16</f>
        <v>0</v>
      </c>
      <c r="L16" s="87">
        <f>U16/U13-1</f>
        <v>0.38672276192054955</v>
      </c>
      <c r="N16" s="88">
        <f>AVERAGE(T14:T16)</f>
        <v>225.19366355717207</v>
      </c>
      <c r="O16" s="89">
        <f>N16/N13-1</f>
        <v>0.20000002535359829</v>
      </c>
      <c r="P16" s="129" t="s">
        <v>99</v>
      </c>
      <c r="Q16" s="116">
        <v>20050932</v>
      </c>
      <c r="R16" s="116"/>
      <c r="S16" s="116">
        <v>87678.7</v>
      </c>
      <c r="T16" s="130">
        <f t="shared" si="1"/>
        <v>228.68646546994881</v>
      </c>
      <c r="U16" s="85">
        <f>Q14+Q15+Q16</f>
        <v>51747676</v>
      </c>
    </row>
    <row r="17" spans="1:21" ht="15" hidden="1" customHeight="1">
      <c r="A17" s="129" t="s">
        <v>100</v>
      </c>
      <c r="C17" s="79"/>
      <c r="F17" s="78">
        <f>Q17/20</f>
        <v>433014.55</v>
      </c>
      <c r="G17" s="90">
        <f t="shared" si="2"/>
        <v>-0.52489390019376658</v>
      </c>
      <c r="H17" s="90">
        <f t="shared" ref="H17:H26" si="3">F17/F5-1</f>
        <v>-0.43946967846446261</v>
      </c>
      <c r="I17" s="130">
        <f t="shared" si="0"/>
        <v>158.70137162122663</v>
      </c>
      <c r="J17" s="130">
        <f t="shared" ref="J17:J49" si="4">I17/I5-1</f>
        <v>-9.1497060573933586E-2</v>
      </c>
      <c r="O17" s="89"/>
      <c r="P17" s="129" t="s">
        <v>100</v>
      </c>
      <c r="Q17" s="116">
        <v>8660291</v>
      </c>
      <c r="R17" s="116">
        <v>10771550342</v>
      </c>
      <c r="S17" s="116">
        <v>54569.73</v>
      </c>
      <c r="T17" s="130">
        <f t="shared" si="1"/>
        <v>158.70137162122663</v>
      </c>
      <c r="U17" s="78"/>
    </row>
    <row r="18" spans="1:21" ht="15" hidden="1" customHeight="1">
      <c r="A18" s="129" t="s">
        <v>106</v>
      </c>
      <c r="C18" s="79"/>
      <c r="F18" s="78">
        <f>Q18/20</f>
        <v>751151.35</v>
      </c>
      <c r="G18" s="90">
        <f t="shared" si="2"/>
        <v>0.73470233275071251</v>
      </c>
      <c r="H18" s="90">
        <f t="shared" si="3"/>
        <v>0.93048599523144082</v>
      </c>
      <c r="I18" s="130">
        <f t="shared" si="0"/>
        <v>241.8589409324633</v>
      </c>
      <c r="J18" s="130">
        <f t="shared" si="4"/>
        <v>0.82831114385388749</v>
      </c>
      <c r="O18" s="89"/>
      <c r="P18" s="129" t="s">
        <v>106</v>
      </c>
      <c r="Q18" s="116">
        <v>15023027</v>
      </c>
      <c r="R18" s="116">
        <v>18911426812</v>
      </c>
      <c r="S18" s="116">
        <v>62114.83</v>
      </c>
      <c r="T18" s="130">
        <f t="shared" si="1"/>
        <v>241.8589409324633</v>
      </c>
      <c r="U18" s="78"/>
    </row>
    <row r="19" spans="1:21" hidden="1">
      <c r="A19" s="129" t="s">
        <v>114</v>
      </c>
      <c r="B19" s="131">
        <f>SUM(F17:F19)</f>
        <v>1710972.9909090907</v>
      </c>
      <c r="C19" s="131">
        <f>AVERAGE(F17:F19)</f>
        <v>570324.3303030302</v>
      </c>
      <c r="D19" s="90">
        <f>C19/C16-1</f>
        <v>-0.29022223226467048</v>
      </c>
      <c r="E19" s="286">
        <f>C19/C7-1</f>
        <v>3.4916570831042382E-2</v>
      </c>
      <c r="F19" s="78">
        <f>Q19/22</f>
        <v>526807.09090909094</v>
      </c>
      <c r="G19" s="90">
        <f t="shared" si="2"/>
        <v>-0.29866718483686283</v>
      </c>
      <c r="H19" s="90">
        <f t="shared" si="3"/>
        <v>7.1532444771694736E-2</v>
      </c>
      <c r="I19" s="130">
        <f t="shared" si="0"/>
        <v>223.06875936129006</v>
      </c>
      <c r="J19" s="130">
        <f t="shared" si="4"/>
        <v>0.42785486145615526</v>
      </c>
      <c r="K19" s="78">
        <f>R17+R18+R19</f>
        <v>44840540115</v>
      </c>
      <c r="L19" s="87">
        <f>U19/U16-1</f>
        <v>-0.31836409426386603</v>
      </c>
      <c r="M19" s="87">
        <f>U19/U7-1</f>
        <v>6.0205847762538456E-2</v>
      </c>
      <c r="N19" s="88">
        <f>AVERAGE(T17:T19)</f>
        <v>207.87635730499332</v>
      </c>
      <c r="O19" s="89">
        <f>N19/N16-1</f>
        <v>-7.689961599555506E-2</v>
      </c>
      <c r="P19" s="129" t="s">
        <v>115</v>
      </c>
      <c r="Q19" s="116">
        <v>11589756</v>
      </c>
      <c r="R19" s="116">
        <v>15157562961</v>
      </c>
      <c r="S19" s="116">
        <v>51955.98</v>
      </c>
      <c r="T19" s="130">
        <f t="shared" si="1"/>
        <v>223.06875936129006</v>
      </c>
      <c r="U19" s="85">
        <f>Q17+Q18+Q19</f>
        <v>35273074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587184.44999999995</v>
      </c>
      <c r="G20" s="90">
        <f t="shared" si="2"/>
        <v>0.11460999696628638</v>
      </c>
      <c r="H20" s="90">
        <f t="shared" si="3"/>
        <v>-0.10873002157110889</v>
      </c>
      <c r="I20" s="130">
        <f t="shared" si="0"/>
        <v>208.70437958474477</v>
      </c>
      <c r="J20" s="130">
        <f t="shared" si="4"/>
        <v>-0.14518886574742151</v>
      </c>
      <c r="O20" s="89"/>
      <c r="P20" s="129" t="s">
        <v>132</v>
      </c>
      <c r="Q20" s="116">
        <v>11743689</v>
      </c>
      <c r="R20" s="116">
        <v>15432461618</v>
      </c>
      <c r="S20" s="116">
        <v>56269.49</v>
      </c>
      <c r="T20" s="130">
        <f t="shared" si="1"/>
        <v>208.70437958474477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446449.95238095237</v>
      </c>
      <c r="G21" s="90">
        <f t="shared" si="2"/>
        <v>-0.23967681299981225</v>
      </c>
      <c r="H21" s="90">
        <f t="shared" si="3"/>
        <v>-0.26338601187137034</v>
      </c>
      <c r="I21" s="130">
        <f t="shared" si="0"/>
        <v>174.35439427349027</v>
      </c>
      <c r="J21" s="130">
        <f t="shared" si="4"/>
        <v>-0.40701721688221149</v>
      </c>
      <c r="O21" s="89"/>
      <c r="P21" s="129" t="s">
        <v>142</v>
      </c>
      <c r="Q21" s="116">
        <v>9375449</v>
      </c>
      <c r="R21" s="116">
        <v>12463411735</v>
      </c>
      <c r="S21" s="116">
        <v>53772.37</v>
      </c>
      <c r="T21" s="130">
        <f t="shared" si="1"/>
        <v>174.35439427349027</v>
      </c>
      <c r="U21" s="78"/>
    </row>
    <row r="22" spans="1:21" hidden="1">
      <c r="A22" s="129" t="s">
        <v>156</v>
      </c>
      <c r="B22" s="131">
        <f>SUM(F20:F22)</f>
        <v>2001223.45</v>
      </c>
      <c r="C22" s="131">
        <f>AVERAGE(F20:F22)</f>
        <v>667074.48333333328</v>
      </c>
      <c r="D22" s="90">
        <f>C22/C19-1</f>
        <v>0.16964058499642976</v>
      </c>
      <c r="E22" s="286">
        <f>C22/C10-1</f>
        <v>-0.19693565920119915</v>
      </c>
      <c r="F22" s="78">
        <f>Q22/21</f>
        <v>967589.04761904757</v>
      </c>
      <c r="G22" s="90">
        <f t="shared" si="2"/>
        <v>1.1672956676528239</v>
      </c>
      <c r="H22" s="90">
        <f t="shared" si="3"/>
        <v>-0.21147171918892238</v>
      </c>
      <c r="I22" s="130">
        <f t="shared" si="0"/>
        <v>305.42808531387993</v>
      </c>
      <c r="J22" s="130">
        <f t="shared" si="4"/>
        <v>-0.1460836487819327</v>
      </c>
      <c r="K22" s="78">
        <f>R20+R21+R22</f>
        <v>54167973637</v>
      </c>
      <c r="L22" s="87">
        <f>U22/U19-1</f>
        <v>0.17479151377620217</v>
      </c>
      <c r="M22" s="87">
        <f>U22/U10-1</f>
        <v>-0.20815610235814597</v>
      </c>
      <c r="N22" s="88">
        <f>AVERAGE(T20:T22)</f>
        <v>229.49561972403831</v>
      </c>
      <c r="O22" s="89">
        <f>N22/N19-1</f>
        <v>0.10400058332427631</v>
      </c>
      <c r="P22" s="129" t="s">
        <v>156</v>
      </c>
      <c r="Q22" s="116">
        <v>20319370</v>
      </c>
      <c r="R22" s="116">
        <v>26272100284</v>
      </c>
      <c r="S22" s="116">
        <v>66527.509999999995</v>
      </c>
      <c r="T22" s="130">
        <f t="shared" si="1"/>
        <v>305.42808531387993</v>
      </c>
      <c r="U22" s="85">
        <f>Q20+Q21+Q22</f>
        <v>41438508</v>
      </c>
    </row>
    <row r="23" spans="1:21" hidden="1">
      <c r="A23" s="129" t="s">
        <v>189</v>
      </c>
      <c r="B23" s="131"/>
      <c r="C23" s="131"/>
      <c r="F23" s="78">
        <f>Q23/21</f>
        <v>599443.57142857148</v>
      </c>
      <c r="G23" s="90">
        <f t="shared" si="2"/>
        <v>-0.38047710140619506</v>
      </c>
      <c r="H23" s="90">
        <f t="shared" si="3"/>
        <v>0.14254965174346124</v>
      </c>
      <c r="I23" s="130">
        <f t="shared" si="0"/>
        <v>198.1148244033333</v>
      </c>
      <c r="J23" s="130">
        <f t="shared" si="4"/>
        <v>0.19314384803738482</v>
      </c>
      <c r="O23" s="89"/>
      <c r="P23" s="129" t="s">
        <v>189</v>
      </c>
      <c r="Q23" s="116">
        <v>12588315</v>
      </c>
      <c r="R23" s="116">
        <v>16213017926</v>
      </c>
      <c r="S23" s="116">
        <v>63540.5</v>
      </c>
      <c r="T23" s="130">
        <f t="shared" si="1"/>
        <v>198.1148244033333</v>
      </c>
      <c r="U23" s="78"/>
    </row>
    <row r="24" spans="1:21" hidden="1">
      <c r="A24" s="129" t="s">
        <v>204</v>
      </c>
      <c r="B24" s="131"/>
      <c r="C24" s="131"/>
      <c r="F24" s="78">
        <f>Q24/22</f>
        <v>777909.36363636365</v>
      </c>
      <c r="G24" s="90">
        <f t="shared" si="2"/>
        <v>0.2977190860225245</v>
      </c>
      <c r="H24" s="90">
        <f t="shared" si="3"/>
        <v>0.5116878854078446</v>
      </c>
      <c r="I24" s="130">
        <f t="shared" si="0"/>
        <v>218.40524917702444</v>
      </c>
      <c r="J24" s="130">
        <f t="shared" si="4"/>
        <v>0.27421003425902168</v>
      </c>
      <c r="O24" s="89"/>
      <c r="P24" s="129" t="s">
        <v>204</v>
      </c>
      <c r="Q24" s="116">
        <v>17114006</v>
      </c>
      <c r="R24" s="116">
        <v>22611400363</v>
      </c>
      <c r="S24" s="116">
        <v>78358.95</v>
      </c>
      <c r="T24" s="130">
        <f t="shared" si="1"/>
        <v>218.40524917702444</v>
      </c>
      <c r="U24" s="78"/>
    </row>
    <row r="25" spans="1:21" s="79" customFormat="1" ht="13.2" hidden="1">
      <c r="A25" s="129" t="s">
        <v>218</v>
      </c>
      <c r="B25" s="131">
        <f>SUM(F23:F25)</f>
        <v>2523390.0403280929</v>
      </c>
      <c r="C25" s="131">
        <f>AVERAGE(F23:F25)</f>
        <v>841130.01344269759</v>
      </c>
      <c r="D25" s="90">
        <f>C25/C22-1</f>
        <v>0.26092368162490454</v>
      </c>
      <c r="E25" s="286">
        <f>C25/C13-1</f>
        <v>0.41118626314453688</v>
      </c>
      <c r="F25" s="78">
        <f>Q25/19</f>
        <v>1146037.105263158</v>
      </c>
      <c r="G25" s="90">
        <f t="shared" si="2"/>
        <v>0.47322703496711838</v>
      </c>
      <c r="H25" s="90">
        <f t="shared" si="3"/>
        <v>0.5303284387952647</v>
      </c>
      <c r="I25" s="130">
        <f t="shared" si="0"/>
        <v>235.97905106200682</v>
      </c>
      <c r="J25" s="130">
        <f t="shared" si="4"/>
        <v>4.6306324312580527E-2</v>
      </c>
      <c r="K25" s="78">
        <f>R23+R24+R25</f>
        <v>67739612972</v>
      </c>
      <c r="L25" s="90">
        <f>U25/U22-1</f>
        <v>0.24225095169932276</v>
      </c>
      <c r="M25" s="90">
        <f>U25/U13-1</f>
        <v>0.37946994315601623</v>
      </c>
      <c r="N25" s="88">
        <f>AVERAGE(T23:T25)</f>
        <v>217.49970821412151</v>
      </c>
      <c r="O25" s="91">
        <f>N25/N22-1</f>
        <v>-5.2270764576428652E-2</v>
      </c>
      <c r="P25" s="129" t="s">
        <v>222</v>
      </c>
      <c r="Q25" s="116">
        <v>21774705</v>
      </c>
      <c r="R25" s="116">
        <v>28915194683</v>
      </c>
      <c r="S25" s="116">
        <v>92273.89</v>
      </c>
      <c r="T25" s="130">
        <f t="shared" si="1"/>
        <v>235.97905106200682</v>
      </c>
      <c r="U25" s="85">
        <f>Q23+Q24+Q25</f>
        <v>51477026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875423.68421052629</v>
      </c>
      <c r="G26" s="90">
        <f t="shared" si="2"/>
        <v>-0.23612972024190459</v>
      </c>
      <c r="H26" s="90">
        <f t="shared" si="3"/>
        <v>0.3625399651008796</v>
      </c>
      <c r="I26" s="130">
        <f t="shared" si="0"/>
        <v>228.70595553577988</v>
      </c>
      <c r="J26" s="130">
        <f t="shared" si="4"/>
        <v>6.8339895502697035E-2</v>
      </c>
      <c r="L26" s="90"/>
      <c r="M26" s="90"/>
      <c r="P26" s="129" t="s">
        <v>312</v>
      </c>
      <c r="Q26" s="116">
        <v>16633050</v>
      </c>
      <c r="R26" s="116">
        <v>22464060562</v>
      </c>
      <c r="S26" s="116">
        <v>72726.789999999994</v>
      </c>
      <c r="T26" s="130">
        <f t="shared" si="1"/>
        <v>228.70595553577988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776278.22727272729</v>
      </c>
      <c r="G27" s="90">
        <f t="shared" ref="G27" si="5">F27/F26-1</f>
        <v>-0.11325425474090323</v>
      </c>
      <c r="H27" s="90">
        <f t="shared" ref="H27" si="6">F27/F15-1</f>
        <v>-9.3848181116594098E-2</v>
      </c>
      <c r="I27" s="130">
        <f t="shared" si="0"/>
        <v>207.23256928341939</v>
      </c>
      <c r="J27" s="130">
        <f t="shared" si="4"/>
        <v>-0.10989647771767541</v>
      </c>
      <c r="L27" s="90"/>
      <c r="M27" s="90"/>
      <c r="P27" s="129" t="s">
        <v>375</v>
      </c>
      <c r="Q27" s="116">
        <v>17078121</v>
      </c>
      <c r="R27" s="116">
        <v>22537620532</v>
      </c>
      <c r="S27" s="116">
        <v>82410.41</v>
      </c>
      <c r="T27" s="130">
        <f t="shared" ref="T27" si="7">Q27/S27</f>
        <v>207.23256928341939</v>
      </c>
      <c r="U27" s="78"/>
    </row>
    <row r="28" spans="1:21" s="79" customFormat="1" ht="13.2" hidden="1">
      <c r="A28" s="123" t="s">
        <v>413</v>
      </c>
      <c r="B28" s="171">
        <f>SUM(F26:F28)</f>
        <v>3525026.3851674641</v>
      </c>
      <c r="C28" s="131">
        <f>AVERAGE(F26:F28)</f>
        <v>1175008.7950558213</v>
      </c>
      <c r="D28" s="90">
        <f>C28/C25-1</f>
        <v>0.39694075383967897</v>
      </c>
      <c r="E28" s="286">
        <f>C28/C16-1</f>
        <v>0.46231727336789907</v>
      </c>
      <c r="F28" s="78">
        <f>Q28/19</f>
        <v>1873324.4736842106</v>
      </c>
      <c r="G28" s="90">
        <f t="shared" ref="G28" si="8">F28/F27-1</f>
        <v>1.413212696001664</v>
      </c>
      <c r="H28" s="90">
        <f t="shared" ref="H28" si="9">F28/F16-1</f>
        <v>1.0554225819055509</v>
      </c>
      <c r="I28" s="130">
        <f t="shared" si="0"/>
        <v>380.14790806941977</v>
      </c>
      <c r="J28" s="130">
        <f t="shared" si="4"/>
        <v>0.66231047949522903</v>
      </c>
      <c r="K28" s="78">
        <f>R26+R27+R28</f>
        <v>91527336535</v>
      </c>
      <c r="L28" s="90">
        <f>U28/U25-1</f>
        <v>0.34631584971517193</v>
      </c>
      <c r="M28" s="90">
        <f>U28/U16-1</f>
        <v>0.33927436664015587</v>
      </c>
      <c r="N28" s="88">
        <f>AVERAGE(T26:T28)</f>
        <v>272.02881096287302</v>
      </c>
      <c r="O28" s="91">
        <f>N28/N25-1</f>
        <v>0.2507088547220917</v>
      </c>
      <c r="P28" s="129" t="s">
        <v>413</v>
      </c>
      <c r="Q28" s="116">
        <v>35593165</v>
      </c>
      <c r="R28" s="116">
        <v>46525655441</v>
      </c>
      <c r="S28" s="116">
        <v>93629.78</v>
      </c>
      <c r="T28" s="130">
        <f t="shared" ref="T28" si="10">Q28/S28</f>
        <v>380.14790806941977</v>
      </c>
      <c r="U28" s="85">
        <f>Q26+Q27+Q28</f>
        <v>69304336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437505.22727272729</v>
      </c>
      <c r="G29" s="190">
        <f t="shared" ref="G29" si="11">F29/F28-1</f>
        <v>-0.76645517985877853</v>
      </c>
      <c r="H29" s="190">
        <f t="shared" ref="H29" si="12">F29/F17-1</f>
        <v>1.0370730666503736E-2</v>
      </c>
      <c r="I29" s="130">
        <f t="shared" si="0"/>
        <v>217.86530765609157</v>
      </c>
      <c r="J29" s="130">
        <f t="shared" si="4"/>
        <v>0.37280040764910227</v>
      </c>
      <c r="K29" s="136"/>
      <c r="L29" s="190"/>
      <c r="M29" s="190"/>
      <c r="N29" s="191"/>
      <c r="O29" s="192"/>
      <c r="P29" s="129" t="s">
        <v>430</v>
      </c>
      <c r="Q29" s="116">
        <v>9625115</v>
      </c>
      <c r="R29" s="116">
        <v>12708845427</v>
      </c>
      <c r="S29" s="116">
        <v>44179.199999999997</v>
      </c>
      <c r="T29" s="130">
        <f t="shared" ref="T29" si="13">Q29/S29</f>
        <v>217.86530765609157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751060.94736842101</v>
      </c>
      <c r="G30" s="190">
        <f t="shared" ref="G30" si="14">F30/F29-1</f>
        <v>0.71669022573810914</v>
      </c>
      <c r="H30" s="190">
        <f t="shared" ref="H30" si="15">F30/F18-1</f>
        <v>-1.2035208560690069E-4</v>
      </c>
      <c r="I30" s="130">
        <f t="shared" si="0"/>
        <v>202.13736292844644</v>
      </c>
      <c r="J30" s="130">
        <f t="shared" si="4"/>
        <v>-0.16423448250816874</v>
      </c>
      <c r="K30" s="136"/>
      <c r="L30" s="190"/>
      <c r="M30" s="190"/>
      <c r="N30" s="191"/>
      <c r="O30" s="192"/>
      <c r="P30" s="129" t="s">
        <v>466</v>
      </c>
      <c r="Q30" s="116">
        <v>14270158</v>
      </c>
      <c r="R30" s="116">
        <v>19015690196</v>
      </c>
      <c r="S30" s="116">
        <v>70596.34</v>
      </c>
      <c r="T30" s="130">
        <f t="shared" ref="T30" si="16">Q30/S30</f>
        <v>202.13736292844644</v>
      </c>
      <c r="U30" s="85"/>
    </row>
    <row r="31" spans="1:21" s="79" customFormat="1" ht="13.2" hidden="1">
      <c r="A31" s="129" t="s">
        <v>505</v>
      </c>
      <c r="B31" s="188">
        <f>SUM(F29:F31)</f>
        <v>1838808.4246411482</v>
      </c>
      <c r="C31" s="188">
        <f>AVERAGE(F29:F31)</f>
        <v>612936.1415470494</v>
      </c>
      <c r="D31" s="190">
        <f>C31/C28-1</f>
        <v>-0.47835612454464171</v>
      </c>
      <c r="E31" s="287">
        <f>C31/C19-1</f>
        <v>7.4715050682439443E-2</v>
      </c>
      <c r="F31" s="136">
        <f>Q31/20</f>
        <v>650242.25</v>
      </c>
      <c r="G31" s="190">
        <f t="shared" ref="G31" si="17">F31/F30-1</f>
        <v>-0.13423504140598863</v>
      </c>
      <c r="H31" s="190">
        <f t="shared" ref="H31" si="18">F31/F19-1</f>
        <v>0.23430808206833675</v>
      </c>
      <c r="I31" s="130">
        <f t="shared" si="0"/>
        <v>175.90730974258116</v>
      </c>
      <c r="J31" s="130">
        <f t="shared" si="4"/>
        <v>-0.21142113200318002</v>
      </c>
      <c r="K31" s="136">
        <f>R29+R30+R31</f>
        <v>48997549758</v>
      </c>
      <c r="L31" s="190">
        <f>U31/U28-1</f>
        <v>-0.46756407853038229</v>
      </c>
      <c r="M31" s="190">
        <f>U31/U19-1</f>
        <v>4.6127082658007135E-2</v>
      </c>
      <c r="N31" s="191">
        <f>AVERAGE(T29:T31)</f>
        <v>198.63666010903975</v>
      </c>
      <c r="O31" s="192">
        <f>N31/N28-1</f>
        <v>-0.26979550656437623</v>
      </c>
      <c r="P31" s="129" t="s">
        <v>505</v>
      </c>
      <c r="Q31" s="116">
        <v>13004845</v>
      </c>
      <c r="R31" s="116">
        <v>17273014135</v>
      </c>
      <c r="S31" s="116">
        <v>73930.100000000006</v>
      </c>
      <c r="T31" s="130">
        <f t="shared" ref="T31" si="19">Q31/S31</f>
        <v>175.90730974258116</v>
      </c>
      <c r="U31" s="85">
        <f>Q29+Q30+Q31</f>
        <v>36900118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429166</v>
      </c>
      <c r="G32" s="190">
        <f t="shared" ref="G32" si="20">F32/F31-1</f>
        <v>-0.33999059581256064</v>
      </c>
      <c r="H32" s="190">
        <f t="shared" ref="H32" si="21">F32/F20-1</f>
        <v>-0.26911211630348852</v>
      </c>
      <c r="I32" s="130">
        <f t="shared" si="0"/>
        <v>145.74441023836465</v>
      </c>
      <c r="J32" s="130">
        <f t="shared" si="4"/>
        <v>-0.30167057093698946</v>
      </c>
      <c r="K32" s="136"/>
      <c r="L32" s="190"/>
      <c r="M32" s="190"/>
      <c r="N32" s="191"/>
      <c r="O32" s="192"/>
      <c r="P32" s="129" t="s">
        <v>562</v>
      </c>
      <c r="Q32" s="116">
        <v>9012486</v>
      </c>
      <c r="R32" s="116">
        <v>12296648870</v>
      </c>
      <c r="S32" s="116">
        <v>61837.61</v>
      </c>
      <c r="T32" s="130">
        <f t="shared" ref="T32" si="22">Q32/S32</f>
        <v>145.74441023836465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809299.19047619053</v>
      </c>
      <c r="G33" s="190">
        <f t="shared" ref="G33" si="23">F33/F32-1</f>
        <v>0.88574861586470166</v>
      </c>
      <c r="H33" s="190">
        <f t="shared" ref="H33" si="24">F33/F21-1</f>
        <v>0.81274336834427885</v>
      </c>
      <c r="I33" s="130">
        <f t="shared" si="0"/>
        <v>249.49090463352456</v>
      </c>
      <c r="J33" s="130">
        <f t="shared" si="4"/>
        <v>0.43094130591383917</v>
      </c>
      <c r="K33" s="136"/>
      <c r="L33" s="190"/>
      <c r="M33" s="190"/>
      <c r="N33" s="191"/>
      <c r="O33" s="192"/>
      <c r="P33" s="129" t="s">
        <v>627</v>
      </c>
      <c r="Q33" s="116">
        <v>16995283</v>
      </c>
      <c r="R33" s="116">
        <v>23225111168</v>
      </c>
      <c r="S33" s="116">
        <v>68119.850000000006</v>
      </c>
      <c r="T33" s="130">
        <f t="shared" ref="T33" si="25">Q33/S33</f>
        <v>249.49090463352456</v>
      </c>
      <c r="U33" s="85"/>
    </row>
    <row r="34" spans="1:21" s="79" customFormat="1" ht="13.2" hidden="1">
      <c r="A34" s="129" t="s">
        <v>652</v>
      </c>
      <c r="B34" s="188">
        <f>SUM(F32:F34)</f>
        <v>1935660.6641604011</v>
      </c>
      <c r="C34" s="188">
        <f>AVERAGE(F32:F34)</f>
        <v>645220.2213868004</v>
      </c>
      <c r="D34" s="190">
        <f>C34/C31-1</f>
        <v>5.2671196314621138E-2</v>
      </c>
      <c r="E34" s="287">
        <f>C34/C22-1</f>
        <v>-3.2761351981758224E-2</v>
      </c>
      <c r="F34" s="136">
        <f>Q34/19</f>
        <v>697195.47368421056</v>
      </c>
      <c r="G34" s="190">
        <f t="shared" ref="G34" si="26">F34/F33-1</f>
        <v>-0.13851949700582089</v>
      </c>
      <c r="H34" s="190">
        <f t="shared" ref="H34" si="27">F34/F22-1</f>
        <v>-0.27945084186328506</v>
      </c>
      <c r="I34" s="130">
        <f t="shared" si="0"/>
        <v>201.92265861377186</v>
      </c>
      <c r="J34" s="130">
        <f t="shared" si="4"/>
        <v>-0.33888640788792701</v>
      </c>
      <c r="K34" s="136">
        <f>R32+R33+R34</f>
        <v>53748556297</v>
      </c>
      <c r="L34" s="190">
        <f>U34/U31-1</f>
        <v>6.380372550570157E-2</v>
      </c>
      <c r="M34" s="190">
        <f>U34/U22-1</f>
        <v>-5.2705203575379667E-2</v>
      </c>
      <c r="N34" s="191">
        <f>AVERAGE(T32:T34)</f>
        <v>199.05265782855369</v>
      </c>
      <c r="O34" s="192">
        <f>N34/N31-1</f>
        <v>2.0942645697203943E-3</v>
      </c>
      <c r="P34" s="129" t="s">
        <v>652</v>
      </c>
      <c r="Q34" s="116">
        <v>13246714</v>
      </c>
      <c r="R34" s="116">
        <v>18226796259</v>
      </c>
      <c r="S34" s="116">
        <v>65602.91</v>
      </c>
      <c r="T34" s="130">
        <f t="shared" ref="T34" si="28">Q34/S34</f>
        <v>201.92265861377186</v>
      </c>
      <c r="U34" s="85">
        <f>Q32+Q33+Q34</f>
        <v>39254483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966918.04347826086</v>
      </c>
      <c r="G35" s="190">
        <f t="shared" ref="G35" si="29">F35/F34-1</f>
        <v>0.38686793012115728</v>
      </c>
      <c r="H35" s="190">
        <f t="shared" ref="H35" si="30">F35/F23-1</f>
        <v>0.61302596201663806</v>
      </c>
      <c r="I35" s="130">
        <f t="shared" si="0"/>
        <v>444.88061861671434</v>
      </c>
      <c r="J35" s="130">
        <f t="shared" si="4"/>
        <v>1.2455695577378973</v>
      </c>
      <c r="K35" s="136"/>
      <c r="L35" s="190"/>
      <c r="M35" s="190"/>
      <c r="N35" s="191"/>
      <c r="O35" s="192"/>
      <c r="P35" s="129" t="s">
        <v>660</v>
      </c>
      <c r="Q35" s="116">
        <v>22239115</v>
      </c>
      <c r="R35" s="116">
        <v>30791146954</v>
      </c>
      <c r="S35" s="116">
        <v>49988.95</v>
      </c>
      <c r="T35" s="130">
        <f t="shared" ref="T35" si="31">Q35/S35</f>
        <v>444.88061861671434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87"/>
      <c r="F36" s="136">
        <f>Q36/21</f>
        <v>1639596.2857142857</v>
      </c>
      <c r="G36" s="190">
        <f t="shared" ref="G36" si="32">F36/F35-1</f>
        <v>0.69569313218752504</v>
      </c>
      <c r="H36" s="190">
        <f t="shared" ref="H36" si="33">F36/F24-1</f>
        <v>1.1076957835421051</v>
      </c>
      <c r="I36" s="130">
        <f t="shared" si="0"/>
        <v>452.66467431144895</v>
      </c>
      <c r="J36" s="130">
        <f t="shared" si="4"/>
        <v>1.0725906360636497</v>
      </c>
      <c r="K36" s="136"/>
      <c r="L36" s="190"/>
      <c r="M36" s="190"/>
      <c r="N36" s="191"/>
      <c r="O36" s="192"/>
      <c r="P36" s="129" t="s">
        <v>677</v>
      </c>
      <c r="Q36" s="116">
        <v>34431522</v>
      </c>
      <c r="R36" s="116">
        <v>46757337735</v>
      </c>
      <c r="S36" s="116">
        <v>76064.08</v>
      </c>
      <c r="T36" s="130">
        <f t="shared" ref="T36" si="34">Q36/S36</f>
        <v>452.66467431144895</v>
      </c>
      <c r="U36" s="85"/>
    </row>
    <row r="37" spans="1:21" s="79" customFormat="1" ht="13.2" hidden="1">
      <c r="A37" s="129" t="s">
        <v>702</v>
      </c>
      <c r="B37" s="188">
        <f>SUM(F35:F37)</f>
        <v>3475071.8291925467</v>
      </c>
      <c r="C37" s="188">
        <f>AVERAGE(F35:F37)</f>
        <v>1158357.2763975156</v>
      </c>
      <c r="D37" s="190">
        <f>C37/C34-1</f>
        <v>0.79528979099230179</v>
      </c>
      <c r="E37" s="287">
        <f>C37/C25-1</f>
        <v>0.3771441488057532</v>
      </c>
      <c r="F37" s="136">
        <f>Q37/18</f>
        <v>868557.5</v>
      </c>
      <c r="G37" s="190">
        <f t="shared" ref="G37" si="35">F37/F36-1</f>
        <v>-0.47026136399082208</v>
      </c>
      <c r="H37" s="190">
        <f t="shared" ref="H37" si="36">F37/F25-1</f>
        <v>-0.24212096099579772</v>
      </c>
      <c r="I37" s="130">
        <f t="shared" si="0"/>
        <v>215.21896422560579</v>
      </c>
      <c r="J37" s="130">
        <f t="shared" si="4"/>
        <v>-8.7974278830988406E-2</v>
      </c>
      <c r="K37" s="136">
        <f>R35+R36+R37</f>
        <v>98413830741</v>
      </c>
      <c r="L37" s="190">
        <f>U37/U34-1</f>
        <v>0.84194686757178783</v>
      </c>
      <c r="M37" s="190">
        <f>U37/U25-1</f>
        <v>0.40460080191889869</v>
      </c>
      <c r="N37" s="191">
        <f>AVERAGE(T35:T37)</f>
        <v>370.92141905125635</v>
      </c>
      <c r="O37" s="192">
        <f>N37/N34-1</f>
        <v>0.86343364161826552</v>
      </c>
      <c r="P37" s="129" t="s">
        <v>702</v>
      </c>
      <c r="Q37" s="116">
        <v>15634035</v>
      </c>
      <c r="R37" s="116">
        <v>20865346052</v>
      </c>
      <c r="S37" s="116">
        <v>72642.460000000006</v>
      </c>
      <c r="T37" s="130">
        <f t="shared" ref="T37" si="37">Q37/S37</f>
        <v>215.21896422560579</v>
      </c>
      <c r="U37" s="85">
        <f>Q35+Q36+Q37</f>
        <v>72304672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1276672.3500000001</v>
      </c>
      <c r="G38" s="190">
        <f t="shared" ref="G38" si="38">F38/F37-1</f>
        <v>0.46987660575149026</v>
      </c>
      <c r="H38" s="190">
        <f t="shared" ref="H38" si="39">F38/F26-1</f>
        <v>0.45834796684913481</v>
      </c>
      <c r="I38" s="130">
        <f t="shared" si="0"/>
        <v>336.8547737144155</v>
      </c>
      <c r="J38" s="130">
        <f t="shared" si="4"/>
        <v>0.47287276767795539</v>
      </c>
      <c r="K38" s="136"/>
      <c r="L38" s="190"/>
      <c r="M38" s="190"/>
      <c r="N38" s="191"/>
      <c r="O38" s="192"/>
      <c r="P38" s="129" t="s">
        <v>727</v>
      </c>
      <c r="Q38" s="116">
        <v>25533447</v>
      </c>
      <c r="R38" s="116">
        <v>34550269481</v>
      </c>
      <c r="S38" s="116">
        <v>75799.570000000007</v>
      </c>
      <c r="T38" s="130">
        <f t="shared" ref="T38" si="40">Q38/S38</f>
        <v>336.8547737144155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2276902.0476190476</v>
      </c>
      <c r="G39" s="190">
        <f t="shared" ref="G39" si="41">F39/F38-1</f>
        <v>0.78346624928396658</v>
      </c>
      <c r="H39" s="190">
        <f t="shared" ref="H39" si="42">F39/F27-1</f>
        <v>1.9331004884916232</v>
      </c>
      <c r="I39" s="130">
        <f t="shared" si="0"/>
        <v>454.3772311454843</v>
      </c>
      <c r="J39" s="130">
        <f t="shared" si="4"/>
        <v>1.1925956557729118</v>
      </c>
      <c r="K39" s="136"/>
      <c r="L39" s="190"/>
      <c r="M39" s="190"/>
      <c r="N39" s="191"/>
      <c r="O39" s="192"/>
      <c r="P39" s="129" t="s">
        <v>762</v>
      </c>
      <c r="Q39" s="116">
        <v>47814943</v>
      </c>
      <c r="R39" s="116">
        <v>66554155728</v>
      </c>
      <c r="S39" s="116">
        <v>105231.82</v>
      </c>
      <c r="T39" s="130">
        <f t="shared" ref="T39" si="43">Q39/S39</f>
        <v>454.3772311454843</v>
      </c>
      <c r="U39" s="85"/>
    </row>
    <row r="40" spans="1:21" s="79" customFormat="1" ht="13.2" hidden="1">
      <c r="A40" s="129" t="s">
        <v>778</v>
      </c>
      <c r="B40" s="188">
        <f>SUM(F38:F40)</f>
        <v>5298930.3499999996</v>
      </c>
      <c r="C40" s="188">
        <f>AVERAGE(F38:F40)</f>
        <v>1766310.1166666665</v>
      </c>
      <c r="D40" s="190">
        <f>C40/C37-1</f>
        <v>0.52484052429823791</v>
      </c>
      <c r="E40" s="287">
        <f>C40/C28-1</f>
        <v>0.50323140056390314</v>
      </c>
      <c r="F40" s="136">
        <f>Q40/21</f>
        <v>1745355.9523809524</v>
      </c>
      <c r="G40" s="190">
        <f t="shared" ref="G40" si="44">F40/F39-1</f>
        <v>-0.23345145470527906</v>
      </c>
      <c r="H40" s="190">
        <f t="shared" ref="H40" si="45">F40/F28-1</f>
        <v>-6.8310921626719701E-2</v>
      </c>
      <c r="I40" s="130">
        <f t="shared" si="0"/>
        <v>647.78768491189624</v>
      </c>
      <c r="J40" s="130">
        <f t="shared" si="4"/>
        <v>0.70404116703333819</v>
      </c>
      <c r="K40" s="136">
        <f>R38+R39+R40</f>
        <v>153074667924</v>
      </c>
      <c r="L40" s="190">
        <f>U40/U37-1</f>
        <v>0.52135210571178581</v>
      </c>
      <c r="M40" s="190">
        <f>U40/U28-1</f>
        <v>0.58721475954982094</v>
      </c>
      <c r="N40" s="191">
        <f>AVERAGE(T38:T40)</f>
        <v>479.67322992393201</v>
      </c>
      <c r="O40" s="192">
        <f>N40/N37-1</f>
        <v>0.29319366660151713</v>
      </c>
      <c r="P40" s="129" t="s">
        <v>778</v>
      </c>
      <c r="Q40" s="116">
        <v>36652475</v>
      </c>
      <c r="R40" s="116">
        <v>51970242715</v>
      </c>
      <c r="S40" s="116">
        <v>56581</v>
      </c>
      <c r="T40" s="130">
        <f t="shared" ref="T40" si="46">Q40/S40</f>
        <v>647.78768491189624</v>
      </c>
      <c r="U40" s="85">
        <f>Q38+Q39+Q40</f>
        <v>110000865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527720.11111111112</v>
      </c>
      <c r="G41" s="190">
        <f t="shared" ref="G41" si="47">F41/F40-1</f>
        <v>-0.69764327420362926</v>
      </c>
      <c r="H41" s="190">
        <f t="shared" ref="H41" si="48">F41/F29-1</f>
        <v>0.20620298504947154</v>
      </c>
      <c r="I41" s="130">
        <f t="shared" si="0"/>
        <v>178.1727977311435</v>
      </c>
      <c r="J41" s="130">
        <f t="shared" si="4"/>
        <v>-0.18218829951395543</v>
      </c>
      <c r="K41" s="193"/>
      <c r="L41" s="190"/>
      <c r="M41" s="190"/>
      <c r="N41" s="193"/>
      <c r="O41" s="193"/>
      <c r="P41" s="129" t="s">
        <v>793</v>
      </c>
      <c r="Q41" s="116">
        <v>9498962</v>
      </c>
      <c r="R41" s="116">
        <v>13884734843</v>
      </c>
      <c r="S41" s="116">
        <v>53313.2</v>
      </c>
      <c r="T41" s="130">
        <f t="shared" ref="T41" si="49">Q41/S41</f>
        <v>178.1727977311435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562994</v>
      </c>
      <c r="G42" s="190">
        <f t="shared" ref="G42" si="50">F42/F41-1</f>
        <v>6.6842040214499132E-2</v>
      </c>
      <c r="H42" s="190">
        <f t="shared" ref="H42" si="51">F42/F30-1</f>
        <v>-0.25040171244074516</v>
      </c>
      <c r="I42" s="130">
        <f t="shared" si="0"/>
        <v>167.22932657398854</v>
      </c>
      <c r="J42" s="130">
        <f t="shared" si="4"/>
        <v>-0.17269462631119215</v>
      </c>
      <c r="K42" s="193"/>
      <c r="L42" s="190"/>
      <c r="M42" s="190"/>
      <c r="N42" s="193"/>
      <c r="O42" s="193"/>
      <c r="P42" s="129" t="s">
        <v>826</v>
      </c>
      <c r="Q42" s="116">
        <v>11259880</v>
      </c>
      <c r="R42" s="116">
        <v>16288410565</v>
      </c>
      <c r="S42" s="116">
        <v>67331.97</v>
      </c>
      <c r="T42" s="130">
        <f t="shared" ref="T42" si="52">Q42/S42</f>
        <v>167.22932657398854</v>
      </c>
      <c r="U42" s="78"/>
    </row>
    <row r="43" spans="1:21" s="79" customFormat="1" ht="13.2">
      <c r="A43" s="129" t="s">
        <v>835</v>
      </c>
      <c r="B43" s="188">
        <f>SUM(F41:F43)</f>
        <v>2923203.9111111108</v>
      </c>
      <c r="C43" s="188">
        <f>AVERAGE(F41:F43)</f>
        <v>974401.30370370357</v>
      </c>
      <c r="D43" s="190">
        <f>C43/C40-1</f>
        <v>-0.44834075595820744</v>
      </c>
      <c r="E43" s="287">
        <f>C43/C31-1</f>
        <v>0.58972727769701572</v>
      </c>
      <c r="F43" s="136">
        <f>Q43/20</f>
        <v>1832489.8</v>
      </c>
      <c r="G43" s="190">
        <f t="shared" ref="G43" si="53">F43/F42-1</f>
        <v>2.2549011179515235</v>
      </c>
      <c r="H43" s="190">
        <f t="shared" ref="H43" si="54">F43/F31-1</f>
        <v>1.8181647685920135</v>
      </c>
      <c r="I43" s="130">
        <f t="shared" si="0"/>
        <v>547.95403439944494</v>
      </c>
      <c r="J43" s="130">
        <f t="shared" si="4"/>
        <v>2.1150157159546619</v>
      </c>
      <c r="K43" s="136">
        <f>R41+R42+R43</f>
        <v>83452149848</v>
      </c>
      <c r="L43" s="190">
        <f>U43/U40-1</f>
        <v>-0.47810739488275844</v>
      </c>
      <c r="M43" s="190">
        <f>K43/K31-1</f>
        <v>0.70319026686379305</v>
      </c>
      <c r="N43" s="191">
        <f>AVERAGE(T41:T43)</f>
        <v>297.785386234859</v>
      </c>
      <c r="O43" s="192">
        <f>N43/N40-1</f>
        <v>-0.37919115002085335</v>
      </c>
      <c r="P43" s="129" t="s">
        <v>835</v>
      </c>
      <c r="Q43" s="116">
        <v>36649796</v>
      </c>
      <c r="R43" s="116">
        <v>53279004440</v>
      </c>
      <c r="S43" s="116">
        <v>66884.800000000003</v>
      </c>
      <c r="T43" s="130">
        <f t="shared" ref="T43" si="55">Q43/S43</f>
        <v>547.95403439944494</v>
      </c>
      <c r="U43" s="85">
        <f>Q41+Q42+Q43</f>
        <v>57408638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720352.04545454541</v>
      </c>
      <c r="G44" s="190">
        <f t="shared" ref="G44" si="56">F44/F43-1</f>
        <v>-0.60689983351910315</v>
      </c>
      <c r="H44" s="190">
        <f t="shared" ref="H44" si="57">F44/F32-1</f>
        <v>0.67849281036835496</v>
      </c>
      <c r="I44" s="130">
        <f t="shared" si="0"/>
        <v>190.57794099396509</v>
      </c>
      <c r="J44" s="130">
        <f t="shared" si="4"/>
        <v>0.30761749752374934</v>
      </c>
      <c r="K44" s="136"/>
      <c r="L44" s="190"/>
      <c r="M44" s="190"/>
      <c r="N44" s="191"/>
      <c r="O44" s="192"/>
      <c r="P44" s="129" t="s">
        <v>843</v>
      </c>
      <c r="Q44" s="116">
        <v>15847745</v>
      </c>
      <c r="R44" s="116">
        <v>23048061048</v>
      </c>
      <c r="S44" s="116">
        <v>83156.240000000005</v>
      </c>
      <c r="T44" s="130">
        <f t="shared" ref="T44" si="58">Q44/S44</f>
        <v>190.57794099396509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1827231.7</v>
      </c>
      <c r="G45" s="190">
        <f t="shared" ref="G45" si="59">F45/F44-1</f>
        <v>1.5365815388877095</v>
      </c>
      <c r="H45" s="190">
        <f t="shared" ref="H45" si="60">F45/F33-1</f>
        <v>1.2577950423067388</v>
      </c>
      <c r="I45" s="130">
        <f t="shared" si="0"/>
        <v>478.41168087624902</v>
      </c>
      <c r="J45" s="130">
        <f t="shared" si="4"/>
        <v>0.91755159002282904</v>
      </c>
      <c r="K45" s="136"/>
      <c r="L45" s="190"/>
      <c r="M45" s="190"/>
      <c r="N45" s="191"/>
      <c r="O45" s="192"/>
      <c r="P45" s="129" t="s">
        <v>853</v>
      </c>
      <c r="Q45" s="116">
        <v>36544634</v>
      </c>
      <c r="R45" s="116">
        <v>51494126411</v>
      </c>
      <c r="S45" s="116">
        <v>76387.42</v>
      </c>
      <c r="T45" s="130">
        <f t="shared" ref="T45" si="61">Q45/S45</f>
        <v>478.41168087624902</v>
      </c>
      <c r="U45" s="85"/>
    </row>
    <row r="46" spans="1:21" s="79" customFormat="1" ht="13.2">
      <c r="A46" s="129" t="s">
        <v>888</v>
      </c>
      <c r="B46" s="188">
        <f>SUM(F44:F46)</f>
        <v>3826807.9033492822</v>
      </c>
      <c r="C46" s="188">
        <f>AVERAGE(F44:F46)</f>
        <v>1275602.6344497607</v>
      </c>
      <c r="D46" s="190">
        <f>C46/C43-1</f>
        <v>0.30911425261972614</v>
      </c>
      <c r="E46" s="287">
        <f>C46/C34-1</f>
        <v>0.97700349767099892</v>
      </c>
      <c r="F46" s="136">
        <f>Q46/19</f>
        <v>1279224.1578947369</v>
      </c>
      <c r="G46" s="190">
        <f t="shared" ref="G46" si="62">F46/F45-1</f>
        <v>-0.29991135886339049</v>
      </c>
      <c r="H46" s="190">
        <f t="shared" ref="H46" si="63">F46/F34-1</f>
        <v>0.83481420373384663</v>
      </c>
      <c r="I46" s="130">
        <f t="shared" si="0"/>
        <v>357.65812867844636</v>
      </c>
      <c r="J46" s="130">
        <f t="shared" si="4"/>
        <v>0.7712629733276144</v>
      </c>
      <c r="K46" s="136">
        <f>R44+R45+R46</f>
        <v>107775339802</v>
      </c>
      <c r="L46" s="190">
        <f>U46/U43-1</f>
        <v>0.33599473305741889</v>
      </c>
      <c r="M46" s="190">
        <f>K46/K34-1</f>
        <v>1.0051764591864121</v>
      </c>
      <c r="N46" s="191">
        <f>AVERAGE(T44:T46)</f>
        <v>342.21591684955348</v>
      </c>
      <c r="O46" s="192">
        <f>N46/N43-1</f>
        <v>0.14920319353634359</v>
      </c>
      <c r="P46" s="129" t="s">
        <v>939</v>
      </c>
      <c r="Q46" s="116">
        <v>24305259</v>
      </c>
      <c r="R46" s="116">
        <v>33233152343</v>
      </c>
      <c r="S46" s="116">
        <v>67956.679999999993</v>
      </c>
      <c r="T46" s="130">
        <f t="shared" ref="T46" si="64">Q46/S46</f>
        <v>357.65812867844636</v>
      </c>
      <c r="U46" s="85">
        <f t="shared" ref="U46:U51" si="65">Q44+Q45+Q46</f>
        <v>76697638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604706.39130434778</v>
      </c>
      <c r="G47" s="190">
        <f t="shared" ref="G47" si="66">F47/F46-1</f>
        <v>-0.52728660761102741</v>
      </c>
      <c r="H47" s="190">
        <f t="shared" ref="H47" si="67">F47/F35-1</f>
        <v>-0.37460429517991167</v>
      </c>
      <c r="I47" s="130">
        <f t="shared" si="0"/>
        <v>186.27869117033524</v>
      </c>
      <c r="J47" s="130">
        <f t="shared" si="4"/>
        <v>-0.58128386948044786</v>
      </c>
      <c r="K47" s="136"/>
      <c r="L47" s="190"/>
      <c r="M47" s="190"/>
      <c r="N47" s="191"/>
      <c r="O47" s="192"/>
      <c r="P47" s="129" t="s">
        <v>991</v>
      </c>
      <c r="Q47" s="116">
        <v>13908247</v>
      </c>
      <c r="R47" s="116">
        <v>19097096293</v>
      </c>
      <c r="S47" s="116">
        <v>74663.649999999994</v>
      </c>
      <c r="T47" s="130">
        <f t="shared" ref="T47" si="68">Q47/S47</f>
        <v>186.27869117033524</v>
      </c>
      <c r="U47" s="85">
        <f t="shared" si="65"/>
        <v>74758140</v>
      </c>
    </row>
    <row r="48" spans="1:21" s="79" customFormat="1" ht="13.2">
      <c r="A48" s="129" t="s">
        <v>1086</v>
      </c>
      <c r="B48" s="188"/>
      <c r="C48" s="188"/>
      <c r="D48" s="190"/>
      <c r="E48" s="287"/>
      <c r="F48" s="136">
        <f>Q48/20</f>
        <v>801370.9</v>
      </c>
      <c r="G48" s="190">
        <f t="shared" ref="G48" si="69">F48/F47-1</f>
        <v>0.32522313559717486</v>
      </c>
      <c r="H48" s="190">
        <f t="shared" ref="H48" si="70">F48/F36-1</f>
        <v>-0.51123889034007841</v>
      </c>
      <c r="I48" s="130">
        <f t="shared" si="0"/>
        <v>211.9529232659709</v>
      </c>
      <c r="J48" s="130">
        <f t="shared" si="4"/>
        <v>-0.53176614988043014</v>
      </c>
      <c r="K48" s="136"/>
      <c r="L48" s="190"/>
      <c r="M48" s="190"/>
      <c r="N48" s="191"/>
      <c r="O48" s="192"/>
      <c r="P48" s="129" t="s">
        <v>1120</v>
      </c>
      <c r="Q48" s="116">
        <v>16027418</v>
      </c>
      <c r="R48" s="116">
        <v>22242175773</v>
      </c>
      <c r="S48" s="116">
        <v>75617.820000000007</v>
      </c>
      <c r="T48" s="130">
        <f t="shared" ref="T48" si="71">Q48/S48</f>
        <v>211.9529232659709</v>
      </c>
      <c r="U48" s="85">
        <f t="shared" si="65"/>
        <v>54240924</v>
      </c>
    </row>
    <row r="49" spans="1:26" ht="13.2">
      <c r="A49" s="129" t="s">
        <v>1158</v>
      </c>
      <c r="B49" s="188">
        <f>SUM(F47:F49)</f>
        <v>2353108.3822134389</v>
      </c>
      <c r="C49" s="188">
        <f>AVERAGE(F47:F49)</f>
        <v>784369.46073781291</v>
      </c>
      <c r="D49" s="190">
        <f>C49/C46-1</f>
        <v>-0.38509890184088902</v>
      </c>
      <c r="E49" s="287">
        <f>C49/C37-1</f>
        <v>-0.32286050537257605</v>
      </c>
      <c r="F49" s="136">
        <f>Q49/22</f>
        <v>947031.09090909094</v>
      </c>
      <c r="G49" s="190">
        <f t="shared" ref="G49" si="72">F49/F48-1</f>
        <v>0.18176376370678171</v>
      </c>
      <c r="H49" s="190">
        <f t="shared" ref="H49" si="73">F49/F37-1</f>
        <v>9.0349333128884268E-2</v>
      </c>
      <c r="I49" s="130">
        <f t="shared" si="0"/>
        <v>325.21052764667007</v>
      </c>
      <c r="J49" s="130">
        <f t="shared" si="4"/>
        <v>0.51106817569182406</v>
      </c>
      <c r="K49" s="136">
        <f>R47+R48+R49</f>
        <v>70255881929</v>
      </c>
      <c r="L49" s="190">
        <f>U49/U46-1</f>
        <v>-0.33804546888393094</v>
      </c>
      <c r="M49" s="190">
        <f>K49/K37-1</f>
        <v>-0.28611780071954018</v>
      </c>
      <c r="N49" s="191">
        <f>AVERAGE(T47:T49)</f>
        <v>241.14738069432542</v>
      </c>
      <c r="O49" s="192">
        <f>N49/N46-1</f>
        <v>-0.29533557961203849</v>
      </c>
      <c r="P49" s="129" t="s">
        <v>1173</v>
      </c>
      <c r="Q49" s="116">
        <v>20834684</v>
      </c>
      <c r="R49" s="116">
        <v>28916609863</v>
      </c>
      <c r="S49" s="116">
        <v>64065.22</v>
      </c>
      <c r="T49" s="130">
        <f t="shared" ref="T49" si="74">Q49/S49</f>
        <v>325.21052764667007</v>
      </c>
      <c r="U49" s="85">
        <f t="shared" si="65"/>
        <v>50770349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1715891.611111111</v>
      </c>
      <c r="G50" s="190">
        <f t="shared" ref="G50" si="75">F50/F49-1</f>
        <v>0.81186407456165122</v>
      </c>
      <c r="H50" s="190">
        <f t="shared" ref="H50" si="76">F50/F38-1</f>
        <v>0.3440344432235185</v>
      </c>
      <c r="I50" s="130">
        <f t="shared" ref="I50" si="77">T50</f>
        <v>396.91496323087188</v>
      </c>
      <c r="J50" s="130">
        <f t="shared" ref="J50" si="78">I50/I38-1</f>
        <v>0.17829698197293542</v>
      </c>
      <c r="K50" s="136"/>
      <c r="L50" s="190"/>
      <c r="M50" s="190"/>
      <c r="N50" s="191"/>
      <c r="O50" s="192"/>
      <c r="P50" s="129" t="s">
        <v>1342</v>
      </c>
      <c r="Q50" s="116">
        <v>30886049</v>
      </c>
      <c r="R50" s="116">
        <v>43977520441</v>
      </c>
      <c r="S50" s="116">
        <v>77815.28</v>
      </c>
      <c r="T50" s="130">
        <f t="shared" ref="T50" si="79">Q50/S50</f>
        <v>396.91496323087188</v>
      </c>
      <c r="U50" s="85">
        <f t="shared" si="65"/>
        <v>67748151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1095851.8500000001</v>
      </c>
      <c r="G51" s="190">
        <f t="shared" ref="G51:G52" si="80">F51/F50-1</f>
        <v>-0.36135135640042526</v>
      </c>
      <c r="H51" s="190">
        <f t="shared" ref="H51:H52" si="81">F51/F39-1</f>
        <v>-0.5187092694014086</v>
      </c>
      <c r="I51" s="130">
        <f t="shared" ref="I51:I52" si="82">T51</f>
        <v>326.12604958113474</v>
      </c>
      <c r="J51" s="130">
        <f t="shared" ref="J51:J52" si="83">I51/I39-1</f>
        <v>-0.28225706037476506</v>
      </c>
      <c r="K51" s="136"/>
      <c r="L51" s="190"/>
      <c r="M51" s="190"/>
      <c r="N51" s="191"/>
      <c r="O51" s="192"/>
      <c r="P51" s="129" t="s">
        <v>1402</v>
      </c>
      <c r="Q51" s="116">
        <v>21917037</v>
      </c>
      <c r="R51" s="116">
        <v>31766439241</v>
      </c>
      <c r="S51" s="116">
        <v>67204.19</v>
      </c>
      <c r="T51" s="130">
        <f t="shared" ref="T51:T52" si="84">Q51/S51</f>
        <v>326.12604958113474</v>
      </c>
      <c r="U51" s="85">
        <f t="shared" si="65"/>
        <v>73637770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4499923.9156565657</v>
      </c>
      <c r="C52" s="188">
        <f>AVERAGE(F50:F52)</f>
        <v>1499974.6385521886</v>
      </c>
      <c r="D52" s="190">
        <f>C52/C49-1</f>
        <v>0.91233176919107173</v>
      </c>
      <c r="E52" s="287">
        <f>C52/C40-1</f>
        <v>-0.15078636282574154</v>
      </c>
      <c r="F52" s="136">
        <f>Q52/22</f>
        <v>1688180.4545454546</v>
      </c>
      <c r="G52" s="190">
        <f t="shared" si="80"/>
        <v>0.54051887081766981</v>
      </c>
      <c r="H52" s="190">
        <f t="shared" si="81"/>
        <v>-3.2758646027190697E-2</v>
      </c>
      <c r="I52" s="130">
        <f t="shared" si="82"/>
        <v>403.61105034481386</v>
      </c>
      <c r="J52" s="130">
        <f t="shared" si="83"/>
        <v>-0.37693929701718876</v>
      </c>
      <c r="K52" s="136">
        <f>R50+R51+R52</f>
        <v>130354244383</v>
      </c>
      <c r="L52" s="190">
        <f>U52/U49-1</f>
        <v>0.77156662838776224</v>
      </c>
      <c r="M52" s="190">
        <f>K52/K40-1</f>
        <v>-0.14842706405399786</v>
      </c>
      <c r="N52" s="191">
        <f>AVERAGE(T50:T52)</f>
        <v>375.5506877189402</v>
      </c>
      <c r="O52" s="192">
        <f>N52/N49-1</f>
        <v>0.55734923032393313</v>
      </c>
      <c r="P52" s="129" t="s">
        <v>1403</v>
      </c>
      <c r="Q52" s="116">
        <v>37139970</v>
      </c>
      <c r="R52" s="116">
        <v>54610284701</v>
      </c>
      <c r="S52" s="116">
        <v>92019.21</v>
      </c>
      <c r="T52" s="130">
        <f t="shared" si="84"/>
        <v>403.61105034481386</v>
      </c>
      <c r="U52" s="85">
        <f t="shared" ref="U52" si="85">Q50+Q51+Q52</f>
        <v>89943056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367315.19047619047</v>
      </c>
      <c r="G53" s="190">
        <f t="shared" ref="G53" si="86">F53/F52-1</f>
        <v>-0.78241947447786875</v>
      </c>
      <c r="H53" s="190">
        <f t="shared" ref="H53" si="87">F53/F41-1</f>
        <v>-0.30395832422832847</v>
      </c>
      <c r="I53" s="130">
        <f t="shared" ref="I53" si="88">T53</f>
        <v>154.05919288888035</v>
      </c>
      <c r="J53" s="130">
        <f t="shared" ref="J53" si="89">I53/I41-1</f>
        <v>-0.1353383072462595</v>
      </c>
      <c r="K53" s="136"/>
      <c r="L53" s="190"/>
      <c r="M53" s="190"/>
      <c r="N53" s="191"/>
      <c r="O53" s="192"/>
      <c r="P53" s="129" t="s">
        <v>1414</v>
      </c>
      <c r="Q53" s="116">
        <v>7713619</v>
      </c>
      <c r="R53" s="116">
        <v>11292962855</v>
      </c>
      <c r="S53" s="116">
        <v>50069.19</v>
      </c>
      <c r="T53" s="130">
        <f t="shared" ref="T53" si="90">Q53/S53</f>
        <v>154.05919288888035</v>
      </c>
      <c r="U53" s="85">
        <f t="shared" ref="U53" si="91">Q51+Q52+Q53</f>
        <v>66770626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963827.5882352941</v>
      </c>
      <c r="G54" s="190">
        <f t="shared" ref="G54" si="92">F54/F53-1</f>
        <v>1.6239796589566033</v>
      </c>
      <c r="H54" s="190">
        <f t="shared" ref="H54" si="93">F54/F42-1</f>
        <v>0.71196777982588455</v>
      </c>
      <c r="I54" s="130">
        <f t="shared" ref="I54" si="94">T54</f>
        <v>224.61062743072981</v>
      </c>
      <c r="J54" s="130">
        <f t="shared" ref="J54" si="95">I54/I42-1</f>
        <v>0.34312941415424292</v>
      </c>
      <c r="K54" s="136"/>
      <c r="L54" s="190"/>
      <c r="M54" s="190"/>
      <c r="N54" s="191"/>
      <c r="O54" s="192"/>
      <c r="P54" s="129" t="s">
        <v>1417</v>
      </c>
      <c r="Q54" s="116">
        <v>16385069</v>
      </c>
      <c r="R54" s="116">
        <v>23757890735</v>
      </c>
      <c r="S54" s="116">
        <v>72948.77</v>
      </c>
      <c r="T54" s="130">
        <f t="shared" ref="T54" si="96">Q54/S54</f>
        <v>224.61062743072981</v>
      </c>
      <c r="U54" s="85">
        <f t="shared" ref="U54" si="97">Q52+Q53+Q54</f>
        <v>61238658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1973620.9215686275</v>
      </c>
      <c r="C55" s="188">
        <f>AVERAGE(F53:F55)</f>
        <v>657873.64052287582</v>
      </c>
      <c r="D55" s="190">
        <f>C55/C52-1</f>
        <v>-0.56141015746914813</v>
      </c>
      <c r="E55" s="287">
        <f>C55/C43-1</f>
        <v>-0.32484322627412821</v>
      </c>
      <c r="F55" s="136">
        <f>Q55/21</f>
        <v>642478.14285714284</v>
      </c>
      <c r="G55" s="190">
        <f t="shared" ref="G55" si="98">F55/F54-1</f>
        <v>-0.33340967751973283</v>
      </c>
      <c r="H55" s="190">
        <f t="shared" ref="H55" si="99">F55/F43-1</f>
        <v>-0.64939606056353338</v>
      </c>
      <c r="I55" s="130">
        <f>T55</f>
        <v>200.71931143904689</v>
      </c>
      <c r="J55" s="130">
        <f t="shared" ref="J55" si="100">I55/I43-1</f>
        <v>-0.6336931588449124</v>
      </c>
      <c r="K55" s="136">
        <f>R53+R54+R55</f>
        <v>54962752657</v>
      </c>
      <c r="L55" s="190">
        <f>U55/U52-1</f>
        <v>-0.58206079855681137</v>
      </c>
      <c r="M55" s="190">
        <f>K55/K43-1</f>
        <v>-0.34138601872918406</v>
      </c>
      <c r="N55" s="191">
        <f>AVERAGE(T53:T55)</f>
        <v>193.12971058621903</v>
      </c>
      <c r="O55" s="192">
        <f>N55/N52-1</f>
        <v>-0.48574262569116611</v>
      </c>
      <c r="P55" s="129" t="s">
        <v>1418</v>
      </c>
      <c r="Q55" s="116">
        <v>13492041</v>
      </c>
      <c r="R55" s="116">
        <v>19911899067</v>
      </c>
      <c r="S55" s="116">
        <v>67218.45</v>
      </c>
      <c r="T55" s="130">
        <f t="shared" ref="T55" si="101">Q55/S55</f>
        <v>200.71931143904689</v>
      </c>
      <c r="U55" s="85">
        <f t="shared" ref="U55" si="102">Q53+Q54+Q55</f>
        <v>37590729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826325.90909090906</v>
      </c>
      <c r="G56" s="190">
        <f t="shared" ref="G56" si="103">F56/F55-1</f>
        <v>0.28615411789136203</v>
      </c>
      <c r="H56" s="190">
        <f t="shared" ref="H56" si="104">F56/F44-1</f>
        <v>0.1471139900345444</v>
      </c>
      <c r="I56" s="291">
        <f>T56</f>
        <v>279.66129594008021</v>
      </c>
      <c r="J56" s="130">
        <f t="shared" ref="J56" si="105">I56/I44-1</f>
        <v>0.46743791270646629</v>
      </c>
      <c r="K56" s="136"/>
      <c r="L56" s="190"/>
      <c r="M56" s="190"/>
      <c r="N56" s="191"/>
      <c r="O56" s="192"/>
      <c r="P56" s="129" t="s">
        <v>1420</v>
      </c>
      <c r="Q56" s="116">
        <v>18179170</v>
      </c>
      <c r="R56" s="116">
        <v>27034194255</v>
      </c>
      <c r="S56" s="116">
        <v>65004.24</v>
      </c>
      <c r="T56" s="130">
        <f t="shared" ref="T56" si="106">Q56/S56</f>
        <v>279.66129594008021</v>
      </c>
      <c r="U56" s="85">
        <f t="shared" ref="U56" si="107">Q54+Q55+Q56</f>
        <v>48056280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783350.16666666663</v>
      </c>
      <c r="G57" s="254">
        <f t="shared" ref="G57" si="108">F57/F56-1</f>
        <v>-5.2008223331061476E-2</v>
      </c>
      <c r="H57" s="254">
        <f t="shared" ref="H57" si="109">F57/F45-1</f>
        <v>-0.5712912781303725</v>
      </c>
      <c r="I57" s="282">
        <f>T57</f>
        <v>308.7320352196565</v>
      </c>
      <c r="J57" s="277">
        <f t="shared" ref="J57" si="110">I57/I45-1</f>
        <v>-0.35467287367610001</v>
      </c>
      <c r="K57" s="204"/>
      <c r="L57" s="254"/>
      <c r="M57" s="254"/>
      <c r="N57" s="257"/>
      <c r="O57" s="258"/>
      <c r="P57" s="129" t="s">
        <v>1436</v>
      </c>
      <c r="Q57" s="116">
        <v>9400202</v>
      </c>
      <c r="R57" s="116">
        <v>13897157756</v>
      </c>
      <c r="S57" s="116">
        <v>30447.77</v>
      </c>
      <c r="T57" s="130">
        <f t="shared" ref="T57" si="111">Q57/S57</f>
        <v>308.7320352196565</v>
      </c>
      <c r="U57" s="85">
        <f t="shared" ref="U57" si="112">Q55+Q56+Q57</f>
        <v>41071413</v>
      </c>
      <c r="V57" s="79"/>
      <c r="W57" s="79"/>
      <c r="X57" s="79"/>
      <c r="Y57" s="79"/>
      <c r="Z57" s="79"/>
    </row>
    <row r="58" spans="1:26">
      <c r="B58" s="196">
        <f>SUM(F56:F58)</f>
        <v>1609676.0757575757</v>
      </c>
      <c r="C58" s="196">
        <f>AVERAGE(F56:F58)</f>
        <v>804838.03787878784</v>
      </c>
      <c r="D58" s="197">
        <f>C58/C55-1</f>
        <v>0.22339304739296928</v>
      </c>
      <c r="E58" s="233">
        <f>C58/C46-1</f>
        <v>-0.36905270015692637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65170101</v>
      </c>
      <c r="R66" s="212">
        <v>95894104668</v>
      </c>
      <c r="S66" s="213">
        <v>285688.44</v>
      </c>
      <c r="T66" s="214">
        <v>38</v>
      </c>
      <c r="U66" s="214">
        <v>232</v>
      </c>
    </row>
    <row r="67" spans="16:21" ht="18" thickBot="1">
      <c r="P67" s="180" t="s">
        <v>976</v>
      </c>
      <c r="Q67" s="181">
        <v>7713619</v>
      </c>
      <c r="R67" s="181">
        <v>11292962855</v>
      </c>
      <c r="S67" s="182">
        <v>50069.19</v>
      </c>
      <c r="T67" s="210">
        <v>15</v>
      </c>
      <c r="U67" s="210">
        <v>98</v>
      </c>
    </row>
    <row r="68" spans="16:21" ht="18" thickBot="1">
      <c r="P68" s="180" t="s">
        <v>977</v>
      </c>
      <c r="Q68" s="181">
        <v>16385069</v>
      </c>
      <c r="R68" s="181">
        <v>23757890735</v>
      </c>
      <c r="S68" s="182">
        <v>72948.77</v>
      </c>
      <c r="T68" s="210">
        <v>20</v>
      </c>
      <c r="U68" s="210">
        <v>117</v>
      </c>
    </row>
    <row r="69" spans="16:21" ht="18" thickBot="1">
      <c r="P69" s="180" t="s">
        <v>978</v>
      </c>
      <c r="Q69" s="181">
        <v>13492041</v>
      </c>
      <c r="R69" s="181">
        <v>19911899067</v>
      </c>
      <c r="S69" s="182">
        <v>67218.45</v>
      </c>
      <c r="T69" s="210">
        <v>21</v>
      </c>
      <c r="U69" s="210">
        <v>118</v>
      </c>
    </row>
    <row r="70" spans="16:21" ht="18" thickBot="1">
      <c r="P70" s="180" t="s">
        <v>979</v>
      </c>
      <c r="Q70" s="181">
        <v>18179170</v>
      </c>
      <c r="R70" s="181">
        <v>27034194255</v>
      </c>
      <c r="S70" s="182">
        <v>65004.24</v>
      </c>
      <c r="T70" s="210">
        <v>16</v>
      </c>
      <c r="U70" s="210">
        <v>123</v>
      </c>
    </row>
    <row r="71" spans="16:21" ht="18" thickBot="1">
      <c r="P71" s="180" t="s">
        <v>980</v>
      </c>
      <c r="Q71" s="181">
        <v>9400202</v>
      </c>
      <c r="R71" s="181">
        <v>13897157756</v>
      </c>
      <c r="S71" s="182">
        <v>30447.77</v>
      </c>
      <c r="T71" s="210">
        <v>17</v>
      </c>
      <c r="U71" s="210">
        <v>65</v>
      </c>
    </row>
    <row r="72" spans="16:21" ht="18" thickBot="1">
      <c r="P72" s="180" t="s">
        <v>975</v>
      </c>
      <c r="Q72" s="181">
        <v>274819681</v>
      </c>
      <c r="R72" s="181">
        <v>391837615962</v>
      </c>
      <c r="S72" s="182">
        <v>866415.73</v>
      </c>
      <c r="T72" s="210">
        <v>56</v>
      </c>
      <c r="U72" s="210">
        <v>347</v>
      </c>
    </row>
    <row r="73" spans="16:21" ht="18" thickBot="1">
      <c r="P73" s="215" t="s">
        <v>982</v>
      </c>
      <c r="Q73" s="217" t="s">
        <v>1528</v>
      </c>
      <c r="R73"/>
      <c r="S73"/>
      <c r="T73"/>
      <c r="U73"/>
    </row>
  </sheetData>
  <phoneticPr fontId="1" type="noConversion"/>
  <conditionalFormatting sqref="C29:C30">
    <cfRule type="cellIs" dxfId="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8">
    <tabColor rgb="FFFFFF00"/>
  </sheetPr>
  <dimension ref="A1:Z73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9022901090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1264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717608.55</v>
      </c>
      <c r="G5" s="90"/>
      <c r="H5" s="90"/>
      <c r="I5" s="130">
        <f t="shared" ref="I5:I49" si="0">T5</f>
        <v>154.06122314909754</v>
      </c>
      <c r="J5" s="130"/>
      <c r="L5" s="80"/>
      <c r="M5" s="80"/>
      <c r="P5" s="129" t="s">
        <v>0</v>
      </c>
      <c r="Q5" s="116">
        <v>14352171</v>
      </c>
      <c r="R5" s="116"/>
      <c r="S5" s="116">
        <v>93158.88</v>
      </c>
      <c r="T5" s="130">
        <f t="shared" ref="T5:T23" si="1">Q5/S5</f>
        <v>154.06122314909754</v>
      </c>
      <c r="U5" s="85"/>
    </row>
    <row r="6" spans="1:21" ht="15" hidden="1" customHeight="1">
      <c r="A6" s="129" t="s">
        <v>1</v>
      </c>
      <c r="C6" s="79"/>
      <c r="F6" s="78">
        <f>Q6/18</f>
        <v>865669.61111111112</v>
      </c>
      <c r="G6" s="90">
        <f t="shared" ref="G6:G22" si="2">F6/F5-1</f>
        <v>0.20632566475289504</v>
      </c>
      <c r="H6" s="90"/>
      <c r="I6" s="130">
        <f t="shared" si="0"/>
        <v>387.20303539111177</v>
      </c>
      <c r="J6" s="130"/>
      <c r="P6" s="129" t="s">
        <v>1</v>
      </c>
      <c r="Q6" s="116">
        <v>15582053</v>
      </c>
      <c r="R6" s="116"/>
      <c r="S6" s="116">
        <v>40242.589999999997</v>
      </c>
      <c r="T6" s="130">
        <f t="shared" si="1"/>
        <v>387.20303539111177</v>
      </c>
      <c r="U6" s="85"/>
    </row>
    <row r="7" spans="1:21" ht="15" hidden="1" customHeight="1">
      <c r="A7" s="129" t="s">
        <v>2</v>
      </c>
      <c r="B7" s="131">
        <f>F5+F6+F7</f>
        <v>2543335.1611111113</v>
      </c>
      <c r="C7" s="131">
        <f>AVERAGE(F5:F7)</f>
        <v>847778.38703703706</v>
      </c>
      <c r="F7" s="78">
        <f>Q7/22</f>
        <v>960057</v>
      </c>
      <c r="G7" s="90">
        <f t="shared" si="2"/>
        <v>0.10903396362469042</v>
      </c>
      <c r="H7" s="90"/>
      <c r="I7" s="130">
        <f t="shared" si="0"/>
        <v>239.51244421205254</v>
      </c>
      <c r="J7" s="130"/>
      <c r="K7" s="79">
        <f>R5+R6+R7</f>
        <v>0</v>
      </c>
      <c r="N7" s="88">
        <f>AVERAGE(T5:T7)</f>
        <v>260.25890091742059</v>
      </c>
      <c r="P7" s="129" t="s">
        <v>2</v>
      </c>
      <c r="Q7" s="116">
        <v>21121254</v>
      </c>
      <c r="R7" s="116"/>
      <c r="S7" s="116">
        <v>88184.37</v>
      </c>
      <c r="T7" s="130">
        <f t="shared" si="1"/>
        <v>239.51244421205254</v>
      </c>
      <c r="U7" s="85">
        <f>Q5+Q6+Q7</f>
        <v>51055478</v>
      </c>
    </row>
    <row r="8" spans="1:21" ht="15" hidden="1" customHeight="1">
      <c r="A8" s="129" t="s">
        <v>3</v>
      </c>
      <c r="C8" s="79"/>
      <c r="F8" s="78">
        <f>Q8/21</f>
        <v>670676.19047619053</v>
      </c>
      <c r="G8" s="90">
        <f t="shared" si="2"/>
        <v>-0.30142044641496235</v>
      </c>
      <c r="H8" s="90"/>
      <c r="I8" s="130">
        <f t="shared" si="0"/>
        <v>152.21442692146911</v>
      </c>
      <c r="J8" s="130"/>
      <c r="K8" s="78"/>
      <c r="P8" s="129" t="s">
        <v>3</v>
      </c>
      <c r="Q8" s="116">
        <v>14084200</v>
      </c>
      <c r="R8" s="116"/>
      <c r="S8" s="116">
        <v>92528.68</v>
      </c>
      <c r="T8" s="130">
        <f t="shared" si="1"/>
        <v>152.21442692146911</v>
      </c>
      <c r="U8" s="85"/>
    </row>
    <row r="9" spans="1:21" ht="15" hidden="1" customHeight="1">
      <c r="A9" s="129" t="s">
        <v>4</v>
      </c>
      <c r="C9" s="79"/>
      <c r="F9" s="78">
        <f>Q9/21</f>
        <v>437886.52380952379</v>
      </c>
      <c r="G9" s="90">
        <f t="shared" si="2"/>
        <v>-0.3470969597137219</v>
      </c>
      <c r="H9" s="90"/>
      <c r="I9" s="130">
        <f t="shared" si="0"/>
        <v>222.56917879056837</v>
      </c>
      <c r="J9" s="130"/>
      <c r="K9" s="78"/>
      <c r="P9" s="129" t="s">
        <v>4</v>
      </c>
      <c r="Q9" s="116">
        <v>9195617</v>
      </c>
      <c r="R9" s="116"/>
      <c r="S9" s="116">
        <v>41315.769999999997</v>
      </c>
      <c r="T9" s="130">
        <f t="shared" si="1"/>
        <v>222.56917879056837</v>
      </c>
      <c r="U9" s="85"/>
    </row>
    <row r="10" spans="1:21" ht="15" hidden="1" customHeight="1">
      <c r="A10" s="129" t="s">
        <v>5</v>
      </c>
      <c r="B10" s="131">
        <f>F8+F9+F10</f>
        <v>1433896.5714285714</v>
      </c>
      <c r="C10" s="131">
        <f>AVERAGE(F8:F10)</f>
        <v>477965.52380952379</v>
      </c>
      <c r="D10" s="90">
        <f>C10/C7-1</f>
        <v>-0.43621407301971848</v>
      </c>
      <c r="E10" s="286"/>
      <c r="F10" s="78">
        <f>Q10/21</f>
        <v>325333.85714285716</v>
      </c>
      <c r="G10" s="90">
        <f t="shared" si="2"/>
        <v>-0.25703615102716859</v>
      </c>
      <c r="H10" s="90"/>
      <c r="I10" s="130">
        <f t="shared" si="0"/>
        <v>119.74795130024121</v>
      </c>
      <c r="J10" s="130"/>
      <c r="K10" s="79">
        <f>R8+R9+R10</f>
        <v>0</v>
      </c>
      <c r="L10" s="87">
        <f>U10/U7-1</f>
        <v>-0.41021357198927799</v>
      </c>
      <c r="N10" s="88">
        <f>AVERAGE(T8:T10)</f>
        <v>164.84385233742623</v>
      </c>
      <c r="O10" s="89">
        <f>N10/N7-1</f>
        <v>-0.3666158899605485</v>
      </c>
      <c r="P10" s="129" t="s">
        <v>5</v>
      </c>
      <c r="Q10" s="116">
        <v>6832011</v>
      </c>
      <c r="R10" s="116"/>
      <c r="S10" s="116">
        <v>57053.26</v>
      </c>
      <c r="T10" s="130">
        <f t="shared" si="1"/>
        <v>119.74795130024121</v>
      </c>
      <c r="U10" s="85">
        <f>Q8+Q9+Q10</f>
        <v>30111828</v>
      </c>
    </row>
    <row r="11" spans="1:21" ht="15" hidden="1" customHeight="1">
      <c r="A11" s="129" t="s">
        <v>6</v>
      </c>
      <c r="C11" s="79"/>
      <c r="F11" s="78">
        <f>Q11/21</f>
        <v>316647.14285714284</v>
      </c>
      <c r="G11" s="90">
        <f t="shared" si="2"/>
        <v>-2.6700923051792613E-2</v>
      </c>
      <c r="H11" s="90"/>
      <c r="I11" s="130">
        <f t="shared" si="0"/>
        <v>222.35787446204466</v>
      </c>
      <c r="J11" s="130"/>
      <c r="K11" s="78"/>
      <c r="O11" s="89"/>
      <c r="P11" s="129" t="s">
        <v>6</v>
      </c>
      <c r="Q11" s="116">
        <v>6649590</v>
      </c>
      <c r="R11" s="116"/>
      <c r="S11" s="116">
        <v>29904.9</v>
      </c>
      <c r="T11" s="130">
        <f t="shared" si="1"/>
        <v>222.35787446204466</v>
      </c>
      <c r="U11" s="85"/>
    </row>
    <row r="12" spans="1:21" ht="15" hidden="1" customHeight="1">
      <c r="A12" s="129" t="s">
        <v>7</v>
      </c>
      <c r="C12" s="79"/>
      <c r="F12" s="78">
        <f>Q12/22</f>
        <v>215353</v>
      </c>
      <c r="G12" s="90">
        <f t="shared" si="2"/>
        <v>-0.31989596351053218</v>
      </c>
      <c r="H12" s="90"/>
      <c r="I12" s="130">
        <f t="shared" si="0"/>
        <v>96.314243075572605</v>
      </c>
      <c r="J12" s="130"/>
      <c r="K12" s="78"/>
      <c r="O12" s="89"/>
      <c r="P12" s="129" t="s">
        <v>7</v>
      </c>
      <c r="Q12" s="116">
        <v>4737766</v>
      </c>
      <c r="R12" s="116"/>
      <c r="S12" s="116">
        <v>49190.71</v>
      </c>
      <c r="T12" s="130">
        <f t="shared" si="1"/>
        <v>96.314243075572605</v>
      </c>
      <c r="U12" s="85"/>
    </row>
    <row r="13" spans="1:21" ht="15" hidden="1" customHeight="1">
      <c r="A13" s="129" t="s">
        <v>96</v>
      </c>
      <c r="B13" s="131">
        <f>F11+F12+F13</f>
        <v>795053.24285714282</v>
      </c>
      <c r="C13" s="131">
        <f>AVERAGE(F11:F13)</f>
        <v>265017.74761904759</v>
      </c>
      <c r="D13" s="90">
        <f>C13/C10-1</f>
        <v>-0.4455295739601064</v>
      </c>
      <c r="E13" s="286"/>
      <c r="F13" s="78">
        <f>Q13/20</f>
        <v>263053.09999999998</v>
      </c>
      <c r="G13" s="90">
        <f t="shared" si="2"/>
        <v>0.22149726263390801</v>
      </c>
      <c r="H13" s="90"/>
      <c r="I13" s="130">
        <f t="shared" si="0"/>
        <v>90.653667096639012</v>
      </c>
      <c r="J13" s="130"/>
      <c r="K13" s="78">
        <f>R11+R12+R13</f>
        <v>0</v>
      </c>
      <c r="L13" s="87">
        <f>U13/U10-1</f>
        <v>-0.44711367240806499</v>
      </c>
      <c r="N13" s="88">
        <f>AVERAGE(T11:T13)</f>
        <v>136.44192821141877</v>
      </c>
      <c r="O13" s="89">
        <f>N13/N10-1</f>
        <v>-0.17229592564890006</v>
      </c>
      <c r="P13" s="129" t="s">
        <v>96</v>
      </c>
      <c r="Q13" s="116">
        <v>5261062</v>
      </c>
      <c r="R13" s="116"/>
      <c r="S13" s="116">
        <v>58034.74</v>
      </c>
      <c r="T13" s="130">
        <f t="shared" si="1"/>
        <v>90.653667096639012</v>
      </c>
      <c r="U13" s="85">
        <f>Q11+Q12+Q13</f>
        <v>16648418</v>
      </c>
    </row>
    <row r="14" spans="1:21" ht="15" hidden="1" customHeight="1">
      <c r="A14" s="129" t="s">
        <v>97</v>
      </c>
      <c r="C14" s="79"/>
      <c r="F14" s="78">
        <f>Q14/20</f>
        <v>202773.9</v>
      </c>
      <c r="G14" s="90">
        <f t="shared" si="2"/>
        <v>-0.22915221299425848</v>
      </c>
      <c r="H14" s="90"/>
      <c r="I14" s="130">
        <f t="shared" si="0"/>
        <v>95.371623290039011</v>
      </c>
      <c r="J14" s="130"/>
      <c r="O14" s="89"/>
      <c r="P14" s="129" t="s">
        <v>97</v>
      </c>
      <c r="Q14" s="116">
        <v>4055478</v>
      </c>
      <c r="R14" s="116"/>
      <c r="S14" s="116">
        <v>42522.9</v>
      </c>
      <c r="T14" s="130">
        <f t="shared" si="1"/>
        <v>95.371623290039011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221744.68181818182</v>
      </c>
      <c r="G15" s="90">
        <f t="shared" si="2"/>
        <v>9.3556329577829445E-2</v>
      </c>
      <c r="H15" s="90"/>
      <c r="I15" s="130">
        <f t="shared" si="0"/>
        <v>58.782851889205801</v>
      </c>
      <c r="J15" s="130"/>
      <c r="O15" s="89"/>
      <c r="P15" s="129" t="s">
        <v>98</v>
      </c>
      <c r="Q15" s="116">
        <v>4878383</v>
      </c>
      <c r="R15" s="116"/>
      <c r="S15" s="116">
        <v>82989.899999999994</v>
      </c>
      <c r="T15" s="130">
        <f t="shared" si="1"/>
        <v>58.782851889205801</v>
      </c>
      <c r="U15" s="78"/>
    </row>
    <row r="16" spans="1:21" ht="15" hidden="1" customHeight="1">
      <c r="A16" s="129" t="s">
        <v>99</v>
      </c>
      <c r="B16" s="131">
        <f>F14+F15+F16</f>
        <v>680845.39999999991</v>
      </c>
      <c r="C16" s="131">
        <f>AVERAGE(F14:F16)</f>
        <v>226948.46666666665</v>
      </c>
      <c r="D16" s="90">
        <f>C16/C13-1</f>
        <v>-0.14364804355330951</v>
      </c>
      <c r="E16" s="286"/>
      <c r="F16" s="78">
        <f>Q16/22</f>
        <v>256326.81818181818</v>
      </c>
      <c r="G16" s="90">
        <f t="shared" si="2"/>
        <v>0.1559547497603202</v>
      </c>
      <c r="H16" s="90"/>
      <c r="I16" s="130">
        <f t="shared" si="0"/>
        <v>75.348839073717514</v>
      </c>
      <c r="J16" s="130"/>
      <c r="K16" s="78">
        <f>R14+R15+R16</f>
        <v>0</v>
      </c>
      <c r="L16" s="87">
        <f>U16/U13-1</f>
        <v>-0.12465851109697035</v>
      </c>
      <c r="N16" s="88">
        <f>AVERAGE(T14:T16)</f>
        <v>76.501104750987437</v>
      </c>
      <c r="O16" s="89">
        <f>N16/N13-1</f>
        <v>-0.43931381098302968</v>
      </c>
      <c r="P16" s="129" t="s">
        <v>99</v>
      </c>
      <c r="Q16" s="116">
        <v>5639190</v>
      </c>
      <c r="R16" s="116"/>
      <c r="S16" s="116">
        <v>74841.100000000006</v>
      </c>
      <c r="T16" s="130">
        <f t="shared" si="1"/>
        <v>75.348839073717514</v>
      </c>
      <c r="U16" s="85">
        <f>Q14+Q15+Q16</f>
        <v>14573051</v>
      </c>
    </row>
    <row r="17" spans="1:21" ht="15" hidden="1" customHeight="1">
      <c r="A17" s="129" t="s">
        <v>100</v>
      </c>
      <c r="C17" s="79"/>
      <c r="F17" s="78">
        <f>Q17/20</f>
        <v>192116.85</v>
      </c>
      <c r="G17" s="90">
        <f t="shared" si="2"/>
        <v>-0.250500391013603</v>
      </c>
      <c r="H17" s="90">
        <f t="shared" ref="H17:H22" si="3">F17/F5-1</f>
        <v>-0.73228182690967103</v>
      </c>
      <c r="I17" s="130">
        <f t="shared" si="0"/>
        <v>115.30845005964483</v>
      </c>
      <c r="J17" s="130">
        <f t="shared" ref="J17:J49" si="4">I17/I5-1</f>
        <v>-0.25154138268750803</v>
      </c>
      <c r="O17" s="89"/>
      <c r="P17" s="129" t="s">
        <v>100</v>
      </c>
      <c r="Q17" s="116">
        <v>3842337</v>
      </c>
      <c r="R17" s="116">
        <v>4822563855</v>
      </c>
      <c r="S17" s="116">
        <v>33322.25</v>
      </c>
      <c r="T17" s="130">
        <f t="shared" si="1"/>
        <v>115.30845005964483</v>
      </c>
      <c r="U17" s="78"/>
    </row>
    <row r="18" spans="1:21" ht="15" hidden="1" customHeight="1">
      <c r="A18" s="129" t="s">
        <v>106</v>
      </c>
      <c r="C18" s="79"/>
      <c r="F18" s="78">
        <f>Q18/20</f>
        <v>338397.4</v>
      </c>
      <c r="G18" s="90">
        <f t="shared" si="2"/>
        <v>0.76141447249421379</v>
      </c>
      <c r="H18" s="90">
        <f t="shared" si="3"/>
        <v>-0.60909174163378854</v>
      </c>
      <c r="I18" s="130">
        <f t="shared" si="0"/>
        <v>113.58733478059837</v>
      </c>
      <c r="J18" s="130">
        <f t="shared" si="4"/>
        <v>-0.70664657970497469</v>
      </c>
      <c r="O18" s="89"/>
      <c r="P18" s="129" t="s">
        <v>106</v>
      </c>
      <c r="Q18" s="116">
        <v>6767948</v>
      </c>
      <c r="R18" s="116">
        <v>8466853747</v>
      </c>
      <c r="S18" s="116">
        <v>59583.65</v>
      </c>
      <c r="T18" s="130">
        <f t="shared" si="1"/>
        <v>113.58733478059837</v>
      </c>
      <c r="U18" s="78"/>
    </row>
    <row r="19" spans="1:21" hidden="1">
      <c r="A19" s="129" t="s">
        <v>114</v>
      </c>
      <c r="B19" s="131">
        <f>SUM(F17:F19)</f>
        <v>885609.70454545459</v>
      </c>
      <c r="C19" s="131">
        <f>AVERAGE(F17:F19)</f>
        <v>295203.23484848486</v>
      </c>
      <c r="D19" s="90">
        <f>C19/C16-1</f>
        <v>0.30075007416581601</v>
      </c>
      <c r="E19" s="286">
        <f>C19/C7-1</f>
        <v>-0.65179197846714132</v>
      </c>
      <c r="F19" s="78">
        <f>Q19/22</f>
        <v>355095.45454545453</v>
      </c>
      <c r="G19" s="90">
        <f t="shared" si="2"/>
        <v>4.9344511942037705E-2</v>
      </c>
      <c r="H19" s="90">
        <f t="shared" si="3"/>
        <v>-0.6301308624951909</v>
      </c>
      <c r="I19" s="130">
        <f t="shared" si="0"/>
        <v>116.43464741932586</v>
      </c>
      <c r="J19" s="130">
        <f t="shared" si="4"/>
        <v>-0.51386806726317591</v>
      </c>
      <c r="K19" s="78">
        <f>R17+R18+R19</f>
        <v>23490112997</v>
      </c>
      <c r="L19" s="87">
        <f>U19/U16-1</f>
        <v>0.26414057015239978</v>
      </c>
      <c r="M19" s="87">
        <f>U19/U7-1</f>
        <v>-0.63916927778053512</v>
      </c>
      <c r="N19" s="88">
        <f>AVERAGE(T17:T19)</f>
        <v>115.11014408652302</v>
      </c>
      <c r="O19" s="89">
        <f>N19/N16-1</f>
        <v>0.50468603638089604</v>
      </c>
      <c r="P19" s="129" t="s">
        <v>114</v>
      </c>
      <c r="Q19" s="116">
        <v>7812100</v>
      </c>
      <c r="R19" s="116">
        <v>10200695395</v>
      </c>
      <c r="S19" s="116">
        <v>67094.289999999994</v>
      </c>
      <c r="T19" s="130">
        <f t="shared" si="1"/>
        <v>116.43464741932586</v>
      </c>
      <c r="U19" s="85">
        <f>Q17+Q18+Q19</f>
        <v>18422385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329010.5</v>
      </c>
      <c r="G20" s="90">
        <f t="shared" si="2"/>
        <v>-7.3458993100446679E-2</v>
      </c>
      <c r="H20" s="90">
        <f t="shared" si="3"/>
        <v>-0.50943465017537393</v>
      </c>
      <c r="I20" s="130">
        <f t="shared" si="0"/>
        <v>56.714214300489552</v>
      </c>
      <c r="J20" s="130">
        <f t="shared" si="4"/>
        <v>-0.62740578900743937</v>
      </c>
      <c r="O20" s="89"/>
      <c r="P20" s="129" t="s">
        <v>131</v>
      </c>
      <c r="Q20" s="116">
        <v>6580210</v>
      </c>
      <c r="R20" s="116">
        <v>8629419233</v>
      </c>
      <c r="S20" s="116">
        <v>116024</v>
      </c>
      <c r="T20" s="130">
        <f t="shared" si="1"/>
        <v>56.714214300489552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327721.33333333331</v>
      </c>
      <c r="G21" s="90">
        <f t="shared" si="2"/>
        <v>-3.9183146637165045E-3</v>
      </c>
      <c r="H21" s="90">
        <f t="shared" si="3"/>
        <v>-0.25158387958089168</v>
      </c>
      <c r="I21" s="130">
        <f t="shared" si="0"/>
        <v>78.315931874115023</v>
      </c>
      <c r="J21" s="130">
        <f t="shared" si="4"/>
        <v>-0.6481276864133636</v>
      </c>
      <c r="O21" s="89"/>
      <c r="P21" s="129" t="s">
        <v>141</v>
      </c>
      <c r="Q21" s="116">
        <v>6882148</v>
      </c>
      <c r="R21" s="116">
        <v>9170730355</v>
      </c>
      <c r="S21" s="116">
        <v>87876.73</v>
      </c>
      <c r="T21" s="130">
        <f t="shared" si="1"/>
        <v>78.315931874115023</v>
      </c>
      <c r="U21" s="78"/>
    </row>
    <row r="22" spans="1:21" hidden="1">
      <c r="A22" s="129" t="s">
        <v>155</v>
      </c>
      <c r="B22" s="131">
        <f>SUM(F20:F22)</f>
        <v>914001.49999999988</v>
      </c>
      <c r="C22" s="131">
        <f>AVERAGE(F20:F22)</f>
        <v>304667.16666666663</v>
      </c>
      <c r="D22" s="90">
        <f>C22/C19-1</f>
        <v>3.205903831995327E-2</v>
      </c>
      <c r="E22" s="286">
        <f>C22/C10-1</f>
        <v>-0.36257501537269676</v>
      </c>
      <c r="F22" s="78">
        <f>Q22/21</f>
        <v>257269.66666666666</v>
      </c>
      <c r="G22" s="90">
        <f t="shared" si="2"/>
        <v>-0.21497430744006085</v>
      </c>
      <c r="H22" s="90">
        <f t="shared" si="3"/>
        <v>-0.20921336338597818</v>
      </c>
      <c r="I22" s="130">
        <f t="shared" si="0"/>
        <v>88.418948333142396</v>
      </c>
      <c r="J22" s="130">
        <f t="shared" si="4"/>
        <v>-0.26162454244038247</v>
      </c>
      <c r="K22" s="78">
        <f>R20+R21+R22</f>
        <v>24814731996</v>
      </c>
      <c r="L22" s="87">
        <f>U22/U19-1</f>
        <v>2.4027073584663494E-2</v>
      </c>
      <c r="M22" s="87">
        <f>U22/U10-1</f>
        <v>-0.37350130320882546</v>
      </c>
      <c r="N22" s="88">
        <f>AVERAGE(T20:T22)</f>
        <v>74.483031502582321</v>
      </c>
      <c r="O22" s="89">
        <f>N22/N19-1</f>
        <v>-0.35294120171896548</v>
      </c>
      <c r="P22" s="129" t="s">
        <v>155</v>
      </c>
      <c r="Q22" s="116">
        <v>5402663</v>
      </c>
      <c r="R22" s="116">
        <v>7014582408</v>
      </c>
      <c r="S22" s="116">
        <v>61103</v>
      </c>
      <c r="T22" s="130">
        <f t="shared" si="1"/>
        <v>88.418948333142396</v>
      </c>
      <c r="U22" s="85">
        <f>Q20+Q21+Q22</f>
        <v>18865021</v>
      </c>
    </row>
    <row r="23" spans="1:21" hidden="1">
      <c r="A23" s="129" t="s">
        <v>189</v>
      </c>
      <c r="C23" s="131"/>
      <c r="F23" s="78">
        <f>Q23/21</f>
        <v>313194.14285714284</v>
      </c>
      <c r="G23" s="90">
        <f t="shared" ref="G23" si="5">F23/F22-1</f>
        <v>0.21737687507068282</v>
      </c>
      <c r="H23" s="90">
        <f t="shared" ref="H23" si="6">F23/F11-1</f>
        <v>-1.0904882857439291E-2</v>
      </c>
      <c r="I23" s="130">
        <f t="shared" si="0"/>
        <v>94.577563766849266</v>
      </c>
      <c r="J23" s="130">
        <f t="shared" si="4"/>
        <v>-0.57466060513636918</v>
      </c>
      <c r="O23" s="89"/>
      <c r="P23" s="129" t="s">
        <v>189</v>
      </c>
      <c r="Q23" s="116">
        <v>6577077</v>
      </c>
      <c r="R23" s="116">
        <v>8508908360</v>
      </c>
      <c r="S23" s="116">
        <v>69541.62</v>
      </c>
      <c r="T23" s="130">
        <f t="shared" si="1"/>
        <v>94.577563766849266</v>
      </c>
      <c r="U23" s="78"/>
    </row>
    <row r="24" spans="1:21" hidden="1">
      <c r="A24" s="129" t="s">
        <v>204</v>
      </c>
      <c r="C24" s="131"/>
      <c r="F24" s="78">
        <f>Q24/22</f>
        <v>200299.54545454544</v>
      </c>
      <c r="G24" s="90">
        <f t="shared" ref="G24" si="7">F24/F23-1</f>
        <v>-0.36046203282317446</v>
      </c>
      <c r="H24" s="90">
        <f t="shared" ref="H24" si="8">F24/F12-1</f>
        <v>-6.9901299473211664E-2</v>
      </c>
      <c r="I24" s="130">
        <f t="shared" si="0"/>
        <v>115.18479116076401</v>
      </c>
      <c r="J24" s="130">
        <f t="shared" si="4"/>
        <v>0.19592686899262346</v>
      </c>
      <c r="O24" s="89"/>
      <c r="P24" s="129" t="s">
        <v>204</v>
      </c>
      <c r="Q24" s="116">
        <v>4406590</v>
      </c>
      <c r="R24" s="116">
        <v>5803277486</v>
      </c>
      <c r="S24" s="116">
        <v>38256.699999999997</v>
      </c>
      <c r="T24" s="130">
        <f t="shared" ref="T24" si="9">Q24/S24</f>
        <v>115.18479116076401</v>
      </c>
      <c r="U24" s="78"/>
    </row>
    <row r="25" spans="1:21" s="79" customFormat="1" ht="13.2" hidden="1">
      <c r="A25" s="129" t="s">
        <v>219</v>
      </c>
      <c r="B25" s="131">
        <f>SUM(F23:F25)</f>
        <v>776951.58304853039</v>
      </c>
      <c r="C25" s="131">
        <f>AVERAGE(F23:F25)</f>
        <v>258983.86101617679</v>
      </c>
      <c r="D25" s="90">
        <f>C25/C22-1</f>
        <v>-0.14994495846174161</v>
      </c>
      <c r="E25" s="286">
        <f>C25/C13-1</f>
        <v>-2.2767858594679002E-2</v>
      </c>
      <c r="F25" s="78">
        <f>Q25/19</f>
        <v>263457.89473684208</v>
      </c>
      <c r="G25" s="90">
        <f t="shared" ref="G25" si="10">F25/F24-1</f>
        <v>0.31531948382094233</v>
      </c>
      <c r="H25" s="90">
        <f t="shared" ref="H25" si="11">F25/F13-1</f>
        <v>1.5388327939951374E-3</v>
      </c>
      <c r="I25" s="130">
        <f t="shared" si="0"/>
        <v>64.921994259649068</v>
      </c>
      <c r="J25" s="130">
        <f t="shared" si="4"/>
        <v>-0.28384591226253819</v>
      </c>
      <c r="K25" s="78">
        <f>R23+R24+R25</f>
        <v>20957328474</v>
      </c>
      <c r="L25" s="90">
        <f>U25/U22-1</f>
        <v>-0.15243311947545668</v>
      </c>
      <c r="M25" s="90">
        <f>U25/U13-1</f>
        <v>-3.9586403945407911E-2</v>
      </c>
      <c r="N25" s="88">
        <f>AVERAGE(T23:T25)</f>
        <v>91.561449729087443</v>
      </c>
      <c r="O25" s="91">
        <f>N25/N22-1</f>
        <v>0.22929273798305339</v>
      </c>
      <c r="P25" s="129" t="s">
        <v>219</v>
      </c>
      <c r="Q25" s="116">
        <v>5005700</v>
      </c>
      <c r="R25" s="116">
        <v>6645142628</v>
      </c>
      <c r="S25" s="116">
        <v>77103.3</v>
      </c>
      <c r="T25" s="130">
        <f t="shared" ref="T25" si="12">Q25/S25</f>
        <v>64.921994259649068</v>
      </c>
      <c r="U25" s="85">
        <f>Q23+Q24+Q25</f>
        <v>15989367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270463.63157894736</v>
      </c>
      <c r="G26" s="90">
        <f t="shared" ref="G26" si="13">F26/F25-1</f>
        <v>2.6591485706294993E-2</v>
      </c>
      <c r="H26" s="90">
        <f t="shared" ref="H26" si="14">F26/F14-1</f>
        <v>0.3338187586220287</v>
      </c>
      <c r="I26" s="130">
        <f t="shared" si="0"/>
        <v>70.407375032197606</v>
      </c>
      <c r="J26" s="130">
        <f t="shared" si="4"/>
        <v>-0.26175761087678551</v>
      </c>
      <c r="L26" s="90"/>
      <c r="M26" s="90"/>
      <c r="P26" s="129" t="s">
        <v>312</v>
      </c>
      <c r="Q26" s="116">
        <v>5138809</v>
      </c>
      <c r="R26" s="116">
        <v>6932818471</v>
      </c>
      <c r="S26" s="116">
        <v>72986.8</v>
      </c>
      <c r="T26" s="130">
        <f t="shared" ref="T26" si="15">Q26/S26</f>
        <v>70.407375032197606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259252.27272727274</v>
      </c>
      <c r="G27" s="90">
        <f t="shared" ref="G27" si="16">F27/F26-1</f>
        <v>-4.1452371197648663E-2</v>
      </c>
      <c r="H27" s="90">
        <f t="shared" ref="H27" si="17">F27/F15-1</f>
        <v>0.16914764584904463</v>
      </c>
      <c r="I27" s="130">
        <f t="shared" si="0"/>
        <v>120.34354632136203</v>
      </c>
      <c r="J27" s="130">
        <f t="shared" si="4"/>
        <v>1.0472560016003665</v>
      </c>
      <c r="L27" s="90"/>
      <c r="M27" s="90"/>
      <c r="P27" s="129" t="s">
        <v>375</v>
      </c>
      <c r="Q27" s="116">
        <v>5703550</v>
      </c>
      <c r="R27" s="116">
        <v>7538413108</v>
      </c>
      <c r="S27" s="116">
        <v>47393.9</v>
      </c>
      <c r="T27" s="130">
        <f t="shared" ref="T27" si="18">Q27/S27</f>
        <v>120.34354632136203</v>
      </c>
      <c r="U27" s="78"/>
    </row>
    <row r="28" spans="1:21" s="79" customFormat="1" ht="13.2" hidden="1">
      <c r="A28" s="123" t="s">
        <v>413</v>
      </c>
      <c r="B28" s="131">
        <f>SUM(F26:F28)</f>
        <v>851469.11483253585</v>
      </c>
      <c r="C28" s="131">
        <f>AVERAGE(F26:F28)</f>
        <v>283823.03827751195</v>
      </c>
      <c r="D28" s="90">
        <f>C28/C25-1</f>
        <v>9.5910135727660828E-2</v>
      </c>
      <c r="E28" s="286">
        <f>C28/C16-1</f>
        <v>0.25060566588617017</v>
      </c>
      <c r="F28" s="78">
        <f>Q28/19</f>
        <v>321753.21052631579</v>
      </c>
      <c r="G28" s="90">
        <f t="shared" ref="G28" si="19">F28/F27-1</f>
        <v>0.24108154247423919</v>
      </c>
      <c r="H28" s="90">
        <f t="shared" ref="H28" si="20">F28/F16-1</f>
        <v>0.25524598950894495</v>
      </c>
      <c r="I28" s="130">
        <f t="shared" si="0"/>
        <v>85.253439319457513</v>
      </c>
      <c r="J28" s="130">
        <f t="shared" si="4"/>
        <v>0.13144993828040064</v>
      </c>
      <c r="K28" s="78">
        <f>R26+R27+R28</f>
        <v>22439964013</v>
      </c>
      <c r="L28" s="90">
        <f>U28/U25-1</f>
        <v>6.0434099736406122E-2</v>
      </c>
      <c r="M28" s="90">
        <f>U28/U16-1</f>
        <v>0.16349486459630169</v>
      </c>
      <c r="N28" s="88">
        <f>AVERAGE(T26:T28)</f>
        <v>92.001453557672392</v>
      </c>
      <c r="O28" s="91">
        <f>N28/N25-1</f>
        <v>4.805557687070694E-3</v>
      </c>
      <c r="P28" s="129" t="s">
        <v>413</v>
      </c>
      <c r="Q28" s="116">
        <v>6113311</v>
      </c>
      <c r="R28" s="116">
        <v>7968732434</v>
      </c>
      <c r="S28" s="116">
        <v>71707.5</v>
      </c>
      <c r="T28" s="130">
        <f t="shared" ref="T28" si="21">Q28/S28</f>
        <v>85.253439319457513</v>
      </c>
      <c r="U28" s="85">
        <f>Q26+Q27+Q28</f>
        <v>16955670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231155.81818181818</v>
      </c>
      <c r="G29" s="190">
        <f t="shared" ref="G29" si="22">F29/F28-1</f>
        <v>-0.28157416734490603</v>
      </c>
      <c r="H29" s="190">
        <f t="shared" ref="H29" si="23">F29/F17-1</f>
        <v>0.20320429041918064</v>
      </c>
      <c r="I29" s="130">
        <f t="shared" si="0"/>
        <v>76.630367874672501</v>
      </c>
      <c r="J29" s="130">
        <f t="shared" si="4"/>
        <v>-0.33543146373891575</v>
      </c>
      <c r="K29" s="136"/>
      <c r="L29" s="190"/>
      <c r="M29" s="190"/>
      <c r="N29" s="191"/>
      <c r="O29" s="192"/>
      <c r="P29" s="129" t="s">
        <v>449</v>
      </c>
      <c r="Q29" s="116">
        <v>5085428</v>
      </c>
      <c r="R29" s="116">
        <v>6697502557</v>
      </c>
      <c r="S29" s="116">
        <v>66363.09</v>
      </c>
      <c r="T29" s="130">
        <f t="shared" ref="T29" si="24">Q29/S29</f>
        <v>76.630367874672501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377564.89473684208</v>
      </c>
      <c r="G30" s="190">
        <f t="shared" ref="G30" si="25">F30/F29-1</f>
        <v>0.63337828875180735</v>
      </c>
      <c r="H30" s="190">
        <f t="shared" ref="H30" si="26">F30/F18-1</f>
        <v>0.11574407704326939</v>
      </c>
      <c r="I30" s="130">
        <f t="shared" si="0"/>
        <v>98.643281261107916</v>
      </c>
      <c r="J30" s="130">
        <f t="shared" si="4"/>
        <v>-0.13156443496412606</v>
      </c>
      <c r="K30" s="136"/>
      <c r="L30" s="190"/>
      <c r="M30" s="190"/>
      <c r="N30" s="191"/>
      <c r="O30" s="192"/>
      <c r="P30" s="129" t="s">
        <v>466</v>
      </c>
      <c r="Q30" s="116">
        <v>7173733</v>
      </c>
      <c r="R30" s="116">
        <v>9557384355</v>
      </c>
      <c r="S30" s="116">
        <v>72723.990000000005</v>
      </c>
      <c r="T30" s="130">
        <f t="shared" ref="T30" si="27">Q30/S30</f>
        <v>98.643281261107916</v>
      </c>
      <c r="U30" s="85"/>
    </row>
    <row r="31" spans="1:21" s="79" customFormat="1" ht="13.2" hidden="1">
      <c r="A31" s="129" t="s">
        <v>505</v>
      </c>
      <c r="B31" s="188">
        <f>SUM(F29:F31)</f>
        <v>905499.16291866032</v>
      </c>
      <c r="C31" s="188">
        <f>AVERAGE(F29:F31)</f>
        <v>301833.05430622009</v>
      </c>
      <c r="D31" s="190">
        <f>C31/C28-1</f>
        <v>6.3455088558028061E-2</v>
      </c>
      <c r="E31" s="287">
        <f>C31/C19-1</f>
        <v>2.2458491896736987E-2</v>
      </c>
      <c r="F31" s="136">
        <f>Q31/20</f>
        <v>296778.45</v>
      </c>
      <c r="G31" s="190">
        <f t="shared" ref="G31" si="28">F31/F30-1</f>
        <v>-0.21396704477292361</v>
      </c>
      <c r="H31" s="190">
        <f t="shared" ref="H31" si="29">F31/F19-1</f>
        <v>-0.16422909332957836</v>
      </c>
      <c r="I31" s="130">
        <f t="shared" si="0"/>
        <v>151.29896894602777</v>
      </c>
      <c r="J31" s="130">
        <f t="shared" si="4"/>
        <v>0.29943253403896275</v>
      </c>
      <c r="K31" s="136">
        <f>R29+R30+R31</f>
        <v>24133197719</v>
      </c>
      <c r="L31" s="190">
        <f>U31/U28-1</f>
        <v>7.3076439916558877E-2</v>
      </c>
      <c r="M31" s="190">
        <f>U31/U19-1</f>
        <v>-1.2357520483911255E-2</v>
      </c>
      <c r="N31" s="191">
        <f>AVERAGE(T29:T31)</f>
        <v>108.85753936060273</v>
      </c>
      <c r="O31" s="192">
        <f>N31/N28-1</f>
        <v>0.18321542922540757</v>
      </c>
      <c r="P31" s="129" t="s">
        <v>505</v>
      </c>
      <c r="Q31" s="116">
        <v>5935569</v>
      </c>
      <c r="R31" s="116">
        <v>7878310807</v>
      </c>
      <c r="S31" s="116">
        <v>39230.730000000003</v>
      </c>
      <c r="T31" s="130">
        <f t="shared" ref="T31" si="30">Q31/S31</f>
        <v>151.29896894602777</v>
      </c>
      <c r="U31" s="85">
        <f>Q29+Q30+Q31</f>
        <v>18194730</v>
      </c>
    </row>
    <row r="32" spans="1:21" s="79" customFormat="1" ht="13.2" hidden="1">
      <c r="A32" s="129" t="s">
        <v>579</v>
      </c>
      <c r="B32" s="188"/>
      <c r="C32" s="188"/>
      <c r="D32" s="190"/>
      <c r="E32" s="287"/>
      <c r="F32" s="136">
        <f>Q32/21</f>
        <v>213093.38095238095</v>
      </c>
      <c r="G32" s="190">
        <f t="shared" ref="G32" si="31">F32/F31-1</f>
        <v>-0.28197825363539386</v>
      </c>
      <c r="H32" s="190">
        <f t="shared" ref="H32" si="32">F32/F20-1</f>
        <v>-0.35232042456887869</v>
      </c>
      <c r="I32" s="130">
        <f t="shared" si="0"/>
        <v>69.547880441877666</v>
      </c>
      <c r="J32" s="130">
        <f t="shared" si="4"/>
        <v>0.22628658969674453</v>
      </c>
      <c r="K32" s="136"/>
      <c r="L32" s="190"/>
      <c r="M32" s="190"/>
      <c r="N32" s="191"/>
      <c r="O32" s="192"/>
      <c r="P32" s="129" t="s">
        <v>579</v>
      </c>
      <c r="Q32" s="116">
        <v>4474961</v>
      </c>
      <c r="R32" s="116">
        <v>6110480676</v>
      </c>
      <c r="S32" s="116">
        <v>64343.6</v>
      </c>
      <c r="T32" s="130">
        <f t="shared" ref="T32" si="33">Q32/S32</f>
        <v>69.547880441877666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248111.90476190476</v>
      </c>
      <c r="G33" s="190">
        <f t="shared" ref="G33" si="34">F33/F32-1</f>
        <v>0.16433416961622682</v>
      </c>
      <c r="H33" s="190">
        <f t="shared" ref="H33" si="35">F33/F21-1</f>
        <v>-0.24291805407265288</v>
      </c>
      <c r="I33" s="130">
        <f t="shared" si="0"/>
        <v>122.09287339514894</v>
      </c>
      <c r="J33" s="130">
        <f t="shared" si="4"/>
        <v>0.55897874766274813</v>
      </c>
      <c r="K33" s="136"/>
      <c r="L33" s="190"/>
      <c r="M33" s="190"/>
      <c r="N33" s="191"/>
      <c r="O33" s="192"/>
      <c r="P33" s="129" t="s">
        <v>607</v>
      </c>
      <c r="Q33" s="116">
        <v>5210350</v>
      </c>
      <c r="R33" s="116">
        <v>7121079178</v>
      </c>
      <c r="S33" s="116">
        <v>42675.3</v>
      </c>
      <c r="T33" s="130">
        <f t="shared" ref="T33" si="36">Q33/S33</f>
        <v>122.09287339514894</v>
      </c>
      <c r="U33" s="85"/>
    </row>
    <row r="34" spans="1:21" s="79" customFormat="1" ht="13.2" hidden="1">
      <c r="A34" s="129" t="s">
        <v>652</v>
      </c>
      <c r="B34" s="188">
        <f>SUM(F32:F34)</f>
        <v>669690.49624060141</v>
      </c>
      <c r="C34" s="188">
        <f>AVERAGE(F32:F34)</f>
        <v>223230.1654135338</v>
      </c>
      <c r="D34" s="190">
        <f>C34/C31-1</f>
        <v>-0.26041842591878928</v>
      </c>
      <c r="E34" s="287">
        <f>C34/C22-1</f>
        <v>-0.26729825252956207</v>
      </c>
      <c r="F34" s="136">
        <f>Q34/19</f>
        <v>208485.21052631579</v>
      </c>
      <c r="G34" s="190">
        <f t="shared" ref="G34" si="37">F34/F33-1</f>
        <v>-0.15971299028805519</v>
      </c>
      <c r="H34" s="190">
        <f t="shared" ref="H34" si="38">F34/F22-1</f>
        <v>-0.18962381680059781</v>
      </c>
      <c r="I34" s="130">
        <f t="shared" si="0"/>
        <v>66.313000144973202</v>
      </c>
      <c r="J34" s="130">
        <f t="shared" si="4"/>
        <v>-0.25001369734549472</v>
      </c>
      <c r="K34" s="136">
        <f>R32+R33+R34</f>
        <v>18676586580</v>
      </c>
      <c r="L34" s="190">
        <f>U34/U31-1</f>
        <v>-0.24997348133223196</v>
      </c>
      <c r="M34" s="190">
        <f>U34/U22-1</f>
        <v>-0.27662259162075675</v>
      </c>
      <c r="N34" s="191">
        <f>AVERAGE(T32:T34)</f>
        <v>85.984584660666599</v>
      </c>
      <c r="O34" s="192">
        <f>N34/N31-1</f>
        <v>-0.21011824109092636</v>
      </c>
      <c r="P34" s="129" t="s">
        <v>652</v>
      </c>
      <c r="Q34" s="116">
        <v>3961219</v>
      </c>
      <c r="R34" s="116">
        <v>5445026726</v>
      </c>
      <c r="S34" s="116">
        <v>59735.18</v>
      </c>
      <c r="T34" s="130">
        <f t="shared" ref="T34" si="39">Q34/S34</f>
        <v>66.313000144973202</v>
      </c>
      <c r="U34" s="85">
        <f>Q32+Q33+Q34</f>
        <v>13646530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173432.5652173913</v>
      </c>
      <c r="G35" s="190">
        <f t="shared" ref="G35" si="40">F35/F34-1</f>
        <v>-0.16813012884911571</v>
      </c>
      <c r="H35" s="190">
        <f t="shared" ref="H35" si="41">F35/F23-1</f>
        <v>-0.44624582172822103</v>
      </c>
      <c r="I35" s="130">
        <f t="shared" si="0"/>
        <v>50.269947651289712</v>
      </c>
      <c r="J35" s="130">
        <f t="shared" si="4"/>
        <v>-0.46847914400487001</v>
      </c>
      <c r="K35" s="136"/>
      <c r="L35" s="190"/>
      <c r="M35" s="190"/>
      <c r="N35" s="191"/>
      <c r="O35" s="192"/>
      <c r="P35" s="129" t="s">
        <v>660</v>
      </c>
      <c r="Q35" s="116">
        <v>3988949</v>
      </c>
      <c r="R35" s="116">
        <v>5515838976</v>
      </c>
      <c r="S35" s="116">
        <v>79350.570000000007</v>
      </c>
      <c r="T35" s="130">
        <f t="shared" ref="T35" si="42">Q35/S35</f>
        <v>50.269947651289712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252655.42857142858</v>
      </c>
      <c r="G36" s="190">
        <f t="shared" ref="G36" si="43">F36/F35-1</f>
        <v>0.45679347044618956</v>
      </c>
      <c r="H36" s="190">
        <f t="shared" ref="H36" si="44">F36/F24-1</f>
        <v>0.26138792775625341</v>
      </c>
      <c r="I36" s="130">
        <f t="shared" si="0"/>
        <v>82.092819452129064</v>
      </c>
      <c r="J36" s="130">
        <f t="shared" si="4"/>
        <v>-0.28729462783370685</v>
      </c>
      <c r="K36" s="136"/>
      <c r="L36" s="190"/>
      <c r="M36" s="190"/>
      <c r="N36" s="191"/>
      <c r="O36" s="192"/>
      <c r="P36" s="129" t="s">
        <v>664</v>
      </c>
      <c r="Q36" s="116">
        <v>5305764</v>
      </c>
      <c r="R36" s="116">
        <v>7224411449</v>
      </c>
      <c r="S36" s="116">
        <v>64631.28</v>
      </c>
      <c r="T36" s="130">
        <f t="shared" ref="T36" si="45">Q36/S36</f>
        <v>82.092819452129064</v>
      </c>
      <c r="U36" s="85"/>
    </row>
    <row r="37" spans="1:21" s="79" customFormat="1" ht="13.2" hidden="1">
      <c r="A37" s="129" t="s">
        <v>702</v>
      </c>
      <c r="B37" s="188">
        <f>SUM(F35:F37)</f>
        <v>620253.38267770875</v>
      </c>
      <c r="C37" s="188">
        <f>AVERAGE(F35:F37)</f>
        <v>206751.12755923625</v>
      </c>
      <c r="D37" s="190">
        <f>C37/C34-1</f>
        <v>-7.3820837895139046E-2</v>
      </c>
      <c r="E37" s="287">
        <f>C37/C25-1</f>
        <v>-0.2016833529780373</v>
      </c>
      <c r="F37" s="136">
        <f>Q37/18</f>
        <v>194165.38888888888</v>
      </c>
      <c r="G37" s="190">
        <f t="shared" ref="G37" si="46">F37/F36-1</f>
        <v>-0.23150121892593301</v>
      </c>
      <c r="H37" s="190">
        <f t="shared" ref="H37" si="47">F37/F25-1</f>
        <v>-0.26301168889687976</v>
      </c>
      <c r="I37" s="130">
        <f t="shared" si="0"/>
        <v>179.11110086148136</v>
      </c>
      <c r="J37" s="130">
        <f t="shared" si="4"/>
        <v>1.758866281050214</v>
      </c>
      <c r="K37" s="136">
        <f>R35+R36+R37</f>
        <v>17400834967</v>
      </c>
      <c r="L37" s="190">
        <f>U37/U34-1</f>
        <v>-6.278812269492684E-2</v>
      </c>
      <c r="M37" s="190">
        <f>U37/U25-1</f>
        <v>-0.20011279996262521</v>
      </c>
      <c r="N37" s="191">
        <f>AVERAGE(T35:T37)</f>
        <v>103.82462265496672</v>
      </c>
      <c r="O37" s="192">
        <f>N37/N34-1</f>
        <v>0.20747949257073039</v>
      </c>
      <c r="P37" s="129" t="s">
        <v>702</v>
      </c>
      <c r="Q37" s="116">
        <v>3494977</v>
      </c>
      <c r="R37" s="116">
        <v>4660584542</v>
      </c>
      <c r="S37" s="116">
        <v>19512.900000000001</v>
      </c>
      <c r="T37" s="130">
        <f t="shared" ref="T37" si="48">Q37/S37</f>
        <v>179.11110086148136</v>
      </c>
      <c r="U37" s="85">
        <f>Q35+Q36+Q37</f>
        <v>12789690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219001.60000000001</v>
      </c>
      <c r="G38" s="190">
        <f t="shared" ref="G38" si="49">F38/F37-1</f>
        <v>0.1279126586526893</v>
      </c>
      <c r="H38" s="190">
        <f t="shared" ref="H38" si="50">F38/F26-1</f>
        <v>-0.19027338825007889</v>
      </c>
      <c r="I38" s="130">
        <f t="shared" si="0"/>
        <v>65.026486965253838</v>
      </c>
      <c r="J38" s="130">
        <f t="shared" si="4"/>
        <v>-7.6425062921079867E-2</v>
      </c>
      <c r="K38" s="136"/>
      <c r="L38" s="190"/>
      <c r="M38" s="190"/>
      <c r="N38" s="191"/>
      <c r="O38" s="192"/>
      <c r="P38" s="129" t="s">
        <v>727</v>
      </c>
      <c r="Q38" s="116">
        <v>4380032</v>
      </c>
      <c r="R38" s="116">
        <v>5907405268</v>
      </c>
      <c r="S38" s="116">
        <v>67357.66</v>
      </c>
      <c r="T38" s="130">
        <f t="shared" ref="T38" si="51">Q38/S38</f>
        <v>65.026486965253838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199836.95238095237</v>
      </c>
      <c r="G39" s="190">
        <f t="shared" ref="G39" si="52">F39/F38-1</f>
        <v>-8.7509167143288602E-2</v>
      </c>
      <c r="H39" s="190">
        <f t="shared" ref="H39" si="53">F39/F27-1</f>
        <v>-0.22917955442120219</v>
      </c>
      <c r="I39" s="130">
        <f t="shared" si="0"/>
        <v>75.138241834582473</v>
      </c>
      <c r="J39" s="130">
        <f t="shared" si="4"/>
        <v>-0.37563546919304325</v>
      </c>
      <c r="K39" s="136"/>
      <c r="L39" s="190"/>
      <c r="M39" s="190"/>
      <c r="N39" s="191"/>
      <c r="O39" s="192"/>
      <c r="P39" s="129" t="s">
        <v>762</v>
      </c>
      <c r="Q39" s="116">
        <v>4196576</v>
      </c>
      <c r="R39" s="116">
        <v>5844211696</v>
      </c>
      <c r="S39" s="116">
        <v>55851.4</v>
      </c>
      <c r="T39" s="130">
        <f t="shared" ref="T39" si="54">Q39/S39</f>
        <v>75.138241834582473</v>
      </c>
      <c r="U39" s="85"/>
    </row>
    <row r="40" spans="1:21" s="79" customFormat="1" ht="13.2" hidden="1">
      <c r="A40" s="129" t="s">
        <v>778</v>
      </c>
      <c r="B40" s="188">
        <f>SUM(F38:F40)</f>
        <v>649180.07619047619</v>
      </c>
      <c r="C40" s="188">
        <f>AVERAGE(F38:F40)</f>
        <v>216393.35873015874</v>
      </c>
      <c r="D40" s="190">
        <f>C40/C37-1</f>
        <v>4.6636897630267571E-2</v>
      </c>
      <c r="E40" s="287">
        <f>C40/C28-1</f>
        <v>-0.23757648412396637</v>
      </c>
      <c r="F40" s="136">
        <f>Q40/21</f>
        <v>230341.52380952382</v>
      </c>
      <c r="G40" s="190">
        <f t="shared" ref="G40" si="55">F40/F39-1</f>
        <v>0.15264730103779844</v>
      </c>
      <c r="H40" s="190">
        <f t="shared" ref="H40" si="56">F40/F28-1</f>
        <v>-0.28410497153163772</v>
      </c>
      <c r="I40" s="130">
        <f t="shared" si="0"/>
        <v>51.041367256433603</v>
      </c>
      <c r="J40" s="130">
        <f t="shared" si="4"/>
        <v>-0.40129843835186652</v>
      </c>
      <c r="K40" s="136">
        <f>R38+R39+R40</f>
        <v>18594559689</v>
      </c>
      <c r="L40" s="190">
        <f>U40/U37-1</f>
        <v>4.879633517309645E-2</v>
      </c>
      <c r="M40" s="190">
        <f>U40/U28-1</f>
        <v>-0.20889118507260407</v>
      </c>
      <c r="N40" s="191">
        <f>AVERAGE(T38:T40)</f>
        <v>63.735365352089978</v>
      </c>
      <c r="O40" s="192">
        <f>N40/N37-1</f>
        <v>-0.38612475805573243</v>
      </c>
      <c r="P40" s="129" t="s">
        <v>778</v>
      </c>
      <c r="Q40" s="116">
        <v>4837172</v>
      </c>
      <c r="R40" s="116">
        <v>6842942725</v>
      </c>
      <c r="S40" s="116">
        <v>94769.64</v>
      </c>
      <c r="T40" s="130">
        <f t="shared" ref="T40" si="57">Q40/S40</f>
        <v>51.041367256433603</v>
      </c>
      <c r="U40" s="85">
        <f>Q38+Q39+Q40</f>
        <v>13413780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189417</v>
      </c>
      <c r="G41" s="190">
        <f t="shared" ref="G41" si="58">F41/F40-1</f>
        <v>-0.17766889413897213</v>
      </c>
      <c r="H41" s="190">
        <f t="shared" ref="H41" si="59">F41/F29-1</f>
        <v>-0.18056572622795952</v>
      </c>
      <c r="I41" s="130">
        <f t="shared" si="0"/>
        <v>259.52471931493818</v>
      </c>
      <c r="J41" s="130">
        <f t="shared" si="4"/>
        <v>2.3867085140369664</v>
      </c>
      <c r="K41" s="193"/>
      <c r="L41" s="190"/>
      <c r="M41" s="190"/>
      <c r="N41" s="193"/>
      <c r="O41" s="193"/>
      <c r="P41" s="129" t="s">
        <v>792</v>
      </c>
      <c r="Q41" s="116">
        <v>3409506</v>
      </c>
      <c r="R41" s="116">
        <v>4984734264</v>
      </c>
      <c r="S41" s="116">
        <v>13137.5</v>
      </c>
      <c r="T41" s="130">
        <f t="shared" ref="T41" si="60">Q41/S41</f>
        <v>259.52471931493818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201446.6</v>
      </c>
      <c r="G42" s="190">
        <f t="shared" ref="G42" si="61">F42/F41-1</f>
        <v>6.3508555198318994E-2</v>
      </c>
      <c r="H42" s="190">
        <f t="shared" ref="H42" si="62">F42/F30-1</f>
        <v>-0.46645834184238522</v>
      </c>
      <c r="I42" s="130">
        <f t="shared" si="0"/>
        <v>114.16678095816705</v>
      </c>
      <c r="J42" s="130">
        <f t="shared" si="4"/>
        <v>0.15737006614742022</v>
      </c>
      <c r="K42" s="193"/>
      <c r="L42" s="190"/>
      <c r="M42" s="190"/>
      <c r="N42" s="193"/>
      <c r="O42" s="193"/>
      <c r="P42" s="129" t="s">
        <v>826</v>
      </c>
      <c r="Q42" s="116">
        <v>4028932</v>
      </c>
      <c r="R42" s="116">
        <v>5828748621</v>
      </c>
      <c r="S42" s="116">
        <v>35289.879999999997</v>
      </c>
      <c r="T42" s="130">
        <f t="shared" ref="T42" si="63">Q42/S42</f>
        <v>114.16678095816705</v>
      </c>
      <c r="U42" s="78"/>
    </row>
    <row r="43" spans="1:21" s="79" customFormat="1" ht="13.2">
      <c r="A43" s="129" t="s">
        <v>835</v>
      </c>
      <c r="B43" s="188">
        <f>SUM(F41:F43)</f>
        <v>589556.39999999991</v>
      </c>
      <c r="C43" s="188">
        <f>AVERAGE(F41:F43)</f>
        <v>196518.79999999996</v>
      </c>
      <c r="D43" s="190">
        <f>C43/C40-1</f>
        <v>-9.1844587314448223E-2</v>
      </c>
      <c r="E43" s="287">
        <f>C43/C31-1</f>
        <v>-0.34891557701753617</v>
      </c>
      <c r="F43" s="136">
        <f>Q43/20</f>
        <v>198692.8</v>
      </c>
      <c r="G43" s="190">
        <f t="shared" ref="G43" si="64">F43/F42-1</f>
        <v>-1.367012399315759E-2</v>
      </c>
      <c r="H43" s="190">
        <f t="shared" ref="H43" si="65">F43/F31-1</f>
        <v>-0.33050125438690048</v>
      </c>
      <c r="I43" s="130">
        <f t="shared" si="0"/>
        <v>74.896340010795711</v>
      </c>
      <c r="J43" s="130">
        <f t="shared" si="4"/>
        <v>-0.50497785588008104</v>
      </c>
      <c r="K43" s="136">
        <f>R41+R42+R43</f>
        <v>16575379385</v>
      </c>
      <c r="L43" s="190">
        <f>U43/U40-1</f>
        <v>-0.14921118431940883</v>
      </c>
      <c r="M43" s="190">
        <f>K43/K31-1</f>
        <v>-0.31317102780995121</v>
      </c>
      <c r="N43" s="191">
        <f>AVERAGE(T41:T43)</f>
        <v>149.52928009463366</v>
      </c>
      <c r="O43" s="192">
        <f>N43/N40-1</f>
        <v>1.3460959118787006</v>
      </c>
      <c r="P43" s="129" t="s">
        <v>835</v>
      </c>
      <c r="Q43" s="116">
        <v>3973856</v>
      </c>
      <c r="R43" s="116">
        <v>5761896500</v>
      </c>
      <c r="S43" s="116">
        <v>53058.080000000002</v>
      </c>
      <c r="T43" s="130">
        <f t="shared" ref="T43" si="66">Q43/S43</f>
        <v>74.896340010795711</v>
      </c>
      <c r="U43" s="85">
        <f>Q41+Q42+Q43</f>
        <v>11412294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174766.45454545456</v>
      </c>
      <c r="G44" s="190">
        <f t="shared" ref="G44" si="67">F44/F43-1</f>
        <v>-0.12041878444787846</v>
      </c>
      <c r="H44" s="190">
        <f t="shared" ref="H44" si="68">F44/F32-1</f>
        <v>-0.17985976962602668</v>
      </c>
      <c r="I44" s="130">
        <f t="shared" si="0"/>
        <v>84.053780610228301</v>
      </c>
      <c r="J44" s="130">
        <f t="shared" si="4"/>
        <v>0.20857429552398021</v>
      </c>
      <c r="K44" s="136"/>
      <c r="L44" s="190"/>
      <c r="M44" s="190"/>
      <c r="N44" s="191"/>
      <c r="O44" s="192"/>
      <c r="P44" s="129" t="s">
        <v>843</v>
      </c>
      <c r="Q44" s="116">
        <v>3844862</v>
      </c>
      <c r="R44" s="116">
        <v>5567462155</v>
      </c>
      <c r="S44" s="116">
        <v>45742.879999999997</v>
      </c>
      <c r="T44" s="130">
        <f t="shared" ref="T44" si="69">Q44/S44</f>
        <v>84.053780610228301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190102.25</v>
      </c>
      <c r="G45" s="190">
        <f t="shared" ref="G45" si="70">F45/F44-1</f>
        <v>8.7750223545084216E-2</v>
      </c>
      <c r="H45" s="190">
        <f t="shared" ref="H45" si="71">F45/F33-1</f>
        <v>-0.23380439893673166</v>
      </c>
      <c r="I45" s="130">
        <f t="shared" si="0"/>
        <v>94.70205323178763</v>
      </c>
      <c r="J45" s="130">
        <f t="shared" si="4"/>
        <v>-0.22434413575239531</v>
      </c>
      <c r="K45" s="136"/>
      <c r="L45" s="190"/>
      <c r="M45" s="190"/>
      <c r="N45" s="191"/>
      <c r="O45" s="192"/>
      <c r="P45" s="129" t="s">
        <v>849</v>
      </c>
      <c r="Q45" s="116">
        <v>3802045</v>
      </c>
      <c r="R45" s="116">
        <v>5362150924</v>
      </c>
      <c r="S45" s="116">
        <v>40147.440000000002</v>
      </c>
      <c r="T45" s="130">
        <f t="shared" ref="T45" si="72">Q45/S45</f>
        <v>94.70205323178763</v>
      </c>
      <c r="U45" s="85"/>
    </row>
    <row r="46" spans="1:21" s="79" customFormat="1" ht="13.2">
      <c r="A46" s="129" t="s">
        <v>888</v>
      </c>
      <c r="B46" s="188">
        <f>SUM(F44:F46)</f>
        <v>543619.28349282301</v>
      </c>
      <c r="C46" s="188">
        <f>AVERAGE(F44:F46)</f>
        <v>181206.42783094101</v>
      </c>
      <c r="D46" s="190">
        <f>C46/C43-1</f>
        <v>-7.7918103352243917E-2</v>
      </c>
      <c r="E46" s="287">
        <f>C46/C34-1</f>
        <v>-0.18825295185685964</v>
      </c>
      <c r="F46" s="136">
        <f>Q46/19</f>
        <v>178750.57894736843</v>
      </c>
      <c r="G46" s="190">
        <f t="shared" ref="G46" si="73">F46/F45-1</f>
        <v>-5.9713501826683113E-2</v>
      </c>
      <c r="H46" s="190">
        <f t="shared" ref="H46" si="74">F46/F34-1</f>
        <v>-0.14262225845124943</v>
      </c>
      <c r="I46" s="130">
        <f t="shared" si="0"/>
        <v>113.69139576930453</v>
      </c>
      <c r="J46" s="130">
        <f t="shared" si="4"/>
        <v>0.7144661758743065</v>
      </c>
      <c r="K46" s="136">
        <f>R44+R45+R46</f>
        <v>15576727275</v>
      </c>
      <c r="L46" s="190">
        <f>U46/U43-1</f>
        <v>-3.2344592594617749E-2</v>
      </c>
      <c r="M46" s="190">
        <f>K46/K34-1</f>
        <v>-0.16597568788718131</v>
      </c>
      <c r="N46" s="191">
        <f>AVERAGE(T44:T46)</f>
        <v>97.482409870440165</v>
      </c>
      <c r="O46" s="192">
        <f>N46/N43-1</f>
        <v>-0.34807142916259759</v>
      </c>
      <c r="P46" s="129" t="s">
        <v>888</v>
      </c>
      <c r="Q46" s="116">
        <v>3396261</v>
      </c>
      <c r="R46" s="116">
        <v>4647114196</v>
      </c>
      <c r="S46" s="116">
        <v>29872.63</v>
      </c>
      <c r="T46" s="130">
        <f t="shared" ref="T46" si="75">Q46/S46</f>
        <v>113.69139576930453</v>
      </c>
      <c r="U46" s="85">
        <f t="shared" ref="U46:U51" si="76">Q44+Q45+Q46</f>
        <v>11043168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214655.4347826087</v>
      </c>
      <c r="G47" s="190">
        <f t="shared" ref="G47" si="77">F47/F46-1</f>
        <v>0.20086567577390713</v>
      </c>
      <c r="H47" s="190">
        <f t="shared" ref="H47" si="78">F47/F35-1</f>
        <v>0.23768817299995582</v>
      </c>
      <c r="I47" s="130">
        <f t="shared" si="0"/>
        <v>71.888771980200531</v>
      </c>
      <c r="J47" s="130">
        <f t="shared" si="4"/>
        <v>0.43005464176878205</v>
      </c>
      <c r="K47" s="136"/>
      <c r="L47" s="190"/>
      <c r="M47" s="190"/>
      <c r="N47" s="191"/>
      <c r="O47" s="192"/>
      <c r="P47" s="129" t="s">
        <v>1037</v>
      </c>
      <c r="Q47" s="116">
        <v>4937075</v>
      </c>
      <c r="R47" s="116">
        <v>6757580423</v>
      </c>
      <c r="S47" s="116">
        <v>68676.58</v>
      </c>
      <c r="T47" s="130">
        <f t="shared" ref="T47" si="79">Q47/S47</f>
        <v>71.888771980200531</v>
      </c>
      <c r="U47" s="85">
        <f t="shared" si="76"/>
        <v>12135381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144307.1</v>
      </c>
      <c r="G48" s="190">
        <f t="shared" ref="G48" si="80">F48/F47-1</f>
        <v>-0.3277267815457533</v>
      </c>
      <c r="H48" s="190">
        <f t="shared" ref="H48" si="81">F48/F36-1</f>
        <v>-0.42883831621610002</v>
      </c>
      <c r="I48" s="130">
        <f t="shared" si="0"/>
        <v>102.96808931168185</v>
      </c>
      <c r="J48" s="130">
        <f t="shared" si="4"/>
        <v>0.25428862108610883</v>
      </c>
      <c r="K48" s="136"/>
      <c r="L48" s="190"/>
      <c r="M48" s="190"/>
      <c r="N48" s="191"/>
      <c r="O48" s="192"/>
      <c r="P48" s="129" t="s">
        <v>1070</v>
      </c>
      <c r="Q48" s="116">
        <v>2886142</v>
      </c>
      <c r="R48" s="116">
        <v>4005424460</v>
      </c>
      <c r="S48" s="116">
        <v>28029.48</v>
      </c>
      <c r="T48" s="130">
        <f t="shared" ref="T48" si="82">Q48/S48</f>
        <v>102.96808931168185</v>
      </c>
      <c r="U48" s="85">
        <f t="shared" si="76"/>
        <v>11219478</v>
      </c>
    </row>
    <row r="49" spans="1:26" ht="13.2">
      <c r="A49" s="129" t="s">
        <v>1158</v>
      </c>
      <c r="B49" s="188">
        <f>SUM(F47:F49)</f>
        <v>559988.21660079062</v>
      </c>
      <c r="C49" s="188">
        <f>AVERAGE(F47:F49)</f>
        <v>186662.73886693022</v>
      </c>
      <c r="D49" s="190">
        <f>C49/C46-1</f>
        <v>3.0111023661256286E-2</v>
      </c>
      <c r="E49" s="287">
        <f>C49/C37-1</f>
        <v>-9.7162172363729926E-2</v>
      </c>
      <c r="F49" s="136">
        <f>Q49/22</f>
        <v>201025.68181818182</v>
      </c>
      <c r="G49" s="190">
        <f t="shared" ref="G49" si="83">F49/F48-1</f>
        <v>0.39304082625305203</v>
      </c>
      <c r="H49" s="190">
        <f t="shared" ref="H49" si="84">F49/F37-1</f>
        <v>3.5332213267003754E-2</v>
      </c>
      <c r="I49" s="130">
        <f t="shared" si="0"/>
        <v>79.026772572600365</v>
      </c>
      <c r="J49" s="130">
        <f t="shared" si="4"/>
        <v>-0.55878350257186415</v>
      </c>
      <c r="K49" s="136">
        <f>R47+R48+R49</f>
        <v>16906011589</v>
      </c>
      <c r="L49" s="190">
        <f>U49/U46-1</f>
        <v>0.10890117763308504</v>
      </c>
      <c r="M49" s="190">
        <f>K49/K37-1</f>
        <v>-2.8436760588696597E-2</v>
      </c>
      <c r="N49" s="191">
        <f>AVERAGE(T47:T49)</f>
        <v>84.627877954827582</v>
      </c>
      <c r="O49" s="192">
        <f>N49/N46-1</f>
        <v>-0.13186514298012342</v>
      </c>
      <c r="P49" s="129" t="s">
        <v>1158</v>
      </c>
      <c r="Q49" s="116">
        <v>4422565</v>
      </c>
      <c r="R49" s="116">
        <v>6143006706</v>
      </c>
      <c r="S49" s="116">
        <v>55962.87</v>
      </c>
      <c r="T49" s="130">
        <f t="shared" ref="T49" si="85">Q49/S49</f>
        <v>79.026772572600365</v>
      </c>
      <c r="U49" s="85">
        <f t="shared" si="76"/>
        <v>12245782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217926.55555555556</v>
      </c>
      <c r="G50" s="190">
        <f t="shared" ref="G50" si="86">F50/F49-1</f>
        <v>8.4073206888360508E-2</v>
      </c>
      <c r="H50" s="190">
        <f t="shared" ref="H50" si="87">F50/F38-1</f>
        <v>-4.9088428780631466E-3</v>
      </c>
      <c r="I50" s="130">
        <f t="shared" ref="I50" si="88">T50</f>
        <v>94.867542141285156</v>
      </c>
      <c r="J50" s="130">
        <f t="shared" ref="J50" si="89">I50/I38-1</f>
        <v>0.45890615607108765</v>
      </c>
      <c r="K50" s="136"/>
      <c r="L50" s="190"/>
      <c r="M50" s="190"/>
      <c r="N50" s="191"/>
      <c r="O50" s="192"/>
      <c r="P50" s="129" t="s">
        <v>1291</v>
      </c>
      <c r="Q50" s="116">
        <v>3922678</v>
      </c>
      <c r="R50" s="116">
        <v>5552785503</v>
      </c>
      <c r="S50" s="116">
        <v>41349</v>
      </c>
      <c r="T50" s="130">
        <f t="shared" ref="T50" si="90">Q50/S50</f>
        <v>94.867542141285156</v>
      </c>
      <c r="U50" s="85">
        <f t="shared" si="76"/>
        <v>11231385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212743.05</v>
      </c>
      <c r="G51" s="190">
        <f t="shared" ref="G51:G52" si="91">F51/F50-1</f>
        <v>-2.3785561802421751E-2</v>
      </c>
      <c r="H51" s="190">
        <f t="shared" ref="H51:H52" si="92">F51/F39-1</f>
        <v>6.458313873024113E-2</v>
      </c>
      <c r="I51" s="130">
        <f t="shared" ref="I51:I52" si="93">T51</f>
        <v>79.509246545392571</v>
      </c>
      <c r="J51" s="130">
        <f t="shared" ref="J51:J52" si="94">I51/I39-1</f>
        <v>5.8172837214276463E-2</v>
      </c>
      <c r="K51" s="136"/>
      <c r="L51" s="190"/>
      <c r="M51" s="190"/>
      <c r="N51" s="191"/>
      <c r="O51" s="192"/>
      <c r="P51" s="129" t="s">
        <v>1402</v>
      </c>
      <c r="Q51" s="116">
        <v>4254861</v>
      </c>
      <c r="R51" s="116">
        <v>6181330450</v>
      </c>
      <c r="S51" s="116">
        <v>53514.04</v>
      </c>
      <c r="T51" s="130">
        <f t="shared" ref="T51:T52" si="95">Q51/S51</f>
        <v>79.509246545392571</v>
      </c>
      <c r="U51" s="85">
        <f t="shared" si="76"/>
        <v>12600104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667343.2419191919</v>
      </c>
      <c r="C52" s="188">
        <f>AVERAGE(F50:F52)</f>
        <v>222447.7473063973</v>
      </c>
      <c r="D52" s="190">
        <f>C52/C49-1</f>
        <v>0.19170943626289461</v>
      </c>
      <c r="E52" s="287">
        <f>C52/C40-1</f>
        <v>2.7978624721973766E-2</v>
      </c>
      <c r="F52" s="136">
        <f>Q52/22</f>
        <v>236673.63636363635</v>
      </c>
      <c r="G52" s="190">
        <f t="shared" si="91"/>
        <v>0.1124858666999291</v>
      </c>
      <c r="H52" s="190">
        <f t="shared" si="92"/>
        <v>2.7490104473515409E-2</v>
      </c>
      <c r="I52" s="130">
        <f t="shared" si="93"/>
        <v>117.9807576180885</v>
      </c>
      <c r="J52" s="130">
        <f t="shared" si="94"/>
        <v>1.3114733001831453</v>
      </c>
      <c r="K52" s="136">
        <f>R50+R51+R52</f>
        <v>19396806966</v>
      </c>
      <c r="L52" s="190">
        <f>U52/U49-1</f>
        <v>9.297707569839142E-2</v>
      </c>
      <c r="M52" s="190">
        <f>K52/K40-1</f>
        <v>4.3144193270388875E-2</v>
      </c>
      <c r="N52" s="191">
        <f>AVERAGE(T50:T52)</f>
        <v>97.452515434922077</v>
      </c>
      <c r="O52" s="192">
        <f>N52/N49-1</f>
        <v>0.15154152260487952</v>
      </c>
      <c r="P52" s="129" t="s">
        <v>1403</v>
      </c>
      <c r="Q52" s="116">
        <v>5206820</v>
      </c>
      <c r="R52" s="116">
        <v>7662691013</v>
      </c>
      <c r="S52" s="116">
        <v>44132.79</v>
      </c>
      <c r="T52" s="130">
        <f t="shared" si="95"/>
        <v>117.9807576180885</v>
      </c>
      <c r="U52" s="85">
        <f t="shared" ref="U52" si="96">Q50+Q51+Q52</f>
        <v>13384359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150762.09523809524</v>
      </c>
      <c r="G53" s="190">
        <f t="shared" ref="G53" si="97">F53/F52-1</f>
        <v>-0.36299582178026213</v>
      </c>
      <c r="H53" s="190">
        <f t="shared" ref="H53" si="98">F53/F41-1</f>
        <v>-0.20407304920838554</v>
      </c>
      <c r="I53" s="130">
        <f t="shared" ref="I53" si="99">T53</f>
        <v>98.961499461745149</v>
      </c>
      <c r="J53" s="130">
        <f t="shared" ref="J53" si="100">I53/I41-1</f>
        <v>-0.61868179754525232</v>
      </c>
      <c r="K53" s="136"/>
      <c r="L53" s="190"/>
      <c r="M53" s="190"/>
      <c r="N53" s="191"/>
      <c r="O53" s="192"/>
      <c r="P53" s="129" t="s">
        <v>1414</v>
      </c>
      <c r="Q53" s="116">
        <v>3166004</v>
      </c>
      <c r="R53" s="116">
        <v>4612527289</v>
      </c>
      <c r="S53" s="116">
        <v>31992.28</v>
      </c>
      <c r="T53" s="130">
        <f t="shared" ref="T53" si="101">Q53/S53</f>
        <v>98.961499461745149</v>
      </c>
      <c r="U53" s="85">
        <f t="shared" ref="U53" si="102">Q51+Q52+Q53</f>
        <v>12627685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204672.76470588235</v>
      </c>
      <c r="G54" s="190">
        <f t="shared" ref="G54" si="103">F54/F53-1</f>
        <v>0.35758769061047602</v>
      </c>
      <c r="H54" s="190">
        <f t="shared" ref="H54" si="104">F54/F42-1</f>
        <v>1.6014987127518365E-2</v>
      </c>
      <c r="I54" s="130">
        <f t="shared" ref="I54" si="105">T54</f>
        <v>108.17271386765414</v>
      </c>
      <c r="J54" s="130">
        <f t="shared" ref="J54" si="106">I54/I42-1</f>
        <v>-5.2502724875016504E-2</v>
      </c>
      <c r="K54" s="136"/>
      <c r="L54" s="190"/>
      <c r="M54" s="190"/>
      <c r="N54" s="191"/>
      <c r="O54" s="192"/>
      <c r="P54" s="129" t="s">
        <v>1417</v>
      </c>
      <c r="Q54" s="116">
        <v>3479437</v>
      </c>
      <c r="R54" s="116">
        <v>5037380288</v>
      </c>
      <c r="S54" s="116">
        <v>32165.57</v>
      </c>
      <c r="T54" s="130">
        <f t="shared" ref="T54" si="107">Q54/S54</f>
        <v>108.17271386765414</v>
      </c>
      <c r="U54" s="85">
        <f t="shared" ref="U54" si="108">Q52+Q53+Q54</f>
        <v>11852261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523601.28851540614</v>
      </c>
      <c r="C55" s="188">
        <f>AVERAGE(F53:F55)</f>
        <v>174533.76283846871</v>
      </c>
      <c r="D55" s="190">
        <f>C55/C52-1</f>
        <v>-0.21539433439140354</v>
      </c>
      <c r="E55" s="287">
        <f>C55/C43-1</f>
        <v>-0.11187243745398023</v>
      </c>
      <c r="F55" s="136">
        <f>Q55/21</f>
        <v>168166.42857142858</v>
      </c>
      <c r="G55" s="190">
        <f t="shared" ref="G55" si="109">F55/F54-1</f>
        <v>-0.17836440616275395</v>
      </c>
      <c r="H55" s="190">
        <f t="shared" ref="H55" si="110">F55/F43-1</f>
        <v>-0.15363602218385075</v>
      </c>
      <c r="I55" s="130">
        <f>T55</f>
        <v>80.583271742511045</v>
      </c>
      <c r="J55" s="130">
        <f t="shared" ref="J55" si="111">I55/I43-1</f>
        <v>7.593070276725955E-2</v>
      </c>
      <c r="K55" s="136">
        <f>R53+R54+R55</f>
        <v>14849801010</v>
      </c>
      <c r="L55" s="190">
        <f>U55/U52-1</f>
        <v>-0.23963964206279886</v>
      </c>
      <c r="M55" s="190">
        <f>K55/K43-1</f>
        <v>-0.10410490975317122</v>
      </c>
      <c r="N55" s="191">
        <f>AVERAGE(T53:T55)</f>
        <v>95.905828357303449</v>
      </c>
      <c r="O55" s="192">
        <f>N55/N52-1</f>
        <v>-1.5871186810477944E-2</v>
      </c>
      <c r="P55" s="129" t="s">
        <v>1418</v>
      </c>
      <c r="Q55" s="116">
        <v>3531495</v>
      </c>
      <c r="R55" s="116">
        <v>5199893433</v>
      </c>
      <c r="S55" s="116">
        <v>43824.17</v>
      </c>
      <c r="T55" s="130">
        <f t="shared" ref="T55" si="112">Q55/S55</f>
        <v>80.583271742511045</v>
      </c>
      <c r="U55" s="85">
        <f t="shared" ref="U55" si="113">Q53+Q54+Q55</f>
        <v>10176936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194058</v>
      </c>
      <c r="G56" s="190">
        <f t="shared" ref="G56" si="114">F56/F55-1</f>
        <v>0.15396397276507545</v>
      </c>
      <c r="H56" s="190">
        <f t="shared" ref="H56" si="115">F56/F44-1</f>
        <v>0.11038471601841615</v>
      </c>
      <c r="I56" s="291">
        <f>T56</f>
        <v>137.60636487406398</v>
      </c>
      <c r="J56" s="130">
        <f t="shared" ref="J56" si="116">I56/I44-1</f>
        <v>0.6371228500972268</v>
      </c>
      <c r="K56" s="136"/>
      <c r="L56" s="190"/>
      <c r="M56" s="190"/>
      <c r="N56" s="191"/>
      <c r="O56" s="192"/>
      <c r="P56" s="129" t="s">
        <v>1420</v>
      </c>
      <c r="Q56" s="116">
        <v>4269276</v>
      </c>
      <c r="R56" s="116">
        <v>6367394597</v>
      </c>
      <c r="S56" s="116">
        <v>31025.279999999999</v>
      </c>
      <c r="T56" s="130">
        <f t="shared" ref="T56" si="117">Q56/S56</f>
        <v>137.60636487406398</v>
      </c>
      <c r="U56" s="85">
        <f t="shared" ref="U56" si="118">Q54+Q55+Q56</f>
        <v>11280208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237591.66666666666</v>
      </c>
      <c r="G57" s="254">
        <f t="shared" ref="G57" si="119">F57/F56-1</f>
        <v>0.22433327493154964</v>
      </c>
      <c r="H57" s="254">
        <f t="shared" ref="H57" si="120">F57/F45-1</f>
        <v>0.24980986109668168</v>
      </c>
      <c r="I57" s="282">
        <f>T57</f>
        <v>78.307066642167371</v>
      </c>
      <c r="J57" s="277">
        <f t="shared" ref="J57" si="121">I57/I45-1</f>
        <v>-0.17312176484170594</v>
      </c>
      <c r="K57" s="204"/>
      <c r="L57" s="254"/>
      <c r="M57" s="254"/>
      <c r="N57" s="257"/>
      <c r="O57" s="258"/>
      <c r="P57" s="129" t="s">
        <v>1436</v>
      </c>
      <c r="Q57" s="116">
        <v>2851100</v>
      </c>
      <c r="R57" s="116">
        <v>4203605520</v>
      </c>
      <c r="S57" s="116">
        <v>36409.230000000003</v>
      </c>
      <c r="T57" s="130">
        <f t="shared" ref="T57" si="122">Q57/S57</f>
        <v>78.307066642167371</v>
      </c>
      <c r="U57" s="85">
        <f t="shared" ref="U57" si="123">Q55+Q56+Q57</f>
        <v>10651871</v>
      </c>
      <c r="V57" s="79"/>
      <c r="W57" s="79"/>
      <c r="X57" s="79"/>
      <c r="Y57" s="79"/>
      <c r="Z57" s="79"/>
    </row>
    <row r="58" spans="1:26">
      <c r="B58" s="196">
        <f>SUM(F56:F58)</f>
        <v>431649.66666666663</v>
      </c>
      <c r="C58" s="196">
        <f>AVERAGE(F56:F58)</f>
        <v>215824.83333333331</v>
      </c>
      <c r="D58" s="197">
        <f>C58/C55-1</f>
        <v>0.23657927167409754</v>
      </c>
      <c r="E58" s="233">
        <f>C58/C46-1</f>
        <v>0.1910440259585604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17297312</v>
      </c>
      <c r="R65" s="212">
        <v>25420801127</v>
      </c>
      <c r="S65" s="213">
        <v>175416.55</v>
      </c>
      <c r="T65" s="214">
        <v>23</v>
      </c>
      <c r="U65" s="214">
        <v>221</v>
      </c>
    </row>
    <row r="66" spans="16:21" ht="18" thickBot="1">
      <c r="P66" s="180" t="s">
        <v>976</v>
      </c>
      <c r="Q66" s="181">
        <v>3166004</v>
      </c>
      <c r="R66" s="181">
        <v>4612527289</v>
      </c>
      <c r="S66" s="182">
        <v>31992.28</v>
      </c>
      <c r="T66" s="210">
        <v>16</v>
      </c>
      <c r="U66" s="210">
        <v>89</v>
      </c>
    </row>
    <row r="67" spans="16:21" ht="18" thickBot="1">
      <c r="P67" s="180" t="s">
        <v>977</v>
      </c>
      <c r="Q67" s="181">
        <v>3479437</v>
      </c>
      <c r="R67" s="181">
        <v>5037380288</v>
      </c>
      <c r="S67" s="182">
        <v>32165.57</v>
      </c>
      <c r="T67" s="210">
        <v>11</v>
      </c>
      <c r="U67" s="210">
        <v>88</v>
      </c>
    </row>
    <row r="68" spans="16:21" ht="18" thickBot="1">
      <c r="P68" s="180" t="s">
        <v>978</v>
      </c>
      <c r="Q68" s="181">
        <v>3531495</v>
      </c>
      <c r="R68" s="181">
        <v>5199893433</v>
      </c>
      <c r="S68" s="182">
        <v>43824.17</v>
      </c>
      <c r="T68" s="210">
        <v>14</v>
      </c>
      <c r="U68" s="210">
        <v>94</v>
      </c>
    </row>
    <row r="69" spans="16:21" ht="18" thickBot="1">
      <c r="P69" s="180" t="s">
        <v>979</v>
      </c>
      <c r="Q69" s="181">
        <v>4269276</v>
      </c>
      <c r="R69" s="181">
        <v>6367394597</v>
      </c>
      <c r="S69" s="182">
        <v>31025.279999999999</v>
      </c>
      <c r="T69" s="210">
        <v>14</v>
      </c>
      <c r="U69" s="210">
        <v>106</v>
      </c>
    </row>
    <row r="70" spans="16:21" ht="18" thickBot="1">
      <c r="P70" s="180" t="s">
        <v>980</v>
      </c>
      <c r="Q70" s="181">
        <v>2851100</v>
      </c>
      <c r="R70" s="181">
        <v>4203605520</v>
      </c>
      <c r="S70" s="182">
        <v>36409.230000000003</v>
      </c>
      <c r="T70" s="210">
        <v>11</v>
      </c>
      <c r="U70" s="210">
        <v>80</v>
      </c>
    </row>
    <row r="71" spans="16:21" ht="18" thickBot="1">
      <c r="P71" s="180" t="s">
        <v>975</v>
      </c>
      <c r="Q71" s="181">
        <v>48073084</v>
      </c>
      <c r="R71" s="181">
        <v>68437682307</v>
      </c>
      <c r="S71" s="182">
        <v>508895.71</v>
      </c>
      <c r="T71" s="210">
        <v>48</v>
      </c>
      <c r="U71" s="210">
        <v>432</v>
      </c>
    </row>
    <row r="72" spans="16:21" ht="18" thickBot="1">
      <c r="P72" s="215" t="s">
        <v>982</v>
      </c>
      <c r="Q72" s="217" t="s">
        <v>1529</v>
      </c>
      <c r="R72"/>
      <c r="S72"/>
      <c r="T72"/>
      <c r="U72"/>
    </row>
    <row r="73" spans="16:21" ht="18" thickBot="1">
      <c r="P73" s="215" t="s">
        <v>1386</v>
      </c>
      <c r="Q73" s="217"/>
      <c r="R73"/>
      <c r="S73"/>
      <c r="T73"/>
      <c r="U73"/>
    </row>
  </sheetData>
  <phoneticPr fontId="1" type="noConversion"/>
  <conditionalFormatting sqref="C29:C30">
    <cfRule type="cellIs" dxfId="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"/>
  <dimension ref="A1:Z72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8506500000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283099.5</v>
      </c>
      <c r="G5" s="90"/>
      <c r="H5" s="90"/>
      <c r="I5" s="130">
        <f t="shared" ref="I5:I49" si="0">T5</f>
        <v>70.944956665485918</v>
      </c>
      <c r="J5" s="130"/>
      <c r="L5" s="80"/>
      <c r="M5" s="80"/>
      <c r="P5" s="129" t="s">
        <v>0</v>
      </c>
      <c r="Q5" s="116">
        <v>5661990</v>
      </c>
      <c r="R5" s="116">
        <v>6686197289</v>
      </c>
      <c r="S5" s="116">
        <v>79808.210000000006</v>
      </c>
      <c r="T5" s="130">
        <f t="shared" ref="T5:T17" si="1">Q5/S5</f>
        <v>70.944956665485918</v>
      </c>
      <c r="U5" s="85"/>
    </row>
    <row r="6" spans="1:21" ht="15" hidden="1" customHeight="1">
      <c r="A6" s="129" t="s">
        <v>1</v>
      </c>
      <c r="C6" s="79"/>
      <c r="F6" s="78">
        <f>Q6/18</f>
        <v>216600.5</v>
      </c>
      <c r="G6" s="90">
        <f t="shared" ref="G6:G16" si="2">F6/F5-1</f>
        <v>-0.23489621140270467</v>
      </c>
      <c r="H6" s="90"/>
      <c r="I6" s="130">
        <f t="shared" si="0"/>
        <v>55.001773996387115</v>
      </c>
      <c r="J6" s="130"/>
      <c r="P6" s="129" t="s">
        <v>1</v>
      </c>
      <c r="Q6" s="116">
        <v>3898809</v>
      </c>
      <c r="R6" s="116">
        <v>4635163331</v>
      </c>
      <c r="S6" s="116">
        <v>70885.149999999994</v>
      </c>
      <c r="T6" s="130">
        <f t="shared" si="1"/>
        <v>55.001773996387115</v>
      </c>
      <c r="U6" s="85"/>
    </row>
    <row r="7" spans="1:21" ht="15" hidden="1" customHeight="1">
      <c r="A7" s="129" t="s">
        <v>2</v>
      </c>
      <c r="B7" s="131">
        <f>F5+F6+F7</f>
        <v>805824.18181818188</v>
      </c>
      <c r="C7" s="131">
        <f>AVERAGE(F5:F7)</f>
        <v>268608.06060606061</v>
      </c>
      <c r="F7" s="78">
        <f>Q7/22</f>
        <v>306124.18181818182</v>
      </c>
      <c r="G7" s="90">
        <f t="shared" si="2"/>
        <v>0.41331244303767445</v>
      </c>
      <c r="H7" s="90"/>
      <c r="I7" s="130">
        <f t="shared" si="0"/>
        <v>69.558048682243395</v>
      </c>
      <c r="J7" s="130"/>
      <c r="K7" s="79">
        <f>R5+R6+R7</f>
        <v>19457486093</v>
      </c>
      <c r="N7" s="88">
        <f>AVERAGE(T5:T7)</f>
        <v>65.168259781372143</v>
      </c>
      <c r="P7" s="129" t="s">
        <v>2</v>
      </c>
      <c r="Q7" s="116">
        <v>6734732</v>
      </c>
      <c r="R7" s="116">
        <v>8136125473</v>
      </c>
      <c r="S7" s="116">
        <v>96821.75</v>
      </c>
      <c r="T7" s="130">
        <f t="shared" si="1"/>
        <v>69.558048682243395</v>
      </c>
      <c r="U7" s="85">
        <f>Q5+Q6+Q7</f>
        <v>16295531</v>
      </c>
    </row>
    <row r="8" spans="1:21" ht="15" hidden="1" customHeight="1">
      <c r="A8" s="129" t="s">
        <v>3</v>
      </c>
      <c r="C8" s="79"/>
      <c r="F8" s="78">
        <f>Q8/21</f>
        <v>375669</v>
      </c>
      <c r="G8" s="90">
        <f t="shared" si="2"/>
        <v>0.22717845342620913</v>
      </c>
      <c r="H8" s="90"/>
      <c r="I8" s="130">
        <f t="shared" si="0"/>
        <v>70.882229848196715</v>
      </c>
      <c r="J8" s="130"/>
      <c r="K8" s="78"/>
      <c r="P8" s="129" t="s">
        <v>3</v>
      </c>
      <c r="Q8" s="116">
        <v>7889049</v>
      </c>
      <c r="R8" s="116">
        <v>9560787113</v>
      </c>
      <c r="S8" s="116">
        <v>111297.98</v>
      </c>
      <c r="T8" s="130">
        <f t="shared" si="1"/>
        <v>70.882229848196715</v>
      </c>
      <c r="U8" s="85"/>
    </row>
    <row r="9" spans="1:21" ht="15" hidden="1" customHeight="1">
      <c r="A9" s="129" t="s">
        <v>4</v>
      </c>
      <c r="C9" s="79"/>
      <c r="F9" s="78">
        <f>Q9/21</f>
        <v>388710.90476190473</v>
      </c>
      <c r="G9" s="90">
        <f t="shared" si="2"/>
        <v>3.4716478500767201E-2</v>
      </c>
      <c r="H9" s="90"/>
      <c r="I9" s="130">
        <f t="shared" si="0"/>
        <v>70.530107969116131</v>
      </c>
      <c r="J9" s="130"/>
      <c r="K9" s="78"/>
      <c r="P9" s="129" t="s">
        <v>4</v>
      </c>
      <c r="Q9" s="116">
        <v>8162929</v>
      </c>
      <c r="R9" s="116">
        <v>10267134550</v>
      </c>
      <c r="S9" s="116">
        <v>115736.8</v>
      </c>
      <c r="T9" s="130">
        <f t="shared" si="1"/>
        <v>70.530107969116131</v>
      </c>
      <c r="U9" s="85"/>
    </row>
    <row r="10" spans="1:21" ht="15" hidden="1" customHeight="1">
      <c r="A10" s="129" t="s">
        <v>5</v>
      </c>
      <c r="B10" s="131">
        <f>F8+F9+F10</f>
        <v>1202247.7619047619</v>
      </c>
      <c r="C10" s="131">
        <f>AVERAGE(F8:F10)</f>
        <v>400749.25396825396</v>
      </c>
      <c r="D10" s="90">
        <f>C10/C7-1</f>
        <v>0.49194798199295686</v>
      </c>
      <c r="E10" s="286"/>
      <c r="F10" s="78">
        <f>Q10/21</f>
        <v>437867.85714285716</v>
      </c>
      <c r="G10" s="90">
        <f t="shared" si="2"/>
        <v>0.12646146989640616</v>
      </c>
      <c r="H10" s="90"/>
      <c r="I10" s="130">
        <f t="shared" si="0"/>
        <v>69.255164806312848</v>
      </c>
      <c r="J10" s="130"/>
      <c r="K10" s="79">
        <f>R8+R9+R10</f>
        <v>31419068405</v>
      </c>
      <c r="L10" s="87">
        <f>U10/U7-1</f>
        <v>0.54933294287863332</v>
      </c>
      <c r="N10" s="88">
        <f>AVERAGE(T8:T10)</f>
        <v>70.222500874541893</v>
      </c>
      <c r="O10" s="89">
        <f>N10/N7-1</f>
        <v>7.7556790838451573E-2</v>
      </c>
      <c r="P10" s="129" t="s">
        <v>5</v>
      </c>
      <c r="Q10" s="116">
        <v>9195225</v>
      </c>
      <c r="R10" s="116">
        <v>11591146742</v>
      </c>
      <c r="S10" s="116">
        <v>132773.13</v>
      </c>
      <c r="T10" s="130">
        <f t="shared" si="1"/>
        <v>69.255164806312848</v>
      </c>
      <c r="U10" s="85">
        <f>Q8+Q9+Q10</f>
        <v>25247203</v>
      </c>
    </row>
    <row r="11" spans="1:21" ht="15" hidden="1" customHeight="1">
      <c r="A11" s="129" t="s">
        <v>6</v>
      </c>
      <c r="C11" s="79"/>
      <c r="F11" s="78">
        <f>Q11/21</f>
        <v>420121.04761904763</v>
      </c>
      <c r="G11" s="90">
        <f t="shared" si="2"/>
        <v>-4.0530057720175372E-2</v>
      </c>
      <c r="H11" s="90"/>
      <c r="I11" s="130">
        <f t="shared" si="0"/>
        <v>77.790768561199016</v>
      </c>
      <c r="J11" s="130"/>
      <c r="K11" s="78"/>
      <c r="O11" s="89"/>
      <c r="P11" s="129" t="s">
        <v>6</v>
      </c>
      <c r="Q11" s="116">
        <v>8822542</v>
      </c>
      <c r="R11" s="116">
        <v>11396113469</v>
      </c>
      <c r="S11" s="116">
        <v>113413.74</v>
      </c>
      <c r="T11" s="130">
        <f t="shared" si="1"/>
        <v>77.790768561199016</v>
      </c>
      <c r="U11" s="85"/>
    </row>
    <row r="12" spans="1:21" ht="15" hidden="1" customHeight="1">
      <c r="A12" s="129" t="s">
        <v>7</v>
      </c>
      <c r="C12" s="79"/>
      <c r="F12" s="78">
        <f>Q12/22</f>
        <v>368094</v>
      </c>
      <c r="G12" s="90">
        <f t="shared" si="2"/>
        <v>-0.123838231657044</v>
      </c>
      <c r="H12" s="90"/>
      <c r="I12" s="130">
        <f t="shared" si="0"/>
        <v>72.052470983953739</v>
      </c>
      <c r="J12" s="130"/>
      <c r="K12" s="78"/>
      <c r="O12" s="89"/>
      <c r="P12" s="129" t="s">
        <v>7</v>
      </c>
      <c r="Q12" s="116">
        <v>8098068</v>
      </c>
      <c r="R12" s="116">
        <v>10529903093</v>
      </c>
      <c r="S12" s="116">
        <v>112391.26</v>
      </c>
      <c r="T12" s="130">
        <f t="shared" si="1"/>
        <v>72.052470983953739</v>
      </c>
      <c r="U12" s="85"/>
    </row>
    <row r="13" spans="1:21" ht="15" hidden="1" customHeight="1">
      <c r="A13" s="129" t="s">
        <v>96</v>
      </c>
      <c r="B13" s="131">
        <f>F11+F12+F13</f>
        <v>1338691.8976190477</v>
      </c>
      <c r="C13" s="131">
        <f>AVERAGE(F11:F13)</f>
        <v>446230.63253968256</v>
      </c>
      <c r="D13" s="90">
        <f>C13/C10-1</f>
        <v>0.11349086273041809</v>
      </c>
      <c r="E13" s="286"/>
      <c r="F13" s="78">
        <f>Q13/20</f>
        <v>550476.85</v>
      </c>
      <c r="G13" s="90">
        <f t="shared" si="2"/>
        <v>0.49547900807945799</v>
      </c>
      <c r="H13" s="90"/>
      <c r="I13" s="130">
        <f t="shared" si="0"/>
        <v>77.72165174138766</v>
      </c>
      <c r="J13" s="130"/>
      <c r="K13" s="78">
        <f>R11+R12+R13</f>
        <v>36978429402</v>
      </c>
      <c r="L13" s="87">
        <f>U13/U10-1</f>
        <v>0.10626697935608953</v>
      </c>
      <c r="N13" s="88">
        <f>AVERAGE(T11:T13)</f>
        <v>75.854963762180134</v>
      </c>
      <c r="O13" s="89">
        <f>N13/N10-1</f>
        <v>8.0208805119331927E-2</v>
      </c>
      <c r="P13" s="129" t="s">
        <v>96</v>
      </c>
      <c r="Q13" s="116">
        <v>11009537</v>
      </c>
      <c r="R13" s="116">
        <v>15052412840</v>
      </c>
      <c r="S13" s="116">
        <v>141653.41</v>
      </c>
      <c r="T13" s="130">
        <f t="shared" si="1"/>
        <v>77.72165174138766</v>
      </c>
      <c r="U13" s="85">
        <f>Q11+Q12+Q13</f>
        <v>27930147</v>
      </c>
    </row>
    <row r="14" spans="1:21" ht="15" hidden="1" customHeight="1">
      <c r="A14" s="129" t="s">
        <v>97</v>
      </c>
      <c r="C14" s="79"/>
      <c r="F14" s="78">
        <f>Q14/20</f>
        <v>517335.2</v>
      </c>
      <c r="G14" s="90">
        <f t="shared" si="2"/>
        <v>-6.0205347418333721E-2</v>
      </c>
      <c r="H14" s="90"/>
      <c r="I14" s="130">
        <f t="shared" si="0"/>
        <v>76.338993785354461</v>
      </c>
      <c r="J14" s="130"/>
      <c r="O14" s="89"/>
      <c r="P14" s="129" t="s">
        <v>97</v>
      </c>
      <c r="Q14" s="116">
        <v>10346704</v>
      </c>
      <c r="R14" s="116">
        <v>14757276323</v>
      </c>
      <c r="S14" s="116">
        <v>135536.29</v>
      </c>
      <c r="T14" s="130">
        <f t="shared" si="1"/>
        <v>76.338993785354461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412154.5</v>
      </c>
      <c r="G15" s="90">
        <f t="shared" si="2"/>
        <v>-0.20331247516117212</v>
      </c>
      <c r="H15" s="90"/>
      <c r="I15" s="130">
        <f t="shared" si="0"/>
        <v>75.347852522812147</v>
      </c>
      <c r="J15" s="130"/>
      <c r="O15" s="89"/>
      <c r="P15" s="129" t="s">
        <v>98</v>
      </c>
      <c r="Q15" s="116">
        <v>9067399</v>
      </c>
      <c r="R15" s="116">
        <v>12548404371</v>
      </c>
      <c r="S15" s="116">
        <v>120340.51</v>
      </c>
      <c r="T15" s="130">
        <f t="shared" si="1"/>
        <v>75.347852522812147</v>
      </c>
      <c r="U15" s="78"/>
    </row>
    <row r="16" spans="1:21" ht="15" hidden="1" customHeight="1">
      <c r="A16" s="129" t="s">
        <v>99</v>
      </c>
      <c r="B16" s="131">
        <f>F14+F15+F16</f>
        <v>1649522.6090909089</v>
      </c>
      <c r="C16" s="131">
        <f>AVERAGE(F14:F16)</f>
        <v>549840.86969696963</v>
      </c>
      <c r="D16" s="90">
        <f>C16/C13-1</f>
        <v>0.23218988030382071</v>
      </c>
      <c r="E16" s="286"/>
      <c r="F16" s="78">
        <f>Q16/22</f>
        <v>720032.90909090906</v>
      </c>
      <c r="G16" s="90">
        <f t="shared" si="2"/>
        <v>0.74699756788027072</v>
      </c>
      <c r="H16" s="90"/>
      <c r="I16" s="130">
        <f t="shared" si="0"/>
        <v>76.768243437257311</v>
      </c>
      <c r="J16" s="130"/>
      <c r="K16" s="78">
        <f>R14+R15+R16</f>
        <v>48030506273</v>
      </c>
      <c r="L16" s="87">
        <f>U16/U13-1</f>
        <v>0.26224996237936016</v>
      </c>
      <c r="N16" s="88">
        <f>AVERAGE(T14:T16)</f>
        <v>76.151696581807968</v>
      </c>
      <c r="O16" s="89">
        <f>N16/N13-1</f>
        <v>3.9118444583026157E-3</v>
      </c>
      <c r="P16" s="129" t="s">
        <v>99</v>
      </c>
      <c r="Q16" s="116">
        <v>15840724</v>
      </c>
      <c r="R16" s="116">
        <v>20724825579</v>
      </c>
      <c r="S16" s="116">
        <v>206344.75</v>
      </c>
      <c r="T16" s="130">
        <f t="shared" si="1"/>
        <v>76.768243437257311</v>
      </c>
      <c r="U16" s="85">
        <f>Q14+Q15+Q16</f>
        <v>35254827</v>
      </c>
    </row>
    <row r="17" spans="1:21" ht="15" hidden="1" customHeight="1">
      <c r="A17" s="129" t="s">
        <v>100</v>
      </c>
      <c r="C17" s="79"/>
      <c r="F17" s="78">
        <f>Q17/20</f>
        <v>497162.25</v>
      </c>
      <c r="G17" s="90">
        <f t="shared" ref="G17:G22" si="3">F17/F16-1</f>
        <v>-0.30952843443266853</v>
      </c>
      <c r="H17" s="90">
        <f t="shared" ref="H17:H22" si="4">F17/F5-1</f>
        <v>0.75613962582060368</v>
      </c>
      <c r="I17" s="130">
        <f t="shared" si="0"/>
        <v>85.165040351114911</v>
      </c>
      <c r="J17" s="130">
        <f t="shared" ref="J17:J49" si="5">I17/I5-1</f>
        <v>0.20043826022304034</v>
      </c>
      <c r="O17" s="89"/>
      <c r="P17" s="129" t="s">
        <v>100</v>
      </c>
      <c r="Q17" s="116">
        <v>9943245</v>
      </c>
      <c r="R17" s="116">
        <v>12476423092</v>
      </c>
      <c r="S17" s="116">
        <v>116752.66</v>
      </c>
      <c r="T17" s="130">
        <f t="shared" si="1"/>
        <v>85.165040351114911</v>
      </c>
      <c r="U17" s="78"/>
    </row>
    <row r="18" spans="1:21" ht="15" hidden="1" customHeight="1">
      <c r="A18" s="129" t="s">
        <v>106</v>
      </c>
      <c r="C18" s="79"/>
      <c r="F18" s="78">
        <f>Q18/20</f>
        <v>482825.95</v>
      </c>
      <c r="G18" s="90">
        <f t="shared" si="3"/>
        <v>-2.8836260194735175E-2</v>
      </c>
      <c r="H18" s="90">
        <f t="shared" si="4"/>
        <v>1.229108196887819</v>
      </c>
      <c r="I18" s="130">
        <f t="shared" si="0"/>
        <v>68.939769612474507</v>
      </c>
      <c r="J18" s="130">
        <f t="shared" si="5"/>
        <v>0.25340992850526844</v>
      </c>
      <c r="O18" s="89"/>
      <c r="P18" s="129" t="s">
        <v>106</v>
      </c>
      <c r="Q18" s="116">
        <v>9656519</v>
      </c>
      <c r="R18" s="116">
        <v>12179561086</v>
      </c>
      <c r="S18" s="116">
        <v>140071.82</v>
      </c>
      <c r="T18" s="130">
        <f t="shared" ref="T18" si="6">Q18/S18</f>
        <v>68.939769612474507</v>
      </c>
      <c r="U18" s="78"/>
    </row>
    <row r="19" spans="1:21" hidden="1">
      <c r="A19" s="129" t="s">
        <v>114</v>
      </c>
      <c r="B19" s="131">
        <f>SUM(F17:F19)</f>
        <v>1568810.4727272727</v>
      </c>
      <c r="C19" s="131">
        <f>AVERAGE(F17:F19)</f>
        <v>522936.82424242422</v>
      </c>
      <c r="D19" s="90">
        <f>C19/C16-1</f>
        <v>-4.893060326594656E-2</v>
      </c>
      <c r="E19" s="286">
        <f>C19/C7-1</f>
        <v>0.94683965575166051</v>
      </c>
      <c r="F19" s="78">
        <f>Q19/22</f>
        <v>588822.27272727271</v>
      </c>
      <c r="G19" s="90">
        <f t="shared" si="3"/>
        <v>0.21953319353956169</v>
      </c>
      <c r="H19" s="90">
        <f t="shared" si="4"/>
        <v>0.92347520287369989</v>
      </c>
      <c r="I19" s="130">
        <f t="shared" si="0"/>
        <v>82.381412989768222</v>
      </c>
      <c r="J19" s="130">
        <f t="shared" si="5"/>
        <v>0.18435485972449861</v>
      </c>
      <c r="K19" s="78">
        <f>R17+R18+R19</f>
        <v>41581331495</v>
      </c>
      <c r="L19" s="87">
        <f>U19/U16-1</f>
        <v>-7.6612856446579669E-2</v>
      </c>
      <c r="M19" s="87">
        <f>U19/U7-1</f>
        <v>0.99771667459010693</v>
      </c>
      <c r="N19" s="88">
        <f>AVERAGE(T17:T19)</f>
        <v>78.828740984452551</v>
      </c>
      <c r="O19" s="89">
        <f>N19/N16-1</f>
        <v>3.5154100601930693E-2</v>
      </c>
      <c r="P19" s="129" t="s">
        <v>115</v>
      </c>
      <c r="Q19" s="116">
        <v>12954090</v>
      </c>
      <c r="R19" s="116">
        <v>16925347317</v>
      </c>
      <c r="S19" s="116">
        <v>157245.29999999999</v>
      </c>
      <c r="T19" s="130">
        <f t="shared" ref="T19" si="7">Q19/S19</f>
        <v>82.381412989768222</v>
      </c>
      <c r="U19" s="85">
        <f>Q17+Q18+Q19</f>
        <v>32553854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510651.1</v>
      </c>
      <c r="G20" s="90">
        <f t="shared" si="3"/>
        <v>-0.13275851873809741</v>
      </c>
      <c r="H20" s="90">
        <f t="shared" si="4"/>
        <v>0.35931125538705611</v>
      </c>
      <c r="I20" s="130">
        <f t="shared" si="0"/>
        <v>96.200661355751024</v>
      </c>
      <c r="J20" s="130">
        <f t="shared" si="5"/>
        <v>0.35719011043779147</v>
      </c>
      <c r="O20" s="89"/>
      <c r="P20" s="129" t="s">
        <v>132</v>
      </c>
      <c r="Q20" s="116">
        <v>10213022</v>
      </c>
      <c r="R20" s="116">
        <v>13375241200</v>
      </c>
      <c r="S20" s="116">
        <v>106163.74</v>
      </c>
      <c r="T20" s="130">
        <f t="shared" ref="T20" si="8">Q20/S20</f>
        <v>96.200661355751024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598182.66666666663</v>
      </c>
      <c r="G21" s="90">
        <f t="shared" si="3"/>
        <v>0.17141168728837886</v>
      </c>
      <c r="H21" s="90">
        <f t="shared" si="4"/>
        <v>0.53888830835108337</v>
      </c>
      <c r="I21" s="130">
        <f t="shared" si="0"/>
        <v>59.686583851598648</v>
      </c>
      <c r="J21" s="130">
        <f t="shared" si="5"/>
        <v>-0.15374319464058761</v>
      </c>
      <c r="O21" s="89"/>
      <c r="P21" s="129" t="s">
        <v>141</v>
      </c>
      <c r="Q21" s="116">
        <v>12561836</v>
      </c>
      <c r="R21" s="116">
        <v>16704285450</v>
      </c>
      <c r="S21" s="116">
        <v>210463.31</v>
      </c>
      <c r="T21" s="130">
        <f t="shared" ref="T21" si="9">Q21/S21</f>
        <v>59.686583851598648</v>
      </c>
      <c r="U21" s="78"/>
    </row>
    <row r="22" spans="1:21" hidden="1">
      <c r="A22" s="129" t="s">
        <v>156</v>
      </c>
      <c r="B22" s="131">
        <f>SUM(F20:F22)</f>
        <v>2686623.0047619045</v>
      </c>
      <c r="C22" s="131">
        <f>AVERAGE(F20:F22)</f>
        <v>895541.00158730149</v>
      </c>
      <c r="D22" s="90">
        <f>C22/C19-1</f>
        <v>0.71252235465472702</v>
      </c>
      <c r="E22" s="286">
        <f>C22/C10-1</f>
        <v>1.2346666717893462</v>
      </c>
      <c r="F22" s="78">
        <f>Q22/21</f>
        <v>1577789.2380952381</v>
      </c>
      <c r="G22" s="90">
        <f t="shared" si="3"/>
        <v>1.6376378421116149</v>
      </c>
      <c r="H22" s="90">
        <f t="shared" si="4"/>
        <v>2.6033456495083045</v>
      </c>
      <c r="I22" s="130">
        <f t="shared" si="0"/>
        <v>43.030260165643305</v>
      </c>
      <c r="J22" s="130">
        <f t="shared" si="5"/>
        <v>-0.37867074194413086</v>
      </c>
      <c r="K22" s="78">
        <f>R20+R21+R22</f>
        <v>73451080052</v>
      </c>
      <c r="L22" s="87">
        <f>U22/U19-1</f>
        <v>0.71741361253263602</v>
      </c>
      <c r="M22" s="87">
        <f>U22/U10-1</f>
        <v>1.2144406253635305</v>
      </c>
      <c r="N22" s="88">
        <f>AVERAGE(T20:T22)</f>
        <v>66.305835124330997</v>
      </c>
      <c r="O22" s="89">
        <f>N22/N19-1</f>
        <v>-0.15886218279943676</v>
      </c>
      <c r="P22" s="129" t="s">
        <v>156</v>
      </c>
      <c r="Q22" s="116">
        <v>33133574</v>
      </c>
      <c r="R22" s="116">
        <v>43371553402</v>
      </c>
      <c r="S22" s="116">
        <v>770006.36</v>
      </c>
      <c r="T22" s="130">
        <f t="shared" ref="T22:T23" si="10">Q22/S22</f>
        <v>43.030260165643305</v>
      </c>
      <c r="U22" s="85">
        <f>Q20+Q21+Q22</f>
        <v>55908432</v>
      </c>
    </row>
    <row r="23" spans="1:21" hidden="1">
      <c r="A23" s="129" t="s">
        <v>189</v>
      </c>
      <c r="C23" s="131"/>
      <c r="F23" s="78">
        <f>Q23/21</f>
        <v>552333.14285714284</v>
      </c>
      <c r="G23" s="90">
        <f t="shared" ref="G23" si="11">F23/F22-1</f>
        <v>-0.64993224093482937</v>
      </c>
      <c r="H23" s="90">
        <f t="shared" ref="H23" si="12">F23/F11-1</f>
        <v>0.31470000369508</v>
      </c>
      <c r="I23" s="130">
        <f t="shared" si="0"/>
        <v>76.627561646594017</v>
      </c>
      <c r="J23" s="130">
        <f t="shared" si="5"/>
        <v>-1.4953019954930591E-2</v>
      </c>
      <c r="O23" s="89"/>
      <c r="P23" s="129" t="s">
        <v>189</v>
      </c>
      <c r="Q23" s="116">
        <v>11598996</v>
      </c>
      <c r="R23" s="116">
        <v>14939124116</v>
      </c>
      <c r="S23" s="116">
        <v>151368.46</v>
      </c>
      <c r="T23" s="130">
        <f t="shared" si="10"/>
        <v>76.627561646594017</v>
      </c>
      <c r="U23" s="78"/>
    </row>
    <row r="24" spans="1:21" hidden="1">
      <c r="A24" s="129" t="s">
        <v>204</v>
      </c>
      <c r="C24" s="131"/>
      <c r="F24" s="78">
        <f>Q24/22</f>
        <v>486083</v>
      </c>
      <c r="G24" s="90">
        <f t="shared" ref="G24" si="13">F24/F23-1</f>
        <v>-0.11994598498007925</v>
      </c>
      <c r="H24" s="90">
        <f t="shared" ref="H24" si="14">F24/F12-1</f>
        <v>0.3205404054399148</v>
      </c>
      <c r="I24" s="130">
        <f t="shared" si="0"/>
        <v>82.810289644038505</v>
      </c>
      <c r="J24" s="130">
        <f t="shared" si="5"/>
        <v>0.14930533974997973</v>
      </c>
      <c r="O24" s="89"/>
      <c r="P24" s="129" t="s">
        <v>204</v>
      </c>
      <c r="Q24" s="116">
        <v>10693826</v>
      </c>
      <c r="R24" s="116">
        <v>14026633649</v>
      </c>
      <c r="S24" s="116">
        <v>129136.44</v>
      </c>
      <c r="T24" s="130">
        <f t="shared" ref="T24" si="15">Q24/S24</f>
        <v>82.810289644038505</v>
      </c>
      <c r="U24" s="78"/>
    </row>
    <row r="25" spans="1:21" s="79" customFormat="1" ht="13.2" hidden="1">
      <c r="A25" s="129" t="s">
        <v>219</v>
      </c>
      <c r="B25" s="131">
        <f>SUM(F23:F25)</f>
        <v>1605030.5639097744</v>
      </c>
      <c r="C25" s="131">
        <f>AVERAGE(F23:F25)</f>
        <v>535010.18796992477</v>
      </c>
      <c r="D25" s="90">
        <f>C25/C22-1</f>
        <v>-0.4025843741139199</v>
      </c>
      <c r="E25" s="286">
        <f>C25/C13-1</f>
        <v>0.19895441719220641</v>
      </c>
      <c r="F25" s="78">
        <f>Q25/19</f>
        <v>566614.42105263157</v>
      </c>
      <c r="G25" s="90">
        <f t="shared" ref="G25" si="16">F25/F24-1</f>
        <v>0.16567421829735163</v>
      </c>
      <c r="H25" s="90">
        <f t="shared" ref="H25" si="17">F25/F13-1</f>
        <v>2.9315621633555722E-2</v>
      </c>
      <c r="I25" s="130">
        <f t="shared" si="0"/>
        <v>73.757058978727713</v>
      </c>
      <c r="J25" s="130">
        <f t="shared" si="5"/>
        <v>-5.1010145484964742E-2</v>
      </c>
      <c r="K25" s="78">
        <f>R23+R24+R25</f>
        <v>43247410150</v>
      </c>
      <c r="L25" s="90">
        <f>U25/U22-1</f>
        <v>-0.40870285898914138</v>
      </c>
      <c r="M25" s="90">
        <f>U25/U13-1</f>
        <v>0.18361339093560813</v>
      </c>
      <c r="N25" s="88">
        <f>AVERAGE(T23:T25)</f>
        <v>77.731636756453412</v>
      </c>
      <c r="O25" s="91">
        <f>N25/N22-1</f>
        <v>0.17231970022996812</v>
      </c>
      <c r="P25" s="129" t="s">
        <v>219</v>
      </c>
      <c r="Q25" s="116">
        <v>10765674</v>
      </c>
      <c r="R25" s="116">
        <v>14281652385</v>
      </c>
      <c r="S25" s="116">
        <v>145961.26999999999</v>
      </c>
      <c r="T25" s="130">
        <f t="shared" ref="T25" si="18">Q25/S25</f>
        <v>73.757058978727713</v>
      </c>
      <c r="U25" s="85">
        <f>Q23+Q24+Q25</f>
        <v>33058496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493586.21052631579</v>
      </c>
      <c r="G26" s="90">
        <f t="shared" ref="G26" si="19">F26/F25-1</f>
        <v>-0.12888519566912393</v>
      </c>
      <c r="H26" s="90">
        <f t="shared" ref="H26" si="20">F26/F14-1</f>
        <v>-4.5906386176088998E-2</v>
      </c>
      <c r="I26" s="130">
        <f t="shared" si="0"/>
        <v>72.03278710937785</v>
      </c>
      <c r="J26" s="130">
        <f t="shared" si="5"/>
        <v>-5.6409004919354189E-2</v>
      </c>
      <c r="L26" s="90"/>
      <c r="M26" s="90"/>
      <c r="P26" s="129" t="s">
        <v>312</v>
      </c>
      <c r="Q26" s="116">
        <v>9378138</v>
      </c>
      <c r="R26" s="116">
        <v>12630779316</v>
      </c>
      <c r="S26" s="116">
        <v>130192.63</v>
      </c>
      <c r="T26" s="130">
        <f t="shared" ref="T26" si="21">Q26/S26</f>
        <v>72.03278710937785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478429.77272727271</v>
      </c>
      <c r="G27" s="90">
        <f t="shared" ref="G27" si="22">F27/F26-1</f>
        <v>-3.0706769102973208E-2</v>
      </c>
      <c r="H27" s="90">
        <f t="shared" ref="H27" si="23">F27/F15-1</f>
        <v>0.16080201169045272</v>
      </c>
      <c r="I27" s="130">
        <f t="shared" si="0"/>
        <v>69.575212279504044</v>
      </c>
      <c r="J27" s="130">
        <f t="shared" si="5"/>
        <v>-7.6613201969630063E-2</v>
      </c>
      <c r="L27" s="90"/>
      <c r="M27" s="90"/>
      <c r="P27" s="129" t="s">
        <v>375</v>
      </c>
      <c r="Q27" s="116">
        <v>10525455</v>
      </c>
      <c r="R27" s="116">
        <v>13863259066</v>
      </c>
      <c r="S27" s="116">
        <v>151281.68</v>
      </c>
      <c r="T27" s="130">
        <f t="shared" ref="T27" si="24">Q27/S27</f>
        <v>69.575212279504044</v>
      </c>
      <c r="U27" s="78"/>
    </row>
    <row r="28" spans="1:21" s="79" customFormat="1" ht="13.2" hidden="1">
      <c r="A28" s="123" t="s">
        <v>413</v>
      </c>
      <c r="B28" s="131">
        <f>SUM(F26:F28)</f>
        <v>1784094.1411483253</v>
      </c>
      <c r="C28" s="131">
        <f>AVERAGE(F26:F28)</f>
        <v>594698.04704944172</v>
      </c>
      <c r="D28" s="90">
        <f>C28/C25-1</f>
        <v>0.11156396723210116</v>
      </c>
      <c r="E28" s="286">
        <f>C28/C16-1</f>
        <v>8.1582108251054386E-2</v>
      </c>
      <c r="F28" s="78">
        <f>Q28/19</f>
        <v>812078.15789473685</v>
      </c>
      <c r="G28" s="90">
        <f t="shared" ref="G28" si="25">F28/F27-1</f>
        <v>0.6973821534255964</v>
      </c>
      <c r="H28" s="90">
        <f t="shared" ref="H28" si="26">F28/F16-1</f>
        <v>0.12783478038530394</v>
      </c>
      <c r="I28" s="130">
        <f t="shared" si="0"/>
        <v>86.921588082815873</v>
      </c>
      <c r="J28" s="130">
        <f t="shared" si="5"/>
        <v>0.13225969738198962</v>
      </c>
      <c r="K28" s="78">
        <f>R26+R27+R28</f>
        <v>46637737547</v>
      </c>
      <c r="L28" s="90">
        <f>U28/U25-1</f>
        <v>6.8804763531892021E-2</v>
      </c>
      <c r="M28" s="90">
        <f>U28/U16-1</f>
        <v>2.2195825836841543E-3</v>
      </c>
      <c r="N28" s="88">
        <f>AVERAGE(T26:T28)</f>
        <v>76.176529157232594</v>
      </c>
      <c r="O28" s="91">
        <f>N28/N25-1</f>
        <v>-2.0006109019590546E-2</v>
      </c>
      <c r="P28" s="129" t="s">
        <v>413</v>
      </c>
      <c r="Q28" s="116">
        <v>15429485</v>
      </c>
      <c r="R28" s="116">
        <v>20143699165</v>
      </c>
      <c r="S28" s="116">
        <v>177510.39</v>
      </c>
      <c r="T28" s="130">
        <f t="shared" ref="T28" si="27">Q28/S28</f>
        <v>86.921588082815873</v>
      </c>
      <c r="U28" s="85">
        <f>Q26+Q27+Q28</f>
        <v>35333078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380267.31818181818</v>
      </c>
      <c r="G29" s="190">
        <f t="shared" ref="G29" si="28">F29/F28-1</f>
        <v>-0.53173556697099444</v>
      </c>
      <c r="H29" s="190">
        <f t="shared" ref="H29" si="29">F29/F17-1</f>
        <v>-0.23512431166723102</v>
      </c>
      <c r="I29" s="130">
        <f t="shared" si="0"/>
        <v>59.133080870268117</v>
      </c>
      <c r="J29" s="130">
        <f t="shared" si="5"/>
        <v>-0.30566485230939022</v>
      </c>
      <c r="K29" s="136"/>
      <c r="L29" s="190"/>
      <c r="M29" s="190"/>
      <c r="N29" s="191"/>
      <c r="O29" s="192"/>
      <c r="P29" s="129" t="s">
        <v>427</v>
      </c>
      <c r="Q29" s="116">
        <v>8365881</v>
      </c>
      <c r="R29" s="116">
        <v>11024174381</v>
      </c>
      <c r="S29" s="116">
        <v>141475.48000000001</v>
      </c>
      <c r="T29" s="130">
        <f t="shared" ref="T29" si="30">Q29/S29</f>
        <v>59.133080870268117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490193.73684210528</v>
      </c>
      <c r="G30" s="190">
        <f t="shared" ref="G30" si="31">F30/F29-1</f>
        <v>0.2890766926431676</v>
      </c>
      <c r="H30" s="190">
        <f t="shared" ref="H30" si="32">F30/F18-1</f>
        <v>1.5259715933050533E-2</v>
      </c>
      <c r="I30" s="130">
        <f t="shared" si="0"/>
        <v>67.289266625909292</v>
      </c>
      <c r="J30" s="130">
        <f t="shared" si="5"/>
        <v>-2.3941231539400976E-2</v>
      </c>
      <c r="K30" s="136"/>
      <c r="L30" s="190"/>
      <c r="M30" s="190"/>
      <c r="N30" s="191"/>
      <c r="O30" s="192"/>
      <c r="P30" s="129" t="s">
        <v>469</v>
      </c>
      <c r="Q30" s="116">
        <v>9313681</v>
      </c>
      <c r="R30" s="116">
        <v>12411287284</v>
      </c>
      <c r="S30" s="116">
        <v>138412.57999999999</v>
      </c>
      <c r="T30" s="130">
        <f t="shared" ref="T30" si="33">Q30/S30</f>
        <v>67.289266625909292</v>
      </c>
      <c r="U30" s="85"/>
    </row>
    <row r="31" spans="1:21" s="79" customFormat="1" ht="13.2" hidden="1">
      <c r="A31" s="129" t="s">
        <v>505</v>
      </c>
      <c r="B31" s="188">
        <f>SUM(F29:F31)</f>
        <v>1493518.3050239235</v>
      </c>
      <c r="C31" s="188">
        <f>AVERAGE(F29:F31)</f>
        <v>497839.43500797451</v>
      </c>
      <c r="D31" s="190">
        <f>C31/C28-1</f>
        <v>-0.16287023729441408</v>
      </c>
      <c r="E31" s="287">
        <f>C31/C19-1</f>
        <v>-4.7993157243818474E-2</v>
      </c>
      <c r="F31" s="136">
        <f>Q31/20</f>
        <v>623057.25</v>
      </c>
      <c r="G31" s="190">
        <f t="shared" ref="G31" si="34">F31/F30-1</f>
        <v>0.27104286157105872</v>
      </c>
      <c r="H31" s="190">
        <f t="shared" ref="H31" si="35">F31/F19-1</f>
        <v>5.8141444130772602E-2</v>
      </c>
      <c r="I31" s="130">
        <f t="shared" si="0"/>
        <v>68.846622272962932</v>
      </c>
      <c r="J31" s="130">
        <f t="shared" si="5"/>
        <v>-0.16429422882666889</v>
      </c>
      <c r="K31" s="136">
        <f>R29+R30+R31</f>
        <v>39966402831</v>
      </c>
      <c r="L31" s="190">
        <f>U31/U28-1</f>
        <v>-0.14695495818394311</v>
      </c>
      <c r="M31" s="190">
        <f>U31/U19-1</f>
        <v>-7.4127843664839155E-2</v>
      </c>
      <c r="N31" s="191">
        <f>AVERAGE(T29:T31)</f>
        <v>65.089656589713442</v>
      </c>
      <c r="O31" s="192">
        <f>N31/N28-1</f>
        <v>-0.14554184458358854</v>
      </c>
      <c r="P31" s="129" t="s">
        <v>505</v>
      </c>
      <c r="Q31" s="116">
        <v>12461145</v>
      </c>
      <c r="R31" s="116">
        <v>16530941166</v>
      </c>
      <c r="S31" s="116">
        <v>180998.64</v>
      </c>
      <c r="T31" s="130">
        <f t="shared" ref="T31" si="36">Q31/S31</f>
        <v>68.846622272962932</v>
      </c>
      <c r="U31" s="85">
        <f>Q29+Q30+Q31</f>
        <v>30140707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466118.95238095237</v>
      </c>
      <c r="G32" s="190">
        <f t="shared" ref="G32" si="37">F32/F31-1</f>
        <v>-0.25188423314077102</v>
      </c>
      <c r="H32" s="190">
        <f t="shared" ref="H32" si="38">F32/F20-1</f>
        <v>-8.7206602745098616E-2</v>
      </c>
      <c r="I32" s="130">
        <f t="shared" si="0"/>
        <v>62.995707976074947</v>
      </c>
      <c r="J32" s="130">
        <f t="shared" si="5"/>
        <v>-0.34516346261782782</v>
      </c>
      <c r="K32" s="136"/>
      <c r="L32" s="190"/>
      <c r="M32" s="190"/>
      <c r="N32" s="191"/>
      <c r="O32" s="192"/>
      <c r="P32" s="129" t="s">
        <v>578</v>
      </c>
      <c r="Q32" s="116">
        <v>9788498</v>
      </c>
      <c r="R32" s="116">
        <v>13328403685</v>
      </c>
      <c r="S32" s="116">
        <v>155383.57</v>
      </c>
      <c r="T32" s="130">
        <f t="shared" ref="T32" si="39">Q32/S32</f>
        <v>62.995707976074947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551422</v>
      </c>
      <c r="G33" s="190">
        <f t="shared" ref="G33" si="40">F33/F32-1</f>
        <v>0.18300703540011964</v>
      </c>
      <c r="H33" s="190">
        <f t="shared" ref="H33" si="41">F33/F21-1</f>
        <v>-7.8171216373147945E-2</v>
      </c>
      <c r="I33" s="130">
        <f t="shared" si="0"/>
        <v>69.245512711726064</v>
      </c>
      <c r="J33" s="130">
        <f t="shared" si="5"/>
        <v>0.16015205165526303</v>
      </c>
      <c r="K33" s="136"/>
      <c r="L33" s="190"/>
      <c r="M33" s="190"/>
      <c r="N33" s="191"/>
      <c r="O33" s="192"/>
      <c r="P33" s="129" t="s">
        <v>607</v>
      </c>
      <c r="Q33" s="116">
        <v>11579862</v>
      </c>
      <c r="R33" s="116">
        <v>15818468596</v>
      </c>
      <c r="S33" s="116">
        <v>167229.06</v>
      </c>
      <c r="T33" s="130">
        <f t="shared" ref="T33" si="42">Q33/S33</f>
        <v>69.245512711726064</v>
      </c>
      <c r="U33" s="85"/>
    </row>
    <row r="34" spans="1:21" s="79" customFormat="1" ht="13.2" hidden="1">
      <c r="A34" s="129" t="s">
        <v>652</v>
      </c>
      <c r="B34" s="188">
        <f>SUM(F32:F34)</f>
        <v>1695471.9523809524</v>
      </c>
      <c r="C34" s="188">
        <f>AVERAGE(F32:F34)</f>
        <v>565157.31746031751</v>
      </c>
      <c r="D34" s="190">
        <f>C34/C31-1</f>
        <v>0.13522006839668044</v>
      </c>
      <c r="E34" s="287">
        <f>C34/C22-1</f>
        <v>-0.36892077921769684</v>
      </c>
      <c r="F34" s="136">
        <f>Q34/19</f>
        <v>677931</v>
      </c>
      <c r="G34" s="190">
        <f t="shared" ref="G34" si="43">F34/F33-1</f>
        <v>0.22942320038010822</v>
      </c>
      <c r="H34" s="190">
        <f t="shared" ref="H34" si="44">F34/F22-1</f>
        <v>-0.57032854348884909</v>
      </c>
      <c r="I34" s="130">
        <f t="shared" si="0"/>
        <v>83.745666572371135</v>
      </c>
      <c r="J34" s="130">
        <f t="shared" si="5"/>
        <v>0.94620404919690149</v>
      </c>
      <c r="K34" s="136">
        <f>R32+R33+R34</f>
        <v>46860251634</v>
      </c>
      <c r="L34" s="190">
        <f>U34/U31-1</f>
        <v>0.13630542906641185</v>
      </c>
      <c r="M34" s="190">
        <f>U34/U22-1</f>
        <v>-0.3874081641209326</v>
      </c>
      <c r="N34" s="191">
        <f>AVERAGE(T32:T34)</f>
        <v>71.995629086724051</v>
      </c>
      <c r="O34" s="192">
        <f>N34/N31-1</f>
        <v>0.10609938443125855</v>
      </c>
      <c r="P34" s="129" t="s">
        <v>652</v>
      </c>
      <c r="Q34" s="116">
        <v>12880689</v>
      </c>
      <c r="R34" s="116">
        <v>17713379353</v>
      </c>
      <c r="S34" s="116">
        <v>153807.23000000001</v>
      </c>
      <c r="T34" s="130">
        <f t="shared" ref="T34" si="45">Q34/S34</f>
        <v>83.745666572371135</v>
      </c>
      <c r="U34" s="85">
        <f>Q32+Q33+Q34</f>
        <v>34249049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391996.04347826086</v>
      </c>
      <c r="G35" s="190">
        <f t="shared" ref="G35" si="46">F35/F34-1</f>
        <v>-0.42177589831670059</v>
      </c>
      <c r="H35" s="190">
        <f t="shared" ref="H35" si="47">F35/F23-1</f>
        <v>-0.29029056367952211</v>
      </c>
      <c r="I35" s="130">
        <f t="shared" si="0"/>
        <v>67.395458430164823</v>
      </c>
      <c r="J35" s="130">
        <f t="shared" si="5"/>
        <v>-0.12048019039164548</v>
      </c>
      <c r="K35" s="136"/>
      <c r="L35" s="190"/>
      <c r="M35" s="190"/>
      <c r="N35" s="191"/>
      <c r="O35" s="192"/>
      <c r="P35" s="129" t="s">
        <v>660</v>
      </c>
      <c r="Q35" s="116">
        <v>9015909</v>
      </c>
      <c r="R35" s="116">
        <v>12475222011</v>
      </c>
      <c r="S35" s="116">
        <v>133776.21</v>
      </c>
      <c r="T35" s="130">
        <f t="shared" ref="T35" si="48">Q35/S35</f>
        <v>67.395458430164823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546390.23809523811</v>
      </c>
      <c r="G36" s="190">
        <f t="shared" ref="G36" si="49">F36/F35-1</f>
        <v>0.39386671673266416</v>
      </c>
      <c r="H36" s="190">
        <f t="shared" ref="H36" si="50">F36/F24-1</f>
        <v>0.12406777874403785</v>
      </c>
      <c r="I36" s="130">
        <f t="shared" si="0"/>
        <v>75.657493258098242</v>
      </c>
      <c r="J36" s="130">
        <f t="shared" si="5"/>
        <v>-8.6375695782331952E-2</v>
      </c>
      <c r="K36" s="136"/>
      <c r="L36" s="190"/>
      <c r="M36" s="190"/>
      <c r="N36" s="191"/>
      <c r="O36" s="192"/>
      <c r="P36" s="129" t="s">
        <v>666</v>
      </c>
      <c r="Q36" s="116">
        <v>11474195</v>
      </c>
      <c r="R36" s="116">
        <v>15668172582</v>
      </c>
      <c r="S36" s="116">
        <v>151659.73000000001</v>
      </c>
      <c r="T36" s="130">
        <f t="shared" ref="T36" si="51">Q36/S36</f>
        <v>75.657493258098242</v>
      </c>
      <c r="U36" s="85"/>
    </row>
    <row r="37" spans="1:21" s="79" customFormat="1" ht="13.2" hidden="1">
      <c r="A37" s="129" t="s">
        <v>702</v>
      </c>
      <c r="B37" s="188">
        <f>SUM(F35:F37)</f>
        <v>1528854.7260179436</v>
      </c>
      <c r="C37" s="188">
        <f>AVERAGE(F35:F37)</f>
        <v>509618.24200598121</v>
      </c>
      <c r="D37" s="190">
        <f>C37/C34-1</f>
        <v>-9.8271885966045192E-2</v>
      </c>
      <c r="E37" s="287">
        <f>C37/C25-1</f>
        <v>-4.7460677450446909E-2</v>
      </c>
      <c r="F37" s="136">
        <f>Q37/18</f>
        <v>590468.4444444445</v>
      </c>
      <c r="G37" s="190">
        <f t="shared" ref="G37" si="52">F37/F36-1</f>
        <v>8.0671657866485225E-2</v>
      </c>
      <c r="H37" s="190">
        <f t="shared" ref="H37" si="53">F37/F25-1</f>
        <v>4.2099216866909206E-2</v>
      </c>
      <c r="I37" s="130">
        <f t="shared" si="0"/>
        <v>84.172825731952287</v>
      </c>
      <c r="J37" s="130">
        <f t="shared" si="5"/>
        <v>0.1412172190356531</v>
      </c>
      <c r="K37" s="136">
        <f>R35+R36+R37</f>
        <v>42324957268</v>
      </c>
      <c r="L37" s="190">
        <f>U37/U34-1</f>
        <v>-9.1404377388697666E-2</v>
      </c>
      <c r="M37" s="190">
        <f>U37/U25-1</f>
        <v>-5.8682645453683069E-2</v>
      </c>
      <c r="N37" s="191">
        <f>AVERAGE(T35:T37)</f>
        <v>75.74192580673845</v>
      </c>
      <c r="O37" s="192">
        <f>N37/N34-1</f>
        <v>5.2035057788045735E-2</v>
      </c>
      <c r="P37" s="129" t="s">
        <v>702</v>
      </c>
      <c r="Q37" s="116">
        <v>10628432</v>
      </c>
      <c r="R37" s="116">
        <v>14181562675</v>
      </c>
      <c r="S37" s="116">
        <v>126269.16</v>
      </c>
      <c r="T37" s="130">
        <f t="shared" ref="T37" si="54">Q37/S37</f>
        <v>84.172825731952287</v>
      </c>
      <c r="U37" s="85">
        <f>Q35+Q36+Q37</f>
        <v>31118536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614029.05000000005</v>
      </c>
      <c r="G38" s="190">
        <f t="shared" ref="G38" si="55">F38/F37-1</f>
        <v>3.9901548977309131E-2</v>
      </c>
      <c r="H38" s="190">
        <f t="shared" ref="H38" si="56">F38/F26-1</f>
        <v>0.24401581102773284</v>
      </c>
      <c r="I38" s="130">
        <f t="shared" si="0"/>
        <v>84.680907372296474</v>
      </c>
      <c r="J38" s="130">
        <f t="shared" si="5"/>
        <v>0.17558837816053319</v>
      </c>
      <c r="K38" s="136"/>
      <c r="L38" s="190"/>
      <c r="M38" s="190"/>
      <c r="N38" s="191"/>
      <c r="O38" s="192"/>
      <c r="P38" s="129" t="s">
        <v>727</v>
      </c>
      <c r="Q38" s="116">
        <v>12280581</v>
      </c>
      <c r="R38" s="116">
        <v>16589530927</v>
      </c>
      <c r="S38" s="116">
        <v>145021.84</v>
      </c>
      <c r="T38" s="130">
        <f t="shared" ref="T38" si="57">Q38/S38</f>
        <v>84.680907372296474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487135.19047619047</v>
      </c>
      <c r="G39" s="190">
        <f t="shared" ref="G39" si="58">F39/F38-1</f>
        <v>-0.2066577461177278</v>
      </c>
      <c r="H39" s="190">
        <f t="shared" ref="H39" si="59">F39/F27-1</f>
        <v>1.8195811057687417E-2</v>
      </c>
      <c r="I39" s="130">
        <f t="shared" si="0"/>
        <v>76.646942443159375</v>
      </c>
      <c r="J39" s="130">
        <f t="shared" si="5"/>
        <v>0.10164151760322504</v>
      </c>
      <c r="K39" s="136"/>
      <c r="L39" s="190"/>
      <c r="M39" s="190"/>
      <c r="N39" s="191"/>
      <c r="O39" s="192"/>
      <c r="P39" s="129" t="s">
        <v>762</v>
      </c>
      <c r="Q39" s="116">
        <v>10229839</v>
      </c>
      <c r="R39" s="116">
        <v>14231642771</v>
      </c>
      <c r="S39" s="116">
        <v>133467.01999999999</v>
      </c>
      <c r="T39" s="130">
        <f t="shared" ref="T39" si="60">Q39/S39</f>
        <v>76.646942443159375</v>
      </c>
      <c r="U39" s="85"/>
    </row>
    <row r="40" spans="1:21" s="79" customFormat="1" ht="13.2" hidden="1">
      <c r="A40" s="129" t="s">
        <v>778</v>
      </c>
      <c r="B40" s="188">
        <f>SUM(F38:F40)</f>
        <v>2046435.6214285716</v>
      </c>
      <c r="C40" s="188">
        <f>AVERAGE(F38:F40)</f>
        <v>682145.20714285725</v>
      </c>
      <c r="D40" s="190">
        <f>C40/C37-1</f>
        <v>0.33854158057170003</v>
      </c>
      <c r="E40" s="287">
        <f>C40/C28-1</f>
        <v>0.14704463975841064</v>
      </c>
      <c r="F40" s="136">
        <f>Q40/21</f>
        <v>945271.38095238095</v>
      </c>
      <c r="G40" s="190">
        <f t="shared" ref="G40" si="61">F40/F39-1</f>
        <v>0.94047032411751541</v>
      </c>
      <c r="H40" s="190">
        <f t="shared" ref="H40" si="62">F40/F28-1</f>
        <v>0.16401527582386821</v>
      </c>
      <c r="I40" s="130">
        <f t="shared" si="0"/>
        <v>109.06096595494759</v>
      </c>
      <c r="J40" s="130">
        <f t="shared" si="5"/>
        <v>0.25470517003253645</v>
      </c>
      <c r="K40" s="136">
        <f>R38+R39+R40</f>
        <v>59052013215</v>
      </c>
      <c r="L40" s="190">
        <f>U40/U37-1</f>
        <v>0.36128251663253064</v>
      </c>
      <c r="M40" s="190">
        <f>U40/U28-1</f>
        <v>0.19890825814835611</v>
      </c>
      <c r="N40" s="191">
        <f>AVERAGE(T38:T40)</f>
        <v>90.129605256801142</v>
      </c>
      <c r="O40" s="192">
        <f>N40/N37-1</f>
        <v>0.1899566098540193</v>
      </c>
      <c r="P40" s="129" t="s">
        <v>778</v>
      </c>
      <c r="Q40" s="116">
        <v>19850699</v>
      </c>
      <c r="R40" s="116">
        <v>28230839517</v>
      </c>
      <c r="S40" s="116">
        <v>182014.7</v>
      </c>
      <c r="T40" s="130">
        <f t="shared" ref="T40" si="63">Q40/S40</f>
        <v>109.06096595494759</v>
      </c>
      <c r="U40" s="85">
        <f>Q38+Q39+Q40</f>
        <v>42361119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388931.16666666669</v>
      </c>
      <c r="G41" s="190">
        <f t="shared" ref="G41" si="64">F41/F40-1</f>
        <v>-0.58855078604536792</v>
      </c>
      <c r="H41" s="190">
        <f t="shared" ref="H41" si="65">F41/F29-1</f>
        <v>2.2783573740370766E-2</v>
      </c>
      <c r="I41" s="130">
        <f t="shared" si="0"/>
        <v>77.644816241352416</v>
      </c>
      <c r="J41" s="130">
        <f t="shared" si="5"/>
        <v>0.31305210380797077</v>
      </c>
      <c r="K41" s="193"/>
      <c r="L41" s="190"/>
      <c r="M41" s="190"/>
      <c r="N41" s="193"/>
      <c r="O41" s="193"/>
      <c r="P41" s="129" t="s">
        <v>792</v>
      </c>
      <c r="Q41" s="116">
        <v>7000761</v>
      </c>
      <c r="R41" s="116">
        <v>10232225021</v>
      </c>
      <c r="S41" s="116">
        <v>90163.92</v>
      </c>
      <c r="T41" s="130">
        <f t="shared" ref="T41" si="66">Q41/S41</f>
        <v>77.644816241352416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635830</v>
      </c>
      <c r="G42" s="190">
        <f t="shared" ref="G42" si="67">F42/F41-1</f>
        <v>0.63481370096765177</v>
      </c>
      <c r="H42" s="190">
        <f t="shared" ref="H42" si="68">F42/F30-1</f>
        <v>0.29709939603900959</v>
      </c>
      <c r="I42" s="130">
        <f t="shared" si="0"/>
        <v>76.803733562807594</v>
      </c>
      <c r="J42" s="130">
        <f t="shared" si="5"/>
        <v>0.14139650220581856</v>
      </c>
      <c r="K42" s="193"/>
      <c r="L42" s="190"/>
      <c r="M42" s="190"/>
      <c r="N42" s="193"/>
      <c r="O42" s="193"/>
      <c r="P42" s="129" t="s">
        <v>826</v>
      </c>
      <c r="Q42" s="116">
        <v>12716600</v>
      </c>
      <c r="R42" s="116">
        <v>18389893938</v>
      </c>
      <c r="S42" s="116">
        <v>165572.68</v>
      </c>
      <c r="T42" s="130">
        <f t="shared" ref="T42" si="69">Q42/S42</f>
        <v>76.803733562807594</v>
      </c>
      <c r="U42" s="78"/>
    </row>
    <row r="43" spans="1:21" s="79" customFormat="1" ht="13.2">
      <c r="A43" s="129" t="s">
        <v>835</v>
      </c>
      <c r="B43" s="188">
        <f>SUM(F41:F43)</f>
        <v>1612214.4166666667</v>
      </c>
      <c r="C43" s="188">
        <f>AVERAGE(F41:F43)</f>
        <v>537404.80555555562</v>
      </c>
      <c r="D43" s="190">
        <f>C43/C40-1</f>
        <v>-0.21218415092813159</v>
      </c>
      <c r="E43" s="287">
        <f>C43/C31-1</f>
        <v>7.947415926773127E-2</v>
      </c>
      <c r="F43" s="136">
        <f>Q43/20</f>
        <v>587453.25</v>
      </c>
      <c r="G43" s="190">
        <f t="shared" ref="G43" si="70">F43/F42-1</f>
        <v>-7.6084409354701732E-2</v>
      </c>
      <c r="H43" s="190">
        <f t="shared" ref="H43" si="71">F43/F31-1</f>
        <v>-5.7144026491947608E-2</v>
      </c>
      <c r="I43" s="130">
        <f t="shared" si="0"/>
        <v>95.529614423176369</v>
      </c>
      <c r="J43" s="130">
        <f t="shared" si="5"/>
        <v>0.38757155063353399</v>
      </c>
      <c r="K43" s="136">
        <f>R41+R42+R43</f>
        <v>45653805266</v>
      </c>
      <c r="L43" s="190">
        <f>U43/U40-1</f>
        <v>-0.25718614751418634</v>
      </c>
      <c r="M43" s="190">
        <f>K43/K31-1</f>
        <v>0.14230458665618406</v>
      </c>
      <c r="N43" s="191">
        <f>AVERAGE(T41:T43)</f>
        <v>83.326054742445464</v>
      </c>
      <c r="O43" s="192">
        <f>N43/N40-1</f>
        <v>-7.548630103250431E-2</v>
      </c>
      <c r="P43" s="129" t="s">
        <v>835</v>
      </c>
      <c r="Q43" s="116">
        <v>11749065</v>
      </c>
      <c r="R43" s="116">
        <v>17031686307</v>
      </c>
      <c r="S43" s="116">
        <v>122988.72</v>
      </c>
      <c r="T43" s="130">
        <f t="shared" ref="T43" si="72">Q43/S43</f>
        <v>95.529614423176369</v>
      </c>
      <c r="U43" s="85">
        <f>Q41+Q42+Q43</f>
        <v>31466426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535064.81818181823</v>
      </c>
      <c r="G44" s="190">
        <f t="shared" ref="G44" si="73">F44/F43-1</f>
        <v>-8.9178895202608466E-2</v>
      </c>
      <c r="H44" s="190">
        <f t="shared" ref="H44" si="74">F44/F32-1</f>
        <v>0.14791474461333931</v>
      </c>
      <c r="I44" s="130">
        <f t="shared" si="0"/>
        <v>83.127218811225646</v>
      </c>
      <c r="J44" s="130">
        <f t="shared" si="5"/>
        <v>0.31956956246600821</v>
      </c>
      <c r="K44" s="136"/>
      <c r="L44" s="190"/>
      <c r="M44" s="190"/>
      <c r="N44" s="191"/>
      <c r="O44" s="192"/>
      <c r="P44" s="129" t="s">
        <v>843</v>
      </c>
      <c r="Q44" s="116">
        <v>11771426</v>
      </c>
      <c r="R44" s="116">
        <v>17073040521</v>
      </c>
      <c r="S44" s="116">
        <v>141607.35999999999</v>
      </c>
      <c r="T44" s="130">
        <f t="shared" ref="T44" si="75">Q44/S44</f>
        <v>83.127218811225646</v>
      </c>
      <c r="U44" s="85"/>
    </row>
    <row r="45" spans="1:21" s="79" customFormat="1" ht="13.2">
      <c r="A45" s="129" t="s">
        <v>859</v>
      </c>
      <c r="B45" s="188"/>
      <c r="C45" s="188"/>
      <c r="D45" s="190"/>
      <c r="E45" s="287"/>
      <c r="F45" s="136">
        <f>Q45/20</f>
        <v>674261.65</v>
      </c>
      <c r="G45" s="190">
        <f t="shared" ref="G45" si="76">F45/F44-1</f>
        <v>0.26014947551808931</v>
      </c>
      <c r="H45" s="190">
        <f t="shared" ref="H45" si="77">F45/F33-1</f>
        <v>0.22276885942164082</v>
      </c>
      <c r="I45" s="130">
        <f t="shared" si="0"/>
        <v>87.275537151101275</v>
      </c>
      <c r="J45" s="130">
        <f t="shared" si="5"/>
        <v>0.26037823583508546</v>
      </c>
      <c r="K45" s="136"/>
      <c r="L45" s="190"/>
      <c r="M45" s="190"/>
      <c r="N45" s="191"/>
      <c r="O45" s="192"/>
      <c r="P45" s="129" t="s">
        <v>859</v>
      </c>
      <c r="Q45" s="116">
        <v>13485233</v>
      </c>
      <c r="R45" s="116">
        <v>19002313938</v>
      </c>
      <c r="S45" s="116">
        <v>154513.32</v>
      </c>
      <c r="T45" s="130">
        <f t="shared" ref="T45" si="78">Q45/S45</f>
        <v>87.275537151101275</v>
      </c>
      <c r="U45" s="85"/>
    </row>
    <row r="46" spans="1:21" s="79" customFormat="1" ht="13.2">
      <c r="A46" s="129" t="s">
        <v>888</v>
      </c>
      <c r="B46" s="188">
        <f>SUM(F44:F46)</f>
        <v>1947427.4155502394</v>
      </c>
      <c r="C46" s="188">
        <f>AVERAGE(F44:F46)</f>
        <v>649142.47185007983</v>
      </c>
      <c r="D46" s="190">
        <f>C46/C43-1</f>
        <v>0.20792085433440177</v>
      </c>
      <c r="E46" s="287">
        <f>C46/C34-1</f>
        <v>0.14860491370291662</v>
      </c>
      <c r="F46" s="136">
        <f>Q46/19</f>
        <v>738100.94736842101</v>
      </c>
      <c r="G46" s="190">
        <f t="shared" ref="G46" si="79">F46/F45-1</f>
        <v>9.4680303066948746E-2</v>
      </c>
      <c r="H46" s="190">
        <f t="shared" ref="H46" si="80">F46/F34-1</f>
        <v>8.8755267672404825E-2</v>
      </c>
      <c r="I46" s="130">
        <f t="shared" si="0"/>
        <v>85.820008736263603</v>
      </c>
      <c r="J46" s="130">
        <f t="shared" si="5"/>
        <v>2.4769546279745258E-2</v>
      </c>
      <c r="K46" s="136">
        <f>R44+R45+R46</f>
        <v>55274603527</v>
      </c>
      <c r="L46" s="190">
        <f>U46/U43-1</f>
        <v>0.24833296924156567</v>
      </c>
      <c r="M46" s="190">
        <f>K46/K34-1</f>
        <v>0.17956266984479585</v>
      </c>
      <c r="N46" s="191">
        <f>AVERAGE(T44:T46)</f>
        <v>85.407588232863517</v>
      </c>
      <c r="O46" s="192">
        <f>N46/N43-1</f>
        <v>2.4980583766409215E-2</v>
      </c>
      <c r="P46" s="129" t="s">
        <v>928</v>
      </c>
      <c r="Q46" s="116">
        <v>14023918</v>
      </c>
      <c r="R46" s="116">
        <v>19199249068</v>
      </c>
      <c r="S46" s="116">
        <v>163410.82</v>
      </c>
      <c r="T46" s="130">
        <f t="shared" ref="T46" si="81">Q46/S46</f>
        <v>85.820008736263603</v>
      </c>
      <c r="U46" s="85">
        <f t="shared" ref="U46:U51" si="82">Q44+Q45+Q46</f>
        <v>39280577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607615.82608695654</v>
      </c>
      <c r="G47" s="190">
        <f t="shared" ref="G47" si="83">F47/F46-1</f>
        <v>-0.17678492589216688</v>
      </c>
      <c r="H47" s="190">
        <f t="shared" ref="H47" si="84">F47/F35-1</f>
        <v>0.55005601764614087</v>
      </c>
      <c r="I47" s="130">
        <f t="shared" si="0"/>
        <v>72.012120773034738</v>
      </c>
      <c r="J47" s="130">
        <f t="shared" si="5"/>
        <v>6.8501089693657979E-2</v>
      </c>
      <c r="K47" s="136"/>
      <c r="L47" s="190"/>
      <c r="M47" s="190"/>
      <c r="N47" s="191"/>
      <c r="O47" s="192"/>
      <c r="P47" s="129" t="s">
        <v>1029</v>
      </c>
      <c r="Q47" s="116">
        <v>13975164</v>
      </c>
      <c r="R47" s="116">
        <v>19170504596</v>
      </c>
      <c r="S47" s="116">
        <v>194066.83</v>
      </c>
      <c r="T47" s="130">
        <f t="shared" ref="T47" si="85">Q47/S47</f>
        <v>72.012120773034738</v>
      </c>
      <c r="U47" s="85">
        <f t="shared" si="82"/>
        <v>41484315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630785.35</v>
      </c>
      <c r="G48" s="190">
        <f t="shared" ref="G48" si="86">F48/F47-1</f>
        <v>3.8131863783494646E-2</v>
      </c>
      <c r="H48" s="190">
        <f t="shared" ref="H48" si="87">F48/F36-1</f>
        <v>0.15445940652045742</v>
      </c>
      <c r="I48" s="130">
        <f t="shared" si="0"/>
        <v>72.454781474784241</v>
      </c>
      <c r="J48" s="130">
        <f t="shared" si="5"/>
        <v>-4.2331719508446608E-2</v>
      </c>
      <c r="K48" s="136"/>
      <c r="L48" s="190"/>
      <c r="M48" s="190"/>
      <c r="N48" s="191"/>
      <c r="O48" s="192"/>
      <c r="P48" s="129" t="s">
        <v>1070</v>
      </c>
      <c r="Q48" s="116">
        <v>12615707</v>
      </c>
      <c r="R48" s="116">
        <v>17514448442</v>
      </c>
      <c r="S48" s="116">
        <v>174118.35</v>
      </c>
      <c r="T48" s="130">
        <f t="shared" ref="T48" si="88">Q48/S48</f>
        <v>72.454781474784241</v>
      </c>
      <c r="U48" s="85">
        <f t="shared" si="82"/>
        <v>40614789</v>
      </c>
    </row>
    <row r="49" spans="1:26" ht="13.2">
      <c r="A49" s="129" t="s">
        <v>1158</v>
      </c>
      <c r="B49" s="188">
        <f>SUM(F47:F49)</f>
        <v>1948606.4033596839</v>
      </c>
      <c r="C49" s="188">
        <f>AVERAGE(F47:F49)</f>
        <v>649535.46778656135</v>
      </c>
      <c r="D49" s="190">
        <f>C49/C46-1</f>
        <v>6.0540783190710101E-4</v>
      </c>
      <c r="E49" s="287">
        <f>C49/C37-1</f>
        <v>0.27455301684223854</v>
      </c>
      <c r="F49" s="136">
        <f>Q49/22</f>
        <v>710205.22727272729</v>
      </c>
      <c r="G49" s="190">
        <f t="shared" ref="G49" si="89">F49/F48-1</f>
        <v>0.12590634400866674</v>
      </c>
      <c r="H49" s="190">
        <f t="shared" ref="H49" si="90">F49/F37-1</f>
        <v>0.20278269559508777</v>
      </c>
      <c r="I49" s="130">
        <f t="shared" si="0"/>
        <v>82.755702667247448</v>
      </c>
      <c r="J49" s="130">
        <f t="shared" si="5"/>
        <v>-1.6835873720310368E-2</v>
      </c>
      <c r="K49" s="136">
        <f>R47+R48+R49</f>
        <v>58387348079</v>
      </c>
      <c r="L49" s="190">
        <f>U49/U46-1</f>
        <v>7.4713999236823758E-2</v>
      </c>
      <c r="M49" s="190">
        <f>K49/K37-1</f>
        <v>0.37950164271386178</v>
      </c>
      <c r="N49" s="191">
        <f>AVERAGE(T47:T49)</f>
        <v>75.740868305022147</v>
      </c>
      <c r="O49" s="192">
        <f>N49/N46-1</f>
        <v>-0.11318338484731694</v>
      </c>
      <c r="P49" s="129" t="s">
        <v>1165</v>
      </c>
      <c r="Q49" s="116">
        <v>15624515</v>
      </c>
      <c r="R49" s="116">
        <v>21702395041</v>
      </c>
      <c r="S49" s="116">
        <v>188802.88</v>
      </c>
      <c r="T49" s="130">
        <f t="shared" ref="T49" si="91">Q49/S49</f>
        <v>82.755702667247448</v>
      </c>
      <c r="U49" s="85">
        <f t="shared" si="82"/>
        <v>42215386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511429.27777777775</v>
      </c>
      <c r="G50" s="190">
        <f t="shared" ref="G50" si="92">F50/F49-1</f>
        <v>-0.27988522452625819</v>
      </c>
      <c r="H50" s="190">
        <f t="shared" ref="H50" si="93">F50/F38-1</f>
        <v>-0.16709270061770254</v>
      </c>
      <c r="I50" s="130">
        <f t="shared" ref="I50" si="94">T50</f>
        <v>66.931154111698518</v>
      </c>
      <c r="J50" s="130">
        <f t="shared" ref="J50" si="95">I50/I38-1</f>
        <v>-0.20960749962871583</v>
      </c>
      <c r="K50" s="136"/>
      <c r="L50" s="190"/>
      <c r="M50" s="190"/>
      <c r="N50" s="191"/>
      <c r="O50" s="192"/>
      <c r="P50" s="129" t="s">
        <v>1291</v>
      </c>
      <c r="Q50" s="116">
        <v>9205727</v>
      </c>
      <c r="R50" s="116">
        <v>13025006471</v>
      </c>
      <c r="S50" s="116">
        <v>137540.24</v>
      </c>
      <c r="T50" s="130">
        <f t="shared" ref="T50" si="96">Q50/S50</f>
        <v>66.931154111698518</v>
      </c>
      <c r="U50" s="85">
        <f t="shared" si="82"/>
        <v>37445949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619232.30000000005</v>
      </c>
      <c r="G51" s="190">
        <f t="shared" ref="G51:G52" si="97">F51/F50-1</f>
        <v>0.21078774115287158</v>
      </c>
      <c r="H51" s="190">
        <f t="shared" ref="H51:H52" si="98">F51/F39-1</f>
        <v>0.27117135470069487</v>
      </c>
      <c r="I51" s="130">
        <f t="shared" ref="I51:I52" si="99">T51</f>
        <v>76.170363254145059</v>
      </c>
      <c r="J51" s="130">
        <f t="shared" ref="J51:J52" si="100">I51/I39-1</f>
        <v>-6.217849973177203E-3</v>
      </c>
      <c r="K51" s="136"/>
      <c r="L51" s="190"/>
      <c r="M51" s="190"/>
      <c r="N51" s="191"/>
      <c r="O51" s="192"/>
      <c r="P51" s="129" t="s">
        <v>1402</v>
      </c>
      <c r="Q51" s="116">
        <v>12384646</v>
      </c>
      <c r="R51" s="116">
        <v>17899443858</v>
      </c>
      <c r="S51" s="116">
        <v>162591.4</v>
      </c>
      <c r="T51" s="130">
        <f t="shared" ref="T51:T52" si="101">Q51/S51</f>
        <v>76.170363254145059</v>
      </c>
      <c r="U51" s="85">
        <f t="shared" si="82"/>
        <v>37214888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1956478.486868687</v>
      </c>
      <c r="C52" s="188">
        <f>AVERAGE(F50:F52)</f>
        <v>652159.49562289566</v>
      </c>
      <c r="D52" s="190">
        <f>C52/C49-1</f>
        <v>4.0398530434007096E-3</v>
      </c>
      <c r="E52" s="287">
        <f>C52/C40-1</f>
        <v>-4.395795969241767E-2</v>
      </c>
      <c r="F52" s="136">
        <f>Q52/22</f>
        <v>825816.90909090906</v>
      </c>
      <c r="G52" s="190">
        <f t="shared" si="97"/>
        <v>0.33361407195798565</v>
      </c>
      <c r="H52" s="190">
        <f t="shared" si="98"/>
        <v>-0.1263705579884572</v>
      </c>
      <c r="I52" s="130">
        <f t="shared" si="99"/>
        <v>95.994992697331369</v>
      </c>
      <c r="J52" s="130">
        <f t="shared" si="100"/>
        <v>-0.11980430526366048</v>
      </c>
      <c r="K52" s="136">
        <f>R50+R51+R52</f>
        <v>57659015486</v>
      </c>
      <c r="L52" s="190">
        <f>U52/U49-1</f>
        <v>-5.820249991318327E-2</v>
      </c>
      <c r="M52" s="190">
        <f>K52/K40-1</f>
        <v>-2.3589335115947629E-2</v>
      </c>
      <c r="N52" s="191">
        <f>AVERAGE(T50:T52)</f>
        <v>79.698836687724977</v>
      </c>
      <c r="O52" s="192">
        <f>N52/N49-1</f>
        <v>5.2256707260911917E-2</v>
      </c>
      <c r="P52" s="129" t="s">
        <v>1403</v>
      </c>
      <c r="Q52" s="116">
        <v>18167972</v>
      </c>
      <c r="R52" s="116">
        <v>26734565157</v>
      </c>
      <c r="S52" s="116">
        <v>189259.58</v>
      </c>
      <c r="T52" s="130">
        <f t="shared" si="101"/>
        <v>95.994992697331369</v>
      </c>
      <c r="U52" s="85">
        <f t="shared" ref="U52" si="102">Q50+Q51+Q52</f>
        <v>39758345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565295.42857142852</v>
      </c>
      <c r="G53" s="190">
        <f t="shared" ref="G53" si="103">F53/F52-1</f>
        <v>-0.31547123539317279</v>
      </c>
      <c r="H53" s="190">
        <f t="shared" ref="H53" si="104">F53/F41-1</f>
        <v>0.45345880459077414</v>
      </c>
      <c r="I53" s="130">
        <f t="shared" ref="I53" si="105">T53</f>
        <v>71.312986423732909</v>
      </c>
      <c r="J53" s="130">
        <f t="shared" ref="J53" si="106">I53/I41-1</f>
        <v>-8.1548648372578358E-2</v>
      </c>
      <c r="K53" s="136"/>
      <c r="L53" s="190"/>
      <c r="M53" s="190"/>
      <c r="N53" s="191"/>
      <c r="O53" s="192"/>
      <c r="P53" s="129" t="s">
        <v>1414</v>
      </c>
      <c r="Q53" s="116">
        <v>11871204</v>
      </c>
      <c r="R53" s="116">
        <v>17303052875</v>
      </c>
      <c r="S53" s="116">
        <v>166466.23000000001</v>
      </c>
      <c r="T53" s="130">
        <f t="shared" ref="T53" si="107">Q53/S53</f>
        <v>71.312986423732909</v>
      </c>
      <c r="U53" s="85">
        <f t="shared" ref="U53" si="108">Q51+Q52+Q53</f>
        <v>42423822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616314.5882352941</v>
      </c>
      <c r="G54" s="190">
        <f t="shared" ref="G54" si="109">F54/F53-1</f>
        <v>9.0252206342438246E-2</v>
      </c>
      <c r="H54" s="190">
        <f t="shared" ref="H54" si="110">F54/F42-1</f>
        <v>-3.0692813746922787E-2</v>
      </c>
      <c r="I54" s="130">
        <f t="shared" ref="I54" si="111">T54</f>
        <v>66.71843748660757</v>
      </c>
      <c r="J54" s="130">
        <f t="shared" ref="J54" si="112">I54/I42-1</f>
        <v>-0.1313125756829594</v>
      </c>
      <c r="K54" s="136"/>
      <c r="L54" s="190"/>
      <c r="M54" s="190"/>
      <c r="N54" s="191"/>
      <c r="O54" s="192"/>
      <c r="P54" s="129" t="s">
        <v>1417</v>
      </c>
      <c r="Q54" s="116">
        <v>10477348</v>
      </c>
      <c r="R54" s="116">
        <v>15162049266</v>
      </c>
      <c r="S54" s="116">
        <v>157038.26999999999</v>
      </c>
      <c r="T54" s="130">
        <f t="shared" ref="T54" si="113">Q54/S54</f>
        <v>66.71843748660757</v>
      </c>
      <c r="U54" s="85">
        <f t="shared" ref="U54" si="114">Q52+Q53+Q54</f>
        <v>40516524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1974828.7787114845</v>
      </c>
      <c r="C55" s="188">
        <f>AVERAGE(F53:F55)</f>
        <v>658276.25957049488</v>
      </c>
      <c r="D55" s="190">
        <f>C55/C52-1</f>
        <v>9.3792453972580958E-3</v>
      </c>
      <c r="E55" s="287">
        <f>C55/C43-1</f>
        <v>0.22491695787868027</v>
      </c>
      <c r="F55" s="136">
        <f>Q55/21</f>
        <v>793218.76190476189</v>
      </c>
      <c r="G55" s="190">
        <f t="shared" ref="G55" si="115">F55/F54-1</f>
        <v>0.2870355124580144</v>
      </c>
      <c r="H55" s="190">
        <f t="shared" ref="H55" si="116">F55/F43-1</f>
        <v>0.35026704151311083</v>
      </c>
      <c r="I55" s="130">
        <f>T55</f>
        <v>84.117626354616903</v>
      </c>
      <c r="J55" s="130">
        <f t="shared" ref="J55" si="117">I55/I43-1</f>
        <v>-0.11946021280905339</v>
      </c>
      <c r="K55" s="136">
        <f>R53+R54+R55</f>
        <v>57074962310</v>
      </c>
      <c r="L55" s="190">
        <f>U55/U52-1</f>
        <v>-1.8919273425490934E-2</v>
      </c>
      <c r="M55" s="190">
        <f>K55/K43-1</f>
        <v>0.25016878609472104</v>
      </c>
      <c r="N55" s="191">
        <f>AVERAGE(T53:T55)</f>
        <v>74.04968342165246</v>
      </c>
      <c r="O55" s="192">
        <f>N55/N52-1</f>
        <v>-7.0881251230892617E-2</v>
      </c>
      <c r="P55" s="129" t="s">
        <v>1418</v>
      </c>
      <c r="Q55" s="116">
        <v>16657594</v>
      </c>
      <c r="R55" s="116">
        <v>24609860169</v>
      </c>
      <c r="S55" s="116">
        <v>198027.39</v>
      </c>
      <c r="T55" s="130">
        <f t="shared" ref="T55" si="118">Q55/S55</f>
        <v>84.117626354616903</v>
      </c>
      <c r="U55" s="85">
        <f t="shared" ref="U55" si="119">Q53+Q54+Q55</f>
        <v>39006146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542591.40909090906</v>
      </c>
      <c r="G56" s="190">
        <f t="shared" ref="G56" si="120">F56/F55-1</f>
        <v>-0.31596246187119881</v>
      </c>
      <c r="H56" s="190">
        <f t="shared" ref="H56" si="121">F56/F44-1</f>
        <v>1.4066689966024448E-2</v>
      </c>
      <c r="I56" s="291">
        <f>T56</f>
        <v>70.189875285930711</v>
      </c>
      <c r="J56" s="130">
        <f t="shared" ref="J56" si="122">I56/I44-1</f>
        <v>-0.15563306111172159</v>
      </c>
      <c r="K56" s="136"/>
      <c r="L56" s="190"/>
      <c r="M56" s="190"/>
      <c r="N56" s="191"/>
      <c r="O56" s="192"/>
      <c r="P56" s="129" t="s">
        <v>1420</v>
      </c>
      <c r="Q56" s="116">
        <v>11937011</v>
      </c>
      <c r="R56" s="116">
        <v>17834665133</v>
      </c>
      <c r="S56" s="116">
        <v>170067.42</v>
      </c>
      <c r="T56" s="130">
        <f t="shared" ref="T56" si="123">Q56/S56</f>
        <v>70.189875285930711</v>
      </c>
      <c r="U56" s="85">
        <f t="shared" ref="U56" si="124">Q54+Q55+Q56</f>
        <v>39071953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799290.66666666663</v>
      </c>
      <c r="G57" s="254">
        <f t="shared" ref="G57" si="125">F57/F56-1</f>
        <v>0.47309863974043975</v>
      </c>
      <c r="H57" s="254">
        <f t="shared" ref="H57" si="126">F57/F45-1</f>
        <v>0.18543100688978331</v>
      </c>
      <c r="I57" s="282">
        <f>T57</f>
        <v>83.925045823491104</v>
      </c>
      <c r="J57" s="277">
        <f t="shared" ref="J57" si="127">I57/I45-1</f>
        <v>-3.8389810443783645E-2</v>
      </c>
      <c r="K57" s="204"/>
      <c r="L57" s="254"/>
      <c r="M57" s="254"/>
      <c r="N57" s="257"/>
      <c r="O57" s="258"/>
      <c r="P57" s="129" t="s">
        <v>1436</v>
      </c>
      <c r="Q57" s="116">
        <v>9591488</v>
      </c>
      <c r="R57" s="116">
        <v>14155306219</v>
      </c>
      <c r="S57" s="116">
        <v>114286.36</v>
      </c>
      <c r="T57" s="130">
        <f t="shared" ref="T57" si="128">Q57/S57</f>
        <v>83.925045823491104</v>
      </c>
      <c r="U57" s="85">
        <f t="shared" ref="U57" si="129">Q55+Q56+Q57</f>
        <v>38186093</v>
      </c>
      <c r="V57" s="79"/>
      <c r="W57" s="79"/>
      <c r="X57" s="79"/>
      <c r="Y57" s="79"/>
      <c r="Z57" s="79"/>
    </row>
    <row r="58" spans="1:26">
      <c r="B58" s="196">
        <f>SUM(F56:F58)</f>
        <v>1341882.0757575757</v>
      </c>
      <c r="C58" s="196">
        <f>AVERAGE(F56:F58)</f>
        <v>670941.03787878784</v>
      </c>
      <c r="D58" s="197">
        <f>C58/C55-1</f>
        <v>1.9239305875251134E-2</v>
      </c>
      <c r="E58" s="233">
        <f>C58/C46-1</f>
        <v>3.3580557387627552E-2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60534645</v>
      </c>
      <c r="R66" s="212">
        <v>89064933662</v>
      </c>
      <c r="S66" s="213">
        <v>805885.7</v>
      </c>
      <c r="T66" s="214">
        <v>69</v>
      </c>
      <c r="U66" s="214">
        <v>347</v>
      </c>
    </row>
    <row r="67" spans="16:21" ht="18" thickBot="1">
      <c r="P67" s="180" t="s">
        <v>976</v>
      </c>
      <c r="Q67" s="181">
        <v>11871204</v>
      </c>
      <c r="R67" s="181">
        <v>17303052875</v>
      </c>
      <c r="S67" s="182">
        <v>166466.23000000001</v>
      </c>
      <c r="T67" s="210">
        <v>26</v>
      </c>
      <c r="U67" s="210">
        <v>131</v>
      </c>
    </row>
    <row r="68" spans="16:21" ht="18" thickBot="1">
      <c r="P68" s="180" t="s">
        <v>977</v>
      </c>
      <c r="Q68" s="181">
        <v>10477348</v>
      </c>
      <c r="R68" s="181">
        <v>15162049266</v>
      </c>
      <c r="S68" s="182">
        <v>157038.26999999999</v>
      </c>
      <c r="T68" s="210">
        <v>28</v>
      </c>
      <c r="U68" s="210">
        <v>133</v>
      </c>
    </row>
    <row r="69" spans="16:21" ht="18" thickBot="1">
      <c r="P69" s="180" t="s">
        <v>978</v>
      </c>
      <c r="Q69" s="181">
        <v>16657594</v>
      </c>
      <c r="R69" s="181">
        <v>24609860169</v>
      </c>
      <c r="S69" s="182">
        <v>198027.39</v>
      </c>
      <c r="T69" s="210">
        <v>38</v>
      </c>
      <c r="U69" s="210">
        <v>179</v>
      </c>
    </row>
    <row r="70" spans="16:21" ht="18" thickBot="1">
      <c r="P70" s="180" t="s">
        <v>979</v>
      </c>
      <c r="Q70" s="181">
        <v>11937011</v>
      </c>
      <c r="R70" s="181">
        <v>17834665133</v>
      </c>
      <c r="S70" s="182">
        <v>170067.42</v>
      </c>
      <c r="T70" s="210">
        <v>23</v>
      </c>
      <c r="U70" s="210">
        <v>167</v>
      </c>
    </row>
    <row r="71" spans="16:21" ht="18" thickBot="1">
      <c r="P71" s="180" t="s">
        <v>980</v>
      </c>
      <c r="Q71" s="181">
        <v>9591488</v>
      </c>
      <c r="R71" s="181">
        <v>14155306219</v>
      </c>
      <c r="S71" s="182">
        <v>114286.36</v>
      </c>
      <c r="T71" s="210">
        <v>22</v>
      </c>
      <c r="U71" s="210">
        <v>112</v>
      </c>
    </row>
    <row r="72" spans="16:21" ht="18" thickBot="1">
      <c r="P72" s="215" t="s">
        <v>975</v>
      </c>
      <c r="Q72" s="217" t="s">
        <v>1530</v>
      </c>
      <c r="R72"/>
      <c r="S72"/>
      <c r="T72"/>
      <c r="U72"/>
    </row>
  </sheetData>
  <phoneticPr fontId="1" type="noConversion"/>
  <conditionalFormatting sqref="C29:C30">
    <cfRule type="cellIs" dxfId="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49"/>
  <dimension ref="A1:Y49"/>
  <sheetViews>
    <sheetView topLeftCell="C1" zoomScaleNormal="100" workbookViewId="0">
      <selection activeCell="O57" sqref="O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3984375" style="87" bestFit="1" customWidth="1"/>
    <col min="12" max="12" width="5.59765625" style="87" customWidth="1"/>
    <col min="13" max="13" width="10.59765625" style="79" customWidth="1"/>
    <col min="14" max="14" width="6.6992187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175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79">
        <v>9021390000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38849.599999999999</v>
      </c>
      <c r="G5" s="90"/>
      <c r="H5" s="90"/>
      <c r="I5" s="130" t="e">
        <f t="shared" ref="I5:I11" si="0">F5/H5</f>
        <v>#DIV/0!</v>
      </c>
      <c r="K5" s="80"/>
      <c r="L5" s="80"/>
      <c r="O5" s="129" t="s">
        <v>0</v>
      </c>
      <c r="P5" s="116">
        <v>776992</v>
      </c>
      <c r="Q5" s="116"/>
      <c r="R5" s="116">
        <v>3191.43</v>
      </c>
      <c r="S5" s="130">
        <f t="shared" ref="S5:S11" si="1">P5/R5</f>
        <v>243.46202172693748</v>
      </c>
      <c r="T5" s="85"/>
    </row>
    <row r="6" spans="1:20" ht="15" hidden="1" customHeight="1">
      <c r="A6" s="129" t="s">
        <v>1</v>
      </c>
      <c r="C6" s="79"/>
      <c r="F6" s="78">
        <f>P6/18</f>
        <v>93001.833333333328</v>
      </c>
      <c r="G6" s="90">
        <f t="shared" ref="G6:G22" si="2">F6/F5-1</f>
        <v>1.3938942314292384</v>
      </c>
      <c r="H6" s="90"/>
      <c r="I6" s="130" t="e">
        <f t="shared" si="0"/>
        <v>#DIV/0!</v>
      </c>
      <c r="O6" s="129" t="s">
        <v>1</v>
      </c>
      <c r="P6" s="116">
        <v>1674033</v>
      </c>
      <c r="Q6" s="116"/>
      <c r="R6" s="116">
        <v>2519.08</v>
      </c>
      <c r="S6" s="130">
        <f t="shared" si="1"/>
        <v>664.54141988344952</v>
      </c>
      <c r="T6" s="85"/>
    </row>
    <row r="7" spans="1:20" ht="15" hidden="1" customHeight="1">
      <c r="A7" s="129" t="s">
        <v>2</v>
      </c>
      <c r="B7" s="131">
        <f>F5+F6+F7</f>
        <v>184364.16060606058</v>
      </c>
      <c r="C7" s="131">
        <f>AVERAGE(F5:F7)</f>
        <v>61454.720202020195</v>
      </c>
      <c r="F7" s="78">
        <f>P7/22</f>
        <v>52512.727272727272</v>
      </c>
      <c r="G7" s="90">
        <f t="shared" si="2"/>
        <v>-0.43535814950536167</v>
      </c>
      <c r="H7" s="90"/>
      <c r="I7" s="130" t="e">
        <f t="shared" si="0"/>
        <v>#DIV/0!</v>
      </c>
      <c r="J7" s="79">
        <f>Q5+Q6+Q7</f>
        <v>0</v>
      </c>
      <c r="M7" s="88">
        <f>AVERAGE(S5:S7)</f>
        <v>409.85852069341394</v>
      </c>
      <c r="O7" s="129" t="s">
        <v>2</v>
      </c>
      <c r="P7" s="116">
        <v>1155280</v>
      </c>
      <c r="Q7" s="116"/>
      <c r="R7" s="116">
        <v>3592.6</v>
      </c>
      <c r="S7" s="130">
        <f t="shared" si="1"/>
        <v>321.57212046985472</v>
      </c>
      <c r="T7" s="85">
        <f>P5+P6+P7</f>
        <v>3606305</v>
      </c>
    </row>
    <row r="8" spans="1:20" ht="15" hidden="1" customHeight="1">
      <c r="A8" s="129" t="s">
        <v>3</v>
      </c>
      <c r="C8" s="79"/>
      <c r="F8" s="78">
        <f>P8/21</f>
        <v>155994.52380952382</v>
      </c>
      <c r="G8" s="90">
        <f t="shared" si="2"/>
        <v>1.9706041165860433</v>
      </c>
      <c r="H8" s="90"/>
      <c r="I8" s="130" t="e">
        <f t="shared" si="0"/>
        <v>#DIV/0!</v>
      </c>
      <c r="J8" s="78"/>
      <c r="O8" s="129" t="s">
        <v>3</v>
      </c>
      <c r="P8" s="116">
        <v>3275885</v>
      </c>
      <c r="Q8" s="116"/>
      <c r="R8" s="116">
        <v>3249.23</v>
      </c>
      <c r="S8" s="130">
        <f t="shared" si="1"/>
        <v>1008.2034820557486</v>
      </c>
      <c r="T8" s="85"/>
    </row>
    <row r="9" spans="1:20" ht="15" hidden="1" customHeight="1">
      <c r="A9" s="129" t="s">
        <v>4</v>
      </c>
      <c r="C9" s="79"/>
      <c r="F9" s="78">
        <f>P9/21</f>
        <v>73499.28571428571</v>
      </c>
      <c r="G9" s="90">
        <f t="shared" si="2"/>
        <v>-0.52883419289749189</v>
      </c>
      <c r="H9" s="90"/>
      <c r="I9" s="130" t="e">
        <f t="shared" si="0"/>
        <v>#DIV/0!</v>
      </c>
      <c r="J9" s="78"/>
      <c r="O9" s="129" t="s">
        <v>4</v>
      </c>
      <c r="P9" s="116">
        <v>1543485</v>
      </c>
      <c r="Q9" s="116"/>
      <c r="R9" s="116">
        <v>7551.58</v>
      </c>
      <c r="S9" s="130">
        <f t="shared" si="1"/>
        <v>204.39232584439284</v>
      </c>
      <c r="T9" s="85"/>
    </row>
    <row r="10" spans="1:20" ht="15" hidden="1" customHeight="1">
      <c r="A10" s="129" t="s">
        <v>5</v>
      </c>
      <c r="B10" s="131">
        <f>F8+F9+F10</f>
        <v>282967.66666666669</v>
      </c>
      <c r="C10" s="131">
        <f>AVERAGE(F8:F10)</f>
        <v>94322.555555555562</v>
      </c>
      <c r="D10" s="90">
        <f>C10/C7-1</f>
        <v>0.53483011956589954</v>
      </c>
      <c r="E10" s="90"/>
      <c r="F10" s="78">
        <f>P10/21</f>
        <v>53473.857142857145</v>
      </c>
      <c r="G10" s="90">
        <f t="shared" si="2"/>
        <v>-0.27245745828433698</v>
      </c>
      <c r="H10" s="90"/>
      <c r="I10" s="130" t="e">
        <f t="shared" si="0"/>
        <v>#DIV/0!</v>
      </c>
      <c r="J10" s="79">
        <f>Q8+Q9+Q10</f>
        <v>0</v>
      </c>
      <c r="K10" s="87">
        <f>T10/T7-1</f>
        <v>0.64775885567083202</v>
      </c>
      <c r="M10" s="88">
        <f>AVERAGE(S8:S10)</f>
        <v>484.13560411758277</v>
      </c>
      <c r="N10" s="89">
        <f>M10/M7-1</f>
        <v>0.181226154084839</v>
      </c>
      <c r="O10" s="129" t="s">
        <v>5</v>
      </c>
      <c r="P10" s="116">
        <v>1122951</v>
      </c>
      <c r="Q10" s="116"/>
      <c r="R10" s="116">
        <v>4682.6499999999996</v>
      </c>
      <c r="S10" s="130">
        <f t="shared" si="1"/>
        <v>239.81100445260699</v>
      </c>
      <c r="T10" s="85">
        <f>P8+P9+P10</f>
        <v>5942321</v>
      </c>
    </row>
    <row r="11" spans="1:20" ht="15" hidden="1" customHeight="1">
      <c r="A11" s="129" t="s">
        <v>6</v>
      </c>
      <c r="C11" s="79"/>
      <c r="F11" s="78">
        <f>P11/21</f>
        <v>63723.190476190473</v>
      </c>
      <c r="G11" s="90">
        <f t="shared" si="2"/>
        <v>0.19166998381941847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1338187</v>
      </c>
      <c r="Q11" s="116"/>
      <c r="R11" s="116">
        <v>2306.5300000000002</v>
      </c>
      <c r="S11" s="130">
        <f t="shared" si="1"/>
        <v>580.17324725886931</v>
      </c>
      <c r="T11" s="85"/>
    </row>
    <row r="12" spans="1:20" ht="15" hidden="1" customHeight="1">
      <c r="A12" s="129" t="s">
        <v>7</v>
      </c>
      <c r="C12" s="79"/>
      <c r="F12" s="78">
        <f>P12/22</f>
        <v>86616.772727272721</v>
      </c>
      <c r="G12" s="90">
        <f t="shared" si="2"/>
        <v>0.359266102026643</v>
      </c>
      <c r="H12" s="90"/>
      <c r="I12" s="130" t="e">
        <f>F12/H12</f>
        <v>#DIV/0!</v>
      </c>
      <c r="J12" s="78"/>
      <c r="N12" s="89"/>
      <c r="O12" s="129" t="s">
        <v>7</v>
      </c>
      <c r="P12" s="116">
        <v>1905569</v>
      </c>
      <c r="Q12" s="116"/>
      <c r="R12" s="116">
        <v>5426.46</v>
      </c>
      <c r="S12" s="130">
        <f>P12/R12</f>
        <v>351.16245213269792</v>
      </c>
      <c r="T12" s="85"/>
    </row>
    <row r="13" spans="1:20" ht="15" hidden="1" customHeight="1">
      <c r="A13" s="129" t="s">
        <v>96</v>
      </c>
      <c r="B13" s="131">
        <f>F11+F12+F13</f>
        <v>234499.21320346318</v>
      </c>
      <c r="C13" s="131">
        <f>AVERAGE(F11:F13)</f>
        <v>78166.404401154388</v>
      </c>
      <c r="D13" s="90">
        <f>C13/C10-1</f>
        <v>-0.17128618981156918</v>
      </c>
      <c r="E13" s="90"/>
      <c r="F13" s="78">
        <f>P13/20</f>
        <v>84159.25</v>
      </c>
      <c r="G13" s="90">
        <f t="shared" si="2"/>
        <v>-2.8372365419462531E-2</v>
      </c>
      <c r="H13" s="90"/>
      <c r="I13" s="130" t="e">
        <f>F13/H13</f>
        <v>#DIV/0!</v>
      </c>
      <c r="J13" s="78">
        <f>Q11+Q12+Q13</f>
        <v>0</v>
      </c>
      <c r="K13" s="87">
        <f>T13/T10-1</f>
        <v>-0.17087262704253103</v>
      </c>
      <c r="M13" s="88">
        <f>AVERAGE(S11:S13)</f>
        <v>482.28805761793473</v>
      </c>
      <c r="N13" s="89">
        <f>M13/M10-1</f>
        <v>-3.8161756415653336E-3</v>
      </c>
      <c r="O13" s="129" t="s">
        <v>96</v>
      </c>
      <c r="P13" s="116">
        <v>1683185</v>
      </c>
      <c r="Q13" s="116"/>
      <c r="R13" s="116">
        <v>3264.97</v>
      </c>
      <c r="S13" s="130">
        <f>P13/R13</f>
        <v>515.528473462237</v>
      </c>
      <c r="T13" s="85">
        <f>P11+P12+P13</f>
        <v>4926941</v>
      </c>
    </row>
    <row r="14" spans="1:20" ht="15" hidden="1" customHeight="1">
      <c r="A14" s="129" t="s">
        <v>97</v>
      </c>
      <c r="C14" s="79"/>
      <c r="F14" s="78">
        <f>P14/20</f>
        <v>49587.15</v>
      </c>
      <c r="G14" s="90">
        <f t="shared" si="2"/>
        <v>-0.41079382242593654</v>
      </c>
      <c r="H14" s="90"/>
      <c r="I14" s="130" t="e">
        <f>F14/H14</f>
        <v>#DIV/0!</v>
      </c>
      <c r="N14" s="89"/>
      <c r="O14" s="129" t="s">
        <v>97</v>
      </c>
      <c r="P14" s="116">
        <v>991743</v>
      </c>
      <c r="Q14" s="116"/>
      <c r="R14" s="116">
        <v>1528.56</v>
      </c>
      <c r="S14" s="130">
        <f>P14/R14</f>
        <v>648.8086826817397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81943.818181818177</v>
      </c>
      <c r="G15" s="90">
        <f t="shared" si="2"/>
        <v>0.6525212314444</v>
      </c>
      <c r="H15" s="90"/>
      <c r="I15" s="130" t="e">
        <f t="shared" ref="I15:I28" si="3">F15/H15</f>
        <v>#DIV/0!</v>
      </c>
      <c r="N15" s="89"/>
      <c r="O15" s="129" t="s">
        <v>98</v>
      </c>
      <c r="P15" s="116">
        <v>1802764</v>
      </c>
      <c r="Q15" s="116"/>
      <c r="R15" s="116">
        <v>5587.56</v>
      </c>
      <c r="S15" s="130">
        <f t="shared" ref="S15:S23" si="4">P15/R15</f>
        <v>322.63886204353958</v>
      </c>
      <c r="T15" s="85"/>
    </row>
    <row r="16" spans="1:20" ht="15" hidden="1" customHeight="1">
      <c r="A16" s="129" t="s">
        <v>99</v>
      </c>
      <c r="B16" s="131">
        <f>F14+F15+F16</f>
        <v>184227.65</v>
      </c>
      <c r="C16" s="131">
        <f>AVERAGE(F14:F16)</f>
        <v>61409.216666666667</v>
      </c>
      <c r="D16" s="90">
        <f>C16/C13-1</f>
        <v>-0.21437838752936478</v>
      </c>
      <c r="E16" s="90"/>
      <c r="F16" s="78">
        <f>P16/22</f>
        <v>52696.681818181816</v>
      </c>
      <c r="G16" s="90">
        <f t="shared" si="2"/>
        <v>-0.35691693421878845</v>
      </c>
      <c r="H16" s="90"/>
      <c r="I16" s="130" t="e">
        <f t="shared" si="3"/>
        <v>#DIV/0!</v>
      </c>
      <c r="J16" s="78">
        <f>Q14+Q15+Q16</f>
        <v>0</v>
      </c>
      <c r="K16" s="87">
        <f>T16/T13-1</f>
        <v>-0.19750733771725704</v>
      </c>
      <c r="M16" s="88">
        <f>AVERAGE(S14:S16)</f>
        <v>475.86032870844002</v>
      </c>
      <c r="N16" s="89">
        <f>M16/M13-1</f>
        <v>-1.3327572200816817E-2</v>
      </c>
      <c r="O16" s="129" t="s">
        <v>99</v>
      </c>
      <c r="P16" s="116">
        <v>1159327</v>
      </c>
      <c r="Q16" s="116"/>
      <c r="R16" s="116">
        <v>2541.64</v>
      </c>
      <c r="S16" s="130">
        <f t="shared" si="4"/>
        <v>456.13344140004097</v>
      </c>
      <c r="T16" s="85">
        <f>P14+P15+P16</f>
        <v>3953834</v>
      </c>
    </row>
    <row r="17" spans="1:20" ht="15" hidden="1" customHeight="1">
      <c r="A17" s="129" t="s">
        <v>100</v>
      </c>
      <c r="C17" s="79"/>
      <c r="F17" s="78">
        <f>P17/20</f>
        <v>78777.649999999994</v>
      </c>
      <c r="G17" s="90">
        <f t="shared" si="2"/>
        <v>0.49492619424890472</v>
      </c>
      <c r="H17" s="90">
        <f t="shared" ref="H17:H22" si="5">F17/F5-1</f>
        <v>1.0277596165726286</v>
      </c>
      <c r="I17" s="130">
        <f t="shared" si="3"/>
        <v>76649.878755411308</v>
      </c>
      <c r="N17" s="89"/>
      <c r="O17" s="129" t="s">
        <v>100</v>
      </c>
      <c r="P17" s="116">
        <v>1575553</v>
      </c>
      <c r="Q17" s="116">
        <v>1993639467</v>
      </c>
      <c r="R17" s="116">
        <v>4208.2</v>
      </c>
      <c r="S17" s="130">
        <f t="shared" si="4"/>
        <v>374.40069388337059</v>
      </c>
      <c r="T17" s="78"/>
    </row>
    <row r="18" spans="1:20" ht="15" hidden="1" customHeight="1">
      <c r="A18" s="129" t="s">
        <v>106</v>
      </c>
      <c r="C18" s="79"/>
      <c r="F18" s="78">
        <f>P18/20</f>
        <v>41802.6</v>
      </c>
      <c r="G18" s="90">
        <f t="shared" si="2"/>
        <v>-0.46935964705725541</v>
      </c>
      <c r="H18" s="90">
        <f t="shared" si="5"/>
        <v>-0.55051853816501817</v>
      </c>
      <c r="I18" s="130">
        <f t="shared" si="3"/>
        <v>-75933.137763781633</v>
      </c>
      <c r="N18" s="89"/>
      <c r="O18" s="129" t="s">
        <v>106</v>
      </c>
      <c r="P18" s="116">
        <v>836052</v>
      </c>
      <c r="Q18" s="116">
        <v>1045653315</v>
      </c>
      <c r="R18" s="116">
        <v>2385.5500000000002</v>
      </c>
      <c r="S18" s="130">
        <f t="shared" si="4"/>
        <v>350.46509190752653</v>
      </c>
      <c r="T18" s="78"/>
    </row>
    <row r="19" spans="1:20" hidden="1">
      <c r="A19" s="129" t="s">
        <v>114</v>
      </c>
      <c r="B19" s="131">
        <f>SUM(F17:F19)</f>
        <v>180807.34090909091</v>
      </c>
      <c r="C19" s="131">
        <f>AVERAGE(F17:F19)</f>
        <v>60269.11363636364</v>
      </c>
      <c r="D19" s="90">
        <f>C19/C16-1</f>
        <v>-1.8565666396488711E-2</v>
      </c>
      <c r="E19" s="90">
        <f>C19/C7-1</f>
        <v>-1.929235967162668E-2</v>
      </c>
      <c r="F19" s="78">
        <f>P19/22</f>
        <v>60227.090909090912</v>
      </c>
      <c r="G19" s="90">
        <f t="shared" si="2"/>
        <v>0.44074987941158961</v>
      </c>
      <c r="H19" s="90">
        <f t="shared" si="5"/>
        <v>0.14690464649262513</v>
      </c>
      <c r="I19" s="130">
        <f t="shared" si="3"/>
        <v>409974.03654018807</v>
      </c>
      <c r="J19" s="78">
        <f>Q17+Q18+Q19</f>
        <v>4769951096</v>
      </c>
      <c r="K19" s="87">
        <f>T19/T16-1</f>
        <v>-5.4942367332568853E-2</v>
      </c>
      <c r="L19" s="87">
        <f>T19/T7-1</f>
        <v>3.6130055555478435E-2</v>
      </c>
      <c r="M19" s="88">
        <f>AVERAGE(S17:S19)</f>
        <v>482.21708108935746</v>
      </c>
      <c r="N19" s="89">
        <f>M19/M16-1</f>
        <v>1.3358441537185239E-2</v>
      </c>
      <c r="O19" s="129" t="s">
        <v>114</v>
      </c>
      <c r="P19" s="116">
        <v>1324996</v>
      </c>
      <c r="Q19" s="116">
        <v>1730658314</v>
      </c>
      <c r="R19" s="116">
        <v>1835.72</v>
      </c>
      <c r="S19" s="130">
        <f t="shared" si="4"/>
        <v>721.78545747717521</v>
      </c>
      <c r="T19" s="85">
        <f>P17+P18+P19</f>
        <v>3736601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83085.75</v>
      </c>
      <c r="G20" s="90">
        <f t="shared" si="2"/>
        <v>0.37954114578459097</v>
      </c>
      <c r="H20" s="90">
        <f t="shared" si="5"/>
        <v>-0.46738034149550434</v>
      </c>
      <c r="I20" s="130">
        <f t="shared" si="3"/>
        <v>-177769.03010970817</v>
      </c>
      <c r="N20" s="89"/>
      <c r="O20" s="129" t="s">
        <v>131</v>
      </c>
      <c r="P20" s="116">
        <v>1661715</v>
      </c>
      <c r="Q20" s="116">
        <v>2177754398</v>
      </c>
      <c r="R20" s="116">
        <v>5314.48</v>
      </c>
      <c r="S20" s="130">
        <f t="shared" si="4"/>
        <v>312.676875254023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1991171.6666666667</v>
      </c>
      <c r="G21" s="90">
        <f t="shared" si="2"/>
        <v>22.965260789806518</v>
      </c>
      <c r="H21" s="90">
        <f t="shared" si="5"/>
        <v>26.091034250413838</v>
      </c>
      <c r="I21" s="130">
        <f t="shared" si="3"/>
        <v>76316.317994756537</v>
      </c>
      <c r="N21" s="89"/>
      <c r="O21" s="129" t="s">
        <v>141</v>
      </c>
      <c r="P21" s="116">
        <v>41814605</v>
      </c>
      <c r="Q21" s="116">
        <v>55286090024</v>
      </c>
      <c r="R21" s="116">
        <v>7785.03</v>
      </c>
      <c r="S21" s="130">
        <f t="shared" si="4"/>
        <v>5371.1552813540866</v>
      </c>
      <c r="T21" s="78"/>
    </row>
    <row r="22" spans="1:20" hidden="1">
      <c r="A22" s="129" t="s">
        <v>155</v>
      </c>
      <c r="B22" s="131">
        <f>SUM(F20:F22)</f>
        <v>3127796.0357142854</v>
      </c>
      <c r="C22" s="131">
        <f>AVERAGE(F20:F22)</f>
        <v>1042598.6785714285</v>
      </c>
      <c r="D22" s="90">
        <f>C22/C19-1</f>
        <v>16.299054452036472</v>
      </c>
      <c r="E22" s="90">
        <f>C22/C10-1</f>
        <v>10.053545702091824</v>
      </c>
      <c r="F22" s="78">
        <f>P22/21</f>
        <v>1053538.6190476189</v>
      </c>
      <c r="G22" s="90">
        <f t="shared" si="2"/>
        <v>-0.47089513341092193</v>
      </c>
      <c r="H22" s="90">
        <f t="shared" si="5"/>
        <v>18.701938018666883</v>
      </c>
      <c r="I22" s="130">
        <f t="shared" si="3"/>
        <v>56333.125368935296</v>
      </c>
      <c r="J22" s="78">
        <f>Q20+Q21+Q22</f>
        <v>86324280672</v>
      </c>
      <c r="K22" s="87">
        <f>T22/T19-1</f>
        <v>16.556231184437408</v>
      </c>
      <c r="L22" s="87">
        <f>T22/T10-1</f>
        <v>10.039563665443183</v>
      </c>
      <c r="M22" s="88">
        <f>AVERAGE(S20:S22)</f>
        <v>3954.602432090971</v>
      </c>
      <c r="N22" s="89">
        <f>M22/M19-1</f>
        <v>7.2008758859335416</v>
      </c>
      <c r="O22" s="129" t="s">
        <v>155</v>
      </c>
      <c r="P22" s="116">
        <v>22124311</v>
      </c>
      <c r="Q22" s="116">
        <v>28860436250</v>
      </c>
      <c r="R22" s="116">
        <v>3580</v>
      </c>
      <c r="S22" s="130">
        <f t="shared" si="4"/>
        <v>6179.9751396648044</v>
      </c>
      <c r="T22" s="85">
        <f>P20+P21+P22</f>
        <v>65600631</v>
      </c>
    </row>
    <row r="23" spans="1:20" hidden="1">
      <c r="A23" s="129" t="s">
        <v>189</v>
      </c>
      <c r="B23" s="131"/>
      <c r="C23" s="131"/>
      <c r="F23" s="78">
        <f>P23/21</f>
        <v>54054</v>
      </c>
      <c r="G23" s="90">
        <f t="shared" ref="G23" si="6">F23/F22-1</f>
        <v>-0.94869291070804418</v>
      </c>
      <c r="H23" s="90">
        <f t="shared" ref="H23" si="7">F23/F11-1</f>
        <v>-0.15173738797342973</v>
      </c>
      <c r="I23" s="130">
        <f t="shared" si="3"/>
        <v>-356233.89015675709</v>
      </c>
      <c r="N23" s="89"/>
      <c r="O23" s="129" t="s">
        <v>189</v>
      </c>
      <c r="P23" s="116">
        <v>1135134</v>
      </c>
      <c r="Q23" s="116">
        <v>1472084853</v>
      </c>
      <c r="R23" s="116">
        <v>2532.2800000000002</v>
      </c>
      <c r="S23" s="130">
        <f t="shared" si="4"/>
        <v>448.26559464198266</v>
      </c>
      <c r="T23" s="78"/>
    </row>
    <row r="24" spans="1:20" hidden="1">
      <c r="A24" s="129" t="s">
        <v>204</v>
      </c>
      <c r="B24" s="131"/>
      <c r="C24" s="131"/>
      <c r="F24" s="78">
        <f>P24/22</f>
        <v>40358.454545454544</v>
      </c>
      <c r="G24" s="90">
        <f t="shared" ref="G24" si="8">F24/F23-1</f>
        <v>-0.25336784427693526</v>
      </c>
      <c r="H24" s="90">
        <f t="shared" ref="H24" si="9">F24/F12-1</f>
        <v>-0.53405728157836319</v>
      </c>
      <c r="I24" s="130">
        <f t="shared" si="3"/>
        <v>-75569.523977237783</v>
      </c>
      <c r="N24" s="89"/>
      <c r="O24" s="129" t="s">
        <v>204</v>
      </c>
      <c r="P24" s="116">
        <v>887886</v>
      </c>
      <c r="Q24" s="116">
        <v>1164728384</v>
      </c>
      <c r="R24" s="116">
        <v>4094.25</v>
      </c>
      <c r="S24" s="130">
        <f t="shared" ref="S24" si="10">P24/R24</f>
        <v>216.8616962813702</v>
      </c>
      <c r="T24" s="78"/>
    </row>
    <row r="25" spans="1:20" s="79" customFormat="1" ht="13.2" hidden="1">
      <c r="A25" s="129" t="s">
        <v>219</v>
      </c>
      <c r="B25" s="131">
        <f>SUM(F23:F25)</f>
        <v>163843.66507177032</v>
      </c>
      <c r="C25" s="131">
        <f>AVERAGE(F23:F25)</f>
        <v>54614.555023923436</v>
      </c>
      <c r="D25" s="90">
        <f>C25/C22-1</f>
        <v>-0.94761689598652044</v>
      </c>
      <c r="E25" s="90">
        <f>C25/C13-1</f>
        <v>-0.30130398804531844</v>
      </c>
      <c r="F25" s="78">
        <f>P25/19</f>
        <v>69431.210526315786</v>
      </c>
      <c r="G25" s="90">
        <f t="shared" ref="G25" si="11">F25/F24-1</f>
        <v>0.72036346060073853</v>
      </c>
      <c r="H25" s="90">
        <f t="shared" ref="H25" si="12">F25/F13-1</f>
        <v>-0.17500202857896441</v>
      </c>
      <c r="I25" s="130">
        <f t="shared" si="3"/>
        <v>-396745.17541370692</v>
      </c>
      <c r="J25" s="78">
        <f>Q23+Q24+Q25</f>
        <v>4388796656</v>
      </c>
      <c r="K25" s="90">
        <f>T25/T22-1</f>
        <v>-0.94905212116023696</v>
      </c>
      <c r="L25" s="90">
        <f>T25/T13-1</f>
        <v>-0.32164541852642436</v>
      </c>
      <c r="M25" s="88">
        <f>AVERAGE(S23:S25)</f>
        <v>522.35725335243285</v>
      </c>
      <c r="N25" s="91">
        <f>M25/M22-1</f>
        <v>-0.86791156321718044</v>
      </c>
      <c r="O25" s="129" t="s">
        <v>219</v>
      </c>
      <c r="P25" s="116">
        <v>1319193</v>
      </c>
      <c r="Q25" s="116">
        <v>1751983419</v>
      </c>
      <c r="R25" s="116">
        <v>1462.61</v>
      </c>
      <c r="S25" s="130">
        <f t="shared" ref="S25" si="13">P25/R25</f>
        <v>901.94446913394552</v>
      </c>
      <c r="T25" s="85">
        <f>P23+P24+P25</f>
        <v>3342213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64486.947368421053</v>
      </c>
      <c r="G26" s="90">
        <f t="shared" ref="G26" si="14">F26/F25-1</f>
        <v>-7.1210960033899484E-2</v>
      </c>
      <c r="H26" s="90">
        <f t="shared" ref="H26" si="15">F26/F14-1</f>
        <v>0.30047698584050608</v>
      </c>
      <c r="I26" s="130">
        <f t="shared" si="3"/>
        <v>214615.26308923666</v>
      </c>
      <c r="K26" s="90"/>
      <c r="L26" s="90"/>
      <c r="O26" s="129" t="s">
        <v>312</v>
      </c>
      <c r="P26" s="116">
        <v>1225252</v>
      </c>
      <c r="Q26" s="116">
        <v>1652262043</v>
      </c>
      <c r="R26" s="116">
        <v>3969.48</v>
      </c>
      <c r="S26" s="130">
        <f t="shared" ref="S26" si="16">P26/R26</f>
        <v>308.66813789211687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68522.272727272721</v>
      </c>
      <c r="G27" s="90">
        <f t="shared" ref="G27" si="17">F27/F26-1</f>
        <v>6.2575847105886595E-2</v>
      </c>
      <c r="H27" s="90">
        <f t="shared" ref="H27" si="18">F27/F15-1</f>
        <v>-0.1637896030761653</v>
      </c>
      <c r="I27" s="130">
        <f t="shared" si="3"/>
        <v>-418355.44772282371</v>
      </c>
      <c r="K27" s="90"/>
      <c r="L27" s="90"/>
      <c r="O27" s="129" t="s">
        <v>375</v>
      </c>
      <c r="P27" s="116">
        <v>1507490</v>
      </c>
      <c r="Q27" s="116">
        <v>2000593787</v>
      </c>
      <c r="R27" s="116">
        <v>4620</v>
      </c>
      <c r="S27" s="130">
        <f t="shared" ref="S27" si="19">P27/R27</f>
        <v>326.29653679653677</v>
      </c>
      <c r="T27" s="78"/>
    </row>
    <row r="28" spans="1:20" s="79" customFormat="1" ht="13.2" hidden="1">
      <c r="A28" s="123" t="s">
        <v>413</v>
      </c>
      <c r="B28" s="131">
        <f>SUM(F26:F28)</f>
        <v>207754.22009569377</v>
      </c>
      <c r="C28" s="131">
        <f>AVERAGE(F26:F28)</f>
        <v>69251.406698564591</v>
      </c>
      <c r="D28" s="90">
        <f>C28/C25-1</f>
        <v>0.2680027635166049</v>
      </c>
      <c r="E28" s="90">
        <f>C28/C16-1</f>
        <v>0.12770379525382736</v>
      </c>
      <c r="F28" s="78">
        <f>P28/19</f>
        <v>74745</v>
      </c>
      <c r="G28" s="90">
        <f t="shared" ref="G28" si="20">F28/F27-1</f>
        <v>9.0813206057751783E-2</v>
      </c>
      <c r="H28" s="90">
        <f t="shared" ref="H28" si="21">F28/F16-1</f>
        <v>0.41840050305047671</v>
      </c>
      <c r="I28" s="130">
        <f t="shared" si="3"/>
        <v>178644.62268818688</v>
      </c>
      <c r="J28" s="78">
        <f>Q26+Q27+Q28</f>
        <v>5504676857</v>
      </c>
      <c r="K28" s="90">
        <f>T28/T25-1</f>
        <v>0.24255904695481711</v>
      </c>
      <c r="L28" s="90">
        <f>T28/T16-1</f>
        <v>5.0346827914373726E-2</v>
      </c>
      <c r="M28" s="88">
        <f>AVERAGE(S26:S28)</f>
        <v>348.30430571841117</v>
      </c>
      <c r="N28" s="91">
        <f>M28/M25-1</f>
        <v>-0.3332067211031694</v>
      </c>
      <c r="O28" s="129" t="s">
        <v>413</v>
      </c>
      <c r="P28" s="116">
        <v>1420155</v>
      </c>
      <c r="Q28" s="116">
        <v>1851821027</v>
      </c>
      <c r="R28" s="116">
        <v>3464.23</v>
      </c>
      <c r="S28" s="130">
        <f t="shared" ref="S28" si="22">P28/R28</f>
        <v>409.94824246657987</v>
      </c>
      <c r="T28" s="85">
        <f>P26+P27+P28</f>
        <v>4152897</v>
      </c>
    </row>
    <row r="29" spans="1:20" s="79" customFormat="1" ht="13.2">
      <c r="A29" s="129" t="s">
        <v>442</v>
      </c>
      <c r="B29" s="188"/>
      <c r="C29" s="188"/>
      <c r="D29" s="189"/>
      <c r="E29" s="189"/>
      <c r="F29" s="136">
        <f>P29/22</f>
        <v>86656.909090909088</v>
      </c>
      <c r="G29" s="190">
        <f t="shared" ref="G29" si="23">F29/F28-1</f>
        <v>0.15936730337693605</v>
      </c>
      <c r="H29" s="190">
        <f t="shared" ref="H29" si="24">F29/F17-1</f>
        <v>0.10001896592382598</v>
      </c>
      <c r="I29" s="130">
        <f>S29</f>
        <v>545.62657767754422</v>
      </c>
      <c r="J29" s="136"/>
      <c r="K29" s="190"/>
      <c r="L29" s="190"/>
      <c r="M29" s="191"/>
      <c r="N29" s="192"/>
      <c r="O29" s="129" t="s">
        <v>448</v>
      </c>
      <c r="P29" s="116">
        <v>1906452</v>
      </c>
      <c r="Q29" s="116">
        <v>2489752499</v>
      </c>
      <c r="R29" s="116">
        <v>3494.06</v>
      </c>
      <c r="S29" s="130">
        <f t="shared" ref="S29" si="25">P29/R29</f>
        <v>545.62657767754422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114103.63157894737</v>
      </c>
      <c r="G30" s="190">
        <f t="shared" ref="G30" si="26">F30/F29-1</f>
        <v>0.31672861143991149</v>
      </c>
      <c r="H30" s="190">
        <f t="shared" ref="H30" si="27">F30/F18-1</f>
        <v>1.729582169026505</v>
      </c>
      <c r="I30" s="130">
        <f t="shared" ref="I30:I45" si="28">S30</f>
        <v>497.92695895029618</v>
      </c>
      <c r="J30" s="136"/>
      <c r="K30" s="190"/>
      <c r="L30" s="190"/>
      <c r="M30" s="191"/>
      <c r="N30" s="192"/>
      <c r="O30" s="129" t="s">
        <v>466</v>
      </c>
      <c r="P30" s="116">
        <v>2167969</v>
      </c>
      <c r="Q30" s="116">
        <v>2888756104</v>
      </c>
      <c r="R30" s="116">
        <v>4353.99</v>
      </c>
      <c r="S30" s="130">
        <f t="shared" ref="S30" si="29">P30/R30</f>
        <v>497.92695895029618</v>
      </c>
      <c r="T30" s="85"/>
    </row>
    <row r="31" spans="1:20" s="79" customFormat="1" ht="13.2">
      <c r="A31" s="129" t="s">
        <v>505</v>
      </c>
      <c r="B31" s="188">
        <f>SUM(F29:F31)</f>
        <v>286241.34066985646</v>
      </c>
      <c r="C31" s="188">
        <f>AVERAGE(F29:F31)</f>
        <v>95413.780223285488</v>
      </c>
      <c r="D31" s="190">
        <f>C31/C28-1</f>
        <v>0.37778833343558893</v>
      </c>
      <c r="E31" s="190">
        <f>C31/C19-1</f>
        <v>0.58312897712365164</v>
      </c>
      <c r="F31" s="136">
        <f>P31/20</f>
        <v>85480.8</v>
      </c>
      <c r="G31" s="190">
        <f t="shared" ref="G31" si="30">F31/F30-1</f>
        <v>-0.25084943557772277</v>
      </c>
      <c r="H31" s="190">
        <f t="shared" ref="H31" si="31">F31/F19-1</f>
        <v>0.41930813376040388</v>
      </c>
      <c r="I31" s="130">
        <f t="shared" si="28"/>
        <v>258.53993448850525</v>
      </c>
      <c r="J31" s="136">
        <f>Q29+Q30+Q31</f>
        <v>7652663564</v>
      </c>
      <c r="K31" s="190">
        <f>T31/T28-1</f>
        <v>0.39277160016248902</v>
      </c>
      <c r="L31" s="190">
        <f>T31/T19-1</f>
        <v>0.5479407622060799</v>
      </c>
      <c r="M31" s="191">
        <f>AVERAGE(S29:S31)</f>
        <v>434.03115703878188</v>
      </c>
      <c r="N31" s="192">
        <f>M31/M28-1</f>
        <v>0.24612630367445743</v>
      </c>
      <c r="O31" s="129" t="s">
        <v>505</v>
      </c>
      <c r="P31" s="116">
        <v>1709616</v>
      </c>
      <c r="Q31" s="116">
        <v>2274154961</v>
      </c>
      <c r="R31" s="116">
        <v>6612.58</v>
      </c>
      <c r="S31" s="130">
        <f t="shared" ref="S31" si="32">P31/R31</f>
        <v>258.53993448850525</v>
      </c>
      <c r="T31" s="85">
        <f>P29+P30+P31</f>
        <v>5784037</v>
      </c>
    </row>
    <row r="32" spans="1:20" s="79" customFormat="1" ht="13.2">
      <c r="A32" s="129" t="s">
        <v>566</v>
      </c>
      <c r="B32" s="188"/>
      <c r="C32" s="188"/>
      <c r="D32" s="190"/>
      <c r="E32" s="190"/>
      <c r="F32" s="136">
        <f>P32/21</f>
        <v>45683.047619047618</v>
      </c>
      <c r="G32" s="190">
        <f t="shared" ref="G32" si="33">F32/F31-1</f>
        <v>-0.46557533833272946</v>
      </c>
      <c r="H32" s="190">
        <f t="shared" ref="H32" si="34">F32/F20-1</f>
        <v>-0.45016988329469709</v>
      </c>
      <c r="I32" s="130">
        <f t="shared" si="28"/>
        <v>204.25916068729109</v>
      </c>
      <c r="J32" s="136"/>
      <c r="K32" s="190"/>
      <c r="L32" s="190"/>
      <c r="M32" s="191"/>
      <c r="N32" s="192"/>
      <c r="O32" s="129" t="s">
        <v>566</v>
      </c>
      <c r="P32" s="116">
        <v>959344</v>
      </c>
      <c r="Q32" s="116">
        <v>1305930488</v>
      </c>
      <c r="R32" s="116">
        <v>4696.7</v>
      </c>
      <c r="S32" s="130">
        <f t="shared" ref="S32" si="35">P32/R32</f>
        <v>204.25916068729109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58009.095238095237</v>
      </c>
      <c r="G33" s="190">
        <f t="shared" ref="G33" si="36">F33/F32-1</f>
        <v>0.26981666638869894</v>
      </c>
      <c r="H33" s="190">
        <f t="shared" ref="H33" si="37">F33/F21-1</f>
        <v>-0.9708668538181815</v>
      </c>
      <c r="I33" s="130">
        <f t="shared" si="28"/>
        <v>514.90191768778504</v>
      </c>
      <c r="J33" s="136"/>
      <c r="K33" s="190"/>
      <c r="L33" s="190"/>
      <c r="M33" s="191"/>
      <c r="N33" s="192"/>
      <c r="O33" s="129" t="s">
        <v>607</v>
      </c>
      <c r="P33" s="116">
        <v>1218191</v>
      </c>
      <c r="Q33" s="116">
        <v>1665934808</v>
      </c>
      <c r="R33" s="116">
        <v>2365.87</v>
      </c>
      <c r="S33" s="130">
        <f t="shared" ref="S33" si="38">P33/R33</f>
        <v>514.90191768778504</v>
      </c>
      <c r="T33" s="85"/>
    </row>
    <row r="34" spans="1:20" s="79" customFormat="1" ht="13.2">
      <c r="A34" s="129" t="s">
        <v>652</v>
      </c>
      <c r="B34" s="188">
        <f>SUM(F32:F34)</f>
        <v>134044.56390977444</v>
      </c>
      <c r="C34" s="188">
        <f>AVERAGE(F32:F34)</f>
        <v>44681.521303258145</v>
      </c>
      <c r="D34" s="190">
        <f>C34/C31-1</f>
        <v>-0.53170788120232415</v>
      </c>
      <c r="E34" s="190">
        <f>C34/C22-1</f>
        <v>-0.95714408408374263</v>
      </c>
      <c r="F34" s="136">
        <f>P34/19</f>
        <v>30352.42105263158</v>
      </c>
      <c r="G34" s="190">
        <f t="shared" ref="G34" si="39">F34/F33-1</f>
        <v>-0.47676444653977645</v>
      </c>
      <c r="H34" s="190">
        <f t="shared" ref="H34" si="40">F34/F22-1</f>
        <v>-0.97119002521229869</v>
      </c>
      <c r="I34" s="130">
        <f t="shared" si="28"/>
        <v>491.53718303856806</v>
      </c>
      <c r="J34" s="136">
        <f>Q32+Q33+Q34</f>
        <v>3764445653</v>
      </c>
      <c r="K34" s="190">
        <f>T34/T31-1</f>
        <v>-0.52382202949254997</v>
      </c>
      <c r="L34" s="190">
        <f>T34/T22-1</f>
        <v>-0.95801517518939716</v>
      </c>
      <c r="M34" s="191">
        <f>AVERAGE(S32:S34)</f>
        <v>403.56608713788137</v>
      </c>
      <c r="N34" s="192">
        <f>M34/M31-1</f>
        <v>-7.0190974557567065E-2</v>
      </c>
      <c r="O34" s="129" t="s">
        <v>652</v>
      </c>
      <c r="P34" s="116">
        <v>576696</v>
      </c>
      <c r="Q34" s="116">
        <v>792580357</v>
      </c>
      <c r="R34" s="116">
        <v>1173.25</v>
      </c>
      <c r="S34" s="130">
        <f t="shared" ref="S34" si="41">P34/R34</f>
        <v>491.53718303856806</v>
      </c>
      <c r="T34" s="85">
        <f>P32+P33+P34</f>
        <v>2754231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60458.956521739128</v>
      </c>
      <c r="G35" s="190">
        <f t="shared" ref="G35" si="42">F35/F34-1</f>
        <v>0.99189897955429451</v>
      </c>
      <c r="H35" s="190">
        <f t="shared" ref="H35" si="43">F35/F23-1</f>
        <v>0.11849181414398791</v>
      </c>
      <c r="I35" s="130">
        <f t="shared" si="28"/>
        <v>416.39272592251001</v>
      </c>
      <c r="J35" s="136"/>
      <c r="K35" s="190"/>
      <c r="L35" s="190"/>
      <c r="M35" s="191"/>
      <c r="N35" s="192"/>
      <c r="O35" s="129" t="s">
        <v>660</v>
      </c>
      <c r="P35" s="116">
        <v>1390556</v>
      </c>
      <c r="Q35" s="116">
        <v>1924594644</v>
      </c>
      <c r="R35" s="116">
        <v>3339.53</v>
      </c>
      <c r="S35" s="130">
        <f t="shared" ref="S35" si="44">P35/R35</f>
        <v>416.39272592251001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41519.476190476191</v>
      </c>
      <c r="G36" s="190">
        <f t="shared" ref="G36" si="45">F36/F35-1</f>
        <v>-0.31326177990605741</v>
      </c>
      <c r="H36" s="190">
        <f t="shared" ref="H36" si="46">F36/F24-1</f>
        <v>2.8767742920235539E-2</v>
      </c>
      <c r="I36" s="130">
        <f t="shared" si="28"/>
        <v>182.88945150511495</v>
      </c>
      <c r="J36" s="136"/>
      <c r="K36" s="190"/>
      <c r="L36" s="190"/>
      <c r="M36" s="191"/>
      <c r="N36" s="192"/>
      <c r="O36" s="129" t="s">
        <v>664</v>
      </c>
      <c r="P36" s="116">
        <v>871909</v>
      </c>
      <c r="Q36" s="116">
        <v>1184560206</v>
      </c>
      <c r="R36" s="116">
        <v>4767.41</v>
      </c>
      <c r="S36" s="130">
        <f t="shared" ref="S36" si="47">P36/R36</f>
        <v>182.88945150511495</v>
      </c>
      <c r="T36" s="85"/>
    </row>
    <row r="37" spans="1:20" s="79" customFormat="1" ht="13.2">
      <c r="A37" s="129" t="s">
        <v>702</v>
      </c>
      <c r="B37" s="188">
        <f>SUM(F35:F37)</f>
        <v>175742.43271221532</v>
      </c>
      <c r="C37" s="188">
        <f>AVERAGE(F35:F37)</f>
        <v>58580.810904071775</v>
      </c>
      <c r="D37" s="190">
        <f>C37/C34-1</f>
        <v>0.31107467237916331</v>
      </c>
      <c r="E37" s="190">
        <f>C37/C25-1</f>
        <v>7.2622689655000405E-2</v>
      </c>
      <c r="F37" s="136">
        <f>P37/18</f>
        <v>73764</v>
      </c>
      <c r="G37" s="190">
        <f t="shared" ref="G37" si="48">F37/F36-1</f>
        <v>0.77661200882202164</v>
      </c>
      <c r="H37" s="190">
        <f t="shared" ref="H37" si="49">F37/F25-1</f>
        <v>6.2404060664360772E-2</v>
      </c>
      <c r="I37" s="130">
        <f t="shared" si="28"/>
        <v>768.00166585687521</v>
      </c>
      <c r="J37" s="136">
        <f>Q35+Q36+Q37</f>
        <v>4880219394</v>
      </c>
      <c r="K37" s="190">
        <f>T37/T34-1</f>
        <v>0.30352791759296882</v>
      </c>
      <c r="L37" s="190">
        <f>T37/T25-1</f>
        <v>7.4203529218514808E-2</v>
      </c>
      <c r="M37" s="191">
        <f>AVERAGE(S35:S37)</f>
        <v>455.76128109483335</v>
      </c>
      <c r="N37" s="192">
        <f>M37/M34-1</f>
        <v>0.12933493576510324</v>
      </c>
      <c r="O37" s="129" t="s">
        <v>702</v>
      </c>
      <c r="P37" s="116">
        <v>1327752</v>
      </c>
      <c r="Q37" s="116">
        <v>1771064544</v>
      </c>
      <c r="R37" s="116">
        <v>1728.84</v>
      </c>
      <c r="S37" s="130">
        <f t="shared" ref="S37" si="50">P37/R37</f>
        <v>768.00166585687521</v>
      </c>
      <c r="T37" s="85">
        <f>P35+P36+P37</f>
        <v>3590217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56554.8</v>
      </c>
      <c r="G38" s="190">
        <f t="shared" ref="G38" si="51">F38/F37-1</f>
        <v>-0.23330079713681462</v>
      </c>
      <c r="H38" s="190">
        <f t="shared" ref="H38" si="52">F38/F26-1</f>
        <v>-0.12300392082608314</v>
      </c>
      <c r="I38" s="130">
        <f t="shared" si="28"/>
        <v>296.92234997637422</v>
      </c>
      <c r="J38" s="136"/>
      <c r="K38" s="190"/>
      <c r="L38" s="190"/>
      <c r="M38" s="191"/>
      <c r="N38" s="192"/>
      <c r="O38" s="129" t="s">
        <v>727</v>
      </c>
      <c r="P38" s="116">
        <v>1131096</v>
      </c>
      <c r="Q38" s="116">
        <v>1522051997</v>
      </c>
      <c r="R38" s="116">
        <v>3809.4</v>
      </c>
      <c r="S38" s="130">
        <f t="shared" ref="S38" si="53">P38/R38</f>
        <v>296.92234997637422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56228.809523809527</v>
      </c>
      <c r="G39" s="190">
        <f t="shared" ref="G39" si="54">F39/F38-1</f>
        <v>-5.7641522238691678E-3</v>
      </c>
      <c r="H39" s="190">
        <f t="shared" ref="H39" si="55">F39/F27-1</f>
        <v>-0.17940828163118183</v>
      </c>
      <c r="I39" s="130">
        <f t="shared" si="28"/>
        <v>639.04673767155907</v>
      </c>
      <c r="J39" s="136"/>
      <c r="K39" s="190"/>
      <c r="L39" s="190"/>
      <c r="M39" s="191"/>
      <c r="N39" s="192"/>
      <c r="O39" s="129" t="s">
        <v>762</v>
      </c>
      <c r="P39" s="116">
        <v>1180805</v>
      </c>
      <c r="Q39" s="116">
        <v>1642278634</v>
      </c>
      <c r="R39" s="116">
        <v>1847.76</v>
      </c>
      <c r="S39" s="130">
        <f t="shared" ref="S39" si="56">P39/R39</f>
        <v>639.04673767155907</v>
      </c>
      <c r="T39" s="85"/>
    </row>
    <row r="40" spans="1:20" s="79" customFormat="1" ht="13.2">
      <c r="A40" s="129" t="s">
        <v>778</v>
      </c>
      <c r="B40" s="188">
        <f>SUM(F38:F40)</f>
        <v>166139.13333333333</v>
      </c>
      <c r="C40" s="188">
        <f>AVERAGE(F38:F40)</f>
        <v>55379.711111111108</v>
      </c>
      <c r="D40" s="190">
        <f>C40/C37-1</f>
        <v>-5.4644170054296226E-2</v>
      </c>
      <c r="E40" s="190">
        <f>C40/C28-1</f>
        <v>-0.20030922473291812</v>
      </c>
      <c r="F40" s="136">
        <f>P40/21</f>
        <v>53355.523809523809</v>
      </c>
      <c r="G40" s="190">
        <f t="shared" ref="G40" si="57">F40/F39-1</f>
        <v>-5.1099885247775978E-2</v>
      </c>
      <c r="H40" s="190">
        <f t="shared" ref="H40" si="58">F40/F28-1</f>
        <v>-0.28616598020571526</v>
      </c>
      <c r="I40" s="130">
        <f t="shared" si="28"/>
        <v>313.12364637332848</v>
      </c>
      <c r="J40" s="136">
        <f>Q38+Q39+Q40</f>
        <v>4744287480</v>
      </c>
      <c r="K40" s="190">
        <f>T40/T37-1</f>
        <v>-4.3966701734184821E-2</v>
      </c>
      <c r="L40" s="190">
        <f>T40/T28-1</f>
        <v>-0.17350057080635517</v>
      </c>
      <c r="M40" s="191">
        <f>AVERAGE(S38:S40)</f>
        <v>416.36424467375394</v>
      </c>
      <c r="N40" s="192">
        <f>M40/M37-1</f>
        <v>-8.6442262770631939E-2</v>
      </c>
      <c r="O40" s="129" t="s">
        <v>778</v>
      </c>
      <c r="P40" s="116">
        <v>1120466</v>
      </c>
      <c r="Q40" s="116">
        <v>1579956849</v>
      </c>
      <c r="R40" s="116">
        <v>3578.35</v>
      </c>
      <c r="S40" s="130">
        <f t="shared" ref="S40" si="59">P40/R40</f>
        <v>313.12364637332848</v>
      </c>
      <c r="T40" s="85">
        <f>P38+P39+P40</f>
        <v>3432367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63.888888888888886</v>
      </c>
      <c r="G41" s="190">
        <f t="shared" ref="G41" si="60">F41/F40-1</f>
        <v>-0.9988025815449405</v>
      </c>
      <c r="H41" s="190">
        <f t="shared" ref="H41" si="61">F41/F29-1</f>
        <v>-0.99926273750634398</v>
      </c>
      <c r="I41" s="130">
        <f t="shared" si="28"/>
        <v>19.166666666666668</v>
      </c>
      <c r="J41" s="193"/>
      <c r="K41" s="190"/>
      <c r="L41" s="190"/>
      <c r="M41" s="193"/>
      <c r="N41" s="193"/>
      <c r="O41" s="129" t="s">
        <v>792</v>
      </c>
      <c r="P41" s="116">
        <v>1150</v>
      </c>
      <c r="Q41" s="116">
        <v>1672861</v>
      </c>
      <c r="R41" s="116">
        <v>60</v>
      </c>
      <c r="S41" s="130">
        <f t="shared" ref="S41" si="62">P41/R41</f>
        <v>19.166666666666668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>
        <f t="shared" ref="G42" si="63">F42/F41-1</f>
        <v>-1</v>
      </c>
      <c r="H42" s="190">
        <f t="shared" ref="H42" si="64">F42/F30-1</f>
        <v>-1</v>
      </c>
      <c r="I42" s="130" t="e">
        <f t="shared" si="28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65">P42/R42</f>
        <v>#DIV/0!</v>
      </c>
      <c r="T42" s="78"/>
    </row>
    <row r="43" spans="1:20" s="79" customFormat="1" ht="13.2">
      <c r="A43" s="129" t="s">
        <v>835</v>
      </c>
      <c r="B43" s="188">
        <f>SUM(F41:F43)</f>
        <v>63.888888888888886</v>
      </c>
      <c r="C43" s="188">
        <f>AVERAGE(F41:F43)</f>
        <v>21.296296296296294</v>
      </c>
      <c r="D43" s="190">
        <f>C43/C40-1</f>
        <v>-0.99961544948738412</v>
      </c>
      <c r="E43" s="190">
        <f>C43/C31-1</f>
        <v>-0.99977680062307084</v>
      </c>
      <c r="F43" s="136">
        <f>P43/20</f>
        <v>0</v>
      </c>
      <c r="G43" s="190" t="e">
        <f t="shared" ref="G43" si="66">F43/F42-1</f>
        <v>#DIV/0!</v>
      </c>
      <c r="H43" s="190">
        <f t="shared" ref="H43" si="67">F43/F31-1</f>
        <v>-1</v>
      </c>
      <c r="I43" s="130" t="e">
        <f t="shared" si="28"/>
        <v>#DIV/0!</v>
      </c>
      <c r="J43" s="136">
        <f>Q41+Q42+Q43</f>
        <v>1672861</v>
      </c>
      <c r="K43" s="190">
        <f>T43/T40-1</f>
        <v>-0.99966495424294666</v>
      </c>
      <c r="L43" s="190">
        <f>T43/T31-1</f>
        <v>-0.9998011769288474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68">P43/R43</f>
        <v>#DIV/0!</v>
      </c>
      <c r="T43" s="85">
        <f>P41+P42+P43</f>
        <v>1150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69">F44/F43-1</f>
        <v>#DIV/0!</v>
      </c>
      <c r="H44" s="190">
        <f t="shared" ref="H44" si="70">F44/F32-1</f>
        <v>-1</v>
      </c>
      <c r="I44" s="130" t="e">
        <f t="shared" si="28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71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72">F45/F44-1</f>
        <v>#DIV/0!</v>
      </c>
      <c r="H45" s="190">
        <f t="shared" ref="H45" si="73">F45/F33-1</f>
        <v>-1</v>
      </c>
      <c r="I45" s="130" t="e">
        <f t="shared" si="28"/>
        <v>#DIV/0!</v>
      </c>
      <c r="J45" s="136"/>
      <c r="K45" s="190"/>
      <c r="L45" s="190"/>
      <c r="M45" s="191"/>
      <c r="N45" s="192"/>
      <c r="O45" s="129" t="s">
        <v>848</v>
      </c>
      <c r="P45" s="116"/>
      <c r="Q45" s="116"/>
      <c r="R45" s="116"/>
      <c r="S45" s="130" t="e">
        <f t="shared" ref="S45" si="74">P45/R45</f>
        <v>#DIV/0!</v>
      </c>
      <c r="T45" s="85"/>
    </row>
    <row r="46" spans="1:20" s="183" customFormat="1" ht="13.2">
      <c r="A46" s="144" t="s">
        <v>888</v>
      </c>
      <c r="B46" s="196">
        <f>SUM(F44:F46)</f>
        <v>0</v>
      </c>
      <c r="C46" s="196">
        <f>AVERAGE(F44:F46)</f>
        <v>0</v>
      </c>
      <c r="D46" s="197">
        <f>C46/C43-1</f>
        <v>-1</v>
      </c>
      <c r="E46" s="197">
        <f>C46/C34-1</f>
        <v>-1</v>
      </c>
      <c r="F46" s="147">
        <f>P46/19</f>
        <v>0</v>
      </c>
      <c r="G46" s="197" t="e">
        <f t="shared" ref="G46" si="75">F46/F45-1</f>
        <v>#DIV/0!</v>
      </c>
      <c r="H46" s="197">
        <f t="shared" ref="H46" si="76">F46/F34-1</f>
        <v>-1</v>
      </c>
      <c r="I46" s="146" t="e">
        <f t="shared" ref="I46" si="77">S46</f>
        <v>#DIV/0!</v>
      </c>
      <c r="J46" s="147">
        <f>Q44+Q45+Q46</f>
        <v>0</v>
      </c>
      <c r="K46" s="197">
        <f>T46/T43-1</f>
        <v>-1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78">P46/R46</f>
        <v>#DIV/0!</v>
      </c>
      <c r="T46" s="187">
        <f>P44+P45+P46</f>
        <v>0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0</v>
      </c>
      <c r="G47" s="197" t="e">
        <f t="shared" ref="G47" si="79">F47/F46-1</f>
        <v>#DIV/0!</v>
      </c>
      <c r="H47" s="197">
        <f t="shared" ref="H47" si="80">F47/F35-1</f>
        <v>-1</v>
      </c>
      <c r="I47" s="146" t="e">
        <f t="shared" ref="I47" si="81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82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83">F48/F47-1</f>
        <v>#DIV/0!</v>
      </c>
      <c r="H48" s="197">
        <f t="shared" ref="H48" si="84">F48/F36-1</f>
        <v>-1</v>
      </c>
      <c r="I48" s="146" t="e">
        <f t="shared" ref="I48" si="85">S48</f>
        <v>#DIV/0!</v>
      </c>
      <c r="J48" s="147"/>
      <c r="K48" s="197"/>
      <c r="L48" s="197"/>
      <c r="M48" s="198"/>
      <c r="N48" s="199"/>
      <c r="O48" s="144" t="s">
        <v>1070</v>
      </c>
      <c r="P48" s="145"/>
      <c r="Q48" s="145"/>
      <c r="R48" s="145"/>
      <c r="S48" s="146" t="e">
        <f t="shared" ref="S48" si="86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51"/>
  <dimension ref="A1:Y49"/>
  <sheetViews>
    <sheetView topLeftCell="F1" zoomScaleNormal="100" workbookViewId="0">
      <selection activeCell="J56" sqref="J5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5.5" style="94" bestFit="1" customWidth="1"/>
    <col min="12" max="12" width="5.59765625" style="94" customWidth="1"/>
    <col min="13" max="13" width="10.59765625" style="92" customWidth="1"/>
    <col min="14" max="14" width="6.8984375" style="92" bestFit="1" customWidth="1"/>
    <col min="15" max="15" width="20.69921875" style="92" customWidth="1"/>
    <col min="16" max="16" width="20.69921875" style="93" customWidth="1"/>
    <col min="17" max="17" width="16.0976562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 t="s">
        <v>356</v>
      </c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 thickBot="1">
      <c r="A2" s="125"/>
      <c r="B2" s="79"/>
      <c r="C2" s="79"/>
      <c r="D2" s="117"/>
      <c r="E2" s="117"/>
      <c r="F2" s="79"/>
      <c r="G2" s="90"/>
      <c r="H2" s="90"/>
      <c r="I2" s="79"/>
      <c r="J2" s="107" t="s">
        <v>357</v>
      </c>
      <c r="K2" s="96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/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959211.2</v>
      </c>
      <c r="G5" s="90"/>
      <c r="H5" s="90"/>
      <c r="I5" s="130" t="e">
        <f t="shared" ref="I5:I28" si="0">F5/H5</f>
        <v>#DIV/0!</v>
      </c>
      <c r="J5" s="79"/>
      <c r="K5" s="80"/>
      <c r="L5" s="80"/>
      <c r="M5" s="79"/>
      <c r="N5" s="79"/>
      <c r="O5" s="129" t="s">
        <v>0</v>
      </c>
      <c r="P5" s="116">
        <v>19184224</v>
      </c>
      <c r="Q5" s="116"/>
      <c r="R5" s="116">
        <v>156663.95000000001</v>
      </c>
      <c r="S5" s="130">
        <f t="shared" ref="S5:S26" si="1">P5/R5</f>
        <v>122.45461703218895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1179122.8333333333</v>
      </c>
      <c r="G6" s="90">
        <f t="shared" ref="G6:G26" si="2">F6/F5-1</f>
        <v>0.22926299581711862</v>
      </c>
      <c r="H6" s="90"/>
      <c r="I6" s="130" t="e">
        <f t="shared" si="0"/>
        <v>#DIV/0!</v>
      </c>
      <c r="J6" s="79"/>
      <c r="K6" s="87"/>
      <c r="L6" s="87"/>
      <c r="M6" s="79"/>
      <c r="N6" s="79"/>
      <c r="O6" s="129" t="s">
        <v>1</v>
      </c>
      <c r="P6" s="116">
        <v>21224211</v>
      </c>
      <c r="Q6" s="116"/>
      <c r="R6" s="116">
        <v>123124.79</v>
      </c>
      <c r="S6" s="130">
        <f t="shared" si="1"/>
        <v>172.37967268817272</v>
      </c>
      <c r="T6" s="85"/>
    </row>
    <row r="7" spans="1:20" ht="15" hidden="1" customHeight="1">
      <c r="A7" s="129" t="s">
        <v>2</v>
      </c>
      <c r="B7" s="131">
        <f>F5+F6+F7</f>
        <v>3252665.4424242424</v>
      </c>
      <c r="C7" s="131">
        <f>AVERAGE(F5:F7)</f>
        <v>1084221.8141414141</v>
      </c>
      <c r="D7" s="117"/>
      <c r="E7" s="117"/>
      <c r="F7" s="78">
        <f>P7/22</f>
        <v>1114331.4090909092</v>
      </c>
      <c r="G7" s="90">
        <f t="shared" si="2"/>
        <v>-5.4948833497915794E-2</v>
      </c>
      <c r="H7" s="90"/>
      <c r="I7" s="130" t="e">
        <f t="shared" si="0"/>
        <v>#DIV/0!</v>
      </c>
      <c r="J7" s="79">
        <f>Q5+Q6+Q7</f>
        <v>0</v>
      </c>
      <c r="K7" s="87"/>
      <c r="L7" s="87"/>
      <c r="M7" s="88">
        <f>AVERAGE(S5:S7)</f>
        <v>142.09362158713009</v>
      </c>
      <c r="N7" s="79"/>
      <c r="O7" s="129" t="s">
        <v>2</v>
      </c>
      <c r="P7" s="116">
        <v>24515291</v>
      </c>
      <c r="Q7" s="116"/>
      <c r="R7" s="116">
        <v>186503.84</v>
      </c>
      <c r="S7" s="130">
        <f t="shared" si="1"/>
        <v>131.44657504102864</v>
      </c>
      <c r="T7" s="85">
        <f>P5+P6+P7</f>
        <v>64923726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1331593.7142857143</v>
      </c>
      <c r="G8" s="90">
        <f t="shared" si="2"/>
        <v>0.19497099643996529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27963468</v>
      </c>
      <c r="Q8" s="116"/>
      <c r="R8" s="116">
        <v>130665.7</v>
      </c>
      <c r="S8" s="130">
        <f t="shared" si="1"/>
        <v>214.00771587340824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1310197.3809523811</v>
      </c>
      <c r="G9" s="90">
        <f t="shared" si="2"/>
        <v>-1.6068214428911265E-2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27514145</v>
      </c>
      <c r="Q9" s="116"/>
      <c r="R9" s="116">
        <v>164407.76999999999</v>
      </c>
      <c r="S9" s="130">
        <f t="shared" si="1"/>
        <v>167.3530697484675</v>
      </c>
      <c r="T9" s="85"/>
    </row>
    <row r="10" spans="1:20" ht="15" hidden="1" customHeight="1">
      <c r="A10" s="129" t="s">
        <v>5</v>
      </c>
      <c r="B10" s="131">
        <f>F8+F9+F10</f>
        <v>3872507.3809523806</v>
      </c>
      <c r="C10" s="131">
        <f>AVERAGE(F8:F10)</f>
        <v>1290835.7936507936</v>
      </c>
      <c r="D10" s="90">
        <f>C10/C7-1</f>
        <v>0.19056430779618228</v>
      </c>
      <c r="E10" s="90"/>
      <c r="F10" s="78">
        <f>P10/21</f>
        <v>1230716.2857142857</v>
      </c>
      <c r="G10" s="90">
        <f t="shared" si="2"/>
        <v>-6.0663451471961172E-2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0.25258761334800783</v>
      </c>
      <c r="L10" s="87"/>
      <c r="M10" s="88">
        <f>AVERAGE(S8:S10)</f>
        <v>198.00761707144557</v>
      </c>
      <c r="N10" s="89">
        <f>M10/M7-1</f>
        <v>0.39350109357322349</v>
      </c>
      <c r="O10" s="129" t="s">
        <v>5</v>
      </c>
      <c r="P10" s="116">
        <v>25845042</v>
      </c>
      <c r="Q10" s="116"/>
      <c r="R10" s="116">
        <v>121531.04</v>
      </c>
      <c r="S10" s="130">
        <f t="shared" si="1"/>
        <v>212.662065592461</v>
      </c>
      <c r="T10" s="85">
        <f>P8+P9+P10</f>
        <v>81322655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1259001.9047619049</v>
      </c>
      <c r="G11" s="90">
        <f t="shared" si="2"/>
        <v>2.2983054157931004E-2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26439040</v>
      </c>
      <c r="Q11" s="116"/>
      <c r="R11" s="116">
        <v>176478.93</v>
      </c>
      <c r="S11" s="130">
        <f t="shared" si="1"/>
        <v>149.81414495203478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1326572.4090909092</v>
      </c>
      <c r="G12" s="90">
        <f t="shared" si="2"/>
        <v>5.3669898411935257E-2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29184593</v>
      </c>
      <c r="Q12" s="116"/>
      <c r="R12" s="116">
        <v>155719.75</v>
      </c>
      <c r="S12" s="130">
        <f t="shared" si="1"/>
        <v>187.41741493933813</v>
      </c>
      <c r="T12" s="85"/>
    </row>
    <row r="13" spans="1:20" ht="15" hidden="1" customHeight="1">
      <c r="A13" s="129" t="s">
        <v>96</v>
      </c>
      <c r="B13" s="131">
        <f>F11+F12+F13</f>
        <v>4233302.3638528138</v>
      </c>
      <c r="C13" s="131">
        <f>AVERAGE(F11:F13)</f>
        <v>1411100.7879509379</v>
      </c>
      <c r="D13" s="90">
        <f>C13/C10-1</f>
        <v>9.3168313810082726E-2</v>
      </c>
      <c r="E13" s="90"/>
      <c r="F13" s="78">
        <f>P13/20</f>
        <v>1647728.05</v>
      </c>
      <c r="G13" s="90">
        <f t="shared" si="2"/>
        <v>0.24209431668277848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8.9219160392635999E-2</v>
      </c>
      <c r="L13" s="87"/>
      <c r="M13" s="88">
        <f>AVERAGE(S11:S13)</f>
        <v>182.77188992762831</v>
      </c>
      <c r="N13" s="89">
        <f>M13/M10-1</f>
        <v>-7.6945156803335801E-2</v>
      </c>
      <c r="O13" s="129" t="s">
        <v>96</v>
      </c>
      <c r="P13" s="116">
        <v>32954561</v>
      </c>
      <c r="Q13" s="116"/>
      <c r="R13" s="116">
        <v>156120.51999999999</v>
      </c>
      <c r="S13" s="130">
        <f t="shared" si="1"/>
        <v>211.08410989151204</v>
      </c>
      <c r="T13" s="85">
        <f>P11+P12+P13</f>
        <v>88578194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1399954.9</v>
      </c>
      <c r="G14" s="90">
        <f t="shared" si="2"/>
        <v>-0.15037259941044279</v>
      </c>
      <c r="H14" s="90"/>
      <c r="I14" s="130" t="e">
        <f t="shared" si="0"/>
        <v>#DIV/0!</v>
      </c>
      <c r="J14" s="79"/>
      <c r="K14" s="87"/>
      <c r="L14" s="87"/>
      <c r="M14" s="79"/>
      <c r="N14" s="89"/>
      <c r="O14" s="129" t="s">
        <v>97</v>
      </c>
      <c r="P14" s="116">
        <v>27999098</v>
      </c>
      <c r="Q14" s="116"/>
      <c r="R14" s="116">
        <v>167986.59</v>
      </c>
      <c r="S14" s="130">
        <f t="shared" si="1"/>
        <v>166.67460182387177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1298409.0909090908</v>
      </c>
      <c r="G15" s="90">
        <f t="shared" si="2"/>
        <v>-7.2535057444285567E-2</v>
      </c>
      <c r="H15" s="90"/>
      <c r="I15" s="130" t="e">
        <f t="shared" si="0"/>
        <v>#DIV/0!</v>
      </c>
      <c r="J15" s="79"/>
      <c r="K15" s="87"/>
      <c r="L15" s="87"/>
      <c r="M15" s="79"/>
      <c r="N15" s="89"/>
      <c r="O15" s="129" t="s">
        <v>98</v>
      </c>
      <c r="P15" s="116">
        <v>28565000</v>
      </c>
      <c r="Q15" s="116"/>
      <c r="R15" s="116">
        <v>224101.35</v>
      </c>
      <c r="S15" s="130">
        <f t="shared" si="1"/>
        <v>127.46464936511984</v>
      </c>
      <c r="T15" s="78"/>
    </row>
    <row r="16" spans="1:20" ht="15" hidden="1" customHeight="1">
      <c r="A16" s="129" t="s">
        <v>99</v>
      </c>
      <c r="B16" s="131">
        <f>F14+F15+F16</f>
        <v>4474067.627272727</v>
      </c>
      <c r="C16" s="131">
        <f>AVERAGE(F14:F16)</f>
        <v>1491355.8757575757</v>
      </c>
      <c r="D16" s="90">
        <f>C16/C13-1</f>
        <v>5.6874100342028999E-2</v>
      </c>
      <c r="E16" s="90"/>
      <c r="F16" s="78">
        <f>P16/22</f>
        <v>1775703.6363636365</v>
      </c>
      <c r="G16" s="90">
        <f t="shared" si="2"/>
        <v>0.36759950988972534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7.9606319361173794E-2</v>
      </c>
      <c r="L16" s="87"/>
      <c r="M16" s="88">
        <f>AVERAGE(S14:S16)</f>
        <v>173.85260739825262</v>
      </c>
      <c r="N16" s="89">
        <f>M16/M13-1</f>
        <v>-4.8800078244567224E-2</v>
      </c>
      <c r="O16" s="129" t="s">
        <v>99</v>
      </c>
      <c r="P16" s="116">
        <v>39065480</v>
      </c>
      <c r="Q16" s="116"/>
      <c r="R16" s="116">
        <v>171777.88</v>
      </c>
      <c r="S16" s="130">
        <f t="shared" si="1"/>
        <v>227.41857100576627</v>
      </c>
      <c r="T16" s="85">
        <f>P14+P15+P16</f>
        <v>95629578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968466.7</v>
      </c>
      <c r="G17" s="90">
        <f t="shared" si="2"/>
        <v>-0.45460116194655753</v>
      </c>
      <c r="H17" s="90">
        <f t="shared" ref="H17:H26" si="3">F17/F5-1</f>
        <v>9.6490741559314142E-3</v>
      </c>
      <c r="I17" s="130">
        <f t="shared" si="0"/>
        <v>100368873.15294085</v>
      </c>
      <c r="J17" s="79"/>
      <c r="K17" s="87"/>
      <c r="L17" s="87"/>
      <c r="M17" s="79"/>
      <c r="N17" s="89"/>
      <c r="O17" s="129" t="s">
        <v>100</v>
      </c>
      <c r="P17" s="116">
        <v>19369334</v>
      </c>
      <c r="Q17" s="116">
        <v>24374569970</v>
      </c>
      <c r="R17" s="116">
        <v>148011.41</v>
      </c>
      <c r="S17" s="130">
        <f t="shared" si="1"/>
        <v>130.86378948758073</v>
      </c>
      <c r="T17" s="78"/>
    </row>
    <row r="18" spans="1:20" ht="15" hidden="1" customHeight="1">
      <c r="A18" s="129" t="s">
        <v>106</v>
      </c>
      <c r="B18" s="79"/>
      <c r="C18" s="79"/>
      <c r="D18" s="117"/>
      <c r="E18" s="117"/>
      <c r="F18" s="78">
        <f>P18/20</f>
        <v>789130.2</v>
      </c>
      <c r="G18" s="90">
        <f t="shared" si="2"/>
        <v>-0.18517570093014035</v>
      </c>
      <c r="H18" s="90">
        <f t="shared" si="3"/>
        <v>-0.3307480970670712</v>
      </c>
      <c r="I18" s="130">
        <f t="shared" si="0"/>
        <v>-2385894.9061163459</v>
      </c>
      <c r="J18" s="79"/>
      <c r="K18" s="87"/>
      <c r="L18" s="87"/>
      <c r="M18" s="79"/>
      <c r="N18" s="89"/>
      <c r="O18" s="129" t="s">
        <v>106</v>
      </c>
      <c r="P18" s="116">
        <v>15782604</v>
      </c>
      <c r="Q18" s="116">
        <v>19952927075</v>
      </c>
      <c r="R18" s="116">
        <v>161800.69</v>
      </c>
      <c r="S18" s="130">
        <f t="shared" si="1"/>
        <v>97.543490080295697</v>
      </c>
      <c r="T18" s="78"/>
    </row>
    <row r="19" spans="1:20" hidden="1">
      <c r="A19" s="129" t="s">
        <v>114</v>
      </c>
      <c r="B19" s="131">
        <f>SUM(F17:F19)</f>
        <v>2585113.4</v>
      </c>
      <c r="C19" s="131">
        <f>AVERAGE(F17:F19)</f>
        <v>861704.46666666667</v>
      </c>
      <c r="D19" s="90">
        <f>C19/C16-1</f>
        <v>-0.42220064260051959</v>
      </c>
      <c r="E19" s="90">
        <f>C19/C7-1</f>
        <v>-0.20523231000563935</v>
      </c>
      <c r="F19" s="78">
        <f>P19/22</f>
        <v>827516.5</v>
      </c>
      <c r="G19" s="90">
        <f t="shared" si="2"/>
        <v>4.8643810615789373E-2</v>
      </c>
      <c r="H19" s="90">
        <f t="shared" si="3"/>
        <v>-0.2573874403530434</v>
      </c>
      <c r="I19" s="130">
        <f t="shared" si="0"/>
        <v>-3215061.694016397</v>
      </c>
      <c r="J19" s="78">
        <f>Q17+Q18+Q19</f>
        <v>68108398042</v>
      </c>
      <c r="K19" s="87">
        <f>T19/T16-1</f>
        <v>-0.44204186491338482</v>
      </c>
      <c r="L19" s="87">
        <f>T19/T7-1</f>
        <v>-0.178154054189681</v>
      </c>
      <c r="M19" s="88">
        <f>AVERAGE(S17:S19)</f>
        <v>116.12808842365483</v>
      </c>
      <c r="N19" s="89">
        <f>M19/M16-1</f>
        <v>-0.33203136748110673</v>
      </c>
      <c r="O19" s="129" t="s">
        <v>114</v>
      </c>
      <c r="P19" s="116">
        <v>18205363</v>
      </c>
      <c r="Q19" s="116">
        <v>23780900997</v>
      </c>
      <c r="R19" s="116">
        <v>151740.46</v>
      </c>
      <c r="S19" s="130">
        <f t="shared" si="1"/>
        <v>119.97698570308803</v>
      </c>
      <c r="T19" s="85">
        <f>P17+P18+P19</f>
        <v>53357301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756438.4</v>
      </c>
      <c r="G20" s="90">
        <f t="shared" si="2"/>
        <v>-8.5893272218741212E-2</v>
      </c>
      <c r="H20" s="90">
        <f t="shared" si="3"/>
        <v>-0.43193003099615546</v>
      </c>
      <c r="I20" s="130">
        <f t="shared" si="0"/>
        <v>-1751298.4643726542</v>
      </c>
      <c r="J20" s="79"/>
      <c r="K20" s="87"/>
      <c r="L20" s="87"/>
      <c r="M20" s="79"/>
      <c r="N20" s="89"/>
      <c r="O20" s="129" t="s">
        <v>131</v>
      </c>
      <c r="P20" s="116">
        <v>15128768</v>
      </c>
      <c r="Q20" s="116">
        <v>19867882159</v>
      </c>
      <c r="R20" s="116">
        <v>98604.93</v>
      </c>
      <c r="S20" s="130">
        <f t="shared" si="1"/>
        <v>153.42810952758651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1051809.8095238095</v>
      </c>
      <c r="G21" s="90">
        <f t="shared" si="2"/>
        <v>0.39047648760799225</v>
      </c>
      <c r="H21" s="90">
        <f t="shared" si="3"/>
        <v>-0.19721270640973954</v>
      </c>
      <c r="I21" s="130">
        <f t="shared" si="0"/>
        <v>-5333377.4921100363</v>
      </c>
      <c r="J21" s="79"/>
      <c r="K21" s="87"/>
      <c r="L21" s="87"/>
      <c r="M21" s="79"/>
      <c r="N21" s="89"/>
      <c r="O21" s="129" t="s">
        <v>141</v>
      </c>
      <c r="P21" s="116">
        <v>22088006</v>
      </c>
      <c r="Q21" s="116">
        <v>29378382038</v>
      </c>
      <c r="R21" s="116">
        <v>123773.95</v>
      </c>
      <c r="S21" s="130">
        <f t="shared" si="1"/>
        <v>178.45440013831666</v>
      </c>
      <c r="T21" s="78"/>
    </row>
    <row r="22" spans="1:20" hidden="1">
      <c r="A22" s="129" t="s">
        <v>155</v>
      </c>
      <c r="B22" s="131">
        <f>SUM(F20:F22)</f>
        <v>2783460.780952381</v>
      </c>
      <c r="C22" s="131">
        <f>AVERAGE(F20:F22)</f>
        <v>927820.26031746028</v>
      </c>
      <c r="D22" s="90">
        <f>C22/C19-1</f>
        <v>7.672676214218721E-2</v>
      </c>
      <c r="E22" s="90">
        <f>C22/C10-1</f>
        <v>-0.28122518380640671</v>
      </c>
      <c r="F22" s="78">
        <f>P22/21</f>
        <v>975212.57142857148</v>
      </c>
      <c r="G22" s="90">
        <f t="shared" si="2"/>
        <v>-7.2824228678677327E-2</v>
      </c>
      <c r="H22" s="90">
        <f t="shared" si="3"/>
        <v>-0.20760569860942757</v>
      </c>
      <c r="I22" s="130">
        <f t="shared" si="0"/>
        <v>-4697426.7949323338</v>
      </c>
      <c r="J22" s="78">
        <f>Q20+Q21+Q22</f>
        <v>75720090579</v>
      </c>
      <c r="K22" s="87">
        <f>T22/T19-1</f>
        <v>8.1318524713234641E-2</v>
      </c>
      <c r="L22" s="87">
        <f>T22/T10-1</f>
        <v>-0.29052687716602466</v>
      </c>
      <c r="M22" s="88">
        <f>AVERAGE(S20:S22)</f>
        <v>162.57190431486796</v>
      </c>
      <c r="N22" s="89">
        <f>M22/M19-1</f>
        <v>0.3999361095291456</v>
      </c>
      <c r="O22" s="129" t="s">
        <v>155</v>
      </c>
      <c r="P22" s="116">
        <v>20479464</v>
      </c>
      <c r="Q22" s="116">
        <v>26473826382</v>
      </c>
      <c r="R22" s="116">
        <v>131419.13</v>
      </c>
      <c r="S22" s="130">
        <f t="shared" si="1"/>
        <v>155.83320327870075</v>
      </c>
      <c r="T22" s="85">
        <f>P20+P21+P22</f>
        <v>57696238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750238.76190476189</v>
      </c>
      <c r="G23" s="90">
        <f t="shared" si="2"/>
        <v>-0.23069207280034287</v>
      </c>
      <c r="H23" s="90">
        <f t="shared" si="3"/>
        <v>-0.40410037580789626</v>
      </c>
      <c r="I23" s="130">
        <f t="shared" si="0"/>
        <v>-1856565.365485864</v>
      </c>
      <c r="J23" s="79"/>
      <c r="K23" s="87"/>
      <c r="L23" s="87"/>
      <c r="M23" s="79"/>
      <c r="N23" s="89"/>
      <c r="O23" s="129" t="s">
        <v>189</v>
      </c>
      <c r="P23" s="116">
        <v>15755014</v>
      </c>
      <c r="Q23" s="116">
        <v>20233585652</v>
      </c>
      <c r="R23" s="116">
        <v>180404.5</v>
      </c>
      <c r="S23" s="130">
        <f t="shared" si="1"/>
        <v>87.331602038751811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561692.86363636365</v>
      </c>
      <c r="G24" s="90">
        <f t="shared" si="2"/>
        <v>-0.2513145252448753</v>
      </c>
      <c r="H24" s="90">
        <f t="shared" si="3"/>
        <v>-0.57658333628294911</v>
      </c>
      <c r="I24" s="130">
        <f t="shared" si="0"/>
        <v>-974174.63927664014</v>
      </c>
      <c r="J24" s="79"/>
      <c r="K24" s="87"/>
      <c r="L24" s="87"/>
      <c r="M24" s="79"/>
      <c r="N24" s="89"/>
      <c r="O24" s="129" t="s">
        <v>204</v>
      </c>
      <c r="P24" s="116">
        <v>12357243</v>
      </c>
      <c r="Q24" s="116">
        <v>16266051069</v>
      </c>
      <c r="R24" s="116">
        <v>105232.55</v>
      </c>
      <c r="S24" s="130">
        <f t="shared" si="1"/>
        <v>117.42795361321188</v>
      </c>
      <c r="T24" s="78"/>
    </row>
    <row r="25" spans="1:20" s="92" customFormat="1" ht="13.2" hidden="1">
      <c r="A25" s="129" t="s">
        <v>219</v>
      </c>
      <c r="B25" s="131">
        <f>SUM(F23:F25)</f>
        <v>2286584.7834358625</v>
      </c>
      <c r="C25" s="131">
        <f>AVERAGE(F23:F25)</f>
        <v>762194.92781195417</v>
      </c>
      <c r="D25" s="90">
        <f>C25/C22-1</f>
        <v>-0.17851014855920067</v>
      </c>
      <c r="E25" s="90">
        <f>C25/C13-1</f>
        <v>-0.45985791070336024</v>
      </c>
      <c r="F25" s="78">
        <f>P25/19</f>
        <v>974653.15789473685</v>
      </c>
      <c r="G25" s="90">
        <f t="shared" si="2"/>
        <v>0.73520658885515244</v>
      </c>
      <c r="H25" s="90">
        <f t="shared" si="3"/>
        <v>-0.4084866383777731</v>
      </c>
      <c r="I25" s="130">
        <f t="shared" si="0"/>
        <v>-2386009.8870440079</v>
      </c>
      <c r="J25" s="78">
        <f>Q23+Q24+Q25</f>
        <v>61085437233</v>
      </c>
      <c r="K25" s="90">
        <f>T25/T22-1</f>
        <v>-0.19179016489775291</v>
      </c>
      <c r="L25" s="90">
        <f>T25/T13-1</f>
        <v>-0.4735649385671602</v>
      </c>
      <c r="M25" s="88">
        <f>AVERAGE(S23:S25)</f>
        <v>105.78104221499297</v>
      </c>
      <c r="N25" s="91">
        <f>M25/M22-1</f>
        <v>-0.34932765497956464</v>
      </c>
      <c r="O25" s="129" t="s">
        <v>219</v>
      </c>
      <c r="P25" s="116">
        <v>18518410</v>
      </c>
      <c r="Q25" s="116">
        <v>24585800512</v>
      </c>
      <c r="R25" s="116">
        <v>164485.9</v>
      </c>
      <c r="S25" s="130">
        <f t="shared" si="1"/>
        <v>112.58357099301521</v>
      </c>
      <c r="T25" s="85">
        <f>P23+P24+P25</f>
        <v>46630667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829429.05263157899</v>
      </c>
      <c r="G26" s="90">
        <f t="shared" si="2"/>
        <v>-0.14900080514471814</v>
      </c>
      <c r="H26" s="90">
        <f t="shared" si="3"/>
        <v>-0.4075315907451168</v>
      </c>
      <c r="I26" s="130">
        <f t="shared" si="0"/>
        <v>-2035250.9387433729</v>
      </c>
      <c r="J26" s="79"/>
      <c r="K26" s="90"/>
      <c r="L26" s="90"/>
      <c r="M26" s="79"/>
      <c r="N26" s="79"/>
      <c r="O26" s="129" t="s">
        <v>312</v>
      </c>
      <c r="P26" s="116">
        <v>15759152</v>
      </c>
      <c r="Q26" s="116">
        <v>21260500198</v>
      </c>
      <c r="R26" s="116">
        <v>162772.45000000001</v>
      </c>
      <c r="S26" s="130">
        <f t="shared" si="1"/>
        <v>96.817071930784351</v>
      </c>
      <c r="T26" s="78"/>
    </row>
    <row r="27" spans="1:20" s="92" customFormat="1" ht="13.2" hidden="1">
      <c r="A27" s="129" t="s">
        <v>375</v>
      </c>
      <c r="B27" s="131"/>
      <c r="C27" s="131"/>
      <c r="D27" s="132"/>
      <c r="E27" s="132"/>
      <c r="F27" s="78">
        <f>P27/22</f>
        <v>968981.5</v>
      </c>
      <c r="G27" s="90">
        <f t="shared" ref="G27" si="4">F27/F26-1</f>
        <v>0.16825121681674227</v>
      </c>
      <c r="H27" s="90">
        <f t="shared" ref="H27" si="5">F27/F15-1</f>
        <v>-0.2537163311745142</v>
      </c>
      <c r="I27" s="130">
        <f t="shared" si="0"/>
        <v>-3819153.0498425169</v>
      </c>
      <c r="J27" s="79"/>
      <c r="K27" s="90"/>
      <c r="L27" s="90"/>
      <c r="M27" s="79"/>
      <c r="N27" s="79"/>
      <c r="O27" s="129" t="s">
        <v>375</v>
      </c>
      <c r="P27" s="116">
        <v>21317593</v>
      </c>
      <c r="Q27" s="116">
        <v>28048046701</v>
      </c>
      <c r="R27" s="116">
        <v>185787.76</v>
      </c>
      <c r="S27" s="130">
        <f t="shared" ref="S27" si="6">P27/R27</f>
        <v>114.74164390592792</v>
      </c>
      <c r="T27" s="78"/>
    </row>
    <row r="28" spans="1:20" s="92" customFormat="1" ht="13.2" hidden="1">
      <c r="A28" s="123" t="s">
        <v>413</v>
      </c>
      <c r="B28" s="131">
        <f>SUM(F26:F28)</f>
        <v>2796458.0263157897</v>
      </c>
      <c r="C28" s="131">
        <f>AVERAGE(F26:F28)</f>
        <v>932152.67543859652</v>
      </c>
      <c r="D28" s="90">
        <f>C28/C25-1</f>
        <v>0.22298462168272737</v>
      </c>
      <c r="E28" s="90">
        <f>C28/C16-1</f>
        <v>-0.3749629511030802</v>
      </c>
      <c r="F28" s="78">
        <f>P28/19</f>
        <v>998047.47368421056</v>
      </c>
      <c r="G28" s="90">
        <f t="shared" ref="G28" si="7">F28/F27-1</f>
        <v>2.9996417562368816E-2</v>
      </c>
      <c r="H28" s="90">
        <f t="shared" ref="H28" si="8">F28/F16-1</f>
        <v>-0.43794254106048025</v>
      </c>
      <c r="I28" s="130">
        <f t="shared" si="0"/>
        <v>-2278946.1632739152</v>
      </c>
      <c r="J28" s="78">
        <f>Q26+Q27+Q28</f>
        <v>74059545205</v>
      </c>
      <c r="K28" s="90">
        <f>T28/T25-1</f>
        <v>0.20177665483532548</v>
      </c>
      <c r="L28" s="90">
        <f>T28/T16-1</f>
        <v>-0.41399253063733066</v>
      </c>
      <c r="M28" s="88">
        <f>AVERAGE(S26:S28)</f>
        <v>106.93870056996305</v>
      </c>
      <c r="N28" s="91">
        <f>M28/M25-1</f>
        <v>1.0943911411056328E-2</v>
      </c>
      <c r="O28" s="129" t="s">
        <v>413</v>
      </c>
      <c r="P28" s="116">
        <v>18962902</v>
      </c>
      <c r="Q28" s="116">
        <v>24750998306</v>
      </c>
      <c r="R28" s="116">
        <v>173561.74</v>
      </c>
      <c r="S28" s="130">
        <f t="shared" ref="S28" si="9">P28/R28</f>
        <v>109.2573858731769</v>
      </c>
      <c r="T28" s="85">
        <f>P26+P27+P28</f>
        <v>56039647</v>
      </c>
    </row>
    <row r="29" spans="1:20" s="92" customFormat="1" ht="13.2">
      <c r="A29" s="129" t="s">
        <v>427</v>
      </c>
      <c r="B29" s="188"/>
      <c r="C29" s="188"/>
      <c r="D29" s="189"/>
      <c r="E29" s="189"/>
      <c r="F29" s="136">
        <f>P29/22</f>
        <v>772328.40909090906</v>
      </c>
      <c r="G29" s="190">
        <f t="shared" ref="G29" si="10">F29/F28-1</f>
        <v>-0.22616064921248491</v>
      </c>
      <c r="H29" s="190">
        <f t="shared" ref="H29" si="11">F29/F17-1</f>
        <v>-0.20252455857190643</v>
      </c>
      <c r="I29" s="130">
        <f>S29</f>
        <v>108.25650903472101</v>
      </c>
      <c r="J29" s="136"/>
      <c r="K29" s="190"/>
      <c r="L29" s="190"/>
      <c r="M29" s="191"/>
      <c r="N29" s="192"/>
      <c r="O29" s="129" t="s">
        <v>427</v>
      </c>
      <c r="P29" s="116">
        <v>16991225</v>
      </c>
      <c r="Q29" s="116">
        <v>22351726093</v>
      </c>
      <c r="R29" s="116">
        <v>156953.38</v>
      </c>
      <c r="S29" s="130">
        <f t="shared" ref="S29" si="12">P29/R29</f>
        <v>108.25650903472101</v>
      </c>
      <c r="T29" s="85"/>
    </row>
    <row r="30" spans="1:20" s="92" customFormat="1" ht="13.2">
      <c r="A30" s="129" t="s">
        <v>469</v>
      </c>
      <c r="B30" s="188"/>
      <c r="C30" s="188"/>
      <c r="D30" s="189"/>
      <c r="E30" s="189"/>
      <c r="F30" s="136">
        <f>P30/19</f>
        <v>946263.78947368416</v>
      </c>
      <c r="G30" s="190">
        <f t="shared" ref="G30" si="13">F30/F29-1</f>
        <v>0.22520909283592272</v>
      </c>
      <c r="H30" s="190">
        <f t="shared" ref="H30" si="14">F30/F18-1</f>
        <v>0.19912251422348826</v>
      </c>
      <c r="I30" s="130">
        <f t="shared" ref="I30:I45" si="15">S30</f>
        <v>131.38180921085325</v>
      </c>
      <c r="J30" s="136"/>
      <c r="K30" s="190"/>
      <c r="L30" s="190"/>
      <c r="M30" s="191"/>
      <c r="N30" s="192"/>
      <c r="O30" s="129" t="s">
        <v>469</v>
      </c>
      <c r="P30" s="116">
        <v>17979012</v>
      </c>
      <c r="Q30" s="116">
        <v>23960465600</v>
      </c>
      <c r="R30" s="116">
        <v>136845.51999999999</v>
      </c>
      <c r="S30" s="130">
        <f t="shared" ref="S30" si="16">P30/R30</f>
        <v>131.38180921085325</v>
      </c>
      <c r="T30" s="85"/>
    </row>
    <row r="31" spans="1:20" s="92" customFormat="1" ht="13.2">
      <c r="A31" s="129" t="s">
        <v>505</v>
      </c>
      <c r="B31" s="188">
        <f>SUM(F29:F31)</f>
        <v>2616799.1985645932</v>
      </c>
      <c r="C31" s="188">
        <f>AVERAGE(F29:F31)</f>
        <v>872266.39952153107</v>
      </c>
      <c r="D31" s="190">
        <f>C31/C28-1</f>
        <v>-6.4245136547924186E-2</v>
      </c>
      <c r="E31" s="190">
        <f>C31/C19-1</f>
        <v>1.2257024610445866E-2</v>
      </c>
      <c r="F31" s="136">
        <f>P31/20</f>
        <v>898207</v>
      </c>
      <c r="G31" s="190">
        <f t="shared" ref="G31" si="17">F31/F30-1</f>
        <v>-5.0785827385842919E-2</v>
      </c>
      <c r="H31" s="190">
        <f t="shared" ref="H31" si="18">F31/F19-1</f>
        <v>8.5424882766688137E-2</v>
      </c>
      <c r="I31" s="130">
        <f t="shared" si="15"/>
        <v>100.01062785574911</v>
      </c>
      <c r="J31" s="136">
        <f>Q29+Q30+Q31</f>
        <v>70179473974</v>
      </c>
      <c r="K31" s="190">
        <f>T31/T28-1</f>
        <v>-5.5412019279850178E-2</v>
      </c>
      <c r="L31" s="190">
        <f>T31/T19-1</f>
        <v>-7.926262986952759E-3</v>
      </c>
      <c r="M31" s="191">
        <f>AVERAGE(S29:S31)</f>
        <v>113.21631536710778</v>
      </c>
      <c r="N31" s="192">
        <f>M31/M28-1</f>
        <v>5.8702927599514787E-2</v>
      </c>
      <c r="O31" s="129" t="s">
        <v>516</v>
      </c>
      <c r="P31" s="116">
        <v>17964140</v>
      </c>
      <c r="Q31" s="116">
        <v>23867282281</v>
      </c>
      <c r="R31" s="116">
        <v>179622.31</v>
      </c>
      <c r="S31" s="130">
        <f t="shared" ref="S31" si="19">P31/R31</f>
        <v>100.01062785574911</v>
      </c>
      <c r="T31" s="85">
        <f>P29+P30+P31</f>
        <v>52934377</v>
      </c>
    </row>
    <row r="32" spans="1:20" s="92" customFormat="1" ht="13.2">
      <c r="A32" s="129" t="s">
        <v>566</v>
      </c>
      <c r="B32" s="188"/>
      <c r="C32" s="188"/>
      <c r="D32" s="190"/>
      <c r="E32" s="190"/>
      <c r="F32" s="136">
        <f>P32/21</f>
        <v>1026898.8095238095</v>
      </c>
      <c r="G32" s="190">
        <f t="shared" ref="G32" si="20">F32/F31-1</f>
        <v>0.14327633777493332</v>
      </c>
      <c r="H32" s="190">
        <f t="shared" ref="H32" si="21">F32/F20-1</f>
        <v>0.35754452645953649</v>
      </c>
      <c r="I32" s="130">
        <f t="shared" si="15"/>
        <v>127.52731297240895</v>
      </c>
      <c r="J32" s="136"/>
      <c r="K32" s="190"/>
      <c r="L32" s="190"/>
      <c r="M32" s="191"/>
      <c r="N32" s="192"/>
      <c r="O32" s="129" t="s">
        <v>566</v>
      </c>
      <c r="P32" s="116">
        <v>21564875</v>
      </c>
      <c r="Q32" s="116">
        <v>29424751812</v>
      </c>
      <c r="R32" s="116">
        <v>169100.05</v>
      </c>
      <c r="S32" s="130">
        <f t="shared" ref="S32" si="22">P32/R32</f>
        <v>127.52731297240895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1094242.4761904762</v>
      </c>
      <c r="G33" s="190">
        <f t="shared" ref="G33" si="23">F33/F32-1</f>
        <v>6.5579652096291019E-2</v>
      </c>
      <c r="H33" s="190">
        <f t="shared" ref="H33" si="24">F33/F21-1</f>
        <v>4.0342527976495512E-2</v>
      </c>
      <c r="I33" s="130">
        <f t="shared" si="15"/>
        <v>169.40137836835845</v>
      </c>
      <c r="J33" s="136"/>
      <c r="K33" s="190"/>
      <c r="L33" s="190"/>
      <c r="M33" s="191"/>
      <c r="N33" s="192"/>
      <c r="O33" s="129" t="s">
        <v>607</v>
      </c>
      <c r="P33" s="116">
        <v>22979092</v>
      </c>
      <c r="Q33" s="116">
        <v>31401969561</v>
      </c>
      <c r="R33" s="116">
        <v>135648.79</v>
      </c>
      <c r="S33" s="130">
        <f t="shared" ref="S33" si="25">P33/R33</f>
        <v>169.40137836835845</v>
      </c>
      <c r="T33" s="85"/>
    </row>
    <row r="34" spans="1:20" s="92" customFormat="1" ht="13.2">
      <c r="A34" s="129" t="s">
        <v>652</v>
      </c>
      <c r="B34" s="188">
        <f>SUM(F32:F34)</f>
        <v>3162901.8120300751</v>
      </c>
      <c r="C34" s="188">
        <f>AVERAGE(F32:F34)</f>
        <v>1054300.604010025</v>
      </c>
      <c r="D34" s="190">
        <f>C34/C31-1</f>
        <v>0.20869106569775719</v>
      </c>
      <c r="E34" s="190">
        <f>C34/C22-1</f>
        <v>0.1363198769223779</v>
      </c>
      <c r="F34" s="136">
        <f>P34/19</f>
        <v>1041760.5263157894</v>
      </c>
      <c r="G34" s="190">
        <f t="shared" ref="G34" si="26">F34/F33-1</f>
        <v>-4.7961901513272287E-2</v>
      </c>
      <c r="H34" s="190">
        <f t="shared" ref="H34" si="27">F34/F22-1</f>
        <v>6.8239435008239369E-2</v>
      </c>
      <c r="I34" s="130">
        <f t="shared" si="15"/>
        <v>143.99523756382447</v>
      </c>
      <c r="J34" s="136">
        <f>Q32+Q33+Q34</f>
        <v>88063363820</v>
      </c>
      <c r="K34" s="190">
        <f>T34/T31-1</f>
        <v>0.21541842270099831</v>
      </c>
      <c r="L34" s="190">
        <f>T34/T22-1</f>
        <v>0.11510592770363992</v>
      </c>
      <c r="M34" s="191">
        <f>AVERAGE(S32:S34)</f>
        <v>146.97464296819729</v>
      </c>
      <c r="N34" s="192">
        <f>M34/M31-1</f>
        <v>0.29817546606800427</v>
      </c>
      <c r="O34" s="129" t="s">
        <v>652</v>
      </c>
      <c r="P34" s="116">
        <v>19793450</v>
      </c>
      <c r="Q34" s="116">
        <v>27236642447</v>
      </c>
      <c r="R34" s="116">
        <v>137459.06</v>
      </c>
      <c r="S34" s="130">
        <f t="shared" ref="S34" si="28">P34/R34</f>
        <v>143.99523756382447</v>
      </c>
      <c r="T34" s="85">
        <f>P32+P33+P34</f>
        <v>64337417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753694.56521739135</v>
      </c>
      <c r="G35" s="190">
        <f t="shared" ref="G35" si="29">F35/F34-1</f>
        <v>-0.27651840689064133</v>
      </c>
      <c r="H35" s="190">
        <f t="shared" ref="H35" si="30">F35/F23-1</f>
        <v>4.6062713473449257E-3</v>
      </c>
      <c r="I35" s="130">
        <f t="shared" si="15"/>
        <v>114.00171249430319</v>
      </c>
      <c r="J35" s="136"/>
      <c r="K35" s="190"/>
      <c r="L35" s="190"/>
      <c r="M35" s="191"/>
      <c r="N35" s="192"/>
      <c r="O35" s="129" t="s">
        <v>660</v>
      </c>
      <c r="P35" s="116">
        <v>17334975</v>
      </c>
      <c r="Q35" s="116">
        <v>24000914781</v>
      </c>
      <c r="R35" s="116">
        <v>152058.9</v>
      </c>
      <c r="S35" s="130">
        <f t="shared" ref="S35" si="31">P35/R35</f>
        <v>114.00171249430319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645248.52380952379</v>
      </c>
      <c r="G36" s="190">
        <f t="shared" ref="G36" si="32">F36/F35-1</f>
        <v>-0.1438859272875187</v>
      </c>
      <c r="H36" s="190">
        <f t="shared" ref="H36" si="33">F36/F24-1</f>
        <v>0.14875684841752501</v>
      </c>
      <c r="I36" s="130">
        <f t="shared" si="15"/>
        <v>108.64558746485913</v>
      </c>
      <c r="J36" s="136"/>
      <c r="K36" s="190"/>
      <c r="L36" s="190"/>
      <c r="M36" s="191"/>
      <c r="N36" s="192"/>
      <c r="O36" s="129" t="s">
        <v>664</v>
      </c>
      <c r="P36" s="116">
        <v>13550219</v>
      </c>
      <c r="Q36" s="116">
        <v>18445228195</v>
      </c>
      <c r="R36" s="116">
        <v>124719.46</v>
      </c>
      <c r="S36" s="130">
        <f t="shared" ref="S36" si="34">P36/R36</f>
        <v>108.64558746485913</v>
      </c>
      <c r="T36" s="85"/>
    </row>
    <row r="37" spans="1:20" s="92" customFormat="1" ht="13.2">
      <c r="A37" s="129" t="s">
        <v>702</v>
      </c>
      <c r="B37" s="188">
        <f>SUM(F35:F37)</f>
        <v>2363905.5890269149</v>
      </c>
      <c r="C37" s="188">
        <f>AVERAGE(F35:F37)</f>
        <v>787968.5296756383</v>
      </c>
      <c r="D37" s="190">
        <f>C37/C34-1</f>
        <v>-0.25261493099918042</v>
      </c>
      <c r="E37" s="190">
        <f>C37/C25-1</f>
        <v>3.3814974258189912E-2</v>
      </c>
      <c r="F37" s="136">
        <f>P37/18</f>
        <v>964962.5</v>
      </c>
      <c r="G37" s="190">
        <f t="shared" ref="G37" si="35">F37/F36-1</f>
        <v>0.495489666993574</v>
      </c>
      <c r="H37" s="190">
        <f t="shared" ref="H37" si="36">F37/F25-1</f>
        <v>-9.9426732640653936E-3</v>
      </c>
      <c r="I37" s="130">
        <f t="shared" si="15"/>
        <v>181.65046686611694</v>
      </c>
      <c r="J37" s="136">
        <f>Q35+Q36+Q37</f>
        <v>65605271547</v>
      </c>
      <c r="K37" s="190">
        <f>T37/T34-1</f>
        <v>-0.24997736542640503</v>
      </c>
      <c r="L37" s="190">
        <f>T37/T25-1</f>
        <v>3.4823692313901589E-2</v>
      </c>
      <c r="M37" s="191">
        <f>AVERAGE(S35:S37)</f>
        <v>134.76592227509309</v>
      </c>
      <c r="N37" s="192">
        <f>M37/M34-1</f>
        <v>-8.306685048893736E-2</v>
      </c>
      <c r="O37" s="129" t="s">
        <v>702</v>
      </c>
      <c r="P37" s="116">
        <v>17369325</v>
      </c>
      <c r="Q37" s="116">
        <v>23159128571</v>
      </c>
      <c r="R37" s="116">
        <v>95619.49</v>
      </c>
      <c r="S37" s="130">
        <f t="shared" ref="S37" si="37">P37/R37</f>
        <v>181.65046686611694</v>
      </c>
      <c r="T37" s="85">
        <f>P35+P36+P37</f>
        <v>48254519</v>
      </c>
    </row>
    <row r="38" spans="1:20" s="92" customFormat="1" ht="13.2">
      <c r="A38" s="129" t="s">
        <v>727</v>
      </c>
      <c r="B38" s="188"/>
      <c r="C38" s="188"/>
      <c r="D38" s="190"/>
      <c r="E38" s="190"/>
      <c r="F38" s="136">
        <f>P38/20</f>
        <v>987056.75</v>
      </c>
      <c r="G38" s="190">
        <f t="shared" ref="G38" si="38">F38/F37-1</f>
        <v>2.2896485614726014E-2</v>
      </c>
      <c r="H38" s="190">
        <f t="shared" ref="H38" si="39">F38/F26-1</f>
        <v>0.1900436171946307</v>
      </c>
      <c r="I38" s="130">
        <f t="shared" si="15"/>
        <v>144.24576516152112</v>
      </c>
      <c r="J38" s="136"/>
      <c r="K38" s="190"/>
      <c r="L38" s="190"/>
      <c r="M38" s="191"/>
      <c r="N38" s="192"/>
      <c r="O38" s="129" t="s">
        <v>727</v>
      </c>
      <c r="P38" s="116">
        <v>19741135</v>
      </c>
      <c r="Q38" s="116">
        <v>26557005762</v>
      </c>
      <c r="R38" s="116">
        <v>136857.64000000001</v>
      </c>
      <c r="S38" s="130">
        <f t="shared" ref="S38" si="40">P38/R38</f>
        <v>144.24576516152112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910593.76190476189</v>
      </c>
      <c r="G39" s="190">
        <f t="shared" ref="G39" si="41">F39/F38-1</f>
        <v>-7.7465645308882336E-2</v>
      </c>
      <c r="H39" s="190">
        <f t="shared" ref="H39" si="42">F39/F27-1</f>
        <v>-6.0256814082867538E-2</v>
      </c>
      <c r="I39" s="130">
        <f t="shared" si="15"/>
        <v>144.49190451104118</v>
      </c>
      <c r="J39" s="136"/>
      <c r="K39" s="190"/>
      <c r="L39" s="190"/>
      <c r="M39" s="191"/>
      <c r="N39" s="192"/>
      <c r="O39" s="129" t="s">
        <v>762</v>
      </c>
      <c r="P39" s="116">
        <v>19122469</v>
      </c>
      <c r="Q39" s="116">
        <v>26608002253</v>
      </c>
      <c r="R39" s="116">
        <v>132342.84</v>
      </c>
      <c r="S39" s="130">
        <f t="shared" ref="S39" si="43">P39/R39</f>
        <v>144.49190451104118</v>
      </c>
      <c r="T39" s="85"/>
    </row>
    <row r="40" spans="1:20" s="92" customFormat="1" ht="13.2">
      <c r="A40" s="129" t="s">
        <v>778</v>
      </c>
      <c r="B40" s="188">
        <f>SUM(F38:F40)</f>
        <v>3096631.4642857146</v>
      </c>
      <c r="C40" s="188">
        <f>AVERAGE(F38:F40)</f>
        <v>1032210.4880952382</v>
      </c>
      <c r="D40" s="190">
        <f>C40/C37-1</f>
        <v>0.30996410290667376</v>
      </c>
      <c r="E40" s="190">
        <f>C40/C28-1</f>
        <v>0.10734058410502612</v>
      </c>
      <c r="F40" s="136">
        <f>P40/21</f>
        <v>1198980.9523809524</v>
      </c>
      <c r="G40" s="190">
        <f t="shared" ref="G40" si="44">F40/F39-1</f>
        <v>0.31670235679294345</v>
      </c>
      <c r="H40" s="190">
        <f t="shared" ref="H40" si="45">F40/F28-1</f>
        <v>0.20132657413079991</v>
      </c>
      <c r="I40" s="130">
        <f t="shared" si="15"/>
        <v>142.42707418838074</v>
      </c>
      <c r="J40" s="136">
        <f>Q38+Q39+Q40</f>
        <v>88953127464</v>
      </c>
      <c r="K40" s="190">
        <f>T40/T37-1</f>
        <v>0.32717526414469078</v>
      </c>
      <c r="L40" s="190">
        <f>T40/T28-1</f>
        <v>0.14280170251607749</v>
      </c>
      <c r="M40" s="191">
        <f>AVERAGE(S38:S40)</f>
        <v>143.72158128698103</v>
      </c>
      <c r="N40" s="192">
        <f>M40/M37-1</f>
        <v>6.6453439123928204E-2</v>
      </c>
      <c r="O40" s="129" t="s">
        <v>778</v>
      </c>
      <c r="P40" s="116">
        <v>25178600</v>
      </c>
      <c r="Q40" s="116">
        <v>35788119449</v>
      </c>
      <c r="R40" s="116">
        <v>176782.4</v>
      </c>
      <c r="S40" s="130">
        <f t="shared" ref="S40" si="46">P40/R40</f>
        <v>142.42707418838074</v>
      </c>
      <c r="T40" s="85">
        <f>P38+P39+P40</f>
        <v>64042204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853810.11111111112</v>
      </c>
      <c r="G41" s="190">
        <f t="shared" ref="G41" si="47">F41/F40-1</f>
        <v>-0.28788684305984713</v>
      </c>
      <c r="H41" s="190">
        <f t="shared" ref="H41" si="48">F41/F29-1</f>
        <v>0.10550136581938308</v>
      </c>
      <c r="I41" s="130">
        <f t="shared" si="15"/>
        <v>117.51852005068521</v>
      </c>
      <c r="J41" s="194"/>
      <c r="K41" s="202"/>
      <c r="L41" s="202"/>
      <c r="M41" s="194"/>
      <c r="N41" s="194"/>
      <c r="O41" s="129" t="s">
        <v>792</v>
      </c>
      <c r="P41" s="116">
        <v>15368582</v>
      </c>
      <c r="Q41" s="116">
        <v>22470543792</v>
      </c>
      <c r="R41" s="116">
        <v>130775.83</v>
      </c>
      <c r="S41" s="130">
        <f t="shared" ref="S41" si="49">P41/R41</f>
        <v>117.51852005068521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855397.3</v>
      </c>
      <c r="G42" s="190">
        <f t="shared" ref="G42" si="50">F42/F41-1</f>
        <v>1.8589483401918461E-3</v>
      </c>
      <c r="H42" s="190">
        <f t="shared" ref="H42" si="51">F42/F30-1</f>
        <v>-9.6026594787299691E-2</v>
      </c>
      <c r="I42" s="130">
        <f t="shared" si="15"/>
        <v>120.41645304433293</v>
      </c>
      <c r="J42" s="194"/>
      <c r="K42" s="202"/>
      <c r="L42" s="202"/>
      <c r="M42" s="194"/>
      <c r="N42" s="194"/>
      <c r="O42" s="129" t="s">
        <v>826</v>
      </c>
      <c r="P42" s="116">
        <v>17107946</v>
      </c>
      <c r="Q42" s="116">
        <v>24729359526</v>
      </c>
      <c r="R42" s="116">
        <v>142073.16</v>
      </c>
      <c r="S42" s="130">
        <f t="shared" ref="S42" si="52">P42/R42</f>
        <v>120.41645304433293</v>
      </c>
      <c r="T42" s="175"/>
    </row>
    <row r="43" spans="1:20" s="92" customFormat="1" ht="13.2">
      <c r="A43" s="129" t="s">
        <v>835</v>
      </c>
      <c r="B43" s="188">
        <f>SUM(F41:F43)</f>
        <v>2618810.6611111113</v>
      </c>
      <c r="C43" s="188">
        <f>AVERAGE(F41:F43)</f>
        <v>872936.88703703706</v>
      </c>
      <c r="D43" s="190">
        <f>C43/C40-1</f>
        <v>-0.15430341281661686</v>
      </c>
      <c r="E43" s="190">
        <f>C43/C31-1</f>
        <v>7.6867286860271555E-4</v>
      </c>
      <c r="F43" s="136">
        <f>P43/20</f>
        <v>909603.25</v>
      </c>
      <c r="G43" s="190">
        <f t="shared" ref="G43" si="53">F43/F42-1</f>
        <v>6.3369325575378666E-2</v>
      </c>
      <c r="H43" s="190">
        <f t="shared" ref="H43" si="54">F43/F31-1</f>
        <v>1.2687776871033174E-2</v>
      </c>
      <c r="I43" s="130">
        <f t="shared" si="15"/>
        <v>99.768835687808021</v>
      </c>
      <c r="J43" s="136">
        <f>Q41+Q42+Q43</f>
        <v>73577102876</v>
      </c>
      <c r="K43" s="190">
        <f>T43/T40-1</f>
        <v>-0.20882496486223368</v>
      </c>
      <c r="L43" s="190">
        <f>T43/T31-1</f>
        <v>-4.2803639683905215E-2</v>
      </c>
      <c r="M43" s="191">
        <f>AVERAGE(S41:S43)</f>
        <v>112.56793626094206</v>
      </c>
      <c r="N43" s="192">
        <f>M43/M40-1</f>
        <v>-0.2167638620941128</v>
      </c>
      <c r="O43" s="129" t="s">
        <v>835</v>
      </c>
      <c r="P43" s="116">
        <v>18192065</v>
      </c>
      <c r="Q43" s="116">
        <v>26377199558</v>
      </c>
      <c r="R43" s="116">
        <v>182342.16</v>
      </c>
      <c r="S43" s="130">
        <f t="shared" ref="S43" si="55">P43/R43</f>
        <v>99.768835687808021</v>
      </c>
      <c r="T43" s="85">
        <f>P41+P42+P43</f>
        <v>50668593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961360.04545454541</v>
      </c>
      <c r="G44" s="190">
        <f t="shared" ref="G44" si="56">F44/F43-1</f>
        <v>5.6900407352926008E-2</v>
      </c>
      <c r="H44" s="190">
        <f t="shared" ref="H44" si="57">F44/F32-1</f>
        <v>-6.3822027507905554E-2</v>
      </c>
      <c r="I44" s="130">
        <f t="shared" si="15"/>
        <v>108.67151023134529</v>
      </c>
      <c r="J44" s="136"/>
      <c r="K44" s="190"/>
      <c r="L44" s="190"/>
      <c r="M44" s="191"/>
      <c r="N44" s="192"/>
      <c r="O44" s="129" t="s">
        <v>843</v>
      </c>
      <c r="P44" s="116">
        <v>21149921</v>
      </c>
      <c r="Q44" s="116">
        <v>30740568519</v>
      </c>
      <c r="R44" s="116">
        <v>194622.5</v>
      </c>
      <c r="S44" s="130">
        <f t="shared" ref="S44" si="58">P44/R44</f>
        <v>108.67151023134529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696448.3</v>
      </c>
      <c r="G45" s="190">
        <f t="shared" ref="G45" si="59">F45/F44-1</f>
        <v>-0.27555934606091426</v>
      </c>
      <c r="H45" s="190">
        <f t="shared" ref="H45" si="60">F45/F33-1</f>
        <v>-0.36353384633300567</v>
      </c>
      <c r="I45" s="130">
        <f t="shared" si="15"/>
        <v>109.78434798783377</v>
      </c>
      <c r="J45" s="136"/>
      <c r="K45" s="190"/>
      <c r="L45" s="190"/>
      <c r="M45" s="191"/>
      <c r="N45" s="192"/>
      <c r="O45" s="129" t="s">
        <v>849</v>
      </c>
      <c r="P45" s="116">
        <v>13928966</v>
      </c>
      <c r="Q45" s="116">
        <v>19537582644</v>
      </c>
      <c r="R45" s="116">
        <v>126875.7</v>
      </c>
      <c r="S45" s="130">
        <f t="shared" ref="S45" si="61">P45/R45</f>
        <v>109.78434798783377</v>
      </c>
      <c r="T45" s="85"/>
    </row>
    <row r="46" spans="1:20" s="168" customFormat="1" ht="13.2">
      <c r="A46" s="144" t="s">
        <v>893</v>
      </c>
      <c r="B46" s="196">
        <f>SUM(F44:F46)</f>
        <v>2476629.6086124401</v>
      </c>
      <c r="C46" s="196">
        <f>AVERAGE(F44:F46)</f>
        <v>825543.20287081331</v>
      </c>
      <c r="D46" s="197">
        <f>C46/C43-1</f>
        <v>-5.4292223034691056E-2</v>
      </c>
      <c r="E46" s="197">
        <f>C46/C34-1</f>
        <v>-0.21697550041149039</v>
      </c>
      <c r="F46" s="147">
        <f>P46/19</f>
        <v>818821.26315789472</v>
      </c>
      <c r="G46" s="197">
        <f t="shared" ref="G46" si="62">F46/F45-1</f>
        <v>0.1757100464713528</v>
      </c>
      <c r="H46" s="197">
        <f t="shared" ref="H46" si="63">F46/F34-1</f>
        <v>-0.21400240988811958</v>
      </c>
      <c r="I46" s="146">
        <f t="shared" ref="I46" si="64">S46</f>
        <v>125.67068885575209</v>
      </c>
      <c r="J46" s="147">
        <f>Q44+Q45+Q46</f>
        <v>71593522770</v>
      </c>
      <c r="K46" s="197">
        <f>T46/T43-1</f>
        <v>-6.335680171738467E-4</v>
      </c>
      <c r="L46" s="197">
        <f>T46/T34-1</f>
        <v>-0.21295424402878971</v>
      </c>
      <c r="M46" s="198">
        <f>AVERAGE(S44:S46)</f>
        <v>114.70884902497704</v>
      </c>
      <c r="N46" s="199">
        <f>M46/M43-1</f>
        <v>1.9018850617214422E-2</v>
      </c>
      <c r="O46" s="144" t="s">
        <v>888</v>
      </c>
      <c r="P46" s="145">
        <v>15557604</v>
      </c>
      <c r="Q46" s="145">
        <v>21315371607</v>
      </c>
      <c r="R46" s="145">
        <v>123796.6</v>
      </c>
      <c r="S46" s="146">
        <f t="shared" ref="S46" si="65">P46/R46</f>
        <v>125.67068885575209</v>
      </c>
      <c r="T46" s="187">
        <f>P44+P45+P46</f>
        <v>50636491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782255.47826086951</v>
      </c>
      <c r="G47" s="197">
        <f t="shared" ref="G47" si="66">F47/F46-1</f>
        <v>-4.4656613771855813E-2</v>
      </c>
      <c r="H47" s="197">
        <f t="shared" ref="H47" si="67">F47/F35-1</f>
        <v>3.7894545564674642E-2</v>
      </c>
      <c r="I47" s="146">
        <f t="shared" ref="I47" si="68">S47</f>
        <v>138.51165613028007</v>
      </c>
      <c r="J47" s="147"/>
      <c r="K47" s="197"/>
      <c r="L47" s="197"/>
      <c r="M47" s="198"/>
      <c r="N47" s="199"/>
      <c r="O47" s="144" t="s">
        <v>1029</v>
      </c>
      <c r="P47" s="145">
        <v>17991876</v>
      </c>
      <c r="Q47" s="145">
        <v>24691048264</v>
      </c>
      <c r="R47" s="145">
        <v>129894.31</v>
      </c>
      <c r="S47" s="146">
        <f t="shared" ref="S47" si="69">P47/R47</f>
        <v>138.51165613028007</v>
      </c>
      <c r="T47" s="187">
        <f>P45+P46+P47</f>
        <v>47478446</v>
      </c>
    </row>
    <row r="48" spans="1:20" s="168" customFormat="1" ht="13.2">
      <c r="A48" s="144" t="s">
        <v>1070</v>
      </c>
      <c r="B48" s="196"/>
      <c r="C48" s="196"/>
      <c r="D48" s="197"/>
      <c r="E48" s="197"/>
      <c r="F48" s="147">
        <f>P48/13</f>
        <v>105882.84615384616</v>
      </c>
      <c r="G48" s="197">
        <f t="shared" ref="G48" si="70">F48/F47-1</f>
        <v>-0.86464416153499157</v>
      </c>
      <c r="H48" s="197">
        <f t="shared" ref="H48" si="71">F48/F36-1</f>
        <v>-0.83590377622451939</v>
      </c>
      <c r="I48" s="146">
        <f t="shared" ref="I48" si="72">S48</f>
        <v>270.03405644424043</v>
      </c>
      <c r="J48" s="147"/>
      <c r="K48" s="197"/>
      <c r="L48" s="197"/>
      <c r="M48" s="198"/>
      <c r="N48" s="199"/>
      <c r="O48" s="144" t="s">
        <v>1070</v>
      </c>
      <c r="P48" s="145">
        <v>1376477</v>
      </c>
      <c r="Q48" s="145">
        <v>1904930812</v>
      </c>
      <c r="R48" s="145">
        <v>5097.42</v>
      </c>
      <c r="S48" s="146">
        <f t="shared" ref="S48" si="73">P48/R48</f>
        <v>270.03405644424043</v>
      </c>
      <c r="T48" s="187">
        <f>P46+P47+P48</f>
        <v>34925957</v>
      </c>
    </row>
    <row r="49" spans="3:5">
      <c r="C49" s="196">
        <f>AVERAGE(F47:F49)</f>
        <v>444069.16220735782</v>
      </c>
      <c r="D49" s="197">
        <f>C49/C46-1</f>
        <v>-0.46208852466701389</v>
      </c>
      <c r="E49" s="197">
        <f>C49/C37-1</f>
        <v>-0.43643794709649664</v>
      </c>
    </row>
  </sheetData>
  <phoneticPr fontId="1" type="noConversion"/>
  <conditionalFormatting sqref="C29:C30">
    <cfRule type="cellIs" dxfId="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1"/>
  <dimension ref="A1:Z73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8429521011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302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1547538.95</v>
      </c>
      <c r="G5" s="90"/>
      <c r="H5" s="90"/>
      <c r="I5" s="130">
        <f t="shared" ref="I5:I49" si="0">T5</f>
        <v>6.0604903958820247</v>
      </c>
      <c r="J5" s="130"/>
      <c r="L5" s="80"/>
      <c r="M5" s="80"/>
      <c r="P5" s="129" t="s">
        <v>0</v>
      </c>
      <c r="Q5" s="116">
        <v>30950779</v>
      </c>
      <c r="R5" s="116">
        <v>36534297285</v>
      </c>
      <c r="S5" s="116">
        <v>5106976</v>
      </c>
      <c r="T5" s="130">
        <f t="shared" ref="T5:T17" si="1">Q5/S5</f>
        <v>6.0604903958820247</v>
      </c>
      <c r="U5" s="85"/>
    </row>
    <row r="6" spans="1:21" ht="15" hidden="1" customHeight="1">
      <c r="A6" s="129" t="s">
        <v>1</v>
      </c>
      <c r="C6" s="79"/>
      <c r="F6" s="78">
        <f>Q6/18</f>
        <v>1910671</v>
      </c>
      <c r="G6" s="90">
        <f t="shared" ref="G6:G16" si="2">F6/F5-1</f>
        <v>0.23465131523830141</v>
      </c>
      <c r="H6" s="90"/>
      <c r="I6" s="130">
        <f t="shared" si="0"/>
        <v>5.9948690229023631</v>
      </c>
      <c r="J6" s="130"/>
      <c r="P6" s="129" t="s">
        <v>1</v>
      </c>
      <c r="Q6" s="116">
        <v>34392078</v>
      </c>
      <c r="R6" s="116">
        <v>40862427501</v>
      </c>
      <c r="S6" s="116">
        <v>5736919</v>
      </c>
      <c r="T6" s="130">
        <f t="shared" si="1"/>
        <v>5.9948690229023631</v>
      </c>
      <c r="U6" s="85"/>
    </row>
    <row r="7" spans="1:21" ht="15" hidden="1" customHeight="1">
      <c r="A7" s="129" t="s">
        <v>2</v>
      </c>
      <c r="B7" s="131">
        <f>F5+F6+F7</f>
        <v>4695381.6318181818</v>
      </c>
      <c r="C7" s="131">
        <f>AVERAGE(F5:F7)</f>
        <v>1565127.2106060607</v>
      </c>
      <c r="F7" s="78">
        <f>Q7/22</f>
        <v>1237171.6818181819</v>
      </c>
      <c r="G7" s="90">
        <f t="shared" si="2"/>
        <v>-0.35249360993170364</v>
      </c>
      <c r="H7" s="90"/>
      <c r="I7" s="130">
        <f t="shared" si="0"/>
        <v>6.0830452665147945</v>
      </c>
      <c r="J7" s="130"/>
      <c r="K7" s="79">
        <f>R5+R6+R7</f>
        <v>110191259787</v>
      </c>
      <c r="N7" s="88">
        <f>AVERAGE(T5:T7)</f>
        <v>6.0461348950997271</v>
      </c>
      <c r="P7" s="129" t="s">
        <v>2</v>
      </c>
      <c r="Q7" s="116">
        <v>27217777</v>
      </c>
      <c r="R7" s="116">
        <v>32794535001</v>
      </c>
      <c r="S7" s="116">
        <v>4474367</v>
      </c>
      <c r="T7" s="130">
        <f t="shared" si="1"/>
        <v>6.0830452665147945</v>
      </c>
      <c r="U7" s="85">
        <f>Q5+Q6+Q7</f>
        <v>92560634</v>
      </c>
    </row>
    <row r="8" spans="1:21" ht="15" hidden="1" customHeight="1">
      <c r="A8" s="129" t="s">
        <v>3</v>
      </c>
      <c r="C8" s="79"/>
      <c r="F8" s="78">
        <f>Q8/21</f>
        <v>1107791.3809523811</v>
      </c>
      <c r="G8" s="90">
        <f t="shared" si="2"/>
        <v>-0.10457748327674288</v>
      </c>
      <c r="H8" s="90"/>
      <c r="I8" s="130">
        <f t="shared" si="0"/>
        <v>5.5596547049922043</v>
      </c>
      <c r="J8" s="130"/>
      <c r="K8" s="78"/>
      <c r="P8" s="129" t="s">
        <v>3</v>
      </c>
      <c r="Q8" s="116">
        <v>23263619</v>
      </c>
      <c r="R8" s="116">
        <v>28305561205</v>
      </c>
      <c r="S8" s="116">
        <v>4184364</v>
      </c>
      <c r="T8" s="130">
        <f t="shared" si="1"/>
        <v>5.5596547049922043</v>
      </c>
      <c r="U8" s="85"/>
    </row>
    <row r="9" spans="1:21" ht="15" hidden="1" customHeight="1">
      <c r="A9" s="129" t="s">
        <v>4</v>
      </c>
      <c r="C9" s="79"/>
      <c r="F9" s="78">
        <f>Q9/21</f>
        <v>1546509.142857143</v>
      </c>
      <c r="G9" s="90">
        <f t="shared" si="2"/>
        <v>0.39602922485964021</v>
      </c>
      <c r="H9" s="90"/>
      <c r="I9" s="130">
        <f t="shared" si="0"/>
        <v>5.5566815293380918</v>
      </c>
      <c r="J9" s="130"/>
      <c r="K9" s="78"/>
      <c r="P9" s="129" t="s">
        <v>4</v>
      </c>
      <c r="Q9" s="116">
        <v>32476692</v>
      </c>
      <c r="R9" s="116">
        <v>40904885263</v>
      </c>
      <c r="S9" s="116">
        <v>5844620</v>
      </c>
      <c r="T9" s="130">
        <f t="shared" si="1"/>
        <v>5.5566815293380918</v>
      </c>
      <c r="U9" s="85"/>
    </row>
    <row r="10" spans="1:21" ht="15" hidden="1" customHeight="1">
      <c r="A10" s="129" t="s">
        <v>5</v>
      </c>
      <c r="B10" s="131">
        <f>F8+F9+F10</f>
        <v>4176384.6190476194</v>
      </c>
      <c r="C10" s="131">
        <f>AVERAGE(F8:F10)</f>
        <v>1392128.2063492064</v>
      </c>
      <c r="D10" s="90">
        <f>C10/C7-1</f>
        <v>-0.11053351004603917</v>
      </c>
      <c r="E10" s="286"/>
      <c r="F10" s="78">
        <f>Q10/21</f>
        <v>1522084.0952380951</v>
      </c>
      <c r="G10" s="90">
        <f t="shared" si="2"/>
        <v>-1.5793665192255557E-2</v>
      </c>
      <c r="H10" s="90"/>
      <c r="I10" s="130">
        <f t="shared" si="0"/>
        <v>5.6275702254213664</v>
      </c>
      <c r="J10" s="130"/>
      <c r="K10" s="79">
        <f>R8+R9+R10</f>
        <v>109587002768</v>
      </c>
      <c r="L10" s="87">
        <f>U10/U7-1</f>
        <v>-5.2468925396513599E-2</v>
      </c>
      <c r="N10" s="88">
        <f>AVERAGE(T8:T10)</f>
        <v>5.5813021532505545</v>
      </c>
      <c r="O10" s="89">
        <f>N10/N7-1</f>
        <v>-7.6880974360315824E-2</v>
      </c>
      <c r="P10" s="129" t="s">
        <v>5</v>
      </c>
      <c r="Q10" s="116">
        <v>31963766</v>
      </c>
      <c r="R10" s="116">
        <v>40376556300</v>
      </c>
      <c r="S10" s="116">
        <v>5679852</v>
      </c>
      <c r="T10" s="130">
        <f t="shared" si="1"/>
        <v>5.6275702254213664</v>
      </c>
      <c r="U10" s="85">
        <f>Q8+Q9+Q10</f>
        <v>87704077</v>
      </c>
    </row>
    <row r="11" spans="1:21" ht="15" hidden="1" customHeight="1">
      <c r="A11" s="129" t="s">
        <v>6</v>
      </c>
      <c r="C11" s="79"/>
      <c r="F11" s="78">
        <f>Q11/21</f>
        <v>1474852.5714285714</v>
      </c>
      <c r="G11" s="90">
        <f t="shared" si="2"/>
        <v>-3.1030824090002351E-2</v>
      </c>
      <c r="H11" s="90"/>
      <c r="I11" s="130">
        <f t="shared" si="0"/>
        <v>5.855796314761939</v>
      </c>
      <c r="J11" s="130"/>
      <c r="K11" s="78"/>
      <c r="O11" s="89"/>
      <c r="P11" s="129" t="s">
        <v>6</v>
      </c>
      <c r="Q11" s="116">
        <v>30971904</v>
      </c>
      <c r="R11" s="116">
        <v>40118186705</v>
      </c>
      <c r="S11" s="116">
        <v>5289102</v>
      </c>
      <c r="T11" s="130">
        <f t="shared" si="1"/>
        <v>5.855796314761939</v>
      </c>
      <c r="U11" s="85"/>
    </row>
    <row r="12" spans="1:21" ht="15" hidden="1" customHeight="1">
      <c r="A12" s="129" t="s">
        <v>7</v>
      </c>
      <c r="C12" s="79"/>
      <c r="F12" s="78">
        <f>Q12/22</f>
        <v>932124.95454545459</v>
      </c>
      <c r="G12" s="90">
        <f t="shared" si="2"/>
        <v>-0.36798770765095534</v>
      </c>
      <c r="H12" s="90"/>
      <c r="I12" s="130">
        <f t="shared" si="0"/>
        <v>5.5645762775793433</v>
      </c>
      <c r="J12" s="130"/>
      <c r="K12" s="78"/>
      <c r="O12" s="89"/>
      <c r="P12" s="129" t="s">
        <v>7</v>
      </c>
      <c r="Q12" s="116">
        <v>20506749</v>
      </c>
      <c r="R12" s="116">
        <v>26654302239</v>
      </c>
      <c r="S12" s="116">
        <v>3685231</v>
      </c>
      <c r="T12" s="130">
        <f t="shared" si="1"/>
        <v>5.5645762775793433</v>
      </c>
      <c r="U12" s="85"/>
    </row>
    <row r="13" spans="1:21" ht="15" hidden="1" customHeight="1">
      <c r="A13" s="129" t="s">
        <v>35</v>
      </c>
      <c r="B13" s="131">
        <f>F11+F12+F13</f>
        <v>3925833.7259740261</v>
      </c>
      <c r="C13" s="131">
        <f>AVERAGE(F11:F13)</f>
        <v>1308611.241991342</v>
      </c>
      <c r="D13" s="90">
        <f>C13/C10-1</f>
        <v>-5.9992293796620855E-2</v>
      </c>
      <c r="E13" s="286"/>
      <c r="F13" s="78">
        <f>Q13/20</f>
        <v>1518856.2</v>
      </c>
      <c r="G13" s="90">
        <f t="shared" si="2"/>
        <v>0.6294555709439853</v>
      </c>
      <c r="H13" s="90"/>
      <c r="I13" s="130">
        <f t="shared" si="0"/>
        <v>5.2966794452292767</v>
      </c>
      <c r="J13" s="130"/>
      <c r="K13" s="78">
        <f>R11+R12+R13</f>
        <v>108401947042</v>
      </c>
      <c r="L13" s="87">
        <f>U13/U10-1</f>
        <v>-6.6682190840455458E-2</v>
      </c>
      <c r="N13" s="88">
        <f>AVERAGE(T11:T13)</f>
        <v>5.5723506791901869</v>
      </c>
      <c r="O13" s="89">
        <f>N13/N10-1</f>
        <v>-1.6038325492114813E-3</v>
      </c>
      <c r="P13" s="129" t="s">
        <v>60</v>
      </c>
      <c r="Q13" s="116">
        <v>30377124</v>
      </c>
      <c r="R13" s="116">
        <v>41629458098</v>
      </c>
      <c r="S13" s="116">
        <v>5735126</v>
      </c>
      <c r="T13" s="130">
        <f t="shared" si="1"/>
        <v>5.2966794452292767</v>
      </c>
      <c r="U13" s="85">
        <f>Q11+Q12+Q13</f>
        <v>81855777</v>
      </c>
    </row>
    <row r="14" spans="1:21" ht="15" hidden="1" customHeight="1">
      <c r="A14" s="129" t="s">
        <v>36</v>
      </c>
      <c r="C14" s="79"/>
      <c r="F14" s="78">
        <f>Q14/20</f>
        <v>1503360.85</v>
      </c>
      <c r="G14" s="90">
        <f t="shared" si="2"/>
        <v>-1.0201986205145563E-2</v>
      </c>
      <c r="H14" s="90"/>
      <c r="I14" s="130">
        <f t="shared" si="0"/>
        <v>5.5021102829631063</v>
      </c>
      <c r="J14" s="130"/>
      <c r="O14" s="89"/>
      <c r="P14" s="129" t="s">
        <v>36</v>
      </c>
      <c r="Q14" s="116">
        <v>30067217</v>
      </c>
      <c r="R14" s="116">
        <v>42917511654</v>
      </c>
      <c r="S14" s="116">
        <v>5464670</v>
      </c>
      <c r="T14" s="130">
        <f t="shared" si="1"/>
        <v>5.5021102829631063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1755832.1818181819</v>
      </c>
      <c r="G15" s="90">
        <f t="shared" si="2"/>
        <v>0.16793794505037285</v>
      </c>
      <c r="H15" s="90"/>
      <c r="I15" s="130">
        <f t="shared" si="0"/>
        <v>5.871514746917966</v>
      </c>
      <c r="J15" s="130"/>
      <c r="O15" s="89"/>
      <c r="P15" s="129" t="s">
        <v>37</v>
      </c>
      <c r="Q15" s="116">
        <v>38628308</v>
      </c>
      <c r="R15" s="116">
        <v>53140573257</v>
      </c>
      <c r="S15" s="116">
        <v>6578934</v>
      </c>
      <c r="T15" s="130">
        <f t="shared" si="1"/>
        <v>5.871514746917966</v>
      </c>
      <c r="U15" s="85"/>
    </row>
    <row r="16" spans="1:21" ht="15" hidden="1" customHeight="1">
      <c r="A16" s="129" t="s">
        <v>38</v>
      </c>
      <c r="B16" s="131">
        <f>F14+F15+F16</f>
        <v>4746011.8954545455</v>
      </c>
      <c r="C16" s="131">
        <f>AVERAGE(F14:F16)</f>
        <v>1582003.9651515151</v>
      </c>
      <c r="D16" s="90">
        <f>C16/C13-1</f>
        <v>0.20891821374249031</v>
      </c>
      <c r="E16" s="286"/>
      <c r="F16" s="78">
        <f>Q16/22</f>
        <v>1486818.8636363635</v>
      </c>
      <c r="G16" s="90">
        <f t="shared" si="2"/>
        <v>-0.15321129260955468</v>
      </c>
      <c r="H16" s="90"/>
      <c r="I16" s="130">
        <f t="shared" si="0"/>
        <v>5.9436951886981531</v>
      </c>
      <c r="J16" s="130"/>
      <c r="K16" s="78">
        <f>R14+R15+R16</f>
        <v>138803342863</v>
      </c>
      <c r="L16" s="87">
        <f>U16/U13-1</f>
        <v>0.23883180535932125</v>
      </c>
      <c r="N16" s="88">
        <f>AVERAGE(T14:T16)</f>
        <v>5.7724400728597418</v>
      </c>
      <c r="O16" s="89">
        <f>N16/N13-1</f>
        <v>3.5907537983347781E-2</v>
      </c>
      <c r="P16" s="129" t="s">
        <v>38</v>
      </c>
      <c r="Q16" s="116">
        <v>32710015</v>
      </c>
      <c r="R16" s="116">
        <v>42745257952</v>
      </c>
      <c r="S16" s="116">
        <v>5503313</v>
      </c>
      <c r="T16" s="130">
        <f t="shared" si="1"/>
        <v>5.9436951886981531</v>
      </c>
      <c r="U16" s="85">
        <f>Q14+Q15+Q16</f>
        <v>101405540</v>
      </c>
    </row>
    <row r="17" spans="1:21" ht="15" hidden="1" customHeight="1">
      <c r="A17" s="129" t="s">
        <v>87</v>
      </c>
      <c r="C17" s="79"/>
      <c r="F17" s="78">
        <f>Q17/20</f>
        <v>2109221.6</v>
      </c>
      <c r="G17" s="90">
        <f t="shared" ref="G17:G22" si="3">F17/F16-1</f>
        <v>0.41861369369595236</v>
      </c>
      <c r="H17" s="90">
        <f t="shared" ref="H17:H22" si="4">F17/F5-1</f>
        <v>0.36295218934554119</v>
      </c>
      <c r="I17" s="130">
        <f t="shared" si="0"/>
        <v>5.8413113737132605</v>
      </c>
      <c r="J17" s="130">
        <f t="shared" ref="J17:J49" si="5">I17/I5-1</f>
        <v>-3.6165228859646681E-2</v>
      </c>
      <c r="O17" s="89"/>
      <c r="P17" s="129" t="s">
        <v>87</v>
      </c>
      <c r="Q17" s="116">
        <v>42184432</v>
      </c>
      <c r="R17" s="116">
        <v>52812484060</v>
      </c>
      <c r="S17" s="116">
        <v>7221740</v>
      </c>
      <c r="T17" s="130">
        <f t="shared" si="1"/>
        <v>5.8413113737132605</v>
      </c>
      <c r="U17" s="78"/>
    </row>
    <row r="18" spans="1:21" hidden="1">
      <c r="A18" s="129" t="s">
        <v>106</v>
      </c>
      <c r="C18" s="79"/>
      <c r="F18" s="78">
        <f>Q18/20</f>
        <v>1937412.2</v>
      </c>
      <c r="G18" s="90">
        <f t="shared" si="3"/>
        <v>-8.1456305966144171E-2</v>
      </c>
      <c r="H18" s="90">
        <f t="shared" si="4"/>
        <v>1.3995711454248161E-2</v>
      </c>
      <c r="I18" s="130">
        <f t="shared" si="0"/>
        <v>6.0040569120518423</v>
      </c>
      <c r="J18" s="130">
        <f t="shared" si="5"/>
        <v>1.5326255026386626E-3</v>
      </c>
      <c r="O18" s="89"/>
      <c r="P18" s="129" t="s">
        <v>106</v>
      </c>
      <c r="Q18" s="116">
        <v>38748244</v>
      </c>
      <c r="R18" s="116">
        <v>49081191692</v>
      </c>
      <c r="S18" s="116">
        <v>6453677</v>
      </c>
      <c r="T18" s="130">
        <f t="shared" ref="T18" si="6">Q18/S18</f>
        <v>6.0040569120518423</v>
      </c>
      <c r="U18" s="78"/>
    </row>
    <row r="19" spans="1:21" hidden="1">
      <c r="A19" s="129" t="s">
        <v>114</v>
      </c>
      <c r="B19" s="131">
        <f>SUM(F17:F19)</f>
        <v>5792895.3454545457</v>
      </c>
      <c r="C19" s="131">
        <f>AVERAGE(F17:F19)</f>
        <v>1930965.1151515152</v>
      </c>
      <c r="D19" s="90">
        <f>C19/C16-1</f>
        <v>0.2205817164096544</v>
      </c>
      <c r="E19" s="286">
        <f>C19/C7-1</f>
        <v>0.23374323956951204</v>
      </c>
      <c r="F19" s="78">
        <f>Q19/22</f>
        <v>1746261.5454545454</v>
      </c>
      <c r="G19" s="90">
        <f t="shared" si="3"/>
        <v>-9.8662873365541137E-2</v>
      </c>
      <c r="H19" s="90">
        <f t="shared" si="4"/>
        <v>0.41149492113187636</v>
      </c>
      <c r="I19" s="130">
        <f t="shared" si="0"/>
        <v>6.0378084460079613</v>
      </c>
      <c r="J19" s="130">
        <f t="shared" si="5"/>
        <v>-7.4365418182644749E-3</v>
      </c>
      <c r="K19" s="78">
        <f>R17+R18+R19</f>
        <v>152169641733</v>
      </c>
      <c r="L19" s="87">
        <f>U19/U16-1</f>
        <v>0.17696163345710691</v>
      </c>
      <c r="M19" s="87">
        <f>U19/U7-1</f>
        <v>0.28942969426938014</v>
      </c>
      <c r="N19" s="88">
        <f>AVERAGE(T17:T19)</f>
        <v>5.9610589105910208</v>
      </c>
      <c r="O19" s="89">
        <f>N19/N16-1</f>
        <v>3.2675755027429032E-2</v>
      </c>
      <c r="P19" s="129" t="s">
        <v>115</v>
      </c>
      <c r="Q19" s="116">
        <v>38417754</v>
      </c>
      <c r="R19" s="116">
        <v>50275965981</v>
      </c>
      <c r="S19" s="116">
        <v>6362864</v>
      </c>
      <c r="T19" s="130">
        <f t="shared" ref="T19" si="7">Q19/S19</f>
        <v>6.0378084460079613</v>
      </c>
      <c r="U19" s="85">
        <f>Q17+Q18+Q19</f>
        <v>119350430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1722558.25</v>
      </c>
      <c r="G20" s="90">
        <f t="shared" si="3"/>
        <v>-1.3573737288233967E-2</v>
      </c>
      <c r="H20" s="90">
        <f t="shared" si="4"/>
        <v>0.55494823268898941</v>
      </c>
      <c r="I20" s="130">
        <f t="shared" si="0"/>
        <v>6.3318068895448585</v>
      </c>
      <c r="J20" s="130">
        <f t="shared" si="5"/>
        <v>0.13888491741390196</v>
      </c>
      <c r="O20" s="89"/>
      <c r="P20" s="129" t="s">
        <v>132</v>
      </c>
      <c r="Q20" s="116">
        <v>34451165</v>
      </c>
      <c r="R20" s="116">
        <v>45253537995</v>
      </c>
      <c r="S20" s="116">
        <v>5440969</v>
      </c>
      <c r="T20" s="130">
        <f t="shared" ref="T20" si="8">Q20/S20</f>
        <v>6.3318068895448585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2371721.5714285714</v>
      </c>
      <c r="G21" s="90">
        <f t="shared" si="3"/>
        <v>0.37686001122375479</v>
      </c>
      <c r="H21" s="90">
        <f t="shared" si="4"/>
        <v>0.53359686386778549</v>
      </c>
      <c r="I21" s="130">
        <f t="shared" si="0"/>
        <v>6.0955394485662442</v>
      </c>
      <c r="J21" s="130">
        <f t="shared" si="5"/>
        <v>9.6974771072104504E-2</v>
      </c>
      <c r="O21" s="89"/>
      <c r="P21" s="129" t="s">
        <v>141</v>
      </c>
      <c r="Q21" s="116">
        <v>49806153</v>
      </c>
      <c r="R21" s="116">
        <v>66385327279</v>
      </c>
      <c r="S21" s="116">
        <v>8170918</v>
      </c>
      <c r="T21" s="130">
        <f t="shared" ref="T21" si="9">Q21/S21</f>
        <v>6.0955394485662442</v>
      </c>
      <c r="U21" s="78"/>
    </row>
    <row r="22" spans="1:21" hidden="1">
      <c r="A22" s="129" t="s">
        <v>156</v>
      </c>
      <c r="B22" s="131">
        <f>SUM(F20:F22)</f>
        <v>6168135.3452380951</v>
      </c>
      <c r="C22" s="131">
        <f>AVERAGE(F20:F22)</f>
        <v>2056045.115079365</v>
      </c>
      <c r="D22" s="90">
        <f>C22/C19-1</f>
        <v>6.4775898304115787E-2</v>
      </c>
      <c r="E22" s="286">
        <f>C22/C10-1</f>
        <v>0.47690787795417977</v>
      </c>
      <c r="F22" s="78">
        <f>Q22/21</f>
        <v>2073855.5238095238</v>
      </c>
      <c r="G22" s="90">
        <f t="shared" si="3"/>
        <v>-0.12559064740454862</v>
      </c>
      <c r="H22" s="90">
        <f t="shared" si="4"/>
        <v>0.36251047514238466</v>
      </c>
      <c r="I22" s="130">
        <f t="shared" si="0"/>
        <v>6.5237230563481381</v>
      </c>
      <c r="J22" s="130">
        <f t="shared" si="5"/>
        <v>0.15924329595721254</v>
      </c>
      <c r="K22" s="78">
        <f>R20+R21+R22</f>
        <v>168064771300</v>
      </c>
      <c r="L22" s="87">
        <f>U22/U19-1</f>
        <v>7.0865718707507019E-2</v>
      </c>
      <c r="M22" s="87">
        <f>U22/U10-1</f>
        <v>0.45726730582889541</v>
      </c>
      <c r="N22" s="88">
        <f>AVERAGE(T20:T22)</f>
        <v>6.3170231314864145</v>
      </c>
      <c r="O22" s="89">
        <f>N22/N19-1</f>
        <v>5.971493089305846E-2</v>
      </c>
      <c r="P22" s="129" t="s">
        <v>156</v>
      </c>
      <c r="Q22" s="116">
        <v>43550966</v>
      </c>
      <c r="R22" s="116">
        <v>56425906026</v>
      </c>
      <c r="S22" s="116">
        <v>6675784</v>
      </c>
      <c r="T22" s="130">
        <f t="shared" ref="T22:T23" si="10">Q22/S22</f>
        <v>6.5237230563481381</v>
      </c>
      <c r="U22" s="85">
        <f>Q20+Q21+Q22</f>
        <v>127808284</v>
      </c>
    </row>
    <row r="23" spans="1:21" hidden="1">
      <c r="A23" s="129" t="s">
        <v>189</v>
      </c>
      <c r="B23" s="131"/>
      <c r="C23" s="131"/>
      <c r="F23" s="78">
        <f>Q23/21</f>
        <v>1918210.7142857143</v>
      </c>
      <c r="G23" s="90">
        <f t="shared" ref="G23" si="11">F23/F22-1</f>
        <v>-7.5050941464765653E-2</v>
      </c>
      <c r="H23" s="90">
        <f t="shared" ref="H23" si="12">F23/F11-1</f>
        <v>0.30061183839392003</v>
      </c>
      <c r="I23" s="130">
        <f t="shared" si="0"/>
        <v>6.4888595823152819</v>
      </c>
      <c r="J23" s="130">
        <f t="shared" si="5"/>
        <v>0.10810882645583941</v>
      </c>
      <c r="O23" s="89"/>
      <c r="P23" s="129" t="s">
        <v>189</v>
      </c>
      <c r="Q23" s="116">
        <v>40282425</v>
      </c>
      <c r="R23" s="116">
        <v>51777680642</v>
      </c>
      <c r="S23" s="116">
        <v>6207936</v>
      </c>
      <c r="T23" s="130">
        <f t="shared" si="10"/>
        <v>6.4888595823152819</v>
      </c>
      <c r="U23" s="78"/>
    </row>
    <row r="24" spans="1:21" hidden="1">
      <c r="A24" s="129" t="s">
        <v>204</v>
      </c>
      <c r="B24" s="131"/>
      <c r="C24" s="131"/>
      <c r="F24" s="78">
        <f>Q24/22</f>
        <v>1242503.2272727273</v>
      </c>
      <c r="G24" s="90">
        <f t="shared" ref="G24" si="13">F24/F23-1</f>
        <v>-0.35225926014316977</v>
      </c>
      <c r="H24" s="90">
        <f t="shared" ref="H24" si="14">F24/F12-1</f>
        <v>0.33297925478095047</v>
      </c>
      <c r="I24" s="130">
        <f t="shared" si="0"/>
        <v>6.3440204716262771</v>
      </c>
      <c r="J24" s="130">
        <f t="shared" si="5"/>
        <v>0.14007251498868856</v>
      </c>
      <c r="O24" s="89"/>
      <c r="P24" s="129" t="s">
        <v>204</v>
      </c>
      <c r="Q24" s="116">
        <v>27335071</v>
      </c>
      <c r="R24" s="116">
        <v>36275418437</v>
      </c>
      <c r="S24" s="116">
        <v>4308793</v>
      </c>
      <c r="T24" s="130">
        <f t="shared" ref="T24" si="15">Q24/S24</f>
        <v>6.3440204716262771</v>
      </c>
      <c r="U24" s="78"/>
    </row>
    <row r="25" spans="1:21" s="79" customFormat="1" ht="13.2" hidden="1">
      <c r="A25" s="129" t="s">
        <v>219</v>
      </c>
      <c r="B25" s="131">
        <f>SUM(F23:F25)</f>
        <v>4646225.204716336</v>
      </c>
      <c r="C25" s="131">
        <f>AVERAGE(F23:F25)</f>
        <v>1548741.7349054452</v>
      </c>
      <c r="D25" s="90">
        <f>C25/C22-1</f>
        <v>-0.24673747499666976</v>
      </c>
      <c r="E25" s="286">
        <f>C25/C13-1</f>
        <v>0.18350025218237564</v>
      </c>
      <c r="F25" s="78">
        <f>Q25/19</f>
        <v>1485511.2631578948</v>
      </c>
      <c r="G25" s="90">
        <f t="shared" ref="G25" si="16">F25/F24-1</f>
        <v>0.19557940015863462</v>
      </c>
      <c r="H25" s="90">
        <f t="shared" ref="H25" si="17">F25/F13-1</f>
        <v>-2.1953978817813802E-2</v>
      </c>
      <c r="I25" s="130">
        <f t="shared" si="0"/>
        <v>6.0404833120460761</v>
      </c>
      <c r="J25" s="130">
        <f t="shared" si="5"/>
        <v>0.14042833335642846</v>
      </c>
      <c r="K25" s="78">
        <f>R23+R24+R25</f>
        <v>125505521427</v>
      </c>
      <c r="L25" s="90">
        <f>U25/U22-1</f>
        <v>-0.25010956253821548</v>
      </c>
      <c r="M25" s="90">
        <f>U25/U13-1</f>
        <v>0.17086677950659479</v>
      </c>
      <c r="N25" s="88">
        <f>AVERAGE(T23:T25)</f>
        <v>6.2911211219958787</v>
      </c>
      <c r="O25" s="91">
        <f>N25/N22-1</f>
        <v>-4.1003505846655131E-3</v>
      </c>
      <c r="P25" s="129" t="s">
        <v>219</v>
      </c>
      <c r="Q25" s="116">
        <v>28224714</v>
      </c>
      <c r="R25" s="116">
        <v>37452422348</v>
      </c>
      <c r="S25" s="116">
        <v>4672592</v>
      </c>
      <c r="T25" s="130">
        <f t="shared" ref="T25" si="18">Q25/S25</f>
        <v>6.0404833120460761</v>
      </c>
      <c r="U25" s="85">
        <f>Q23+Q24+Q25</f>
        <v>95842210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1329869.7894736843</v>
      </c>
      <c r="G26" s="90">
        <f t="shared" ref="G26" si="19">F26/F25-1</f>
        <v>-0.10477300141996126</v>
      </c>
      <c r="H26" s="90">
        <f t="shared" ref="H26" si="20">F26/F14-1</f>
        <v>-0.11540214082754374</v>
      </c>
      <c r="I26" s="130">
        <f t="shared" si="0"/>
        <v>6.1539525297973503</v>
      </c>
      <c r="J26" s="130">
        <f t="shared" si="5"/>
        <v>0.11847131615166395</v>
      </c>
      <c r="L26" s="90"/>
      <c r="M26" s="90"/>
      <c r="P26" s="129" t="s">
        <v>312</v>
      </c>
      <c r="Q26" s="116">
        <v>25267526</v>
      </c>
      <c r="R26" s="116">
        <v>34089535072</v>
      </c>
      <c r="S26" s="116">
        <v>4105902</v>
      </c>
      <c r="T26" s="130">
        <f t="shared" ref="T26" si="21">Q26/S26</f>
        <v>6.1539525297973503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868291.18181818177</v>
      </c>
      <c r="G27" s="90">
        <f t="shared" ref="G27" si="22">F27/F26-1</f>
        <v>-0.34708556530047885</v>
      </c>
      <c r="H27" s="90">
        <f t="shared" ref="H27" si="23">F27/F15-1</f>
        <v>-0.50548167939429289</v>
      </c>
      <c r="I27" s="130">
        <f t="shared" si="0"/>
        <v>6.3153815051394453</v>
      </c>
      <c r="J27" s="130">
        <f t="shared" si="5"/>
        <v>7.5596635170587012E-2</v>
      </c>
      <c r="L27" s="90"/>
      <c r="M27" s="90"/>
      <c r="P27" s="129" t="s">
        <v>375</v>
      </c>
      <c r="Q27" s="116">
        <v>19102406</v>
      </c>
      <c r="R27" s="116">
        <v>25123424671</v>
      </c>
      <c r="S27" s="116">
        <v>3024743</v>
      </c>
      <c r="T27" s="130">
        <f t="shared" ref="T27" si="24">Q27/S27</f>
        <v>6.3153815051394453</v>
      </c>
      <c r="U27" s="78"/>
    </row>
    <row r="28" spans="1:21" s="79" customFormat="1" ht="13.2" hidden="1">
      <c r="A28" s="123" t="s">
        <v>413</v>
      </c>
      <c r="B28" s="131">
        <f>SUM(F26:F28)</f>
        <v>3269108.5502392342</v>
      </c>
      <c r="C28" s="131">
        <f>AVERAGE(F26:F28)</f>
        <v>1089702.8500797448</v>
      </c>
      <c r="D28" s="90">
        <f>C28/C25-1</f>
        <v>-0.29639472771987119</v>
      </c>
      <c r="E28" s="286">
        <f>C28/C16-1</f>
        <v>-0.31118829403478809</v>
      </c>
      <c r="F28" s="78">
        <f>Q28/19</f>
        <v>1070947.5789473683</v>
      </c>
      <c r="G28" s="90">
        <f t="shared" ref="G28" si="25">F28/F27-1</f>
        <v>0.23339681592162287</v>
      </c>
      <c r="H28" s="90">
        <f t="shared" ref="H28" si="26">F28/F16-1</f>
        <v>-0.27970541325517262</v>
      </c>
      <c r="I28" s="130">
        <f t="shared" si="0"/>
        <v>5.8795393918659649</v>
      </c>
      <c r="J28" s="130">
        <f t="shared" si="5"/>
        <v>-1.0793924451943493E-2</v>
      </c>
      <c r="K28" s="78">
        <f>R26+R27+R28</f>
        <v>85801108908</v>
      </c>
      <c r="L28" s="90">
        <f>U28/U25-1</f>
        <v>-0.32474495318920549</v>
      </c>
      <c r="M28" s="90">
        <f>U28/U16-1</f>
        <v>-0.36179092384893374</v>
      </c>
      <c r="N28" s="88">
        <f>AVERAGE(T26:T28)</f>
        <v>6.1162911422675874</v>
      </c>
      <c r="O28" s="91">
        <f>N28/N25-1</f>
        <v>-2.7789956088593915E-2</v>
      </c>
      <c r="P28" s="129" t="s">
        <v>413</v>
      </c>
      <c r="Q28" s="116">
        <v>20348004</v>
      </c>
      <c r="R28" s="116">
        <v>26588149165</v>
      </c>
      <c r="S28" s="116">
        <v>3460816</v>
      </c>
      <c r="T28" s="130">
        <f t="shared" ref="T28" si="27">Q28/S28</f>
        <v>5.8795393918659649</v>
      </c>
      <c r="U28" s="85">
        <f>Q26+Q27+Q28</f>
        <v>64717936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1068026.2727272727</v>
      </c>
      <c r="G29" s="190">
        <f t="shared" ref="G29" si="28">F29/F28-1</f>
        <v>-2.7277770429874337E-3</v>
      </c>
      <c r="H29" s="190">
        <f t="shared" ref="H29" si="29">F29/F17-1</f>
        <v>-0.49363960964211984</v>
      </c>
      <c r="I29" s="130">
        <f t="shared" si="0"/>
        <v>6.2842600222468459</v>
      </c>
      <c r="J29" s="130">
        <f t="shared" si="5"/>
        <v>7.5830343598342953E-2</v>
      </c>
      <c r="K29" s="136"/>
      <c r="L29" s="190"/>
      <c r="M29" s="190"/>
      <c r="N29" s="191"/>
      <c r="O29" s="192"/>
      <c r="P29" s="129" t="s">
        <v>427</v>
      </c>
      <c r="Q29" s="116">
        <v>23496578</v>
      </c>
      <c r="R29" s="116">
        <v>31161955278</v>
      </c>
      <c r="S29" s="116">
        <v>3738957</v>
      </c>
      <c r="T29" s="130">
        <f t="shared" ref="T29" si="30">Q29/S29</f>
        <v>6.2842600222468459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1353864.5789473683</v>
      </c>
      <c r="G30" s="190">
        <f t="shared" ref="G30" si="31">F30/F29-1</f>
        <v>0.26763227976610482</v>
      </c>
      <c r="H30" s="190">
        <f t="shared" ref="H30" si="32">F30/F18-1</f>
        <v>-0.30119951812661838</v>
      </c>
      <c r="I30" s="130">
        <f t="shared" si="0"/>
        <v>6.1054891288352415</v>
      </c>
      <c r="J30" s="130">
        <f t="shared" si="5"/>
        <v>1.6893946587980491E-2</v>
      </c>
      <c r="K30" s="136"/>
      <c r="L30" s="190"/>
      <c r="M30" s="190"/>
      <c r="N30" s="191"/>
      <c r="O30" s="192"/>
      <c r="P30" s="129" t="s">
        <v>483</v>
      </c>
      <c r="Q30" s="116">
        <v>25723427</v>
      </c>
      <c r="R30" s="116">
        <v>34266685115</v>
      </c>
      <c r="S30" s="116">
        <v>4213164</v>
      </c>
      <c r="T30" s="130">
        <f t="shared" ref="T30" si="33">Q30/S30</f>
        <v>6.1054891288352415</v>
      </c>
      <c r="U30" s="85"/>
    </row>
    <row r="31" spans="1:21" s="79" customFormat="1" ht="13.2" hidden="1">
      <c r="A31" s="129" t="s">
        <v>505</v>
      </c>
      <c r="B31" s="188">
        <f>SUM(F29:F31)</f>
        <v>3636224.6516746413</v>
      </c>
      <c r="C31" s="188">
        <f>AVERAGE(F29:F31)</f>
        <v>1212074.8838915471</v>
      </c>
      <c r="D31" s="190">
        <f>C31/C28-1</f>
        <v>0.11229853514914367</v>
      </c>
      <c r="E31" s="287">
        <f>C31/C19-1</f>
        <v>-0.37229581498864084</v>
      </c>
      <c r="F31" s="136">
        <f>Q31/20</f>
        <v>1214333.8</v>
      </c>
      <c r="G31" s="190">
        <f t="shared" ref="G31" si="34">F31/F30-1</f>
        <v>-0.10306110457210838</v>
      </c>
      <c r="H31" s="190">
        <f t="shared" ref="H31" si="35">F31/F19-1</f>
        <v>-0.30460943656414685</v>
      </c>
      <c r="I31" s="130">
        <f t="shared" si="0"/>
        <v>6.471304403434071</v>
      </c>
      <c r="J31" s="130">
        <f t="shared" si="5"/>
        <v>7.1796904672046358E-2</v>
      </c>
      <c r="K31" s="136">
        <f>R29+R30+R31</f>
        <v>97581641954</v>
      </c>
      <c r="L31" s="190">
        <f>U31/U28-1</f>
        <v>0.13580076163121158</v>
      </c>
      <c r="M31" s="190">
        <f>U31/U19-1</f>
        <v>-0.38411046361542223</v>
      </c>
      <c r="N31" s="191">
        <f>AVERAGE(T29:T31)</f>
        <v>6.2870178515053858</v>
      </c>
      <c r="O31" s="192">
        <f>N31/N28-1</f>
        <v>2.7913437288484388E-2</v>
      </c>
      <c r="P31" s="129" t="s">
        <v>505</v>
      </c>
      <c r="Q31" s="116">
        <v>24286676</v>
      </c>
      <c r="R31" s="116">
        <v>32153001561</v>
      </c>
      <c r="S31" s="116">
        <v>3752980</v>
      </c>
      <c r="T31" s="130">
        <f t="shared" ref="T31" si="36">Q31/S31</f>
        <v>6.471304403434071</v>
      </c>
      <c r="U31" s="85">
        <f>Q29+Q30+Q31</f>
        <v>73506681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929950.76190476189</v>
      </c>
      <c r="G32" s="190">
        <f t="shared" ref="G32" si="37">F32/F31-1</f>
        <v>-0.23418852221295183</v>
      </c>
      <c r="H32" s="190">
        <f t="shared" ref="H32" si="38">F32/F20-1</f>
        <v>-0.46013392469905623</v>
      </c>
      <c r="I32" s="130">
        <f t="shared" si="0"/>
        <v>6.2513295582223902</v>
      </c>
      <c r="J32" s="130">
        <f t="shared" si="5"/>
        <v>-1.2710010385085013E-2</v>
      </c>
      <c r="K32" s="136"/>
      <c r="L32" s="190"/>
      <c r="M32" s="190"/>
      <c r="N32" s="191"/>
      <c r="O32" s="192"/>
      <c r="P32" s="129" t="s">
        <v>577</v>
      </c>
      <c r="Q32" s="116">
        <v>19528966</v>
      </c>
      <c r="R32" s="116">
        <v>26767737525</v>
      </c>
      <c r="S32" s="116">
        <v>3123970</v>
      </c>
      <c r="T32" s="130">
        <f t="shared" ref="T32" si="39">Q32/S32</f>
        <v>6.2513295582223902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988230.38095238095</v>
      </c>
      <c r="G33" s="190">
        <f t="shared" ref="G33" si="40">F33/F32-1</f>
        <v>6.2669575030239733E-2</v>
      </c>
      <c r="H33" s="190">
        <f t="shared" ref="H33" si="41">F33/F21-1</f>
        <v>-0.5833278269855533</v>
      </c>
      <c r="I33" s="130">
        <f t="shared" si="0"/>
        <v>6.172653619312678</v>
      </c>
      <c r="J33" s="130">
        <f t="shared" si="5"/>
        <v>1.2650918166819958E-2</v>
      </c>
      <c r="K33" s="136"/>
      <c r="L33" s="190"/>
      <c r="M33" s="190"/>
      <c r="N33" s="191"/>
      <c r="O33" s="192"/>
      <c r="P33" s="129" t="s">
        <v>626</v>
      </c>
      <c r="Q33" s="116">
        <v>20752838</v>
      </c>
      <c r="R33" s="116">
        <v>28301963156</v>
      </c>
      <c r="S33" s="116">
        <v>3362061</v>
      </c>
      <c r="T33" s="130">
        <f t="shared" ref="T33" si="42">Q33/S33</f>
        <v>6.172653619312678</v>
      </c>
      <c r="U33" s="85"/>
    </row>
    <row r="34" spans="1:21" s="79" customFormat="1" ht="13.2" hidden="1">
      <c r="A34" s="129" t="s">
        <v>652</v>
      </c>
      <c r="B34" s="188">
        <f>SUM(F32:F34)</f>
        <v>2975171.8796992479</v>
      </c>
      <c r="C34" s="188">
        <f>AVERAGE(F32:F34)</f>
        <v>991723.95989974926</v>
      </c>
      <c r="D34" s="190">
        <f>C34/C31-1</f>
        <v>-0.18179646069748456</v>
      </c>
      <c r="E34" s="287">
        <f>C34/C22-1</f>
        <v>-0.51765457254498626</v>
      </c>
      <c r="F34" s="136">
        <f>Q34/19</f>
        <v>1056990.7368421052</v>
      </c>
      <c r="G34" s="190">
        <f t="shared" ref="G34" si="43">F34/F33-1</f>
        <v>6.9579277479263624E-2</v>
      </c>
      <c r="H34" s="190">
        <f t="shared" ref="H34" si="44">F34/F22-1</f>
        <v>-0.49032576054262011</v>
      </c>
      <c r="I34" s="130">
        <f t="shared" si="0"/>
        <v>6.4966214555044006</v>
      </c>
      <c r="J34" s="130">
        <f t="shared" si="5"/>
        <v>-4.1543150452049149E-3</v>
      </c>
      <c r="K34" s="136">
        <f>R32+R33+R34</f>
        <v>82696337860</v>
      </c>
      <c r="L34" s="190">
        <f>U34/U31-1</f>
        <v>-0.17878719078610006</v>
      </c>
      <c r="M34" s="190">
        <f>U34/U22-1</f>
        <v>-0.52769393257795405</v>
      </c>
      <c r="N34" s="191">
        <f>AVERAGE(T32:T34)</f>
        <v>6.306868211013156</v>
      </c>
      <c r="O34" s="192">
        <f>N34/N31-1</f>
        <v>3.1573569499276921E-3</v>
      </c>
      <c r="P34" s="129" t="s">
        <v>652</v>
      </c>
      <c r="Q34" s="116">
        <v>20082824</v>
      </c>
      <c r="R34" s="116">
        <v>27626637179</v>
      </c>
      <c r="S34" s="116">
        <v>3091272</v>
      </c>
      <c r="T34" s="130">
        <f t="shared" ref="T34" si="45">Q34/S34</f>
        <v>6.4966214555044006</v>
      </c>
      <c r="U34" s="85">
        <f>Q32+Q33+Q34</f>
        <v>60364628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1031992.1304347826</v>
      </c>
      <c r="G35" s="190">
        <f t="shared" ref="G35" si="46">F35/F34-1</f>
        <v>-2.365073366868764E-2</v>
      </c>
      <c r="H35" s="190">
        <f t="shared" ref="H35" si="47">F35/F23-1</f>
        <v>-0.46200272850677604</v>
      </c>
      <c r="I35" s="130">
        <f t="shared" si="0"/>
        <v>6.4377645467845381</v>
      </c>
      <c r="J35" s="130">
        <f t="shared" si="5"/>
        <v>-7.8742704912274641E-3</v>
      </c>
      <c r="K35" s="136"/>
      <c r="L35" s="190"/>
      <c r="M35" s="190"/>
      <c r="N35" s="191"/>
      <c r="O35" s="192"/>
      <c r="P35" s="129" t="s">
        <v>660</v>
      </c>
      <c r="Q35" s="116">
        <v>23735819</v>
      </c>
      <c r="R35" s="116">
        <v>32806972961</v>
      </c>
      <c r="S35" s="116">
        <v>3686966</v>
      </c>
      <c r="T35" s="130">
        <f t="shared" ref="T35" si="48">Q35/S35</f>
        <v>6.4377645467845381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923184.38095238095</v>
      </c>
      <c r="G36" s="190">
        <f t="shared" ref="G36" si="49">F36/F35-1</f>
        <v>-0.10543466977462368</v>
      </c>
      <c r="H36" s="190">
        <f t="shared" ref="H36" si="50">F36/F24-1</f>
        <v>-0.25699639188965773</v>
      </c>
      <c r="I36" s="130">
        <f t="shared" si="0"/>
        <v>6.2127453933664478</v>
      </c>
      <c r="J36" s="130">
        <f t="shared" si="5"/>
        <v>-2.0692726142193085E-2</v>
      </c>
      <c r="K36" s="136"/>
      <c r="L36" s="190"/>
      <c r="M36" s="190"/>
      <c r="N36" s="191"/>
      <c r="O36" s="192"/>
      <c r="P36" s="129" t="s">
        <v>666</v>
      </c>
      <c r="Q36" s="116">
        <v>19386872</v>
      </c>
      <c r="R36" s="116">
        <v>26394922664</v>
      </c>
      <c r="S36" s="116">
        <v>3120500</v>
      </c>
      <c r="T36" s="130">
        <f t="shared" ref="T36" si="51">Q36/S36</f>
        <v>6.2127453933664478</v>
      </c>
      <c r="U36" s="85"/>
    </row>
    <row r="37" spans="1:21" s="79" customFormat="1" ht="13.2" hidden="1">
      <c r="A37" s="129" t="s">
        <v>702</v>
      </c>
      <c r="B37" s="188">
        <f>SUM(F35:F37)</f>
        <v>2951921.6780538303</v>
      </c>
      <c r="C37" s="188">
        <f>AVERAGE(F35:F37)</f>
        <v>983973.89268461009</v>
      </c>
      <c r="D37" s="190">
        <f>C37/C34-1</f>
        <v>-7.8147423360857005E-3</v>
      </c>
      <c r="E37" s="287">
        <f>C37/C25-1</f>
        <v>-0.36466237687803749</v>
      </c>
      <c r="F37" s="136">
        <f>Q37/18</f>
        <v>996745.16666666663</v>
      </c>
      <c r="G37" s="190">
        <f t="shared" ref="G37" si="52">F37/F36-1</f>
        <v>7.9681575243288227E-2</v>
      </c>
      <c r="H37" s="190">
        <f t="shared" ref="H37" si="53">F37/F25-1</f>
        <v>-0.32902214113961736</v>
      </c>
      <c r="I37" s="130">
        <f t="shared" si="0"/>
        <v>5.9484708047411745</v>
      </c>
      <c r="J37" s="130">
        <f t="shared" si="5"/>
        <v>-1.5232639931544556E-2</v>
      </c>
      <c r="K37" s="136">
        <f>R35+R36+R37</f>
        <v>83157197646</v>
      </c>
      <c r="L37" s="190">
        <f>U37/U34-1</f>
        <v>1.1587514462940041E-2</v>
      </c>
      <c r="M37" s="190">
        <f>U37/U25-1</f>
        <v>-0.36286836457548299</v>
      </c>
      <c r="N37" s="191">
        <f>AVERAGE(T35:T37)</f>
        <v>6.1996602482973868</v>
      </c>
      <c r="O37" s="192">
        <f>N37/N34-1</f>
        <v>-1.6998605191806737E-2</v>
      </c>
      <c r="P37" s="129" t="s">
        <v>702</v>
      </c>
      <c r="Q37" s="116">
        <v>17941413</v>
      </c>
      <c r="R37" s="116">
        <v>23955302021</v>
      </c>
      <c r="S37" s="116">
        <v>3016138.7</v>
      </c>
      <c r="T37" s="130">
        <f t="shared" ref="T37" si="54">Q37/S37</f>
        <v>5.9484708047411745</v>
      </c>
      <c r="U37" s="85">
        <f>Q35+Q36+Q37</f>
        <v>61064104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659895.35</v>
      </c>
      <c r="G38" s="190">
        <f t="shared" ref="G38" si="55">F38/F37-1</f>
        <v>-0.33794978689805533</v>
      </c>
      <c r="H38" s="190">
        <f t="shared" ref="H38" si="56">F38/F26-1</f>
        <v>-0.50378950238341502</v>
      </c>
      <c r="I38" s="130">
        <f t="shared" si="0"/>
        <v>6.244916683385509</v>
      </c>
      <c r="J38" s="130">
        <f t="shared" si="5"/>
        <v>1.4781419445098365E-2</v>
      </c>
      <c r="K38" s="136"/>
      <c r="L38" s="190"/>
      <c r="M38" s="190"/>
      <c r="N38" s="191"/>
      <c r="O38" s="192"/>
      <c r="P38" s="129" t="s">
        <v>728</v>
      </c>
      <c r="Q38" s="116">
        <v>13197907</v>
      </c>
      <c r="R38" s="116">
        <v>17763946312</v>
      </c>
      <c r="S38" s="116">
        <v>2113384</v>
      </c>
      <c r="T38" s="130">
        <f t="shared" ref="T38" si="57">Q38/S38</f>
        <v>6.244916683385509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564697.57142857148</v>
      </c>
      <c r="G39" s="190">
        <f t="shared" ref="G39" si="58">F39/F38-1</f>
        <v>-0.14426193270103893</v>
      </c>
      <c r="H39" s="190">
        <f t="shared" ref="H39" si="59">F39/F27-1</f>
        <v>-0.34964493104017513</v>
      </c>
      <c r="I39" s="130">
        <f t="shared" si="0"/>
        <v>5.9100930571918973</v>
      </c>
      <c r="J39" s="130">
        <f t="shared" si="5"/>
        <v>-6.4174816298544268E-2</v>
      </c>
      <c r="K39" s="136"/>
      <c r="L39" s="190"/>
      <c r="M39" s="190"/>
      <c r="N39" s="191"/>
      <c r="O39" s="192"/>
      <c r="P39" s="129" t="s">
        <v>762</v>
      </c>
      <c r="Q39" s="116">
        <v>11858649</v>
      </c>
      <c r="R39" s="116">
        <v>16547422908</v>
      </c>
      <c r="S39" s="116">
        <v>2006508</v>
      </c>
      <c r="T39" s="130">
        <f t="shared" ref="T39" si="60">Q39/S39</f>
        <v>5.9100930571918973</v>
      </c>
      <c r="U39" s="85"/>
    </row>
    <row r="40" spans="1:21" s="79" customFormat="1" ht="13.2" hidden="1">
      <c r="A40" s="129" t="s">
        <v>778</v>
      </c>
      <c r="B40" s="188">
        <f>SUM(F38:F40)</f>
        <v>2095385.35</v>
      </c>
      <c r="C40" s="188">
        <f>AVERAGE(F38:F40)</f>
        <v>698461.78333333333</v>
      </c>
      <c r="D40" s="190">
        <f>C40/C37-1</f>
        <v>-0.29016228120880749</v>
      </c>
      <c r="E40" s="287">
        <f>C40/C28-1</f>
        <v>-0.35903463656884105</v>
      </c>
      <c r="F40" s="136">
        <f>Q40/21</f>
        <v>870792.42857142852</v>
      </c>
      <c r="G40" s="190">
        <f t="shared" ref="G40" si="61">F40/F39-1</f>
        <v>0.54205095369632716</v>
      </c>
      <c r="H40" s="190">
        <f t="shared" ref="H40" si="62">F40/F28-1</f>
        <v>-0.18689537593676786</v>
      </c>
      <c r="I40" s="130">
        <f t="shared" si="0"/>
        <v>5.8110219330901094</v>
      </c>
      <c r="J40" s="130">
        <f t="shared" si="5"/>
        <v>-1.1653541920417454E-2</v>
      </c>
      <c r="K40" s="136">
        <f>R38+R39+R40</f>
        <v>60363203592</v>
      </c>
      <c r="L40" s="190">
        <f>U40/U37-1</f>
        <v>-0.29020170344266416</v>
      </c>
      <c r="M40" s="190">
        <f>U40/U28-1</f>
        <v>-0.33027535056124158</v>
      </c>
      <c r="N40" s="191">
        <f>AVERAGE(T38:T40)</f>
        <v>5.9886772245558388</v>
      </c>
      <c r="O40" s="192">
        <f>N40/N37-1</f>
        <v>-3.4031384832659217E-2</v>
      </c>
      <c r="P40" s="129" t="s">
        <v>778</v>
      </c>
      <c r="Q40" s="116">
        <v>18286641</v>
      </c>
      <c r="R40" s="116">
        <v>26051834372</v>
      </c>
      <c r="S40" s="116">
        <v>3146889</v>
      </c>
      <c r="T40" s="130">
        <f t="shared" ref="T40" si="63">Q40/S40</f>
        <v>5.8110219330901094</v>
      </c>
      <c r="U40" s="85">
        <f>Q38+Q39+Q40</f>
        <v>43343197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1280416.4444444445</v>
      </c>
      <c r="G41" s="190">
        <f t="shared" ref="G41" si="64">F41/F40-1</f>
        <v>0.47040374081458358</v>
      </c>
      <c r="H41" s="190">
        <f t="shared" ref="H41" si="65">F41/F29-1</f>
        <v>0.19886230998308685</v>
      </c>
      <c r="I41" s="130">
        <f t="shared" si="0"/>
        <v>5.9691528320944807</v>
      </c>
      <c r="J41" s="130">
        <f t="shared" si="5"/>
        <v>-5.0142290267566447E-2</v>
      </c>
      <c r="K41" s="193"/>
      <c r="L41" s="190"/>
      <c r="M41" s="190"/>
      <c r="N41" s="193"/>
      <c r="O41" s="193"/>
      <c r="P41" s="129" t="s">
        <v>792</v>
      </c>
      <c r="Q41" s="116">
        <v>23047496</v>
      </c>
      <c r="R41" s="116">
        <v>33729405369</v>
      </c>
      <c r="S41" s="116">
        <v>3861100</v>
      </c>
      <c r="T41" s="130">
        <f t="shared" ref="T41" si="66">Q41/S41</f>
        <v>5.9691528320944807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1034243.55</v>
      </c>
      <c r="G42" s="190">
        <f t="shared" ref="G42" si="67">F42/F41-1</f>
        <v>-0.19226002252045082</v>
      </c>
      <c r="H42" s="190">
        <f t="shared" ref="H42" si="68">F42/F30-1</f>
        <v>-0.23608050163767047</v>
      </c>
      <c r="I42" s="130">
        <f t="shared" si="0"/>
        <v>6.1714179073974238</v>
      </c>
      <c r="J42" s="130">
        <f t="shared" si="5"/>
        <v>1.0798279576129444E-2</v>
      </c>
      <c r="K42" s="193"/>
      <c r="L42" s="190"/>
      <c r="M42" s="190"/>
      <c r="N42" s="193"/>
      <c r="O42" s="193"/>
      <c r="P42" s="129" t="s">
        <v>826</v>
      </c>
      <c r="Q42" s="116">
        <v>20684871</v>
      </c>
      <c r="R42" s="116">
        <v>29924870209</v>
      </c>
      <c r="S42" s="116">
        <v>3351721</v>
      </c>
      <c r="T42" s="130">
        <f t="shared" ref="T42" si="69">Q42/S42</f>
        <v>6.1714179073974238</v>
      </c>
      <c r="U42" s="78"/>
    </row>
    <row r="43" spans="1:21" s="79" customFormat="1" ht="13.2">
      <c r="A43" s="129" t="s">
        <v>835</v>
      </c>
      <c r="B43" s="188">
        <f>SUM(F41:F43)</f>
        <v>3730845.4944444448</v>
      </c>
      <c r="C43" s="188">
        <f>AVERAGE(F41:F43)</f>
        <v>1243615.1648148149</v>
      </c>
      <c r="D43" s="190">
        <f>C43/C40-1</f>
        <v>0.78050566901426732</v>
      </c>
      <c r="E43" s="287">
        <f>C43/C31-1</f>
        <v>2.6021726332619899E-2</v>
      </c>
      <c r="F43" s="136">
        <f>Q43/20</f>
        <v>1416185.5</v>
      </c>
      <c r="G43" s="190">
        <f t="shared" ref="G43" si="70">F43/F42-1</f>
        <v>0.36929594581469716</v>
      </c>
      <c r="H43" s="190">
        <f t="shared" ref="H43" si="71">F43/F31-1</f>
        <v>0.16622422928522607</v>
      </c>
      <c r="I43" s="130">
        <f t="shared" si="0"/>
        <v>5.876819977906715</v>
      </c>
      <c r="J43" s="130">
        <f t="shared" si="5"/>
        <v>-9.1864698129775268E-2</v>
      </c>
      <c r="K43" s="136">
        <f>R41+R42+R43</f>
        <v>104776080854</v>
      </c>
      <c r="L43" s="190">
        <f>U43/U40-1</f>
        <v>0.6624541332287972</v>
      </c>
      <c r="M43" s="190">
        <f>K43/K31-1</f>
        <v>7.372738105177068E-2</v>
      </c>
      <c r="N43" s="191">
        <f>AVERAGE(T41:T43)</f>
        <v>6.0057969057995395</v>
      </c>
      <c r="O43" s="192">
        <f>N43/N40-1</f>
        <v>2.8586748962697861E-3</v>
      </c>
      <c r="P43" s="129" t="s">
        <v>835</v>
      </c>
      <c r="Q43" s="116">
        <v>28323710</v>
      </c>
      <c r="R43" s="116">
        <v>41121805276</v>
      </c>
      <c r="S43" s="116">
        <v>4819564</v>
      </c>
      <c r="T43" s="130">
        <f t="shared" ref="T43" si="72">Q43/S43</f>
        <v>5.876819977906715</v>
      </c>
      <c r="U43" s="85">
        <f>Q41+Q42+Q43</f>
        <v>72056077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1405339.5454545454</v>
      </c>
      <c r="G44" s="190">
        <f t="shared" ref="G44" si="73">F44/F43-1</f>
        <v>-7.658569124916581E-3</v>
      </c>
      <c r="H44" s="190">
        <f t="shared" ref="H44" si="74">F44/F32-1</f>
        <v>0.51119779995241199</v>
      </c>
      <c r="I44" s="130">
        <f t="shared" si="0"/>
        <v>6.3666799351006782</v>
      </c>
      <c r="J44" s="130">
        <f t="shared" si="5"/>
        <v>1.8452134990478486E-2</v>
      </c>
      <c r="K44" s="136"/>
      <c r="L44" s="190"/>
      <c r="M44" s="190"/>
      <c r="N44" s="191"/>
      <c r="O44" s="192"/>
      <c r="P44" s="129" t="s">
        <v>843</v>
      </c>
      <c r="Q44" s="116">
        <v>30917470</v>
      </c>
      <c r="R44" s="116">
        <v>44703013259</v>
      </c>
      <c r="S44" s="116">
        <v>4856137</v>
      </c>
      <c r="T44" s="130">
        <f t="shared" ref="T44" si="75">Q44/S44</f>
        <v>6.3666799351006782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1150843</v>
      </c>
      <c r="G45" s="190">
        <f t="shared" ref="G45" si="76">F45/F44-1</f>
        <v>-0.18109256675918173</v>
      </c>
      <c r="H45" s="190">
        <f t="shared" ref="H45" si="77">F45/F33-1</f>
        <v>0.16454930164250303</v>
      </c>
      <c r="I45" s="130">
        <f t="shared" si="0"/>
        <v>6.2092037161030236</v>
      </c>
      <c r="J45" s="130">
        <f t="shared" si="5"/>
        <v>5.9212939919373042E-3</v>
      </c>
      <c r="K45" s="136"/>
      <c r="L45" s="190"/>
      <c r="M45" s="190"/>
      <c r="N45" s="191"/>
      <c r="O45" s="192"/>
      <c r="P45" s="129" t="s">
        <v>853</v>
      </c>
      <c r="Q45" s="116">
        <v>23016860</v>
      </c>
      <c r="R45" s="116">
        <v>32271508750</v>
      </c>
      <c r="S45" s="116">
        <v>3706894</v>
      </c>
      <c r="T45" s="130">
        <f t="shared" ref="T45" si="78">Q45/S45</f>
        <v>6.2092037161030236</v>
      </c>
      <c r="U45" s="85"/>
    </row>
    <row r="46" spans="1:21" s="79" customFormat="1" ht="13.2">
      <c r="A46" s="129" t="s">
        <v>893</v>
      </c>
      <c r="B46" s="188">
        <f>SUM(F44:F46)</f>
        <v>3467149.124401914</v>
      </c>
      <c r="C46" s="188">
        <f>AVERAGE(F44:F46)</f>
        <v>1155716.3748006381</v>
      </c>
      <c r="D46" s="190">
        <f>C46/C43-1</f>
        <v>-7.0680056420239779E-2</v>
      </c>
      <c r="E46" s="287">
        <f>C46/C34-1</f>
        <v>0.16536094874370733</v>
      </c>
      <c r="F46" s="136">
        <f>Q46/19</f>
        <v>910966.57894736843</v>
      </c>
      <c r="G46" s="190">
        <f t="shared" ref="G46" si="79">F46/F45-1</f>
        <v>-0.20843540000906424</v>
      </c>
      <c r="H46" s="190">
        <f t="shared" ref="H46" si="80">F46/F34-1</f>
        <v>-0.13815083974245845</v>
      </c>
      <c r="I46" s="130">
        <f t="shared" si="0"/>
        <v>6.4062916392772751</v>
      </c>
      <c r="J46" s="130">
        <f t="shared" si="5"/>
        <v>-1.3904121834063754E-2</v>
      </c>
      <c r="K46" s="136">
        <f>R44+R45+R46</f>
        <v>100626698218</v>
      </c>
      <c r="L46" s="190">
        <f>U46/U43-1</f>
        <v>-1.1288180454231522E-2</v>
      </c>
      <c r="M46" s="190">
        <f>K46/K34-1</f>
        <v>0.21682169757450498</v>
      </c>
      <c r="N46" s="191">
        <f>AVERAGE(T44:T46)</f>
        <v>6.3273917634936589</v>
      </c>
      <c r="O46" s="192">
        <f>N46/N43-1</f>
        <v>5.3547408068955749E-2</v>
      </c>
      <c r="P46" s="129" t="s">
        <v>928</v>
      </c>
      <c r="Q46" s="116">
        <v>17308365</v>
      </c>
      <c r="R46" s="116">
        <v>23652176209</v>
      </c>
      <c r="S46" s="116">
        <v>2701776</v>
      </c>
      <c r="T46" s="130">
        <f t="shared" ref="T46" si="81">Q46/S46</f>
        <v>6.4062916392772751</v>
      </c>
      <c r="U46" s="85">
        <f t="shared" ref="U46:U51" si="82">Q44+Q45+Q46</f>
        <v>71242695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1152895.8695652173</v>
      </c>
      <c r="G47" s="190">
        <f t="shared" ref="G47" si="83">F47/F46-1</f>
        <v>0.26557427704691516</v>
      </c>
      <c r="H47" s="190">
        <f t="shared" ref="H47" si="84">F47/F35-1</f>
        <v>0.11715567935532367</v>
      </c>
      <c r="I47" s="130">
        <f t="shared" si="0"/>
        <v>6.5823850498173107</v>
      </c>
      <c r="J47" s="130">
        <f t="shared" si="5"/>
        <v>2.2464397692985916E-2</v>
      </c>
      <c r="K47" s="136"/>
      <c r="L47" s="190"/>
      <c r="M47" s="190"/>
      <c r="N47" s="191"/>
      <c r="O47" s="192"/>
      <c r="P47" s="129" t="s">
        <v>991</v>
      </c>
      <c r="Q47" s="116">
        <v>26516605</v>
      </c>
      <c r="R47" s="116">
        <v>36366792445</v>
      </c>
      <c r="S47" s="116">
        <v>4028419</v>
      </c>
      <c r="T47" s="130">
        <f t="shared" ref="T47" si="85">Q47/S47</f>
        <v>6.5823850498173107</v>
      </c>
      <c r="U47" s="85">
        <f t="shared" si="82"/>
        <v>66841830</v>
      </c>
    </row>
    <row r="48" spans="1:21" s="79" customFormat="1" ht="13.2">
      <c r="A48" s="129" t="s">
        <v>1085</v>
      </c>
      <c r="B48" s="188"/>
      <c r="C48" s="188"/>
      <c r="D48" s="190"/>
      <c r="E48" s="287"/>
      <c r="F48" s="136">
        <f>Q48/20</f>
        <v>1467943.05</v>
      </c>
      <c r="G48" s="190">
        <f t="shared" ref="G48" si="86">F48/F47-1</f>
        <v>0.27326594599874321</v>
      </c>
      <c r="H48" s="190">
        <f t="shared" ref="H48" si="87">F48/F36-1</f>
        <v>0.59008653123618915</v>
      </c>
      <c r="I48" s="130">
        <f t="shared" si="0"/>
        <v>6.3728212506235229</v>
      </c>
      <c r="J48" s="130">
        <f t="shared" si="5"/>
        <v>2.576571984230891E-2</v>
      </c>
      <c r="K48" s="136"/>
      <c r="L48" s="190"/>
      <c r="M48" s="190"/>
      <c r="N48" s="191"/>
      <c r="O48" s="192"/>
      <c r="P48" s="129" t="s">
        <v>1120</v>
      </c>
      <c r="Q48" s="116">
        <v>29358861</v>
      </c>
      <c r="R48" s="116">
        <v>40777158120</v>
      </c>
      <c r="S48" s="116">
        <v>4606886</v>
      </c>
      <c r="T48" s="130">
        <f t="shared" ref="T48" si="88">Q48/S48</f>
        <v>6.3728212506235229</v>
      </c>
      <c r="U48" s="85">
        <f t="shared" si="82"/>
        <v>73183831</v>
      </c>
    </row>
    <row r="49" spans="1:26" ht="13.2">
      <c r="A49" s="129" t="s">
        <v>1207</v>
      </c>
      <c r="B49" s="188">
        <f>SUM(F47:F49)</f>
        <v>3802593.465019763</v>
      </c>
      <c r="C49" s="188">
        <f>AVERAGE(F47:F49)</f>
        <v>1267531.1550065877</v>
      </c>
      <c r="D49" s="190">
        <f>C49/C46-1</f>
        <v>9.6749325910725936E-2</v>
      </c>
      <c r="E49" s="287">
        <f>C49/C37-1</f>
        <v>0.28817559533854964</v>
      </c>
      <c r="F49" s="136">
        <f>Q49/22</f>
        <v>1181754.5454545454</v>
      </c>
      <c r="G49" s="190">
        <f t="shared" ref="G49" si="89">F49/F48-1</f>
        <v>-0.19495886066251322</v>
      </c>
      <c r="H49" s="190">
        <f t="shared" ref="H49" si="90">F49/F37-1</f>
        <v>0.18561351985943464</v>
      </c>
      <c r="I49" s="130">
        <f t="shared" si="0"/>
        <v>6.4234121273139424</v>
      </c>
      <c r="J49" s="130">
        <f t="shared" si="5"/>
        <v>7.9842591173889588E-2</v>
      </c>
      <c r="K49" s="136">
        <f>R47+R48+R49</f>
        <v>113253857331</v>
      </c>
      <c r="L49" s="190">
        <f>U49/U46-1</f>
        <v>0.14922752430968544</v>
      </c>
      <c r="M49" s="190">
        <f>K49/K37-1</f>
        <v>0.36192489089304591</v>
      </c>
      <c r="N49" s="191">
        <f>AVERAGE(T47:T49)</f>
        <v>6.4595394759182589</v>
      </c>
      <c r="O49" s="192">
        <f>N49/N46-1</f>
        <v>2.088502140598214E-2</v>
      </c>
      <c r="P49" s="129" t="s">
        <v>1158</v>
      </c>
      <c r="Q49" s="116">
        <v>25998600</v>
      </c>
      <c r="R49" s="116">
        <v>36109906766</v>
      </c>
      <c r="S49" s="116">
        <v>4047475</v>
      </c>
      <c r="T49" s="130">
        <f t="shared" ref="T49" si="91">Q49/S49</f>
        <v>6.4234121273139424</v>
      </c>
      <c r="U49" s="85">
        <f t="shared" si="82"/>
        <v>81874066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1360387.2777777778</v>
      </c>
      <c r="G50" s="190">
        <f t="shared" ref="G50" si="92">F50/F49-1</f>
        <v>0.15115891283034899</v>
      </c>
      <c r="H50" s="190">
        <f t="shared" ref="H50" si="93">F50/F38-1</f>
        <v>1.0615197209342022</v>
      </c>
      <c r="I50" s="130">
        <f t="shared" ref="I50" si="94">T50</f>
        <v>6.3152059259381526</v>
      </c>
      <c r="J50" s="130">
        <f t="shared" ref="J50" si="95">I50/I38-1</f>
        <v>1.1255433197314924E-2</v>
      </c>
      <c r="K50" s="136"/>
      <c r="L50" s="190"/>
      <c r="M50" s="190"/>
      <c r="N50" s="191"/>
      <c r="O50" s="192"/>
      <c r="P50" s="129" t="s">
        <v>1291</v>
      </c>
      <c r="Q50" s="116">
        <v>24486971</v>
      </c>
      <c r="R50" s="116">
        <v>34803766787</v>
      </c>
      <c r="S50" s="116">
        <v>3877462</v>
      </c>
      <c r="T50" s="130">
        <f t="shared" ref="T50" si="96">Q50/S50</f>
        <v>6.3152059259381526</v>
      </c>
      <c r="U50" s="85">
        <f t="shared" si="82"/>
        <v>79844432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1100033.1499999999</v>
      </c>
      <c r="G51" s="190">
        <f t="shared" ref="G51:G52" si="97">F51/F50-1</f>
        <v>-0.19138236003138165</v>
      </c>
      <c r="H51" s="190">
        <f t="shared" ref="H51:H52" si="98">F51/F39-1</f>
        <v>0.94800403907730102</v>
      </c>
      <c r="I51" s="130">
        <f t="shared" ref="I51:I52" si="99">T51</f>
        <v>6.5045898846623142</v>
      </c>
      <c r="J51" s="130">
        <f t="shared" ref="J51:J52" si="100">I51/I39-1</f>
        <v>0.10059009591176959</v>
      </c>
      <c r="K51" s="136"/>
      <c r="L51" s="190"/>
      <c r="M51" s="190"/>
      <c r="N51" s="191"/>
      <c r="O51" s="192"/>
      <c r="P51" s="129" t="s">
        <v>1402</v>
      </c>
      <c r="Q51" s="116">
        <v>22000663</v>
      </c>
      <c r="R51" s="116">
        <v>32052521678</v>
      </c>
      <c r="S51" s="116">
        <v>3382329</v>
      </c>
      <c r="T51" s="130">
        <f t="shared" ref="T51:T52" si="101">Q51/S51</f>
        <v>6.5045898846623142</v>
      </c>
      <c r="U51" s="85">
        <f t="shared" si="82"/>
        <v>72486234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3198574.8368686866</v>
      </c>
      <c r="C52" s="188">
        <f>AVERAGE(F50:F52)</f>
        <v>1066191.6122895621</v>
      </c>
      <c r="D52" s="190">
        <f>C52/C49-1</f>
        <v>-0.15884386109308624</v>
      </c>
      <c r="E52" s="287">
        <f>C52/C40-1</f>
        <v>0.52648525335384555</v>
      </c>
      <c r="F52" s="136">
        <f>Q52/22</f>
        <v>738154.40909090906</v>
      </c>
      <c r="G52" s="190">
        <f t="shared" si="97"/>
        <v>-0.32897075957128286</v>
      </c>
      <c r="H52" s="190">
        <f t="shared" si="98"/>
        <v>-0.15231875603020306</v>
      </c>
      <c r="I52" s="130">
        <f t="shared" si="99"/>
        <v>6.4146113999461214</v>
      </c>
      <c r="J52" s="130">
        <f t="shared" si="100"/>
        <v>0.10386976229068257</v>
      </c>
      <c r="K52" s="136">
        <f>R50+R51+R52</f>
        <v>90771572873</v>
      </c>
      <c r="L52" s="190">
        <f>U52/U49-1</f>
        <v>-0.23385958381497751</v>
      </c>
      <c r="M52" s="190">
        <f>K52/K40-1</f>
        <v>0.50375671719699877</v>
      </c>
      <c r="N52" s="191">
        <f>AVERAGE(T50:T52)</f>
        <v>6.4114690701821964</v>
      </c>
      <c r="O52" s="192">
        <f>N52/N49-1</f>
        <v>-7.4417697910622582E-3</v>
      </c>
      <c r="P52" s="129" t="s">
        <v>1403</v>
      </c>
      <c r="Q52" s="116">
        <v>16239397</v>
      </c>
      <c r="R52" s="116">
        <v>23915284408</v>
      </c>
      <c r="S52" s="116">
        <v>2531626</v>
      </c>
      <c r="T52" s="130">
        <f t="shared" si="101"/>
        <v>6.4146113999461214</v>
      </c>
      <c r="U52" s="85">
        <f t="shared" ref="U52" si="102">Q50+Q51+Q52</f>
        <v>62727031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1414100.0952380951</v>
      </c>
      <c r="G53" s="190">
        <f t="shared" ref="G53" si="103">F53/F52-1</f>
        <v>0.91572397024582219</v>
      </c>
      <c r="H53" s="190">
        <f t="shared" ref="H53" si="104">F53/F41-1</f>
        <v>0.10440638385557</v>
      </c>
      <c r="I53" s="130">
        <f t="shared" ref="I53" si="105">T53</f>
        <v>6.8607921951363764</v>
      </c>
      <c r="J53" s="130">
        <f t="shared" ref="J53" si="106">I53/I41-1</f>
        <v>0.14937452401081064</v>
      </c>
      <c r="K53" s="136"/>
      <c r="L53" s="190"/>
      <c r="M53" s="190"/>
      <c r="N53" s="191"/>
      <c r="O53" s="192"/>
      <c r="P53" s="129" t="s">
        <v>1414</v>
      </c>
      <c r="Q53" s="116">
        <v>29696102</v>
      </c>
      <c r="R53" s="116">
        <v>43365196385</v>
      </c>
      <c r="S53" s="116">
        <v>4328378</v>
      </c>
      <c r="T53" s="130">
        <f t="shared" ref="T53" si="107">Q53/S53</f>
        <v>6.8607921951363764</v>
      </c>
      <c r="U53" s="85">
        <f t="shared" ref="U53" si="108">Q51+Q52+Q53</f>
        <v>67936162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1546922.1176470588</v>
      </c>
      <c r="G54" s="190">
        <f t="shared" ref="G54" si="109">F54/F53-1</f>
        <v>9.3926888808108178E-2</v>
      </c>
      <c r="H54" s="190">
        <f t="shared" ref="H54" si="110">F54/F42-1</f>
        <v>0.49570390615156246</v>
      </c>
      <c r="I54" s="130">
        <f t="shared" ref="I54" si="111">T54</f>
        <v>6.6954629265170382</v>
      </c>
      <c r="J54" s="130">
        <f t="shared" ref="J54" si="112">I54/I42-1</f>
        <v>8.4914848902302165E-2</v>
      </c>
      <c r="K54" s="136"/>
      <c r="L54" s="190"/>
      <c r="M54" s="190"/>
      <c r="N54" s="191"/>
      <c r="O54" s="192"/>
      <c r="P54" s="129" t="s">
        <v>1417</v>
      </c>
      <c r="Q54" s="116">
        <v>26297676</v>
      </c>
      <c r="R54" s="116">
        <v>38099835887</v>
      </c>
      <c r="S54" s="116">
        <v>3927686</v>
      </c>
      <c r="T54" s="130">
        <f t="shared" ref="T54" si="113">Q54/S54</f>
        <v>6.6954629265170382</v>
      </c>
      <c r="U54" s="85">
        <f t="shared" ref="U54" si="114">Q52+Q53+Q54</f>
        <v>72233175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4108043.1176470588</v>
      </c>
      <c r="C55" s="188">
        <f>AVERAGE(F53:F55)</f>
        <v>1369347.705882353</v>
      </c>
      <c r="D55" s="190">
        <f>C55/C52-1</f>
        <v>0.2843354703773997</v>
      </c>
      <c r="E55" s="287">
        <f>C55/C43-1</f>
        <v>0.10110245084238811</v>
      </c>
      <c r="F55" s="136">
        <f>Q55/21</f>
        <v>1147020.9047619049</v>
      </c>
      <c r="G55" s="190">
        <f t="shared" ref="G55" si="115">F55/F54-1</f>
        <v>-0.25851412189608003</v>
      </c>
      <c r="H55" s="190">
        <f t="shared" ref="H55" si="116">F55/F43-1</f>
        <v>-0.19006309218537765</v>
      </c>
      <c r="I55" s="130">
        <f>T55</f>
        <v>6.875167758799523</v>
      </c>
      <c r="J55" s="130">
        <f t="shared" ref="J55" si="117">I55/I43-1</f>
        <v>0.16987891149396983</v>
      </c>
      <c r="K55" s="136">
        <f>R53+R54+R55</f>
        <v>117109884299</v>
      </c>
      <c r="L55" s="190">
        <f>U55/U52-1</f>
        <v>0.27666200238299177</v>
      </c>
      <c r="M55" s="190">
        <f>K55/K43-1</f>
        <v>0.1177158311751183</v>
      </c>
      <c r="N55" s="191">
        <f>AVERAGE(T53:T55)</f>
        <v>6.8104742934843125</v>
      </c>
      <c r="O55" s="192">
        <f>N55/N52-1</f>
        <v>6.2233041902638009E-2</v>
      </c>
      <c r="P55" s="129" t="s">
        <v>1418</v>
      </c>
      <c r="Q55" s="116">
        <v>24087439</v>
      </c>
      <c r="R55" s="116">
        <v>35644852027</v>
      </c>
      <c r="S55" s="116">
        <v>3503542</v>
      </c>
      <c r="T55" s="130">
        <f t="shared" ref="T55" si="118">Q55/S55</f>
        <v>6.875167758799523</v>
      </c>
      <c r="U55" s="85">
        <f t="shared" ref="U55" si="119">Q53+Q54+Q55</f>
        <v>80081217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1053617.5454545454</v>
      </c>
      <c r="G56" s="190">
        <f t="shared" ref="G56" si="120">F56/F55-1</f>
        <v>-8.1431261557301626E-2</v>
      </c>
      <c r="H56" s="190">
        <f t="shared" ref="H56" si="121">F56/F44-1</f>
        <v>-0.25027545914979465</v>
      </c>
      <c r="I56" s="291">
        <f>T56</f>
        <v>6.6601938846375202</v>
      </c>
      <c r="J56" s="130">
        <f t="shared" ref="J56" si="122">I56/I44-1</f>
        <v>4.6101571388667661E-2</v>
      </c>
      <c r="K56" s="136"/>
      <c r="L56" s="190"/>
      <c r="M56" s="190"/>
      <c r="N56" s="191"/>
      <c r="O56" s="192"/>
      <c r="P56" s="129" t="s">
        <v>1420</v>
      </c>
      <c r="Q56" s="116">
        <v>23179586</v>
      </c>
      <c r="R56" s="116">
        <v>34529907120</v>
      </c>
      <c r="S56" s="116">
        <v>3480317</v>
      </c>
      <c r="T56" s="130">
        <f t="shared" ref="T56" si="123">Q56/S56</f>
        <v>6.6601938846375202</v>
      </c>
      <c r="U56" s="85">
        <f t="shared" ref="U56" si="124">Q54+Q55+Q56</f>
        <v>73564701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591588.91666666663</v>
      </c>
      <c r="G57" s="254">
        <f t="shared" ref="G57" si="125">F57/F56-1</f>
        <v>-0.43851645293981234</v>
      </c>
      <c r="H57" s="254">
        <f t="shared" ref="H57" si="126">F57/F45-1</f>
        <v>-0.48595167484472979</v>
      </c>
      <c r="I57" s="282">
        <f>T57</f>
        <v>6.9555598883828846</v>
      </c>
      <c r="J57" s="277">
        <f t="shared" ref="J57" si="127">I57/I45-1</f>
        <v>0.12020159208889414</v>
      </c>
      <c r="K57" s="204"/>
      <c r="L57" s="254"/>
      <c r="M57" s="254"/>
      <c r="N57" s="257"/>
      <c r="O57" s="258"/>
      <c r="P57" s="129" t="s">
        <v>1436</v>
      </c>
      <c r="Q57" s="116">
        <v>7099067</v>
      </c>
      <c r="R57" s="116">
        <v>10490534540</v>
      </c>
      <c r="S57" s="116">
        <v>1020632</v>
      </c>
      <c r="T57" s="130">
        <f t="shared" ref="T57" si="128">Q57/S57</f>
        <v>6.9555598883828846</v>
      </c>
      <c r="U57" s="85">
        <f t="shared" ref="U57" si="129">Q55+Q56+Q57</f>
        <v>54366092</v>
      </c>
      <c r="V57" s="79"/>
      <c r="W57" s="79"/>
      <c r="X57" s="79"/>
      <c r="Y57" s="79"/>
      <c r="Z57" s="79"/>
    </row>
    <row r="58" spans="1:26">
      <c r="B58" s="196">
        <f>SUM(F56:F58)</f>
        <v>1645206.4621212119</v>
      </c>
      <c r="C58" s="196">
        <f>AVERAGE(F56:F58)</f>
        <v>822603.23106060596</v>
      </c>
      <c r="D58" s="197">
        <f>C58/C55-1</f>
        <v>-0.39927366327272351</v>
      </c>
      <c r="E58" s="233">
        <f>C58/C46-1</f>
        <v>-0.28823087653966517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110359870</v>
      </c>
      <c r="R66" s="212">
        <v>162130325959</v>
      </c>
      <c r="S66" s="213">
        <v>16260555</v>
      </c>
      <c r="T66" s="214">
        <v>10</v>
      </c>
      <c r="U66" s="214">
        <v>72</v>
      </c>
    </row>
    <row r="67" spans="16:21" ht="18" thickBot="1">
      <c r="P67" s="180" t="s">
        <v>976</v>
      </c>
      <c r="Q67" s="181">
        <v>29696102</v>
      </c>
      <c r="R67" s="181">
        <v>43365196385</v>
      </c>
      <c r="S67" s="182">
        <v>4328378</v>
      </c>
      <c r="T67" s="210">
        <v>7</v>
      </c>
      <c r="U67" s="210">
        <v>41</v>
      </c>
    </row>
    <row r="68" spans="16:21" ht="18" thickBot="1">
      <c r="P68" s="180" t="s">
        <v>977</v>
      </c>
      <c r="Q68" s="181">
        <v>26297676</v>
      </c>
      <c r="R68" s="181">
        <v>38099835887</v>
      </c>
      <c r="S68" s="182">
        <v>3927686</v>
      </c>
      <c r="T68" s="210">
        <v>6</v>
      </c>
      <c r="U68" s="210">
        <v>32</v>
      </c>
    </row>
    <row r="69" spans="16:21" ht="18" thickBot="1">
      <c r="P69" s="180" t="s">
        <v>978</v>
      </c>
      <c r="Q69" s="181">
        <v>24087439</v>
      </c>
      <c r="R69" s="181">
        <v>35644852027</v>
      </c>
      <c r="S69" s="182">
        <v>3503542</v>
      </c>
      <c r="T69" s="210">
        <v>5</v>
      </c>
      <c r="U69" s="210">
        <v>37</v>
      </c>
    </row>
    <row r="70" spans="16:21" ht="18" thickBot="1">
      <c r="P70" s="180" t="s">
        <v>979</v>
      </c>
      <c r="Q70" s="181">
        <v>23179586</v>
      </c>
      <c r="R70" s="181">
        <v>34529907120</v>
      </c>
      <c r="S70" s="182">
        <v>3480317</v>
      </c>
      <c r="T70" s="210">
        <v>5</v>
      </c>
      <c r="U70" s="210">
        <v>33</v>
      </c>
    </row>
    <row r="71" spans="16:21" ht="18" thickBot="1">
      <c r="P71" s="180" t="s">
        <v>980</v>
      </c>
      <c r="Q71" s="181">
        <v>7099067</v>
      </c>
      <c r="R71" s="181">
        <v>10490534540</v>
      </c>
      <c r="S71" s="182">
        <v>1020632</v>
      </c>
      <c r="T71" s="210" t="s">
        <v>1421</v>
      </c>
      <c r="U71" s="210">
        <v>17</v>
      </c>
    </row>
    <row r="72" spans="16:21" ht="18" thickBot="1">
      <c r="P72" s="215" t="s">
        <v>975</v>
      </c>
      <c r="Q72" s="217">
        <v>2</v>
      </c>
      <c r="R72"/>
      <c r="S72"/>
      <c r="T72"/>
      <c r="U72"/>
    </row>
    <row r="73" spans="16:21" ht="18" thickBot="1">
      <c r="P73" s="215" t="s">
        <v>982</v>
      </c>
      <c r="Q73" s="217" t="s">
        <v>1451</v>
      </c>
      <c r="R73"/>
      <c r="S73"/>
      <c r="T73"/>
      <c r="U73"/>
    </row>
  </sheetData>
  <phoneticPr fontId="1" type="noConversion"/>
  <conditionalFormatting sqref="C29:C30">
    <cfRule type="cellIs" dxfId="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Z74"/>
  <sheetViews>
    <sheetView zoomScale="90" zoomScaleNormal="90" workbookViewId="0">
      <selection activeCell="Q67" sqref="Q67:S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846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3113113.85</v>
      </c>
      <c r="G5" s="90"/>
      <c r="H5" s="90"/>
      <c r="I5" s="130">
        <f t="shared" ref="I5:I49" si="0">T5</f>
        <v>43540053.846153848</v>
      </c>
      <c r="J5" s="130"/>
      <c r="L5" s="80"/>
      <c r="M5" s="80"/>
      <c r="P5" s="129" t="s">
        <v>0</v>
      </c>
      <c r="Q5" s="116">
        <v>62262277</v>
      </c>
      <c r="R5" s="116">
        <v>73454439659</v>
      </c>
      <c r="S5" s="116">
        <v>1.43</v>
      </c>
      <c r="T5" s="130">
        <f t="shared" ref="T5:T31" si="1">Q5/S5</f>
        <v>43540053.846153848</v>
      </c>
      <c r="U5" s="85"/>
    </row>
    <row r="6" spans="1:21" ht="15" hidden="1" customHeight="1">
      <c r="A6" s="129" t="s">
        <v>1</v>
      </c>
      <c r="C6" s="79"/>
      <c r="F6" s="78">
        <f>Q6/18</f>
        <v>1652092.7222222222</v>
      </c>
      <c r="G6" s="90">
        <f t="shared" ref="G6:G31" si="2">F6/F5-1</f>
        <v>-0.46931182031064422</v>
      </c>
      <c r="H6" s="90"/>
      <c r="I6" s="130">
        <f t="shared" si="0"/>
        <v>4.8394261884904086</v>
      </c>
      <c r="J6" s="130"/>
      <c r="P6" s="129" t="s">
        <v>1</v>
      </c>
      <c r="Q6" s="116">
        <v>29737669</v>
      </c>
      <c r="R6" s="116">
        <v>35304161927</v>
      </c>
      <c r="S6" s="116">
        <v>6144875</v>
      </c>
      <c r="T6" s="130">
        <f t="shared" si="1"/>
        <v>4.8394261884904086</v>
      </c>
      <c r="U6" s="85"/>
    </row>
    <row r="7" spans="1:21" ht="15" hidden="1" customHeight="1">
      <c r="A7" s="129" t="s">
        <v>2</v>
      </c>
      <c r="B7" s="131">
        <f>F5+F6+F7</f>
        <v>7326670.844949495</v>
      </c>
      <c r="C7" s="131">
        <f>AVERAGE(F5:F7)</f>
        <v>2442223.6149831652</v>
      </c>
      <c r="F7" s="78">
        <f>Q7/22</f>
        <v>2561464.2727272729</v>
      </c>
      <c r="G7" s="90">
        <f t="shared" si="2"/>
        <v>0.55043614578839084</v>
      </c>
      <c r="H7" s="90"/>
      <c r="I7" s="130">
        <f t="shared" si="0"/>
        <v>44371822.047244094</v>
      </c>
      <c r="J7" s="130"/>
      <c r="K7" s="79">
        <f>R5+R6+R7</f>
        <v>176577748661</v>
      </c>
      <c r="N7" s="88">
        <f>AVERAGE(T5:T7)</f>
        <v>29303960.244274709</v>
      </c>
      <c r="P7" s="129" t="s">
        <v>2</v>
      </c>
      <c r="Q7" s="116">
        <v>56352214</v>
      </c>
      <c r="R7" s="116">
        <v>67819147075</v>
      </c>
      <c r="S7" s="116">
        <v>1.27</v>
      </c>
      <c r="T7" s="130">
        <f t="shared" si="1"/>
        <v>44371822.047244094</v>
      </c>
      <c r="U7" s="85">
        <f>Q5+Q6+Q7</f>
        <v>148352160</v>
      </c>
    </row>
    <row r="8" spans="1:21" ht="15" hidden="1" customHeight="1">
      <c r="A8" s="129" t="s">
        <v>3</v>
      </c>
      <c r="C8" s="79"/>
      <c r="F8" s="78">
        <f>Q8/21</f>
        <v>1687391.142857143</v>
      </c>
      <c r="G8" s="90">
        <f t="shared" si="2"/>
        <v>-0.34123963358640808</v>
      </c>
      <c r="H8" s="90"/>
      <c r="I8" s="130">
        <f t="shared" si="0"/>
        <v>4.457625203978993</v>
      </c>
      <c r="J8" s="130"/>
      <c r="K8" s="78"/>
      <c r="P8" s="129" t="s">
        <v>3</v>
      </c>
      <c r="Q8" s="116">
        <v>35435214</v>
      </c>
      <c r="R8" s="116">
        <v>43085176370</v>
      </c>
      <c r="S8" s="116">
        <v>7949348</v>
      </c>
      <c r="T8" s="130">
        <f t="shared" si="1"/>
        <v>4.457625203978993</v>
      </c>
      <c r="U8" s="85"/>
    </row>
    <row r="9" spans="1:21" ht="15" hidden="1" customHeight="1">
      <c r="A9" s="129" t="s">
        <v>4</v>
      </c>
      <c r="C9" s="79"/>
      <c r="F9" s="78">
        <f>Q9/21</f>
        <v>1554746.7142857143</v>
      </c>
      <c r="G9" s="90">
        <f t="shared" si="2"/>
        <v>-7.8609176735887631E-2</v>
      </c>
      <c r="H9" s="90"/>
      <c r="I9" s="130">
        <f t="shared" si="0"/>
        <v>4.5299183566155836</v>
      </c>
      <c r="J9" s="130"/>
      <c r="K9" s="78"/>
      <c r="P9" s="129" t="s">
        <v>4</v>
      </c>
      <c r="Q9" s="116">
        <v>32649681</v>
      </c>
      <c r="R9" s="116">
        <v>41163050160</v>
      </c>
      <c r="S9" s="116">
        <v>7207565</v>
      </c>
      <c r="T9" s="130">
        <f t="shared" si="1"/>
        <v>4.5299183566155836</v>
      </c>
      <c r="U9" s="85"/>
    </row>
    <row r="10" spans="1:21" ht="15" hidden="1" customHeight="1">
      <c r="A10" s="129" t="s">
        <v>5</v>
      </c>
      <c r="B10" s="131">
        <f>F8+F9+F10</f>
        <v>5199202.8571428573</v>
      </c>
      <c r="C10" s="131">
        <f>AVERAGE(F8:F10)</f>
        <v>1733067.6190476192</v>
      </c>
      <c r="D10" s="90">
        <f>C10/C7-1</f>
        <v>-0.29037308114819549</v>
      </c>
      <c r="E10" s="286"/>
      <c r="F10" s="78">
        <f>Q10/21</f>
        <v>1957065</v>
      </c>
      <c r="G10" s="90">
        <f t="shared" si="2"/>
        <v>0.25876773497419459</v>
      </c>
      <c r="H10" s="90"/>
      <c r="I10" s="130">
        <f t="shared" si="0"/>
        <v>4.461823994559615</v>
      </c>
      <c r="J10" s="130"/>
      <c r="K10" s="79">
        <f>R8+R9+R10</f>
        <v>136104048709</v>
      </c>
      <c r="L10" s="87">
        <f>U10/U7-1</f>
        <v>-0.26402648940197437</v>
      </c>
      <c r="N10" s="88">
        <f>AVERAGE(T8:T10)</f>
        <v>4.4831225183847314</v>
      </c>
      <c r="O10" s="89">
        <f>N10/N7-1</f>
        <v>-0.99999984701308353</v>
      </c>
      <c r="P10" s="129" t="s">
        <v>5</v>
      </c>
      <c r="Q10" s="116">
        <v>41098365</v>
      </c>
      <c r="R10" s="116">
        <v>51855822179</v>
      </c>
      <c r="S10" s="116">
        <v>9211113</v>
      </c>
      <c r="T10" s="130">
        <f t="shared" si="1"/>
        <v>4.461823994559615</v>
      </c>
      <c r="U10" s="85">
        <f>Q8+Q9+Q10</f>
        <v>109183260</v>
      </c>
    </row>
    <row r="11" spans="1:21" ht="15" hidden="1" customHeight="1">
      <c r="A11" s="129" t="s">
        <v>6</v>
      </c>
      <c r="C11" s="79"/>
      <c r="F11" s="78">
        <f>Q11/21</f>
        <v>1953582.5238095238</v>
      </c>
      <c r="G11" s="90">
        <f t="shared" si="2"/>
        <v>-1.7794381844630225E-3</v>
      </c>
      <c r="H11" s="90"/>
      <c r="I11" s="130">
        <f t="shared" si="0"/>
        <v>4.2554174709385943</v>
      </c>
      <c r="J11" s="130"/>
      <c r="K11" s="78"/>
      <c r="O11" s="89"/>
      <c r="P11" s="129" t="s">
        <v>6</v>
      </c>
      <c r="Q11" s="116">
        <v>41025233</v>
      </c>
      <c r="R11" s="116">
        <v>53125622921</v>
      </c>
      <c r="S11" s="116">
        <v>9640707</v>
      </c>
      <c r="T11" s="130">
        <f t="shared" si="1"/>
        <v>4.2554174709385943</v>
      </c>
      <c r="U11" s="85"/>
    </row>
    <row r="12" spans="1:21" ht="15" hidden="1" customHeight="1">
      <c r="A12" s="129" t="s">
        <v>7</v>
      </c>
      <c r="C12" s="79"/>
      <c r="F12" s="78">
        <f>Q12/22</f>
        <v>2337879</v>
      </c>
      <c r="G12" s="90">
        <f t="shared" si="2"/>
        <v>0.19671371519084357</v>
      </c>
      <c r="H12" s="90"/>
      <c r="I12" s="130">
        <f t="shared" si="0"/>
        <v>41478498.387096778</v>
      </c>
      <c r="J12" s="130"/>
      <c r="K12" s="78"/>
      <c r="O12" s="89"/>
      <c r="P12" s="129" t="s">
        <v>7</v>
      </c>
      <c r="Q12" s="116">
        <v>51433338</v>
      </c>
      <c r="R12" s="116">
        <v>66657716181</v>
      </c>
      <c r="S12" s="116">
        <v>1.24</v>
      </c>
      <c r="T12" s="130">
        <f t="shared" si="1"/>
        <v>41478498.387096778</v>
      </c>
      <c r="U12" s="85"/>
    </row>
    <row r="13" spans="1:21" ht="15" hidden="1" customHeight="1">
      <c r="A13" s="129" t="s">
        <v>35</v>
      </c>
      <c r="B13" s="131">
        <f>F11+F12+F13</f>
        <v>7046311.8738095239</v>
      </c>
      <c r="C13" s="131">
        <f>AVERAGE(F11:F13)</f>
        <v>2348770.6246031746</v>
      </c>
      <c r="D13" s="90">
        <f>C13/C10-1</f>
        <v>0.35526773380827792</v>
      </c>
      <c r="E13" s="286"/>
      <c r="F13" s="78">
        <f>Q13/20</f>
        <v>2754850.35</v>
      </c>
      <c r="G13" s="90">
        <f t="shared" si="2"/>
        <v>0.17835454700606834</v>
      </c>
      <c r="H13" s="90"/>
      <c r="I13" s="130">
        <f t="shared" si="0"/>
        <v>42710858.139534883</v>
      </c>
      <c r="J13" s="130"/>
      <c r="K13" s="78">
        <f>R11+R12+R13</f>
        <v>195395421969</v>
      </c>
      <c r="L13" s="87">
        <f>U13/U10-1</f>
        <v>0.35144872941145011</v>
      </c>
      <c r="N13" s="88">
        <f>AVERAGE(T11:T13)</f>
        <v>28063120.260683045</v>
      </c>
      <c r="O13" s="89">
        <f>N13/N10-1</f>
        <v>6259725.3727680109</v>
      </c>
      <c r="P13" s="129" t="s">
        <v>35</v>
      </c>
      <c r="Q13" s="116">
        <v>55097007</v>
      </c>
      <c r="R13" s="116">
        <v>75612082867</v>
      </c>
      <c r="S13" s="116">
        <v>1.29</v>
      </c>
      <c r="T13" s="130">
        <f t="shared" si="1"/>
        <v>42710858.139534883</v>
      </c>
      <c r="U13" s="85">
        <f>Q11+Q12+Q13</f>
        <v>147555578</v>
      </c>
    </row>
    <row r="14" spans="1:21" ht="15" hidden="1" customHeight="1">
      <c r="A14" s="129" t="s">
        <v>36</v>
      </c>
      <c r="C14" s="79"/>
      <c r="F14" s="78">
        <f>Q14/20</f>
        <v>2205534.2999999998</v>
      </c>
      <c r="G14" s="90">
        <f t="shared" si="2"/>
        <v>-0.19939959715053135</v>
      </c>
      <c r="H14" s="90"/>
      <c r="I14" s="130">
        <f t="shared" si="0"/>
        <v>42825908.737864077</v>
      </c>
      <c r="J14" s="130"/>
      <c r="O14" s="89"/>
      <c r="P14" s="129" t="s">
        <v>36</v>
      </c>
      <c r="Q14" s="116">
        <v>44110686</v>
      </c>
      <c r="R14" s="116">
        <v>62853408227</v>
      </c>
      <c r="S14" s="116">
        <v>1.03</v>
      </c>
      <c r="T14" s="130">
        <f t="shared" si="1"/>
        <v>42825908.737864077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4359020.5</v>
      </c>
      <c r="G15" s="90">
        <f t="shared" si="2"/>
        <v>0.97640113781046178</v>
      </c>
      <c r="H15" s="90"/>
      <c r="I15" s="130">
        <f t="shared" si="0"/>
        <v>43590205</v>
      </c>
      <c r="J15" s="130"/>
      <c r="O15" s="89"/>
      <c r="P15" s="129" t="s">
        <v>37</v>
      </c>
      <c r="Q15" s="116">
        <v>95898451</v>
      </c>
      <c r="R15" s="116">
        <v>131692417416</v>
      </c>
      <c r="S15" s="116">
        <v>2.2000000000000002</v>
      </c>
      <c r="T15" s="130">
        <f t="shared" si="1"/>
        <v>43590205</v>
      </c>
      <c r="U15" s="85"/>
    </row>
    <row r="16" spans="1:21" ht="15" hidden="1" customHeight="1">
      <c r="A16" s="129" t="s">
        <v>38</v>
      </c>
      <c r="B16" s="131">
        <f>F14+F15+F16</f>
        <v>11251084.618181817</v>
      </c>
      <c r="C16" s="131">
        <f>AVERAGE(F14:F16)</f>
        <v>3750361.5393939391</v>
      </c>
      <c r="D16" s="90">
        <f>C16/C13-1</f>
        <v>0.59673384029467047</v>
      </c>
      <c r="E16" s="286"/>
      <c r="F16" s="78">
        <f>Q16/22</f>
        <v>4686529.8181818184</v>
      </c>
      <c r="G16" s="90">
        <f t="shared" si="2"/>
        <v>7.5133695329448136E-2</v>
      </c>
      <c r="H16" s="90"/>
      <c r="I16" s="130">
        <f t="shared" si="0"/>
        <v>45621086.725663722</v>
      </c>
      <c r="J16" s="130"/>
      <c r="K16" s="78">
        <f>R14+R15+R16</f>
        <v>329531720772</v>
      </c>
      <c r="L16" s="87">
        <f>U16/U13-1</f>
        <v>0.64760150917507175</v>
      </c>
      <c r="N16" s="88">
        <f>AVERAGE(T14:T16)</f>
        <v>44012400.154509269</v>
      </c>
      <c r="O16" s="89">
        <f>N16/N13-1</f>
        <v>0.56833594217858452</v>
      </c>
      <c r="P16" s="129" t="s">
        <v>38</v>
      </c>
      <c r="Q16" s="116">
        <v>103103656</v>
      </c>
      <c r="R16" s="116">
        <v>134985895129</v>
      </c>
      <c r="S16" s="116">
        <v>2.2599999999999998</v>
      </c>
      <c r="T16" s="130">
        <f t="shared" si="1"/>
        <v>45621086.725663722</v>
      </c>
      <c r="U16" s="85">
        <f>Q14+Q15+Q16</f>
        <v>243112793</v>
      </c>
    </row>
    <row r="17" spans="1:21" ht="15" hidden="1" customHeight="1">
      <c r="A17" s="129" t="s">
        <v>85</v>
      </c>
      <c r="C17" s="79"/>
      <c r="F17" s="78">
        <f>Q17/20</f>
        <v>5042679.7</v>
      </c>
      <c r="G17" s="90">
        <f t="shared" si="2"/>
        <v>7.5994370170539893E-2</v>
      </c>
      <c r="H17" s="90">
        <f t="shared" ref="H17:H31" si="3">F17/F5-1</f>
        <v>0.61981859417059226</v>
      </c>
      <c r="I17" s="130">
        <f t="shared" si="0"/>
        <v>50175917.412935331</v>
      </c>
      <c r="J17" s="130">
        <f t="shared" ref="J17:J49" si="4">I17/I5-1</f>
        <v>0.15240825356415288</v>
      </c>
      <c r="O17" s="89"/>
      <c r="P17" s="129" t="s">
        <v>85</v>
      </c>
      <c r="Q17" s="116">
        <v>100853594</v>
      </c>
      <c r="R17" s="116">
        <v>125739818067</v>
      </c>
      <c r="S17" s="116">
        <v>2.0099999999999998</v>
      </c>
      <c r="T17" s="130">
        <f t="shared" si="1"/>
        <v>50175917.412935331</v>
      </c>
      <c r="U17" s="78"/>
    </row>
    <row r="18" spans="1:21" hidden="1">
      <c r="A18" s="129" t="s">
        <v>106</v>
      </c>
      <c r="C18" s="79"/>
      <c r="F18" s="78">
        <f>Q18/20</f>
        <v>3714069.8</v>
      </c>
      <c r="G18" s="90">
        <f t="shared" si="2"/>
        <v>-0.26347299036264393</v>
      </c>
      <c r="H18" s="90">
        <f t="shared" si="3"/>
        <v>1.2481000915034732</v>
      </c>
      <c r="I18" s="130">
        <f t="shared" si="0"/>
        <v>48869339.473684207</v>
      </c>
      <c r="J18" s="130">
        <f t="shared" si="4"/>
        <v>10098167.165041963</v>
      </c>
      <c r="O18" s="89"/>
      <c r="P18" s="129" t="s">
        <v>106</v>
      </c>
      <c r="Q18" s="116">
        <v>74281396</v>
      </c>
      <c r="R18" s="116">
        <v>93351411099</v>
      </c>
      <c r="S18" s="116">
        <v>1.52</v>
      </c>
      <c r="T18" s="130">
        <f t="shared" si="1"/>
        <v>48869339.473684207</v>
      </c>
      <c r="U18" s="78"/>
    </row>
    <row r="19" spans="1:21" hidden="1">
      <c r="A19" s="129" t="s">
        <v>114</v>
      </c>
      <c r="B19" s="131">
        <f>SUM(F17:F19)</f>
        <v>12489786.181818182</v>
      </c>
      <c r="C19" s="131">
        <f>AVERAGE(F17:F19)</f>
        <v>4163262.0606060605</v>
      </c>
      <c r="D19" s="90">
        <f>C19/C16-1</f>
        <v>0.11009619122716541</v>
      </c>
      <c r="E19" s="286">
        <f>C19/C7-1</f>
        <v>0.70470141843860556</v>
      </c>
      <c r="F19" s="78">
        <f>Q19/22</f>
        <v>3733036.6818181816</v>
      </c>
      <c r="G19" s="90">
        <f t="shared" si="2"/>
        <v>5.1067650419982513E-3</v>
      </c>
      <c r="H19" s="90">
        <f t="shared" si="3"/>
        <v>0.45738385718083752</v>
      </c>
      <c r="I19" s="130">
        <f t="shared" si="0"/>
        <v>46929604</v>
      </c>
      <c r="J19" s="130">
        <f t="shared" si="4"/>
        <v>5.7644284925522093E-2</v>
      </c>
      <c r="K19" s="78">
        <f>R17+R18+R19</f>
        <v>321387471068</v>
      </c>
      <c r="L19" s="87">
        <f>U19/U16-1</f>
        <v>5.8199339596250788E-2</v>
      </c>
      <c r="M19" s="87">
        <f>U19/U7-1</f>
        <v>0.73412909525550551</v>
      </c>
      <c r="N19" s="88">
        <f>AVERAGE(T17:T19)</f>
        <v>48658286.962206513</v>
      </c>
      <c r="O19" s="89">
        <f>N19/N16-1</f>
        <v>0.10555858783859695</v>
      </c>
      <c r="P19" s="129" t="s">
        <v>115</v>
      </c>
      <c r="Q19" s="116">
        <v>82126807</v>
      </c>
      <c r="R19" s="116">
        <v>102296241902</v>
      </c>
      <c r="S19" s="116">
        <v>1.75</v>
      </c>
      <c r="T19" s="130">
        <f t="shared" si="1"/>
        <v>46929604</v>
      </c>
      <c r="U19" s="85">
        <f>Q17+Q18+Q19</f>
        <v>257261797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3374167.05</v>
      </c>
      <c r="G20" s="90">
        <f t="shared" si="2"/>
        <v>-9.6133433021449388E-2</v>
      </c>
      <c r="H20" s="90">
        <f t="shared" si="3"/>
        <v>0.99963539235292864</v>
      </c>
      <c r="I20" s="130">
        <f t="shared" si="0"/>
        <v>50360702.238805965</v>
      </c>
      <c r="J20" s="130">
        <f t="shared" si="4"/>
        <v>11297651.88339017</v>
      </c>
      <c r="O20" s="89"/>
      <c r="P20" s="129" t="s">
        <v>131</v>
      </c>
      <c r="Q20" s="116">
        <v>67483341</v>
      </c>
      <c r="R20" s="116">
        <v>88294502285</v>
      </c>
      <c r="S20" s="116">
        <v>1.34</v>
      </c>
      <c r="T20" s="130">
        <f t="shared" si="1"/>
        <v>50360702.238805965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2660346.2380952379</v>
      </c>
      <c r="G21" s="90">
        <f t="shared" si="2"/>
        <v>-0.21155467448025789</v>
      </c>
      <c r="H21" s="90">
        <f t="shared" si="3"/>
        <v>0.71111230765164279</v>
      </c>
      <c r="I21" s="130">
        <f t="shared" si="0"/>
        <v>52212402.803738318</v>
      </c>
      <c r="J21" s="130">
        <f t="shared" si="4"/>
        <v>11526123.467008611</v>
      </c>
      <c r="O21" s="89"/>
      <c r="P21" s="129" t="s">
        <v>141</v>
      </c>
      <c r="Q21" s="116">
        <v>55867271</v>
      </c>
      <c r="R21" s="116">
        <v>73384805485</v>
      </c>
      <c r="S21" s="116">
        <v>1.07</v>
      </c>
      <c r="T21" s="130">
        <f t="shared" si="1"/>
        <v>52212402.803738318</v>
      </c>
      <c r="U21" s="78"/>
    </row>
    <row r="22" spans="1:21" hidden="1">
      <c r="A22" s="129" t="s">
        <v>155</v>
      </c>
      <c r="B22" s="131">
        <f>SUM(F20:F22)</f>
        <v>10084665.811904762</v>
      </c>
      <c r="C22" s="131">
        <f>AVERAGE(F20:F22)</f>
        <v>3361555.2706349208</v>
      </c>
      <c r="D22" s="90">
        <f>C22/C19-1</f>
        <v>-0.19256697712044402</v>
      </c>
      <c r="E22" s="286">
        <f>C22/C10-1</f>
        <v>0.9396561528754499</v>
      </c>
      <c r="F22" s="78">
        <f>Q22/21</f>
        <v>4050152.5238095238</v>
      </c>
      <c r="G22" s="90">
        <f t="shared" si="2"/>
        <v>0.52241556599390737</v>
      </c>
      <c r="H22" s="90">
        <f t="shared" si="3"/>
        <v>1.0695033245239802</v>
      </c>
      <c r="I22" s="130">
        <f t="shared" si="0"/>
        <v>45974704.324324325</v>
      </c>
      <c r="J22" s="130">
        <f t="shared" si="4"/>
        <v>10304014.662738409</v>
      </c>
      <c r="K22" s="78">
        <f>R20+R21+R22</f>
        <v>274922118263</v>
      </c>
      <c r="L22" s="87">
        <f>U22/U19-1</f>
        <v>-0.18991541911681509</v>
      </c>
      <c r="M22" s="87">
        <f>U22/U10-1</f>
        <v>0.90875244978030523</v>
      </c>
      <c r="N22" s="88">
        <f>AVERAGE(T20:T22)</f>
        <v>49515936.455622874</v>
      </c>
      <c r="O22" s="89">
        <f>N22/N19-1</f>
        <v>1.7625969736306368E-2</v>
      </c>
      <c r="P22" s="129" t="s">
        <v>155</v>
      </c>
      <c r="Q22" s="116">
        <v>85053203</v>
      </c>
      <c r="R22" s="116">
        <v>113242810493</v>
      </c>
      <c r="S22" s="116">
        <v>1.85</v>
      </c>
      <c r="T22" s="130">
        <f t="shared" si="1"/>
        <v>45974704.324324325</v>
      </c>
      <c r="U22" s="85">
        <f>Q20+Q21+Q22</f>
        <v>208403815</v>
      </c>
    </row>
    <row r="23" spans="1:21" hidden="1">
      <c r="A23" s="129" t="s">
        <v>189</v>
      </c>
      <c r="B23" s="131"/>
      <c r="C23" s="131"/>
      <c r="F23" s="78">
        <f>Q23/21</f>
        <v>3275666.3809523811</v>
      </c>
      <c r="G23" s="90">
        <f t="shared" si="2"/>
        <v>-0.19122394485249428</v>
      </c>
      <c r="H23" s="90">
        <f t="shared" si="3"/>
        <v>0.6767484050608561</v>
      </c>
      <c r="I23" s="130">
        <f t="shared" si="0"/>
        <v>51335070.149253726</v>
      </c>
      <c r="J23" s="130">
        <f t="shared" si="4"/>
        <v>12063461.750678379</v>
      </c>
      <c r="O23" s="89"/>
      <c r="P23" s="129" t="s">
        <v>189</v>
      </c>
      <c r="Q23" s="116">
        <v>68788994</v>
      </c>
      <c r="R23" s="116">
        <v>89255562419</v>
      </c>
      <c r="S23" s="116">
        <v>1.34</v>
      </c>
      <c r="T23" s="130">
        <f t="shared" si="1"/>
        <v>51335070.149253726</v>
      </c>
      <c r="U23" s="78"/>
    </row>
    <row r="24" spans="1:21" hidden="1">
      <c r="A24" s="129" t="s">
        <v>204</v>
      </c>
      <c r="B24" s="131"/>
      <c r="C24" s="131"/>
      <c r="F24" s="78">
        <f>Q24/22</f>
        <v>3840707</v>
      </c>
      <c r="G24" s="90">
        <f t="shared" si="2"/>
        <v>0.17249638801230316</v>
      </c>
      <c r="H24" s="90">
        <f t="shared" si="3"/>
        <v>0.64281684381441462</v>
      </c>
      <c r="I24" s="130">
        <f t="shared" si="0"/>
        <v>48008837.5</v>
      </c>
      <c r="J24" s="130">
        <f t="shared" si="4"/>
        <v>0.15743913996015579</v>
      </c>
      <c r="O24" s="89"/>
      <c r="P24" s="129" t="s">
        <v>204</v>
      </c>
      <c r="Q24" s="116">
        <v>84495554</v>
      </c>
      <c r="R24" s="116">
        <v>109155339617</v>
      </c>
      <c r="S24" s="116">
        <v>1.76</v>
      </c>
      <c r="T24" s="130">
        <f t="shared" si="1"/>
        <v>48008837.5</v>
      </c>
      <c r="U24" s="78"/>
    </row>
    <row r="25" spans="1:21" s="79" customFormat="1" ht="13.2" hidden="1">
      <c r="A25" s="129" t="s">
        <v>219</v>
      </c>
      <c r="B25" s="131">
        <f>SUM(F23:F25)</f>
        <v>10146057.95989975</v>
      </c>
      <c r="C25" s="131">
        <f>AVERAGE(F23:F25)</f>
        <v>3382019.319966583</v>
      </c>
      <c r="D25" s="90">
        <f>C25/C22-1</f>
        <v>6.0876730216001818E-3</v>
      </c>
      <c r="E25" s="286">
        <f>C25/C13-1</f>
        <v>0.43991042996715612</v>
      </c>
      <c r="F25" s="78">
        <f>Q25/19</f>
        <v>3029684.5789473685</v>
      </c>
      <c r="G25" s="90">
        <f t="shared" si="2"/>
        <v>-0.211164876949122</v>
      </c>
      <c r="H25" s="90">
        <f t="shared" si="3"/>
        <v>9.9763759925241891E-2</v>
      </c>
      <c r="I25" s="130">
        <f t="shared" si="0"/>
        <v>49624143.965517245</v>
      </c>
      <c r="J25" s="130">
        <f t="shared" si="4"/>
        <v>0.16186248947274473</v>
      </c>
      <c r="K25" s="78">
        <f>R23+R24+R25</f>
        <v>274472503134</v>
      </c>
      <c r="L25" s="90">
        <f>U25/U22-1</f>
        <v>1.1730783335228256E-2</v>
      </c>
      <c r="M25" s="90">
        <f>U25/U13-1</f>
        <v>0.42894330297699756</v>
      </c>
      <c r="N25" s="88">
        <f>AVERAGE(T23:T25)</f>
        <v>49656017.20492366</v>
      </c>
      <c r="O25" s="91">
        <f>N25/N22-1</f>
        <v>2.8290033336304532E-3</v>
      </c>
      <c r="P25" s="129" t="s">
        <v>219</v>
      </c>
      <c r="Q25" s="116">
        <v>57564007</v>
      </c>
      <c r="R25" s="116">
        <v>76061601098</v>
      </c>
      <c r="S25" s="116">
        <v>1.1599999999999999</v>
      </c>
      <c r="T25" s="130">
        <f t="shared" si="1"/>
        <v>49624143.965517245</v>
      </c>
      <c r="U25" s="85">
        <f>Q23+Q24+Q25</f>
        <v>210848555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3664939.789473684</v>
      </c>
      <c r="G26" s="90">
        <f t="shared" si="2"/>
        <v>0.20967701223439827</v>
      </c>
      <c r="H26" s="90">
        <f t="shared" si="3"/>
        <v>0.66170156114719436</v>
      </c>
      <c r="I26" s="130">
        <f t="shared" si="0"/>
        <v>53155615.26717557</v>
      </c>
      <c r="J26" s="130">
        <f t="shared" si="4"/>
        <v>0.24120227296376306</v>
      </c>
      <c r="L26" s="90"/>
      <c r="M26" s="90"/>
      <c r="P26" s="129" t="s">
        <v>312</v>
      </c>
      <c r="Q26" s="116">
        <v>69633856</v>
      </c>
      <c r="R26" s="116">
        <v>92379734249</v>
      </c>
      <c r="S26" s="116">
        <v>1.31</v>
      </c>
      <c r="T26" s="130">
        <f t="shared" si="1"/>
        <v>53155615.26717557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1966214</v>
      </c>
      <c r="G27" s="90">
        <f t="shared" si="2"/>
        <v>-0.46350714801719439</v>
      </c>
      <c r="H27" s="90">
        <f t="shared" si="3"/>
        <v>-0.54893215115643523</v>
      </c>
      <c r="I27" s="130">
        <f t="shared" si="0"/>
        <v>5.4278915729397381</v>
      </c>
      <c r="J27" s="130">
        <f t="shared" si="4"/>
        <v>-0.99999987547909963</v>
      </c>
      <c r="L27" s="90"/>
      <c r="M27" s="90"/>
      <c r="P27" s="129" t="s">
        <v>373</v>
      </c>
      <c r="Q27" s="116">
        <v>43256708</v>
      </c>
      <c r="R27" s="116">
        <v>58321544910</v>
      </c>
      <c r="S27" s="116">
        <v>7969339</v>
      </c>
      <c r="T27" s="130">
        <f t="shared" si="1"/>
        <v>5.4278915729397381</v>
      </c>
      <c r="U27" s="78"/>
    </row>
    <row r="28" spans="1:21" s="79" customFormat="1" ht="13.2" hidden="1">
      <c r="A28" s="123" t="s">
        <v>413</v>
      </c>
      <c r="B28" s="131">
        <f>SUM(F26:F28)</f>
        <v>8287916</v>
      </c>
      <c r="C28" s="131">
        <f>AVERAGE(F26:F28)</f>
        <v>2762638.6666666665</v>
      </c>
      <c r="D28" s="90">
        <f>C28/C25-1</f>
        <v>-0.18313930072582685</v>
      </c>
      <c r="E28" s="286">
        <f>C28/C16-1</f>
        <v>-0.2633673746789994</v>
      </c>
      <c r="F28" s="78">
        <f>Q28/19</f>
        <v>2656762.210526316</v>
      </c>
      <c r="G28" s="90">
        <f t="shared" si="2"/>
        <v>0.35120704588936702</v>
      </c>
      <c r="H28" s="90">
        <f t="shared" si="3"/>
        <v>-0.43310673065192806</v>
      </c>
      <c r="I28" s="130">
        <f t="shared" si="0"/>
        <v>5.2191184788549974</v>
      </c>
      <c r="J28" s="130">
        <f t="shared" si="4"/>
        <v>-0.9999998855985498</v>
      </c>
      <c r="K28" s="78">
        <f>R26+R27+R28</f>
        <v>217650844891</v>
      </c>
      <c r="L28" s="90">
        <f>U28/U25-1</f>
        <v>-0.22518299449574131</v>
      </c>
      <c r="M28" s="90">
        <f>U28/U16-1</f>
        <v>-0.32801131530745897</v>
      </c>
      <c r="N28" s="88">
        <f>AVERAGE(T26:T28)</f>
        <v>17718541.971395206</v>
      </c>
      <c r="O28" s="91">
        <f>N28/N25-1</f>
        <v>-0.64317432269541108</v>
      </c>
      <c r="P28" s="129" t="s">
        <v>413</v>
      </c>
      <c r="Q28" s="116">
        <v>50478482</v>
      </c>
      <c r="R28" s="116">
        <v>66949565732</v>
      </c>
      <c r="S28" s="116">
        <v>9671840.5999999996</v>
      </c>
      <c r="T28" s="130">
        <f t="shared" si="1"/>
        <v>5.2191184788549974</v>
      </c>
      <c r="U28" s="85">
        <f>Q26+Q27+Q28</f>
        <v>163369046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1721768.6818181819</v>
      </c>
      <c r="G29" s="190">
        <f t="shared" si="2"/>
        <v>-0.35192970037123039</v>
      </c>
      <c r="H29" s="190">
        <f t="shared" si="3"/>
        <v>-0.65856076843068534</v>
      </c>
      <c r="I29" s="130">
        <f t="shared" si="0"/>
        <v>5.4997330636237809</v>
      </c>
      <c r="J29" s="130">
        <f t="shared" si="4"/>
        <v>-0.99999989039098147</v>
      </c>
      <c r="K29" s="136"/>
      <c r="L29" s="190"/>
      <c r="M29" s="190"/>
      <c r="N29" s="191"/>
      <c r="O29" s="192"/>
      <c r="P29" s="129" t="s">
        <v>426</v>
      </c>
      <c r="Q29" s="116">
        <v>37878911</v>
      </c>
      <c r="R29" s="116">
        <v>49923367019</v>
      </c>
      <c r="S29" s="116">
        <v>6887409</v>
      </c>
      <c r="T29" s="130">
        <f t="shared" si="1"/>
        <v>5.4997330636237809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2478970.6842105263</v>
      </c>
      <c r="G30" s="190">
        <f t="shared" si="2"/>
        <v>0.43978149352370699</v>
      </c>
      <c r="H30" s="190">
        <f t="shared" si="3"/>
        <v>-0.3325460161759678</v>
      </c>
      <c r="I30" s="130">
        <f t="shared" si="0"/>
        <v>5.1545161672997946</v>
      </c>
      <c r="J30" s="130">
        <f t="shared" si="4"/>
        <v>-0.99999989452453786</v>
      </c>
      <c r="K30" s="136"/>
      <c r="L30" s="190"/>
      <c r="M30" s="190"/>
      <c r="N30" s="191"/>
      <c r="O30" s="192"/>
      <c r="P30" s="129" t="s">
        <v>466</v>
      </c>
      <c r="Q30" s="116">
        <v>47100443</v>
      </c>
      <c r="R30" s="116">
        <v>62726873938</v>
      </c>
      <c r="S30" s="116">
        <v>9137704</v>
      </c>
      <c r="T30" s="130">
        <f t="shared" si="1"/>
        <v>5.1545161672997946</v>
      </c>
      <c r="U30" s="85"/>
    </row>
    <row r="31" spans="1:21" s="79" customFormat="1" ht="13.2" hidden="1">
      <c r="A31" s="129" t="s">
        <v>505</v>
      </c>
      <c r="B31" s="188">
        <f>SUM(F29:F31)</f>
        <v>6448565.3660287084</v>
      </c>
      <c r="C31" s="188">
        <f>AVERAGE(F29:F31)</f>
        <v>2149521.7886762363</v>
      </c>
      <c r="D31" s="190">
        <f>C31/C28-1</f>
        <v>-0.22193162116644172</v>
      </c>
      <c r="E31" s="287">
        <f>C31/C19-1</f>
        <v>-0.48369289336465093</v>
      </c>
      <c r="F31" s="136">
        <f>Q31/20</f>
        <v>2247826</v>
      </c>
      <c r="G31" s="190">
        <f t="shared" si="2"/>
        <v>-9.3242201564855742E-2</v>
      </c>
      <c r="H31" s="190">
        <f t="shared" si="3"/>
        <v>-0.39785590349324063</v>
      </c>
      <c r="I31" s="130">
        <f t="shared" si="0"/>
        <v>4.9114392188022178</v>
      </c>
      <c r="J31" s="130">
        <f t="shared" si="4"/>
        <v>-0.99999989534454159</v>
      </c>
      <c r="K31" s="136">
        <f>R29+R30+R31</f>
        <v>172265255429</v>
      </c>
      <c r="L31" s="190">
        <f>U31/U28-1</f>
        <v>-0.20464814368812556</v>
      </c>
      <c r="M31" s="190">
        <f>U31/U19-1</f>
        <v>-0.49492744155868584</v>
      </c>
      <c r="N31" s="191">
        <f>AVERAGE(T29:T31)</f>
        <v>5.1885628165752644</v>
      </c>
      <c r="O31" s="192">
        <f>N31/N28-1</f>
        <v>-0.99999970716761999</v>
      </c>
      <c r="P31" s="129" t="s">
        <v>505</v>
      </c>
      <c r="Q31" s="116">
        <v>44956520</v>
      </c>
      <c r="R31" s="116">
        <v>59615014472</v>
      </c>
      <c r="S31" s="116">
        <v>9153431</v>
      </c>
      <c r="T31" s="130">
        <f t="shared" si="1"/>
        <v>4.9114392188022178</v>
      </c>
      <c r="U31" s="85">
        <f>Q29+Q30+Q31</f>
        <v>129935874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2022372.5714285714</v>
      </c>
      <c r="G32" s="190">
        <f t="shared" ref="G32" si="5">F32/F31-1</f>
        <v>-0.10029843438568142</v>
      </c>
      <c r="H32" s="190">
        <f t="shared" ref="H32" si="6">F32/F20-1</f>
        <v>-0.40063057297990878</v>
      </c>
      <c r="I32" s="130">
        <f t="shared" si="0"/>
        <v>4.8913339645525964</v>
      </c>
      <c r="J32" s="130">
        <f t="shared" si="4"/>
        <v>-0.9999999028739921</v>
      </c>
      <c r="K32" s="136"/>
      <c r="L32" s="190"/>
      <c r="M32" s="190"/>
      <c r="N32" s="191"/>
      <c r="O32" s="192"/>
      <c r="P32" s="129" t="s">
        <v>562</v>
      </c>
      <c r="Q32" s="116">
        <v>42469824</v>
      </c>
      <c r="R32" s="116">
        <v>57855192956</v>
      </c>
      <c r="S32" s="116">
        <v>8682667</v>
      </c>
      <c r="T32" s="130">
        <f t="shared" ref="T32" si="7">Q32/S32</f>
        <v>4.8913339645525964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1474415.9047619049</v>
      </c>
      <c r="G33" s="190">
        <f t="shared" ref="G33" si="8">F33/F32-1</f>
        <v>-0.27094743787965769</v>
      </c>
      <c r="H33" s="190">
        <f t="shared" ref="H33" si="9">F33/F21-1</f>
        <v>-0.44578044630101932</v>
      </c>
      <c r="I33" s="130">
        <f t="shared" si="0"/>
        <v>5.1515906377774909</v>
      </c>
      <c r="J33" s="130">
        <f t="shared" si="4"/>
        <v>-0.99999990133396743</v>
      </c>
      <c r="K33" s="136"/>
      <c r="L33" s="190"/>
      <c r="M33" s="190"/>
      <c r="N33" s="191"/>
      <c r="O33" s="192"/>
      <c r="P33" s="129" t="s">
        <v>607</v>
      </c>
      <c r="Q33" s="116">
        <v>30962734</v>
      </c>
      <c r="R33" s="116">
        <v>42350182498</v>
      </c>
      <c r="S33" s="116">
        <v>6010325</v>
      </c>
      <c r="T33" s="130">
        <f t="shared" ref="T33" si="10">Q33/S33</f>
        <v>5.1515906377774909</v>
      </c>
      <c r="U33" s="85"/>
    </row>
    <row r="34" spans="1:21" s="79" customFormat="1" ht="13.2" hidden="1">
      <c r="A34" s="129" t="s">
        <v>652</v>
      </c>
      <c r="B34" s="188">
        <f>SUM(F32:F34)</f>
        <v>5064353.4761904757</v>
      </c>
      <c r="C34" s="188">
        <f>AVERAGE(F32:F34)</f>
        <v>1688117.8253968253</v>
      </c>
      <c r="D34" s="190">
        <f>C34/C31-1</f>
        <v>-0.21465423877538936</v>
      </c>
      <c r="E34" s="287">
        <f>C34/C22-1</f>
        <v>-0.49781643034595158</v>
      </c>
      <c r="F34" s="136">
        <f>Q34/19</f>
        <v>1567565</v>
      </c>
      <c r="G34" s="190">
        <f t="shared" ref="G34" si="11">F34/F33-1</f>
        <v>6.3176946841968062E-2</v>
      </c>
      <c r="H34" s="190">
        <f t="shared" ref="H34" si="12">F34/F22-1</f>
        <v>-0.61296148952791341</v>
      </c>
      <c r="I34" s="130">
        <f t="shared" si="0"/>
        <v>4.2407056116237145</v>
      </c>
      <c r="J34" s="130">
        <f t="shared" si="4"/>
        <v>-0.99999990776002423</v>
      </c>
      <c r="K34" s="136">
        <f>R32+R33+R34</f>
        <v>141135309258</v>
      </c>
      <c r="L34" s="190">
        <f>U34/U31-1</f>
        <v>-0.20563667428750276</v>
      </c>
      <c r="M34" s="190">
        <f>U34/U22-1</f>
        <v>-0.50472934960427662</v>
      </c>
      <c r="N34" s="191">
        <f>AVERAGE(T32:T34)</f>
        <v>4.7612100713179339</v>
      </c>
      <c r="O34" s="192">
        <f>N34/N31-1</f>
        <v>-8.2364377259174559E-2</v>
      </c>
      <c r="P34" s="129" t="s">
        <v>652</v>
      </c>
      <c r="Q34" s="116">
        <v>29783735</v>
      </c>
      <c r="R34" s="116">
        <v>40929933804</v>
      </c>
      <c r="S34" s="116">
        <v>7023297</v>
      </c>
      <c r="T34" s="130">
        <f t="shared" ref="T34" si="13">Q34/S34</f>
        <v>4.2407056116237145</v>
      </c>
      <c r="U34" s="85">
        <f>Q32+Q33+Q34</f>
        <v>103216293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1389174.5652173914</v>
      </c>
      <c r="G35" s="190">
        <f t="shared" ref="G35" si="14">F35/F34-1</f>
        <v>-0.11380098100085712</v>
      </c>
      <c r="H35" s="190">
        <f t="shared" ref="H35" si="15">F35/F23-1</f>
        <v>-0.57591085182078383</v>
      </c>
      <c r="I35" s="130">
        <f t="shared" si="0"/>
        <v>4.405731847410153</v>
      </c>
      <c r="J35" s="130">
        <f t="shared" si="4"/>
        <v>-0.99999991417695866</v>
      </c>
      <c r="K35" s="136"/>
      <c r="L35" s="190"/>
      <c r="M35" s="190"/>
      <c r="N35" s="191"/>
      <c r="O35" s="192"/>
      <c r="P35" s="129" t="s">
        <v>660</v>
      </c>
      <c r="Q35" s="116">
        <v>31951015</v>
      </c>
      <c r="R35" s="116">
        <v>44215906965</v>
      </c>
      <c r="S35" s="116">
        <v>7252147</v>
      </c>
      <c r="T35" s="130">
        <f t="shared" ref="T35" si="16">Q35/S35</f>
        <v>4.405731847410153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560003.80952380947</v>
      </c>
      <c r="G36" s="190">
        <f t="shared" ref="G36" si="17">F36/F35-1</f>
        <v>-0.59688017363305623</v>
      </c>
      <c r="H36" s="190">
        <f t="shared" ref="H36" si="18">F36/F24-1</f>
        <v>-0.85419251988662259</v>
      </c>
      <c r="I36" s="130">
        <f t="shared" si="0"/>
        <v>4.2252973586681781</v>
      </c>
      <c r="J36" s="130">
        <f t="shared" si="4"/>
        <v>-0.99999991198917582</v>
      </c>
      <c r="K36" s="136"/>
      <c r="L36" s="190"/>
      <c r="M36" s="190"/>
      <c r="N36" s="191"/>
      <c r="O36" s="192"/>
      <c r="P36" s="129" t="s">
        <v>664</v>
      </c>
      <c r="Q36" s="116">
        <v>11760080</v>
      </c>
      <c r="R36" s="116">
        <v>16117314687</v>
      </c>
      <c r="S36" s="116">
        <v>2783255</v>
      </c>
      <c r="T36" s="130">
        <f t="shared" ref="T36" si="19">Q36/S36</f>
        <v>4.2252973586681781</v>
      </c>
      <c r="U36" s="85"/>
    </row>
    <row r="37" spans="1:21" s="79" customFormat="1" ht="13.2" hidden="1">
      <c r="A37" s="129" t="s">
        <v>702</v>
      </c>
      <c r="B37" s="188">
        <f>SUM(F35:F37)</f>
        <v>2937212.8191856453</v>
      </c>
      <c r="C37" s="188">
        <f>AVERAGE(F35:F37)</f>
        <v>979070.9397285484</v>
      </c>
      <c r="D37" s="190">
        <f>C37/C34-1</f>
        <v>-0.42002215426023448</v>
      </c>
      <c r="E37" s="287">
        <f>C37/C25-1</f>
        <v>-0.71050699386950211</v>
      </c>
      <c r="F37" s="136">
        <f>Q37/18</f>
        <v>988034.4444444445</v>
      </c>
      <c r="G37" s="190">
        <f t="shared" ref="G37" si="20">F37/F36-1</f>
        <v>0.76433521994181475</v>
      </c>
      <c r="H37" s="190">
        <f t="shared" ref="H37" si="21">F37/F25-1</f>
        <v>-0.6738820762695612</v>
      </c>
      <c r="I37" s="130">
        <f t="shared" si="0"/>
        <v>4.3223646379513907</v>
      </c>
      <c r="J37" s="130">
        <f t="shared" si="4"/>
        <v>-0.99999991289795065</v>
      </c>
      <c r="K37" s="136">
        <f>R35+R36+R37</f>
        <v>84043442161</v>
      </c>
      <c r="L37" s="190">
        <f>U37/U34-1</f>
        <v>-0.40420535157177173</v>
      </c>
      <c r="M37" s="190">
        <f>U37/U25-1</f>
        <v>-0.70834177639965334</v>
      </c>
      <c r="N37" s="191">
        <f>AVERAGE(T35:T37)</f>
        <v>4.3177979480099076</v>
      </c>
      <c r="O37" s="192">
        <f>N37/N34-1</f>
        <v>-9.3130132186183268E-2</v>
      </c>
      <c r="P37" s="129" t="s">
        <v>702</v>
      </c>
      <c r="Q37" s="116">
        <v>17784620</v>
      </c>
      <c r="R37" s="116">
        <v>23710220509</v>
      </c>
      <c r="S37" s="116">
        <v>4114558</v>
      </c>
      <c r="T37" s="130">
        <f t="shared" ref="T37" si="22">Q37/S37</f>
        <v>4.3223646379513907</v>
      </c>
      <c r="U37" s="85">
        <f>Q35+Q36+Q37</f>
        <v>61495715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729236.85</v>
      </c>
      <c r="G38" s="190">
        <f t="shared" ref="G38" si="23">F38/F37-1</f>
        <v>-0.2619317533914135</v>
      </c>
      <c r="H38" s="190">
        <f t="shared" ref="H38" si="24">F38/F26-1</f>
        <v>-0.80102351146545725</v>
      </c>
      <c r="I38" s="130">
        <f t="shared" si="0"/>
        <v>4.7334784505197343</v>
      </c>
      <c r="J38" s="130">
        <f t="shared" si="4"/>
        <v>-0.99999991095054719</v>
      </c>
      <c r="K38" s="136"/>
      <c r="L38" s="190"/>
      <c r="M38" s="190"/>
      <c r="N38" s="191"/>
      <c r="O38" s="192"/>
      <c r="P38" s="129" t="s">
        <v>728</v>
      </c>
      <c r="Q38" s="116">
        <v>14584737</v>
      </c>
      <c r="R38" s="116">
        <v>19574349308</v>
      </c>
      <c r="S38" s="116">
        <v>3081188</v>
      </c>
      <c r="T38" s="130">
        <f t="shared" ref="T38" si="25">Q38/S38</f>
        <v>4.7334784505197343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494373.04761904763</v>
      </c>
      <c r="G39" s="190">
        <f t="shared" ref="G39" si="26">F39/F38-1</f>
        <v>-0.32206792948128216</v>
      </c>
      <c r="H39" s="190">
        <f t="shared" ref="H39" si="27">F39/F27-1</f>
        <v>-0.74856600165645881</v>
      </c>
      <c r="I39" s="130">
        <f t="shared" si="0"/>
        <v>4.3833911489718158</v>
      </c>
      <c r="J39" s="130">
        <f t="shared" si="4"/>
        <v>-0.19243207236769144</v>
      </c>
      <c r="K39" s="136"/>
      <c r="L39" s="190"/>
      <c r="M39" s="190"/>
      <c r="N39" s="191"/>
      <c r="O39" s="192"/>
      <c r="P39" s="129" t="s">
        <v>762</v>
      </c>
      <c r="Q39" s="116">
        <v>10381834</v>
      </c>
      <c r="R39" s="116">
        <v>14499877400</v>
      </c>
      <c r="S39" s="116">
        <v>2368448</v>
      </c>
      <c r="T39" s="130">
        <f t="shared" ref="T39" si="28">Q39/S39</f>
        <v>4.3833911489718158</v>
      </c>
      <c r="U39" s="85"/>
    </row>
    <row r="40" spans="1:21" s="79" customFormat="1" ht="13.2" hidden="1">
      <c r="A40" s="129" t="s">
        <v>778</v>
      </c>
      <c r="B40" s="188">
        <f>SUM(F38:F40)</f>
        <v>2232129.85</v>
      </c>
      <c r="C40" s="188">
        <f>AVERAGE(F38:F40)</f>
        <v>744043.28333333333</v>
      </c>
      <c r="D40" s="190">
        <f>C40/C37-1</f>
        <v>-0.24005171316838136</v>
      </c>
      <c r="E40" s="287">
        <f>C40/C28-1</f>
        <v>-0.73067658383603307</v>
      </c>
      <c r="F40" s="136">
        <f>Q40/21</f>
        <v>1008519.9523809524</v>
      </c>
      <c r="G40" s="190">
        <f t="shared" ref="G40" si="29">F40/F39-1</f>
        <v>1.0399978462379575</v>
      </c>
      <c r="H40" s="190">
        <f t="shared" ref="H40" si="30">F40/F28-1</f>
        <v>-0.62039510032734158</v>
      </c>
      <c r="I40" s="130">
        <f t="shared" si="0"/>
        <v>4.2825033419587646</v>
      </c>
      <c r="J40" s="130">
        <f t="shared" si="4"/>
        <v>-0.17945849297939553</v>
      </c>
      <c r="K40" s="136">
        <f>R38+R39+R40</f>
        <v>64134762914</v>
      </c>
      <c r="L40" s="190">
        <f>U40/U37-1</f>
        <v>-0.24961454631432445</v>
      </c>
      <c r="M40" s="190">
        <f>U40/U28-1</f>
        <v>-0.71753835178789016</v>
      </c>
      <c r="N40" s="191">
        <f>AVERAGE(T38:T40)</f>
        <v>4.4664576471501052</v>
      </c>
      <c r="O40" s="192">
        <f>N40/N37-1</f>
        <v>3.4429517297981826E-2</v>
      </c>
      <c r="P40" s="129" t="s">
        <v>778</v>
      </c>
      <c r="Q40" s="116">
        <v>21178919</v>
      </c>
      <c r="R40" s="116">
        <v>30060536206</v>
      </c>
      <c r="S40" s="116">
        <v>4945453</v>
      </c>
      <c r="T40" s="130">
        <f t="shared" ref="T40" si="31">Q40/S40</f>
        <v>4.2825033419587646</v>
      </c>
      <c r="U40" s="85">
        <f>Q38+Q39+Q40</f>
        <v>46145490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1017142.5555555555</v>
      </c>
      <c r="G41" s="190">
        <f t="shared" ref="G41" si="32">F41/F40-1</f>
        <v>8.5497596296895129E-3</v>
      </c>
      <c r="H41" s="190">
        <f t="shared" ref="H41" si="33">F41/F29-1</f>
        <v>-0.40924552392168245</v>
      </c>
      <c r="I41" s="130">
        <f t="shared" si="0"/>
        <v>4.1965712404853459</v>
      </c>
      <c r="J41" s="130">
        <f t="shared" si="4"/>
        <v>-0.23695001340297417</v>
      </c>
      <c r="K41" s="193"/>
      <c r="L41" s="190"/>
      <c r="M41" s="190"/>
      <c r="N41" s="193"/>
      <c r="O41" s="193"/>
      <c r="P41" s="129" t="s">
        <v>792</v>
      </c>
      <c r="Q41" s="116">
        <v>18308566</v>
      </c>
      <c r="R41" s="116">
        <v>26833306737</v>
      </c>
      <c r="S41" s="116">
        <v>4362744</v>
      </c>
      <c r="T41" s="130">
        <f t="shared" ref="T41" si="34">Q41/S41</f>
        <v>4.1965712404853459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1226357.75</v>
      </c>
      <c r="G42" s="190">
        <f t="shared" ref="G42" si="35">F42/F41-1</f>
        <v>0.20568915664940679</v>
      </c>
      <c r="H42" s="190">
        <f t="shared" ref="H42" si="36">F42/F30-1</f>
        <v>-0.50529558182711787</v>
      </c>
      <c r="I42" s="130">
        <f t="shared" si="0"/>
        <v>4.159278836786263</v>
      </c>
      <c r="J42" s="130">
        <f t="shared" si="4"/>
        <v>-0.19308064970817407</v>
      </c>
      <c r="K42" s="193"/>
      <c r="L42" s="190"/>
      <c r="M42" s="190"/>
      <c r="N42" s="193"/>
      <c r="O42" s="193"/>
      <c r="P42" s="129" t="s">
        <v>826</v>
      </c>
      <c r="Q42" s="116">
        <v>24527155</v>
      </c>
      <c r="R42" s="116">
        <v>35590935712</v>
      </c>
      <c r="S42" s="116">
        <v>5896973</v>
      </c>
      <c r="T42" s="130">
        <f t="shared" ref="T42" si="37">Q42/S42</f>
        <v>4.159278836786263</v>
      </c>
      <c r="U42" s="78"/>
    </row>
    <row r="43" spans="1:21" s="79" customFormat="1" ht="13.2">
      <c r="A43" s="129" t="s">
        <v>835</v>
      </c>
      <c r="B43" s="188">
        <f>SUM(F41:F43)</f>
        <v>3719089.7555555552</v>
      </c>
      <c r="C43" s="188">
        <f>AVERAGE(F41:F43)</f>
        <v>1239696.5851851851</v>
      </c>
      <c r="D43" s="190">
        <f>C43/C40-1</f>
        <v>0.66616191954762627</v>
      </c>
      <c r="E43" s="287">
        <f>C43/C31-1</f>
        <v>-0.42326865830532423</v>
      </c>
      <c r="F43" s="136">
        <f>Q43/20</f>
        <v>1475589.45</v>
      </c>
      <c r="G43" s="190">
        <f t="shared" ref="G43" si="38">F43/F42-1</f>
        <v>0.20322919637438575</v>
      </c>
      <c r="H43" s="190">
        <f t="shared" ref="H43" si="39">F43/F31-1</f>
        <v>-0.34354818833842127</v>
      </c>
      <c r="I43" s="130">
        <f t="shared" si="0"/>
        <v>4.7666030781247501</v>
      </c>
      <c r="J43" s="130">
        <f t="shared" si="4"/>
        <v>-2.9489551682325366E-2</v>
      </c>
      <c r="K43" s="136">
        <f>R41+R42+R43</f>
        <v>105223386329</v>
      </c>
      <c r="L43" s="190">
        <f>U43/U40-1</f>
        <v>0.56781323591969657</v>
      </c>
      <c r="M43" s="190">
        <f>K43/K31-1</f>
        <v>-0.3891781249390226</v>
      </c>
      <c r="N43" s="191">
        <f>AVERAGE(T41:T43)</f>
        <v>4.374151051798786</v>
      </c>
      <c r="O43" s="192">
        <f>N43/N40-1</f>
        <v>-2.0666622778840571E-2</v>
      </c>
      <c r="P43" s="129" t="s">
        <v>835</v>
      </c>
      <c r="Q43" s="116">
        <v>29511789</v>
      </c>
      <c r="R43" s="116">
        <v>42799143880</v>
      </c>
      <c r="S43" s="116">
        <v>6191367</v>
      </c>
      <c r="T43" s="130">
        <f t="shared" ref="T43" si="40">Q43/S43</f>
        <v>4.7666030781247501</v>
      </c>
      <c r="U43" s="85">
        <f>Q41+Q42+Q43</f>
        <v>72347510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892806.18181818177</v>
      </c>
      <c r="G44" s="190">
        <f t="shared" ref="G44" si="41">F44/F43-1</f>
        <v>-0.39494946794436503</v>
      </c>
      <c r="H44" s="190">
        <f t="shared" ref="H44" si="42">F44/F32-1</f>
        <v>-0.55853525980748553</v>
      </c>
      <c r="I44" s="130">
        <f t="shared" si="0"/>
        <v>4.4015025634693679</v>
      </c>
      <c r="J44" s="130">
        <f t="shared" si="4"/>
        <v>-0.10014270230432587</v>
      </c>
      <c r="K44" s="136"/>
      <c r="L44" s="190"/>
      <c r="M44" s="190"/>
      <c r="N44" s="191"/>
      <c r="O44" s="192"/>
      <c r="P44" s="129" t="s">
        <v>843</v>
      </c>
      <c r="Q44" s="116">
        <v>19641736</v>
      </c>
      <c r="R44" s="116">
        <v>28526857489</v>
      </c>
      <c r="S44" s="116">
        <v>4462507</v>
      </c>
      <c r="T44" s="130">
        <f t="shared" ref="T44" si="43">Q44/S44</f>
        <v>4.4015025634693679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1407688.35</v>
      </c>
      <c r="G45" s="190">
        <f t="shared" ref="G45" si="44">F45/F44-1</f>
        <v>0.57670094435644614</v>
      </c>
      <c r="H45" s="190">
        <f t="shared" ref="H45" si="45">F45/F33-1</f>
        <v>-4.5256941780399629E-2</v>
      </c>
      <c r="I45" s="130">
        <f t="shared" si="0"/>
        <v>4.6188713809053352</v>
      </c>
      <c r="J45" s="130">
        <f t="shared" si="4"/>
        <v>-0.10340869341706516</v>
      </c>
      <c r="K45" s="136"/>
      <c r="L45" s="190"/>
      <c r="M45" s="190"/>
      <c r="N45" s="191"/>
      <c r="O45" s="192"/>
      <c r="P45" s="129" t="s">
        <v>849</v>
      </c>
      <c r="Q45" s="116">
        <v>28153767</v>
      </c>
      <c r="R45" s="116">
        <v>39677610786</v>
      </c>
      <c r="S45" s="116">
        <v>6095378</v>
      </c>
      <c r="T45" s="130">
        <f t="shared" ref="T45" si="46">Q45/S45</f>
        <v>4.6188713809053352</v>
      </c>
      <c r="U45" s="85"/>
    </row>
    <row r="46" spans="1:21" s="79" customFormat="1" ht="13.2">
      <c r="A46" s="129" t="s">
        <v>888</v>
      </c>
      <c r="B46" s="188">
        <f>SUM(F44:F46)</f>
        <v>3548362.63708134</v>
      </c>
      <c r="C46" s="188">
        <f>AVERAGE(F44:F46)</f>
        <v>1182787.5456937801</v>
      </c>
      <c r="D46" s="190">
        <f>C46/C43-1</f>
        <v>-4.5905619303536205E-2</v>
      </c>
      <c r="E46" s="287">
        <f>C46/C34-1</f>
        <v>-0.29934538460563764</v>
      </c>
      <c r="F46" s="136">
        <f>Q46/19</f>
        <v>1247868.105263158</v>
      </c>
      <c r="G46" s="190">
        <f t="shared" ref="G46" si="47">F46/F45-1</f>
        <v>-0.11353382638766751</v>
      </c>
      <c r="H46" s="190">
        <f t="shared" ref="H46" si="48">F46/F34-1</f>
        <v>-0.20394490482808814</v>
      </c>
      <c r="I46" s="130">
        <f t="shared" si="0"/>
        <v>5.0254838376693804</v>
      </c>
      <c r="J46" s="130">
        <f t="shared" si="4"/>
        <v>0.18505840723642786</v>
      </c>
      <c r="K46" s="136">
        <f>R44+R45+R46</f>
        <v>100636651455</v>
      </c>
      <c r="L46" s="190">
        <f>U46/U43-1</f>
        <v>-1.1645362777516488E-2</v>
      </c>
      <c r="M46" s="190">
        <f>K46/K34-1</f>
        <v>-0.28694915550131483</v>
      </c>
      <c r="N46" s="191">
        <f>AVERAGE(T44:T46)</f>
        <v>4.6819525940146951</v>
      </c>
      <c r="O46" s="192">
        <f>N46/N43-1</f>
        <v>7.0368292857497794E-2</v>
      </c>
      <c r="P46" s="129" t="s">
        <v>888</v>
      </c>
      <c r="Q46" s="116">
        <v>23709494</v>
      </c>
      <c r="R46" s="116">
        <v>32432183180</v>
      </c>
      <c r="S46" s="116">
        <v>4717853</v>
      </c>
      <c r="T46" s="130">
        <f t="shared" ref="T46" si="49">Q46/S46</f>
        <v>5.0254838376693804</v>
      </c>
      <c r="U46" s="85">
        <f t="shared" ref="U46:U51" si="50">Q44+Q45+Q46</f>
        <v>71504997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831540.43478260865</v>
      </c>
      <c r="G47" s="190">
        <f t="shared" ref="G47" si="51">F47/F46-1</f>
        <v>-0.33363114957790485</v>
      </c>
      <c r="H47" s="190">
        <f t="shared" ref="H47" si="52">F47/F35-1</f>
        <v>-0.40141400828737372</v>
      </c>
      <c r="I47" s="130">
        <f t="shared" si="0"/>
        <v>4.8768585832056237</v>
      </c>
      <c r="J47" s="130">
        <f t="shared" si="4"/>
        <v>0.10693495476181014</v>
      </c>
      <c r="K47" s="136"/>
      <c r="L47" s="190"/>
      <c r="M47" s="190"/>
      <c r="N47" s="191"/>
      <c r="O47" s="192"/>
      <c r="P47" s="129" t="s">
        <v>1036</v>
      </c>
      <c r="Q47" s="116">
        <v>19125430</v>
      </c>
      <c r="R47" s="116">
        <v>26179197839</v>
      </c>
      <c r="S47" s="116">
        <v>3921670</v>
      </c>
      <c r="T47" s="130">
        <f t="shared" ref="T47" si="53">Q47/S47</f>
        <v>4.8768585832056237</v>
      </c>
      <c r="U47" s="85">
        <f t="shared" si="50"/>
        <v>70988691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863634.3</v>
      </c>
      <c r="G48" s="190">
        <f t="shared" ref="G48" si="54">F48/F47-1</f>
        <v>3.8595676018787772E-2</v>
      </c>
      <c r="H48" s="190">
        <f t="shared" ref="H48" si="55">F48/F36-1</f>
        <v>0.54219361602982308</v>
      </c>
      <c r="I48" s="130">
        <f t="shared" si="0"/>
        <v>4.7835538909419615</v>
      </c>
      <c r="J48" s="130">
        <f t="shared" si="4"/>
        <v>0.13212242473976943</v>
      </c>
      <c r="K48" s="136"/>
      <c r="L48" s="190"/>
      <c r="M48" s="190"/>
      <c r="N48" s="191"/>
      <c r="O48" s="192"/>
      <c r="P48" s="129" t="s">
        <v>1070</v>
      </c>
      <c r="Q48" s="116">
        <v>17272686</v>
      </c>
      <c r="R48" s="116">
        <v>23976555224</v>
      </c>
      <c r="S48" s="116">
        <v>3610848</v>
      </c>
      <c r="T48" s="130">
        <f t="shared" ref="T48" si="56">Q48/S48</f>
        <v>4.7835538909419615</v>
      </c>
      <c r="U48" s="85">
        <f t="shared" si="50"/>
        <v>60107610</v>
      </c>
    </row>
    <row r="49" spans="1:26" ht="13.2">
      <c r="A49" s="129" t="s">
        <v>1158</v>
      </c>
      <c r="B49" s="188">
        <f>SUM(F47:F49)</f>
        <v>2843943.5529644266</v>
      </c>
      <c r="C49" s="188">
        <f>AVERAGE(F47:F49)</f>
        <v>947981.18432147556</v>
      </c>
      <c r="D49" s="190">
        <f>C49/C46-1</f>
        <v>-0.19851947395554936</v>
      </c>
      <c r="E49" s="287">
        <f>C49/C37-1</f>
        <v>-3.1754343986241329E-2</v>
      </c>
      <c r="F49" s="136">
        <f>Q49/22</f>
        <v>1148768.8181818181</v>
      </c>
      <c r="G49" s="190">
        <f t="shared" ref="G49" si="57">F49/F48-1</f>
        <v>0.33015654679511686</v>
      </c>
      <c r="H49" s="190">
        <f t="shared" ref="H49" si="58">F49/F37-1</f>
        <v>0.16268094158169943</v>
      </c>
      <c r="I49" s="130">
        <f t="shared" si="0"/>
        <v>4.7482726791242316</v>
      </c>
      <c r="J49" s="130">
        <f t="shared" si="4"/>
        <v>9.8535888766363433E-2</v>
      </c>
      <c r="K49" s="136">
        <f>R47+R48+R49</f>
        <v>85278457442</v>
      </c>
      <c r="L49" s="190">
        <f>U49/U46-1</f>
        <v>-0.13752838840060366</v>
      </c>
      <c r="M49" s="190">
        <f>K49/K37-1</f>
        <v>1.4694963095801317E-2</v>
      </c>
      <c r="N49" s="191">
        <f>AVERAGE(T47:T49)</f>
        <v>4.802895051090605</v>
      </c>
      <c r="O49" s="192">
        <f>N49/N46-1</f>
        <v>2.5831627861956585E-2</v>
      </c>
      <c r="P49" s="129" t="s">
        <v>1158</v>
      </c>
      <c r="Q49" s="116">
        <v>25272914</v>
      </c>
      <c r="R49" s="116">
        <v>35122704379</v>
      </c>
      <c r="S49" s="116">
        <v>5322549</v>
      </c>
      <c r="T49" s="130">
        <f t="shared" ref="T49" si="59">Q49/S49</f>
        <v>4.7482726791242316</v>
      </c>
      <c r="U49" s="85">
        <f t="shared" si="50"/>
        <v>61671030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845376.22222222225</v>
      </c>
      <c r="G50" s="190">
        <f t="shared" ref="G50" si="60">F50/F49-1</f>
        <v>-0.26410239480540743</v>
      </c>
      <c r="H50" s="190">
        <f t="shared" ref="H50" si="61">F50/F38-1</f>
        <v>0.15926152418411421</v>
      </c>
      <c r="I50" s="130">
        <f t="shared" ref="I50" si="62">T50</f>
        <v>4.4160486901548524</v>
      </c>
      <c r="J50" s="130">
        <f t="shared" ref="J50" si="63">I50/I38-1</f>
        <v>-6.7060569448674334E-2</v>
      </c>
      <c r="K50" s="136"/>
      <c r="L50" s="190"/>
      <c r="M50" s="190"/>
      <c r="N50" s="191"/>
      <c r="O50" s="192"/>
      <c r="P50" s="129" t="s">
        <v>1291</v>
      </c>
      <c r="Q50" s="116">
        <v>15216772</v>
      </c>
      <c r="R50" s="116">
        <v>21567362140</v>
      </c>
      <c r="S50" s="116">
        <v>3445789</v>
      </c>
      <c r="T50" s="130">
        <f t="shared" ref="T50" si="64">Q50/S50</f>
        <v>4.4160486901548524</v>
      </c>
      <c r="U50" s="85">
        <f t="shared" si="50"/>
        <v>57762372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1232336.05</v>
      </c>
      <c r="G51" s="190">
        <f t="shared" ref="G51:G52" si="65">F51/F50-1</f>
        <v>0.45773682486666689</v>
      </c>
      <c r="H51" s="190">
        <f t="shared" ref="H51:H52" si="66">F51/F39-1</f>
        <v>1.4927249896309265</v>
      </c>
      <c r="I51" s="130">
        <f t="shared" ref="I51:I52" si="67">T51</f>
        <v>4.1698784077641458</v>
      </c>
      <c r="J51" s="130">
        <f t="shared" ref="J51:J52" si="68">I51/I39-1</f>
        <v>-4.8709488601707873E-2</v>
      </c>
      <c r="K51" s="136"/>
      <c r="L51" s="190"/>
      <c r="M51" s="190"/>
      <c r="N51" s="191"/>
      <c r="O51" s="192"/>
      <c r="P51" s="129" t="s">
        <v>1402</v>
      </c>
      <c r="Q51" s="116">
        <v>24646721</v>
      </c>
      <c r="R51" s="116">
        <v>35850399280</v>
      </c>
      <c r="S51" s="116">
        <v>5910657</v>
      </c>
      <c r="T51" s="130">
        <f t="shared" ref="T51:T52" si="69">Q51/S51</f>
        <v>4.1698784077641458</v>
      </c>
      <c r="U51" s="85">
        <f t="shared" si="50"/>
        <v>65136407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2956263.7267676769</v>
      </c>
      <c r="C52" s="188">
        <f>AVERAGE(F50:F52)</f>
        <v>985421.24225589226</v>
      </c>
      <c r="D52" s="190">
        <f>C52/C49-1</f>
        <v>3.9494515876087544E-2</v>
      </c>
      <c r="E52" s="287">
        <f>C52/C40-1</f>
        <v>0.3244138672164063</v>
      </c>
      <c r="F52" s="136">
        <f>Q52/22</f>
        <v>878551.45454545459</v>
      </c>
      <c r="G52" s="190">
        <f t="shared" si="65"/>
        <v>-0.28708451355825015</v>
      </c>
      <c r="H52" s="190">
        <f t="shared" si="66"/>
        <v>-0.12887052708145563</v>
      </c>
      <c r="I52" s="130">
        <f t="shared" si="67"/>
        <v>4.1689680170640075</v>
      </c>
      <c r="J52" s="130">
        <f t="shared" si="68"/>
        <v>-2.651143871444761E-2</v>
      </c>
      <c r="K52" s="136">
        <f>R50+R51+R52</f>
        <v>85832389785</v>
      </c>
      <c r="L52" s="190">
        <f>U52/U49-1</f>
        <v>-4.0203722882526827E-2</v>
      </c>
      <c r="M52" s="190">
        <f>K52/K40-1</f>
        <v>0.33831304405217688</v>
      </c>
      <c r="N52" s="191">
        <f>AVERAGE(T50:T52)</f>
        <v>4.2516317049943346</v>
      </c>
      <c r="O52" s="192">
        <f>N52/N49-1</f>
        <v>-0.11477730415347998</v>
      </c>
      <c r="P52" s="129" t="s">
        <v>1403</v>
      </c>
      <c r="Q52" s="116">
        <v>19328132</v>
      </c>
      <c r="R52" s="116">
        <v>28414628365</v>
      </c>
      <c r="S52" s="116">
        <v>4636191</v>
      </c>
      <c r="T52" s="130">
        <f t="shared" si="69"/>
        <v>4.1689680170640075</v>
      </c>
      <c r="U52" s="85">
        <f t="shared" ref="U52" si="70">Q50+Q51+Q52</f>
        <v>59191625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1325259</v>
      </c>
      <c r="G53" s="190">
        <f t="shared" ref="G53" si="71">F53/F52-1</f>
        <v>0.50845917236078475</v>
      </c>
      <c r="H53" s="190">
        <f t="shared" ref="H53" si="72">F53/F41-1</f>
        <v>0.30292356047983238</v>
      </c>
      <c r="I53" s="130">
        <f t="shared" ref="I53" si="73">T53</f>
        <v>4.3436778311478115</v>
      </c>
      <c r="J53" s="130">
        <f t="shared" ref="J53" si="74">I53/I41-1</f>
        <v>3.5053995805740756E-2</v>
      </c>
      <c r="K53" s="136"/>
      <c r="L53" s="190"/>
      <c r="M53" s="190"/>
      <c r="N53" s="191"/>
      <c r="O53" s="192"/>
      <c r="P53" s="129" t="s">
        <v>1414</v>
      </c>
      <c r="Q53" s="116">
        <v>27830439</v>
      </c>
      <c r="R53" s="116">
        <v>40543700894</v>
      </c>
      <c r="S53" s="116">
        <v>6407113.9900000002</v>
      </c>
      <c r="T53" s="130">
        <f t="shared" ref="T53" si="75">Q53/S53</f>
        <v>4.3436778311478115</v>
      </c>
      <c r="U53" s="85">
        <f t="shared" ref="U53" si="76">Q51+Q52+Q53</f>
        <v>71805292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1637673.0588235294</v>
      </c>
      <c r="G54" s="190">
        <f t="shared" ref="G54" si="77">F54/F53-1</f>
        <v>0.23573811520882293</v>
      </c>
      <c r="H54" s="190">
        <f t="shared" ref="H54" si="78">F54/F42-1</f>
        <v>0.33539585722317122</v>
      </c>
      <c r="I54" s="130">
        <f t="shared" ref="I54" si="79">T54</f>
        <v>4.2222977154911128</v>
      </c>
      <c r="J54" s="130">
        <f t="shared" ref="J54" si="80">I54/I42-1</f>
        <v>1.5151395512964072E-2</v>
      </c>
      <c r="K54" s="136"/>
      <c r="L54" s="190"/>
      <c r="M54" s="190"/>
      <c r="N54" s="191"/>
      <c r="O54" s="192"/>
      <c r="P54" s="129" t="s">
        <v>1417</v>
      </c>
      <c r="Q54" s="116">
        <v>27840442</v>
      </c>
      <c r="R54" s="116">
        <v>40349297852</v>
      </c>
      <c r="S54" s="116">
        <v>6593671</v>
      </c>
      <c r="T54" s="130">
        <f t="shared" ref="T54" si="81">Q54/S54</f>
        <v>4.2222977154911128</v>
      </c>
      <c r="U54" s="85">
        <f t="shared" ref="U54" si="82">Q52+Q53+Q54</f>
        <v>74999013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4406174.2969187675</v>
      </c>
      <c r="C55" s="188">
        <f>AVERAGE(F53:F55)</f>
        <v>1468724.7656395892</v>
      </c>
      <c r="D55" s="190">
        <f>C55/C52-1</f>
        <v>0.49045372949063504</v>
      </c>
      <c r="E55" s="287">
        <f>C55/C43-1</f>
        <v>0.18474535075063714</v>
      </c>
      <c r="F55" s="136">
        <f>Q55/21</f>
        <v>1443242.2380952381</v>
      </c>
      <c r="G55" s="190">
        <f t="shared" ref="G55" si="83">F55/F54-1</f>
        <v>-0.11872383176894075</v>
      </c>
      <c r="H55" s="190">
        <f t="shared" ref="H55" si="84">F55/F43-1</f>
        <v>-2.1921552708825565E-2</v>
      </c>
      <c r="I55" s="130">
        <f>T55</f>
        <v>4.1578238625864286</v>
      </c>
      <c r="J55" s="130">
        <f t="shared" ref="J55" si="85">I55/I43-1</f>
        <v>-0.127717623129179</v>
      </c>
      <c r="K55" s="136">
        <f>R53+R54+R55</f>
        <v>125345806585</v>
      </c>
      <c r="L55" s="190">
        <f>U55/U52-1</f>
        <v>0.45255292450578954</v>
      </c>
      <c r="M55" s="190">
        <f>K55/K43-1</f>
        <v>0.19123524682130655</v>
      </c>
      <c r="N55" s="191">
        <f>AVERAGE(T53:T55)</f>
        <v>4.2412664697417846</v>
      </c>
      <c r="O55" s="192">
        <f>N55/N52-1</f>
        <v>-2.4379428821114102E-3</v>
      </c>
      <c r="P55" s="129" t="s">
        <v>1418</v>
      </c>
      <c r="Q55" s="116">
        <v>30308087</v>
      </c>
      <c r="R55" s="116">
        <v>44452807839</v>
      </c>
      <c r="S55" s="116">
        <v>7289411</v>
      </c>
      <c r="T55" s="130">
        <f t="shared" ref="T55" si="86">Q55/S55</f>
        <v>4.1578238625864286</v>
      </c>
      <c r="U55" s="85">
        <f t="shared" ref="U55" si="87">Q53+Q54+Q55</f>
        <v>85978968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1582833.5909090908</v>
      </c>
      <c r="G56" s="190">
        <f t="shared" ref="G56" si="88">F56/F55-1</f>
        <v>9.6720667625472601E-2</v>
      </c>
      <c r="H56" s="190">
        <f t="shared" ref="H56" si="89">F56/F44-1</f>
        <v>0.77287481106557987</v>
      </c>
      <c r="I56" s="291">
        <f>T56</f>
        <v>4.1672816644263948</v>
      </c>
      <c r="J56" s="130">
        <f t="shared" ref="J56" si="90">I56/I44-1</f>
        <v>-5.3213850421651165E-2</v>
      </c>
      <c r="K56" s="136"/>
      <c r="L56" s="190"/>
      <c r="M56" s="190"/>
      <c r="N56" s="191"/>
      <c r="O56" s="192"/>
      <c r="P56" s="129" t="s">
        <v>1420</v>
      </c>
      <c r="Q56" s="116">
        <v>34822339</v>
      </c>
      <c r="R56" s="116">
        <v>52171744583</v>
      </c>
      <c r="S56" s="116">
        <v>8356128</v>
      </c>
      <c r="T56" s="130">
        <f t="shared" ref="T56" si="91">Q56/S56</f>
        <v>4.1672816644263948</v>
      </c>
      <c r="U56" s="85">
        <f t="shared" ref="U56" si="92">Q54+Q55+Q56</f>
        <v>92970868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249247.5</v>
      </c>
      <c r="G57" s="254">
        <f t="shared" ref="G57" si="93">F57/F56-1</f>
        <v>-0.84253082482483443</v>
      </c>
      <c r="H57" s="254">
        <f t="shared" ref="H57" si="94">F57/F45-1</f>
        <v>-0.82293843662199806</v>
      </c>
      <c r="I57" s="282">
        <f>T57</f>
        <v>3.7095553945984561</v>
      </c>
      <c r="J57" s="277">
        <f t="shared" ref="J57" si="95">I57/I45-1</f>
        <v>-0.19686973533535501</v>
      </c>
      <c r="K57" s="204"/>
      <c r="L57" s="254"/>
      <c r="M57" s="254"/>
      <c r="N57" s="257"/>
      <c r="O57" s="258"/>
      <c r="P57" s="129" t="s">
        <v>1436</v>
      </c>
      <c r="Q57" s="116">
        <v>2990970</v>
      </c>
      <c r="R57" s="116">
        <v>4415717862</v>
      </c>
      <c r="S57" s="116">
        <v>806288</v>
      </c>
      <c r="T57" s="130">
        <f t="shared" ref="T57" si="96">Q57/S57</f>
        <v>3.7095553945984561</v>
      </c>
      <c r="U57" s="85">
        <f t="shared" ref="U57" si="97">Q55+Q56+Q57</f>
        <v>68121396</v>
      </c>
      <c r="V57" s="79"/>
      <c r="W57" s="79"/>
      <c r="X57" s="79"/>
      <c r="Y57" s="79"/>
      <c r="Z57" s="79"/>
    </row>
    <row r="58" spans="1:26">
      <c r="B58" s="196">
        <f>SUM(F56:F58)</f>
        <v>1832081.0909090908</v>
      </c>
      <c r="C58" s="196">
        <f>AVERAGE(F56:F58)</f>
        <v>916040.54545454541</v>
      </c>
      <c r="D58" s="197">
        <f>C58/C55-1</f>
        <v>-0.37630210446159729</v>
      </c>
      <c r="E58" s="233">
        <f>C58/C46-1</f>
        <v>-0.22552401841766989</v>
      </c>
    </row>
    <row r="63" spans="1:26">
      <c r="P63" s="266"/>
      <c r="Q63" s="266"/>
      <c r="R63" s="266"/>
      <c r="S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7286861</v>
      </c>
      <c r="R66" s="212">
        <v>10716730580</v>
      </c>
      <c r="S66" s="213">
        <v>1247425</v>
      </c>
    </row>
    <row r="67" spans="16:19" ht="18" thickBot="1">
      <c r="P67" s="180" t="s">
        <v>976</v>
      </c>
      <c r="Q67" s="181">
        <v>2082229</v>
      </c>
      <c r="R67" s="181">
        <v>3056352681</v>
      </c>
      <c r="S67" s="182">
        <v>393001</v>
      </c>
    </row>
    <row r="68" spans="16:19" ht="18" thickBot="1">
      <c r="P68" s="180" t="s">
        <v>977</v>
      </c>
      <c r="Q68" s="181">
        <v>1457540</v>
      </c>
      <c r="R68" s="181">
        <v>2106168586</v>
      </c>
      <c r="S68" s="182">
        <v>283947</v>
      </c>
    </row>
    <row r="69" spans="16:19" ht="18" thickBot="1">
      <c r="P69" s="180" t="s">
        <v>978</v>
      </c>
      <c r="Q69" s="181">
        <v>1726149</v>
      </c>
      <c r="R69" s="181">
        <v>2542977621</v>
      </c>
      <c r="S69" s="182">
        <v>253412</v>
      </c>
    </row>
    <row r="70" spans="16:19" ht="18" thickBot="1">
      <c r="P70" s="180" t="s">
        <v>979</v>
      </c>
      <c r="Q70" s="181">
        <v>922929</v>
      </c>
      <c r="R70" s="181">
        <v>1386613683</v>
      </c>
      <c r="S70" s="182">
        <v>150947</v>
      </c>
    </row>
    <row r="71" spans="16:19" ht="18" thickBot="1">
      <c r="P71" s="180" t="s">
        <v>980</v>
      </c>
      <c r="Q71" s="181">
        <v>1098014</v>
      </c>
      <c r="R71" s="181">
        <v>1624618009</v>
      </c>
      <c r="S71" s="182">
        <v>166118</v>
      </c>
    </row>
    <row r="72" spans="16:19" ht="18" thickBot="1">
      <c r="P72" s="180" t="s">
        <v>975</v>
      </c>
      <c r="Q72" s="181">
        <v>12375255</v>
      </c>
      <c r="R72" s="181">
        <v>17589650312</v>
      </c>
      <c r="S72" s="182">
        <v>1755732</v>
      </c>
    </row>
    <row r="73" spans="16:19" ht="18" thickBot="1">
      <c r="P73" s="180" t="s">
        <v>982</v>
      </c>
      <c r="Q73" s="181">
        <v>16403451</v>
      </c>
      <c r="R73" s="181">
        <v>22374030727</v>
      </c>
      <c r="S73" s="182">
        <v>2316665</v>
      </c>
    </row>
    <row r="74" spans="16:19" ht="18" thickBot="1">
      <c r="P74" s="215" t="s">
        <v>1386</v>
      </c>
      <c r="Q74" s="217"/>
      <c r="R74"/>
      <c r="S74"/>
    </row>
  </sheetData>
  <phoneticPr fontId="1" type="noConversion"/>
  <conditionalFormatting sqref="C29:C30">
    <cfRule type="cellIs" dxfId="6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054-D378-4EF3-8FE8-9DDE23FA9B32}">
  <dimension ref="A1:Z71"/>
  <sheetViews>
    <sheetView zoomScale="90" zoomScaleNormal="9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1416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0</v>
      </c>
      <c r="G5" s="90"/>
      <c r="H5" s="90"/>
      <c r="I5" s="130" t="e">
        <f t="shared" ref="I5:I53" si="0">T5</f>
        <v>#DIV/0!</v>
      </c>
      <c r="J5" s="130"/>
      <c r="L5" s="80"/>
      <c r="M5" s="80"/>
      <c r="P5" s="129" t="s">
        <v>0</v>
      </c>
      <c r="Q5" s="116">
        <v>0</v>
      </c>
      <c r="R5" s="116">
        <v>0</v>
      </c>
      <c r="S5" s="116">
        <v>0</v>
      </c>
      <c r="T5" s="130" t="e">
        <f t="shared" ref="T5:T53" si="1">Q5/S5</f>
        <v>#DIV/0!</v>
      </c>
      <c r="U5" s="85"/>
    </row>
    <row r="6" spans="1:21" ht="15" hidden="1" customHeight="1">
      <c r="A6" s="129" t="s">
        <v>1</v>
      </c>
      <c r="C6" s="79"/>
      <c r="F6" s="78">
        <f>Q6/18</f>
        <v>0</v>
      </c>
      <c r="G6" s="90" t="e">
        <f t="shared" ref="G6:G53" si="2">F6/F5-1</f>
        <v>#DIV/0!</v>
      </c>
      <c r="H6" s="90"/>
      <c r="I6" s="130">
        <f t="shared" si="0"/>
        <v>0</v>
      </c>
      <c r="J6" s="130"/>
      <c r="P6" s="129" t="s">
        <v>1</v>
      </c>
      <c r="Q6" s="116">
        <v>0</v>
      </c>
      <c r="R6" s="116">
        <v>159</v>
      </c>
      <c r="S6" s="116">
        <v>1620</v>
      </c>
      <c r="T6" s="130">
        <f t="shared" si="1"/>
        <v>0</v>
      </c>
      <c r="U6" s="85"/>
    </row>
    <row r="7" spans="1:21" ht="15" hidden="1" customHeight="1">
      <c r="A7" s="129" t="s">
        <v>2</v>
      </c>
      <c r="B7" s="131">
        <f>F5+F6+F7</f>
        <v>60415.590909090912</v>
      </c>
      <c r="C7" s="131">
        <f>AVERAGE(F5:F7)</f>
        <v>20138.530303030304</v>
      </c>
      <c r="F7" s="78">
        <f>Q7/22</f>
        <v>60415.590909090912</v>
      </c>
      <c r="G7" s="90" t="e">
        <f t="shared" si="2"/>
        <v>#DIV/0!</v>
      </c>
      <c r="H7" s="90"/>
      <c r="I7" s="130">
        <f t="shared" si="0"/>
        <v>14.859642356045233</v>
      </c>
      <c r="J7" s="130"/>
      <c r="K7" s="79">
        <f>R5+R6+R7</f>
        <v>1625279252</v>
      </c>
      <c r="N7" s="88" t="e">
        <f>AVERAGE(T5:T7)</f>
        <v>#DIV/0!</v>
      </c>
      <c r="P7" s="129" t="s">
        <v>2</v>
      </c>
      <c r="Q7" s="116">
        <v>1329143</v>
      </c>
      <c r="R7" s="116">
        <v>1625279093</v>
      </c>
      <c r="S7" s="116">
        <v>89446.5</v>
      </c>
      <c r="T7" s="130">
        <f t="shared" si="1"/>
        <v>14.859642356045233</v>
      </c>
      <c r="U7" s="85">
        <f>Q5+Q6+Q7</f>
        <v>1329143</v>
      </c>
    </row>
    <row r="8" spans="1:21" ht="15" hidden="1" customHeight="1">
      <c r="A8" s="129" t="s">
        <v>3</v>
      </c>
      <c r="C8" s="79"/>
      <c r="F8" s="78">
        <f>Q8/21</f>
        <v>75311.142857142855</v>
      </c>
      <c r="G8" s="90">
        <f t="shared" si="2"/>
        <v>0.24655145673350631</v>
      </c>
      <c r="H8" s="90"/>
      <c r="I8" s="130">
        <f t="shared" si="0"/>
        <v>15.654412638080531</v>
      </c>
      <c r="J8" s="130"/>
      <c r="K8" s="78"/>
      <c r="P8" s="129" t="s">
        <v>3</v>
      </c>
      <c r="Q8" s="116">
        <v>1581534</v>
      </c>
      <c r="R8" s="116">
        <v>1926428352</v>
      </c>
      <c r="S8" s="116">
        <v>101028</v>
      </c>
      <c r="T8" s="130">
        <f t="shared" si="1"/>
        <v>15.654412638080531</v>
      </c>
      <c r="U8" s="85"/>
    </row>
    <row r="9" spans="1:21" ht="15" hidden="1" customHeight="1">
      <c r="A9" s="129" t="s">
        <v>4</v>
      </c>
      <c r="C9" s="79"/>
      <c r="F9" s="78">
        <f>Q9/21</f>
        <v>85525.571428571435</v>
      </c>
      <c r="G9" s="90">
        <f t="shared" si="2"/>
        <v>0.13562971140677349</v>
      </c>
      <c r="H9" s="90"/>
      <c r="I9" s="130">
        <f t="shared" si="0"/>
        <v>16.571052922940655</v>
      </c>
      <c r="J9" s="130"/>
      <c r="K9" s="78"/>
      <c r="P9" s="129" t="s">
        <v>4</v>
      </c>
      <c r="Q9" s="116">
        <v>1796037</v>
      </c>
      <c r="R9" s="116">
        <v>2262331611</v>
      </c>
      <c r="S9" s="116">
        <v>108384</v>
      </c>
      <c r="T9" s="130">
        <f t="shared" si="1"/>
        <v>16.571052922940655</v>
      </c>
      <c r="U9" s="85"/>
    </row>
    <row r="10" spans="1:21" ht="15" hidden="1" customHeight="1">
      <c r="A10" s="129" t="s">
        <v>5</v>
      </c>
      <c r="B10" s="131">
        <f>F8+F9+F10</f>
        <v>385736.95238095243</v>
      </c>
      <c r="C10" s="131">
        <f>AVERAGE(F8:F10)</f>
        <v>128578.98412698414</v>
      </c>
      <c r="D10" s="90">
        <f>C10/C7-1</f>
        <v>5.3847253097529411</v>
      </c>
      <c r="E10" s="286"/>
      <c r="F10" s="78">
        <f>Q10/21</f>
        <v>224900.23809523811</v>
      </c>
      <c r="G10" s="90">
        <f t="shared" si="2"/>
        <v>1.6296256702952112</v>
      </c>
      <c r="H10" s="90"/>
      <c r="I10" s="130">
        <f t="shared" si="0"/>
        <v>16.18066980549882</v>
      </c>
      <c r="J10" s="130"/>
      <c r="K10" s="79">
        <f>R8+R9+R10</f>
        <v>10061623568</v>
      </c>
      <c r="L10" s="87">
        <f>U10/U7-1</f>
        <v>5.0945105229459884</v>
      </c>
      <c r="N10" s="88">
        <f>AVERAGE(T8:T10)</f>
        <v>16.135378455506668</v>
      </c>
      <c r="O10" s="89" t="e">
        <f>N10/N7-1</f>
        <v>#DIV/0!</v>
      </c>
      <c r="P10" s="129" t="s">
        <v>5</v>
      </c>
      <c r="Q10" s="116">
        <v>4722905</v>
      </c>
      <c r="R10" s="116">
        <v>5872863605</v>
      </c>
      <c r="S10" s="116">
        <v>291885.63</v>
      </c>
      <c r="T10" s="130">
        <f t="shared" si="1"/>
        <v>16.18066980549882</v>
      </c>
      <c r="U10" s="85">
        <f>Q8+Q9+Q10</f>
        <v>8100476</v>
      </c>
    </row>
    <row r="11" spans="1:21" ht="15" hidden="1" customHeight="1">
      <c r="A11" s="129" t="s">
        <v>6</v>
      </c>
      <c r="C11" s="79"/>
      <c r="F11" s="78">
        <f>Q11/21</f>
        <v>47646.619047619046</v>
      </c>
      <c r="G11" s="90">
        <f t="shared" si="2"/>
        <v>-0.78814331433725648</v>
      </c>
      <c r="H11" s="90"/>
      <c r="I11" s="130">
        <f t="shared" si="0"/>
        <v>15.25161268687657</v>
      </c>
      <c r="J11" s="130"/>
      <c r="K11" s="78"/>
      <c r="O11" s="89"/>
      <c r="P11" s="129" t="s">
        <v>6</v>
      </c>
      <c r="Q11" s="116">
        <v>1000579</v>
      </c>
      <c r="R11" s="116">
        <v>1299783652</v>
      </c>
      <c r="S11" s="116">
        <v>65604.800000000003</v>
      </c>
      <c r="T11" s="130">
        <f t="shared" si="1"/>
        <v>15.25161268687657</v>
      </c>
      <c r="U11" s="85"/>
    </row>
    <row r="12" spans="1:21" ht="15" hidden="1" customHeight="1">
      <c r="A12" s="129" t="s">
        <v>7</v>
      </c>
      <c r="C12" s="79"/>
      <c r="F12" s="78">
        <f>Q12/22</f>
        <v>36643.772727272728</v>
      </c>
      <c r="G12" s="90">
        <f t="shared" si="2"/>
        <v>-0.23092606653474912</v>
      </c>
      <c r="H12" s="90"/>
      <c r="I12" s="130">
        <f t="shared" si="0"/>
        <v>15.959199429861028</v>
      </c>
      <c r="J12" s="130"/>
      <c r="K12" s="78"/>
      <c r="O12" s="89"/>
      <c r="P12" s="129" t="s">
        <v>7</v>
      </c>
      <c r="Q12" s="116">
        <v>806163</v>
      </c>
      <c r="R12" s="116">
        <v>1042319936</v>
      </c>
      <c r="S12" s="116">
        <v>50514</v>
      </c>
      <c r="T12" s="130">
        <f t="shared" si="1"/>
        <v>15.959199429861028</v>
      </c>
      <c r="U12" s="85"/>
    </row>
    <row r="13" spans="1:21" ht="15" hidden="1" customHeight="1">
      <c r="A13" s="129" t="s">
        <v>35</v>
      </c>
      <c r="B13" s="131">
        <f>F11+F12+F13</f>
        <v>180071.54177489178</v>
      </c>
      <c r="C13" s="131">
        <f>AVERAGE(F11:F13)</f>
        <v>60023.847258297261</v>
      </c>
      <c r="D13" s="90">
        <f>C13/C10-1</f>
        <v>-0.53317528781361401</v>
      </c>
      <c r="E13" s="286"/>
      <c r="F13" s="78">
        <f>Q13/20</f>
        <v>95781.15</v>
      </c>
      <c r="G13" s="90">
        <f t="shared" si="2"/>
        <v>1.6138452149255174</v>
      </c>
      <c r="H13" s="90"/>
      <c r="I13" s="130">
        <f t="shared" si="0"/>
        <v>16.265245300320952</v>
      </c>
      <c r="J13" s="130"/>
      <c r="K13" s="78">
        <f>R11+R12+R13</f>
        <v>4899192345</v>
      </c>
      <c r="L13" s="87">
        <f>U13/U10-1</f>
        <v>-0.54047576957205967</v>
      </c>
      <c r="N13" s="88">
        <f>AVERAGE(T11:T13)</f>
        <v>15.825352472352852</v>
      </c>
      <c r="O13" s="89">
        <f>N13/N10-1</f>
        <v>-1.9214050913569425E-2</v>
      </c>
      <c r="P13" s="129" t="s">
        <v>35</v>
      </c>
      <c r="Q13" s="116">
        <v>1915623</v>
      </c>
      <c r="R13" s="116">
        <v>2557088757</v>
      </c>
      <c r="S13" s="116">
        <v>117774</v>
      </c>
      <c r="T13" s="130">
        <f t="shared" si="1"/>
        <v>16.265245300320952</v>
      </c>
      <c r="U13" s="85">
        <f>Q11+Q12+Q13</f>
        <v>3722365</v>
      </c>
    </row>
    <row r="14" spans="1:21" ht="15" hidden="1" customHeight="1">
      <c r="A14" s="129" t="s">
        <v>36</v>
      </c>
      <c r="C14" s="79"/>
      <c r="F14" s="78">
        <f>Q14/20</f>
        <v>82757.399999999994</v>
      </c>
      <c r="G14" s="90">
        <f t="shared" si="2"/>
        <v>-0.13597404082118458</v>
      </c>
      <c r="H14" s="90"/>
      <c r="I14" s="130">
        <f t="shared" si="0"/>
        <v>16.335621102748284</v>
      </c>
      <c r="J14" s="130"/>
      <c r="O14" s="89"/>
      <c r="P14" s="129" t="s">
        <v>36</v>
      </c>
      <c r="Q14" s="116">
        <v>1655148</v>
      </c>
      <c r="R14" s="116">
        <v>2364676843</v>
      </c>
      <c r="S14" s="116">
        <v>101321.4</v>
      </c>
      <c r="T14" s="130">
        <f t="shared" si="1"/>
        <v>16.335621102748284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47067.090909090912</v>
      </c>
      <c r="G15" s="90">
        <f t="shared" si="2"/>
        <v>-0.43126426266302575</v>
      </c>
      <c r="H15" s="90"/>
      <c r="I15" s="130">
        <f t="shared" si="0"/>
        <v>17.260781362258108</v>
      </c>
      <c r="J15" s="130"/>
      <c r="O15" s="89"/>
      <c r="P15" s="129" t="s">
        <v>37</v>
      </c>
      <c r="Q15" s="116">
        <v>1035476</v>
      </c>
      <c r="R15" s="116">
        <v>1387674877</v>
      </c>
      <c r="S15" s="116">
        <v>59990.1</v>
      </c>
      <c r="T15" s="130">
        <f t="shared" si="1"/>
        <v>17.260781362258108</v>
      </c>
      <c r="U15" s="85"/>
    </row>
    <row r="16" spans="1:21" ht="15" hidden="1" customHeight="1">
      <c r="A16" s="129" t="s">
        <v>38</v>
      </c>
      <c r="B16" s="131">
        <f>F14+F15+F16</f>
        <v>198241.03636363638</v>
      </c>
      <c r="C16" s="131">
        <f>AVERAGE(F14:F16)</f>
        <v>66080.345454545459</v>
      </c>
      <c r="D16" s="90">
        <f>C16/C13-1</f>
        <v>0.10090153285552672</v>
      </c>
      <c r="E16" s="286"/>
      <c r="F16" s="78">
        <f>Q16/22</f>
        <v>68416.545454545456</v>
      </c>
      <c r="G16" s="90">
        <f t="shared" si="2"/>
        <v>0.45359622048217441</v>
      </c>
      <c r="H16" s="90"/>
      <c r="I16" s="130">
        <f t="shared" si="0"/>
        <v>19.217716063072693</v>
      </c>
      <c r="J16" s="130"/>
      <c r="K16" s="78">
        <f>R14+R15+R16</f>
        <v>5723542793</v>
      </c>
      <c r="L16" s="87">
        <f>U16/U13-1</f>
        <v>0.12718339012966218</v>
      </c>
      <c r="N16" s="88">
        <f>AVERAGE(T14:T16)</f>
        <v>17.604706176026362</v>
      </c>
      <c r="O16" s="89">
        <f>N16/N13-1</f>
        <v>0.11243690823203267</v>
      </c>
      <c r="P16" s="129" t="s">
        <v>38</v>
      </c>
      <c r="Q16" s="116">
        <v>1505164</v>
      </c>
      <c r="R16" s="116">
        <v>1971191073</v>
      </c>
      <c r="S16" s="116">
        <v>78321.69</v>
      </c>
      <c r="T16" s="130">
        <f t="shared" si="1"/>
        <v>19.217716063072693</v>
      </c>
      <c r="U16" s="85">
        <f>Q14+Q15+Q16</f>
        <v>4195788</v>
      </c>
    </row>
    <row r="17" spans="1:26" ht="15" hidden="1" customHeight="1">
      <c r="A17" s="129" t="s">
        <v>85</v>
      </c>
      <c r="C17" s="79"/>
      <c r="F17" s="78">
        <f>Q17/20</f>
        <v>106111.9</v>
      </c>
      <c r="G17" s="90">
        <f t="shared" si="2"/>
        <v>0.55096839945680331</v>
      </c>
      <c r="H17" s="90" t="e">
        <f t="shared" ref="H17:H53" si="3">F17/F5-1</f>
        <v>#DIV/0!</v>
      </c>
      <c r="I17" s="130">
        <f t="shared" si="0"/>
        <v>19.760682328184213</v>
      </c>
      <c r="J17" s="130" t="e">
        <f t="shared" ref="J17:J53" si="4">I17/I5-1</f>
        <v>#DIV/0!</v>
      </c>
      <c r="O17" s="89"/>
      <c r="P17" s="129" t="s">
        <v>85</v>
      </c>
      <c r="Q17" s="116">
        <v>2122238</v>
      </c>
      <c r="R17" s="116">
        <v>2687237824</v>
      </c>
      <c r="S17" s="116">
        <v>107397</v>
      </c>
      <c r="T17" s="130">
        <f t="shared" si="1"/>
        <v>19.760682328184213</v>
      </c>
      <c r="U17" s="78"/>
    </row>
    <row r="18" spans="1:26" hidden="1">
      <c r="A18" s="129" t="s">
        <v>106</v>
      </c>
      <c r="C18" s="79"/>
      <c r="F18" s="78">
        <f>Q18/20</f>
        <v>139497.45000000001</v>
      </c>
      <c r="G18" s="90">
        <f t="shared" si="2"/>
        <v>0.31462588079188114</v>
      </c>
      <c r="H18" s="90" t="e">
        <f t="shared" si="3"/>
        <v>#DIV/0!</v>
      </c>
      <c r="I18" s="130">
        <f t="shared" si="0"/>
        <v>19.160684852480632</v>
      </c>
      <c r="J18" s="130" t="e">
        <f t="shared" si="4"/>
        <v>#DIV/0!</v>
      </c>
      <c r="O18" s="89"/>
      <c r="P18" s="129" t="s">
        <v>106</v>
      </c>
      <c r="Q18" s="116">
        <v>2789949</v>
      </c>
      <c r="R18" s="116">
        <v>3566223311</v>
      </c>
      <c r="S18" s="116">
        <v>145608</v>
      </c>
      <c r="T18" s="130">
        <f t="shared" si="1"/>
        <v>19.160684852480632</v>
      </c>
      <c r="U18" s="78"/>
    </row>
    <row r="19" spans="1:26" hidden="1">
      <c r="A19" s="129" t="s">
        <v>114</v>
      </c>
      <c r="B19" s="131">
        <f>SUM(F17:F19)</f>
        <v>369711.94090909092</v>
      </c>
      <c r="C19" s="131">
        <f>AVERAGE(F17:F19)</f>
        <v>123237.31363636364</v>
      </c>
      <c r="D19" s="90">
        <f>C19/C16-1</f>
        <v>0.86496170364506675</v>
      </c>
      <c r="E19" s="286">
        <f>C19/C7-1</f>
        <v>5.1194790176828224</v>
      </c>
      <c r="F19" s="78">
        <f>Q19/22</f>
        <v>124102.59090909091</v>
      </c>
      <c r="G19" s="90">
        <f t="shared" si="2"/>
        <v>-0.11035943016097494</v>
      </c>
      <c r="H19" s="90">
        <f t="shared" si="3"/>
        <v>1.054148424962551</v>
      </c>
      <c r="I19" s="130">
        <f t="shared" si="0"/>
        <v>19.809028468045746</v>
      </c>
      <c r="J19" s="130">
        <f t="shared" si="4"/>
        <v>0.33307572237678995</v>
      </c>
      <c r="K19" s="78">
        <f>R17+R18+R19</f>
        <v>9832022383</v>
      </c>
      <c r="L19" s="87">
        <f>U19/U16-1</f>
        <v>0.82145618415420407</v>
      </c>
      <c r="M19" s="87">
        <f>U19/U7-1</f>
        <v>4.7499035092537074</v>
      </c>
      <c r="N19" s="88">
        <f>AVERAGE(T17:T19)</f>
        <v>19.576798549570196</v>
      </c>
      <c r="O19" s="89">
        <f>N19/N16-1</f>
        <v>0.11202074910113402</v>
      </c>
      <c r="P19" s="129" t="s">
        <v>114</v>
      </c>
      <c r="Q19" s="116">
        <v>2730257</v>
      </c>
      <c r="R19" s="116">
        <v>3578561248</v>
      </c>
      <c r="S19" s="116">
        <v>137828.92000000001</v>
      </c>
      <c r="T19" s="130">
        <f t="shared" si="1"/>
        <v>19.809028468045746</v>
      </c>
      <c r="U19" s="85">
        <f>Q17+Q18+Q19</f>
        <v>7642444</v>
      </c>
    </row>
    <row r="20" spans="1:26" hidden="1">
      <c r="A20" s="129" t="s">
        <v>131</v>
      </c>
      <c r="B20" s="131"/>
      <c r="C20" s="131"/>
      <c r="D20" s="90"/>
      <c r="E20" s="286"/>
      <c r="F20" s="78">
        <f>Q20/20</f>
        <v>193238.9</v>
      </c>
      <c r="G20" s="90">
        <f t="shared" si="2"/>
        <v>0.55708997358124157</v>
      </c>
      <c r="H20" s="90">
        <f t="shared" si="3"/>
        <v>1.5658739552864498</v>
      </c>
      <c r="I20" s="130">
        <f t="shared" si="0"/>
        <v>19.423142256932927</v>
      </c>
      <c r="J20" s="130">
        <f t="shared" si="4"/>
        <v>0.24074551412326239</v>
      </c>
      <c r="O20" s="89"/>
      <c r="P20" s="129" t="s">
        <v>131</v>
      </c>
      <c r="Q20" s="116">
        <v>3864778</v>
      </c>
      <c r="R20" s="116">
        <v>5070241270</v>
      </c>
      <c r="S20" s="116">
        <v>198978</v>
      </c>
      <c r="T20" s="130">
        <f t="shared" si="1"/>
        <v>19.423142256932927</v>
      </c>
      <c r="U20" s="78"/>
    </row>
    <row r="21" spans="1:26" hidden="1">
      <c r="A21" s="129" t="s">
        <v>141</v>
      </c>
      <c r="B21" s="131"/>
      <c r="C21" s="131"/>
      <c r="D21" s="90"/>
      <c r="E21" s="286"/>
      <c r="F21" s="78">
        <f>Q21/21</f>
        <v>186714.85714285713</v>
      </c>
      <c r="G21" s="90">
        <f t="shared" si="2"/>
        <v>-3.3761540027100412E-2</v>
      </c>
      <c r="H21" s="90">
        <f t="shared" si="3"/>
        <v>1.1831465610118275</v>
      </c>
      <c r="I21" s="130">
        <f t="shared" si="0"/>
        <v>20.384777748895242</v>
      </c>
      <c r="J21" s="130">
        <f t="shared" si="4"/>
        <v>0.23014378408477221</v>
      </c>
      <c r="O21" s="89"/>
      <c r="P21" s="129" t="s">
        <v>141</v>
      </c>
      <c r="Q21" s="116">
        <v>3921012</v>
      </c>
      <c r="R21" s="116">
        <v>5218324815</v>
      </c>
      <c r="S21" s="116">
        <v>192350</v>
      </c>
      <c r="T21" s="130">
        <f t="shared" si="1"/>
        <v>20.384777748895242</v>
      </c>
      <c r="U21" s="78"/>
    </row>
    <row r="22" spans="1:26" hidden="1">
      <c r="A22" s="129" t="s">
        <v>155</v>
      </c>
      <c r="B22" s="131">
        <f>SUM(F20:F22)</f>
        <v>493782.89999999997</v>
      </c>
      <c r="C22" s="131">
        <f>AVERAGE(F20:F22)</f>
        <v>164594.29999999999</v>
      </c>
      <c r="D22" s="90">
        <f>C22/C19-1</f>
        <v>0.33558818464404716</v>
      </c>
      <c r="E22" s="286">
        <f>C22/C10-1</f>
        <v>0.28010266310276055</v>
      </c>
      <c r="F22" s="78">
        <f>Q22/21</f>
        <v>113829.14285714286</v>
      </c>
      <c r="G22" s="90">
        <f t="shared" si="2"/>
        <v>-0.39035840747235662</v>
      </c>
      <c r="H22" s="90">
        <f t="shared" si="3"/>
        <v>-0.49386828657362369</v>
      </c>
      <c r="I22" s="130">
        <f t="shared" si="0"/>
        <v>20.779866997000912</v>
      </c>
      <c r="J22" s="130">
        <f t="shared" si="4"/>
        <v>0.28424022285771544</v>
      </c>
      <c r="K22" s="78">
        <f>R20+R21+R22</f>
        <v>13381601459</v>
      </c>
      <c r="L22" s="87">
        <f>U22/U19-1</f>
        <v>0.33153765994229079</v>
      </c>
      <c r="M22" s="87">
        <f>U22/U10-1</f>
        <v>0.25624741064599177</v>
      </c>
      <c r="N22" s="88">
        <f>AVERAGE(T20:T22)</f>
        <v>20.195929000943025</v>
      </c>
      <c r="O22" s="89">
        <f>N22/N19-1</f>
        <v>3.1625725207578448E-2</v>
      </c>
      <c r="P22" s="129" t="s">
        <v>155</v>
      </c>
      <c r="Q22" s="116">
        <v>2390412</v>
      </c>
      <c r="R22" s="116">
        <v>3093035374</v>
      </c>
      <c r="S22" s="116">
        <v>115035</v>
      </c>
      <c r="T22" s="130">
        <f t="shared" si="1"/>
        <v>20.779866997000912</v>
      </c>
      <c r="U22" s="85">
        <f>Q20+Q21+Q22</f>
        <v>10176202</v>
      </c>
    </row>
    <row r="23" spans="1:26" hidden="1">
      <c r="A23" s="129" t="s">
        <v>189</v>
      </c>
      <c r="B23" s="131"/>
      <c r="C23" s="131"/>
      <c r="F23" s="78">
        <f>Q23/21</f>
        <v>171520.57142857142</v>
      </c>
      <c r="G23" s="90">
        <f t="shared" si="2"/>
        <v>0.50682476493591899</v>
      </c>
      <c r="H23" s="90">
        <f t="shared" si="3"/>
        <v>2.5998476881885386</v>
      </c>
      <c r="I23" s="130">
        <f t="shared" si="0"/>
        <v>17.412919257060537</v>
      </c>
      <c r="J23" s="130">
        <f t="shared" si="4"/>
        <v>0.1417100351652445</v>
      </c>
      <c r="O23" s="89"/>
      <c r="P23" s="129" t="s">
        <v>189</v>
      </c>
      <c r="Q23" s="116">
        <v>3601932</v>
      </c>
      <c r="R23" s="116">
        <v>4681073203</v>
      </c>
      <c r="S23" s="116">
        <v>206854</v>
      </c>
      <c r="T23" s="130">
        <f t="shared" si="1"/>
        <v>17.412919257060537</v>
      </c>
      <c r="U23" s="78"/>
    </row>
    <row r="24" spans="1:26" hidden="1">
      <c r="A24" s="129" t="s">
        <v>204</v>
      </c>
      <c r="B24" s="131"/>
      <c r="C24" s="131"/>
      <c r="F24" s="78">
        <f>Q24/22</f>
        <v>287013.90909090912</v>
      </c>
      <c r="G24" s="90">
        <f t="shared" si="2"/>
        <v>0.67334977198600421</v>
      </c>
      <c r="H24" s="90">
        <f t="shared" si="3"/>
        <v>6.8325425503279122</v>
      </c>
      <c r="I24" s="130">
        <f t="shared" si="0"/>
        <v>21.309149936386124</v>
      </c>
      <c r="J24" s="130">
        <f t="shared" si="4"/>
        <v>0.33522674680754228</v>
      </c>
      <c r="O24" s="89"/>
      <c r="P24" s="129" t="s">
        <v>204</v>
      </c>
      <c r="Q24" s="116">
        <v>6314306</v>
      </c>
      <c r="R24" s="116">
        <v>8312740555</v>
      </c>
      <c r="S24" s="116">
        <v>296319</v>
      </c>
      <c r="T24" s="130">
        <f t="shared" si="1"/>
        <v>21.309149936386124</v>
      </c>
      <c r="U24" s="78"/>
    </row>
    <row r="25" spans="1:26" ht="13.2" hidden="1">
      <c r="A25" s="129" t="s">
        <v>217</v>
      </c>
      <c r="B25" s="131">
        <f>SUM(F23:F25)</f>
        <v>622220.79630895425</v>
      </c>
      <c r="C25" s="131">
        <f>AVERAGE(F23:F25)</f>
        <v>207406.93210298475</v>
      </c>
      <c r="D25" s="90">
        <f>C25/C22-1</f>
        <v>0.26011005303941115</v>
      </c>
      <c r="E25" s="286">
        <f>C25/C13-1</f>
        <v>2.4554088345997234</v>
      </c>
      <c r="F25" s="78">
        <f>Q25/19</f>
        <v>163686.31578947368</v>
      </c>
      <c r="G25" s="90">
        <f t="shared" si="2"/>
        <v>-0.42969204416630735</v>
      </c>
      <c r="H25" s="90">
        <f t="shared" si="3"/>
        <v>0.70896168807196092</v>
      </c>
      <c r="I25" s="130">
        <f t="shared" si="0"/>
        <v>21.707242168741974</v>
      </c>
      <c r="J25" s="130">
        <f t="shared" si="4"/>
        <v>0.33457822294961881</v>
      </c>
      <c r="K25" s="78">
        <f>R23+R24+R25</f>
        <v>17119910201</v>
      </c>
      <c r="L25" s="90">
        <f>U25/U22-1</f>
        <v>0.28007266365192041</v>
      </c>
      <c r="M25" s="90">
        <f>U25/U13-1</f>
        <v>2.4994628414999602</v>
      </c>
      <c r="N25" s="88">
        <f>AVERAGE(T23:T25)</f>
        <v>20.14310378739621</v>
      </c>
      <c r="O25" s="91">
        <f>N25/N22-1</f>
        <v>-2.6156367228439281E-3</v>
      </c>
      <c r="P25" s="129" t="s">
        <v>217</v>
      </c>
      <c r="Q25" s="116">
        <v>3110040</v>
      </c>
      <c r="R25" s="116">
        <v>4126096443</v>
      </c>
      <c r="S25" s="116">
        <v>143272</v>
      </c>
      <c r="T25" s="130">
        <f t="shared" si="1"/>
        <v>21.707242168741974</v>
      </c>
      <c r="U25" s="85">
        <f>Q23+Q24+Q25</f>
        <v>13026278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86"/>
      <c r="F26" s="78">
        <f>Q26/19</f>
        <v>243310.05263157896</v>
      </c>
      <c r="G26" s="90">
        <f t="shared" si="2"/>
        <v>0.48644101040501098</v>
      </c>
      <c r="H26" s="90">
        <f t="shared" si="3"/>
        <v>1.9400398348858103</v>
      </c>
      <c r="I26" s="130">
        <f t="shared" si="0"/>
        <v>21.395339473318831</v>
      </c>
      <c r="J26" s="130">
        <f t="shared" si="4"/>
        <v>0.30973529189651106</v>
      </c>
      <c r="L26" s="90"/>
      <c r="M26" s="90"/>
      <c r="P26" s="129" t="s">
        <v>312</v>
      </c>
      <c r="Q26" s="116">
        <v>4622891</v>
      </c>
      <c r="R26" s="116">
        <v>6204057305</v>
      </c>
      <c r="S26" s="116">
        <v>216070</v>
      </c>
      <c r="T26" s="130">
        <f t="shared" si="1"/>
        <v>21.395339473318831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86"/>
      <c r="F27" s="78">
        <f>Q27/22</f>
        <v>119113.63636363637</v>
      </c>
      <c r="G27" s="90">
        <f t="shared" si="2"/>
        <v>-0.51044506761913899</v>
      </c>
      <c r="H27" s="90">
        <f t="shared" si="3"/>
        <v>1.5307201712062857</v>
      </c>
      <c r="I27" s="130">
        <f t="shared" si="0"/>
        <v>20.38363708491821</v>
      </c>
      <c r="J27" s="130">
        <f t="shared" si="4"/>
        <v>0.18092203690665132</v>
      </c>
      <c r="L27" s="90"/>
      <c r="M27" s="90"/>
      <c r="P27" s="129" t="s">
        <v>373</v>
      </c>
      <c r="Q27" s="116">
        <v>2620500</v>
      </c>
      <c r="R27" s="116">
        <v>3448404540</v>
      </c>
      <c r="S27" s="116">
        <v>128559</v>
      </c>
      <c r="T27" s="130">
        <f t="shared" si="1"/>
        <v>20.38363708491821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634064.8468899522</v>
      </c>
      <c r="C28" s="131">
        <f>AVERAGE(F26:F28)</f>
        <v>211354.94896331741</v>
      </c>
      <c r="D28" s="90">
        <f>C28/C25-1</f>
        <v>1.9035124912663681E-2</v>
      </c>
      <c r="E28" s="286">
        <f>C28/C16-1</f>
        <v>2.1984540563381541</v>
      </c>
      <c r="F28" s="78">
        <f>Q28/19</f>
        <v>271641.15789473685</v>
      </c>
      <c r="G28" s="90">
        <f t="shared" si="2"/>
        <v>1.2805210737203629</v>
      </c>
      <c r="H28" s="90">
        <f t="shared" si="3"/>
        <v>2.9704015467312601</v>
      </c>
      <c r="I28" s="130">
        <f t="shared" si="0"/>
        <v>21.33292826585653</v>
      </c>
      <c r="J28" s="130">
        <f t="shared" si="4"/>
        <v>0.1100657432882084</v>
      </c>
      <c r="K28" s="78">
        <f>R26+R27+R28</f>
        <v>16415585733</v>
      </c>
      <c r="L28" s="90">
        <f>U28/U25-1</f>
        <v>-4.7726986941319716E-2</v>
      </c>
      <c r="M28" s="90">
        <f>U28/U16-1</f>
        <v>1.9564346435043904</v>
      </c>
      <c r="N28" s="88">
        <f>AVERAGE(T26:T28)</f>
        <v>21.037301608031189</v>
      </c>
      <c r="O28" s="91">
        <f>N28/N25-1</f>
        <v>4.4392256033277677E-2</v>
      </c>
      <c r="P28" s="129" t="s">
        <v>413</v>
      </c>
      <c r="Q28" s="116">
        <v>5161182</v>
      </c>
      <c r="R28" s="116">
        <v>6763123888</v>
      </c>
      <c r="S28" s="116">
        <v>241935</v>
      </c>
      <c r="T28" s="130">
        <f t="shared" si="1"/>
        <v>21.33292826585653</v>
      </c>
      <c r="U28" s="85">
        <f>Q26+Q27+Q28</f>
        <v>12404573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87"/>
      <c r="F29" s="136">
        <f>Q29/22</f>
        <v>212214</v>
      </c>
      <c r="G29" s="190">
        <f t="shared" si="2"/>
        <v>-0.21877081645251029</v>
      </c>
      <c r="H29" s="190">
        <f t="shared" si="3"/>
        <v>0.9999076446656785</v>
      </c>
      <c r="I29" s="130">
        <f t="shared" si="0"/>
        <v>20.896647107005222</v>
      </c>
      <c r="J29" s="130">
        <f t="shared" si="4"/>
        <v>5.7486111054009914E-2</v>
      </c>
      <c r="K29" s="136"/>
      <c r="L29" s="190"/>
      <c r="M29" s="190"/>
      <c r="N29" s="191"/>
      <c r="O29" s="192"/>
      <c r="P29" s="129" t="s">
        <v>426</v>
      </c>
      <c r="Q29" s="116">
        <v>4668708</v>
      </c>
      <c r="R29" s="116">
        <v>6110852363</v>
      </c>
      <c r="S29" s="116">
        <v>223419</v>
      </c>
      <c r="T29" s="130">
        <f t="shared" si="1"/>
        <v>20.896647107005222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87"/>
      <c r="F30" s="136">
        <f>Q30/19</f>
        <v>233892.21052631579</v>
      </c>
      <c r="G30" s="190">
        <f t="shared" si="2"/>
        <v>0.10215259373234464</v>
      </c>
      <c r="H30" s="190">
        <f t="shared" si="3"/>
        <v>0.67667731937978637</v>
      </c>
      <c r="I30" s="130">
        <f t="shared" si="0"/>
        <v>20.936065164442226</v>
      </c>
      <c r="J30" s="130">
        <f t="shared" si="4"/>
        <v>9.2657455911955289E-2</v>
      </c>
      <c r="K30" s="136"/>
      <c r="L30" s="190"/>
      <c r="M30" s="190"/>
      <c r="N30" s="191"/>
      <c r="O30" s="192"/>
      <c r="P30" s="129" t="s">
        <v>466</v>
      </c>
      <c r="Q30" s="116">
        <v>4443952</v>
      </c>
      <c r="R30" s="116">
        <v>5916352536</v>
      </c>
      <c r="S30" s="116">
        <v>212263</v>
      </c>
      <c r="T30" s="130">
        <f t="shared" si="1"/>
        <v>20.936065164442226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634185.61052631575</v>
      </c>
      <c r="C31" s="188">
        <f>AVERAGE(F29:F31)</f>
        <v>211395.20350877193</v>
      </c>
      <c r="D31" s="190">
        <f>C31/C28-1</f>
        <v>1.9045944110596125E-4</v>
      </c>
      <c r="E31" s="287">
        <f>C31/C19-1</f>
        <v>0.71535062937622751</v>
      </c>
      <c r="F31" s="136">
        <f>Q31/20</f>
        <v>188079.4</v>
      </c>
      <c r="G31" s="190">
        <f t="shared" si="2"/>
        <v>-0.19587146755860552</v>
      </c>
      <c r="H31" s="190">
        <f t="shared" si="3"/>
        <v>0.51551549909037853</v>
      </c>
      <c r="I31" s="130">
        <f t="shared" si="0"/>
        <v>20.676029613603923</v>
      </c>
      <c r="J31" s="130">
        <f t="shared" si="4"/>
        <v>4.3767979179632599E-2</v>
      </c>
      <c r="K31" s="136">
        <f>R29+R30+R31</f>
        <v>17036523251</v>
      </c>
      <c r="L31" s="190">
        <f>U31/U28-1</f>
        <v>3.7863052601649461E-2</v>
      </c>
      <c r="M31" s="190">
        <f>U31/U19-1</f>
        <v>0.68457210808479596</v>
      </c>
      <c r="N31" s="191">
        <f>AVERAGE(T29:T31)</f>
        <v>20.836247295017124</v>
      </c>
      <c r="O31" s="192">
        <f>N31/N28-1</f>
        <v>-9.5570390518768811E-3</v>
      </c>
      <c r="P31" s="129" t="s">
        <v>505</v>
      </c>
      <c r="Q31" s="116">
        <v>3761588</v>
      </c>
      <c r="R31" s="116">
        <v>5009318352</v>
      </c>
      <c r="S31" s="116">
        <v>181929.9</v>
      </c>
      <c r="T31" s="130">
        <f t="shared" si="1"/>
        <v>20.676029613603923</v>
      </c>
      <c r="U31" s="85">
        <f>Q29+Q30+Q31</f>
        <v>12874248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87"/>
      <c r="F32" s="136">
        <f>Q32/21</f>
        <v>152932.76190476189</v>
      </c>
      <c r="G32" s="190">
        <f t="shared" si="2"/>
        <v>-0.1868712793386097</v>
      </c>
      <c r="H32" s="190">
        <f t="shared" si="3"/>
        <v>-0.20858190610295391</v>
      </c>
      <c r="I32" s="130">
        <f t="shared" si="0"/>
        <v>20.137461448932005</v>
      </c>
      <c r="J32" s="130">
        <f t="shared" si="4"/>
        <v>3.6776705980419155E-2</v>
      </c>
      <c r="K32" s="136"/>
      <c r="L32" s="190"/>
      <c r="M32" s="190"/>
      <c r="N32" s="191"/>
      <c r="O32" s="192"/>
      <c r="P32" s="129" t="s">
        <v>561</v>
      </c>
      <c r="Q32" s="116">
        <v>3211588</v>
      </c>
      <c r="R32" s="116">
        <v>4339396175</v>
      </c>
      <c r="S32" s="116">
        <v>159483.26</v>
      </c>
      <c r="T32" s="130">
        <f t="shared" si="1"/>
        <v>20.137461448932005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431427.52380952379</v>
      </c>
      <c r="G33" s="190">
        <f t="shared" si="2"/>
        <v>1.8210274792407994</v>
      </c>
      <c r="H33" s="190">
        <f t="shared" si="3"/>
        <v>1.3106223597377413</v>
      </c>
      <c r="I33" s="130">
        <f t="shared" si="0"/>
        <v>20.708024150277538</v>
      </c>
      <c r="J33" s="130">
        <f t="shared" si="4"/>
        <v>1.58572443302607E-2</v>
      </c>
      <c r="K33" s="136"/>
      <c r="L33" s="190"/>
      <c r="M33" s="190"/>
      <c r="N33" s="191"/>
      <c r="O33" s="192"/>
      <c r="P33" s="129" t="s">
        <v>606</v>
      </c>
      <c r="Q33" s="116">
        <v>9059978</v>
      </c>
      <c r="R33" s="116">
        <v>12418710756</v>
      </c>
      <c r="S33" s="116">
        <v>437510.5</v>
      </c>
      <c r="T33" s="130">
        <f t="shared" si="1"/>
        <v>20.708024150277538</v>
      </c>
      <c r="U33" s="85"/>
    </row>
    <row r="34" spans="1:21" s="79" customFormat="1" ht="13.2" hidden="1">
      <c r="A34" s="129" t="s">
        <v>652</v>
      </c>
      <c r="B34" s="188">
        <f>SUM(F32:F34)</f>
        <v>998639.07518796995</v>
      </c>
      <c r="C34" s="188">
        <f>AVERAGE(F32:F34)</f>
        <v>332879.6917293233</v>
      </c>
      <c r="D34" s="190">
        <f>C34/C31-1</f>
        <v>0.57467949226913428</v>
      </c>
      <c r="E34" s="287">
        <f>C34/C22-1</f>
        <v>1.0224253921874773</v>
      </c>
      <c r="F34" s="136">
        <f>Q34/19</f>
        <v>414278.78947368421</v>
      </c>
      <c r="G34" s="190">
        <f t="shared" si="2"/>
        <v>-3.9748818490798921E-2</v>
      </c>
      <c r="H34" s="190">
        <f t="shared" si="3"/>
        <v>2.6394791270071303</v>
      </c>
      <c r="I34" s="130">
        <f t="shared" si="0"/>
        <v>21.185654803398837</v>
      </c>
      <c r="J34" s="130">
        <f t="shared" si="4"/>
        <v>1.9527930879273292E-2</v>
      </c>
      <c r="K34" s="136">
        <f>R32+R33+R34</f>
        <v>27595588574</v>
      </c>
      <c r="L34" s="190">
        <f>U34/U31-1</f>
        <v>0.56458559754325077</v>
      </c>
      <c r="M34" s="190">
        <f>U34/U22-1</f>
        <v>0.97940872242905552</v>
      </c>
      <c r="N34" s="191">
        <f>AVERAGE(T32:T34)</f>
        <v>20.677046800869459</v>
      </c>
      <c r="O34" s="192">
        <f>N34/N31-1</f>
        <v>-7.6405550334266437E-3</v>
      </c>
      <c r="P34" s="129" t="s">
        <v>652</v>
      </c>
      <c r="Q34" s="116">
        <v>7871297</v>
      </c>
      <c r="R34" s="116">
        <v>10837481643</v>
      </c>
      <c r="S34" s="116">
        <v>371539</v>
      </c>
      <c r="T34" s="130">
        <f t="shared" si="1"/>
        <v>21.185654803398837</v>
      </c>
      <c r="U34" s="85">
        <f>Q32+Q33+Q34</f>
        <v>20142863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191923.52173913043</v>
      </c>
      <c r="G35" s="190">
        <f t="shared" si="2"/>
        <v>-0.53672858322542294</v>
      </c>
      <c r="H35" s="190">
        <f t="shared" si="3"/>
        <v>0.11895337183537591</v>
      </c>
      <c r="I35" s="130">
        <f t="shared" si="0"/>
        <v>20.736548873151769</v>
      </c>
      <c r="J35" s="130">
        <f t="shared" si="4"/>
        <v>0.19087147692042361</v>
      </c>
      <c r="K35" s="136"/>
      <c r="L35" s="190"/>
      <c r="M35" s="190"/>
      <c r="N35" s="191"/>
      <c r="O35" s="192"/>
      <c r="P35" s="129" t="s">
        <v>659</v>
      </c>
      <c r="Q35" s="116">
        <v>4414241</v>
      </c>
      <c r="R35" s="116">
        <v>6105668999</v>
      </c>
      <c r="S35" s="116">
        <v>212872.5</v>
      </c>
      <c r="T35" s="130">
        <f t="shared" si="1"/>
        <v>20.736548873151769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105717.52380952382</v>
      </c>
      <c r="G36" s="190">
        <f t="shared" si="2"/>
        <v>-0.44916848726223879</v>
      </c>
      <c r="H36" s="190">
        <f t="shared" si="3"/>
        <v>-0.63166410943506324</v>
      </c>
      <c r="I36" s="130">
        <f t="shared" si="0"/>
        <v>20.81178473399229</v>
      </c>
      <c r="J36" s="130">
        <f t="shared" si="4"/>
        <v>-2.3340452522911947E-2</v>
      </c>
      <c r="K36" s="136"/>
      <c r="L36" s="190"/>
      <c r="M36" s="190"/>
      <c r="N36" s="191"/>
      <c r="O36" s="192"/>
      <c r="P36" s="129" t="s">
        <v>664</v>
      </c>
      <c r="Q36" s="116">
        <v>2220068</v>
      </c>
      <c r="R36" s="116">
        <v>3040239590</v>
      </c>
      <c r="S36" s="116">
        <v>106673.60000000001</v>
      </c>
      <c r="T36" s="130">
        <f t="shared" si="1"/>
        <v>20.81178473399229</v>
      </c>
      <c r="U36" s="85"/>
    </row>
    <row r="37" spans="1:21" s="79" customFormat="1" ht="13.2" hidden="1">
      <c r="A37" s="129" t="s">
        <v>702</v>
      </c>
      <c r="B37" s="188">
        <f>SUM(F35:F37)</f>
        <v>556436.26777087653</v>
      </c>
      <c r="C37" s="188">
        <f>AVERAGE(F35:F37)</f>
        <v>185478.75592362552</v>
      </c>
      <c r="D37" s="190">
        <f>C37/C34-1</f>
        <v>-0.442805432316835</v>
      </c>
      <c r="E37" s="287">
        <f>C37/C25-1</f>
        <v>-0.10572537743565447</v>
      </c>
      <c r="F37" s="136">
        <f>Q37/18</f>
        <v>258795.22222222222</v>
      </c>
      <c r="G37" s="190">
        <f t="shared" si="2"/>
        <v>1.447987929498856</v>
      </c>
      <c r="H37" s="190">
        <f t="shared" si="3"/>
        <v>0.58104372362484802</v>
      </c>
      <c r="I37" s="130">
        <f t="shared" si="0"/>
        <v>19.226945627072752</v>
      </c>
      <c r="J37" s="130">
        <f t="shared" si="4"/>
        <v>-0.11426124619555789</v>
      </c>
      <c r="K37" s="136">
        <f>R35+R36+R37</f>
        <v>15367199852</v>
      </c>
      <c r="L37" s="190">
        <f>U37/U34-1</f>
        <v>-0.43937348926019104</v>
      </c>
      <c r="M37" s="190">
        <f>U37/U25-1</f>
        <v>-0.13308905275935301</v>
      </c>
      <c r="N37" s="191">
        <f>AVERAGE(T35:T37)</f>
        <v>20.258426411405605</v>
      </c>
      <c r="O37" s="192">
        <f>N37/N34-1</f>
        <v>-2.0245656620859975E-2</v>
      </c>
      <c r="P37" s="129" t="s">
        <v>702</v>
      </c>
      <c r="Q37" s="116">
        <v>4658314</v>
      </c>
      <c r="R37" s="116">
        <v>6221291263</v>
      </c>
      <c r="S37" s="116">
        <v>242280.5</v>
      </c>
      <c r="T37" s="130">
        <f t="shared" si="1"/>
        <v>19.226945627072752</v>
      </c>
      <c r="U37" s="85">
        <f>Q35+Q36+Q37</f>
        <v>11292623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400171.95</v>
      </c>
      <c r="G38" s="190">
        <f t="shared" si="2"/>
        <v>0.5462880132167991</v>
      </c>
      <c r="H38" s="190">
        <f t="shared" si="3"/>
        <v>0.64469961545708077</v>
      </c>
      <c r="I38" s="130">
        <f t="shared" si="0"/>
        <v>20.227548065592497</v>
      </c>
      <c r="J38" s="130">
        <f t="shared" si="4"/>
        <v>-5.4581578814518639E-2</v>
      </c>
      <c r="K38" s="136"/>
      <c r="L38" s="190"/>
      <c r="M38" s="190"/>
      <c r="N38" s="191"/>
      <c r="O38" s="192"/>
      <c r="P38" s="129" t="s">
        <v>725</v>
      </c>
      <c r="Q38" s="116">
        <v>8003439</v>
      </c>
      <c r="R38" s="116">
        <v>10764507592</v>
      </c>
      <c r="S38" s="116">
        <v>395670.25</v>
      </c>
      <c r="T38" s="130">
        <f t="shared" si="1"/>
        <v>20.227548065592497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409708.14285714284</v>
      </c>
      <c r="G39" s="190">
        <f t="shared" si="2"/>
        <v>2.383023811924545E-2</v>
      </c>
      <c r="H39" s="190">
        <f t="shared" si="3"/>
        <v>2.4396409627388445</v>
      </c>
      <c r="I39" s="130">
        <f t="shared" si="0"/>
        <v>20.702338071073317</v>
      </c>
      <c r="J39" s="130">
        <f t="shared" si="4"/>
        <v>1.5635138362569911E-2</v>
      </c>
      <c r="K39" s="136"/>
      <c r="L39" s="190"/>
      <c r="M39" s="190"/>
      <c r="N39" s="191"/>
      <c r="O39" s="192"/>
      <c r="P39" s="129" t="s">
        <v>762</v>
      </c>
      <c r="Q39" s="116">
        <v>8603871</v>
      </c>
      <c r="R39" s="116">
        <v>11941590590</v>
      </c>
      <c r="S39" s="116">
        <v>415599</v>
      </c>
      <c r="T39" s="130">
        <f t="shared" si="1"/>
        <v>20.702338071073317</v>
      </c>
      <c r="U39" s="85"/>
    </row>
    <row r="40" spans="1:21" s="79" customFormat="1" ht="13.2" hidden="1">
      <c r="A40" s="129" t="s">
        <v>777</v>
      </c>
      <c r="B40" s="188">
        <f>SUM(F38:F40)</f>
        <v>970547.04523809534</v>
      </c>
      <c r="C40" s="188">
        <f>AVERAGE(F38:F40)</f>
        <v>323515.6817460318</v>
      </c>
      <c r="D40" s="190">
        <f>C40/C37-1</f>
        <v>0.74421960151191469</v>
      </c>
      <c r="E40" s="287">
        <f>C40/C28-1</f>
        <v>0.53067474091737932</v>
      </c>
      <c r="F40" s="136">
        <f>Q40/21</f>
        <v>160666.95238095237</v>
      </c>
      <c r="G40" s="190">
        <f t="shared" si="2"/>
        <v>-0.60785023392377691</v>
      </c>
      <c r="H40" s="190">
        <f t="shared" si="3"/>
        <v>-0.40853236812069504</v>
      </c>
      <c r="I40" s="130">
        <f t="shared" si="0"/>
        <v>21.325247366741142</v>
      </c>
      <c r="J40" s="130">
        <f t="shared" si="4"/>
        <v>-3.6004898247754547E-4</v>
      </c>
      <c r="K40" s="136">
        <f>R38+R39+R40</f>
        <v>27450058964</v>
      </c>
      <c r="L40" s="190">
        <f>U40/U37-1</f>
        <v>0.7694131823934971</v>
      </c>
      <c r="M40" s="190">
        <f>U40/U28-1</f>
        <v>0.61080240327498569</v>
      </c>
      <c r="N40" s="191">
        <f>AVERAGE(T38:T40)</f>
        <v>20.751711167802316</v>
      </c>
      <c r="O40" s="192">
        <f>N40/N37-1</f>
        <v>2.4349608719806071E-2</v>
      </c>
      <c r="P40" s="129" t="s">
        <v>777</v>
      </c>
      <c r="Q40" s="116">
        <v>3374006</v>
      </c>
      <c r="R40" s="116">
        <v>4743960782</v>
      </c>
      <c r="S40" s="116">
        <v>158216.5</v>
      </c>
      <c r="T40" s="130">
        <f t="shared" si="1"/>
        <v>21.325247366741142</v>
      </c>
      <c r="U40" s="85">
        <f>Q38+Q39+Q40</f>
        <v>19981316</v>
      </c>
    </row>
    <row r="41" spans="1:21" s="79" customFormat="1" ht="13.2">
      <c r="A41" s="129" t="s">
        <v>787</v>
      </c>
      <c r="B41" s="193"/>
      <c r="C41" s="194"/>
      <c r="D41" s="195"/>
      <c r="E41" s="288"/>
      <c r="F41" s="136">
        <f>Q41/18</f>
        <v>391737.66666666669</v>
      </c>
      <c r="G41" s="190">
        <f t="shared" si="2"/>
        <v>1.4381969089562974</v>
      </c>
      <c r="H41" s="190">
        <f t="shared" si="3"/>
        <v>0.8459558119005659</v>
      </c>
      <c r="I41" s="130">
        <f t="shared" si="0"/>
        <v>20.18757991437036</v>
      </c>
      <c r="J41" s="130">
        <f t="shared" si="4"/>
        <v>-3.3932103509426659E-2</v>
      </c>
      <c r="K41" s="193"/>
      <c r="L41" s="190"/>
      <c r="M41" s="190"/>
      <c r="N41" s="193"/>
      <c r="O41" s="193"/>
      <c r="P41" s="129" t="s">
        <v>787</v>
      </c>
      <c r="Q41" s="116">
        <v>7051278</v>
      </c>
      <c r="R41" s="116">
        <v>10321047251</v>
      </c>
      <c r="S41" s="116">
        <v>349287.93</v>
      </c>
      <c r="T41" s="130">
        <f t="shared" si="1"/>
        <v>20.18757991437036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371197.6</v>
      </c>
      <c r="G42" s="190">
        <f t="shared" si="2"/>
        <v>-5.243321848890381E-2</v>
      </c>
      <c r="H42" s="190">
        <f t="shared" si="3"/>
        <v>0.58704558465077916</v>
      </c>
      <c r="I42" s="130">
        <f t="shared" si="0"/>
        <v>20.634469570631268</v>
      </c>
      <c r="J42" s="130">
        <f t="shared" si="4"/>
        <v>-1.4405552879305561E-2</v>
      </c>
      <c r="K42" s="193"/>
      <c r="L42" s="190"/>
      <c r="M42" s="190"/>
      <c r="N42" s="193"/>
      <c r="O42" s="193"/>
      <c r="P42" s="129" t="s">
        <v>826</v>
      </c>
      <c r="Q42" s="116">
        <v>7423952</v>
      </c>
      <c r="R42" s="116">
        <v>10747573921</v>
      </c>
      <c r="S42" s="116">
        <v>359784</v>
      </c>
      <c r="T42" s="130">
        <f t="shared" si="1"/>
        <v>20.634469570631268</v>
      </c>
      <c r="U42" s="78"/>
    </row>
    <row r="43" spans="1:21" s="79" customFormat="1" ht="13.2">
      <c r="A43" s="129" t="s">
        <v>834</v>
      </c>
      <c r="B43" s="188">
        <f>SUM(F41:F43)</f>
        <v>1321924.1666666665</v>
      </c>
      <c r="C43" s="188">
        <f>AVERAGE(F41:F43)</f>
        <v>440641.38888888882</v>
      </c>
      <c r="D43" s="190">
        <f>C43/C40-1</f>
        <v>0.36204027733902477</v>
      </c>
      <c r="E43" s="287">
        <f>C43/C31-1</f>
        <v>1.084443646662987</v>
      </c>
      <c r="F43" s="136">
        <f>Q43/20</f>
        <v>558988.9</v>
      </c>
      <c r="G43" s="190">
        <f t="shared" si="2"/>
        <v>0.50590655758550174</v>
      </c>
      <c r="H43" s="190">
        <f t="shared" si="3"/>
        <v>1.9720899790194992</v>
      </c>
      <c r="I43" s="130">
        <f t="shared" si="0"/>
        <v>20.651510841334876</v>
      </c>
      <c r="J43" s="130">
        <f t="shared" si="4"/>
        <v>-1.185854959934618E-3</v>
      </c>
      <c r="K43" s="136">
        <f>R41+R42+R43</f>
        <v>37246724504</v>
      </c>
      <c r="L43" s="190">
        <f>U43/U40-1</f>
        <v>0.28394986596478433</v>
      </c>
      <c r="M43" s="190">
        <f>K43/K31-1</f>
        <v>1.1862867179671599</v>
      </c>
      <c r="N43" s="191">
        <f>AVERAGE(T41:T43)</f>
        <v>20.491186775445502</v>
      </c>
      <c r="O43" s="192">
        <f>N43/N40-1</f>
        <v>-1.2554357096152824E-2</v>
      </c>
      <c r="P43" s="129" t="s">
        <v>834</v>
      </c>
      <c r="Q43" s="116">
        <v>11179778</v>
      </c>
      <c r="R43" s="116">
        <v>16178103332</v>
      </c>
      <c r="S43" s="116">
        <v>541354</v>
      </c>
      <c r="T43" s="130">
        <f t="shared" si="1"/>
        <v>20.651510841334876</v>
      </c>
      <c r="U43" s="85">
        <f>Q41+Q42+Q43</f>
        <v>25655008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647124.04545454541</v>
      </c>
      <c r="G44" s="190">
        <f t="shared" si="2"/>
        <v>0.15766886507861844</v>
      </c>
      <c r="H44" s="190">
        <f t="shared" si="3"/>
        <v>3.2314284878837061</v>
      </c>
      <c r="I44" s="130">
        <f t="shared" si="0"/>
        <v>20.083593182197784</v>
      </c>
      <c r="J44" s="130">
        <f t="shared" si="4"/>
        <v>-2.6750276776855708E-3</v>
      </c>
      <c r="K44" s="136"/>
      <c r="L44" s="190"/>
      <c r="M44" s="190"/>
      <c r="N44" s="191"/>
      <c r="O44" s="192"/>
      <c r="P44" s="129" t="s">
        <v>838</v>
      </c>
      <c r="Q44" s="116">
        <v>14236729</v>
      </c>
      <c r="R44" s="116">
        <v>20686979874</v>
      </c>
      <c r="S44" s="116">
        <v>708873.6</v>
      </c>
      <c r="T44" s="130">
        <f t="shared" si="1"/>
        <v>20.083593182197784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665371.80000000005</v>
      </c>
      <c r="G45" s="190">
        <f t="shared" si="2"/>
        <v>2.8198232894648845E-2</v>
      </c>
      <c r="H45" s="190">
        <f t="shared" si="3"/>
        <v>0.54225626154942108</v>
      </c>
      <c r="I45" s="130">
        <f t="shared" si="0"/>
        <v>20.126736662522575</v>
      </c>
      <c r="J45" s="130">
        <f t="shared" si="4"/>
        <v>-2.8070639841666023E-2</v>
      </c>
      <c r="K45" s="136"/>
      <c r="L45" s="190"/>
      <c r="M45" s="190"/>
      <c r="N45" s="191"/>
      <c r="O45" s="192"/>
      <c r="P45" s="129" t="s">
        <v>847</v>
      </c>
      <c r="Q45" s="116">
        <v>13307436</v>
      </c>
      <c r="R45" s="116">
        <v>18745188896</v>
      </c>
      <c r="S45" s="116">
        <v>661182</v>
      </c>
      <c r="T45" s="130">
        <f t="shared" si="1"/>
        <v>20.126736662522575</v>
      </c>
      <c r="U45" s="85"/>
    </row>
    <row r="46" spans="1:21" s="79" customFormat="1" ht="13.2">
      <c r="A46" s="129" t="s">
        <v>888</v>
      </c>
      <c r="B46" s="188">
        <f>SUM(F44:F46)</f>
        <v>1924632.4770334929</v>
      </c>
      <c r="C46" s="188">
        <f>AVERAGE(F44:F46)</f>
        <v>641544.15901116433</v>
      </c>
      <c r="D46" s="190">
        <f>C46/C43-1</f>
        <v>0.45593259096442873</v>
      </c>
      <c r="E46" s="287">
        <f>C46/C34-1</f>
        <v>0.92725532662661636</v>
      </c>
      <c r="F46" s="136">
        <f>Q46/19</f>
        <v>612136.63157894742</v>
      </c>
      <c r="G46" s="190">
        <f t="shared" si="2"/>
        <v>-8.0008152466113924E-2</v>
      </c>
      <c r="H46" s="190">
        <f t="shared" si="3"/>
        <v>0.47759587778227663</v>
      </c>
      <c r="I46" s="130">
        <f t="shared" si="0"/>
        <v>20.808327198203024</v>
      </c>
      <c r="J46" s="130">
        <f t="shared" si="4"/>
        <v>-1.7810523615974239E-2</v>
      </c>
      <c r="K46" s="136">
        <f>R44+R45+R46</f>
        <v>55402828900</v>
      </c>
      <c r="L46" s="190">
        <f>U46/U43-1</f>
        <v>0.52698299684802286</v>
      </c>
      <c r="M46" s="190">
        <f>K46/K34-1</f>
        <v>1.0076697676308819</v>
      </c>
      <c r="N46" s="191">
        <f>AVERAGE(T44:T46)</f>
        <v>20.339552347641128</v>
      </c>
      <c r="O46" s="192">
        <f>N46/N43-1</f>
        <v>-7.399982707984365E-3</v>
      </c>
      <c r="P46" s="129" t="s">
        <v>888</v>
      </c>
      <c r="Q46" s="116">
        <v>11630596</v>
      </c>
      <c r="R46" s="116">
        <v>15970660130</v>
      </c>
      <c r="S46" s="116">
        <v>558939.5</v>
      </c>
      <c r="T46" s="130">
        <f t="shared" si="1"/>
        <v>20.808327198203024</v>
      </c>
      <c r="U46" s="85">
        <f t="shared" ref="U46:U53" si="5">Q44+Q45+Q46</f>
        <v>39174761</v>
      </c>
    </row>
    <row r="47" spans="1:21" s="79" customFormat="1" ht="13.2">
      <c r="A47" s="129" t="s">
        <v>989</v>
      </c>
      <c r="B47" s="188"/>
      <c r="C47" s="188"/>
      <c r="D47" s="190"/>
      <c r="E47" s="287"/>
      <c r="F47" s="136">
        <f>Q47/23</f>
        <v>731854.69565217395</v>
      </c>
      <c r="G47" s="190">
        <f t="shared" si="2"/>
        <v>0.1955740890141231</v>
      </c>
      <c r="H47" s="190">
        <f t="shared" si="3"/>
        <v>2.8132621213930098</v>
      </c>
      <c r="I47" s="130">
        <f t="shared" si="0"/>
        <v>19.94913832264313</v>
      </c>
      <c r="J47" s="130">
        <f t="shared" si="4"/>
        <v>-3.797211172048609E-2</v>
      </c>
      <c r="K47" s="136"/>
      <c r="L47" s="190"/>
      <c r="M47" s="190"/>
      <c r="N47" s="191"/>
      <c r="O47" s="192"/>
      <c r="P47" s="129" t="s">
        <v>989</v>
      </c>
      <c r="Q47" s="116">
        <v>16832658</v>
      </c>
      <c r="R47" s="116">
        <v>23070567214</v>
      </c>
      <c r="S47" s="116">
        <v>843778.7</v>
      </c>
      <c r="T47" s="130">
        <f t="shared" si="1"/>
        <v>19.94913832264313</v>
      </c>
      <c r="U47" s="85">
        <f t="shared" si="5"/>
        <v>41770690</v>
      </c>
    </row>
    <row r="48" spans="1:21" s="79" customFormat="1" ht="13.2">
      <c r="A48" s="129" t="s">
        <v>1067</v>
      </c>
      <c r="B48" s="188"/>
      <c r="C48" s="188"/>
      <c r="D48" s="190"/>
      <c r="E48" s="287"/>
      <c r="F48" s="136">
        <f>Q48/20</f>
        <v>422711</v>
      </c>
      <c r="G48" s="190">
        <f t="shared" si="2"/>
        <v>-0.4224113030752481</v>
      </c>
      <c r="H48" s="190">
        <f t="shared" si="3"/>
        <v>2.9984950911413524</v>
      </c>
      <c r="I48" s="130">
        <f t="shared" si="0"/>
        <v>20.413092878797531</v>
      </c>
      <c r="J48" s="130">
        <f t="shared" si="4"/>
        <v>-1.9157023786795513E-2</v>
      </c>
      <c r="K48" s="136"/>
      <c r="L48" s="190"/>
      <c r="M48" s="190"/>
      <c r="N48" s="191"/>
      <c r="O48" s="192"/>
      <c r="P48" s="129" t="s">
        <v>1067</v>
      </c>
      <c r="Q48" s="116">
        <v>8454220</v>
      </c>
      <c r="R48" s="116">
        <v>11737281655</v>
      </c>
      <c r="S48" s="116">
        <v>414156.74</v>
      </c>
      <c r="T48" s="130">
        <f t="shared" si="1"/>
        <v>20.413092878797531</v>
      </c>
      <c r="U48" s="85">
        <f t="shared" si="5"/>
        <v>36917474</v>
      </c>
    </row>
    <row r="49" spans="1:26" ht="13.2">
      <c r="A49" s="129" t="s">
        <v>1157</v>
      </c>
      <c r="B49" s="188">
        <f>SUM(F47:F49)</f>
        <v>1619549.0592885376</v>
      </c>
      <c r="C49" s="188">
        <f>AVERAGE(F47:F49)</f>
        <v>539849.68642951257</v>
      </c>
      <c r="D49" s="190">
        <f>C49/C46-1</f>
        <v>-0.15851515621059853</v>
      </c>
      <c r="E49" s="287">
        <f>C49/C37-1</f>
        <v>1.9105742258256582</v>
      </c>
      <c r="F49" s="136">
        <f>Q49/22</f>
        <v>464983.36363636365</v>
      </c>
      <c r="G49" s="190">
        <f t="shared" si="2"/>
        <v>0.10000298936238616</v>
      </c>
      <c r="H49" s="190">
        <f t="shared" si="3"/>
        <v>0.79672313748161794</v>
      </c>
      <c r="I49" s="130">
        <f t="shared" si="0"/>
        <v>17.222700310959151</v>
      </c>
      <c r="J49" s="130">
        <f t="shared" si="4"/>
        <v>-0.10424148250003351</v>
      </c>
      <c r="K49" s="136">
        <f>R47+R48+R49</f>
        <v>49050335122</v>
      </c>
      <c r="L49" s="190">
        <f>U49/U46-1</f>
        <v>-9.3382803279897453E-2</v>
      </c>
      <c r="M49" s="190">
        <f>K49/K37-1</f>
        <v>2.1918850274870492</v>
      </c>
      <c r="N49" s="191">
        <f>AVERAGE(T47:T49)</f>
        <v>19.194977170799941</v>
      </c>
      <c r="O49" s="192">
        <f>N49/N46-1</f>
        <v>-5.6273371079080259E-2</v>
      </c>
      <c r="P49" s="129" t="s">
        <v>1157</v>
      </c>
      <c r="Q49" s="116">
        <v>10229634</v>
      </c>
      <c r="R49" s="116">
        <v>14242486253</v>
      </c>
      <c r="S49" s="116">
        <v>593962.26</v>
      </c>
      <c r="T49" s="130">
        <f t="shared" si="1"/>
        <v>17.222700310959151</v>
      </c>
      <c r="U49" s="85">
        <f t="shared" si="5"/>
        <v>35516512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150535.94444444444</v>
      </c>
      <c r="G50" s="190">
        <f t="shared" si="2"/>
        <v>-0.67625520348257062</v>
      </c>
      <c r="H50" s="190">
        <f t="shared" si="3"/>
        <v>-0.62382184847177713</v>
      </c>
      <c r="I50" s="130">
        <f t="shared" si="0"/>
        <v>16.63652872839717</v>
      </c>
      <c r="J50" s="130">
        <f t="shared" si="4"/>
        <v>-0.1775311236710756</v>
      </c>
      <c r="K50" s="136"/>
      <c r="L50" s="190"/>
      <c r="M50" s="190"/>
      <c r="N50" s="191"/>
      <c r="O50" s="192"/>
      <c r="P50" s="129" t="s">
        <v>1291</v>
      </c>
      <c r="Q50" s="116">
        <v>2709647</v>
      </c>
      <c r="R50" s="116">
        <v>3818808372</v>
      </c>
      <c r="S50" s="116">
        <v>162873.34</v>
      </c>
      <c r="T50" s="130">
        <f t="shared" si="1"/>
        <v>16.63652872839717</v>
      </c>
      <c r="U50" s="85">
        <f t="shared" si="5"/>
        <v>21393501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296602.5</v>
      </c>
      <c r="G51" s="190">
        <f t="shared" si="2"/>
        <v>0.97031015479138061</v>
      </c>
      <c r="H51" s="190">
        <f t="shared" si="3"/>
        <v>-0.27606393680239971</v>
      </c>
      <c r="I51" s="130">
        <f t="shared" si="0"/>
        <v>20.564906137872459</v>
      </c>
      <c r="J51" s="130">
        <f t="shared" si="4"/>
        <v>-6.6384740085414506E-3</v>
      </c>
      <c r="K51" s="136"/>
      <c r="L51" s="190"/>
      <c r="M51" s="190"/>
      <c r="N51" s="191"/>
      <c r="O51" s="192"/>
      <c r="P51" s="129" t="s">
        <v>1402</v>
      </c>
      <c r="Q51" s="116">
        <v>5932050</v>
      </c>
      <c r="R51" s="116">
        <v>8665037737</v>
      </c>
      <c r="S51" s="116">
        <v>288455</v>
      </c>
      <c r="T51" s="130">
        <f t="shared" si="1"/>
        <v>20.564906137872459</v>
      </c>
      <c r="U51" s="85">
        <f t="shared" si="5"/>
        <v>18871331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946538.08080808073</v>
      </c>
      <c r="C52" s="188">
        <f>AVERAGE(F50:F52)</f>
        <v>315512.69360269356</v>
      </c>
      <c r="D52" s="190">
        <f>C52/C49-1</f>
        <v>-0.41555454873105757</v>
      </c>
      <c r="E52" s="287">
        <f>C52/C40-1</f>
        <v>-2.4737558625120393E-2</v>
      </c>
      <c r="F52" s="136">
        <f>Q52/22</f>
        <v>499399.63636363635</v>
      </c>
      <c r="G52" s="190">
        <f t="shared" si="2"/>
        <v>0.68373373914122904</v>
      </c>
      <c r="H52" s="190">
        <f t="shared" si="3"/>
        <v>2.1082909644014753</v>
      </c>
      <c r="I52" s="130">
        <f t="shared" si="0"/>
        <v>18.360659682732422</v>
      </c>
      <c r="J52" s="130">
        <f t="shared" si="4"/>
        <v>-0.13901773953779739</v>
      </c>
      <c r="K52" s="136">
        <f>R50+R51+R52</f>
        <v>28647873742</v>
      </c>
      <c r="L52" s="190">
        <f>U52/U49-1</f>
        <v>-0.44734187298572559</v>
      </c>
      <c r="M52" s="190">
        <f>K52/K40-1</f>
        <v>4.3636145903034329E-2</v>
      </c>
      <c r="N52" s="191">
        <f>AVERAGE(T50:T52)</f>
        <v>18.520698183000686</v>
      </c>
      <c r="O52" s="192">
        <f>N52/N49-1</f>
        <v>-3.5127886936223707E-2</v>
      </c>
      <c r="P52" s="129" t="s">
        <v>1403</v>
      </c>
      <c r="Q52" s="116">
        <v>10986792</v>
      </c>
      <c r="R52" s="116">
        <v>16164027633</v>
      </c>
      <c r="S52" s="116">
        <v>598387.65</v>
      </c>
      <c r="T52" s="130">
        <f t="shared" si="1"/>
        <v>18.360659682732422</v>
      </c>
      <c r="U52" s="85">
        <f t="shared" si="5"/>
        <v>19628489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76002.476190476184</v>
      </c>
      <c r="G53" s="190">
        <f t="shared" si="2"/>
        <v>-0.84781231171114591</v>
      </c>
      <c r="H53" s="190">
        <f t="shared" si="3"/>
        <v>-0.8059862947640738</v>
      </c>
      <c r="I53" s="130">
        <f t="shared" si="0"/>
        <v>17.066059322940056</v>
      </c>
      <c r="J53" s="130">
        <f t="shared" si="4"/>
        <v>-0.15462579490314621</v>
      </c>
      <c r="K53" s="136"/>
      <c r="L53" s="190"/>
      <c r="M53" s="190"/>
      <c r="N53" s="191"/>
      <c r="O53" s="192"/>
      <c r="P53" s="129" t="s">
        <v>1414</v>
      </c>
      <c r="Q53" s="116">
        <v>1596052</v>
      </c>
      <c r="R53" s="116">
        <v>2308625375</v>
      </c>
      <c r="S53" s="116">
        <v>93522</v>
      </c>
      <c r="T53" s="130">
        <f t="shared" si="1"/>
        <v>17.066059322940056</v>
      </c>
      <c r="U53" s="85">
        <f t="shared" si="5"/>
        <v>18514894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39311.294117647056</v>
      </c>
      <c r="G54" s="190">
        <f t="shared" ref="G54" si="6">F54/F53-1</f>
        <v>-0.4827629823648677</v>
      </c>
      <c r="H54" s="190">
        <f t="shared" ref="H54" si="7">F54/F42-1</f>
        <v>-0.89409604448507463</v>
      </c>
      <c r="I54" s="130">
        <f t="shared" ref="I54" si="8">T54</f>
        <v>19.892010953684963</v>
      </c>
      <c r="J54" s="130">
        <f t="shared" ref="J54" si="9">I54/I42-1</f>
        <v>-3.59814733499636E-2</v>
      </c>
      <c r="K54" s="136"/>
      <c r="L54" s="190"/>
      <c r="M54" s="190"/>
      <c r="N54" s="191"/>
      <c r="O54" s="192"/>
      <c r="P54" s="129" t="s">
        <v>1417</v>
      </c>
      <c r="Q54" s="116">
        <v>668292</v>
      </c>
      <c r="R54" s="116">
        <v>969404275</v>
      </c>
      <c r="S54" s="116">
        <v>33596</v>
      </c>
      <c r="T54" s="130">
        <f t="shared" ref="T54" si="10">Q54/S54</f>
        <v>19.892010953684963</v>
      </c>
      <c r="U54" s="85">
        <f t="shared" ref="U54" si="11">Q52+Q53+Q54</f>
        <v>13251136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285559.24649859942</v>
      </c>
      <c r="C55" s="188">
        <f>AVERAGE(F53:F55)</f>
        <v>95186.415499533134</v>
      </c>
      <c r="D55" s="190">
        <f>C55/C52-1</f>
        <v>-0.69831193029781635</v>
      </c>
      <c r="E55" s="287">
        <f>C55/C43-1</f>
        <v>-0.78398212719065496</v>
      </c>
      <c r="F55" s="136">
        <f>Q55/21</f>
        <v>170245.47619047618</v>
      </c>
      <c r="G55" s="190">
        <f t="shared" ref="G55" si="12">F55/F54-1</f>
        <v>3.3307013928613474</v>
      </c>
      <c r="H55" s="190">
        <f t="shared" ref="H55" si="13">F55/F43-1</f>
        <v>-0.69544032772300812</v>
      </c>
      <c r="I55" s="130">
        <f>T55</f>
        <v>21.837381777846186</v>
      </c>
      <c r="J55" s="130">
        <f t="shared" ref="J55" si="14">I55/I43-1</f>
        <v>5.742296268889624E-2</v>
      </c>
      <c r="K55" s="136">
        <f>R53+R54+R55</f>
        <v>8560221963</v>
      </c>
      <c r="L55" s="190">
        <f>U55/U52-1</f>
        <v>-0.70249880161432698</v>
      </c>
      <c r="M55" s="190">
        <f>K55/K43-1</f>
        <v>-0.77017517440813621</v>
      </c>
      <c r="N55" s="191">
        <f>AVERAGE(T53:T55)</f>
        <v>19.59848401815707</v>
      </c>
      <c r="O55" s="192">
        <f>N55/N52-1</f>
        <v>5.8193585603896647E-2</v>
      </c>
      <c r="P55" s="129" t="s">
        <v>1418</v>
      </c>
      <c r="Q55" s="116">
        <v>3575155</v>
      </c>
      <c r="R55" s="116">
        <v>5282192313</v>
      </c>
      <c r="S55" s="116">
        <v>163717.20000000001</v>
      </c>
      <c r="T55" s="130">
        <f t="shared" ref="T55" si="15">Q55/S55</f>
        <v>21.837381777846186</v>
      </c>
      <c r="U55" s="85">
        <f t="shared" ref="U55" si="16">Q53+Q54+Q55</f>
        <v>5839499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361461.95454545453</v>
      </c>
      <c r="G56" s="190">
        <f t="shared" ref="G56" si="17">F56/F55-1</f>
        <v>1.1231809657076535</v>
      </c>
      <c r="H56" s="190">
        <f t="shared" ref="H56" si="18">F56/F44-1</f>
        <v>-0.4414332814791937</v>
      </c>
      <c r="I56" s="291">
        <f>T56</f>
        <v>21.675974806011908</v>
      </c>
      <c r="J56" s="130">
        <f t="shared" ref="J56" si="19">I56/I44-1</f>
        <v>7.9287685692897902E-2</v>
      </c>
      <c r="K56" s="136"/>
      <c r="L56" s="190"/>
      <c r="M56" s="190"/>
      <c r="N56" s="191"/>
      <c r="O56" s="192"/>
      <c r="P56" s="129" t="s">
        <v>1420</v>
      </c>
      <c r="Q56" s="116">
        <v>7952163</v>
      </c>
      <c r="R56" s="116">
        <v>11928921170</v>
      </c>
      <c r="S56" s="116">
        <v>366865.3</v>
      </c>
      <c r="T56" s="130">
        <f t="shared" ref="T56" si="20">Q56/S56</f>
        <v>21.675974806011908</v>
      </c>
      <c r="U56" s="85">
        <f t="shared" ref="U56" si="21">Q54+Q55+Q56</f>
        <v>12195610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0</v>
      </c>
      <c r="G57" s="254">
        <f t="shared" ref="G57" si="22">F57/F56-1</f>
        <v>-1</v>
      </c>
      <c r="H57" s="254">
        <f t="shared" ref="H57" si="23">F57/F45-1</f>
        <v>-1</v>
      </c>
      <c r="I57" s="282" t="e">
        <f>T57</f>
        <v>#DIV/0!</v>
      </c>
      <c r="J57" s="277" t="e">
        <f t="shared" ref="J57" si="24">I57/I45-1</f>
        <v>#DIV/0!</v>
      </c>
      <c r="K57" s="204"/>
      <c r="L57" s="254"/>
      <c r="M57" s="254"/>
      <c r="N57" s="257"/>
      <c r="O57" s="258"/>
      <c r="P57" s="129" t="s">
        <v>1436</v>
      </c>
      <c r="Q57" s="116">
        <v>0</v>
      </c>
      <c r="R57" s="116">
        <v>0</v>
      </c>
      <c r="S57" s="116">
        <v>0</v>
      </c>
      <c r="T57" s="130" t="e">
        <f t="shared" ref="T57" si="25">Q57/S57</f>
        <v>#DIV/0!</v>
      </c>
      <c r="U57" s="85">
        <f t="shared" ref="U57" si="26">Q55+Q56+Q57</f>
        <v>11527318</v>
      </c>
      <c r="V57" s="79"/>
      <c r="W57" s="79"/>
      <c r="X57" s="79"/>
      <c r="Y57" s="79"/>
      <c r="Z57" s="79"/>
    </row>
    <row r="58" spans="1:26">
      <c r="B58" s="196">
        <f>SUM(F56:F58)</f>
        <v>361461.95454545453</v>
      </c>
      <c r="C58" s="196">
        <f>AVERAGE(F56:F58)</f>
        <v>180730.97727272726</v>
      </c>
      <c r="D58" s="197">
        <f>C58/C55-1</f>
        <v>0.89870556974186844</v>
      </c>
      <c r="E58" s="233">
        <f>C58/C46-1</f>
        <v>-0.71828754929154903</v>
      </c>
    </row>
    <row r="62" spans="1:26">
      <c r="P62" s="266"/>
      <c r="Q62" s="266"/>
      <c r="R62" s="266"/>
      <c r="S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1388</v>
      </c>
    </row>
    <row r="64" spans="1:26" ht="18" thickBot="1">
      <c r="P64" s="179"/>
      <c r="Q64" s="179"/>
      <c r="R64" s="179"/>
      <c r="S64" s="179"/>
    </row>
    <row r="65" spans="16:19" ht="18" thickBot="1">
      <c r="P65" s="180" t="s">
        <v>1415</v>
      </c>
      <c r="Q65" s="181">
        <v>13791662</v>
      </c>
      <c r="R65" s="181">
        <v>20489143133</v>
      </c>
      <c r="S65" s="182">
        <v>657700.5</v>
      </c>
    </row>
    <row r="66" spans="16:19" ht="18" thickBot="1">
      <c r="P66" s="180" t="s">
        <v>976</v>
      </c>
      <c r="Q66" s="181">
        <v>1596052</v>
      </c>
      <c r="R66" s="181">
        <v>2308625375</v>
      </c>
      <c r="S66" s="182">
        <v>93522</v>
      </c>
    </row>
    <row r="67" spans="16:19" ht="18" thickBot="1">
      <c r="P67" s="180" t="s">
        <v>977</v>
      </c>
      <c r="Q67" s="181">
        <v>668292</v>
      </c>
      <c r="R67" s="181">
        <v>969404275</v>
      </c>
      <c r="S67" s="182">
        <v>33596</v>
      </c>
    </row>
    <row r="68" spans="16:19" ht="18" thickBot="1">
      <c r="P68" s="211" t="s">
        <v>978</v>
      </c>
      <c r="Q68" s="212">
        <v>3575155</v>
      </c>
      <c r="R68" s="212">
        <v>5282192313</v>
      </c>
      <c r="S68" s="213">
        <v>163717.20000000001</v>
      </c>
    </row>
    <row r="69" spans="16:19" ht="18" thickBot="1">
      <c r="P69" s="180" t="s">
        <v>979</v>
      </c>
      <c r="Q69" s="181">
        <v>7952163</v>
      </c>
      <c r="R69" s="181">
        <v>11928921170</v>
      </c>
      <c r="S69" s="182">
        <v>366865.3</v>
      </c>
    </row>
    <row r="70" spans="16:19" ht="18" thickBot="1">
      <c r="P70" s="180" t="s">
        <v>980</v>
      </c>
      <c r="Q70" s="210">
        <v>0</v>
      </c>
      <c r="R70" s="210">
        <v>0</v>
      </c>
      <c r="S70" s="210">
        <v>0</v>
      </c>
    </row>
    <row r="71" spans="16:19" ht="18" thickBot="1">
      <c r="P71" s="215" t="s">
        <v>975</v>
      </c>
      <c r="Q71" s="216">
        <v>119974770</v>
      </c>
      <c r="R71"/>
      <c r="S71"/>
    </row>
  </sheetData>
  <phoneticPr fontId="1" type="noConversion"/>
  <conditionalFormatting sqref="C29:C30">
    <cfRule type="cellIs" dxfId="6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64"/>
  <dimension ref="A1:Z71"/>
  <sheetViews>
    <sheetView topLeftCell="B1" zoomScale="90" zoomScaleNormal="90" workbookViewId="0">
      <selection activeCell="I70" sqref="I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1421028.35</v>
      </c>
      <c r="G5" s="90"/>
      <c r="H5" s="90"/>
      <c r="I5" s="130">
        <f t="shared" ref="I5:I49" si="0">T5</f>
        <v>6.4269519022779615</v>
      </c>
      <c r="J5" s="130"/>
      <c r="L5" s="80"/>
      <c r="M5" s="80"/>
      <c r="P5" s="129" t="s">
        <v>0</v>
      </c>
      <c r="Q5" s="116">
        <v>28420567</v>
      </c>
      <c r="R5" s="116">
        <v>33536864327</v>
      </c>
      <c r="S5" s="116">
        <v>4422091.13</v>
      </c>
      <c r="T5" s="130">
        <f t="shared" ref="T5:T17" si="1">Q5/S5</f>
        <v>6.4269519022779615</v>
      </c>
      <c r="U5" s="85"/>
    </row>
    <row r="6" spans="1:21" ht="15" hidden="1" customHeight="1">
      <c r="A6" s="129" t="s">
        <v>1</v>
      </c>
      <c r="C6" s="79"/>
      <c r="F6" s="78">
        <f>Q6/18</f>
        <v>1146638</v>
      </c>
      <c r="G6" s="90">
        <f t="shared" ref="G6:G16" si="2">F6/F5-1</f>
        <v>-0.19309280493946523</v>
      </c>
      <c r="H6" s="90"/>
      <c r="I6" s="130">
        <f t="shared" si="0"/>
        <v>6.4687473837587808</v>
      </c>
      <c r="J6" s="130"/>
      <c r="P6" s="129" t="s">
        <v>1</v>
      </c>
      <c r="Q6" s="116">
        <v>20639484</v>
      </c>
      <c r="R6" s="116">
        <v>24524960374</v>
      </c>
      <c r="S6" s="116">
        <v>3190646.16</v>
      </c>
      <c r="T6" s="130">
        <f t="shared" si="1"/>
        <v>6.4687473837587808</v>
      </c>
      <c r="U6" s="85"/>
    </row>
    <row r="7" spans="1:21" ht="15" hidden="1" customHeight="1">
      <c r="A7" s="129" t="s">
        <v>2</v>
      </c>
      <c r="B7" s="131">
        <f>F5+F6+F7</f>
        <v>3813985.9863636363</v>
      </c>
      <c r="C7" s="131">
        <f>AVERAGE(F5:F7)</f>
        <v>1271328.6621212121</v>
      </c>
      <c r="F7" s="78">
        <f>Q7/22</f>
        <v>1246319.6363636365</v>
      </c>
      <c r="G7" s="90">
        <f t="shared" si="2"/>
        <v>8.693383296527446E-2</v>
      </c>
      <c r="H7" s="90"/>
      <c r="I7" s="130">
        <f t="shared" si="0"/>
        <v>6.7933799143743272</v>
      </c>
      <c r="J7" s="130"/>
      <c r="K7" s="79">
        <f>R5+R6+R7</f>
        <v>91084061587</v>
      </c>
      <c r="N7" s="88">
        <f>AVERAGE(T5:T7)</f>
        <v>6.5630264001370229</v>
      </c>
      <c r="P7" s="129" t="s">
        <v>2</v>
      </c>
      <c r="Q7" s="116">
        <v>27419032</v>
      </c>
      <c r="R7" s="116">
        <v>33022236886</v>
      </c>
      <c r="S7" s="116">
        <v>4036139.94</v>
      </c>
      <c r="T7" s="130">
        <f t="shared" si="1"/>
        <v>6.7933799143743272</v>
      </c>
      <c r="U7" s="85">
        <f>Q5+Q6+Q7</f>
        <v>76479083</v>
      </c>
    </row>
    <row r="8" spans="1:21" ht="15" hidden="1" customHeight="1">
      <c r="A8" s="129" t="s">
        <v>3</v>
      </c>
      <c r="C8" s="79"/>
      <c r="F8" s="78">
        <f>Q8/21</f>
        <v>1255832.6190476189</v>
      </c>
      <c r="G8" s="90">
        <f t="shared" si="2"/>
        <v>7.6328595060399795E-3</v>
      </c>
      <c r="H8" s="90"/>
      <c r="I8" s="130">
        <f t="shared" si="0"/>
        <v>6.601144561648872</v>
      </c>
      <c r="J8" s="130"/>
      <c r="K8" s="78"/>
      <c r="P8" s="129" t="s">
        <v>3</v>
      </c>
      <c r="Q8" s="116">
        <v>26372485</v>
      </c>
      <c r="R8" s="116">
        <v>31982384082</v>
      </c>
      <c r="S8" s="116">
        <v>3995138.23</v>
      </c>
      <c r="T8" s="130">
        <f t="shared" si="1"/>
        <v>6.601144561648872</v>
      </c>
      <c r="U8" s="85"/>
    </row>
    <row r="9" spans="1:21" ht="15" hidden="1" customHeight="1">
      <c r="A9" s="129" t="s">
        <v>4</v>
      </c>
      <c r="C9" s="79"/>
      <c r="F9" s="78">
        <f>Q9/21</f>
        <v>1208480.7142857143</v>
      </c>
      <c r="G9" s="90">
        <f t="shared" si="2"/>
        <v>-3.7705585954452059E-2</v>
      </c>
      <c r="H9" s="90"/>
      <c r="I9" s="130">
        <f t="shared" si="0"/>
        <v>6.7119108452745708</v>
      </c>
      <c r="J9" s="130"/>
      <c r="K9" s="78"/>
      <c r="P9" s="129" t="s">
        <v>4</v>
      </c>
      <c r="Q9" s="116">
        <v>25378095</v>
      </c>
      <c r="R9" s="116">
        <v>31881305713</v>
      </c>
      <c r="S9" s="116">
        <v>3781053.65</v>
      </c>
      <c r="T9" s="130">
        <f t="shared" si="1"/>
        <v>6.7119108452745708</v>
      </c>
      <c r="U9" s="85"/>
    </row>
    <row r="10" spans="1:21" ht="15" hidden="1" customHeight="1">
      <c r="A10" s="129" t="s">
        <v>5</v>
      </c>
      <c r="B10" s="131">
        <f>F8+F9+F10</f>
        <v>3527531.666666666</v>
      </c>
      <c r="C10" s="131">
        <f>AVERAGE(F8:F10)</f>
        <v>1175843.8888888888</v>
      </c>
      <c r="D10" s="90">
        <f>C10/C7-1</f>
        <v>-7.5106285319648913E-2</v>
      </c>
      <c r="E10" s="286"/>
      <c r="F10" s="78">
        <f>Q10/21</f>
        <v>1063218.3333333333</v>
      </c>
      <c r="G10" s="90">
        <f t="shared" si="2"/>
        <v>-0.12020248170715742</v>
      </c>
      <c r="H10" s="90"/>
      <c r="I10" s="130">
        <f t="shared" si="0"/>
        <v>6.5099823270579513</v>
      </c>
      <c r="J10" s="130"/>
      <c r="K10" s="79">
        <f>R8+R9+R10</f>
        <v>91972372119</v>
      </c>
      <c r="L10" s="87">
        <f>U10/U7-1</f>
        <v>-3.1393132681781788E-2</v>
      </c>
      <c r="N10" s="88">
        <f>AVERAGE(T8:T10)</f>
        <v>6.6076792446604644</v>
      </c>
      <c r="O10" s="89">
        <f>N10/N7-1</f>
        <v>6.8036972276248608E-3</v>
      </c>
      <c r="P10" s="129" t="s">
        <v>5</v>
      </c>
      <c r="Q10" s="116">
        <v>22327585</v>
      </c>
      <c r="R10" s="116">
        <v>28108682324</v>
      </c>
      <c r="S10" s="116">
        <v>3429745.87</v>
      </c>
      <c r="T10" s="130">
        <f t="shared" si="1"/>
        <v>6.5099823270579513</v>
      </c>
      <c r="U10" s="85">
        <f>Q8+Q9+Q10</f>
        <v>74078165</v>
      </c>
    </row>
    <row r="11" spans="1:21" ht="15" hidden="1" customHeight="1">
      <c r="A11" s="129" t="s">
        <v>6</v>
      </c>
      <c r="C11" s="79"/>
      <c r="F11" s="78">
        <f>Q11/21</f>
        <v>1376209.8095238095</v>
      </c>
      <c r="G11" s="90">
        <f t="shared" si="2"/>
        <v>0.29438118811326897</v>
      </c>
      <c r="H11" s="90"/>
      <c r="I11" s="130">
        <f t="shared" si="0"/>
        <v>6.6474448569993685</v>
      </c>
      <c r="J11" s="130"/>
      <c r="K11" s="78"/>
      <c r="O11" s="89"/>
      <c r="P11" s="129" t="s">
        <v>6</v>
      </c>
      <c r="Q11" s="116">
        <v>28900406</v>
      </c>
      <c r="R11" s="116">
        <v>37314013481</v>
      </c>
      <c r="S11" s="116">
        <v>4347596.2</v>
      </c>
      <c r="T11" s="130">
        <f t="shared" si="1"/>
        <v>6.6474448569993685</v>
      </c>
      <c r="U11" s="85"/>
    </row>
    <row r="12" spans="1:21" ht="15" hidden="1" customHeight="1">
      <c r="A12" s="129" t="s">
        <v>7</v>
      </c>
      <c r="C12" s="79"/>
      <c r="F12" s="78">
        <f>Q12/22</f>
        <v>935619.95454545459</v>
      </c>
      <c r="G12" s="90">
        <f t="shared" si="2"/>
        <v>-0.32014730016406878</v>
      </c>
      <c r="H12" s="90"/>
      <c r="I12" s="130">
        <f t="shared" si="0"/>
        <v>6.4384889434717287</v>
      </c>
      <c r="J12" s="130"/>
      <c r="K12" s="78"/>
      <c r="O12" s="89"/>
      <c r="P12" s="129" t="s">
        <v>7</v>
      </c>
      <c r="Q12" s="116">
        <v>20583639</v>
      </c>
      <c r="R12" s="116">
        <v>26727420989</v>
      </c>
      <c r="S12" s="116">
        <v>3196967.36</v>
      </c>
      <c r="T12" s="130">
        <f t="shared" si="1"/>
        <v>6.4384889434717287</v>
      </c>
      <c r="U12" s="85"/>
    </row>
    <row r="13" spans="1:21" ht="15" hidden="1" customHeight="1">
      <c r="A13" s="129" t="s">
        <v>96</v>
      </c>
      <c r="B13" s="131">
        <f>F11+F12+F13</f>
        <v>3875549.3140692636</v>
      </c>
      <c r="C13" s="131">
        <f>AVERAGE(F11:F13)</f>
        <v>1291849.7713564213</v>
      </c>
      <c r="D13" s="90">
        <f>C13/C10-1</f>
        <v>9.8657554428549288E-2</v>
      </c>
      <c r="E13" s="286"/>
      <c r="F13" s="78">
        <f>Q13/20</f>
        <v>1563719.55</v>
      </c>
      <c r="G13" s="90">
        <f t="shared" si="2"/>
        <v>0.67131915304188916</v>
      </c>
      <c r="H13" s="90"/>
      <c r="I13" s="130">
        <f t="shared" si="0"/>
        <v>7.3631759479762735</v>
      </c>
      <c r="J13" s="130"/>
      <c r="K13" s="78">
        <f>R11+R12+R13</f>
        <v>106720996499</v>
      </c>
      <c r="L13" s="87">
        <f>U13/U10-1</f>
        <v>9.0178678157052161E-2</v>
      </c>
      <c r="N13" s="88">
        <f>AVERAGE(T11:T13)</f>
        <v>6.8163699161491236</v>
      </c>
      <c r="O13" s="89">
        <f>N13/N10-1</f>
        <v>3.1583051138158291E-2</v>
      </c>
      <c r="P13" s="129" t="s">
        <v>96</v>
      </c>
      <c r="Q13" s="116">
        <v>31274391</v>
      </c>
      <c r="R13" s="116">
        <v>42679562029</v>
      </c>
      <c r="S13" s="116">
        <v>4247405.09</v>
      </c>
      <c r="T13" s="130">
        <f t="shared" si="1"/>
        <v>7.3631759479762735</v>
      </c>
      <c r="U13" s="85">
        <f>Q11+Q12+Q13</f>
        <v>80758436</v>
      </c>
    </row>
    <row r="14" spans="1:21" ht="15" hidden="1" customHeight="1">
      <c r="A14" s="129" t="s">
        <v>97</v>
      </c>
      <c r="C14" s="79"/>
      <c r="F14" s="78">
        <f>Q14/20</f>
        <v>1091290.6000000001</v>
      </c>
      <c r="G14" s="90">
        <f t="shared" si="2"/>
        <v>-0.30211872071305879</v>
      </c>
      <c r="H14" s="90"/>
      <c r="I14" s="130">
        <f t="shared" si="0"/>
        <v>6.5225552072217292</v>
      </c>
      <c r="J14" s="130"/>
      <c r="O14" s="89"/>
      <c r="P14" s="129" t="s">
        <v>97</v>
      </c>
      <c r="Q14" s="116">
        <v>21825812</v>
      </c>
      <c r="R14" s="116">
        <v>31129748365</v>
      </c>
      <c r="S14" s="116">
        <v>3346205.79</v>
      </c>
      <c r="T14" s="130">
        <f t="shared" si="1"/>
        <v>6.5225552072217292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1131365.2727272727</v>
      </c>
      <c r="G15" s="90">
        <f t="shared" si="2"/>
        <v>3.6722274275314604E-2</v>
      </c>
      <c r="H15" s="90"/>
      <c r="I15" s="130">
        <f t="shared" si="0"/>
        <v>6.5651021424888398</v>
      </c>
      <c r="J15" s="130"/>
      <c r="O15" s="89"/>
      <c r="P15" s="129" t="s">
        <v>98</v>
      </c>
      <c r="Q15" s="116">
        <v>24890036</v>
      </c>
      <c r="R15" s="116">
        <v>34538039110</v>
      </c>
      <c r="S15" s="116">
        <v>3791264.09</v>
      </c>
      <c r="T15" s="130">
        <f t="shared" si="1"/>
        <v>6.5651021424888398</v>
      </c>
      <c r="U15" s="85"/>
    </row>
    <row r="16" spans="1:21" ht="15" hidden="1" customHeight="1">
      <c r="A16" s="129" t="s">
        <v>99</v>
      </c>
      <c r="B16" s="131">
        <f>F14+F15+F16</f>
        <v>3519502.3272727276</v>
      </c>
      <c r="C16" s="131">
        <f>AVERAGE(F14:F16)</f>
        <v>1173167.4424242426</v>
      </c>
      <c r="D16" s="90">
        <f>C16/C13-1</f>
        <v>-9.1870070006332183E-2</v>
      </c>
      <c r="E16" s="286"/>
      <c r="F16" s="78">
        <f>Q16/22</f>
        <v>1296846.4545454546</v>
      </c>
      <c r="G16" s="90">
        <f t="shared" si="2"/>
        <v>0.1462668033103689</v>
      </c>
      <c r="H16" s="90"/>
      <c r="I16" s="130">
        <f t="shared" si="0"/>
        <v>6.7677592081018574</v>
      </c>
      <c r="J16" s="130"/>
      <c r="K16" s="78">
        <f>R14+R15+R16</f>
        <v>103048345535</v>
      </c>
      <c r="L16" s="87">
        <f>U16/U13-1</f>
        <v>-6.825251048695391E-2</v>
      </c>
      <c r="N16" s="88">
        <f>AVERAGE(T14:T16)</f>
        <v>6.6184721859374749</v>
      </c>
      <c r="O16" s="89">
        <f>N16/N13-1</f>
        <v>-2.9032715748421478E-2</v>
      </c>
      <c r="P16" s="129" t="s">
        <v>99</v>
      </c>
      <c r="Q16" s="116">
        <v>28530622</v>
      </c>
      <c r="R16" s="116">
        <v>37380558060</v>
      </c>
      <c r="S16" s="116">
        <v>4215667.42</v>
      </c>
      <c r="T16" s="130">
        <f t="shared" si="1"/>
        <v>6.7677592081018574</v>
      </c>
      <c r="U16" s="85">
        <f>Q14+Q15+Q16</f>
        <v>75246470</v>
      </c>
    </row>
    <row r="17" spans="1:21" ht="15" hidden="1" customHeight="1">
      <c r="A17" s="129" t="s">
        <v>100</v>
      </c>
      <c r="C17" s="79"/>
      <c r="F17" s="78">
        <f>Q17/20</f>
        <v>1261976.25</v>
      </c>
      <c r="G17" s="90">
        <f t="shared" ref="G17:G22" si="3">F17/F16-1</f>
        <v>-2.6888460405805392E-2</v>
      </c>
      <c r="H17" s="90">
        <f t="shared" ref="H17:H22" si="4">F17/F5-1</f>
        <v>-0.11192746436058088</v>
      </c>
      <c r="I17" s="130">
        <f t="shared" si="0"/>
        <v>7.0857373169596638</v>
      </c>
      <c r="J17" s="130">
        <f t="shared" ref="J17:J49" si="5">I17/I5-1</f>
        <v>0.10250355451519755</v>
      </c>
      <c r="O17" s="89"/>
      <c r="P17" s="129" t="s">
        <v>100</v>
      </c>
      <c r="Q17" s="116">
        <v>25239525</v>
      </c>
      <c r="R17" s="116">
        <v>31751139622</v>
      </c>
      <c r="S17" s="116">
        <v>3562018.16</v>
      </c>
      <c r="T17" s="130">
        <f t="shared" si="1"/>
        <v>7.0857373169596638</v>
      </c>
      <c r="U17" s="78"/>
    </row>
    <row r="18" spans="1:21" ht="15" hidden="1" customHeight="1">
      <c r="A18" s="129" t="s">
        <v>106</v>
      </c>
      <c r="C18" s="79"/>
      <c r="F18" s="78">
        <f>Q18/20</f>
        <v>1548615.55</v>
      </c>
      <c r="G18" s="90">
        <f t="shared" si="3"/>
        <v>0.22713525710170868</v>
      </c>
      <c r="H18" s="90">
        <f t="shared" si="4"/>
        <v>0.35057058112499329</v>
      </c>
      <c r="I18" s="130">
        <f t="shared" si="0"/>
        <v>6.7625387004454725</v>
      </c>
      <c r="J18" s="130">
        <f t="shared" si="5"/>
        <v>4.5417033508576843E-2</v>
      </c>
      <c r="O18" s="89"/>
      <c r="P18" s="129" t="s">
        <v>106</v>
      </c>
      <c r="Q18" s="116">
        <v>30972311</v>
      </c>
      <c r="R18" s="116">
        <v>38877775140</v>
      </c>
      <c r="S18" s="116">
        <v>4579982.8099999996</v>
      </c>
      <c r="T18" s="130">
        <f t="shared" ref="T18" si="6">Q18/S18</f>
        <v>6.7625387004454725</v>
      </c>
      <c r="U18" s="78"/>
    </row>
    <row r="19" spans="1:21" hidden="1">
      <c r="A19" s="129" t="s">
        <v>114</v>
      </c>
      <c r="B19" s="131">
        <f>SUM(F17:F19)</f>
        <v>4236990.5272727273</v>
      </c>
      <c r="C19" s="131">
        <f>AVERAGE(F17:F19)</f>
        <v>1412330.1757575758</v>
      </c>
      <c r="D19" s="90">
        <f>C19/C16-1</f>
        <v>0.20386069770153648</v>
      </c>
      <c r="E19" s="286">
        <f>C19/C7-1</f>
        <v>0.11090878215638011</v>
      </c>
      <c r="F19" s="78">
        <f>Q19/22</f>
        <v>1426398.7272727273</v>
      </c>
      <c r="G19" s="90">
        <f t="shared" si="3"/>
        <v>-7.8920053932864609E-2</v>
      </c>
      <c r="H19" s="90">
        <f t="shared" si="4"/>
        <v>0.14448868946212245</v>
      </c>
      <c r="I19" s="130">
        <f t="shared" si="0"/>
        <v>6.8402351584477294</v>
      </c>
      <c r="J19" s="130">
        <f t="shared" si="5"/>
        <v>6.8971917755196177E-3</v>
      </c>
      <c r="K19" s="78">
        <f>R17+R18+R19</f>
        <v>111654356402</v>
      </c>
      <c r="L19" s="87">
        <f>U19/U16-1</f>
        <v>0.16407597592285716</v>
      </c>
      <c r="M19" s="87">
        <f>U19/U7-1</f>
        <v>0.14531456921365016</v>
      </c>
      <c r="N19" s="88">
        <f>AVERAGE(T17:T19)</f>
        <v>6.8961703919509558</v>
      </c>
      <c r="O19" s="89">
        <f>N19/N16-1</f>
        <v>4.1958052887721919E-2</v>
      </c>
      <c r="P19" s="129" t="s">
        <v>115</v>
      </c>
      <c r="Q19" s="116">
        <v>31380772</v>
      </c>
      <c r="R19" s="116">
        <v>41025441640</v>
      </c>
      <c r="S19" s="116">
        <v>4587674.4400000004</v>
      </c>
      <c r="T19" s="130">
        <f t="shared" ref="T19" si="7">Q19/S19</f>
        <v>6.8402351584477294</v>
      </c>
      <c r="U19" s="85">
        <f>Q17+Q18+Q19</f>
        <v>87592608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1494399.55</v>
      </c>
      <c r="G20" s="90">
        <f t="shared" si="3"/>
        <v>4.7673081465299916E-2</v>
      </c>
      <c r="H20" s="90">
        <f t="shared" si="4"/>
        <v>0.1899671399945817</v>
      </c>
      <c r="I20" s="130">
        <f t="shared" si="0"/>
        <v>6.9319569702259631</v>
      </c>
      <c r="J20" s="130">
        <f t="shared" si="5"/>
        <v>5.0114401447748147E-2</v>
      </c>
      <c r="O20" s="89"/>
      <c r="P20" s="129" t="s">
        <v>132</v>
      </c>
      <c r="Q20" s="116">
        <v>29887991</v>
      </c>
      <c r="R20" s="116">
        <v>39165672201</v>
      </c>
      <c r="S20" s="116">
        <v>4311623.8499999996</v>
      </c>
      <c r="T20" s="130">
        <f t="shared" ref="T20" si="8">Q20/S20</f>
        <v>6.9319569702259631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1559718.0952380951</v>
      </c>
      <c r="G21" s="90">
        <f t="shared" si="3"/>
        <v>4.3708889793292016E-2</v>
      </c>
      <c r="H21" s="90">
        <f t="shared" si="4"/>
        <v>0.29064376187416729</v>
      </c>
      <c r="I21" s="130">
        <f t="shared" si="0"/>
        <v>6.9615647939025527</v>
      </c>
      <c r="J21" s="130">
        <f t="shared" si="5"/>
        <v>3.7195659236705536E-2</v>
      </c>
      <c r="O21" s="89"/>
      <c r="P21" s="129" t="s">
        <v>141</v>
      </c>
      <c r="Q21" s="116">
        <v>32754080</v>
      </c>
      <c r="R21" s="116">
        <v>43636469821</v>
      </c>
      <c r="S21" s="116">
        <v>4704988.17</v>
      </c>
      <c r="T21" s="130">
        <f t="shared" ref="T21" si="9">Q21/S21</f>
        <v>6.9615647939025527</v>
      </c>
      <c r="U21" s="78"/>
    </row>
    <row r="22" spans="1:21" hidden="1">
      <c r="A22" s="129" t="s">
        <v>156</v>
      </c>
      <c r="B22" s="131">
        <f>SUM(F20:F22)</f>
        <v>4475201.0261904765</v>
      </c>
      <c r="C22" s="131">
        <f>AVERAGE(F20:F22)</f>
        <v>1491733.6753968254</v>
      </c>
      <c r="D22" s="90">
        <f>C22/C19-1</f>
        <v>5.6221626502214628E-2</v>
      </c>
      <c r="E22" s="286">
        <f>C22/C10-1</f>
        <v>0.26864942658879332</v>
      </c>
      <c r="F22" s="78">
        <f>Q22/21</f>
        <v>1421083.3809523811</v>
      </c>
      <c r="G22" s="90">
        <f t="shared" si="3"/>
        <v>-8.888446874404643E-2</v>
      </c>
      <c r="H22" s="90">
        <f t="shared" si="4"/>
        <v>0.33658660352205594</v>
      </c>
      <c r="I22" s="130">
        <f t="shared" si="0"/>
        <v>7.0763644860009434</v>
      </c>
      <c r="J22" s="130">
        <f t="shared" si="5"/>
        <v>8.7002103921064888E-2</v>
      </c>
      <c r="K22" s="78">
        <f>R20+R21+R22</f>
        <v>121643872619</v>
      </c>
      <c r="L22" s="87">
        <f>U22/U19-1</f>
        <v>5.5851904763470461E-2</v>
      </c>
      <c r="M22" s="87">
        <f>U22/U10-1</f>
        <v>0.24847614678360341</v>
      </c>
      <c r="N22" s="88">
        <f>AVERAGE(T20:T22)</f>
        <v>6.9899620833764864</v>
      </c>
      <c r="O22" s="89">
        <f>N22/N19-1</f>
        <v>1.3600547274035257E-2</v>
      </c>
      <c r="P22" s="129" t="s">
        <v>156</v>
      </c>
      <c r="Q22" s="116">
        <v>29842751</v>
      </c>
      <c r="R22" s="116">
        <v>38841730597</v>
      </c>
      <c r="S22" s="116">
        <v>4217243.34</v>
      </c>
      <c r="T22" s="130">
        <f t="shared" ref="T22:T23" si="10">Q22/S22</f>
        <v>7.0763644860009434</v>
      </c>
      <c r="U22" s="85">
        <f>Q20+Q21+Q22</f>
        <v>92484822</v>
      </c>
    </row>
    <row r="23" spans="1:21" hidden="1">
      <c r="A23" s="129" t="s">
        <v>189</v>
      </c>
      <c r="B23" s="131"/>
      <c r="C23" s="131"/>
      <c r="F23" s="78">
        <f>Q23/21</f>
        <v>1283753.4761904762</v>
      </c>
      <c r="G23" s="90">
        <f t="shared" ref="G23" si="11">F23/F22-1</f>
        <v>-9.6637471525329643E-2</v>
      </c>
      <c r="H23" s="90">
        <f t="shared" ref="H23" si="12">F23/F11-1</f>
        <v>-6.7181858967655939E-2</v>
      </c>
      <c r="I23" s="130">
        <f t="shared" si="0"/>
        <v>7.0404589305193497</v>
      </c>
      <c r="J23" s="130">
        <f t="shared" si="5"/>
        <v>5.9122577467665804E-2</v>
      </c>
      <c r="O23" s="89"/>
      <c r="P23" s="129" t="s">
        <v>189</v>
      </c>
      <c r="Q23" s="116">
        <v>26958823</v>
      </c>
      <c r="R23" s="116">
        <v>34822753720</v>
      </c>
      <c r="S23" s="116">
        <v>3829128.65</v>
      </c>
      <c r="T23" s="130">
        <f t="shared" si="10"/>
        <v>7.0404589305193497</v>
      </c>
      <c r="U23" s="78"/>
    </row>
    <row r="24" spans="1:21" hidden="1">
      <c r="A24" s="129" t="s">
        <v>204</v>
      </c>
      <c r="B24" s="131"/>
      <c r="C24" s="131"/>
      <c r="F24" s="78">
        <f>Q24/22</f>
        <v>1205405.6818181819</v>
      </c>
      <c r="G24" s="90">
        <f t="shared" ref="G24" si="13">F24/F23-1</f>
        <v>-6.1030249051235663E-2</v>
      </c>
      <c r="H24" s="90">
        <f t="shared" ref="H24" si="14">F24/F12-1</f>
        <v>0.28834969365718077</v>
      </c>
      <c r="I24" s="130">
        <f t="shared" si="0"/>
        <v>7.2885521924999388</v>
      </c>
      <c r="J24" s="130">
        <f t="shared" si="5"/>
        <v>0.13202837754192731</v>
      </c>
      <c r="O24" s="89"/>
      <c r="P24" s="129" t="s">
        <v>204</v>
      </c>
      <c r="Q24" s="116">
        <v>26518925</v>
      </c>
      <c r="R24" s="116">
        <v>34849688045</v>
      </c>
      <c r="S24" s="116">
        <v>3638435.22</v>
      </c>
      <c r="T24" s="130">
        <f t="shared" ref="T24" si="15">Q24/S24</f>
        <v>7.2885521924999388</v>
      </c>
      <c r="U24" s="78"/>
    </row>
    <row r="25" spans="1:21" s="79" customFormat="1" ht="13.2" hidden="1">
      <c r="A25" s="129" t="s">
        <v>219</v>
      </c>
      <c r="B25" s="131">
        <f>SUM(F23:F25)</f>
        <v>4089199.5790612902</v>
      </c>
      <c r="C25" s="131">
        <f>AVERAGE(F23:F25)</f>
        <v>1363066.5263537634</v>
      </c>
      <c r="D25" s="90">
        <f>C25/C22-1</f>
        <v>-8.6253431939742442E-2</v>
      </c>
      <c r="E25" s="286">
        <f>C25/C13-1</f>
        <v>5.5127737432322022E-2</v>
      </c>
      <c r="F25" s="78">
        <f>Q25/19</f>
        <v>1600040.4210526317</v>
      </c>
      <c r="G25" s="90">
        <f t="shared" ref="G25" si="16">F25/F24-1</f>
        <v>0.3273874888653252</v>
      </c>
      <c r="H25" s="90">
        <f t="shared" ref="H25" si="17">F25/F13-1</f>
        <v>2.322722834323554E-2</v>
      </c>
      <c r="I25" s="130">
        <f t="shared" si="0"/>
        <v>6.7661916713120176</v>
      </c>
      <c r="J25" s="130">
        <f t="shared" si="5"/>
        <v>-8.1077008193500166E-2</v>
      </c>
      <c r="K25" s="78">
        <f>R23+R24+R25</f>
        <v>110027518221</v>
      </c>
      <c r="L25" s="90">
        <f>U25/U22-1</f>
        <v>-9.30564152461687E-2</v>
      </c>
      <c r="M25" s="90">
        <f>U25/U13-1</f>
        <v>3.8634725417416416E-2</v>
      </c>
      <c r="N25" s="88">
        <f>AVERAGE(T23:T25)</f>
        <v>7.0317342647771026</v>
      </c>
      <c r="O25" s="91">
        <f>N25/N22-1</f>
        <v>5.9760240330857251E-3</v>
      </c>
      <c r="P25" s="129" t="s">
        <v>219</v>
      </c>
      <c r="Q25" s="116">
        <v>30400768</v>
      </c>
      <c r="R25" s="116">
        <v>40355076456</v>
      </c>
      <c r="S25" s="116">
        <v>4493039.7300000004</v>
      </c>
      <c r="T25" s="130">
        <f t="shared" ref="T25" si="18">Q25/S25</f>
        <v>6.7661916713120176</v>
      </c>
      <c r="U25" s="85">
        <f>Q23+Q24+Q25</f>
        <v>83878516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1306795.6842105263</v>
      </c>
      <c r="G26" s="90">
        <f t="shared" ref="G26" si="19">F26/F25-1</f>
        <v>-0.18327333046323047</v>
      </c>
      <c r="H26" s="90">
        <f t="shared" ref="H26" si="20">F26/F14-1</f>
        <v>0.19747726610173877</v>
      </c>
      <c r="I26" s="130">
        <f t="shared" si="0"/>
        <v>6.6520887246335265</v>
      </c>
      <c r="J26" s="130">
        <f t="shared" si="5"/>
        <v>1.9859320971078676E-2</v>
      </c>
      <c r="L26" s="90"/>
      <c r="M26" s="90"/>
      <c r="P26" s="129" t="s">
        <v>312</v>
      </c>
      <c r="Q26" s="116">
        <v>24829118</v>
      </c>
      <c r="R26" s="116">
        <v>33477524539</v>
      </c>
      <c r="S26" s="116">
        <v>3732529.59</v>
      </c>
      <c r="T26" s="130">
        <f t="shared" ref="T26" si="21">Q26/S26</f>
        <v>6.6520887246335265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1561172.3181818181</v>
      </c>
      <c r="G27" s="90">
        <f t="shared" ref="G27" si="22">F27/F26-1</f>
        <v>0.19465677538181358</v>
      </c>
      <c r="H27" s="90">
        <f t="shared" ref="H27" si="23">F27/F15-1</f>
        <v>0.3799012183027779</v>
      </c>
      <c r="I27" s="130">
        <f t="shared" si="0"/>
        <v>6.8979312647674735</v>
      </c>
      <c r="J27" s="130">
        <f t="shared" si="5"/>
        <v>5.0696716525488572E-2</v>
      </c>
      <c r="L27" s="90"/>
      <c r="M27" s="90"/>
      <c r="P27" s="129" t="s">
        <v>378</v>
      </c>
      <c r="Q27" s="116">
        <v>34345791</v>
      </c>
      <c r="R27" s="116">
        <v>45436208195</v>
      </c>
      <c r="S27" s="116">
        <v>4979143.7</v>
      </c>
      <c r="T27" s="130">
        <f t="shared" ref="T27" si="24">Q27/S27</f>
        <v>6.8979312647674735</v>
      </c>
      <c r="U27" s="78"/>
    </row>
    <row r="28" spans="1:21" s="79" customFormat="1" ht="13.2" hidden="1">
      <c r="A28" s="123" t="s">
        <v>413</v>
      </c>
      <c r="B28" s="131">
        <f>SUM(F26:F28)</f>
        <v>4370866.4234449761</v>
      </c>
      <c r="C28" s="131">
        <f>AVERAGE(F26:F28)</f>
        <v>1456955.4744816588</v>
      </c>
      <c r="D28" s="90">
        <f>C28/C25-1</f>
        <v>6.8880679198432437E-2</v>
      </c>
      <c r="E28" s="286">
        <f>C28/C16-1</f>
        <v>0.24189900076922899</v>
      </c>
      <c r="F28" s="78">
        <f>Q28/19</f>
        <v>1502898.4210526317</v>
      </c>
      <c r="G28" s="90">
        <f t="shared" ref="G28" si="25">F28/F27-1</f>
        <v>-3.7327011535186361E-2</v>
      </c>
      <c r="H28" s="90">
        <f t="shared" ref="H28" si="26">F28/F16-1</f>
        <v>0.15888694130670888</v>
      </c>
      <c r="I28" s="130">
        <f t="shared" si="0"/>
        <v>6.7642298123619575</v>
      </c>
      <c r="J28" s="130">
        <f t="shared" si="5"/>
        <v>-5.2150137606477021E-4</v>
      </c>
      <c r="K28" s="78">
        <f>R26+R27+R28</f>
        <v>116174274920</v>
      </c>
      <c r="L28" s="90">
        <f>U28/U25-1</f>
        <v>4.5917157141883713E-2</v>
      </c>
      <c r="M28" s="90">
        <f>U28/U16-1</f>
        <v>0.16590158980215275</v>
      </c>
      <c r="N28" s="88">
        <f>AVERAGE(T26:T28)</f>
        <v>6.7714166005876528</v>
      </c>
      <c r="O28" s="91">
        <f>N28/N25-1</f>
        <v>-3.7020406970356579E-2</v>
      </c>
      <c r="P28" s="129" t="s">
        <v>413</v>
      </c>
      <c r="Q28" s="116">
        <v>28555070</v>
      </c>
      <c r="R28" s="116">
        <v>37260542186</v>
      </c>
      <c r="S28" s="116">
        <v>4221481.3499999996</v>
      </c>
      <c r="T28" s="130">
        <f t="shared" ref="T28" si="27">Q28/S28</f>
        <v>6.7642298123619575</v>
      </c>
      <c r="U28" s="85">
        <f>Q26+Q27+Q28</f>
        <v>87729979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1418981.6818181819</v>
      </c>
      <c r="G29" s="190">
        <f t="shared" ref="G29" si="28">F29/F28-1</f>
        <v>-5.5836600836718153E-2</v>
      </c>
      <c r="H29" s="190">
        <f t="shared" ref="H29" si="29">F29/F17-1</f>
        <v>0.12441235072227541</v>
      </c>
      <c r="I29" s="130">
        <f t="shared" si="0"/>
        <v>7.0444545844459423</v>
      </c>
      <c r="J29" s="130">
        <f t="shared" si="5"/>
        <v>-5.8261731513686854E-3</v>
      </c>
      <c r="K29" s="136"/>
      <c r="L29" s="190"/>
      <c r="M29" s="190"/>
      <c r="N29" s="191"/>
      <c r="O29" s="192"/>
      <c r="P29" s="129" t="s">
        <v>427</v>
      </c>
      <c r="Q29" s="116">
        <v>31217597</v>
      </c>
      <c r="R29" s="116">
        <v>41041975483</v>
      </c>
      <c r="S29" s="116">
        <v>4431513.7</v>
      </c>
      <c r="T29" s="130">
        <f t="shared" ref="T29" si="30">Q29/S29</f>
        <v>7.0444545844459423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1815912.6315789474</v>
      </c>
      <c r="G30" s="190">
        <f t="shared" ref="G30" si="31">F30/F29-1</f>
        <v>0.27972943896792701</v>
      </c>
      <c r="H30" s="190">
        <f t="shared" ref="H30" si="32">F30/F18-1</f>
        <v>0.17260389873971449</v>
      </c>
      <c r="I30" s="130">
        <f t="shared" si="0"/>
        <v>6.9971051025363904</v>
      </c>
      <c r="J30" s="130">
        <f t="shared" si="5"/>
        <v>3.4686145615028696E-2</v>
      </c>
      <c r="K30" s="136"/>
      <c r="L30" s="190"/>
      <c r="M30" s="190"/>
      <c r="N30" s="191"/>
      <c r="O30" s="192"/>
      <c r="P30" s="129" t="s">
        <v>466</v>
      </c>
      <c r="Q30" s="116">
        <v>34502340</v>
      </c>
      <c r="R30" s="116">
        <v>45978884606</v>
      </c>
      <c r="S30" s="116">
        <v>4930944.9400000004</v>
      </c>
      <c r="T30" s="130">
        <f t="shared" ref="T30" si="33">Q30/S30</f>
        <v>6.9971051025363904</v>
      </c>
      <c r="U30" s="85"/>
    </row>
    <row r="31" spans="1:21" s="79" customFormat="1" ht="13.2" hidden="1">
      <c r="A31" s="129" t="s">
        <v>505</v>
      </c>
      <c r="B31" s="188">
        <f>SUM(F29:F31)</f>
        <v>4781788.2633971293</v>
      </c>
      <c r="C31" s="188">
        <f>AVERAGE(F29:F31)</f>
        <v>1593929.4211323764</v>
      </c>
      <c r="D31" s="190">
        <f>C31/C28-1</f>
        <v>9.4013817889286422E-2</v>
      </c>
      <c r="E31" s="287">
        <f>C31/C19-1</f>
        <v>0.12858129670520602</v>
      </c>
      <c r="F31" s="136">
        <f>Q31/20</f>
        <v>1546893.95</v>
      </c>
      <c r="G31" s="190">
        <f t="shared" ref="G31" si="34">F31/F30-1</f>
        <v>-0.14814516783499332</v>
      </c>
      <c r="H31" s="190">
        <f t="shared" ref="H31" si="35">F31/F19-1</f>
        <v>8.4475133371479716E-2</v>
      </c>
      <c r="I31" s="130">
        <f t="shared" si="0"/>
        <v>7.0174670855451744</v>
      </c>
      <c r="J31" s="130">
        <f t="shared" si="5"/>
        <v>2.5910209662684203E-2</v>
      </c>
      <c r="K31" s="136">
        <f>R29+R30+R31</f>
        <v>128109743740</v>
      </c>
      <c r="L31" s="190">
        <f>U31/U28-1</f>
        <v>0.10176495083852699</v>
      </c>
      <c r="M31" s="190">
        <f>U31/U19-1</f>
        <v>0.10349284268371139</v>
      </c>
      <c r="N31" s="191">
        <f>AVERAGE(T29:T31)</f>
        <v>7.0196755908425024</v>
      </c>
      <c r="O31" s="192">
        <f>N31/N28-1</f>
        <v>3.6662784893976896E-2</v>
      </c>
      <c r="P31" s="129" t="s">
        <v>505</v>
      </c>
      <c r="Q31" s="116">
        <v>30937879</v>
      </c>
      <c r="R31" s="116">
        <v>41088883651</v>
      </c>
      <c r="S31" s="116">
        <v>4408695.99</v>
      </c>
      <c r="T31" s="130">
        <f t="shared" ref="T31" si="36">Q31/S31</f>
        <v>7.0174670855451744</v>
      </c>
      <c r="U31" s="85">
        <f>Q29+Q30+Q31</f>
        <v>96657816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1586211.3333333333</v>
      </c>
      <c r="G32" s="190">
        <f t="shared" ref="G32" si="37">F32/F31-1</f>
        <v>2.5416986945571374E-2</v>
      </c>
      <c r="H32" s="190">
        <f t="shared" ref="H32" si="38">F32/F20-1</f>
        <v>6.1437239681538358E-2</v>
      </c>
      <c r="I32" s="130">
        <f t="shared" si="0"/>
        <v>7.1968284177848334</v>
      </c>
      <c r="J32" s="130">
        <f t="shared" si="5"/>
        <v>3.8210197884456232E-2</v>
      </c>
      <c r="K32" s="136"/>
      <c r="L32" s="190"/>
      <c r="M32" s="190"/>
      <c r="N32" s="191"/>
      <c r="O32" s="192"/>
      <c r="P32" s="129" t="s">
        <v>566</v>
      </c>
      <c r="Q32" s="116">
        <v>33310438</v>
      </c>
      <c r="R32" s="116">
        <v>45243893779</v>
      </c>
      <c r="S32" s="116">
        <v>4628488.5599999996</v>
      </c>
      <c r="T32" s="130">
        <f t="shared" ref="T32" si="39">Q32/S32</f>
        <v>7.1968284177848334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1442668.2380952381</v>
      </c>
      <c r="G33" s="190">
        <f t="shared" ref="G33" si="40">F33/F32-1</f>
        <v>-9.0494306919650769E-2</v>
      </c>
      <c r="H33" s="190">
        <f t="shared" ref="H33" si="41">F33/F21-1</f>
        <v>-7.5045521046538277E-2</v>
      </c>
      <c r="I33" s="130">
        <f t="shared" si="0"/>
        <v>6.9029684598141392</v>
      </c>
      <c r="J33" s="130">
        <f t="shared" si="5"/>
        <v>-8.4171211247988653E-3</v>
      </c>
      <c r="K33" s="136"/>
      <c r="L33" s="190"/>
      <c r="M33" s="190"/>
      <c r="N33" s="191"/>
      <c r="O33" s="192"/>
      <c r="P33" s="129" t="s">
        <v>625</v>
      </c>
      <c r="Q33" s="116">
        <v>30296033</v>
      </c>
      <c r="R33" s="116">
        <v>41434079316</v>
      </c>
      <c r="S33" s="116">
        <v>4388841.29</v>
      </c>
      <c r="T33" s="130">
        <f t="shared" ref="T33" si="42">Q33/S33</f>
        <v>6.9029684598141392</v>
      </c>
      <c r="U33" s="85"/>
    </row>
    <row r="34" spans="1:21" s="79" customFormat="1" ht="13.2" hidden="1">
      <c r="A34" s="129" t="s">
        <v>652</v>
      </c>
      <c r="B34" s="188">
        <f>SUM(F32:F34)</f>
        <v>4639517.9924812028</v>
      </c>
      <c r="C34" s="188">
        <f>AVERAGE(F32:F34)</f>
        <v>1546505.9974937344</v>
      </c>
      <c r="D34" s="190">
        <f>C34/C31-1</f>
        <v>-2.9752524176980821E-2</v>
      </c>
      <c r="E34" s="287">
        <f>C34/C22-1</f>
        <v>3.6717225735578118E-2</v>
      </c>
      <c r="F34" s="136">
        <f>Q34/19</f>
        <v>1610638.4210526317</v>
      </c>
      <c r="G34" s="190">
        <f t="shared" ref="G34" si="43">F34/F33-1</f>
        <v>0.11643022180842166</v>
      </c>
      <c r="H34" s="190">
        <f t="shared" ref="H34" si="44">F34/F22-1</f>
        <v>0.1333876974714987</v>
      </c>
      <c r="I34" s="130">
        <f t="shared" si="0"/>
        <v>7.247498561436144</v>
      </c>
      <c r="J34" s="130">
        <f t="shared" si="5"/>
        <v>2.418389778731056E-2</v>
      </c>
      <c r="K34" s="136">
        <f>R32+R33+R34</f>
        <v>128757841416</v>
      </c>
      <c r="L34" s="190">
        <f>U34/U31-1</f>
        <v>-2.5339026902904571E-2</v>
      </c>
      <c r="M34" s="190">
        <f>U34/U22-1</f>
        <v>1.863850697577174E-2</v>
      </c>
      <c r="N34" s="191">
        <f>AVERAGE(T32:T34)</f>
        <v>7.115765146345038</v>
      </c>
      <c r="O34" s="192">
        <f>N34/N31-1</f>
        <v>1.3688603448838821E-2</v>
      </c>
      <c r="P34" s="129" t="s">
        <v>652</v>
      </c>
      <c r="Q34" s="116">
        <v>30602130</v>
      </c>
      <c r="R34" s="116">
        <v>42079868321</v>
      </c>
      <c r="S34" s="116">
        <v>4222440.3</v>
      </c>
      <c r="T34" s="130">
        <f t="shared" ref="T34" si="45">Q34/S34</f>
        <v>7.247498561436144</v>
      </c>
      <c r="U34" s="85">
        <f>Q32+Q33+Q34</f>
        <v>94208601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1262706.043478261</v>
      </c>
      <c r="G35" s="190">
        <f t="shared" ref="G35" si="46">F35/F34-1</f>
        <v>-0.21602140680773019</v>
      </c>
      <c r="H35" s="190">
        <f t="shared" ref="H35" si="47">F35/F23-1</f>
        <v>-1.6395229382103249E-2</v>
      </c>
      <c r="I35" s="130">
        <f t="shared" si="0"/>
        <v>7.1084522012413132</v>
      </c>
      <c r="J35" s="130">
        <f t="shared" si="5"/>
        <v>9.6575054826641971E-3</v>
      </c>
      <c r="K35" s="136"/>
      <c r="L35" s="190"/>
      <c r="M35" s="190"/>
      <c r="N35" s="191"/>
      <c r="O35" s="192"/>
      <c r="P35" s="129" t="s">
        <v>660</v>
      </c>
      <c r="Q35" s="116">
        <v>29042239</v>
      </c>
      <c r="R35" s="116">
        <v>40197940608</v>
      </c>
      <c r="S35" s="116">
        <v>4085592.5</v>
      </c>
      <c r="T35" s="130">
        <f t="shared" ref="T35" si="48">Q35/S35</f>
        <v>7.1084522012413132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1226494.2857142857</v>
      </c>
      <c r="G36" s="190">
        <f t="shared" ref="G36" si="49">F36/F35-1</f>
        <v>-2.867790009480442E-2</v>
      </c>
      <c r="H36" s="190">
        <f t="shared" ref="H36" si="50">F36/F24-1</f>
        <v>1.7495026126220559E-2</v>
      </c>
      <c r="I36" s="130">
        <f t="shared" si="0"/>
        <v>6.9174394298833457</v>
      </c>
      <c r="J36" s="130">
        <f t="shared" si="5"/>
        <v>-5.0917212748846752E-2</v>
      </c>
      <c r="K36" s="136"/>
      <c r="L36" s="190"/>
      <c r="M36" s="190"/>
      <c r="N36" s="191"/>
      <c r="O36" s="192"/>
      <c r="P36" s="129" t="s">
        <v>664</v>
      </c>
      <c r="Q36" s="116">
        <v>25756380</v>
      </c>
      <c r="R36" s="116">
        <v>35123269366</v>
      </c>
      <c r="S36" s="116">
        <v>3723397.98</v>
      </c>
      <c r="T36" s="130">
        <f t="shared" ref="T36" si="51">Q36/S36</f>
        <v>6.9174394298833457</v>
      </c>
      <c r="U36" s="85"/>
    </row>
    <row r="37" spans="1:21" s="79" customFormat="1" ht="13.2" hidden="1">
      <c r="A37" s="129" t="s">
        <v>702</v>
      </c>
      <c r="B37" s="188">
        <f>SUM(F35:F37)</f>
        <v>3628088.5514147691</v>
      </c>
      <c r="C37" s="188">
        <f>AVERAGE(F35:F37)</f>
        <v>1209362.8504715897</v>
      </c>
      <c r="D37" s="190">
        <f>C37/C34-1</f>
        <v>-0.21800312935644506</v>
      </c>
      <c r="E37" s="287">
        <f>C37/C25-1</f>
        <v>-0.11276315052159258</v>
      </c>
      <c r="F37" s="136">
        <f>Q37/18</f>
        <v>1138888.2222222222</v>
      </c>
      <c r="G37" s="190">
        <f t="shared" ref="G37" si="52">F37/F36-1</f>
        <v>-7.1428024176275251E-2</v>
      </c>
      <c r="H37" s="190">
        <f t="shared" ref="H37" si="53">F37/F25-1</f>
        <v>-0.28821284310244333</v>
      </c>
      <c r="I37" s="130">
        <f t="shared" si="0"/>
        <v>7.1129520690946046</v>
      </c>
      <c r="J37" s="130">
        <f t="shared" si="5"/>
        <v>5.1248976474139285E-2</v>
      </c>
      <c r="K37" s="136">
        <f>R35+R36+R37</f>
        <v>102682409908</v>
      </c>
      <c r="L37" s="190">
        <f>U37/U34-1</f>
        <v>-0.20072470877685578</v>
      </c>
      <c r="M37" s="190">
        <f>U37/U25-1</f>
        <v>-0.10228970908355128</v>
      </c>
      <c r="N37" s="191">
        <f>AVERAGE(T35:T37)</f>
        <v>7.0462812334064209</v>
      </c>
      <c r="O37" s="192">
        <f>N37/N34-1</f>
        <v>-9.7647844623296454E-3</v>
      </c>
      <c r="P37" s="129" t="s">
        <v>702</v>
      </c>
      <c r="Q37" s="116">
        <v>20499988</v>
      </c>
      <c r="R37" s="116">
        <v>27361199934</v>
      </c>
      <c r="S37" s="116">
        <v>2882064.69</v>
      </c>
      <c r="T37" s="130">
        <f t="shared" ref="T37" si="54">Q37/S37</f>
        <v>7.1129520690946046</v>
      </c>
      <c r="U37" s="85">
        <f>Q35+Q36+Q37</f>
        <v>75298607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1069118.7</v>
      </c>
      <c r="G38" s="190">
        <f t="shared" ref="G38" si="55">F38/F37-1</f>
        <v>-6.1261079762583326E-2</v>
      </c>
      <c r="H38" s="190">
        <f t="shared" ref="H38" si="56">F38/F26-1</f>
        <v>-0.18187769295711598</v>
      </c>
      <c r="I38" s="130">
        <f t="shared" si="0"/>
        <v>7.0306540261826225</v>
      </c>
      <c r="J38" s="130">
        <f t="shared" si="5"/>
        <v>5.6909238168640242E-2</v>
      </c>
      <c r="K38" s="136"/>
      <c r="L38" s="190"/>
      <c r="M38" s="190"/>
      <c r="N38" s="191"/>
      <c r="O38" s="192"/>
      <c r="P38" s="129" t="s">
        <v>728</v>
      </c>
      <c r="Q38" s="116">
        <v>21382374</v>
      </c>
      <c r="R38" s="116">
        <v>28896144734</v>
      </c>
      <c r="S38" s="116">
        <v>3041306.53</v>
      </c>
      <c r="T38" s="130">
        <f t="shared" ref="T38" si="57">Q38/S38</f>
        <v>7.0306540261826225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1021186.5238095238</v>
      </c>
      <c r="G39" s="190">
        <f t="shared" ref="G39" si="58">F39/F38-1</f>
        <v>-4.4833353107074259E-2</v>
      </c>
      <c r="H39" s="190">
        <f t="shared" ref="H39" si="59">F39/F27-1</f>
        <v>-0.34588481238328372</v>
      </c>
      <c r="I39" s="130">
        <f t="shared" si="0"/>
        <v>6.9623461357754763</v>
      </c>
      <c r="J39" s="130">
        <f t="shared" si="5"/>
        <v>9.3382883266777128E-3</v>
      </c>
      <c r="K39" s="136"/>
      <c r="L39" s="190"/>
      <c r="M39" s="190"/>
      <c r="N39" s="191"/>
      <c r="O39" s="192"/>
      <c r="P39" s="129" t="s">
        <v>762</v>
      </c>
      <c r="Q39" s="116">
        <v>21444917</v>
      </c>
      <c r="R39" s="116">
        <v>29809151009</v>
      </c>
      <c r="S39" s="116">
        <v>3080127.96</v>
      </c>
      <c r="T39" s="130">
        <f t="shared" ref="T39" si="60">Q39/S39</f>
        <v>6.9623461357754763</v>
      </c>
      <c r="U39" s="85"/>
    </row>
    <row r="40" spans="1:21" s="79" customFormat="1" ht="13.2" hidden="1">
      <c r="A40" s="129" t="s">
        <v>778</v>
      </c>
      <c r="B40" s="188">
        <f>SUM(F38:F40)</f>
        <v>3235230.2714285711</v>
      </c>
      <c r="C40" s="188">
        <f>AVERAGE(F38:F40)</f>
        <v>1078410.0904761904</v>
      </c>
      <c r="D40" s="190">
        <f>C40/C37-1</f>
        <v>-0.10828243975274621</v>
      </c>
      <c r="E40" s="287">
        <f>C40/C28-1</f>
        <v>-0.25981945957555319</v>
      </c>
      <c r="F40" s="136">
        <f>Q40/21</f>
        <v>1144925.0476190476</v>
      </c>
      <c r="G40" s="190">
        <f t="shared" ref="G40" si="61">F40/F39-1</f>
        <v>0.12117132465469549</v>
      </c>
      <c r="H40" s="190">
        <f t="shared" ref="H40" si="62">F40/F28-1</f>
        <v>-0.23818866825534302</v>
      </c>
      <c r="I40" s="130">
        <f t="shared" si="0"/>
        <v>6.619058521554984</v>
      </c>
      <c r="J40" s="130">
        <f t="shared" si="5"/>
        <v>-2.1461614231625625E-2</v>
      </c>
      <c r="K40" s="136">
        <f>R38+R39+R40</f>
        <v>92807991850</v>
      </c>
      <c r="L40" s="190">
        <f>U40/U37-1</f>
        <v>-0.11192624054784972</v>
      </c>
      <c r="M40" s="190">
        <f>U40/U28-1</f>
        <v>-0.23776663619171734</v>
      </c>
      <c r="N40" s="191">
        <f>AVERAGE(T38:T40)</f>
        <v>6.8706862278376946</v>
      </c>
      <c r="O40" s="192">
        <f>N40/N37-1</f>
        <v>-2.4920238030839648E-2</v>
      </c>
      <c r="P40" s="129" t="s">
        <v>778</v>
      </c>
      <c r="Q40" s="116">
        <v>24043426</v>
      </c>
      <c r="R40" s="116">
        <v>34102696107</v>
      </c>
      <c r="S40" s="116">
        <v>3632454.06</v>
      </c>
      <c r="T40" s="130">
        <f t="shared" ref="T40" si="63">Q40/S40</f>
        <v>6.619058521554984</v>
      </c>
      <c r="U40" s="85">
        <f>Q38+Q39+Q40</f>
        <v>66870717</v>
      </c>
    </row>
    <row r="41" spans="1:21" s="79" customFormat="1" ht="13.2">
      <c r="A41" s="129" t="s">
        <v>789</v>
      </c>
      <c r="B41" s="193"/>
      <c r="C41" s="194"/>
      <c r="D41" s="195"/>
      <c r="E41" s="288"/>
      <c r="F41" s="136">
        <f>Q41/18</f>
        <v>1140365.5</v>
      </c>
      <c r="G41" s="190">
        <f t="shared" ref="G41" si="64">F41/F40-1</f>
        <v>-3.9823983487211612E-3</v>
      </c>
      <c r="H41" s="190">
        <f t="shared" ref="H41" si="65">F41/F29-1</f>
        <v>-0.19634938589283479</v>
      </c>
      <c r="I41" s="130">
        <f t="shared" si="0"/>
        <v>6.5370064893580055</v>
      </c>
      <c r="J41" s="130">
        <f t="shared" si="5"/>
        <v>-7.2035114855928728E-2</v>
      </c>
      <c r="K41" s="193"/>
      <c r="L41" s="190"/>
      <c r="M41" s="190"/>
      <c r="N41" s="193"/>
      <c r="O41" s="193"/>
      <c r="P41" s="129" t="s">
        <v>802</v>
      </c>
      <c r="Q41" s="116">
        <v>20526579</v>
      </c>
      <c r="R41" s="116">
        <v>30032631943</v>
      </c>
      <c r="S41" s="116">
        <v>3140057.92</v>
      </c>
      <c r="T41" s="130">
        <f t="shared" ref="T41" si="66">Q41/S41</f>
        <v>6.5370064893580055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1308355</v>
      </c>
      <c r="G42" s="190">
        <f t="shared" ref="G42" si="67">F42/F41-1</f>
        <v>0.14731198023791503</v>
      </c>
      <c r="H42" s="190">
        <f t="shared" ref="H42" si="68">F42/F30-1</f>
        <v>-0.27950553498690234</v>
      </c>
      <c r="I42" s="130">
        <f t="shared" si="0"/>
        <v>6.7791668829271448</v>
      </c>
      <c r="J42" s="130">
        <f t="shared" si="5"/>
        <v>-3.1146912389560244E-2</v>
      </c>
      <c r="K42" s="193"/>
      <c r="L42" s="190"/>
      <c r="M42" s="190"/>
      <c r="N42" s="193"/>
      <c r="O42" s="193"/>
      <c r="P42" s="129" t="s">
        <v>826</v>
      </c>
      <c r="Q42" s="116">
        <v>26167100</v>
      </c>
      <c r="R42" s="116">
        <v>37812466092</v>
      </c>
      <c r="S42" s="116">
        <v>3859928.58</v>
      </c>
      <c r="T42" s="130">
        <f t="shared" ref="T42" si="69">Q42/S42</f>
        <v>6.7791668829271448</v>
      </c>
      <c r="U42" s="78"/>
    </row>
    <row r="43" spans="1:21" s="79" customFormat="1" ht="13.2">
      <c r="A43" s="129" t="s">
        <v>835</v>
      </c>
      <c r="B43" s="188">
        <f>SUM(F41:F43)</f>
        <v>3768290.6</v>
      </c>
      <c r="C43" s="188">
        <f>AVERAGE(F41:F43)</f>
        <v>1256096.8666666667</v>
      </c>
      <c r="D43" s="190">
        <f>C43/C40-1</f>
        <v>0.16476735312446467</v>
      </c>
      <c r="E43" s="287">
        <f>C43/C31-1</f>
        <v>-0.21194950666366585</v>
      </c>
      <c r="F43" s="136">
        <f>Q43/20</f>
        <v>1319570.1000000001</v>
      </c>
      <c r="G43" s="190">
        <f t="shared" ref="G43" si="70">F43/F42-1</f>
        <v>8.571909000233191E-3</v>
      </c>
      <c r="H43" s="190">
        <f t="shared" ref="H43" si="71">F43/F31-1</f>
        <v>-0.14695503204986993</v>
      </c>
      <c r="I43" s="130">
        <f t="shared" si="0"/>
        <v>7.1496188105141663</v>
      </c>
      <c r="J43" s="130">
        <f t="shared" si="5"/>
        <v>1.8831826834101228E-2</v>
      </c>
      <c r="K43" s="136">
        <f>R41+R42+R43</f>
        <v>106077429367</v>
      </c>
      <c r="L43" s="190">
        <f>U43/U40-1</f>
        <v>9.2931020913085138E-2</v>
      </c>
      <c r="M43" s="190">
        <f>K43/K31-1</f>
        <v>-0.17198000503158295</v>
      </c>
      <c r="N43" s="191">
        <f>AVERAGE(T41:T43)</f>
        <v>6.8219307275997716</v>
      </c>
      <c r="O43" s="192">
        <f>N43/N40-1</f>
        <v>-7.0961616672847727E-3</v>
      </c>
      <c r="P43" s="129" t="s">
        <v>835</v>
      </c>
      <c r="Q43" s="116">
        <v>26391402</v>
      </c>
      <c r="R43" s="116">
        <v>38232331332</v>
      </c>
      <c r="S43" s="116">
        <v>3691301.97</v>
      </c>
      <c r="T43" s="130">
        <f t="shared" ref="T43" si="72">Q43/S43</f>
        <v>7.1496188105141663</v>
      </c>
      <c r="U43" s="85">
        <f>Q41+Q42+Q43</f>
        <v>73085081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1392057</v>
      </c>
      <c r="G44" s="190">
        <f t="shared" ref="G44" si="73">F44/F43-1</f>
        <v>5.4932208603392763E-2</v>
      </c>
      <c r="H44" s="190">
        <f t="shared" ref="H44" si="74">F44/F32-1</f>
        <v>-0.12240130255867543</v>
      </c>
      <c r="I44" s="130">
        <f t="shared" si="0"/>
        <v>6.6028442436845722</v>
      </c>
      <c r="J44" s="130">
        <f t="shared" si="5"/>
        <v>-8.2534158051122186E-2</v>
      </c>
      <c r="K44" s="136"/>
      <c r="L44" s="190"/>
      <c r="M44" s="190"/>
      <c r="N44" s="191"/>
      <c r="O44" s="192"/>
      <c r="P44" s="129" t="s">
        <v>843</v>
      </c>
      <c r="Q44" s="116">
        <v>30625254</v>
      </c>
      <c r="R44" s="116">
        <v>44441059426</v>
      </c>
      <c r="S44" s="116">
        <v>4638191.1900000004</v>
      </c>
      <c r="T44" s="130">
        <f t="shared" ref="T44" si="75">Q44/S44</f>
        <v>6.6028442436845722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1230515.1499999999</v>
      </c>
      <c r="G45" s="190">
        <f t="shared" ref="G45" si="76">F45/F44-1</f>
        <v>-0.1160454277375137</v>
      </c>
      <c r="H45" s="190">
        <f t="shared" ref="H45" si="77">F45/F33-1</f>
        <v>-0.14705604690884788</v>
      </c>
      <c r="I45" s="130">
        <f t="shared" si="0"/>
        <v>6.8362579054960344</v>
      </c>
      <c r="J45" s="130">
        <f t="shared" si="5"/>
        <v>-9.6640386967523639E-3</v>
      </c>
      <c r="K45" s="136"/>
      <c r="L45" s="190"/>
      <c r="M45" s="190"/>
      <c r="N45" s="191"/>
      <c r="O45" s="192"/>
      <c r="P45" s="129" t="s">
        <v>853</v>
      </c>
      <c r="Q45" s="116">
        <v>24610303</v>
      </c>
      <c r="R45" s="116">
        <v>34599399954</v>
      </c>
      <c r="S45" s="116">
        <v>3599967.02</v>
      </c>
      <c r="T45" s="130">
        <f t="shared" ref="T45" si="78">Q45/S45</f>
        <v>6.8362579054960344</v>
      </c>
      <c r="U45" s="85"/>
    </row>
    <row r="46" spans="1:21" s="79" customFormat="1" ht="13.2">
      <c r="A46" s="129" t="s">
        <v>902</v>
      </c>
      <c r="B46" s="188">
        <f>SUM(F44:F46)</f>
        <v>3884064.3078947365</v>
      </c>
      <c r="C46" s="188">
        <f>AVERAGE(F44:F46)</f>
        <v>1294688.1026315789</v>
      </c>
      <c r="D46" s="190">
        <f>C46/C43-1</f>
        <v>3.0723136876634971E-2</v>
      </c>
      <c r="E46" s="287">
        <f>C46/C34-1</f>
        <v>-0.16283020904558476</v>
      </c>
      <c r="F46" s="136">
        <f>Q46/19</f>
        <v>1261492.1578947369</v>
      </c>
      <c r="G46" s="190">
        <f t="shared" ref="G46" si="79">F46/F45-1</f>
        <v>2.5174015854040332E-2</v>
      </c>
      <c r="H46" s="190">
        <f t="shared" ref="H46" si="80">F46/F34-1</f>
        <v>-0.21677507415333508</v>
      </c>
      <c r="I46" s="130">
        <f t="shared" si="0"/>
        <v>6.7640345261993158</v>
      </c>
      <c r="J46" s="130">
        <f t="shared" si="5"/>
        <v>-6.6707710410504273E-2</v>
      </c>
      <c r="K46" s="136">
        <f>R44+R45+R46</f>
        <v>111859888663</v>
      </c>
      <c r="L46" s="190">
        <f>U46/U43-1</f>
        <v>8.3721970561953629E-2</v>
      </c>
      <c r="M46" s="190">
        <f>K46/K34-1</f>
        <v>-0.13123824201436318</v>
      </c>
      <c r="N46" s="191">
        <f>AVERAGE(T44:T46)</f>
        <v>6.7343788917933081</v>
      </c>
      <c r="O46" s="192">
        <f>N46/N43-1</f>
        <v>-1.2833879337450838E-2</v>
      </c>
      <c r="P46" s="129" t="s">
        <v>888</v>
      </c>
      <c r="Q46" s="116">
        <v>23968351</v>
      </c>
      <c r="R46" s="116">
        <v>32819429283</v>
      </c>
      <c r="S46" s="116">
        <v>3543499.21</v>
      </c>
      <c r="T46" s="130">
        <f t="shared" ref="T46" si="81">Q46/S46</f>
        <v>6.7640345261993158</v>
      </c>
      <c r="U46" s="85">
        <f t="shared" ref="U46:U51" si="82">Q44+Q45+Q46</f>
        <v>79203908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1019953.6956521739</v>
      </c>
      <c r="G47" s="190">
        <f t="shared" ref="G47" si="83">F47/F46-1</f>
        <v>-0.19147044294405968</v>
      </c>
      <c r="H47" s="190">
        <f t="shared" ref="H47" si="84">F47/F35-1</f>
        <v>-0.19224771203074253</v>
      </c>
      <c r="I47" s="130">
        <f t="shared" si="0"/>
        <v>6.6153332790396426</v>
      </c>
      <c r="J47" s="130">
        <f t="shared" si="5"/>
        <v>-6.9370786810039942E-2</v>
      </c>
      <c r="K47" s="136"/>
      <c r="L47" s="190"/>
      <c r="M47" s="190"/>
      <c r="N47" s="191"/>
      <c r="O47" s="192"/>
      <c r="P47" s="129" t="s">
        <v>991</v>
      </c>
      <c r="Q47" s="116">
        <v>23458935</v>
      </c>
      <c r="R47" s="116">
        <v>32192446720</v>
      </c>
      <c r="S47" s="116">
        <v>3546145.6</v>
      </c>
      <c r="T47" s="130">
        <f t="shared" ref="T47" si="85">Q47/S47</f>
        <v>6.6153332790396426</v>
      </c>
      <c r="U47" s="85">
        <f t="shared" si="82"/>
        <v>72037589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979278.2</v>
      </c>
      <c r="G48" s="190">
        <f t="shared" ref="G48" si="86">F48/F47-1</f>
        <v>-3.987974731163213E-2</v>
      </c>
      <c r="H48" s="190">
        <f t="shared" ref="H48" si="87">F48/F36-1</f>
        <v>-0.20156317774469856</v>
      </c>
      <c r="I48" s="130">
        <f t="shared" si="0"/>
        <v>6.9048600022042734</v>
      </c>
      <c r="J48" s="130">
        <f t="shared" si="5"/>
        <v>-1.8185092629404709E-3</v>
      </c>
      <c r="K48" s="136"/>
      <c r="L48" s="190"/>
      <c r="M48" s="190"/>
      <c r="N48" s="191"/>
      <c r="O48" s="192"/>
      <c r="P48" s="129" t="s">
        <v>1120</v>
      </c>
      <c r="Q48" s="116">
        <v>19585564</v>
      </c>
      <c r="R48" s="116">
        <v>27180179847</v>
      </c>
      <c r="S48" s="116">
        <v>2836489.66</v>
      </c>
      <c r="T48" s="130">
        <f t="shared" ref="T48" si="88">Q48/S48</f>
        <v>6.9048600022042734</v>
      </c>
      <c r="U48" s="85">
        <f t="shared" si="82"/>
        <v>67012850</v>
      </c>
    </row>
    <row r="49" spans="1:26" ht="13.2">
      <c r="A49" s="129" t="s">
        <v>1221</v>
      </c>
      <c r="B49" s="188">
        <f>SUM(F47:F49)</f>
        <v>3156115.6683794465</v>
      </c>
      <c r="C49" s="188">
        <f>AVERAGE(F47:F49)</f>
        <v>1052038.5561264821</v>
      </c>
      <c r="D49" s="190">
        <f>C49/C46-1</f>
        <v>-0.18741930663600614</v>
      </c>
      <c r="E49" s="287">
        <f>C49/C37-1</f>
        <v>-0.1300885786955992</v>
      </c>
      <c r="F49" s="136">
        <f>Q49/22</f>
        <v>1156883.7727272727</v>
      </c>
      <c r="G49" s="190">
        <f t="shared" ref="G49" si="89">F49/F48-1</f>
        <v>0.18136375621071998</v>
      </c>
      <c r="H49" s="190">
        <f t="shared" ref="H49" si="90">F49/F37-1</f>
        <v>1.5800980424520716E-2</v>
      </c>
      <c r="I49" s="130">
        <f t="shared" si="0"/>
        <v>6.7115924599172603</v>
      </c>
      <c r="J49" s="130">
        <f t="shared" si="5"/>
        <v>-5.642658705957404E-2</v>
      </c>
      <c r="K49" s="136">
        <f>R47+R48+R49</f>
        <v>94748644226</v>
      </c>
      <c r="L49" s="190">
        <f>U49/U46-1</f>
        <v>-0.13519491992743593</v>
      </c>
      <c r="M49" s="190">
        <f>K49/K37-1</f>
        <v>-7.7265090380215895E-2</v>
      </c>
      <c r="N49" s="191">
        <f>AVERAGE(T47:T49)</f>
        <v>6.7439285803870588</v>
      </c>
      <c r="O49" s="192">
        <f>N49/N46-1</f>
        <v>1.4180503870058203E-3</v>
      </c>
      <c r="P49" s="129" t="s">
        <v>1173</v>
      </c>
      <c r="Q49" s="116">
        <v>25451443</v>
      </c>
      <c r="R49" s="116">
        <v>35376017659</v>
      </c>
      <c r="S49" s="116">
        <v>3792161.57</v>
      </c>
      <c r="T49" s="130">
        <f t="shared" ref="T49" si="91">Q49/S49</f>
        <v>6.7115924599172603</v>
      </c>
      <c r="U49" s="85">
        <f t="shared" si="82"/>
        <v>68495942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1178778.111111111</v>
      </c>
      <c r="G50" s="190">
        <f t="shared" ref="G50" si="92">F50/F49-1</f>
        <v>1.8925270541416461E-2</v>
      </c>
      <c r="H50" s="190">
        <f t="shared" ref="H50" si="93">F50/F38-1</f>
        <v>0.10256991212585764</v>
      </c>
      <c r="I50" s="130">
        <f t="shared" ref="I50" si="94">T50</f>
        <v>6.5696236084797723</v>
      </c>
      <c r="J50" s="130">
        <f t="shared" ref="J50" si="95">I50/I38-1</f>
        <v>-6.5574328645093605E-2</v>
      </c>
      <c r="K50" s="136"/>
      <c r="L50" s="190"/>
      <c r="M50" s="190"/>
      <c r="N50" s="191"/>
      <c r="O50" s="192"/>
      <c r="P50" s="129" t="s">
        <v>1291</v>
      </c>
      <c r="Q50" s="116">
        <v>21218006</v>
      </c>
      <c r="R50" s="116">
        <v>29999302725</v>
      </c>
      <c r="S50" s="116">
        <v>3229714.1</v>
      </c>
      <c r="T50" s="130">
        <f t="shared" ref="T50" si="96">Q50/S50</f>
        <v>6.5696236084797723</v>
      </c>
      <c r="U50" s="85">
        <f t="shared" si="82"/>
        <v>66255013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1140969.45</v>
      </c>
      <c r="G51" s="190">
        <f t="shared" ref="G51:G52" si="97">F51/F50-1</f>
        <v>-3.2074451293867989E-2</v>
      </c>
      <c r="H51" s="190">
        <f t="shared" ref="H51:H52" si="98">F51/F39-1</f>
        <v>0.11729779369162396</v>
      </c>
      <c r="I51" s="130">
        <f t="shared" ref="I51:I52" si="99">T51</f>
        <v>6.4209839931275514</v>
      </c>
      <c r="J51" s="130">
        <f t="shared" ref="J51:J52" si="100">I51/I39-1</f>
        <v>-7.7755706494708421E-2</v>
      </c>
      <c r="K51" s="136"/>
      <c r="L51" s="190"/>
      <c r="M51" s="190"/>
      <c r="N51" s="191"/>
      <c r="O51" s="192"/>
      <c r="P51" s="129" t="s">
        <v>1402</v>
      </c>
      <c r="Q51" s="116">
        <v>22819389</v>
      </c>
      <c r="R51" s="116">
        <v>33052038522</v>
      </c>
      <c r="S51" s="116">
        <v>3553877.26</v>
      </c>
      <c r="T51" s="130">
        <f t="shared" ref="T51:T52" si="101">Q51/S51</f>
        <v>6.4209839931275514</v>
      </c>
      <c r="U51" s="85">
        <f t="shared" si="82"/>
        <v>69488838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3565057.3792929295</v>
      </c>
      <c r="C52" s="188">
        <f>AVERAGE(F50:F52)</f>
        <v>1188352.4597643099</v>
      </c>
      <c r="D52" s="190">
        <f>C52/C49-1</f>
        <v>0.12957120520347098</v>
      </c>
      <c r="E52" s="287">
        <f>C52/C40-1</f>
        <v>0.10194857249487765</v>
      </c>
      <c r="F52" s="136">
        <f>Q52/22</f>
        <v>1245309.8181818181</v>
      </c>
      <c r="G52" s="190">
        <f t="shared" si="97"/>
        <v>9.1448871117292496E-2</v>
      </c>
      <c r="H52" s="190">
        <f t="shared" si="98"/>
        <v>8.7678028156976451E-2</v>
      </c>
      <c r="I52" s="130">
        <f t="shared" si="99"/>
        <v>6.7846628423516204</v>
      </c>
      <c r="J52" s="130">
        <f t="shared" si="100"/>
        <v>2.5019316607844733E-2</v>
      </c>
      <c r="K52" s="136">
        <f>R50+R51+R52</f>
        <v>103360187442</v>
      </c>
      <c r="L52" s="190">
        <f>U52/U49-1</f>
        <v>4.2896979210826913E-2</v>
      </c>
      <c r="M52" s="190">
        <f>K52/K40-1</f>
        <v>0.11369921255332072</v>
      </c>
      <c r="N52" s="191">
        <f>AVERAGE(T50:T52)</f>
        <v>6.5917568146529817</v>
      </c>
      <c r="O52" s="192">
        <f>N52/N49-1</f>
        <v>-2.2564261160272214E-2</v>
      </c>
      <c r="P52" s="129" t="s">
        <v>1403</v>
      </c>
      <c r="Q52" s="116">
        <v>27396816</v>
      </c>
      <c r="R52" s="116">
        <v>40308846195</v>
      </c>
      <c r="S52" s="116">
        <v>4038051.21</v>
      </c>
      <c r="T52" s="130">
        <f t="shared" si="101"/>
        <v>6.7846628423516204</v>
      </c>
      <c r="U52" s="85">
        <f t="shared" ref="U52" si="102">Q50+Q51+Q52</f>
        <v>71434211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1209342.6190476189</v>
      </c>
      <c r="G53" s="190">
        <f t="shared" ref="G53" si="103">F53/F52-1</f>
        <v>-2.8882129257369993E-2</v>
      </c>
      <c r="H53" s="190">
        <f t="shared" ref="H53" si="104">F53/F41-1</f>
        <v>6.0486851844973266E-2</v>
      </c>
      <c r="I53" s="130">
        <f t="shared" ref="I53" si="105">T53</f>
        <v>6.5368966902967562</v>
      </c>
      <c r="J53" s="130">
        <f t="shared" ref="J53" si="106">I53/I41-1</f>
        <v>-1.6796535452168193E-5</v>
      </c>
      <c r="K53" s="136"/>
      <c r="L53" s="190"/>
      <c r="M53" s="190"/>
      <c r="N53" s="191"/>
      <c r="O53" s="192"/>
      <c r="P53" s="129" t="s">
        <v>1414</v>
      </c>
      <c r="Q53" s="116">
        <v>25396195</v>
      </c>
      <c r="R53" s="116">
        <v>36979779878</v>
      </c>
      <c r="S53" s="116">
        <v>3885053.75</v>
      </c>
      <c r="T53" s="130">
        <f t="shared" ref="T53" si="107">Q53/S53</f>
        <v>6.5368966902967562</v>
      </c>
      <c r="U53" s="85">
        <f t="shared" ref="U53" si="108">Q51+Q52+Q53</f>
        <v>75612400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1276627.5882352942</v>
      </c>
      <c r="G54" s="190">
        <f t="shared" ref="G54" si="109">F54/F53-1</f>
        <v>5.5637639927602622E-2</v>
      </c>
      <c r="H54" s="190">
        <f t="shared" ref="H54" si="110">F54/F42-1</f>
        <v>-2.4249849440485027E-2</v>
      </c>
      <c r="I54" s="130">
        <f t="shared" ref="I54" si="111">T54</f>
        <v>6.438166464813933</v>
      </c>
      <c r="J54" s="130">
        <f t="shared" ref="J54" si="112">I54/I42-1</f>
        <v>-5.0301227865034215E-2</v>
      </c>
      <c r="K54" s="136"/>
      <c r="L54" s="190"/>
      <c r="M54" s="190"/>
      <c r="N54" s="191"/>
      <c r="O54" s="192"/>
      <c r="P54" s="129" t="s">
        <v>1417</v>
      </c>
      <c r="Q54" s="116">
        <v>21702669</v>
      </c>
      <c r="R54" s="116">
        <v>31434880057</v>
      </c>
      <c r="S54" s="116">
        <v>3370939.4</v>
      </c>
      <c r="T54" s="130">
        <f t="shared" ref="T54" si="113">Q54/S54</f>
        <v>6.438166464813933</v>
      </c>
      <c r="U54" s="85">
        <f t="shared" ref="U54" si="114">Q52+Q53+Q54</f>
        <v>74495680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3918874.9215686275</v>
      </c>
      <c r="C55" s="188">
        <f>AVERAGE(F53:F55)</f>
        <v>1306291.6405228758</v>
      </c>
      <c r="D55" s="190">
        <f>C55/C52-1</f>
        <v>9.9245960059658689E-2</v>
      </c>
      <c r="E55" s="287">
        <f>C55/C43-1</f>
        <v>3.9960910012786011E-2</v>
      </c>
      <c r="F55" s="136">
        <f>Q55/21</f>
        <v>1432904.7142857143</v>
      </c>
      <c r="G55" s="190">
        <f t="shared" ref="G55" si="115">F55/F54-1</f>
        <v>0.12241402856289896</v>
      </c>
      <c r="H55" s="190">
        <f t="shared" ref="H55" si="116">F55/F43-1</f>
        <v>8.5887528283426606E-2</v>
      </c>
      <c r="I55" s="130">
        <f>T55</f>
        <v>7.7581902653491435</v>
      </c>
      <c r="J55" s="130">
        <f t="shared" ref="J55" si="117">I55/I43-1</f>
        <v>8.5119426778392349E-2</v>
      </c>
      <c r="K55" s="136">
        <f>R53+R54+R55</f>
        <v>112737984057</v>
      </c>
      <c r="L55" s="190">
        <f>U55/U52-1</f>
        <v>8.0572766457797096E-2</v>
      </c>
      <c r="M55" s="190">
        <f>K55/K43-1</f>
        <v>6.2789555985149681E-2</v>
      </c>
      <c r="N55" s="191">
        <f>AVERAGE(T53:T55)</f>
        <v>6.9110844734866106</v>
      </c>
      <c r="O55" s="192">
        <f>N55/N52-1</f>
        <v>4.8443482945819127E-2</v>
      </c>
      <c r="P55" s="129" t="s">
        <v>1418</v>
      </c>
      <c r="Q55" s="116">
        <v>30090999</v>
      </c>
      <c r="R55" s="116">
        <v>44323324122</v>
      </c>
      <c r="S55" s="116">
        <v>3878610.6</v>
      </c>
      <c r="T55" s="130">
        <f t="shared" ref="T55" si="118">Q55/S55</f>
        <v>7.7581902653491435</v>
      </c>
      <c r="U55" s="85">
        <f t="shared" ref="U55" si="119">Q53+Q54+Q55</f>
        <v>77189863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1326347.1818181819</v>
      </c>
      <c r="G56" s="190">
        <f t="shared" ref="G56" si="120">F56/F55-1</f>
        <v>-7.436470227585934E-2</v>
      </c>
      <c r="H56" s="190">
        <f t="shared" ref="H56" si="121">F56/F44-1</f>
        <v>-4.720339625591341E-2</v>
      </c>
      <c r="I56" s="291">
        <f>T56</f>
        <v>6.3238534415650074</v>
      </c>
      <c r="J56" s="130">
        <f t="shared" ref="J56" si="122">I56/I44-1</f>
        <v>-4.2253124838801281E-2</v>
      </c>
      <c r="K56" s="136"/>
      <c r="L56" s="190"/>
      <c r="M56" s="190"/>
      <c r="N56" s="191"/>
      <c r="O56" s="192"/>
      <c r="P56" s="129" t="s">
        <v>1420</v>
      </c>
      <c r="Q56" s="116">
        <v>29179638</v>
      </c>
      <c r="R56" s="116">
        <v>43572885909</v>
      </c>
      <c r="S56" s="116">
        <v>4614217.9400000004</v>
      </c>
      <c r="T56" s="130">
        <f t="shared" ref="T56" si="123">Q56/S56</f>
        <v>6.3238534415650074</v>
      </c>
      <c r="U56" s="85">
        <f t="shared" ref="U56" si="124">Q54+Q55+Q56</f>
        <v>80973306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1326018.3333333333</v>
      </c>
      <c r="G57" s="254">
        <f t="shared" ref="G57" si="125">F57/F56-1</f>
        <v>-2.4793544959911262E-4</v>
      </c>
      <c r="H57" s="254">
        <f t="shared" ref="H57" si="126">F57/F45-1</f>
        <v>7.7612358802192194E-2</v>
      </c>
      <c r="I57" s="282">
        <f>T57</f>
        <v>6.6465777272851287</v>
      </c>
      <c r="J57" s="277">
        <f t="shared" ref="J57" si="127">I57/I45-1</f>
        <v>-2.7746199870313792E-2</v>
      </c>
      <c r="K57" s="204"/>
      <c r="L57" s="254"/>
      <c r="M57" s="254"/>
      <c r="N57" s="257"/>
      <c r="O57" s="258"/>
      <c r="P57" s="129" t="s">
        <v>1436</v>
      </c>
      <c r="Q57" s="116">
        <v>15912220</v>
      </c>
      <c r="R57" s="116">
        <v>23425432978</v>
      </c>
      <c r="S57" s="116">
        <v>2394047.08</v>
      </c>
      <c r="T57" s="130">
        <f t="shared" ref="T57" si="128">Q57/S57</f>
        <v>6.6465777272851287</v>
      </c>
      <c r="U57" s="85">
        <f t="shared" ref="U57" si="129">Q55+Q56+Q57</f>
        <v>75182857</v>
      </c>
      <c r="V57" s="79"/>
      <c r="W57" s="79"/>
      <c r="X57" s="79"/>
      <c r="Y57" s="79"/>
      <c r="Z57" s="79"/>
    </row>
    <row r="58" spans="1:26">
      <c r="B58" s="196">
        <f>SUM(F56:F58)</f>
        <v>2652365.5151515151</v>
      </c>
      <c r="C58" s="196">
        <f>AVERAGE(F56:F58)</f>
        <v>1326182.7575757576</v>
      </c>
      <c r="D58" s="197">
        <f>C58/C55-1</f>
        <v>1.5227164008275951E-2</v>
      </c>
      <c r="E58" s="233">
        <f>C58/C46-1</f>
        <v>2.4326055735093721E-2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122281721</v>
      </c>
      <c r="R64" s="212">
        <v>179736302944</v>
      </c>
      <c r="S64" s="213">
        <v>18142868.789999999</v>
      </c>
      <c r="T64" s="214">
        <v>211</v>
      </c>
      <c r="U64" s="214">
        <v>524</v>
      </c>
    </row>
    <row r="65" spans="16:21" ht="18" thickBot="1">
      <c r="P65" s="180" t="s">
        <v>976</v>
      </c>
      <c r="Q65" s="181">
        <v>25396195</v>
      </c>
      <c r="R65" s="181">
        <v>36979779878</v>
      </c>
      <c r="S65" s="182">
        <v>3885053.75</v>
      </c>
      <c r="T65" s="210">
        <v>95</v>
      </c>
      <c r="U65" s="210">
        <v>240</v>
      </c>
    </row>
    <row r="66" spans="16:21" ht="18" thickBot="1">
      <c r="P66" s="180" t="s">
        <v>977</v>
      </c>
      <c r="Q66" s="181">
        <v>21702669</v>
      </c>
      <c r="R66" s="181">
        <v>31434880057</v>
      </c>
      <c r="S66" s="182">
        <v>3370939.4</v>
      </c>
      <c r="T66" s="210">
        <v>74</v>
      </c>
      <c r="U66" s="210">
        <v>207</v>
      </c>
    </row>
    <row r="67" spans="16:21" ht="18" thickBot="1">
      <c r="P67" s="180" t="s">
        <v>978</v>
      </c>
      <c r="Q67" s="181">
        <v>30090999</v>
      </c>
      <c r="R67" s="181">
        <v>44323324122</v>
      </c>
      <c r="S67" s="182">
        <v>3878610.6</v>
      </c>
      <c r="T67" s="210">
        <v>99</v>
      </c>
      <c r="U67" s="210">
        <v>260</v>
      </c>
    </row>
    <row r="68" spans="16:21" ht="18" thickBot="1">
      <c r="P68" s="180" t="s">
        <v>979</v>
      </c>
      <c r="Q68" s="181">
        <v>29179638</v>
      </c>
      <c r="R68" s="181">
        <v>43572885909</v>
      </c>
      <c r="S68" s="182">
        <v>4614217.9400000004</v>
      </c>
      <c r="T68" s="210">
        <v>87</v>
      </c>
      <c r="U68" s="210">
        <v>240</v>
      </c>
    </row>
    <row r="69" spans="16:21" ht="18" thickBot="1">
      <c r="P69" s="180" t="s">
        <v>980</v>
      </c>
      <c r="Q69" s="181">
        <v>15912220</v>
      </c>
      <c r="R69" s="181">
        <v>23425432978</v>
      </c>
      <c r="S69" s="182">
        <v>2394047.08</v>
      </c>
      <c r="T69" s="210">
        <v>66</v>
      </c>
      <c r="U69" s="210">
        <v>167</v>
      </c>
    </row>
    <row r="70" spans="16:21" ht="18" thickBot="1">
      <c r="P70" s="215" t="s">
        <v>975</v>
      </c>
      <c r="Q70" s="217"/>
      <c r="R70"/>
      <c r="S70"/>
      <c r="T70"/>
      <c r="U70"/>
    </row>
    <row r="71" spans="16:21" ht="18" thickBot="1">
      <c r="P71" s="215" t="s">
        <v>982</v>
      </c>
      <c r="Q71" s="217">
        <v>3</v>
      </c>
      <c r="R71"/>
      <c r="S71"/>
      <c r="T71"/>
      <c r="U71"/>
    </row>
  </sheetData>
  <phoneticPr fontId="1" type="noConversion"/>
  <conditionalFormatting sqref="C29:C30">
    <cfRule type="cellIs" dxfId="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67"/>
  <dimension ref="A1:Z74"/>
  <sheetViews>
    <sheetView zoomScale="90" zoomScaleNormal="90" workbookViewId="0">
      <selection activeCell="C71" sqref="C71:C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7551116.4500000002</v>
      </c>
      <c r="G5" s="90"/>
      <c r="H5" s="90"/>
      <c r="I5" s="130">
        <f t="shared" ref="I5:I49" si="0">T5</f>
        <v>3.4861858800405066</v>
      </c>
      <c r="J5" s="130"/>
      <c r="L5" s="80"/>
      <c r="M5" s="80"/>
      <c r="P5" s="129" t="s">
        <v>0</v>
      </c>
      <c r="Q5" s="116">
        <v>151022329</v>
      </c>
      <c r="R5" s="116">
        <v>178227546802</v>
      </c>
      <c r="S5" s="116">
        <v>43320217.049999997</v>
      </c>
      <c r="T5" s="130">
        <f t="shared" ref="T5:T17" si="1">Q5/S5</f>
        <v>3.4861858800405066</v>
      </c>
      <c r="U5" s="85"/>
    </row>
    <row r="6" spans="1:21" ht="15" hidden="1" customHeight="1">
      <c r="A6" s="129" t="s">
        <v>1</v>
      </c>
      <c r="C6" s="79"/>
      <c r="F6" s="78">
        <f>Q6/18</f>
        <v>7088103.166666667</v>
      </c>
      <c r="G6" s="90">
        <f t="shared" ref="G6:G16" si="2">F6/F5-1</f>
        <v>-6.1317195463636787E-2</v>
      </c>
      <c r="H6" s="90"/>
      <c r="I6" s="130">
        <f t="shared" si="0"/>
        <v>3.3681932627753457</v>
      </c>
      <c r="J6" s="130"/>
      <c r="P6" s="129" t="s">
        <v>1</v>
      </c>
      <c r="Q6" s="116">
        <v>127585857</v>
      </c>
      <c r="R6" s="116">
        <v>151581459224</v>
      </c>
      <c r="S6" s="116">
        <v>37879612.909999996</v>
      </c>
      <c r="T6" s="130">
        <f t="shared" si="1"/>
        <v>3.3681932627753457</v>
      </c>
      <c r="U6" s="85"/>
    </row>
    <row r="7" spans="1:21" ht="15" hidden="1" customHeight="1">
      <c r="A7" s="129" t="s">
        <v>2</v>
      </c>
      <c r="B7" s="131">
        <f>F5+F6+F7</f>
        <v>21299432.389393941</v>
      </c>
      <c r="C7" s="131">
        <f>AVERAGE(F5:F7)</f>
        <v>7099810.7964646472</v>
      </c>
      <c r="F7" s="78">
        <f>Q7/22</f>
        <v>6660212.7727272725</v>
      </c>
      <c r="G7" s="90">
        <f t="shared" si="2"/>
        <v>-6.0367404914708489E-2</v>
      </c>
      <c r="H7" s="90"/>
      <c r="I7" s="130">
        <f t="shared" si="0"/>
        <v>3.481070179136029</v>
      </c>
      <c r="J7" s="130"/>
      <c r="K7" s="79">
        <f>R5+R6+R7</f>
        <v>506470589230</v>
      </c>
      <c r="N7" s="88">
        <f>AVERAGE(T5:T7)</f>
        <v>3.4451497739839603</v>
      </c>
      <c r="P7" s="129" t="s">
        <v>2</v>
      </c>
      <c r="Q7" s="116">
        <v>146524681</v>
      </c>
      <c r="R7" s="116">
        <v>176661583204</v>
      </c>
      <c r="S7" s="116">
        <v>42091849.189999998</v>
      </c>
      <c r="T7" s="130">
        <f t="shared" si="1"/>
        <v>3.481070179136029</v>
      </c>
      <c r="U7" s="85">
        <f>Q5+Q6+Q7</f>
        <v>425132867</v>
      </c>
    </row>
    <row r="8" spans="1:21" ht="15" hidden="1" customHeight="1">
      <c r="A8" s="129" t="s">
        <v>3</v>
      </c>
      <c r="C8" s="79"/>
      <c r="F8" s="78">
        <f>Q8/21</f>
        <v>6501730.0952380951</v>
      </c>
      <c r="G8" s="90">
        <f t="shared" si="2"/>
        <v>-2.3795437607961101E-2</v>
      </c>
      <c r="H8" s="90"/>
      <c r="I8" s="130">
        <f t="shared" si="0"/>
        <v>3.3925261320836411</v>
      </c>
      <c r="J8" s="130"/>
      <c r="K8" s="78"/>
      <c r="P8" s="129" t="s">
        <v>3</v>
      </c>
      <c r="Q8" s="116">
        <v>136536332</v>
      </c>
      <c r="R8" s="116">
        <v>165509819890</v>
      </c>
      <c r="S8" s="116">
        <v>40246213.789999999</v>
      </c>
      <c r="T8" s="130">
        <f t="shared" si="1"/>
        <v>3.3925261320836411</v>
      </c>
      <c r="U8" s="85"/>
    </row>
    <row r="9" spans="1:21" ht="15" hidden="1" customHeight="1">
      <c r="A9" s="129" t="s">
        <v>4</v>
      </c>
      <c r="C9" s="79"/>
      <c r="F9" s="78">
        <f>Q9/21</f>
        <v>6613941.4285714282</v>
      </c>
      <c r="G9" s="90">
        <f t="shared" si="2"/>
        <v>1.725868833212818E-2</v>
      </c>
      <c r="H9" s="90"/>
      <c r="I9" s="130">
        <f t="shared" si="0"/>
        <v>3.6984450395401089</v>
      </c>
      <c r="J9" s="130"/>
      <c r="K9" s="78"/>
      <c r="P9" s="129" t="s">
        <v>4</v>
      </c>
      <c r="Q9" s="116">
        <v>138892770</v>
      </c>
      <c r="R9" s="116">
        <v>174498249665</v>
      </c>
      <c r="S9" s="116">
        <v>37554369.07</v>
      </c>
      <c r="T9" s="130">
        <f t="shared" si="1"/>
        <v>3.6984450395401089</v>
      </c>
      <c r="U9" s="85"/>
    </row>
    <row r="10" spans="1:21" ht="15" hidden="1" customHeight="1">
      <c r="A10" s="129" t="s">
        <v>5</v>
      </c>
      <c r="B10" s="131">
        <f>F8+F9+F10</f>
        <v>19599967.285714284</v>
      </c>
      <c r="C10" s="131">
        <f>AVERAGE(F8:F10)</f>
        <v>6533322.4285714282</v>
      </c>
      <c r="D10" s="90">
        <f>C10/C7-1</f>
        <v>-7.9789220323350341E-2</v>
      </c>
      <c r="E10" s="286"/>
      <c r="F10" s="78">
        <f>Q10/21</f>
        <v>6484295.7619047621</v>
      </c>
      <c r="G10" s="90">
        <f t="shared" si="2"/>
        <v>-1.9601877045147709E-2</v>
      </c>
      <c r="H10" s="90"/>
      <c r="I10" s="130">
        <f t="shared" si="0"/>
        <v>3.6791438626206427</v>
      </c>
      <c r="J10" s="130"/>
      <c r="K10" s="79">
        <f>R8+R9+R10</f>
        <v>511547884489</v>
      </c>
      <c r="L10" s="87">
        <f>U10/U7-1</f>
        <v>-3.1833704355772596E-2</v>
      </c>
      <c r="N10" s="88">
        <f>AVERAGE(T8:T10)</f>
        <v>3.5900383447481308</v>
      </c>
      <c r="O10" s="89">
        <f>N10/N7-1</f>
        <v>4.2055811871604565E-2</v>
      </c>
      <c r="P10" s="129" t="s">
        <v>5</v>
      </c>
      <c r="Q10" s="116">
        <v>136170211</v>
      </c>
      <c r="R10" s="116">
        <v>171539814934</v>
      </c>
      <c r="S10" s="116">
        <v>37011385.280000001</v>
      </c>
      <c r="T10" s="130">
        <f t="shared" si="1"/>
        <v>3.6791438626206427</v>
      </c>
      <c r="U10" s="85">
        <f>Q8+Q9+Q10</f>
        <v>411599313</v>
      </c>
    </row>
    <row r="11" spans="1:21" ht="15" hidden="1" customHeight="1">
      <c r="A11" s="129" t="s">
        <v>6</v>
      </c>
      <c r="C11" s="79"/>
      <c r="F11" s="78">
        <f>Q11/21</f>
        <v>7143399.2857142854</v>
      </c>
      <c r="G11" s="90">
        <f t="shared" si="2"/>
        <v>0.10164612288072306</v>
      </c>
      <c r="H11" s="90"/>
      <c r="I11" s="130">
        <f t="shared" si="0"/>
        <v>3.7204093325351257</v>
      </c>
      <c r="J11" s="130"/>
      <c r="K11" s="78"/>
      <c r="O11" s="89"/>
      <c r="P11" s="129" t="s">
        <v>6</v>
      </c>
      <c r="Q11" s="116">
        <v>150011385</v>
      </c>
      <c r="R11" s="116">
        <v>193654523485</v>
      </c>
      <c r="S11" s="116">
        <v>40321204.359999999</v>
      </c>
      <c r="T11" s="130">
        <f t="shared" si="1"/>
        <v>3.7204093325351257</v>
      </c>
      <c r="U11" s="85"/>
    </row>
    <row r="12" spans="1:21" ht="15" hidden="1" customHeight="1">
      <c r="A12" s="129" t="s">
        <v>7</v>
      </c>
      <c r="C12" s="79"/>
      <c r="F12" s="78">
        <f>Q12/22</f>
        <v>5599070</v>
      </c>
      <c r="G12" s="90">
        <f t="shared" si="2"/>
        <v>-0.21618969120243769</v>
      </c>
      <c r="H12" s="90"/>
      <c r="I12" s="130">
        <f t="shared" si="0"/>
        <v>3.5743147337839223</v>
      </c>
      <c r="J12" s="130"/>
      <c r="K12" s="78"/>
      <c r="O12" s="89"/>
      <c r="P12" s="129" t="s">
        <v>7</v>
      </c>
      <c r="Q12" s="116">
        <v>123179540</v>
      </c>
      <c r="R12" s="116">
        <v>160122353831</v>
      </c>
      <c r="S12" s="116">
        <v>34462421.240000002</v>
      </c>
      <c r="T12" s="130">
        <f t="shared" si="1"/>
        <v>3.5743147337839223</v>
      </c>
      <c r="U12" s="85"/>
    </row>
    <row r="13" spans="1:21" ht="15" hidden="1" customHeight="1">
      <c r="A13" s="129" t="s">
        <v>96</v>
      </c>
      <c r="B13" s="131">
        <f>F11+F12+F13</f>
        <v>19417247.235714287</v>
      </c>
      <c r="C13" s="131">
        <f>AVERAGE(F11:F13)</f>
        <v>6472415.7452380955</v>
      </c>
      <c r="D13" s="90">
        <f>C13/C10-1</f>
        <v>-9.3224670907066098E-3</v>
      </c>
      <c r="E13" s="286"/>
      <c r="F13" s="78">
        <f>Q13/20</f>
        <v>6674777.9500000002</v>
      </c>
      <c r="G13" s="90">
        <f t="shared" si="2"/>
        <v>0.19212261143368448</v>
      </c>
      <c r="H13" s="90"/>
      <c r="I13" s="130">
        <f t="shared" si="0"/>
        <v>3.7005030742662304</v>
      </c>
      <c r="J13" s="130"/>
      <c r="K13" s="78">
        <f>R11+R12+R13</f>
        <v>536055033203</v>
      </c>
      <c r="L13" s="87">
        <f>U13/U10-1</f>
        <v>-1.193595043731277E-2</v>
      </c>
      <c r="N13" s="88">
        <f>AVERAGE(T11:T13)</f>
        <v>3.665075713528426</v>
      </c>
      <c r="O13" s="89">
        <f>N13/N10-1</f>
        <v>2.0901550784288236E-2</v>
      </c>
      <c r="P13" s="129" t="s">
        <v>96</v>
      </c>
      <c r="Q13" s="116">
        <v>133495559</v>
      </c>
      <c r="R13" s="116">
        <v>182278155887</v>
      </c>
      <c r="S13" s="116">
        <v>36074975.840000004</v>
      </c>
      <c r="T13" s="130">
        <f t="shared" si="1"/>
        <v>3.7005030742662304</v>
      </c>
      <c r="U13" s="85">
        <f>Q11+Q12+Q13</f>
        <v>406686484</v>
      </c>
    </row>
    <row r="14" spans="1:21" ht="15" hidden="1" customHeight="1">
      <c r="A14" s="129" t="s">
        <v>97</v>
      </c>
      <c r="C14" s="79"/>
      <c r="F14" s="78">
        <f>Q14/20</f>
        <v>6768731.0499999998</v>
      </c>
      <c r="G14" s="90">
        <f t="shared" si="2"/>
        <v>1.4075839032218207E-2</v>
      </c>
      <c r="H14" s="90"/>
      <c r="I14" s="130">
        <f t="shared" si="0"/>
        <v>3.6275037134219721</v>
      </c>
      <c r="J14" s="130"/>
      <c r="O14" s="89"/>
      <c r="P14" s="129" t="s">
        <v>97</v>
      </c>
      <c r="Q14" s="116">
        <v>135374621</v>
      </c>
      <c r="R14" s="116">
        <v>193052871382</v>
      </c>
      <c r="S14" s="116">
        <v>37318947.600000001</v>
      </c>
      <c r="T14" s="130">
        <f t="shared" si="1"/>
        <v>3.6275037134219721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5769913.5909090908</v>
      </c>
      <c r="G15" s="90">
        <f t="shared" si="2"/>
        <v>-0.14756347263803737</v>
      </c>
      <c r="H15" s="90"/>
      <c r="I15" s="130">
        <f t="shared" si="0"/>
        <v>3.4621148050152821</v>
      </c>
      <c r="J15" s="130"/>
      <c r="O15" s="89"/>
      <c r="P15" s="129" t="s">
        <v>98</v>
      </c>
      <c r="Q15" s="116">
        <v>126938099</v>
      </c>
      <c r="R15" s="116">
        <v>175962456925</v>
      </c>
      <c r="S15" s="116">
        <v>36664901.700000003</v>
      </c>
      <c r="T15" s="130">
        <f t="shared" si="1"/>
        <v>3.4621148050152821</v>
      </c>
      <c r="U15" s="85"/>
    </row>
    <row r="16" spans="1:21" ht="15" hidden="1" customHeight="1">
      <c r="A16" s="129" t="s">
        <v>99</v>
      </c>
      <c r="B16" s="131">
        <f>F14+F15+F16</f>
        <v>18681127.686363637</v>
      </c>
      <c r="C16" s="131">
        <f>AVERAGE(F14:F16)</f>
        <v>6227042.5621212125</v>
      </c>
      <c r="D16" s="90">
        <f>C16/C13-1</f>
        <v>-3.7910602899297596E-2</v>
      </c>
      <c r="E16" s="286"/>
      <c r="F16" s="78">
        <f>Q16/22</f>
        <v>6142483.0454545459</v>
      </c>
      <c r="G16" s="90">
        <f t="shared" si="2"/>
        <v>6.4571063097455195E-2</v>
      </c>
      <c r="H16" s="90"/>
      <c r="I16" s="130">
        <f t="shared" si="0"/>
        <v>3.5878365661871725</v>
      </c>
      <c r="J16" s="130"/>
      <c r="K16" s="78">
        <f>R14+R15+R16</f>
        <v>546172498781</v>
      </c>
      <c r="L16" s="87">
        <f>U16/U13-1</f>
        <v>-2.2718082266043549E-2</v>
      </c>
      <c r="N16" s="88">
        <f>AVERAGE(T14:T16)</f>
        <v>3.5591516948748088</v>
      </c>
      <c r="O16" s="89">
        <f>N16/N13-1</f>
        <v>-2.8900908721376073E-2</v>
      </c>
      <c r="P16" s="129" t="s">
        <v>99</v>
      </c>
      <c r="Q16" s="116">
        <v>135134627</v>
      </c>
      <c r="R16" s="116">
        <v>177157170474</v>
      </c>
      <c r="S16" s="116">
        <v>37664655.149999999</v>
      </c>
      <c r="T16" s="130">
        <f t="shared" si="1"/>
        <v>3.5878365661871725</v>
      </c>
      <c r="U16" s="85">
        <f>Q14+Q15+Q16</f>
        <v>397447347</v>
      </c>
    </row>
    <row r="17" spans="1:21" ht="15" hidden="1" customHeight="1">
      <c r="A17" s="129" t="s">
        <v>100</v>
      </c>
      <c r="C17" s="79"/>
      <c r="F17" s="78">
        <f>Q17/20</f>
        <v>6033170</v>
      </c>
      <c r="G17" s="90">
        <f t="shared" ref="G17:G22" si="3">F17/F16-1</f>
        <v>-1.7796230717386785E-2</v>
      </c>
      <c r="H17" s="90">
        <f t="shared" ref="H17:H22" si="4">F17/F5-1</f>
        <v>-0.20102278385602168</v>
      </c>
      <c r="I17" s="130">
        <f t="shared" si="0"/>
        <v>3.5245594534434996</v>
      </c>
      <c r="J17" s="130">
        <f t="shared" ref="J17:J49" si="5">I17/I5-1</f>
        <v>1.1007322823115562E-2</v>
      </c>
      <c r="O17" s="89"/>
      <c r="P17" s="129" t="s">
        <v>100</v>
      </c>
      <c r="Q17" s="116">
        <v>120663400</v>
      </c>
      <c r="R17" s="116">
        <v>151718398158</v>
      </c>
      <c r="S17" s="116">
        <v>34235030.390000001</v>
      </c>
      <c r="T17" s="130">
        <f t="shared" si="1"/>
        <v>3.5245594534434996</v>
      </c>
      <c r="U17" s="78"/>
    </row>
    <row r="18" spans="1:21" ht="15" hidden="1" customHeight="1">
      <c r="A18" s="129" t="s">
        <v>106</v>
      </c>
      <c r="C18" s="79"/>
      <c r="F18" s="78">
        <f>Q18/20</f>
        <v>6325247.7000000002</v>
      </c>
      <c r="G18" s="90">
        <f t="shared" si="3"/>
        <v>4.8411979108826664E-2</v>
      </c>
      <c r="H18" s="90">
        <f t="shared" si="4"/>
        <v>-0.10762476909960328</v>
      </c>
      <c r="I18" s="130">
        <f t="shared" si="0"/>
        <v>3.618635471722508</v>
      </c>
      <c r="J18" s="130">
        <f t="shared" si="5"/>
        <v>7.4355059050501549E-2</v>
      </c>
      <c r="O18" s="89"/>
      <c r="P18" s="129" t="s">
        <v>106</v>
      </c>
      <c r="Q18" s="116">
        <v>126504954</v>
      </c>
      <c r="R18" s="116">
        <v>158657525013</v>
      </c>
      <c r="S18" s="116">
        <v>34959297.5</v>
      </c>
      <c r="T18" s="130">
        <f t="shared" ref="T18" si="6">Q18/S18</f>
        <v>3.618635471722508</v>
      </c>
      <c r="U18" s="78"/>
    </row>
    <row r="19" spans="1:21" hidden="1">
      <c r="A19" s="129" t="s">
        <v>114</v>
      </c>
      <c r="B19" s="131">
        <f>SUM(F17:F19)</f>
        <v>18698497.699999999</v>
      </c>
      <c r="C19" s="131">
        <f>AVERAGE(F17:F19)</f>
        <v>6232832.5666666664</v>
      </c>
      <c r="D19" s="90">
        <f>C19/C16-1</f>
        <v>9.2981611859754842E-4</v>
      </c>
      <c r="E19" s="286">
        <f>C19/C7-1</f>
        <v>-0.12211286394134513</v>
      </c>
      <c r="F19" s="78">
        <f>Q19/22</f>
        <v>6340080</v>
      </c>
      <c r="G19" s="90">
        <f t="shared" si="3"/>
        <v>2.3449358354772354E-3</v>
      </c>
      <c r="H19" s="90">
        <f t="shared" si="4"/>
        <v>-4.8066448272970463E-2</v>
      </c>
      <c r="I19" s="130">
        <f t="shared" si="0"/>
        <v>3.6330147999216371</v>
      </c>
      <c r="J19" s="130">
        <f t="shared" si="5"/>
        <v>4.3648824346115056E-2</v>
      </c>
      <c r="K19" s="78">
        <f>R17+R18+R19</f>
        <v>492736930479</v>
      </c>
      <c r="L19" s="87">
        <f>U19/U16-1</f>
        <v>-2.7166448792523945E-2</v>
      </c>
      <c r="M19" s="87">
        <f>U19/U7-1</f>
        <v>-9.0519355211367336E-2</v>
      </c>
      <c r="N19" s="88">
        <f>AVERAGE(T17:T19)</f>
        <v>3.5920699083625482</v>
      </c>
      <c r="O19" s="89">
        <f>N19/N16-1</f>
        <v>9.2488930817817838E-3</v>
      </c>
      <c r="P19" s="129" t="s">
        <v>115</v>
      </c>
      <c r="Q19" s="116">
        <v>139481760</v>
      </c>
      <c r="R19" s="116">
        <v>182361007308</v>
      </c>
      <c r="S19" s="116">
        <v>38392841.119999997</v>
      </c>
      <c r="T19" s="130">
        <f t="shared" ref="T19" si="7">Q19/S19</f>
        <v>3.6330147999216371</v>
      </c>
      <c r="U19" s="85">
        <f>Q17+Q18+Q19</f>
        <v>386650114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6588070.5999999996</v>
      </c>
      <c r="G20" s="90">
        <f t="shared" si="3"/>
        <v>3.9114743031633648E-2</v>
      </c>
      <c r="H20" s="90">
        <f t="shared" si="4"/>
        <v>1.3279619962252909E-2</v>
      </c>
      <c r="I20" s="130">
        <f t="shared" si="0"/>
        <v>3.6795181754530994</v>
      </c>
      <c r="J20" s="130">
        <f t="shared" si="5"/>
        <v>8.4595381788022284E-2</v>
      </c>
      <c r="O20" s="89"/>
      <c r="P20" s="129" t="s">
        <v>132</v>
      </c>
      <c r="Q20" s="116">
        <v>131761412</v>
      </c>
      <c r="R20" s="116">
        <v>172738417819</v>
      </c>
      <c r="S20" s="116">
        <v>35809420.07</v>
      </c>
      <c r="T20" s="130">
        <f t="shared" ref="T20" si="8">Q20/S20</f>
        <v>3.6795181754530994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5627132</v>
      </c>
      <c r="G21" s="90">
        <f t="shared" si="3"/>
        <v>-0.14586039803520012</v>
      </c>
      <c r="H21" s="90">
        <f t="shared" si="4"/>
        <v>-0.14920141631562245</v>
      </c>
      <c r="I21" s="130">
        <f t="shared" si="0"/>
        <v>3.5653615046196845</v>
      </c>
      <c r="J21" s="130">
        <f t="shared" si="5"/>
        <v>-3.598364542331367E-2</v>
      </c>
      <c r="O21" s="89"/>
      <c r="P21" s="129" t="s">
        <v>141</v>
      </c>
      <c r="Q21" s="116">
        <v>118169772</v>
      </c>
      <c r="R21" s="116">
        <v>157398115037</v>
      </c>
      <c r="S21" s="116">
        <v>33143840.210000001</v>
      </c>
      <c r="T21" s="130">
        <f t="shared" ref="T21" si="9">Q21/S21</f>
        <v>3.5653615046196845</v>
      </c>
      <c r="U21" s="78"/>
    </row>
    <row r="22" spans="1:21" hidden="1">
      <c r="A22" s="129" t="s">
        <v>156</v>
      </c>
      <c r="B22" s="131">
        <f>SUM(F20:F22)</f>
        <v>18301231.838095237</v>
      </c>
      <c r="C22" s="131">
        <f>AVERAGE(F20:F22)</f>
        <v>6100410.6126984125</v>
      </c>
      <c r="D22" s="90">
        <f>C22/C19-1</f>
        <v>-2.1245870565567482E-2</v>
      </c>
      <c r="E22" s="286">
        <f>C22/C10-1</f>
        <v>-6.6262123231483616E-2</v>
      </c>
      <c r="F22" s="78">
        <f>Q22/21</f>
        <v>6086029.2380952379</v>
      </c>
      <c r="G22" s="90">
        <f t="shared" si="3"/>
        <v>8.1550821643287863E-2</v>
      </c>
      <c r="H22" s="90">
        <f t="shared" si="4"/>
        <v>-6.1420166265292897E-2</v>
      </c>
      <c r="I22" s="130">
        <f t="shared" si="0"/>
        <v>3.6296671896395205</v>
      </c>
      <c r="J22" s="130">
        <f t="shared" si="5"/>
        <v>-1.3447876687779248E-2</v>
      </c>
      <c r="K22" s="78">
        <f>R20+R21+R22</f>
        <v>496232440544</v>
      </c>
      <c r="L22" s="87">
        <f>U22/U19-1</f>
        <v>-2.3050079845573279E-2</v>
      </c>
      <c r="M22" s="87">
        <f>U22/U10-1</f>
        <v>-8.2268152376629433E-2</v>
      </c>
      <c r="N22" s="88">
        <f>AVERAGE(T20:T22)</f>
        <v>3.624848956570768</v>
      </c>
      <c r="O22" s="89">
        <f>N22/N19-1</f>
        <v>9.1253926132974783E-3</v>
      </c>
      <c r="P22" s="129" t="s">
        <v>156</v>
      </c>
      <c r="Q22" s="116">
        <v>127806614</v>
      </c>
      <c r="R22" s="116">
        <v>166095907688</v>
      </c>
      <c r="S22" s="116">
        <v>35211661.93</v>
      </c>
      <c r="T22" s="130">
        <f t="shared" ref="T22:T23" si="10">Q22/S22</f>
        <v>3.6296671896395205</v>
      </c>
      <c r="U22" s="85">
        <f>Q20+Q21+Q22</f>
        <v>377737798</v>
      </c>
    </row>
    <row r="23" spans="1:21" hidden="1">
      <c r="A23" s="129" t="s">
        <v>189</v>
      </c>
      <c r="B23" s="131"/>
      <c r="C23" s="131"/>
      <c r="F23" s="78">
        <f>Q23/21</f>
        <v>5394122.4761904757</v>
      </c>
      <c r="G23" s="90">
        <f t="shared" ref="G23" si="11">F23/F22-1</f>
        <v>-0.11368771572338188</v>
      </c>
      <c r="H23" s="90">
        <f t="shared" ref="H23" si="12">F23/F11-1</f>
        <v>-0.24488016692866343</v>
      </c>
      <c r="I23" s="130">
        <f t="shared" si="0"/>
        <v>3.6428836763085832</v>
      </c>
      <c r="J23" s="130">
        <f t="shared" si="5"/>
        <v>-2.0837937252919381E-2</v>
      </c>
      <c r="O23" s="89"/>
      <c r="P23" s="129" t="s">
        <v>189</v>
      </c>
      <c r="Q23" s="116">
        <v>113276572</v>
      </c>
      <c r="R23" s="116">
        <v>146164794697</v>
      </c>
      <c r="S23" s="116">
        <v>31095303.079999998</v>
      </c>
      <c r="T23" s="130">
        <f t="shared" si="10"/>
        <v>3.6428836763085832</v>
      </c>
      <c r="U23" s="78"/>
    </row>
    <row r="24" spans="1:21" hidden="1">
      <c r="A24" s="129" t="s">
        <v>204</v>
      </c>
      <c r="B24" s="131"/>
      <c r="C24" s="131"/>
      <c r="F24" s="78">
        <f>Q24/22</f>
        <v>4653920.9545454541</v>
      </c>
      <c r="G24" s="90">
        <f t="shared" ref="G24" si="13">F24/F23-1</f>
        <v>-0.13722371431354274</v>
      </c>
      <c r="H24" s="90">
        <f t="shared" ref="H24" si="14">F24/F12-1</f>
        <v>-0.16880464888893076</v>
      </c>
      <c r="I24" s="130">
        <f t="shared" si="0"/>
        <v>3.5956108631325949</v>
      </c>
      <c r="J24" s="130">
        <f t="shared" si="5"/>
        <v>5.9581013242580028E-3</v>
      </c>
      <c r="O24" s="89"/>
      <c r="P24" s="129" t="s">
        <v>204</v>
      </c>
      <c r="Q24" s="116">
        <v>102386261</v>
      </c>
      <c r="R24" s="116">
        <v>134897985175</v>
      </c>
      <c r="S24" s="116">
        <v>28475345.329999998</v>
      </c>
      <c r="T24" s="130">
        <f t="shared" ref="T24" si="15">Q24/S24</f>
        <v>3.5956108631325949</v>
      </c>
      <c r="U24" s="78"/>
    </row>
    <row r="25" spans="1:21" s="79" customFormat="1" ht="13.2" hidden="1">
      <c r="A25" s="129" t="s">
        <v>218</v>
      </c>
      <c r="B25" s="131">
        <f>SUM(F23:F25)</f>
        <v>15958279.272841193</v>
      </c>
      <c r="C25" s="131">
        <f>AVERAGE(F23:F25)</f>
        <v>5319426.4242803976</v>
      </c>
      <c r="D25" s="90">
        <f>C25/C22-1</f>
        <v>-0.12802157723487406</v>
      </c>
      <c r="E25" s="286">
        <f>C25/C13-1</f>
        <v>-0.17813894631320282</v>
      </c>
      <c r="F25" s="78">
        <f>Q25/19</f>
        <v>5910235.8421052629</v>
      </c>
      <c r="G25" s="90">
        <f t="shared" ref="G25" si="16">F25/F24-1</f>
        <v>0.26994762047532728</v>
      </c>
      <c r="H25" s="90">
        <f t="shared" ref="H25" si="17">F25/F13-1</f>
        <v>-0.11454195384802834</v>
      </c>
      <c r="I25" s="130">
        <f t="shared" si="0"/>
        <v>3.4577636335423567</v>
      </c>
      <c r="J25" s="130">
        <f t="shared" si="5"/>
        <v>-6.5596335377185455E-2</v>
      </c>
      <c r="K25" s="78">
        <f>R23+R24+R25</f>
        <v>430097307426</v>
      </c>
      <c r="L25" s="90">
        <f>U25/U22-1</f>
        <v>-0.13178581614964568</v>
      </c>
      <c r="M25" s="90">
        <f>U25/U13-1</f>
        <v>-0.19358688596102935</v>
      </c>
      <c r="N25" s="88">
        <f>AVERAGE(T23:T25)</f>
        <v>3.5654193909945118</v>
      </c>
      <c r="O25" s="91">
        <f>N25/N22-1</f>
        <v>-1.6395046052478435E-2</v>
      </c>
      <c r="P25" s="129" t="s">
        <v>220</v>
      </c>
      <c r="Q25" s="116">
        <v>112294481</v>
      </c>
      <c r="R25" s="116">
        <v>149034527554</v>
      </c>
      <c r="S25" s="116">
        <v>32476043.16</v>
      </c>
      <c r="T25" s="130">
        <f t="shared" ref="T25" si="18">Q25/S25</f>
        <v>3.4577636335423567</v>
      </c>
      <c r="U25" s="85">
        <f>Q23+Q24+Q25</f>
        <v>327957314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5479434.8421052629</v>
      </c>
      <c r="G26" s="90">
        <f t="shared" ref="G26" si="19">F26/F25-1</f>
        <v>-7.2890661474271368E-2</v>
      </c>
      <c r="H26" s="90">
        <f t="shared" ref="H26" si="20">F26/F14-1</f>
        <v>-0.1904782740473544</v>
      </c>
      <c r="I26" s="130">
        <f t="shared" si="0"/>
        <v>3.5092506136717003</v>
      </c>
      <c r="J26" s="130">
        <f t="shared" si="5"/>
        <v>-3.2599029275346747E-2</v>
      </c>
      <c r="L26" s="90"/>
      <c r="M26" s="90"/>
      <c r="P26" s="129" t="s">
        <v>312</v>
      </c>
      <c r="Q26" s="116">
        <v>104109262</v>
      </c>
      <c r="R26" s="116">
        <v>140395939219</v>
      </c>
      <c r="S26" s="116">
        <v>29667092.34</v>
      </c>
      <c r="T26" s="130">
        <f t="shared" ref="T26" si="21">Q26/S26</f>
        <v>3.5092506136717003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5618262.3636363633</v>
      </c>
      <c r="G27" s="90">
        <f t="shared" ref="G27" si="22">F27/F26-1</f>
        <v>2.5336102268123994E-2</v>
      </c>
      <c r="H27" s="90">
        <f t="shared" ref="H27" si="23">F27/F15-1</f>
        <v>-2.6283101970827616E-2</v>
      </c>
      <c r="I27" s="130">
        <f t="shared" si="0"/>
        <v>3.5244440099834242</v>
      </c>
      <c r="J27" s="130">
        <f t="shared" si="5"/>
        <v>1.8003217246825853E-2</v>
      </c>
      <c r="L27" s="90"/>
      <c r="M27" s="90"/>
      <c r="P27" s="129" t="s">
        <v>377</v>
      </c>
      <c r="Q27" s="116">
        <v>123601772</v>
      </c>
      <c r="R27" s="116">
        <v>163384198458</v>
      </c>
      <c r="S27" s="116">
        <v>35069863.969999999</v>
      </c>
      <c r="T27" s="130">
        <f t="shared" ref="T27" si="24">Q27/S27</f>
        <v>3.5244440099834242</v>
      </c>
      <c r="U27" s="78"/>
    </row>
    <row r="28" spans="1:21" s="79" customFormat="1" ht="13.2" hidden="1">
      <c r="A28" s="123" t="s">
        <v>413</v>
      </c>
      <c r="B28" s="131">
        <f>SUM(F26:F28)</f>
        <v>16798064.153110046</v>
      </c>
      <c r="C28" s="131">
        <f>AVERAGE(F26:F28)</f>
        <v>5599354.717703349</v>
      </c>
      <c r="D28" s="90">
        <f>C28/C25-1</f>
        <v>5.2623773898859749E-2</v>
      </c>
      <c r="E28" s="286">
        <f>C28/C16-1</f>
        <v>-0.10080031381767918</v>
      </c>
      <c r="F28" s="78">
        <f>Q28/19</f>
        <v>5700366.9473684207</v>
      </c>
      <c r="G28" s="90">
        <f t="shared" ref="G28" si="25">F28/F27-1</f>
        <v>1.4613874970216933E-2</v>
      </c>
      <c r="H28" s="90">
        <f t="shared" ref="H28" si="26">F28/F16-1</f>
        <v>-7.1976771415477092E-2</v>
      </c>
      <c r="I28" s="130">
        <f t="shared" si="0"/>
        <v>3.4383327206770167</v>
      </c>
      <c r="J28" s="130">
        <f t="shared" si="5"/>
        <v>-4.1669636493234963E-2</v>
      </c>
      <c r="K28" s="78">
        <f>R26+R27+R28</f>
        <v>445085449413</v>
      </c>
      <c r="L28" s="90">
        <f>U28/U25-1</f>
        <v>2.4578479137074449E-2</v>
      </c>
      <c r="M28" s="90">
        <f>U28/U16-1</f>
        <v>-0.15455969567712324</v>
      </c>
      <c r="N28" s="88">
        <f>AVERAGE(T26:T28)</f>
        <v>3.4906757814440468</v>
      </c>
      <c r="O28" s="91">
        <f>N28/N25-1</f>
        <v>-2.0963483213013112E-2</v>
      </c>
      <c r="P28" s="129" t="s">
        <v>413</v>
      </c>
      <c r="Q28" s="116">
        <v>108306972</v>
      </c>
      <c r="R28" s="116">
        <v>141305311736</v>
      </c>
      <c r="S28" s="116">
        <v>31499852.050000001</v>
      </c>
      <c r="T28" s="130">
        <f t="shared" ref="T28" si="27">Q28/S28</f>
        <v>3.4383327206770167</v>
      </c>
      <c r="U28" s="85">
        <f>Q26+Q27+Q28</f>
        <v>336018006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4974322.8636363633</v>
      </c>
      <c r="G29" s="190">
        <f t="shared" ref="G29" si="28">F29/F28-1</f>
        <v>-0.12736795550806357</v>
      </c>
      <c r="H29" s="190">
        <f t="shared" ref="H29" si="29">F29/F17-1</f>
        <v>-0.17550427658488599</v>
      </c>
      <c r="I29" s="130">
        <f t="shared" si="0"/>
        <v>3.3564299941148299</v>
      </c>
      <c r="J29" s="130">
        <f t="shared" si="5"/>
        <v>-4.7702262240010507E-2</v>
      </c>
      <c r="K29" s="136"/>
      <c r="L29" s="190"/>
      <c r="M29" s="190"/>
      <c r="N29" s="191"/>
      <c r="O29" s="192"/>
      <c r="P29" s="129" t="s">
        <v>427</v>
      </c>
      <c r="Q29" s="116">
        <v>109435103</v>
      </c>
      <c r="R29" s="116">
        <v>143996374316</v>
      </c>
      <c r="S29" s="116">
        <v>32604613.59</v>
      </c>
      <c r="T29" s="130">
        <f t="shared" ref="T29" si="30">Q29/S29</f>
        <v>3.3564299941148299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6002372.4736842103</v>
      </c>
      <c r="G30" s="190">
        <f t="shared" ref="G30" si="31">F30/F29-1</f>
        <v>0.20667126727200724</v>
      </c>
      <c r="H30" s="190">
        <f t="shared" ref="H30" si="32">F30/F18-1</f>
        <v>-5.1045467565766556E-2</v>
      </c>
      <c r="I30" s="130">
        <f t="shared" si="0"/>
        <v>3.5684862769915662</v>
      </c>
      <c r="J30" s="130">
        <f t="shared" si="5"/>
        <v>-1.3858592589065188E-2</v>
      </c>
      <c r="K30" s="136"/>
      <c r="L30" s="190"/>
      <c r="M30" s="190"/>
      <c r="N30" s="191"/>
      <c r="O30" s="192"/>
      <c r="P30" s="129" t="s">
        <v>469</v>
      </c>
      <c r="Q30" s="116">
        <v>114045077</v>
      </c>
      <c r="R30" s="116">
        <v>151987053522</v>
      </c>
      <c r="S30" s="116">
        <v>31958950.699999999</v>
      </c>
      <c r="T30" s="130">
        <f t="shared" ref="T30" si="33">Q30/S30</f>
        <v>3.5684862769915662</v>
      </c>
      <c r="U30" s="85"/>
    </row>
    <row r="31" spans="1:21" s="79" customFormat="1" ht="13.2" hidden="1">
      <c r="A31" s="129" t="s">
        <v>505</v>
      </c>
      <c r="B31" s="188">
        <f>SUM(F29:F31)</f>
        <v>16451612.337320574</v>
      </c>
      <c r="C31" s="188">
        <f>AVERAGE(F29:F31)</f>
        <v>5483870.7791068582</v>
      </c>
      <c r="D31" s="190">
        <f>C31/C28-1</f>
        <v>-2.0624508433332078E-2</v>
      </c>
      <c r="E31" s="287">
        <f>C31/C19-1</f>
        <v>-0.12016395106861577</v>
      </c>
      <c r="F31" s="136">
        <f>Q31/20</f>
        <v>5474917</v>
      </c>
      <c r="G31" s="190">
        <f t="shared" ref="G31" si="34">F31/F30-1</f>
        <v>-8.7874498957986602E-2</v>
      </c>
      <c r="H31" s="190">
        <f t="shared" ref="H31" si="35">F31/F19-1</f>
        <v>-0.13645931912531073</v>
      </c>
      <c r="I31" s="130">
        <f t="shared" si="0"/>
        <v>3.502441046660695</v>
      </c>
      <c r="J31" s="130">
        <f t="shared" si="5"/>
        <v>-3.594088118324168E-2</v>
      </c>
      <c r="K31" s="136">
        <f>R29+R30+R31</f>
        <v>441406603109</v>
      </c>
      <c r="L31" s="190">
        <f>U31/U28-1</f>
        <v>-9.0456045382282246E-3</v>
      </c>
      <c r="M31" s="190">
        <f>U31/U19-1</f>
        <v>-0.1388117888929421</v>
      </c>
      <c r="N31" s="191">
        <f>AVERAGE(T29:T31)</f>
        <v>3.4757857725890298</v>
      </c>
      <c r="O31" s="192">
        <f>N31/N28-1</f>
        <v>-4.2656522081397918E-3</v>
      </c>
      <c r="P31" s="129" t="s">
        <v>514</v>
      </c>
      <c r="Q31" s="116">
        <v>109498340</v>
      </c>
      <c r="R31" s="116">
        <v>145423175271</v>
      </c>
      <c r="S31" s="116">
        <v>31263435.57</v>
      </c>
      <c r="T31" s="130">
        <f t="shared" ref="T31" si="36">Q31/S31</f>
        <v>3.502441046660695</v>
      </c>
      <c r="U31" s="85">
        <f>Q29+Q30+Q31</f>
        <v>332978520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5355548.7142857146</v>
      </c>
      <c r="G32" s="190">
        <f t="shared" ref="G32" si="37">F32/F31-1</f>
        <v>-2.1802757140297335E-2</v>
      </c>
      <c r="H32" s="190">
        <f t="shared" ref="H32" si="38">F32/F20-1</f>
        <v>-0.18708389155912886</v>
      </c>
      <c r="I32" s="130">
        <f t="shared" si="0"/>
        <v>3.494067987686607</v>
      </c>
      <c r="J32" s="130">
        <f t="shared" si="5"/>
        <v>-5.0400671751989923E-2</v>
      </c>
      <c r="K32" s="136"/>
      <c r="L32" s="190"/>
      <c r="M32" s="190"/>
      <c r="N32" s="191"/>
      <c r="O32" s="192"/>
      <c r="P32" s="129" t="s">
        <v>562</v>
      </c>
      <c r="Q32" s="116">
        <v>112466523</v>
      </c>
      <c r="R32" s="116">
        <v>152990629707</v>
      </c>
      <c r="S32" s="116">
        <v>32187846.199999999</v>
      </c>
      <c r="T32" s="130">
        <f t="shared" ref="T32" si="39">Q32/S32</f>
        <v>3.494067987686607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5237647.8571428573</v>
      </c>
      <c r="G33" s="190">
        <f t="shared" ref="G33" si="40">F33/F32-1</f>
        <v>-2.2014710990931996E-2</v>
      </c>
      <c r="H33" s="190">
        <f t="shared" ref="H33" si="41">F33/F21-1</f>
        <v>-6.9215391225431078E-2</v>
      </c>
      <c r="I33" s="130">
        <f t="shared" si="0"/>
        <v>3.5842980255142782</v>
      </c>
      <c r="J33" s="130">
        <f t="shared" si="5"/>
        <v>5.3112484863195863E-3</v>
      </c>
      <c r="K33" s="136"/>
      <c r="L33" s="190"/>
      <c r="M33" s="190"/>
      <c r="N33" s="191"/>
      <c r="O33" s="192"/>
      <c r="P33" s="129" t="s">
        <v>607</v>
      </c>
      <c r="Q33" s="116">
        <v>109990605</v>
      </c>
      <c r="R33" s="116">
        <v>150375541705</v>
      </c>
      <c r="S33" s="116">
        <v>30686791.170000002</v>
      </c>
      <c r="T33" s="130">
        <f t="shared" ref="T33" si="42">Q33/S33</f>
        <v>3.5842980255142782</v>
      </c>
      <c r="U33" s="85"/>
    </row>
    <row r="34" spans="1:21" s="79" customFormat="1" ht="13.2" hidden="1">
      <c r="A34" s="129" t="s">
        <v>652</v>
      </c>
      <c r="B34" s="188">
        <f>SUM(F32:F34)</f>
        <v>15918188.834586466</v>
      </c>
      <c r="C34" s="188">
        <f>AVERAGE(F32:F34)</f>
        <v>5306062.9448621552</v>
      </c>
      <c r="D34" s="190">
        <f>C34/C31-1</f>
        <v>-3.2423782654058431E-2</v>
      </c>
      <c r="E34" s="287">
        <f>C34/C22-1</f>
        <v>-0.13021216410953873</v>
      </c>
      <c r="F34" s="136">
        <f>Q34/19</f>
        <v>5324992.2631578948</v>
      </c>
      <c r="G34" s="190">
        <f t="shared" ref="G34" si="43">F34/F33-1</f>
        <v>1.6676265452997496E-2</v>
      </c>
      <c r="H34" s="190">
        <f t="shared" ref="H34" si="44">F34/F22-1</f>
        <v>-0.1250465525491834</v>
      </c>
      <c r="I34" s="130">
        <f t="shared" si="0"/>
        <v>3.4940604403587816</v>
      </c>
      <c r="J34" s="130">
        <f t="shared" si="5"/>
        <v>-3.7360656554907612E-2</v>
      </c>
      <c r="K34" s="136">
        <f>R32+R33+R34</f>
        <v>442468583281</v>
      </c>
      <c r="L34" s="190">
        <f>U34/U31-1</f>
        <v>-2.8069495293570279E-2</v>
      </c>
      <c r="M34" s="190">
        <f>U34/U22-1</f>
        <v>-0.14323643883792636</v>
      </c>
      <c r="N34" s="191">
        <f>AVERAGE(T32:T34)</f>
        <v>3.5241421511865556</v>
      </c>
      <c r="O34" s="192">
        <f>N34/N31-1</f>
        <v>1.3912358747445674E-2</v>
      </c>
      <c r="P34" s="129" t="s">
        <v>652</v>
      </c>
      <c r="Q34" s="116">
        <v>101174853</v>
      </c>
      <c r="R34" s="116">
        <v>139102411869</v>
      </c>
      <c r="S34" s="116">
        <v>28956240.09</v>
      </c>
      <c r="T34" s="130">
        <f t="shared" ref="T34" si="45">Q34/S34</f>
        <v>3.4940604403587816</v>
      </c>
      <c r="U34" s="85">
        <f>Q32+Q33+Q34</f>
        <v>323631981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5123353.4782608692</v>
      </c>
      <c r="G35" s="190">
        <f t="shared" ref="G35" si="46">F35/F34-1</f>
        <v>-3.786649349560689E-2</v>
      </c>
      <c r="H35" s="190">
        <f t="shared" ref="H35" si="47">F35/F23-1</f>
        <v>-5.0197043008343711E-2</v>
      </c>
      <c r="I35" s="130">
        <f t="shared" si="0"/>
        <v>3.5630119849051014</v>
      </c>
      <c r="J35" s="130">
        <f t="shared" si="5"/>
        <v>-2.1925402648161896E-2</v>
      </c>
      <c r="K35" s="136"/>
      <c r="L35" s="190"/>
      <c r="M35" s="190"/>
      <c r="N35" s="191"/>
      <c r="O35" s="192"/>
      <c r="P35" s="129" t="s">
        <v>660</v>
      </c>
      <c r="Q35" s="116">
        <v>117837130</v>
      </c>
      <c r="R35" s="116">
        <v>163048593445</v>
      </c>
      <c r="S35" s="116">
        <v>33072336.129999999</v>
      </c>
      <c r="T35" s="130">
        <f t="shared" ref="T35" si="48">Q35/S35</f>
        <v>3.5630119849051014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4864574.5238095243</v>
      </c>
      <c r="G36" s="190">
        <f t="shared" ref="G36" si="49">F36/F35-1</f>
        <v>-5.0509681900610892E-2</v>
      </c>
      <c r="H36" s="190">
        <f t="shared" ref="H36" si="50">F36/F24-1</f>
        <v>4.5263675795422786E-2</v>
      </c>
      <c r="I36" s="130">
        <f t="shared" si="0"/>
        <v>3.6859030030836641</v>
      </c>
      <c r="J36" s="130">
        <f t="shared" si="5"/>
        <v>2.5111766369624311E-2</v>
      </c>
      <c r="K36" s="136"/>
      <c r="L36" s="190"/>
      <c r="M36" s="190"/>
      <c r="N36" s="191"/>
      <c r="O36" s="192"/>
      <c r="P36" s="129" t="s">
        <v>666</v>
      </c>
      <c r="Q36" s="116">
        <v>102156065</v>
      </c>
      <c r="R36" s="116">
        <v>139316853412</v>
      </c>
      <c r="S36" s="116">
        <v>27715342.73</v>
      </c>
      <c r="T36" s="130">
        <f t="shared" ref="T36" si="51">Q36/S36</f>
        <v>3.6859030030836641</v>
      </c>
      <c r="U36" s="85"/>
    </row>
    <row r="37" spans="1:21" s="79" customFormat="1" ht="13.2" hidden="1">
      <c r="A37" s="129" t="s">
        <v>702</v>
      </c>
      <c r="B37" s="188">
        <f>SUM(F35:F37)</f>
        <v>15198428.057625949</v>
      </c>
      <c r="C37" s="188">
        <f>AVERAGE(F35:F37)</f>
        <v>5066142.6858753162</v>
      </c>
      <c r="D37" s="190">
        <f>C37/C34-1</f>
        <v>-4.5216248182497143E-2</v>
      </c>
      <c r="E37" s="287">
        <f>C37/C25-1</f>
        <v>-4.7614858859401421E-2</v>
      </c>
      <c r="F37" s="136">
        <f>Q37/18</f>
        <v>5210500.055555556</v>
      </c>
      <c r="G37" s="190">
        <f t="shared" ref="G37" si="52">F37/F36-1</f>
        <v>7.1111158859404666E-2</v>
      </c>
      <c r="H37" s="190">
        <f t="shared" ref="H37" si="53">F37/F25-1</f>
        <v>-0.1183938856660679</v>
      </c>
      <c r="I37" s="130">
        <f t="shared" si="0"/>
        <v>3.5233419270144832</v>
      </c>
      <c r="J37" s="130">
        <f t="shared" si="5"/>
        <v>1.8965522349757569E-2</v>
      </c>
      <c r="K37" s="136">
        <f>R35+R36+R37</f>
        <v>427517464235</v>
      </c>
      <c r="L37" s="190">
        <f>U37/U34-1</f>
        <v>-3.0435141080819239E-2</v>
      </c>
      <c r="M37" s="190">
        <f>U37/U25-1</f>
        <v>-4.3222448150676107E-2</v>
      </c>
      <c r="N37" s="191">
        <f>AVERAGE(T35:T37)</f>
        <v>3.5907523050010828</v>
      </c>
      <c r="O37" s="192">
        <f>N37/N34-1</f>
        <v>1.8901097332892691E-2</v>
      </c>
      <c r="P37" s="129" t="s">
        <v>702</v>
      </c>
      <c r="Q37" s="116">
        <v>93789001</v>
      </c>
      <c r="R37" s="116">
        <v>125152017378</v>
      </c>
      <c r="S37" s="116">
        <v>26619329.870000001</v>
      </c>
      <c r="T37" s="130">
        <f t="shared" ref="T37" si="54">Q37/S37</f>
        <v>3.5233419270144832</v>
      </c>
      <c r="U37" s="85">
        <f>Q35+Q36+Q37</f>
        <v>313782196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5107176.3</v>
      </c>
      <c r="G38" s="190">
        <f t="shared" ref="G38" si="55">F38/F37-1</f>
        <v>-1.9829911611917161E-2</v>
      </c>
      <c r="H38" s="190">
        <f t="shared" ref="H38" si="56">F38/F26-1</f>
        <v>-6.7937397347029527E-2</v>
      </c>
      <c r="I38" s="130">
        <f t="shared" si="0"/>
        <v>3.7355354875583502</v>
      </c>
      <c r="J38" s="130">
        <f t="shared" si="5"/>
        <v>6.4482392054037385E-2</v>
      </c>
      <c r="K38" s="136"/>
      <c r="L38" s="190"/>
      <c r="M38" s="190"/>
      <c r="N38" s="191"/>
      <c r="O38" s="192"/>
      <c r="P38" s="129" t="s">
        <v>728</v>
      </c>
      <c r="Q38" s="116">
        <v>102143526</v>
      </c>
      <c r="R38" s="116">
        <v>137690382142</v>
      </c>
      <c r="S38" s="116">
        <v>27343743.98</v>
      </c>
      <c r="T38" s="130">
        <f t="shared" ref="T38" si="57">Q38/S38</f>
        <v>3.7355354875583502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4906546.6190476194</v>
      </c>
      <c r="G39" s="190">
        <f t="shared" ref="G39" si="58">F39/F38-1</f>
        <v>-3.928387609262296E-2</v>
      </c>
      <c r="H39" s="190">
        <f t="shared" ref="H39" si="59">F39/F27-1</f>
        <v>-0.12667897982038934</v>
      </c>
      <c r="I39" s="130">
        <f t="shared" si="0"/>
        <v>3.6507390145148362</v>
      </c>
      <c r="J39" s="130">
        <f t="shared" si="5"/>
        <v>3.5834022096440155E-2</v>
      </c>
      <c r="K39" s="136"/>
      <c r="L39" s="190"/>
      <c r="M39" s="190"/>
      <c r="N39" s="191"/>
      <c r="O39" s="192"/>
      <c r="P39" s="129" t="s">
        <v>762</v>
      </c>
      <c r="Q39" s="116">
        <v>103037479</v>
      </c>
      <c r="R39" s="116">
        <v>143228704852</v>
      </c>
      <c r="S39" s="116">
        <v>28223731.850000001</v>
      </c>
      <c r="T39" s="130">
        <f t="shared" ref="T39" si="60">Q39/S39</f>
        <v>3.6507390145148362</v>
      </c>
      <c r="U39" s="85"/>
    </row>
    <row r="40" spans="1:21" s="79" customFormat="1" ht="13.2" hidden="1">
      <c r="A40" s="129" t="s">
        <v>778</v>
      </c>
      <c r="B40" s="188">
        <f>SUM(F38:F40)</f>
        <v>14893293.490476191</v>
      </c>
      <c r="C40" s="188">
        <f>AVERAGE(F38:F40)</f>
        <v>4964431.163492064</v>
      </c>
      <c r="D40" s="190">
        <f>C40/C37-1</f>
        <v>-2.0076718854924791E-2</v>
      </c>
      <c r="E40" s="287">
        <f>C40/C28-1</f>
        <v>-0.11339227218519699</v>
      </c>
      <c r="F40" s="136">
        <f>Q40/21</f>
        <v>4879570.5714285718</v>
      </c>
      <c r="G40" s="190">
        <f t="shared" ref="G40" si="61">F40/F39-1</f>
        <v>-5.4979703065134444E-3</v>
      </c>
      <c r="H40" s="190">
        <f t="shared" ref="H40" si="62">F40/F28-1</f>
        <v>-0.143990094588344</v>
      </c>
      <c r="I40" s="130">
        <f t="shared" si="0"/>
        <v>3.4707439423704542</v>
      </c>
      <c r="J40" s="130">
        <f t="shared" si="5"/>
        <v>9.4264355216489015E-3</v>
      </c>
      <c r="K40" s="136">
        <f>R38+R39+R40</f>
        <v>426456065494</v>
      </c>
      <c r="L40" s="190">
        <f>U40/U37-1</f>
        <v>-1.9536509968207327E-2</v>
      </c>
      <c r="M40" s="190">
        <f>U40/U28-1</f>
        <v>-8.4418151686787901E-2</v>
      </c>
      <c r="N40" s="191">
        <f>AVERAGE(T38:T40)</f>
        <v>3.6190061481478804</v>
      </c>
      <c r="O40" s="192">
        <f>N40/N37-1</f>
        <v>7.8685024047597807E-3</v>
      </c>
      <c r="P40" s="129" t="s">
        <v>778</v>
      </c>
      <c r="Q40" s="116">
        <v>102470982</v>
      </c>
      <c r="R40" s="116">
        <v>145536978500</v>
      </c>
      <c r="S40" s="116">
        <v>29524212.59</v>
      </c>
      <c r="T40" s="130">
        <f t="shared" ref="T40" si="63">Q40/S40</f>
        <v>3.4707439423704542</v>
      </c>
      <c r="U40" s="85">
        <f>Q38+Q39+Q40</f>
        <v>307651987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5125295.722222222</v>
      </c>
      <c r="G41" s="190">
        <f t="shared" ref="G41" si="64">F41/F40-1</f>
        <v>5.0357945888199307E-2</v>
      </c>
      <c r="H41" s="190">
        <f t="shared" ref="H41" si="65">F41/F29-1</f>
        <v>3.0350434164519324E-2</v>
      </c>
      <c r="I41" s="130">
        <f t="shared" si="0"/>
        <v>3.5731296772456651</v>
      </c>
      <c r="J41" s="130">
        <f t="shared" si="5"/>
        <v>6.4562551136414736E-2</v>
      </c>
      <c r="K41" s="193"/>
      <c r="L41" s="190"/>
      <c r="M41" s="190"/>
      <c r="N41" s="193"/>
      <c r="O41" s="193"/>
      <c r="P41" s="129" t="s">
        <v>792</v>
      </c>
      <c r="Q41" s="116">
        <v>92255323</v>
      </c>
      <c r="R41" s="116">
        <v>134963639414</v>
      </c>
      <c r="S41" s="116">
        <v>25819192.510000002</v>
      </c>
      <c r="T41" s="130">
        <f t="shared" ref="T41" si="66">Q41/S41</f>
        <v>3.5731296772456651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5598340.5499999998</v>
      </c>
      <c r="G42" s="190">
        <f t="shared" ref="G42" si="67">F42/F41-1</f>
        <v>9.2296104150001224E-2</v>
      </c>
      <c r="H42" s="190">
        <f t="shared" ref="H42" si="68">F42/F30-1</f>
        <v>-6.7312037940927549E-2</v>
      </c>
      <c r="I42" s="130">
        <f t="shared" si="0"/>
        <v>3.4757620441252373</v>
      </c>
      <c r="J42" s="130">
        <f t="shared" si="5"/>
        <v>-2.5984192082840418E-2</v>
      </c>
      <c r="K42" s="193"/>
      <c r="L42" s="190"/>
      <c r="M42" s="190"/>
      <c r="N42" s="193"/>
      <c r="O42" s="193"/>
      <c r="P42" s="129" t="s">
        <v>826</v>
      </c>
      <c r="Q42" s="116">
        <v>111966811</v>
      </c>
      <c r="R42" s="116">
        <v>161977843536</v>
      </c>
      <c r="S42" s="116">
        <v>32213600.809999999</v>
      </c>
      <c r="T42" s="130">
        <f t="shared" ref="T42" si="69">Q42/S42</f>
        <v>3.4757620441252373</v>
      </c>
      <c r="U42" s="78"/>
    </row>
    <row r="43" spans="1:21" s="79" customFormat="1" ht="13.2">
      <c r="A43" s="129" t="s">
        <v>835</v>
      </c>
      <c r="B43" s="188">
        <f>SUM(F41:F43)</f>
        <v>15960368.922222221</v>
      </c>
      <c r="C43" s="188">
        <f>AVERAGE(F41:F43)</f>
        <v>5320122.9740740741</v>
      </c>
      <c r="D43" s="190">
        <f>C43/C40-1</f>
        <v>7.1648049669362335E-2</v>
      </c>
      <c r="E43" s="287">
        <f>C43/C31-1</f>
        <v>-2.9859894886044902E-2</v>
      </c>
      <c r="F43" s="136">
        <f>Q43/20</f>
        <v>5236732.6500000004</v>
      </c>
      <c r="G43" s="190">
        <f t="shared" ref="G43" si="70">F43/F42-1</f>
        <v>-6.4591979850171732E-2</v>
      </c>
      <c r="H43" s="190">
        <f t="shared" ref="H43" si="71">F43/F31-1</f>
        <v>-4.3504650390133737E-2</v>
      </c>
      <c r="I43" s="130">
        <f t="shared" si="0"/>
        <v>3.6290301183023974</v>
      </c>
      <c r="J43" s="130">
        <f t="shared" si="5"/>
        <v>3.6143098471962842E-2</v>
      </c>
      <c r="K43" s="136">
        <f>R41+R42+R43</f>
        <v>448758064527</v>
      </c>
      <c r="L43" s="190">
        <f>U43/U40-1</f>
        <v>4.2411557705948066E-3</v>
      </c>
      <c r="M43" s="190">
        <f>K43/K31-1</f>
        <v>1.6654624933611695E-2</v>
      </c>
      <c r="N43" s="191">
        <f>AVERAGE(T41:T43)</f>
        <v>3.5593072798910996</v>
      </c>
      <c r="O43" s="192">
        <f>N43/N40-1</f>
        <v>-1.6495928940969962E-2</v>
      </c>
      <c r="P43" s="129" t="s">
        <v>835</v>
      </c>
      <c r="Q43" s="116">
        <v>104734653</v>
      </c>
      <c r="R43" s="116">
        <v>151816581577</v>
      </c>
      <c r="S43" s="116">
        <v>28860232.510000002</v>
      </c>
      <c r="T43" s="130">
        <f t="shared" ref="T43" si="72">Q43/S43</f>
        <v>3.6290301183023974</v>
      </c>
      <c r="U43" s="85">
        <f>Q41+Q42+Q43</f>
        <v>308956787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5120006.4090909092</v>
      </c>
      <c r="G44" s="190">
        <f t="shared" ref="G44" si="73">F44/F43-1</f>
        <v>-2.2289898818701581E-2</v>
      </c>
      <c r="H44" s="190">
        <f t="shared" ref="H44" si="74">F44/F32-1</f>
        <v>-4.398098453786925E-2</v>
      </c>
      <c r="I44" s="130">
        <f t="shared" si="0"/>
        <v>3.5207607877936078</v>
      </c>
      <c r="J44" s="130">
        <f t="shared" si="5"/>
        <v>7.6394621401383311E-3</v>
      </c>
      <c r="K44" s="136"/>
      <c r="L44" s="190"/>
      <c r="M44" s="190"/>
      <c r="N44" s="191"/>
      <c r="O44" s="192"/>
      <c r="P44" s="129" t="s">
        <v>843</v>
      </c>
      <c r="Q44" s="116">
        <v>112640141</v>
      </c>
      <c r="R44" s="116">
        <v>163529667852</v>
      </c>
      <c r="S44" s="116">
        <v>31993125.289999999</v>
      </c>
      <c r="T44" s="130">
        <f t="shared" ref="T44" si="75">Q44/S44</f>
        <v>3.5207607877936078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4991579.8499999996</v>
      </c>
      <c r="G45" s="190">
        <f t="shared" ref="G45" si="76">F45/F44-1</f>
        <v>-2.5083280923805074E-2</v>
      </c>
      <c r="H45" s="190">
        <f t="shared" ref="H45" si="77">F45/F33-1</f>
        <v>-4.6980632118534205E-2</v>
      </c>
      <c r="I45" s="130">
        <f t="shared" si="0"/>
        <v>3.5833204647716199</v>
      </c>
      <c r="J45" s="130">
        <f t="shared" si="5"/>
        <v>-2.7273422458173879E-4</v>
      </c>
      <c r="K45" s="136"/>
      <c r="L45" s="190"/>
      <c r="M45" s="190"/>
      <c r="N45" s="191"/>
      <c r="O45" s="192"/>
      <c r="P45" s="129" t="s">
        <v>853</v>
      </c>
      <c r="Q45" s="116">
        <v>99831597</v>
      </c>
      <c r="R45" s="116">
        <v>140407785508</v>
      </c>
      <c r="S45" s="116">
        <v>27860080.609999999</v>
      </c>
      <c r="T45" s="130">
        <f t="shared" ref="T45" si="78">Q45/S45</f>
        <v>3.5833204647716199</v>
      </c>
      <c r="U45" s="85"/>
    </row>
    <row r="46" spans="1:21" s="79" customFormat="1" ht="13.2">
      <c r="A46" s="129" t="s">
        <v>893</v>
      </c>
      <c r="B46" s="188">
        <f>SUM(F44:F46)</f>
        <v>15231034.785406698</v>
      </c>
      <c r="C46" s="188">
        <f>AVERAGE(F44:F46)</f>
        <v>5077011.5951355658</v>
      </c>
      <c r="D46" s="190">
        <f>C46/C43-1</f>
        <v>-4.5696571324240876E-2</v>
      </c>
      <c r="E46" s="287">
        <f>C46/C34-1</f>
        <v>-4.3167853850731075E-2</v>
      </c>
      <c r="F46" s="136">
        <f>Q46/19</f>
        <v>5119448.5263157897</v>
      </c>
      <c r="G46" s="190">
        <f t="shared" ref="G46" si="79">F46/F45-1</f>
        <v>2.5616874848909843E-2</v>
      </c>
      <c r="H46" s="190">
        <f t="shared" ref="H46" si="80">F46/F34-1</f>
        <v>-3.8599818870011071E-2</v>
      </c>
      <c r="I46" s="130">
        <f t="shared" si="0"/>
        <v>3.4813391733600931</v>
      </c>
      <c r="J46" s="130">
        <f t="shared" si="5"/>
        <v>-3.6408262581119066E-3</v>
      </c>
      <c r="K46" s="136">
        <f>R44+R45+R46</f>
        <v>437103274742</v>
      </c>
      <c r="L46" s="190">
        <f>U46/U43-1</f>
        <v>2.5391026609815626E-3</v>
      </c>
      <c r="M46" s="190">
        <f>K46/K34-1</f>
        <v>-1.2125851962675127E-2</v>
      </c>
      <c r="N46" s="191">
        <f>AVERAGE(T44:T46)</f>
        <v>3.5284734753084401</v>
      </c>
      <c r="O46" s="192">
        <f>N46/N43-1</f>
        <v>-8.662866720403728E-3</v>
      </c>
      <c r="P46" s="129" t="s">
        <v>938</v>
      </c>
      <c r="Q46" s="116">
        <v>97269522</v>
      </c>
      <c r="R46" s="116">
        <v>133165821382</v>
      </c>
      <c r="S46" s="116">
        <v>27940260.100000001</v>
      </c>
      <c r="T46" s="130">
        <f t="shared" ref="T46" si="81">Q46/S46</f>
        <v>3.4813391733600931</v>
      </c>
      <c r="U46" s="85">
        <f t="shared" ref="U46:U51" si="82">Q44+Q45+Q46</f>
        <v>309741260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4839537.6086956523</v>
      </c>
      <c r="G47" s="190">
        <f t="shared" ref="G47" si="83">F47/F46-1</f>
        <v>-5.4675990232403993E-2</v>
      </c>
      <c r="H47" s="190">
        <f t="shared" ref="H47" si="84">F47/F35-1</f>
        <v>-5.5396503631749971E-2</v>
      </c>
      <c r="I47" s="130">
        <f t="shared" si="0"/>
        <v>3.53136178430118</v>
      </c>
      <c r="J47" s="130">
        <f t="shared" si="5"/>
        <v>-8.8829902167069097E-3</v>
      </c>
      <c r="K47" s="136"/>
      <c r="L47" s="190"/>
      <c r="M47" s="190"/>
      <c r="N47" s="191"/>
      <c r="O47" s="192"/>
      <c r="P47" s="129" t="s">
        <v>991</v>
      </c>
      <c r="Q47" s="116">
        <v>111309365</v>
      </c>
      <c r="R47" s="116">
        <v>152687936022</v>
      </c>
      <c r="S47" s="116">
        <v>31520238.309999999</v>
      </c>
      <c r="T47" s="130">
        <f t="shared" ref="T47" si="85">Q47/S47</f>
        <v>3.53136178430118</v>
      </c>
      <c r="U47" s="85">
        <f t="shared" si="82"/>
        <v>308410484</v>
      </c>
    </row>
    <row r="48" spans="1:21" s="79" customFormat="1" ht="13.2">
      <c r="A48" s="129" t="s">
        <v>1084</v>
      </c>
      <c r="B48" s="188"/>
      <c r="C48" s="188"/>
      <c r="D48" s="190"/>
      <c r="E48" s="287"/>
      <c r="F48" s="136">
        <f>Q48/20</f>
        <v>4273176.4000000004</v>
      </c>
      <c r="G48" s="190">
        <f t="shared" ref="G48" si="86">F48/F47-1</f>
        <v>-0.11702795896823237</v>
      </c>
      <c r="H48" s="190">
        <f t="shared" ref="H48" si="87">F48/F36-1</f>
        <v>-0.12157242548447811</v>
      </c>
      <c r="I48" s="130">
        <f t="shared" si="0"/>
        <v>3.4805256509592248</v>
      </c>
      <c r="J48" s="130">
        <f t="shared" si="5"/>
        <v>-5.5719684417256388E-2</v>
      </c>
      <c r="K48" s="136"/>
      <c r="L48" s="190"/>
      <c r="M48" s="190"/>
      <c r="N48" s="191"/>
      <c r="O48" s="192"/>
      <c r="P48" s="129" t="s">
        <v>1070</v>
      </c>
      <c r="Q48" s="116">
        <v>85463528</v>
      </c>
      <c r="R48" s="116">
        <v>118606265695</v>
      </c>
      <c r="S48" s="116">
        <v>24554776.079999998</v>
      </c>
      <c r="T48" s="130">
        <f t="shared" ref="T48" si="88">Q48/S48</f>
        <v>3.4805256509592248</v>
      </c>
      <c r="U48" s="85">
        <f t="shared" si="82"/>
        <v>294042415</v>
      </c>
    </row>
    <row r="49" spans="1:26" ht="13.2">
      <c r="A49" s="129" t="s">
        <v>1158</v>
      </c>
      <c r="B49" s="188">
        <f>SUM(F47:F49)</f>
        <v>14168311.508695653</v>
      </c>
      <c r="C49" s="188">
        <f>AVERAGE(F47:F49)</f>
        <v>4722770.5028985506</v>
      </c>
      <c r="D49" s="190">
        <f>C49/C46-1</f>
        <v>-6.9773544062106119E-2</v>
      </c>
      <c r="E49" s="287">
        <f>C49/C37-1</f>
        <v>-6.7777834985600749E-2</v>
      </c>
      <c r="F49" s="136">
        <f>Q49/22</f>
        <v>5055597.5</v>
      </c>
      <c r="G49" s="190">
        <f t="shared" ref="G49" si="89">F49/F48-1</f>
        <v>0.18310058531634676</v>
      </c>
      <c r="H49" s="190">
        <f t="shared" ref="H49" si="90">F49/F37-1</f>
        <v>-2.9728923117541384E-2</v>
      </c>
      <c r="I49" s="130">
        <f t="shared" si="0"/>
        <v>3.5435024267422817</v>
      </c>
      <c r="J49" s="130">
        <f t="shared" si="5"/>
        <v>5.7219821820930772E-3</v>
      </c>
      <c r="K49" s="136">
        <f>R47+R48+R49</f>
        <v>425872221066</v>
      </c>
      <c r="L49" s="190">
        <f>U49/U46-1</f>
        <v>-5.6344511544893505E-3</v>
      </c>
      <c r="M49" s="190">
        <f>K49/K37-1</f>
        <v>-3.848364819303951E-3</v>
      </c>
      <c r="N49" s="191">
        <f>AVERAGE(T47:T49)</f>
        <v>3.5184632873342294</v>
      </c>
      <c r="O49" s="192">
        <f>N49/N46-1</f>
        <v>-2.83697413180517E-3</v>
      </c>
      <c r="P49" s="129" t="s">
        <v>1158</v>
      </c>
      <c r="Q49" s="116">
        <v>111223145</v>
      </c>
      <c r="R49" s="116">
        <v>154578019349</v>
      </c>
      <c r="S49" s="116">
        <v>31387912.75</v>
      </c>
      <c r="T49" s="130">
        <f t="shared" ref="T49" si="91">Q49/S49</f>
        <v>3.5435024267422817</v>
      </c>
      <c r="U49" s="85">
        <f t="shared" si="82"/>
        <v>307996038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4901396.277777778</v>
      </c>
      <c r="G50" s="190">
        <f t="shared" ref="G50" si="92">F50/F49-1</f>
        <v>-3.0501087600866561E-2</v>
      </c>
      <c r="H50" s="190">
        <f t="shared" ref="H50" si="93">F50/F38-1</f>
        <v>-4.0292327919484894E-2</v>
      </c>
      <c r="I50" s="130">
        <f t="shared" ref="I50" si="94">T50</f>
        <v>3.4526276311629345</v>
      </c>
      <c r="J50" s="130">
        <f t="shared" ref="J50" si="95">I50/I38-1</f>
        <v>-7.5734217313066399E-2</v>
      </c>
      <c r="K50" s="136"/>
      <c r="L50" s="190"/>
      <c r="M50" s="190"/>
      <c r="N50" s="191"/>
      <c r="O50" s="192"/>
      <c r="P50" s="129" t="s">
        <v>1291</v>
      </c>
      <c r="Q50" s="116">
        <v>88225133</v>
      </c>
      <c r="R50" s="116">
        <v>124812607723</v>
      </c>
      <c r="S50" s="116">
        <v>25553040.300000001</v>
      </c>
      <c r="T50" s="130">
        <f t="shared" ref="T50" si="96">Q50/S50</f>
        <v>3.4526276311629345</v>
      </c>
      <c r="U50" s="85">
        <f t="shared" si="82"/>
        <v>284911806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5089016.75</v>
      </c>
      <c r="G51" s="190">
        <f t="shared" ref="G51:G52" si="97">F51/F50-1</f>
        <v>3.82789845156708E-2</v>
      </c>
      <c r="H51" s="190">
        <f t="shared" ref="H51:H52" si="98">F51/F39-1</f>
        <v>3.7189115913831561E-2</v>
      </c>
      <c r="I51" s="130">
        <f t="shared" ref="I51:I52" si="99">T51</f>
        <v>3.4605743811308058</v>
      </c>
      <c r="J51" s="130">
        <f t="shared" ref="J51:J52" si="100">I51/I39-1</f>
        <v>-5.2089353040017938E-2</v>
      </c>
      <c r="K51" s="136"/>
      <c r="L51" s="190"/>
      <c r="M51" s="190"/>
      <c r="N51" s="191"/>
      <c r="O51" s="192"/>
      <c r="P51" s="129" t="s">
        <v>1402</v>
      </c>
      <c r="Q51" s="116">
        <v>101780335</v>
      </c>
      <c r="R51" s="116">
        <v>147595343560</v>
      </c>
      <c r="S51" s="116">
        <v>29411399.32</v>
      </c>
      <c r="T51" s="130">
        <f t="shared" ref="T51:T52" si="101">Q51/S51</f>
        <v>3.4605743811308058</v>
      </c>
      <c r="U51" s="85">
        <f t="shared" si="82"/>
        <v>301228613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14814731.891414141</v>
      </c>
      <c r="C52" s="188">
        <f>AVERAGE(F50:F52)</f>
        <v>4938243.9638047135</v>
      </c>
      <c r="D52" s="190">
        <f>C52/C49-1</f>
        <v>4.5624376787717802E-2</v>
      </c>
      <c r="E52" s="287">
        <f>C52/C40-1</f>
        <v>-5.2749648096500623E-3</v>
      </c>
      <c r="F52" s="136">
        <f>Q52/22</f>
        <v>4824318.8636363633</v>
      </c>
      <c r="G52" s="190">
        <f t="shared" si="97"/>
        <v>-5.2013561630276928E-2</v>
      </c>
      <c r="H52" s="190">
        <f t="shared" si="98"/>
        <v>-1.1323067672332598E-2</v>
      </c>
      <c r="I52" s="130">
        <f t="shared" si="99"/>
        <v>3.2690790070000277</v>
      </c>
      <c r="J52" s="130">
        <f t="shared" si="100"/>
        <v>-5.8104238952497611E-2</v>
      </c>
      <c r="K52" s="136">
        <f>R50+R51+R52</f>
        <v>428560336197</v>
      </c>
      <c r="L52" s="190">
        <f>U52/U49-1</f>
        <v>-3.8492556842565584E-2</v>
      </c>
      <c r="M52" s="190">
        <f>K52/K40-1</f>
        <v>4.9343200232419004E-3</v>
      </c>
      <c r="N52" s="191">
        <f>AVERAGE(T50:T52)</f>
        <v>3.3940936730979225</v>
      </c>
      <c r="O52" s="192">
        <f>N52/N49-1</f>
        <v>-3.5347708382808207E-2</v>
      </c>
      <c r="P52" s="129" t="s">
        <v>1403</v>
      </c>
      <c r="Q52" s="116">
        <v>106135015</v>
      </c>
      <c r="R52" s="116">
        <v>156152384914</v>
      </c>
      <c r="S52" s="116">
        <v>32466335.25</v>
      </c>
      <c r="T52" s="130">
        <f t="shared" si="101"/>
        <v>3.2690790070000277</v>
      </c>
      <c r="U52" s="85">
        <f t="shared" ref="U52" si="102">Q50+Q51+Q52</f>
        <v>296140483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5043073.6190476194</v>
      </c>
      <c r="G53" s="190">
        <f t="shared" ref="G53" si="103">F53/F52-1</f>
        <v>4.5344174295802731E-2</v>
      </c>
      <c r="H53" s="190">
        <f t="shared" ref="H53" si="104">F53/F41-1</f>
        <v>-1.6042411527222633E-2</v>
      </c>
      <c r="I53" s="130">
        <f t="shared" ref="I53" si="105">T53</f>
        <v>3.3342330118307606</v>
      </c>
      <c r="J53" s="130">
        <f t="shared" ref="J53" si="106">I53/I41-1</f>
        <v>-6.6859220625616111E-2</v>
      </c>
      <c r="K53" s="136"/>
      <c r="L53" s="190"/>
      <c r="M53" s="190"/>
      <c r="N53" s="191"/>
      <c r="O53" s="192"/>
      <c r="P53" s="129" t="s">
        <v>1414</v>
      </c>
      <c r="Q53" s="116">
        <v>105904546</v>
      </c>
      <c r="R53" s="116">
        <v>154321650190</v>
      </c>
      <c r="S53" s="116">
        <v>31762790.91</v>
      </c>
      <c r="T53" s="130">
        <f t="shared" ref="T53" si="107">Q53/S53</f>
        <v>3.3342330118307606</v>
      </c>
      <c r="U53" s="85">
        <f t="shared" ref="U53" si="108">Q51+Q52+Q53</f>
        <v>313819896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5382574.5294117648</v>
      </c>
      <c r="G54" s="190">
        <f t="shared" ref="G54" si="109">F54/F53-1</f>
        <v>6.7320236825783253E-2</v>
      </c>
      <c r="H54" s="190">
        <f t="shared" ref="H54" si="110">F54/F42-1</f>
        <v>-3.8541067421887232E-2</v>
      </c>
      <c r="I54" s="130">
        <f t="shared" ref="I54" si="111">T54</f>
        <v>3.267026287471817</v>
      </c>
      <c r="J54" s="130">
        <f t="shared" ref="J54" si="112">I54/I42-1</f>
        <v>-6.0054674055212476E-2</v>
      </c>
      <c r="K54" s="136"/>
      <c r="L54" s="190"/>
      <c r="M54" s="190"/>
      <c r="N54" s="191"/>
      <c r="O54" s="192"/>
      <c r="P54" s="129" t="s">
        <v>1417</v>
      </c>
      <c r="Q54" s="116">
        <v>91503767</v>
      </c>
      <c r="R54" s="116">
        <v>132533200764</v>
      </c>
      <c r="S54" s="116">
        <v>28008273.870000001</v>
      </c>
      <c r="T54" s="130">
        <f t="shared" ref="T54" si="113">Q54/S54</f>
        <v>3.267026287471817</v>
      </c>
      <c r="U54" s="85">
        <f t="shared" ref="U54" si="114">Q52+Q53+Q54</f>
        <v>303543328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15873615.053221289</v>
      </c>
      <c r="C55" s="188">
        <f>AVERAGE(F53:F55)</f>
        <v>5291205.0177404294</v>
      </c>
      <c r="D55" s="190">
        <f>C55/C52-1</f>
        <v>7.1475013491187234E-2</v>
      </c>
      <c r="E55" s="287">
        <f>C55/C43-1</f>
        <v>-5.4355804319875523E-3</v>
      </c>
      <c r="F55" s="136">
        <f>Q55/21</f>
        <v>5447966.9047619049</v>
      </c>
      <c r="G55" s="190">
        <f t="shared" ref="G55" si="115">F55/F54-1</f>
        <v>1.2148902907487713E-2</v>
      </c>
      <c r="H55" s="190">
        <f t="shared" ref="H55" si="116">F55/F43-1</f>
        <v>4.0337032436037035E-2</v>
      </c>
      <c r="I55" s="130">
        <f>T55</f>
        <v>3.3933790230276801</v>
      </c>
      <c r="J55" s="130">
        <f t="shared" ref="J55" si="117">I55/I43-1</f>
        <v>-6.4935006762895431E-2</v>
      </c>
      <c r="K55" s="136">
        <f>R53+R54+R55</f>
        <v>455217542547</v>
      </c>
      <c r="L55" s="190">
        <f>U55/U52-1</f>
        <v>5.293141566193782E-2</v>
      </c>
      <c r="M55" s="190">
        <f>K55/K43-1</f>
        <v>1.4394121310796759E-2</v>
      </c>
      <c r="N55" s="191">
        <f>AVERAGE(T53:T55)</f>
        <v>3.3315461074434194</v>
      </c>
      <c r="O55" s="192">
        <f>N55/N52-1</f>
        <v>-1.8428355749360747E-2</v>
      </c>
      <c r="P55" s="129" t="s">
        <v>1418</v>
      </c>
      <c r="Q55" s="116">
        <v>114407305</v>
      </c>
      <c r="R55" s="116">
        <v>168362691593</v>
      </c>
      <c r="S55" s="116">
        <v>33714861.859999999</v>
      </c>
      <c r="T55" s="130">
        <f t="shared" ref="T55" si="118">Q55/S55</f>
        <v>3.3933790230276801</v>
      </c>
      <c r="U55" s="85">
        <f t="shared" ref="U55" si="119">Q53+Q54+Q55</f>
        <v>311815618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5456475.3181818184</v>
      </c>
      <c r="G56" s="190">
        <f t="shared" ref="G56" si="120">F56/F55-1</f>
        <v>1.5617593808208152E-3</v>
      </c>
      <c r="H56" s="190">
        <f t="shared" ref="H56" si="121">F56/F44-1</f>
        <v>6.5716501544507144E-2</v>
      </c>
      <c r="I56" s="291">
        <f>T56</f>
        <v>3.1982781873480142</v>
      </c>
      <c r="J56" s="130">
        <f t="shared" ref="J56" si="122">I56/I44-1</f>
        <v>-9.1594578525082682E-2</v>
      </c>
      <c r="K56" s="136"/>
      <c r="L56" s="190"/>
      <c r="M56" s="190"/>
      <c r="N56" s="191"/>
      <c r="O56" s="192"/>
      <c r="P56" s="129" t="s">
        <v>1420</v>
      </c>
      <c r="Q56" s="116">
        <v>120042457</v>
      </c>
      <c r="R56" s="116">
        <v>179183711471</v>
      </c>
      <c r="S56" s="116">
        <v>37533463.310000002</v>
      </c>
      <c r="T56" s="130">
        <f t="shared" ref="T56" si="123">Q56/S56</f>
        <v>3.1982781873480142</v>
      </c>
      <c r="U56" s="85">
        <f t="shared" ref="U56" si="124">Q54+Q55+Q56</f>
        <v>325953529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4753382.416666667</v>
      </c>
      <c r="G57" s="254">
        <f t="shared" ref="G57" si="125">F57/F56-1</f>
        <v>-0.12885477538445689</v>
      </c>
      <c r="H57" s="254">
        <f t="shared" ref="H57" si="126">F57/F45-1</f>
        <v>-4.7719848322837599E-2</v>
      </c>
      <c r="I57" s="282">
        <f>T57</f>
        <v>3.3320648465580853</v>
      </c>
      <c r="J57" s="277">
        <f t="shared" ref="J57" si="127">I57/I45-1</f>
        <v>-7.0118098753288116E-2</v>
      </c>
      <c r="K57" s="204"/>
      <c r="L57" s="254"/>
      <c r="M57" s="254"/>
      <c r="N57" s="257"/>
      <c r="O57" s="258"/>
      <c r="P57" s="129" t="s">
        <v>1436</v>
      </c>
      <c r="Q57" s="116">
        <v>57040589</v>
      </c>
      <c r="R57" s="116">
        <v>84027868138</v>
      </c>
      <c r="S57" s="116">
        <v>17118691.149999999</v>
      </c>
      <c r="T57" s="130">
        <f t="shared" ref="T57" si="128">Q57/S57</f>
        <v>3.3320648465580853</v>
      </c>
      <c r="U57" s="85">
        <f t="shared" ref="U57" si="129">Q55+Q56+Q57</f>
        <v>291490351</v>
      </c>
      <c r="V57" s="79"/>
      <c r="W57" s="79"/>
      <c r="X57" s="79"/>
      <c r="Y57" s="79"/>
      <c r="Z57" s="79"/>
    </row>
    <row r="58" spans="1:26">
      <c r="B58" s="196">
        <f>SUM(F56:F58)</f>
        <v>10209857.734848484</v>
      </c>
      <c r="C58" s="196">
        <f>AVERAGE(F56:F58)</f>
        <v>5104928.8674242422</v>
      </c>
      <c r="D58" s="197">
        <f>C58/C55-1</f>
        <v>-3.5204863484147308E-2</v>
      </c>
      <c r="E58" s="233">
        <f>C58/C46-1</f>
        <v>5.4987607897969415E-3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488898664</v>
      </c>
      <c r="R67" s="212">
        <v>718429122156</v>
      </c>
      <c r="S67" s="213">
        <v>148138081.12</v>
      </c>
      <c r="T67" s="214">
        <v>603</v>
      </c>
      <c r="U67" s="214">
        <v>2994</v>
      </c>
    </row>
    <row r="68" spans="16:21" ht="18" thickBot="1">
      <c r="P68" s="180" t="s">
        <v>976</v>
      </c>
      <c r="Q68" s="181">
        <v>105904546</v>
      </c>
      <c r="R68" s="181">
        <v>154321650190</v>
      </c>
      <c r="S68" s="182">
        <v>31762790.91</v>
      </c>
      <c r="T68" s="210">
        <v>318</v>
      </c>
      <c r="U68" s="210">
        <v>1279</v>
      </c>
    </row>
    <row r="69" spans="16:21" ht="18" thickBot="1">
      <c r="P69" s="180" t="s">
        <v>977</v>
      </c>
      <c r="Q69" s="181">
        <v>91503767</v>
      </c>
      <c r="R69" s="181">
        <v>132533200764</v>
      </c>
      <c r="S69" s="182">
        <v>28008273.870000001</v>
      </c>
      <c r="T69" s="210">
        <v>329</v>
      </c>
      <c r="U69" s="210">
        <v>1244</v>
      </c>
    </row>
    <row r="70" spans="16:21" ht="18" thickBot="1">
      <c r="P70" s="180" t="s">
        <v>978</v>
      </c>
      <c r="Q70" s="181">
        <v>114407305</v>
      </c>
      <c r="R70" s="181">
        <v>168362691593</v>
      </c>
      <c r="S70" s="182">
        <v>33714861.859999999</v>
      </c>
      <c r="T70" s="210">
        <v>364</v>
      </c>
      <c r="U70" s="210">
        <v>1403</v>
      </c>
    </row>
    <row r="71" spans="16:21" ht="18" thickBot="1">
      <c r="P71" s="180" t="s">
        <v>979</v>
      </c>
      <c r="Q71" s="181">
        <v>120042457</v>
      </c>
      <c r="R71" s="181">
        <v>179183711471</v>
      </c>
      <c r="S71" s="182">
        <v>37533463.310000002</v>
      </c>
      <c r="T71" s="210">
        <v>338</v>
      </c>
      <c r="U71" s="210">
        <v>1416</v>
      </c>
    </row>
    <row r="72" spans="16:21" ht="18" thickBot="1">
      <c r="P72" s="180" t="s">
        <v>980</v>
      </c>
      <c r="Q72" s="181">
        <v>57040589</v>
      </c>
      <c r="R72" s="181">
        <v>84027868138</v>
      </c>
      <c r="S72" s="182">
        <v>17118691.149999999</v>
      </c>
      <c r="T72" s="210">
        <v>276</v>
      </c>
      <c r="U72" s="210">
        <v>988</v>
      </c>
    </row>
    <row r="73" spans="16:21" ht="18" thickBot="1">
      <c r="P73" s="215" t="s">
        <v>975</v>
      </c>
      <c r="Q73" s="216">
        <v>1222789</v>
      </c>
      <c r="R73"/>
      <c r="S73"/>
      <c r="T73"/>
      <c r="U73"/>
    </row>
    <row r="74" spans="16:21" ht="18" thickBot="1">
      <c r="P74" s="215" t="s">
        <v>982</v>
      </c>
      <c r="Q74" s="217" t="s">
        <v>1452</v>
      </c>
      <c r="R74"/>
      <c r="S74"/>
      <c r="T74"/>
      <c r="U74"/>
    </row>
  </sheetData>
  <phoneticPr fontId="1" type="noConversion"/>
  <conditionalFormatting sqref="C29:C30">
    <cfRule type="cellIs" dxfId="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74"/>
  <sheetViews>
    <sheetView zoomScale="90" zoomScaleNormal="9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79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1707784.3</v>
      </c>
      <c r="G5" s="90"/>
      <c r="H5" s="90"/>
      <c r="I5" s="130">
        <f t="shared" ref="I5:I49" si="0">T5</f>
        <v>4.0425867060946299</v>
      </c>
      <c r="J5" s="130"/>
      <c r="L5" s="80"/>
      <c r="M5" s="80"/>
      <c r="P5" s="129" t="s">
        <v>0</v>
      </c>
      <c r="Q5" s="116">
        <v>34155686</v>
      </c>
      <c r="R5" s="116">
        <v>40307260333</v>
      </c>
      <c r="S5" s="116">
        <v>8448968.0700000003</v>
      </c>
      <c r="T5" s="130">
        <f t="shared" ref="T5:T35" si="1">Q5/S5</f>
        <v>4.0425867060946299</v>
      </c>
      <c r="U5" s="85"/>
    </row>
    <row r="6" spans="1:21" ht="15" hidden="1" customHeight="1">
      <c r="A6" s="129" t="s">
        <v>1</v>
      </c>
      <c r="C6" s="79"/>
      <c r="F6" s="78">
        <f>Q6/18</f>
        <v>1577516.111111111</v>
      </c>
      <c r="G6" s="90">
        <f t="shared" ref="G6:G35" si="2">F6/F5-1</f>
        <v>-7.6279064568569366E-2</v>
      </c>
      <c r="H6" s="90"/>
      <c r="I6" s="130">
        <f t="shared" si="0"/>
        <v>4.0861888103558295</v>
      </c>
      <c r="J6" s="130"/>
      <c r="P6" s="129" t="s">
        <v>1</v>
      </c>
      <c r="Q6" s="116">
        <v>28395290</v>
      </c>
      <c r="R6" s="116">
        <v>33725224816</v>
      </c>
      <c r="S6" s="116">
        <v>6949089.0700000003</v>
      </c>
      <c r="T6" s="130">
        <f t="shared" si="1"/>
        <v>4.0861888103558295</v>
      </c>
      <c r="U6" s="85"/>
    </row>
    <row r="7" spans="1:21" ht="15" hidden="1" customHeight="1">
      <c r="A7" s="129" t="s">
        <v>2</v>
      </c>
      <c r="B7" s="131">
        <f>F5+F6+F7</f>
        <v>4780490.0020202016</v>
      </c>
      <c r="C7" s="131">
        <f>AVERAGE(F5:F7)</f>
        <v>1593496.6673400672</v>
      </c>
      <c r="F7" s="78">
        <f>Q7/22</f>
        <v>1495189.5909090908</v>
      </c>
      <c r="G7" s="90">
        <f t="shared" si="2"/>
        <v>-5.2187435438636576E-2</v>
      </c>
      <c r="H7" s="90"/>
      <c r="I7" s="130">
        <f t="shared" si="0"/>
        <v>3.9337050139464087</v>
      </c>
      <c r="J7" s="130"/>
      <c r="K7" s="79">
        <f>R5+R6+R7</f>
        <v>113701000536</v>
      </c>
      <c r="N7" s="88">
        <f>AVERAGE(T5:T7)</f>
        <v>4.0208268434656231</v>
      </c>
      <c r="P7" s="129" t="s">
        <v>2</v>
      </c>
      <c r="Q7" s="116">
        <v>32894171</v>
      </c>
      <c r="R7" s="116">
        <v>39668515387</v>
      </c>
      <c r="S7" s="116">
        <v>8362134.6500000004</v>
      </c>
      <c r="T7" s="130">
        <f t="shared" si="1"/>
        <v>3.9337050139464087</v>
      </c>
      <c r="U7" s="85">
        <f>Q5+Q6+Q7</f>
        <v>95445147</v>
      </c>
    </row>
    <row r="8" spans="1:21" ht="15" hidden="1" customHeight="1">
      <c r="A8" s="129" t="s">
        <v>3</v>
      </c>
      <c r="C8" s="79"/>
      <c r="F8" s="78">
        <f>Q8/21</f>
        <v>1596762.142857143</v>
      </c>
      <c r="G8" s="90">
        <f t="shared" si="2"/>
        <v>6.7932891297280307E-2</v>
      </c>
      <c r="H8" s="90"/>
      <c r="I8" s="130">
        <f t="shared" si="0"/>
        <v>3.8279252905215575</v>
      </c>
      <c r="J8" s="130"/>
      <c r="K8" s="78"/>
      <c r="P8" s="129" t="s">
        <v>3</v>
      </c>
      <c r="Q8" s="116">
        <v>33532005</v>
      </c>
      <c r="R8" s="116">
        <v>40645255833</v>
      </c>
      <c r="S8" s="116">
        <v>8759837.8900000006</v>
      </c>
      <c r="T8" s="130">
        <f t="shared" si="1"/>
        <v>3.8279252905215575</v>
      </c>
      <c r="U8" s="85"/>
    </row>
    <row r="9" spans="1:21" ht="15" hidden="1" customHeight="1">
      <c r="A9" s="129" t="s">
        <v>4</v>
      </c>
      <c r="C9" s="79"/>
      <c r="F9" s="78">
        <f>Q9/21</f>
        <v>1635224.6190476189</v>
      </c>
      <c r="G9" s="90">
        <f t="shared" si="2"/>
        <v>2.4087793139718094E-2</v>
      </c>
      <c r="H9" s="90"/>
      <c r="I9" s="130">
        <f t="shared" si="0"/>
        <v>4.1433660133463333</v>
      </c>
      <c r="J9" s="130"/>
      <c r="K9" s="78"/>
      <c r="P9" s="129" t="s">
        <v>4</v>
      </c>
      <c r="Q9" s="116">
        <v>34339717</v>
      </c>
      <c r="R9" s="116">
        <v>43126021307</v>
      </c>
      <c r="S9" s="116">
        <v>8287879.2000000002</v>
      </c>
      <c r="T9" s="130">
        <f t="shared" si="1"/>
        <v>4.1433660133463333</v>
      </c>
      <c r="U9" s="85"/>
    </row>
    <row r="10" spans="1:21" ht="15" hidden="1" customHeight="1">
      <c r="A10" s="129" t="s">
        <v>5</v>
      </c>
      <c r="B10" s="131">
        <f>F8+F9+F10</f>
        <v>4833634.4761904767</v>
      </c>
      <c r="C10" s="131">
        <f>AVERAGE(F8:F10)</f>
        <v>1611211.4920634923</v>
      </c>
      <c r="D10" s="90">
        <f>C10/C7-1</f>
        <v>1.1116951222116755E-2</v>
      </c>
      <c r="E10" s="286"/>
      <c r="F10" s="78">
        <f>Q10/21</f>
        <v>1601647.7142857143</v>
      </c>
      <c r="G10" s="90">
        <f t="shared" si="2"/>
        <v>-2.0533512259288456E-2</v>
      </c>
      <c r="H10" s="90"/>
      <c r="I10" s="130">
        <f t="shared" si="0"/>
        <v>4.194170581082032</v>
      </c>
      <c r="J10" s="130"/>
      <c r="K10" s="79">
        <f>R8+R9+R10</f>
        <v>126080073456</v>
      </c>
      <c r="L10" s="87">
        <f>U10/U7-1</f>
        <v>6.3504297395026166E-2</v>
      </c>
      <c r="N10" s="88">
        <f>AVERAGE(T8:T10)</f>
        <v>4.0551539616499745</v>
      </c>
      <c r="O10" s="89">
        <f>N10/N7-1</f>
        <v>8.5373281468554829E-3</v>
      </c>
      <c r="P10" s="129" t="s">
        <v>5</v>
      </c>
      <c r="Q10" s="116">
        <v>33634602</v>
      </c>
      <c r="R10" s="116">
        <v>42308796316</v>
      </c>
      <c r="S10" s="116">
        <v>8019369.1100000003</v>
      </c>
      <c r="T10" s="130">
        <f t="shared" si="1"/>
        <v>4.194170581082032</v>
      </c>
      <c r="U10" s="85">
        <f>Q8+Q9+Q10</f>
        <v>101506324</v>
      </c>
    </row>
    <row r="11" spans="1:21" ht="15" hidden="1" customHeight="1">
      <c r="A11" s="129" t="s">
        <v>6</v>
      </c>
      <c r="C11" s="79"/>
      <c r="F11" s="78">
        <f>Q11/21</f>
        <v>1904880.0476190476</v>
      </c>
      <c r="G11" s="90">
        <f t="shared" si="2"/>
        <v>0.18932523714714988</v>
      </c>
      <c r="H11" s="90"/>
      <c r="I11" s="130">
        <f t="shared" si="0"/>
        <v>4.0164629585936753</v>
      </c>
      <c r="J11" s="130"/>
      <c r="K11" s="78"/>
      <c r="O11" s="89"/>
      <c r="P11" s="129" t="s">
        <v>6</v>
      </c>
      <c r="Q11" s="116">
        <v>40002481</v>
      </c>
      <c r="R11" s="116">
        <v>51647216042</v>
      </c>
      <c r="S11" s="116">
        <v>9959629.0099999998</v>
      </c>
      <c r="T11" s="130">
        <f t="shared" si="1"/>
        <v>4.0164629585936753</v>
      </c>
      <c r="U11" s="85"/>
    </row>
    <row r="12" spans="1:21" ht="15" hidden="1" customHeight="1">
      <c r="A12" s="129" t="s">
        <v>7</v>
      </c>
      <c r="C12" s="79"/>
      <c r="F12" s="78">
        <f>Q12/22</f>
        <v>1389039.7272727273</v>
      </c>
      <c r="G12" s="90">
        <f t="shared" si="2"/>
        <v>-0.27079937185077907</v>
      </c>
      <c r="H12" s="90"/>
      <c r="I12" s="130">
        <f t="shared" si="0"/>
        <v>4.1751572286752046</v>
      </c>
      <c r="J12" s="130"/>
      <c r="K12" s="78"/>
      <c r="O12" s="89"/>
      <c r="P12" s="129" t="s">
        <v>7</v>
      </c>
      <c r="Q12" s="116">
        <v>30558874</v>
      </c>
      <c r="R12" s="116">
        <v>39745179716</v>
      </c>
      <c r="S12" s="116">
        <v>7319215.1399999997</v>
      </c>
      <c r="T12" s="130">
        <f t="shared" si="1"/>
        <v>4.1751572286752046</v>
      </c>
      <c r="U12" s="85"/>
    </row>
    <row r="13" spans="1:21" ht="15" hidden="1" customHeight="1">
      <c r="A13" s="129" t="s">
        <v>96</v>
      </c>
      <c r="B13" s="131">
        <f>F11+F12+F13</f>
        <v>5013219.9248917755</v>
      </c>
      <c r="C13" s="131">
        <f>AVERAGE(F11:F13)</f>
        <v>1671073.3082972586</v>
      </c>
      <c r="D13" s="90">
        <f>C13/C10-1</f>
        <v>3.7153295224515048E-2</v>
      </c>
      <c r="E13" s="286"/>
      <c r="F13" s="78">
        <f>Q13/20</f>
        <v>1719300.15</v>
      </c>
      <c r="G13" s="90">
        <f t="shared" si="2"/>
        <v>0.23776168258032016</v>
      </c>
      <c r="H13" s="90"/>
      <c r="I13" s="130">
        <f t="shared" si="0"/>
        <v>4.3784131542667</v>
      </c>
      <c r="J13" s="130"/>
      <c r="K13" s="78">
        <f>R11+R12+R13</f>
        <v>138275830717</v>
      </c>
      <c r="L13" s="87">
        <f>U13/U10-1</f>
        <v>3.3899700672836985E-2</v>
      </c>
      <c r="N13" s="88">
        <f>AVERAGE(T11:T13)</f>
        <v>4.1900111138451939</v>
      </c>
      <c r="O13" s="89">
        <f>N13/N10-1</f>
        <v>3.325574157493838E-2</v>
      </c>
      <c r="P13" s="129" t="s">
        <v>96</v>
      </c>
      <c r="Q13" s="116">
        <v>34386003</v>
      </c>
      <c r="R13" s="116">
        <v>46883434959</v>
      </c>
      <c r="S13" s="116">
        <v>7853530.9000000004</v>
      </c>
      <c r="T13" s="130">
        <f t="shared" si="1"/>
        <v>4.3784131542667</v>
      </c>
      <c r="U13" s="85">
        <f>Q11+Q12+Q13</f>
        <v>104947358</v>
      </c>
    </row>
    <row r="14" spans="1:21" ht="15" hidden="1" customHeight="1">
      <c r="A14" s="129" t="s">
        <v>97</v>
      </c>
      <c r="C14" s="79"/>
      <c r="F14" s="78">
        <f>Q14/20</f>
        <v>1673942.85</v>
      </c>
      <c r="G14" s="90">
        <f t="shared" si="2"/>
        <v>-2.6381257513413137E-2</v>
      </c>
      <c r="H14" s="90"/>
      <c r="I14" s="130">
        <f t="shared" si="0"/>
        <v>4.1682171177108582</v>
      </c>
      <c r="J14" s="130"/>
      <c r="O14" s="89"/>
      <c r="P14" s="129" t="s">
        <v>97</v>
      </c>
      <c r="Q14" s="116">
        <v>33478857</v>
      </c>
      <c r="R14" s="116">
        <v>47735669925</v>
      </c>
      <c r="S14" s="116">
        <v>8031936.9299999997</v>
      </c>
      <c r="T14" s="130">
        <f t="shared" si="1"/>
        <v>4.1682171177108582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1443945.9545454546</v>
      </c>
      <c r="G15" s="90">
        <f t="shared" si="2"/>
        <v>-0.13739829615721078</v>
      </c>
      <c r="H15" s="90"/>
      <c r="I15" s="130">
        <f t="shared" si="0"/>
        <v>4.1079933064980168</v>
      </c>
      <c r="J15" s="130"/>
      <c r="O15" s="89"/>
      <c r="P15" s="129" t="s">
        <v>98</v>
      </c>
      <c r="Q15" s="116">
        <v>31766811</v>
      </c>
      <c r="R15" s="116">
        <v>44147129934</v>
      </c>
      <c r="S15" s="116">
        <v>7732926.6699999999</v>
      </c>
      <c r="T15" s="130">
        <f t="shared" si="1"/>
        <v>4.1079933064980168</v>
      </c>
      <c r="U15" s="85"/>
    </row>
    <row r="16" spans="1:21" ht="15" hidden="1" customHeight="1">
      <c r="A16" s="129" t="s">
        <v>99</v>
      </c>
      <c r="B16" s="131">
        <f>F14+F15+F16</f>
        <v>4529305.2136363639</v>
      </c>
      <c r="C16" s="131">
        <f>AVERAGE(F14:F16)</f>
        <v>1509768.4045454545</v>
      </c>
      <c r="D16" s="90">
        <f>C16/C13-1</f>
        <v>-9.6527724397779902E-2</v>
      </c>
      <c r="E16" s="286"/>
      <c r="F16" s="78">
        <f>Q16/22</f>
        <v>1411416.4090909092</v>
      </c>
      <c r="G16" s="90">
        <f t="shared" si="2"/>
        <v>-2.2528229226408625E-2</v>
      </c>
      <c r="H16" s="90"/>
      <c r="I16" s="130">
        <f t="shared" si="0"/>
        <v>3.9026655940054038</v>
      </c>
      <c r="J16" s="130"/>
      <c r="K16" s="78">
        <f>R14+R15+R16</f>
        <v>132537841527</v>
      </c>
      <c r="L16" s="87">
        <f>U16/U13-1</f>
        <v>-8.2427315607125573E-2</v>
      </c>
      <c r="N16" s="88">
        <f>AVERAGE(T14:T16)</f>
        <v>4.0596253394047599</v>
      </c>
      <c r="O16" s="89">
        <f>N16/N13-1</f>
        <v>-3.1118240715304002E-2</v>
      </c>
      <c r="P16" s="129" t="s">
        <v>99</v>
      </c>
      <c r="Q16" s="116">
        <v>31051161</v>
      </c>
      <c r="R16" s="116">
        <v>40655041668</v>
      </c>
      <c r="S16" s="116">
        <v>7956398.0700000003</v>
      </c>
      <c r="T16" s="130">
        <f t="shared" si="1"/>
        <v>3.9026655940054038</v>
      </c>
      <c r="U16" s="85">
        <f>Q14+Q15+Q16</f>
        <v>96296829</v>
      </c>
    </row>
    <row r="17" spans="1:21" ht="15" hidden="1" customHeight="1">
      <c r="A17" s="129" t="s">
        <v>100</v>
      </c>
      <c r="C17" s="79"/>
      <c r="F17" s="78">
        <f>Q17/20</f>
        <v>1335184.8999999999</v>
      </c>
      <c r="G17" s="90">
        <f t="shared" si="2"/>
        <v>-5.4010643917630108E-2</v>
      </c>
      <c r="H17" s="90">
        <f t="shared" ref="H17:H35" si="3">F17/F5-1</f>
        <v>-0.21817708477587017</v>
      </c>
      <c r="I17" s="130">
        <f t="shared" si="0"/>
        <v>4.0274989772436482</v>
      </c>
      <c r="J17" s="130">
        <f t="shared" ref="J17:J49" si="4">I17/I5-1</f>
        <v>-3.7321967215286911E-3</v>
      </c>
      <c r="O17" s="89"/>
      <c r="P17" s="129" t="s">
        <v>100</v>
      </c>
      <c r="Q17" s="116">
        <v>26703698</v>
      </c>
      <c r="R17" s="116">
        <v>33621027252</v>
      </c>
      <c r="S17" s="116">
        <v>6630342.5899999999</v>
      </c>
      <c r="T17" s="130">
        <f t="shared" si="1"/>
        <v>4.0274989772436482</v>
      </c>
      <c r="U17" s="78"/>
    </row>
    <row r="18" spans="1:21" ht="15" hidden="1" customHeight="1">
      <c r="A18" s="129" t="s">
        <v>106</v>
      </c>
      <c r="C18" s="79"/>
      <c r="F18" s="78">
        <f>Q18/20</f>
        <v>1403132</v>
      </c>
      <c r="G18" s="90">
        <f t="shared" si="2"/>
        <v>5.0889655807222045E-2</v>
      </c>
      <c r="H18" s="90">
        <f t="shared" si="3"/>
        <v>-0.11054347393528996</v>
      </c>
      <c r="I18" s="130">
        <f t="shared" si="0"/>
        <v>3.8467857149554407</v>
      </c>
      <c r="J18" s="130">
        <f t="shared" si="4"/>
        <v>-5.8588358617609027E-2</v>
      </c>
      <c r="O18" s="89"/>
      <c r="P18" s="129" t="s">
        <v>106</v>
      </c>
      <c r="Q18" s="116">
        <v>28062640</v>
      </c>
      <c r="R18" s="116">
        <v>35154960727</v>
      </c>
      <c r="S18" s="116">
        <v>7295087.9199999999</v>
      </c>
      <c r="T18" s="130">
        <f t="shared" si="1"/>
        <v>3.8467857149554407</v>
      </c>
      <c r="U18" s="78"/>
    </row>
    <row r="19" spans="1:21" hidden="1">
      <c r="A19" s="129" t="s">
        <v>114</v>
      </c>
      <c r="B19" s="131">
        <f>SUM(F17:F19)</f>
        <v>4076866.3545454545</v>
      </c>
      <c r="C19" s="131">
        <f>AVERAGE(F17:F19)</f>
        <v>1358955.4515151514</v>
      </c>
      <c r="D19" s="90">
        <f>C19/C16-1</f>
        <v>-9.9891448632949964E-2</v>
      </c>
      <c r="E19" s="286">
        <f>C19/C7-1</f>
        <v>-0.14718651167085406</v>
      </c>
      <c r="F19" s="78">
        <f>Q19/22</f>
        <v>1338549.4545454546</v>
      </c>
      <c r="G19" s="90">
        <f t="shared" si="2"/>
        <v>-4.6027419697181271E-2</v>
      </c>
      <c r="H19" s="90">
        <f t="shared" si="3"/>
        <v>-0.10476272528649522</v>
      </c>
      <c r="I19" s="130">
        <f t="shared" si="0"/>
        <v>4.0106041156370127</v>
      </c>
      <c r="J19" s="130">
        <f t="shared" si="4"/>
        <v>1.9548771811299659E-2</v>
      </c>
      <c r="K19" s="78">
        <f>R17+R18+R19</f>
        <v>107268258503</v>
      </c>
      <c r="L19" s="87">
        <f>U19/U16-1</f>
        <v>-0.12547041398424452</v>
      </c>
      <c r="M19" s="87">
        <f>U19/U7-1</f>
        <v>-0.1176667578499303</v>
      </c>
      <c r="N19" s="88">
        <f>AVERAGE(T17:T19)</f>
        <v>3.9616296026120339</v>
      </c>
      <c r="O19" s="89">
        <f>N19/N16-1</f>
        <v>-2.413910856293322E-2</v>
      </c>
      <c r="P19" s="129" t="s">
        <v>114</v>
      </c>
      <c r="Q19" s="116">
        <v>29448088</v>
      </c>
      <c r="R19" s="116">
        <v>38492270524</v>
      </c>
      <c r="S19" s="116">
        <v>7342556.6699999999</v>
      </c>
      <c r="T19" s="130">
        <f t="shared" si="1"/>
        <v>4.0106041156370127</v>
      </c>
      <c r="U19" s="85">
        <f>Q17+Q18+Q19</f>
        <v>84214426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1506990.15</v>
      </c>
      <c r="G20" s="90">
        <f t="shared" si="2"/>
        <v>0.12583823099143143</v>
      </c>
      <c r="H20" s="90">
        <f t="shared" si="3"/>
        <v>-5.6221268307696026E-2</v>
      </c>
      <c r="I20" s="130">
        <f t="shared" si="0"/>
        <v>3.9745400378092262</v>
      </c>
      <c r="J20" s="130">
        <f t="shared" si="4"/>
        <v>3.8301360700718545E-2</v>
      </c>
      <c r="O20" s="89"/>
      <c r="P20" s="129" t="s">
        <v>132</v>
      </c>
      <c r="Q20" s="116">
        <v>30139803</v>
      </c>
      <c r="R20" s="116">
        <v>39489454956</v>
      </c>
      <c r="S20" s="116">
        <v>7583217.8600000003</v>
      </c>
      <c r="T20" s="130">
        <f t="shared" si="1"/>
        <v>3.9745400378092262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1348554.8095238095</v>
      </c>
      <c r="G21" s="90">
        <f t="shared" si="2"/>
        <v>-0.10513362710180318</v>
      </c>
      <c r="H21" s="90">
        <f t="shared" si="3"/>
        <v>-0.17530913257089453</v>
      </c>
      <c r="I21" s="130">
        <f t="shared" si="0"/>
        <v>3.8300932545070232</v>
      </c>
      <c r="J21" s="130">
        <f t="shared" si="4"/>
        <v>-7.5608275452908824E-2</v>
      </c>
      <c r="O21" s="89"/>
      <c r="P21" s="129" t="s">
        <v>141</v>
      </c>
      <c r="Q21" s="116">
        <v>28319651</v>
      </c>
      <c r="R21" s="116">
        <v>37721979279</v>
      </c>
      <c r="S21" s="116">
        <v>7393984.7199999997</v>
      </c>
      <c r="T21" s="130">
        <f t="shared" si="1"/>
        <v>3.8300932545070232</v>
      </c>
      <c r="U21" s="78"/>
    </row>
    <row r="22" spans="1:21" hidden="1">
      <c r="A22" s="129" t="s">
        <v>155</v>
      </c>
      <c r="B22" s="131">
        <f>SUM(F20:F22)</f>
        <v>4471294.2452380946</v>
      </c>
      <c r="C22" s="131">
        <f>AVERAGE(F20:F22)</f>
        <v>1490431.4150793648</v>
      </c>
      <c r="D22" s="90">
        <f>C22/C19-1</f>
        <v>9.6747809810561414E-2</v>
      </c>
      <c r="E22" s="286">
        <f>C22/C10-1</f>
        <v>-7.4962273779119792E-2</v>
      </c>
      <c r="F22" s="78">
        <f>Q22/21</f>
        <v>1615749.2857142857</v>
      </c>
      <c r="G22" s="90">
        <f t="shared" si="2"/>
        <v>0.19813393886810271</v>
      </c>
      <c r="H22" s="90">
        <f t="shared" si="3"/>
        <v>8.8044151674515625E-3</v>
      </c>
      <c r="I22" s="130">
        <f t="shared" si="0"/>
        <v>3.9870695121486883</v>
      </c>
      <c r="J22" s="130">
        <f t="shared" si="4"/>
        <v>-4.9378313287371078E-2</v>
      </c>
      <c r="K22" s="78">
        <f>R20+R21+R22</f>
        <v>121321048578</v>
      </c>
      <c r="L22" s="87">
        <f>U22/U19-1</f>
        <v>9.7082689846986536E-2</v>
      </c>
      <c r="M22" s="87">
        <f>U22/U10-1</f>
        <v>-8.9808542372197375E-2</v>
      </c>
      <c r="N22" s="88">
        <f>AVERAGE(T20:T22)</f>
        <v>3.9305676014883129</v>
      </c>
      <c r="O22" s="89">
        <f>N22/N19-1</f>
        <v>-7.8407131002961039E-3</v>
      </c>
      <c r="P22" s="129" t="s">
        <v>155</v>
      </c>
      <c r="Q22" s="116">
        <v>33930735</v>
      </c>
      <c r="R22" s="116">
        <v>44109614343</v>
      </c>
      <c r="S22" s="116">
        <v>8510193.9900000002</v>
      </c>
      <c r="T22" s="130">
        <f t="shared" si="1"/>
        <v>3.9870695121486883</v>
      </c>
      <c r="U22" s="85">
        <f>Q20+Q21+Q22</f>
        <v>92390189</v>
      </c>
    </row>
    <row r="23" spans="1:21" hidden="1">
      <c r="A23" s="129" t="s">
        <v>189</v>
      </c>
      <c r="B23" s="131"/>
      <c r="C23" s="131"/>
      <c r="F23" s="78">
        <f>Q23/21</f>
        <v>1249846</v>
      </c>
      <c r="G23" s="90">
        <f t="shared" si="2"/>
        <v>-0.22646043476511779</v>
      </c>
      <c r="H23" s="90">
        <f t="shared" si="3"/>
        <v>-0.34387154636733652</v>
      </c>
      <c r="I23" s="130">
        <f t="shared" si="0"/>
        <v>3.6874004093945865</v>
      </c>
      <c r="J23" s="130">
        <f t="shared" si="4"/>
        <v>-8.1928441166131627E-2</v>
      </c>
      <c r="O23" s="89"/>
      <c r="P23" s="129" t="s">
        <v>189</v>
      </c>
      <c r="Q23" s="116">
        <v>26246766</v>
      </c>
      <c r="R23" s="116">
        <v>33850853948</v>
      </c>
      <c r="S23" s="116">
        <v>7117959.29</v>
      </c>
      <c r="T23" s="130">
        <f t="shared" si="1"/>
        <v>3.6874004093945865</v>
      </c>
      <c r="U23" s="78"/>
    </row>
    <row r="24" spans="1:21" hidden="1">
      <c r="A24" s="129" t="s">
        <v>204</v>
      </c>
      <c r="B24" s="131"/>
      <c r="C24" s="131"/>
      <c r="F24" s="78">
        <f>Q24/22</f>
        <v>1118345.9090909092</v>
      </c>
      <c r="G24" s="90">
        <f t="shared" si="2"/>
        <v>-0.10521303497318135</v>
      </c>
      <c r="H24" s="90">
        <f t="shared" si="3"/>
        <v>-0.19487838458969398</v>
      </c>
      <c r="I24" s="130">
        <f t="shared" si="0"/>
        <v>3.9905367957507702</v>
      </c>
      <c r="J24" s="130">
        <f t="shared" si="4"/>
        <v>-4.4218797715317448E-2</v>
      </c>
      <c r="O24" s="89"/>
      <c r="P24" s="129" t="s">
        <v>204</v>
      </c>
      <c r="Q24" s="116">
        <v>24603610</v>
      </c>
      <c r="R24" s="116">
        <v>32406999688</v>
      </c>
      <c r="S24" s="116">
        <v>6165488.8200000003</v>
      </c>
      <c r="T24" s="130">
        <f t="shared" si="1"/>
        <v>3.9905367957507702</v>
      </c>
      <c r="U24" s="78"/>
    </row>
    <row r="25" spans="1:21" s="79" customFormat="1" ht="13.2" hidden="1">
      <c r="A25" s="129" t="s">
        <v>217</v>
      </c>
      <c r="B25" s="131">
        <f>SUM(F23:F25)</f>
        <v>3890066.0669856463</v>
      </c>
      <c r="C25" s="131">
        <f>AVERAGE(F23:F25)</f>
        <v>1296688.6889952153</v>
      </c>
      <c r="D25" s="90">
        <f>C25/C22-1</f>
        <v>-0.12999103757742037</v>
      </c>
      <c r="E25" s="286">
        <f>C25/C13-1</f>
        <v>-0.22403841737112218</v>
      </c>
      <c r="F25" s="78">
        <f>Q25/19</f>
        <v>1521874.1578947369</v>
      </c>
      <c r="G25" s="90">
        <f t="shared" si="2"/>
        <v>0.36082597121658999</v>
      </c>
      <c r="H25" s="90">
        <f t="shared" si="3"/>
        <v>-0.11482927638042906</v>
      </c>
      <c r="I25" s="130">
        <f t="shared" si="0"/>
        <v>3.4733040875797228</v>
      </c>
      <c r="J25" s="130">
        <f t="shared" si="4"/>
        <v>-0.20672079924777353</v>
      </c>
      <c r="K25" s="78">
        <f>R23+R24+R25</f>
        <v>104632267531</v>
      </c>
      <c r="L25" s="90">
        <f>U25/U22-1</f>
        <v>-0.13664009281331813</v>
      </c>
      <c r="M25" s="90">
        <f>U25/U13-1</f>
        <v>-0.23994289594217322</v>
      </c>
      <c r="N25" s="88">
        <f>AVERAGE(T23:T25)</f>
        <v>3.7170804309083594</v>
      </c>
      <c r="O25" s="91">
        <f>N25/N22-1</f>
        <v>-5.4314590721990519E-2</v>
      </c>
      <c r="P25" s="129" t="s">
        <v>217</v>
      </c>
      <c r="Q25" s="116">
        <v>28915609</v>
      </c>
      <c r="R25" s="116">
        <v>38374413895</v>
      </c>
      <c r="S25" s="116">
        <v>8325101.4800000004</v>
      </c>
      <c r="T25" s="130">
        <f t="shared" si="1"/>
        <v>3.4733040875797228</v>
      </c>
      <c r="U25" s="85">
        <f>Q23+Q24+Q25</f>
        <v>79765985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1540664.6842105263</v>
      </c>
      <c r="G26" s="90">
        <f t="shared" si="2"/>
        <v>1.2346964575430608E-2</v>
      </c>
      <c r="H26" s="90">
        <f t="shared" si="3"/>
        <v>-7.9619304679053871E-2</v>
      </c>
      <c r="I26" s="130">
        <f t="shared" si="0"/>
        <v>4.0095446864261817</v>
      </c>
      <c r="J26" s="130">
        <f t="shared" si="4"/>
        <v>-3.8067218382284662E-2</v>
      </c>
      <c r="L26" s="90"/>
      <c r="M26" s="90"/>
      <c r="P26" s="129" t="s">
        <v>312</v>
      </c>
      <c r="Q26" s="116">
        <v>29272629</v>
      </c>
      <c r="R26" s="116">
        <v>39456452060</v>
      </c>
      <c r="S26" s="116">
        <v>7300736.4400000004</v>
      </c>
      <c r="T26" s="130">
        <f t="shared" si="1"/>
        <v>4.0095446864261817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1608598.6363636365</v>
      </c>
      <c r="G27" s="90">
        <f t="shared" si="2"/>
        <v>4.4093924427119013E-2</v>
      </c>
      <c r="H27" s="90">
        <f t="shared" si="3"/>
        <v>0.11402967077809611</v>
      </c>
      <c r="I27" s="130">
        <f t="shared" si="0"/>
        <v>3.7683135830151255</v>
      </c>
      <c r="J27" s="130">
        <f t="shared" si="4"/>
        <v>-8.2687506560827795E-2</v>
      </c>
      <c r="L27" s="90"/>
      <c r="M27" s="90"/>
      <c r="P27" s="129" t="s">
        <v>373</v>
      </c>
      <c r="Q27" s="116">
        <v>35389170</v>
      </c>
      <c r="R27" s="116">
        <v>46859327308</v>
      </c>
      <c r="S27" s="116">
        <v>9391248.6899999995</v>
      </c>
      <c r="T27" s="130">
        <f t="shared" si="1"/>
        <v>3.7683135830151255</v>
      </c>
      <c r="U27" s="78"/>
    </row>
    <row r="28" spans="1:21" s="79" customFormat="1" ht="13.2" hidden="1">
      <c r="A28" s="123" t="s">
        <v>413</v>
      </c>
      <c r="B28" s="131">
        <f>SUM(F26:F28)</f>
        <v>4641100.110047847</v>
      </c>
      <c r="C28" s="131">
        <f>AVERAGE(F26:F28)</f>
        <v>1547033.370015949</v>
      </c>
      <c r="D28" s="90">
        <f>C28/C25-1</f>
        <v>0.19306459842317425</v>
      </c>
      <c r="E28" s="286">
        <f>C28/C16-1</f>
        <v>2.468257075608471E-2</v>
      </c>
      <c r="F28" s="78">
        <f>Q28/19</f>
        <v>1491836.7894736843</v>
      </c>
      <c r="G28" s="90">
        <f t="shared" si="2"/>
        <v>-7.2586066064249222E-2</v>
      </c>
      <c r="H28" s="90">
        <f t="shared" si="3"/>
        <v>5.6978493281492737E-2</v>
      </c>
      <c r="I28" s="130">
        <f t="shared" si="0"/>
        <v>3.50170258834572</v>
      </c>
      <c r="J28" s="130">
        <f t="shared" si="4"/>
        <v>-0.10274080522696416</v>
      </c>
      <c r="K28" s="78">
        <f>R26+R27+R28</f>
        <v>123307068344</v>
      </c>
      <c r="L28" s="90">
        <f>U28/U25-1</f>
        <v>0.16599447747056595</v>
      </c>
      <c r="M28" s="90">
        <f>U28/U16-1</f>
        <v>-3.4166555993240477E-2</v>
      </c>
      <c r="N28" s="88">
        <f>AVERAGE(T26:T28)</f>
        <v>3.7598536192623424</v>
      </c>
      <c r="O28" s="91">
        <f>N28/N25-1</f>
        <v>1.1507200112839788E-2</v>
      </c>
      <c r="P28" s="129" t="s">
        <v>413</v>
      </c>
      <c r="Q28" s="116">
        <v>28344899</v>
      </c>
      <c r="R28" s="116">
        <v>36991288976</v>
      </c>
      <c r="S28" s="116">
        <v>8094604.9199999999</v>
      </c>
      <c r="T28" s="130">
        <f t="shared" si="1"/>
        <v>3.50170258834572</v>
      </c>
      <c r="U28" s="85">
        <f>Q26+Q27+Q28</f>
        <v>93006698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1086738.4545454546</v>
      </c>
      <c r="G29" s="190">
        <f t="shared" si="2"/>
        <v>-0.2715433335513513</v>
      </c>
      <c r="H29" s="190">
        <f t="shared" si="3"/>
        <v>-0.18607643439837085</v>
      </c>
      <c r="I29" s="130">
        <f t="shared" si="0"/>
        <v>3.6918742268972875</v>
      </c>
      <c r="J29" s="130">
        <f t="shared" si="4"/>
        <v>-8.3333292508011136E-2</v>
      </c>
      <c r="K29" s="136"/>
      <c r="L29" s="190"/>
      <c r="M29" s="190"/>
      <c r="N29" s="191"/>
      <c r="O29" s="192"/>
      <c r="P29" s="129" t="s">
        <v>426</v>
      </c>
      <c r="Q29" s="116">
        <v>23908246</v>
      </c>
      <c r="R29" s="116">
        <v>31488440685</v>
      </c>
      <c r="S29" s="116">
        <v>6475910.21</v>
      </c>
      <c r="T29" s="130">
        <f t="shared" si="1"/>
        <v>3.6918742268972875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1308597.0526315789</v>
      </c>
      <c r="G30" s="190">
        <f t="shared" si="2"/>
        <v>0.20415086735742705</v>
      </c>
      <c r="H30" s="190">
        <f t="shared" si="3"/>
        <v>-6.7374236613819027E-2</v>
      </c>
      <c r="I30" s="130">
        <f t="shared" si="0"/>
        <v>3.5471497960036169</v>
      </c>
      <c r="J30" s="130">
        <f t="shared" si="4"/>
        <v>-7.7892542281964516E-2</v>
      </c>
      <c r="K30" s="136"/>
      <c r="L30" s="190"/>
      <c r="M30" s="190"/>
      <c r="N30" s="191"/>
      <c r="O30" s="192"/>
      <c r="P30" s="129" t="s">
        <v>466</v>
      </c>
      <c r="Q30" s="116">
        <v>24863344</v>
      </c>
      <c r="R30" s="116">
        <v>33143210276</v>
      </c>
      <c r="S30" s="116">
        <v>7009386.5300000003</v>
      </c>
      <c r="T30" s="130">
        <f t="shared" si="1"/>
        <v>3.5471497960036169</v>
      </c>
      <c r="U30" s="85"/>
    </row>
    <row r="31" spans="1:21" s="79" customFormat="1" ht="13.2" hidden="1">
      <c r="A31" s="129" t="s">
        <v>505</v>
      </c>
      <c r="B31" s="188">
        <f>SUM(F29:F31)</f>
        <v>4037744.5571770333</v>
      </c>
      <c r="C31" s="188">
        <f>AVERAGE(F29:F31)</f>
        <v>1345914.8523923445</v>
      </c>
      <c r="D31" s="190">
        <f>C31/C28-1</f>
        <v>-0.13000270163631378</v>
      </c>
      <c r="E31" s="287">
        <f>C31/C19-1</f>
        <v>-9.596046072200104E-3</v>
      </c>
      <c r="F31" s="136">
        <f>Q31/20</f>
        <v>1642409.05</v>
      </c>
      <c r="G31" s="190">
        <f t="shared" si="2"/>
        <v>0.25509150941241066</v>
      </c>
      <c r="H31" s="190">
        <f t="shared" si="3"/>
        <v>0.22700662603290245</v>
      </c>
      <c r="I31" s="130">
        <f t="shared" si="0"/>
        <v>3.8493306775863592</v>
      </c>
      <c r="J31" s="130">
        <f t="shared" si="4"/>
        <v>-4.0211756982411195E-2</v>
      </c>
      <c r="K31" s="136">
        <f>R29+R30+R31</f>
        <v>108237995840</v>
      </c>
      <c r="L31" s="190">
        <f>U31/U28-1</f>
        <v>-0.12243125758534079</v>
      </c>
      <c r="M31" s="190">
        <f>U31/U19-1</f>
        <v>-3.0810101347719221E-2</v>
      </c>
      <c r="N31" s="191">
        <f>AVERAGE(T29:T31)</f>
        <v>3.6961182334957545</v>
      </c>
      <c r="O31" s="192">
        <f>N31/N28-1</f>
        <v>-1.6951560411836541E-2</v>
      </c>
      <c r="P31" s="129" t="s">
        <v>505</v>
      </c>
      <c r="Q31" s="116">
        <v>32848181</v>
      </c>
      <c r="R31" s="116">
        <v>43606344879</v>
      </c>
      <c r="S31" s="116">
        <v>8533478.6099999994</v>
      </c>
      <c r="T31" s="130">
        <f t="shared" si="1"/>
        <v>3.8493306775863592</v>
      </c>
      <c r="U31" s="85">
        <f>Q29+Q30+Q31</f>
        <v>81619771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1263403.3333333333</v>
      </c>
      <c r="G32" s="190">
        <f t="shared" si="2"/>
        <v>-0.23076207274105487</v>
      </c>
      <c r="H32" s="190">
        <f t="shared" si="3"/>
        <v>-0.16163796204418901</v>
      </c>
      <c r="I32" s="130">
        <f t="shared" si="0"/>
        <v>3.5671280827540874</v>
      </c>
      <c r="J32" s="130">
        <f t="shared" si="4"/>
        <v>-0.10250543488793362</v>
      </c>
      <c r="K32" s="136"/>
      <c r="L32" s="190"/>
      <c r="M32" s="190"/>
      <c r="N32" s="191"/>
      <c r="O32" s="192"/>
      <c r="P32" s="129" t="s">
        <v>561</v>
      </c>
      <c r="Q32" s="116">
        <v>26531470</v>
      </c>
      <c r="R32" s="116">
        <v>36093671493</v>
      </c>
      <c r="S32" s="116">
        <v>7437767.6900000004</v>
      </c>
      <c r="T32" s="130">
        <f t="shared" si="1"/>
        <v>3.5671280827540874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1176569.9523809524</v>
      </c>
      <c r="G33" s="190">
        <f t="shared" si="2"/>
        <v>-6.8729738683909969E-2</v>
      </c>
      <c r="H33" s="190">
        <f t="shared" si="3"/>
        <v>-0.12753271571037361</v>
      </c>
      <c r="I33" s="130">
        <f t="shared" si="0"/>
        <v>3.5703665596539897</v>
      </c>
      <c r="J33" s="130">
        <f t="shared" si="4"/>
        <v>-6.7812107328562465E-2</v>
      </c>
      <c r="K33" s="136"/>
      <c r="L33" s="190"/>
      <c r="M33" s="190"/>
      <c r="N33" s="191"/>
      <c r="O33" s="192"/>
      <c r="P33" s="129" t="s">
        <v>607</v>
      </c>
      <c r="Q33" s="116">
        <v>24707969</v>
      </c>
      <c r="R33" s="116">
        <v>33777219320</v>
      </c>
      <c r="S33" s="116">
        <v>6920289.1600000001</v>
      </c>
      <c r="T33" s="130">
        <f t="shared" si="1"/>
        <v>3.5703665596539897</v>
      </c>
      <c r="U33" s="85"/>
    </row>
    <row r="34" spans="1:21" s="79" customFormat="1" ht="13.2" hidden="1">
      <c r="A34" s="129" t="s">
        <v>652</v>
      </c>
      <c r="B34" s="188">
        <f>SUM(F32:F34)</f>
        <v>3642932.1278195484</v>
      </c>
      <c r="C34" s="188">
        <f>AVERAGE(F32:F34)</f>
        <v>1214310.7092731828</v>
      </c>
      <c r="D34" s="190">
        <f>C34/C31-1</f>
        <v>-9.7780437510766149E-2</v>
      </c>
      <c r="E34" s="287">
        <f>C34/C22-1</f>
        <v>-0.18526226904005427</v>
      </c>
      <c r="F34" s="136">
        <f>Q34/19</f>
        <v>1202958.8421052631</v>
      </c>
      <c r="G34" s="190">
        <f t="shared" si="2"/>
        <v>2.2428661951555906E-2</v>
      </c>
      <c r="H34" s="190">
        <f t="shared" si="3"/>
        <v>-0.2554792672716778</v>
      </c>
      <c r="I34" s="130">
        <f t="shared" si="0"/>
        <v>3.6216663131894271</v>
      </c>
      <c r="J34" s="130">
        <f t="shared" si="4"/>
        <v>-9.1647060038925754E-2</v>
      </c>
      <c r="K34" s="136">
        <f>R32+R33+R34</f>
        <v>101290750139</v>
      </c>
      <c r="L34" s="190">
        <f>U34/U31-1</f>
        <v>-9.2184943768097605E-2</v>
      </c>
      <c r="M34" s="190">
        <f>U34/U22-1</f>
        <v>-0.19801379559901111</v>
      </c>
      <c r="N34" s="191">
        <f>AVERAGE(T32:T34)</f>
        <v>3.5863869851991681</v>
      </c>
      <c r="O34" s="192">
        <f>N34/N31-1</f>
        <v>-2.9688240842015379E-2</v>
      </c>
      <c r="P34" s="129" t="s">
        <v>652</v>
      </c>
      <c r="Q34" s="116">
        <v>22856218</v>
      </c>
      <c r="R34" s="116">
        <v>31419859326</v>
      </c>
      <c r="S34" s="116">
        <v>6310967.3899999997</v>
      </c>
      <c r="T34" s="130">
        <f t="shared" si="1"/>
        <v>3.6216663131894271</v>
      </c>
      <c r="U34" s="85">
        <f>Q32+Q33+Q34</f>
        <v>74095657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1264680.4347826086</v>
      </c>
      <c r="G35" s="190">
        <f t="shared" si="2"/>
        <v>5.1308149969061523E-2</v>
      </c>
      <c r="H35" s="190">
        <f t="shared" si="3"/>
        <v>1.1869010088129794E-2</v>
      </c>
      <c r="I35" s="130">
        <f t="shared" si="0"/>
        <v>3.7863562358703904</v>
      </c>
      <c r="J35" s="130">
        <f t="shared" si="4"/>
        <v>2.6836203148345117E-2</v>
      </c>
      <c r="K35" s="136"/>
      <c r="L35" s="190"/>
      <c r="M35" s="190"/>
      <c r="N35" s="191"/>
      <c r="O35" s="192"/>
      <c r="P35" s="129" t="s">
        <v>659</v>
      </c>
      <c r="Q35" s="116">
        <v>29087650</v>
      </c>
      <c r="R35" s="116">
        <v>40246380380</v>
      </c>
      <c r="S35" s="116">
        <v>7682227.5</v>
      </c>
      <c r="T35" s="130">
        <f t="shared" si="1"/>
        <v>3.7863562358703904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1240229.6190476189</v>
      </c>
      <c r="G36" s="190">
        <f t="shared" ref="G36" si="5">F36/F35-1</f>
        <v>-1.9333592156972612E-2</v>
      </c>
      <c r="H36" s="190">
        <f t="shared" ref="H36" si="6">F36/F24-1</f>
        <v>0.10898569840147898</v>
      </c>
      <c r="I36" s="130">
        <f t="shared" si="0"/>
        <v>3.6944504688016626</v>
      </c>
      <c r="J36" s="130">
        <f t="shared" si="4"/>
        <v>-7.4197117356338715E-2</v>
      </c>
      <c r="K36" s="136"/>
      <c r="L36" s="190"/>
      <c r="M36" s="190"/>
      <c r="N36" s="191"/>
      <c r="O36" s="192"/>
      <c r="P36" s="129" t="s">
        <v>666</v>
      </c>
      <c r="Q36" s="116">
        <v>26044822</v>
      </c>
      <c r="R36" s="116">
        <v>35498071445</v>
      </c>
      <c r="S36" s="116">
        <v>7049714.7599999998</v>
      </c>
      <c r="T36" s="130">
        <f t="shared" ref="T36" si="7">Q36/S36</f>
        <v>3.6944504688016626</v>
      </c>
      <c r="U36" s="85"/>
    </row>
    <row r="37" spans="1:21" s="79" customFormat="1" ht="13.2" hidden="1">
      <c r="A37" s="129" t="s">
        <v>702</v>
      </c>
      <c r="B37" s="188">
        <f>SUM(F35:F37)</f>
        <v>3733134.6649413388</v>
      </c>
      <c r="C37" s="188">
        <f>AVERAGE(F35:F37)</f>
        <v>1244378.2216471129</v>
      </c>
      <c r="D37" s="190">
        <f>C37/C34-1</f>
        <v>2.4760971096044138E-2</v>
      </c>
      <c r="E37" s="287">
        <f>C37/C25-1</f>
        <v>-4.0341577583002608E-2</v>
      </c>
      <c r="F37" s="136">
        <f>Q37/18</f>
        <v>1228224.611111111</v>
      </c>
      <c r="G37" s="190">
        <f t="shared" ref="G37" si="8">F37/F36-1</f>
        <v>-9.679665565257678E-3</v>
      </c>
      <c r="H37" s="190">
        <f t="shared" ref="H37" si="9">F37/F25-1</f>
        <v>-0.19295258103984225</v>
      </c>
      <c r="I37" s="130">
        <f t="shared" si="0"/>
        <v>3.6819704324559459</v>
      </c>
      <c r="J37" s="130">
        <f t="shared" si="4"/>
        <v>6.0077188640752288E-2</v>
      </c>
      <c r="K37" s="136">
        <f>R35+R36+R37</f>
        <v>105252954886</v>
      </c>
      <c r="L37" s="190">
        <f>U37/U34-1</f>
        <v>4.2443216341276235E-2</v>
      </c>
      <c r="M37" s="190">
        <f>U37/U25-1</f>
        <v>-3.166098933022643E-2</v>
      </c>
      <c r="N37" s="191">
        <f>AVERAGE(T35:T37)</f>
        <v>3.7209257123759998</v>
      </c>
      <c r="O37" s="192">
        <f>N37/N34-1</f>
        <v>3.7513722788997894E-2</v>
      </c>
      <c r="P37" s="129" t="s">
        <v>702</v>
      </c>
      <c r="Q37" s="116">
        <v>22108043</v>
      </c>
      <c r="R37" s="116">
        <v>29508503061</v>
      </c>
      <c r="S37" s="116">
        <v>6004405.3600000003</v>
      </c>
      <c r="T37" s="130">
        <f t="shared" ref="T37" si="10">Q37/S37</f>
        <v>3.6819704324559459</v>
      </c>
      <c r="U37" s="85">
        <f>Q35+Q36+Q37</f>
        <v>77240515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1055671.6000000001</v>
      </c>
      <c r="G38" s="190">
        <f t="shared" ref="G38" si="11">F38/F37-1</f>
        <v>-0.14048978464534367</v>
      </c>
      <c r="H38" s="190">
        <f t="shared" ref="H38" si="12">F38/F26-1</f>
        <v>-0.31479470463688097</v>
      </c>
      <c r="I38" s="130">
        <f t="shared" si="0"/>
        <v>3.848076183533057</v>
      </c>
      <c r="J38" s="130">
        <f t="shared" si="4"/>
        <v>-4.0271032129846618E-2</v>
      </c>
      <c r="K38" s="136"/>
      <c r="L38" s="190"/>
      <c r="M38" s="190"/>
      <c r="N38" s="191"/>
      <c r="O38" s="192"/>
      <c r="P38" s="129" t="s">
        <v>727</v>
      </c>
      <c r="Q38" s="116">
        <v>21113432</v>
      </c>
      <c r="R38" s="116">
        <v>28455796685</v>
      </c>
      <c r="S38" s="116">
        <v>5486750</v>
      </c>
      <c r="T38" s="130">
        <f t="shared" ref="T38" si="13">Q38/S38</f>
        <v>3.848076183533057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1258183.9047619049</v>
      </c>
      <c r="G39" s="190">
        <f t="shared" ref="G39" si="14">F39/F38-1</f>
        <v>0.19183267292774064</v>
      </c>
      <c r="H39" s="190">
        <f t="shared" ref="H39" si="15">F39/F27-1</f>
        <v>-0.21783851091274797</v>
      </c>
      <c r="I39" s="130">
        <f t="shared" si="0"/>
        <v>3.7751985082598529</v>
      </c>
      <c r="J39" s="130">
        <f t="shared" si="4"/>
        <v>1.8270574072603019E-3</v>
      </c>
      <c r="K39" s="136"/>
      <c r="L39" s="190"/>
      <c r="M39" s="190"/>
      <c r="N39" s="191"/>
      <c r="O39" s="192"/>
      <c r="P39" s="129" t="s">
        <v>762</v>
      </c>
      <c r="Q39" s="116">
        <v>26421862</v>
      </c>
      <c r="R39" s="116">
        <v>36721341525</v>
      </c>
      <c r="S39" s="116">
        <v>6998800.71</v>
      </c>
      <c r="T39" s="130">
        <f t="shared" ref="T39" si="16">Q39/S39</f>
        <v>3.7751985082598529</v>
      </c>
      <c r="U39" s="85"/>
    </row>
    <row r="40" spans="1:21" s="79" customFormat="1" ht="13.2" hidden="1">
      <c r="A40" s="129" t="s">
        <v>778</v>
      </c>
      <c r="B40" s="188">
        <f>SUM(F38:F40)</f>
        <v>3426016.2666666666</v>
      </c>
      <c r="C40" s="188">
        <f>AVERAGE(F38:F40)</f>
        <v>1142005.4222222222</v>
      </c>
      <c r="D40" s="190">
        <f>C40/C37-1</f>
        <v>-8.2268234564074616E-2</v>
      </c>
      <c r="E40" s="287">
        <f>C40/C28-1</f>
        <v>-0.26180944486643565</v>
      </c>
      <c r="F40" s="136">
        <f>Q40/21</f>
        <v>1112160.7619047619</v>
      </c>
      <c r="G40" s="190">
        <f t="shared" ref="G40" si="17">F40/F39-1</f>
        <v>-0.11605866384435748</v>
      </c>
      <c r="H40" s="190">
        <f t="shared" ref="H40" si="18">F40/F28-1</f>
        <v>-0.25450238943555681</v>
      </c>
      <c r="I40" s="130">
        <f t="shared" si="0"/>
        <v>3.3955639142252405</v>
      </c>
      <c r="J40" s="130">
        <f t="shared" si="4"/>
        <v>-3.0310590760542544E-2</v>
      </c>
      <c r="K40" s="136">
        <f>R38+R39+R40</f>
        <v>98316114376</v>
      </c>
      <c r="L40" s="190">
        <f>U40/U37-1</f>
        <v>-8.2208734625863089E-2</v>
      </c>
      <c r="M40" s="190">
        <f>U40/U28-1</f>
        <v>-0.23778962672129267</v>
      </c>
      <c r="N40" s="191">
        <f>AVERAGE(T38:T40)</f>
        <v>3.6729462020060502</v>
      </c>
      <c r="O40" s="192">
        <f>N40/N37-1</f>
        <v>-1.2894509076160077E-2</v>
      </c>
      <c r="P40" s="129" t="s">
        <v>778</v>
      </c>
      <c r="Q40" s="116">
        <v>23355376</v>
      </c>
      <c r="R40" s="116">
        <v>33138976166</v>
      </c>
      <c r="S40" s="116">
        <v>6878202.4400000004</v>
      </c>
      <c r="T40" s="130">
        <f t="shared" ref="T40" si="19">Q40/S40</f>
        <v>3.3955639142252405</v>
      </c>
      <c r="U40" s="85">
        <f>Q38+Q39+Q40</f>
        <v>70890670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1320450.1666666667</v>
      </c>
      <c r="G41" s="190">
        <f t="shared" ref="G41" si="20">F41/F40-1</f>
        <v>0.18728354020076576</v>
      </c>
      <c r="H41" s="190">
        <f t="shared" ref="H41" si="21">F41/F29-1</f>
        <v>0.21505792046253269</v>
      </c>
      <c r="I41" s="130">
        <f t="shared" si="0"/>
        <v>3.8399168666124641</v>
      </c>
      <c r="J41" s="130">
        <f t="shared" si="4"/>
        <v>4.0099589156262772E-2</v>
      </c>
      <c r="K41" s="193"/>
      <c r="L41" s="190"/>
      <c r="M41" s="190"/>
      <c r="N41" s="193"/>
      <c r="O41" s="193"/>
      <c r="P41" s="129" t="s">
        <v>793</v>
      </c>
      <c r="Q41" s="116">
        <v>23768103</v>
      </c>
      <c r="R41" s="116">
        <v>34767480776</v>
      </c>
      <c r="S41" s="116">
        <v>6189744.1600000001</v>
      </c>
      <c r="T41" s="130">
        <f t="shared" ref="T41" si="22">Q41/S41</f>
        <v>3.8399168666124641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1403158.45</v>
      </c>
      <c r="G42" s="190">
        <f t="shared" ref="G42" si="23">F42/F41-1</f>
        <v>6.2636429167274965E-2</v>
      </c>
      <c r="H42" s="190">
        <f t="shared" ref="H42" si="24">F42/F30-1</f>
        <v>7.2261661585022452E-2</v>
      </c>
      <c r="I42" s="130">
        <f t="shared" si="0"/>
        <v>3.7494042964878953</v>
      </c>
      <c r="J42" s="130">
        <f t="shared" si="4"/>
        <v>5.7018877723221006E-2</v>
      </c>
      <c r="K42" s="193"/>
      <c r="L42" s="190"/>
      <c r="M42" s="190"/>
      <c r="N42" s="193"/>
      <c r="O42" s="193"/>
      <c r="P42" s="129" t="s">
        <v>826</v>
      </c>
      <c r="Q42" s="116">
        <v>28063169</v>
      </c>
      <c r="R42" s="116">
        <v>40584156932</v>
      </c>
      <c r="S42" s="116">
        <v>7484700.71</v>
      </c>
      <c r="T42" s="130">
        <f t="shared" ref="T42" si="25">Q42/S42</f>
        <v>3.7494042964878953</v>
      </c>
      <c r="U42" s="78"/>
    </row>
    <row r="43" spans="1:21" s="79" customFormat="1" ht="13.2">
      <c r="A43" s="129" t="s">
        <v>835</v>
      </c>
      <c r="B43" s="188">
        <f>SUM(F41:F43)</f>
        <v>4022221.4666666668</v>
      </c>
      <c r="C43" s="188">
        <f>AVERAGE(F41:F43)</f>
        <v>1340740.4888888889</v>
      </c>
      <c r="D43" s="190">
        <f>C43/C40-1</f>
        <v>0.17402287484760715</v>
      </c>
      <c r="E43" s="287">
        <f>C43/C31-1</f>
        <v>-3.8444954331682268E-3</v>
      </c>
      <c r="F43" s="136">
        <f>Q43/20</f>
        <v>1298612.8500000001</v>
      </c>
      <c r="G43" s="190">
        <f t="shared" ref="G43" si="26">F43/F42-1</f>
        <v>-7.4507337357373915E-2</v>
      </c>
      <c r="H43" s="190">
        <f t="shared" ref="H43" si="27">F43/F31-1</f>
        <v>-0.20932434584429493</v>
      </c>
      <c r="I43" s="130">
        <f t="shared" si="0"/>
        <v>3.8306059959900622</v>
      </c>
      <c r="J43" s="130">
        <f t="shared" si="4"/>
        <v>-4.8643993370914851E-3</v>
      </c>
      <c r="K43" s="136">
        <f>R41+R42+R43</f>
        <v>113013956632</v>
      </c>
      <c r="L43" s="190">
        <f>U43/U40-1</f>
        <v>9.7514369662467626E-2</v>
      </c>
      <c r="M43" s="190">
        <f>K43/K31-1</f>
        <v>4.4124623289033771E-2</v>
      </c>
      <c r="N43" s="191">
        <f>AVERAGE(T41:T43)</f>
        <v>3.8066423863634742</v>
      </c>
      <c r="O43" s="192">
        <f>N43/N40-1</f>
        <v>3.640025663441615E-2</v>
      </c>
      <c r="P43" s="129" t="s">
        <v>835</v>
      </c>
      <c r="Q43" s="116">
        <v>25972257</v>
      </c>
      <c r="R43" s="116">
        <v>37662318924</v>
      </c>
      <c r="S43" s="116">
        <v>6780195.3600000003</v>
      </c>
      <c r="T43" s="130">
        <f t="shared" ref="T43" si="28">Q43/S43</f>
        <v>3.8306059959900622</v>
      </c>
      <c r="U43" s="85">
        <f>Q41+Q42+Q43</f>
        <v>77803529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1218848.8181818181</v>
      </c>
      <c r="G44" s="190">
        <f t="shared" ref="G44" si="29">F44/F43-1</f>
        <v>-6.142248770923675E-2</v>
      </c>
      <c r="H44" s="190">
        <f t="shared" ref="H44" si="30">F44/F32-1</f>
        <v>-3.5265472217778315E-2</v>
      </c>
      <c r="I44" s="130">
        <f t="shared" si="0"/>
        <v>3.6668537119828164</v>
      </c>
      <c r="J44" s="130">
        <f t="shared" si="4"/>
        <v>2.7956840044760511E-2</v>
      </c>
      <c r="K44" s="136"/>
      <c r="L44" s="190"/>
      <c r="M44" s="190"/>
      <c r="N44" s="191"/>
      <c r="O44" s="192"/>
      <c r="P44" s="129" t="s">
        <v>843</v>
      </c>
      <c r="Q44" s="116">
        <v>26814674</v>
      </c>
      <c r="R44" s="116">
        <v>38937104368</v>
      </c>
      <c r="S44" s="116">
        <v>7312719.8700000001</v>
      </c>
      <c r="T44" s="130">
        <f t="shared" ref="T44" si="31">Q44/S44</f>
        <v>3.6668537119828164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1281304.3999999999</v>
      </c>
      <c r="G45" s="190">
        <f t="shared" ref="G45" si="32">F45/F44-1</f>
        <v>5.1241450856348347E-2</v>
      </c>
      <c r="H45" s="190">
        <f t="shared" ref="H45" si="33">F45/F33-1</f>
        <v>8.9016762162847041E-2</v>
      </c>
      <c r="I45" s="130">
        <f t="shared" si="0"/>
        <v>3.9709107997052335</v>
      </c>
      <c r="J45" s="130">
        <f t="shared" si="4"/>
        <v>0.11218574713798057</v>
      </c>
      <c r="K45" s="136"/>
      <c r="L45" s="190"/>
      <c r="M45" s="190"/>
      <c r="N45" s="191"/>
      <c r="O45" s="192"/>
      <c r="P45" s="129" t="s">
        <v>849</v>
      </c>
      <c r="Q45" s="116">
        <v>25626088</v>
      </c>
      <c r="R45" s="116">
        <v>36042055405</v>
      </c>
      <c r="S45" s="116">
        <v>6453453.4500000002</v>
      </c>
      <c r="T45" s="130">
        <f t="shared" ref="T45" si="34">Q45/S45</f>
        <v>3.9709107997052335</v>
      </c>
      <c r="U45" s="85"/>
    </row>
    <row r="46" spans="1:21" s="79" customFormat="1" ht="13.2">
      <c r="A46" s="129" t="s">
        <v>888</v>
      </c>
      <c r="B46" s="188">
        <f>SUM(F44:F46)</f>
        <v>3891212.7444976075</v>
      </c>
      <c r="C46" s="188">
        <f>AVERAGE(F44:F46)</f>
        <v>1297070.9148325359</v>
      </c>
      <c r="D46" s="190">
        <f>C46/C43-1</f>
        <v>-3.2571235386904207E-2</v>
      </c>
      <c r="E46" s="287">
        <f>C46/C34-1</f>
        <v>6.8154060511323777E-2</v>
      </c>
      <c r="F46" s="136">
        <f>Q46/19</f>
        <v>1391059.5263157894</v>
      </c>
      <c r="G46" s="190">
        <f t="shared" ref="G46" si="35">F46/F45-1</f>
        <v>8.5658900660755988E-2</v>
      </c>
      <c r="H46" s="190">
        <f t="shared" ref="H46" si="36">F46/F34-1</f>
        <v>0.15636502066964875</v>
      </c>
      <c r="I46" s="130">
        <f t="shared" si="0"/>
        <v>3.5122939726208595</v>
      </c>
      <c r="J46" s="130">
        <f t="shared" si="4"/>
        <v>-3.0199452713314368E-2</v>
      </c>
      <c r="K46" s="136">
        <f>R44+R45+R46</f>
        <v>111155565405</v>
      </c>
      <c r="L46" s="190">
        <f>U46/U43-1</f>
        <v>1.3718709340292179E-2</v>
      </c>
      <c r="M46" s="190">
        <f>K46/K34-1</f>
        <v>9.7391077195722708E-2</v>
      </c>
      <c r="N46" s="191">
        <f>AVERAGE(T44:T46)</f>
        <v>3.7166861614363031</v>
      </c>
      <c r="O46" s="192">
        <f>N46/N43-1</f>
        <v>-2.3631383197281974E-2</v>
      </c>
      <c r="P46" s="129" t="s">
        <v>928</v>
      </c>
      <c r="Q46" s="116">
        <v>26430131</v>
      </c>
      <c r="R46" s="116">
        <v>36176405632</v>
      </c>
      <c r="S46" s="116">
        <v>7525033.8399999999</v>
      </c>
      <c r="T46" s="130">
        <f t="shared" ref="T46" si="37">Q46/S46</f>
        <v>3.5122939726208595</v>
      </c>
      <c r="U46" s="85">
        <f t="shared" ref="U46:U51" si="38">Q44+Q45+Q46</f>
        <v>78870893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1214102.9130434783</v>
      </c>
      <c r="G47" s="190">
        <f t="shared" ref="G47" si="39">F47/F46-1</f>
        <v>-0.12720995034697002</v>
      </c>
      <c r="H47" s="190">
        <f t="shared" ref="H47" si="40">F47/F35-1</f>
        <v>-3.9992333516114198E-2</v>
      </c>
      <c r="I47" s="130">
        <f t="shared" si="0"/>
        <v>3.3721825947133639</v>
      </c>
      <c r="J47" s="130">
        <f t="shared" si="4"/>
        <v>-0.10938580929953579</v>
      </c>
      <c r="K47" s="136"/>
      <c r="L47" s="190"/>
      <c r="M47" s="190"/>
      <c r="N47" s="191"/>
      <c r="O47" s="192"/>
      <c r="P47" s="129" t="s">
        <v>1029</v>
      </c>
      <c r="Q47" s="116">
        <v>27924367</v>
      </c>
      <c r="R47" s="116">
        <v>38283127584</v>
      </c>
      <c r="S47" s="116">
        <v>8280799.2199999997</v>
      </c>
      <c r="T47" s="130">
        <f t="shared" ref="T47" si="41">Q47/S47</f>
        <v>3.3721825947133639</v>
      </c>
      <c r="U47" s="85">
        <f t="shared" si="38"/>
        <v>79980586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952704.75</v>
      </c>
      <c r="G48" s="190">
        <f t="shared" ref="G48" si="42">F48/F47-1</f>
        <v>-0.21530148740703769</v>
      </c>
      <c r="H48" s="190">
        <f t="shared" ref="H48" si="43">F48/F36-1</f>
        <v>-0.23183196452638444</v>
      </c>
      <c r="I48" s="130">
        <f t="shared" si="0"/>
        <v>3.4528943162408225</v>
      </c>
      <c r="J48" s="130">
        <f t="shared" si="4"/>
        <v>-6.5383513624203915E-2</v>
      </c>
      <c r="K48" s="136"/>
      <c r="L48" s="190"/>
      <c r="M48" s="190"/>
      <c r="N48" s="191"/>
      <c r="O48" s="192"/>
      <c r="P48" s="129" t="s">
        <v>1070</v>
      </c>
      <c r="Q48" s="116">
        <v>19054095</v>
      </c>
      <c r="R48" s="116">
        <v>26437962218</v>
      </c>
      <c r="S48" s="116">
        <v>5518296.6100000003</v>
      </c>
      <c r="T48" s="130">
        <f t="shared" ref="T48" si="44">Q48/S48</f>
        <v>3.4528943162408225</v>
      </c>
      <c r="U48" s="85">
        <f t="shared" si="38"/>
        <v>73408593</v>
      </c>
    </row>
    <row r="49" spans="1:26" ht="13.2">
      <c r="A49" s="129" t="s">
        <v>1158</v>
      </c>
      <c r="B49" s="188">
        <f>SUM(F47:F49)</f>
        <v>3450677.7539525693</v>
      </c>
      <c r="C49" s="188">
        <f>AVERAGE(F47:F49)</f>
        <v>1150225.9179841897</v>
      </c>
      <c r="D49" s="190">
        <f>C49/C46-1</f>
        <v>-0.1132127743896757</v>
      </c>
      <c r="E49" s="287">
        <f>C49/C37-1</f>
        <v>-7.5662127498743237E-2</v>
      </c>
      <c r="F49" s="136">
        <f>Q49/22</f>
        <v>1283870.0909090908</v>
      </c>
      <c r="G49" s="190">
        <f t="shared" ref="G49" si="45">F49/F48-1</f>
        <v>0.34760542645461867</v>
      </c>
      <c r="H49" s="190">
        <f t="shared" ref="H49" si="46">F49/F37-1</f>
        <v>4.5305621866378543E-2</v>
      </c>
      <c r="I49" s="130">
        <f t="shared" si="0"/>
        <v>3.649722237440987</v>
      </c>
      <c r="J49" s="130">
        <f t="shared" si="4"/>
        <v>-8.7584068385494485E-3</v>
      </c>
      <c r="K49" s="136">
        <f>R47+R48+R49</f>
        <v>103978297344</v>
      </c>
      <c r="L49" s="190">
        <f>U49/U46-1</f>
        <v>-4.6243789835117011E-2</v>
      </c>
      <c r="M49" s="190">
        <f>K49/K37-1</f>
        <v>-1.2110420494898078E-2</v>
      </c>
      <c r="N49" s="191">
        <f>AVERAGE(T47:T49)</f>
        <v>3.491599716131724</v>
      </c>
      <c r="O49" s="192">
        <f>N49/N46-1</f>
        <v>-6.0561057761625792E-2</v>
      </c>
      <c r="P49" s="129" t="s">
        <v>1165</v>
      </c>
      <c r="Q49" s="116">
        <v>28245142</v>
      </c>
      <c r="R49" s="116">
        <v>39257207542</v>
      </c>
      <c r="S49" s="116">
        <v>7738984</v>
      </c>
      <c r="T49" s="130">
        <f t="shared" ref="T49" si="47">Q49/S49</f>
        <v>3.649722237440987</v>
      </c>
      <c r="U49" s="85">
        <f t="shared" si="38"/>
        <v>75223604</v>
      </c>
      <c r="V49" s="79"/>
      <c r="W49" s="79"/>
      <c r="X49" s="79"/>
      <c r="Y49" s="79"/>
      <c r="Z49" s="79"/>
    </row>
    <row r="50" spans="1:26" ht="13.2">
      <c r="A50" s="129" t="s">
        <v>1304</v>
      </c>
      <c r="B50" s="188"/>
      <c r="C50" s="188"/>
      <c r="D50" s="190"/>
      <c r="E50" s="287"/>
      <c r="F50" s="136">
        <f>Q50/18</f>
        <v>1088951.111111111</v>
      </c>
      <c r="G50" s="190">
        <f t="shared" ref="G50" si="48">F50/F49-1</f>
        <v>-0.15182141961104523</v>
      </c>
      <c r="H50" s="190">
        <f t="shared" ref="H50" si="49">F50/F38-1</f>
        <v>3.1524492191616238E-2</v>
      </c>
      <c r="I50" s="130">
        <f t="shared" ref="I50" si="50">T50</f>
        <v>3.5507925546540458</v>
      </c>
      <c r="J50" s="130">
        <f t="shared" ref="J50" si="51">I50/I38-1</f>
        <v>-7.7255130797869054E-2</v>
      </c>
      <c r="K50" s="136"/>
      <c r="L50" s="190"/>
      <c r="M50" s="190"/>
      <c r="N50" s="191"/>
      <c r="O50" s="192"/>
      <c r="P50" s="129" t="s">
        <v>1291</v>
      </c>
      <c r="Q50" s="116">
        <v>19601120</v>
      </c>
      <c r="R50" s="116">
        <v>27746195901</v>
      </c>
      <c r="S50" s="116">
        <v>5520209.8399999999</v>
      </c>
      <c r="T50" s="130">
        <f t="shared" ref="T50" si="52">Q50/S50</f>
        <v>3.5507925546540458</v>
      </c>
      <c r="U50" s="85">
        <f t="shared" si="38"/>
        <v>66900357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1202485.75</v>
      </c>
      <c r="G51" s="190">
        <f t="shared" ref="G51:G52" si="53">F51/F50-1</f>
        <v>0.10426054735647772</v>
      </c>
      <c r="H51" s="190">
        <f t="shared" ref="H51:H52" si="54">F51/F39-1</f>
        <v>-4.4268691207304034E-2</v>
      </c>
      <c r="I51" s="130">
        <f t="shared" ref="I51:I52" si="55">T51</f>
        <v>3.3292821188636408</v>
      </c>
      <c r="J51" s="130">
        <f t="shared" ref="J51:J52" si="56">I51/I39-1</f>
        <v>-0.11811733566343074</v>
      </c>
      <c r="K51" s="136"/>
      <c r="L51" s="190"/>
      <c r="M51" s="190"/>
      <c r="N51" s="191"/>
      <c r="O51" s="192"/>
      <c r="P51" s="129" t="s">
        <v>1402</v>
      </c>
      <c r="Q51" s="116">
        <v>24049715</v>
      </c>
      <c r="R51" s="116">
        <v>34843814590</v>
      </c>
      <c r="S51" s="116">
        <v>7223693.9199999999</v>
      </c>
      <c r="T51" s="130">
        <f t="shared" ref="T51:T52" si="57">Q51/S51</f>
        <v>3.3292821188636408</v>
      </c>
      <c r="U51" s="85">
        <f t="shared" si="38"/>
        <v>71895977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3476475.4974747477</v>
      </c>
      <c r="C52" s="188">
        <f>AVERAGE(F50:F52)</f>
        <v>1158825.165824916</v>
      </c>
      <c r="D52" s="190">
        <f>C52/C49-1</f>
        <v>7.4761381275398886E-3</v>
      </c>
      <c r="E52" s="287">
        <f>C52/C40-1</f>
        <v>1.4728251963956884E-2</v>
      </c>
      <c r="F52" s="136">
        <f>Q52/22</f>
        <v>1185038.6363636365</v>
      </c>
      <c r="G52" s="190">
        <f t="shared" si="53"/>
        <v>-1.4509206147651721E-2</v>
      </c>
      <c r="H52" s="190">
        <f t="shared" si="54"/>
        <v>6.5528183474175883E-2</v>
      </c>
      <c r="I52" s="130">
        <f t="shared" si="55"/>
        <v>3.4244239189622827</v>
      </c>
      <c r="J52" s="130">
        <f t="shared" si="56"/>
        <v>8.4993260224428546E-3</v>
      </c>
      <c r="K52" s="136">
        <f>R50+R51+R52</f>
        <v>100940400835</v>
      </c>
      <c r="L52" s="190">
        <f>U52/U49-1</f>
        <v>-7.3140858818729337E-2</v>
      </c>
      <c r="M52" s="190">
        <f>K52/K40-1</f>
        <v>2.6692332947208186E-2</v>
      </c>
      <c r="N52" s="191">
        <f>AVERAGE(T50:T52)</f>
        <v>3.4348328641599899</v>
      </c>
      <c r="O52" s="192">
        <f>N52/N49-1</f>
        <v>-1.6258121373266987E-2</v>
      </c>
      <c r="P52" s="129" t="s">
        <v>1403</v>
      </c>
      <c r="Q52" s="116">
        <v>26070850</v>
      </c>
      <c r="R52" s="116">
        <v>38350390344</v>
      </c>
      <c r="S52" s="116">
        <v>7613207.54</v>
      </c>
      <c r="T52" s="130">
        <f t="shared" si="57"/>
        <v>3.4244239189622827</v>
      </c>
      <c r="U52" s="85">
        <f t="shared" ref="U52" si="58">Q50+Q51+Q52</f>
        <v>69721685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1225196.2380952381</v>
      </c>
      <c r="G53" s="190">
        <f t="shared" ref="G53" si="59">F53/F52-1</f>
        <v>3.3887166628446597E-2</v>
      </c>
      <c r="H53" s="190">
        <f t="shared" ref="H53" si="60">F53/F41-1</f>
        <v>-7.2137465673458023E-2</v>
      </c>
      <c r="I53" s="130">
        <f t="shared" ref="I53" si="61">T53</f>
        <v>3.269002610483688</v>
      </c>
      <c r="J53" s="130">
        <f t="shared" ref="J53" si="62">I53/I41-1</f>
        <v>-0.14867880632854191</v>
      </c>
      <c r="K53" s="136"/>
      <c r="L53" s="190"/>
      <c r="M53" s="190"/>
      <c r="N53" s="191"/>
      <c r="O53" s="192"/>
      <c r="P53" s="129" t="s">
        <v>1414</v>
      </c>
      <c r="Q53" s="116">
        <v>25729121</v>
      </c>
      <c r="R53" s="116">
        <v>37486787363</v>
      </c>
      <c r="S53" s="116">
        <v>7870633.3600000003</v>
      </c>
      <c r="T53" s="130">
        <f t="shared" ref="T53" si="63">Q53/S53</f>
        <v>3.269002610483688</v>
      </c>
      <c r="U53" s="85">
        <f t="shared" ref="U53" si="64">Q51+Q52+Q53</f>
        <v>75849686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1274672</v>
      </c>
      <c r="G54" s="190">
        <f t="shared" ref="G54" si="65">F54/F53-1</f>
        <v>4.0381908111046583E-2</v>
      </c>
      <c r="H54" s="190">
        <f t="shared" ref="H54" si="66">F54/F42-1</f>
        <v>-9.15694517607758E-2</v>
      </c>
      <c r="I54" s="130">
        <f t="shared" ref="I54" si="67">T54</f>
        <v>3.3754662167312812</v>
      </c>
      <c r="J54" s="130">
        <f t="shared" ref="J54" si="68">I54/I42-1</f>
        <v>-9.9732664227990986E-2</v>
      </c>
      <c r="K54" s="136"/>
      <c r="L54" s="190"/>
      <c r="M54" s="190"/>
      <c r="N54" s="191"/>
      <c r="O54" s="192"/>
      <c r="P54" s="129" t="s">
        <v>1417</v>
      </c>
      <c r="Q54" s="116">
        <v>21669424</v>
      </c>
      <c r="R54" s="116">
        <v>31377931282</v>
      </c>
      <c r="S54" s="116">
        <v>6419683.2699999996</v>
      </c>
      <c r="T54" s="130">
        <f t="shared" ref="T54" si="69">Q54/S54</f>
        <v>3.3754662167312812</v>
      </c>
      <c r="U54" s="85">
        <f t="shared" ref="U54" si="70">Q52+Q53+Q54</f>
        <v>73469395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4017788.8571428568</v>
      </c>
      <c r="C55" s="188">
        <f>AVERAGE(F53:F55)</f>
        <v>1339262.9523809522</v>
      </c>
      <c r="D55" s="190">
        <f>C55/C52-1</f>
        <v>0.15570751471175592</v>
      </c>
      <c r="E55" s="287">
        <f>C55/C43-1</f>
        <v>-1.1020301991186976E-3</v>
      </c>
      <c r="F55" s="136">
        <f>Q55/21</f>
        <v>1517920.6190476189</v>
      </c>
      <c r="G55" s="190">
        <f t="shared" ref="G55" si="71">F55/F54-1</f>
        <v>0.19083232317617305</v>
      </c>
      <c r="H55" s="190">
        <f t="shared" ref="H55" si="72">F55/F43-1</f>
        <v>0.1688784837202395</v>
      </c>
      <c r="I55" s="130">
        <f>T55</f>
        <v>3.5420832794973083</v>
      </c>
      <c r="J55" s="130">
        <f t="shared" ref="J55" si="73">I55/I43-1</f>
        <v>-7.5320384501769144E-2</v>
      </c>
      <c r="K55" s="136">
        <f>R53+R54+R55</f>
        <v>115621881671</v>
      </c>
      <c r="L55" s="190">
        <f>U55/U52-1</f>
        <v>0.13701896332539865</v>
      </c>
      <c r="M55" s="190">
        <f>K55/K43-1</f>
        <v>2.3076132512482639E-2</v>
      </c>
      <c r="N55" s="191">
        <f>AVERAGE(T53:T55)</f>
        <v>3.3955173689040925</v>
      </c>
      <c r="O55" s="192">
        <f>N55/N52-1</f>
        <v>-1.1446115956944003E-2</v>
      </c>
      <c r="P55" s="129" t="s">
        <v>1418</v>
      </c>
      <c r="Q55" s="116">
        <v>31876333</v>
      </c>
      <c r="R55" s="116">
        <v>46757163026</v>
      </c>
      <c r="S55" s="116">
        <v>8999317.7699999996</v>
      </c>
      <c r="T55" s="130">
        <f t="shared" ref="T55" si="74">Q55/S55</f>
        <v>3.5420832794973083</v>
      </c>
      <c r="U55" s="85">
        <f t="shared" ref="U55" si="75">Q53+Q54+Q55</f>
        <v>79274878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1440302.0909090908</v>
      </c>
      <c r="G56" s="190">
        <f t="shared" ref="G56" si="76">F56/F55-1</f>
        <v>-5.1134774219766421E-2</v>
      </c>
      <c r="H56" s="190">
        <f t="shared" ref="H56" si="77">F56/F44-1</f>
        <v>0.18169051766208311</v>
      </c>
      <c r="I56" s="291">
        <f>T56</f>
        <v>3.3161151945535825</v>
      </c>
      <c r="J56" s="130">
        <f t="shared" ref="J56" si="78">I56/I44-1</f>
        <v>-9.5651079911659553E-2</v>
      </c>
      <c r="K56" s="136"/>
      <c r="L56" s="190"/>
      <c r="M56" s="190"/>
      <c r="N56" s="191"/>
      <c r="O56" s="192"/>
      <c r="P56" s="129" t="s">
        <v>1420</v>
      </c>
      <c r="Q56" s="116">
        <v>31686646</v>
      </c>
      <c r="R56" s="116">
        <v>47308351307</v>
      </c>
      <c r="S56" s="116">
        <v>9555351.4100000001</v>
      </c>
      <c r="T56" s="130">
        <f t="shared" ref="T56" si="79">Q56/S56</f>
        <v>3.3161151945535825</v>
      </c>
      <c r="U56" s="85">
        <f t="shared" ref="U56" si="80">Q54+Q55+Q56</f>
        <v>85232403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1216697.6666666667</v>
      </c>
      <c r="G57" s="254">
        <f t="shared" ref="G57" si="81">F57/F56-1</f>
        <v>-0.1552482813527607</v>
      </c>
      <c r="H57" s="254">
        <f t="shared" ref="H57" si="82">F57/F45-1</f>
        <v>-5.0422626608738086E-2</v>
      </c>
      <c r="I57" s="282">
        <f>T57</f>
        <v>3.3277954074644098</v>
      </c>
      <c r="J57" s="277">
        <f t="shared" ref="J57" si="83">I57/I45-1</f>
        <v>-0.16195664538436949</v>
      </c>
      <c r="K57" s="204"/>
      <c r="L57" s="254"/>
      <c r="M57" s="254"/>
      <c r="N57" s="257"/>
      <c r="O57" s="258"/>
      <c r="P57" s="129" t="s">
        <v>1436</v>
      </c>
      <c r="Q57" s="116">
        <v>14600372</v>
      </c>
      <c r="R57" s="116">
        <v>21494451805</v>
      </c>
      <c r="S57" s="116">
        <v>4387400.7300000004</v>
      </c>
      <c r="T57" s="130">
        <f t="shared" ref="T57" si="84">Q57/S57</f>
        <v>3.3277954074644098</v>
      </c>
      <c r="U57" s="85">
        <f t="shared" ref="U57" si="85">Q55+Q56+Q57</f>
        <v>78163351</v>
      </c>
      <c r="V57" s="79"/>
      <c r="W57" s="79"/>
      <c r="X57" s="79"/>
      <c r="Y57" s="79"/>
      <c r="Z57" s="79"/>
    </row>
    <row r="58" spans="1:26">
      <c r="B58" s="196">
        <f>SUM(F56:F58)</f>
        <v>2656999.7575757578</v>
      </c>
      <c r="C58" s="196">
        <f>AVERAGE(F56:F58)</f>
        <v>1328499.8787878789</v>
      </c>
      <c r="D58" s="197">
        <f>C58/C55-1</f>
        <v>-8.0365648687127367E-3</v>
      </c>
      <c r="E58" s="233">
        <f>C58/C46-1</f>
        <v>2.4230721386117038E-2</v>
      </c>
    </row>
    <row r="63" spans="1:26">
      <c r="P63" s="266"/>
      <c r="Q63" s="266"/>
      <c r="R63" s="266"/>
      <c r="S63" s="266"/>
    </row>
    <row r="64" spans="1:26">
      <c r="P64" s="266"/>
      <c r="Q64" s="266"/>
      <c r="R64" s="266"/>
      <c r="S64" s="266"/>
    </row>
    <row r="65" spans="16:19">
      <c r="P65" s="266" t="s">
        <v>971</v>
      </c>
      <c r="Q65" s="266" t="s">
        <v>9</v>
      </c>
      <c r="R65" s="266" t="s">
        <v>10</v>
      </c>
      <c r="S65" s="266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125561896</v>
      </c>
      <c r="R67" s="212">
        <v>184424684783</v>
      </c>
      <c r="S67" s="213">
        <v>37232386.549999997</v>
      </c>
    </row>
    <row r="68" spans="16:19" ht="18" thickBot="1">
      <c r="P68" s="180" t="s">
        <v>976</v>
      </c>
      <c r="Q68" s="181">
        <v>25729121</v>
      </c>
      <c r="R68" s="181">
        <v>37486787363</v>
      </c>
      <c r="S68" s="182">
        <v>7870633.3600000003</v>
      </c>
    </row>
    <row r="69" spans="16:19" ht="18" thickBot="1">
      <c r="P69" s="180" t="s">
        <v>977</v>
      </c>
      <c r="Q69" s="181">
        <v>21669424</v>
      </c>
      <c r="R69" s="181">
        <v>31377931282</v>
      </c>
      <c r="S69" s="182">
        <v>6419683.2699999996</v>
      </c>
    </row>
    <row r="70" spans="16:19" ht="18" thickBot="1">
      <c r="P70" s="180" t="s">
        <v>978</v>
      </c>
      <c r="Q70" s="181">
        <v>31876333</v>
      </c>
      <c r="R70" s="181">
        <v>46757163026</v>
      </c>
      <c r="S70" s="182">
        <v>8999317.7699999996</v>
      </c>
    </row>
    <row r="71" spans="16:19" ht="18" thickBot="1">
      <c r="P71" s="180" t="s">
        <v>979</v>
      </c>
      <c r="Q71" s="181">
        <v>31686646</v>
      </c>
      <c r="R71" s="181">
        <v>47308351307</v>
      </c>
      <c r="S71" s="182">
        <v>9555351.4100000001</v>
      </c>
    </row>
    <row r="72" spans="16:19" ht="18" thickBot="1">
      <c r="P72" s="180" t="s">
        <v>980</v>
      </c>
      <c r="Q72" s="181">
        <v>14600372</v>
      </c>
      <c r="R72" s="181">
        <v>21494451805</v>
      </c>
      <c r="S72" s="182">
        <v>4387400.7300000004</v>
      </c>
    </row>
    <row r="73" spans="16:19" ht="18" thickBot="1">
      <c r="P73" s="180" t="s">
        <v>975</v>
      </c>
      <c r="Q73" s="181">
        <v>301725190</v>
      </c>
      <c r="R73" s="181">
        <v>429242603757</v>
      </c>
      <c r="S73" s="182">
        <v>83656538.590000004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5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51"/>
  <dimension ref="A1:Z74"/>
  <sheetViews>
    <sheetView zoomScale="90" zoomScaleNormal="90" workbookViewId="0">
      <selection activeCell="G72" sqref="F72: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3004909900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1976944.55</v>
      </c>
      <c r="G5" s="90"/>
      <c r="H5" s="90"/>
      <c r="I5" s="130">
        <f t="shared" ref="I5:I49" si="0">T5</f>
        <v>52.295866834852283</v>
      </c>
      <c r="J5" s="130"/>
      <c r="L5" s="80"/>
      <c r="M5" s="80"/>
      <c r="P5" s="129" t="s">
        <v>0</v>
      </c>
      <c r="Q5" s="116">
        <v>39538891</v>
      </c>
      <c r="R5" s="116"/>
      <c r="S5" s="116">
        <v>756061.49</v>
      </c>
      <c r="T5" s="130">
        <f t="shared" ref="T5:T23" si="1">Q5/S5</f>
        <v>52.295866834852283</v>
      </c>
      <c r="U5" s="85"/>
    </row>
    <row r="6" spans="1:21" ht="15" hidden="1" customHeight="1">
      <c r="A6" s="129" t="s">
        <v>1</v>
      </c>
      <c r="C6" s="79"/>
      <c r="F6" s="78">
        <f>Q6/18</f>
        <v>2441275.5555555555</v>
      </c>
      <c r="G6" s="90">
        <f t="shared" ref="G6:G22" si="2">F6/F5-1</f>
        <v>0.23487305476299558</v>
      </c>
      <c r="H6" s="90"/>
      <c r="I6" s="130">
        <f t="shared" si="0"/>
        <v>49.512397146867343</v>
      </c>
      <c r="J6" s="130"/>
      <c r="P6" s="129" t="s">
        <v>1</v>
      </c>
      <c r="Q6" s="116">
        <v>43942960</v>
      </c>
      <c r="R6" s="116"/>
      <c r="S6" s="116">
        <v>887514.29</v>
      </c>
      <c r="T6" s="130">
        <f t="shared" si="1"/>
        <v>49.512397146867343</v>
      </c>
      <c r="U6" s="85"/>
    </row>
    <row r="7" spans="1:21" ht="15" hidden="1" customHeight="1">
      <c r="A7" s="129" t="s">
        <v>2</v>
      </c>
      <c r="B7" s="131">
        <f>F5+F6+F7</f>
        <v>6733292.1510101017</v>
      </c>
      <c r="C7" s="131">
        <f>AVERAGE(F5:F7)</f>
        <v>2244430.7170033674</v>
      </c>
      <c r="F7" s="78">
        <f>Q7/22</f>
        <v>2315072.0454545454</v>
      </c>
      <c r="G7" s="90">
        <f t="shared" si="2"/>
        <v>-5.1695725135907589E-2</v>
      </c>
      <c r="H7" s="90"/>
      <c r="I7" s="130">
        <f t="shared" si="0"/>
        <v>41.171917096227375</v>
      </c>
      <c r="J7" s="130"/>
      <c r="K7" s="79">
        <f>R5+R6+R7</f>
        <v>0</v>
      </c>
      <c r="N7" s="88">
        <f>AVERAGE(T5:T7)</f>
        <v>47.660060359315672</v>
      </c>
      <c r="P7" s="129" t="s">
        <v>2</v>
      </c>
      <c r="Q7" s="116">
        <v>50931585</v>
      </c>
      <c r="R7" s="116"/>
      <c r="S7" s="116">
        <v>1237046.72</v>
      </c>
      <c r="T7" s="130">
        <f t="shared" si="1"/>
        <v>41.171917096227375</v>
      </c>
      <c r="U7" s="85">
        <f>Q5+Q6+Q7</f>
        <v>134413436</v>
      </c>
    </row>
    <row r="8" spans="1:21" ht="15" hidden="1" customHeight="1">
      <c r="A8" s="129" t="s">
        <v>3</v>
      </c>
      <c r="C8" s="79"/>
      <c r="F8" s="78">
        <f>Q8/21</f>
        <v>2796396.7142857141</v>
      </c>
      <c r="G8" s="90">
        <f t="shared" si="2"/>
        <v>0.20790915331391524</v>
      </c>
      <c r="H8" s="90"/>
      <c r="I8" s="130">
        <f t="shared" si="0"/>
        <v>44.777921738921769</v>
      </c>
      <c r="J8" s="130"/>
      <c r="K8" s="78"/>
      <c r="P8" s="129" t="s">
        <v>3</v>
      </c>
      <c r="Q8" s="116">
        <v>58724331</v>
      </c>
      <c r="R8" s="116"/>
      <c r="S8" s="116">
        <v>1311457.27</v>
      </c>
      <c r="T8" s="130">
        <f t="shared" si="1"/>
        <v>44.777921738921769</v>
      </c>
      <c r="U8" s="85"/>
    </row>
    <row r="9" spans="1:21" ht="15" hidden="1" customHeight="1">
      <c r="A9" s="129" t="s">
        <v>4</v>
      </c>
      <c r="C9" s="79"/>
      <c r="F9" s="78">
        <f>Q9/21</f>
        <v>2582174.5714285714</v>
      </c>
      <c r="G9" s="90">
        <f t="shared" si="2"/>
        <v>-7.6606492119935754E-2</v>
      </c>
      <c r="H9" s="90"/>
      <c r="I9" s="130">
        <f t="shared" si="0"/>
        <v>38.118782826432856</v>
      </c>
      <c r="J9" s="130"/>
      <c r="K9" s="78"/>
      <c r="P9" s="129" t="s">
        <v>4</v>
      </c>
      <c r="Q9" s="116">
        <v>54225666</v>
      </c>
      <c r="R9" s="116"/>
      <c r="S9" s="116">
        <v>1422544.53</v>
      </c>
      <c r="T9" s="130">
        <f t="shared" si="1"/>
        <v>38.118782826432856</v>
      </c>
      <c r="U9" s="85"/>
    </row>
    <row r="10" spans="1:21" ht="15" hidden="1" customHeight="1">
      <c r="A10" s="129" t="s">
        <v>5</v>
      </c>
      <c r="B10" s="131">
        <f>F8+F9+F10</f>
        <v>8154006.5238095233</v>
      </c>
      <c r="C10" s="131">
        <f>AVERAGE(F8:F10)</f>
        <v>2718002.1746031744</v>
      </c>
      <c r="D10" s="90">
        <f>C10/C7-1</f>
        <v>0.21099847458516874</v>
      </c>
      <c r="E10" s="286"/>
      <c r="F10" s="78">
        <f>Q10/21</f>
        <v>2775435.2380952379</v>
      </c>
      <c r="G10" s="90">
        <f t="shared" si="2"/>
        <v>7.4844152213824344E-2</v>
      </c>
      <c r="H10" s="90"/>
      <c r="I10" s="130">
        <f t="shared" si="0"/>
        <v>36.199934258433913</v>
      </c>
      <c r="J10" s="130"/>
      <c r="K10" s="79">
        <f>R8+R9+R10</f>
        <v>0</v>
      </c>
      <c r="L10" s="87">
        <f>U10/U7-1</f>
        <v>0.2739361636436406</v>
      </c>
      <c r="N10" s="88">
        <f>AVERAGE(T8:T10)</f>
        <v>39.698879607929513</v>
      </c>
      <c r="O10" s="89">
        <f>N10/N7-1</f>
        <v>-0.16704092884830057</v>
      </c>
      <c r="P10" s="129" t="s">
        <v>5</v>
      </c>
      <c r="Q10" s="116">
        <v>58284140</v>
      </c>
      <c r="R10" s="116"/>
      <c r="S10" s="116">
        <v>1610062.04</v>
      </c>
      <c r="T10" s="130">
        <f t="shared" si="1"/>
        <v>36.199934258433913</v>
      </c>
      <c r="U10" s="85">
        <f>Q8+Q9+Q10</f>
        <v>171234137</v>
      </c>
    </row>
    <row r="11" spans="1:21" ht="15" hidden="1" customHeight="1">
      <c r="A11" s="129" t="s">
        <v>6</v>
      </c>
      <c r="C11" s="79"/>
      <c r="F11" s="78">
        <f>Q11/21</f>
        <v>2272757.5714285714</v>
      </c>
      <c r="G11" s="90">
        <f t="shared" si="2"/>
        <v>-0.18111669829905697</v>
      </c>
      <c r="H11" s="90"/>
      <c r="I11" s="130">
        <f t="shared" si="0"/>
        <v>39.914842765008665</v>
      </c>
      <c r="J11" s="130"/>
      <c r="K11" s="78"/>
      <c r="O11" s="89"/>
      <c r="P11" s="129" t="s">
        <v>6</v>
      </c>
      <c r="Q11" s="116">
        <v>47727909</v>
      </c>
      <c r="R11" s="116"/>
      <c r="S11" s="116">
        <v>1195743.3799999999</v>
      </c>
      <c r="T11" s="130">
        <f t="shared" si="1"/>
        <v>39.914842765008665</v>
      </c>
      <c r="U11" s="85"/>
    </row>
    <row r="12" spans="1:21" ht="15" hidden="1" customHeight="1">
      <c r="A12" s="129" t="s">
        <v>7</v>
      </c>
      <c r="C12" s="79"/>
      <c r="F12" s="78">
        <f>Q12/22</f>
        <v>1807855.0454545454</v>
      </c>
      <c r="G12" s="90">
        <f t="shared" si="2"/>
        <v>-0.2045543844264065</v>
      </c>
      <c r="H12" s="90"/>
      <c r="I12" s="130">
        <f t="shared" si="0"/>
        <v>34.007751936857687</v>
      </c>
      <c r="J12" s="130"/>
      <c r="K12" s="78"/>
      <c r="O12" s="89"/>
      <c r="P12" s="129" t="s">
        <v>7</v>
      </c>
      <c r="Q12" s="116">
        <v>39772811</v>
      </c>
      <c r="R12" s="116"/>
      <c r="S12" s="116">
        <v>1169521.9099999999</v>
      </c>
      <c r="T12" s="130">
        <f t="shared" si="1"/>
        <v>34.007751936857687</v>
      </c>
      <c r="U12" s="85"/>
    </row>
    <row r="13" spans="1:21" ht="15" hidden="1" customHeight="1">
      <c r="A13" s="129" t="s">
        <v>96</v>
      </c>
      <c r="B13" s="131">
        <f>F11+F12+F13</f>
        <v>6695341.2668831162</v>
      </c>
      <c r="C13" s="131">
        <f>AVERAGE(F11:F13)</f>
        <v>2231780.4222943722</v>
      </c>
      <c r="D13" s="90">
        <f>C13/C10-1</f>
        <v>-0.17888939046922947</v>
      </c>
      <c r="E13" s="286"/>
      <c r="F13" s="78">
        <f>Q13/20</f>
        <v>2614728.65</v>
      </c>
      <c r="G13" s="90">
        <f t="shared" si="2"/>
        <v>0.44631543141368613</v>
      </c>
      <c r="H13" s="90"/>
      <c r="I13" s="130">
        <f t="shared" si="0"/>
        <v>41.038509000839866</v>
      </c>
      <c r="J13" s="130"/>
      <c r="K13" s="78">
        <f>R11+R12+R13</f>
        <v>0</v>
      </c>
      <c r="L13" s="87">
        <f>U13/U10-1</f>
        <v>-0.18360149763828926</v>
      </c>
      <c r="N13" s="88">
        <f>AVERAGE(T11:T13)</f>
        <v>38.320367900902077</v>
      </c>
      <c r="O13" s="89">
        <f>N13/N10-1</f>
        <v>-3.4724196769323701E-2</v>
      </c>
      <c r="P13" s="129" t="s">
        <v>96</v>
      </c>
      <c r="Q13" s="116">
        <v>52294573</v>
      </c>
      <c r="R13" s="116"/>
      <c r="S13" s="116">
        <v>1274280.53</v>
      </c>
      <c r="T13" s="130">
        <f t="shared" si="1"/>
        <v>41.038509000839866</v>
      </c>
      <c r="U13" s="85">
        <f>Q11+Q12+Q13</f>
        <v>139795293</v>
      </c>
    </row>
    <row r="14" spans="1:21" ht="15" hidden="1" customHeight="1">
      <c r="A14" s="129" t="s">
        <v>97</v>
      </c>
      <c r="C14" s="79"/>
      <c r="F14" s="78">
        <f>Q14/20</f>
        <v>2479630.7999999998</v>
      </c>
      <c r="G14" s="90">
        <f t="shared" si="2"/>
        <v>-5.1668019165201029E-2</v>
      </c>
      <c r="H14" s="90"/>
      <c r="I14" s="130">
        <f t="shared" si="0"/>
        <v>38.708784889886608</v>
      </c>
      <c r="J14" s="130"/>
      <c r="O14" s="89"/>
      <c r="P14" s="129" t="s">
        <v>97</v>
      </c>
      <c r="Q14" s="116">
        <v>49592616</v>
      </c>
      <c r="R14" s="116"/>
      <c r="S14" s="116">
        <v>1281172.1200000001</v>
      </c>
      <c r="T14" s="130">
        <f t="shared" si="1"/>
        <v>38.708784889886608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2251597.1363636362</v>
      </c>
      <c r="G15" s="90">
        <f t="shared" si="2"/>
        <v>-9.1962748501254188E-2</v>
      </c>
      <c r="H15" s="90"/>
      <c r="I15" s="130">
        <f t="shared" si="0"/>
        <v>39.752334372840423</v>
      </c>
      <c r="J15" s="130"/>
      <c r="O15" s="89"/>
      <c r="P15" s="129" t="s">
        <v>98</v>
      </c>
      <c r="Q15" s="116">
        <v>49535137</v>
      </c>
      <c r="R15" s="116"/>
      <c r="S15" s="116">
        <v>1246093.79</v>
      </c>
      <c r="T15" s="130">
        <f t="shared" si="1"/>
        <v>39.752334372840423</v>
      </c>
      <c r="U15" s="78"/>
    </row>
    <row r="16" spans="1:21" ht="15" hidden="1" customHeight="1">
      <c r="A16" s="129" t="s">
        <v>99</v>
      </c>
      <c r="B16" s="131">
        <f>F14+F15+F16</f>
        <v>8734494.5272727273</v>
      </c>
      <c r="C16" s="131">
        <f>AVERAGE(F14:F16)</f>
        <v>2911498.1757575758</v>
      </c>
      <c r="D16" s="90">
        <f>C16/C13-1</f>
        <v>0.30456300569409178</v>
      </c>
      <c r="E16" s="286"/>
      <c r="F16" s="78">
        <f>Q16/22</f>
        <v>4003266.5909090908</v>
      </c>
      <c r="G16" s="90">
        <f t="shared" si="2"/>
        <v>0.77796752636416455</v>
      </c>
      <c r="H16" s="90"/>
      <c r="I16" s="130">
        <f t="shared" si="0"/>
        <v>49.080397606220195</v>
      </c>
      <c r="J16" s="130"/>
      <c r="K16" s="78">
        <f>R14+R15+R16</f>
        <v>0</v>
      </c>
      <c r="L16" s="87">
        <f>U16/U13-1</f>
        <v>0.33909814831891372</v>
      </c>
      <c r="N16" s="88">
        <f>AVERAGE(T14:T16)</f>
        <v>42.513838956315745</v>
      </c>
      <c r="O16" s="89">
        <f>N16/N13-1</f>
        <v>0.10943191010739106</v>
      </c>
      <c r="P16" s="129" t="s">
        <v>99</v>
      </c>
      <c r="Q16" s="116">
        <v>88071865</v>
      </c>
      <c r="R16" s="116"/>
      <c r="S16" s="116">
        <v>1794440.74</v>
      </c>
      <c r="T16" s="130">
        <f t="shared" si="1"/>
        <v>49.080397606220195</v>
      </c>
      <c r="U16" s="85">
        <f>Q14+Q15+Q16</f>
        <v>187199618</v>
      </c>
    </row>
    <row r="17" spans="1:21" ht="15" hidden="1" customHeight="1">
      <c r="A17" s="129" t="s">
        <v>100</v>
      </c>
      <c r="C17" s="79"/>
      <c r="F17" s="78">
        <f>Q17/20</f>
        <v>1647519.85</v>
      </c>
      <c r="G17" s="90">
        <f t="shared" si="2"/>
        <v>-0.58845612387111368</v>
      </c>
      <c r="H17" s="90">
        <f t="shared" ref="H17:H22" si="3">F17/F5-1</f>
        <v>-0.16663325230846759</v>
      </c>
      <c r="I17" s="130">
        <f t="shared" si="0"/>
        <v>47.206146816682889</v>
      </c>
      <c r="J17" s="130">
        <f t="shared" ref="J17:J49" si="4">I17/I5-1</f>
        <v>-9.732547381311174E-2</v>
      </c>
      <c r="O17" s="89"/>
      <c r="P17" s="129" t="s">
        <v>100</v>
      </c>
      <c r="Q17" s="116">
        <v>32950397</v>
      </c>
      <c r="R17" s="116">
        <v>41405447779</v>
      </c>
      <c r="S17" s="116">
        <v>698010.73</v>
      </c>
      <c r="T17" s="130">
        <f t="shared" si="1"/>
        <v>47.206146816682889</v>
      </c>
      <c r="U17" s="78"/>
    </row>
    <row r="18" spans="1:21" ht="15" hidden="1" customHeight="1">
      <c r="A18" s="129" t="s">
        <v>106</v>
      </c>
      <c r="C18" s="79"/>
      <c r="F18" s="78">
        <f>Q18/20</f>
        <v>2101851.9</v>
      </c>
      <c r="G18" s="90">
        <f t="shared" si="2"/>
        <v>0.27576726920771222</v>
      </c>
      <c r="H18" s="90">
        <f t="shared" si="3"/>
        <v>-0.13903537221889473</v>
      </c>
      <c r="I18" s="130">
        <f t="shared" si="0"/>
        <v>45.714985003362635</v>
      </c>
      <c r="J18" s="130">
        <f t="shared" si="4"/>
        <v>-7.6696188476605975E-2</v>
      </c>
      <c r="O18" s="89"/>
      <c r="P18" s="129" t="s">
        <v>106</v>
      </c>
      <c r="Q18" s="116">
        <v>42037038</v>
      </c>
      <c r="R18" s="116">
        <v>52878734261</v>
      </c>
      <c r="S18" s="116">
        <v>919546.14</v>
      </c>
      <c r="T18" s="130">
        <f t="shared" si="1"/>
        <v>45.714985003362635</v>
      </c>
      <c r="U18" s="78"/>
    </row>
    <row r="19" spans="1:21" hidden="1">
      <c r="A19" s="129" t="s">
        <v>114</v>
      </c>
      <c r="B19" s="131">
        <f>SUM(F17:F19)</f>
        <v>6647063.7954545449</v>
      </c>
      <c r="C19" s="131">
        <f>AVERAGE(F17:F19)</f>
        <v>2215687.9318181816</v>
      </c>
      <c r="D19" s="90">
        <f>C19/C16-1</f>
        <v>-0.23898701010119761</v>
      </c>
      <c r="E19" s="286">
        <f>C19/C7-1</f>
        <v>-1.2806269744677801E-2</v>
      </c>
      <c r="F19" s="78">
        <f>Q19/22</f>
        <v>2897692.0454545454</v>
      </c>
      <c r="G19" s="90">
        <f t="shared" si="2"/>
        <v>0.37863759356905469</v>
      </c>
      <c r="H19" s="90">
        <f t="shared" si="3"/>
        <v>0.25166387419515801</v>
      </c>
      <c r="I19" s="130">
        <f t="shared" si="0"/>
        <v>43.62812578704812</v>
      </c>
      <c r="J19" s="130">
        <f t="shared" si="4"/>
        <v>5.9657379691115064E-2</v>
      </c>
      <c r="K19" s="78">
        <f>R17+R18+R19</f>
        <v>177650931460</v>
      </c>
      <c r="L19" s="87">
        <f>U19/U16-1</f>
        <v>-0.25888385092751631</v>
      </c>
      <c r="M19" s="87">
        <f>U19/U7-1</f>
        <v>3.2163629832362872E-2</v>
      </c>
      <c r="N19" s="88">
        <f>AVERAGE(T17:T19)</f>
        <v>45.516419202364546</v>
      </c>
      <c r="O19" s="89">
        <f>N19/N16-1</f>
        <v>7.0625949567481916E-2</v>
      </c>
      <c r="P19" s="129" t="s">
        <v>114</v>
      </c>
      <c r="Q19" s="116">
        <v>63749225</v>
      </c>
      <c r="R19" s="116">
        <v>83366749420</v>
      </c>
      <c r="S19" s="116">
        <v>1461195.59</v>
      </c>
      <c r="T19" s="130">
        <f t="shared" si="1"/>
        <v>43.62812578704812</v>
      </c>
      <c r="U19" s="85">
        <f>Q17+Q18+Q19</f>
        <v>138736660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1967296.75</v>
      </c>
      <c r="G20" s="90">
        <f t="shared" si="2"/>
        <v>-0.32108149550053355</v>
      </c>
      <c r="H20" s="90">
        <f t="shared" si="3"/>
        <v>-0.29648867775096488</v>
      </c>
      <c r="I20" s="130">
        <f t="shared" si="0"/>
        <v>41.140724188568036</v>
      </c>
      <c r="J20" s="130">
        <f t="shared" si="4"/>
        <v>-8.1227475709133135E-2</v>
      </c>
      <c r="O20" s="89"/>
      <c r="P20" s="129" t="s">
        <v>131</v>
      </c>
      <c r="Q20" s="116">
        <v>39345935</v>
      </c>
      <c r="R20" s="116">
        <v>51601763087</v>
      </c>
      <c r="S20" s="116">
        <v>956374.39</v>
      </c>
      <c r="T20" s="130">
        <f t="shared" si="1"/>
        <v>41.140724188568036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2264531.2380952379</v>
      </c>
      <c r="G21" s="90">
        <f t="shared" si="2"/>
        <v>0.15108777468129198</v>
      </c>
      <c r="H21" s="90">
        <f t="shared" si="3"/>
        <v>-0.12301388792532308</v>
      </c>
      <c r="I21" s="130">
        <f t="shared" si="0"/>
        <v>42.250235824930236</v>
      </c>
      <c r="J21" s="130">
        <f t="shared" si="4"/>
        <v>0.1083836547800916</v>
      </c>
      <c r="O21" s="89"/>
      <c r="P21" s="129" t="s">
        <v>141</v>
      </c>
      <c r="Q21" s="116">
        <v>47555156</v>
      </c>
      <c r="R21" s="116">
        <v>63337314130</v>
      </c>
      <c r="S21" s="116">
        <v>1125559.54</v>
      </c>
      <c r="T21" s="130">
        <f t="shared" si="1"/>
        <v>42.250235824930236</v>
      </c>
      <c r="U21" s="78"/>
    </row>
    <row r="22" spans="1:21" hidden="1">
      <c r="A22" s="129" t="s">
        <v>155</v>
      </c>
      <c r="B22" s="131">
        <f>SUM(F20:F22)</f>
        <v>7110765.7976190476</v>
      </c>
      <c r="C22" s="131">
        <f>AVERAGE(F20:F22)</f>
        <v>2370255.2658730159</v>
      </c>
      <c r="D22" s="90">
        <f>C22/C19-1</f>
        <v>6.9760426021726385E-2</v>
      </c>
      <c r="E22" s="286">
        <f>C22/C10-1</f>
        <v>-0.12794210099590131</v>
      </c>
      <c r="F22" s="78">
        <f>Q22/21</f>
        <v>2878937.8095238097</v>
      </c>
      <c r="G22" s="90">
        <f t="shared" si="2"/>
        <v>0.27131733097458466</v>
      </c>
      <c r="H22" s="90">
        <f t="shared" si="3"/>
        <v>3.7292374906793047E-2</v>
      </c>
      <c r="I22" s="130">
        <f t="shared" si="0"/>
        <v>40.431423353204806</v>
      </c>
      <c r="J22" s="130">
        <f t="shared" si="4"/>
        <v>0.1168921762277797</v>
      </c>
      <c r="K22" s="78">
        <f>R20+R21+R22</f>
        <v>193330324825</v>
      </c>
      <c r="L22" s="87">
        <f>U22/U19-1</f>
        <v>6.2147416551616486E-2</v>
      </c>
      <c r="M22" s="87">
        <f>U22/U10-1</f>
        <v>-0.13943102945646868</v>
      </c>
      <c r="N22" s="88">
        <f>AVERAGE(T20:T22)</f>
        <v>41.274127788901026</v>
      </c>
      <c r="O22" s="89">
        <f>N22/N19-1</f>
        <v>-9.3203540344472757E-2</v>
      </c>
      <c r="P22" s="129" t="s">
        <v>155</v>
      </c>
      <c r="Q22" s="116">
        <v>60457694</v>
      </c>
      <c r="R22" s="116">
        <v>78391247608</v>
      </c>
      <c r="S22" s="116">
        <v>1495314.51</v>
      </c>
      <c r="T22" s="130">
        <f t="shared" si="1"/>
        <v>40.431423353204806</v>
      </c>
      <c r="U22" s="85">
        <f>Q20+Q21+Q22</f>
        <v>147358785</v>
      </c>
    </row>
    <row r="23" spans="1:21" hidden="1">
      <c r="A23" s="129" t="s">
        <v>189</v>
      </c>
      <c r="B23" s="131"/>
      <c r="C23" s="131"/>
      <c r="F23" s="78">
        <f>Q23/21</f>
        <v>2114331.3809523811</v>
      </c>
      <c r="G23" s="90">
        <f t="shared" ref="G23" si="5">F23/F22-1</f>
        <v>-0.26558629576576309</v>
      </c>
      <c r="H23" s="90">
        <f t="shared" ref="H23" si="6">F23/F11-1</f>
        <v>-6.970659452103789E-2</v>
      </c>
      <c r="I23" s="130">
        <f t="shared" si="0"/>
        <v>40.407593696951956</v>
      </c>
      <c r="J23" s="130">
        <f t="shared" si="4"/>
        <v>1.2345055067466415E-2</v>
      </c>
      <c r="O23" s="89"/>
      <c r="P23" s="129" t="s">
        <v>189</v>
      </c>
      <c r="Q23" s="116">
        <v>44400959</v>
      </c>
      <c r="R23" s="116">
        <v>57283650286</v>
      </c>
      <c r="S23" s="116">
        <v>1098827.1000000001</v>
      </c>
      <c r="T23" s="130">
        <f t="shared" si="1"/>
        <v>40.407593696951956</v>
      </c>
      <c r="U23" s="78"/>
    </row>
    <row r="24" spans="1:21" hidden="1">
      <c r="A24" s="129" t="s">
        <v>204</v>
      </c>
      <c r="B24" s="131"/>
      <c r="C24" s="131"/>
      <c r="F24" s="78">
        <f>Q24/22</f>
        <v>1862188.4545454546</v>
      </c>
      <c r="G24" s="90">
        <f t="shared" ref="G24" si="7">F24/F23-1</f>
        <v>-0.1192542137332091</v>
      </c>
      <c r="H24" s="90">
        <f t="shared" ref="H24" si="8">F24/F12-1</f>
        <v>3.0054073874738352E-2</v>
      </c>
      <c r="I24" s="130">
        <f t="shared" si="0"/>
        <v>41.739113761592897</v>
      </c>
      <c r="J24" s="130">
        <f t="shared" si="4"/>
        <v>0.22734116148253647</v>
      </c>
      <c r="O24" s="89"/>
      <c r="P24" s="129" t="s">
        <v>204</v>
      </c>
      <c r="Q24" s="116">
        <v>40968146</v>
      </c>
      <c r="R24" s="116">
        <v>54050685292</v>
      </c>
      <c r="S24" s="116">
        <v>981528.89</v>
      </c>
      <c r="T24" s="130">
        <f t="shared" ref="T24" si="9">Q24/S24</f>
        <v>41.739113761592897</v>
      </c>
      <c r="U24" s="78"/>
    </row>
    <row r="25" spans="1:21" s="79" customFormat="1" ht="13.2" hidden="1">
      <c r="A25" s="129" t="s">
        <v>219</v>
      </c>
      <c r="B25" s="131">
        <f>SUM(F23:F25)</f>
        <v>6703336.0986557305</v>
      </c>
      <c r="C25" s="131">
        <f>AVERAGE(F23:F25)</f>
        <v>2234445.3662185767</v>
      </c>
      <c r="D25" s="90">
        <f>C25/C22-1</f>
        <v>-5.7297583770757887E-2</v>
      </c>
      <c r="E25" s="286">
        <f>C25/C13-1</f>
        <v>1.1940887632058139E-3</v>
      </c>
      <c r="F25" s="78">
        <f>Q25/19</f>
        <v>2726816.2631578948</v>
      </c>
      <c r="G25" s="90">
        <f t="shared" ref="G25" si="10">F25/F24-1</f>
        <v>0.46430736185800758</v>
      </c>
      <c r="H25" s="90">
        <f t="shared" ref="H25" si="11">F25/F13-1</f>
        <v>4.2867780240942066E-2</v>
      </c>
      <c r="I25" s="130">
        <f t="shared" si="0"/>
        <v>47.581666655094871</v>
      </c>
      <c r="J25" s="130">
        <f t="shared" si="4"/>
        <v>0.15943945853688546</v>
      </c>
      <c r="K25" s="78">
        <f>R23+R24+R25</f>
        <v>180096667660</v>
      </c>
      <c r="L25" s="90">
        <f>U25/U22-1</f>
        <v>-6.9084249032047906E-2</v>
      </c>
      <c r="M25" s="90">
        <f>U25/U13-1</f>
        <v>-1.8717933514399543E-2</v>
      </c>
      <c r="N25" s="88">
        <f>AVERAGE(T23:T25)</f>
        <v>43.242791371213237</v>
      </c>
      <c r="O25" s="91">
        <f>N25/N22-1</f>
        <v>4.7697278846958513E-2</v>
      </c>
      <c r="P25" s="129" t="s">
        <v>219</v>
      </c>
      <c r="Q25" s="116">
        <v>51809509</v>
      </c>
      <c r="R25" s="116">
        <v>68762332082</v>
      </c>
      <c r="S25" s="116">
        <v>1088854.44</v>
      </c>
      <c r="T25" s="130">
        <f t="shared" ref="T25" si="12">Q25/S25</f>
        <v>47.581666655094871</v>
      </c>
      <c r="U25" s="85">
        <f>Q23+Q24+Q25</f>
        <v>137178614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2443525.3157894737</v>
      </c>
      <c r="G26" s="90">
        <f t="shared" ref="G26" si="13">F26/F25-1</f>
        <v>-0.10389073557906137</v>
      </c>
      <c r="H26" s="90">
        <f t="shared" ref="H26" si="14">F26/F14-1</f>
        <v>-1.4560830673068792E-2</v>
      </c>
      <c r="I26" s="130">
        <f t="shared" si="0"/>
        <v>47.308502081189765</v>
      </c>
      <c r="J26" s="130">
        <f t="shared" si="4"/>
        <v>0.22216448322432347</v>
      </c>
      <c r="L26" s="90"/>
      <c r="M26" s="90"/>
      <c r="P26" s="129" t="s">
        <v>312</v>
      </c>
      <c r="Q26" s="116">
        <v>46426981</v>
      </c>
      <c r="R26" s="116">
        <v>62636531719</v>
      </c>
      <c r="S26" s="116">
        <v>981366.54</v>
      </c>
      <c r="T26" s="130">
        <f t="shared" ref="T26" si="15">Q26/S26</f>
        <v>47.308502081189765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2583589.3181818184</v>
      </c>
      <c r="G27" s="90">
        <f t="shared" ref="G27" si="16">F27/F26-1</f>
        <v>5.732046297506499E-2</v>
      </c>
      <c r="H27" s="90">
        <f t="shared" ref="H27" si="17">F27/F15-1</f>
        <v>0.14744741697191643</v>
      </c>
      <c r="I27" s="130">
        <f t="shared" si="0"/>
        <v>39.412236773781473</v>
      </c>
      <c r="J27" s="130">
        <f t="shared" si="4"/>
        <v>-8.5554120135221678E-3</v>
      </c>
      <c r="L27" s="90"/>
      <c r="M27" s="90"/>
      <c r="P27" s="129" t="s">
        <v>375</v>
      </c>
      <c r="Q27" s="116">
        <v>56838965</v>
      </c>
      <c r="R27" s="116">
        <v>74977020393</v>
      </c>
      <c r="S27" s="116">
        <v>1442165.42</v>
      </c>
      <c r="T27" s="130">
        <f t="shared" ref="T27" si="18">Q27/S27</f>
        <v>39.412236773781473</v>
      </c>
      <c r="U27" s="78"/>
    </row>
    <row r="28" spans="1:21" s="79" customFormat="1" ht="13.2" hidden="1">
      <c r="A28" s="123" t="s">
        <v>413</v>
      </c>
      <c r="B28" s="131">
        <f>SUM(F26:F28)</f>
        <v>7847271.4760765564</v>
      </c>
      <c r="C28" s="131">
        <f>AVERAGE(F26:F28)</f>
        <v>2615757.1586921853</v>
      </c>
      <c r="D28" s="90">
        <f>C28/C25-1</f>
        <v>0.17065165174251495</v>
      </c>
      <c r="E28" s="286">
        <f>C28/C16-1</f>
        <v>-0.10157691992660733</v>
      </c>
      <c r="F28" s="78">
        <f>Q28/19</f>
        <v>2820156.8421052634</v>
      </c>
      <c r="G28" s="90">
        <f t="shared" ref="G28" si="19">F28/F27-1</f>
        <v>9.1565452085832222E-2</v>
      </c>
      <c r="H28" s="90">
        <f t="shared" ref="H28" si="20">F28/F16-1</f>
        <v>-0.29553608832609823</v>
      </c>
      <c r="I28" s="130">
        <f t="shared" si="0"/>
        <v>35.3147457298803</v>
      </c>
      <c r="J28" s="130">
        <f t="shared" si="4"/>
        <v>-0.28047148245994058</v>
      </c>
      <c r="K28" s="78">
        <f>R26+R27+R28</f>
        <v>207494466343</v>
      </c>
      <c r="L28" s="90">
        <f>U28/U25-1</f>
        <v>0.14339197216265798</v>
      </c>
      <c r="M28" s="90">
        <f>U28/U16-1</f>
        <v>-0.16213009579966131</v>
      </c>
      <c r="N28" s="88">
        <f>AVERAGE(T26:T28)</f>
        <v>40.678494861617182</v>
      </c>
      <c r="O28" s="91">
        <f>N28/N25-1</f>
        <v>-5.929997644192575E-2</v>
      </c>
      <c r="P28" s="129" t="s">
        <v>413</v>
      </c>
      <c r="Q28" s="116">
        <v>53582980</v>
      </c>
      <c r="R28" s="116">
        <v>69880914231</v>
      </c>
      <c r="S28" s="116">
        <v>1517297.63</v>
      </c>
      <c r="T28" s="130">
        <f t="shared" ref="T28" si="21">Q28/S28</f>
        <v>35.3147457298803</v>
      </c>
      <c r="U28" s="85">
        <f>Q26+Q27+Q28</f>
        <v>156848926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1936814.1363636365</v>
      </c>
      <c r="G29" s="190">
        <f t="shared" ref="G29" si="22">F29/F28-1</f>
        <v>-0.31322467337745885</v>
      </c>
      <c r="H29" s="190">
        <f t="shared" ref="H29" si="23">F29/F17-1</f>
        <v>0.17559380930289636</v>
      </c>
      <c r="I29" s="130">
        <f t="shared" si="0"/>
        <v>48.144762394254315</v>
      </c>
      <c r="J29" s="130">
        <f t="shared" si="4"/>
        <v>1.9883333863625507E-2</v>
      </c>
      <c r="K29" s="136"/>
      <c r="L29" s="190"/>
      <c r="M29" s="190"/>
      <c r="N29" s="191"/>
      <c r="O29" s="192"/>
      <c r="P29" s="129" t="s">
        <v>430</v>
      </c>
      <c r="Q29" s="116">
        <v>42609911</v>
      </c>
      <c r="R29" s="116">
        <v>56103756487</v>
      </c>
      <c r="S29" s="116">
        <v>885037.31</v>
      </c>
      <c r="T29" s="130">
        <f t="shared" ref="T29" si="24">Q29/S29</f>
        <v>48.144762394254315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2074821</v>
      </c>
      <c r="G30" s="190">
        <f t="shared" ref="G30" si="25">F30/F29-1</f>
        <v>7.1254572674418259E-2</v>
      </c>
      <c r="H30" s="190">
        <f t="shared" ref="H30" si="26">F30/F18-1</f>
        <v>-1.2860516004957301E-2</v>
      </c>
      <c r="I30" s="130">
        <f t="shared" si="0"/>
        <v>40.671669608726141</v>
      </c>
      <c r="J30" s="130">
        <f t="shared" si="4"/>
        <v>-0.11032083668550974</v>
      </c>
      <c r="K30" s="136"/>
      <c r="L30" s="190"/>
      <c r="M30" s="190"/>
      <c r="N30" s="191"/>
      <c r="O30" s="192"/>
      <c r="P30" s="129" t="s">
        <v>469</v>
      </c>
      <c r="Q30" s="116">
        <v>39421599</v>
      </c>
      <c r="R30" s="116">
        <v>52529444135</v>
      </c>
      <c r="S30" s="116">
        <v>969264.34</v>
      </c>
      <c r="T30" s="130">
        <f t="shared" ref="T30" si="27">Q30/S30</f>
        <v>40.671669608726141</v>
      </c>
      <c r="U30" s="85"/>
    </row>
    <row r="31" spans="1:21" s="79" customFormat="1" ht="13.2" hidden="1">
      <c r="A31" s="129" t="s">
        <v>505</v>
      </c>
      <c r="B31" s="188">
        <f>SUM(F29:F31)</f>
        <v>6594356.7363636363</v>
      </c>
      <c r="C31" s="188">
        <f>AVERAGE(F29:F31)</f>
        <v>2198118.9121212121</v>
      </c>
      <c r="D31" s="190">
        <f>C31/C28-1</f>
        <v>-0.15966246911841853</v>
      </c>
      <c r="E31" s="287">
        <f>C31/C19-1</f>
        <v>-7.9293746401156717E-3</v>
      </c>
      <c r="F31" s="136">
        <f>Q31/20</f>
        <v>2582721.6</v>
      </c>
      <c r="G31" s="190">
        <f t="shared" ref="G31" si="28">F31/F30-1</f>
        <v>0.24479249053291841</v>
      </c>
      <c r="H31" s="190">
        <f t="shared" ref="H31" si="29">F31/F19-1</f>
        <v>-0.10869700455181996</v>
      </c>
      <c r="I31" s="130">
        <f t="shared" si="0"/>
        <v>42.728029959564715</v>
      </c>
      <c r="J31" s="130">
        <f t="shared" si="4"/>
        <v>-2.0631090867318846E-2</v>
      </c>
      <c r="K31" s="136">
        <f>R29+R30+R31</f>
        <v>177262176930</v>
      </c>
      <c r="L31" s="190">
        <f>U31/U28-1</f>
        <v>-0.14767703286664524</v>
      </c>
      <c r="M31" s="190">
        <f>U31/U19-1</f>
        <v>-3.6405071305594339E-2</v>
      </c>
      <c r="N31" s="191">
        <f>AVERAGE(T29:T31)</f>
        <v>43.848153987515055</v>
      </c>
      <c r="O31" s="192">
        <f>N31/N28-1</f>
        <v>7.7919773990670738E-2</v>
      </c>
      <c r="P31" s="129" t="s">
        <v>505</v>
      </c>
      <c r="Q31" s="116">
        <v>51654432</v>
      </c>
      <c r="R31" s="116">
        <v>68628976308</v>
      </c>
      <c r="S31" s="116">
        <v>1208912.0900000001</v>
      </c>
      <c r="T31" s="130">
        <f t="shared" ref="T31" si="30">Q31/S31</f>
        <v>42.728029959564715</v>
      </c>
      <c r="U31" s="85">
        <f>Q29+Q30+Q31</f>
        <v>133685942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2448427.4761904762</v>
      </c>
      <c r="G32" s="190">
        <f t="shared" ref="G32" si="31">F32/F31-1</f>
        <v>-5.1997135041393472E-2</v>
      </c>
      <c r="H32" s="190">
        <f t="shared" ref="H32" si="32">F32/F20-1</f>
        <v>0.24456438826042692</v>
      </c>
      <c r="I32" s="130">
        <f t="shared" si="0"/>
        <v>42.16950414457429</v>
      </c>
      <c r="J32" s="130">
        <f t="shared" si="4"/>
        <v>2.5006364771092748E-2</v>
      </c>
      <c r="K32" s="136"/>
      <c r="L32" s="190"/>
      <c r="M32" s="190"/>
      <c r="N32" s="191"/>
      <c r="O32" s="192"/>
      <c r="P32" s="129" t="s">
        <v>562</v>
      </c>
      <c r="Q32" s="116">
        <v>51416977</v>
      </c>
      <c r="R32" s="116">
        <v>69956147037</v>
      </c>
      <c r="S32" s="116">
        <v>1219292.8999999999</v>
      </c>
      <c r="T32" s="130">
        <f t="shared" ref="T32" si="33">Q32/S32</f>
        <v>42.16950414457429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2473962.8571428573</v>
      </c>
      <c r="G33" s="190">
        <f t="shared" ref="G33" si="34">F33/F32-1</f>
        <v>1.0429298478594085E-2</v>
      </c>
      <c r="H33" s="190">
        <f t="shared" ref="H33" si="35">F33/F21-1</f>
        <v>9.2483431239296365E-2</v>
      </c>
      <c r="I33" s="130">
        <f t="shared" si="0"/>
        <v>38.62967652681025</v>
      </c>
      <c r="J33" s="130">
        <f t="shared" si="4"/>
        <v>-8.5693232888031212E-2</v>
      </c>
      <c r="K33" s="136"/>
      <c r="L33" s="190"/>
      <c r="M33" s="190"/>
      <c r="N33" s="191"/>
      <c r="O33" s="192"/>
      <c r="P33" s="129" t="s">
        <v>607</v>
      </c>
      <c r="Q33" s="116">
        <v>51953220</v>
      </c>
      <c r="R33" s="116">
        <v>71054320198</v>
      </c>
      <c r="S33" s="116">
        <v>1344904.35</v>
      </c>
      <c r="T33" s="130">
        <f t="shared" ref="T33" si="36">Q33/S33</f>
        <v>38.62967652681025</v>
      </c>
      <c r="U33" s="85"/>
    </row>
    <row r="34" spans="1:21" s="79" customFormat="1" ht="13.2" hidden="1">
      <c r="A34" s="129" t="s">
        <v>652</v>
      </c>
      <c r="B34" s="188">
        <f>SUM(F32:F34)</f>
        <v>7554671.5438596494</v>
      </c>
      <c r="C34" s="188">
        <f>AVERAGE(F32:F34)</f>
        <v>2518223.8479532166</v>
      </c>
      <c r="D34" s="190">
        <f>C34/C31-1</f>
        <v>0.14562676025706867</v>
      </c>
      <c r="E34" s="287">
        <f>C34/C22-1</f>
        <v>6.2427277015541627E-2</v>
      </c>
      <c r="F34" s="136">
        <f>Q34/19</f>
        <v>2632281.210526316</v>
      </c>
      <c r="G34" s="190">
        <f t="shared" ref="G34" si="37">F34/F33-1</f>
        <v>6.3993827929291536E-2</v>
      </c>
      <c r="H34" s="190">
        <f t="shared" ref="H34" si="38">F34/F22-1</f>
        <v>-8.5676251213739119E-2</v>
      </c>
      <c r="I34" s="130">
        <f t="shared" si="0"/>
        <v>39.186679475516222</v>
      </c>
      <c r="J34" s="130">
        <f t="shared" si="4"/>
        <v>-3.0786546068750309E-2</v>
      </c>
      <c r="K34" s="136">
        <f>R32+R33+R34</f>
        <v>209778167445</v>
      </c>
      <c r="L34" s="190">
        <f>U34/U31-1</f>
        <v>0.14734232863467422</v>
      </c>
      <c r="M34" s="190">
        <f>U34/U22-1</f>
        <v>4.0884939435405832E-2</v>
      </c>
      <c r="N34" s="191">
        <f>AVERAGE(T32:T34)</f>
        <v>39.99528671563359</v>
      </c>
      <c r="O34" s="192">
        <f>N34/N31-1</f>
        <v>-8.786840314824873E-2</v>
      </c>
      <c r="P34" s="129" t="s">
        <v>652</v>
      </c>
      <c r="Q34" s="116">
        <v>50013343</v>
      </c>
      <c r="R34" s="116">
        <v>68767700210</v>
      </c>
      <c r="S34" s="116">
        <v>1276284.28</v>
      </c>
      <c r="T34" s="130">
        <f t="shared" ref="T34" si="39">Q34/S34</f>
        <v>39.186679475516222</v>
      </c>
      <c r="U34" s="85">
        <f>Q32+Q33+Q34</f>
        <v>153383540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2388992.6521739131</v>
      </c>
      <c r="G35" s="190">
        <f t="shared" ref="G35" si="40">F35/F34-1</f>
        <v>-9.2424987641711032E-2</v>
      </c>
      <c r="H35" s="190">
        <f t="shared" ref="H35" si="41">F35/F23-1</f>
        <v>0.12990455218888797</v>
      </c>
      <c r="I35" s="130">
        <f t="shared" si="0"/>
        <v>36.325268909758094</v>
      </c>
      <c r="J35" s="130">
        <f t="shared" si="4"/>
        <v>-0.10102865361917857</v>
      </c>
      <c r="K35" s="136"/>
      <c r="L35" s="190"/>
      <c r="M35" s="190"/>
      <c r="N35" s="191"/>
      <c r="O35" s="192"/>
      <c r="P35" s="129" t="s">
        <v>660</v>
      </c>
      <c r="Q35" s="116">
        <v>54946831</v>
      </c>
      <c r="R35" s="116">
        <v>76043019300</v>
      </c>
      <c r="S35" s="116">
        <v>1512633.84</v>
      </c>
      <c r="T35" s="130">
        <f t="shared" ref="T35" si="42">Q35/S35</f>
        <v>36.325268909758094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1992169.6666666667</v>
      </c>
      <c r="G36" s="190">
        <f t="shared" ref="G36" si="43">F36/F35-1</f>
        <v>-0.1661047325307381</v>
      </c>
      <c r="H36" s="190">
        <f t="shared" ref="H36" si="44">F36/F24-1</f>
        <v>6.9800245943925976E-2</v>
      </c>
      <c r="I36" s="130">
        <f t="shared" si="0"/>
        <v>28.759306330604289</v>
      </c>
      <c r="J36" s="130">
        <f t="shared" si="4"/>
        <v>-0.31097467725661787</v>
      </c>
      <c r="K36" s="136"/>
      <c r="L36" s="190"/>
      <c r="M36" s="190"/>
      <c r="N36" s="191"/>
      <c r="O36" s="192"/>
      <c r="P36" s="129" t="s">
        <v>676</v>
      </c>
      <c r="Q36" s="116">
        <v>41835563</v>
      </c>
      <c r="R36" s="116">
        <v>57002758310</v>
      </c>
      <c r="S36" s="116">
        <v>1454679.14</v>
      </c>
      <c r="T36" s="130">
        <f t="shared" ref="T36" si="45">Q36/S36</f>
        <v>28.759306330604289</v>
      </c>
      <c r="U36" s="85"/>
    </row>
    <row r="37" spans="1:21" s="79" customFormat="1" ht="13.2" hidden="1">
      <c r="A37" s="129" t="s">
        <v>702</v>
      </c>
      <c r="B37" s="188">
        <f>SUM(F35:F37)</f>
        <v>7006859.374396136</v>
      </c>
      <c r="C37" s="188">
        <f>AVERAGE(F35:F37)</f>
        <v>2335619.7914653788</v>
      </c>
      <c r="D37" s="190">
        <f>C37/C34-1</f>
        <v>-7.2513035978217899E-2</v>
      </c>
      <c r="E37" s="287">
        <f>C37/C25-1</f>
        <v>4.5279435682969105E-2</v>
      </c>
      <c r="F37" s="136">
        <f>Q37/18</f>
        <v>2625697.0555555555</v>
      </c>
      <c r="G37" s="190">
        <f t="shared" ref="G37" si="46">F37/F36-1</f>
        <v>0.31800875170884302</v>
      </c>
      <c r="H37" s="190">
        <f t="shared" ref="H37" si="47">F37/F25-1</f>
        <v>-3.7083249417485309E-2</v>
      </c>
      <c r="I37" s="130">
        <f t="shared" si="0"/>
        <v>32.980163382153854</v>
      </c>
      <c r="J37" s="130">
        <f t="shared" si="4"/>
        <v>-0.30687246369033061</v>
      </c>
      <c r="K37" s="136">
        <f>R35+R36+R37</f>
        <v>196114978284</v>
      </c>
      <c r="L37" s="190">
        <f>U37/U34-1</f>
        <v>-6.088397099193299E-2</v>
      </c>
      <c r="M37" s="190">
        <f>U37/U25-1</f>
        <v>5.0053917296467132E-2</v>
      </c>
      <c r="N37" s="191">
        <f>AVERAGE(T35:T37)</f>
        <v>32.688246207505415</v>
      </c>
      <c r="O37" s="192">
        <f>N37/N34-1</f>
        <v>-0.18269754033972097</v>
      </c>
      <c r="P37" s="129" t="s">
        <v>702</v>
      </c>
      <c r="Q37" s="116">
        <v>47262547</v>
      </c>
      <c r="R37" s="116">
        <v>63069200674</v>
      </c>
      <c r="S37" s="116">
        <v>1433059.82</v>
      </c>
      <c r="T37" s="130">
        <f t="shared" ref="T37" si="48">Q37/S37</f>
        <v>32.980163382153854</v>
      </c>
      <c r="U37" s="85">
        <f>Q35+Q36+Q37</f>
        <v>144044941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2622639.1</v>
      </c>
      <c r="G38" s="190">
        <f t="shared" ref="G38" si="49">F38/F37-1</f>
        <v>-1.1646261891048448E-3</v>
      </c>
      <c r="H38" s="190">
        <f t="shared" ref="H38" si="50">F38/F26-1</f>
        <v>7.330138265936359E-2</v>
      </c>
      <c r="I38" s="130">
        <f t="shared" si="0"/>
        <v>44.045233945461042</v>
      </c>
      <c r="J38" s="130">
        <f t="shared" si="4"/>
        <v>-6.8978470933794833E-2</v>
      </c>
      <c r="K38" s="136"/>
      <c r="L38" s="190"/>
      <c r="M38" s="190"/>
      <c r="N38" s="191"/>
      <c r="O38" s="192"/>
      <c r="P38" s="129" t="s">
        <v>739</v>
      </c>
      <c r="Q38" s="116">
        <v>52452782</v>
      </c>
      <c r="R38" s="116">
        <v>70623497380</v>
      </c>
      <c r="S38" s="116">
        <v>1190884.3999999999</v>
      </c>
      <c r="T38" s="130">
        <f t="shared" ref="T38" si="51">Q38/S38</f>
        <v>44.045233945461042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3121642.2857142859</v>
      </c>
      <c r="G39" s="190">
        <f t="shared" ref="G39" si="52">F39/F38-1</f>
        <v>0.19026757654695459</v>
      </c>
      <c r="H39" s="190">
        <f t="shared" ref="H39" si="53">F39/F27-1</f>
        <v>0.20825793160931561</v>
      </c>
      <c r="I39" s="130">
        <f t="shared" si="0"/>
        <v>32.087898866454488</v>
      </c>
      <c r="J39" s="130">
        <f t="shared" si="4"/>
        <v>-0.18583918363647445</v>
      </c>
      <c r="K39" s="136"/>
      <c r="L39" s="190"/>
      <c r="M39" s="190"/>
      <c r="N39" s="191"/>
      <c r="O39" s="192"/>
      <c r="P39" s="129" t="s">
        <v>762</v>
      </c>
      <c r="Q39" s="116">
        <v>65554488</v>
      </c>
      <c r="R39" s="116">
        <v>91144404871</v>
      </c>
      <c r="S39" s="116">
        <v>2042966.05</v>
      </c>
      <c r="T39" s="130">
        <f t="shared" ref="T39" si="54">Q39/S39</f>
        <v>32.087898866454488</v>
      </c>
      <c r="U39" s="85"/>
    </row>
    <row r="40" spans="1:21" s="79" customFormat="1" ht="13.2" hidden="1">
      <c r="A40" s="129" t="s">
        <v>778</v>
      </c>
      <c r="B40" s="188">
        <f>SUM(F38:F40)</f>
        <v>9138461.3380952384</v>
      </c>
      <c r="C40" s="188">
        <f>AVERAGE(F38:F40)</f>
        <v>3046153.7793650795</v>
      </c>
      <c r="D40" s="190">
        <f>C40/C37-1</f>
        <v>0.30421646129908342</v>
      </c>
      <c r="E40" s="287">
        <f>C40/C28-1</f>
        <v>0.16453997621403116</v>
      </c>
      <c r="F40" s="136">
        <f>Q40/21</f>
        <v>3394179.9523809524</v>
      </c>
      <c r="G40" s="190">
        <f t="shared" ref="G40" si="55">F40/F39-1</f>
        <v>8.730586073679647E-2</v>
      </c>
      <c r="H40" s="190">
        <f t="shared" ref="H40" si="56">F40/F28-1</f>
        <v>0.20354297381814312</v>
      </c>
      <c r="I40" s="130">
        <f t="shared" si="0"/>
        <v>35.256371269150797</v>
      </c>
      <c r="J40" s="130">
        <f t="shared" si="4"/>
        <v>-1.6529769512148018E-3</v>
      </c>
      <c r="K40" s="136">
        <f>R38+R39+R40</f>
        <v>262807304518</v>
      </c>
      <c r="L40" s="190">
        <f>U40/U37-1</f>
        <v>0.31406939866079719</v>
      </c>
      <c r="M40" s="190">
        <f>U40/U28-1</f>
        <v>0.20679850240096642</v>
      </c>
      <c r="N40" s="191">
        <f>AVERAGE(T38:T40)</f>
        <v>37.129834693688771</v>
      </c>
      <c r="O40" s="192">
        <f>N40/N37-1</f>
        <v>0.13587723422015641</v>
      </c>
      <c r="P40" s="129" t="s">
        <v>778</v>
      </c>
      <c r="Q40" s="116">
        <v>71277779</v>
      </c>
      <c r="R40" s="116">
        <v>101039402267</v>
      </c>
      <c r="S40" s="116">
        <v>2021699.24</v>
      </c>
      <c r="T40" s="130">
        <f t="shared" ref="T40" si="57">Q40/S40</f>
        <v>35.256371269150797</v>
      </c>
      <c r="U40" s="85">
        <f>Q38+Q39+Q40</f>
        <v>189285049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2007106.6666666667</v>
      </c>
      <c r="G41" s="190">
        <f t="shared" ref="G41" si="58">F41/F40-1</f>
        <v>-0.40866227046720971</v>
      </c>
      <c r="H41" s="190">
        <f t="shared" ref="H41" si="59">F41/F29-1</f>
        <v>3.6292863100950035E-2</v>
      </c>
      <c r="I41" s="130">
        <f t="shared" si="0"/>
        <v>50.509745796502763</v>
      </c>
      <c r="J41" s="130">
        <f t="shared" si="4"/>
        <v>4.9122340305301604E-2</v>
      </c>
      <c r="K41" s="193"/>
      <c r="L41" s="190"/>
      <c r="M41" s="190"/>
      <c r="N41" s="193"/>
      <c r="O41" s="193"/>
      <c r="P41" s="129" t="s">
        <v>792</v>
      </c>
      <c r="Q41" s="116">
        <v>36127920</v>
      </c>
      <c r="R41" s="116">
        <v>52876735096</v>
      </c>
      <c r="S41" s="116">
        <v>715266.32</v>
      </c>
      <c r="T41" s="130">
        <f t="shared" ref="T41" si="60">Q41/S41</f>
        <v>50.509745796502763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2260364.6</v>
      </c>
      <c r="G42" s="190">
        <f t="shared" ref="G42" si="61">F42/F41-1</f>
        <v>0.12618060491719429</v>
      </c>
      <c r="H42" s="190">
        <f t="shared" ref="H42" si="62">F42/F30-1</f>
        <v>8.9426316776242354E-2</v>
      </c>
      <c r="I42" s="130">
        <f t="shared" si="0"/>
        <v>38.834165457353635</v>
      </c>
      <c r="J42" s="130">
        <f t="shared" si="4"/>
        <v>-4.5178970252508832E-2</v>
      </c>
      <c r="K42" s="193"/>
      <c r="L42" s="190"/>
      <c r="M42" s="190"/>
      <c r="N42" s="193"/>
      <c r="O42" s="193"/>
      <c r="P42" s="129" t="s">
        <v>826</v>
      </c>
      <c r="Q42" s="116">
        <v>45207292</v>
      </c>
      <c r="R42" s="116">
        <v>65407997078</v>
      </c>
      <c r="S42" s="116">
        <v>1164111.33</v>
      </c>
      <c r="T42" s="130">
        <f t="shared" ref="T42" si="63">Q42/S42</f>
        <v>38.834165457353635</v>
      </c>
      <c r="U42" s="78"/>
    </row>
    <row r="43" spans="1:21" s="79" customFormat="1" ht="13.2">
      <c r="A43" s="129" t="s">
        <v>835</v>
      </c>
      <c r="B43" s="188">
        <f>SUM(F41:F43)</f>
        <v>7201967.666666666</v>
      </c>
      <c r="C43" s="188">
        <f>AVERAGE(F41:F43)</f>
        <v>2400655.8888888885</v>
      </c>
      <c r="D43" s="190">
        <f>C43/C40-1</f>
        <v>-0.21190587778228787</v>
      </c>
      <c r="E43" s="287">
        <f>C43/C31-1</f>
        <v>9.2141046442399066E-2</v>
      </c>
      <c r="F43" s="136">
        <f>Q43/20</f>
        <v>2934496.4</v>
      </c>
      <c r="G43" s="190">
        <f t="shared" ref="G43" si="64">F43/F42-1</f>
        <v>0.29824029273861385</v>
      </c>
      <c r="H43" s="190">
        <f t="shared" ref="H43" si="65">F43/F31-1</f>
        <v>0.13620314322689664</v>
      </c>
      <c r="I43" s="130">
        <f t="shared" si="0"/>
        <v>45.585881237565374</v>
      </c>
      <c r="J43" s="130">
        <f t="shared" si="4"/>
        <v>6.6884695613281586E-2</v>
      </c>
      <c r="K43" s="136">
        <f>R41+R42+R43</f>
        <v>203385829033</v>
      </c>
      <c r="L43" s="190">
        <f>U43/U40-1</f>
        <v>-0.2602419433560228</v>
      </c>
      <c r="M43" s="190">
        <f>K43/K31-1</f>
        <v>0.14737296221582619</v>
      </c>
      <c r="N43" s="191">
        <f>AVERAGE(T41:T43)</f>
        <v>44.976597497140595</v>
      </c>
      <c r="O43" s="192">
        <f>N43/N40-1</f>
        <v>0.21133309286684199</v>
      </c>
      <c r="P43" s="129" t="s">
        <v>835</v>
      </c>
      <c r="Q43" s="116">
        <v>58689928</v>
      </c>
      <c r="R43" s="116">
        <v>85101096859</v>
      </c>
      <c r="S43" s="116">
        <v>1287458.45</v>
      </c>
      <c r="T43" s="130">
        <f t="shared" ref="T43" si="66">Q43/S43</f>
        <v>45.585881237565374</v>
      </c>
      <c r="U43" s="85">
        <f>Q41+Q42+Q43</f>
        <v>140025140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2499142.6363636362</v>
      </c>
      <c r="G44" s="190">
        <f t="shared" ref="G44" si="67">F44/F43-1</f>
        <v>-0.14835723214257945</v>
      </c>
      <c r="H44" s="190">
        <f t="shared" ref="H44" si="68">F44/F32-1</f>
        <v>2.0713360173554296E-2</v>
      </c>
      <c r="I44" s="130">
        <f t="shared" si="0"/>
        <v>44.517986218025229</v>
      </c>
      <c r="J44" s="130">
        <f t="shared" si="4"/>
        <v>5.5691479449210046E-2</v>
      </c>
      <c r="K44" s="136"/>
      <c r="L44" s="190"/>
      <c r="M44" s="190"/>
      <c r="N44" s="191"/>
      <c r="O44" s="192"/>
      <c r="P44" s="129" t="s">
        <v>843</v>
      </c>
      <c r="Q44" s="116">
        <v>54981138</v>
      </c>
      <c r="R44" s="116">
        <v>79715414367</v>
      </c>
      <c r="S44" s="116">
        <v>1235032.01</v>
      </c>
      <c r="T44" s="130">
        <f t="shared" ref="T44" si="69">Q44/S44</f>
        <v>44.517986218025229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2748756.4</v>
      </c>
      <c r="G45" s="190">
        <f t="shared" ref="G45" si="70">F45/F44-1</f>
        <v>9.9879758763814719E-2</v>
      </c>
      <c r="H45" s="190">
        <f t="shared" ref="H45" si="71">F45/F33-1</f>
        <v>0.11107423947928541</v>
      </c>
      <c r="I45" s="130">
        <f t="shared" si="0"/>
        <v>50.734315560930952</v>
      </c>
      <c r="J45" s="130">
        <f t="shared" si="4"/>
        <v>0.31335077387250942</v>
      </c>
      <c r="K45" s="136"/>
      <c r="L45" s="190"/>
      <c r="M45" s="190"/>
      <c r="N45" s="191"/>
      <c r="O45" s="192"/>
      <c r="P45" s="129" t="s">
        <v>849</v>
      </c>
      <c r="Q45" s="116">
        <v>54975128</v>
      </c>
      <c r="R45" s="116">
        <v>77293294376</v>
      </c>
      <c r="S45" s="116">
        <v>1083588.6399999999</v>
      </c>
      <c r="T45" s="130">
        <f t="shared" ref="T45" si="72">Q45/S45</f>
        <v>50.734315560930952</v>
      </c>
      <c r="U45" s="85"/>
    </row>
    <row r="46" spans="1:21" s="79" customFormat="1" ht="13.2">
      <c r="A46" s="129" t="s">
        <v>888</v>
      </c>
      <c r="B46" s="188">
        <f>SUM(F44:F46)</f>
        <v>8337595.1942583732</v>
      </c>
      <c r="C46" s="188">
        <f>AVERAGE(F44:F46)</f>
        <v>2779198.3980861246</v>
      </c>
      <c r="D46" s="190">
        <f>C46/C43-1</f>
        <v>0.1576829527918886</v>
      </c>
      <c r="E46" s="287">
        <f>C46/C34-1</f>
        <v>0.10363437322898239</v>
      </c>
      <c r="F46" s="136">
        <f>Q46/19</f>
        <v>3089696.1578947366</v>
      </c>
      <c r="G46" s="190">
        <f t="shared" ref="G46" si="73">F46/F45-1</f>
        <v>0.12403418429320867</v>
      </c>
      <c r="H46" s="190">
        <f t="shared" ref="H46" si="74">F46/F34-1</f>
        <v>0.17377130738891</v>
      </c>
      <c r="I46" s="130">
        <f t="shared" si="0"/>
        <v>43.557082543884057</v>
      </c>
      <c r="J46" s="130">
        <f t="shared" si="4"/>
        <v>0.11152777236709888</v>
      </c>
      <c r="K46" s="136">
        <f>R44+R45+R46</f>
        <v>237379428858</v>
      </c>
      <c r="L46" s="190">
        <f>U46/U43-1</f>
        <v>0.20450151308543596</v>
      </c>
      <c r="M46" s="190">
        <f>K46/K34-1</f>
        <v>0.13157356530076725</v>
      </c>
      <c r="N46" s="191">
        <f>AVERAGE(T44:T46)</f>
        <v>46.269794774280079</v>
      </c>
      <c r="O46" s="192">
        <f>N46/N43-1</f>
        <v>2.8752670257497837E-2</v>
      </c>
      <c r="P46" s="129" t="s">
        <v>928</v>
      </c>
      <c r="Q46" s="116">
        <v>58704227</v>
      </c>
      <c r="R46" s="116">
        <v>80370720115</v>
      </c>
      <c r="S46" s="116">
        <v>1347753.88</v>
      </c>
      <c r="T46" s="130">
        <f t="shared" ref="T46" si="75">Q46/S46</f>
        <v>43.557082543884057</v>
      </c>
      <c r="U46" s="85">
        <f t="shared" ref="U46:U51" si="76">Q44+Q45+Q46</f>
        <v>168660493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2439890.913043478</v>
      </c>
      <c r="G47" s="190">
        <f t="shared" ref="G47" si="77">F47/F46-1</f>
        <v>-0.21031363980269957</v>
      </c>
      <c r="H47" s="190">
        <f t="shared" ref="H47" si="78">F47/F35-1</f>
        <v>2.1305323322467817E-2</v>
      </c>
      <c r="I47" s="130">
        <f t="shared" si="0"/>
        <v>35.99915532916814</v>
      </c>
      <c r="J47" s="130">
        <f t="shared" si="4"/>
        <v>-8.9775957722463273E-3</v>
      </c>
      <c r="K47" s="136"/>
      <c r="L47" s="190"/>
      <c r="M47" s="190"/>
      <c r="N47" s="191"/>
      <c r="O47" s="192"/>
      <c r="P47" s="129" t="s">
        <v>991</v>
      </c>
      <c r="Q47" s="116">
        <v>56117491</v>
      </c>
      <c r="R47" s="116">
        <v>77082901032</v>
      </c>
      <c r="S47" s="116">
        <v>1558855.77</v>
      </c>
      <c r="T47" s="130">
        <f t="shared" ref="T47" si="79">Q47/S47</f>
        <v>35.99915532916814</v>
      </c>
      <c r="U47" s="85">
        <f t="shared" si="76"/>
        <v>169796846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2342404.7000000002</v>
      </c>
      <c r="G48" s="190">
        <f t="shared" ref="G48" si="80">F48/F47-1</f>
        <v>-3.9955152307147745E-2</v>
      </c>
      <c r="H48" s="190">
        <f t="shared" ref="H48" si="81">F48/F36-1</f>
        <v>0.17580582577554904</v>
      </c>
      <c r="I48" s="130">
        <f t="shared" si="0"/>
        <v>44.040303565382942</v>
      </c>
      <c r="J48" s="130">
        <f t="shared" si="4"/>
        <v>0.53134095305064233</v>
      </c>
      <c r="K48" s="136"/>
      <c r="L48" s="190"/>
      <c r="M48" s="190"/>
      <c r="N48" s="191"/>
      <c r="O48" s="192"/>
      <c r="P48" s="129" t="s">
        <v>1070</v>
      </c>
      <c r="Q48" s="116">
        <v>46848094</v>
      </c>
      <c r="R48" s="116">
        <v>65023026998</v>
      </c>
      <c r="S48" s="116">
        <v>1063755.02</v>
      </c>
      <c r="T48" s="130">
        <f t="shared" ref="T48" si="82">Q48/S48</f>
        <v>44.040303565382942</v>
      </c>
      <c r="U48" s="85">
        <f t="shared" si="76"/>
        <v>161669812</v>
      </c>
    </row>
    <row r="49" spans="1:26" ht="13.2">
      <c r="A49" s="129" t="s">
        <v>1158</v>
      </c>
      <c r="B49" s="188">
        <f>SUM(F47:F49)</f>
        <v>8170762.6584980227</v>
      </c>
      <c r="C49" s="188">
        <f>AVERAGE(F47:F49)</f>
        <v>2723587.5528326742</v>
      </c>
      <c r="D49" s="190">
        <f>C49/C46-1</f>
        <v>-2.0009670879108987E-2</v>
      </c>
      <c r="E49" s="287">
        <f>C49/C37-1</f>
        <v>0.16610912563122393</v>
      </c>
      <c r="F49" s="136">
        <f>Q49/22</f>
        <v>3388467.0454545454</v>
      </c>
      <c r="G49" s="190">
        <f t="shared" ref="G49" si="83">F49/F48-1</f>
        <v>0.4465762664558115</v>
      </c>
      <c r="H49" s="190">
        <f t="shared" ref="H49" si="84">F49/F37-1</f>
        <v>0.29050190245104268</v>
      </c>
      <c r="I49" s="130">
        <f t="shared" si="0"/>
        <v>42.966251795393191</v>
      </c>
      <c r="J49" s="130">
        <f t="shared" si="4"/>
        <v>0.30279075023148572</v>
      </c>
      <c r="K49" s="136">
        <f>R47+R48+R49</f>
        <v>245729827076</v>
      </c>
      <c r="L49" s="190">
        <f>U49/U46-1</f>
        <v>5.2480381401470266E-2</v>
      </c>
      <c r="M49" s="190">
        <f>K49/K37-1</f>
        <v>0.25298857448894729</v>
      </c>
      <c r="N49" s="191">
        <f>AVERAGE(T47:T49)</f>
        <v>41.001903563314755</v>
      </c>
      <c r="O49" s="192">
        <f>N49/N46-1</f>
        <v>-0.11385162256854398</v>
      </c>
      <c r="P49" s="129" t="s">
        <v>1158</v>
      </c>
      <c r="Q49" s="116">
        <v>74546275</v>
      </c>
      <c r="R49" s="116">
        <v>103623899046</v>
      </c>
      <c r="S49" s="116">
        <v>1734996</v>
      </c>
      <c r="T49" s="130">
        <f t="shared" ref="T49" si="85">Q49/S49</f>
        <v>42.966251795393191</v>
      </c>
      <c r="U49" s="85">
        <f t="shared" si="76"/>
        <v>177511860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2604740.4444444445</v>
      </c>
      <c r="G50" s="190">
        <f t="shared" ref="G50" si="86">F50/F49-1</f>
        <v>-0.2312923780862588</v>
      </c>
      <c r="H50" s="190">
        <f t="shared" ref="H50" si="87">F50/F38-1</f>
        <v>-6.8246734960809574E-3</v>
      </c>
      <c r="I50" s="130">
        <f t="shared" ref="I50" si="88">T50</f>
        <v>46.336414783012586</v>
      </c>
      <c r="J50" s="130">
        <f t="shared" ref="J50" si="89">I50/I38-1</f>
        <v>5.2018814121604917E-2</v>
      </c>
      <c r="K50" s="136"/>
      <c r="L50" s="190"/>
      <c r="M50" s="190"/>
      <c r="N50" s="191"/>
      <c r="O50" s="192"/>
      <c r="P50" s="129" t="s">
        <v>1345</v>
      </c>
      <c r="Q50" s="116">
        <v>46885328</v>
      </c>
      <c r="R50" s="116">
        <v>66328481271</v>
      </c>
      <c r="S50" s="116">
        <v>1011846.26</v>
      </c>
      <c r="T50" s="130">
        <f t="shared" ref="T50" si="90">Q50/S50</f>
        <v>46.336414783012586</v>
      </c>
      <c r="U50" s="85">
        <f t="shared" si="76"/>
        <v>168279697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3139021.35</v>
      </c>
      <c r="G51" s="190">
        <f t="shared" ref="G51:G52" si="91">F51/F50-1</f>
        <v>0.20511867379918947</v>
      </c>
      <c r="H51" s="190">
        <f t="shared" ref="H51:H52" si="92">F51/F39-1</f>
        <v>5.5672824414401134E-3</v>
      </c>
      <c r="I51" s="130">
        <f t="shared" ref="I51:I52" si="93">T51</f>
        <v>38.721859806048471</v>
      </c>
      <c r="J51" s="130">
        <f t="shared" ref="J51:J52" si="94">I51/I39-1</f>
        <v>0.20674338844072127</v>
      </c>
      <c r="K51" s="136"/>
      <c r="L51" s="190"/>
      <c r="M51" s="190"/>
      <c r="N51" s="191"/>
      <c r="O51" s="192"/>
      <c r="P51" s="129" t="s">
        <v>1402</v>
      </c>
      <c r="Q51" s="116">
        <v>62780427</v>
      </c>
      <c r="R51" s="116">
        <v>91096465334</v>
      </c>
      <c r="S51" s="116">
        <v>1621317.45</v>
      </c>
      <c r="T51" s="130">
        <f t="shared" ref="T51:T52" si="95">Q51/S51</f>
        <v>38.721859806048471</v>
      </c>
      <c r="U51" s="85">
        <f t="shared" si="76"/>
        <v>184212030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8806584.5217171721</v>
      </c>
      <c r="C52" s="188">
        <f>AVERAGE(F50:F52)</f>
        <v>2935528.1739057242</v>
      </c>
      <c r="D52" s="190">
        <f>C52/C49-1</f>
        <v>7.7816709381205884E-2</v>
      </c>
      <c r="E52" s="287">
        <f>C52/C40-1</f>
        <v>-3.6316487436958367E-2</v>
      </c>
      <c r="F52" s="136">
        <f>Q52/22</f>
        <v>3062822.7272727271</v>
      </c>
      <c r="G52" s="190">
        <f t="shared" si="91"/>
        <v>-2.4274643027602516E-2</v>
      </c>
      <c r="H52" s="190">
        <f t="shared" si="92"/>
        <v>-9.7625119986871844E-2</v>
      </c>
      <c r="I52" s="130">
        <f t="shared" si="93"/>
        <v>36.486347727481728</v>
      </c>
      <c r="J52" s="130">
        <f t="shared" si="94"/>
        <v>3.488664357829574E-2</v>
      </c>
      <c r="K52" s="136">
        <f>R50+R51+R52</f>
        <v>256541885790</v>
      </c>
      <c r="L52" s="190">
        <f>U52/U49-1</f>
        <v>-2.6139380208173302E-3</v>
      </c>
      <c r="M52" s="190">
        <f>K52/K40-1</f>
        <v>-2.3840352304860923E-2</v>
      </c>
      <c r="N52" s="191">
        <f>AVERAGE(T50:T52)</f>
        <v>40.514874105514259</v>
      </c>
      <c r="O52" s="192">
        <f>N52/N49-1</f>
        <v>-1.1878215777187728E-2</v>
      </c>
      <c r="P52" s="129" t="s">
        <v>1403</v>
      </c>
      <c r="Q52" s="116">
        <v>67382100</v>
      </c>
      <c r="R52" s="116">
        <v>99116939185</v>
      </c>
      <c r="S52" s="116">
        <v>1846775.69</v>
      </c>
      <c r="T52" s="130">
        <f t="shared" si="95"/>
        <v>36.486347727481728</v>
      </c>
      <c r="U52" s="85">
        <f t="shared" ref="U52" si="96">Q50+Q51+Q52</f>
        <v>177047855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2283383.5238095238</v>
      </c>
      <c r="G53" s="190">
        <f t="shared" ref="G53" si="97">F53/F52-1</f>
        <v>-0.25448394271164709</v>
      </c>
      <c r="H53" s="190">
        <f t="shared" ref="H53" si="98">F53/F41-1</f>
        <v>0.13764931467328934</v>
      </c>
      <c r="I53" s="130">
        <f t="shared" ref="I53" si="99">T53</f>
        <v>56.451308579085868</v>
      </c>
      <c r="J53" s="130">
        <f t="shared" ref="J53" si="100">I53/I41-1</f>
        <v>0.11763200722729628</v>
      </c>
      <c r="K53" s="136"/>
      <c r="L53" s="190"/>
      <c r="M53" s="190"/>
      <c r="N53" s="191"/>
      <c r="O53" s="192"/>
      <c r="P53" s="129" t="s">
        <v>1414</v>
      </c>
      <c r="Q53" s="116">
        <v>47951054</v>
      </c>
      <c r="R53" s="116">
        <v>69775480212</v>
      </c>
      <c r="S53" s="116">
        <v>849423.25</v>
      </c>
      <c r="T53" s="130">
        <f t="shared" ref="T53" si="101">Q53/S53</f>
        <v>56.451308579085868</v>
      </c>
      <c r="U53" s="85">
        <f t="shared" ref="U53" si="102">Q51+Q52+Q53</f>
        <v>178113581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2576970.1176470588</v>
      </c>
      <c r="G54" s="190">
        <f t="shared" ref="G54" si="103">F54/F53-1</f>
        <v>0.12857524405174159</v>
      </c>
      <c r="H54" s="190">
        <f t="shared" ref="H54" si="104">F54/F42-1</f>
        <v>0.14006834014612446</v>
      </c>
      <c r="I54" s="130">
        <f t="shared" ref="I54" si="105">T54</f>
        <v>48.033036463746001</v>
      </c>
      <c r="J54" s="130">
        <f t="shared" ref="J54" si="106">I54/I42-1</f>
        <v>0.23687572265443047</v>
      </c>
      <c r="K54" s="136"/>
      <c r="L54" s="190"/>
      <c r="M54" s="190"/>
      <c r="N54" s="191"/>
      <c r="O54" s="192"/>
      <c r="P54" s="129" t="s">
        <v>1417</v>
      </c>
      <c r="Q54" s="116">
        <v>43808492</v>
      </c>
      <c r="R54" s="116">
        <v>63438492201</v>
      </c>
      <c r="S54" s="116">
        <v>912049.19</v>
      </c>
      <c r="T54" s="130">
        <f t="shared" ref="T54" si="107">Q54/S54</f>
        <v>48.033036463746001</v>
      </c>
      <c r="U54" s="85">
        <f t="shared" ref="U54" si="108">Q52+Q53+Q54</f>
        <v>159141646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7869037.3557422962</v>
      </c>
      <c r="C55" s="188">
        <f>AVERAGE(F53:F55)</f>
        <v>2623012.4519140986</v>
      </c>
      <c r="D55" s="190">
        <f>C55/C52-1</f>
        <v>-0.10645979308582931</v>
      </c>
      <c r="E55" s="287">
        <f>C55/C43-1</f>
        <v>9.2623255192198606E-2</v>
      </c>
      <c r="F55" s="136">
        <f>Q55/21</f>
        <v>3008683.7142857141</v>
      </c>
      <c r="G55" s="190">
        <f t="shared" ref="G55" si="109">F55/F54-1</f>
        <v>0.16752759129113914</v>
      </c>
      <c r="H55" s="190">
        <f t="shared" ref="H55" si="110">F55/F43-1</f>
        <v>2.5281105911635793E-2</v>
      </c>
      <c r="I55" s="130">
        <f>T55</f>
        <v>42.812609763355525</v>
      </c>
      <c r="J55" s="130">
        <f t="shared" ref="J55" si="111">I55/I43-1</f>
        <v>-6.0836193113329884E-2</v>
      </c>
      <c r="K55" s="136">
        <f>R53+R54+R55</f>
        <v>226377395356</v>
      </c>
      <c r="L55" s="190">
        <f>U55/U52-1</f>
        <v>-0.12485862085140764</v>
      </c>
      <c r="M55" s="190">
        <f>K55/K43-1</f>
        <v>0.11304409177529062</v>
      </c>
      <c r="N55" s="191">
        <f>AVERAGE(T53:T55)</f>
        <v>49.098984935395798</v>
      </c>
      <c r="O55" s="192">
        <f>N55/N52-1</f>
        <v>0.21187554001835585</v>
      </c>
      <c r="P55" s="129" t="s">
        <v>1418</v>
      </c>
      <c r="Q55" s="116">
        <v>63182358</v>
      </c>
      <c r="R55" s="116">
        <v>93163422943</v>
      </c>
      <c r="S55" s="116">
        <v>1475788.52</v>
      </c>
      <c r="T55" s="130">
        <f t="shared" ref="T55" si="112">Q55/S55</f>
        <v>42.812609763355525</v>
      </c>
      <c r="U55" s="85">
        <f t="shared" ref="U55" si="113">Q53+Q54+Q55</f>
        <v>154941904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2816262.1818181816</v>
      </c>
      <c r="G56" s="190">
        <f t="shared" ref="G56" si="114">F56/F55-1</f>
        <v>-6.3955387385481566E-2</v>
      </c>
      <c r="H56" s="190">
        <f t="shared" ref="H56" si="115">F56/F44-1</f>
        <v>0.12689133498837357</v>
      </c>
      <c r="I56" s="291">
        <f>T56</f>
        <v>42.80593683355773</v>
      </c>
      <c r="J56" s="130">
        <f t="shared" ref="J56" si="116">I56/I44-1</f>
        <v>-3.8457475953265208E-2</v>
      </c>
      <c r="K56" s="136"/>
      <c r="L56" s="190"/>
      <c r="M56" s="190"/>
      <c r="N56" s="191"/>
      <c r="O56" s="192"/>
      <c r="P56" s="129" t="s">
        <v>1420</v>
      </c>
      <c r="Q56" s="116">
        <v>61957768</v>
      </c>
      <c r="R56" s="116">
        <v>92518623905</v>
      </c>
      <c r="S56" s="116">
        <v>1447410.63</v>
      </c>
      <c r="T56" s="130">
        <f t="shared" ref="T56" si="117">Q56/S56</f>
        <v>42.80593683355773</v>
      </c>
      <c r="U56" s="85">
        <f t="shared" ref="U56" si="118">Q54+Q55+Q56</f>
        <v>168948618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2935915</v>
      </c>
      <c r="G57" s="254">
        <f t="shared" ref="G57" si="119">F57/F56-1</f>
        <v>4.2486391698293602E-2</v>
      </c>
      <c r="H57" s="254">
        <f t="shared" ref="H57" si="120">F57/F45-1</f>
        <v>6.8088463568470425E-2</v>
      </c>
      <c r="I57" s="282">
        <f>T57</f>
        <v>49.791592015510687</v>
      </c>
      <c r="J57" s="277">
        <f t="shared" ref="J57" si="121">I57/I45-1</f>
        <v>-1.8581576098884667E-2</v>
      </c>
      <c r="K57" s="204"/>
      <c r="L57" s="254"/>
      <c r="M57" s="254"/>
      <c r="N57" s="257"/>
      <c r="O57" s="258"/>
      <c r="P57" s="129" t="s">
        <v>1436</v>
      </c>
      <c r="Q57" s="116">
        <v>35230980</v>
      </c>
      <c r="R57" s="116">
        <v>51851302961</v>
      </c>
      <c r="S57" s="116">
        <v>707568.86</v>
      </c>
      <c r="T57" s="130">
        <f t="shared" ref="T57" si="122">Q57/S57</f>
        <v>49.791592015510687</v>
      </c>
      <c r="U57" s="85">
        <f t="shared" ref="U57" si="123">Q55+Q56+Q57</f>
        <v>160371106</v>
      </c>
      <c r="V57" s="79"/>
      <c r="W57" s="79"/>
      <c r="X57" s="79"/>
      <c r="Y57" s="79"/>
      <c r="Z57" s="79"/>
    </row>
    <row r="58" spans="1:26">
      <c r="B58" s="196">
        <f>SUM(F56:F58)</f>
        <v>5752177.1818181816</v>
      </c>
      <c r="C58" s="196">
        <f>AVERAGE(F56:F58)</f>
        <v>2876088.5909090908</v>
      </c>
      <c r="D58" s="197">
        <f>C58/C55-1</f>
        <v>9.6483010902336463E-2</v>
      </c>
      <c r="E58" s="233">
        <f>C58/C46-1</f>
        <v>3.4862639849565724E-2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252130652</v>
      </c>
      <c r="R66" s="212">
        <v>370747322222</v>
      </c>
      <c r="S66" s="213">
        <v>5392240.4699999997</v>
      </c>
      <c r="T66" s="214">
        <v>614</v>
      </c>
      <c r="U66" s="214">
        <v>3956</v>
      </c>
    </row>
    <row r="67" spans="16:21" ht="18" thickBot="1">
      <c r="P67" s="180" t="s">
        <v>976</v>
      </c>
      <c r="Q67" s="181">
        <v>47951054</v>
      </c>
      <c r="R67" s="181">
        <v>69775480212</v>
      </c>
      <c r="S67" s="182">
        <v>849423.25</v>
      </c>
      <c r="T67" s="210">
        <v>361</v>
      </c>
      <c r="U67" s="210">
        <v>1441</v>
      </c>
    </row>
    <row r="68" spans="16:21" ht="18" thickBot="1">
      <c r="P68" s="180" t="s">
        <v>977</v>
      </c>
      <c r="Q68" s="181">
        <v>43808492</v>
      </c>
      <c r="R68" s="181">
        <v>63438492201</v>
      </c>
      <c r="S68" s="182">
        <v>912049.19</v>
      </c>
      <c r="T68" s="210">
        <v>352</v>
      </c>
      <c r="U68" s="210">
        <v>1286</v>
      </c>
    </row>
    <row r="69" spans="16:21" ht="18" thickBot="1">
      <c r="P69" s="180" t="s">
        <v>978</v>
      </c>
      <c r="Q69" s="181">
        <v>63182358</v>
      </c>
      <c r="R69" s="181">
        <v>93163422943</v>
      </c>
      <c r="S69" s="182">
        <v>1475788.52</v>
      </c>
      <c r="T69" s="210">
        <v>359</v>
      </c>
      <c r="U69" s="210">
        <v>1476</v>
      </c>
    </row>
    <row r="70" spans="16:21" ht="18" thickBot="1">
      <c r="P70" s="180" t="s">
        <v>979</v>
      </c>
      <c r="Q70" s="181">
        <v>61957768</v>
      </c>
      <c r="R70" s="181">
        <v>92518623905</v>
      </c>
      <c r="S70" s="182">
        <v>1447410.63</v>
      </c>
      <c r="T70" s="210">
        <v>380</v>
      </c>
      <c r="U70" s="210">
        <v>1643</v>
      </c>
    </row>
    <row r="71" spans="16:21" ht="18" thickBot="1">
      <c r="P71" s="180" t="s">
        <v>980</v>
      </c>
      <c r="Q71" s="181">
        <v>35230980</v>
      </c>
      <c r="R71" s="181">
        <v>51851302961</v>
      </c>
      <c r="S71" s="182">
        <v>707568.86</v>
      </c>
      <c r="T71" s="210">
        <v>296</v>
      </c>
      <c r="U71" s="210">
        <v>1129</v>
      </c>
    </row>
    <row r="72" spans="16:21" ht="18" thickBot="1">
      <c r="P72" s="180" t="s">
        <v>975</v>
      </c>
      <c r="Q72" s="181">
        <v>662760280</v>
      </c>
      <c r="R72" s="181">
        <v>942359220014</v>
      </c>
      <c r="S72" s="182">
        <v>15669522.07</v>
      </c>
      <c r="T72" s="210">
        <v>826</v>
      </c>
      <c r="U72" s="210">
        <v>8019</v>
      </c>
    </row>
    <row r="73" spans="16:21" ht="18" thickBot="1">
      <c r="P73" s="180" t="s">
        <v>982</v>
      </c>
      <c r="Q73" s="181">
        <v>620390187</v>
      </c>
      <c r="R73" s="181">
        <v>845949859284</v>
      </c>
      <c r="S73" s="182">
        <v>16559581.380000001</v>
      </c>
      <c r="T73" s="210">
        <v>787</v>
      </c>
      <c r="U73" s="210">
        <v>5778</v>
      </c>
    </row>
    <row r="74" spans="16:21" ht="18" thickBot="1">
      <c r="P74" s="215" t="s">
        <v>1386</v>
      </c>
      <c r="Q74" s="217" t="s">
        <v>1531</v>
      </c>
      <c r="R74"/>
      <c r="S74"/>
      <c r="T74"/>
      <c r="U74"/>
    </row>
  </sheetData>
  <phoneticPr fontId="1" type="noConversion"/>
  <conditionalFormatting sqref="C29:C30">
    <cfRule type="cellIs" dxfId="5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52"/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8504909000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2108731.4500000002</v>
      </c>
      <c r="G5" s="90"/>
      <c r="H5" s="90"/>
      <c r="I5" s="130">
        <f t="shared" ref="I5:I49" si="0">T5</f>
        <v>13.714896458433651</v>
      </c>
      <c r="J5" s="130"/>
      <c r="L5" s="80"/>
      <c r="M5" s="80"/>
      <c r="P5" s="129" t="s">
        <v>0</v>
      </c>
      <c r="Q5" s="116">
        <v>42174629</v>
      </c>
      <c r="R5" s="116"/>
      <c r="S5" s="116">
        <v>3075096.42</v>
      </c>
      <c r="T5" s="130">
        <f t="shared" ref="T5:T23" si="1">Q5/S5</f>
        <v>13.714896458433651</v>
      </c>
      <c r="U5" s="85"/>
    </row>
    <row r="6" spans="1:21" ht="15" hidden="1" customHeight="1">
      <c r="A6" s="129" t="s">
        <v>1</v>
      </c>
      <c r="C6" s="79"/>
      <c r="F6" s="78">
        <f>Q6/18</f>
        <v>2321754.5</v>
      </c>
      <c r="G6" s="90">
        <f t="shared" ref="G6:G22" si="2">F6/F5-1</f>
        <v>0.10101952526956426</v>
      </c>
      <c r="H6" s="90"/>
      <c r="I6" s="130">
        <f t="shared" si="0"/>
        <v>14.271325247927747</v>
      </c>
      <c r="J6" s="130"/>
      <c r="P6" s="129" t="s">
        <v>1</v>
      </c>
      <c r="Q6" s="116">
        <v>41791581</v>
      </c>
      <c r="R6" s="116"/>
      <c r="S6" s="116">
        <v>2928360.21</v>
      </c>
      <c r="T6" s="130">
        <f t="shared" si="1"/>
        <v>14.271325247927747</v>
      </c>
      <c r="U6" s="85"/>
    </row>
    <row r="7" spans="1:21" ht="15" hidden="1" customHeight="1">
      <c r="A7" s="129" t="s">
        <v>2</v>
      </c>
      <c r="B7" s="131">
        <f>F5+F6+F7</f>
        <v>6408189.3590909094</v>
      </c>
      <c r="C7" s="131">
        <f>AVERAGE(F5:F7)</f>
        <v>2136063.1196969696</v>
      </c>
      <c r="F7" s="78">
        <f>Q7/22</f>
        <v>1977703.4090909092</v>
      </c>
      <c r="G7" s="90">
        <f t="shared" si="2"/>
        <v>-0.14818581848730816</v>
      </c>
      <c r="H7" s="90"/>
      <c r="I7" s="130">
        <f t="shared" si="0"/>
        <v>16.093745292564314</v>
      </c>
      <c r="J7" s="130"/>
      <c r="K7" s="79">
        <f>R5+R6+R7</f>
        <v>0</v>
      </c>
      <c r="N7" s="88">
        <f>AVERAGE(T5:T7)</f>
        <v>14.693322332975237</v>
      </c>
      <c r="P7" s="129" t="s">
        <v>2</v>
      </c>
      <c r="Q7" s="116">
        <v>43509475</v>
      </c>
      <c r="R7" s="116"/>
      <c r="S7" s="116">
        <v>2703502.15</v>
      </c>
      <c r="T7" s="130">
        <f t="shared" si="1"/>
        <v>16.093745292564314</v>
      </c>
      <c r="U7" s="85">
        <f>Q5+Q6+Q7</f>
        <v>127475685</v>
      </c>
    </row>
    <row r="8" spans="1:21" ht="15" hidden="1" customHeight="1">
      <c r="A8" s="129" t="s">
        <v>3</v>
      </c>
      <c r="C8" s="79"/>
      <c r="F8" s="78">
        <f>Q8/21</f>
        <v>1950017.0952380951</v>
      </c>
      <c r="G8" s="90">
        <f t="shared" si="2"/>
        <v>-1.3999224416334832E-2</v>
      </c>
      <c r="H8" s="90"/>
      <c r="I8" s="130">
        <f t="shared" si="0"/>
        <v>17.539413822595339</v>
      </c>
      <c r="J8" s="130"/>
      <c r="K8" s="78"/>
      <c r="P8" s="129" t="s">
        <v>3</v>
      </c>
      <c r="Q8" s="116">
        <v>40950359</v>
      </c>
      <c r="R8" s="116"/>
      <c r="S8" s="116">
        <v>2334762.12</v>
      </c>
      <c r="T8" s="130">
        <f t="shared" si="1"/>
        <v>17.539413822595339</v>
      </c>
      <c r="U8" s="85"/>
    </row>
    <row r="9" spans="1:21" ht="15" hidden="1" customHeight="1">
      <c r="A9" s="129" t="s">
        <v>4</v>
      </c>
      <c r="C9" s="79"/>
      <c r="F9" s="78">
        <f>Q9/21</f>
        <v>1874194.4761904762</v>
      </c>
      <c r="G9" s="90">
        <f t="shared" si="2"/>
        <v>-3.8883053503877663E-2</v>
      </c>
      <c r="H9" s="90"/>
      <c r="I9" s="130">
        <f t="shared" si="0"/>
        <v>14.464023554221436</v>
      </c>
      <c r="J9" s="130"/>
      <c r="K9" s="78"/>
      <c r="P9" s="129" t="s">
        <v>4</v>
      </c>
      <c r="Q9" s="116">
        <v>39358084</v>
      </c>
      <c r="R9" s="116"/>
      <c r="S9" s="116">
        <v>2721102.04</v>
      </c>
      <c r="T9" s="130">
        <f t="shared" si="1"/>
        <v>14.464023554221436</v>
      </c>
      <c r="U9" s="85"/>
    </row>
    <row r="10" spans="1:21" ht="15" hidden="1" customHeight="1">
      <c r="A10" s="129" t="s">
        <v>5</v>
      </c>
      <c r="B10" s="131">
        <f>F8+F9+F10</f>
        <v>5776721.8095238097</v>
      </c>
      <c r="C10" s="131">
        <f>AVERAGE(F8:F10)</f>
        <v>1925573.9365079366</v>
      </c>
      <c r="D10" s="90">
        <f>C10/C7-1</f>
        <v>-9.8540713169044336E-2</v>
      </c>
      <c r="E10" s="286"/>
      <c r="F10" s="78">
        <f>Q10/21</f>
        <v>1952510.2380952381</v>
      </c>
      <c r="G10" s="90">
        <f t="shared" si="2"/>
        <v>4.1786358299352067E-2</v>
      </c>
      <c r="H10" s="90"/>
      <c r="I10" s="130">
        <f t="shared" si="0"/>
        <v>18.518794776553424</v>
      </c>
      <c r="J10" s="130"/>
      <c r="K10" s="79">
        <f>R8+R9+R10</f>
        <v>0</v>
      </c>
      <c r="L10" s="87">
        <f>U10/U7-1</f>
        <v>-4.8358453614114727E-2</v>
      </c>
      <c r="N10" s="88">
        <f>AVERAGE(T8:T10)</f>
        <v>16.840744051123398</v>
      </c>
      <c r="O10" s="89">
        <f>N10/N7-1</f>
        <v>0.1461495003977995</v>
      </c>
      <c r="P10" s="129" t="s">
        <v>5</v>
      </c>
      <c r="Q10" s="116">
        <v>41002715</v>
      </c>
      <c r="R10" s="116"/>
      <c r="S10" s="116">
        <v>2214113.58</v>
      </c>
      <c r="T10" s="130">
        <f t="shared" si="1"/>
        <v>18.518794776553424</v>
      </c>
      <c r="U10" s="85">
        <f>Q8+Q9+Q10</f>
        <v>121311158</v>
      </c>
    </row>
    <row r="11" spans="1:21" ht="15" hidden="1" customHeight="1">
      <c r="A11" s="129" t="s">
        <v>6</v>
      </c>
      <c r="C11" s="79"/>
      <c r="F11" s="78">
        <f>Q11/21</f>
        <v>2009570.4285714286</v>
      </c>
      <c r="G11" s="90">
        <f t="shared" si="2"/>
        <v>2.9224016019427035E-2</v>
      </c>
      <c r="H11" s="90"/>
      <c r="I11" s="130">
        <f t="shared" si="0"/>
        <v>13.36748913652211</v>
      </c>
      <c r="J11" s="130"/>
      <c r="K11" s="78"/>
      <c r="O11" s="89"/>
      <c r="P11" s="129" t="s">
        <v>6</v>
      </c>
      <c r="Q11" s="116">
        <v>42200979</v>
      </c>
      <c r="R11" s="116"/>
      <c r="S11" s="116">
        <v>3156986.22</v>
      </c>
      <c r="T11" s="130">
        <f t="shared" si="1"/>
        <v>13.36748913652211</v>
      </c>
      <c r="U11" s="85"/>
    </row>
    <row r="12" spans="1:21" ht="15" hidden="1" customHeight="1">
      <c r="A12" s="129" t="s">
        <v>7</v>
      </c>
      <c r="C12" s="79"/>
      <c r="F12" s="78">
        <f>Q12/22</f>
        <v>1554428.7272727273</v>
      </c>
      <c r="G12" s="90">
        <f t="shared" si="2"/>
        <v>-0.22648706152700215</v>
      </c>
      <c r="H12" s="90"/>
      <c r="I12" s="130">
        <f t="shared" si="0"/>
        <v>12.350744981552506</v>
      </c>
      <c r="J12" s="130"/>
      <c r="K12" s="78"/>
      <c r="O12" s="89"/>
      <c r="P12" s="129" t="s">
        <v>7</v>
      </c>
      <c r="Q12" s="116">
        <v>34197432</v>
      </c>
      <c r="R12" s="116"/>
      <c r="S12" s="116">
        <v>2768855.81</v>
      </c>
      <c r="T12" s="130">
        <f t="shared" si="1"/>
        <v>12.350744981552506</v>
      </c>
      <c r="U12" s="85"/>
    </row>
    <row r="13" spans="1:21" ht="15" hidden="1" customHeight="1">
      <c r="A13" s="129" t="s">
        <v>96</v>
      </c>
      <c r="B13" s="131">
        <f>F11+F12+F13</f>
        <v>5417022.8058441561</v>
      </c>
      <c r="C13" s="131">
        <f>AVERAGE(F11:F13)</f>
        <v>1805674.2686147187</v>
      </c>
      <c r="D13" s="90">
        <f>C13/C10-1</f>
        <v>-6.2266976936059981E-2</v>
      </c>
      <c r="E13" s="286"/>
      <c r="F13" s="78">
        <f>Q13/20</f>
        <v>1853023.65</v>
      </c>
      <c r="G13" s="90">
        <f t="shared" si="2"/>
        <v>0.19209302909060533</v>
      </c>
      <c r="H13" s="90"/>
      <c r="I13" s="130">
        <f t="shared" si="0"/>
        <v>13.030627103056071</v>
      </c>
      <c r="J13" s="130"/>
      <c r="K13" s="78">
        <f>R11+R12+R13</f>
        <v>0</v>
      </c>
      <c r="L13" s="87">
        <f>U13/U10-1</f>
        <v>-6.4728373955510343E-2</v>
      </c>
      <c r="N13" s="88">
        <f>AVERAGE(T11:T13)</f>
        <v>12.91628707371023</v>
      </c>
      <c r="O13" s="89">
        <f>N13/N10-1</f>
        <v>-0.23303346725653606</v>
      </c>
      <c r="P13" s="129" t="s">
        <v>96</v>
      </c>
      <c r="Q13" s="116">
        <v>37060473</v>
      </c>
      <c r="R13" s="116"/>
      <c r="S13" s="116">
        <v>2844105.1</v>
      </c>
      <c r="T13" s="130">
        <f t="shared" si="1"/>
        <v>13.030627103056071</v>
      </c>
      <c r="U13" s="85">
        <f>Q11+Q12+Q13</f>
        <v>113458884</v>
      </c>
    </row>
    <row r="14" spans="1:21" ht="15" hidden="1" customHeight="1">
      <c r="A14" s="129" t="s">
        <v>97</v>
      </c>
      <c r="C14" s="79"/>
      <c r="F14" s="78">
        <f>Q14/20</f>
        <v>1459317.95</v>
      </c>
      <c r="G14" s="90">
        <f t="shared" si="2"/>
        <v>-0.21246663527473053</v>
      </c>
      <c r="H14" s="90"/>
      <c r="I14" s="130">
        <f t="shared" si="0"/>
        <v>15.542560848395901</v>
      </c>
      <c r="J14" s="130"/>
      <c r="O14" s="89"/>
      <c r="P14" s="129" t="s">
        <v>97</v>
      </c>
      <c r="Q14" s="116">
        <v>29186359</v>
      </c>
      <c r="R14" s="116"/>
      <c r="S14" s="116">
        <v>1877834.63</v>
      </c>
      <c r="T14" s="130">
        <f t="shared" si="1"/>
        <v>15.542560848395901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1412775.7727272727</v>
      </c>
      <c r="G15" s="90">
        <f t="shared" si="2"/>
        <v>-3.189310271468071E-2</v>
      </c>
      <c r="H15" s="90"/>
      <c r="I15" s="130">
        <f t="shared" si="0"/>
        <v>14.173036326424755</v>
      </c>
      <c r="J15" s="130"/>
      <c r="O15" s="89"/>
      <c r="P15" s="129" t="s">
        <v>98</v>
      </c>
      <c r="Q15" s="116">
        <v>31081067</v>
      </c>
      <c r="R15" s="116"/>
      <c r="S15" s="116">
        <v>2192971.66</v>
      </c>
      <c r="T15" s="130">
        <f t="shared" si="1"/>
        <v>14.173036326424755</v>
      </c>
      <c r="U15" s="78"/>
    </row>
    <row r="16" spans="1:21" ht="15" hidden="1" customHeight="1">
      <c r="A16" s="129" t="s">
        <v>99</v>
      </c>
      <c r="B16" s="131">
        <f>F14+F15+F16</f>
        <v>4262170.6318181818</v>
      </c>
      <c r="C16" s="131">
        <f>AVERAGE(F14:F16)</f>
        <v>1420723.5439393939</v>
      </c>
      <c r="D16" s="90">
        <f>C16/C13-1</f>
        <v>-0.21318946133659655</v>
      </c>
      <c r="E16" s="286"/>
      <c r="F16" s="78">
        <f>Q16/22</f>
        <v>1390076.9090909092</v>
      </c>
      <c r="G16" s="90">
        <f t="shared" si="2"/>
        <v>-1.6066855105070776E-2</v>
      </c>
      <c r="H16" s="90"/>
      <c r="I16" s="130">
        <f t="shared" si="0"/>
        <v>15.123242364035727</v>
      </c>
      <c r="J16" s="130"/>
      <c r="K16" s="78">
        <f>R14+R15+R16</f>
        <v>0</v>
      </c>
      <c r="L16" s="87">
        <f>U16/U13-1</f>
        <v>-0.19927717603850215</v>
      </c>
      <c r="N16" s="88">
        <f>AVERAGE(T14:T16)</f>
        <v>14.946279846285462</v>
      </c>
      <c r="O16" s="89">
        <f>N16/N13-1</f>
        <v>0.15716534953044459</v>
      </c>
      <c r="P16" s="129" t="s">
        <v>99</v>
      </c>
      <c r="Q16" s="116">
        <v>30581692</v>
      </c>
      <c r="R16" s="116"/>
      <c r="S16" s="116">
        <v>2022165.04</v>
      </c>
      <c r="T16" s="130">
        <f t="shared" si="1"/>
        <v>15.123242364035727</v>
      </c>
      <c r="U16" s="85">
        <f>Q14+Q15+Q16</f>
        <v>90849118</v>
      </c>
    </row>
    <row r="17" spans="1:21" ht="15" hidden="1" customHeight="1">
      <c r="A17" s="129" t="s">
        <v>100</v>
      </c>
      <c r="C17" s="79"/>
      <c r="F17" s="78">
        <f>Q17/20</f>
        <v>1324092.8999999999</v>
      </c>
      <c r="G17" s="90">
        <f t="shared" si="2"/>
        <v>-4.7467883725988869E-2</v>
      </c>
      <c r="H17" s="90">
        <f t="shared" ref="H17:H22" si="3">F17/F5-1</f>
        <v>-0.37209031524616387</v>
      </c>
      <c r="I17" s="130">
        <f t="shared" si="0"/>
        <v>16.452099150813783</v>
      </c>
      <c r="J17" s="130">
        <f t="shared" ref="J17:J49" si="4">I17/I5-1</f>
        <v>0.19957880839099973</v>
      </c>
      <c r="O17" s="89"/>
      <c r="P17" s="129" t="s">
        <v>100</v>
      </c>
      <c r="Q17" s="116">
        <v>26481858</v>
      </c>
      <c r="R17" s="116">
        <v>33350446249</v>
      </c>
      <c r="S17" s="116">
        <v>1609633.99</v>
      </c>
      <c r="T17" s="130">
        <f t="shared" si="1"/>
        <v>16.452099150813783</v>
      </c>
      <c r="U17" s="78"/>
    </row>
    <row r="18" spans="1:21" ht="15" hidden="1" customHeight="1">
      <c r="A18" s="129" t="s">
        <v>106</v>
      </c>
      <c r="C18" s="79"/>
      <c r="F18" s="78">
        <f>Q18/20</f>
        <v>1477642.5</v>
      </c>
      <c r="G18" s="90">
        <f t="shared" si="2"/>
        <v>0.11596588124594587</v>
      </c>
      <c r="H18" s="90">
        <f t="shared" si="3"/>
        <v>-0.3635664321959966</v>
      </c>
      <c r="I18" s="130">
        <f t="shared" si="0"/>
        <v>15.596312215764172</v>
      </c>
      <c r="J18" s="130">
        <f t="shared" si="4"/>
        <v>9.2842601847983097E-2</v>
      </c>
      <c r="O18" s="89"/>
      <c r="P18" s="129" t="s">
        <v>106</v>
      </c>
      <c r="Q18" s="116">
        <v>29552850</v>
      </c>
      <c r="R18" s="116">
        <v>36919124379</v>
      </c>
      <c r="S18" s="116">
        <v>1894861.4</v>
      </c>
      <c r="T18" s="130">
        <f t="shared" si="1"/>
        <v>15.596312215764172</v>
      </c>
      <c r="U18" s="78"/>
    </row>
    <row r="19" spans="1:21" hidden="1">
      <c r="A19" s="129" t="s">
        <v>114</v>
      </c>
      <c r="B19" s="131">
        <f>SUM(F17:F19)</f>
        <v>4378357.2181818178</v>
      </c>
      <c r="C19" s="131">
        <f>AVERAGE(F17:F19)</f>
        <v>1459452.406060606</v>
      </c>
      <c r="D19" s="90">
        <f>C19/C16-1</f>
        <v>2.7259956580873101E-2</v>
      </c>
      <c r="E19" s="286">
        <f>C19/C7-1</f>
        <v>-0.31675595510134091</v>
      </c>
      <c r="F19" s="78">
        <f>Q19/22</f>
        <v>1576621.8181818181</v>
      </c>
      <c r="G19" s="90">
        <f t="shared" si="2"/>
        <v>6.6984617850270434E-2</v>
      </c>
      <c r="H19" s="90">
        <f t="shared" si="3"/>
        <v>-0.20280168859771353</v>
      </c>
      <c r="I19" s="130">
        <f t="shared" si="0"/>
        <v>13.309271951128222</v>
      </c>
      <c r="J19" s="130">
        <f t="shared" si="4"/>
        <v>-0.17301586988098938</v>
      </c>
      <c r="K19" s="78">
        <f>R17+R18+R19</f>
        <v>115611115777</v>
      </c>
      <c r="L19" s="87">
        <f>U19/U16-1</f>
        <v>-1.4169647744957103E-3</v>
      </c>
      <c r="M19" s="87">
        <f>U19/U7-1</f>
        <v>-0.28833182579093419</v>
      </c>
      <c r="N19" s="88">
        <f>AVERAGE(T17:T19)</f>
        <v>15.119227772568726</v>
      </c>
      <c r="O19" s="89">
        <f>N19/N16-1</f>
        <v>1.1571302562372709E-2</v>
      </c>
      <c r="P19" s="129" t="s">
        <v>114</v>
      </c>
      <c r="Q19" s="116">
        <v>34685680</v>
      </c>
      <c r="R19" s="116">
        <v>45341545149</v>
      </c>
      <c r="S19" s="116">
        <v>2606129.0299999998</v>
      </c>
      <c r="T19" s="130">
        <f t="shared" si="1"/>
        <v>13.309271951128222</v>
      </c>
      <c r="U19" s="85">
        <f>Q17+Q18+Q19</f>
        <v>90720388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1391601.75</v>
      </c>
      <c r="G20" s="90">
        <f t="shared" si="2"/>
        <v>-0.11735221855244005</v>
      </c>
      <c r="H20" s="90">
        <f t="shared" si="3"/>
        <v>-0.28636433321622401</v>
      </c>
      <c r="I20" s="130">
        <f t="shared" si="0"/>
        <v>14.21519562458545</v>
      </c>
      <c r="J20" s="130">
        <f t="shared" si="4"/>
        <v>-0.18952846609545348</v>
      </c>
      <c r="O20" s="89"/>
      <c r="P20" s="129" t="s">
        <v>131</v>
      </c>
      <c r="Q20" s="116">
        <v>27832035</v>
      </c>
      <c r="R20" s="116">
        <v>36483475434</v>
      </c>
      <c r="S20" s="116">
        <v>1957907.28</v>
      </c>
      <c r="T20" s="130">
        <f t="shared" si="1"/>
        <v>14.21519562458545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1381158.857142857</v>
      </c>
      <c r="G21" s="90">
        <f t="shared" si="2"/>
        <v>-7.5042251543180338E-3</v>
      </c>
      <c r="H21" s="90">
        <f t="shared" si="3"/>
        <v>-0.26306534637204404</v>
      </c>
      <c r="I21" s="130">
        <f t="shared" si="0"/>
        <v>14.840655602261611</v>
      </c>
      <c r="J21" s="130">
        <f t="shared" si="4"/>
        <v>2.6039230828703408E-2</v>
      </c>
      <c r="O21" s="89"/>
      <c r="P21" s="129" t="s">
        <v>141</v>
      </c>
      <c r="Q21" s="116">
        <v>29004336</v>
      </c>
      <c r="R21" s="116">
        <v>38608893948</v>
      </c>
      <c r="S21" s="116">
        <v>1954383.74</v>
      </c>
      <c r="T21" s="130">
        <f t="shared" si="1"/>
        <v>14.840655602261611</v>
      </c>
      <c r="U21" s="78"/>
    </row>
    <row r="22" spans="1:21" hidden="1">
      <c r="A22" s="129" t="s">
        <v>155</v>
      </c>
      <c r="B22" s="131">
        <f>SUM(F20:F22)</f>
        <v>4429768.9880952388</v>
      </c>
      <c r="C22" s="131">
        <f>AVERAGE(F20:F22)</f>
        <v>1476589.662698413</v>
      </c>
      <c r="D22" s="90">
        <f>C22/C19-1</f>
        <v>1.1742251111884094E-2</v>
      </c>
      <c r="E22" s="286">
        <f>C22/C10-1</f>
        <v>-0.23316906471208509</v>
      </c>
      <c r="F22" s="78">
        <f>Q22/21</f>
        <v>1657008.3809523811</v>
      </c>
      <c r="G22" s="90">
        <f t="shared" si="2"/>
        <v>0.19972324138018549</v>
      </c>
      <c r="H22" s="90">
        <f t="shared" si="3"/>
        <v>-0.15134458779132065</v>
      </c>
      <c r="I22" s="130">
        <f t="shared" si="0"/>
        <v>13.548120817167337</v>
      </c>
      <c r="J22" s="130">
        <f t="shared" si="4"/>
        <v>-0.26841238964856606</v>
      </c>
      <c r="K22" s="78">
        <f>R20+R21+R22</f>
        <v>120433807924</v>
      </c>
      <c r="L22" s="87">
        <f>U22/U19-1</f>
        <v>1.0065642576396305E-2</v>
      </c>
      <c r="M22" s="87">
        <f>U22/U10-1</f>
        <v>-0.24464040644966889</v>
      </c>
      <c r="N22" s="88">
        <f>AVERAGE(T20:T22)</f>
        <v>14.201324014671465</v>
      </c>
      <c r="O22" s="89">
        <f>N22/N19-1</f>
        <v>-6.071102120457772E-2</v>
      </c>
      <c r="P22" s="129" t="s">
        <v>155</v>
      </c>
      <c r="Q22" s="116">
        <v>34797176</v>
      </c>
      <c r="R22" s="116">
        <v>45341438542</v>
      </c>
      <c r="S22" s="116">
        <v>2568413.4700000002</v>
      </c>
      <c r="T22" s="130">
        <f t="shared" si="1"/>
        <v>13.548120817167337</v>
      </c>
      <c r="U22" s="85">
        <f>Q20+Q21+Q22</f>
        <v>91633547</v>
      </c>
    </row>
    <row r="23" spans="1:21" hidden="1">
      <c r="A23" s="129" t="s">
        <v>189</v>
      </c>
      <c r="B23" s="131"/>
      <c r="C23" s="131"/>
      <c r="F23" s="78">
        <f>Q23/21</f>
        <v>1454136.9047619049</v>
      </c>
      <c r="G23" s="90">
        <f t="shared" ref="G23" si="5">F23/F22-1</f>
        <v>-0.12243237784583438</v>
      </c>
      <c r="H23" s="90">
        <f t="shared" ref="H23" si="6">F23/F11-1</f>
        <v>-0.2763941566379301</v>
      </c>
      <c r="I23" s="130">
        <f t="shared" si="0"/>
        <v>11.860732700626016</v>
      </c>
      <c r="J23" s="130">
        <f t="shared" si="4"/>
        <v>-0.11271798469462713</v>
      </c>
      <c r="O23" s="89"/>
      <c r="P23" s="129" t="s">
        <v>189</v>
      </c>
      <c r="Q23" s="116">
        <v>30536875</v>
      </c>
      <c r="R23" s="116">
        <v>39536644905</v>
      </c>
      <c r="S23" s="116">
        <v>2574619.61</v>
      </c>
      <c r="T23" s="130">
        <f t="shared" si="1"/>
        <v>11.860732700626016</v>
      </c>
      <c r="U23" s="78"/>
    </row>
    <row r="24" spans="1:21" hidden="1">
      <c r="A24" s="129" t="s">
        <v>205</v>
      </c>
      <c r="B24" s="131"/>
      <c r="C24" s="131"/>
      <c r="F24" s="78">
        <f>Q24/22</f>
        <v>1169243.3636363635</v>
      </c>
      <c r="G24" s="90">
        <f t="shared" ref="G24" si="7">F24/F23-1</f>
        <v>-0.19591933895123081</v>
      </c>
      <c r="H24" s="90">
        <f t="shared" ref="H24" si="8">F24/F12-1</f>
        <v>-0.24779866511614101</v>
      </c>
      <c r="I24" s="130">
        <f t="shared" si="0"/>
        <v>13.80236193296685</v>
      </c>
      <c r="J24" s="130">
        <f t="shared" si="4"/>
        <v>0.11753274426623883</v>
      </c>
      <c r="O24" s="89"/>
      <c r="P24" s="129" t="s">
        <v>205</v>
      </c>
      <c r="Q24" s="116">
        <v>25723354</v>
      </c>
      <c r="R24" s="116">
        <v>33625301658</v>
      </c>
      <c r="S24" s="116">
        <v>1863692.18</v>
      </c>
      <c r="T24" s="130">
        <f t="shared" ref="T24" si="9">Q24/S24</f>
        <v>13.80236193296685</v>
      </c>
      <c r="U24" s="78"/>
    </row>
    <row r="25" spans="1:21" s="79" customFormat="1" ht="13.2" hidden="1">
      <c r="A25" s="129" t="s">
        <v>219</v>
      </c>
      <c r="B25" s="131">
        <f>SUM(F23:F25)</f>
        <v>4022034.2157666893</v>
      </c>
      <c r="C25" s="131">
        <f>AVERAGE(F23:F25)</f>
        <v>1340678.0719222298</v>
      </c>
      <c r="D25" s="90">
        <f>C25/C22-1</f>
        <v>-9.2044251838936608E-2</v>
      </c>
      <c r="E25" s="286">
        <f>C25/C13-1</f>
        <v>-0.25751942350556156</v>
      </c>
      <c r="F25" s="78">
        <f>Q25/19</f>
        <v>1398653.9473684211</v>
      </c>
      <c r="G25" s="90">
        <f t="shared" ref="G25" si="10">F25/F24-1</f>
        <v>0.19620430687636103</v>
      </c>
      <c r="H25" s="90">
        <f t="shared" ref="H25" si="11">F25/F13-1</f>
        <v>-0.24520448113631943</v>
      </c>
      <c r="I25" s="130">
        <f t="shared" si="0"/>
        <v>14.155770593569498</v>
      </c>
      <c r="J25" s="130">
        <f t="shared" si="4"/>
        <v>8.6346073877714424E-2</v>
      </c>
      <c r="K25" s="78">
        <f>R23+R24+R25</f>
        <v>108420354496</v>
      </c>
      <c r="L25" s="90">
        <f>U25/U22-1</f>
        <v>-9.6022617131693022E-2</v>
      </c>
      <c r="M25" s="90">
        <f>U25/U13-1</f>
        <v>-0.26991478252156964</v>
      </c>
      <c r="N25" s="88">
        <f>AVERAGE(T23:T25)</f>
        <v>13.272955075720787</v>
      </c>
      <c r="O25" s="91">
        <f>N25/N22-1</f>
        <v>-6.5371998976403556E-2</v>
      </c>
      <c r="P25" s="129" t="s">
        <v>219</v>
      </c>
      <c r="Q25" s="116">
        <v>26574425</v>
      </c>
      <c r="R25" s="116">
        <v>35258407933</v>
      </c>
      <c r="S25" s="116">
        <v>1877285.65</v>
      </c>
      <c r="T25" s="130">
        <f t="shared" ref="T25" si="12">Q25/S25</f>
        <v>14.155770593569498</v>
      </c>
      <c r="U25" s="85">
        <f>Q23+Q24+Q25</f>
        <v>82834654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988963.10526315786</v>
      </c>
      <c r="G26" s="90">
        <f t="shared" ref="G26" si="13">F26/F25-1</f>
        <v>-0.29291794648426073</v>
      </c>
      <c r="H26" s="90">
        <f t="shared" ref="H26" si="14">F26/F14-1</f>
        <v>-0.32231142276900115</v>
      </c>
      <c r="I26" s="130">
        <f t="shared" si="0"/>
        <v>11.773846861220072</v>
      </c>
      <c r="J26" s="130">
        <f t="shared" si="4"/>
        <v>-0.24247702961798512</v>
      </c>
      <c r="L26" s="90"/>
      <c r="M26" s="90"/>
      <c r="P26" s="129" t="s">
        <v>312</v>
      </c>
      <c r="Q26" s="116">
        <v>18790299</v>
      </c>
      <c r="R26" s="116">
        <v>25313191279</v>
      </c>
      <c r="S26" s="116">
        <v>1595935.4</v>
      </c>
      <c r="T26" s="130">
        <f t="shared" ref="T26" si="15">Q26/S26</f>
        <v>11.773846861220072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1142929.8636363635</v>
      </c>
      <c r="G27" s="90">
        <f t="shared" ref="G27" si="16">F27/F26-1</f>
        <v>0.15568503774691966</v>
      </c>
      <c r="H27" s="90">
        <f t="shared" ref="H27" si="17">F27/F15-1</f>
        <v>-0.19100406044618745</v>
      </c>
      <c r="I27" s="130">
        <f t="shared" si="0"/>
        <v>12.845013425921461</v>
      </c>
      <c r="J27" s="130">
        <f t="shared" si="4"/>
        <v>-9.3700662999591455E-2</v>
      </c>
      <c r="L27" s="90"/>
      <c r="M27" s="90"/>
      <c r="P27" s="129" t="s">
        <v>378</v>
      </c>
      <c r="Q27" s="116">
        <v>25144457</v>
      </c>
      <c r="R27" s="116">
        <v>33289134852</v>
      </c>
      <c r="S27" s="116">
        <v>1957526.72</v>
      </c>
      <c r="T27" s="130">
        <f t="shared" ref="T27" si="18">Q27/S27</f>
        <v>12.845013425921461</v>
      </c>
      <c r="U27" s="78"/>
    </row>
    <row r="28" spans="1:21" s="79" customFormat="1" ht="13.2" hidden="1">
      <c r="A28" s="123" t="s">
        <v>413</v>
      </c>
      <c r="B28" s="131">
        <f>SUM(F26:F28)</f>
        <v>3848932.6531100478</v>
      </c>
      <c r="C28" s="131">
        <f>AVERAGE(F26:F28)</f>
        <v>1282977.5510366827</v>
      </c>
      <c r="D28" s="90">
        <f>C28/C25-1</f>
        <v>-4.3038311802040319E-2</v>
      </c>
      <c r="E28" s="286">
        <f>C28/C16-1</f>
        <v>-9.6954818191277381E-2</v>
      </c>
      <c r="F28" s="78">
        <f>Q28/19</f>
        <v>1717039.6842105263</v>
      </c>
      <c r="G28" s="90">
        <f t="shared" ref="G28" si="19">F28/F27-1</f>
        <v>0.50231413041178752</v>
      </c>
      <c r="H28" s="90">
        <f t="shared" ref="H28" si="20">F28/F16-1</f>
        <v>0.23521200372535223</v>
      </c>
      <c r="I28" s="130">
        <f t="shared" si="0"/>
        <v>15.74367296492491</v>
      </c>
      <c r="J28" s="130">
        <f t="shared" si="4"/>
        <v>4.1024972420240724E-2</v>
      </c>
      <c r="K28" s="78">
        <f>R26+R27+R28</f>
        <v>101157566883</v>
      </c>
      <c r="L28" s="90">
        <f>U28/U25-1</f>
        <v>-7.5767130022659335E-2</v>
      </c>
      <c r="M28" s="90">
        <f>U28/U16-1</f>
        <v>-0.15730045942768534</v>
      </c>
      <c r="N28" s="88">
        <f>AVERAGE(T26:T28)</f>
        <v>13.454177750688814</v>
      </c>
      <c r="O28" s="91">
        <f>N28/N25-1</f>
        <v>1.3653528843740492E-2</v>
      </c>
      <c r="P28" s="129" t="s">
        <v>413</v>
      </c>
      <c r="Q28" s="116">
        <v>32623754</v>
      </c>
      <c r="R28" s="116">
        <v>42555240752</v>
      </c>
      <c r="S28" s="116">
        <v>2072181.89</v>
      </c>
      <c r="T28" s="130">
        <f t="shared" ref="T28" si="21">Q28/S28</f>
        <v>15.74367296492491</v>
      </c>
      <c r="U28" s="85">
        <f>Q26+Q27+Q28</f>
        <v>76558510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1223867.6363636365</v>
      </c>
      <c r="G29" s="190">
        <f t="shared" ref="G29" si="22">F29/F28-1</f>
        <v>-0.28722227702829373</v>
      </c>
      <c r="H29" s="190">
        <f t="shared" ref="H29" si="23">F29/F17-1</f>
        <v>-7.5693528480035965E-2</v>
      </c>
      <c r="I29" s="130">
        <f t="shared" si="0"/>
        <v>16.902379863000462</v>
      </c>
      <c r="J29" s="130">
        <f t="shared" si="4"/>
        <v>2.7369195143976954E-2</v>
      </c>
      <c r="K29" s="136"/>
      <c r="L29" s="190"/>
      <c r="M29" s="190"/>
      <c r="N29" s="191"/>
      <c r="O29" s="192"/>
      <c r="P29" s="129" t="s">
        <v>445</v>
      </c>
      <c r="Q29" s="116">
        <v>26925088</v>
      </c>
      <c r="R29" s="116">
        <v>35312273741</v>
      </c>
      <c r="S29" s="116">
        <v>1592976.15</v>
      </c>
      <c r="T29" s="130">
        <f t="shared" ref="T29" si="24">Q29/S29</f>
        <v>16.902379863000462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1931702.4210526317</v>
      </c>
      <c r="G30" s="190">
        <f t="shared" ref="G30" si="25">F30/F29-1</f>
        <v>0.57835893658575577</v>
      </c>
      <c r="H30" s="190">
        <f t="shared" ref="H30" si="26">F30/F18-1</f>
        <v>0.30728672263597701</v>
      </c>
      <c r="I30" s="130">
        <f t="shared" si="0"/>
        <v>13.075158051634711</v>
      </c>
      <c r="J30" s="130">
        <f t="shared" si="4"/>
        <v>-0.16165066005675188</v>
      </c>
      <c r="K30" s="136"/>
      <c r="L30" s="190"/>
      <c r="M30" s="190"/>
      <c r="N30" s="191"/>
      <c r="O30" s="192"/>
      <c r="P30" s="129" t="s">
        <v>466</v>
      </c>
      <c r="Q30" s="116">
        <v>36702346</v>
      </c>
      <c r="R30" s="116">
        <v>48933026184</v>
      </c>
      <c r="S30" s="116">
        <v>2807028.86</v>
      </c>
      <c r="T30" s="130">
        <f t="shared" ref="T30" si="27">Q30/S30</f>
        <v>13.075158051634711</v>
      </c>
      <c r="U30" s="85"/>
    </row>
    <row r="31" spans="1:21" s="79" customFormat="1" ht="13.2" hidden="1">
      <c r="A31" s="129" t="s">
        <v>505</v>
      </c>
      <c r="B31" s="188">
        <f>SUM(F29:F31)</f>
        <v>5132486.2574162679</v>
      </c>
      <c r="C31" s="188">
        <f>AVERAGE(F29:F31)</f>
        <v>1710828.7524720894</v>
      </c>
      <c r="D31" s="190">
        <f>C31/C28-1</f>
        <v>0.33348299905145695</v>
      </c>
      <c r="E31" s="287">
        <f>C31/C19-1</f>
        <v>0.17224018088401061</v>
      </c>
      <c r="F31" s="136">
        <f>Q31/20</f>
        <v>1976916.2</v>
      </c>
      <c r="G31" s="190">
        <f t="shared" ref="G31" si="28">F31/F30-1</f>
        <v>2.340618226420732E-2</v>
      </c>
      <c r="H31" s="190">
        <f t="shared" ref="H31" si="29">F31/F19-1</f>
        <v>0.2538937221354749</v>
      </c>
      <c r="I31" s="130">
        <f t="shared" si="0"/>
        <v>14.810488322948258</v>
      </c>
      <c r="J31" s="130">
        <f t="shared" si="4"/>
        <v>0.1127947777558771</v>
      </c>
      <c r="K31" s="136">
        <f>R29+R30+R31</f>
        <v>136765827128</v>
      </c>
      <c r="L31" s="190">
        <f>U31/U28-1</f>
        <v>0.34754135105293971</v>
      </c>
      <c r="M31" s="190">
        <f>U31/U19-1</f>
        <v>0.1371838268592942</v>
      </c>
      <c r="N31" s="191">
        <f>AVERAGE(T29:T31)</f>
        <v>14.929342079194477</v>
      </c>
      <c r="O31" s="192">
        <f>N31/N28-1</f>
        <v>0.10964358847051359</v>
      </c>
      <c r="P31" s="129" t="s">
        <v>505</v>
      </c>
      <c r="Q31" s="116">
        <v>39538324</v>
      </c>
      <c r="R31" s="116">
        <v>52520527203</v>
      </c>
      <c r="S31" s="116">
        <v>2669616.5</v>
      </c>
      <c r="T31" s="130">
        <f t="shared" ref="T31" si="30">Q31/S31</f>
        <v>14.810488322948258</v>
      </c>
      <c r="U31" s="85">
        <f>Q29+Q30+Q31</f>
        <v>103165758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1655054.5238095238</v>
      </c>
      <c r="G32" s="190">
        <f t="shared" ref="G32" si="31">F32/F31-1</f>
        <v>-0.16280997454038582</v>
      </c>
      <c r="H32" s="190">
        <f t="shared" ref="H32" si="32">F32/F20-1</f>
        <v>0.18931621335595739</v>
      </c>
      <c r="I32" s="130">
        <f t="shared" si="0"/>
        <v>14.546255667490488</v>
      </c>
      <c r="J32" s="130">
        <f t="shared" si="4"/>
        <v>2.3289165457031302E-2</v>
      </c>
      <c r="K32" s="136"/>
      <c r="L32" s="190"/>
      <c r="M32" s="190"/>
      <c r="N32" s="191"/>
      <c r="O32" s="192"/>
      <c r="P32" s="129" t="s">
        <v>562</v>
      </c>
      <c r="Q32" s="116">
        <v>34756145</v>
      </c>
      <c r="R32" s="116">
        <v>47238898042</v>
      </c>
      <c r="S32" s="116">
        <v>2389353.37</v>
      </c>
      <c r="T32" s="130">
        <f t="shared" ref="T32" si="33">Q32/S32</f>
        <v>14.546255667490488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1590774.1904761905</v>
      </c>
      <c r="G33" s="190">
        <f t="shared" ref="G33" si="34">F33/F32-1</f>
        <v>-3.8838801023531211E-2</v>
      </c>
      <c r="H33" s="190">
        <f t="shared" ref="H33" si="35">F33/F21-1</f>
        <v>0.15176772190199439</v>
      </c>
      <c r="I33" s="130">
        <f t="shared" si="0"/>
        <v>15.827702944481981</v>
      </c>
      <c r="J33" s="130">
        <f t="shared" si="4"/>
        <v>6.65096858706129E-2</v>
      </c>
      <c r="K33" s="136"/>
      <c r="L33" s="190"/>
      <c r="M33" s="190"/>
      <c r="N33" s="191"/>
      <c r="O33" s="192"/>
      <c r="P33" s="129" t="s">
        <v>607</v>
      </c>
      <c r="Q33" s="116">
        <v>33406258</v>
      </c>
      <c r="R33" s="116">
        <v>45650635994</v>
      </c>
      <c r="S33" s="116">
        <v>2110619.4700000002</v>
      </c>
      <c r="T33" s="130">
        <f t="shared" ref="T33" si="36">Q33/S33</f>
        <v>15.827702944481981</v>
      </c>
      <c r="U33" s="85"/>
    </row>
    <row r="34" spans="1:21" s="79" customFormat="1" ht="13.2" hidden="1">
      <c r="A34" s="129" t="s">
        <v>652</v>
      </c>
      <c r="B34" s="188">
        <f>SUM(F32:F34)</f>
        <v>5215770.0300751887</v>
      </c>
      <c r="C34" s="188">
        <f>AVERAGE(F32:F34)</f>
        <v>1738590.0100250628</v>
      </c>
      <c r="D34" s="190">
        <f>C34/C31-1</f>
        <v>1.6226789217131943E-2</v>
      </c>
      <c r="E34" s="287">
        <f>C34/C22-1</f>
        <v>0.17743612456818503</v>
      </c>
      <c r="F34" s="136">
        <f>Q34/19</f>
        <v>1969941.3157894737</v>
      </c>
      <c r="G34" s="190">
        <f t="shared" ref="G34" si="37">F34/F33-1</f>
        <v>0.23835383273334432</v>
      </c>
      <c r="H34" s="190">
        <f t="shared" ref="H34" si="38">F34/F22-1</f>
        <v>0.18885416539488564</v>
      </c>
      <c r="I34" s="130">
        <f t="shared" si="0"/>
        <v>15.523411335054844</v>
      </c>
      <c r="J34" s="130">
        <f t="shared" si="4"/>
        <v>0.14579811802272546</v>
      </c>
      <c r="K34" s="136">
        <f>R32+R33+R34</f>
        <v>144363431618</v>
      </c>
      <c r="L34" s="190">
        <f>U34/U31-1</f>
        <v>2.3510998678456962E-2</v>
      </c>
      <c r="M34" s="190">
        <f>U34/U22-1</f>
        <v>0.15232129997106836</v>
      </c>
      <c r="N34" s="191">
        <f>AVERAGE(T32:T34)</f>
        <v>15.299123315675772</v>
      </c>
      <c r="O34" s="192">
        <f>N34/N31-1</f>
        <v>2.476875635374598E-2</v>
      </c>
      <c r="P34" s="129" t="s">
        <v>652</v>
      </c>
      <c r="Q34" s="116">
        <v>37428885</v>
      </c>
      <c r="R34" s="116">
        <v>51473897582</v>
      </c>
      <c r="S34" s="116">
        <v>2411124.9900000002</v>
      </c>
      <c r="T34" s="130">
        <f t="shared" ref="T34" si="39">Q34/S34</f>
        <v>15.523411335054844</v>
      </c>
      <c r="U34" s="85">
        <f>Q32+Q33+Q34</f>
        <v>105591288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1419444.956521739</v>
      </c>
      <c r="G35" s="190">
        <f t="shared" ref="G35" si="40">F35/F34-1</f>
        <v>-0.27944810074056337</v>
      </c>
      <c r="H35" s="190">
        <f t="shared" ref="H35" si="41">F35/F23-1</f>
        <v>-2.3857415437679275E-2</v>
      </c>
      <c r="I35" s="130">
        <f t="shared" si="0"/>
        <v>12.808584551816059</v>
      </c>
      <c r="J35" s="130">
        <f t="shared" si="4"/>
        <v>7.9915117818987191E-2</v>
      </c>
      <c r="K35" s="136"/>
      <c r="L35" s="190"/>
      <c r="M35" s="190"/>
      <c r="N35" s="191"/>
      <c r="O35" s="192"/>
      <c r="P35" s="129" t="s">
        <v>660</v>
      </c>
      <c r="Q35" s="116">
        <v>32647234</v>
      </c>
      <c r="R35" s="116">
        <v>45200774954</v>
      </c>
      <c r="S35" s="116">
        <v>2548855.7200000002</v>
      </c>
      <c r="T35" s="130">
        <f t="shared" ref="T35" si="42">Q35/S35</f>
        <v>12.808584551816059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1613032.5238095238</v>
      </c>
      <c r="G36" s="190">
        <f t="shared" ref="G36" si="43">F36/F35-1</f>
        <v>0.13638258137332704</v>
      </c>
      <c r="H36" s="190">
        <f t="shared" ref="H36" si="44">F36/F24-1</f>
        <v>0.37955243020834395</v>
      </c>
      <c r="I36" s="130">
        <f t="shared" si="0"/>
        <v>14.13083001686371</v>
      </c>
      <c r="J36" s="130">
        <f t="shared" si="4"/>
        <v>2.3797961935218881E-2</v>
      </c>
      <c r="K36" s="136"/>
      <c r="L36" s="190"/>
      <c r="M36" s="190"/>
      <c r="N36" s="191"/>
      <c r="O36" s="192"/>
      <c r="P36" s="129" t="s">
        <v>664</v>
      </c>
      <c r="Q36" s="116">
        <v>33873683</v>
      </c>
      <c r="R36" s="116">
        <v>46337235618</v>
      </c>
      <c r="S36" s="116">
        <v>2397147.44</v>
      </c>
      <c r="T36" s="130">
        <f t="shared" ref="T36" si="45">Q36/S36</f>
        <v>14.13083001686371</v>
      </c>
      <c r="U36" s="85"/>
    </row>
    <row r="37" spans="1:21" s="79" customFormat="1" ht="13.2" hidden="1">
      <c r="A37" s="129" t="s">
        <v>702</v>
      </c>
      <c r="B37" s="188">
        <f>SUM(F35:F37)</f>
        <v>4703062.7581090406</v>
      </c>
      <c r="C37" s="188">
        <f>AVERAGE(F35:F37)</f>
        <v>1567687.5860363469</v>
      </c>
      <c r="D37" s="190">
        <f>C37/C34-1</f>
        <v>-9.8299439777784214E-2</v>
      </c>
      <c r="E37" s="287">
        <f>C37/C25-1</f>
        <v>0.16932440297814111</v>
      </c>
      <c r="F37" s="136">
        <f>Q37/18</f>
        <v>1670585.2777777778</v>
      </c>
      <c r="G37" s="190">
        <f t="shared" ref="G37" si="46">F37/F36-1</f>
        <v>3.5679847193862413E-2</v>
      </c>
      <c r="H37" s="190">
        <f t="shared" ref="H37" si="47">F37/F25-1</f>
        <v>0.19442359628770056</v>
      </c>
      <c r="I37" s="130">
        <f t="shared" si="0"/>
        <v>13.746419874469854</v>
      </c>
      <c r="J37" s="130">
        <f t="shared" si="4"/>
        <v>-2.8917586393042982E-2</v>
      </c>
      <c r="K37" s="136">
        <f>R35+R36+R37</f>
        <v>131673578214</v>
      </c>
      <c r="L37" s="190">
        <f>U37/U34-1</f>
        <v>-8.5232751398960138E-2</v>
      </c>
      <c r="M37" s="190">
        <f>U37/U25-1</f>
        <v>0.1660753964156112</v>
      </c>
      <c r="N37" s="191">
        <f>AVERAGE(T35:T37)</f>
        <v>13.561944814383208</v>
      </c>
      <c r="O37" s="192">
        <f>N37/N34-1</f>
        <v>-0.11354758475033777</v>
      </c>
      <c r="P37" s="129" t="s">
        <v>702</v>
      </c>
      <c r="Q37" s="116">
        <v>30070535</v>
      </c>
      <c r="R37" s="116">
        <v>40135567642</v>
      </c>
      <c r="S37" s="116">
        <v>2187517.5699999998</v>
      </c>
      <c r="T37" s="130">
        <f t="shared" ref="T37" si="48">Q37/S37</f>
        <v>13.746419874469854</v>
      </c>
      <c r="U37" s="85">
        <f>Q35+Q36+Q37</f>
        <v>96591452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1467383.8</v>
      </c>
      <c r="G38" s="190">
        <f t="shared" ref="G38" si="49">F38/F37-1</f>
        <v>-0.12163490273784616</v>
      </c>
      <c r="H38" s="190">
        <f t="shared" ref="H38" si="50">F38/F26-1</f>
        <v>0.48375990185148199</v>
      </c>
      <c r="I38" s="130">
        <f t="shared" si="0"/>
        <v>13.998993223344939</v>
      </c>
      <c r="J38" s="130">
        <f t="shared" si="4"/>
        <v>0.18899059826010722</v>
      </c>
      <c r="K38" s="136"/>
      <c r="L38" s="190"/>
      <c r="M38" s="190"/>
      <c r="N38" s="191"/>
      <c r="O38" s="192"/>
      <c r="P38" s="129" t="s">
        <v>727</v>
      </c>
      <c r="Q38" s="116">
        <v>29347676</v>
      </c>
      <c r="R38" s="116">
        <v>39457091520</v>
      </c>
      <c r="S38" s="116">
        <v>2096413.33</v>
      </c>
      <c r="T38" s="130">
        <f t="shared" ref="T38" si="51">Q38/S38</f>
        <v>13.998993223344939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1458440.857142857</v>
      </c>
      <c r="G39" s="190">
        <f t="shared" ref="G39" si="52">F39/F38-1</f>
        <v>-6.0944811147178868E-3</v>
      </c>
      <c r="H39" s="190">
        <f t="shared" ref="H39" si="53">F39/F27-1</f>
        <v>0.2760545537787058</v>
      </c>
      <c r="I39" s="130">
        <f t="shared" si="0"/>
        <v>15.479200018514032</v>
      </c>
      <c r="J39" s="130">
        <f t="shared" si="4"/>
        <v>0.20507464688800847</v>
      </c>
      <c r="K39" s="136"/>
      <c r="L39" s="190"/>
      <c r="M39" s="190"/>
      <c r="N39" s="191"/>
      <c r="O39" s="192"/>
      <c r="P39" s="129" t="s">
        <v>762</v>
      </c>
      <c r="Q39" s="116">
        <v>30627258</v>
      </c>
      <c r="R39" s="116">
        <v>42525458186</v>
      </c>
      <c r="S39" s="116">
        <v>1978607.29</v>
      </c>
      <c r="T39" s="130">
        <f t="shared" ref="T39" si="54">Q39/S39</f>
        <v>15.479200018514032</v>
      </c>
      <c r="U39" s="85"/>
    </row>
    <row r="40" spans="1:21" s="79" customFormat="1" ht="13.2" hidden="1">
      <c r="A40" s="129" t="s">
        <v>778</v>
      </c>
      <c r="B40" s="188">
        <f>SUM(F38:F40)</f>
        <v>4445722.1809523813</v>
      </c>
      <c r="C40" s="188">
        <f>AVERAGE(F38:F40)</f>
        <v>1481907.3936507937</v>
      </c>
      <c r="D40" s="190">
        <f>C40/C37-1</f>
        <v>-5.4717657490951366E-2</v>
      </c>
      <c r="E40" s="287">
        <f>C40/C28-1</f>
        <v>0.15505325284403448</v>
      </c>
      <c r="F40" s="136">
        <f>Q40/21</f>
        <v>1519897.5238095238</v>
      </c>
      <c r="G40" s="190">
        <f t="shared" ref="G40" si="55">F40/F39-1</f>
        <v>4.21386073803931E-2</v>
      </c>
      <c r="H40" s="190">
        <f t="shared" ref="H40" si="56">F40/F28-1</f>
        <v>-0.11481514505102774</v>
      </c>
      <c r="I40" s="130">
        <f t="shared" si="0"/>
        <v>12.216087051949298</v>
      </c>
      <c r="J40" s="130">
        <f t="shared" si="4"/>
        <v>-0.22406371885611875</v>
      </c>
      <c r="K40" s="136">
        <f>R38+R39+R40</f>
        <v>127265795255</v>
      </c>
      <c r="L40" s="190">
        <f>U40/U37-1</f>
        <v>-4.8644780699642065E-2</v>
      </c>
      <c r="M40" s="190">
        <f>U40/U28-1</f>
        <v>0.20029480720040138</v>
      </c>
      <c r="N40" s="191">
        <f>AVERAGE(T38:T40)</f>
        <v>13.898093431269423</v>
      </c>
      <c r="O40" s="192">
        <f>N40/N37-1</f>
        <v>2.4786166105742469E-2</v>
      </c>
      <c r="P40" s="129" t="s">
        <v>778</v>
      </c>
      <c r="Q40" s="116">
        <v>31917848</v>
      </c>
      <c r="R40" s="116">
        <v>45283245549</v>
      </c>
      <c r="S40" s="116">
        <v>2612771.8199999998</v>
      </c>
      <c r="T40" s="130">
        <f t="shared" ref="T40" si="57">Q40/S40</f>
        <v>12.216087051949298</v>
      </c>
      <c r="U40" s="85">
        <f>Q38+Q39+Q40</f>
        <v>91892782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1705984.7222222222</v>
      </c>
      <c r="G41" s="190">
        <f t="shared" ref="G41" si="58">F41/F40-1</f>
        <v>0.12243404275459513</v>
      </c>
      <c r="H41" s="190">
        <f t="shared" ref="H41" si="59">F41/F29-1</f>
        <v>0.39392910763704414</v>
      </c>
      <c r="I41" s="130">
        <f t="shared" si="0"/>
        <v>14.501271618678043</v>
      </c>
      <c r="J41" s="130">
        <f t="shared" si="4"/>
        <v>-0.14205740634065844</v>
      </c>
      <c r="K41" s="193"/>
      <c r="L41" s="190"/>
      <c r="M41" s="190"/>
      <c r="N41" s="193"/>
      <c r="O41" s="193"/>
      <c r="P41" s="129" t="s">
        <v>799</v>
      </c>
      <c r="Q41" s="116">
        <v>30707725</v>
      </c>
      <c r="R41" s="116">
        <v>44917182766</v>
      </c>
      <c r="S41" s="116">
        <v>2117588.4300000002</v>
      </c>
      <c r="T41" s="130">
        <f t="shared" ref="T41" si="60">Q41/S41</f>
        <v>14.501271618678043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1986198.5</v>
      </c>
      <c r="G42" s="190">
        <f t="shared" ref="G42" si="61">F42/F41-1</f>
        <v>0.16425339226530133</v>
      </c>
      <c r="H42" s="190">
        <f t="shared" ref="H42" si="62">F42/F30-1</f>
        <v>2.8211425503971821E-2</v>
      </c>
      <c r="I42" s="130">
        <f t="shared" si="0"/>
        <v>14.446238325654839</v>
      </c>
      <c r="J42" s="130">
        <f t="shared" si="4"/>
        <v>0.10486146848899547</v>
      </c>
      <c r="K42" s="193"/>
      <c r="L42" s="190"/>
      <c r="M42" s="190"/>
      <c r="N42" s="193"/>
      <c r="O42" s="193"/>
      <c r="P42" s="129" t="s">
        <v>826</v>
      </c>
      <c r="Q42" s="116">
        <v>39723970</v>
      </c>
      <c r="R42" s="116">
        <v>57428667024</v>
      </c>
      <c r="S42" s="116">
        <v>2749779.5</v>
      </c>
      <c r="T42" s="130">
        <f t="shared" ref="T42" si="63">Q42/S42</f>
        <v>14.446238325654839</v>
      </c>
      <c r="U42" s="78"/>
    </row>
    <row r="43" spans="1:21" s="79" customFormat="1" ht="13.2">
      <c r="A43" s="129" t="s">
        <v>835</v>
      </c>
      <c r="B43" s="188">
        <f>SUM(F41:F43)</f>
        <v>5748199.972222222</v>
      </c>
      <c r="C43" s="188">
        <f>AVERAGE(F41:F43)</f>
        <v>1916066.6574074074</v>
      </c>
      <c r="D43" s="190">
        <f>C43/C40-1</f>
        <v>0.29297327593934774</v>
      </c>
      <c r="E43" s="287">
        <f>C43/C31-1</f>
        <v>0.11996402599544598</v>
      </c>
      <c r="F43" s="136">
        <f>Q43/20</f>
        <v>2056016.75</v>
      </c>
      <c r="G43" s="190">
        <f t="shared" ref="G43" si="64">F43/F42-1</f>
        <v>3.5151698080529314E-2</v>
      </c>
      <c r="H43" s="190">
        <f t="shared" ref="H43" si="65">F43/F31-1</f>
        <v>4.0012090547894674E-2</v>
      </c>
      <c r="I43" s="130">
        <f t="shared" si="0"/>
        <v>13.446263653360424</v>
      </c>
      <c r="J43" s="130">
        <f t="shared" si="4"/>
        <v>-9.2112065439059365E-2</v>
      </c>
      <c r="K43" s="136">
        <f>R41+R42+R43</f>
        <v>161771723255</v>
      </c>
      <c r="L43" s="190">
        <f>U43/U40-1</f>
        <v>0.21393680300156759</v>
      </c>
      <c r="M43" s="190">
        <f>K43/K31-1</f>
        <v>0.18283731142573223</v>
      </c>
      <c r="N43" s="191">
        <f>AVERAGE(T41:T43)</f>
        <v>14.131257865897767</v>
      </c>
      <c r="O43" s="192">
        <f>N43/N40-1</f>
        <v>1.6776720906462428E-2</v>
      </c>
      <c r="P43" s="129" t="s">
        <v>835</v>
      </c>
      <c r="Q43" s="116">
        <v>41120335</v>
      </c>
      <c r="R43" s="116">
        <v>59425873465</v>
      </c>
      <c r="S43" s="116">
        <v>3058123.51</v>
      </c>
      <c r="T43" s="130">
        <f t="shared" ref="T43" si="66">Q43/S43</f>
        <v>13.446263653360424</v>
      </c>
      <c r="U43" s="85">
        <f>Q41+Q42+Q43</f>
        <v>111552030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1770240.2272727273</v>
      </c>
      <c r="G44" s="190">
        <f t="shared" ref="G44" si="67">F44/F43-1</f>
        <v>-0.13899523081573761</v>
      </c>
      <c r="H44" s="190">
        <f t="shared" ref="H44" si="68">F44/F32-1</f>
        <v>6.9596319520685457E-2</v>
      </c>
      <c r="I44" s="130">
        <f t="shared" si="0"/>
        <v>13.010401028771266</v>
      </c>
      <c r="J44" s="130">
        <f t="shared" si="4"/>
        <v>-0.1055841911366725</v>
      </c>
      <c r="K44" s="136"/>
      <c r="L44" s="190"/>
      <c r="M44" s="190"/>
      <c r="N44" s="191"/>
      <c r="O44" s="192"/>
      <c r="P44" s="129" t="s">
        <v>843</v>
      </c>
      <c r="Q44" s="116">
        <v>38945285</v>
      </c>
      <c r="R44" s="116">
        <v>56574920558</v>
      </c>
      <c r="S44" s="116">
        <v>2993396.2</v>
      </c>
      <c r="T44" s="130">
        <f t="shared" ref="T44" si="69">Q44/S44</f>
        <v>13.010401028771266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1795767</v>
      </c>
      <c r="G45" s="190">
        <f t="shared" ref="G45" si="70">F45/F44-1</f>
        <v>1.4419948396834137E-2</v>
      </c>
      <c r="H45" s="190">
        <f t="shared" ref="H45" si="71">F45/F33-1</f>
        <v>0.12886355005699834</v>
      </c>
      <c r="I45" s="130">
        <f t="shared" si="0"/>
        <v>12.114583847273483</v>
      </c>
      <c r="J45" s="130">
        <f t="shared" si="4"/>
        <v>-0.23459620832111994</v>
      </c>
      <c r="K45" s="136"/>
      <c r="L45" s="190"/>
      <c r="M45" s="190"/>
      <c r="N45" s="191"/>
      <c r="O45" s="192"/>
      <c r="P45" s="129" t="s">
        <v>849</v>
      </c>
      <c r="Q45" s="116">
        <v>35915340</v>
      </c>
      <c r="R45" s="116">
        <v>50526453595</v>
      </c>
      <c r="S45" s="116">
        <v>2964636.71</v>
      </c>
      <c r="T45" s="130">
        <f t="shared" ref="T45" si="72">Q45/S45</f>
        <v>12.114583847273483</v>
      </c>
      <c r="U45" s="85"/>
    </row>
    <row r="46" spans="1:21" s="79" customFormat="1" ht="13.2">
      <c r="A46" s="129" t="s">
        <v>888</v>
      </c>
      <c r="B46" s="188">
        <f>SUM(F44:F46)</f>
        <v>5591471.3325358853</v>
      </c>
      <c r="C46" s="188">
        <f>AVERAGE(F44:F46)</f>
        <v>1863823.7775119618</v>
      </c>
      <c r="D46" s="190">
        <f>C46/C43-1</f>
        <v>-2.7265690206276227E-2</v>
      </c>
      <c r="E46" s="287">
        <f>C46/C34-1</f>
        <v>7.2031799771524962E-2</v>
      </c>
      <c r="F46" s="136">
        <f>Q46/19</f>
        <v>2025464.105263158</v>
      </c>
      <c r="G46" s="190">
        <f t="shared" ref="G46" si="73">F46/F45-1</f>
        <v>0.12791030532533343</v>
      </c>
      <c r="H46" s="190">
        <f t="shared" ref="H46" si="74">F46/F34-1</f>
        <v>2.818499669439789E-2</v>
      </c>
      <c r="I46" s="130">
        <f t="shared" si="0"/>
        <v>14.549720303139964</v>
      </c>
      <c r="J46" s="130">
        <f t="shared" si="4"/>
        <v>-6.2724037320076587E-2</v>
      </c>
      <c r="K46" s="136">
        <f>R44+R45+R46</f>
        <v>159791463105</v>
      </c>
      <c r="L46" s="190">
        <f>U46/U43-1</f>
        <v>1.6067955016147994E-2</v>
      </c>
      <c r="M46" s="190">
        <f>K46/K34-1</f>
        <v>0.10686938731010565</v>
      </c>
      <c r="N46" s="191">
        <f>AVERAGE(T44:T46)</f>
        <v>13.224901726394904</v>
      </c>
      <c r="O46" s="192">
        <f>N46/N43-1</f>
        <v>-6.4138390800307032E-2</v>
      </c>
      <c r="P46" s="129" t="s">
        <v>937</v>
      </c>
      <c r="Q46" s="116">
        <v>38483818</v>
      </c>
      <c r="R46" s="116">
        <v>52690088952</v>
      </c>
      <c r="S46" s="116">
        <v>2644986.79</v>
      </c>
      <c r="T46" s="130">
        <f t="shared" ref="T46" si="75">Q46/S46</f>
        <v>14.549720303139964</v>
      </c>
      <c r="U46" s="85">
        <f t="shared" ref="U46:U51" si="76">Q44+Q45+Q46</f>
        <v>113344443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1351578.1304347827</v>
      </c>
      <c r="G47" s="190">
        <f t="shared" ref="G47" si="77">F47/F46-1</f>
        <v>-0.33270694507855558</v>
      </c>
      <c r="H47" s="190">
        <f t="shared" ref="H47" si="78">F47/F35-1</f>
        <v>-4.7812228135467594E-2</v>
      </c>
      <c r="I47" s="130">
        <f t="shared" si="0"/>
        <v>12.026765925832031</v>
      </c>
      <c r="J47" s="130">
        <f t="shared" si="4"/>
        <v>-6.1038643483301902E-2</v>
      </c>
      <c r="K47" s="136"/>
      <c r="L47" s="190"/>
      <c r="M47" s="190"/>
      <c r="N47" s="191"/>
      <c r="O47" s="192"/>
      <c r="P47" s="129" t="s">
        <v>991</v>
      </c>
      <c r="Q47" s="116">
        <v>31086297</v>
      </c>
      <c r="R47" s="116">
        <v>42631799130</v>
      </c>
      <c r="S47" s="116">
        <v>2584759.46</v>
      </c>
      <c r="T47" s="130">
        <f t="shared" ref="T47" si="79">Q47/S47</f>
        <v>12.026765925832031</v>
      </c>
      <c r="U47" s="85">
        <f t="shared" si="76"/>
        <v>105485455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1556517.15</v>
      </c>
      <c r="G48" s="190">
        <f t="shared" ref="G48" si="80">F48/F47-1</f>
        <v>0.1516294285549673</v>
      </c>
      <c r="H48" s="190">
        <f t="shared" ref="H48" si="81">F48/F36-1</f>
        <v>-3.5036723051343421E-2</v>
      </c>
      <c r="I48" s="130">
        <f t="shared" si="0"/>
        <v>13.275657739437465</v>
      </c>
      <c r="J48" s="130">
        <f t="shared" si="4"/>
        <v>-6.0518191529137622E-2</v>
      </c>
      <c r="K48" s="136"/>
      <c r="L48" s="190"/>
      <c r="M48" s="190"/>
      <c r="N48" s="191"/>
      <c r="O48" s="192"/>
      <c r="P48" s="129" t="s">
        <v>1070</v>
      </c>
      <c r="Q48" s="116">
        <v>31130343</v>
      </c>
      <c r="R48" s="116">
        <v>43199755951</v>
      </c>
      <c r="S48" s="116">
        <v>2344919.0699999998</v>
      </c>
      <c r="T48" s="130">
        <f t="shared" ref="T48" si="82">Q48/S48</f>
        <v>13.275657739437465</v>
      </c>
      <c r="U48" s="85">
        <f t="shared" si="76"/>
        <v>100700458</v>
      </c>
    </row>
    <row r="49" spans="1:26" ht="13.2">
      <c r="A49" s="129" t="s">
        <v>1207</v>
      </c>
      <c r="B49" s="188">
        <f>SUM(F47:F49)</f>
        <v>4356689.0077075101</v>
      </c>
      <c r="C49" s="188">
        <f>AVERAGE(F47:F49)</f>
        <v>1452229.6692358367</v>
      </c>
      <c r="D49" s="190">
        <f>C49/C46-1</f>
        <v>-0.22083316740682768</v>
      </c>
      <c r="E49" s="287">
        <f>C49/C37-1</f>
        <v>-7.3648549512615236E-2</v>
      </c>
      <c r="F49" s="136">
        <f>Q49/22</f>
        <v>1448593.7272727273</v>
      </c>
      <c r="G49" s="190">
        <f t="shared" ref="G49" si="83">F49/F48-1</f>
        <v>-6.9336481597567112E-2</v>
      </c>
      <c r="H49" s="190">
        <f t="shared" ref="H49" si="84">F49/F37-1</f>
        <v>-0.13288250139516666</v>
      </c>
      <c r="I49" s="130">
        <f t="shared" si="0"/>
        <v>12.6784087012455</v>
      </c>
      <c r="J49" s="130">
        <f t="shared" si="4"/>
        <v>-7.7693769212439645E-2</v>
      </c>
      <c r="K49" s="136">
        <f>R47+R48+R49</f>
        <v>130121968163</v>
      </c>
      <c r="L49" s="190">
        <f>U49/U46-1</f>
        <v>-0.16991341163501061</v>
      </c>
      <c r="M49" s="190">
        <f>K49/K37-1</f>
        <v>-1.1783761571955376E-2</v>
      </c>
      <c r="N49" s="191">
        <f>AVERAGE(T47:T49)</f>
        <v>12.660277455504998</v>
      </c>
      <c r="O49" s="192">
        <f>N49/N46-1</f>
        <v>-4.2694023938416259E-2</v>
      </c>
      <c r="P49" s="129" t="s">
        <v>1165</v>
      </c>
      <c r="Q49" s="116">
        <v>31869062</v>
      </c>
      <c r="R49" s="116">
        <v>44290413082</v>
      </c>
      <c r="S49" s="116">
        <v>2513648.42</v>
      </c>
      <c r="T49" s="130">
        <f t="shared" ref="T49" si="85">Q49/S49</f>
        <v>12.6784087012455</v>
      </c>
      <c r="U49" s="85">
        <f t="shared" si="76"/>
        <v>94085702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1425382.1666666667</v>
      </c>
      <c r="G50" s="190">
        <f t="shared" ref="G50" si="86">F50/F49-1</f>
        <v>-1.6023513127977562E-2</v>
      </c>
      <c r="H50" s="190">
        <f t="shared" ref="H50" si="87">F50/F38-1</f>
        <v>-2.8623481691247621E-2</v>
      </c>
      <c r="I50" s="130">
        <f t="shared" ref="I50" si="88">T50</f>
        <v>13.62980374291571</v>
      </c>
      <c r="J50" s="130">
        <f t="shared" ref="J50" si="89">I50/I38-1</f>
        <v>-2.6372573694339874E-2</v>
      </c>
      <c r="K50" s="136"/>
      <c r="L50" s="190"/>
      <c r="M50" s="190"/>
      <c r="N50" s="191"/>
      <c r="O50" s="192"/>
      <c r="P50" s="129" t="s">
        <v>1291</v>
      </c>
      <c r="Q50" s="116">
        <v>25656879</v>
      </c>
      <c r="R50" s="116">
        <v>36263907435</v>
      </c>
      <c r="S50" s="116">
        <v>1882410.01</v>
      </c>
      <c r="T50" s="130">
        <f t="shared" ref="T50" si="90">Q50/S50</f>
        <v>13.62980374291571</v>
      </c>
      <c r="U50" s="85">
        <f t="shared" si="76"/>
        <v>88656284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1634169.1</v>
      </c>
      <c r="G51" s="190">
        <f t="shared" ref="G51:G52" si="91">F51/F50-1</f>
        <v>0.14647786272055918</v>
      </c>
      <c r="H51" s="190">
        <f t="shared" ref="H51:H52" si="92">F51/F39-1</f>
        <v>0.12049048269355378</v>
      </c>
      <c r="I51" s="130">
        <f t="shared" ref="I51:I52" si="93">T51</f>
        <v>13.250037384509273</v>
      </c>
      <c r="J51" s="130">
        <f t="shared" ref="J51:J52" si="94">I51/I39-1</f>
        <v>-0.1440101963498468</v>
      </c>
      <c r="K51" s="136"/>
      <c r="L51" s="190"/>
      <c r="M51" s="190"/>
      <c r="N51" s="191"/>
      <c r="O51" s="192"/>
      <c r="P51" s="129" t="s">
        <v>1402</v>
      </c>
      <c r="Q51" s="116">
        <v>32683382</v>
      </c>
      <c r="R51" s="116">
        <v>47335675696</v>
      </c>
      <c r="S51" s="116">
        <v>2466663.38</v>
      </c>
      <c r="T51" s="130">
        <f t="shared" ref="T51:T52" si="95">Q51/S51</f>
        <v>13.250037384509273</v>
      </c>
      <c r="U51" s="85">
        <f t="shared" si="76"/>
        <v>90209323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4348384.7212121207</v>
      </c>
      <c r="C52" s="188">
        <f>AVERAGE(F50:F52)</f>
        <v>1449461.5737373736</v>
      </c>
      <c r="D52" s="190">
        <f>C52/C49-1</f>
        <v>-1.9061003621553274E-3</v>
      </c>
      <c r="E52" s="287">
        <f>C52/C40-1</f>
        <v>-2.1894633937608821E-2</v>
      </c>
      <c r="F52" s="136">
        <f>Q52/22</f>
        <v>1288833.4545454546</v>
      </c>
      <c r="G52" s="190">
        <f t="shared" si="91"/>
        <v>-0.21132185491363498</v>
      </c>
      <c r="H52" s="190">
        <f t="shared" si="92"/>
        <v>-0.15202608441977206</v>
      </c>
      <c r="I52" s="130">
        <f t="shared" si="93"/>
        <v>11.713230322709553</v>
      </c>
      <c r="J52" s="130">
        <f t="shared" si="94"/>
        <v>-4.1163486073841127E-2</v>
      </c>
      <c r="K52" s="136">
        <f>R50+R51+R52</f>
        <v>125326157061</v>
      </c>
      <c r="L52" s="190">
        <f>U52/U49-1</f>
        <v>-7.8557154199689117E-2</v>
      </c>
      <c r="M52" s="190">
        <f>K52/K40-1</f>
        <v>-1.5240844487032668E-2</v>
      </c>
      <c r="N52" s="191">
        <f>AVERAGE(T50:T52)</f>
        <v>12.864357150044844</v>
      </c>
      <c r="O52" s="192">
        <f>N52/N49-1</f>
        <v>1.6119685785488613E-2</v>
      </c>
      <c r="P52" s="129" t="s">
        <v>1403</v>
      </c>
      <c r="Q52" s="116">
        <v>28354336</v>
      </c>
      <c r="R52" s="116">
        <v>41726573930</v>
      </c>
      <c r="S52" s="116">
        <v>2420710.19</v>
      </c>
      <c r="T52" s="130">
        <f t="shared" si="95"/>
        <v>11.713230322709553</v>
      </c>
      <c r="U52" s="85">
        <f t="shared" ref="U52" si="96">Q50+Q51+Q52</f>
        <v>86694597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1224251.142857143</v>
      </c>
      <c r="G53" s="190">
        <f t="shared" ref="G53" si="97">F53/F52-1</f>
        <v>-5.0109121128523504E-2</v>
      </c>
      <c r="H53" s="190">
        <f t="shared" ref="H53" si="98">F53/F41-1</f>
        <v>-0.28237860110351476</v>
      </c>
      <c r="I53" s="130">
        <f t="shared" ref="I53" si="99">T53</f>
        <v>14.330308787299742</v>
      </c>
      <c r="J53" s="130">
        <f t="shared" ref="J53" si="100">I53/I41-1</f>
        <v>-1.1789506180830078E-2</v>
      </c>
      <c r="K53" s="136"/>
      <c r="L53" s="190"/>
      <c r="M53" s="190"/>
      <c r="N53" s="191"/>
      <c r="O53" s="192"/>
      <c r="P53" s="129" t="s">
        <v>1414</v>
      </c>
      <c r="Q53" s="116">
        <v>25709274</v>
      </c>
      <c r="R53" s="116">
        <v>37436091287</v>
      </c>
      <c r="S53" s="116">
        <v>1794048.85</v>
      </c>
      <c r="T53" s="130">
        <f t="shared" ref="T53" si="101">Q53/S53</f>
        <v>14.330308787299742</v>
      </c>
      <c r="U53" s="85">
        <f t="shared" ref="U53" si="102">Q51+Q52+Q53</f>
        <v>86746992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1348824.6470588236</v>
      </c>
      <c r="G54" s="190">
        <f t="shared" ref="G54" si="103">F54/F53-1</f>
        <v>0.10175486045367488</v>
      </c>
      <c r="H54" s="190">
        <f t="shared" ref="H54" si="104">F54/F42-1</f>
        <v>-0.32090138671496149</v>
      </c>
      <c r="I54" s="130">
        <f t="shared" ref="I54" si="105">T54</f>
        <v>13.464735063060035</v>
      </c>
      <c r="J54" s="130">
        <f t="shared" ref="J54" si="106">I54/I42-1</f>
        <v>-6.7941788060617014E-2</v>
      </c>
      <c r="K54" s="136"/>
      <c r="L54" s="190"/>
      <c r="M54" s="190"/>
      <c r="N54" s="191"/>
      <c r="O54" s="192"/>
      <c r="P54" s="129" t="s">
        <v>1417</v>
      </c>
      <c r="Q54" s="116">
        <v>22930019</v>
      </c>
      <c r="R54" s="116">
        <v>33218894850</v>
      </c>
      <c r="S54" s="116">
        <v>1702968.45</v>
      </c>
      <c r="T54" s="130">
        <f t="shared" ref="T54" si="107">Q54/S54</f>
        <v>13.464735063060035</v>
      </c>
      <c r="U54" s="85">
        <f t="shared" ref="U54" si="108">Q52+Q53+Q54</f>
        <v>76993629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3968679.1708683479</v>
      </c>
      <c r="C55" s="188">
        <f>AVERAGE(F53:F55)</f>
        <v>1322893.0569561159</v>
      </c>
      <c r="D55" s="190">
        <f>C55/C52-1</f>
        <v>-8.732105705631521E-2</v>
      </c>
      <c r="E55" s="287">
        <f>C55/C43-1</f>
        <v>-0.30957879161359825</v>
      </c>
      <c r="F55" s="136">
        <f>Q55/21</f>
        <v>1395603.3809523811</v>
      </c>
      <c r="G55" s="190">
        <f t="shared" ref="G55" si="109">F55/F54-1</f>
        <v>3.4681108471409372E-2</v>
      </c>
      <c r="H55" s="190">
        <f t="shared" ref="H55" si="110">F55/F43-1</f>
        <v>-0.32121011127347043</v>
      </c>
      <c r="I55" s="130">
        <f>T55</f>
        <v>12.854277974364102</v>
      </c>
      <c r="J55" s="130">
        <f t="shared" ref="J55" si="111">I55/I43-1</f>
        <v>-4.4026035355061333E-2</v>
      </c>
      <c r="K55" s="136">
        <f>R53+R54+R55</f>
        <v>113698063120</v>
      </c>
      <c r="L55" s="190">
        <f>U55/U52-1</f>
        <v>-0.10090170901884465</v>
      </c>
      <c r="M55" s="190">
        <f>K55/K43-1</f>
        <v>-0.29716973502978461</v>
      </c>
      <c r="N55" s="191">
        <f>AVERAGE(T53:T55)</f>
        <v>13.549773941574626</v>
      </c>
      <c r="O55" s="192">
        <f>N55/N52-1</f>
        <v>5.3280298699371231E-2</v>
      </c>
      <c r="P55" s="129" t="s">
        <v>1418</v>
      </c>
      <c r="Q55" s="116">
        <v>29307671</v>
      </c>
      <c r="R55" s="116">
        <v>43043076983</v>
      </c>
      <c r="S55" s="116">
        <v>2279993.56</v>
      </c>
      <c r="T55" s="130">
        <f t="shared" ref="T55" si="112">Q55/S55</f>
        <v>12.854277974364102</v>
      </c>
      <c r="U55" s="85">
        <f t="shared" ref="U55" si="113">Q53+Q54+Q55</f>
        <v>77946964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1651536.6363636365</v>
      </c>
      <c r="G56" s="190">
        <f t="shared" ref="G56" si="114">F56/F55-1</f>
        <v>0.18338537933076848</v>
      </c>
      <c r="H56" s="190">
        <f t="shared" ref="H56" si="115">F56/F44-1</f>
        <v>-6.7055074831266381E-2</v>
      </c>
      <c r="I56" s="291">
        <f>T56</f>
        <v>14.347505215786679</v>
      </c>
      <c r="J56" s="130">
        <f t="shared" ref="J56" si="116">I56/I44-1</f>
        <v>0.10277194254493272</v>
      </c>
      <c r="K56" s="136"/>
      <c r="L56" s="190"/>
      <c r="M56" s="190"/>
      <c r="N56" s="191"/>
      <c r="O56" s="192"/>
      <c r="P56" s="129" t="s">
        <v>1420</v>
      </c>
      <c r="Q56" s="116">
        <v>36333806</v>
      </c>
      <c r="R56" s="116">
        <v>54236203190</v>
      </c>
      <c r="S56" s="116">
        <v>2532412.81</v>
      </c>
      <c r="T56" s="130">
        <f t="shared" ref="T56" si="117">Q56/S56</f>
        <v>14.347505215786679</v>
      </c>
      <c r="U56" s="85">
        <f t="shared" ref="U56" si="118">Q54+Q55+Q56</f>
        <v>88571496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1333812.4166666667</v>
      </c>
      <c r="G57" s="254">
        <f t="shared" ref="G57" si="119">F57/F56-1</f>
        <v>-0.19238096975949437</v>
      </c>
      <c r="H57" s="254">
        <f t="shared" ref="H57" si="120">F57/F45-1</f>
        <v>-0.25724639295261198</v>
      </c>
      <c r="I57" s="282">
        <f>T57</f>
        <v>17.657695451033387</v>
      </c>
      <c r="J57" s="277">
        <f t="shared" ref="J57" si="121">I57/I45-1</f>
        <v>0.45755691434728396</v>
      </c>
      <c r="K57" s="204"/>
      <c r="L57" s="254"/>
      <c r="M57" s="254"/>
      <c r="N57" s="257"/>
      <c r="O57" s="258"/>
      <c r="P57" s="129" t="s">
        <v>1436</v>
      </c>
      <c r="Q57" s="116">
        <v>16005749</v>
      </c>
      <c r="R57" s="116">
        <v>23586509893</v>
      </c>
      <c r="S57" s="116">
        <v>906446.09</v>
      </c>
      <c r="T57" s="130">
        <f t="shared" ref="T57" si="122">Q57/S57</f>
        <v>17.657695451033387</v>
      </c>
      <c r="U57" s="85">
        <f t="shared" ref="U57" si="123">Q55+Q56+Q57</f>
        <v>81647226</v>
      </c>
      <c r="V57" s="79"/>
      <c r="W57" s="79"/>
      <c r="X57" s="79"/>
      <c r="Y57" s="79"/>
      <c r="Z57" s="79"/>
    </row>
    <row r="58" spans="1:26">
      <c r="B58" s="196">
        <f>SUM(F56:F58)</f>
        <v>2985349.0530303032</v>
      </c>
      <c r="C58" s="196">
        <f>AVERAGE(F56:F58)</f>
        <v>1492674.5265151516</v>
      </c>
      <c r="D58" s="197">
        <f>C58/C55-1</f>
        <v>0.12834103910840011</v>
      </c>
      <c r="E58" s="233">
        <f>C58/C46-1</f>
        <v>-0.19913323108918657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130286519</v>
      </c>
      <c r="R66" s="212">
        <v>191520776203</v>
      </c>
      <c r="S66" s="213">
        <v>9215869.7799999993</v>
      </c>
      <c r="T66" s="214">
        <v>434</v>
      </c>
      <c r="U66" s="214">
        <v>753</v>
      </c>
    </row>
    <row r="67" spans="16:21" ht="18" thickBot="1">
      <c r="P67" s="180" t="s">
        <v>976</v>
      </c>
      <c r="Q67" s="181">
        <v>25709274</v>
      </c>
      <c r="R67" s="181">
        <v>37436091287</v>
      </c>
      <c r="S67" s="182">
        <v>1794048.85</v>
      </c>
      <c r="T67" s="210">
        <v>221</v>
      </c>
      <c r="U67" s="210">
        <v>357</v>
      </c>
    </row>
    <row r="68" spans="16:21" ht="18" thickBot="1">
      <c r="P68" s="180" t="s">
        <v>977</v>
      </c>
      <c r="Q68" s="181">
        <v>22930019</v>
      </c>
      <c r="R68" s="181">
        <v>33218894850</v>
      </c>
      <c r="S68" s="182">
        <v>1702968.45</v>
      </c>
      <c r="T68" s="210">
        <v>212</v>
      </c>
      <c r="U68" s="210">
        <v>339</v>
      </c>
    </row>
    <row r="69" spans="16:21" ht="18" thickBot="1">
      <c r="P69" s="180" t="s">
        <v>978</v>
      </c>
      <c r="Q69" s="181">
        <v>29307671</v>
      </c>
      <c r="R69" s="181">
        <v>43043076983</v>
      </c>
      <c r="S69" s="182">
        <v>2279993.56</v>
      </c>
      <c r="T69" s="210">
        <v>253</v>
      </c>
      <c r="U69" s="210">
        <v>378</v>
      </c>
    </row>
    <row r="70" spans="16:21" ht="18" thickBot="1">
      <c r="P70" s="180" t="s">
        <v>979</v>
      </c>
      <c r="Q70" s="181">
        <v>36333806</v>
      </c>
      <c r="R70" s="181">
        <v>54236203190</v>
      </c>
      <c r="S70" s="182">
        <v>2532412.81</v>
      </c>
      <c r="T70" s="210">
        <v>234</v>
      </c>
      <c r="U70" s="210">
        <v>368</v>
      </c>
    </row>
    <row r="71" spans="16:21" ht="18" thickBot="1">
      <c r="P71" s="180" t="s">
        <v>980</v>
      </c>
      <c r="Q71" s="181">
        <v>16005749</v>
      </c>
      <c r="R71" s="181">
        <v>23586509893</v>
      </c>
      <c r="S71" s="182">
        <v>906446.09</v>
      </c>
      <c r="T71" s="210">
        <v>186</v>
      </c>
      <c r="U71" s="210">
        <v>290</v>
      </c>
    </row>
    <row r="72" spans="16:21" ht="18" thickBot="1">
      <c r="P72" s="215" t="s">
        <v>975</v>
      </c>
      <c r="Q72" s="217"/>
      <c r="R72"/>
      <c r="S72"/>
      <c r="T72"/>
      <c r="U72"/>
    </row>
  </sheetData>
  <phoneticPr fontId="1" type="noConversion"/>
  <conditionalFormatting sqref="C29:C30">
    <cfRule type="cellIs" dxfId="5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71"/>
  <dimension ref="A1:Z74"/>
  <sheetViews>
    <sheetView zoomScale="90" zoomScaleNormal="90" workbookViewId="0">
      <selection activeCell="F67" sqref="F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8517792000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338</v>
      </c>
      <c r="C4" s="84" t="s">
        <v>353</v>
      </c>
      <c r="D4" s="118" t="s">
        <v>89</v>
      </c>
      <c r="E4" s="285" t="s">
        <v>273</v>
      </c>
      <c r="F4" s="84" t="s">
        <v>72</v>
      </c>
      <c r="G4" s="172" t="s">
        <v>282</v>
      </c>
      <c r="H4" s="172" t="s">
        <v>273</v>
      </c>
      <c r="I4" s="84" t="s">
        <v>45</v>
      </c>
      <c r="J4" s="84" t="s">
        <v>1263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411987.85</v>
      </c>
      <c r="G5" s="90"/>
      <c r="H5" s="90"/>
      <c r="I5" s="130">
        <f t="shared" ref="I5:I49" si="0">T5</f>
        <v>63.501630976515884</v>
      </c>
      <c r="J5" s="130"/>
      <c r="L5" s="80"/>
      <c r="M5" s="80"/>
      <c r="P5" s="129" t="s">
        <v>0</v>
      </c>
      <c r="Q5" s="116">
        <v>8239757</v>
      </c>
      <c r="R5" s="116">
        <v>9718784322</v>
      </c>
      <c r="S5" s="116">
        <v>129756.62</v>
      </c>
      <c r="T5" s="130">
        <f t="shared" ref="T5:T17" si="1">Q5/S5</f>
        <v>63.501630976515884</v>
      </c>
      <c r="U5" s="85"/>
    </row>
    <row r="6" spans="1:21" ht="15" hidden="1" customHeight="1">
      <c r="A6" s="129" t="s">
        <v>1</v>
      </c>
      <c r="C6" s="79"/>
      <c r="F6" s="78">
        <f>Q6/18</f>
        <v>479537.66666666669</v>
      </c>
      <c r="G6" s="90">
        <f t="shared" ref="G6:G16" si="2">F6/F5-1</f>
        <v>0.16396070094461934</v>
      </c>
      <c r="H6" s="90"/>
      <c r="I6" s="130">
        <f t="shared" si="0"/>
        <v>108.93663303833608</v>
      </c>
      <c r="J6" s="130"/>
      <c r="P6" s="129" t="s">
        <v>1</v>
      </c>
      <c r="Q6" s="116">
        <v>8631678</v>
      </c>
      <c r="R6" s="116">
        <v>10251929636</v>
      </c>
      <c r="S6" s="116">
        <v>79235.77</v>
      </c>
      <c r="T6" s="130">
        <f t="shared" si="1"/>
        <v>108.93663303833608</v>
      </c>
      <c r="U6" s="85"/>
    </row>
    <row r="7" spans="1:21" ht="15" hidden="1" customHeight="1">
      <c r="A7" s="129" t="s">
        <v>2</v>
      </c>
      <c r="B7" s="131">
        <f>F5+F6+F7</f>
        <v>1637953.6075757574</v>
      </c>
      <c r="C7" s="131">
        <f>AVERAGE(F5:F7)</f>
        <v>545984.53585858585</v>
      </c>
      <c r="F7" s="78">
        <f>Q7/22</f>
        <v>746428.09090909094</v>
      </c>
      <c r="G7" s="90">
        <f t="shared" si="2"/>
        <v>0.55655779054358101</v>
      </c>
      <c r="H7" s="90"/>
      <c r="I7" s="130">
        <f t="shared" si="0"/>
        <v>182.93562937456343</v>
      </c>
      <c r="J7" s="130"/>
      <c r="K7" s="79">
        <f>R5+R6+R7</f>
        <v>39660060924</v>
      </c>
      <c r="N7" s="88">
        <f>AVERAGE(T5:T7)</f>
        <v>118.45796446313847</v>
      </c>
      <c r="P7" s="129" t="s">
        <v>2</v>
      </c>
      <c r="Q7" s="116">
        <v>16421418</v>
      </c>
      <c r="R7" s="116">
        <v>19689346966</v>
      </c>
      <c r="S7" s="116">
        <v>89766.1</v>
      </c>
      <c r="T7" s="130">
        <f t="shared" si="1"/>
        <v>182.93562937456343</v>
      </c>
      <c r="U7" s="85">
        <f>Q5+Q6+Q7</f>
        <v>33292853</v>
      </c>
    </row>
    <row r="8" spans="1:21" ht="15" hidden="1" customHeight="1">
      <c r="A8" s="129" t="s">
        <v>3</v>
      </c>
      <c r="C8" s="79"/>
      <c r="F8" s="78">
        <f>Q8/21</f>
        <v>471743.09523809527</v>
      </c>
      <c r="G8" s="90">
        <f t="shared" si="2"/>
        <v>-0.36799927416511191</v>
      </c>
      <c r="H8" s="90"/>
      <c r="I8" s="130">
        <f t="shared" si="0"/>
        <v>86.156438221970518</v>
      </c>
      <c r="J8" s="130"/>
      <c r="K8" s="78"/>
      <c r="P8" s="129" t="s">
        <v>3</v>
      </c>
      <c r="Q8" s="116">
        <v>9906605</v>
      </c>
      <c r="R8" s="116">
        <v>12025923459</v>
      </c>
      <c r="S8" s="116">
        <v>114983.92</v>
      </c>
      <c r="T8" s="130">
        <f t="shared" si="1"/>
        <v>86.156438221970518</v>
      </c>
      <c r="U8" s="85"/>
    </row>
    <row r="9" spans="1:21" ht="15" hidden="1" customHeight="1">
      <c r="A9" s="129" t="s">
        <v>4</v>
      </c>
      <c r="C9" s="79"/>
      <c r="F9" s="78">
        <f>Q9/21</f>
        <v>683785.09523809527</v>
      </c>
      <c r="G9" s="90">
        <f t="shared" si="2"/>
        <v>0.44948617614207897</v>
      </c>
      <c r="H9" s="90"/>
      <c r="I9" s="130">
        <f t="shared" si="0"/>
        <v>138.23261934661576</v>
      </c>
      <c r="J9" s="130"/>
      <c r="K9" s="78"/>
      <c r="P9" s="129" t="s">
        <v>4</v>
      </c>
      <c r="Q9" s="116">
        <v>14359487</v>
      </c>
      <c r="R9" s="116">
        <v>18078741023</v>
      </c>
      <c r="S9" s="116">
        <v>103879.15</v>
      </c>
      <c r="T9" s="130">
        <f t="shared" si="1"/>
        <v>138.23261934661576</v>
      </c>
      <c r="U9" s="85"/>
    </row>
    <row r="10" spans="1:21" ht="15" hidden="1" customHeight="1">
      <c r="A10" s="129" t="s">
        <v>5</v>
      </c>
      <c r="B10" s="131">
        <f>F8+F9+F10</f>
        <v>1726561.9047619049</v>
      </c>
      <c r="C10" s="131">
        <f>AVERAGE(F8:F10)</f>
        <v>575520.63492063491</v>
      </c>
      <c r="D10" s="90">
        <f>C10/C7-1</f>
        <v>5.4096951694066142E-2</v>
      </c>
      <c r="E10" s="286"/>
      <c r="F10" s="78">
        <f>Q10/21</f>
        <v>571033.71428571432</v>
      </c>
      <c r="G10" s="90">
        <f t="shared" si="2"/>
        <v>-0.16489300766803161</v>
      </c>
      <c r="H10" s="90"/>
      <c r="I10" s="130">
        <f t="shared" si="0"/>
        <v>95.402470675476593</v>
      </c>
      <c r="J10" s="130"/>
      <c r="K10" s="79">
        <f>R8+R9+R10</f>
        <v>45204394246</v>
      </c>
      <c r="L10" s="87">
        <f>U10/U7-1</f>
        <v>8.9056561178460836E-2</v>
      </c>
      <c r="N10" s="88">
        <f>AVERAGE(T8:T10)</f>
        <v>106.59717608135429</v>
      </c>
      <c r="O10" s="89">
        <f>N10/N7-1</f>
        <v>-0.10012655911772816</v>
      </c>
      <c r="P10" s="129" t="s">
        <v>5</v>
      </c>
      <c r="Q10" s="116">
        <v>11991708</v>
      </c>
      <c r="R10" s="116">
        <v>15099729764</v>
      </c>
      <c r="S10" s="116">
        <v>125695.99</v>
      </c>
      <c r="T10" s="130">
        <f t="shared" si="1"/>
        <v>95.402470675476593</v>
      </c>
      <c r="U10" s="85">
        <f>Q8+Q9+Q10</f>
        <v>36257800</v>
      </c>
    </row>
    <row r="11" spans="1:21" ht="15" hidden="1" customHeight="1">
      <c r="A11" s="129" t="s">
        <v>6</v>
      </c>
      <c r="C11" s="79"/>
      <c r="F11" s="78">
        <f>Q11/21</f>
        <v>619808.57142857148</v>
      </c>
      <c r="G11" s="90">
        <f t="shared" si="2"/>
        <v>8.5415021780050004E-2</v>
      </c>
      <c r="H11" s="90"/>
      <c r="I11" s="130">
        <f t="shared" si="0"/>
        <v>107.71367119970672</v>
      </c>
      <c r="J11" s="130"/>
      <c r="K11" s="78"/>
      <c r="O11" s="89"/>
      <c r="P11" s="129" t="s">
        <v>6</v>
      </c>
      <c r="Q11" s="116">
        <v>13015980</v>
      </c>
      <c r="R11" s="116">
        <v>16779061898</v>
      </c>
      <c r="S11" s="116">
        <v>120838.7</v>
      </c>
      <c r="T11" s="130">
        <f t="shared" si="1"/>
        <v>107.71367119970672</v>
      </c>
      <c r="U11" s="85"/>
    </row>
    <row r="12" spans="1:21" ht="15" hidden="1" customHeight="1">
      <c r="A12" s="129" t="s">
        <v>7</v>
      </c>
      <c r="C12" s="79"/>
      <c r="F12" s="78">
        <f>Q12/22</f>
        <v>498518.95454545453</v>
      </c>
      <c r="G12" s="90">
        <f t="shared" si="2"/>
        <v>-0.19568883438246343</v>
      </c>
      <c r="H12" s="90"/>
      <c r="I12" s="130">
        <f t="shared" si="0"/>
        <v>84.329613139633523</v>
      </c>
      <c r="J12" s="130"/>
      <c r="K12" s="78"/>
      <c r="O12" s="89"/>
      <c r="P12" s="129" t="s">
        <v>7</v>
      </c>
      <c r="Q12" s="116">
        <v>10967417</v>
      </c>
      <c r="R12" s="116">
        <v>14278732152</v>
      </c>
      <c r="S12" s="116">
        <v>130054.16</v>
      </c>
      <c r="T12" s="130">
        <f t="shared" si="1"/>
        <v>84.329613139633523</v>
      </c>
      <c r="U12" s="85"/>
    </row>
    <row r="13" spans="1:21" ht="15" hidden="1" customHeight="1">
      <c r="A13" s="129" t="s">
        <v>96</v>
      </c>
      <c r="B13" s="131">
        <f>F11+F12+F13</f>
        <v>2335409.2759740259</v>
      </c>
      <c r="C13" s="131">
        <f>AVERAGE(F11:F13)</f>
        <v>778469.75865800865</v>
      </c>
      <c r="D13" s="90">
        <f>C13/C10-1</f>
        <v>0.35263570308884007</v>
      </c>
      <c r="E13" s="286"/>
      <c r="F13" s="78">
        <f>Q13/20</f>
        <v>1217081.75</v>
      </c>
      <c r="G13" s="90">
        <f t="shared" si="2"/>
        <v>1.4413951343329066</v>
      </c>
      <c r="H13" s="90"/>
      <c r="I13" s="130">
        <f t="shared" si="0"/>
        <v>90.173647813984175</v>
      </c>
      <c r="J13" s="130"/>
      <c r="K13" s="78">
        <f>R11+R12+R13</f>
        <v>64295162095</v>
      </c>
      <c r="L13" s="87">
        <f>U13/U10-1</f>
        <v>0.33281754546607911</v>
      </c>
      <c r="N13" s="88">
        <f>AVERAGE(T11:T13)</f>
        <v>94.072310717774812</v>
      </c>
      <c r="O13" s="89">
        <f>N13/N10-1</f>
        <v>-0.11749715915570391</v>
      </c>
      <c r="P13" s="129" t="s">
        <v>96</v>
      </c>
      <c r="Q13" s="116">
        <v>24341635</v>
      </c>
      <c r="R13" s="116">
        <v>33237368045</v>
      </c>
      <c r="S13" s="116">
        <v>269941.78000000003</v>
      </c>
      <c r="T13" s="130">
        <f t="shared" si="1"/>
        <v>90.173647813984175</v>
      </c>
      <c r="U13" s="85">
        <f>Q11+Q12+Q13</f>
        <v>48325032</v>
      </c>
    </row>
    <row r="14" spans="1:21" ht="15" hidden="1" customHeight="1">
      <c r="A14" s="129" t="s">
        <v>97</v>
      </c>
      <c r="C14" s="79"/>
      <c r="F14" s="78">
        <f>Q14/20</f>
        <v>1904985.25</v>
      </c>
      <c r="G14" s="90">
        <f t="shared" si="2"/>
        <v>0.5652073083833522</v>
      </c>
      <c r="H14" s="90"/>
      <c r="I14" s="130">
        <f t="shared" si="0"/>
        <v>93.347116635920273</v>
      </c>
      <c r="J14" s="130"/>
      <c r="O14" s="89"/>
      <c r="P14" s="129" t="s">
        <v>97</v>
      </c>
      <c r="Q14" s="116">
        <v>38099705</v>
      </c>
      <c r="R14" s="116">
        <v>54343179971</v>
      </c>
      <c r="S14" s="116">
        <v>408150.85</v>
      </c>
      <c r="T14" s="130">
        <f t="shared" si="1"/>
        <v>93.347116635920273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2154224.0909090908</v>
      </c>
      <c r="G15" s="90">
        <f t="shared" si="2"/>
        <v>0.13083505024991182</v>
      </c>
      <c r="H15" s="90"/>
      <c r="I15" s="130">
        <f t="shared" si="0"/>
        <v>92.363890372106994</v>
      </c>
      <c r="J15" s="130"/>
      <c r="O15" s="89"/>
      <c r="P15" s="129" t="s">
        <v>98</v>
      </c>
      <c r="Q15" s="116">
        <v>47392930</v>
      </c>
      <c r="R15" s="116">
        <v>64954247666</v>
      </c>
      <c r="S15" s="116">
        <v>513111.02</v>
      </c>
      <c r="T15" s="130">
        <f t="shared" si="1"/>
        <v>92.363890372106994</v>
      </c>
      <c r="U15" s="85"/>
    </row>
    <row r="16" spans="1:21" ht="15" hidden="1" customHeight="1">
      <c r="A16" s="129" t="s">
        <v>99</v>
      </c>
      <c r="B16" s="131">
        <f>F14+F15+F16</f>
        <v>5286356.5227272725</v>
      </c>
      <c r="C16" s="131">
        <f>AVERAGE(F14:F16)</f>
        <v>1762118.8409090908</v>
      </c>
      <c r="D16" s="90">
        <f>C16/C13-1</f>
        <v>1.263567494191141</v>
      </c>
      <c r="E16" s="286"/>
      <c r="F16" s="78">
        <f>Q16/22</f>
        <v>1227147.1818181819</v>
      </c>
      <c r="G16" s="90">
        <f t="shared" si="2"/>
        <v>-0.43035305054994488</v>
      </c>
      <c r="H16" s="90"/>
      <c r="I16" s="130">
        <f t="shared" si="0"/>
        <v>101.15148771406359</v>
      </c>
      <c r="J16" s="130"/>
      <c r="K16" s="78">
        <f>R14+R15+R16</f>
        <v>154545736270</v>
      </c>
      <c r="L16" s="87">
        <f>U16/U13-1</f>
        <v>1.3277764823828777</v>
      </c>
      <c r="N16" s="88">
        <f>AVERAGE(T14:T16)</f>
        <v>95.620831574030277</v>
      </c>
      <c r="O16" s="89">
        <f>N16/N13-1</f>
        <v>1.6460963321089928E-2</v>
      </c>
      <c r="P16" s="129" t="s">
        <v>99</v>
      </c>
      <c r="Q16" s="116">
        <v>26997238</v>
      </c>
      <c r="R16" s="116">
        <v>35248308633</v>
      </c>
      <c r="S16" s="116">
        <v>266899.07</v>
      </c>
      <c r="T16" s="130">
        <f t="shared" si="1"/>
        <v>101.15148771406359</v>
      </c>
      <c r="U16" s="85">
        <f>Q14+Q15+Q16</f>
        <v>112489873</v>
      </c>
    </row>
    <row r="17" spans="1:21" ht="15" hidden="1" customHeight="1">
      <c r="A17" s="129" t="s">
        <v>100</v>
      </c>
      <c r="C17" s="79"/>
      <c r="F17" s="78">
        <f>Q17/20</f>
        <v>478396.7</v>
      </c>
      <c r="G17" s="90">
        <f t="shared" ref="G17:G22" si="3">F17/F16-1</f>
        <v>-0.61015540182295691</v>
      </c>
      <c r="H17" s="90">
        <f t="shared" ref="H17:H22" si="4">F17/F5-1</f>
        <v>0.16119128270408956</v>
      </c>
      <c r="I17" s="130">
        <f t="shared" si="0"/>
        <v>104.25136694664077</v>
      </c>
      <c r="J17" s="130">
        <f t="shared" ref="J17:J49" si="5">I17/I5-1</f>
        <v>0.64171164336227715</v>
      </c>
      <c r="O17" s="89"/>
      <c r="P17" s="129" t="s">
        <v>100</v>
      </c>
      <c r="Q17" s="116">
        <v>9567934</v>
      </c>
      <c r="R17" s="116">
        <v>11954123332</v>
      </c>
      <c r="S17" s="116">
        <v>91777.54</v>
      </c>
      <c r="T17" s="130">
        <f t="shared" si="1"/>
        <v>104.25136694664077</v>
      </c>
      <c r="U17" s="78"/>
    </row>
    <row r="18" spans="1:21" hidden="1">
      <c r="A18" s="129" t="s">
        <v>106</v>
      </c>
      <c r="C18" s="79"/>
      <c r="F18" s="78">
        <f>Q18/20</f>
        <v>933318.3</v>
      </c>
      <c r="G18" s="90">
        <f t="shared" si="3"/>
        <v>0.95092963642934825</v>
      </c>
      <c r="H18" s="90">
        <f t="shared" si="4"/>
        <v>0.94628777857561408</v>
      </c>
      <c r="I18" s="130">
        <f t="shared" si="0"/>
        <v>116.58274967633713</v>
      </c>
      <c r="J18" s="130">
        <f t="shared" si="5"/>
        <v>7.0188663122260131E-2</v>
      </c>
      <c r="O18" s="89"/>
      <c r="P18" s="129" t="s">
        <v>106</v>
      </c>
      <c r="Q18" s="116">
        <v>18666366</v>
      </c>
      <c r="R18" s="116">
        <v>23379009940</v>
      </c>
      <c r="S18" s="116">
        <v>160112.59</v>
      </c>
      <c r="T18" s="130">
        <f t="shared" ref="T18" si="6">Q18/S18</f>
        <v>116.58274967633713</v>
      </c>
      <c r="U18" s="78"/>
    </row>
    <row r="19" spans="1:21" hidden="1">
      <c r="A19" s="129" t="s">
        <v>114</v>
      </c>
      <c r="B19" s="131">
        <f>SUM(F17:F19)</f>
        <v>1813877.1818181819</v>
      </c>
      <c r="C19" s="131">
        <f>AVERAGE(F17:F19)</f>
        <v>604625.72727272729</v>
      </c>
      <c r="D19" s="90">
        <f>C19/C16-1</f>
        <v>-0.65687573775625929</v>
      </c>
      <c r="E19" s="286">
        <f>C19/C7-1</f>
        <v>0.10740449145125597</v>
      </c>
      <c r="F19" s="78">
        <f>Q19/22</f>
        <v>402162.18181818182</v>
      </c>
      <c r="G19" s="90">
        <f t="shared" si="3"/>
        <v>-0.56910500756474847</v>
      </c>
      <c r="H19" s="90">
        <f t="shared" si="4"/>
        <v>-0.46121778277612813</v>
      </c>
      <c r="I19" s="130">
        <f t="shared" si="0"/>
        <v>98.559554410638441</v>
      </c>
      <c r="J19" s="130">
        <f t="shared" si="5"/>
        <v>-0.46123368778623064</v>
      </c>
      <c r="K19" s="78">
        <f>R17+R18+R19</f>
        <v>46902579348</v>
      </c>
      <c r="L19" s="87">
        <f>U19/U16-1</f>
        <v>-0.67035372153011497</v>
      </c>
      <c r="M19" s="87">
        <f>U19/U7-1</f>
        <v>0.1138086603752464</v>
      </c>
      <c r="N19" s="88">
        <f>AVERAGE(T17:T19)</f>
        <v>106.46455701120544</v>
      </c>
      <c r="O19" s="89">
        <f>N19/N16-1</f>
        <v>0.11340337935442313</v>
      </c>
      <c r="P19" s="129" t="s">
        <v>115</v>
      </c>
      <c r="Q19" s="116">
        <v>8847568</v>
      </c>
      <c r="R19" s="116">
        <v>11569446076</v>
      </c>
      <c r="S19" s="116">
        <v>89768.75</v>
      </c>
      <c r="T19" s="130">
        <f t="shared" ref="T19" si="7">Q19/S19</f>
        <v>98.559554410638441</v>
      </c>
      <c r="U19" s="85">
        <f>Q17+Q18+Q19</f>
        <v>37081868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650004.55000000005</v>
      </c>
      <c r="G20" s="90">
        <f t="shared" si="3"/>
        <v>0.61627467570749395</v>
      </c>
      <c r="H20" s="90">
        <f t="shared" si="4"/>
        <v>0.37787824890565447</v>
      </c>
      <c r="I20" s="130">
        <f t="shared" si="0"/>
        <v>155.19715212831707</v>
      </c>
      <c r="J20" s="130">
        <f t="shared" si="5"/>
        <v>0.80134131971045974</v>
      </c>
      <c r="O20" s="89"/>
      <c r="P20" s="129" t="s">
        <v>132</v>
      </c>
      <c r="Q20" s="116">
        <v>13000091</v>
      </c>
      <c r="R20" s="116">
        <v>16962852931</v>
      </c>
      <c r="S20" s="116">
        <v>83765.009999999995</v>
      </c>
      <c r="T20" s="130">
        <f t="shared" ref="T20" si="8">Q20/S20</f>
        <v>155.19715212831707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1167153.4285714286</v>
      </c>
      <c r="G21" s="90">
        <f t="shared" si="3"/>
        <v>0.79560809008402877</v>
      </c>
      <c r="H21" s="90">
        <f t="shared" si="4"/>
        <v>0.70690094987376639</v>
      </c>
      <c r="I21" s="130">
        <f t="shared" si="0"/>
        <v>133.65252969065963</v>
      </c>
      <c r="J21" s="130">
        <f t="shared" si="5"/>
        <v>-3.3133204576494601E-2</v>
      </c>
      <c r="O21" s="89"/>
      <c r="P21" s="129" t="s">
        <v>141</v>
      </c>
      <c r="Q21" s="116">
        <v>24510222</v>
      </c>
      <c r="R21" s="116">
        <v>32563426992</v>
      </c>
      <c r="S21" s="116">
        <v>183387.64</v>
      </c>
      <c r="T21" s="130">
        <f t="shared" ref="T21" si="9">Q21/S21</f>
        <v>133.65252969065963</v>
      </c>
      <c r="U21" s="78"/>
    </row>
    <row r="22" spans="1:21" hidden="1">
      <c r="A22" s="129" t="s">
        <v>156</v>
      </c>
      <c r="B22" s="131">
        <f>SUM(F20:F22)</f>
        <v>2828330.0261904765</v>
      </c>
      <c r="C22" s="131">
        <f>AVERAGE(F20:F22)</f>
        <v>942776.67539682554</v>
      </c>
      <c r="D22" s="90">
        <f>C22/C19-1</f>
        <v>0.55927317160218881</v>
      </c>
      <c r="E22" s="286">
        <f>C22/C10-1</f>
        <v>0.63812836272471052</v>
      </c>
      <c r="F22" s="78">
        <f>Q22/21</f>
        <v>1011172.0476190476</v>
      </c>
      <c r="G22" s="90">
        <f t="shared" si="3"/>
        <v>-0.13364256757853932</v>
      </c>
      <c r="H22" s="90">
        <f t="shared" si="4"/>
        <v>0.77077468864318566</v>
      </c>
      <c r="I22" s="130">
        <f t="shared" si="0"/>
        <v>182.02990488239078</v>
      </c>
      <c r="J22" s="130">
        <f t="shared" si="5"/>
        <v>0.90802086773610102</v>
      </c>
      <c r="K22" s="78">
        <f>R20+R21+R22</f>
        <v>77227117842</v>
      </c>
      <c r="L22" s="87">
        <f>U22/U19-1</f>
        <v>0.58419543481466474</v>
      </c>
      <c r="M22" s="87">
        <f>U22/U10-1</f>
        <v>0.62020106018567045</v>
      </c>
      <c r="N22" s="88">
        <f>AVERAGE(T20:T22)</f>
        <v>156.95986223378915</v>
      </c>
      <c r="O22" s="89">
        <f>N22/N19-1</f>
        <v>0.47429216483067749</v>
      </c>
      <c r="P22" s="129" t="s">
        <v>156</v>
      </c>
      <c r="Q22" s="116">
        <v>21234613</v>
      </c>
      <c r="R22" s="116">
        <v>27700837919</v>
      </c>
      <c r="S22" s="116">
        <v>116654.53</v>
      </c>
      <c r="T22" s="130">
        <f t="shared" ref="T22:T23" si="10">Q22/S22</f>
        <v>182.02990488239078</v>
      </c>
      <c r="U22" s="85">
        <f>Q20+Q21+Q22</f>
        <v>58744926</v>
      </c>
    </row>
    <row r="23" spans="1:21" hidden="1">
      <c r="A23" s="129" t="s">
        <v>189</v>
      </c>
      <c r="B23" s="131"/>
      <c r="C23" s="131"/>
      <c r="F23" s="78">
        <f>Q23/21</f>
        <v>519943.28571428574</v>
      </c>
      <c r="G23" s="90">
        <f t="shared" ref="G23" si="11">F23/F22-1</f>
        <v>-0.48580136591140133</v>
      </c>
      <c r="H23" s="90">
        <f t="shared" ref="H23" si="12">F23/F11-1</f>
        <v>-0.16112278906390454</v>
      </c>
      <c r="I23" s="130">
        <f t="shared" si="0"/>
        <v>85.47204266177701</v>
      </c>
      <c r="J23" s="130">
        <f t="shared" si="5"/>
        <v>-0.20648844561887214</v>
      </c>
      <c r="O23" s="89"/>
      <c r="P23" s="129" t="s">
        <v>189</v>
      </c>
      <c r="Q23" s="116">
        <v>10918809</v>
      </c>
      <c r="R23" s="116">
        <v>14147947791</v>
      </c>
      <c r="S23" s="116">
        <v>127747.14</v>
      </c>
      <c r="T23" s="130">
        <f t="shared" si="10"/>
        <v>85.47204266177701</v>
      </c>
      <c r="U23" s="78"/>
    </row>
    <row r="24" spans="1:21" hidden="1">
      <c r="A24" s="129" t="s">
        <v>204</v>
      </c>
      <c r="B24" s="131"/>
      <c r="C24" s="131"/>
      <c r="F24" s="78">
        <f>Q24/22</f>
        <v>770115.40909090906</v>
      </c>
      <c r="G24" s="90">
        <f t="shared" ref="G24" si="13">F24/F23-1</f>
        <v>0.48115271463298703</v>
      </c>
      <c r="H24" s="90">
        <f t="shared" ref="H24" si="14">F24/F12-1</f>
        <v>0.5448066759930803</v>
      </c>
      <c r="I24" s="130">
        <f t="shared" si="0"/>
        <v>151.07249858223568</v>
      </c>
      <c r="J24" s="130">
        <f t="shared" si="5"/>
        <v>0.7914525272645192</v>
      </c>
      <c r="O24" s="89"/>
      <c r="P24" s="129" t="s">
        <v>204</v>
      </c>
      <c r="Q24" s="116">
        <v>16942539</v>
      </c>
      <c r="R24" s="116">
        <v>22227499159</v>
      </c>
      <c r="S24" s="116">
        <v>112148.4</v>
      </c>
      <c r="T24" s="130">
        <f t="shared" ref="T24" si="15">Q24/S24</f>
        <v>151.07249858223568</v>
      </c>
      <c r="U24" s="78"/>
    </row>
    <row r="25" spans="1:21" s="79" customFormat="1" ht="13.2" hidden="1">
      <c r="A25" s="129" t="s">
        <v>219</v>
      </c>
      <c r="B25" s="131">
        <f>SUM(F23:F25)</f>
        <v>2486986.8000683528</v>
      </c>
      <c r="C25" s="131">
        <f>AVERAGE(F23:F25)</f>
        <v>828995.60002278432</v>
      </c>
      <c r="D25" s="90">
        <f>C25/C22-1</f>
        <v>-0.12068719808553752</v>
      </c>
      <c r="E25" s="286">
        <f>C25/C13-1</f>
        <v>6.490405157404755E-2</v>
      </c>
      <c r="F25" s="78">
        <f>Q25/19</f>
        <v>1196928.105263158</v>
      </c>
      <c r="G25" s="90">
        <f t="shared" ref="G25" si="16">F25/F24-1</f>
        <v>0.55421913538398693</v>
      </c>
      <c r="H25" s="90">
        <f t="shared" ref="H25" si="17">F25/F13-1</f>
        <v>-1.6558990172058752E-2</v>
      </c>
      <c r="I25" s="130">
        <f t="shared" si="0"/>
        <v>252.85417833188717</v>
      </c>
      <c r="J25" s="130">
        <f t="shared" si="5"/>
        <v>1.8040806206874378</v>
      </c>
      <c r="K25" s="78">
        <f>R23+R24+R25</f>
        <v>66560220543</v>
      </c>
      <c r="L25" s="90">
        <f>U25/U22-1</f>
        <v>-0.13859825102171375</v>
      </c>
      <c r="M25" s="90">
        <f>U25/U13-1</f>
        <v>4.7138096049269107E-2</v>
      </c>
      <c r="N25" s="88">
        <f>AVERAGE(T23:T25)</f>
        <v>163.13290652529994</v>
      </c>
      <c r="O25" s="91">
        <f>N25/N22-1</f>
        <v>3.9328808038300522E-2</v>
      </c>
      <c r="P25" s="129" t="s">
        <v>219</v>
      </c>
      <c r="Q25" s="116">
        <v>22741634</v>
      </c>
      <c r="R25" s="116">
        <v>30184773593</v>
      </c>
      <c r="S25" s="116">
        <v>89939.72</v>
      </c>
      <c r="T25" s="130">
        <f t="shared" ref="T25" si="18">Q25/S25</f>
        <v>252.85417833188717</v>
      </c>
      <c r="U25" s="85">
        <f>Q23+Q24+Q25</f>
        <v>50602982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846371.31578947371</v>
      </c>
      <c r="G26" s="90">
        <f t="shared" ref="G26" si="19">F26/F25-1</f>
        <v>-0.29288040604294308</v>
      </c>
      <c r="H26" s="90">
        <f t="shared" ref="H26" si="20">F26/F14-1</f>
        <v>-0.55570715532339499</v>
      </c>
      <c r="I26" s="130">
        <f t="shared" si="0"/>
        <v>311.71697877672295</v>
      </c>
      <c r="J26" s="130">
        <f t="shared" si="5"/>
        <v>2.339331625983756</v>
      </c>
      <c r="L26" s="90"/>
      <c r="M26" s="90"/>
      <c r="P26" s="129" t="s">
        <v>312</v>
      </c>
      <c r="Q26" s="116">
        <v>16081055</v>
      </c>
      <c r="R26" s="116">
        <v>21657423388</v>
      </c>
      <c r="S26" s="116">
        <v>51588.639999999999</v>
      </c>
      <c r="T26" s="130">
        <f t="shared" ref="T26" si="21">Q26/S26</f>
        <v>311.71697877672295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348914.95454545453</v>
      </c>
      <c r="G27" s="90">
        <f t="shared" ref="G27" si="22">F27/F26-1</f>
        <v>-0.58775191451284536</v>
      </c>
      <c r="H27" s="90">
        <f t="shared" ref="H27" si="23">F27/F15-1</f>
        <v>-0.8380321917214234</v>
      </c>
      <c r="I27" s="130">
        <f t="shared" si="0"/>
        <v>91.452885042224167</v>
      </c>
      <c r="J27" s="130">
        <f t="shared" si="5"/>
        <v>-9.8632195570439452E-3</v>
      </c>
      <c r="L27" s="90"/>
      <c r="M27" s="90"/>
      <c r="P27" s="129" t="s">
        <v>377</v>
      </c>
      <c r="Q27" s="116">
        <v>7676129</v>
      </c>
      <c r="R27" s="116">
        <v>10119874068</v>
      </c>
      <c r="S27" s="116">
        <v>83935.34</v>
      </c>
      <c r="T27" s="130">
        <f t="shared" ref="T27" si="24">Q27/S27</f>
        <v>91.452885042224167</v>
      </c>
      <c r="U27" s="78"/>
    </row>
    <row r="28" spans="1:21" s="79" customFormat="1" ht="13.2" hidden="1">
      <c r="A28" s="123" t="s">
        <v>413</v>
      </c>
      <c r="B28" s="131">
        <f>SUM(F26:F28)</f>
        <v>1681370.7966507177</v>
      </c>
      <c r="C28" s="131">
        <f>AVERAGE(F26:F28)</f>
        <v>560456.93221690587</v>
      </c>
      <c r="D28" s="90">
        <f>C28/C25-1</f>
        <v>-0.32393256103952528</v>
      </c>
      <c r="E28" s="286">
        <f>C28/C16-1</f>
        <v>-0.68194146773451347</v>
      </c>
      <c r="F28" s="78">
        <f>Q28/19</f>
        <v>486084.5263157895</v>
      </c>
      <c r="G28" s="90">
        <f t="shared" ref="G28" si="25">F28/F27-1</f>
        <v>0.39313182190494311</v>
      </c>
      <c r="H28" s="90">
        <f t="shared" ref="H28" si="26">F28/F16-1</f>
        <v>-0.60389060618173729</v>
      </c>
      <c r="I28" s="130">
        <f t="shared" si="0"/>
        <v>136.22030636421991</v>
      </c>
      <c r="J28" s="130">
        <f t="shared" si="5"/>
        <v>0.34669602437572977</v>
      </c>
      <c r="K28" s="78">
        <f>R26+R27+R28</f>
        <v>43796514239</v>
      </c>
      <c r="L28" s="90">
        <f>U28/U25-1</f>
        <v>-0.34800700085224223</v>
      </c>
      <c r="M28" s="90">
        <f>U28/U16-1</f>
        <v>-0.70670435373324669</v>
      </c>
      <c r="N28" s="88">
        <f>AVERAGE(T26:T28)</f>
        <v>179.79672339438901</v>
      </c>
      <c r="O28" s="91">
        <f>N28/N25-1</f>
        <v>0.10214871557201555</v>
      </c>
      <c r="P28" s="129" t="s">
        <v>413</v>
      </c>
      <c r="Q28" s="116">
        <v>9235606</v>
      </c>
      <c r="R28" s="116">
        <v>12019216783</v>
      </c>
      <c r="S28" s="116">
        <v>67799.039999999994</v>
      </c>
      <c r="T28" s="130">
        <f t="shared" ref="T28" si="27">Q28/S28</f>
        <v>136.22030636421991</v>
      </c>
      <c r="U28" s="85">
        <f>Q26+Q27+Q28</f>
        <v>32992790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438629.54545454547</v>
      </c>
      <c r="G29" s="190">
        <f t="shared" ref="G29" si="28">F29/F28-1</f>
        <v>-9.7627014011169022E-2</v>
      </c>
      <c r="H29" s="190">
        <f t="shared" ref="H29" si="29">F29/F17-1</f>
        <v>-8.3125896448396408E-2</v>
      </c>
      <c r="I29" s="130">
        <f t="shared" si="0"/>
        <v>119.64078442924756</v>
      </c>
      <c r="J29" s="130">
        <f t="shared" si="5"/>
        <v>0.14761837598238481</v>
      </c>
      <c r="K29" s="136"/>
      <c r="L29" s="190"/>
      <c r="M29" s="190"/>
      <c r="N29" s="191"/>
      <c r="O29" s="192"/>
      <c r="P29" s="129" t="s">
        <v>430</v>
      </c>
      <c r="Q29" s="116">
        <v>9649850</v>
      </c>
      <c r="R29" s="116">
        <v>12704828407</v>
      </c>
      <c r="S29" s="116">
        <v>80656.86</v>
      </c>
      <c r="T29" s="130">
        <f t="shared" ref="T29" si="30">Q29/S29</f>
        <v>119.64078442924756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434064.73684210528</v>
      </c>
      <c r="G30" s="190">
        <f t="shared" ref="G30" si="31">F30/F29-1</f>
        <v>-1.040697932855783E-2</v>
      </c>
      <c r="H30" s="190">
        <f t="shared" ref="H30" si="32">F30/F18-1</f>
        <v>-0.5349231480384502</v>
      </c>
      <c r="I30" s="130">
        <f t="shared" si="0"/>
        <v>114.43301872877856</v>
      </c>
      <c r="J30" s="130">
        <f t="shared" si="5"/>
        <v>-1.843952860544773E-2</v>
      </c>
      <c r="K30" s="136"/>
      <c r="L30" s="190"/>
      <c r="M30" s="190"/>
      <c r="N30" s="191"/>
      <c r="O30" s="192"/>
      <c r="P30" s="129" t="s">
        <v>466</v>
      </c>
      <c r="Q30" s="116">
        <v>8247230</v>
      </c>
      <c r="R30" s="116">
        <v>10991193199</v>
      </c>
      <c r="S30" s="116">
        <v>72070.37</v>
      </c>
      <c r="T30" s="130">
        <f t="shared" ref="T30" si="33">Q30/S30</f>
        <v>114.43301872877856</v>
      </c>
      <c r="U30" s="85"/>
    </row>
    <row r="31" spans="1:21" s="79" customFormat="1" ht="13.2" hidden="1">
      <c r="A31" s="129" t="s">
        <v>505</v>
      </c>
      <c r="B31" s="188">
        <f>SUM(F29:F31)</f>
        <v>2031442.4822966508</v>
      </c>
      <c r="C31" s="188">
        <f>AVERAGE(F29:F31)</f>
        <v>677147.49409888359</v>
      </c>
      <c r="D31" s="190">
        <f>C31/C28-1</f>
        <v>0.20820611749845686</v>
      </c>
      <c r="E31" s="287">
        <f>C31/C19-1</f>
        <v>0.11994489078934611</v>
      </c>
      <c r="F31" s="136">
        <f>Q31/20</f>
        <v>1158748.2</v>
      </c>
      <c r="G31" s="190">
        <f t="shared" ref="G31" si="34">F31/F30-1</f>
        <v>1.6695285326103431</v>
      </c>
      <c r="H31" s="190">
        <f t="shared" ref="H31" si="35">F31/F19-1</f>
        <v>1.8812957865935585</v>
      </c>
      <c r="I31" s="130">
        <f t="shared" si="0"/>
        <v>366.32162567072129</v>
      </c>
      <c r="J31" s="130">
        <f t="shared" si="5"/>
        <v>2.7167540768749743</v>
      </c>
      <c r="K31" s="136">
        <f>R29+R30+R31</f>
        <v>54429308145</v>
      </c>
      <c r="L31" s="190">
        <f>U31/U28-1</f>
        <v>0.24487938122238218</v>
      </c>
      <c r="M31" s="190">
        <f>U31/U19-1</f>
        <v>0.10760450363503793</v>
      </c>
      <c r="N31" s="191">
        <f>AVERAGE(T29:T31)</f>
        <v>200.13180960958246</v>
      </c>
      <c r="O31" s="192">
        <f>N31/N28-1</f>
        <v>0.11310042714509261</v>
      </c>
      <c r="P31" s="129" t="s">
        <v>513</v>
      </c>
      <c r="Q31" s="116">
        <v>23174964</v>
      </c>
      <c r="R31" s="116">
        <v>30733286539</v>
      </c>
      <c r="S31" s="116">
        <v>63263.98</v>
      </c>
      <c r="T31" s="130">
        <f t="shared" ref="T31" si="36">Q31/S31</f>
        <v>366.32162567072129</v>
      </c>
      <c r="U31" s="85">
        <f>Q29+Q30+Q31</f>
        <v>41072044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908204.90476190473</v>
      </c>
      <c r="G32" s="190">
        <f t="shared" ref="G32" si="37">F32/F31-1</f>
        <v>-0.21621892939129939</v>
      </c>
      <c r="H32" s="190">
        <f t="shared" ref="H32" si="38">F32/F20-1</f>
        <v>0.39722853441857398</v>
      </c>
      <c r="I32" s="130">
        <f t="shared" si="0"/>
        <v>263.5156424003639</v>
      </c>
      <c r="J32" s="130">
        <f t="shared" si="5"/>
        <v>0.6979412237055036</v>
      </c>
      <c r="K32" s="136"/>
      <c r="L32" s="190"/>
      <c r="M32" s="190"/>
      <c r="N32" s="191"/>
      <c r="O32" s="192"/>
      <c r="P32" s="129" t="s">
        <v>566</v>
      </c>
      <c r="Q32" s="116">
        <v>19072303</v>
      </c>
      <c r="R32" s="116">
        <v>25722264090</v>
      </c>
      <c r="S32" s="116">
        <v>72376.36</v>
      </c>
      <c r="T32" s="130">
        <f t="shared" ref="T32" si="39">Q32/S32</f>
        <v>263.5156424003639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311784</v>
      </c>
      <c r="G33" s="190">
        <f t="shared" ref="G33" si="40">F33/F32-1</f>
        <v>-0.6567030211296454</v>
      </c>
      <c r="H33" s="190">
        <f t="shared" ref="H33" si="41">F33/F21-1</f>
        <v>-0.73286802543036944</v>
      </c>
      <c r="I33" s="130">
        <f t="shared" si="0"/>
        <v>104.13832635945997</v>
      </c>
      <c r="J33" s="130">
        <f t="shared" si="5"/>
        <v>-0.22082786909840491</v>
      </c>
      <c r="K33" s="136"/>
      <c r="L33" s="190"/>
      <c r="M33" s="190"/>
      <c r="N33" s="191"/>
      <c r="O33" s="192"/>
      <c r="P33" s="129" t="s">
        <v>607</v>
      </c>
      <c r="Q33" s="116">
        <v>6547464</v>
      </c>
      <c r="R33" s="116">
        <v>8956239814</v>
      </c>
      <c r="S33" s="116">
        <v>62872.76</v>
      </c>
      <c r="T33" s="130">
        <f t="shared" ref="T33" si="42">Q33/S33</f>
        <v>104.13832635945997</v>
      </c>
      <c r="U33" s="85"/>
    </row>
    <row r="34" spans="1:21" s="79" customFormat="1" ht="13.2" hidden="1">
      <c r="A34" s="129" t="s">
        <v>652</v>
      </c>
      <c r="B34" s="188">
        <f>SUM(F32:F34)</f>
        <v>1882506.7994987471</v>
      </c>
      <c r="C34" s="188">
        <f>AVERAGE(F32:F34)</f>
        <v>627502.26649958233</v>
      </c>
      <c r="D34" s="190">
        <f>C34/C31-1</f>
        <v>-7.3315234911068838E-2</v>
      </c>
      <c r="E34" s="287">
        <f>C34/C22-1</f>
        <v>-0.33441048885149882</v>
      </c>
      <c r="F34" s="136">
        <f>Q34/19</f>
        <v>662517.89473684214</v>
      </c>
      <c r="G34" s="190">
        <f t="shared" ref="G34" si="43">F34/F33-1</f>
        <v>1.1249258933647721</v>
      </c>
      <c r="H34" s="190">
        <f t="shared" ref="H34" si="44">F34/F22-1</f>
        <v>-0.3448020084249388</v>
      </c>
      <c r="I34" s="130">
        <f t="shared" si="0"/>
        <v>201.99027456135397</v>
      </c>
      <c r="J34" s="130">
        <f t="shared" si="5"/>
        <v>0.10965434328968948</v>
      </c>
      <c r="K34" s="136">
        <f>R32+R33+R34</f>
        <v>51958758795</v>
      </c>
      <c r="L34" s="190">
        <f>U34/U31-1</f>
        <v>-6.9741768878120558E-2</v>
      </c>
      <c r="M34" s="190">
        <f>U34/U22-1</f>
        <v>-0.34960158090930271</v>
      </c>
      <c r="N34" s="191">
        <f>AVERAGE(T32:T34)</f>
        <v>189.88141444039263</v>
      </c>
      <c r="O34" s="192">
        <f>N34/N31-1</f>
        <v>-5.1218220577659901E-2</v>
      </c>
      <c r="P34" s="129" t="s">
        <v>652</v>
      </c>
      <c r="Q34" s="116">
        <v>12587840</v>
      </c>
      <c r="R34" s="116">
        <v>17280254891</v>
      </c>
      <c r="S34" s="116">
        <v>62319.040000000001</v>
      </c>
      <c r="T34" s="130">
        <f t="shared" ref="T34" si="45">Q34/S34</f>
        <v>201.99027456135397</v>
      </c>
      <c r="U34" s="85">
        <f>Q32+Q33+Q34</f>
        <v>38207607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264632.21739130432</v>
      </c>
      <c r="G35" s="190">
        <f t="shared" ref="G35" si="46">F35/F34-1</f>
        <v>-0.60056593264334612</v>
      </c>
      <c r="H35" s="190">
        <f t="shared" ref="H35" si="47">F35/F23-1</f>
        <v>-0.49103637903938147</v>
      </c>
      <c r="I35" s="130">
        <f t="shared" si="0"/>
        <v>105.35752336622507</v>
      </c>
      <c r="J35" s="130">
        <f t="shared" si="5"/>
        <v>0.2326547966466328</v>
      </c>
      <c r="K35" s="136"/>
      <c r="L35" s="190"/>
      <c r="M35" s="190"/>
      <c r="N35" s="191"/>
      <c r="O35" s="192"/>
      <c r="P35" s="129" t="s">
        <v>660</v>
      </c>
      <c r="Q35" s="116">
        <v>6086541</v>
      </c>
      <c r="R35" s="116">
        <v>8419141779</v>
      </c>
      <c r="S35" s="116">
        <v>57770.35</v>
      </c>
      <c r="T35" s="130">
        <f t="shared" ref="T35" si="48">Q35/S35</f>
        <v>105.35752336622507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243604.47619047618</v>
      </c>
      <c r="G36" s="190">
        <f t="shared" ref="G36" si="49">F36/F35-1</f>
        <v>-7.9460246405807067E-2</v>
      </c>
      <c r="H36" s="190">
        <f t="shared" ref="H36" si="50">F36/F24-1</f>
        <v>-0.6836779613616073</v>
      </c>
      <c r="I36" s="130">
        <f t="shared" si="0"/>
        <v>82.403776238780353</v>
      </c>
      <c r="J36" s="130">
        <f t="shared" si="5"/>
        <v>-0.45454151475541926</v>
      </c>
      <c r="K36" s="136"/>
      <c r="L36" s="190"/>
      <c r="M36" s="190"/>
      <c r="N36" s="191"/>
      <c r="O36" s="192"/>
      <c r="P36" s="129" t="s">
        <v>666</v>
      </c>
      <c r="Q36" s="116">
        <v>5115694</v>
      </c>
      <c r="R36" s="116">
        <v>6986579852</v>
      </c>
      <c r="S36" s="116">
        <v>62080.82</v>
      </c>
      <c r="T36" s="130">
        <f t="shared" ref="T36" si="51">Q36/S36</f>
        <v>82.403776238780353</v>
      </c>
      <c r="U36" s="85"/>
    </row>
    <row r="37" spans="1:21" s="79" customFormat="1" ht="13.2" hidden="1">
      <c r="A37" s="129" t="s">
        <v>702</v>
      </c>
      <c r="B37" s="188">
        <f>SUM(F35:F37)</f>
        <v>742454.91580400278</v>
      </c>
      <c r="C37" s="188">
        <f>AVERAGE(F35:F37)</f>
        <v>247484.97193466758</v>
      </c>
      <c r="D37" s="190">
        <f>C37/C34-1</f>
        <v>-0.6056030628937461</v>
      </c>
      <c r="E37" s="287">
        <f>C37/C25-1</f>
        <v>-0.70146407058389015</v>
      </c>
      <c r="F37" s="136">
        <f>Q37/18</f>
        <v>234218.22222222222</v>
      </c>
      <c r="G37" s="190">
        <f t="shared" ref="G37" si="52">F37/F36-1</f>
        <v>-3.8530712222688335E-2</v>
      </c>
      <c r="H37" s="190">
        <f t="shared" ref="H37" si="53">F37/F25-1</f>
        <v>-0.80431721738982254</v>
      </c>
      <c r="I37" s="130">
        <f t="shared" si="0"/>
        <v>79.957016679933005</v>
      </c>
      <c r="J37" s="130">
        <f t="shared" si="5"/>
        <v>-0.68378210236658876</v>
      </c>
      <c r="K37" s="136">
        <f>R35+R36+R37</f>
        <v>21034228731</v>
      </c>
      <c r="L37" s="190">
        <f>U37/U34-1</f>
        <v>-0.59646352622921395</v>
      </c>
      <c r="M37" s="190">
        <f>U37/U25-1</f>
        <v>-0.69531117751123839</v>
      </c>
      <c r="N37" s="191">
        <f>AVERAGE(T35:T37)</f>
        <v>89.239438761646156</v>
      </c>
      <c r="O37" s="192">
        <f>N37/N34-1</f>
        <v>-0.53002541599636066</v>
      </c>
      <c r="P37" s="129" t="s">
        <v>702</v>
      </c>
      <c r="Q37" s="116">
        <v>4215928</v>
      </c>
      <c r="R37" s="116">
        <v>5628507100</v>
      </c>
      <c r="S37" s="116">
        <v>52727.43</v>
      </c>
      <c r="T37" s="130">
        <f t="shared" ref="T37" si="54">Q37/S37</f>
        <v>79.957016679933005</v>
      </c>
      <c r="U37" s="85">
        <f>Q35+Q36+Q37</f>
        <v>15418163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465146.15</v>
      </c>
      <c r="G38" s="190">
        <f t="shared" ref="G38" si="55">F38/F37-1</f>
        <v>0.9859520134119939</v>
      </c>
      <c r="H38" s="190">
        <f t="shared" ref="H38" si="56">F38/F26-1</f>
        <v>-0.45042306925758291</v>
      </c>
      <c r="I38" s="130">
        <f t="shared" si="0"/>
        <v>144.45586443179292</v>
      </c>
      <c r="J38" s="130">
        <f t="shared" si="5"/>
        <v>-0.53658005733699876</v>
      </c>
      <c r="K38" s="136"/>
      <c r="L38" s="190"/>
      <c r="M38" s="190"/>
      <c r="N38" s="191"/>
      <c r="O38" s="192"/>
      <c r="P38" s="129" t="s">
        <v>728</v>
      </c>
      <c r="Q38" s="116">
        <v>9302923</v>
      </c>
      <c r="R38" s="116">
        <v>12529956706</v>
      </c>
      <c r="S38" s="116">
        <v>64399.76</v>
      </c>
      <c r="T38" s="130">
        <f t="shared" ref="T38" si="57">Q38/S38</f>
        <v>144.45586443179292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1144822.5238095238</v>
      </c>
      <c r="G39" s="190">
        <f t="shared" ref="G39" si="58">F39/F38-1</f>
        <v>1.4612103611080598</v>
      </c>
      <c r="H39" s="190">
        <f t="shared" ref="H39" si="59">F39/F27-1</f>
        <v>2.2810933119817975</v>
      </c>
      <c r="I39" s="130">
        <f t="shared" si="0"/>
        <v>132.03535284552149</v>
      </c>
      <c r="J39" s="130">
        <f t="shared" si="5"/>
        <v>0.44375273436764995</v>
      </c>
      <c r="K39" s="136"/>
      <c r="L39" s="190"/>
      <c r="M39" s="190"/>
      <c r="N39" s="191"/>
      <c r="O39" s="192"/>
      <c r="P39" s="129" t="s">
        <v>762</v>
      </c>
      <c r="Q39" s="116">
        <v>24041273</v>
      </c>
      <c r="R39" s="116">
        <v>33321989833</v>
      </c>
      <c r="S39" s="116">
        <v>182082.09</v>
      </c>
      <c r="T39" s="130">
        <f t="shared" ref="T39" si="60">Q39/S39</f>
        <v>132.03535284552149</v>
      </c>
      <c r="U39" s="85"/>
    </row>
    <row r="40" spans="1:21" s="79" customFormat="1" ht="13.2" hidden="1">
      <c r="A40" s="129" t="s">
        <v>778</v>
      </c>
      <c r="B40" s="188">
        <f>SUM(F38:F40)</f>
        <v>2245734.1023809523</v>
      </c>
      <c r="C40" s="188">
        <f>AVERAGE(F38:F40)</f>
        <v>748578.03412698407</v>
      </c>
      <c r="D40" s="190">
        <f>C40/C37-1</f>
        <v>2.0247413742948308</v>
      </c>
      <c r="E40" s="287">
        <f>C40/C28-1</f>
        <v>0.33565665994344829</v>
      </c>
      <c r="F40" s="136">
        <f>Q40/21</f>
        <v>635765.42857142852</v>
      </c>
      <c r="G40" s="190">
        <f t="shared" ref="G40" si="61">F40/F39-1</f>
        <v>-0.44466027235745798</v>
      </c>
      <c r="H40" s="190">
        <f t="shared" ref="H40" si="62">F40/F28-1</f>
        <v>0.30793183932458157</v>
      </c>
      <c r="I40" s="130">
        <f t="shared" si="0"/>
        <v>142.60405894339641</v>
      </c>
      <c r="J40" s="130">
        <f t="shared" si="5"/>
        <v>4.6863443120645387E-2</v>
      </c>
      <c r="K40" s="136">
        <f>R38+R39+R40</f>
        <v>64845206986</v>
      </c>
      <c r="L40" s="190">
        <f>U40/U37-1</f>
        <v>2.0285884252229009</v>
      </c>
      <c r="M40" s="190">
        <f>U40/U28-1</f>
        <v>0.41531740722745791</v>
      </c>
      <c r="N40" s="191">
        <f>AVERAGE(T38:T40)</f>
        <v>139.6984254069036</v>
      </c>
      <c r="O40" s="192">
        <f>N40/N37-1</f>
        <v>0.56543370672725479</v>
      </c>
      <c r="P40" s="129" t="s">
        <v>778</v>
      </c>
      <c r="Q40" s="116">
        <v>13351074</v>
      </c>
      <c r="R40" s="116">
        <v>18993260447</v>
      </c>
      <c r="S40" s="116">
        <v>93623.38</v>
      </c>
      <c r="T40" s="130">
        <f t="shared" ref="T40" si="63">Q40/S40</f>
        <v>142.60405894339641</v>
      </c>
      <c r="U40" s="85">
        <f>Q38+Q39+Q40</f>
        <v>46695270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543776.9444444445</v>
      </c>
      <c r="G41" s="190">
        <f t="shared" ref="G41" si="64">F41/F40-1</f>
        <v>-0.14468934609055906</v>
      </c>
      <c r="H41" s="190">
        <f t="shared" ref="H41" si="65">F41/F29-1</f>
        <v>0.23971800367651097</v>
      </c>
      <c r="I41" s="130">
        <f t="shared" si="0"/>
        <v>111.98890681131121</v>
      </c>
      <c r="J41" s="130">
        <f t="shared" si="5"/>
        <v>-6.3957100034407355E-2</v>
      </c>
      <c r="K41" s="193"/>
      <c r="L41" s="190"/>
      <c r="M41" s="190"/>
      <c r="N41" s="193"/>
      <c r="O41" s="193"/>
      <c r="P41" s="129" t="s">
        <v>801</v>
      </c>
      <c r="Q41" s="116">
        <v>9787985</v>
      </c>
      <c r="R41" s="116">
        <v>14319429191</v>
      </c>
      <c r="S41" s="116">
        <v>87401.38</v>
      </c>
      <c r="T41" s="130">
        <f t="shared" ref="T41" si="66">Q41/S41</f>
        <v>111.98890681131121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579497.80000000005</v>
      </c>
      <c r="G42" s="190">
        <f t="shared" ref="G42" si="67">F42/F41-1</f>
        <v>6.5690272308345454E-2</v>
      </c>
      <c r="H42" s="190">
        <f t="shared" ref="H42" si="68">F42/F30-1</f>
        <v>0.33504924683802928</v>
      </c>
      <c r="I42" s="130">
        <f t="shared" si="0"/>
        <v>127.65404674777227</v>
      </c>
      <c r="J42" s="130">
        <f t="shared" si="5"/>
        <v>0.11553508039781146</v>
      </c>
      <c r="K42" s="193"/>
      <c r="L42" s="190"/>
      <c r="M42" s="190"/>
      <c r="N42" s="193"/>
      <c r="O42" s="193"/>
      <c r="P42" s="129" t="s">
        <v>826</v>
      </c>
      <c r="Q42" s="116">
        <v>11589956</v>
      </c>
      <c r="R42" s="116">
        <v>16752519243</v>
      </c>
      <c r="S42" s="116">
        <v>90791.92</v>
      </c>
      <c r="T42" s="130">
        <f t="shared" ref="T42" si="69">Q42/S42</f>
        <v>127.65404674777227</v>
      </c>
      <c r="U42" s="78"/>
    </row>
    <row r="43" spans="1:21" s="79" customFormat="1" ht="13.2">
      <c r="A43" s="129" t="s">
        <v>835</v>
      </c>
      <c r="B43" s="188">
        <f>SUM(F41:F43)</f>
        <v>1784910.4944444445</v>
      </c>
      <c r="C43" s="188">
        <f>AVERAGE(F41:F43)</f>
        <v>594970.16481481481</v>
      </c>
      <c r="D43" s="190">
        <f>C43/C40-1</f>
        <v>-0.20519954140961638</v>
      </c>
      <c r="E43" s="287">
        <f>C43/C31-1</f>
        <v>-0.12135809406402154</v>
      </c>
      <c r="F43" s="136">
        <f>Q43/20</f>
        <v>661635.75</v>
      </c>
      <c r="G43" s="190">
        <f t="shared" ref="G43" si="70">F43/F42-1</f>
        <v>0.14173988236020896</v>
      </c>
      <c r="H43" s="190">
        <f t="shared" ref="H43" si="71">F43/F31-1</f>
        <v>-0.42900817451108009</v>
      </c>
      <c r="I43" s="130">
        <f t="shared" si="0"/>
        <v>139.35413815828687</v>
      </c>
      <c r="J43" s="130">
        <f t="shared" si="5"/>
        <v>-0.6195852813681566</v>
      </c>
      <c r="K43" s="136">
        <f>R41+R42+R43</f>
        <v>50257592911</v>
      </c>
      <c r="L43" s="190">
        <f>U43/U40-1</f>
        <v>-0.25879738997118984</v>
      </c>
      <c r="M43" s="190">
        <f>K43/K31-1</f>
        <v>-7.6644649292372469E-2</v>
      </c>
      <c r="N43" s="191">
        <f>AVERAGE(T41:T43)</f>
        <v>126.33236390579013</v>
      </c>
      <c r="O43" s="192">
        <f>N43/N40-1</f>
        <v>-9.5677968181686723E-2</v>
      </c>
      <c r="P43" s="129" t="s">
        <v>835</v>
      </c>
      <c r="Q43" s="116">
        <v>13232715</v>
      </c>
      <c r="R43" s="116">
        <v>19185644477</v>
      </c>
      <c r="S43" s="116">
        <v>94957.46</v>
      </c>
      <c r="T43" s="130">
        <f t="shared" ref="T43" si="72">Q43/S43</f>
        <v>139.35413815828687</v>
      </c>
      <c r="U43" s="85">
        <f>Q41+Q42+Q43</f>
        <v>34610656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516989.72727272729</v>
      </c>
      <c r="G44" s="190">
        <f t="shared" ref="G44" si="73">F44/F43-1</f>
        <v>-0.21861881364069691</v>
      </c>
      <c r="H44" s="190">
        <f t="shared" ref="H44" si="74">F44/F32-1</f>
        <v>-0.43075651258648351</v>
      </c>
      <c r="I44" s="130">
        <f t="shared" si="0"/>
        <v>81.167056167805484</v>
      </c>
      <c r="J44" s="130">
        <f t="shared" si="5"/>
        <v>-0.69198391629257827</v>
      </c>
      <c r="K44" s="136"/>
      <c r="L44" s="190"/>
      <c r="M44" s="190"/>
      <c r="N44" s="191"/>
      <c r="O44" s="192"/>
      <c r="P44" s="129" t="s">
        <v>843</v>
      </c>
      <c r="Q44" s="116">
        <v>11373774</v>
      </c>
      <c r="R44" s="116">
        <v>16520679653</v>
      </c>
      <c r="S44" s="116">
        <v>140127.96</v>
      </c>
      <c r="T44" s="130">
        <f t="shared" ref="T44" si="75">Q44/S44</f>
        <v>81.167056167805484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734634.9</v>
      </c>
      <c r="G45" s="190">
        <f t="shared" ref="G45" si="76">F45/F44-1</f>
        <v>0.42098548819415615</v>
      </c>
      <c r="H45" s="190">
        <f t="shared" ref="H45" si="77">F45/F33-1</f>
        <v>1.3562302748056347</v>
      </c>
      <c r="I45" s="130">
        <f t="shared" si="0"/>
        <v>146.05773201369371</v>
      </c>
      <c r="J45" s="130">
        <f t="shared" si="5"/>
        <v>0.40253581097067226</v>
      </c>
      <c r="K45" s="136"/>
      <c r="L45" s="190"/>
      <c r="M45" s="190"/>
      <c r="N45" s="191"/>
      <c r="O45" s="192"/>
      <c r="P45" s="129" t="s">
        <v>853</v>
      </c>
      <c r="Q45" s="116">
        <v>14692698</v>
      </c>
      <c r="R45" s="116">
        <v>20704022419</v>
      </c>
      <c r="S45" s="116">
        <v>100595.14</v>
      </c>
      <c r="T45" s="130">
        <f t="shared" ref="T45" si="78">Q45/S45</f>
        <v>146.05773201369371</v>
      </c>
      <c r="U45" s="85"/>
    </row>
    <row r="46" spans="1:21" s="79" customFormat="1" ht="13.2">
      <c r="A46" s="129" t="s">
        <v>888</v>
      </c>
      <c r="B46" s="188">
        <f>SUM(F44:F46)</f>
        <v>1945167.6799043063</v>
      </c>
      <c r="C46" s="188">
        <f>AVERAGE(F44:F46)</f>
        <v>648389.22663476877</v>
      </c>
      <c r="D46" s="190">
        <f>C46/C43-1</f>
        <v>8.9784437908043246E-2</v>
      </c>
      <c r="E46" s="287">
        <f>C46/C34-1</f>
        <v>3.3285872020352825E-2</v>
      </c>
      <c r="F46" s="136">
        <f>Q46/19</f>
        <v>693543.05263157899</v>
      </c>
      <c r="G46" s="190">
        <f t="shared" ref="G46" si="79">F46/F45-1</f>
        <v>-5.593506021619854E-2</v>
      </c>
      <c r="H46" s="190">
        <f t="shared" ref="H46" si="80">F46/F34-1</f>
        <v>4.6829162112006495E-2</v>
      </c>
      <c r="I46" s="130">
        <f t="shared" si="0"/>
        <v>80.246754795293185</v>
      </c>
      <c r="J46" s="130">
        <f t="shared" si="5"/>
        <v>-0.60271971029516846</v>
      </c>
      <c r="K46" s="136">
        <f>R44+R45+R46</f>
        <v>55275954250</v>
      </c>
      <c r="L46" s="190">
        <f>U46/U43-1</f>
        <v>0.13386437980256716</v>
      </c>
      <c r="M46" s="190">
        <f>K46/K34-1</f>
        <v>6.3842854062156951E-2</v>
      </c>
      <c r="N46" s="191">
        <f>AVERAGE(T44:T46)</f>
        <v>102.49051432559747</v>
      </c>
      <c r="O46" s="192">
        <f>N46/N43-1</f>
        <v>-0.18872321266759673</v>
      </c>
      <c r="P46" s="129" t="s">
        <v>937</v>
      </c>
      <c r="Q46" s="116">
        <v>13177318</v>
      </c>
      <c r="R46" s="116">
        <v>18051252178</v>
      </c>
      <c r="S46" s="116">
        <v>164209.98000000001</v>
      </c>
      <c r="T46" s="130">
        <f t="shared" ref="T46" si="81">Q46/S46</f>
        <v>80.246754795293185</v>
      </c>
      <c r="U46" s="85">
        <f t="shared" ref="U46:U51" si="82">Q44+Q45+Q46</f>
        <v>39243790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311712.17391304346</v>
      </c>
      <c r="G47" s="190">
        <f t="shared" ref="G47" si="83">F47/F46-1</f>
        <v>-0.55055108297850708</v>
      </c>
      <c r="H47" s="190">
        <f t="shared" ref="H47" si="84">F47/F35-1</f>
        <v>0.1779071232741225</v>
      </c>
      <c r="I47" s="130">
        <f t="shared" si="0"/>
        <v>56.340496398768671</v>
      </c>
      <c r="J47" s="130">
        <f t="shared" si="5"/>
        <v>-0.46524467737412667</v>
      </c>
      <c r="K47" s="136"/>
      <c r="L47" s="190"/>
      <c r="M47" s="190"/>
      <c r="N47" s="191"/>
      <c r="O47" s="192"/>
      <c r="P47" s="129" t="s">
        <v>991</v>
      </c>
      <c r="Q47" s="116">
        <v>7169380</v>
      </c>
      <c r="R47" s="116">
        <v>9834517758</v>
      </c>
      <c r="S47" s="116">
        <v>127250.92</v>
      </c>
      <c r="T47" s="130">
        <f t="shared" ref="T47" si="85">Q47/S47</f>
        <v>56.340496398768671</v>
      </c>
      <c r="U47" s="85">
        <f t="shared" si="82"/>
        <v>35039396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342606.75</v>
      </c>
      <c r="G48" s="190">
        <f t="shared" ref="G48" si="86">F48/F47-1</f>
        <v>9.9112510426285105E-2</v>
      </c>
      <c r="H48" s="190">
        <f t="shared" ref="H48" si="87">F48/F36-1</f>
        <v>0.40640580730591003</v>
      </c>
      <c r="I48" s="130">
        <f t="shared" si="0"/>
        <v>62.425750169271396</v>
      </c>
      <c r="J48" s="130">
        <f t="shared" si="5"/>
        <v>-0.24244066208348136</v>
      </c>
      <c r="K48" s="136"/>
      <c r="L48" s="190"/>
      <c r="M48" s="190"/>
      <c r="N48" s="191"/>
      <c r="O48" s="192"/>
      <c r="P48" s="129" t="s">
        <v>1120</v>
      </c>
      <c r="Q48" s="116">
        <v>6852135</v>
      </c>
      <c r="R48" s="116">
        <v>9503792501</v>
      </c>
      <c r="S48" s="116">
        <v>109764.56</v>
      </c>
      <c r="T48" s="130">
        <f t="shared" ref="T48" si="88">Q48/S48</f>
        <v>62.425750169271396</v>
      </c>
      <c r="U48" s="85">
        <f t="shared" si="82"/>
        <v>27198833</v>
      </c>
    </row>
    <row r="49" spans="1:26" ht="13.2">
      <c r="A49" s="129" t="s">
        <v>1158</v>
      </c>
      <c r="B49" s="188">
        <f>SUM(F47:F49)</f>
        <v>1003394.1057312253</v>
      </c>
      <c r="C49" s="188">
        <f>AVERAGE(F47:F49)</f>
        <v>334464.70191040845</v>
      </c>
      <c r="D49" s="190">
        <f>C49/C46-1</f>
        <v>-0.48416061191157156</v>
      </c>
      <c r="E49" s="287">
        <f>C49/C37-1</f>
        <v>0.35145459255886546</v>
      </c>
      <c r="F49" s="136">
        <f>Q49/22</f>
        <v>349075.18181818182</v>
      </c>
      <c r="G49" s="190">
        <f t="shared" ref="G49" si="89">F49/F48-1</f>
        <v>1.888004780460939E-2</v>
      </c>
      <c r="H49" s="190">
        <f t="shared" ref="H49" si="90">F49/F37-1</f>
        <v>0.4903843881411809</v>
      </c>
      <c r="I49" s="130">
        <f t="shared" si="0"/>
        <v>109.97995639556532</v>
      </c>
      <c r="J49" s="130">
        <f t="shared" si="5"/>
        <v>0.37548849322147415</v>
      </c>
      <c r="K49" s="136">
        <f>R47+R48+R49</f>
        <v>30008002331</v>
      </c>
      <c r="L49" s="190">
        <f>U49/U46-1</f>
        <v>-0.44701648337227373</v>
      </c>
      <c r="M49" s="190">
        <f>K49/K37-1</f>
        <v>0.42662717586476351</v>
      </c>
      <c r="N49" s="191">
        <f>AVERAGE(T47:T49)</f>
        <v>76.248734321201795</v>
      </c>
      <c r="O49" s="192">
        <f>N49/N46-1</f>
        <v>-0.25604106074664978</v>
      </c>
      <c r="P49" s="129" t="s">
        <v>1172</v>
      </c>
      <c r="Q49" s="116">
        <v>7679654</v>
      </c>
      <c r="R49" s="116">
        <v>10669692072</v>
      </c>
      <c r="S49" s="116">
        <v>69827.759999999995</v>
      </c>
      <c r="T49" s="130">
        <f t="shared" ref="T49" si="91">Q49/S49</f>
        <v>109.97995639556532</v>
      </c>
      <c r="U49" s="85">
        <f t="shared" si="82"/>
        <v>21701169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715864.66666666663</v>
      </c>
      <c r="G50" s="190">
        <f t="shared" ref="G50" si="92">F50/F49-1</f>
        <v>1.0507463834525184</v>
      </c>
      <c r="H50" s="190">
        <f t="shared" ref="H50" si="93">F50/F38-1</f>
        <v>0.53901019425113295</v>
      </c>
      <c r="I50" s="130">
        <f t="shared" ref="I50" si="94">T50</f>
        <v>141.55808587569206</v>
      </c>
      <c r="J50" s="130">
        <f t="shared" ref="J50" si="95">I50/I38-1</f>
        <v>-2.005995788055448E-2</v>
      </c>
      <c r="K50" s="136"/>
      <c r="L50" s="190"/>
      <c r="M50" s="190"/>
      <c r="N50" s="191"/>
      <c r="O50" s="192"/>
      <c r="P50" s="129" t="s">
        <v>1344</v>
      </c>
      <c r="Q50" s="116">
        <v>12885564</v>
      </c>
      <c r="R50" s="116">
        <v>18153433054</v>
      </c>
      <c r="S50" s="116">
        <v>91026.69</v>
      </c>
      <c r="T50" s="130">
        <f t="shared" ref="T50" si="96">Q50/S50</f>
        <v>141.55808587569206</v>
      </c>
      <c r="U50" s="85">
        <f t="shared" si="82"/>
        <v>27417353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311735.3</v>
      </c>
      <c r="G51" s="190">
        <f t="shared" ref="G51:G52" si="97">F51/F50-1</f>
        <v>-0.5645331938904653</v>
      </c>
      <c r="H51" s="190">
        <f t="shared" ref="H51:H52" si="98">F51/F39-1</f>
        <v>-0.72769988926959073</v>
      </c>
      <c r="I51" s="130">
        <f t="shared" ref="I51:I52" si="99">T51</f>
        <v>97.205479622915391</v>
      </c>
      <c r="J51" s="130">
        <f t="shared" ref="J51:J52" si="100">I51/I39-1</f>
        <v>-0.26379202593835827</v>
      </c>
      <c r="K51" s="136"/>
      <c r="L51" s="190"/>
      <c r="M51" s="190"/>
      <c r="N51" s="191"/>
      <c r="O51" s="192"/>
      <c r="P51" s="129" t="s">
        <v>1402</v>
      </c>
      <c r="Q51" s="116">
        <v>6234706</v>
      </c>
      <c r="R51" s="116">
        <v>8988663828</v>
      </c>
      <c r="S51" s="116">
        <v>64139.45</v>
      </c>
      <c r="T51" s="130">
        <f t="shared" ref="T51:T52" si="101">Q51/S51</f>
        <v>97.205479622915391</v>
      </c>
      <c r="U51" s="85">
        <f t="shared" si="82"/>
        <v>26799924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1284741.0575757574</v>
      </c>
      <c r="C52" s="188">
        <f>AVERAGE(F50:F52)</f>
        <v>428247.01919191913</v>
      </c>
      <c r="D52" s="190">
        <f>C52/C49-1</f>
        <v>0.28039526068323872</v>
      </c>
      <c r="E52" s="287">
        <f>C52/C40-1</f>
        <v>-0.42791933550207006</v>
      </c>
      <c r="F52" s="136">
        <f>Q52/22</f>
        <v>257141.09090909091</v>
      </c>
      <c r="G52" s="190">
        <f t="shared" si="97"/>
        <v>-0.17513001925322247</v>
      </c>
      <c r="H52" s="190">
        <f t="shared" si="98"/>
        <v>-0.59554093482734727</v>
      </c>
      <c r="I52" s="130">
        <f t="shared" si="99"/>
        <v>92.952759275839512</v>
      </c>
      <c r="J52" s="130">
        <f t="shared" si="100"/>
        <v>-0.34817592174753531</v>
      </c>
      <c r="K52" s="136">
        <f>R50+R51+R52</f>
        <v>35464943594</v>
      </c>
      <c r="L52" s="190">
        <f>U52/U49-1</f>
        <v>0.14175296270905968</v>
      </c>
      <c r="M52" s="190">
        <f>K52/K40-1</f>
        <v>-0.45308303817031781</v>
      </c>
      <c r="N52" s="191">
        <f>AVERAGE(T50:T52)</f>
        <v>110.57210825814899</v>
      </c>
      <c r="O52" s="192">
        <f>N52/N49-1</f>
        <v>0.45015008108014198</v>
      </c>
      <c r="P52" s="129" t="s">
        <v>1403</v>
      </c>
      <c r="Q52" s="116">
        <v>5657104</v>
      </c>
      <c r="R52" s="116">
        <v>8322846712</v>
      </c>
      <c r="S52" s="116">
        <v>60859.99</v>
      </c>
      <c r="T52" s="130">
        <f t="shared" si="101"/>
        <v>92.952759275839512</v>
      </c>
      <c r="U52" s="85">
        <f t="shared" ref="U52" si="102">Q50+Q51+Q52</f>
        <v>24777374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344031.61904761905</v>
      </c>
      <c r="G53" s="190">
        <f t="shared" ref="G53" si="103">F53/F52-1</f>
        <v>0.33790993042511142</v>
      </c>
      <c r="H53" s="190">
        <f t="shared" ref="H53" si="104">F53/F41-1</f>
        <v>-0.36732952258742302</v>
      </c>
      <c r="I53" s="130">
        <f t="shared" ref="I53" si="105">T53</f>
        <v>104.04574596564558</v>
      </c>
      <c r="J53" s="130">
        <f t="shared" ref="J53" si="106">I53/I41-1</f>
        <v>-7.0928104147395366E-2</v>
      </c>
      <c r="K53" s="136"/>
      <c r="L53" s="190"/>
      <c r="M53" s="190"/>
      <c r="N53" s="191"/>
      <c r="O53" s="192"/>
      <c r="P53" s="129" t="s">
        <v>1414</v>
      </c>
      <c r="Q53" s="116">
        <v>7224664</v>
      </c>
      <c r="R53" s="116">
        <v>10527599384</v>
      </c>
      <c r="S53" s="116">
        <v>69437.38</v>
      </c>
      <c r="T53" s="130">
        <f t="shared" ref="T53" si="107">Q53/S53</f>
        <v>104.04574596564558</v>
      </c>
      <c r="U53" s="85">
        <f t="shared" ref="U53" si="108">Q51+Q52+Q53</f>
        <v>19116474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488405</v>
      </c>
      <c r="G54" s="190">
        <f t="shared" ref="G54" si="109">F54/F53-1</f>
        <v>0.41965148829066656</v>
      </c>
      <c r="H54" s="190">
        <f t="shared" ref="H54" si="110">F54/F42-1</f>
        <v>-0.15719265888498635</v>
      </c>
      <c r="I54" s="130">
        <f t="shared" ref="I54" si="111">T54</f>
        <v>129.09850276003766</v>
      </c>
      <c r="J54" s="130">
        <f t="shared" ref="J54" si="112">I54/I42-1</f>
        <v>1.1315395391416461E-2</v>
      </c>
      <c r="K54" s="136"/>
      <c r="L54" s="190"/>
      <c r="M54" s="190"/>
      <c r="N54" s="191"/>
      <c r="O54" s="192"/>
      <c r="P54" s="129" t="s">
        <v>1417</v>
      </c>
      <c r="Q54" s="116">
        <v>8302885</v>
      </c>
      <c r="R54" s="116">
        <v>12000516631</v>
      </c>
      <c r="S54" s="116">
        <v>64314.34</v>
      </c>
      <c r="T54" s="130">
        <f t="shared" ref="T54" si="113">Q54/S54</f>
        <v>129.09850276003766</v>
      </c>
      <c r="U54" s="85">
        <f t="shared" ref="U54" si="114">Q52+Q53+Q54</f>
        <v>21184653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1254857.9523809524</v>
      </c>
      <c r="C55" s="188">
        <f>AVERAGE(F53:F55)</f>
        <v>418285.98412698414</v>
      </c>
      <c r="D55" s="190">
        <f>C55/C52-1</f>
        <v>-2.3260021946518106E-2</v>
      </c>
      <c r="E55" s="287">
        <f>C55/C43-1</f>
        <v>-0.29696309350709016</v>
      </c>
      <c r="F55" s="136">
        <f>Q55/21</f>
        <v>422421.33333333331</v>
      </c>
      <c r="G55" s="190">
        <f t="shared" ref="G55" si="115">F55/F54-1</f>
        <v>-0.13510030951089091</v>
      </c>
      <c r="H55" s="190">
        <f t="shared" ref="H55" si="116">F55/F43-1</f>
        <v>-0.36155001700961098</v>
      </c>
      <c r="I55" s="130">
        <f>T55</f>
        <v>154.0245974777454</v>
      </c>
      <c r="J55" s="130">
        <f t="shared" ref="J55" si="117">I55/I43-1</f>
        <v>0.10527465860249463</v>
      </c>
      <c r="K55" s="136">
        <f>R53+R54+R55</f>
        <v>35556766707</v>
      </c>
      <c r="L55" s="190">
        <f>U55/U52-1</f>
        <v>-1.5295285125857205E-2</v>
      </c>
      <c r="M55" s="190">
        <f>K55/K43-1</f>
        <v>-0.29250955631785536</v>
      </c>
      <c r="N55" s="191">
        <f>AVERAGE(T53:T55)</f>
        <v>129.05628206780955</v>
      </c>
      <c r="O55" s="192">
        <f>N55/N52-1</f>
        <v>0.16716850298726493</v>
      </c>
      <c r="P55" s="129" t="s">
        <v>1418</v>
      </c>
      <c r="Q55" s="116">
        <v>8870848</v>
      </c>
      <c r="R55" s="116">
        <v>13028650692</v>
      </c>
      <c r="S55" s="116">
        <v>57593.71</v>
      </c>
      <c r="T55" s="130">
        <f t="shared" ref="T55" si="118">Q55/S55</f>
        <v>154.0245974777454</v>
      </c>
      <c r="U55" s="85">
        <f t="shared" ref="U55" si="119">Q53+Q54+Q55</f>
        <v>24398397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360904.04545454547</v>
      </c>
      <c r="G56" s="190">
        <f t="shared" ref="G56" si="120">F56/F55-1</f>
        <v>-0.14563016359366598</v>
      </c>
      <c r="H56" s="190">
        <f t="shared" ref="H56" si="121">F56/F44-1</f>
        <v>-0.30191254019993718</v>
      </c>
      <c r="I56" s="291">
        <f>T56</f>
        <v>159.00967629463022</v>
      </c>
      <c r="J56" s="130">
        <f t="shared" ref="J56" si="122">I56/I44-1</f>
        <v>0.95904205230619954</v>
      </c>
      <c r="K56" s="136"/>
      <c r="L56" s="190"/>
      <c r="M56" s="190"/>
      <c r="N56" s="191"/>
      <c r="O56" s="192"/>
      <c r="P56" s="129" t="s">
        <v>1420</v>
      </c>
      <c r="Q56" s="116">
        <v>7939889</v>
      </c>
      <c r="R56" s="116">
        <v>11836771840</v>
      </c>
      <c r="S56" s="116">
        <v>49933.37</v>
      </c>
      <c r="T56" s="130">
        <f t="shared" ref="T56" si="123">Q56/S56</f>
        <v>159.00967629463022</v>
      </c>
      <c r="U56" s="85">
        <f t="shared" ref="U56" si="124">Q54+Q55+Q56</f>
        <v>25113622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252465.08333333334</v>
      </c>
      <c r="G57" s="254">
        <f t="shared" ref="G57" si="125">F57/F56-1</f>
        <v>-0.30046480078835691</v>
      </c>
      <c r="H57" s="254">
        <f t="shared" ref="H57" si="126">F57/F45-1</f>
        <v>-0.65633938255134172</v>
      </c>
      <c r="I57" s="282">
        <f>T57</f>
        <v>117.62416792686881</v>
      </c>
      <c r="J57" s="277">
        <f t="shared" ref="J57" si="127">I57/I45-1</f>
        <v>-0.19467346024624765</v>
      </c>
      <c r="K57" s="204"/>
      <c r="L57" s="254"/>
      <c r="M57" s="254"/>
      <c r="N57" s="257"/>
      <c r="O57" s="258"/>
      <c r="P57" s="129" t="s">
        <v>1436</v>
      </c>
      <c r="Q57" s="116">
        <v>3029581</v>
      </c>
      <c r="R57" s="116">
        <v>4465265372</v>
      </c>
      <c r="S57" s="116">
        <v>25756.45</v>
      </c>
      <c r="T57" s="130">
        <f t="shared" ref="T57" si="128">Q57/S57</f>
        <v>117.62416792686881</v>
      </c>
      <c r="U57" s="85">
        <f t="shared" ref="U57" si="129">Q55+Q56+Q57</f>
        <v>19840318</v>
      </c>
      <c r="V57" s="79"/>
      <c r="W57" s="79"/>
      <c r="X57" s="79"/>
      <c r="Y57" s="79"/>
      <c r="Z57" s="79"/>
    </row>
    <row r="58" spans="1:26">
      <c r="B58" s="196">
        <f>SUM(F56:F58)</f>
        <v>613369.12878787878</v>
      </c>
      <c r="C58" s="196">
        <f>AVERAGE(F56:F58)</f>
        <v>306684.56439393939</v>
      </c>
      <c r="D58" s="197">
        <f>C58/C55-1</f>
        <v>-0.26680650073889289</v>
      </c>
      <c r="E58" s="233">
        <f>C58/C46-1</f>
        <v>-0.52700545938174304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35367867</v>
      </c>
      <c r="R66" s="212">
        <v>51858803919</v>
      </c>
      <c r="S66" s="213">
        <v>267035.28000000003</v>
      </c>
      <c r="T66" s="214">
        <v>21</v>
      </c>
      <c r="U66" s="214">
        <v>86</v>
      </c>
    </row>
    <row r="67" spans="16:21" ht="18" thickBot="1">
      <c r="P67" s="180" t="s">
        <v>976</v>
      </c>
      <c r="Q67" s="181">
        <v>7224664</v>
      </c>
      <c r="R67" s="181">
        <v>10527599384</v>
      </c>
      <c r="S67" s="182">
        <v>69437.38</v>
      </c>
      <c r="T67" s="210">
        <v>12</v>
      </c>
      <c r="U67" s="210">
        <v>44</v>
      </c>
    </row>
    <row r="68" spans="16:21" ht="18" thickBot="1">
      <c r="P68" s="180" t="s">
        <v>977</v>
      </c>
      <c r="Q68" s="181">
        <v>8302885</v>
      </c>
      <c r="R68" s="181">
        <v>12000516631</v>
      </c>
      <c r="S68" s="182">
        <v>64314.34</v>
      </c>
      <c r="T68" s="210">
        <v>15</v>
      </c>
      <c r="U68" s="210">
        <v>42</v>
      </c>
    </row>
    <row r="69" spans="16:21" ht="18" thickBot="1">
      <c r="P69" s="180" t="s">
        <v>978</v>
      </c>
      <c r="Q69" s="181">
        <v>8870848</v>
      </c>
      <c r="R69" s="181">
        <v>13028650692</v>
      </c>
      <c r="S69" s="182">
        <v>57593.71</v>
      </c>
      <c r="T69" s="210">
        <v>14</v>
      </c>
      <c r="U69" s="210">
        <v>52</v>
      </c>
    </row>
    <row r="70" spans="16:21" ht="18" thickBot="1">
      <c r="P70" s="180" t="s">
        <v>979</v>
      </c>
      <c r="Q70" s="181">
        <v>7939889</v>
      </c>
      <c r="R70" s="181">
        <v>11836771840</v>
      </c>
      <c r="S70" s="182">
        <v>49933.37</v>
      </c>
      <c r="T70" s="210">
        <v>15</v>
      </c>
      <c r="U70" s="210">
        <v>52</v>
      </c>
    </row>
    <row r="71" spans="16:21" ht="18" thickBot="1">
      <c r="P71" s="180" t="s">
        <v>980</v>
      </c>
      <c r="Q71" s="181">
        <v>3029581</v>
      </c>
      <c r="R71" s="181">
        <v>4465265372</v>
      </c>
      <c r="S71" s="182">
        <v>25756.45</v>
      </c>
      <c r="T71" s="210">
        <v>12</v>
      </c>
      <c r="U71" s="210">
        <v>40</v>
      </c>
    </row>
    <row r="72" spans="16:21" ht="18" thickBot="1">
      <c r="P72" s="180" t="s">
        <v>975</v>
      </c>
      <c r="Q72" s="181">
        <v>120315280</v>
      </c>
      <c r="R72" s="181">
        <v>170981136514</v>
      </c>
      <c r="S72" s="182">
        <v>1200953.25</v>
      </c>
      <c r="T72" s="210">
        <v>44</v>
      </c>
      <c r="U72" s="210">
        <v>191</v>
      </c>
    </row>
    <row r="73" spans="16:21" ht="18" thickBot="1">
      <c r="P73" s="180" t="s">
        <v>982</v>
      </c>
      <c r="Q73" s="181">
        <v>141393084</v>
      </c>
      <c r="R73" s="181">
        <v>192267502657</v>
      </c>
      <c r="S73" s="182">
        <v>926243.11</v>
      </c>
      <c r="T73" s="210">
        <v>37</v>
      </c>
      <c r="U73" s="210">
        <v>150</v>
      </c>
    </row>
    <row r="74" spans="16:21" ht="18" thickBot="1">
      <c r="P74" s="215" t="s">
        <v>1386</v>
      </c>
      <c r="Q74" s="216">
        <v>179367403</v>
      </c>
      <c r="R74" s="217"/>
      <c r="S74"/>
      <c r="T74"/>
      <c r="U74"/>
    </row>
  </sheetData>
  <phoneticPr fontId="1" type="noConversion"/>
  <conditionalFormatting sqref="C29:C30">
    <cfRule type="cellIs" dxfId="5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72">
    <tabColor rgb="FFFFC000"/>
  </sheetPr>
  <dimension ref="A1:Z75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9030400000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338858</v>
      </c>
      <c r="G5" s="90"/>
      <c r="H5" s="90"/>
      <c r="I5" s="130">
        <f t="shared" ref="I5:I49" si="0">T5</f>
        <v>117.41349902850723</v>
      </c>
      <c r="J5" s="130"/>
      <c r="L5" s="80"/>
      <c r="M5" s="80"/>
      <c r="P5" s="129" t="s">
        <v>0</v>
      </c>
      <c r="Q5" s="116">
        <v>6777160</v>
      </c>
      <c r="R5" s="116">
        <v>8015826379</v>
      </c>
      <c r="S5" s="116">
        <v>57720.45</v>
      </c>
      <c r="T5" s="130">
        <f t="shared" ref="T5:T17" si="1">Q5/S5</f>
        <v>117.41349902850723</v>
      </c>
      <c r="U5" s="85"/>
    </row>
    <row r="6" spans="1:21" ht="15" hidden="1" customHeight="1">
      <c r="A6" s="129" t="s">
        <v>1</v>
      </c>
      <c r="C6" s="79"/>
      <c r="F6" s="78">
        <f>Q6/18</f>
        <v>187564.94444444444</v>
      </c>
      <c r="G6" s="90">
        <f t="shared" ref="G6:G16" si="2">F6/F5-1</f>
        <v>-0.44647922007317387</v>
      </c>
      <c r="H6" s="90"/>
      <c r="I6" s="130">
        <f t="shared" si="0"/>
        <v>734.40958687178056</v>
      </c>
      <c r="J6" s="130"/>
      <c r="P6" s="129" t="s">
        <v>1</v>
      </c>
      <c r="Q6" s="116">
        <v>3376169</v>
      </c>
      <c r="R6" s="116">
        <v>4011015647</v>
      </c>
      <c r="S6" s="116">
        <v>4597.12</v>
      </c>
      <c r="T6" s="130">
        <f t="shared" si="1"/>
        <v>734.40958687178056</v>
      </c>
      <c r="U6" s="85"/>
    </row>
    <row r="7" spans="1:21" ht="15" hidden="1" customHeight="1">
      <c r="A7" s="129" t="s">
        <v>2</v>
      </c>
      <c r="B7" s="131">
        <f>F5+F6+F7</f>
        <v>727813.89898989908</v>
      </c>
      <c r="C7" s="131">
        <f>AVERAGE(F5:F7)</f>
        <v>242604.63299663304</v>
      </c>
      <c r="F7" s="78">
        <f>Q7/22</f>
        <v>201390.95454545456</v>
      </c>
      <c r="G7" s="90">
        <f t="shared" si="2"/>
        <v>7.3713188474327618E-2</v>
      </c>
      <c r="H7" s="90"/>
      <c r="I7" s="130">
        <f t="shared" si="0"/>
        <v>446.94810153525515</v>
      </c>
      <c r="J7" s="130"/>
      <c r="K7" s="79">
        <f>R5+R6+R7</f>
        <v>17360109369</v>
      </c>
      <c r="N7" s="88">
        <f>AVERAGE(T5:T7)</f>
        <v>432.92372914518097</v>
      </c>
      <c r="P7" s="129" t="s">
        <v>2</v>
      </c>
      <c r="Q7" s="116">
        <v>4430601</v>
      </c>
      <c r="R7" s="116">
        <v>5333267343</v>
      </c>
      <c r="S7" s="116">
        <v>9913.01</v>
      </c>
      <c r="T7" s="130">
        <f t="shared" si="1"/>
        <v>446.94810153525515</v>
      </c>
      <c r="U7" s="85">
        <f>Q5+Q6+Q7</f>
        <v>14583930</v>
      </c>
    </row>
    <row r="8" spans="1:21" ht="15" hidden="1" customHeight="1">
      <c r="A8" s="129" t="s">
        <v>3</v>
      </c>
      <c r="C8" s="79"/>
      <c r="F8" s="78">
        <f>Q8/21</f>
        <v>248524.80952380953</v>
      </c>
      <c r="G8" s="90">
        <f t="shared" si="2"/>
        <v>0.23404156897084816</v>
      </c>
      <c r="H8" s="90"/>
      <c r="I8" s="130">
        <f t="shared" si="0"/>
        <v>423.72707831652991</v>
      </c>
      <c r="J8" s="130"/>
      <c r="K8" s="78"/>
      <c r="P8" s="129" t="s">
        <v>3</v>
      </c>
      <c r="Q8" s="116">
        <v>5219021</v>
      </c>
      <c r="R8" s="116">
        <v>6326628787</v>
      </c>
      <c r="S8" s="116">
        <v>12316.94</v>
      </c>
      <c r="T8" s="130">
        <f t="shared" si="1"/>
        <v>423.72707831652991</v>
      </c>
      <c r="U8" s="85"/>
    </row>
    <row r="9" spans="1:21" ht="15" hidden="1" customHeight="1">
      <c r="A9" s="129" t="s">
        <v>4</v>
      </c>
      <c r="C9" s="79"/>
      <c r="F9" s="78">
        <f>Q9/21</f>
        <v>191378.76190476189</v>
      </c>
      <c r="G9" s="90">
        <f t="shared" si="2"/>
        <v>-0.22994101767362118</v>
      </c>
      <c r="H9" s="90"/>
      <c r="I9" s="130">
        <f t="shared" si="0"/>
        <v>217.95742433092164</v>
      </c>
      <c r="J9" s="130"/>
      <c r="K9" s="78"/>
      <c r="P9" s="129" t="s">
        <v>4</v>
      </c>
      <c r="Q9" s="116">
        <v>4018954</v>
      </c>
      <c r="R9" s="116">
        <v>5058485360</v>
      </c>
      <c r="S9" s="116">
        <v>18439.169999999998</v>
      </c>
      <c r="T9" s="130">
        <f t="shared" si="1"/>
        <v>217.95742433092164</v>
      </c>
      <c r="U9" s="85"/>
    </row>
    <row r="10" spans="1:21" ht="15" hidden="1" customHeight="1">
      <c r="A10" s="129" t="s">
        <v>5</v>
      </c>
      <c r="B10" s="131">
        <f>F8+F9+F10</f>
        <v>561128.38095238095</v>
      </c>
      <c r="C10" s="131">
        <f>AVERAGE(F8:F10)</f>
        <v>187042.79365079364</v>
      </c>
      <c r="D10" s="90">
        <f>C10/C7-1</f>
        <v>-0.22902216936067543</v>
      </c>
      <c r="E10" s="286"/>
      <c r="F10" s="78">
        <f>Q10/21</f>
        <v>121224.80952380953</v>
      </c>
      <c r="G10" s="90">
        <f t="shared" si="2"/>
        <v>-0.36657125212182073</v>
      </c>
      <c r="H10" s="90"/>
      <c r="I10" s="130">
        <f t="shared" si="0"/>
        <v>574.6276135894235</v>
      </c>
      <c r="J10" s="130"/>
      <c r="K10" s="79">
        <f>R8+R9+R10</f>
        <v>14586509006</v>
      </c>
      <c r="L10" s="87">
        <f>U10/U7-1</f>
        <v>-0.19200818983634727</v>
      </c>
      <c r="N10" s="88">
        <f>AVERAGE(T8:T10)</f>
        <v>405.43737207895839</v>
      </c>
      <c r="O10" s="89">
        <f>N10/N7-1</f>
        <v>-6.3490068147789236E-2</v>
      </c>
      <c r="P10" s="129" t="s">
        <v>5</v>
      </c>
      <c r="Q10" s="116">
        <v>2545721</v>
      </c>
      <c r="R10" s="116">
        <v>3201394859</v>
      </c>
      <c r="S10" s="116">
        <v>4430.21</v>
      </c>
      <c r="T10" s="130">
        <f t="shared" si="1"/>
        <v>574.6276135894235</v>
      </c>
      <c r="U10" s="85">
        <f>Q8+Q9+Q10</f>
        <v>11783696</v>
      </c>
    </row>
    <row r="11" spans="1:21" ht="15" hidden="1" customHeight="1">
      <c r="A11" s="129" t="s">
        <v>6</v>
      </c>
      <c r="C11" s="79"/>
      <c r="F11" s="78">
        <f>Q11/21</f>
        <v>241691.57142857142</v>
      </c>
      <c r="G11" s="90">
        <f t="shared" si="2"/>
        <v>0.99374676172290677</v>
      </c>
      <c r="H11" s="90"/>
      <c r="I11" s="130">
        <f t="shared" si="0"/>
        <v>662.29916134815858</v>
      </c>
      <c r="J11" s="130"/>
      <c r="K11" s="78"/>
      <c r="O11" s="89"/>
      <c r="P11" s="129" t="s">
        <v>6</v>
      </c>
      <c r="Q11" s="116">
        <v>5075523</v>
      </c>
      <c r="R11" s="116">
        <v>6570987040</v>
      </c>
      <c r="S11" s="116">
        <v>7663.49</v>
      </c>
      <c r="T11" s="130">
        <f t="shared" si="1"/>
        <v>662.29916134815858</v>
      </c>
      <c r="U11" s="85"/>
    </row>
    <row r="12" spans="1:21" ht="15" hidden="1" customHeight="1">
      <c r="A12" s="129" t="s">
        <v>7</v>
      </c>
      <c r="C12" s="79"/>
      <c r="F12" s="78">
        <f>Q12/22</f>
        <v>263502</v>
      </c>
      <c r="G12" s="90">
        <f t="shared" si="2"/>
        <v>9.0240749573984758E-2</v>
      </c>
      <c r="H12" s="90"/>
      <c r="I12" s="130">
        <f t="shared" si="0"/>
        <v>713.15670014061277</v>
      </c>
      <c r="J12" s="130"/>
      <c r="K12" s="78"/>
      <c r="O12" s="89"/>
      <c r="P12" s="129" t="s">
        <v>7</v>
      </c>
      <c r="Q12" s="116">
        <v>5797044</v>
      </c>
      <c r="R12" s="116">
        <v>7534732502</v>
      </c>
      <c r="S12" s="116">
        <v>8128.71</v>
      </c>
      <c r="T12" s="130">
        <f t="shared" si="1"/>
        <v>713.15670014061277</v>
      </c>
      <c r="U12" s="85"/>
    </row>
    <row r="13" spans="1:21" ht="15" hidden="1" customHeight="1">
      <c r="A13" s="129" t="s">
        <v>96</v>
      </c>
      <c r="B13" s="131">
        <f>F11+F12+F13</f>
        <v>683030.47142857139</v>
      </c>
      <c r="C13" s="131">
        <f>AVERAGE(F11:F13)</f>
        <v>227676.8238095238</v>
      </c>
      <c r="D13" s="90">
        <f>C13/C10-1</f>
        <v>0.21724456401455039</v>
      </c>
      <c r="E13" s="286"/>
      <c r="F13" s="78">
        <f>Q13/20</f>
        <v>177836.9</v>
      </c>
      <c r="G13" s="90">
        <f t="shared" si="2"/>
        <v>-0.32510227626355781</v>
      </c>
      <c r="H13" s="90"/>
      <c r="I13" s="130">
        <f t="shared" si="0"/>
        <v>509.82645702564514</v>
      </c>
      <c r="J13" s="130"/>
      <c r="K13" s="78">
        <f>R11+R12+R13</f>
        <v>18984879300</v>
      </c>
      <c r="L13" s="87">
        <f>U13/U10-1</f>
        <v>0.22451436289598781</v>
      </c>
      <c r="N13" s="88">
        <f>AVERAGE(T11:T13)</f>
        <v>628.42743950480553</v>
      </c>
      <c r="O13" s="89">
        <f>N13/N10-1</f>
        <v>0.54999879829139209</v>
      </c>
      <c r="P13" s="129" t="s">
        <v>96</v>
      </c>
      <c r="Q13" s="116">
        <v>3556738</v>
      </c>
      <c r="R13" s="116">
        <v>4879159758</v>
      </c>
      <c r="S13" s="116">
        <v>6976.37</v>
      </c>
      <c r="T13" s="130">
        <f t="shared" si="1"/>
        <v>509.82645702564514</v>
      </c>
      <c r="U13" s="85">
        <f>Q11+Q12+Q13</f>
        <v>14429305</v>
      </c>
    </row>
    <row r="14" spans="1:21" ht="15" hidden="1" customHeight="1">
      <c r="A14" s="129" t="s">
        <v>97</v>
      </c>
      <c r="C14" s="79"/>
      <c r="F14" s="78">
        <f>Q14/20</f>
        <v>187537.15</v>
      </c>
      <c r="G14" s="90">
        <f t="shared" si="2"/>
        <v>5.4545766373570448E-2</v>
      </c>
      <c r="H14" s="90"/>
      <c r="I14" s="130">
        <f t="shared" si="0"/>
        <v>360.33515098414455</v>
      </c>
      <c r="J14" s="130"/>
      <c r="O14" s="89"/>
      <c r="P14" s="129" t="s">
        <v>97</v>
      </c>
      <c r="Q14" s="116">
        <v>3750743</v>
      </c>
      <c r="R14" s="116">
        <v>5347297584</v>
      </c>
      <c r="S14" s="116">
        <v>10409.040000000001</v>
      </c>
      <c r="T14" s="130">
        <f t="shared" si="1"/>
        <v>360.33515098414455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217424.31818181818</v>
      </c>
      <c r="G15" s="90">
        <f t="shared" si="2"/>
        <v>0.15936665445656062</v>
      </c>
      <c r="H15" s="90"/>
      <c r="I15" s="130">
        <f t="shared" si="0"/>
        <v>258.15662203886808</v>
      </c>
      <c r="J15" s="130"/>
      <c r="O15" s="89"/>
      <c r="P15" s="129" t="s">
        <v>98</v>
      </c>
      <c r="Q15" s="116">
        <v>4783335</v>
      </c>
      <c r="R15" s="116">
        <v>6662789786</v>
      </c>
      <c r="S15" s="116">
        <v>18528.810000000001</v>
      </c>
      <c r="T15" s="130">
        <f t="shared" si="1"/>
        <v>258.15662203886808</v>
      </c>
      <c r="U15" s="85"/>
    </row>
    <row r="16" spans="1:21" ht="15" hidden="1" customHeight="1">
      <c r="A16" s="129" t="s">
        <v>99</v>
      </c>
      <c r="B16" s="131">
        <f>F14+F15+F16</f>
        <v>739413.33181818179</v>
      </c>
      <c r="C16" s="131">
        <f>AVERAGE(F14:F16)</f>
        <v>246471.1106060606</v>
      </c>
      <c r="D16" s="90">
        <f>C16/C13-1</f>
        <v>8.2548089357835641E-2</v>
      </c>
      <c r="E16" s="286"/>
      <c r="F16" s="78">
        <f>Q16/22</f>
        <v>334451.86363636365</v>
      </c>
      <c r="G16" s="90">
        <f t="shared" si="2"/>
        <v>0.53824496925262411</v>
      </c>
      <c r="H16" s="90"/>
      <c r="I16" s="130">
        <f t="shared" si="0"/>
        <v>568.09215859765504</v>
      </c>
      <c r="J16" s="130"/>
      <c r="K16" s="78">
        <f>R14+R15+R16</f>
        <v>21667010789</v>
      </c>
      <c r="L16" s="87">
        <f>U16/U13-1</f>
        <v>0.1013710639563028</v>
      </c>
      <c r="N16" s="88">
        <f>AVERAGE(T14:T16)</f>
        <v>395.52797720688926</v>
      </c>
      <c r="O16" s="89">
        <f>N16/N13-1</f>
        <v>-0.37060676803266057</v>
      </c>
      <c r="P16" s="129" t="s">
        <v>99</v>
      </c>
      <c r="Q16" s="116">
        <v>7357941</v>
      </c>
      <c r="R16" s="116">
        <v>9656923419</v>
      </c>
      <c r="S16" s="116">
        <v>12952.02</v>
      </c>
      <c r="T16" s="130">
        <f t="shared" si="1"/>
        <v>568.09215859765504</v>
      </c>
      <c r="U16" s="85">
        <f>Q14+Q15+Q16</f>
        <v>15892019</v>
      </c>
    </row>
    <row r="17" spans="1:21" ht="15" hidden="1" customHeight="1">
      <c r="A17" s="129" t="s">
        <v>100</v>
      </c>
      <c r="C17" s="79"/>
      <c r="F17" s="78">
        <f>Q17/20</f>
        <v>254505.05</v>
      </c>
      <c r="G17" s="90">
        <f t="shared" ref="G17:G22" si="3">F17/F16-1</f>
        <v>-0.23903832607518871</v>
      </c>
      <c r="H17" s="90">
        <f t="shared" ref="H17:H22" si="4">F17/F5-1</f>
        <v>-0.24893303389620436</v>
      </c>
      <c r="I17" s="130">
        <f t="shared" si="0"/>
        <v>733.51370591439525</v>
      </c>
      <c r="J17" s="130">
        <f t="shared" ref="J17:J49" si="5">I17/I5-1</f>
        <v>5.2472689425285157</v>
      </c>
      <c r="O17" s="89"/>
      <c r="P17" s="129" t="s">
        <v>100</v>
      </c>
      <c r="Q17" s="116">
        <v>5090101</v>
      </c>
      <c r="R17" s="116">
        <v>6443960733</v>
      </c>
      <c r="S17" s="116">
        <v>6939.34</v>
      </c>
      <c r="T17" s="130">
        <f t="shared" si="1"/>
        <v>733.51370591439525</v>
      </c>
      <c r="U17" s="78"/>
    </row>
    <row r="18" spans="1:21" hidden="1">
      <c r="A18" s="129" t="s">
        <v>106</v>
      </c>
      <c r="C18" s="79"/>
      <c r="F18" s="78">
        <f>Q18/20</f>
        <v>174887.85</v>
      </c>
      <c r="G18" s="90">
        <f t="shared" si="3"/>
        <v>-0.31283151355935757</v>
      </c>
      <c r="H18" s="90">
        <f t="shared" si="4"/>
        <v>-6.7587759972915995E-2</v>
      </c>
      <c r="I18" s="130">
        <f t="shared" si="0"/>
        <v>314.86078729667207</v>
      </c>
      <c r="J18" s="130">
        <f t="shared" si="5"/>
        <v>-0.57127358775663262</v>
      </c>
      <c r="O18" s="89"/>
      <c r="P18" s="129" t="s">
        <v>106</v>
      </c>
      <c r="Q18" s="116">
        <v>3497757</v>
      </c>
      <c r="R18" s="116">
        <v>4389422199</v>
      </c>
      <c r="S18" s="116">
        <v>11108.9</v>
      </c>
      <c r="T18" s="130">
        <f t="shared" ref="T18" si="6">Q18/S18</f>
        <v>314.86078729667207</v>
      </c>
      <c r="U18" s="78"/>
    </row>
    <row r="19" spans="1:21" hidden="1">
      <c r="A19" s="129" t="s">
        <v>114</v>
      </c>
      <c r="B19" s="131">
        <f>SUM(F17:F19)</f>
        <v>584244.9</v>
      </c>
      <c r="C19" s="131">
        <f>AVERAGE(F17:F19)</f>
        <v>194748.30000000002</v>
      </c>
      <c r="D19" s="90">
        <f>C19/C16-1</f>
        <v>-0.20985344074961432</v>
      </c>
      <c r="E19" s="286">
        <f>C19/C7-1</f>
        <v>-0.19726058981444594</v>
      </c>
      <c r="F19" s="78">
        <f>Q19/22</f>
        <v>154852</v>
      </c>
      <c r="G19" s="90">
        <f t="shared" si="3"/>
        <v>-0.11456399058024902</v>
      </c>
      <c r="H19" s="90">
        <f t="shared" si="4"/>
        <v>-0.23108761091328245</v>
      </c>
      <c r="I19" s="130">
        <f t="shared" si="0"/>
        <v>413.52110487741527</v>
      </c>
      <c r="J19" s="130">
        <f t="shared" si="5"/>
        <v>-7.4789436498374218E-2</v>
      </c>
      <c r="K19" s="78">
        <f>R17+R18+R19</f>
        <v>15284065815</v>
      </c>
      <c r="L19" s="87">
        <f>U19/U16-1</f>
        <v>-0.24524366601877334</v>
      </c>
      <c r="M19" s="87">
        <f>U19/U7-1</f>
        <v>-0.17754665580539675</v>
      </c>
      <c r="N19" s="88">
        <f>AVERAGE(T17:T19)</f>
        <v>487.29853269616086</v>
      </c>
      <c r="O19" s="89">
        <f>N19/N16-1</f>
        <v>0.23202038990346585</v>
      </c>
      <c r="P19" s="129" t="s">
        <v>115</v>
      </c>
      <c r="Q19" s="116">
        <v>3406744</v>
      </c>
      <c r="R19" s="116">
        <v>4450682883</v>
      </c>
      <c r="S19" s="116">
        <v>8238.3799999999992</v>
      </c>
      <c r="T19" s="130">
        <f t="shared" ref="T19" si="7">Q19/S19</f>
        <v>413.52110487741527</v>
      </c>
      <c r="U19" s="85">
        <f>Q17+Q18+Q19</f>
        <v>11994602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168339.8</v>
      </c>
      <c r="G20" s="90">
        <f t="shared" si="3"/>
        <v>8.7101232144240814E-2</v>
      </c>
      <c r="H20" s="90">
        <f t="shared" si="4"/>
        <v>-0.32264388282783307</v>
      </c>
      <c r="I20" s="130">
        <f t="shared" si="0"/>
        <v>431.00009089058693</v>
      </c>
      <c r="J20" s="130">
        <f t="shared" si="5"/>
        <v>1.7164379965879828E-2</v>
      </c>
      <c r="O20" s="89"/>
      <c r="P20" s="129" t="s">
        <v>132</v>
      </c>
      <c r="Q20" s="116">
        <v>3366796</v>
      </c>
      <c r="R20" s="116">
        <v>4417820665</v>
      </c>
      <c r="S20" s="116">
        <v>7811.59</v>
      </c>
      <c r="T20" s="130">
        <f t="shared" ref="T20" si="8">Q20/S20</f>
        <v>431.00009089058693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143640.47619047618</v>
      </c>
      <c r="G21" s="90">
        <f t="shared" si="3"/>
        <v>-0.14672301980591518</v>
      </c>
      <c r="H21" s="90">
        <f t="shared" si="4"/>
        <v>-0.24944400956069668</v>
      </c>
      <c r="I21" s="130">
        <f t="shared" si="0"/>
        <v>407.1777316726488</v>
      </c>
      <c r="J21" s="130">
        <f t="shared" si="5"/>
        <v>0.86815261247736464</v>
      </c>
      <c r="O21" s="89"/>
      <c r="P21" s="129" t="s">
        <v>141</v>
      </c>
      <c r="Q21" s="116">
        <v>3016450</v>
      </c>
      <c r="R21" s="116">
        <v>4022959869</v>
      </c>
      <c r="S21" s="116">
        <v>7408.19</v>
      </c>
      <c r="T21" s="130">
        <f t="shared" ref="T21" si="9">Q21/S21</f>
        <v>407.1777316726488</v>
      </c>
      <c r="U21" s="78"/>
    </row>
    <row r="22" spans="1:21" hidden="1">
      <c r="A22" s="129" t="s">
        <v>156</v>
      </c>
      <c r="B22" s="131">
        <f>SUM(F20:F22)</f>
        <v>496433.51428571425</v>
      </c>
      <c r="C22" s="131">
        <f>AVERAGE(F20:F22)</f>
        <v>165477.83809523808</v>
      </c>
      <c r="D22" s="90">
        <f>C22/C19-1</f>
        <v>-0.1502989340844666</v>
      </c>
      <c r="E22" s="286">
        <f>C22/C10-1</f>
        <v>-0.11529423365979574</v>
      </c>
      <c r="F22" s="78">
        <f>Q22/21</f>
        <v>184453.23809523811</v>
      </c>
      <c r="G22" s="90">
        <f t="shared" si="3"/>
        <v>0.28413134645029769</v>
      </c>
      <c r="H22" s="90">
        <f t="shared" si="4"/>
        <v>0.52157993747154552</v>
      </c>
      <c r="I22" s="130">
        <f t="shared" si="0"/>
        <v>590.31152942323934</v>
      </c>
      <c r="J22" s="130">
        <f t="shared" si="5"/>
        <v>2.7294051770060168E-2</v>
      </c>
      <c r="K22" s="78">
        <f>R20+R21+R22</f>
        <v>13468709791</v>
      </c>
      <c r="L22" s="87">
        <f>U22/U19-1</f>
        <v>-0.14488500743917976</v>
      </c>
      <c r="M22" s="87">
        <f>U22/U10-1</f>
        <v>-0.12958005705510389</v>
      </c>
      <c r="N22" s="88">
        <f>AVERAGE(T20:T22)</f>
        <v>476.16311732882497</v>
      </c>
      <c r="O22" s="89">
        <f>N22/N19-1</f>
        <v>-2.2851321356797571E-2</v>
      </c>
      <c r="P22" s="129" t="s">
        <v>156</v>
      </c>
      <c r="Q22" s="116">
        <v>3873518</v>
      </c>
      <c r="R22" s="116">
        <v>5027929257</v>
      </c>
      <c r="S22" s="116">
        <v>6561.82</v>
      </c>
      <c r="T22" s="130">
        <f t="shared" ref="T22:T23" si="10">Q22/S22</f>
        <v>590.31152942323934</v>
      </c>
      <c r="U22" s="85">
        <f>Q20+Q21+Q22</f>
        <v>10256764</v>
      </c>
    </row>
    <row r="23" spans="1:21" hidden="1">
      <c r="A23" s="129" t="s">
        <v>189</v>
      </c>
      <c r="B23" s="131"/>
      <c r="C23" s="131"/>
      <c r="F23" s="78">
        <f>Q23/21</f>
        <v>100878.90476190476</v>
      </c>
      <c r="G23" s="90">
        <f t="shared" ref="G23" si="11">F23/F22-1</f>
        <v>-0.45309225360512073</v>
      </c>
      <c r="H23" s="90">
        <f t="shared" ref="H23" si="12">F23/F11-1</f>
        <v>-0.58261306273264846</v>
      </c>
      <c r="I23" s="130">
        <f t="shared" si="0"/>
        <v>620.04829362524151</v>
      </c>
      <c r="J23" s="130">
        <f t="shared" si="5"/>
        <v>-6.3794234069256994E-2</v>
      </c>
      <c r="O23" s="89"/>
      <c r="P23" s="129" t="s">
        <v>189</v>
      </c>
      <c r="Q23" s="116">
        <v>2118457</v>
      </c>
      <c r="R23" s="116">
        <v>2736520639</v>
      </c>
      <c r="S23" s="116">
        <v>3416.6</v>
      </c>
      <c r="T23" s="130">
        <f t="shared" si="10"/>
        <v>620.04829362524151</v>
      </c>
      <c r="U23" s="78"/>
    </row>
    <row r="24" spans="1:21" hidden="1">
      <c r="A24" s="129" t="s">
        <v>204</v>
      </c>
      <c r="B24" s="131"/>
      <c r="C24" s="131"/>
      <c r="F24" s="78">
        <f>Q24/22</f>
        <v>164969.5</v>
      </c>
      <c r="G24" s="90">
        <f t="shared" ref="G24" si="13">F24/F23-1</f>
        <v>0.6353220763980576</v>
      </c>
      <c r="H24" s="90">
        <f t="shared" ref="H24" si="14">F24/F12-1</f>
        <v>-0.37393454319132302</v>
      </c>
      <c r="I24" s="130">
        <f t="shared" si="0"/>
        <v>570.45009446388212</v>
      </c>
      <c r="J24" s="130">
        <f t="shared" si="5"/>
        <v>-0.20010553872464953</v>
      </c>
      <c r="O24" s="89"/>
      <c r="P24" s="129" t="s">
        <v>204</v>
      </c>
      <c r="Q24" s="116">
        <v>3629329</v>
      </c>
      <c r="R24" s="116">
        <v>4764833650</v>
      </c>
      <c r="S24" s="116">
        <v>6362.22</v>
      </c>
      <c r="T24" s="130">
        <f t="shared" ref="T24" si="15">Q24/S24</f>
        <v>570.45009446388212</v>
      </c>
      <c r="U24" s="78"/>
    </row>
    <row r="25" spans="1:21" s="79" customFormat="1" ht="13.2" hidden="1">
      <c r="A25" s="129" t="s">
        <v>219</v>
      </c>
      <c r="B25" s="131">
        <f>SUM(F23:F25)</f>
        <v>410118.93107769417</v>
      </c>
      <c r="C25" s="131">
        <f>AVERAGE(F23:F25)</f>
        <v>136706.3103592314</v>
      </c>
      <c r="D25" s="90">
        <f>C25/C22-1</f>
        <v>-0.17386937167651229</v>
      </c>
      <c r="E25" s="286">
        <f>C25/C13-1</f>
        <v>-0.39955983190629474</v>
      </c>
      <c r="F25" s="78">
        <f>Q25/19</f>
        <v>144270.52631578947</v>
      </c>
      <c r="G25" s="90">
        <f t="shared" ref="G25" si="16">F25/F24-1</f>
        <v>-0.12547151857895267</v>
      </c>
      <c r="H25" s="90">
        <f t="shared" ref="H25" si="17">F25/F13-1</f>
        <v>-0.18874808143985033</v>
      </c>
      <c r="I25" s="130">
        <f t="shared" si="0"/>
        <v>774.28302680899264</v>
      </c>
      <c r="J25" s="130">
        <f t="shared" si="5"/>
        <v>0.5187188035046304</v>
      </c>
      <c r="K25" s="78">
        <f>R23+R24+R25</f>
        <v>11136409432</v>
      </c>
      <c r="L25" s="90">
        <f>U25/U22-1</f>
        <v>-0.17235826036360002</v>
      </c>
      <c r="M25" s="90">
        <f>U25/U13-1</f>
        <v>-0.41168850474780316</v>
      </c>
      <c r="N25" s="88">
        <f>AVERAGE(T23:T25)</f>
        <v>654.92713829937213</v>
      </c>
      <c r="O25" s="91">
        <f>N25/N22-1</f>
        <v>0.37542601361771943</v>
      </c>
      <c r="P25" s="129" t="s">
        <v>219</v>
      </c>
      <c r="Q25" s="116">
        <v>2741140</v>
      </c>
      <c r="R25" s="116">
        <v>3635055143</v>
      </c>
      <c r="S25" s="116">
        <v>3540.23</v>
      </c>
      <c r="T25" s="130">
        <f t="shared" ref="T25" si="18">Q25/S25</f>
        <v>774.28302680899264</v>
      </c>
      <c r="U25" s="85">
        <f>Q23+Q24+Q25</f>
        <v>8488926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156446.26315789475</v>
      </c>
      <c r="G26" s="90">
        <f t="shared" ref="G26" si="19">F26/F25-1</f>
        <v>8.4395178648299707E-2</v>
      </c>
      <c r="H26" s="90">
        <f t="shared" ref="H26" si="20">F26/F14-1</f>
        <v>-0.16578521558051429</v>
      </c>
      <c r="I26" s="130">
        <f t="shared" si="0"/>
        <v>492.77926151387504</v>
      </c>
      <c r="J26" s="130">
        <f t="shared" si="5"/>
        <v>0.36755811962280172</v>
      </c>
      <c r="L26" s="90"/>
      <c r="M26" s="90"/>
      <c r="P26" s="129" t="s">
        <v>312</v>
      </c>
      <c r="Q26" s="116">
        <v>2972479</v>
      </c>
      <c r="R26" s="116">
        <v>4017295450</v>
      </c>
      <c r="S26" s="116">
        <v>6032.07</v>
      </c>
      <c r="T26" s="130">
        <f t="shared" ref="T26" si="21">Q26/S26</f>
        <v>492.77926151387504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201294.86363636365</v>
      </c>
      <c r="G27" s="90">
        <f t="shared" ref="G27" si="22">F27/F26-1</f>
        <v>0.28667096019548288</v>
      </c>
      <c r="H27" s="90">
        <f t="shared" ref="H27" si="23">F27/F15-1</f>
        <v>-7.4184225022917993E-2</v>
      </c>
      <c r="I27" s="130">
        <f t="shared" si="0"/>
        <v>561.25640183972484</v>
      </c>
      <c r="J27" s="130">
        <f t="shared" si="5"/>
        <v>1.1740926008677866</v>
      </c>
      <c r="L27" s="90"/>
      <c r="M27" s="90"/>
      <c r="P27" s="129" t="s">
        <v>375</v>
      </c>
      <c r="Q27" s="116">
        <v>4428487</v>
      </c>
      <c r="R27" s="116">
        <v>5851619264</v>
      </c>
      <c r="S27" s="116">
        <v>7890.31</v>
      </c>
      <c r="T27" s="130">
        <f t="shared" ref="T27" si="24">Q27/S27</f>
        <v>561.25640183972484</v>
      </c>
      <c r="U27" s="78"/>
    </row>
    <row r="28" spans="1:21" s="79" customFormat="1" ht="13.2" hidden="1">
      <c r="A28" s="123" t="s">
        <v>413</v>
      </c>
      <c r="B28" s="131">
        <f>SUM(F26:F28)</f>
        <v>591655.54784688994</v>
      </c>
      <c r="C28" s="131">
        <f>AVERAGE(F26:F28)</f>
        <v>197218.51594896332</v>
      </c>
      <c r="D28" s="90">
        <f>C28/C25-1</f>
        <v>0.44264383575798627</v>
      </c>
      <c r="E28" s="286">
        <f>C28/C16-1</f>
        <v>-0.19983110611214239</v>
      </c>
      <c r="F28" s="78">
        <f>Q28/19</f>
        <v>233914.42105263157</v>
      </c>
      <c r="G28" s="90">
        <f t="shared" ref="G28" si="25">F28/F27-1</f>
        <v>0.16204863267248926</v>
      </c>
      <c r="H28" s="90">
        <f t="shared" ref="H28" si="26">F28/F16-1</f>
        <v>-0.30060362496004056</v>
      </c>
      <c r="I28" s="130">
        <f t="shared" si="0"/>
        <v>484.71900333407137</v>
      </c>
      <c r="J28" s="130">
        <f t="shared" si="5"/>
        <v>-0.14675991210544381</v>
      </c>
      <c r="K28" s="78">
        <f>R26+R27+R28</f>
        <v>15668634033</v>
      </c>
      <c r="L28" s="90">
        <f>U28/U25-1</f>
        <v>0.39538735524376101</v>
      </c>
      <c r="M28" s="90">
        <f>U28/U16-1</f>
        <v>-0.25463592763134757</v>
      </c>
      <c r="N28" s="88">
        <f>AVERAGE(T26:T28)</f>
        <v>512.91822222922372</v>
      </c>
      <c r="O28" s="91">
        <f>N28/N25-1</f>
        <v>-0.21683162563533143</v>
      </c>
      <c r="P28" s="129" t="s">
        <v>413</v>
      </c>
      <c r="Q28" s="116">
        <v>4444374</v>
      </c>
      <c r="R28" s="116">
        <v>5799719319</v>
      </c>
      <c r="S28" s="116">
        <v>9168.9699999999993</v>
      </c>
      <c r="T28" s="130">
        <f t="shared" ref="T28" si="27">Q28/S28</f>
        <v>484.71900333407137</v>
      </c>
      <c r="U28" s="85">
        <f>Q26+Q27+Q28</f>
        <v>11845340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82234.363636363632</v>
      </c>
      <c r="G29" s="190">
        <f t="shared" ref="G29" si="28">F29/F28-1</f>
        <v>-0.64844252326853935</v>
      </c>
      <c r="H29" s="190">
        <f t="shared" ref="H29" si="29">F29/F17-1</f>
        <v>-0.67688513985728915</v>
      </c>
      <c r="I29" s="130">
        <f t="shared" si="0"/>
        <v>376.50197599668689</v>
      </c>
      <c r="J29" s="130">
        <f t="shared" si="5"/>
        <v>-0.48671446360045711</v>
      </c>
      <c r="K29" s="136"/>
      <c r="L29" s="190"/>
      <c r="M29" s="190"/>
      <c r="N29" s="191"/>
      <c r="O29" s="192"/>
      <c r="P29" s="129" t="s">
        <v>427</v>
      </c>
      <c r="Q29" s="116">
        <v>1809156</v>
      </c>
      <c r="R29" s="116">
        <v>2377440151</v>
      </c>
      <c r="S29" s="116">
        <v>4805.17</v>
      </c>
      <c r="T29" s="130">
        <f t="shared" ref="T29" si="30">Q29/S29</f>
        <v>376.50197599668689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166163.10526315789</v>
      </c>
      <c r="G30" s="190">
        <f t="shared" ref="G30" si="31">F30/F29-1</f>
        <v>1.0206042573384901</v>
      </c>
      <c r="H30" s="190">
        <f t="shared" ref="H30" si="32">F30/F18-1</f>
        <v>-4.9887655070618764E-2</v>
      </c>
      <c r="I30" s="130">
        <f t="shared" si="0"/>
        <v>205.05782618240676</v>
      </c>
      <c r="J30" s="130">
        <f t="shared" si="5"/>
        <v>-0.34873495063329496</v>
      </c>
      <c r="K30" s="136"/>
      <c r="L30" s="190"/>
      <c r="M30" s="190"/>
      <c r="N30" s="191"/>
      <c r="O30" s="192"/>
      <c r="P30" s="129" t="s">
        <v>469</v>
      </c>
      <c r="Q30" s="116">
        <v>3157099</v>
      </c>
      <c r="R30" s="116">
        <v>4204408549</v>
      </c>
      <c r="S30" s="116">
        <v>15396.14</v>
      </c>
      <c r="T30" s="130">
        <f t="shared" ref="T30" si="33">Q30/S30</f>
        <v>205.05782618240676</v>
      </c>
      <c r="U30" s="85"/>
    </row>
    <row r="31" spans="1:21" s="79" customFormat="1" ht="13.2" hidden="1">
      <c r="A31" s="129" t="s">
        <v>505</v>
      </c>
      <c r="B31" s="188">
        <f>SUM(F29:F31)</f>
        <v>354570.61889952153</v>
      </c>
      <c r="C31" s="188">
        <f>AVERAGE(F29:F31)</f>
        <v>118190.20629984052</v>
      </c>
      <c r="D31" s="190">
        <f>C31/C28-1</f>
        <v>-0.4007144525394053</v>
      </c>
      <c r="E31" s="287">
        <f>C31/C19-1</f>
        <v>-0.39311302691812711</v>
      </c>
      <c r="F31" s="136">
        <f>Q31/20</f>
        <v>106173.15</v>
      </c>
      <c r="G31" s="190">
        <f t="shared" ref="G31" si="34">F31/F30-1</f>
        <v>-0.36103053784502803</v>
      </c>
      <c r="H31" s="190">
        <f t="shared" ref="H31" si="35">F31/F19-1</f>
        <v>-0.31435725725208585</v>
      </c>
      <c r="I31" s="130">
        <f t="shared" si="0"/>
        <v>323.72626321759179</v>
      </c>
      <c r="J31" s="130">
        <f t="shared" si="5"/>
        <v>-0.21714693784841377</v>
      </c>
      <c r="K31" s="136">
        <f>R29+R30+R31</f>
        <v>9403502065</v>
      </c>
      <c r="L31" s="190">
        <f>U31/U28-1</f>
        <v>-0.40147619232542076</v>
      </c>
      <c r="M31" s="190">
        <f>U31/U19-1</f>
        <v>-0.40892428110578405</v>
      </c>
      <c r="N31" s="191">
        <f>AVERAGE(T29:T31)</f>
        <v>301.76202179889515</v>
      </c>
      <c r="O31" s="192">
        <f>N31/N28-1</f>
        <v>-0.4116761528038726</v>
      </c>
      <c r="P31" s="129" t="s">
        <v>505</v>
      </c>
      <c r="Q31" s="116">
        <v>2123463</v>
      </c>
      <c r="R31" s="116">
        <v>2821653365</v>
      </c>
      <c r="S31" s="116">
        <v>6559.44</v>
      </c>
      <c r="T31" s="130">
        <f t="shared" ref="T31" si="36">Q31/S31</f>
        <v>323.72626321759179</v>
      </c>
      <c r="U31" s="85">
        <f>Q29+Q30+Q31</f>
        <v>7089718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79004.523809523816</v>
      </c>
      <c r="G32" s="190">
        <f t="shared" ref="G32" si="37">F32/F31-1</f>
        <v>-0.25588980067442835</v>
      </c>
      <c r="H32" s="190">
        <f t="shared" ref="H32" si="38">F32/F20-1</f>
        <v>-0.53068422435143781</v>
      </c>
      <c r="I32" s="130">
        <f t="shared" si="0"/>
        <v>308.69985077570584</v>
      </c>
      <c r="J32" s="130">
        <f t="shared" si="5"/>
        <v>-0.28375919796714855</v>
      </c>
      <c r="K32" s="136"/>
      <c r="L32" s="190"/>
      <c r="M32" s="190"/>
      <c r="N32" s="191"/>
      <c r="O32" s="192"/>
      <c r="P32" s="129" t="s">
        <v>566</v>
      </c>
      <c r="Q32" s="116">
        <v>1659095</v>
      </c>
      <c r="R32" s="116">
        <v>2245390885</v>
      </c>
      <c r="S32" s="116">
        <v>5374.46</v>
      </c>
      <c r="T32" s="130">
        <f t="shared" ref="T32" si="39">Q32/S32</f>
        <v>308.69985077570584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150437.33333333334</v>
      </c>
      <c r="G33" s="190">
        <f t="shared" ref="G33" si="40">F33/F32-1</f>
        <v>0.9041610034386216</v>
      </c>
      <c r="H33" s="190">
        <f t="shared" ref="H33" si="41">F33/F21-1</f>
        <v>4.7318536690480695E-2</v>
      </c>
      <c r="I33" s="130">
        <f t="shared" si="0"/>
        <v>458.28114686917479</v>
      </c>
      <c r="J33" s="130">
        <f t="shared" si="5"/>
        <v>0.1255064096619376</v>
      </c>
      <c r="K33" s="136"/>
      <c r="L33" s="190"/>
      <c r="M33" s="190"/>
      <c r="N33" s="191"/>
      <c r="O33" s="192"/>
      <c r="P33" s="129" t="s">
        <v>622</v>
      </c>
      <c r="Q33" s="116">
        <v>3159184</v>
      </c>
      <c r="R33" s="116">
        <v>4335486604</v>
      </c>
      <c r="S33" s="116">
        <v>6893.55</v>
      </c>
      <c r="T33" s="130">
        <f t="shared" ref="T33" si="42">Q33/S33</f>
        <v>458.28114686917479</v>
      </c>
      <c r="U33" s="85"/>
    </row>
    <row r="34" spans="1:21" s="79" customFormat="1" ht="13.2" hidden="1">
      <c r="A34" s="129" t="s">
        <v>652</v>
      </c>
      <c r="B34" s="188">
        <f>SUM(F32:F34)</f>
        <v>369678.48872180452</v>
      </c>
      <c r="C34" s="188">
        <f>AVERAGE(F32:F34)</f>
        <v>123226.16290726817</v>
      </c>
      <c r="D34" s="190">
        <f>C34/C31-1</f>
        <v>4.2608916297614208E-2</v>
      </c>
      <c r="E34" s="287">
        <f>C34/C22-1</f>
        <v>-0.25533132215356025</v>
      </c>
      <c r="F34" s="136">
        <f>Q34/19</f>
        <v>140236.63157894736</v>
      </c>
      <c r="G34" s="190">
        <f t="shared" ref="G34" si="43">F34/F33-1</f>
        <v>-6.7806983335603643E-2</v>
      </c>
      <c r="H34" s="190">
        <f t="shared" ref="H34" si="44">F34/F22-1</f>
        <v>-0.23971716069012861</v>
      </c>
      <c r="I34" s="130">
        <f t="shared" si="0"/>
        <v>531.40488945086418</v>
      </c>
      <c r="J34" s="130">
        <f t="shared" si="5"/>
        <v>-9.9789072441003435E-2</v>
      </c>
      <c r="K34" s="136">
        <f>R32+R33+R34</f>
        <v>10248768851</v>
      </c>
      <c r="L34" s="190">
        <f>U34/U31-1</f>
        <v>5.544042795496229E-2</v>
      </c>
      <c r="M34" s="190">
        <f>U34/U22-1</f>
        <v>-0.27045459952086248</v>
      </c>
      <c r="N34" s="191">
        <f>AVERAGE(T32:T34)</f>
        <v>432.79529569858158</v>
      </c>
      <c r="O34" s="192">
        <f>N34/N31-1</f>
        <v>0.43422718710113761</v>
      </c>
      <c r="P34" s="129" t="s">
        <v>652</v>
      </c>
      <c r="Q34" s="116">
        <v>2664496</v>
      </c>
      <c r="R34" s="116">
        <v>3667891362</v>
      </c>
      <c r="S34" s="116">
        <v>5014.0600000000004</v>
      </c>
      <c r="T34" s="130">
        <f t="shared" ref="T34" si="45">Q34/S34</f>
        <v>531.40488945086418</v>
      </c>
      <c r="U34" s="85">
        <f>Q32+Q33+Q34</f>
        <v>7482775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127101.17391304347</v>
      </c>
      <c r="G35" s="190">
        <f t="shared" ref="G35" si="46">F35/F34-1</f>
        <v>-9.3666380303131902E-2</v>
      </c>
      <c r="H35" s="190">
        <f t="shared" ref="H35" si="47">F35/F23-1</f>
        <v>0.25993808331909163</v>
      </c>
      <c r="I35" s="130">
        <f t="shared" si="0"/>
        <v>297.66234427423007</v>
      </c>
      <c r="J35" s="130">
        <f t="shared" si="5"/>
        <v>-0.51993683825192849</v>
      </c>
      <c r="K35" s="136"/>
      <c r="L35" s="190"/>
      <c r="M35" s="190"/>
      <c r="N35" s="191"/>
      <c r="O35" s="192"/>
      <c r="P35" s="129" t="s">
        <v>660</v>
      </c>
      <c r="Q35" s="116">
        <v>2923327</v>
      </c>
      <c r="R35" s="116">
        <v>4046394822</v>
      </c>
      <c r="S35" s="116">
        <v>9820.9500000000007</v>
      </c>
      <c r="T35" s="130">
        <f t="shared" ref="T35" si="48">Q35/S35</f>
        <v>297.66234427423007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72703.095238095237</v>
      </c>
      <c r="G36" s="190">
        <f t="shared" ref="G36" si="49">F36/F35-1</f>
        <v>-0.42799037176607657</v>
      </c>
      <c r="H36" s="190">
        <f t="shared" ref="H36" si="50">F36/F24-1</f>
        <v>-0.55929371648640969</v>
      </c>
      <c r="I36" s="130">
        <f t="shared" si="0"/>
        <v>241.8668276192015</v>
      </c>
      <c r="J36" s="130">
        <f t="shared" si="5"/>
        <v>-0.57600703380282248</v>
      </c>
      <c r="K36" s="136"/>
      <c r="L36" s="190"/>
      <c r="M36" s="190"/>
      <c r="N36" s="191"/>
      <c r="O36" s="192"/>
      <c r="P36" s="129" t="s">
        <v>666</v>
      </c>
      <c r="Q36" s="116">
        <v>1526765</v>
      </c>
      <c r="R36" s="116">
        <v>2085815944</v>
      </c>
      <c r="S36" s="116">
        <v>6312.42</v>
      </c>
      <c r="T36" s="130">
        <f t="shared" ref="T36" si="51">Q36/S36</f>
        <v>241.8668276192015</v>
      </c>
      <c r="U36" s="85"/>
    </row>
    <row r="37" spans="1:21" s="79" customFormat="1" ht="13.2" hidden="1">
      <c r="A37" s="129" t="s">
        <v>702</v>
      </c>
      <c r="B37" s="188">
        <f>SUM(F35:F37)</f>
        <v>297141.71359558316</v>
      </c>
      <c r="C37" s="188">
        <f>AVERAGE(F35:F37)</f>
        <v>99047.237865194387</v>
      </c>
      <c r="D37" s="190">
        <f>C37/C34-1</f>
        <v>-0.19621583981535828</v>
      </c>
      <c r="E37" s="287">
        <f>C37/C25-1</f>
        <v>-0.27547428055865164</v>
      </c>
      <c r="F37" s="136">
        <f>Q37/18</f>
        <v>97337.444444444438</v>
      </c>
      <c r="G37" s="190">
        <f t="shared" ref="G37" si="52">F37/F36-1</f>
        <v>0.33883494403744741</v>
      </c>
      <c r="H37" s="190">
        <f t="shared" ref="H37" si="53">F37/F25-1</f>
        <v>-0.32531302872365353</v>
      </c>
      <c r="I37" s="130">
        <f t="shared" si="0"/>
        <v>598.88295272374273</v>
      </c>
      <c r="J37" s="130">
        <f t="shared" si="5"/>
        <v>-0.22653224726895538</v>
      </c>
      <c r="K37" s="136">
        <f>R35+R36+R37</f>
        <v>8468359288</v>
      </c>
      <c r="L37" s="190">
        <f>U37/U34-1</f>
        <v>-0.17114092031365369</v>
      </c>
      <c r="M37" s="190">
        <f>U37/U25-1</f>
        <v>-0.2693815448503144</v>
      </c>
      <c r="N37" s="191">
        <f>AVERAGE(T35:T37)</f>
        <v>379.4707082057248</v>
      </c>
      <c r="O37" s="192">
        <f>N37/N34-1</f>
        <v>-0.12320972067587921</v>
      </c>
      <c r="P37" s="129" t="s">
        <v>702</v>
      </c>
      <c r="Q37" s="116">
        <v>1752074</v>
      </c>
      <c r="R37" s="116">
        <v>2336148522</v>
      </c>
      <c r="S37" s="116">
        <v>2925.57</v>
      </c>
      <c r="T37" s="130">
        <f t="shared" ref="T37" si="54">Q37/S37</f>
        <v>598.88295272374273</v>
      </c>
      <c r="U37" s="85">
        <f>Q35+Q36+Q37</f>
        <v>6202166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136111.5</v>
      </c>
      <c r="G38" s="190">
        <f t="shared" ref="G38" si="55">F38/F37-1</f>
        <v>0.39834675932637564</v>
      </c>
      <c r="H38" s="190">
        <f t="shared" ref="H38" si="56">F38/F26-1</f>
        <v>-0.12997921936538492</v>
      </c>
      <c r="I38" s="130">
        <f t="shared" si="0"/>
        <v>380.50263477908391</v>
      </c>
      <c r="J38" s="130">
        <f t="shared" si="5"/>
        <v>-0.22784365232794968</v>
      </c>
      <c r="K38" s="136"/>
      <c r="L38" s="190"/>
      <c r="M38" s="190"/>
      <c r="N38" s="191"/>
      <c r="O38" s="192"/>
      <c r="P38" s="129" t="s">
        <v>728</v>
      </c>
      <c r="Q38" s="116">
        <v>2722230</v>
      </c>
      <c r="R38" s="116">
        <v>3658494548</v>
      </c>
      <c r="S38" s="116">
        <v>7154.3</v>
      </c>
      <c r="T38" s="130">
        <f t="shared" ref="T38" si="57">Q38/S38</f>
        <v>380.50263477908391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128183.66666666667</v>
      </c>
      <c r="G39" s="190">
        <f t="shared" ref="G39" si="58">F39/F38-1</f>
        <v>-5.8245139707764015E-2</v>
      </c>
      <c r="H39" s="190">
        <f t="shared" ref="H39" si="59">F39/F27-1</f>
        <v>-0.36320448345751799</v>
      </c>
      <c r="I39" s="130">
        <f t="shared" si="0"/>
        <v>397.52156063559568</v>
      </c>
      <c r="J39" s="130">
        <f t="shared" si="5"/>
        <v>-0.29172912891047276</v>
      </c>
      <c r="K39" s="136"/>
      <c r="L39" s="190"/>
      <c r="M39" s="190"/>
      <c r="N39" s="191"/>
      <c r="O39" s="192"/>
      <c r="P39" s="129" t="s">
        <v>762</v>
      </c>
      <c r="Q39" s="116">
        <v>2691857</v>
      </c>
      <c r="R39" s="116">
        <v>3739196414</v>
      </c>
      <c r="S39" s="116">
        <v>6771.6</v>
      </c>
      <c r="T39" s="130">
        <f t="shared" ref="T39" si="60">Q39/S39</f>
        <v>397.52156063559568</v>
      </c>
      <c r="U39" s="85"/>
    </row>
    <row r="40" spans="1:21" s="79" customFormat="1" ht="13.2" hidden="1">
      <c r="A40" s="129" t="s">
        <v>778</v>
      </c>
      <c r="B40" s="188">
        <f>SUM(F38:F40)</f>
        <v>497408.73809523811</v>
      </c>
      <c r="C40" s="188">
        <f>AVERAGE(F38:F40)</f>
        <v>165802.91269841269</v>
      </c>
      <c r="D40" s="190">
        <f>C40/C37-1</f>
        <v>0.67397815700902575</v>
      </c>
      <c r="E40" s="287">
        <f>C40/C28-1</f>
        <v>-0.15929337617914352</v>
      </c>
      <c r="F40" s="136">
        <f>Q40/21</f>
        <v>233113.57142857142</v>
      </c>
      <c r="G40" s="190">
        <f t="shared" ref="G40" si="61">F40/F39-1</f>
        <v>0.81859028915726184</v>
      </c>
      <c r="H40" s="190">
        <f t="shared" ref="H40" si="62">F40/F28-1</f>
        <v>-3.4236864082867191E-3</v>
      </c>
      <c r="I40" s="130">
        <f t="shared" si="0"/>
        <v>290.46834411057222</v>
      </c>
      <c r="J40" s="130">
        <f t="shared" si="5"/>
        <v>-0.40074900692436932</v>
      </c>
      <c r="K40" s="136">
        <f>R38+R39+R40</f>
        <v>14333788288</v>
      </c>
      <c r="L40" s="190">
        <f>U40/U37-1</f>
        <v>0.66223735385347626</v>
      </c>
      <c r="M40" s="190">
        <f>U40/U28-1</f>
        <v>-0.12966010262263472</v>
      </c>
      <c r="N40" s="191">
        <f>AVERAGE(T38:T40)</f>
        <v>356.16417984175058</v>
      </c>
      <c r="O40" s="192">
        <f>N40/N37-1</f>
        <v>-6.1418517582492616E-2</v>
      </c>
      <c r="P40" s="129" t="s">
        <v>778</v>
      </c>
      <c r="Q40" s="116">
        <v>4895385</v>
      </c>
      <c r="R40" s="116">
        <v>6936097326</v>
      </c>
      <c r="S40" s="116">
        <v>16853.419999999998</v>
      </c>
      <c r="T40" s="130">
        <f t="shared" ref="T40" si="63">Q40/S40</f>
        <v>290.46834411057222</v>
      </c>
      <c r="U40" s="85">
        <f>Q38+Q39+Q40</f>
        <v>10309472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139887.88888888888</v>
      </c>
      <c r="G41" s="190">
        <f t="shared" ref="G41" si="64">F41/F40-1</f>
        <v>-0.39991529437078666</v>
      </c>
      <c r="H41" s="190">
        <f t="shared" ref="H41" si="65">F41/F29-1</f>
        <v>0.70108799658821863</v>
      </c>
      <c r="I41" s="130">
        <f t="shared" si="0"/>
        <v>737.84639909043221</v>
      </c>
      <c r="J41" s="130">
        <f t="shared" si="5"/>
        <v>0.95974110663611767</v>
      </c>
      <c r="K41" s="193"/>
      <c r="L41" s="190"/>
      <c r="M41" s="190"/>
      <c r="N41" s="193"/>
      <c r="O41" s="193"/>
      <c r="P41" s="129" t="s">
        <v>793</v>
      </c>
      <c r="Q41" s="116">
        <v>2517982</v>
      </c>
      <c r="R41" s="116">
        <v>3682207579</v>
      </c>
      <c r="S41" s="116">
        <v>3412.61</v>
      </c>
      <c r="T41" s="130">
        <f t="shared" ref="T41" si="66">Q41/S41</f>
        <v>737.84639909043221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200003.85</v>
      </c>
      <c r="G42" s="190">
        <f t="shared" ref="G42" si="67">F42/F41-1</f>
        <v>0.42974385837547713</v>
      </c>
      <c r="H42" s="190">
        <f t="shared" ref="H42" si="68">F42/F30-1</f>
        <v>0.20365979970852988</v>
      </c>
      <c r="I42" s="130">
        <f t="shared" si="0"/>
        <v>653.63084947498112</v>
      </c>
      <c r="J42" s="130">
        <f t="shared" si="5"/>
        <v>2.1875440291342576</v>
      </c>
      <c r="K42" s="193"/>
      <c r="L42" s="190"/>
      <c r="M42" s="190"/>
      <c r="N42" s="193"/>
      <c r="O42" s="193"/>
      <c r="P42" s="129" t="s">
        <v>826</v>
      </c>
      <c r="Q42" s="116">
        <v>4000077</v>
      </c>
      <c r="R42" s="116">
        <v>5782897444</v>
      </c>
      <c r="S42" s="116">
        <v>6119.78</v>
      </c>
      <c r="T42" s="130">
        <f t="shared" ref="T42" si="69">Q42/S42</f>
        <v>653.63084947498112</v>
      </c>
      <c r="U42" s="78"/>
    </row>
    <row r="43" spans="1:21" s="79" customFormat="1" ht="13.2">
      <c r="A43" s="129" t="s">
        <v>835</v>
      </c>
      <c r="B43" s="188">
        <f>SUM(F41:F43)</f>
        <v>478818.53888888884</v>
      </c>
      <c r="C43" s="188">
        <f>AVERAGE(F41:F43)</f>
        <v>159606.17962962962</v>
      </c>
      <c r="D43" s="190">
        <f>C43/C40-1</f>
        <v>-3.7374090526712367E-2</v>
      </c>
      <c r="E43" s="287">
        <f>C43/C31-1</f>
        <v>0.35041797985122058</v>
      </c>
      <c r="F43" s="136">
        <f>Q43/20</f>
        <v>138926.79999999999</v>
      </c>
      <c r="G43" s="190">
        <f t="shared" ref="G43" si="70">F43/F42-1</f>
        <v>-0.3053793714470997</v>
      </c>
      <c r="H43" s="190">
        <f t="shared" ref="H43" si="71">F43/F31-1</f>
        <v>0.30849277807053843</v>
      </c>
      <c r="I43" s="130">
        <f t="shared" si="0"/>
        <v>396.91160063939293</v>
      </c>
      <c r="J43" s="130">
        <f t="shared" si="5"/>
        <v>0.22607167146216312</v>
      </c>
      <c r="K43" s="136">
        <f>R41+R42+R43</f>
        <v>13485570727</v>
      </c>
      <c r="L43" s="190">
        <f>U43/U40-1</f>
        <v>-9.8247223524153271E-2</v>
      </c>
      <c r="M43" s="190">
        <f>K43/K31-1</f>
        <v>0.4341008949414209</v>
      </c>
      <c r="N43" s="191">
        <f>AVERAGE(T41:T43)</f>
        <v>596.12961640160211</v>
      </c>
      <c r="O43" s="192">
        <f>N43/N40-1</f>
        <v>0.67374949571422937</v>
      </c>
      <c r="P43" s="129" t="s">
        <v>835</v>
      </c>
      <c r="Q43" s="116">
        <v>2778536</v>
      </c>
      <c r="R43" s="116">
        <v>4020465704</v>
      </c>
      <c r="S43" s="116">
        <v>7000.39</v>
      </c>
      <c r="T43" s="130">
        <f t="shared" ref="T43" si="72">Q43/S43</f>
        <v>396.91160063939293</v>
      </c>
      <c r="U43" s="85">
        <f>Q41+Q42+Q43</f>
        <v>9296595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104147.86363636363</v>
      </c>
      <c r="G44" s="190">
        <f t="shared" ref="G44" si="73">F44/F43-1</f>
        <v>-0.25034000900932263</v>
      </c>
      <c r="H44" s="190">
        <f t="shared" ref="H44" si="74">F44/F32-1</f>
        <v>0.31825190020079397</v>
      </c>
      <c r="I44" s="130">
        <f t="shared" si="0"/>
        <v>545.61307421756862</v>
      </c>
      <c r="J44" s="130">
        <f t="shared" si="5"/>
        <v>0.76745493347840466</v>
      </c>
      <c r="K44" s="136"/>
      <c r="L44" s="190"/>
      <c r="M44" s="190"/>
      <c r="N44" s="191"/>
      <c r="O44" s="192"/>
      <c r="P44" s="129" t="s">
        <v>843</v>
      </c>
      <c r="Q44" s="116">
        <v>2291253</v>
      </c>
      <c r="R44" s="116">
        <v>3323960143</v>
      </c>
      <c r="S44" s="116">
        <v>4199.41</v>
      </c>
      <c r="T44" s="130">
        <f t="shared" ref="T44" si="75">Q44/S44</f>
        <v>545.61307421756862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151938.15</v>
      </c>
      <c r="G45" s="190">
        <f t="shared" ref="G45" si="76">F45/F44-1</f>
        <v>0.45886957922150029</v>
      </c>
      <c r="H45" s="190">
        <f t="shared" ref="H45" si="77">F45/F33-1</f>
        <v>9.9763578189810964E-3</v>
      </c>
      <c r="I45" s="130">
        <f t="shared" si="0"/>
        <v>585.89293460971169</v>
      </c>
      <c r="J45" s="130">
        <f t="shared" si="5"/>
        <v>0.2784574242522051</v>
      </c>
      <c r="K45" s="136"/>
      <c r="L45" s="190"/>
      <c r="M45" s="190"/>
      <c r="N45" s="191"/>
      <c r="O45" s="192"/>
      <c r="P45" s="129" t="s">
        <v>849</v>
      </c>
      <c r="Q45" s="116">
        <v>3038763</v>
      </c>
      <c r="R45" s="116">
        <v>4287847467</v>
      </c>
      <c r="S45" s="116">
        <v>5186.55</v>
      </c>
      <c r="T45" s="130">
        <f t="shared" ref="T45" si="78">Q45/S45</f>
        <v>585.89293460971169</v>
      </c>
      <c r="U45" s="85"/>
    </row>
    <row r="46" spans="1:21" s="79" customFormat="1" ht="13.2">
      <c r="A46" s="129" t="s">
        <v>888</v>
      </c>
      <c r="B46" s="188">
        <f>SUM(F44:F46)</f>
        <v>396974.75047846884</v>
      </c>
      <c r="C46" s="188">
        <f>AVERAGE(F44:F46)</f>
        <v>132324.91682615629</v>
      </c>
      <c r="D46" s="190">
        <f>C46/C43-1</f>
        <v>-0.17092861233055157</v>
      </c>
      <c r="E46" s="287">
        <f>C46/C34-1</f>
        <v>7.3837841771761115E-2</v>
      </c>
      <c r="F46" s="136">
        <f>Q46/19</f>
        <v>140888.73684210525</v>
      </c>
      <c r="G46" s="190">
        <f t="shared" ref="G46" si="79">F46/F45-1</f>
        <v>-7.2723099220931342E-2</v>
      </c>
      <c r="H46" s="190">
        <f t="shared" ref="H46" si="80">F46/F34-1</f>
        <v>4.6500351285947428E-3</v>
      </c>
      <c r="I46" s="130">
        <f t="shared" si="0"/>
        <v>550.13851667954555</v>
      </c>
      <c r="J46" s="130">
        <f t="shared" si="5"/>
        <v>3.525302006167097E-2</v>
      </c>
      <c r="K46" s="136">
        <f>R44+R45+R46</f>
        <v>11278848029</v>
      </c>
      <c r="L46" s="190">
        <f>U46/U43-1</f>
        <v>-0.13872745881691095</v>
      </c>
      <c r="M46" s="190">
        <f>K46/K34-1</f>
        <v>0.10050760173984141</v>
      </c>
      <c r="N46" s="191">
        <f>AVERAGE(T44:T46)</f>
        <v>560.54817516894195</v>
      </c>
      <c r="O46" s="192">
        <f>N46/N43-1</f>
        <v>-5.9687424099878261E-2</v>
      </c>
      <c r="P46" s="129" t="s">
        <v>888</v>
      </c>
      <c r="Q46" s="116">
        <v>2676886</v>
      </c>
      <c r="R46" s="116">
        <v>3667040419</v>
      </c>
      <c r="S46" s="116">
        <v>4865.84</v>
      </c>
      <c r="T46" s="130">
        <f t="shared" ref="T46" si="81">Q46/S46</f>
        <v>550.13851667954555</v>
      </c>
      <c r="U46" s="85">
        <f t="shared" ref="U46:U51" si="82">Q44+Q45+Q46</f>
        <v>8006902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170389.82608695651</v>
      </c>
      <c r="G47" s="190">
        <f t="shared" ref="G47" si="83">F47/F46-1</f>
        <v>0.20939281525331066</v>
      </c>
      <c r="H47" s="190">
        <f t="shared" ref="H47" si="84">F47/F35-1</f>
        <v>0.3405842042303171</v>
      </c>
      <c r="I47" s="130">
        <f t="shared" si="0"/>
        <v>322.84544721361118</v>
      </c>
      <c r="J47" s="130">
        <f t="shared" si="5"/>
        <v>8.4602918117786752E-2</v>
      </c>
      <c r="K47" s="136"/>
      <c r="L47" s="190"/>
      <c r="M47" s="190"/>
      <c r="N47" s="191"/>
      <c r="O47" s="192"/>
      <c r="P47" s="129" t="s">
        <v>1029</v>
      </c>
      <c r="Q47" s="116">
        <v>3918966</v>
      </c>
      <c r="R47" s="116">
        <v>5372860178</v>
      </c>
      <c r="S47" s="116">
        <v>12138.83</v>
      </c>
      <c r="T47" s="130">
        <f t="shared" ref="T47" si="85">Q47/S47</f>
        <v>322.84544721361118</v>
      </c>
      <c r="U47" s="85">
        <f t="shared" si="82"/>
        <v>9634615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242922.15</v>
      </c>
      <c r="G48" s="190">
        <f t="shared" ref="G48" si="86">F48/F47-1</f>
        <v>0.42568459384439672</v>
      </c>
      <c r="H48" s="190">
        <f t="shared" ref="H48" si="87">F48/F36-1</f>
        <v>2.3412903426526022</v>
      </c>
      <c r="I48" s="130">
        <f t="shared" si="0"/>
        <v>1368.9032585266893</v>
      </c>
      <c r="J48" s="130">
        <f t="shared" si="5"/>
        <v>4.6597395848012262</v>
      </c>
      <c r="K48" s="136"/>
      <c r="L48" s="190"/>
      <c r="M48" s="190"/>
      <c r="N48" s="191"/>
      <c r="O48" s="192"/>
      <c r="P48" s="129" t="s">
        <v>1070</v>
      </c>
      <c r="Q48" s="116">
        <v>4858443</v>
      </c>
      <c r="R48" s="116">
        <v>6744127353</v>
      </c>
      <c r="S48" s="116">
        <v>3549.15</v>
      </c>
      <c r="T48" s="130">
        <f t="shared" ref="T48" si="88">Q48/S48</f>
        <v>1368.9032585266893</v>
      </c>
      <c r="U48" s="85">
        <f t="shared" si="82"/>
        <v>11454295</v>
      </c>
    </row>
    <row r="49" spans="1:26" ht="13.2">
      <c r="A49" s="129" t="s">
        <v>1220</v>
      </c>
      <c r="B49" s="188">
        <f>SUM(F47:F49)</f>
        <v>550233.33972332021</v>
      </c>
      <c r="C49" s="188">
        <f>AVERAGE(F47:F49)</f>
        <v>183411.11324110674</v>
      </c>
      <c r="D49" s="190">
        <f>C49/C46-1</f>
        <v>0.38606634064290146</v>
      </c>
      <c r="E49" s="287">
        <f>C49/C37-1</f>
        <v>0.85175394280791106</v>
      </c>
      <c r="F49" s="136">
        <f>Q49/22</f>
        <v>136921.36363636365</v>
      </c>
      <c r="G49" s="190">
        <f t="shared" ref="G49" si="89">F49/F48-1</f>
        <v>-0.43635702369518936</v>
      </c>
      <c r="H49" s="190">
        <f t="shared" ref="H49" si="90">F49/F37-1</f>
        <v>0.40666692471582011</v>
      </c>
      <c r="I49" s="130">
        <f t="shared" si="0"/>
        <v>477.19657881354721</v>
      </c>
      <c r="J49" s="130">
        <f t="shared" si="5"/>
        <v>-0.20318890921299604</v>
      </c>
      <c r="K49" s="136">
        <f>R47+R48+R49</f>
        <v>16305451691</v>
      </c>
      <c r="L49" s="190">
        <f>U49/U46-1</f>
        <v>0.47243952779739273</v>
      </c>
      <c r="M49" s="190">
        <f>K49/K37-1</f>
        <v>0.92545582166140128</v>
      </c>
      <c r="N49" s="191">
        <f>AVERAGE(T47:T49)</f>
        <v>722.98176151794917</v>
      </c>
      <c r="O49" s="192">
        <f>N49/N46-1</f>
        <v>0.28977631815508431</v>
      </c>
      <c r="P49" s="129" t="s">
        <v>1172</v>
      </c>
      <c r="Q49" s="116">
        <v>3012270</v>
      </c>
      <c r="R49" s="116">
        <v>4188464160</v>
      </c>
      <c r="S49" s="116">
        <v>6312.43</v>
      </c>
      <c r="T49" s="130">
        <f t="shared" ref="T49" si="91">Q49/S49</f>
        <v>477.19657881354721</v>
      </c>
      <c r="U49" s="85">
        <f t="shared" si="82"/>
        <v>11789679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186835</v>
      </c>
      <c r="G50" s="190">
        <f t="shared" ref="G50" si="92">F50/F49-1</f>
        <v>0.36454235510097033</v>
      </c>
      <c r="H50" s="190">
        <f t="shared" ref="H50" si="93">F50/F38-1</f>
        <v>0.37266138423277972</v>
      </c>
      <c r="I50" s="130">
        <f t="shared" ref="I50" si="94">T50</f>
        <v>366.64468053791512</v>
      </c>
      <c r="J50" s="130">
        <f t="shared" ref="J50" si="95">I50/I38-1</f>
        <v>-3.6420126891406612E-2</v>
      </c>
      <c r="K50" s="136"/>
      <c r="L50" s="190"/>
      <c r="M50" s="190"/>
      <c r="N50" s="191"/>
      <c r="O50" s="192"/>
      <c r="P50" s="129" t="s">
        <v>1343</v>
      </c>
      <c r="Q50" s="116">
        <v>3363030</v>
      </c>
      <c r="R50" s="116">
        <v>4746732131</v>
      </c>
      <c r="S50" s="116">
        <v>9172.4500000000007</v>
      </c>
      <c r="T50" s="130">
        <f t="shared" ref="T50" si="96">Q50/S50</f>
        <v>366.64468053791512</v>
      </c>
      <c r="U50" s="85">
        <f t="shared" si="82"/>
        <v>11233743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174896.9</v>
      </c>
      <c r="G51" s="190">
        <f t="shared" ref="G51:G52" si="97">F51/F50-1</f>
        <v>-6.3896486204405023E-2</v>
      </c>
      <c r="H51" s="190">
        <f t="shared" ref="H51:H52" si="98">F51/F39-1</f>
        <v>0.36442422461520052</v>
      </c>
      <c r="I51" s="130">
        <f t="shared" ref="I51:I52" si="99">T51</f>
        <v>601.54326613860167</v>
      </c>
      <c r="J51" s="130">
        <f t="shared" ref="J51:J52" si="100">I51/I39-1</f>
        <v>0.51323431407543407</v>
      </c>
      <c r="K51" s="136"/>
      <c r="L51" s="190"/>
      <c r="M51" s="190"/>
      <c r="N51" s="191"/>
      <c r="O51" s="192"/>
      <c r="P51" s="129" t="s">
        <v>1402</v>
      </c>
      <c r="Q51" s="116">
        <v>3497938</v>
      </c>
      <c r="R51" s="116">
        <v>5061827638</v>
      </c>
      <c r="S51" s="116">
        <v>5814.94</v>
      </c>
      <c r="T51" s="130">
        <f t="shared" ref="T51:T52" si="101">Q51/S51</f>
        <v>601.54326613860167</v>
      </c>
      <c r="U51" s="85">
        <f t="shared" si="82"/>
        <v>9873238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532548.17272727273</v>
      </c>
      <c r="C52" s="188">
        <f>AVERAGE(F50:F52)</f>
        <v>177516.05757575759</v>
      </c>
      <c r="D52" s="190">
        <f>C52/C49-1</f>
        <v>-3.2141213044160954E-2</v>
      </c>
      <c r="E52" s="287">
        <f>C52/C40-1</f>
        <v>7.0644988599509961E-2</v>
      </c>
      <c r="F52" s="136">
        <f>Q52/22</f>
        <v>170816.27272727274</v>
      </c>
      <c r="G52" s="190">
        <f t="shared" si="97"/>
        <v>-2.3331615784655146E-2</v>
      </c>
      <c r="H52" s="190">
        <f t="shared" si="98"/>
        <v>-0.2672401195671581</v>
      </c>
      <c r="I52" s="130">
        <f t="shared" si="99"/>
        <v>731.98893628625422</v>
      </c>
      <c r="J52" s="130">
        <f t="shared" si="100"/>
        <v>1.5200299830525039</v>
      </c>
      <c r="K52" s="136">
        <f>R50+R51+R52</f>
        <v>15335231125</v>
      </c>
      <c r="L52" s="190">
        <f>U52/U49-1</f>
        <v>-9.930321258110586E-2</v>
      </c>
      <c r="M52" s="190">
        <f>K52/K40-1</f>
        <v>6.9865887292223317E-2</v>
      </c>
      <c r="N52" s="191">
        <f>AVERAGE(T50:T52)</f>
        <v>566.72562765425698</v>
      </c>
      <c r="O52" s="192">
        <f>N52/N49-1</f>
        <v>-0.21612735228012092</v>
      </c>
      <c r="P52" s="129" t="s">
        <v>1403</v>
      </c>
      <c r="Q52" s="116">
        <v>3757958</v>
      </c>
      <c r="R52" s="116">
        <v>5526671356</v>
      </c>
      <c r="S52" s="116">
        <v>5133.8999999999996</v>
      </c>
      <c r="T52" s="130">
        <f t="shared" si="101"/>
        <v>731.98893628625422</v>
      </c>
      <c r="U52" s="85">
        <f t="shared" ref="U52" si="102">Q50+Q51+Q52</f>
        <v>10618926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149858.14285714287</v>
      </c>
      <c r="G53" s="190">
        <f t="shared" ref="G53" si="103">F53/F52-1</f>
        <v>-0.12269398890111516</v>
      </c>
      <c r="H53" s="190">
        <f t="shared" ref="H53" si="104">F53/F41-1</f>
        <v>7.1273174879157963E-2</v>
      </c>
      <c r="I53" s="130">
        <f t="shared" ref="I53" si="105">T53</f>
        <v>869.02593529431249</v>
      </c>
      <c r="J53" s="130">
        <f t="shared" ref="J53" si="106">I53/I41-1</f>
        <v>0.17778705210947643</v>
      </c>
      <c r="K53" s="136"/>
      <c r="L53" s="190"/>
      <c r="M53" s="190"/>
      <c r="N53" s="191"/>
      <c r="O53" s="192"/>
      <c r="P53" s="129" t="s">
        <v>1414</v>
      </c>
      <c r="Q53" s="116">
        <v>3147021</v>
      </c>
      <c r="R53" s="116">
        <v>4588601749</v>
      </c>
      <c r="S53" s="116">
        <v>3621.32</v>
      </c>
      <c r="T53" s="130">
        <f t="shared" ref="T53" si="107">Q53/S53</f>
        <v>869.02593529431249</v>
      </c>
      <c r="U53" s="85">
        <f t="shared" ref="U53" si="108">Q51+Q52+Q53</f>
        <v>10402917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164571</v>
      </c>
      <c r="G54" s="190">
        <f t="shared" ref="G54" si="109">F54/F53-1</f>
        <v>9.8178563155441267E-2</v>
      </c>
      <c r="H54" s="190">
        <f t="shared" ref="H54" si="110">F54/F42-1</f>
        <v>-0.17716083965383667</v>
      </c>
      <c r="I54" s="130">
        <f t="shared" ref="I54" si="111">T54</f>
        <v>550.82514293814677</v>
      </c>
      <c r="J54" s="130">
        <f t="shared" ref="J54" si="112">I54/I42-1</f>
        <v>-0.15728404896955439</v>
      </c>
      <c r="K54" s="136"/>
      <c r="L54" s="190"/>
      <c r="M54" s="190"/>
      <c r="N54" s="191"/>
      <c r="O54" s="192"/>
      <c r="P54" s="129" t="s">
        <v>1417</v>
      </c>
      <c r="Q54" s="116">
        <v>2797707</v>
      </c>
      <c r="R54" s="116">
        <v>4052985872</v>
      </c>
      <c r="S54" s="116">
        <v>5079.12</v>
      </c>
      <c r="T54" s="130">
        <f t="shared" ref="T54" si="113">Q54/S54</f>
        <v>550.82514293814677</v>
      </c>
      <c r="U54" s="85">
        <f t="shared" ref="U54" si="114">Q52+Q53+Q54</f>
        <v>9702686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508970.33333333331</v>
      </c>
      <c r="C55" s="188">
        <f>AVERAGE(F53:F55)</f>
        <v>169656.77777777778</v>
      </c>
      <c r="D55" s="190">
        <f>C55/C52-1</f>
        <v>-4.4273627441425933E-2</v>
      </c>
      <c r="E55" s="287">
        <f>C55/C43-1</f>
        <v>6.2971234393748743E-2</v>
      </c>
      <c r="F55" s="136">
        <f>Q55/21</f>
        <v>194541.19047619047</v>
      </c>
      <c r="G55" s="190">
        <f t="shared" ref="G55" si="115">F55/F54-1</f>
        <v>0.18211100665482061</v>
      </c>
      <c r="H55" s="190">
        <f t="shared" ref="H55" si="116">F55/F43-1</f>
        <v>0.40031434162588142</v>
      </c>
      <c r="I55" s="130">
        <f>T55</f>
        <v>430.08097643345764</v>
      </c>
      <c r="J55" s="130">
        <f t="shared" ref="J55" si="117">I55/I43-1</f>
        <v>8.3568673076401589E-2</v>
      </c>
      <c r="K55" s="136">
        <f>R53+R54+R55</f>
        <v>14675088700</v>
      </c>
      <c r="L55" s="190">
        <f>U55/U52-1</f>
        <v>-5.5451276334348654E-2</v>
      </c>
      <c r="M55" s="190">
        <f>K55/K43-1</f>
        <v>8.8206720878221123E-2</v>
      </c>
      <c r="N55" s="191">
        <f>AVERAGE(T53:T55)</f>
        <v>616.64401822197226</v>
      </c>
      <c r="O55" s="192">
        <f>N55/N52-1</f>
        <v>8.8082112634174203E-2</v>
      </c>
      <c r="P55" s="129" t="s">
        <v>1418</v>
      </c>
      <c r="Q55" s="116">
        <v>4085365</v>
      </c>
      <c r="R55" s="116">
        <v>6033501079</v>
      </c>
      <c r="S55" s="116">
        <v>9499.06</v>
      </c>
      <c r="T55" s="130">
        <f t="shared" ref="T55" si="118">Q55/S55</f>
        <v>430.08097643345764</v>
      </c>
      <c r="U55" s="85">
        <f t="shared" ref="U55" si="119">Q53+Q54+Q55</f>
        <v>10030093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146282.09090909091</v>
      </c>
      <c r="G56" s="190">
        <f t="shared" ref="G56" si="120">F56/F55-1</f>
        <v>-0.24806622931098954</v>
      </c>
      <c r="H56" s="190">
        <f t="shared" ref="H56" si="121">F56/F44-1</f>
        <v>0.40456160886641501</v>
      </c>
      <c r="I56" s="291">
        <f>T56</f>
        <v>839.22622974759634</v>
      </c>
      <c r="J56" s="130">
        <f t="shared" ref="J56" si="122">I56/I44-1</f>
        <v>0.53813438387832058</v>
      </c>
      <c r="K56" s="136"/>
      <c r="L56" s="190"/>
      <c r="M56" s="190"/>
      <c r="N56" s="191"/>
      <c r="O56" s="192"/>
      <c r="P56" s="129" t="s">
        <v>1420</v>
      </c>
      <c r="Q56" s="116">
        <v>3218206</v>
      </c>
      <c r="R56" s="116">
        <v>4815481148</v>
      </c>
      <c r="S56" s="116">
        <v>3834.73</v>
      </c>
      <c r="T56" s="130">
        <f t="shared" ref="T56" si="123">Q56/S56</f>
        <v>839.22622974759634</v>
      </c>
      <c r="U56" s="85">
        <f t="shared" ref="U56" si="124">Q54+Q55+Q56</f>
        <v>10101278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162888.25</v>
      </c>
      <c r="G57" s="254">
        <f t="shared" ref="G57" si="125">F57/F56-1</f>
        <v>0.11352147749398256</v>
      </c>
      <c r="H57" s="254">
        <f t="shared" ref="H57" si="126">F57/F45-1</f>
        <v>7.2069457210055532E-2</v>
      </c>
      <c r="I57" s="282">
        <f>T57</f>
        <v>859.96189990145012</v>
      </c>
      <c r="J57" s="277">
        <f t="shared" ref="J57" si="127">I57/I45-1</f>
        <v>0.46777994596283623</v>
      </c>
      <c r="K57" s="204"/>
      <c r="L57" s="254"/>
      <c r="M57" s="254"/>
      <c r="N57" s="257"/>
      <c r="O57" s="258"/>
      <c r="P57" s="129" t="s">
        <v>1436</v>
      </c>
      <c r="Q57" s="116">
        <v>1954659</v>
      </c>
      <c r="R57" s="116">
        <v>2881685933</v>
      </c>
      <c r="S57" s="116">
        <v>2272.96</v>
      </c>
      <c r="T57" s="130">
        <f t="shared" ref="T57" si="128">Q57/S57</f>
        <v>859.96189990145012</v>
      </c>
      <c r="U57" s="85">
        <f t="shared" ref="U57" si="129">Q55+Q56+Q57</f>
        <v>9258230</v>
      </c>
      <c r="V57" s="79"/>
      <c r="W57" s="79"/>
      <c r="X57" s="79"/>
      <c r="Y57" s="79"/>
      <c r="Z57" s="79"/>
    </row>
    <row r="58" spans="1:26">
      <c r="B58" s="196">
        <f>SUM(F56:F58)</f>
        <v>309170.34090909094</v>
      </c>
      <c r="C58" s="196">
        <f>AVERAGE(F56:F58)</f>
        <v>154585.17045454547</v>
      </c>
      <c r="D58" s="197">
        <f>C58/C55-1</f>
        <v>-8.883586922164477E-2</v>
      </c>
      <c r="E58" s="233">
        <f>C58/C46-1</f>
        <v>0.16822420268462279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15202958</v>
      </c>
      <c r="R67" s="212">
        <v>22372255781</v>
      </c>
      <c r="S67" s="213">
        <v>24307.200000000001</v>
      </c>
      <c r="T67" s="214">
        <v>82</v>
      </c>
      <c r="U67" s="214">
        <v>205</v>
      </c>
    </row>
    <row r="68" spans="16:21" ht="18" thickBot="1">
      <c r="P68" s="180" t="s">
        <v>976</v>
      </c>
      <c r="Q68" s="181">
        <v>3147021</v>
      </c>
      <c r="R68" s="181">
        <v>4588601749</v>
      </c>
      <c r="S68" s="182">
        <v>3621.32</v>
      </c>
      <c r="T68" s="210">
        <v>36</v>
      </c>
      <c r="U68" s="210">
        <v>78</v>
      </c>
    </row>
    <row r="69" spans="16:21" ht="18" thickBot="1">
      <c r="P69" s="180" t="s">
        <v>977</v>
      </c>
      <c r="Q69" s="181">
        <v>2797707</v>
      </c>
      <c r="R69" s="181">
        <v>4052985872</v>
      </c>
      <c r="S69" s="182">
        <v>5079.12</v>
      </c>
      <c r="T69" s="210">
        <v>29</v>
      </c>
      <c r="U69" s="210">
        <v>63</v>
      </c>
    </row>
    <row r="70" spans="16:21" ht="18" thickBot="1">
      <c r="P70" s="180" t="s">
        <v>978</v>
      </c>
      <c r="Q70" s="181">
        <v>4085365</v>
      </c>
      <c r="R70" s="181">
        <v>6033501079</v>
      </c>
      <c r="S70" s="182">
        <v>9499.06</v>
      </c>
      <c r="T70" s="210">
        <v>40</v>
      </c>
      <c r="U70" s="210">
        <v>71</v>
      </c>
    </row>
    <row r="71" spans="16:21" ht="18" thickBot="1">
      <c r="P71" s="180" t="s">
        <v>979</v>
      </c>
      <c r="Q71" s="181">
        <v>3218206</v>
      </c>
      <c r="R71" s="181">
        <v>4815481148</v>
      </c>
      <c r="S71" s="182">
        <v>3834.73</v>
      </c>
      <c r="T71" s="210">
        <v>36</v>
      </c>
      <c r="U71" s="210">
        <v>71</v>
      </c>
    </row>
    <row r="72" spans="16:21" ht="18" thickBot="1">
      <c r="P72" s="180" t="s">
        <v>980</v>
      </c>
      <c r="Q72" s="181">
        <v>1954659</v>
      </c>
      <c r="R72" s="181">
        <v>2881685933</v>
      </c>
      <c r="S72" s="182">
        <v>2272.96</v>
      </c>
      <c r="T72" s="210">
        <v>25</v>
      </c>
      <c r="U72" s="210">
        <v>46</v>
      </c>
    </row>
    <row r="73" spans="16:21" ht="18" thickBot="1">
      <c r="P73" s="180" t="s">
        <v>975</v>
      </c>
      <c r="Q73" s="181">
        <v>39716176</v>
      </c>
      <c r="R73" s="181">
        <v>56410423363</v>
      </c>
      <c r="S73" s="182">
        <v>72906.34</v>
      </c>
      <c r="T73" s="210">
        <v>152</v>
      </c>
      <c r="U73" s="210">
        <v>492</v>
      </c>
    </row>
    <row r="74" spans="16:21" ht="18" thickBot="1">
      <c r="P74" s="180" t="s">
        <v>982</v>
      </c>
      <c r="Q74" s="181">
        <v>31082509</v>
      </c>
      <c r="R74" s="181">
        <v>42452282578</v>
      </c>
      <c r="S74" s="182">
        <v>93863.039999999994</v>
      </c>
      <c r="T74" s="210">
        <v>156</v>
      </c>
      <c r="U74" s="210">
        <v>444</v>
      </c>
    </row>
    <row r="75" spans="16:21" ht="18" thickBot="1">
      <c r="P75" s="215" t="s">
        <v>1386</v>
      </c>
      <c r="Q75" s="217" t="s">
        <v>1532</v>
      </c>
      <c r="R75"/>
      <c r="S75"/>
      <c r="T75"/>
      <c r="U75"/>
    </row>
  </sheetData>
  <phoneticPr fontId="1" type="noConversion"/>
  <conditionalFormatting sqref="C29:C30">
    <cfRule type="cellIs" dxfId="5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/>
  <dimension ref="A1:Z72"/>
  <sheetViews>
    <sheetView zoomScale="90" zoomScaleNormal="90" workbookViewId="0">
      <selection activeCell="H68" sqref="H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7212501000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324541.15000000002</v>
      </c>
      <c r="G5" s="90"/>
      <c r="H5" s="90"/>
      <c r="I5" s="130">
        <f t="shared" ref="I5:I49" si="0">T5</f>
        <v>2.2759702705505012</v>
      </c>
      <c r="J5" s="130"/>
      <c r="L5" s="80"/>
      <c r="M5" s="80"/>
      <c r="P5" s="129" t="s">
        <v>0</v>
      </c>
      <c r="Q5" s="116">
        <v>6490823</v>
      </c>
      <c r="R5" s="116"/>
      <c r="S5" s="116">
        <v>2851892.7</v>
      </c>
      <c r="T5" s="130">
        <f t="shared" ref="T5:T26" si="1">Q5/S5</f>
        <v>2.2759702705505012</v>
      </c>
      <c r="U5" s="85"/>
    </row>
    <row r="6" spans="1:21" ht="15" hidden="1" customHeight="1">
      <c r="A6" s="129" t="s">
        <v>1</v>
      </c>
      <c r="C6" s="79"/>
      <c r="F6" s="78">
        <f>Q6/18</f>
        <v>478776.72222222225</v>
      </c>
      <c r="G6" s="90">
        <f t="shared" ref="G6:G26" si="2">F6/F5-1</f>
        <v>0.47524195998634444</v>
      </c>
      <c r="H6" s="90"/>
      <c r="I6" s="130">
        <f t="shared" si="0"/>
        <v>2.388419636777054</v>
      </c>
      <c r="J6" s="130"/>
      <c r="P6" s="129" t="s">
        <v>1</v>
      </c>
      <c r="Q6" s="116">
        <v>8617981</v>
      </c>
      <c r="R6" s="116"/>
      <c r="S6" s="116">
        <v>3608235.7</v>
      </c>
      <c r="T6" s="130">
        <f t="shared" si="1"/>
        <v>2.388419636777054</v>
      </c>
      <c r="U6" s="85"/>
    </row>
    <row r="7" spans="1:21" ht="15" hidden="1" customHeight="1">
      <c r="A7" s="129" t="s">
        <v>2</v>
      </c>
      <c r="B7" s="131">
        <f>F5+F6+F7</f>
        <v>1291379.8267676767</v>
      </c>
      <c r="C7" s="131">
        <f>AVERAGE(F5:F7)</f>
        <v>430459.94225589227</v>
      </c>
      <c r="F7" s="78">
        <f>Q7/22</f>
        <v>488061.95454545453</v>
      </c>
      <c r="G7" s="90">
        <f t="shared" si="2"/>
        <v>1.9393658656033264E-2</v>
      </c>
      <c r="H7" s="90"/>
      <c r="I7" s="130">
        <f t="shared" si="0"/>
        <v>2.303169136818036</v>
      </c>
      <c r="J7" s="130"/>
      <c r="K7" s="79">
        <f>R5+R6+R7</f>
        <v>0</v>
      </c>
      <c r="N7" s="88">
        <f>AVERAGE(T5:T7)</f>
        <v>2.322519681381864</v>
      </c>
      <c r="P7" s="129" t="s">
        <v>2</v>
      </c>
      <c r="Q7" s="116">
        <v>10737363</v>
      </c>
      <c r="R7" s="116"/>
      <c r="S7" s="116">
        <v>4661995</v>
      </c>
      <c r="T7" s="130">
        <f t="shared" si="1"/>
        <v>2.303169136818036</v>
      </c>
      <c r="U7" s="85">
        <f>Q5+Q6+Q7</f>
        <v>25846167</v>
      </c>
    </row>
    <row r="8" spans="1:21" ht="15" hidden="1" customHeight="1">
      <c r="A8" s="129" t="s">
        <v>3</v>
      </c>
      <c r="C8" s="79"/>
      <c r="F8" s="78">
        <f>Q8/21</f>
        <v>429712.47619047621</v>
      </c>
      <c r="G8" s="90">
        <f t="shared" si="2"/>
        <v>-0.11955342515751055</v>
      </c>
      <c r="H8" s="90"/>
      <c r="I8" s="130">
        <f t="shared" si="0"/>
        <v>2.4735460482249216</v>
      </c>
      <c r="J8" s="130"/>
      <c r="K8" s="78"/>
      <c r="P8" s="129" t="s">
        <v>3</v>
      </c>
      <c r="Q8" s="116">
        <v>9023962</v>
      </c>
      <c r="R8" s="116"/>
      <c r="S8" s="116">
        <v>3648188.4</v>
      </c>
      <c r="T8" s="130">
        <f t="shared" si="1"/>
        <v>2.4735460482249216</v>
      </c>
      <c r="U8" s="85"/>
    </row>
    <row r="9" spans="1:21" ht="15" hidden="1" customHeight="1">
      <c r="A9" s="129" t="s">
        <v>4</v>
      </c>
      <c r="C9" s="79"/>
      <c r="F9" s="78">
        <f>Q9/21</f>
        <v>571104.61904761905</v>
      </c>
      <c r="G9" s="90">
        <f t="shared" si="2"/>
        <v>0.32903895207005518</v>
      </c>
      <c r="H9" s="90"/>
      <c r="I9" s="130">
        <f t="shared" si="0"/>
        <v>2.5167231438910358</v>
      </c>
      <c r="J9" s="130"/>
      <c r="K9" s="78"/>
      <c r="P9" s="129" t="s">
        <v>4</v>
      </c>
      <c r="Q9" s="116">
        <v>11993197</v>
      </c>
      <c r="R9" s="116"/>
      <c r="S9" s="116">
        <v>4765401.8</v>
      </c>
      <c r="T9" s="130">
        <f t="shared" si="1"/>
        <v>2.5167231438910358</v>
      </c>
      <c r="U9" s="85"/>
    </row>
    <row r="10" spans="1:21" ht="15" hidden="1" customHeight="1">
      <c r="A10" s="129" t="s">
        <v>5</v>
      </c>
      <c r="B10" s="131">
        <f>F8+F9+F10</f>
        <v>1481574.7619047619</v>
      </c>
      <c r="C10" s="131">
        <f>AVERAGE(F8:F10)</f>
        <v>493858.25396825396</v>
      </c>
      <c r="D10" s="90">
        <f>C10/C7-1</f>
        <v>0.14728039821803862</v>
      </c>
      <c r="E10" s="286"/>
      <c r="F10" s="78">
        <f>Q10/21</f>
        <v>480757.66666666669</v>
      </c>
      <c r="G10" s="90">
        <f t="shared" si="2"/>
        <v>-0.15819685109816839</v>
      </c>
      <c r="H10" s="90"/>
      <c r="I10" s="130">
        <f t="shared" si="0"/>
        <v>2.5502676945831491</v>
      </c>
      <c r="J10" s="130"/>
      <c r="K10" s="79">
        <f>R8+R9+R10</f>
        <v>0</v>
      </c>
      <c r="L10" s="87">
        <f>U10/U7-1</f>
        <v>0.20377888141015266</v>
      </c>
      <c r="N10" s="88">
        <f>AVERAGE(T8:T10)</f>
        <v>2.5135122955663687</v>
      </c>
      <c r="O10" s="89">
        <f>N10/N7-1</f>
        <v>8.223508963802062E-2</v>
      </c>
      <c r="P10" s="129" t="s">
        <v>5</v>
      </c>
      <c r="Q10" s="116">
        <v>10095911</v>
      </c>
      <c r="R10" s="116"/>
      <c r="S10" s="116">
        <v>3958765.2</v>
      </c>
      <c r="T10" s="130">
        <f t="shared" si="1"/>
        <v>2.5502676945831491</v>
      </c>
      <c r="U10" s="85">
        <f>Q8+Q9+Q10</f>
        <v>31113070</v>
      </c>
    </row>
    <row r="11" spans="1:21" ht="15" hidden="1" customHeight="1">
      <c r="A11" s="129" t="s">
        <v>6</v>
      </c>
      <c r="C11" s="79"/>
      <c r="F11" s="78">
        <f>Q11/21</f>
        <v>515553.23809523811</v>
      </c>
      <c r="G11" s="90">
        <f t="shared" si="2"/>
        <v>7.2376529468217266E-2</v>
      </c>
      <c r="H11" s="90"/>
      <c r="I11" s="130">
        <f t="shared" si="0"/>
        <v>2.4940955209859155</v>
      </c>
      <c r="J11" s="130"/>
      <c r="K11" s="78"/>
      <c r="O11" s="89"/>
      <c r="P11" s="129" t="s">
        <v>6</v>
      </c>
      <c r="Q11" s="116">
        <v>10826618</v>
      </c>
      <c r="R11" s="116"/>
      <c r="S11" s="116">
        <v>4340899.5</v>
      </c>
      <c r="T11" s="130">
        <f t="shared" si="1"/>
        <v>2.4940955209859155</v>
      </c>
      <c r="U11" s="85"/>
    </row>
    <row r="12" spans="1:21" ht="15" hidden="1" customHeight="1">
      <c r="A12" s="129" t="s">
        <v>7</v>
      </c>
      <c r="C12" s="79"/>
      <c r="F12" s="78">
        <f>Q12/22</f>
        <v>452472</v>
      </c>
      <c r="G12" s="90">
        <f t="shared" si="2"/>
        <v>-0.12235639975475265</v>
      </c>
      <c r="H12" s="90"/>
      <c r="I12" s="130">
        <f t="shared" si="0"/>
        <v>2.4198728217973655</v>
      </c>
      <c r="J12" s="130"/>
      <c r="K12" s="78"/>
      <c r="O12" s="89"/>
      <c r="P12" s="129" t="s">
        <v>7</v>
      </c>
      <c r="Q12" s="116">
        <v>9954384</v>
      </c>
      <c r="R12" s="116"/>
      <c r="S12" s="116">
        <v>4113598</v>
      </c>
      <c r="T12" s="130">
        <f t="shared" si="1"/>
        <v>2.4198728217973655</v>
      </c>
      <c r="U12" s="85"/>
    </row>
    <row r="13" spans="1:21" ht="15" hidden="1" customHeight="1">
      <c r="A13" s="129" t="s">
        <v>96</v>
      </c>
      <c r="B13" s="131">
        <f>F11+F12+F13</f>
        <v>1286853.2880952382</v>
      </c>
      <c r="C13" s="131">
        <f>AVERAGE(F11:F13)</f>
        <v>428951.09603174607</v>
      </c>
      <c r="D13" s="90">
        <f>C13/C10-1</f>
        <v>-0.13142871950598245</v>
      </c>
      <c r="E13" s="286"/>
      <c r="F13" s="78">
        <f>Q13/20</f>
        <v>318828.05</v>
      </c>
      <c r="G13" s="90">
        <f t="shared" si="2"/>
        <v>-0.2953640225251507</v>
      </c>
      <c r="H13" s="90"/>
      <c r="I13" s="130">
        <f t="shared" si="0"/>
        <v>2.4106048966963707</v>
      </c>
      <c r="J13" s="130"/>
      <c r="K13" s="78">
        <f>R11+R12+R13</f>
        <v>0</v>
      </c>
      <c r="L13" s="87">
        <f>U13/U10-1</f>
        <v>-0.12713329157167708</v>
      </c>
      <c r="N13" s="88">
        <f>AVERAGE(T11:T13)</f>
        <v>2.4415244131598839</v>
      </c>
      <c r="O13" s="89">
        <f>N13/N10-1</f>
        <v>-2.8640354190216488E-2</v>
      </c>
      <c r="P13" s="129" t="s">
        <v>96</v>
      </c>
      <c r="Q13" s="116">
        <v>6376561</v>
      </c>
      <c r="R13" s="116"/>
      <c r="S13" s="116">
        <v>2645212</v>
      </c>
      <c r="T13" s="130">
        <f t="shared" si="1"/>
        <v>2.4106048966963707</v>
      </c>
      <c r="U13" s="85">
        <f>Q11+Q12+Q13</f>
        <v>27157563</v>
      </c>
    </row>
    <row r="14" spans="1:21" ht="15" hidden="1" customHeight="1">
      <c r="A14" s="129" t="s">
        <v>97</v>
      </c>
      <c r="C14" s="79"/>
      <c r="F14" s="78">
        <f>Q14/20</f>
        <v>572083</v>
      </c>
      <c r="G14" s="90">
        <f t="shared" si="2"/>
        <v>0.794330831305464</v>
      </c>
      <c r="H14" s="90"/>
      <c r="I14" s="130">
        <f t="shared" si="0"/>
        <v>2.3544096850147822</v>
      </c>
      <c r="J14" s="130"/>
      <c r="O14" s="89"/>
      <c r="P14" s="129" t="s">
        <v>97</v>
      </c>
      <c r="Q14" s="116">
        <v>11441660</v>
      </c>
      <c r="R14" s="116"/>
      <c r="S14" s="116">
        <v>4859672.5</v>
      </c>
      <c r="T14" s="130">
        <f t="shared" si="1"/>
        <v>2.3544096850147822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375191.86363636365</v>
      </c>
      <c r="G15" s="90">
        <f t="shared" si="2"/>
        <v>-0.34416533328841503</v>
      </c>
      <c r="H15" s="90"/>
      <c r="I15" s="130">
        <f t="shared" si="0"/>
        <v>2.3040488121472542</v>
      </c>
      <c r="J15" s="130"/>
      <c r="O15" s="89"/>
      <c r="P15" s="129" t="s">
        <v>98</v>
      </c>
      <c r="Q15" s="116">
        <v>8254221</v>
      </c>
      <c r="R15" s="116"/>
      <c r="S15" s="116">
        <v>3582485.3</v>
      </c>
      <c r="T15" s="130">
        <f t="shared" si="1"/>
        <v>2.3040488121472542</v>
      </c>
      <c r="U15" s="78"/>
    </row>
    <row r="16" spans="1:21" ht="15" hidden="1" customHeight="1">
      <c r="A16" s="129" t="s">
        <v>99</v>
      </c>
      <c r="B16" s="131">
        <f>F14+F15+F16</f>
        <v>1498671.3181818184</v>
      </c>
      <c r="C16" s="131">
        <f>AVERAGE(F14:F16)</f>
        <v>499557.10606060614</v>
      </c>
      <c r="D16" s="90">
        <f>C16/C13-1</f>
        <v>0.16460153775579722</v>
      </c>
      <c r="E16" s="286"/>
      <c r="F16" s="78">
        <f>Q16/22</f>
        <v>551396.45454545459</v>
      </c>
      <c r="G16" s="90">
        <f t="shared" si="2"/>
        <v>0.46963862489264585</v>
      </c>
      <c r="H16" s="90"/>
      <c r="I16" s="130">
        <f t="shared" si="0"/>
        <v>2.3036179556427068</v>
      </c>
      <c r="J16" s="130"/>
      <c r="K16" s="78">
        <f>R14+R15+R16</f>
        <v>0</v>
      </c>
      <c r="L16" s="87">
        <f>U16/U13-1</f>
        <v>0.17192411557693887</v>
      </c>
      <c r="N16" s="88">
        <f>AVERAGE(T14:T16)</f>
        <v>2.3206921509349141</v>
      </c>
      <c r="O16" s="89">
        <f>N16/N13-1</f>
        <v>-4.9490499285479439E-2</v>
      </c>
      <c r="P16" s="129" t="s">
        <v>99</v>
      </c>
      <c r="Q16" s="116">
        <v>12130722</v>
      </c>
      <c r="R16" s="116"/>
      <c r="S16" s="116">
        <v>5265943.5</v>
      </c>
      <c r="T16" s="130">
        <f t="shared" si="1"/>
        <v>2.3036179556427068</v>
      </c>
      <c r="U16" s="85">
        <f>Q14+Q15+Q16</f>
        <v>31826603</v>
      </c>
    </row>
    <row r="17" spans="1:21" ht="15" hidden="1" customHeight="1">
      <c r="A17" s="129" t="s">
        <v>100</v>
      </c>
      <c r="C17" s="79"/>
      <c r="F17" s="78">
        <f>Q17/20</f>
        <v>531557</v>
      </c>
      <c r="G17" s="90">
        <f t="shared" si="2"/>
        <v>-3.5980381052339694E-2</v>
      </c>
      <c r="H17" s="90">
        <f t="shared" ref="H17:H26" si="3">F17/F5-1</f>
        <v>0.63787242388214849</v>
      </c>
      <c r="I17" s="130">
        <f t="shared" si="0"/>
        <v>2.4151901944614833</v>
      </c>
      <c r="J17" s="130">
        <f t="shared" ref="J17:J49" si="4">I17/I5-1</f>
        <v>6.1169482621276972E-2</v>
      </c>
      <c r="O17" s="89"/>
      <c r="P17" s="129" t="s">
        <v>100</v>
      </c>
      <c r="Q17" s="116">
        <v>10631140</v>
      </c>
      <c r="R17" s="116">
        <v>13341533155</v>
      </c>
      <c r="S17" s="116">
        <v>4401781.7</v>
      </c>
      <c r="T17" s="130">
        <f t="shared" si="1"/>
        <v>2.4151901944614833</v>
      </c>
      <c r="U17" s="78"/>
    </row>
    <row r="18" spans="1:21" hidden="1">
      <c r="A18" s="129" t="s">
        <v>106</v>
      </c>
      <c r="C18" s="79"/>
      <c r="F18" s="78">
        <f>Q18/20</f>
        <v>532254.55000000005</v>
      </c>
      <c r="G18" s="90">
        <f t="shared" si="2"/>
        <v>1.3122769524247513E-3</v>
      </c>
      <c r="H18" s="90">
        <f t="shared" si="3"/>
        <v>0.11169679998134141</v>
      </c>
      <c r="I18" s="130">
        <f t="shared" si="0"/>
        <v>2.3834345883220092</v>
      </c>
      <c r="J18" s="130">
        <f t="shared" si="4"/>
        <v>-2.0871744555625016E-3</v>
      </c>
      <c r="O18" s="89"/>
      <c r="P18" s="129" t="s">
        <v>106</v>
      </c>
      <c r="Q18" s="116">
        <v>10645091</v>
      </c>
      <c r="R18" s="116">
        <v>13337583739</v>
      </c>
      <c r="S18" s="116">
        <v>4466282</v>
      </c>
      <c r="T18" s="130">
        <f t="shared" si="1"/>
        <v>2.3834345883220092</v>
      </c>
      <c r="U18" s="78"/>
    </row>
    <row r="19" spans="1:21" hidden="1">
      <c r="A19" s="129" t="s">
        <v>114</v>
      </c>
      <c r="B19" s="131">
        <f>SUM(F17:F19)</f>
        <v>1535417.7318181819</v>
      </c>
      <c r="C19" s="131">
        <f>AVERAGE(F17:F19)</f>
        <v>511805.91060606064</v>
      </c>
      <c r="D19" s="90">
        <f>C19/C16-1</f>
        <v>2.4519328014460218E-2</v>
      </c>
      <c r="E19" s="286">
        <f>C19/C7-1</f>
        <v>0.18897453715173174</v>
      </c>
      <c r="F19" s="78">
        <f>Q19/22</f>
        <v>471606.18181818182</v>
      </c>
      <c r="G19" s="90">
        <f t="shared" si="2"/>
        <v>-0.11394617139828722</v>
      </c>
      <c r="H19" s="90">
        <f t="shared" si="3"/>
        <v>-3.3716565231146522E-2</v>
      </c>
      <c r="I19" s="130">
        <f t="shared" si="0"/>
        <v>2.3663326493884136</v>
      </c>
      <c r="J19" s="130">
        <f t="shared" si="4"/>
        <v>2.7424608796921213E-2</v>
      </c>
      <c r="K19" s="78">
        <f>R17+R18+R19</f>
        <v>40243195131</v>
      </c>
      <c r="L19" s="87">
        <f>U19/U16-1</f>
        <v>-5.4996758529334278E-3</v>
      </c>
      <c r="M19" s="87">
        <f>U19/U7-1</f>
        <v>0.22461357616392408</v>
      </c>
      <c r="N19" s="88">
        <f>AVERAGE(T17:T19)</f>
        <v>2.3883191440573022</v>
      </c>
      <c r="O19" s="89">
        <f>N19/N16-1</f>
        <v>2.914087208643501E-2</v>
      </c>
      <c r="P19" s="129" t="s">
        <v>115</v>
      </c>
      <c r="Q19" s="116">
        <v>10375336</v>
      </c>
      <c r="R19" s="116">
        <v>13564078237</v>
      </c>
      <c r="S19" s="116">
        <v>4384563.5999999996</v>
      </c>
      <c r="T19" s="130">
        <f t="shared" si="1"/>
        <v>2.3663326493884136</v>
      </c>
      <c r="U19" s="85">
        <f>Q17+Q18+Q19</f>
        <v>31651567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502505.3</v>
      </c>
      <c r="G20" s="90">
        <f t="shared" si="2"/>
        <v>6.5518899821654042E-2</v>
      </c>
      <c r="H20" s="90">
        <f t="shared" si="3"/>
        <v>0.16939890704326976</v>
      </c>
      <c r="I20" s="130">
        <f t="shared" si="0"/>
        <v>2.4378376748581272</v>
      </c>
      <c r="J20" s="130">
        <f t="shared" si="4"/>
        <v>-1.44361061692867E-2</v>
      </c>
      <c r="O20" s="89"/>
      <c r="P20" s="129" t="s">
        <v>132</v>
      </c>
      <c r="Q20" s="116">
        <v>10050106</v>
      </c>
      <c r="R20" s="116">
        <v>13177332681</v>
      </c>
      <c r="S20" s="116">
        <v>4122549.3</v>
      </c>
      <c r="T20" s="130">
        <f t="shared" si="1"/>
        <v>2.4378376748581272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440157.14285714284</v>
      </c>
      <c r="G21" s="90">
        <f t="shared" si="2"/>
        <v>-0.12407462596485475</v>
      </c>
      <c r="H21" s="90">
        <f t="shared" si="3"/>
        <v>-0.22928807056200284</v>
      </c>
      <c r="I21" s="130">
        <f t="shared" si="0"/>
        <v>2.5077327388981487</v>
      </c>
      <c r="J21" s="130">
        <f t="shared" si="4"/>
        <v>-3.5722661885594365E-3</v>
      </c>
      <c r="O21" s="89"/>
      <c r="P21" s="129" t="s">
        <v>141</v>
      </c>
      <c r="Q21" s="116">
        <v>9243300</v>
      </c>
      <c r="R21" s="116">
        <v>12319845136</v>
      </c>
      <c r="S21" s="116">
        <v>3685919.1</v>
      </c>
      <c r="T21" s="130">
        <f t="shared" si="1"/>
        <v>2.5077327388981487</v>
      </c>
      <c r="U21" s="78"/>
    </row>
    <row r="22" spans="1:21" hidden="1">
      <c r="A22" s="129" t="s">
        <v>156</v>
      </c>
      <c r="B22" s="131">
        <f>SUM(F20:F22)</f>
        <v>1424233.9666666666</v>
      </c>
      <c r="C22" s="131">
        <f>AVERAGE(F20:F22)</f>
        <v>474744.65555555554</v>
      </c>
      <c r="D22" s="90">
        <f>C22/C19-1</f>
        <v>-7.2412714043529891E-2</v>
      </c>
      <c r="E22" s="286">
        <f>C22/C10-1</f>
        <v>-3.8702599904156032E-2</v>
      </c>
      <c r="F22" s="78">
        <f>Q22/21</f>
        <v>481571.52380952379</v>
      </c>
      <c r="G22" s="90">
        <f t="shared" si="2"/>
        <v>9.4089989505912408E-2</v>
      </c>
      <c r="H22" s="90">
        <f t="shared" si="3"/>
        <v>1.6928635761546129E-3</v>
      </c>
      <c r="I22" s="130">
        <f t="shared" si="0"/>
        <v>2.3732442583810047</v>
      </c>
      <c r="J22" s="130">
        <f t="shared" si="4"/>
        <v>-6.941366844670771E-2</v>
      </c>
      <c r="K22" s="78">
        <f>R20+R21+R22</f>
        <v>38629475418</v>
      </c>
      <c r="L22" s="87">
        <f>U22/U19-1</f>
        <v>-7.0933581266292456E-2</v>
      </c>
      <c r="M22" s="87">
        <f>U22/U10-1</f>
        <v>-5.4853539043238086E-2</v>
      </c>
      <c r="N22" s="88">
        <f>AVERAGE(T20:T22)</f>
        <v>2.439604890712427</v>
      </c>
      <c r="O22" s="89">
        <f>N22/N19-1</f>
        <v>2.1473573489010356E-2</v>
      </c>
      <c r="P22" s="129" t="s">
        <v>156</v>
      </c>
      <c r="Q22" s="116">
        <v>10113002</v>
      </c>
      <c r="R22" s="116">
        <v>13132297601</v>
      </c>
      <c r="S22" s="116">
        <v>4261256.28</v>
      </c>
      <c r="T22" s="130">
        <f t="shared" si="1"/>
        <v>2.3732442583810047</v>
      </c>
      <c r="U22" s="85">
        <f>Q20+Q21+Q22</f>
        <v>29406408</v>
      </c>
    </row>
    <row r="23" spans="1:21" hidden="1">
      <c r="A23" s="129" t="s">
        <v>189</v>
      </c>
      <c r="B23" s="131"/>
      <c r="C23" s="131"/>
      <c r="F23" s="78">
        <f>Q23/21</f>
        <v>322337.61904761905</v>
      </c>
      <c r="G23" s="90">
        <f t="shared" si="2"/>
        <v>-0.33065473535949064</v>
      </c>
      <c r="H23" s="90">
        <f t="shared" si="3"/>
        <v>-0.37477335951079094</v>
      </c>
      <c r="I23" s="130">
        <f t="shared" si="0"/>
        <v>2.4614998039990024</v>
      </c>
      <c r="J23" s="130">
        <f t="shared" si="4"/>
        <v>-1.3069153411585432E-2</v>
      </c>
      <c r="O23" s="89"/>
      <c r="P23" s="129" t="s">
        <v>189</v>
      </c>
      <c r="Q23" s="116">
        <v>6769090</v>
      </c>
      <c r="R23" s="116">
        <v>8766190047</v>
      </c>
      <c r="S23" s="116">
        <v>2749986</v>
      </c>
      <c r="T23" s="130">
        <f t="shared" si="1"/>
        <v>2.4614998039990024</v>
      </c>
      <c r="U23" s="78"/>
    </row>
    <row r="24" spans="1:21" hidden="1">
      <c r="A24" s="129" t="s">
        <v>204</v>
      </c>
      <c r="B24" s="131"/>
      <c r="C24" s="131"/>
      <c r="F24" s="78">
        <f>Q24/22</f>
        <v>298163.13636363635</v>
      </c>
      <c r="G24" s="90">
        <f t="shared" si="2"/>
        <v>-7.4997397931426013E-2</v>
      </c>
      <c r="H24" s="90">
        <f t="shared" si="3"/>
        <v>-0.34103516601328621</v>
      </c>
      <c r="I24" s="130">
        <f t="shared" si="0"/>
        <v>2.3928543287841935</v>
      </c>
      <c r="J24" s="130">
        <f t="shared" si="4"/>
        <v>-1.1165253301660738E-2</v>
      </c>
      <c r="O24" s="89"/>
      <c r="P24" s="129" t="s">
        <v>204</v>
      </c>
      <c r="Q24" s="116">
        <v>6559589</v>
      </c>
      <c r="R24" s="116">
        <v>8635876274</v>
      </c>
      <c r="S24" s="116">
        <v>2741324</v>
      </c>
      <c r="T24" s="130">
        <f t="shared" si="1"/>
        <v>2.3928543287841935</v>
      </c>
      <c r="U24" s="78"/>
    </row>
    <row r="25" spans="1:21" s="79" customFormat="1" ht="13.2" hidden="1">
      <c r="A25" s="129" t="s">
        <v>219</v>
      </c>
      <c r="B25" s="131">
        <f>SUM(F23:F25)</f>
        <v>985650.38699020282</v>
      </c>
      <c r="C25" s="131">
        <f>AVERAGE(F23:F25)</f>
        <v>328550.12899673427</v>
      </c>
      <c r="D25" s="90">
        <f>C25/C22-1</f>
        <v>-0.3079434909862051</v>
      </c>
      <c r="E25" s="286">
        <f>C25/C13-1</f>
        <v>-0.23406157010397577</v>
      </c>
      <c r="F25" s="78">
        <f>Q25/19</f>
        <v>365149.63157894736</v>
      </c>
      <c r="G25" s="90">
        <f t="shared" si="2"/>
        <v>0.22466390725651286</v>
      </c>
      <c r="H25" s="90">
        <f t="shared" si="3"/>
        <v>0.14528703349328076</v>
      </c>
      <c r="I25" s="130">
        <f t="shared" si="0"/>
        <v>2.340578788505467</v>
      </c>
      <c r="J25" s="130">
        <f t="shared" si="4"/>
        <v>-2.9049185242621678E-2</v>
      </c>
      <c r="K25" s="78">
        <f>R23+R24+R25</f>
        <v>26614985708</v>
      </c>
      <c r="L25" s="90">
        <f>U25/U22-1</f>
        <v>-0.31081273170119927</v>
      </c>
      <c r="M25" s="90">
        <f>U25/U13-1</f>
        <v>-0.25374298128296713</v>
      </c>
      <c r="N25" s="88">
        <f>AVERAGE(T23:T25)</f>
        <v>2.3983109737628876</v>
      </c>
      <c r="O25" s="91">
        <f>N25/N22-1</f>
        <v>-1.6926477359815673E-2</v>
      </c>
      <c r="P25" s="129" t="s">
        <v>219</v>
      </c>
      <c r="Q25" s="116">
        <v>6937843</v>
      </c>
      <c r="R25" s="116">
        <v>9212919387</v>
      </c>
      <c r="S25" s="116">
        <v>2964157</v>
      </c>
      <c r="T25" s="130">
        <f t="shared" si="1"/>
        <v>2.340578788505467</v>
      </c>
      <c r="U25" s="85">
        <f>Q23+Q24+Q25</f>
        <v>20266522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378175.21052631579</v>
      </c>
      <c r="G26" s="90">
        <f t="shared" si="2"/>
        <v>3.5671893987800019E-2</v>
      </c>
      <c r="H26" s="90">
        <f t="shared" si="3"/>
        <v>-0.33895044857771373</v>
      </c>
      <c r="I26" s="130">
        <f t="shared" si="0"/>
        <v>2.307491151008024</v>
      </c>
      <c r="J26" s="130">
        <f t="shared" si="4"/>
        <v>-1.9927939604301947E-2</v>
      </c>
      <c r="L26" s="90"/>
      <c r="M26" s="90"/>
      <c r="P26" s="129" t="s">
        <v>312</v>
      </c>
      <c r="Q26" s="116">
        <v>7185329</v>
      </c>
      <c r="R26" s="116">
        <v>9687092720</v>
      </c>
      <c r="S26" s="116">
        <v>3113914</v>
      </c>
      <c r="T26" s="130">
        <f t="shared" si="1"/>
        <v>2.307491151008024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406099.59090909088</v>
      </c>
      <c r="G27" s="90">
        <f t="shared" ref="G27" si="5">F27/F26-1</f>
        <v>7.3839795961009758E-2</v>
      </c>
      <c r="H27" s="90">
        <f t="shared" ref="H27" si="6">F27/F15-1</f>
        <v>8.2378458245787156E-2</v>
      </c>
      <c r="I27" s="130">
        <f t="shared" si="0"/>
        <v>2.3356749259253422</v>
      </c>
      <c r="J27" s="130">
        <f t="shared" si="4"/>
        <v>1.3726321079375881E-2</v>
      </c>
      <c r="L27" s="90"/>
      <c r="M27" s="90"/>
      <c r="P27" s="129" t="s">
        <v>397</v>
      </c>
      <c r="Q27" s="116">
        <v>8934191</v>
      </c>
      <c r="R27" s="116">
        <v>11781480789</v>
      </c>
      <c r="S27" s="116">
        <v>3825100.36</v>
      </c>
      <c r="T27" s="130">
        <f t="shared" ref="T27" si="7">Q27/S27</f>
        <v>2.3356749259253422</v>
      </c>
      <c r="U27" s="78"/>
    </row>
    <row r="28" spans="1:21" s="79" customFormat="1" ht="13.2" hidden="1">
      <c r="A28" s="123" t="s">
        <v>414</v>
      </c>
      <c r="B28" s="131">
        <f>SUM(F26:F28)</f>
        <v>1299314.1172248805</v>
      </c>
      <c r="C28" s="131">
        <f>AVERAGE(F26:F28)</f>
        <v>433104.70574162685</v>
      </c>
      <c r="D28" s="90">
        <f>C28/C25-1</f>
        <v>0.31823021060488399</v>
      </c>
      <c r="E28" s="286">
        <f>C28/C16-1</f>
        <v>-0.13302263047163476</v>
      </c>
      <c r="F28" s="78">
        <f>Q28/19</f>
        <v>515039.31578947371</v>
      </c>
      <c r="G28" s="90">
        <f t="shared" ref="G28" si="8">F28/F27-1</f>
        <v>0.26825864226189289</v>
      </c>
      <c r="H28" s="90">
        <f t="shared" ref="H28" si="9">F28/F16-1</f>
        <v>-6.5936475391289884E-2</v>
      </c>
      <c r="I28" s="130">
        <f t="shared" si="0"/>
        <v>2.3152450668401752</v>
      </c>
      <c r="J28" s="130">
        <f t="shared" si="4"/>
        <v>5.0473261718539941E-3</v>
      </c>
      <c r="K28" s="78">
        <f>R26+R27+R28</f>
        <v>34237868965</v>
      </c>
      <c r="L28" s="90">
        <f>U28/U25-1</f>
        <v>0.27822953538845985</v>
      </c>
      <c r="M28" s="90">
        <f>U28/U16-1</f>
        <v>-0.1860498904014356</v>
      </c>
      <c r="N28" s="88">
        <f>AVERAGE(T26:T28)</f>
        <v>2.319470381257847</v>
      </c>
      <c r="O28" s="91">
        <f>N28/N25-1</f>
        <v>-3.2873381878973706E-2</v>
      </c>
      <c r="P28" s="129" t="s">
        <v>414</v>
      </c>
      <c r="Q28" s="116">
        <v>9785747</v>
      </c>
      <c r="R28" s="116">
        <v>12769295456</v>
      </c>
      <c r="S28" s="116">
        <v>4226657.0999999996</v>
      </c>
      <c r="T28" s="130">
        <f t="shared" ref="T28" si="10">Q28/S28</f>
        <v>2.3152450668401752</v>
      </c>
      <c r="U28" s="85">
        <f>Q26+Q27+Q28</f>
        <v>25905267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460942.63636363635</v>
      </c>
      <c r="G29" s="190">
        <f t="shared" ref="G29" si="11">F29/F28-1</f>
        <v>-0.10503407753040317</v>
      </c>
      <c r="H29" s="190">
        <f t="shared" ref="H29" si="12">F29/F17-1</f>
        <v>-0.13284438665347953</v>
      </c>
      <c r="I29" s="130">
        <f t="shared" si="0"/>
        <v>2.2565708329538348</v>
      </c>
      <c r="J29" s="130">
        <f t="shared" si="4"/>
        <v>-6.5675722711774243E-2</v>
      </c>
      <c r="K29" s="136"/>
      <c r="L29" s="190"/>
      <c r="M29" s="190"/>
      <c r="N29" s="191"/>
      <c r="O29" s="192"/>
      <c r="P29" s="129" t="s">
        <v>427</v>
      </c>
      <c r="Q29" s="116">
        <v>10140738</v>
      </c>
      <c r="R29" s="116">
        <v>13327170031</v>
      </c>
      <c r="S29" s="116">
        <v>4493870.9000000004</v>
      </c>
      <c r="T29" s="130">
        <f t="shared" ref="T29" si="13">Q29/S29</f>
        <v>2.2565708329538348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362790.21052631579</v>
      </c>
      <c r="G30" s="190">
        <f t="shared" ref="G30" si="14">F30/F29-1</f>
        <v>-0.2129384832170057</v>
      </c>
      <c r="H30" s="190">
        <f t="shared" ref="H30" si="15">F30/F18-1</f>
        <v>-0.31838964922645419</v>
      </c>
      <c r="I30" s="130">
        <f t="shared" si="0"/>
        <v>2.2929824135957713</v>
      </c>
      <c r="J30" s="130">
        <f t="shared" si="4"/>
        <v>-3.7950349117790605E-2</v>
      </c>
      <c r="K30" s="136"/>
      <c r="L30" s="190"/>
      <c r="M30" s="190"/>
      <c r="N30" s="191"/>
      <c r="O30" s="192"/>
      <c r="P30" s="129" t="s">
        <v>466</v>
      </c>
      <c r="Q30" s="116">
        <v>6893014</v>
      </c>
      <c r="R30" s="116">
        <v>9186257619</v>
      </c>
      <c r="S30" s="116">
        <v>3006134.7</v>
      </c>
      <c r="T30" s="130">
        <f t="shared" ref="T30" si="16">Q30/S30</f>
        <v>2.2929824135957713</v>
      </c>
      <c r="U30" s="85"/>
    </row>
    <row r="31" spans="1:21" s="79" customFormat="1" ht="13.2" hidden="1">
      <c r="A31" s="129" t="s">
        <v>505</v>
      </c>
      <c r="B31" s="188">
        <f>SUM(F29:F31)</f>
        <v>1195052.3468899522</v>
      </c>
      <c r="C31" s="188">
        <f>AVERAGE(F29:F31)</f>
        <v>398350.78229665075</v>
      </c>
      <c r="D31" s="190">
        <f>C31/C28-1</f>
        <v>-8.02436985427466E-2</v>
      </c>
      <c r="E31" s="287">
        <f>C31/C19-1</f>
        <v>-0.22167608063584254</v>
      </c>
      <c r="F31" s="136">
        <f>Q31/20</f>
        <v>371319.5</v>
      </c>
      <c r="G31" s="190">
        <f t="shared" ref="G31" si="17">F31/F30-1</f>
        <v>2.3510252554252764E-2</v>
      </c>
      <c r="H31" s="190">
        <f t="shared" ref="H31" si="18">F31/F19-1</f>
        <v>-0.21264920962559675</v>
      </c>
      <c r="I31" s="130">
        <f t="shared" si="0"/>
        <v>2.2776904817994761</v>
      </c>
      <c r="J31" s="130">
        <f t="shared" si="4"/>
        <v>-3.7459723852370175E-2</v>
      </c>
      <c r="K31" s="136">
        <f>R29+R30+R31</f>
        <v>32371227847</v>
      </c>
      <c r="L31" s="190">
        <f>U31/U28-1</f>
        <v>-5.5784987662933605E-2</v>
      </c>
      <c r="M31" s="190">
        <f>U31/U19-1</f>
        <v>-0.22720597056063607</v>
      </c>
      <c r="N31" s="191">
        <f>AVERAGE(T29:T31)</f>
        <v>2.2757479094496937</v>
      </c>
      <c r="O31" s="192">
        <f>N31/N28-1</f>
        <v>-1.8850196217829129E-2</v>
      </c>
      <c r="P31" s="129" t="s">
        <v>505</v>
      </c>
      <c r="Q31" s="116">
        <v>7426390</v>
      </c>
      <c r="R31" s="116">
        <v>9857800197</v>
      </c>
      <c r="S31" s="116">
        <v>3260491.3</v>
      </c>
      <c r="T31" s="130">
        <f t="shared" ref="T31" si="19">Q31/S31</f>
        <v>2.2776904817994761</v>
      </c>
      <c r="U31" s="85">
        <f>Q29+Q30+Q31</f>
        <v>24460142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391014.23809523811</v>
      </c>
      <c r="G32" s="190">
        <f t="shared" ref="G32" si="20">F32/F31-1</f>
        <v>5.3039870233688502E-2</v>
      </c>
      <c r="H32" s="190">
        <f t="shared" ref="H32" si="21">F32/F20-1</f>
        <v>-0.22187041988365475</v>
      </c>
      <c r="I32" s="130">
        <f t="shared" si="0"/>
        <v>2.2431706804692264</v>
      </c>
      <c r="J32" s="130">
        <f t="shared" si="4"/>
        <v>-7.9852320109963681E-2</v>
      </c>
      <c r="K32" s="136"/>
      <c r="L32" s="190"/>
      <c r="M32" s="190"/>
      <c r="N32" s="191"/>
      <c r="O32" s="192"/>
      <c r="P32" s="129" t="s">
        <v>562</v>
      </c>
      <c r="Q32" s="116">
        <v>8211299</v>
      </c>
      <c r="R32" s="116">
        <v>11164643029</v>
      </c>
      <c r="S32" s="116">
        <v>3660577</v>
      </c>
      <c r="T32" s="130">
        <f t="shared" ref="T32" si="22">Q32/S32</f>
        <v>2.2431706804692264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498879.71428571426</v>
      </c>
      <c r="G33" s="190">
        <f t="shared" ref="G33" si="23">F33/F32-1</f>
        <v>0.27586073774685338</v>
      </c>
      <c r="H33" s="190">
        <f t="shared" ref="H33" si="24">F33/F21-1</f>
        <v>0.13341274220246024</v>
      </c>
      <c r="I33" s="130">
        <f t="shared" si="0"/>
        <v>2.2514445470829769</v>
      </c>
      <c r="J33" s="130">
        <f t="shared" si="4"/>
        <v>-0.10219916494282399</v>
      </c>
      <c r="K33" s="136"/>
      <c r="L33" s="190"/>
      <c r="M33" s="190"/>
      <c r="N33" s="191"/>
      <c r="O33" s="192"/>
      <c r="P33" s="129" t="s">
        <v>620</v>
      </c>
      <c r="Q33" s="116">
        <v>10476474</v>
      </c>
      <c r="R33" s="116">
        <v>14343342770</v>
      </c>
      <c r="S33" s="116">
        <v>4653223.2</v>
      </c>
      <c r="T33" s="130">
        <f t="shared" ref="T33" si="25">Q33/S33</f>
        <v>2.2514445470829769</v>
      </c>
      <c r="U33" s="85"/>
    </row>
    <row r="34" spans="1:21" s="79" customFormat="1" ht="13.2" hidden="1">
      <c r="A34" s="129" t="s">
        <v>652</v>
      </c>
      <c r="B34" s="188">
        <f>SUM(F32:F34)</f>
        <v>1213689.8997493736</v>
      </c>
      <c r="C34" s="188">
        <f>AVERAGE(F32:F34)</f>
        <v>404563.29991645785</v>
      </c>
      <c r="D34" s="190">
        <f>C34/C31-1</f>
        <v>1.5595595379503058E-2</v>
      </c>
      <c r="E34" s="287">
        <f>C34/C22-1</f>
        <v>-0.14782969079866748</v>
      </c>
      <c r="F34" s="136">
        <f>Q34/19</f>
        <v>323795.94736842107</v>
      </c>
      <c r="G34" s="190">
        <f t="shared" ref="G34" si="26">F34/F33-1</f>
        <v>-0.35095387105080944</v>
      </c>
      <c r="H34" s="190">
        <f t="shared" ref="H34" si="27">F34/F22-1</f>
        <v>-0.32762646593594635</v>
      </c>
      <c r="I34" s="130">
        <f t="shared" si="0"/>
        <v>2.2844545825198157</v>
      </c>
      <c r="J34" s="130">
        <f t="shared" si="4"/>
        <v>-3.741278443954188E-2</v>
      </c>
      <c r="K34" s="136">
        <f>R32+R33+R34</f>
        <v>33968763435</v>
      </c>
      <c r="L34" s="190">
        <f>U34/U31-1</f>
        <v>1.5525420907204879E-2</v>
      </c>
      <c r="M34" s="190">
        <f>U34/U22-1</f>
        <v>-0.15528969060076969</v>
      </c>
      <c r="N34" s="191">
        <f>AVERAGE(T32:T34)</f>
        <v>2.2596899366906729</v>
      </c>
      <c r="O34" s="192">
        <f>N34/N31-1</f>
        <v>-7.0561298517918258E-3</v>
      </c>
      <c r="P34" s="129" t="s">
        <v>652</v>
      </c>
      <c r="Q34" s="116">
        <v>6152123</v>
      </c>
      <c r="R34" s="116">
        <v>8460777636</v>
      </c>
      <c r="S34" s="116">
        <v>2693038</v>
      </c>
      <c r="T34" s="130">
        <f t="shared" ref="T34" si="28">Q34/S34</f>
        <v>2.2844545825198157</v>
      </c>
      <c r="U34" s="85">
        <f>Q32+Q33+Q34</f>
        <v>24839896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187608.69565217392</v>
      </c>
      <c r="G35" s="190">
        <f t="shared" ref="G35" si="29">F35/F34-1</f>
        <v>-0.42059591178666222</v>
      </c>
      <c r="H35" s="190">
        <f t="shared" ref="H35" si="30">F35/F23-1</f>
        <v>-0.41797455659539873</v>
      </c>
      <c r="I35" s="130">
        <f t="shared" si="0"/>
        <v>2.1525942377322083</v>
      </c>
      <c r="J35" s="130">
        <f t="shared" si="4"/>
        <v>-0.12549485714560682</v>
      </c>
      <c r="K35" s="136"/>
      <c r="L35" s="190"/>
      <c r="M35" s="190"/>
      <c r="N35" s="191"/>
      <c r="O35" s="192"/>
      <c r="P35" s="129" t="s">
        <v>660</v>
      </c>
      <c r="Q35" s="116">
        <v>4315000</v>
      </c>
      <c r="R35" s="116">
        <v>5979156698</v>
      </c>
      <c r="S35" s="116">
        <v>2004558</v>
      </c>
      <c r="T35" s="130">
        <f t="shared" ref="T35" si="31">Q35/S35</f>
        <v>2.1525942377322083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280193.61904761905</v>
      </c>
      <c r="G36" s="190">
        <f t="shared" ref="G36" si="32">F36/F35-1</f>
        <v>0.49350017105335753</v>
      </c>
      <c r="H36" s="190">
        <f t="shared" ref="H36" si="33">F36/F24-1</f>
        <v>-6.0267401044849067E-2</v>
      </c>
      <c r="I36" s="130">
        <f t="shared" si="0"/>
        <v>2.1557654997489424</v>
      </c>
      <c r="J36" s="130">
        <f t="shared" si="4"/>
        <v>-9.908201522476956E-2</v>
      </c>
      <c r="K36" s="136"/>
      <c r="L36" s="190"/>
      <c r="M36" s="190"/>
      <c r="N36" s="191"/>
      <c r="O36" s="192"/>
      <c r="P36" s="129" t="s">
        <v>664</v>
      </c>
      <c r="Q36" s="116">
        <v>5884066</v>
      </c>
      <c r="R36" s="116">
        <v>8039952326</v>
      </c>
      <c r="S36" s="116">
        <v>2729455.5</v>
      </c>
      <c r="T36" s="130">
        <f t="shared" ref="T36" si="34">Q36/S36</f>
        <v>2.1557654997489424</v>
      </c>
      <c r="U36" s="85"/>
    </row>
    <row r="37" spans="1:21" s="79" customFormat="1" ht="13.2" hidden="1">
      <c r="A37" s="129" t="s">
        <v>702</v>
      </c>
      <c r="B37" s="188">
        <f>SUM(F35:F37)</f>
        <v>802746.2591442375</v>
      </c>
      <c r="C37" s="188">
        <f>AVERAGE(F35:F37)</f>
        <v>267582.08638141252</v>
      </c>
      <c r="D37" s="190">
        <f>C37/C34-1</f>
        <v>-0.33859031099294445</v>
      </c>
      <c r="E37" s="287">
        <f>C37/C25-1</f>
        <v>-0.18556694164599696</v>
      </c>
      <c r="F37" s="136">
        <f>Q37/18</f>
        <v>334943.94444444444</v>
      </c>
      <c r="G37" s="190">
        <f t="shared" ref="G37" si="35">F37/F36-1</f>
        <v>0.19540175676706095</v>
      </c>
      <c r="H37" s="190">
        <f t="shared" ref="H37" si="36">F37/F25-1</f>
        <v>-8.2721395620448002E-2</v>
      </c>
      <c r="I37" s="130">
        <f t="shared" si="0"/>
        <v>2.183845739687496</v>
      </c>
      <c r="J37" s="130">
        <f t="shared" si="4"/>
        <v>-6.6963372302476509E-2</v>
      </c>
      <c r="K37" s="136">
        <f>R35+R36+R37</f>
        <v>22061702826</v>
      </c>
      <c r="L37" s="190">
        <f>U37/U34-1</f>
        <v>-0.34669384284056581</v>
      </c>
      <c r="M37" s="190">
        <f>U37/U25-1</f>
        <v>-0.19926778753650976</v>
      </c>
      <c r="N37" s="191">
        <f>AVERAGE(T35:T37)</f>
        <v>2.164068492389549</v>
      </c>
      <c r="O37" s="192">
        <f>N37/N34-1</f>
        <v>-4.2316179201630666E-2</v>
      </c>
      <c r="P37" s="129" t="s">
        <v>702</v>
      </c>
      <c r="Q37" s="116">
        <v>6028991</v>
      </c>
      <c r="R37" s="116">
        <v>8042593802</v>
      </c>
      <c r="S37" s="116">
        <v>2760722.01</v>
      </c>
      <c r="T37" s="130">
        <f t="shared" ref="T37" si="37">Q37/S37</f>
        <v>2.183845739687496</v>
      </c>
      <c r="U37" s="85">
        <f>Q35+Q36+Q37</f>
        <v>16228057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281659.40000000002</v>
      </c>
      <c r="G38" s="190">
        <f t="shared" ref="G38" si="38">F38/F37-1</f>
        <v>-0.15908496131442218</v>
      </c>
      <c r="H38" s="190">
        <f t="shared" ref="H38" si="39">F38/F26-1</f>
        <v>-0.25521453506165126</v>
      </c>
      <c r="I38" s="130">
        <f t="shared" si="0"/>
        <v>2.172083584446812</v>
      </c>
      <c r="J38" s="130">
        <f t="shared" si="4"/>
        <v>-5.8681727339261691E-2</v>
      </c>
      <c r="K38" s="136"/>
      <c r="L38" s="190"/>
      <c r="M38" s="190"/>
      <c r="N38" s="191"/>
      <c r="O38" s="192"/>
      <c r="P38" s="129" t="s">
        <v>738</v>
      </c>
      <c r="Q38" s="116">
        <v>5633188</v>
      </c>
      <c r="R38" s="116">
        <v>7567967406</v>
      </c>
      <c r="S38" s="116">
        <v>2593449</v>
      </c>
      <c r="T38" s="130">
        <f t="shared" ref="T38" si="40">Q38/S38</f>
        <v>2.172083584446812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275157.23809523811</v>
      </c>
      <c r="G39" s="190">
        <f t="shared" ref="G39" si="41">F39/F38-1</f>
        <v>-2.3085194049131341E-2</v>
      </c>
      <c r="H39" s="190">
        <f t="shared" ref="H39" si="42">F39/F27-1</f>
        <v>-0.32243901679567422</v>
      </c>
      <c r="I39" s="130">
        <f t="shared" si="0"/>
        <v>2.1181656939975064</v>
      </c>
      <c r="J39" s="130">
        <f t="shared" si="4"/>
        <v>-9.3124787834789724E-2</v>
      </c>
      <c r="K39" s="136"/>
      <c r="L39" s="190"/>
      <c r="M39" s="190"/>
      <c r="N39" s="191"/>
      <c r="O39" s="192"/>
      <c r="P39" s="129" t="s">
        <v>762</v>
      </c>
      <c r="Q39" s="116">
        <v>5778302</v>
      </c>
      <c r="R39" s="116">
        <v>8022278916</v>
      </c>
      <c r="S39" s="116">
        <v>2727974.5</v>
      </c>
      <c r="T39" s="130">
        <f t="shared" ref="T39" si="43">Q39/S39</f>
        <v>2.1181656939975064</v>
      </c>
      <c r="U39" s="85"/>
    </row>
    <row r="40" spans="1:21" s="79" customFormat="1" ht="13.2" hidden="1">
      <c r="A40" s="129" t="s">
        <v>778</v>
      </c>
      <c r="B40" s="188">
        <f>SUM(F38:F40)</f>
        <v>864925.78095238097</v>
      </c>
      <c r="C40" s="188">
        <f>AVERAGE(F38:F40)</f>
        <v>288308.59365079366</v>
      </c>
      <c r="D40" s="190">
        <f>C40/C37-1</f>
        <v>7.7458500864805657E-2</v>
      </c>
      <c r="E40" s="287">
        <f>C40/C28-1</f>
        <v>-0.3343212626676304</v>
      </c>
      <c r="F40" s="136">
        <f>Q40/21</f>
        <v>308109.14285714284</v>
      </c>
      <c r="G40" s="190">
        <f t="shared" ref="G40" si="44">F40/F39-1</f>
        <v>0.11975663438844131</v>
      </c>
      <c r="H40" s="190">
        <f t="shared" ref="H40" si="45">F40/F28-1</f>
        <v>-0.40177548895493476</v>
      </c>
      <c r="I40" s="130">
        <f t="shared" si="0"/>
        <v>2.0913634401951349</v>
      </c>
      <c r="J40" s="130">
        <f t="shared" si="4"/>
        <v>-9.6698889396875765E-2</v>
      </c>
      <c r="K40" s="136">
        <f>R38+R39+R40</f>
        <v>24787346063</v>
      </c>
      <c r="L40" s="190">
        <f>U40/U37-1</f>
        <v>0.10190529895230216</v>
      </c>
      <c r="M40" s="190">
        <f>U40/U28-1</f>
        <v>-0.30972408043507138</v>
      </c>
      <c r="N40" s="191">
        <f>AVERAGE(T38:T40)</f>
        <v>2.1272042395464843</v>
      </c>
      <c r="O40" s="192">
        <f>N40/N37-1</f>
        <v>-1.7034697826203926E-2</v>
      </c>
      <c r="P40" s="129" t="s">
        <v>778</v>
      </c>
      <c r="Q40" s="116">
        <v>6470292</v>
      </c>
      <c r="R40" s="116">
        <v>9197099741</v>
      </c>
      <c r="S40" s="116">
        <v>3093815.2</v>
      </c>
      <c r="T40" s="130">
        <f t="shared" ref="T40" si="46">Q40/S40</f>
        <v>2.0913634401951349</v>
      </c>
      <c r="U40" s="85">
        <f>Q38+Q39+Q40</f>
        <v>17881782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246824.72222222222</v>
      </c>
      <c r="G41" s="190">
        <f t="shared" ref="G41" si="47">F41/F40-1</f>
        <v>-0.19890490774347325</v>
      </c>
      <c r="H41" s="190">
        <f t="shared" ref="H41" si="48">F41/F29-1</f>
        <v>-0.46452182386638041</v>
      </c>
      <c r="I41" s="130">
        <f t="shared" si="0"/>
        <v>2.0630566018373129</v>
      </c>
      <c r="J41" s="130">
        <f t="shared" si="4"/>
        <v>-8.5755886006562032E-2</v>
      </c>
      <c r="K41" s="193"/>
      <c r="L41" s="190"/>
      <c r="M41" s="190"/>
      <c r="N41" s="193"/>
      <c r="O41" s="193"/>
      <c r="P41" s="129" t="s">
        <v>792</v>
      </c>
      <c r="Q41" s="116">
        <v>4442845</v>
      </c>
      <c r="R41" s="116">
        <v>6504845432</v>
      </c>
      <c r="S41" s="116">
        <v>2153525.5</v>
      </c>
      <c r="T41" s="130">
        <f t="shared" ref="T41" si="49">Q41/S41</f>
        <v>2.0630566018373129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318995.7</v>
      </c>
      <c r="G42" s="190">
        <f t="shared" ref="G42" si="50">F42/F41-1</f>
        <v>0.29239768661747156</v>
      </c>
      <c r="H42" s="190">
        <f t="shared" ref="H42" si="51">F42/F30-1</f>
        <v>-0.12071580008396898</v>
      </c>
      <c r="I42" s="130">
        <f t="shared" si="0"/>
        <v>2.051223074320061</v>
      </c>
      <c r="J42" s="130">
        <f t="shared" si="4"/>
        <v>-0.10543444984237449</v>
      </c>
      <c r="K42" s="193"/>
      <c r="L42" s="190"/>
      <c r="M42" s="190"/>
      <c r="N42" s="193"/>
      <c r="O42" s="193"/>
      <c r="P42" s="129" t="s">
        <v>826</v>
      </c>
      <c r="Q42" s="116">
        <v>6379914</v>
      </c>
      <c r="R42" s="116">
        <v>9232050695</v>
      </c>
      <c r="S42" s="116">
        <v>3110297.5</v>
      </c>
      <c r="T42" s="130">
        <f t="shared" ref="T42" si="52">Q42/S42</f>
        <v>2.051223074320061</v>
      </c>
      <c r="U42" s="78"/>
    </row>
    <row r="43" spans="1:21" s="79" customFormat="1" ht="13.2">
      <c r="A43" s="129" t="s">
        <v>835</v>
      </c>
      <c r="B43" s="188">
        <f>SUM(F41:F43)</f>
        <v>875892.6722222222</v>
      </c>
      <c r="C43" s="188">
        <f>AVERAGE(F41:F43)</f>
        <v>291964.22407407407</v>
      </c>
      <c r="D43" s="190">
        <f>C43/C40-1</f>
        <v>1.267957495470351E-2</v>
      </c>
      <c r="E43" s="287">
        <f>C43/C31-1</f>
        <v>-0.26706752678936851</v>
      </c>
      <c r="F43" s="136">
        <f>Q43/20</f>
        <v>310072.25</v>
      </c>
      <c r="G43" s="190">
        <f t="shared" ref="G43" si="53">F43/F42-1</f>
        <v>-2.7973574565425263E-2</v>
      </c>
      <c r="H43" s="190">
        <f t="shared" ref="H43" si="54">F43/F31-1</f>
        <v>-0.16494487900581578</v>
      </c>
      <c r="I43" s="130">
        <f t="shared" si="0"/>
        <v>2.0529219265360927</v>
      </c>
      <c r="J43" s="130">
        <f t="shared" si="4"/>
        <v>-9.8682659939732575E-2</v>
      </c>
      <c r="K43" s="136">
        <f>R41+R42+R43</f>
        <v>24736346514</v>
      </c>
      <c r="L43" s="190">
        <f>U43/U40-1</f>
        <v>-4.7958195665286585E-2</v>
      </c>
      <c r="M43" s="190">
        <f>K43/K31-1</f>
        <v>-0.2358539308142914</v>
      </c>
      <c r="N43" s="191">
        <f>AVERAGE(T41:T43)</f>
        <v>2.0557338675644887</v>
      </c>
      <c r="O43" s="192">
        <f>N43/N40-1</f>
        <v>-3.3598265109340386E-2</v>
      </c>
      <c r="P43" s="129" t="s">
        <v>835</v>
      </c>
      <c r="Q43" s="116">
        <v>6201445</v>
      </c>
      <c r="R43" s="116">
        <v>8999450387</v>
      </c>
      <c r="S43" s="116">
        <v>3020789.5</v>
      </c>
      <c r="T43" s="130">
        <f t="shared" ref="T43" si="55">Q43/S43</f>
        <v>2.0529219265360927</v>
      </c>
      <c r="U43" s="85">
        <f>Q41+Q42+Q43</f>
        <v>17024204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317948.77272727271</v>
      </c>
      <c r="G44" s="190">
        <f t="shared" ref="G44" si="56">F44/F43-1</f>
        <v>2.5402217474387756E-2</v>
      </c>
      <c r="H44" s="190">
        <f t="shared" ref="H44" si="57">F44/F32-1</f>
        <v>-0.1868613933955241</v>
      </c>
      <c r="I44" s="130">
        <f t="shared" si="0"/>
        <v>2.0236497931615887</v>
      </c>
      <c r="J44" s="130">
        <f t="shared" si="4"/>
        <v>-9.7861874363353585E-2</v>
      </c>
      <c r="K44" s="136"/>
      <c r="L44" s="190"/>
      <c r="M44" s="190"/>
      <c r="N44" s="191"/>
      <c r="O44" s="192"/>
      <c r="P44" s="129" t="s">
        <v>843</v>
      </c>
      <c r="Q44" s="116">
        <v>6994873</v>
      </c>
      <c r="R44" s="116">
        <v>10134428516</v>
      </c>
      <c r="S44" s="116">
        <v>3456563</v>
      </c>
      <c r="T44" s="130">
        <f t="shared" ref="T44" si="58">Q44/S44</f>
        <v>2.0236497931615887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321208</v>
      </c>
      <c r="G45" s="190">
        <f t="shared" ref="G45" si="59">F45/F44-1</f>
        <v>1.0250793688463045E-2</v>
      </c>
      <c r="H45" s="190">
        <f t="shared" ref="H45" si="60">F45/F33-1</f>
        <v>-0.356141388791687</v>
      </c>
      <c r="I45" s="130">
        <f t="shared" si="0"/>
        <v>2.0507944619457814</v>
      </c>
      <c r="J45" s="130">
        <f t="shared" si="4"/>
        <v>-8.9120598327488199E-2</v>
      </c>
      <c r="K45" s="136"/>
      <c r="L45" s="190"/>
      <c r="M45" s="190"/>
      <c r="N45" s="191"/>
      <c r="O45" s="192"/>
      <c r="P45" s="129" t="s">
        <v>849</v>
      </c>
      <c r="Q45" s="116">
        <v>6424160</v>
      </c>
      <c r="R45" s="116">
        <v>9044451122</v>
      </c>
      <c r="S45" s="116">
        <v>3132522.6</v>
      </c>
      <c r="T45" s="130">
        <f t="shared" ref="T45" si="61">Q45/S45</f>
        <v>2.0507944619457814</v>
      </c>
      <c r="U45" s="85"/>
    </row>
    <row r="46" spans="1:21" s="79" customFormat="1" ht="13.2">
      <c r="A46" s="129" t="s">
        <v>888</v>
      </c>
      <c r="B46" s="188">
        <f>SUM(F44:F46)</f>
        <v>951692.29904306214</v>
      </c>
      <c r="C46" s="188">
        <f>AVERAGE(F44:F46)</f>
        <v>317230.7663476874</v>
      </c>
      <c r="D46" s="190">
        <f>C46/C43-1</f>
        <v>8.6539857250465646E-2</v>
      </c>
      <c r="E46" s="287">
        <f>C46/C34-1</f>
        <v>-0.2158686504356786</v>
      </c>
      <c r="F46" s="136">
        <f>Q46/19</f>
        <v>312535.5263157895</v>
      </c>
      <c r="G46" s="190">
        <f t="shared" ref="G46" si="62">F46/F45-1</f>
        <v>-2.6999556935725422E-2</v>
      </c>
      <c r="H46" s="190">
        <f t="shared" ref="H46" si="63">F46/F34-1</f>
        <v>-3.4776287795286298E-2</v>
      </c>
      <c r="I46" s="130">
        <f t="shared" si="0"/>
        <v>2.1068389176105859</v>
      </c>
      <c r="J46" s="130">
        <f t="shared" si="4"/>
        <v>-7.7749702825483546E-2</v>
      </c>
      <c r="K46" s="136">
        <f>R44+R45+R46</f>
        <v>27305390037</v>
      </c>
      <c r="L46" s="190">
        <f>U46/U43-1</f>
        <v>0.13704041610403639</v>
      </c>
      <c r="M46" s="190">
        <f>K46/K34-1</f>
        <v>-0.19616178877840273</v>
      </c>
      <c r="N46" s="191">
        <f>AVERAGE(T44:T46)</f>
        <v>2.0604277242393185</v>
      </c>
      <c r="O46" s="192">
        <f>N46/N43-1</f>
        <v>2.2832997738131411E-3</v>
      </c>
      <c r="P46" s="129" t="s">
        <v>888</v>
      </c>
      <c r="Q46" s="116">
        <v>5938175</v>
      </c>
      <c r="R46" s="116">
        <v>8126510399</v>
      </c>
      <c r="S46" s="116">
        <v>2818523.5</v>
      </c>
      <c r="T46" s="130">
        <f t="shared" ref="T46" si="64">Q46/S46</f>
        <v>2.1068389176105859</v>
      </c>
      <c r="U46" s="85">
        <f t="shared" ref="U46:U51" si="65">Q44+Q45+Q46</f>
        <v>19357208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251446.47826086957</v>
      </c>
      <c r="G47" s="190">
        <f t="shared" ref="G47" si="66">F47/F46-1</f>
        <v>-0.19546273274928383</v>
      </c>
      <c r="H47" s="190">
        <f t="shared" ref="H47" si="67">F47/F35-1</f>
        <v>0.34027091541135568</v>
      </c>
      <c r="I47" s="130">
        <f t="shared" si="0"/>
        <v>2.0759989180754452</v>
      </c>
      <c r="J47" s="130">
        <f t="shared" si="4"/>
        <v>-3.5582795082392038E-2</v>
      </c>
      <c r="K47" s="136"/>
      <c r="L47" s="190"/>
      <c r="M47" s="190"/>
      <c r="N47" s="191"/>
      <c r="O47" s="192"/>
      <c r="P47" s="129" t="s">
        <v>991</v>
      </c>
      <c r="Q47" s="116">
        <v>5783269</v>
      </c>
      <c r="R47" s="116">
        <v>7927376740</v>
      </c>
      <c r="S47" s="116">
        <v>2785776.5</v>
      </c>
      <c r="T47" s="130">
        <f t="shared" ref="T47" si="68">Q47/S47</f>
        <v>2.0759989180754452</v>
      </c>
      <c r="U47" s="85">
        <f t="shared" si="65"/>
        <v>18145604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166379.25</v>
      </c>
      <c r="G48" s="190">
        <f t="shared" ref="G48" si="69">F48/F47-1</f>
        <v>-0.33831147228323633</v>
      </c>
      <c r="H48" s="190">
        <f t="shared" ref="H48" si="70">F48/F36-1</f>
        <v>-0.40619900422598931</v>
      </c>
      <c r="I48" s="130">
        <f t="shared" si="0"/>
        <v>2.0859920825223091</v>
      </c>
      <c r="J48" s="130">
        <f t="shared" si="4"/>
        <v>-3.2365958744009493E-2</v>
      </c>
      <c r="K48" s="136"/>
      <c r="L48" s="190"/>
      <c r="M48" s="190"/>
      <c r="N48" s="191"/>
      <c r="O48" s="192"/>
      <c r="P48" s="129" t="s">
        <v>1126</v>
      </c>
      <c r="Q48" s="116">
        <v>3327585</v>
      </c>
      <c r="R48" s="116">
        <v>4616882627</v>
      </c>
      <c r="S48" s="116">
        <v>1595205</v>
      </c>
      <c r="T48" s="130">
        <f t="shared" ref="T48" si="71">Q48/S48</f>
        <v>2.0859920825223091</v>
      </c>
      <c r="U48" s="85">
        <f t="shared" si="65"/>
        <v>15049029</v>
      </c>
    </row>
    <row r="49" spans="1:26" ht="13.2">
      <c r="A49" s="129" t="s">
        <v>1158</v>
      </c>
      <c r="B49" s="188">
        <f>SUM(F47:F49)</f>
        <v>659511.9555335968</v>
      </c>
      <c r="C49" s="188">
        <f>AVERAGE(F47:F49)</f>
        <v>219837.31851119894</v>
      </c>
      <c r="D49" s="190">
        <f>C49/C46-1</f>
        <v>-0.3070113562999891</v>
      </c>
      <c r="E49" s="287">
        <f>C49/C37-1</f>
        <v>-0.17843035950529962</v>
      </c>
      <c r="F49" s="136">
        <f>Q49/22</f>
        <v>241686.22727272726</v>
      </c>
      <c r="G49" s="190">
        <f t="shared" ref="G49" si="72">F49/F48-1</f>
        <v>0.45262241098410572</v>
      </c>
      <c r="H49" s="190">
        <f t="shared" ref="H49" si="73">F49/F37-1</f>
        <v>-0.27842783462289278</v>
      </c>
      <c r="I49" s="130">
        <f t="shared" si="0"/>
        <v>1.9931958177014453</v>
      </c>
      <c r="J49" s="130">
        <f t="shared" si="4"/>
        <v>-8.7300086503972696E-2</v>
      </c>
      <c r="K49" s="136">
        <f>R47+R48+R49</f>
        <v>19935199379</v>
      </c>
      <c r="L49" s="190">
        <f>U49/U46-1</f>
        <v>-0.25464710613224795</v>
      </c>
      <c r="M49" s="190">
        <f>K49/K37-1</f>
        <v>-9.6388908135136675E-2</v>
      </c>
      <c r="N49" s="191">
        <f>AVERAGE(T47:T49)</f>
        <v>2.0517289394330667</v>
      </c>
      <c r="O49" s="192">
        <f>N49/N46-1</f>
        <v>-4.2218344783063744E-3</v>
      </c>
      <c r="P49" s="129" t="s">
        <v>1158</v>
      </c>
      <c r="Q49" s="116">
        <v>5317097</v>
      </c>
      <c r="R49" s="116">
        <v>7390940012</v>
      </c>
      <c r="S49" s="116">
        <v>2667624</v>
      </c>
      <c r="T49" s="130">
        <f t="shared" ref="T49" si="74">Q49/S49</f>
        <v>1.9931958177014453</v>
      </c>
      <c r="U49" s="85">
        <f t="shared" si="65"/>
        <v>14427951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206857.44444444444</v>
      </c>
      <c r="G50" s="190">
        <f t="shared" ref="G50" si="75">F50/F49-1</f>
        <v>-0.14410743723919694</v>
      </c>
      <c r="H50" s="190">
        <f t="shared" ref="H50" si="76">F50/F38-1</f>
        <v>-0.26557592452286549</v>
      </c>
      <c r="I50" s="130">
        <f t="shared" ref="I50" si="77">T50</f>
        <v>2.1184847686580452</v>
      </c>
      <c r="J50" s="130">
        <f t="shared" ref="J50" si="78">I50/I38-1</f>
        <v>-2.4676221565579137E-2</v>
      </c>
      <c r="K50" s="136"/>
      <c r="L50" s="190"/>
      <c r="M50" s="190"/>
      <c r="N50" s="191"/>
      <c r="O50" s="192"/>
      <c r="P50" s="129" t="s">
        <v>1342</v>
      </c>
      <c r="Q50" s="116">
        <v>3723434</v>
      </c>
      <c r="R50" s="116">
        <v>5264358048</v>
      </c>
      <c r="S50" s="116">
        <v>1757593</v>
      </c>
      <c r="T50" s="130">
        <f t="shared" ref="T50" si="79">Q50/S50</f>
        <v>2.1184847686580452</v>
      </c>
      <c r="U50" s="85">
        <f t="shared" si="65"/>
        <v>12368116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228271.9</v>
      </c>
      <c r="G51" s="190">
        <f t="shared" ref="G51:G52" si="80">F51/F50-1</f>
        <v>0.10352276957238926</v>
      </c>
      <c r="H51" s="190">
        <f t="shared" ref="H51:H52" si="81">F51/F39-1</f>
        <v>-0.17039471111063431</v>
      </c>
      <c r="I51" s="130">
        <f t="shared" ref="I51:I52" si="82">T51</f>
        <v>2.2672202821512144</v>
      </c>
      <c r="J51" s="130">
        <f t="shared" ref="J51:J52" si="83">I51/I39-1</f>
        <v>7.0369654544071514E-2</v>
      </c>
      <c r="K51" s="136"/>
      <c r="L51" s="190"/>
      <c r="M51" s="190"/>
      <c r="N51" s="191"/>
      <c r="O51" s="192"/>
      <c r="P51" s="129" t="s">
        <v>1402</v>
      </c>
      <c r="Q51" s="116">
        <v>4565438</v>
      </c>
      <c r="R51" s="116">
        <v>6618348239</v>
      </c>
      <c r="S51" s="116">
        <v>2013672</v>
      </c>
      <c r="T51" s="130">
        <f t="shared" ref="T51:T52" si="84">Q51/S51</f>
        <v>2.2672202821512144</v>
      </c>
      <c r="U51" s="85">
        <f t="shared" si="65"/>
        <v>13605969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654757.88989898982</v>
      </c>
      <c r="C52" s="188">
        <f>AVERAGE(F50:F52)</f>
        <v>218252.62996632993</v>
      </c>
      <c r="D52" s="190">
        <f>C52/C49-1</f>
        <v>-7.2084601267927706E-3</v>
      </c>
      <c r="E52" s="287">
        <f>C52/C40-1</f>
        <v>-0.24298950925242691</v>
      </c>
      <c r="F52" s="136">
        <f>Q52/22</f>
        <v>219628.54545454544</v>
      </c>
      <c r="G52" s="190">
        <f t="shared" si="80"/>
        <v>-3.7864294928348863E-2</v>
      </c>
      <c r="H52" s="190">
        <f t="shared" si="81"/>
        <v>-0.28717290432248588</v>
      </c>
      <c r="I52" s="130">
        <f t="shared" si="82"/>
        <v>1.9427372370556593</v>
      </c>
      <c r="J52" s="130">
        <f t="shared" si="83"/>
        <v>-7.1066654548387787E-2</v>
      </c>
      <c r="K52" s="136">
        <f>R50+R51+R52</f>
        <v>18993182851</v>
      </c>
      <c r="L52" s="190">
        <f>U52/U49-1</f>
        <v>-9.0605450489816608E-2</v>
      </c>
      <c r="M52" s="190">
        <f>K52/K40-1</f>
        <v>-0.23375488433789737</v>
      </c>
      <c r="N52" s="191">
        <f>AVERAGE(T50:T52)</f>
        <v>2.1094807626216396</v>
      </c>
      <c r="O52" s="192">
        <f>N52/N49-1</f>
        <v>2.8147881563990174E-2</v>
      </c>
      <c r="P52" s="129" t="s">
        <v>1403</v>
      </c>
      <c r="Q52" s="116">
        <v>4831828</v>
      </c>
      <c r="R52" s="116">
        <v>7110476564</v>
      </c>
      <c r="S52" s="116">
        <v>2487123.79</v>
      </c>
      <c r="T52" s="130">
        <f t="shared" si="84"/>
        <v>1.9427372370556593</v>
      </c>
      <c r="U52" s="85">
        <f t="shared" ref="U52" si="85">Q50+Q51+Q52</f>
        <v>13120700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242464.04761904763</v>
      </c>
      <c r="G53" s="190">
        <f t="shared" ref="G53" si="86">F53/F52-1</f>
        <v>0.10397328870544409</v>
      </c>
      <c r="H53" s="190">
        <f t="shared" ref="H53" si="87">F53/F41-1</f>
        <v>-1.7667090086902149E-2</v>
      </c>
      <c r="I53" s="130">
        <f t="shared" ref="I53" si="88">T53</f>
        <v>1.8533160130118618</v>
      </c>
      <c r="J53" s="130">
        <f t="shared" ref="J53" si="89">I53/I41-1</f>
        <v>-0.10166497062594437</v>
      </c>
      <c r="K53" s="136"/>
      <c r="L53" s="190"/>
      <c r="M53" s="190"/>
      <c r="N53" s="191"/>
      <c r="O53" s="192"/>
      <c r="P53" s="129" t="s">
        <v>1414</v>
      </c>
      <c r="Q53" s="116">
        <v>5091745</v>
      </c>
      <c r="R53" s="116">
        <v>7412886496</v>
      </c>
      <c r="S53" s="116">
        <v>2747370.1</v>
      </c>
      <c r="T53" s="130">
        <f t="shared" ref="T53" si="90">Q53/S53</f>
        <v>1.8533160130118618</v>
      </c>
      <c r="U53" s="85">
        <f t="shared" ref="U53" si="91">Q51+Q52+Q53</f>
        <v>14489011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256683.0588235294</v>
      </c>
      <c r="G54" s="190">
        <f t="shared" ref="G54" si="92">F54/F53-1</f>
        <v>5.8643792117263782E-2</v>
      </c>
      <c r="H54" s="190">
        <f t="shared" ref="H54" si="93">F54/F42-1</f>
        <v>-0.19534006626569134</v>
      </c>
      <c r="I54" s="130">
        <f t="shared" ref="I54" si="94">T54</f>
        <v>1.8865325310966163</v>
      </c>
      <c r="J54" s="130">
        <f t="shared" ref="J54" si="95">I54/I42-1</f>
        <v>-8.0288948230575197E-2</v>
      </c>
      <c r="K54" s="136"/>
      <c r="L54" s="190"/>
      <c r="M54" s="190"/>
      <c r="N54" s="191"/>
      <c r="O54" s="192"/>
      <c r="P54" s="129" t="s">
        <v>1417</v>
      </c>
      <c r="Q54" s="116">
        <v>4363612</v>
      </c>
      <c r="R54" s="116">
        <v>6324489564</v>
      </c>
      <c r="S54" s="116">
        <v>2313033</v>
      </c>
      <c r="T54" s="130">
        <f t="shared" ref="T54" si="96">Q54/S54</f>
        <v>1.8865325310966163</v>
      </c>
      <c r="U54" s="85">
        <f t="shared" ref="U54" si="97">Q52+Q53+Q54</f>
        <v>14287185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843908.20168067235</v>
      </c>
      <c r="C55" s="188">
        <f>AVERAGE(F53:F55)</f>
        <v>281302.73389355745</v>
      </c>
      <c r="D55" s="190">
        <f>C55/C52-1</f>
        <v>0.28888588392705428</v>
      </c>
      <c r="E55" s="287">
        <f>C55/C43-1</f>
        <v>-3.6516426676344027E-2</v>
      </c>
      <c r="F55" s="136">
        <f>Q55/21</f>
        <v>344761.09523809527</v>
      </c>
      <c r="G55" s="190">
        <f t="shared" ref="G55" si="98">F55/F54-1</f>
        <v>0.34313926605931511</v>
      </c>
      <c r="H55" s="190">
        <f t="shared" ref="H55" si="99">F55/F43-1</f>
        <v>0.11187342704190795</v>
      </c>
      <c r="I55" s="130">
        <f>T55</f>
        <v>1.8863605778894832</v>
      </c>
      <c r="J55" s="130">
        <f t="shared" ref="J55" si="100">I55/I43-1</f>
        <v>-8.1133795929419272E-2</v>
      </c>
      <c r="K55" s="136">
        <f>R53+R54+R55</f>
        <v>24376541238</v>
      </c>
      <c r="L55" s="190">
        <f>U55/U52-1</f>
        <v>0.27244278125404886</v>
      </c>
      <c r="M55" s="190">
        <f>K55/K43-1</f>
        <v>-1.4545611082718346E-2</v>
      </c>
      <c r="N55" s="191">
        <f>AVERAGE(T53:T55)</f>
        <v>1.8754030406659872</v>
      </c>
      <c r="O55" s="192">
        <f>N55/N52-1</f>
        <v>-0.11096461560746507</v>
      </c>
      <c r="P55" s="129" t="s">
        <v>1418</v>
      </c>
      <c r="Q55" s="116">
        <v>7239983</v>
      </c>
      <c r="R55" s="116">
        <v>10639165178</v>
      </c>
      <c r="S55" s="116">
        <v>3838069.5</v>
      </c>
      <c r="T55" s="130">
        <f t="shared" ref="T55" si="101">Q55/S55</f>
        <v>1.8863605778894832</v>
      </c>
      <c r="U55" s="85">
        <f t="shared" ref="U55" si="102">Q53+Q54+Q55</f>
        <v>16695340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326098.81818181818</v>
      </c>
      <c r="G56" s="190">
        <f t="shared" ref="G56" si="103">F56/F55-1</f>
        <v>-5.413104121678447E-2</v>
      </c>
      <c r="H56" s="190">
        <f t="shared" ref="H56" si="104">F56/F44-1</f>
        <v>2.5633203061728338E-2</v>
      </c>
      <c r="I56" s="291">
        <f>T56</f>
        <v>1.9279342540380093</v>
      </c>
      <c r="J56" s="130">
        <f t="shared" ref="J56" si="105">I56/I44-1</f>
        <v>-4.7298470045076813E-2</v>
      </c>
      <c r="K56" s="136"/>
      <c r="L56" s="190"/>
      <c r="M56" s="190"/>
      <c r="N56" s="191"/>
      <c r="O56" s="192"/>
      <c r="P56" s="129" t="s">
        <v>1420</v>
      </c>
      <c r="Q56" s="116">
        <v>7174174</v>
      </c>
      <c r="R56" s="116">
        <v>10703538393</v>
      </c>
      <c r="S56" s="116">
        <v>3721171.5</v>
      </c>
      <c r="T56" s="130">
        <f t="shared" ref="T56" si="106">Q56/S56</f>
        <v>1.9279342540380093</v>
      </c>
      <c r="U56" s="85">
        <f t="shared" ref="U56" si="107">Q54+Q55+Q56</f>
        <v>18777769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368470.25</v>
      </c>
      <c r="G57" s="254">
        <f t="shared" ref="G57" si="108">F57/F56-1</f>
        <v>0.12993433111602815</v>
      </c>
      <c r="H57" s="254">
        <f t="shared" ref="H57" si="109">F57/F45-1</f>
        <v>0.14713908121840058</v>
      </c>
      <c r="I57" s="282">
        <f>T57</f>
        <v>1.9295129790079792</v>
      </c>
      <c r="J57" s="277">
        <f t="shared" ref="J57" si="110">I57/I45-1</f>
        <v>-5.913878020849106E-2</v>
      </c>
      <c r="K57" s="204"/>
      <c r="L57" s="254"/>
      <c r="M57" s="254"/>
      <c r="N57" s="257"/>
      <c r="O57" s="258"/>
      <c r="P57" s="129" t="s">
        <v>1436</v>
      </c>
      <c r="Q57" s="116">
        <v>4421643</v>
      </c>
      <c r="R57" s="116">
        <v>6508659614</v>
      </c>
      <c r="S57" s="116">
        <v>2291585</v>
      </c>
      <c r="T57" s="130">
        <f t="shared" ref="T57" si="111">Q57/S57</f>
        <v>1.9295129790079792</v>
      </c>
      <c r="U57" s="85">
        <f t="shared" ref="U57" si="112">Q55+Q56+Q57</f>
        <v>18835800</v>
      </c>
      <c r="V57" s="79"/>
      <c r="W57" s="79"/>
      <c r="X57" s="79"/>
      <c r="Y57" s="79"/>
      <c r="Z57" s="79"/>
    </row>
    <row r="58" spans="1:26">
      <c r="B58" s="196">
        <f>SUM(F56:F58)</f>
        <v>694569.06818181812</v>
      </c>
      <c r="C58" s="196">
        <f>AVERAGE(F56:F58)</f>
        <v>347284.53409090906</v>
      </c>
      <c r="D58" s="197">
        <f>C58/C55-1</f>
        <v>0.2345579770380708</v>
      </c>
      <c r="E58" s="233">
        <f>C58/C46-1</f>
        <v>9.4737872020529412E-2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28291157</v>
      </c>
      <c r="R65" s="212">
        <v>41588739245</v>
      </c>
      <c r="S65" s="213">
        <v>14911229.1</v>
      </c>
      <c r="T65" s="214">
        <v>14</v>
      </c>
      <c r="U65" s="214">
        <v>20</v>
      </c>
    </row>
    <row r="66" spans="16:21" ht="18" thickBot="1">
      <c r="P66" s="180" t="s">
        <v>976</v>
      </c>
      <c r="Q66" s="181">
        <v>5091745</v>
      </c>
      <c r="R66" s="181">
        <v>7412886496</v>
      </c>
      <c r="S66" s="182">
        <v>2747370.1</v>
      </c>
      <c r="T66" s="210">
        <v>11</v>
      </c>
      <c r="U66" s="210">
        <v>14</v>
      </c>
    </row>
    <row r="67" spans="16:21" ht="18" thickBot="1">
      <c r="P67" s="180" t="s">
        <v>977</v>
      </c>
      <c r="Q67" s="181">
        <v>4363612</v>
      </c>
      <c r="R67" s="181">
        <v>6324489564</v>
      </c>
      <c r="S67" s="182">
        <v>2313033</v>
      </c>
      <c r="T67" s="210">
        <v>6</v>
      </c>
      <c r="U67" s="210">
        <v>9</v>
      </c>
    </row>
    <row r="68" spans="16:21" ht="18" thickBot="1">
      <c r="P68" s="180" t="s">
        <v>978</v>
      </c>
      <c r="Q68" s="181">
        <v>7239983</v>
      </c>
      <c r="R68" s="181">
        <v>10639165178</v>
      </c>
      <c r="S68" s="182">
        <v>3838069.5</v>
      </c>
      <c r="T68" s="210">
        <v>11</v>
      </c>
      <c r="U68" s="210">
        <v>13</v>
      </c>
    </row>
    <row r="69" spans="16:21" ht="18" thickBot="1">
      <c r="P69" s="180" t="s">
        <v>979</v>
      </c>
      <c r="Q69" s="181">
        <v>7174174</v>
      </c>
      <c r="R69" s="181">
        <v>10703538393</v>
      </c>
      <c r="S69" s="182">
        <v>3721171.5</v>
      </c>
      <c r="T69" s="210">
        <v>8</v>
      </c>
      <c r="U69" s="210">
        <v>10</v>
      </c>
    </row>
    <row r="70" spans="16:21" ht="18" thickBot="1">
      <c r="P70" s="180" t="s">
        <v>980</v>
      </c>
      <c r="Q70" s="181">
        <v>4421643</v>
      </c>
      <c r="R70" s="181">
        <v>6508659614</v>
      </c>
      <c r="S70" s="182">
        <v>2291585</v>
      </c>
      <c r="T70" s="210">
        <v>5</v>
      </c>
      <c r="U70" s="210">
        <v>7</v>
      </c>
    </row>
    <row r="71" spans="16:21" ht="18" thickBot="1">
      <c r="P71" s="215" t="s">
        <v>975</v>
      </c>
      <c r="Q71" s="217">
        <v>63</v>
      </c>
      <c r="R71"/>
      <c r="S71"/>
      <c r="T71"/>
      <c r="U71"/>
    </row>
    <row r="72" spans="16:21" ht="18" thickBot="1">
      <c r="P72" s="215" t="s">
        <v>982</v>
      </c>
      <c r="Q72" s="217" t="s">
        <v>1453</v>
      </c>
      <c r="R72"/>
      <c r="S72"/>
      <c r="T72"/>
      <c r="U72"/>
    </row>
  </sheetData>
  <phoneticPr fontId="1" type="noConversion"/>
  <conditionalFormatting sqref="C29:C30">
    <cfRule type="cellIs" dxfId="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34"/>
  <dimension ref="A1:Z72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337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282</v>
      </c>
      <c r="H4" s="172" t="s">
        <v>259</v>
      </c>
      <c r="I4" s="84" t="s">
        <v>45</v>
      </c>
      <c r="J4" s="84" t="s">
        <v>1262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1274872.55</v>
      </c>
      <c r="G5" s="90"/>
      <c r="H5" s="90"/>
      <c r="I5" s="130">
        <f t="shared" ref="I5:I49" si="0">T5</f>
        <v>4.4026207875039871</v>
      </c>
      <c r="J5" s="130"/>
      <c r="L5" s="80"/>
      <c r="M5" s="80"/>
      <c r="P5" s="129" t="s">
        <v>0</v>
      </c>
      <c r="Q5" s="116">
        <v>25497451</v>
      </c>
      <c r="R5" s="116"/>
      <c r="S5" s="116">
        <v>5791425.6600000001</v>
      </c>
      <c r="T5" s="130">
        <f t="shared" ref="T5:T11" si="1">Q5/S5</f>
        <v>4.4026207875039871</v>
      </c>
      <c r="U5" s="85"/>
    </row>
    <row r="6" spans="1:21" ht="15" hidden="1" customHeight="1">
      <c r="A6" s="129" t="s">
        <v>1</v>
      </c>
      <c r="C6" s="79"/>
      <c r="F6" s="78">
        <f>Q6/18</f>
        <v>1524036.7222222222</v>
      </c>
      <c r="G6" s="90">
        <f t="shared" ref="G6:G16" si="2">F6/F5-1</f>
        <v>0.19544241675155849</v>
      </c>
      <c r="H6" s="90"/>
      <c r="I6" s="130">
        <f t="shared" si="0"/>
        <v>4.025008622374</v>
      </c>
      <c r="J6" s="130"/>
      <c r="P6" s="129" t="s">
        <v>1</v>
      </c>
      <c r="Q6" s="116">
        <v>27432661</v>
      </c>
      <c r="R6" s="116"/>
      <c r="S6" s="116">
        <v>6815553.3499999996</v>
      </c>
      <c r="T6" s="130">
        <f t="shared" si="1"/>
        <v>4.025008622374</v>
      </c>
      <c r="U6" s="85"/>
    </row>
    <row r="7" spans="1:21" ht="15" hidden="1" customHeight="1">
      <c r="A7" s="129" t="s">
        <v>2</v>
      </c>
      <c r="B7" s="131">
        <f>F5+F6+F7</f>
        <v>4460179.2267676769</v>
      </c>
      <c r="C7" s="131">
        <f>AVERAGE(F5:F7)</f>
        <v>1486726.4089225589</v>
      </c>
      <c r="F7" s="78">
        <f>Q7/22</f>
        <v>1661269.9545454546</v>
      </c>
      <c r="G7" s="90">
        <f t="shared" si="2"/>
        <v>9.0045882964769008E-2</v>
      </c>
      <c r="H7" s="90"/>
      <c r="I7" s="130">
        <f t="shared" si="0"/>
        <v>3.8253489016459623</v>
      </c>
      <c r="J7" s="130"/>
      <c r="K7" s="79">
        <f>R5+R6+R7</f>
        <v>0</v>
      </c>
      <c r="N7" s="88">
        <f>AVERAGE(T5:T7)</f>
        <v>4.0843261038413168</v>
      </c>
      <c r="P7" s="129" t="s">
        <v>2</v>
      </c>
      <c r="Q7" s="116">
        <v>36547939</v>
      </c>
      <c r="R7" s="116"/>
      <c r="S7" s="116">
        <v>9554145.2400000002</v>
      </c>
      <c r="T7" s="130">
        <f t="shared" si="1"/>
        <v>3.8253489016459623</v>
      </c>
      <c r="U7" s="85">
        <f>Q5+Q6+Q7</f>
        <v>89478051</v>
      </c>
    </row>
    <row r="8" spans="1:21" ht="15" hidden="1" customHeight="1">
      <c r="A8" s="129" t="s">
        <v>3</v>
      </c>
      <c r="C8" s="79"/>
      <c r="F8" s="78">
        <f>Q8/21</f>
        <v>1142311.0476190476</v>
      </c>
      <c r="G8" s="90">
        <f t="shared" si="2"/>
        <v>-0.31238686133248039</v>
      </c>
      <c r="H8" s="90"/>
      <c r="I8" s="130">
        <f t="shared" si="0"/>
        <v>3.5695325836159792</v>
      </c>
      <c r="J8" s="130"/>
      <c r="K8" s="78"/>
      <c r="P8" s="129" t="s">
        <v>3</v>
      </c>
      <c r="Q8" s="116">
        <v>23988532</v>
      </c>
      <c r="R8" s="116"/>
      <c r="S8" s="116">
        <v>6720356.6399999997</v>
      </c>
      <c r="T8" s="130">
        <f t="shared" si="1"/>
        <v>3.5695325836159792</v>
      </c>
      <c r="U8" s="85"/>
    </row>
    <row r="9" spans="1:21" ht="15" hidden="1" customHeight="1">
      <c r="A9" s="129" t="s">
        <v>4</v>
      </c>
      <c r="C9" s="79"/>
      <c r="F9" s="78">
        <f>Q9/21</f>
        <v>976648.76190476189</v>
      </c>
      <c r="G9" s="90">
        <f t="shared" si="2"/>
        <v>-0.14502379720443082</v>
      </c>
      <c r="H9" s="90"/>
      <c r="I9" s="130">
        <f t="shared" si="0"/>
        <v>3.2759318744332324</v>
      </c>
      <c r="J9" s="130"/>
      <c r="K9" s="78"/>
      <c r="P9" s="129" t="s">
        <v>4</v>
      </c>
      <c r="Q9" s="116">
        <v>20509624</v>
      </c>
      <c r="R9" s="116"/>
      <c r="S9" s="116">
        <v>6260699.1799999997</v>
      </c>
      <c r="T9" s="130">
        <f t="shared" si="1"/>
        <v>3.2759318744332324</v>
      </c>
      <c r="U9" s="85"/>
    </row>
    <row r="10" spans="1:21" ht="15" hidden="1" customHeight="1">
      <c r="A10" s="129" t="s">
        <v>5</v>
      </c>
      <c r="B10" s="131">
        <f>F8+F9+F10</f>
        <v>3259702.0476190476</v>
      </c>
      <c r="C10" s="131">
        <f>AVERAGE(F8:F10)</f>
        <v>1086567.3492063491</v>
      </c>
      <c r="D10" s="90">
        <f>C10/C7-1</f>
        <v>-0.26915447073157717</v>
      </c>
      <c r="E10" s="286"/>
      <c r="F10" s="78">
        <f>Q10/21</f>
        <v>1140742.2380952381</v>
      </c>
      <c r="G10" s="90">
        <f t="shared" si="2"/>
        <v>0.16801687832014855</v>
      </c>
      <c r="H10" s="90"/>
      <c r="I10" s="130">
        <f t="shared" si="0"/>
        <v>3.1196724807289709</v>
      </c>
      <c r="J10" s="130"/>
      <c r="K10" s="79">
        <f>R8+R9+R10</f>
        <v>0</v>
      </c>
      <c r="L10" s="87">
        <f>U10/U7-1</f>
        <v>-0.23496609241075217</v>
      </c>
      <c r="N10" s="88">
        <f>AVERAGE(T8:T10)</f>
        <v>3.3217123129260613</v>
      </c>
      <c r="O10" s="89">
        <f>N10/N7-1</f>
        <v>-0.18671716496829571</v>
      </c>
      <c r="P10" s="129" t="s">
        <v>5</v>
      </c>
      <c r="Q10" s="116">
        <v>23955587</v>
      </c>
      <c r="R10" s="116"/>
      <c r="S10" s="116">
        <v>7678878.8399999999</v>
      </c>
      <c r="T10" s="130">
        <f t="shared" si="1"/>
        <v>3.1196724807289709</v>
      </c>
      <c r="U10" s="85">
        <f>Q8+Q9+Q10</f>
        <v>68453743</v>
      </c>
    </row>
    <row r="11" spans="1:21" ht="15" hidden="1" customHeight="1">
      <c r="A11" s="129" t="s">
        <v>6</v>
      </c>
      <c r="C11" s="79"/>
      <c r="F11" s="78">
        <f>Q11/21</f>
        <v>1180205.2857142857</v>
      </c>
      <c r="G11" s="90">
        <f t="shared" si="2"/>
        <v>3.459418464677988E-2</v>
      </c>
      <c r="H11" s="90"/>
      <c r="I11" s="130">
        <f t="shared" si="0"/>
        <v>2.9470021909587656</v>
      </c>
      <c r="J11" s="130"/>
      <c r="K11" s="78"/>
      <c r="O11" s="89"/>
      <c r="P11" s="129" t="s">
        <v>6</v>
      </c>
      <c r="Q11" s="116">
        <v>24784311</v>
      </c>
      <c r="R11" s="116"/>
      <c r="S11" s="116">
        <v>8410007.6600000001</v>
      </c>
      <c r="T11" s="130">
        <f t="shared" si="1"/>
        <v>2.9470021909587656</v>
      </c>
      <c r="U11" s="85"/>
    </row>
    <row r="12" spans="1:21" ht="15" hidden="1" customHeight="1">
      <c r="A12" s="129" t="s">
        <v>7</v>
      </c>
      <c r="C12" s="79"/>
      <c r="F12" s="78">
        <f>Q12/22</f>
        <v>1141512.1363636365</v>
      </c>
      <c r="G12" s="90">
        <f t="shared" si="2"/>
        <v>-3.278510087948916E-2</v>
      </c>
      <c r="H12" s="90"/>
      <c r="I12" s="130">
        <f t="shared" si="0"/>
        <v>2.9616582653194028</v>
      </c>
      <c r="J12" s="130"/>
      <c r="K12" s="78"/>
      <c r="O12" s="89"/>
      <c r="P12" s="129" t="s">
        <v>7</v>
      </c>
      <c r="Q12" s="116">
        <v>25113267</v>
      </c>
      <c r="R12" s="116"/>
      <c r="S12" s="116">
        <v>8479461.4199999999</v>
      </c>
      <c r="T12" s="130">
        <f>Q12/S12</f>
        <v>2.9616582653194028</v>
      </c>
      <c r="U12" s="85"/>
    </row>
    <row r="13" spans="1:21" ht="15" hidden="1" customHeight="1">
      <c r="A13" s="129" t="s">
        <v>35</v>
      </c>
      <c r="B13" s="131">
        <f>F11+F12+F13</f>
        <v>3158919.5720779221</v>
      </c>
      <c r="C13" s="131">
        <f>AVERAGE(F11:F13)</f>
        <v>1052973.1906926406</v>
      </c>
      <c r="D13" s="90">
        <f>C13/C10-1</f>
        <v>-3.0917695565071401E-2</v>
      </c>
      <c r="E13" s="286"/>
      <c r="F13" s="78">
        <f>Q13/20</f>
        <v>837202.15</v>
      </c>
      <c r="G13" s="90">
        <f t="shared" si="2"/>
        <v>-0.26658497677741411</v>
      </c>
      <c r="H13" s="90"/>
      <c r="I13" s="130">
        <f t="shared" si="0"/>
        <v>2.9126451347956581</v>
      </c>
      <c r="J13" s="130"/>
      <c r="K13" s="78">
        <f>R11+R12+R13</f>
        <v>0</v>
      </c>
      <c r="L13" s="87">
        <f>U13/U10-1</f>
        <v>-2.6472212045439258E-2</v>
      </c>
      <c r="N13" s="88">
        <f>AVERAGE(T11:T13)</f>
        <v>2.940435197024609</v>
      </c>
      <c r="O13" s="89">
        <f>N13/N10-1</f>
        <v>-0.11478330450766505</v>
      </c>
      <c r="P13" s="129" t="s">
        <v>60</v>
      </c>
      <c r="Q13" s="116">
        <v>16744043</v>
      </c>
      <c r="R13" s="116"/>
      <c r="S13" s="116">
        <v>5748741.1699999999</v>
      </c>
      <c r="T13" s="130">
        <f>Q13/S13</f>
        <v>2.9126451347956581</v>
      </c>
      <c r="U13" s="85">
        <f>Q11+Q12+Q13</f>
        <v>66641621</v>
      </c>
    </row>
    <row r="14" spans="1:21" ht="15" hidden="1" customHeight="1">
      <c r="A14" s="129" t="s">
        <v>36</v>
      </c>
      <c r="C14" s="79"/>
      <c r="F14" s="78">
        <f>Q14/20</f>
        <v>1221011.3500000001</v>
      </c>
      <c r="G14" s="90">
        <f t="shared" si="2"/>
        <v>0.45844268316797798</v>
      </c>
      <c r="H14" s="90"/>
      <c r="I14" s="130">
        <f t="shared" si="0"/>
        <v>2.9616109934191615</v>
      </c>
      <c r="J14" s="130"/>
      <c r="O14" s="89"/>
      <c r="P14" s="129" t="s">
        <v>36</v>
      </c>
      <c r="Q14" s="116">
        <v>24420227</v>
      </c>
      <c r="R14" s="116"/>
      <c r="S14" s="116">
        <v>8245588.9900000002</v>
      </c>
      <c r="T14" s="130">
        <f>Q14/S14</f>
        <v>2.9616109934191615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1046735.9545454546</v>
      </c>
      <c r="G15" s="90">
        <f t="shared" si="2"/>
        <v>-0.14273036483612167</v>
      </c>
      <c r="H15" s="90"/>
      <c r="I15" s="130">
        <f t="shared" si="0"/>
        <v>2.9721798401284594</v>
      </c>
      <c r="J15" s="130"/>
      <c r="O15" s="89"/>
      <c r="P15" s="129" t="s">
        <v>37</v>
      </c>
      <c r="Q15" s="116">
        <v>23028191</v>
      </c>
      <c r="R15" s="116"/>
      <c r="S15" s="116">
        <v>7747913.0599999996</v>
      </c>
      <c r="T15" s="130">
        <f t="shared" ref="T15:T19" si="3">Q15/S15</f>
        <v>2.9721798401284594</v>
      </c>
      <c r="U15" s="78"/>
    </row>
    <row r="16" spans="1:21" ht="15" hidden="1" customHeight="1">
      <c r="A16" s="123" t="s">
        <v>38</v>
      </c>
      <c r="B16" s="131">
        <f>F14+F15+F16</f>
        <v>3068891.8045454547</v>
      </c>
      <c r="C16" s="131">
        <f>AVERAGE(F14:F16)</f>
        <v>1022963.9348484849</v>
      </c>
      <c r="D16" s="90">
        <f>C16/C13-1</f>
        <v>-2.8499544061910798E-2</v>
      </c>
      <c r="E16" s="286"/>
      <c r="F16" s="78">
        <f>Q16/22</f>
        <v>801144.5</v>
      </c>
      <c r="G16" s="90">
        <f t="shared" si="2"/>
        <v>-0.23462598516748456</v>
      </c>
      <c r="H16" s="90"/>
      <c r="I16" s="130">
        <f t="shared" si="0"/>
        <v>2.8465155767478367</v>
      </c>
      <c r="J16" s="130"/>
      <c r="K16" s="78">
        <f>R14+R15+R16</f>
        <v>0</v>
      </c>
      <c r="L16" s="87">
        <f>U16/U13-1</f>
        <v>-2.3529199567339454E-2</v>
      </c>
      <c r="N16" s="88">
        <f>AVERAGE(T14:T16)</f>
        <v>2.9267688034318193</v>
      </c>
      <c r="O16" s="89">
        <f>N16/N13-1</f>
        <v>-4.6477452067702485E-3</v>
      </c>
      <c r="P16" s="123" t="s">
        <v>38</v>
      </c>
      <c r="Q16" s="133">
        <v>17625179</v>
      </c>
      <c r="R16" s="133"/>
      <c r="S16" s="133">
        <v>6191843.5099999998</v>
      </c>
      <c r="T16" s="134">
        <f t="shared" si="3"/>
        <v>2.8465155767478367</v>
      </c>
      <c r="U16" s="85">
        <f>Q14+Q15+Q16</f>
        <v>65073597</v>
      </c>
    </row>
    <row r="17" spans="1:21" ht="15" hidden="1" customHeight="1">
      <c r="A17" s="129" t="s">
        <v>85</v>
      </c>
      <c r="C17" s="79"/>
      <c r="F17" s="78">
        <f>Q17/20</f>
        <v>1223769.3</v>
      </c>
      <c r="G17" s="90">
        <f t="shared" ref="G17:G22" si="4">F17/F16-1</f>
        <v>0.527526307676081</v>
      </c>
      <c r="H17" s="90">
        <f t="shared" ref="H17:H22" si="5">F17/F5-1</f>
        <v>-4.0084987318928511E-2</v>
      </c>
      <c r="I17" s="130">
        <f t="shared" si="0"/>
        <v>2.8501143273744565</v>
      </c>
      <c r="J17" s="130">
        <f t="shared" ref="J17:J49" si="6">I17/I5-1</f>
        <v>-0.3526323376603383</v>
      </c>
      <c r="O17" s="89"/>
      <c r="P17" s="129" t="s">
        <v>85</v>
      </c>
      <c r="Q17" s="116">
        <v>24475386</v>
      </c>
      <c r="R17" s="116">
        <v>30743745241</v>
      </c>
      <c r="S17" s="116">
        <v>8587510.25</v>
      </c>
      <c r="T17" s="130">
        <f t="shared" si="3"/>
        <v>2.8501143273744565</v>
      </c>
      <c r="U17" s="78"/>
    </row>
    <row r="18" spans="1:21" hidden="1">
      <c r="A18" s="129" t="s">
        <v>106</v>
      </c>
      <c r="C18" s="79"/>
      <c r="F18" s="78">
        <f>Q18/20</f>
        <v>928853.75</v>
      </c>
      <c r="G18" s="90">
        <f t="shared" si="4"/>
        <v>-0.24098949859258612</v>
      </c>
      <c r="H18" s="90">
        <f t="shared" si="5"/>
        <v>-0.39053059781550181</v>
      </c>
      <c r="I18" s="130">
        <f t="shared" si="0"/>
        <v>2.7358837502842905</v>
      </c>
      <c r="J18" s="130">
        <f t="shared" si="6"/>
        <v>-0.32027878522391029</v>
      </c>
      <c r="O18" s="89"/>
      <c r="P18" s="129" t="s">
        <v>106</v>
      </c>
      <c r="Q18" s="116">
        <v>18577075</v>
      </c>
      <c r="R18" s="116">
        <v>23389300694</v>
      </c>
      <c r="S18" s="116">
        <v>6790155.0999999996</v>
      </c>
      <c r="T18" s="130">
        <f t="shared" si="3"/>
        <v>2.7358837502842905</v>
      </c>
      <c r="U18" s="78"/>
    </row>
    <row r="19" spans="1:21" hidden="1">
      <c r="A19" s="129" t="s">
        <v>114</v>
      </c>
      <c r="B19" s="131">
        <f>SUM(F17:F19)</f>
        <v>3256794.9136363631</v>
      </c>
      <c r="C19" s="131">
        <f>AVERAGE(F17:F19)</f>
        <v>1085598.3045454544</v>
      </c>
      <c r="D19" s="90">
        <f>C19/C16-1</f>
        <v>6.122832639866882E-2</v>
      </c>
      <c r="E19" s="286">
        <f>C19/C7-1</f>
        <v>-0.26980626830178178</v>
      </c>
      <c r="F19" s="78">
        <f>Q19/22</f>
        <v>1104171.8636363635</v>
      </c>
      <c r="G19" s="90">
        <f t="shared" si="4"/>
        <v>0.18874673611035497</v>
      </c>
      <c r="H19" s="90">
        <f t="shared" si="5"/>
        <v>-0.3353447098617518</v>
      </c>
      <c r="I19" s="130">
        <f t="shared" si="0"/>
        <v>2.7765105519416244</v>
      </c>
      <c r="J19" s="130">
        <f t="shared" si="6"/>
        <v>-0.27418109476315899</v>
      </c>
      <c r="K19" s="78">
        <f>R17+R18+R19</f>
        <v>85892123828</v>
      </c>
      <c r="L19" s="87">
        <f>U19/U16-1</f>
        <v>3.4893491441697844E-2</v>
      </c>
      <c r="M19" s="87">
        <f>U19/U7-1</f>
        <v>-0.24736579253385838</v>
      </c>
      <c r="N19" s="88">
        <f>AVERAGE(T17:T19)</f>
        <v>2.7875028765334573</v>
      </c>
      <c r="O19" s="89">
        <f>N19/N16-1</f>
        <v>-4.7583508043089751E-2</v>
      </c>
      <c r="P19" s="129" t="s">
        <v>114</v>
      </c>
      <c r="Q19" s="116">
        <v>24291781</v>
      </c>
      <c r="R19" s="116">
        <v>31759077893</v>
      </c>
      <c r="S19" s="116">
        <v>8749032.4800000004</v>
      </c>
      <c r="T19" s="130">
        <f t="shared" si="3"/>
        <v>2.7765105519416244</v>
      </c>
      <c r="U19" s="85">
        <f>Q17+Q18+Q19</f>
        <v>67344242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903232.3</v>
      </c>
      <c r="G20" s="90">
        <f t="shared" si="4"/>
        <v>-0.18198214449570405</v>
      </c>
      <c r="H20" s="90">
        <f t="shared" si="5"/>
        <v>-0.209293911774176</v>
      </c>
      <c r="I20" s="130">
        <f t="shared" si="0"/>
        <v>2.6138799030856492</v>
      </c>
      <c r="J20" s="130">
        <f t="shared" si="6"/>
        <v>-0.26772487941887402</v>
      </c>
      <c r="O20" s="89"/>
      <c r="P20" s="129" t="s">
        <v>132</v>
      </c>
      <c r="Q20" s="116">
        <v>18064646</v>
      </c>
      <c r="R20" s="116">
        <v>23677336779</v>
      </c>
      <c r="S20" s="116">
        <v>6911046.6699999999</v>
      </c>
      <c r="T20" s="130">
        <f t="shared" ref="T20" si="7">Q20/S20</f>
        <v>2.6138799030856492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778382.23809523811</v>
      </c>
      <c r="G21" s="90">
        <f t="shared" si="4"/>
        <v>-0.13822586050649643</v>
      </c>
      <c r="H21" s="90">
        <f t="shared" si="5"/>
        <v>-0.20300698832899133</v>
      </c>
      <c r="I21" s="130">
        <f t="shared" si="0"/>
        <v>2.42238348112775</v>
      </c>
      <c r="J21" s="130">
        <f t="shared" si="6"/>
        <v>-0.26055132585843366</v>
      </c>
      <c r="O21" s="89"/>
      <c r="P21" s="129" t="s">
        <v>141</v>
      </c>
      <c r="Q21" s="116">
        <v>16346027</v>
      </c>
      <c r="R21" s="116">
        <v>21735097572</v>
      </c>
      <c r="S21" s="116">
        <v>6747910.5300000003</v>
      </c>
      <c r="T21" s="130">
        <f t="shared" ref="T21" si="8">Q21/S21</f>
        <v>2.42238348112775</v>
      </c>
      <c r="U21" s="78"/>
    </row>
    <row r="22" spans="1:21" hidden="1">
      <c r="A22" s="129" t="s">
        <v>156</v>
      </c>
      <c r="B22" s="131">
        <f>SUM(F20:F22)</f>
        <v>2350895.442857143</v>
      </c>
      <c r="C22" s="131">
        <f>AVERAGE(F20:F22)</f>
        <v>783631.8142857143</v>
      </c>
      <c r="D22" s="90">
        <f>C22/C19-1</f>
        <v>-0.27815674453008199</v>
      </c>
      <c r="E22" s="286">
        <f>C22/C10-1</f>
        <v>-0.2788005135088083</v>
      </c>
      <c r="F22" s="78">
        <f>Q22/21</f>
        <v>669280.90476190473</v>
      </c>
      <c r="G22" s="90">
        <f t="shared" si="4"/>
        <v>-0.14016421238017052</v>
      </c>
      <c r="H22" s="90">
        <f t="shared" si="5"/>
        <v>-0.41329348347840533</v>
      </c>
      <c r="I22" s="130">
        <f t="shared" si="0"/>
        <v>2.2828524172247073</v>
      </c>
      <c r="J22" s="130">
        <f t="shared" si="6"/>
        <v>-0.2682397170451446</v>
      </c>
      <c r="K22" s="78">
        <f>R20+R21+R22</f>
        <v>63705073858</v>
      </c>
      <c r="L22" s="87">
        <f>U22/U19-1</f>
        <v>-0.28033087075209784</v>
      </c>
      <c r="M22" s="87">
        <f>U22/U10-1</f>
        <v>-0.29199529673636693</v>
      </c>
      <c r="N22" s="88">
        <f>AVERAGE(T20:T22)</f>
        <v>2.4397052671460355</v>
      </c>
      <c r="O22" s="89">
        <f>N22/N19-1</f>
        <v>-0.12477031407405881</v>
      </c>
      <c r="P22" s="129" t="s">
        <v>156</v>
      </c>
      <c r="Q22" s="116">
        <v>14054899</v>
      </c>
      <c r="R22" s="116">
        <v>18292639507</v>
      </c>
      <c r="S22" s="116">
        <v>6156726.9500000002</v>
      </c>
      <c r="T22" s="130">
        <f t="shared" ref="T22:T23" si="9">Q22/S22</f>
        <v>2.2828524172247073</v>
      </c>
      <c r="U22" s="85">
        <f>Q20+Q21+Q22</f>
        <v>48465572</v>
      </c>
    </row>
    <row r="23" spans="1:21" hidden="1">
      <c r="A23" s="129" t="s">
        <v>189</v>
      </c>
      <c r="B23" s="131"/>
      <c r="C23" s="131"/>
      <c r="F23" s="78">
        <f>Q23/21</f>
        <v>702136.09523809527</v>
      </c>
      <c r="G23" s="90">
        <f t="shared" ref="G23" si="10">F23/F22-1</f>
        <v>4.9090285173874371E-2</v>
      </c>
      <c r="H23" s="90">
        <f t="shared" ref="H23" si="11">F23/F11-1</f>
        <v>-0.40507291084266972</v>
      </c>
      <c r="I23" s="130">
        <f t="shared" si="0"/>
        <v>2.0514898068712513</v>
      </c>
      <c r="J23" s="130">
        <f t="shared" si="6"/>
        <v>-0.30387231703963269</v>
      </c>
      <c r="O23" s="89"/>
      <c r="P23" s="129" t="s">
        <v>189</v>
      </c>
      <c r="Q23" s="116">
        <v>14744858</v>
      </c>
      <c r="R23" s="116">
        <v>19035263638</v>
      </c>
      <c r="S23" s="116">
        <v>7187390.3300000001</v>
      </c>
      <c r="T23" s="130">
        <f t="shared" si="9"/>
        <v>2.0514898068712513</v>
      </c>
      <c r="U23" s="78"/>
    </row>
    <row r="24" spans="1:21" hidden="1">
      <c r="A24" s="129" t="s">
        <v>204</v>
      </c>
      <c r="B24" s="131"/>
      <c r="C24" s="131"/>
      <c r="F24" s="78">
        <f>Q24/22</f>
        <v>682071.31818181823</v>
      </c>
      <c r="G24" s="90">
        <f t="shared" ref="G24" si="12">F24/F23-1</f>
        <v>-2.8576763382992088E-2</v>
      </c>
      <c r="H24" s="90">
        <f t="shared" ref="H24" si="13">F24/F12-1</f>
        <v>-0.40248439201478647</v>
      </c>
      <c r="I24" s="130">
        <f t="shared" si="0"/>
        <v>2.0983558776633511</v>
      </c>
      <c r="J24" s="130">
        <f t="shared" si="6"/>
        <v>-0.29149291049720349</v>
      </c>
      <c r="O24" s="89"/>
      <c r="P24" s="129" t="s">
        <v>204</v>
      </c>
      <c r="Q24" s="116">
        <v>15005569</v>
      </c>
      <c r="R24" s="116">
        <v>19657479636</v>
      </c>
      <c r="S24" s="116">
        <v>7151107.7599999998</v>
      </c>
      <c r="T24" s="130">
        <f t="shared" ref="T24" si="14">Q24/S24</f>
        <v>2.0983558776633511</v>
      </c>
      <c r="U24" s="78"/>
    </row>
    <row r="25" spans="1:21" s="79" customFormat="1" ht="13.2" hidden="1">
      <c r="A25" s="129" t="s">
        <v>219</v>
      </c>
      <c r="B25" s="131">
        <f>SUM(F23:F25)</f>
        <v>2153186.8871041238</v>
      </c>
      <c r="C25" s="131">
        <f>AVERAGE(F23:F25)</f>
        <v>717728.96236804128</v>
      </c>
      <c r="D25" s="90">
        <f>C25/C22-1</f>
        <v>-8.4099255181138699E-2</v>
      </c>
      <c r="E25" s="286">
        <f>C25/C13-1</f>
        <v>-0.31837869310241163</v>
      </c>
      <c r="F25" s="78">
        <f>Q25/19</f>
        <v>768979.47368421056</v>
      </c>
      <c r="G25" s="90">
        <f t="shared" ref="G25" si="15">F25/F24-1</f>
        <v>0.12741798868490961</v>
      </c>
      <c r="H25" s="90">
        <f t="shared" ref="H25" si="16">F25/F13-1</f>
        <v>-8.148889287466532E-2</v>
      </c>
      <c r="I25" s="130">
        <f t="shared" si="0"/>
        <v>2.0327963796720709</v>
      </c>
      <c r="J25" s="130">
        <f t="shared" si="6"/>
        <v>-0.30207894007153557</v>
      </c>
      <c r="K25" s="78">
        <f>R23+R24+R25</f>
        <v>58075468153</v>
      </c>
      <c r="L25" s="90">
        <f>U25/U22-1</f>
        <v>-8.4689705096227863E-2</v>
      </c>
      <c r="M25" s="90">
        <f>U25/U13-1</f>
        <v>-0.33433436440569175</v>
      </c>
      <c r="N25" s="88">
        <f>AVERAGE(T23:T25)</f>
        <v>2.0608806880688912</v>
      </c>
      <c r="O25" s="91">
        <f>N25/N22-1</f>
        <v>-0.15527473100072164</v>
      </c>
      <c r="P25" s="129" t="s">
        <v>219</v>
      </c>
      <c r="Q25" s="116">
        <v>14610610</v>
      </c>
      <c r="R25" s="116">
        <v>19382724879</v>
      </c>
      <c r="S25" s="116">
        <v>7187443.9299999997</v>
      </c>
      <c r="T25" s="130">
        <f t="shared" ref="T25" si="17">Q25/S25</f>
        <v>2.0327963796720709</v>
      </c>
      <c r="U25" s="85">
        <f>Q23+Q24+Q25</f>
        <v>44361037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930544.47368421056</v>
      </c>
      <c r="G26" s="90">
        <f t="shared" ref="G26" si="18">F26/F25-1</f>
        <v>0.21010313737756325</v>
      </c>
      <c r="H26" s="90">
        <f t="shared" ref="H26" si="19">F26/F14-1</f>
        <v>-0.23789039824714941</v>
      </c>
      <c r="I26" s="130">
        <f t="shared" si="0"/>
        <v>2.1057403389818727</v>
      </c>
      <c r="J26" s="130">
        <f t="shared" si="6"/>
        <v>-0.28898820822149618</v>
      </c>
      <c r="L26" s="90"/>
      <c r="M26" s="90"/>
      <c r="P26" s="129" t="s">
        <v>312</v>
      </c>
      <c r="Q26" s="116">
        <v>17680345</v>
      </c>
      <c r="R26" s="116">
        <v>23820738375</v>
      </c>
      <c r="S26" s="116">
        <v>8396260.7699999996</v>
      </c>
      <c r="T26" s="130">
        <f t="shared" ref="T26" si="20">Q26/S26</f>
        <v>2.1057403389818727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523455.40909090912</v>
      </c>
      <c r="G27" s="90">
        <f t="shared" ref="G27" si="21">F27/F26-1</f>
        <v>-0.43747405535767137</v>
      </c>
      <c r="H27" s="90">
        <f t="shared" ref="H27" si="22">F27/F15-1</f>
        <v>-0.49991647194519095</v>
      </c>
      <c r="I27" s="130">
        <f t="shared" si="0"/>
        <v>2.1168553705806006</v>
      </c>
      <c r="J27" s="130">
        <f t="shared" si="6"/>
        <v>-0.28777682225005985</v>
      </c>
      <c r="L27" s="90"/>
      <c r="M27" s="90"/>
      <c r="P27" s="129" t="s">
        <v>375</v>
      </c>
      <c r="Q27" s="116">
        <v>11516019</v>
      </c>
      <c r="R27" s="116">
        <v>15227521378</v>
      </c>
      <c r="S27" s="116">
        <v>5440153.9000000004</v>
      </c>
      <c r="T27" s="130">
        <f t="shared" ref="T27" si="23">Q27/S27</f>
        <v>2.1168553705806006</v>
      </c>
      <c r="U27" s="78"/>
    </row>
    <row r="28" spans="1:21" s="79" customFormat="1" ht="13.2" hidden="1">
      <c r="A28" s="123" t="s">
        <v>413</v>
      </c>
      <c r="B28" s="131">
        <f>SUM(F26:F28)</f>
        <v>2055184.1459330143</v>
      </c>
      <c r="C28" s="131">
        <f>AVERAGE(F26:F28)</f>
        <v>685061.38197767141</v>
      </c>
      <c r="D28" s="90">
        <f>C28/C25-1</f>
        <v>-4.5515204350383143E-2</v>
      </c>
      <c r="E28" s="286">
        <f>C28/C16-1</f>
        <v>-0.33031717087940304</v>
      </c>
      <c r="F28" s="78">
        <f>Q28/19</f>
        <v>601184.26315789472</v>
      </c>
      <c r="G28" s="90">
        <f t="shared" ref="G28" si="24">F28/F27-1</f>
        <v>0.14849183467600069</v>
      </c>
      <c r="H28" s="90">
        <f t="shared" ref="H28" si="25">F28/F16-1</f>
        <v>-0.24959322174976584</v>
      </c>
      <c r="I28" s="130">
        <f t="shared" si="0"/>
        <v>2.0965708052233492</v>
      </c>
      <c r="J28" s="130">
        <f t="shared" si="6"/>
        <v>-0.26346062450896701</v>
      </c>
      <c r="K28" s="78">
        <f>R26+R27+R28</f>
        <v>53947342860</v>
      </c>
      <c r="L28" s="90">
        <f>U28/U25-1</f>
        <v>-8.4357180378808572E-2</v>
      </c>
      <c r="M28" s="90">
        <f>U28/U16-1</f>
        <v>-0.3758011409758093</v>
      </c>
      <c r="N28" s="88">
        <f>AVERAGE(T26:T28)</f>
        <v>2.1063888382619407</v>
      </c>
      <c r="O28" s="91">
        <f>N28/N25-1</f>
        <v>2.2081894627142162E-2</v>
      </c>
      <c r="P28" s="129" t="s">
        <v>413</v>
      </c>
      <c r="Q28" s="116">
        <v>11422501</v>
      </c>
      <c r="R28" s="116">
        <v>14899083107</v>
      </c>
      <c r="S28" s="116">
        <v>5448182.7999999998</v>
      </c>
      <c r="T28" s="130">
        <f t="shared" ref="T28" si="26">Q28/S28</f>
        <v>2.0965708052233492</v>
      </c>
      <c r="U28" s="85">
        <f>Q26+Q27+Q28</f>
        <v>40618865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673634.86363636365</v>
      </c>
      <c r="G29" s="190">
        <f t="shared" ref="G29" si="27">F29/F28-1</f>
        <v>0.12051313535371189</v>
      </c>
      <c r="H29" s="190">
        <f t="shared" ref="H29" si="28">F29/F17-1</f>
        <v>-0.4495409685172167</v>
      </c>
      <c r="I29" s="130">
        <f t="shared" si="0"/>
        <v>2.1007902939779481</v>
      </c>
      <c r="J29" s="130">
        <f t="shared" si="6"/>
        <v>-0.26291016686575885</v>
      </c>
      <c r="K29" s="136"/>
      <c r="L29" s="190"/>
      <c r="M29" s="190"/>
      <c r="N29" s="191"/>
      <c r="O29" s="192"/>
      <c r="P29" s="129" t="s">
        <v>427</v>
      </c>
      <c r="Q29" s="116">
        <v>14819967</v>
      </c>
      <c r="R29" s="116">
        <v>19442196951</v>
      </c>
      <c r="S29" s="116">
        <v>7054472.3300000001</v>
      </c>
      <c r="T29" s="130">
        <f t="shared" ref="T29" si="29">Q29/S29</f>
        <v>2.1007902939779481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724265.63157894742</v>
      </c>
      <c r="G30" s="190">
        <f t="shared" ref="G30" si="30">F30/F29-1</f>
        <v>7.5160551621797911E-2</v>
      </c>
      <c r="H30" s="190">
        <f t="shared" ref="H30" si="31">F30/F18-1</f>
        <v>-0.22025869887595606</v>
      </c>
      <c r="I30" s="130">
        <f t="shared" si="0"/>
        <v>2.1696240194421992</v>
      </c>
      <c r="J30" s="130">
        <f t="shared" si="6"/>
        <v>-0.20697507004208426</v>
      </c>
      <c r="K30" s="136"/>
      <c r="L30" s="190"/>
      <c r="M30" s="190"/>
      <c r="N30" s="191"/>
      <c r="O30" s="192"/>
      <c r="P30" s="129" t="s">
        <v>466</v>
      </c>
      <c r="Q30" s="116">
        <v>13761047</v>
      </c>
      <c r="R30" s="116">
        <v>18331074468</v>
      </c>
      <c r="S30" s="116">
        <v>6342595.25</v>
      </c>
      <c r="T30" s="130">
        <f t="shared" ref="T30:T31" si="32">Q30/S30</f>
        <v>2.1696240194421992</v>
      </c>
      <c r="U30" s="85"/>
    </row>
    <row r="31" spans="1:21" s="79" customFormat="1" ht="13.2" hidden="1">
      <c r="A31" s="129" t="s">
        <v>505</v>
      </c>
      <c r="B31" s="188">
        <f>SUM(F29:F31)</f>
        <v>2216108.0952153113</v>
      </c>
      <c r="C31" s="188">
        <f>AVERAGE(F29:F31)</f>
        <v>738702.69840510376</v>
      </c>
      <c r="D31" s="190">
        <f>C31/C28-1</f>
        <v>7.8301474639510094E-2</v>
      </c>
      <c r="E31" s="287">
        <f>C31/C19-1</f>
        <v>-0.31954324604955753</v>
      </c>
      <c r="F31" s="136">
        <f>Q31/20</f>
        <v>818207.6</v>
      </c>
      <c r="G31" s="190">
        <f t="shared" ref="G31" si="33">F31/F30-1</f>
        <v>0.12970651143041656</v>
      </c>
      <c r="H31" s="190">
        <f t="shared" ref="H31" si="34">F31/F19-1</f>
        <v>-0.25898528395262577</v>
      </c>
      <c r="I31" s="130">
        <f t="shared" si="0"/>
        <v>2.1491287410703981</v>
      </c>
      <c r="J31" s="130">
        <f t="shared" si="6"/>
        <v>-0.22596053540387084</v>
      </c>
      <c r="K31" s="136">
        <f>R29+R30+R31</f>
        <v>59504200360</v>
      </c>
      <c r="L31" s="190">
        <f>U31/U28-1</f>
        <v>0.10650964767233151</v>
      </c>
      <c r="M31" s="190">
        <f>U31/U19-1</f>
        <v>-0.33260565914454865</v>
      </c>
      <c r="N31" s="191">
        <f>AVERAGE(T29:T31)</f>
        <v>2.139847684830182</v>
      </c>
      <c r="O31" s="192">
        <f>N31/N28-1</f>
        <v>1.5884458728830708E-2</v>
      </c>
      <c r="P31" s="129" t="s">
        <v>505</v>
      </c>
      <c r="Q31" s="116">
        <v>16364152</v>
      </c>
      <c r="R31" s="116">
        <v>21730928941</v>
      </c>
      <c r="S31" s="116">
        <v>7614319.0899999999</v>
      </c>
      <c r="T31" s="130">
        <f t="shared" si="32"/>
        <v>2.1491287410703981</v>
      </c>
      <c r="U31" s="85">
        <f>Q29+Q30+Q31</f>
        <v>44945166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916749.52380952379</v>
      </c>
      <c r="G32" s="190">
        <f t="shared" ref="G32" si="35">F32/F31-1</f>
        <v>0.12043633401782605</v>
      </c>
      <c r="H32" s="190">
        <f t="shared" ref="H32" si="36">F32/F20-1</f>
        <v>1.4965390198649509E-2</v>
      </c>
      <c r="I32" s="130">
        <f t="shared" si="0"/>
        <v>2.1473896567962973</v>
      </c>
      <c r="J32" s="130">
        <f t="shared" si="6"/>
        <v>-0.17846659509439078</v>
      </c>
      <c r="K32" s="136"/>
      <c r="L32" s="190"/>
      <c r="M32" s="190"/>
      <c r="N32" s="191"/>
      <c r="O32" s="192"/>
      <c r="P32" s="129" t="s">
        <v>562</v>
      </c>
      <c r="Q32" s="116">
        <v>19251740</v>
      </c>
      <c r="R32" s="116">
        <v>26125788444</v>
      </c>
      <c r="S32" s="116">
        <v>8965182.4199999999</v>
      </c>
      <c r="T32" s="130">
        <f t="shared" ref="T32" si="37">Q32/S32</f>
        <v>2.1473896567962973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959607.33333333337</v>
      </c>
      <c r="G33" s="190">
        <f t="shared" ref="G33" si="38">F33/F32-1</f>
        <v>4.6749748334436347E-2</v>
      </c>
      <c r="H33" s="190">
        <f t="shared" ref="H33" si="39">F33/F21-1</f>
        <v>0.2328227525869131</v>
      </c>
      <c r="I33" s="130">
        <f t="shared" si="0"/>
        <v>2.1245885040806916</v>
      </c>
      <c r="J33" s="130">
        <f t="shared" si="6"/>
        <v>-0.12293469608223173</v>
      </c>
      <c r="K33" s="136"/>
      <c r="L33" s="190"/>
      <c r="M33" s="190"/>
      <c r="N33" s="191"/>
      <c r="O33" s="192"/>
      <c r="P33" s="129" t="s">
        <v>609</v>
      </c>
      <c r="Q33" s="116">
        <v>20151754</v>
      </c>
      <c r="R33" s="116">
        <v>27548652190</v>
      </c>
      <c r="S33" s="116">
        <v>9485015.0800000001</v>
      </c>
      <c r="T33" s="130">
        <f t="shared" ref="T33" si="40">Q33/S33</f>
        <v>2.1245885040806916</v>
      </c>
      <c r="U33" s="85"/>
    </row>
    <row r="34" spans="1:21" s="79" customFormat="1" ht="13.2" hidden="1">
      <c r="A34" s="129" t="s">
        <v>652</v>
      </c>
      <c r="B34" s="188">
        <f>SUM(F32:F34)</f>
        <v>2500783.5939849624</v>
      </c>
      <c r="C34" s="188">
        <f>AVERAGE(F32:F34)</f>
        <v>833594.53132832085</v>
      </c>
      <c r="D34" s="190">
        <f>C34/C31-1</f>
        <v>0.12845740665100225</v>
      </c>
      <c r="E34" s="287">
        <f>C34/C22-1</f>
        <v>6.3757897690955634E-2</v>
      </c>
      <c r="F34" s="136">
        <f>Q34/19</f>
        <v>624426.73684210528</v>
      </c>
      <c r="G34" s="190">
        <f t="shared" ref="G34" si="41">F34/F33-1</f>
        <v>-0.34928932371424293</v>
      </c>
      <c r="H34" s="190">
        <f t="shared" ref="H34" si="42">F34/F22-1</f>
        <v>-6.7018448607548797E-2</v>
      </c>
      <c r="I34" s="130">
        <f t="shared" si="0"/>
        <v>2.0590267080111899</v>
      </c>
      <c r="J34" s="130">
        <f t="shared" si="6"/>
        <v>-9.8046508624339834E-2</v>
      </c>
      <c r="K34" s="136">
        <f>R32+R33+R34</f>
        <v>69980849850</v>
      </c>
      <c r="L34" s="190">
        <f>U34/U31-1</f>
        <v>0.14066998884818882</v>
      </c>
      <c r="M34" s="190">
        <f>U34/U22-1</f>
        <v>5.7814854635368729E-2</v>
      </c>
      <c r="N34" s="191">
        <f>AVERAGE(T32:T34)</f>
        <v>2.1103349562960596</v>
      </c>
      <c r="O34" s="192">
        <f>N34/N31-1</f>
        <v>-1.3791976290342567E-2</v>
      </c>
      <c r="P34" s="129" t="s">
        <v>652</v>
      </c>
      <c r="Q34" s="116">
        <v>11864108</v>
      </c>
      <c r="R34" s="116">
        <v>16306409216</v>
      </c>
      <c r="S34" s="116">
        <v>5761998.1100000003</v>
      </c>
      <c r="T34" s="130">
        <f t="shared" ref="T34" si="43">Q34/S34</f>
        <v>2.0590267080111899</v>
      </c>
      <c r="U34" s="85">
        <f>Q32+Q33+Q34</f>
        <v>51267602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554402.21739130432</v>
      </c>
      <c r="G35" s="190">
        <f t="shared" ref="G35" si="44">F35/F34-1</f>
        <v>-0.11214209020730581</v>
      </c>
      <c r="H35" s="190">
        <f t="shared" ref="H35" si="45">F35/F23-1</f>
        <v>-0.2104063284151404</v>
      </c>
      <c r="I35" s="130">
        <f t="shared" si="0"/>
        <v>1.990812451024476</v>
      </c>
      <c r="J35" s="130">
        <f t="shared" si="6"/>
        <v>-2.9577215369797516E-2</v>
      </c>
      <c r="K35" s="136"/>
      <c r="L35" s="190"/>
      <c r="M35" s="190"/>
      <c r="N35" s="191"/>
      <c r="O35" s="192"/>
      <c r="P35" s="129" t="s">
        <v>660</v>
      </c>
      <c r="Q35" s="116">
        <v>12751251</v>
      </c>
      <c r="R35" s="116">
        <v>17636141278</v>
      </c>
      <c r="S35" s="116">
        <v>6405048.8499999996</v>
      </c>
      <c r="T35" s="130">
        <f t="shared" ref="T35" si="46">Q35/S35</f>
        <v>1.990812451024476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853201.52380952379</v>
      </c>
      <c r="G36" s="190">
        <f t="shared" ref="G36" si="47">F36/F35-1</f>
        <v>0.53895763228400484</v>
      </c>
      <c r="H36" s="190">
        <f t="shared" ref="H36" si="48">F36/F24-1</f>
        <v>0.25089781825730983</v>
      </c>
      <c r="I36" s="130">
        <f t="shared" si="0"/>
        <v>2.0524600789054319</v>
      </c>
      <c r="J36" s="130">
        <f t="shared" si="6"/>
        <v>-2.1872266399838192E-2</v>
      </c>
      <c r="K36" s="136"/>
      <c r="L36" s="190"/>
      <c r="M36" s="190"/>
      <c r="N36" s="191"/>
      <c r="O36" s="192"/>
      <c r="P36" s="129" t="s">
        <v>664</v>
      </c>
      <c r="Q36" s="116">
        <v>17917232</v>
      </c>
      <c r="R36" s="116">
        <v>24580980512</v>
      </c>
      <c r="S36" s="116">
        <v>8729637.2699999996</v>
      </c>
      <c r="T36" s="130">
        <f t="shared" ref="T36" si="49">Q36/S36</f>
        <v>2.0524600789054319</v>
      </c>
      <c r="U36" s="85"/>
    </row>
    <row r="37" spans="1:21" s="79" customFormat="1" ht="13.2" hidden="1">
      <c r="A37" s="129" t="s">
        <v>702</v>
      </c>
      <c r="B37" s="188">
        <f>SUM(F35:F37)</f>
        <v>1945391.0745341615</v>
      </c>
      <c r="C37" s="188">
        <f>AVERAGE(F35:F37)</f>
        <v>648463.69151138712</v>
      </c>
      <c r="D37" s="190">
        <f>C37/C34-1</f>
        <v>-0.2220873972408749</v>
      </c>
      <c r="E37" s="287">
        <f>C37/C25-1</f>
        <v>-9.6506166656732839E-2</v>
      </c>
      <c r="F37" s="136">
        <f>Q37/18</f>
        <v>537787.33333333337</v>
      </c>
      <c r="G37" s="190">
        <f t="shared" ref="G37" si="50">F37/F36-1</f>
        <v>-0.36968310730139564</v>
      </c>
      <c r="H37" s="190">
        <f t="shared" ref="H37" si="51">F37/F25-1</f>
        <v>-0.30064799941047404</v>
      </c>
      <c r="I37" s="130">
        <f t="shared" si="0"/>
        <v>1.850092617469228</v>
      </c>
      <c r="J37" s="130">
        <f t="shared" si="6"/>
        <v>-8.987804387585363E-2</v>
      </c>
      <c r="K37" s="136">
        <f>R35+R36+R37</f>
        <v>55132472035</v>
      </c>
      <c r="L37" s="190">
        <f>U37/U34-1</f>
        <v>-0.2129794758100837</v>
      </c>
      <c r="M37" s="190">
        <f>U37/U25-1</f>
        <v>-9.0448336453451295E-2</v>
      </c>
      <c r="N37" s="191">
        <f>AVERAGE(T35:T37)</f>
        <v>1.9644550491330453</v>
      </c>
      <c r="O37" s="192">
        <f>N37/N34-1</f>
        <v>-6.9126423143297866E-2</v>
      </c>
      <c r="P37" s="129" t="s">
        <v>702</v>
      </c>
      <c r="Q37" s="116">
        <v>9680172</v>
      </c>
      <c r="R37" s="116">
        <v>12915350245</v>
      </c>
      <c r="S37" s="116">
        <v>5232263.46</v>
      </c>
      <c r="T37" s="130">
        <f t="shared" ref="T37" si="52">Q37/S37</f>
        <v>1.850092617469228</v>
      </c>
      <c r="U37" s="85">
        <f>Q35+Q36+Q37</f>
        <v>40348655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481663.4</v>
      </c>
      <c r="G38" s="190">
        <f t="shared" ref="G38" si="53">F38/F37-1</f>
        <v>-0.10436083160505827</v>
      </c>
      <c r="H38" s="190">
        <f t="shared" ref="H38" si="54">F38/F26-1</f>
        <v>-0.48238540594089085</v>
      </c>
      <c r="I38" s="130">
        <f t="shared" si="0"/>
        <v>1.7864113882562354</v>
      </c>
      <c r="J38" s="130">
        <f t="shared" si="6"/>
        <v>-0.15164687915891528</v>
      </c>
      <c r="K38" s="136"/>
      <c r="L38" s="190"/>
      <c r="M38" s="190"/>
      <c r="N38" s="191"/>
      <c r="O38" s="192"/>
      <c r="P38" s="129" t="s">
        <v>728</v>
      </c>
      <c r="Q38" s="116">
        <v>9633268</v>
      </c>
      <c r="R38" s="116">
        <v>12927392902</v>
      </c>
      <c r="S38" s="116">
        <v>5392524.96</v>
      </c>
      <c r="T38" s="130">
        <f t="shared" ref="T38" si="55">Q38/S38</f>
        <v>1.7864113882562354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590660.61904761905</v>
      </c>
      <c r="G39" s="190">
        <f t="shared" ref="G39" si="56">F39/F38-1</f>
        <v>0.22629333897410309</v>
      </c>
      <c r="H39" s="190">
        <f t="shared" ref="H39" si="57">F39/F27-1</f>
        <v>0.12838765019818199</v>
      </c>
      <c r="I39" s="130">
        <f t="shared" si="0"/>
        <v>1.8683933903337531</v>
      </c>
      <c r="J39" s="130">
        <f t="shared" si="6"/>
        <v>-0.11737314872801186</v>
      </c>
      <c r="K39" s="136"/>
      <c r="L39" s="190"/>
      <c r="M39" s="190"/>
      <c r="N39" s="191"/>
      <c r="O39" s="192"/>
      <c r="P39" s="129" t="s">
        <v>762</v>
      </c>
      <c r="Q39" s="116">
        <v>12403873</v>
      </c>
      <c r="R39" s="116">
        <v>17223363477</v>
      </c>
      <c r="S39" s="116">
        <v>6638790.8799999999</v>
      </c>
      <c r="T39" s="130">
        <f t="shared" ref="T39" si="58">Q39/S39</f>
        <v>1.8683933903337531</v>
      </c>
      <c r="U39" s="85"/>
    </row>
    <row r="40" spans="1:21" s="79" customFormat="1" ht="13.2" hidden="1">
      <c r="A40" s="129" t="s">
        <v>778</v>
      </c>
      <c r="B40" s="188">
        <f>SUM(F38:F40)</f>
        <v>1868754.2571428572</v>
      </c>
      <c r="C40" s="188">
        <f>AVERAGE(F38:F40)</f>
        <v>622918.08571428573</v>
      </c>
      <c r="D40" s="190">
        <f>C40/C37-1</f>
        <v>-3.9394041843054839E-2</v>
      </c>
      <c r="E40" s="287">
        <f>C40/C28-1</f>
        <v>-9.0712011942619131E-2</v>
      </c>
      <c r="F40" s="136">
        <f>Q40/21</f>
        <v>796430.23809523811</v>
      </c>
      <c r="G40" s="190">
        <f t="shared" ref="G40" si="59">F40/F39-1</f>
        <v>0.34837199639177219</v>
      </c>
      <c r="H40" s="190">
        <f t="shared" ref="H40" si="60">F40/F28-1</f>
        <v>0.32476893841458399</v>
      </c>
      <c r="I40" s="130">
        <f t="shared" si="0"/>
        <v>2.0459551114155339</v>
      </c>
      <c r="J40" s="130">
        <f t="shared" si="6"/>
        <v>-2.4142134232582269E-2</v>
      </c>
      <c r="K40" s="136">
        <f>R38+R39+R40</f>
        <v>53900556880</v>
      </c>
      <c r="L40" s="190">
        <f>U40/U37-1</f>
        <v>-3.931925364054889E-2</v>
      </c>
      <c r="M40" s="190">
        <f>U40/U28-1</f>
        <v>-4.5710016761915884E-2</v>
      </c>
      <c r="N40" s="191">
        <f>AVERAGE(T38:T40)</f>
        <v>1.9002532966685075</v>
      </c>
      <c r="O40" s="192">
        <f>N40/N37-1</f>
        <v>-3.2681711140639891E-2</v>
      </c>
      <c r="P40" s="129" t="s">
        <v>778</v>
      </c>
      <c r="Q40" s="116">
        <v>16725035</v>
      </c>
      <c r="R40" s="116">
        <v>23749800501</v>
      </c>
      <c r="S40" s="116">
        <v>8174683.2599999998</v>
      </c>
      <c r="T40" s="130">
        <f t="shared" ref="T40" si="61">Q40/S40</f>
        <v>2.0459551114155339</v>
      </c>
      <c r="U40" s="85">
        <f>Q38+Q39+Q40</f>
        <v>38762176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743908</v>
      </c>
      <c r="G41" s="190">
        <f t="shared" ref="G41" si="62">F41/F40-1</f>
        <v>-6.5947066777438779E-2</v>
      </c>
      <c r="H41" s="190">
        <f t="shared" ref="H41" si="63">F41/F29-1</f>
        <v>0.10431932810646605</v>
      </c>
      <c r="I41" s="130">
        <f t="shared" si="0"/>
        <v>1.7416348659225398</v>
      </c>
      <c r="J41" s="130">
        <f t="shared" si="6"/>
        <v>-0.17096205608191861</v>
      </c>
      <c r="K41" s="193"/>
      <c r="L41" s="190"/>
      <c r="M41" s="190"/>
      <c r="N41" s="193"/>
      <c r="O41" s="193"/>
      <c r="P41" s="129" t="s">
        <v>793</v>
      </c>
      <c r="Q41" s="116">
        <v>13390344</v>
      </c>
      <c r="R41" s="116">
        <v>19538602355</v>
      </c>
      <c r="S41" s="116">
        <v>7688376.1699999999</v>
      </c>
      <c r="T41" s="130">
        <f t="shared" ref="T41" si="64">Q41/S41</f>
        <v>1.7416348659225398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709234.6</v>
      </c>
      <c r="G42" s="190">
        <f t="shared" ref="G42" si="65">F42/F41-1</f>
        <v>-4.6609795834968826E-2</v>
      </c>
      <c r="H42" s="190">
        <f t="shared" ref="H42" si="66">F42/F30-1</f>
        <v>-2.0753479004904318E-2</v>
      </c>
      <c r="I42" s="130">
        <f t="shared" si="0"/>
        <v>1.8898667855071614</v>
      </c>
      <c r="J42" s="130">
        <f t="shared" si="6"/>
        <v>-0.12894272529622997</v>
      </c>
      <c r="K42" s="193"/>
      <c r="L42" s="190"/>
      <c r="M42" s="190"/>
      <c r="N42" s="193"/>
      <c r="O42" s="193"/>
      <c r="P42" s="129" t="s">
        <v>826</v>
      </c>
      <c r="Q42" s="116">
        <v>14184692</v>
      </c>
      <c r="R42" s="116">
        <v>20503618064</v>
      </c>
      <c r="S42" s="116">
        <v>7505657.0700000003</v>
      </c>
      <c r="T42" s="130">
        <f t="shared" ref="T42" si="67">Q42/S42</f>
        <v>1.8898667855071614</v>
      </c>
      <c r="U42" s="78"/>
    </row>
    <row r="43" spans="1:21" s="79" customFormat="1" ht="13.2">
      <c r="A43" s="129" t="s">
        <v>835</v>
      </c>
      <c r="B43" s="188">
        <f>SUM(F41:F43)</f>
        <v>2023815.3</v>
      </c>
      <c r="C43" s="188">
        <f>AVERAGE(F41:F43)</f>
        <v>674605.1</v>
      </c>
      <c r="D43" s="190">
        <f>C43/C40-1</f>
        <v>8.2975619862515337E-2</v>
      </c>
      <c r="E43" s="287">
        <f>C43/C31-1</f>
        <v>-8.6770494467522163E-2</v>
      </c>
      <c r="F43" s="136">
        <f>Q43/20</f>
        <v>570672.69999999995</v>
      </c>
      <c r="G43" s="190">
        <f t="shared" ref="G43" si="68">F43/F42-1</f>
        <v>-0.19536821807621907</v>
      </c>
      <c r="H43" s="190">
        <f t="shared" ref="H43" si="69">F43/F31-1</f>
        <v>-0.30253312240072083</v>
      </c>
      <c r="I43" s="130">
        <f t="shared" si="0"/>
        <v>1.6578789167222252</v>
      </c>
      <c r="J43" s="130">
        <f t="shared" si="6"/>
        <v>-0.22858091977472705</v>
      </c>
      <c r="K43" s="136">
        <f>R41+R42+R43</f>
        <v>56574237034</v>
      </c>
      <c r="L43" s="190">
        <f>U43/U40-1</f>
        <v>5.8385267122258444E-3</v>
      </c>
      <c r="M43" s="190">
        <f>K43/K31-1</f>
        <v>-4.9239605074494652E-2</v>
      </c>
      <c r="N43" s="191">
        <f>AVERAGE(T41:T43)</f>
        <v>1.7631268560506423</v>
      </c>
      <c r="O43" s="192">
        <f>N43/N40-1</f>
        <v>-7.2162190618625943E-2</v>
      </c>
      <c r="P43" s="129" t="s">
        <v>835</v>
      </c>
      <c r="Q43" s="116">
        <v>11413454</v>
      </c>
      <c r="R43" s="116">
        <v>16532016615</v>
      </c>
      <c r="S43" s="116">
        <v>6884371.2800000003</v>
      </c>
      <c r="T43" s="130">
        <f t="shared" ref="T43" si="70">Q43/S43</f>
        <v>1.6578789167222252</v>
      </c>
      <c r="U43" s="85">
        <f>Q41+Q42+Q43</f>
        <v>38988490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512013.31818181818</v>
      </c>
      <c r="G44" s="190">
        <f t="shared" ref="G44" si="71">F44/F43-1</f>
        <v>-0.10278988607336881</v>
      </c>
      <c r="H44" s="190">
        <f t="shared" ref="H44" si="72">F44/F32-1</f>
        <v>-0.44149049998503087</v>
      </c>
      <c r="I44" s="130">
        <f t="shared" si="0"/>
        <v>1.4099347955413783</v>
      </c>
      <c r="J44" s="130">
        <f t="shared" si="6"/>
        <v>-0.34341921081762683</v>
      </c>
      <c r="K44" s="136"/>
      <c r="L44" s="190"/>
      <c r="M44" s="190"/>
      <c r="N44" s="191"/>
      <c r="O44" s="192"/>
      <c r="P44" s="129" t="s">
        <v>843</v>
      </c>
      <c r="Q44" s="116">
        <v>11264293</v>
      </c>
      <c r="R44" s="116">
        <v>16292200301</v>
      </c>
      <c r="S44" s="116">
        <v>7989229.7400000002</v>
      </c>
      <c r="T44" s="130">
        <f t="shared" ref="T44" si="73">Q44/S44</f>
        <v>1.4099347955413783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516275.85</v>
      </c>
      <c r="G45" s="190">
        <f t="shared" ref="G45" si="74">F45/F44-1</f>
        <v>8.3250409058073238E-3</v>
      </c>
      <c r="H45" s="190">
        <f t="shared" ref="H45" si="75">F45/F33-1</f>
        <v>-0.46199259627722733</v>
      </c>
      <c r="I45" s="130">
        <f t="shared" si="0"/>
        <v>1.6361318092109134</v>
      </c>
      <c r="J45" s="130">
        <f t="shared" si="6"/>
        <v>-0.22990649433130261</v>
      </c>
      <c r="K45" s="136"/>
      <c r="L45" s="190"/>
      <c r="M45" s="190"/>
      <c r="N45" s="191"/>
      <c r="O45" s="192"/>
      <c r="P45" s="129" t="s">
        <v>849</v>
      </c>
      <c r="Q45" s="116">
        <v>10325517</v>
      </c>
      <c r="R45" s="116">
        <v>14568184828</v>
      </c>
      <c r="S45" s="116">
        <v>6310932.25</v>
      </c>
      <c r="T45" s="130">
        <f t="shared" ref="T45" si="76">Q45/S45</f>
        <v>1.6361318092109134</v>
      </c>
      <c r="U45" s="85"/>
    </row>
    <row r="46" spans="1:21" s="79" customFormat="1" ht="13.2">
      <c r="A46" s="129" t="s">
        <v>888</v>
      </c>
      <c r="B46" s="188">
        <f>SUM(F44:F46)</f>
        <v>1511618.5892344499</v>
      </c>
      <c r="C46" s="188">
        <f>AVERAGE(F44:F46)</f>
        <v>503872.86307814997</v>
      </c>
      <c r="D46" s="190">
        <f>C46/C43-1</f>
        <v>-0.25308471122120191</v>
      </c>
      <c r="E46" s="287">
        <f>C46/C34-1</f>
        <v>-0.39554202415983242</v>
      </c>
      <c r="F46" s="136">
        <f>Q46/19</f>
        <v>483329.42105263157</v>
      </c>
      <c r="G46" s="190">
        <f t="shared" ref="G46" si="77">F46/F45-1</f>
        <v>-6.3815553153161009E-2</v>
      </c>
      <c r="H46" s="190">
        <f t="shared" ref="H46" si="78">F46/F34-1</f>
        <v>-0.22596296325016596</v>
      </c>
      <c r="I46" s="130">
        <f t="shared" si="0"/>
        <v>1.3186976563468962</v>
      </c>
      <c r="J46" s="130">
        <f t="shared" si="6"/>
        <v>-0.35955291341479301</v>
      </c>
      <c r="K46" s="136">
        <f>R44+R45+R46</f>
        <v>43441306252</v>
      </c>
      <c r="L46" s="190">
        <f>U46/U43-1</f>
        <v>-0.21071400815984409</v>
      </c>
      <c r="M46" s="190">
        <f>K46/K34-1</f>
        <v>-0.3792400871793643</v>
      </c>
      <c r="N46" s="191">
        <f>AVERAGE(T44:T46)</f>
        <v>1.4549214203663958</v>
      </c>
      <c r="O46" s="192">
        <f>N46/N43-1</f>
        <v>-0.1748061602184533</v>
      </c>
      <c r="P46" s="129" t="s">
        <v>888</v>
      </c>
      <c r="Q46" s="116">
        <v>9183259</v>
      </c>
      <c r="R46" s="116">
        <v>12580921123</v>
      </c>
      <c r="S46" s="116">
        <v>6963885.1299999999</v>
      </c>
      <c r="T46" s="130">
        <f t="shared" ref="T46" si="79">Q46/S46</f>
        <v>1.3186976563468962</v>
      </c>
      <c r="U46" s="85">
        <f t="shared" ref="U46:U51" si="80">Q44+Q45+Q46</f>
        <v>30773069</v>
      </c>
    </row>
    <row r="47" spans="1:21" s="79" customFormat="1" ht="13.2">
      <c r="A47" s="129" t="s">
        <v>999</v>
      </c>
      <c r="B47" s="188"/>
      <c r="C47" s="188"/>
      <c r="D47" s="190"/>
      <c r="E47" s="287"/>
      <c r="F47" s="136">
        <f>Q47/23</f>
        <v>537350.56521739135</v>
      </c>
      <c r="G47" s="190">
        <f t="shared" ref="G47" si="81">F47/F46-1</f>
        <v>0.11176878917717947</v>
      </c>
      <c r="H47" s="190">
        <f t="shared" ref="H47" si="82">F47/F35-1</f>
        <v>-3.0756825349920414E-2</v>
      </c>
      <c r="I47" s="130">
        <f t="shared" si="0"/>
        <v>1.4191207571509747</v>
      </c>
      <c r="J47" s="130">
        <f t="shared" si="6"/>
        <v>-0.28716501827146379</v>
      </c>
      <c r="K47" s="136"/>
      <c r="L47" s="190"/>
      <c r="M47" s="190"/>
      <c r="N47" s="191"/>
      <c r="O47" s="192"/>
      <c r="P47" s="129" t="s">
        <v>991</v>
      </c>
      <c r="Q47" s="116">
        <v>12359063</v>
      </c>
      <c r="R47" s="116">
        <v>16922112701</v>
      </c>
      <c r="S47" s="116">
        <v>8708957.9499999993</v>
      </c>
      <c r="T47" s="130">
        <f t="shared" ref="T47" si="83">Q47/S47</f>
        <v>1.4191207571509747</v>
      </c>
      <c r="U47" s="85">
        <f t="shared" si="80"/>
        <v>31867839</v>
      </c>
    </row>
    <row r="48" spans="1:21" s="79" customFormat="1" ht="13.2">
      <c r="A48" s="129" t="s">
        <v>1081</v>
      </c>
      <c r="B48" s="188"/>
      <c r="C48" s="188"/>
      <c r="D48" s="190"/>
      <c r="E48" s="287"/>
      <c r="F48" s="136">
        <f>Q48/20</f>
        <v>688944.45</v>
      </c>
      <c r="G48" s="190">
        <f t="shared" ref="G48" si="84">F48/F47-1</f>
        <v>0.28211356718547331</v>
      </c>
      <c r="H48" s="190">
        <f t="shared" ref="H48" si="85">F48/F36-1</f>
        <v>-0.19251849560244572</v>
      </c>
      <c r="I48" s="130">
        <f t="shared" si="0"/>
        <v>1.4226754295932853</v>
      </c>
      <c r="J48" s="130">
        <f t="shared" si="6"/>
        <v>-0.30684379968452691</v>
      </c>
      <c r="K48" s="136"/>
      <c r="L48" s="190"/>
      <c r="M48" s="190"/>
      <c r="N48" s="191"/>
      <c r="O48" s="192"/>
      <c r="P48" s="129" t="s">
        <v>1070</v>
      </c>
      <c r="Q48" s="116">
        <v>13778889</v>
      </c>
      <c r="R48" s="116">
        <v>19116191692</v>
      </c>
      <c r="S48" s="116">
        <v>9685195.0299999993</v>
      </c>
      <c r="T48" s="130">
        <f t="shared" ref="T48" si="86">Q48/S48</f>
        <v>1.4226754295932853</v>
      </c>
      <c r="U48" s="85">
        <f t="shared" si="80"/>
        <v>35321211</v>
      </c>
    </row>
    <row r="49" spans="1:26" ht="13.2">
      <c r="A49" s="129" t="s">
        <v>1219</v>
      </c>
      <c r="B49" s="188">
        <f>SUM(F47:F49)</f>
        <v>1985613.8333992097</v>
      </c>
      <c r="C49" s="188">
        <f>AVERAGE(F47:F49)</f>
        <v>661871.27779973659</v>
      </c>
      <c r="D49" s="190">
        <f>C49/C46-1</f>
        <v>0.31356801744864216</v>
      </c>
      <c r="E49" s="287">
        <f>C49/C37-1</f>
        <v>2.0675924440889171E-2</v>
      </c>
      <c r="F49" s="136">
        <f>Q49/22</f>
        <v>759318.81818181823</v>
      </c>
      <c r="G49" s="190">
        <f t="shared" ref="G49" si="87">F49/F48-1</f>
        <v>0.10214810233512783</v>
      </c>
      <c r="H49" s="190">
        <f t="shared" ref="H49" si="88">F49/F37-1</f>
        <v>0.41193139205302631</v>
      </c>
      <c r="I49" s="130">
        <f t="shared" si="0"/>
        <v>1.4051925731025925</v>
      </c>
      <c r="J49" s="130">
        <f t="shared" si="6"/>
        <v>-0.24047447147549916</v>
      </c>
      <c r="K49" s="136">
        <f>R47+R48+R49</f>
        <v>59273107714</v>
      </c>
      <c r="L49" s="190">
        <f>U49/U46-1</f>
        <v>0.39222272565664484</v>
      </c>
      <c r="M49" s="190">
        <f>K49/K37-1</f>
        <v>7.5103392359613164E-2</v>
      </c>
      <c r="N49" s="191">
        <f>AVERAGE(T47:T49)</f>
        <v>1.4156629199489508</v>
      </c>
      <c r="O49" s="192">
        <f>N49/N46-1</f>
        <v>-2.6983244502344683E-2</v>
      </c>
      <c r="P49" s="129" t="s">
        <v>1165</v>
      </c>
      <c r="Q49" s="116">
        <v>16705014</v>
      </c>
      <c r="R49" s="116">
        <v>23234803321</v>
      </c>
      <c r="S49" s="116">
        <v>11888060.27</v>
      </c>
      <c r="T49" s="130">
        <f t="shared" ref="T49" si="89">Q49/S49</f>
        <v>1.4051925731025925</v>
      </c>
      <c r="U49" s="85">
        <f t="shared" si="80"/>
        <v>42842966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525582.9444444445</v>
      </c>
      <c r="G50" s="190">
        <f t="shared" ref="G50" si="90">F50/F49-1</f>
        <v>-0.30782310162818316</v>
      </c>
      <c r="H50" s="190">
        <f t="shared" ref="H50" si="91">F50/F38-1</f>
        <v>9.118306361754791E-2</v>
      </c>
      <c r="I50" s="130">
        <f t="shared" ref="I50" si="92">T50</f>
        <v>1.3981163412357895</v>
      </c>
      <c r="J50" s="130">
        <f t="shared" ref="J50" si="93">I50/I38-1</f>
        <v>-0.21736037374877637</v>
      </c>
      <c r="K50" s="136"/>
      <c r="L50" s="190"/>
      <c r="M50" s="190"/>
      <c r="N50" s="191"/>
      <c r="O50" s="192"/>
      <c r="P50" s="129" t="s">
        <v>1291</v>
      </c>
      <c r="Q50" s="116">
        <v>9460493</v>
      </c>
      <c r="R50" s="116">
        <v>13325025976</v>
      </c>
      <c r="S50" s="116">
        <v>6766599.2599999998</v>
      </c>
      <c r="T50" s="130">
        <f t="shared" ref="T50" si="94">Q50/S50</f>
        <v>1.3981163412357895</v>
      </c>
      <c r="U50" s="85">
        <f t="shared" si="80"/>
        <v>39944396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559462.69999999995</v>
      </c>
      <c r="G51" s="190">
        <f t="shared" ref="G51:G52" si="95">F51/F50-1</f>
        <v>6.4461291816398703E-2</v>
      </c>
      <c r="H51" s="190">
        <f t="shared" ref="H51:H52" si="96">F51/F39-1</f>
        <v>-5.2818688162963423E-2</v>
      </c>
      <c r="I51" s="130">
        <f t="shared" ref="I51:I52" si="97">T51</f>
        <v>1.4445942867320503</v>
      </c>
      <c r="J51" s="130">
        <f t="shared" ref="J51:J52" si="98">I51/I39-1</f>
        <v>-0.22682541363839825</v>
      </c>
      <c r="K51" s="136"/>
      <c r="L51" s="190"/>
      <c r="M51" s="190"/>
      <c r="N51" s="191"/>
      <c r="O51" s="192"/>
      <c r="P51" s="129" t="s">
        <v>1402</v>
      </c>
      <c r="Q51" s="116">
        <v>11189254</v>
      </c>
      <c r="R51" s="116">
        <v>16200951894</v>
      </c>
      <c r="S51" s="116">
        <v>7745603.1100000003</v>
      </c>
      <c r="T51" s="130">
        <f t="shared" ref="T51:T52" si="99">Q51/S51</f>
        <v>1.4445942867320503</v>
      </c>
      <c r="U51" s="85">
        <f t="shared" si="80"/>
        <v>37354761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1587488.8262626263</v>
      </c>
      <c r="C52" s="188">
        <f>AVERAGE(F50:F52)</f>
        <v>529162.94208754215</v>
      </c>
      <c r="D52" s="190">
        <f>C52/C49-1</f>
        <v>-0.20050475094395648</v>
      </c>
      <c r="E52" s="287">
        <f>C52/C40-1</f>
        <v>-0.15050958669667891</v>
      </c>
      <c r="F52" s="136">
        <f>Q52/22</f>
        <v>502443.18181818182</v>
      </c>
      <c r="G52" s="190">
        <f t="shared" si="95"/>
        <v>-0.10191835520369474</v>
      </c>
      <c r="H52" s="190">
        <f t="shared" si="96"/>
        <v>-0.36913095738323909</v>
      </c>
      <c r="I52" s="130">
        <f t="shared" si="97"/>
        <v>1.6187067216068993</v>
      </c>
      <c r="J52" s="130">
        <f t="shared" si="98"/>
        <v>-0.20882588646484745</v>
      </c>
      <c r="K52" s="136">
        <f>R50+R51+R52</f>
        <v>45791124556</v>
      </c>
      <c r="L52" s="190">
        <f>U52/U49-1</f>
        <v>-0.26000695189964207</v>
      </c>
      <c r="M52" s="190">
        <f>K52/K40-1</f>
        <v>-0.15045173544411072</v>
      </c>
      <c r="N52" s="191">
        <f>AVERAGE(T50:T52)</f>
        <v>1.487139116524913</v>
      </c>
      <c r="O52" s="192">
        <f>N52/N49-1</f>
        <v>5.0489559038912724E-2</v>
      </c>
      <c r="P52" s="129" t="s">
        <v>1403</v>
      </c>
      <c r="Q52" s="116">
        <v>11053750</v>
      </c>
      <c r="R52" s="116">
        <v>16265146686</v>
      </c>
      <c r="S52" s="116">
        <v>6828754</v>
      </c>
      <c r="T52" s="130">
        <f t="shared" si="99"/>
        <v>1.6187067216068993</v>
      </c>
      <c r="U52" s="85">
        <f t="shared" ref="U52" si="100">Q50+Q51+Q52</f>
        <v>31703497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555088.76190476189</v>
      </c>
      <c r="G53" s="190">
        <f t="shared" ref="G53" si="101">F53/F52-1</f>
        <v>0.10477917104193257</v>
      </c>
      <c r="H53" s="190">
        <f t="shared" ref="H53" si="102">F53/F41-1</f>
        <v>-0.25382068494388832</v>
      </c>
      <c r="I53" s="130">
        <f t="shared" ref="I53" si="103">T53</f>
        <v>1.4370935106551284</v>
      </c>
      <c r="J53" s="130">
        <f t="shared" ref="J53" si="104">I53/I41-1</f>
        <v>-0.17485947326054285</v>
      </c>
      <c r="K53" s="136"/>
      <c r="L53" s="190"/>
      <c r="M53" s="190"/>
      <c r="N53" s="191"/>
      <c r="O53" s="192"/>
      <c r="P53" s="129" t="s">
        <v>1414</v>
      </c>
      <c r="Q53" s="116">
        <v>11656864</v>
      </c>
      <c r="R53" s="116">
        <v>16939385476</v>
      </c>
      <c r="S53" s="116">
        <v>8111416.4900000002</v>
      </c>
      <c r="T53" s="130">
        <f t="shared" ref="T53" si="105">Q53/S53</f>
        <v>1.4370935106551284</v>
      </c>
      <c r="U53" s="85">
        <f t="shared" ref="U53" si="106">Q51+Q52+Q53</f>
        <v>33899868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585987.9411764706</v>
      </c>
      <c r="G54" s="190">
        <f t="shared" ref="G54" si="107">F54/F53-1</f>
        <v>5.5665294259749754E-2</v>
      </c>
      <c r="H54" s="190">
        <f t="shared" ref="H54" si="108">F54/F42-1</f>
        <v>-0.17377417687113594</v>
      </c>
      <c r="I54" s="130">
        <f t="shared" ref="I54" si="109">T54</f>
        <v>1.3201524893111865</v>
      </c>
      <c r="J54" s="130">
        <f t="shared" ref="J54" si="110">I54/I42-1</f>
        <v>-0.30145738343302719</v>
      </c>
      <c r="K54" s="136"/>
      <c r="L54" s="190"/>
      <c r="M54" s="190"/>
      <c r="N54" s="191"/>
      <c r="O54" s="192"/>
      <c r="P54" s="129" t="s">
        <v>1417</v>
      </c>
      <c r="Q54" s="116">
        <v>9961795</v>
      </c>
      <c r="R54" s="116">
        <v>14440949955</v>
      </c>
      <c r="S54" s="116">
        <v>7545942.6699999999</v>
      </c>
      <c r="T54" s="130">
        <f t="shared" ref="T54" si="111">Q54/S54</f>
        <v>1.3201524893111865</v>
      </c>
      <c r="U54" s="85">
        <f t="shared" ref="U54" si="112">Q52+Q53+Q54</f>
        <v>32672409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1693135.9411764706</v>
      </c>
      <c r="C55" s="188">
        <f>AVERAGE(F53:F55)</f>
        <v>564378.6470588235</v>
      </c>
      <c r="D55" s="190">
        <f>C55/C52-1</f>
        <v>6.6549832141222343E-2</v>
      </c>
      <c r="E55" s="287">
        <f>C55/C43-1</f>
        <v>-0.16339404036698879</v>
      </c>
      <c r="F55" s="136">
        <f>Q55/21</f>
        <v>552059.23809523811</v>
      </c>
      <c r="G55" s="190">
        <f t="shared" ref="G55" si="113">F55/F54-1</f>
        <v>-5.7900002196486944E-2</v>
      </c>
      <c r="H55" s="190">
        <f t="shared" ref="H55" si="114">F55/F43-1</f>
        <v>-3.2616702892501848E-2</v>
      </c>
      <c r="I55" s="130">
        <f>T55</f>
        <v>1.4532821236557631</v>
      </c>
      <c r="J55" s="130">
        <f t="shared" ref="J55" si="115">I55/I43-1</f>
        <v>-0.12340876707146275</v>
      </c>
      <c r="K55" s="136">
        <f>R53+R54+R55</f>
        <v>48436819578</v>
      </c>
      <c r="L55" s="190">
        <f>U55/U52-1</f>
        <v>4.7578536840904295E-2</v>
      </c>
      <c r="M55" s="190">
        <f>K55/K43-1</f>
        <v>-0.1438360971816478</v>
      </c>
      <c r="N55" s="191">
        <f>AVERAGE(T53:T55)</f>
        <v>1.4035093745406926</v>
      </c>
      <c r="O55" s="192">
        <f>N55/N52-1</f>
        <v>-5.6235318575738269E-2</v>
      </c>
      <c r="P55" s="129" t="s">
        <v>1418</v>
      </c>
      <c r="Q55" s="116">
        <v>11593244</v>
      </c>
      <c r="R55" s="116">
        <v>17056484147</v>
      </c>
      <c r="S55" s="116">
        <v>7977283.8399999999</v>
      </c>
      <c r="T55" s="130">
        <f t="shared" ref="T55" si="116">Q55/S55</f>
        <v>1.4532821236557631</v>
      </c>
      <c r="U55" s="85">
        <f t="shared" ref="U55" si="117">Q53+Q54+Q55</f>
        <v>33211903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750432.22727272729</v>
      </c>
      <c r="G56" s="190">
        <f t="shared" ref="G56" si="118">F56/F55-1</f>
        <v>0.3593327952665597</v>
      </c>
      <c r="H56" s="190">
        <f t="shared" ref="H56" si="119">F56/F44-1</f>
        <v>0.46564981930068772</v>
      </c>
      <c r="I56" s="291">
        <f>T56</f>
        <v>1.3623627656268749</v>
      </c>
      <c r="J56" s="130">
        <f t="shared" ref="J56" si="120">I56/I44-1</f>
        <v>-3.3740588617955924E-2</v>
      </c>
      <c r="K56" s="136"/>
      <c r="L56" s="190"/>
      <c r="M56" s="190"/>
      <c r="N56" s="191"/>
      <c r="O56" s="192"/>
      <c r="P56" s="129" t="s">
        <v>1420</v>
      </c>
      <c r="Q56" s="116">
        <v>16509509</v>
      </c>
      <c r="R56" s="116">
        <v>24633080289</v>
      </c>
      <c r="S56" s="116">
        <v>12118291.41</v>
      </c>
      <c r="T56" s="130">
        <f t="shared" ref="T56" si="121">Q56/S56</f>
        <v>1.3623627656268749</v>
      </c>
      <c r="U56" s="85">
        <f t="shared" ref="U56" si="122">Q54+Q55+Q56</f>
        <v>38064548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584201.91666666663</v>
      </c>
      <c r="G57" s="254">
        <f t="shared" ref="G57" si="123">F57/F56-1</f>
        <v>-0.22151275566907136</v>
      </c>
      <c r="H57" s="254">
        <f t="shared" ref="H57" si="124">F57/F45-1</f>
        <v>0.13156932803784382</v>
      </c>
      <c r="I57" s="282">
        <f>T57</f>
        <v>1.3682748032662515</v>
      </c>
      <c r="J57" s="277">
        <f t="shared" ref="J57" si="125">I57/I45-1</f>
        <v>-0.16371358617729348</v>
      </c>
      <c r="K57" s="204"/>
      <c r="L57" s="254"/>
      <c r="M57" s="254"/>
      <c r="N57" s="257"/>
      <c r="O57" s="258"/>
      <c r="P57" s="129" t="s">
        <v>1436</v>
      </c>
      <c r="Q57" s="116">
        <v>7010423</v>
      </c>
      <c r="R57" s="116">
        <v>10325054327</v>
      </c>
      <c r="S57" s="116">
        <v>5123549</v>
      </c>
      <c r="T57" s="130">
        <f t="shared" ref="T57" si="126">Q57/S57</f>
        <v>1.3682748032662515</v>
      </c>
      <c r="U57" s="85">
        <f t="shared" ref="U57" si="127">Q55+Q56+Q57</f>
        <v>35113176</v>
      </c>
      <c r="V57" s="79"/>
      <c r="W57" s="79"/>
      <c r="X57" s="79"/>
      <c r="Y57" s="79"/>
      <c r="Z57" s="79"/>
    </row>
    <row r="58" spans="1:26">
      <c r="B58" s="196">
        <f>SUM(F56:F58)</f>
        <v>1334634.143939394</v>
      </c>
      <c r="C58" s="196">
        <f>AVERAGE(F56:F58)</f>
        <v>667317.07196969702</v>
      </c>
      <c r="D58" s="197">
        <f>C58/C55-1</f>
        <v>0.1823924867592388</v>
      </c>
      <c r="E58" s="233">
        <f>C58/C46-1</f>
        <v>0.32437589096001207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56731835</v>
      </c>
      <c r="R66" s="212">
        <v>83394954194</v>
      </c>
      <c r="S66" s="213">
        <v>40876483.409999996</v>
      </c>
      <c r="T66" s="214">
        <v>119</v>
      </c>
      <c r="U66" s="214">
        <v>126</v>
      </c>
    </row>
    <row r="67" spans="16:21" ht="18" thickBot="1">
      <c r="P67" s="180" t="s">
        <v>976</v>
      </c>
      <c r="Q67" s="181">
        <v>11656864</v>
      </c>
      <c r="R67" s="181">
        <v>16939385476</v>
      </c>
      <c r="S67" s="182">
        <v>8111416.4900000002</v>
      </c>
      <c r="T67" s="210">
        <v>53</v>
      </c>
      <c r="U67" s="210">
        <v>57</v>
      </c>
    </row>
    <row r="68" spans="16:21" ht="18" thickBot="1">
      <c r="P68" s="180" t="s">
        <v>977</v>
      </c>
      <c r="Q68" s="181">
        <v>9961795</v>
      </c>
      <c r="R68" s="181">
        <v>14440949955</v>
      </c>
      <c r="S68" s="182">
        <v>7545942.6699999999</v>
      </c>
      <c r="T68" s="210">
        <v>56</v>
      </c>
      <c r="U68" s="210">
        <v>59</v>
      </c>
    </row>
    <row r="69" spans="16:21" ht="18" thickBot="1">
      <c r="P69" s="180" t="s">
        <v>978</v>
      </c>
      <c r="Q69" s="181">
        <v>11593244</v>
      </c>
      <c r="R69" s="181">
        <v>17056484147</v>
      </c>
      <c r="S69" s="182">
        <v>7977283.8399999999</v>
      </c>
      <c r="T69" s="210">
        <v>57</v>
      </c>
      <c r="U69" s="210">
        <v>65</v>
      </c>
    </row>
    <row r="70" spans="16:21" ht="18" thickBot="1">
      <c r="P70" s="180" t="s">
        <v>979</v>
      </c>
      <c r="Q70" s="181">
        <v>16509509</v>
      </c>
      <c r="R70" s="181">
        <v>24633080289</v>
      </c>
      <c r="S70" s="182">
        <v>12118291.41</v>
      </c>
      <c r="T70" s="210">
        <v>64</v>
      </c>
      <c r="U70" s="210">
        <v>72</v>
      </c>
    </row>
    <row r="71" spans="16:21" ht="18" thickBot="1">
      <c r="P71" s="180" t="s">
        <v>980</v>
      </c>
      <c r="Q71" s="181">
        <v>7010423</v>
      </c>
      <c r="R71" s="181">
        <v>10325054327</v>
      </c>
      <c r="S71" s="182">
        <v>5123549</v>
      </c>
      <c r="T71" s="210">
        <v>56</v>
      </c>
      <c r="U71" s="210">
        <v>56</v>
      </c>
    </row>
    <row r="72" spans="16:21" ht="18" thickBot="1">
      <c r="P72" s="215" t="s">
        <v>975</v>
      </c>
      <c r="Q72" s="217" t="s">
        <v>1533</v>
      </c>
      <c r="R72"/>
      <c r="S72"/>
      <c r="T72"/>
      <c r="U72"/>
    </row>
  </sheetData>
  <phoneticPr fontId="1" type="noConversion"/>
  <conditionalFormatting sqref="C29:C30">
    <cfRule type="cellIs" dxfId="5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135"/>
  <dimension ref="A1:Z74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5233.55</v>
      </c>
      <c r="G5" s="90"/>
      <c r="H5" s="90"/>
      <c r="I5" s="130">
        <f t="shared" ref="I5:I49" si="0">T5</f>
        <v>3.4120183915389792</v>
      </c>
      <c r="J5" s="130"/>
      <c r="L5" s="80"/>
      <c r="M5" s="80"/>
      <c r="P5" s="129" t="s">
        <v>0</v>
      </c>
      <c r="Q5" s="116">
        <v>104671</v>
      </c>
      <c r="R5" s="116"/>
      <c r="S5" s="116">
        <v>30677.15</v>
      </c>
      <c r="T5" s="130">
        <f t="shared" ref="T5:T11" si="1">Q5/S5</f>
        <v>3.4120183915389792</v>
      </c>
      <c r="U5" s="85"/>
    </row>
    <row r="6" spans="1:21" ht="15" hidden="1" customHeight="1">
      <c r="A6" s="129" t="s">
        <v>1</v>
      </c>
      <c r="C6" s="79"/>
      <c r="F6" s="78">
        <f>Q6/18</f>
        <v>3252.2222222222222</v>
      </c>
      <c r="G6" s="90">
        <f t="shared" ref="G6:G16" si="2">F6/F5-1</f>
        <v>-0.37858199076683663</v>
      </c>
      <c r="H6" s="90"/>
      <c r="I6" s="130">
        <f t="shared" si="0"/>
        <v>8.1339899068495587</v>
      </c>
      <c r="J6" s="130"/>
      <c r="P6" s="129" t="s">
        <v>1</v>
      </c>
      <c r="Q6" s="116">
        <v>58540</v>
      </c>
      <c r="R6" s="116"/>
      <c r="S6" s="116">
        <v>7196.96</v>
      </c>
      <c r="T6" s="130">
        <f t="shared" si="1"/>
        <v>8.1339899068495587</v>
      </c>
      <c r="U6" s="85"/>
    </row>
    <row r="7" spans="1:21" ht="15" hidden="1" customHeight="1">
      <c r="A7" s="129" t="s">
        <v>2</v>
      </c>
      <c r="B7" s="131">
        <f>F5+F6+F7</f>
        <v>10967.181313131314</v>
      </c>
      <c r="C7" s="131">
        <f>AVERAGE(F5:F7)</f>
        <v>3655.7271043771048</v>
      </c>
      <c r="F7" s="78">
        <f>Q7/22</f>
        <v>2481.409090909091</v>
      </c>
      <c r="G7" s="90">
        <f t="shared" si="2"/>
        <v>-0.23701121222474142</v>
      </c>
      <c r="H7" s="90"/>
      <c r="I7" s="130">
        <f t="shared" si="0"/>
        <v>11.137838168686498</v>
      </c>
      <c r="J7" s="130"/>
      <c r="K7" s="79">
        <f>R5+R6+R7</f>
        <v>0</v>
      </c>
      <c r="N7" s="88">
        <f>AVERAGE(T5:T7)</f>
        <v>7.5612821556916785</v>
      </c>
      <c r="P7" s="129" t="s">
        <v>2</v>
      </c>
      <c r="Q7" s="116">
        <v>54591</v>
      </c>
      <c r="R7" s="116"/>
      <c r="S7" s="116">
        <v>4901.3999999999996</v>
      </c>
      <c r="T7" s="130">
        <f t="shared" si="1"/>
        <v>11.137838168686498</v>
      </c>
      <c r="U7" s="85">
        <f>Q5+Q6+Q7</f>
        <v>217802</v>
      </c>
    </row>
    <row r="8" spans="1:21" ht="15" hidden="1" customHeight="1">
      <c r="A8" s="129" t="s">
        <v>3</v>
      </c>
      <c r="C8" s="79"/>
      <c r="F8" s="78">
        <f>Q8/21</f>
        <v>5663</v>
      </c>
      <c r="G8" s="90">
        <f t="shared" si="2"/>
        <v>1.2821710538367128</v>
      </c>
      <c r="H8" s="90"/>
      <c r="I8" s="130">
        <f t="shared" si="0"/>
        <v>4.3330032289022826</v>
      </c>
      <c r="J8" s="130"/>
      <c r="K8" s="78"/>
      <c r="P8" s="129" t="s">
        <v>3</v>
      </c>
      <c r="Q8" s="116">
        <v>118923</v>
      </c>
      <c r="R8" s="116"/>
      <c r="S8" s="116">
        <v>27445.86</v>
      </c>
      <c r="T8" s="130">
        <f t="shared" si="1"/>
        <v>4.3330032289022826</v>
      </c>
      <c r="U8" s="85"/>
    </row>
    <row r="9" spans="1:21" ht="15" hidden="1" customHeight="1">
      <c r="A9" s="129" t="s">
        <v>4</v>
      </c>
      <c r="C9" s="79"/>
      <c r="F9" s="78">
        <f>Q9/21</f>
        <v>9712.7619047619046</v>
      </c>
      <c r="G9" s="90">
        <f t="shared" si="2"/>
        <v>0.71512659451914251</v>
      </c>
      <c r="H9" s="90"/>
      <c r="I9" s="130">
        <f t="shared" si="0"/>
        <v>2.0183958142986396</v>
      </c>
      <c r="J9" s="130"/>
      <c r="K9" s="78"/>
      <c r="P9" s="129" t="s">
        <v>4</v>
      </c>
      <c r="Q9" s="116">
        <v>203968</v>
      </c>
      <c r="R9" s="116"/>
      <c r="S9" s="116">
        <v>101054.51</v>
      </c>
      <c r="T9" s="130">
        <f t="shared" si="1"/>
        <v>2.0183958142986396</v>
      </c>
      <c r="U9" s="85"/>
    </row>
    <row r="10" spans="1:21" ht="15" hidden="1" customHeight="1">
      <c r="A10" s="129" t="s">
        <v>5</v>
      </c>
      <c r="B10" s="131">
        <f>F8+F9+F10</f>
        <v>42188.666666666672</v>
      </c>
      <c r="C10" s="131">
        <f>AVERAGE(F8:F10)</f>
        <v>14062.888888888891</v>
      </c>
      <c r="D10" s="90">
        <f>C10/C7-1</f>
        <v>2.8468103573844443</v>
      </c>
      <c r="E10" s="286"/>
      <c r="F10" s="78">
        <f>Q10/21</f>
        <v>26812.904761904763</v>
      </c>
      <c r="G10" s="90">
        <f t="shared" si="2"/>
        <v>1.7605849937245059</v>
      </c>
      <c r="H10" s="90"/>
      <c r="I10" s="130">
        <f t="shared" si="0"/>
        <v>8.964381504625786</v>
      </c>
      <c r="J10" s="130"/>
      <c r="K10" s="79">
        <f>R8+R9+R10</f>
        <v>0</v>
      </c>
      <c r="L10" s="87">
        <f>U10/U7-1</f>
        <v>3.0677404247894877</v>
      </c>
      <c r="N10" s="88">
        <f>AVERAGE(T8:T10)</f>
        <v>5.1052601826089026</v>
      </c>
      <c r="O10" s="89">
        <f>N10/N7-1</f>
        <v>-0.32481554351652253</v>
      </c>
      <c r="P10" s="129" t="s">
        <v>5</v>
      </c>
      <c r="Q10" s="116">
        <v>563071</v>
      </c>
      <c r="R10" s="116"/>
      <c r="S10" s="116">
        <v>62812.03</v>
      </c>
      <c r="T10" s="130">
        <f t="shared" si="1"/>
        <v>8.964381504625786</v>
      </c>
      <c r="U10" s="85">
        <f>Q8+Q9+Q10</f>
        <v>885962</v>
      </c>
    </row>
    <row r="11" spans="1:21" ht="15" hidden="1" customHeight="1">
      <c r="A11" s="129" t="s">
        <v>6</v>
      </c>
      <c r="C11" s="79"/>
      <c r="F11" s="78">
        <f>Q11/21</f>
        <v>4134.0952380952385</v>
      </c>
      <c r="G11" s="90">
        <f t="shared" si="2"/>
        <v>-0.84581695736416895</v>
      </c>
      <c r="H11" s="90"/>
      <c r="I11" s="130">
        <f t="shared" si="0"/>
        <v>8.1687341924605565</v>
      </c>
      <c r="J11" s="130"/>
      <c r="K11" s="78"/>
      <c r="O11" s="89"/>
      <c r="P11" s="129" t="s">
        <v>6</v>
      </c>
      <c r="Q11" s="116">
        <v>86816</v>
      </c>
      <c r="R11" s="116"/>
      <c r="S11" s="116">
        <v>10627.84</v>
      </c>
      <c r="T11" s="130">
        <f t="shared" si="1"/>
        <v>8.1687341924605565</v>
      </c>
      <c r="U11" s="85"/>
    </row>
    <row r="12" spans="1:21" ht="15" hidden="1" customHeight="1">
      <c r="A12" s="129" t="s">
        <v>7</v>
      </c>
      <c r="C12" s="79"/>
      <c r="F12" s="78">
        <f>Q12/22</f>
        <v>20290.31818181818</v>
      </c>
      <c r="G12" s="90">
        <f t="shared" si="2"/>
        <v>3.9080432387829633</v>
      </c>
      <c r="H12" s="90"/>
      <c r="I12" s="130">
        <f t="shared" si="0"/>
        <v>8.0333400519734806</v>
      </c>
      <c r="J12" s="130"/>
      <c r="K12" s="78"/>
      <c r="O12" s="89"/>
      <c r="P12" s="129" t="s">
        <v>7</v>
      </c>
      <c r="Q12" s="116">
        <v>446387</v>
      </c>
      <c r="R12" s="116"/>
      <c r="S12" s="116">
        <v>55566.8</v>
      </c>
      <c r="T12" s="130">
        <f>Q12/S12</f>
        <v>8.0333400519734806</v>
      </c>
      <c r="U12" s="85"/>
    </row>
    <row r="13" spans="1:21" ht="15" hidden="1" customHeight="1">
      <c r="A13" s="129" t="s">
        <v>35</v>
      </c>
      <c r="B13" s="131">
        <f>F11+F12+F13</f>
        <v>44697.663419913421</v>
      </c>
      <c r="C13" s="131">
        <f>AVERAGE(F11:F13)</f>
        <v>14899.22113997114</v>
      </c>
      <c r="D13" s="90">
        <f>C13/C10-1</f>
        <v>5.9470871005959269E-2</v>
      </c>
      <c r="E13" s="286"/>
      <c r="F13" s="78">
        <f>Q13/20</f>
        <v>20273.25</v>
      </c>
      <c r="G13" s="90">
        <f t="shared" si="2"/>
        <v>-8.4119833238860409E-4</v>
      </c>
      <c r="H13" s="90"/>
      <c r="I13" s="130">
        <f t="shared" si="0"/>
        <v>3.0885017835637911</v>
      </c>
      <c r="J13" s="130"/>
      <c r="K13" s="78">
        <f>R11+R12+R13</f>
        <v>0</v>
      </c>
      <c r="L13" s="87">
        <f>U13/U10-1</f>
        <v>5.9490136145794015E-2</v>
      </c>
      <c r="N13" s="88">
        <f>AVERAGE(T11:T13)</f>
        <v>6.4301920093326101</v>
      </c>
      <c r="O13" s="89">
        <f>N13/N10-1</f>
        <v>0.25952288019268743</v>
      </c>
      <c r="P13" s="129" t="s">
        <v>60</v>
      </c>
      <c r="Q13" s="116">
        <v>405465</v>
      </c>
      <c r="R13" s="116"/>
      <c r="S13" s="116">
        <v>131282.1</v>
      </c>
      <c r="T13" s="130">
        <f>Q13/S13</f>
        <v>3.0885017835637911</v>
      </c>
      <c r="U13" s="85">
        <f>Q11+Q12+Q13</f>
        <v>938668</v>
      </c>
    </row>
    <row r="14" spans="1:21" ht="15" hidden="1" customHeight="1">
      <c r="A14" s="129" t="s">
        <v>36</v>
      </c>
      <c r="C14" s="79"/>
      <c r="F14" s="78">
        <f>Q14/20</f>
        <v>40035.75</v>
      </c>
      <c r="G14" s="90">
        <f t="shared" si="2"/>
        <v>0.97480670341459796</v>
      </c>
      <c r="H14" s="90"/>
      <c r="I14" s="130">
        <f t="shared" si="0"/>
        <v>6.1594058527028794</v>
      </c>
      <c r="J14" s="130"/>
      <c r="O14" s="89"/>
      <c r="P14" s="129" t="s">
        <v>36</v>
      </c>
      <c r="Q14" s="116">
        <v>800715</v>
      </c>
      <c r="R14" s="116"/>
      <c r="S14" s="116">
        <v>129998.74</v>
      </c>
      <c r="T14" s="130">
        <f>Q14/S14</f>
        <v>6.1594058527028794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10945.227272727272</v>
      </c>
      <c r="G15" s="90">
        <f t="shared" si="2"/>
        <v>-0.72661365722567273</v>
      </c>
      <c r="H15" s="90"/>
      <c r="I15" s="130">
        <f t="shared" si="0"/>
        <v>6.6827392473103364</v>
      </c>
      <c r="J15" s="130"/>
      <c r="O15" s="89"/>
      <c r="P15" s="129" t="s">
        <v>37</v>
      </c>
      <c r="Q15" s="116">
        <v>240795</v>
      </c>
      <c r="R15" s="116"/>
      <c r="S15" s="116">
        <v>36032.379999999997</v>
      </c>
      <c r="T15" s="130">
        <f t="shared" ref="T15:T19" si="3">Q15/S15</f>
        <v>6.6827392473103364</v>
      </c>
      <c r="U15" s="78"/>
    </row>
    <row r="16" spans="1:21" ht="15" hidden="1" customHeight="1">
      <c r="A16" s="123" t="s">
        <v>38</v>
      </c>
      <c r="B16" s="131">
        <f>F14+F15+F16</f>
        <v>66222.977272727265</v>
      </c>
      <c r="C16" s="131">
        <f>AVERAGE(F14:F16)</f>
        <v>22074.325757575756</v>
      </c>
      <c r="D16" s="90">
        <f>C16/C13-1</f>
        <v>0.48157581864165255</v>
      </c>
      <c r="E16" s="286"/>
      <c r="F16" s="78">
        <f>Q16/22</f>
        <v>15242</v>
      </c>
      <c r="G16" s="90">
        <f t="shared" si="2"/>
        <v>0.39257044373844985</v>
      </c>
      <c r="H16" s="90"/>
      <c r="I16" s="130">
        <f t="shared" si="0"/>
        <v>4.1517610787318384</v>
      </c>
      <c r="J16" s="130"/>
      <c r="K16" s="78">
        <f>R14+R15+R16</f>
        <v>0</v>
      </c>
      <c r="L16" s="87">
        <f>U16/U13-1</f>
        <v>0.46679550171093509</v>
      </c>
      <c r="N16" s="88">
        <f>AVERAGE(T14:T16)</f>
        <v>5.6646353929150175</v>
      </c>
      <c r="O16" s="89">
        <f>N16/N13-1</f>
        <v>-0.11905657176433981</v>
      </c>
      <c r="P16" s="123" t="s">
        <v>38</v>
      </c>
      <c r="Q16" s="133">
        <v>335324</v>
      </c>
      <c r="R16" s="133"/>
      <c r="S16" s="133">
        <v>80766.69</v>
      </c>
      <c r="T16" s="134">
        <f t="shared" si="3"/>
        <v>4.1517610787318384</v>
      </c>
      <c r="U16" s="85">
        <f>Q14+Q15+Q16</f>
        <v>1376834</v>
      </c>
    </row>
    <row r="17" spans="1:21" ht="15" hidden="1" customHeight="1">
      <c r="A17" s="129" t="s">
        <v>85</v>
      </c>
      <c r="C17" s="79"/>
      <c r="F17" s="78">
        <f>Q17/20</f>
        <v>31634.7</v>
      </c>
      <c r="G17" s="90">
        <f t="shared" ref="G17:G22" si="4">F17/F16-1</f>
        <v>1.0754953418186588</v>
      </c>
      <c r="H17" s="90">
        <f t="shared" ref="H17:H22" si="5">F17/F5-1</f>
        <v>5.0445968797470169</v>
      </c>
      <c r="I17" s="130">
        <f t="shared" si="0"/>
        <v>6.7226699676454498</v>
      </c>
      <c r="J17" s="130">
        <f t="shared" ref="J17:J49" si="6">I17/I5-1</f>
        <v>0.97029124588429094</v>
      </c>
      <c r="O17" s="89"/>
      <c r="P17" s="129" t="s">
        <v>85</v>
      </c>
      <c r="Q17" s="116">
        <v>632694</v>
      </c>
      <c r="R17" s="116">
        <v>788185828</v>
      </c>
      <c r="S17" s="116">
        <v>94113.5</v>
      </c>
      <c r="T17" s="130">
        <f t="shared" si="3"/>
        <v>6.7226699676454498</v>
      </c>
      <c r="U17" s="78"/>
    </row>
    <row r="18" spans="1:21" hidden="1">
      <c r="A18" s="129" t="s">
        <v>106</v>
      </c>
      <c r="C18" s="79"/>
      <c r="F18" s="78">
        <f>Q18/20</f>
        <v>50303.05</v>
      </c>
      <c r="G18" s="90">
        <f t="shared" si="4"/>
        <v>0.59012255529529289</v>
      </c>
      <c r="H18" s="90">
        <f t="shared" si="5"/>
        <v>14.467285616672362</v>
      </c>
      <c r="I18" s="130">
        <f t="shared" si="0"/>
        <v>8.1714898411228933</v>
      </c>
      <c r="J18" s="130">
        <f t="shared" si="6"/>
        <v>4.6102754862968887E-3</v>
      </c>
      <c r="O18" s="89"/>
      <c r="P18" s="129" t="s">
        <v>106</v>
      </c>
      <c r="Q18" s="116">
        <v>1006061</v>
      </c>
      <c r="R18" s="116">
        <v>1269700995</v>
      </c>
      <c r="S18" s="116">
        <v>123118.43</v>
      </c>
      <c r="T18" s="130">
        <f t="shared" si="3"/>
        <v>8.1714898411228933</v>
      </c>
      <c r="U18" s="78"/>
    </row>
    <row r="19" spans="1:21" hidden="1">
      <c r="A19" s="129" t="s">
        <v>114</v>
      </c>
      <c r="B19" s="131">
        <f>SUM(F17:F19)</f>
        <v>140995.02272727274</v>
      </c>
      <c r="C19" s="131">
        <f>AVERAGE(F17:F19)</f>
        <v>46998.340909090912</v>
      </c>
      <c r="D19" s="90">
        <f>C19/C16-1</f>
        <v>1.1290951952614638</v>
      </c>
      <c r="E19" s="286">
        <f>C19/C7-1</f>
        <v>11.856085688895782</v>
      </c>
      <c r="F19" s="78">
        <f>Q19/22</f>
        <v>59057.272727272728</v>
      </c>
      <c r="G19" s="90">
        <f t="shared" si="4"/>
        <v>0.17402966077151838</v>
      </c>
      <c r="H19" s="90">
        <f t="shared" si="5"/>
        <v>22.799893755380921</v>
      </c>
      <c r="I19" s="130">
        <f t="shared" si="0"/>
        <v>5.5418494385894865</v>
      </c>
      <c r="J19" s="130">
        <f t="shared" si="6"/>
        <v>-0.50243042189550458</v>
      </c>
      <c r="K19" s="78">
        <f>R17+R18+R19</f>
        <v>3754992334</v>
      </c>
      <c r="L19" s="87">
        <f>U19/U16-1</f>
        <v>1.1338919579266635</v>
      </c>
      <c r="M19" s="87">
        <f>U19/U7-1</f>
        <v>12.48938485413357</v>
      </c>
      <c r="N19" s="88">
        <f>AVERAGE(T17:T19)</f>
        <v>6.8120030824526099</v>
      </c>
      <c r="O19" s="89">
        <f>N19/N16-1</f>
        <v>0.20254925691645576</v>
      </c>
      <c r="P19" s="129" t="s">
        <v>114</v>
      </c>
      <c r="Q19" s="116">
        <v>1299260</v>
      </c>
      <c r="R19" s="116">
        <v>1697105511</v>
      </c>
      <c r="S19" s="116">
        <v>234445.2</v>
      </c>
      <c r="T19" s="130">
        <f t="shared" si="3"/>
        <v>5.5418494385894865</v>
      </c>
      <c r="U19" s="85">
        <f>Q17+Q18+Q19</f>
        <v>2938015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40814.449999999997</v>
      </c>
      <c r="G20" s="90">
        <f t="shared" si="4"/>
        <v>-0.3089005279928575</v>
      </c>
      <c r="H20" s="90">
        <f t="shared" si="5"/>
        <v>6.2072134910824648</v>
      </c>
      <c r="I20" s="130">
        <f t="shared" si="0"/>
        <v>8.1599932024131441</v>
      </c>
      <c r="J20" s="130">
        <f t="shared" si="6"/>
        <v>0.88321881414346093</v>
      </c>
      <c r="O20" s="89"/>
      <c r="P20" s="129" t="s">
        <v>132</v>
      </c>
      <c r="Q20" s="116">
        <v>816289</v>
      </c>
      <c r="R20" s="116">
        <v>1070846659</v>
      </c>
      <c r="S20" s="116">
        <v>100035.5</v>
      </c>
      <c r="T20" s="130">
        <f t="shared" ref="T20" si="7">Q20/S20</f>
        <v>8.1599932024131441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46392.952380952382</v>
      </c>
      <c r="G21" s="90">
        <f t="shared" si="4"/>
        <v>0.13667959217758385</v>
      </c>
      <c r="H21" s="90">
        <f t="shared" si="5"/>
        <v>3.7764943520552245</v>
      </c>
      <c r="I21" s="130">
        <f t="shared" si="0"/>
        <v>6.0579409696292119</v>
      </c>
      <c r="J21" s="130">
        <f t="shared" si="6"/>
        <v>2.0013642154397004</v>
      </c>
      <c r="O21" s="89"/>
      <c r="P21" s="129" t="s">
        <v>141</v>
      </c>
      <c r="Q21" s="116">
        <v>974252</v>
      </c>
      <c r="R21" s="116">
        <v>1303223239</v>
      </c>
      <c r="S21" s="116">
        <v>160822.29999999999</v>
      </c>
      <c r="T21" s="130">
        <f t="shared" ref="T21" si="8">Q21/S21</f>
        <v>6.0579409696292119</v>
      </c>
      <c r="U21" s="78"/>
    </row>
    <row r="22" spans="1:21" hidden="1">
      <c r="A22" s="129" t="s">
        <v>156</v>
      </c>
      <c r="B22" s="131">
        <f>SUM(F20:F22)</f>
        <v>120354.21190476191</v>
      </c>
      <c r="C22" s="131">
        <f>AVERAGE(F20:F22)</f>
        <v>40118.070634920638</v>
      </c>
      <c r="D22" s="90">
        <f>C22/C19-1</f>
        <v>-0.14639389691391047</v>
      </c>
      <c r="E22" s="286">
        <f>C22/C10-1</f>
        <v>1.8527616872958435</v>
      </c>
      <c r="F22" s="78">
        <f>Q22/21</f>
        <v>33146.809523809527</v>
      </c>
      <c r="G22" s="90">
        <f t="shared" si="4"/>
        <v>-0.28552058399674818</v>
      </c>
      <c r="H22" s="90">
        <f t="shared" si="5"/>
        <v>0.2362259821585555</v>
      </c>
      <c r="I22" s="130">
        <f t="shared" si="0"/>
        <v>6.758017830107768</v>
      </c>
      <c r="J22" s="130">
        <f t="shared" si="6"/>
        <v>-0.24612558862867384</v>
      </c>
      <c r="K22" s="78">
        <f>R20+R21+R22</f>
        <v>3274941737</v>
      </c>
      <c r="L22" s="87">
        <f>U22/U19-1</f>
        <v>-0.15363808557818803</v>
      </c>
      <c r="M22" s="87">
        <f>U22/U10-1</f>
        <v>1.8066937408150689</v>
      </c>
      <c r="N22" s="88">
        <f>AVERAGE(T20:T22)</f>
        <v>6.991984000716708</v>
      </c>
      <c r="O22" s="89">
        <f>N22/N19-1</f>
        <v>2.6421144571663557E-2</v>
      </c>
      <c r="P22" s="129" t="s">
        <v>156</v>
      </c>
      <c r="Q22" s="116">
        <v>696083</v>
      </c>
      <c r="R22" s="116">
        <v>900871839</v>
      </c>
      <c r="S22" s="116">
        <v>103001.06</v>
      </c>
      <c r="T22" s="130">
        <f t="shared" ref="T22:T23" si="9">Q22/S22</f>
        <v>6.758017830107768</v>
      </c>
      <c r="U22" s="85">
        <f>Q20+Q21+Q22</f>
        <v>2486624</v>
      </c>
    </row>
    <row r="23" spans="1:21" hidden="1">
      <c r="A23" s="129" t="s">
        <v>189</v>
      </c>
      <c r="B23" s="131"/>
      <c r="C23" s="131"/>
      <c r="F23" s="78">
        <f>Q23/21</f>
        <v>37876.476190476191</v>
      </c>
      <c r="G23" s="90">
        <f t="shared" ref="G23" si="10">F23/F22-1</f>
        <v>0.14268844376317191</v>
      </c>
      <c r="H23" s="90">
        <f t="shared" ref="H23" si="11">F23/F11-1</f>
        <v>8.1619747511979348</v>
      </c>
      <c r="I23" s="130">
        <f t="shared" si="0"/>
        <v>8.6880432716778913</v>
      </c>
      <c r="J23" s="130">
        <f t="shared" si="6"/>
        <v>6.3572772351515372E-2</v>
      </c>
      <c r="O23" s="89"/>
      <c r="P23" s="129" t="s">
        <v>189</v>
      </c>
      <c r="Q23" s="116">
        <v>795406</v>
      </c>
      <c r="R23" s="116">
        <v>1030512866</v>
      </c>
      <c r="S23" s="116">
        <v>91551.8</v>
      </c>
      <c r="T23" s="130">
        <f t="shared" si="9"/>
        <v>8.6880432716778913</v>
      </c>
      <c r="U23" s="78"/>
    </row>
    <row r="24" spans="1:21" hidden="1">
      <c r="A24" s="129" t="s">
        <v>204</v>
      </c>
      <c r="B24" s="131"/>
      <c r="C24" s="131"/>
      <c r="F24" s="78">
        <f>Q24/22</f>
        <v>20095.636363636364</v>
      </c>
      <c r="G24" s="90">
        <f t="shared" ref="G24" si="12">F24/F23-1</f>
        <v>-0.46944282085329547</v>
      </c>
      <c r="H24" s="90">
        <f t="shared" ref="H24" si="13">F24/F12-1</f>
        <v>-9.5948134690301279E-3</v>
      </c>
      <c r="I24" s="130">
        <f t="shared" si="0"/>
        <v>6.3829197442812671</v>
      </c>
      <c r="J24" s="130">
        <f t="shared" si="6"/>
        <v>-0.20544633950691149</v>
      </c>
      <c r="O24" s="89"/>
      <c r="P24" s="129" t="s">
        <v>204</v>
      </c>
      <c r="Q24" s="116">
        <v>442104</v>
      </c>
      <c r="R24" s="116">
        <v>579504078</v>
      </c>
      <c r="S24" s="116">
        <v>69263.600000000006</v>
      </c>
      <c r="T24" s="130">
        <f t="shared" ref="T24" si="14">Q24/S24</f>
        <v>6.3829197442812671</v>
      </c>
      <c r="U24" s="78"/>
    </row>
    <row r="25" spans="1:21" s="79" customFormat="1" ht="13.2" hidden="1">
      <c r="A25" s="129" t="s">
        <v>219</v>
      </c>
      <c r="B25" s="131">
        <f>SUM(F23:F25)</f>
        <v>77360.007290954658</v>
      </c>
      <c r="C25" s="131">
        <f>AVERAGE(F23:F25)</f>
        <v>25786.669096984886</v>
      </c>
      <c r="D25" s="90">
        <f>C25/C22-1</f>
        <v>-0.35723057742116426</v>
      </c>
      <c r="E25" s="286">
        <f>C25/C13-1</f>
        <v>0.73073940273329185</v>
      </c>
      <c r="F25" s="78">
        <f>Q25/19</f>
        <v>19387.894736842107</v>
      </c>
      <c r="G25" s="90">
        <f t="shared" ref="G25" si="15">F25/F24-1</f>
        <v>-3.521867205334861E-2</v>
      </c>
      <c r="H25" s="90">
        <f t="shared" ref="H25" si="16">F25/F13-1</f>
        <v>-4.3671106663109915E-2</v>
      </c>
      <c r="I25" s="130">
        <f t="shared" si="0"/>
        <v>6.1362886755931063</v>
      </c>
      <c r="J25" s="130">
        <f t="shared" si="6"/>
        <v>0.98681726792221713</v>
      </c>
      <c r="K25" s="78">
        <f>R23+R24+R25</f>
        <v>2099631999</v>
      </c>
      <c r="L25" s="90">
        <f>U25/U22-1</f>
        <v>-0.35419267247480923</v>
      </c>
      <c r="M25" s="90">
        <f>U25/U13-1</f>
        <v>0.71080722896700421</v>
      </c>
      <c r="N25" s="88">
        <f>AVERAGE(T23:T25)</f>
        <v>7.0690838971840888</v>
      </c>
      <c r="O25" s="91">
        <f>N25/N22-1</f>
        <v>1.1026898296603305E-2</v>
      </c>
      <c r="P25" s="129" t="s">
        <v>219</v>
      </c>
      <c r="Q25" s="116">
        <v>368370</v>
      </c>
      <c r="R25" s="116">
        <v>489615055</v>
      </c>
      <c r="S25" s="116">
        <v>60031.4</v>
      </c>
      <c r="T25" s="130">
        <f t="shared" ref="T25" si="17">Q25/S25</f>
        <v>6.1362886755931063</v>
      </c>
      <c r="U25" s="85">
        <f>Q23+Q24+Q25</f>
        <v>1605880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17055.57894736842</v>
      </c>
      <c r="G26" s="90">
        <f t="shared" ref="G26" si="18">F26/F25-1</f>
        <v>-0.12029752694301943</v>
      </c>
      <c r="H26" s="90">
        <f t="shared" ref="H26" si="19">F26/F14-1</f>
        <v>-0.57399127161678198</v>
      </c>
      <c r="I26" s="130">
        <f t="shared" si="0"/>
        <v>5.5731041692857737</v>
      </c>
      <c r="J26" s="130">
        <f t="shared" si="6"/>
        <v>-9.518802583204089E-2</v>
      </c>
      <c r="L26" s="90"/>
      <c r="M26" s="90"/>
      <c r="P26" s="129" t="s">
        <v>312</v>
      </c>
      <c r="Q26" s="116">
        <v>324056</v>
      </c>
      <c r="R26" s="116">
        <v>437540295</v>
      </c>
      <c r="S26" s="116">
        <v>58146.41</v>
      </c>
      <c r="T26" s="130">
        <f t="shared" ref="T26" si="20">Q26/S26</f>
        <v>5.5731041692857737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29405</v>
      </c>
      <c r="G27" s="90">
        <f t="shared" ref="G27" si="21">F27/F26-1</f>
        <v>0.72406929666477415</v>
      </c>
      <c r="H27" s="90">
        <f t="shared" ref="H27" si="22">F27/F15-1</f>
        <v>1.6865591062937355</v>
      </c>
      <c r="I27" s="130">
        <f t="shared" si="0"/>
        <v>6.8398694893987892</v>
      </c>
      <c r="J27" s="130">
        <f t="shared" si="6"/>
        <v>2.3512849487834497E-2</v>
      </c>
      <c r="L27" s="90"/>
      <c r="M27" s="90"/>
      <c r="P27" s="129" t="s">
        <v>375</v>
      </c>
      <c r="Q27" s="116">
        <v>646910</v>
      </c>
      <c r="R27" s="116">
        <v>850621800</v>
      </c>
      <c r="S27" s="116">
        <v>94579.29</v>
      </c>
      <c r="T27" s="130">
        <f t="shared" ref="T27" si="23">Q27/S27</f>
        <v>6.8398694893987892</v>
      </c>
      <c r="U27" s="78"/>
    </row>
    <row r="28" spans="1:21" s="79" customFormat="1" ht="13.2" hidden="1">
      <c r="A28" s="123" t="s">
        <v>413</v>
      </c>
      <c r="B28" s="131">
        <f>SUM(F26:F28)</f>
        <v>83867.421052631573</v>
      </c>
      <c r="C28" s="131">
        <f>AVERAGE(F26:F28)</f>
        <v>27955.807017543859</v>
      </c>
      <c r="D28" s="90">
        <f>C28/C25-1</f>
        <v>8.4118577409154405E-2</v>
      </c>
      <c r="E28" s="286">
        <f>C28/C16-1</f>
        <v>0.2664399050987829</v>
      </c>
      <c r="F28" s="78">
        <f>Q28/19</f>
        <v>37406.84210526316</v>
      </c>
      <c r="G28" s="90">
        <f t="shared" ref="G28" si="24">F28/F27-1</f>
        <v>0.27212522037963471</v>
      </c>
      <c r="H28" s="90">
        <f t="shared" ref="H28" si="25">F28/F16-1</f>
        <v>1.4541951256569452</v>
      </c>
      <c r="I28" s="130">
        <f t="shared" si="0"/>
        <v>4.9108674076164363</v>
      </c>
      <c r="J28" s="130">
        <f t="shared" si="6"/>
        <v>0.18283959854367815</v>
      </c>
      <c r="K28" s="78">
        <f>R26+R27+R28</f>
        <v>2217587567</v>
      </c>
      <c r="L28" s="90">
        <f>U28/U25-1</f>
        <v>4.7211497745784259E-2</v>
      </c>
      <c r="M28" s="90">
        <f>U28/U16-1</f>
        <v>0.22142248085099592</v>
      </c>
      <c r="N28" s="88">
        <f>AVERAGE(T26:T28)</f>
        <v>5.7746136887670003</v>
      </c>
      <c r="O28" s="91">
        <f>N28/N25-1</f>
        <v>-0.18311710926683589</v>
      </c>
      <c r="P28" s="129" t="s">
        <v>413</v>
      </c>
      <c r="Q28" s="116">
        <v>710730</v>
      </c>
      <c r="R28" s="116">
        <v>929425472</v>
      </c>
      <c r="S28" s="116">
        <v>144725.96</v>
      </c>
      <c r="T28" s="130">
        <f t="shared" ref="T28" si="26">Q28/S28</f>
        <v>4.9108674076164363</v>
      </c>
      <c r="U28" s="85">
        <f>Q26+Q27+Q28</f>
        <v>1681696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17938.090909090908</v>
      </c>
      <c r="G29" s="190">
        <f t="shared" ref="G29" si="27">F29/F28-1</f>
        <v>-0.52045962985560301</v>
      </c>
      <c r="H29" s="190">
        <f t="shared" ref="H29" si="28">F29/F17-1</f>
        <v>-0.43296156090966853</v>
      </c>
      <c r="I29" s="130">
        <f t="shared" si="0"/>
        <v>7.0300216794540411</v>
      </c>
      <c r="J29" s="130">
        <f t="shared" si="6"/>
        <v>4.571869707836318E-2</v>
      </c>
      <c r="K29" s="136"/>
      <c r="L29" s="190"/>
      <c r="M29" s="190"/>
      <c r="N29" s="191"/>
      <c r="O29" s="192"/>
      <c r="P29" s="129" t="s">
        <v>427</v>
      </c>
      <c r="Q29" s="116">
        <v>394638</v>
      </c>
      <c r="R29" s="116">
        <v>520638818</v>
      </c>
      <c r="S29" s="116">
        <v>56136.1</v>
      </c>
      <c r="T29" s="130">
        <f t="shared" ref="T29" si="29">Q29/S29</f>
        <v>7.0300216794540411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76556.526315789481</v>
      </c>
      <c r="G30" s="190">
        <f t="shared" ref="G30" si="30">F30/F29-1</f>
        <v>3.2678190618930989</v>
      </c>
      <c r="H30" s="190">
        <f t="shared" ref="H30" si="31">F30/F18-1</f>
        <v>0.52190625251927014</v>
      </c>
      <c r="I30" s="130">
        <f t="shared" si="0"/>
        <v>3.5725514389920181</v>
      </c>
      <c r="J30" s="130">
        <f t="shared" si="6"/>
        <v>-0.56280292719533109</v>
      </c>
      <c r="K30" s="136"/>
      <c r="L30" s="190"/>
      <c r="M30" s="190"/>
      <c r="N30" s="191"/>
      <c r="O30" s="192"/>
      <c r="P30" s="129" t="s">
        <v>466</v>
      </c>
      <c r="Q30" s="116">
        <v>1454574</v>
      </c>
      <c r="R30" s="116">
        <v>1936613544</v>
      </c>
      <c r="S30" s="116">
        <v>407152.71</v>
      </c>
      <c r="T30" s="130">
        <f t="shared" ref="T30" si="32">Q30/S30</f>
        <v>3.5725514389920181</v>
      </c>
      <c r="U30" s="85"/>
    </row>
    <row r="31" spans="1:21" s="79" customFormat="1" ht="13.2" hidden="1">
      <c r="A31" s="129" t="s">
        <v>505</v>
      </c>
      <c r="B31" s="188">
        <f>SUM(F29:F31)</f>
        <v>116022.0172248804</v>
      </c>
      <c r="C31" s="188">
        <f>AVERAGE(F29:F31)</f>
        <v>38674.005741626803</v>
      </c>
      <c r="D31" s="190">
        <f>C31/C28-1</f>
        <v>0.38339793651303511</v>
      </c>
      <c r="E31" s="287">
        <f>C31/C19-1</f>
        <v>-0.17711976649486216</v>
      </c>
      <c r="F31" s="136">
        <f>Q31/20</f>
        <v>21527.4</v>
      </c>
      <c r="G31" s="190">
        <f t="shared" ref="G31" si="33">F31/F30-1</f>
        <v>-0.7188038559743265</v>
      </c>
      <c r="H31" s="190">
        <f t="shared" ref="H31" si="34">F31/F19-1</f>
        <v>-0.63548265935994341</v>
      </c>
      <c r="I31" s="130">
        <f t="shared" si="0"/>
        <v>5.6447070743303414</v>
      </c>
      <c r="J31" s="130">
        <f t="shared" si="6"/>
        <v>1.8560164234096233E-2</v>
      </c>
      <c r="K31" s="136">
        <f>R29+R30+R31</f>
        <v>3029939275</v>
      </c>
      <c r="L31" s="190">
        <f>U31/U28-1</f>
        <v>0.35563145776644522</v>
      </c>
      <c r="M31" s="190">
        <f>U31/U19-1</f>
        <v>-0.22404752868858735</v>
      </c>
      <c r="N31" s="191">
        <f>AVERAGE(T29:T31)</f>
        <v>5.4157600642588006</v>
      </c>
      <c r="O31" s="192">
        <f>N31/N28-1</f>
        <v>-6.2143312756358982E-2</v>
      </c>
      <c r="P31" s="129" t="s">
        <v>505</v>
      </c>
      <c r="Q31" s="116">
        <v>430548</v>
      </c>
      <c r="R31" s="116">
        <v>572686913</v>
      </c>
      <c r="S31" s="116">
        <v>76274.64</v>
      </c>
      <c r="T31" s="130">
        <f t="shared" ref="T31" si="35">Q31/S31</f>
        <v>5.6447070743303414</v>
      </c>
      <c r="U31" s="85">
        <f>Q29+Q30+Q31</f>
        <v>2279760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15673.095238095239</v>
      </c>
      <c r="G32" s="190">
        <f t="shared" ref="G32" si="36">F32/F31-1</f>
        <v>-0.2719466708429612</v>
      </c>
      <c r="H32" s="190">
        <f t="shared" ref="H32" si="37">F32/F20-1</f>
        <v>-0.6159915118764252</v>
      </c>
      <c r="I32" s="130">
        <f t="shared" si="0"/>
        <v>8.2253110716258195</v>
      </c>
      <c r="J32" s="130">
        <f t="shared" si="6"/>
        <v>8.0046475030590702E-3</v>
      </c>
      <c r="K32" s="136"/>
      <c r="L32" s="190"/>
      <c r="M32" s="190"/>
      <c r="N32" s="191"/>
      <c r="O32" s="192"/>
      <c r="P32" s="129" t="s">
        <v>562</v>
      </c>
      <c r="Q32" s="116">
        <v>329135</v>
      </c>
      <c r="R32" s="116">
        <v>446269996</v>
      </c>
      <c r="S32" s="116">
        <v>40014.9</v>
      </c>
      <c r="T32" s="130">
        <f t="shared" ref="T32" si="38">Q32/S32</f>
        <v>8.2253110716258195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16473.857142857141</v>
      </c>
      <c r="G33" s="190">
        <f t="shared" ref="G33" si="39">F33/F32-1</f>
        <v>5.1091497409877284E-2</v>
      </c>
      <c r="H33" s="190">
        <f t="shared" ref="H33" si="40">F33/F21-1</f>
        <v>-0.64490604073689362</v>
      </c>
      <c r="I33" s="130">
        <f t="shared" si="0"/>
        <v>8.04047301411698</v>
      </c>
      <c r="J33" s="130">
        <f t="shared" si="6"/>
        <v>0.32726169740295652</v>
      </c>
      <c r="K33" s="136"/>
      <c r="L33" s="190"/>
      <c r="M33" s="190"/>
      <c r="N33" s="191"/>
      <c r="O33" s="192"/>
      <c r="P33" s="129" t="s">
        <v>607</v>
      </c>
      <c r="Q33" s="116">
        <v>345951</v>
      </c>
      <c r="R33" s="116">
        <v>471822991</v>
      </c>
      <c r="S33" s="116">
        <v>43026.2</v>
      </c>
      <c r="T33" s="130">
        <f t="shared" ref="T33:T45" si="41">Q33/S33</f>
        <v>8.04047301411698</v>
      </c>
      <c r="U33" s="85"/>
    </row>
    <row r="34" spans="1:21" s="79" customFormat="1" ht="13.2" hidden="1">
      <c r="A34" s="129" t="s">
        <v>652</v>
      </c>
      <c r="B34" s="188">
        <f>SUM(F32:F34)</f>
        <v>84778.215538847115</v>
      </c>
      <c r="C34" s="188">
        <f>AVERAGE(F32:F34)</f>
        <v>28259.405179615704</v>
      </c>
      <c r="D34" s="190">
        <f>C34/C31-1</f>
        <v>-0.26929200537407305</v>
      </c>
      <c r="E34" s="287">
        <f>C34/C22-1</f>
        <v>-0.29559411177123252</v>
      </c>
      <c r="F34" s="136">
        <f>Q34/19</f>
        <v>52631.26315789474</v>
      </c>
      <c r="G34" s="190">
        <f t="shared" ref="G34" si="42">F34/F33-1</f>
        <v>2.1948354718321084</v>
      </c>
      <c r="H34" s="190">
        <f t="shared" ref="H34" si="43">F34/F22-1</f>
        <v>0.5878228980104232</v>
      </c>
      <c r="I34" s="130">
        <f t="shared" si="0"/>
        <v>12.406859595318071</v>
      </c>
      <c r="J34" s="130">
        <f t="shared" si="6"/>
        <v>0.83587257495001643</v>
      </c>
      <c r="K34" s="136">
        <f>R32+R33+R34</f>
        <v>2295540243</v>
      </c>
      <c r="L34" s="190">
        <f>U34/U31-1</f>
        <v>-0.26523844615222658</v>
      </c>
      <c r="M34" s="190">
        <f>U34/U22-1</f>
        <v>-0.32636377675112926</v>
      </c>
      <c r="N34" s="191">
        <f>AVERAGE(T32:T34)</f>
        <v>9.5575478936869569</v>
      </c>
      <c r="O34" s="192">
        <f>N34/N31-1</f>
        <v>0.76476575407426228</v>
      </c>
      <c r="P34" s="129" t="s">
        <v>652</v>
      </c>
      <c r="Q34" s="116">
        <v>999994</v>
      </c>
      <c r="R34" s="116">
        <v>1377447256</v>
      </c>
      <c r="S34" s="116">
        <v>80600.09</v>
      </c>
      <c r="T34" s="130">
        <f t="shared" si="41"/>
        <v>12.406859595318071</v>
      </c>
      <c r="U34" s="85">
        <f>Q32+Q33+Q34</f>
        <v>1675080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26629</v>
      </c>
      <c r="G35" s="190">
        <f t="shared" ref="G35" si="44">F35/F34-1</f>
        <v>-0.49404596427578573</v>
      </c>
      <c r="H35" s="190">
        <f t="shared" ref="H35" si="45">F35/F23-1</f>
        <v>-0.29695149395403098</v>
      </c>
      <c r="I35" s="130">
        <f t="shared" si="0"/>
        <v>7.5201006237538213</v>
      </c>
      <c r="J35" s="130">
        <f t="shared" si="6"/>
        <v>-0.13443103486045471</v>
      </c>
      <c r="K35" s="136"/>
      <c r="L35" s="190"/>
      <c r="M35" s="190"/>
      <c r="N35" s="191"/>
      <c r="O35" s="192"/>
      <c r="P35" s="129" t="s">
        <v>660</v>
      </c>
      <c r="Q35" s="116">
        <v>612467</v>
      </c>
      <c r="R35" s="116">
        <v>848059032</v>
      </c>
      <c r="S35" s="116">
        <v>81443.990000000005</v>
      </c>
      <c r="T35" s="130">
        <f t="shared" si="41"/>
        <v>7.5201006237538213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27122.428571428572</v>
      </c>
      <c r="G36" s="190">
        <f t="shared" ref="G36" si="46">F36/F35-1</f>
        <v>1.8529744692950212E-2</v>
      </c>
      <c r="H36" s="190">
        <f t="shared" ref="H36" si="47">F36/F24-1</f>
        <v>0.34966756367603224</v>
      </c>
      <c r="I36" s="130">
        <f t="shared" si="0"/>
        <v>7.6274124627498567</v>
      </c>
      <c r="J36" s="130">
        <f t="shared" si="6"/>
        <v>0.19497232744992354</v>
      </c>
      <c r="K36" s="136"/>
      <c r="L36" s="190"/>
      <c r="M36" s="190"/>
      <c r="N36" s="191"/>
      <c r="O36" s="192"/>
      <c r="P36" s="129" t="s">
        <v>666</v>
      </c>
      <c r="Q36" s="116">
        <v>569571</v>
      </c>
      <c r="R36" s="116">
        <v>781762433</v>
      </c>
      <c r="S36" s="116">
        <v>74674.210000000006</v>
      </c>
      <c r="T36" s="130">
        <f t="shared" si="41"/>
        <v>7.6274124627498567</v>
      </c>
      <c r="U36" s="85"/>
    </row>
    <row r="37" spans="1:21" s="79" customFormat="1" ht="13.2" hidden="1">
      <c r="A37" s="129" t="s">
        <v>702</v>
      </c>
      <c r="B37" s="188">
        <f>SUM(F35:F37)</f>
        <v>103590.98412698413</v>
      </c>
      <c r="C37" s="188">
        <f>AVERAGE(F35:F37)</f>
        <v>34530.328042328045</v>
      </c>
      <c r="D37" s="190">
        <f>C37/C34-1</f>
        <v>0.22190569202906407</v>
      </c>
      <c r="E37" s="287">
        <f>C37/C25-1</f>
        <v>0.33907671101133086</v>
      </c>
      <c r="F37" s="136">
        <f>Q37/18</f>
        <v>49839.555555555555</v>
      </c>
      <c r="G37" s="190">
        <f t="shared" ref="G37" si="48">F37/F36-1</f>
        <v>0.83757717065417059</v>
      </c>
      <c r="H37" s="190">
        <f t="shared" ref="H37" si="49">F37/F25-1</f>
        <v>1.5706532984650092</v>
      </c>
      <c r="I37" s="130">
        <f t="shared" si="0"/>
        <v>6.2208486133642795</v>
      </c>
      <c r="J37" s="130">
        <f t="shared" si="6"/>
        <v>1.3780306345023696E-2</v>
      </c>
      <c r="K37" s="136">
        <f>R35+R36+R37</f>
        <v>2826888742</v>
      </c>
      <c r="L37" s="190">
        <f>U37/U34-1</f>
        <v>0.24122429973493809</v>
      </c>
      <c r="M37" s="190">
        <f>U37/U25-1</f>
        <v>0.29471068822078861</v>
      </c>
      <c r="N37" s="191">
        <f>AVERAGE(T35:T37)</f>
        <v>7.1227872332893192</v>
      </c>
      <c r="O37" s="192">
        <f>N37/N34-1</f>
        <v>-0.25474741926282884</v>
      </c>
      <c r="P37" s="129" t="s">
        <v>702</v>
      </c>
      <c r="Q37" s="116">
        <v>897112</v>
      </c>
      <c r="R37" s="116">
        <v>1197067277</v>
      </c>
      <c r="S37" s="116">
        <v>144210.54999999999</v>
      </c>
      <c r="T37" s="130">
        <f t="shared" si="41"/>
        <v>6.2208486133642795</v>
      </c>
      <c r="U37" s="85">
        <f>Q35+Q36+Q37</f>
        <v>2079150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22698.15</v>
      </c>
      <c r="G38" s="190">
        <f t="shared" ref="G38" si="50">F38/F37-1</f>
        <v>-0.54457559368284003</v>
      </c>
      <c r="H38" s="190">
        <f t="shared" ref="H38" si="51">F38/F26-1</f>
        <v>0.33083433110326621</v>
      </c>
      <c r="I38" s="130">
        <f t="shared" si="0"/>
        <v>7.4406953650687919</v>
      </c>
      <c r="J38" s="130">
        <f t="shared" si="6"/>
        <v>0.33510789302586486</v>
      </c>
      <c r="K38" s="136"/>
      <c r="L38" s="190"/>
      <c r="M38" s="190"/>
      <c r="N38" s="191"/>
      <c r="O38" s="192"/>
      <c r="P38" s="129" t="s">
        <v>727</v>
      </c>
      <c r="Q38" s="116">
        <v>453963</v>
      </c>
      <c r="R38" s="116">
        <v>605323640</v>
      </c>
      <c r="S38" s="116">
        <v>61010.83</v>
      </c>
      <c r="T38" s="130">
        <f t="shared" si="41"/>
        <v>7.4406953650687919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26372.095238095237</v>
      </c>
      <c r="G39" s="190">
        <f t="shared" ref="G39" si="52">F39/F38-1</f>
        <v>0.16186099916051466</v>
      </c>
      <c r="H39" s="190">
        <f t="shared" ref="H39" si="53">F39/F27-1</f>
        <v>-0.10314248467623743</v>
      </c>
      <c r="I39" s="130">
        <f t="shared" si="0"/>
        <v>7.9087125161422627</v>
      </c>
      <c r="J39" s="130">
        <f t="shared" si="6"/>
        <v>0.15626658204518207</v>
      </c>
      <c r="K39" s="136"/>
      <c r="L39" s="190"/>
      <c r="M39" s="190"/>
      <c r="N39" s="191"/>
      <c r="O39" s="192"/>
      <c r="P39" s="129" t="s">
        <v>762</v>
      </c>
      <c r="Q39" s="116">
        <v>553814</v>
      </c>
      <c r="R39" s="116">
        <v>767884139</v>
      </c>
      <c r="S39" s="116">
        <v>70025.81</v>
      </c>
      <c r="T39" s="130">
        <f t="shared" si="41"/>
        <v>7.9087125161422627</v>
      </c>
      <c r="U39" s="85"/>
    </row>
    <row r="40" spans="1:21" s="79" customFormat="1" ht="13.2" hidden="1">
      <c r="A40" s="129" t="s">
        <v>778</v>
      </c>
      <c r="B40" s="188">
        <f>SUM(F38:F40)</f>
        <v>129395.76904761905</v>
      </c>
      <c r="C40" s="188">
        <f>AVERAGE(F38:F40)</f>
        <v>43131.923015873013</v>
      </c>
      <c r="D40" s="190">
        <f>C40/C37-1</f>
        <v>0.24910261388194588</v>
      </c>
      <c r="E40" s="287">
        <f>C40/C28-1</f>
        <v>0.54286095152986569</v>
      </c>
      <c r="F40" s="136">
        <f>Q40/21</f>
        <v>80325.523809523816</v>
      </c>
      <c r="G40" s="190">
        <f t="shared" ref="G40" si="54">F40/F39-1</f>
        <v>2.045852939795672</v>
      </c>
      <c r="H40" s="190">
        <f t="shared" ref="H40" si="55">F40/F28-1</f>
        <v>1.1473484338369739</v>
      </c>
      <c r="I40" s="130">
        <f t="shared" si="0"/>
        <v>3.5614905520642255</v>
      </c>
      <c r="J40" s="130">
        <f t="shared" si="6"/>
        <v>-0.27477362827174179</v>
      </c>
      <c r="K40" s="136">
        <f>R38+R39+R40</f>
        <v>3779604733</v>
      </c>
      <c r="L40" s="190">
        <f>U40/U37-1</f>
        <v>0.29601664141596329</v>
      </c>
      <c r="M40" s="190">
        <f>U40/U28-1</f>
        <v>0.6023187306148079</v>
      </c>
      <c r="N40" s="191">
        <f>AVERAGE(T38:T40)</f>
        <v>6.3036328110917594</v>
      </c>
      <c r="O40" s="192">
        <f>N40/N37-1</f>
        <v>-0.11500475802072674</v>
      </c>
      <c r="P40" s="129" t="s">
        <v>778</v>
      </c>
      <c r="Q40" s="116">
        <v>1686836</v>
      </c>
      <c r="R40" s="116">
        <v>2406396954</v>
      </c>
      <c r="S40" s="116">
        <v>473632.03</v>
      </c>
      <c r="T40" s="130">
        <f t="shared" si="41"/>
        <v>3.5614905520642255</v>
      </c>
      <c r="U40" s="85">
        <f>Q38+Q39+Q40</f>
        <v>2694613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24326.555555555555</v>
      </c>
      <c r="G41" s="190">
        <f t="shared" ref="G41" si="56">F41/F40-1</f>
        <v>-0.69715036514120721</v>
      </c>
      <c r="H41" s="190">
        <f t="shared" ref="H41" si="57">F41/F29-1</f>
        <v>0.35613960698721936</v>
      </c>
      <c r="I41" s="130">
        <f t="shared" si="0"/>
        <v>8.7022294844917045</v>
      </c>
      <c r="J41" s="130">
        <f t="shared" si="6"/>
        <v>0.23786666404242562</v>
      </c>
      <c r="K41" s="193"/>
      <c r="L41" s="190"/>
      <c r="M41" s="190"/>
      <c r="N41" s="193"/>
      <c r="O41" s="193"/>
      <c r="P41" s="129" t="s">
        <v>793</v>
      </c>
      <c r="Q41" s="116">
        <v>437878</v>
      </c>
      <c r="R41" s="116">
        <v>638577895</v>
      </c>
      <c r="S41" s="116">
        <v>50317.91</v>
      </c>
      <c r="T41" s="130">
        <f t="shared" si="41"/>
        <v>8.7022294844917045</v>
      </c>
      <c r="U41" s="78">
        <v>8</v>
      </c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8554.5499999999993</v>
      </c>
      <c r="G42" s="190">
        <f t="shared" ref="G42" si="58">F42/F41-1</f>
        <v>-0.64834520117475647</v>
      </c>
      <c r="H42" s="190">
        <f t="shared" ref="H42" si="59">F42/F30-1</f>
        <v>-0.88825838355422282</v>
      </c>
      <c r="I42" s="130">
        <f t="shared" si="0"/>
        <v>8.5194498665498148</v>
      </c>
      <c r="J42" s="130">
        <f t="shared" si="6"/>
        <v>1.384696207188425</v>
      </c>
      <c r="K42" s="193"/>
      <c r="L42" s="190"/>
      <c r="M42" s="190"/>
      <c r="N42" s="193"/>
      <c r="O42" s="193"/>
      <c r="P42" s="129" t="s">
        <v>826</v>
      </c>
      <c r="Q42" s="116">
        <v>171091</v>
      </c>
      <c r="R42" s="116">
        <v>249106052</v>
      </c>
      <c r="S42" s="116">
        <v>20082.400000000001</v>
      </c>
      <c r="T42" s="130">
        <f t="shared" si="41"/>
        <v>8.5194498665498148</v>
      </c>
      <c r="U42" s="78">
        <v>7</v>
      </c>
    </row>
    <row r="43" spans="1:21" s="79" customFormat="1" ht="13.2">
      <c r="A43" s="129" t="s">
        <v>835</v>
      </c>
      <c r="B43" s="188">
        <f>SUM(F41:F43)</f>
        <v>52862.055555555547</v>
      </c>
      <c r="C43" s="188">
        <f>AVERAGE(F41:F43)</f>
        <v>17620.685185185182</v>
      </c>
      <c r="D43" s="190">
        <f>C43/C40-1</f>
        <v>-0.59146998433850073</v>
      </c>
      <c r="E43" s="287">
        <f>C43/C31-1</f>
        <v>-0.54437910303614756</v>
      </c>
      <c r="F43" s="136">
        <f>Q43/20</f>
        <v>19980.95</v>
      </c>
      <c r="G43" s="190">
        <f t="shared" ref="G43" si="60">F43/F42-1</f>
        <v>1.3357102360732012</v>
      </c>
      <c r="H43" s="190">
        <f t="shared" ref="H43" si="61">F43/F31-1</f>
        <v>-7.1836357386400596E-2</v>
      </c>
      <c r="I43" s="130">
        <f t="shared" si="0"/>
        <v>12.75421849018425</v>
      </c>
      <c r="J43" s="130">
        <f t="shared" si="6"/>
        <v>1.2595005059137359</v>
      </c>
      <c r="K43" s="136">
        <f>R41+R42+R43</f>
        <v>1468458564</v>
      </c>
      <c r="L43" s="190">
        <f>U43/U40-1</f>
        <v>-0.99999777333516915</v>
      </c>
      <c r="M43" s="190">
        <f>K43/K31-1</f>
        <v>-0.51535049691713708</v>
      </c>
      <c r="N43" s="191">
        <f>AVERAGE(T41:T43)</f>
        <v>9.991965947075256</v>
      </c>
      <c r="O43" s="192">
        <f>N43/N40-1</f>
        <v>0.58511230690556282</v>
      </c>
      <c r="P43" s="129" t="s">
        <v>835</v>
      </c>
      <c r="Q43" s="116">
        <v>399619</v>
      </c>
      <c r="R43" s="116">
        <v>580774617</v>
      </c>
      <c r="S43" s="116">
        <v>31332.3</v>
      </c>
      <c r="T43" s="130">
        <f t="shared" si="41"/>
        <v>12.75421849018425</v>
      </c>
      <c r="U43" s="85">
        <v>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28858.863636363636</v>
      </c>
      <c r="G44" s="190">
        <f t="shared" ref="G44" si="62">F44/F43-1</f>
        <v>0.44431889556620852</v>
      </c>
      <c r="H44" s="190">
        <f t="shared" ref="H44" si="63">F44/F32-1</f>
        <v>0.84129957726658167</v>
      </c>
      <c r="I44" s="130">
        <f t="shared" si="0"/>
        <v>4.2125864768075019</v>
      </c>
      <c r="J44" s="130">
        <f t="shared" si="6"/>
        <v>-0.48785080100626033</v>
      </c>
      <c r="K44" s="136"/>
      <c r="L44" s="190"/>
      <c r="M44" s="190"/>
      <c r="N44" s="191"/>
      <c r="O44" s="192"/>
      <c r="P44" s="129" t="s">
        <v>843</v>
      </c>
      <c r="Q44" s="116">
        <v>634895</v>
      </c>
      <c r="R44" s="116">
        <v>918769171</v>
      </c>
      <c r="S44" s="116">
        <v>150713.82</v>
      </c>
      <c r="T44" s="130">
        <f t="shared" si="41"/>
        <v>4.2125864768075019</v>
      </c>
      <c r="U44" s="85">
        <v>17</v>
      </c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16776.349999999999</v>
      </c>
      <c r="G45" s="190">
        <f t="shared" ref="G45" si="64">F45/F44-1</f>
        <v>-0.41867600154356233</v>
      </c>
      <c r="H45" s="190">
        <f t="shared" ref="H45" si="65">F45/F33-1</f>
        <v>1.8361993461501802E-2</v>
      </c>
      <c r="I45" s="130">
        <f t="shared" si="0"/>
        <v>10.290774564601849</v>
      </c>
      <c r="J45" s="130">
        <f t="shared" si="6"/>
        <v>0.27987178696252379</v>
      </c>
      <c r="K45" s="136"/>
      <c r="L45" s="190"/>
      <c r="M45" s="190"/>
      <c r="N45" s="191"/>
      <c r="O45" s="192"/>
      <c r="P45" s="129" t="s">
        <v>849</v>
      </c>
      <c r="Q45" s="116">
        <v>335527</v>
      </c>
      <c r="R45" s="116">
        <v>471036199</v>
      </c>
      <c r="S45" s="116">
        <v>32604.639999999999</v>
      </c>
      <c r="T45" s="130">
        <f t="shared" si="41"/>
        <v>10.290774564601849</v>
      </c>
      <c r="U45" s="85">
        <v>11</v>
      </c>
    </row>
    <row r="46" spans="1:21" s="79" customFormat="1" ht="13.2">
      <c r="A46" s="129" t="s">
        <v>888</v>
      </c>
      <c r="B46" s="188">
        <f>SUM(F44:F46)</f>
        <v>69276.687320574158</v>
      </c>
      <c r="C46" s="188">
        <f>AVERAGE(F44:F46)</f>
        <v>23092.229106858053</v>
      </c>
      <c r="D46" s="190">
        <f>C46/C43-1</f>
        <v>0.31051822696844611</v>
      </c>
      <c r="E46" s="287">
        <f>C46/C34-1</f>
        <v>-0.18284801254362137</v>
      </c>
      <c r="F46" s="136">
        <f>Q46/19</f>
        <v>23641.473684210527</v>
      </c>
      <c r="G46" s="190">
        <f t="shared" ref="G46" si="66">F46/F45-1</f>
        <v>0.4092143812098894</v>
      </c>
      <c r="H46" s="190">
        <f t="shared" ref="H46" si="67">F46/F34-1</f>
        <v>-0.55080930485582913</v>
      </c>
      <c r="I46" s="130">
        <f t="shared" si="0"/>
        <v>7.3086092249738526</v>
      </c>
      <c r="J46" s="130">
        <f t="shared" si="6"/>
        <v>-0.41092190422370267</v>
      </c>
      <c r="K46" s="136">
        <f>R44+R45+R46</f>
        <v>2002373381</v>
      </c>
      <c r="L46" s="190">
        <f>U46/U43-1</f>
        <v>0</v>
      </c>
      <c r="M46" s="190">
        <f>K46/K34-1</f>
        <v>-0.12771148878525673</v>
      </c>
      <c r="N46" s="191">
        <f>AVERAGE(T44:T46)</f>
        <v>7.2706567554610677</v>
      </c>
      <c r="O46" s="192">
        <f>N46/N43-1</f>
        <v>-0.27234972637299082</v>
      </c>
      <c r="P46" s="129" t="s">
        <v>928</v>
      </c>
      <c r="Q46" s="116">
        <v>449188</v>
      </c>
      <c r="R46" s="116">
        <v>612568011</v>
      </c>
      <c r="S46" s="116">
        <v>61460.12</v>
      </c>
      <c r="T46" s="130">
        <f t="shared" ref="T46" si="68">Q46/S46</f>
        <v>7.3086092249738526</v>
      </c>
      <c r="U46" s="85">
        <v>6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33500.086956521736</v>
      </c>
      <c r="G47" s="190">
        <f t="shared" ref="G47" si="69">F47/F46-1</f>
        <v>0.41700502278313967</v>
      </c>
      <c r="H47" s="190">
        <f t="shared" ref="H47" si="70">F47/F35-1</f>
        <v>0.25803022856741653</v>
      </c>
      <c r="I47" s="130">
        <f t="shared" si="0"/>
        <v>5.814217774300575</v>
      </c>
      <c r="J47" s="130">
        <f t="shared" si="6"/>
        <v>-0.22684308825135346</v>
      </c>
      <c r="K47" s="136"/>
      <c r="L47" s="190"/>
      <c r="M47" s="190"/>
      <c r="N47" s="191"/>
      <c r="O47" s="192"/>
      <c r="P47" s="129" t="s">
        <v>1035</v>
      </c>
      <c r="Q47" s="116">
        <v>770502</v>
      </c>
      <c r="R47" s="116">
        <v>1057068692</v>
      </c>
      <c r="S47" s="116">
        <v>132520.32000000001</v>
      </c>
      <c r="T47" s="130">
        <f t="shared" ref="T47" si="71">Q47/S47</f>
        <v>5.814217774300575</v>
      </c>
      <c r="U47" s="85">
        <v>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41738.5</v>
      </c>
      <c r="G48" s="190">
        <f t="shared" ref="G48" si="72">F48/F47-1</f>
        <v>0.24592213907296823</v>
      </c>
      <c r="H48" s="190">
        <f t="shared" ref="H48" si="73">F48/F36-1</f>
        <v>0.53889242956540961</v>
      </c>
      <c r="I48" s="130">
        <f t="shared" si="0"/>
        <v>4.4890304383657043</v>
      </c>
      <c r="J48" s="130">
        <f t="shared" si="6"/>
        <v>-0.41146090364342169</v>
      </c>
      <c r="K48" s="136"/>
      <c r="L48" s="190"/>
      <c r="M48" s="190"/>
      <c r="N48" s="191"/>
      <c r="O48" s="192"/>
      <c r="P48" s="129" t="s">
        <v>1120</v>
      </c>
      <c r="Q48" s="116">
        <v>834770</v>
      </c>
      <c r="R48" s="116">
        <v>1157947875</v>
      </c>
      <c r="S48" s="116">
        <v>185957.75</v>
      </c>
      <c r="T48" s="130">
        <f t="shared" ref="T48" si="74">Q48/S48</f>
        <v>4.4890304383657043</v>
      </c>
      <c r="U48" s="85">
        <v>6</v>
      </c>
    </row>
    <row r="49" spans="1:26" ht="13.2">
      <c r="A49" s="129" t="s">
        <v>1158</v>
      </c>
      <c r="B49" s="188">
        <f>SUM(F47:F49)</f>
        <v>100001.49604743082</v>
      </c>
      <c r="C49" s="188">
        <f>AVERAGE(F47:F49)</f>
        <v>33333.832015810272</v>
      </c>
      <c r="D49" s="190">
        <f>C49/C46-1</f>
        <v>0.44350863061161183</v>
      </c>
      <c r="E49" s="287">
        <f>C49/C37-1</f>
        <v>-3.4650583830280524E-2</v>
      </c>
      <c r="F49" s="136">
        <f>Q49/22</f>
        <v>24762.909090909092</v>
      </c>
      <c r="G49" s="190">
        <f t="shared" ref="G49" si="75">F49/F48-1</f>
        <v>-0.40671300859137027</v>
      </c>
      <c r="H49" s="190">
        <f t="shared" ref="H49" si="76">F49/F37-1</f>
        <v>-0.5031474736305348</v>
      </c>
      <c r="I49" s="130">
        <f t="shared" si="0"/>
        <v>6.6934922060545441</v>
      </c>
      <c r="J49" s="130">
        <f t="shared" si="6"/>
        <v>7.5977350047529146E-2</v>
      </c>
      <c r="K49" s="136">
        <f>R47+R48+R49</f>
        <v>2971496229</v>
      </c>
      <c r="L49" s="190">
        <f>U49/U46-1</f>
        <v>0</v>
      </c>
      <c r="M49" s="190">
        <f>K49/K37-1</f>
        <v>5.1154290174749262E-2</v>
      </c>
      <c r="N49" s="191">
        <f>AVERAGE(T47:T49)</f>
        <v>5.6655801395736072</v>
      </c>
      <c r="O49" s="192">
        <f>N49/N46-1</f>
        <v>-0.22076088445268305</v>
      </c>
      <c r="P49" s="129" t="s">
        <v>1158</v>
      </c>
      <c r="Q49" s="116">
        <v>544784</v>
      </c>
      <c r="R49" s="116">
        <v>756479662</v>
      </c>
      <c r="S49" s="116">
        <v>81390.100000000006</v>
      </c>
      <c r="T49" s="130">
        <f t="shared" ref="T49" si="77">Q49/S49</f>
        <v>6.6934922060545441</v>
      </c>
      <c r="U49" s="85">
        <v>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21661.555555555555</v>
      </c>
      <c r="G50" s="190">
        <f t="shared" ref="G50" si="78">F50/F49-1</f>
        <v>-0.12524188995597851</v>
      </c>
      <c r="H50" s="190">
        <f t="shared" ref="H50" si="79">F50/F38-1</f>
        <v>-4.5668675396208336E-2</v>
      </c>
      <c r="I50" s="130">
        <f t="shared" ref="I50" si="80">T50</f>
        <v>9.4150429934344757</v>
      </c>
      <c r="J50" s="130">
        <f t="shared" ref="J50" si="81">I50/I38-1</f>
        <v>0.26534450498195206</v>
      </c>
      <c r="K50" s="136"/>
      <c r="L50" s="190"/>
      <c r="M50" s="190"/>
      <c r="N50" s="191"/>
      <c r="O50" s="192"/>
      <c r="P50" s="129" t="s">
        <v>1291</v>
      </c>
      <c r="Q50" s="116">
        <v>389908</v>
      </c>
      <c r="R50" s="116">
        <v>554788660</v>
      </c>
      <c r="S50" s="116">
        <v>41413.300000000003</v>
      </c>
      <c r="T50" s="130">
        <f t="shared" ref="T50" si="82">Q50/S50</f>
        <v>9.4150429934344757</v>
      </c>
      <c r="U50" s="85">
        <v>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16574.45</v>
      </c>
      <c r="G51" s="190">
        <f t="shared" ref="G51:G52" si="83">F51/F50-1</f>
        <v>-0.23484488648604285</v>
      </c>
      <c r="H51" s="190">
        <f t="shared" ref="H51:H52" si="84">F51/F39-1</f>
        <v>-0.37151561715666259</v>
      </c>
      <c r="I51" s="130">
        <f t="shared" ref="I51:I52" si="85">T51</f>
        <v>5.8664690701169846</v>
      </c>
      <c r="J51" s="130">
        <f t="shared" ref="J51:J52" si="86">I51/I39-1</f>
        <v>-0.25822704287921827</v>
      </c>
      <c r="K51" s="136"/>
      <c r="L51" s="190"/>
      <c r="M51" s="190"/>
      <c r="N51" s="191"/>
      <c r="O51" s="192"/>
      <c r="P51" s="129" t="s">
        <v>1402</v>
      </c>
      <c r="Q51" s="116">
        <v>331489</v>
      </c>
      <c r="R51" s="116">
        <v>484397012</v>
      </c>
      <c r="S51" s="116">
        <v>56505.71</v>
      </c>
      <c r="T51" s="130">
        <f t="shared" ref="T51:T52" si="87">Q51/S51</f>
        <v>5.8664690701169846</v>
      </c>
      <c r="U51" s="85">
        <v>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48569.460101010103</v>
      </c>
      <c r="C52" s="188">
        <f>AVERAGE(F50:F52)</f>
        <v>16189.820033670034</v>
      </c>
      <c r="D52" s="190">
        <f>C52/C49-1</f>
        <v>-0.5143126651027945</v>
      </c>
      <c r="E52" s="287">
        <f>C52/C40-1</f>
        <v>-0.62464414054267869</v>
      </c>
      <c r="F52" s="136">
        <f>Q52/22</f>
        <v>10333.454545454546</v>
      </c>
      <c r="G52" s="190">
        <f t="shared" si="83"/>
        <v>-0.37654314046894188</v>
      </c>
      <c r="H52" s="190">
        <f t="shared" si="84"/>
        <v>-0.87135527967476067</v>
      </c>
      <c r="I52" s="130">
        <f t="shared" si="85"/>
        <v>11.095379284258819</v>
      </c>
      <c r="J52" s="130">
        <f t="shared" si="86"/>
        <v>2.1153751840863322</v>
      </c>
      <c r="K52" s="136">
        <f>R50+R51+R52</f>
        <v>1373431775</v>
      </c>
      <c r="L52" s="190">
        <f>U52/U49-1</f>
        <v>0</v>
      </c>
      <c r="M52" s="190">
        <f>K52/K40-1</f>
        <v>-0.63662026269348515</v>
      </c>
      <c r="N52" s="191">
        <f>AVERAGE(T50:T52)</f>
        <v>8.7922971159367602</v>
      </c>
      <c r="O52" s="192">
        <f>N52/N49-1</f>
        <v>0.55187940146204872</v>
      </c>
      <c r="P52" s="129" t="s">
        <v>1403</v>
      </c>
      <c r="Q52" s="116">
        <v>227336</v>
      </c>
      <c r="R52" s="116">
        <v>334246103</v>
      </c>
      <c r="S52" s="116">
        <v>20489.25</v>
      </c>
      <c r="T52" s="130">
        <f t="shared" si="87"/>
        <v>11.095379284258819</v>
      </c>
      <c r="U52" s="85">
        <v>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43919.095238095237</v>
      </c>
      <c r="G53" s="190">
        <f t="shared" ref="G53" si="88">F53/F52-1</f>
        <v>3.2501851674969879</v>
      </c>
      <c r="H53" s="190">
        <f t="shared" ref="H53" si="89">F53/F41-1</f>
        <v>0.80539719804537868</v>
      </c>
      <c r="I53" s="130">
        <f t="shared" ref="I53" si="90">T53</f>
        <v>3.6314728778133354</v>
      </c>
      <c r="J53" s="130">
        <f t="shared" ref="J53" si="91">I53/I41-1</f>
        <v>-0.58269626372356598</v>
      </c>
      <c r="K53" s="136"/>
      <c r="L53" s="190"/>
      <c r="M53" s="190"/>
      <c r="N53" s="191"/>
      <c r="O53" s="192"/>
      <c r="P53" s="129" t="s">
        <v>1414</v>
      </c>
      <c r="Q53" s="116">
        <v>922301</v>
      </c>
      <c r="R53" s="116">
        <v>1348742397</v>
      </c>
      <c r="S53" s="116">
        <v>253974.36</v>
      </c>
      <c r="T53" s="130">
        <f t="shared" ref="T53" si="92">Q53/S53</f>
        <v>3.6314728778133354</v>
      </c>
      <c r="U53" s="85">
        <v>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18744.117647058825</v>
      </c>
      <c r="G54" s="190">
        <f t="shared" ref="G54" si="93">F54/F53-1</f>
        <v>-0.57321257313150986</v>
      </c>
      <c r="H54" s="190">
        <f t="shared" ref="H54" si="94">F54/F42-1</f>
        <v>1.1911284225422527</v>
      </c>
      <c r="I54" s="130">
        <f t="shared" ref="I54" si="95">T54</f>
        <v>7.5765861731166133</v>
      </c>
      <c r="J54" s="130">
        <f t="shared" ref="J54" si="96">I54/I42-1</f>
        <v>-0.11067189879656392</v>
      </c>
      <c r="K54" s="136"/>
      <c r="L54" s="190"/>
      <c r="M54" s="190"/>
      <c r="N54" s="191"/>
      <c r="O54" s="192"/>
      <c r="P54" s="129" t="s">
        <v>1417</v>
      </c>
      <c r="Q54" s="116">
        <v>318650</v>
      </c>
      <c r="R54" s="116">
        <v>462571327</v>
      </c>
      <c r="S54" s="116">
        <v>42057.2</v>
      </c>
      <c r="T54" s="130">
        <f t="shared" ref="T54" si="97">Q54/S54</f>
        <v>7.5765861731166133</v>
      </c>
      <c r="U54" s="85">
        <v>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85856.97478991597</v>
      </c>
      <c r="C55" s="188">
        <f>AVERAGE(F53:F55)</f>
        <v>28618.991596638658</v>
      </c>
      <c r="D55" s="190">
        <f>C55/C52-1</f>
        <v>0.76771523939856201</v>
      </c>
      <c r="E55" s="287">
        <f>C55/C43-1</f>
        <v>0.62417018951683234</v>
      </c>
      <c r="F55" s="136">
        <f>Q55/21</f>
        <v>23193.761904761905</v>
      </c>
      <c r="G55" s="190">
        <f t="shared" ref="G55" si="98">F55/F54-1</f>
        <v>0.23738883533956479</v>
      </c>
      <c r="H55" s="190">
        <f t="shared" ref="H55" si="99">F55/F43-1</f>
        <v>0.16079375128619522</v>
      </c>
      <c r="I55" s="130">
        <f>T55</f>
        <v>0.7924250858866293</v>
      </c>
      <c r="J55" s="130">
        <f t="shared" ref="J55" si="100">I55/I43-1</f>
        <v>-0.93786956946860478</v>
      </c>
      <c r="K55" s="136">
        <f>R53+R54+R55</f>
        <v>2531381335</v>
      </c>
      <c r="L55" s="190">
        <f>U55/U52-1</f>
        <v>0</v>
      </c>
      <c r="M55" s="190">
        <f>K55/K43-1</f>
        <v>0.72383572615400005</v>
      </c>
      <c r="N55" s="191">
        <f>AVERAGE(T53:T55)</f>
        <v>4.0001613789388593</v>
      </c>
      <c r="O55" s="192">
        <f>N55/N52-1</f>
        <v>-0.54503796605232568</v>
      </c>
      <c r="P55" s="129" t="s">
        <v>1418</v>
      </c>
      <c r="Q55" s="116">
        <v>487069</v>
      </c>
      <c r="R55" s="116">
        <v>720067611</v>
      </c>
      <c r="S55" s="116">
        <v>614656.21</v>
      </c>
      <c r="T55" s="130">
        <f t="shared" ref="T55" si="101">Q55/S55</f>
        <v>0.7924250858866293</v>
      </c>
      <c r="U55" s="85">
        <v>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15278.772727272728</v>
      </c>
      <c r="G56" s="190">
        <f t="shared" ref="G56" si="102">F56/F55-1</f>
        <v>-0.3412550844485539</v>
      </c>
      <c r="H56" s="190">
        <f t="shared" ref="H56" si="103">F56/F44-1</f>
        <v>-0.47056914922940007</v>
      </c>
      <c r="I56" s="291">
        <f>T56</f>
        <v>8.1650068221274488</v>
      </c>
      <c r="J56" s="130">
        <f t="shared" ref="J56" si="104">I56/I44-1</f>
        <v>0.93824076184075844</v>
      </c>
      <c r="K56" s="136"/>
      <c r="L56" s="190"/>
      <c r="M56" s="190"/>
      <c r="N56" s="191"/>
      <c r="O56" s="192"/>
      <c r="P56" s="129" t="s">
        <v>1420</v>
      </c>
      <c r="Q56" s="116">
        <v>336133</v>
      </c>
      <c r="R56" s="116">
        <v>497406157</v>
      </c>
      <c r="S56" s="116">
        <v>41167.51</v>
      </c>
      <c r="T56" s="130">
        <f t="shared" ref="T56" si="105">Q56/S56</f>
        <v>8.1650068221274488</v>
      </c>
      <c r="U56" s="85">
        <v>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26493.166666666668</v>
      </c>
      <c r="G57" s="254">
        <f t="shared" ref="G57" si="106">F57/F56-1</f>
        <v>0.73398525781957336</v>
      </c>
      <c r="H57" s="254">
        <f t="shared" ref="H57" si="107">F57/F45-1</f>
        <v>0.57919730255190616</v>
      </c>
      <c r="I57" s="282">
        <f>T57</f>
        <v>7.8828338509740297</v>
      </c>
      <c r="J57" s="277">
        <f t="shared" ref="J57" si="108">I57/I45-1</f>
        <v>-0.23399023061982527</v>
      </c>
      <c r="K57" s="204"/>
      <c r="L57" s="254"/>
      <c r="M57" s="254"/>
      <c r="N57" s="257"/>
      <c r="O57" s="258"/>
      <c r="P57" s="129" t="s">
        <v>1436</v>
      </c>
      <c r="Q57" s="116">
        <v>317918</v>
      </c>
      <c r="R57" s="116">
        <v>471165170</v>
      </c>
      <c r="S57" s="116">
        <v>40330.42</v>
      </c>
      <c r="T57" s="130">
        <f t="shared" ref="T57" si="109">Q57/S57</f>
        <v>7.8828338509740297</v>
      </c>
      <c r="U57" s="85">
        <v>6</v>
      </c>
      <c r="V57" s="79"/>
      <c r="W57" s="79"/>
      <c r="X57" s="79"/>
      <c r="Y57" s="79"/>
      <c r="Z57" s="79"/>
    </row>
    <row r="58" spans="1:26">
      <c r="B58" s="196">
        <f>SUM(F56:F58)</f>
        <v>41771.939393939392</v>
      </c>
      <c r="C58" s="196">
        <f>AVERAGE(F56:F58)</f>
        <v>20885.969696969696</v>
      </c>
      <c r="D58" s="197">
        <f>C58/C55-1</f>
        <v>-0.27020595304892636</v>
      </c>
      <c r="E58" s="233">
        <f>C58/C46-1</f>
        <v>-9.55412056445053E-2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2382071</v>
      </c>
      <c r="R67" s="212">
        <v>3499952662</v>
      </c>
      <c r="S67" s="213">
        <v>992185.71</v>
      </c>
      <c r="T67" s="214">
        <v>17</v>
      </c>
      <c r="U67" s="214">
        <v>23</v>
      </c>
    </row>
    <row r="68" spans="16:21" ht="18" thickBot="1">
      <c r="P68" s="180" t="s">
        <v>976</v>
      </c>
      <c r="Q68" s="181">
        <v>922301</v>
      </c>
      <c r="R68" s="181">
        <v>1348742397</v>
      </c>
      <c r="S68" s="182">
        <v>253974.36</v>
      </c>
      <c r="T68" s="210">
        <v>10</v>
      </c>
      <c r="U68" s="210">
        <v>12</v>
      </c>
    </row>
    <row r="69" spans="16:21" ht="18" thickBot="1">
      <c r="P69" s="180" t="s">
        <v>977</v>
      </c>
      <c r="Q69" s="181">
        <v>318650</v>
      </c>
      <c r="R69" s="181">
        <v>462571327</v>
      </c>
      <c r="S69" s="182">
        <v>42057.2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487069</v>
      </c>
      <c r="R70" s="181">
        <v>720067611</v>
      </c>
      <c r="S70" s="182">
        <v>614656.21</v>
      </c>
      <c r="T70" s="210">
        <v>11</v>
      </c>
      <c r="U70" s="210">
        <v>14</v>
      </c>
    </row>
    <row r="71" spans="16:21" ht="18" thickBot="1">
      <c r="P71" s="180" t="s">
        <v>979</v>
      </c>
      <c r="Q71" s="181">
        <v>336133</v>
      </c>
      <c r="R71" s="181">
        <v>497406157</v>
      </c>
      <c r="S71" s="182">
        <v>41167.51</v>
      </c>
      <c r="T71" s="210">
        <v>8</v>
      </c>
      <c r="U71" s="210">
        <v>11</v>
      </c>
    </row>
    <row r="72" spans="16:21" ht="18" thickBot="1">
      <c r="P72" s="180" t="s">
        <v>980</v>
      </c>
      <c r="Q72" s="181">
        <v>317918</v>
      </c>
      <c r="R72" s="181">
        <v>471165170</v>
      </c>
      <c r="S72" s="182">
        <v>40330.42</v>
      </c>
      <c r="T72" s="210" t="s">
        <v>1421</v>
      </c>
      <c r="U72" s="210">
        <v>5</v>
      </c>
    </row>
    <row r="73" spans="16:21" ht="18" thickBot="1">
      <c r="P73" s="180" t="s">
        <v>975</v>
      </c>
      <c r="Q73" s="181">
        <v>5526987</v>
      </c>
      <c r="R73" s="181">
        <v>7815759949</v>
      </c>
      <c r="S73" s="182">
        <v>864787.63</v>
      </c>
      <c r="T73" s="210">
        <v>33</v>
      </c>
      <c r="U73" s="210">
        <v>49</v>
      </c>
    </row>
    <row r="74" spans="16:21" ht="18" thickBot="1">
      <c r="P74" s="215" t="s">
        <v>982</v>
      </c>
      <c r="Q74" s="216">
        <v>8728603</v>
      </c>
      <c r="R74" s="217"/>
      <c r="S74"/>
      <c r="T74"/>
      <c r="U74"/>
    </row>
  </sheetData>
  <phoneticPr fontId="1" type="noConversion"/>
  <conditionalFormatting sqref="C29:C30">
    <cfRule type="cellIs" dxfId="5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11"/>
  <dimension ref="A1:Z72"/>
  <sheetViews>
    <sheetView zoomScale="90" zoomScaleNormal="90" workbookViewId="0">
      <selection activeCell="G72" sqref="G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126</v>
      </c>
      <c r="L1" s="80"/>
      <c r="M1" s="80"/>
      <c r="P1" s="123"/>
      <c r="Q1" s="124"/>
      <c r="R1" s="124"/>
      <c r="S1" s="124"/>
      <c r="U1" s="78" t="s">
        <v>647</v>
      </c>
    </row>
    <row r="2" spans="1:21" ht="15" customHeight="1">
      <c r="A2" s="125"/>
      <c r="C2" s="79"/>
      <c r="G2" s="90"/>
      <c r="H2" s="90"/>
      <c r="K2" s="79">
        <v>3801109000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270</v>
      </c>
      <c r="F4" s="84" t="s">
        <v>129</v>
      </c>
      <c r="G4" s="172" t="s">
        <v>282</v>
      </c>
      <c r="H4" s="172" t="s">
        <v>270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234007.5</v>
      </c>
      <c r="G5" s="90"/>
      <c r="H5" s="90"/>
      <c r="I5" s="130">
        <f t="shared" ref="I5:I49" si="0">T5</f>
        <v>20.096856875030326</v>
      </c>
      <c r="J5" s="130"/>
      <c r="L5" s="80"/>
      <c r="M5" s="80"/>
      <c r="P5" s="129" t="s">
        <v>0</v>
      </c>
      <c r="Q5" s="116">
        <v>4680150</v>
      </c>
      <c r="R5" s="116"/>
      <c r="S5" s="116">
        <v>232879.7</v>
      </c>
      <c r="T5" s="130">
        <f t="shared" ref="T5:T11" si="1">Q5/S5</f>
        <v>20.096856875030326</v>
      </c>
      <c r="U5" s="85"/>
    </row>
    <row r="6" spans="1:21" ht="15" hidden="1" customHeight="1">
      <c r="A6" s="129" t="s">
        <v>1</v>
      </c>
      <c r="C6" s="79"/>
      <c r="F6" s="78">
        <f>Q6/18</f>
        <v>272676</v>
      </c>
      <c r="G6" s="90">
        <f t="shared" ref="G6:G16" si="2">F6/F5-1</f>
        <v>0.16524470369539435</v>
      </c>
      <c r="H6" s="90"/>
      <c r="I6" s="130">
        <f t="shared" si="0"/>
        <v>21.425519163637126</v>
      </c>
      <c r="J6" s="130"/>
      <c r="P6" s="129" t="s">
        <v>1</v>
      </c>
      <c r="Q6" s="116">
        <v>4908168</v>
      </c>
      <c r="R6" s="116"/>
      <c r="S6" s="116">
        <v>229080.47</v>
      </c>
      <c r="T6" s="130">
        <f t="shared" si="1"/>
        <v>21.425519163637126</v>
      </c>
      <c r="U6" s="85"/>
    </row>
    <row r="7" spans="1:21" ht="15" hidden="1" customHeight="1">
      <c r="A7" s="129" t="s">
        <v>2</v>
      </c>
      <c r="B7" s="131">
        <f>F5+F6+F7</f>
        <v>819931.13636363635</v>
      </c>
      <c r="C7" s="131">
        <f>AVERAGE(F5:F7)</f>
        <v>273310.37878787878</v>
      </c>
      <c r="F7" s="78">
        <f>Q7/22</f>
        <v>313247.63636363635</v>
      </c>
      <c r="G7" s="90">
        <f t="shared" si="2"/>
        <v>0.14879063930685632</v>
      </c>
      <c r="H7" s="90"/>
      <c r="I7" s="130">
        <f t="shared" si="0"/>
        <v>22.632589170988751</v>
      </c>
      <c r="J7" s="130"/>
      <c r="K7" s="79">
        <f>R5+R6+R7</f>
        <v>0</v>
      </c>
      <c r="N7" s="88">
        <f>AVERAGE(T5:T7)</f>
        <v>21.384988403218738</v>
      </c>
      <c r="P7" s="129" t="s">
        <v>2</v>
      </c>
      <c r="Q7" s="116">
        <v>6891448</v>
      </c>
      <c r="R7" s="116"/>
      <c r="S7" s="116">
        <v>304492.25</v>
      </c>
      <c r="T7" s="130">
        <f t="shared" si="1"/>
        <v>22.632589170988751</v>
      </c>
      <c r="U7" s="85">
        <f>Q5+Q6+Q7</f>
        <v>16479766</v>
      </c>
    </row>
    <row r="8" spans="1:21" ht="15" hidden="1" customHeight="1">
      <c r="A8" s="129" t="s">
        <v>3</v>
      </c>
      <c r="C8" s="79"/>
      <c r="F8" s="78">
        <f>Q8/21</f>
        <v>255161.19047619047</v>
      </c>
      <c r="G8" s="90">
        <f t="shared" si="2"/>
        <v>-0.1854329902110281</v>
      </c>
      <c r="H8" s="90"/>
      <c r="I8" s="130">
        <f t="shared" si="0"/>
        <v>14.676249530684085</v>
      </c>
      <c r="J8" s="130"/>
      <c r="K8" s="78"/>
      <c r="P8" s="129" t="s">
        <v>3</v>
      </c>
      <c r="Q8" s="116">
        <v>5358385</v>
      </c>
      <c r="R8" s="116"/>
      <c r="S8" s="116">
        <v>365105.88</v>
      </c>
      <c r="T8" s="130">
        <f t="shared" si="1"/>
        <v>14.676249530684085</v>
      </c>
      <c r="U8" s="85"/>
    </row>
    <row r="9" spans="1:21" ht="15" hidden="1" customHeight="1">
      <c r="A9" s="129" t="s">
        <v>4</v>
      </c>
      <c r="C9" s="79"/>
      <c r="F9" s="78">
        <f>Q9/21</f>
        <v>288150.57142857142</v>
      </c>
      <c r="G9" s="90">
        <f t="shared" si="2"/>
        <v>0.12928839566399208</v>
      </c>
      <c r="H9" s="90"/>
      <c r="I9" s="130">
        <f t="shared" si="0"/>
        <v>21.944623856152145</v>
      </c>
      <c r="J9" s="130"/>
      <c r="K9" s="78"/>
      <c r="P9" s="129" t="s">
        <v>4</v>
      </c>
      <c r="Q9" s="116">
        <v>6051162</v>
      </c>
      <c r="R9" s="116"/>
      <c r="S9" s="116">
        <v>275746.90000000002</v>
      </c>
      <c r="T9" s="130">
        <f t="shared" si="1"/>
        <v>21.944623856152145</v>
      </c>
      <c r="U9" s="85"/>
    </row>
    <row r="10" spans="1:21" ht="15" hidden="1" customHeight="1">
      <c r="A10" s="129" t="s">
        <v>5</v>
      </c>
      <c r="B10" s="131">
        <f>F8+F9+F10</f>
        <v>794561.19047619053</v>
      </c>
      <c r="C10" s="131">
        <f>AVERAGE(F8:F10)</f>
        <v>264853.73015873018</v>
      </c>
      <c r="D10" s="90">
        <f>C10/C7-1</f>
        <v>-3.0941556872642439E-2</v>
      </c>
      <c r="E10" s="286"/>
      <c r="F10" s="78">
        <f>Q10/21</f>
        <v>251249.42857142858</v>
      </c>
      <c r="G10" s="90">
        <f t="shared" si="2"/>
        <v>-0.12806201519642002</v>
      </c>
      <c r="H10" s="90"/>
      <c r="I10" s="130">
        <f t="shared" si="0"/>
        <v>16.694889439474753</v>
      </c>
      <c r="J10" s="130"/>
      <c r="K10" s="79">
        <f>R8+R9+R10</f>
        <v>0</v>
      </c>
      <c r="L10" s="87">
        <f>U10/U7-1</f>
        <v>1.2501330419376178E-2</v>
      </c>
      <c r="N10" s="88">
        <f>AVERAGE(T8:T10)</f>
        <v>17.771920942103662</v>
      </c>
      <c r="O10" s="89">
        <f>N10/N7-1</f>
        <v>-0.1689534449582053</v>
      </c>
      <c r="P10" s="129" t="s">
        <v>5</v>
      </c>
      <c r="Q10" s="116">
        <v>5276238</v>
      </c>
      <c r="R10" s="116"/>
      <c r="S10" s="116">
        <v>316039.11</v>
      </c>
      <c r="T10" s="130">
        <f t="shared" si="1"/>
        <v>16.694889439474753</v>
      </c>
      <c r="U10" s="85">
        <f>Q8+Q9+Q10</f>
        <v>16685785</v>
      </c>
    </row>
    <row r="11" spans="1:21" ht="15" hidden="1" customHeight="1">
      <c r="A11" s="129" t="s">
        <v>6</v>
      </c>
      <c r="C11" s="79"/>
      <c r="F11" s="78">
        <f>Q11/21</f>
        <v>288484.47619047621</v>
      </c>
      <c r="G11" s="90">
        <f t="shared" si="2"/>
        <v>0.14819953156017607</v>
      </c>
      <c r="H11" s="90"/>
      <c r="I11" s="130">
        <f t="shared" si="0"/>
        <v>21.389886030983728</v>
      </c>
      <c r="J11" s="130"/>
      <c r="K11" s="78"/>
      <c r="O11" s="89"/>
      <c r="P11" s="129" t="s">
        <v>6</v>
      </c>
      <c r="Q11" s="116">
        <v>6058174</v>
      </c>
      <c r="R11" s="116"/>
      <c r="S11" s="116">
        <v>283226.09999999998</v>
      </c>
      <c r="T11" s="130">
        <f t="shared" si="1"/>
        <v>21.389886030983728</v>
      </c>
      <c r="U11" s="85"/>
    </row>
    <row r="12" spans="1:21" ht="15" hidden="1" customHeight="1">
      <c r="A12" s="129" t="s">
        <v>7</v>
      </c>
      <c r="C12" s="79"/>
      <c r="F12" s="78">
        <f>Q12/22</f>
        <v>283540</v>
      </c>
      <c r="G12" s="90">
        <f t="shared" si="2"/>
        <v>-1.7139487905101558E-2</v>
      </c>
      <c r="H12" s="90"/>
      <c r="I12" s="130">
        <f t="shared" si="0"/>
        <v>24.968779419085649</v>
      </c>
      <c r="J12" s="130"/>
      <c r="K12" s="78"/>
      <c r="O12" s="89"/>
      <c r="P12" s="129" t="s">
        <v>7</v>
      </c>
      <c r="Q12" s="116">
        <v>6237880</v>
      </c>
      <c r="R12" s="116"/>
      <c r="S12" s="116">
        <v>249827.19</v>
      </c>
      <c r="T12" s="130">
        <f>Q12/S12</f>
        <v>24.968779419085649</v>
      </c>
      <c r="U12" s="85"/>
    </row>
    <row r="13" spans="1:21" ht="15" hidden="1" customHeight="1">
      <c r="A13" s="129" t="s">
        <v>35</v>
      </c>
      <c r="B13" s="131">
        <f>F11+F12+F13</f>
        <v>850189.62619047624</v>
      </c>
      <c r="C13" s="131">
        <f>AVERAGE(F11:F13)</f>
        <v>283396.54206349206</v>
      </c>
      <c r="D13" s="90">
        <f>C13/C10-1</f>
        <v>7.0011518786799565E-2</v>
      </c>
      <c r="E13" s="286"/>
      <c r="F13" s="78">
        <f>Q13/20</f>
        <v>278165.15000000002</v>
      </c>
      <c r="G13" s="90">
        <f t="shared" si="2"/>
        <v>-1.8956231924948774E-2</v>
      </c>
      <c r="H13" s="90"/>
      <c r="I13" s="130">
        <f t="shared" si="0"/>
        <v>24.669182464008923</v>
      </c>
      <c r="J13" s="130"/>
      <c r="K13" s="78">
        <f>R11+R12+R13</f>
        <v>0</v>
      </c>
      <c r="L13" s="87">
        <f>U13/U10-1</f>
        <v>7.0333640281233345E-2</v>
      </c>
      <c r="N13" s="88">
        <f>AVERAGE(T11:T13)</f>
        <v>23.675949304692768</v>
      </c>
      <c r="O13" s="89">
        <f>N13/N10-1</f>
        <v>0.33221104132878532</v>
      </c>
      <c r="P13" s="129" t="s">
        <v>60</v>
      </c>
      <c r="Q13" s="116">
        <v>5563303</v>
      </c>
      <c r="R13" s="116"/>
      <c r="S13" s="116">
        <v>225516.31</v>
      </c>
      <c r="T13" s="130">
        <f>Q13/S13</f>
        <v>24.669182464008923</v>
      </c>
      <c r="U13" s="85">
        <f>Q11+Q12+Q13</f>
        <v>17859357</v>
      </c>
    </row>
    <row r="14" spans="1:21" ht="15" hidden="1" customHeight="1">
      <c r="A14" s="129" t="s">
        <v>36</v>
      </c>
      <c r="C14" s="79"/>
      <c r="F14" s="78">
        <f>Q14/20</f>
        <v>215332.65</v>
      </c>
      <c r="G14" s="90">
        <f t="shared" si="2"/>
        <v>-0.22588199851778712</v>
      </c>
      <c r="H14" s="90"/>
      <c r="I14" s="130">
        <f t="shared" si="0"/>
        <v>24.123131650989755</v>
      </c>
      <c r="J14" s="130"/>
      <c r="O14" s="89"/>
      <c r="P14" s="129" t="s">
        <v>36</v>
      </c>
      <c r="Q14" s="116">
        <v>4306653</v>
      </c>
      <c r="R14" s="116"/>
      <c r="S14" s="116">
        <v>178527.94</v>
      </c>
      <c r="T14" s="130">
        <f>Q14/S14</f>
        <v>24.123131650989755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228467.63636363635</v>
      </c>
      <c r="G15" s="90">
        <f t="shared" si="2"/>
        <v>6.099858225697008E-2</v>
      </c>
      <c r="H15" s="90"/>
      <c r="I15" s="130">
        <f t="shared" si="0"/>
        <v>23.604001461429437</v>
      </c>
      <c r="J15" s="130"/>
      <c r="O15" s="89"/>
      <c r="P15" s="129" t="s">
        <v>37</v>
      </c>
      <c r="Q15" s="116">
        <v>5026288</v>
      </c>
      <c r="R15" s="116"/>
      <c r="S15" s="116">
        <v>212942.2</v>
      </c>
      <c r="T15" s="130">
        <f t="shared" ref="T15:T19" si="3">Q15/S15</f>
        <v>23.604001461429437</v>
      </c>
      <c r="U15" s="78"/>
    </row>
    <row r="16" spans="1:21" ht="15" hidden="1" customHeight="1">
      <c r="A16" s="123" t="s">
        <v>38</v>
      </c>
      <c r="B16" s="131">
        <f>F14+F15+F16</f>
        <v>680018.92272727273</v>
      </c>
      <c r="C16" s="131">
        <f>AVERAGE(F14:F16)</f>
        <v>226672.97424242424</v>
      </c>
      <c r="D16" s="90">
        <f>C16/C13-1</f>
        <v>-0.20015617483561066</v>
      </c>
      <c r="E16" s="286"/>
      <c r="F16" s="78">
        <f>Q16/22</f>
        <v>236218.63636363635</v>
      </c>
      <c r="G16" s="90">
        <f t="shared" si="2"/>
        <v>3.3926030502032578E-2</v>
      </c>
      <c r="H16" s="90"/>
      <c r="I16" s="130">
        <f t="shared" si="0"/>
        <v>16.336120823185755</v>
      </c>
      <c r="J16" s="130"/>
      <c r="K16" s="78">
        <f>R14+R15+R16</f>
        <v>0</v>
      </c>
      <c r="L16" s="87">
        <f>U16/U13-1</f>
        <v>-0.18643481957385144</v>
      </c>
      <c r="N16" s="88">
        <f>AVERAGE(T14:T16)</f>
        <v>21.354417978534983</v>
      </c>
      <c r="O16" s="89">
        <f>N16/N13-1</f>
        <v>-9.8054413627995052E-2</v>
      </c>
      <c r="P16" s="123" t="s">
        <v>38</v>
      </c>
      <c r="Q16" s="133">
        <v>5196810</v>
      </c>
      <c r="R16" s="133"/>
      <c r="S16" s="133">
        <v>318117.75</v>
      </c>
      <c r="T16" s="134">
        <f t="shared" si="3"/>
        <v>16.336120823185755</v>
      </c>
      <c r="U16" s="85">
        <f>Q14+Q15+Q16</f>
        <v>14529751</v>
      </c>
    </row>
    <row r="17" spans="1:21" ht="15" hidden="1" customHeight="1">
      <c r="A17" s="129" t="s">
        <v>85</v>
      </c>
      <c r="C17" s="79"/>
      <c r="F17" s="78">
        <f>Q17/20</f>
        <v>310118.15000000002</v>
      </c>
      <c r="G17" s="90">
        <f t="shared" ref="G17:G22" si="4">F17/F16-1</f>
        <v>0.31284370604274558</v>
      </c>
      <c r="H17" s="90">
        <f t="shared" ref="H17:H22" si="5">F17/F5-1</f>
        <v>0.32524876339433573</v>
      </c>
      <c r="I17" s="130">
        <f t="shared" si="0"/>
        <v>25.780832520022415</v>
      </c>
      <c r="J17" s="130">
        <f t="shared" ref="J17:J49" si="6">I17/I5-1</f>
        <v>0.28282908518168526</v>
      </c>
      <c r="O17" s="89"/>
      <c r="P17" s="129" t="s">
        <v>85</v>
      </c>
      <c r="Q17" s="116">
        <v>6202363</v>
      </c>
      <c r="R17" s="116">
        <v>7784252181</v>
      </c>
      <c r="S17" s="116">
        <v>240580.4</v>
      </c>
      <c r="T17" s="130">
        <f t="shared" si="3"/>
        <v>25.780832520022415</v>
      </c>
      <c r="U17" s="78"/>
    </row>
    <row r="18" spans="1:21" hidden="1">
      <c r="A18" s="129" t="s">
        <v>106</v>
      </c>
      <c r="C18" s="79"/>
      <c r="F18" s="78">
        <f>Q18/20</f>
        <v>313806.65000000002</v>
      </c>
      <c r="G18" s="90">
        <f t="shared" si="4"/>
        <v>1.1893854003707904E-2</v>
      </c>
      <c r="H18" s="90">
        <f t="shared" si="5"/>
        <v>0.15084074139271531</v>
      </c>
      <c r="I18" s="130">
        <f t="shared" si="0"/>
        <v>24.795657454224219</v>
      </c>
      <c r="J18" s="130">
        <f t="shared" si="6"/>
        <v>0.15729552524947965</v>
      </c>
      <c r="O18" s="89"/>
      <c r="P18" s="129" t="s">
        <v>106</v>
      </c>
      <c r="Q18" s="116">
        <v>6276133</v>
      </c>
      <c r="R18" s="116">
        <v>7893747261</v>
      </c>
      <c r="S18" s="116">
        <v>253114.2</v>
      </c>
      <c r="T18" s="130">
        <f t="shared" si="3"/>
        <v>24.795657454224219</v>
      </c>
      <c r="U18" s="78"/>
    </row>
    <row r="19" spans="1:21" hidden="1">
      <c r="A19" s="129" t="s">
        <v>114</v>
      </c>
      <c r="B19" s="131">
        <f>SUM(F17:F19)</f>
        <v>1036594.8909090909</v>
      </c>
      <c r="C19" s="131">
        <f>AVERAGE(F17:F19)</f>
        <v>345531.63030303031</v>
      </c>
      <c r="D19" s="90">
        <f>C19/C16-1</f>
        <v>0.52436183209687814</v>
      </c>
      <c r="E19" s="286">
        <f>C19/C7-1</f>
        <v>0.2642462823235987</v>
      </c>
      <c r="F19" s="78">
        <f>Q19/22</f>
        <v>412670.09090909088</v>
      </c>
      <c r="G19" s="90">
        <f t="shared" si="4"/>
        <v>0.31504571655537217</v>
      </c>
      <c r="H19" s="90">
        <f t="shared" si="5"/>
        <v>0.3173925131554356</v>
      </c>
      <c r="I19" s="130">
        <f t="shared" si="0"/>
        <v>23.644342316363936</v>
      </c>
      <c r="J19" s="130">
        <f t="shared" si="6"/>
        <v>4.4703376080015067E-2</v>
      </c>
      <c r="K19" s="78">
        <f>R17+R18+R19</f>
        <v>27547701253</v>
      </c>
      <c r="L19" s="87">
        <f>U19/U16-1</f>
        <v>0.48366190170774437</v>
      </c>
      <c r="M19" s="87">
        <f>U19/U7-1</f>
        <v>0.30810340389541935</v>
      </c>
      <c r="N19" s="88">
        <f>AVERAGE(T17:T19)</f>
        <v>24.740277430203523</v>
      </c>
      <c r="O19" s="89">
        <f>N19/N16-1</f>
        <v>0.15855545466385168</v>
      </c>
      <c r="P19" s="129" t="s">
        <v>114</v>
      </c>
      <c r="Q19" s="116">
        <v>9078742</v>
      </c>
      <c r="R19" s="116">
        <v>11869701811</v>
      </c>
      <c r="S19" s="116">
        <v>383971.01</v>
      </c>
      <c r="T19" s="130">
        <f t="shared" si="3"/>
        <v>23.644342316363936</v>
      </c>
      <c r="U19" s="85">
        <f>Q17+Q18+Q19</f>
        <v>21557238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276307.34999999998</v>
      </c>
      <c r="G20" s="90">
        <f t="shared" si="4"/>
        <v>-0.33044008740418007</v>
      </c>
      <c r="H20" s="90">
        <f t="shared" si="5"/>
        <v>8.2873729677878538E-2</v>
      </c>
      <c r="I20" s="130">
        <f t="shared" si="0"/>
        <v>19.701915733946361</v>
      </c>
      <c r="J20" s="130">
        <f t="shared" si="6"/>
        <v>0.34243531991977649</v>
      </c>
      <c r="O20" s="89"/>
      <c r="P20" s="129" t="s">
        <v>132</v>
      </c>
      <c r="Q20" s="116">
        <v>5526147</v>
      </c>
      <c r="R20" s="116">
        <v>7243640035</v>
      </c>
      <c r="S20" s="116">
        <v>280487.8</v>
      </c>
      <c r="T20" s="130">
        <f t="shared" ref="T20" si="7">Q20/S20</f>
        <v>19.701915733946361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313117.71428571426</v>
      </c>
      <c r="G21" s="90">
        <f t="shared" si="4"/>
        <v>0.13322253022119845</v>
      </c>
      <c r="H21" s="90">
        <f t="shared" si="5"/>
        <v>8.6646168124403067E-2</v>
      </c>
      <c r="I21" s="130">
        <f t="shared" si="0"/>
        <v>21.740235301399203</v>
      </c>
      <c r="J21" s="130">
        <f t="shared" si="6"/>
        <v>-9.3138326768650304E-3</v>
      </c>
      <c r="O21" s="89"/>
      <c r="P21" s="129" t="s">
        <v>141</v>
      </c>
      <c r="Q21" s="116">
        <v>6575472</v>
      </c>
      <c r="R21" s="116">
        <v>8755915228</v>
      </c>
      <c r="S21" s="116">
        <v>302456.34000000003</v>
      </c>
      <c r="T21" s="130">
        <f t="shared" ref="T21" si="8">Q21/S21</f>
        <v>21.740235301399203</v>
      </c>
      <c r="U21" s="78"/>
    </row>
    <row r="22" spans="1:21" hidden="1">
      <c r="A22" s="129" t="s">
        <v>156</v>
      </c>
      <c r="B22" s="131">
        <f>SUM(F20:F22)</f>
        <v>856341.06428571418</v>
      </c>
      <c r="C22" s="131">
        <f>AVERAGE(F20:F22)</f>
        <v>285447.02142857137</v>
      </c>
      <c r="D22" s="90">
        <f>C22/C19-1</f>
        <v>-0.17389032900335322</v>
      </c>
      <c r="E22" s="286">
        <f>C22/C10-1</f>
        <v>7.7753450017484571E-2</v>
      </c>
      <c r="F22" s="78">
        <f>Q22/21</f>
        <v>266916</v>
      </c>
      <c r="G22" s="90">
        <f t="shared" si="4"/>
        <v>-0.14755381818978164</v>
      </c>
      <c r="H22" s="90">
        <f t="shared" si="5"/>
        <v>6.2354654964389411E-2</v>
      </c>
      <c r="I22" s="130">
        <f t="shared" si="0"/>
        <v>27.838515002664042</v>
      </c>
      <c r="J22" s="130">
        <f t="shared" si="6"/>
        <v>0.66748723335899407</v>
      </c>
      <c r="K22" s="78">
        <f>R20+R21+R22</f>
        <v>23301505268</v>
      </c>
      <c r="L22" s="87">
        <f>U22/U19-1</f>
        <v>-0.17861207451529737</v>
      </c>
      <c r="M22" s="87">
        <f>U22/U10-1</f>
        <v>6.1194004357601361E-2</v>
      </c>
      <c r="N22" s="88">
        <f>AVERAGE(T20:T22)</f>
        <v>23.0935553460032</v>
      </c>
      <c r="O22" s="89">
        <f>N22/N19-1</f>
        <v>-6.6560372608836071E-2</v>
      </c>
      <c r="P22" s="129" t="s">
        <v>156</v>
      </c>
      <c r="Q22" s="116">
        <v>5605236</v>
      </c>
      <c r="R22" s="116">
        <v>7301950005</v>
      </c>
      <c r="S22" s="116">
        <v>201348.24</v>
      </c>
      <c r="T22" s="130">
        <f t="shared" ref="T22:T23" si="9">Q22/S22</f>
        <v>27.838515002664042</v>
      </c>
      <c r="U22" s="85">
        <f>Q20+Q21+Q22</f>
        <v>17706855</v>
      </c>
    </row>
    <row r="23" spans="1:21" hidden="1">
      <c r="A23" s="129" t="s">
        <v>189</v>
      </c>
      <c r="B23" s="131"/>
      <c r="C23" s="131"/>
      <c r="F23" s="78">
        <f>Q23/21</f>
        <v>154848.14285714287</v>
      </c>
      <c r="G23" s="90">
        <f t="shared" ref="G23" si="10">F23/F22-1</f>
        <v>-0.41986189341537083</v>
      </c>
      <c r="H23" s="90">
        <f t="shared" ref="H23" si="11">F23/F11-1</f>
        <v>-0.46323578688892064</v>
      </c>
      <c r="I23" s="130">
        <f t="shared" si="0"/>
        <v>14.06787816942041</v>
      </c>
      <c r="J23" s="130">
        <f t="shared" si="6"/>
        <v>-0.34231168183679084</v>
      </c>
      <c r="O23" s="89"/>
      <c r="P23" s="129" t="s">
        <v>189</v>
      </c>
      <c r="Q23" s="116">
        <v>3251811</v>
      </c>
      <c r="R23" s="116">
        <v>4156797774</v>
      </c>
      <c r="S23" s="116">
        <v>231151.49</v>
      </c>
      <c r="T23" s="130">
        <f t="shared" si="9"/>
        <v>14.06787816942041</v>
      </c>
      <c r="U23" s="78"/>
    </row>
    <row r="24" spans="1:21" hidden="1">
      <c r="A24" s="129" t="s">
        <v>204</v>
      </c>
      <c r="B24" s="131"/>
      <c r="C24" s="131"/>
      <c r="F24" s="78">
        <f>Q24/22</f>
        <v>175759.95454545456</v>
      </c>
      <c r="G24" s="90">
        <f t="shared" ref="G24" si="12">F24/F23-1</f>
        <v>0.1350472230564892</v>
      </c>
      <c r="H24" s="90">
        <f t="shared" ref="H24" si="13">F24/F12-1</f>
        <v>-0.3801228943166588</v>
      </c>
      <c r="I24" s="130">
        <f t="shared" si="0"/>
        <v>12.688872264503487</v>
      </c>
      <c r="J24" s="130">
        <f t="shared" si="6"/>
        <v>-0.49181047052687088</v>
      </c>
      <c r="O24" s="89"/>
      <c r="P24" s="129" t="s">
        <v>204</v>
      </c>
      <c r="Q24" s="116">
        <v>3866719</v>
      </c>
      <c r="R24" s="116">
        <v>5079852807</v>
      </c>
      <c r="S24" s="116">
        <v>304733.07</v>
      </c>
      <c r="T24" s="130">
        <f t="shared" ref="T24" si="14">Q24/S24</f>
        <v>12.688872264503487</v>
      </c>
      <c r="U24" s="78"/>
    </row>
    <row r="25" spans="1:21" s="79" customFormat="1" ht="13.2" hidden="1">
      <c r="A25" s="129" t="s">
        <v>218</v>
      </c>
      <c r="B25" s="131">
        <f>SUM(F23:F25)</f>
        <v>493664.93950786057</v>
      </c>
      <c r="C25" s="131">
        <f>AVERAGE(F23:F25)</f>
        <v>164554.97983595353</v>
      </c>
      <c r="D25" s="90">
        <f>C25/C22-1</f>
        <v>-0.42351831519415306</v>
      </c>
      <c r="E25" s="286">
        <f>C25/C13-1</f>
        <v>-0.41934725583529986</v>
      </c>
      <c r="F25" s="78">
        <f>Q25/19</f>
        <v>163056.84210526315</v>
      </c>
      <c r="G25" s="90">
        <f t="shared" ref="G25" si="15">F25/F24-1</f>
        <v>-7.227535119159445E-2</v>
      </c>
      <c r="H25" s="90">
        <f t="shared" ref="H25" si="16">F25/F13-1</f>
        <v>-0.41381282987727563</v>
      </c>
      <c r="I25" s="130">
        <f t="shared" si="0"/>
        <v>13.059894806907824</v>
      </c>
      <c r="J25" s="130">
        <f t="shared" si="6"/>
        <v>-0.47059879969830609</v>
      </c>
      <c r="K25" s="78">
        <f>R23+R24+R25</f>
        <v>13348656138</v>
      </c>
      <c r="L25" s="90">
        <f>U25/U22-1</f>
        <v>-0.42301385536844349</v>
      </c>
      <c r="M25" s="90">
        <f>U25/U13-1</f>
        <v>-0.4279407707679509</v>
      </c>
      <c r="N25" s="88">
        <f>AVERAGE(T23:T25)</f>
        <v>13.27221508027724</v>
      </c>
      <c r="O25" s="91">
        <f>N25/N22-1</f>
        <v>-0.42528489522622326</v>
      </c>
      <c r="P25" s="129" t="s">
        <v>236</v>
      </c>
      <c r="Q25" s="116">
        <v>3098080</v>
      </c>
      <c r="R25" s="116">
        <v>4112005557</v>
      </c>
      <c r="S25" s="116">
        <v>237220.9</v>
      </c>
      <c r="T25" s="130">
        <f t="shared" ref="T25" si="17">Q25/S25</f>
        <v>13.059894806907824</v>
      </c>
      <c r="U25" s="85">
        <f>Q23+Q24+Q25</f>
        <v>10216610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273358.31578947371</v>
      </c>
      <c r="G26" s="90">
        <f t="shared" ref="G26" si="18">F26/F25-1</f>
        <v>0.67646025925734676</v>
      </c>
      <c r="H26" s="90">
        <f t="shared" ref="H26" si="19">F26/F14-1</f>
        <v>0.26946989130293852</v>
      </c>
      <c r="I26" s="130">
        <f t="shared" si="0"/>
        <v>12.084299785380578</v>
      </c>
      <c r="J26" s="130">
        <f t="shared" si="6"/>
        <v>-0.49905758670911338</v>
      </c>
      <c r="L26" s="90"/>
      <c r="M26" s="90"/>
      <c r="P26" s="129" t="s">
        <v>312</v>
      </c>
      <c r="Q26" s="116">
        <v>5193808</v>
      </c>
      <c r="R26" s="116">
        <v>7007753823</v>
      </c>
      <c r="S26" s="116">
        <v>429798.01</v>
      </c>
      <c r="T26" s="130">
        <f t="shared" ref="T26" si="20">Q26/S26</f>
        <v>12.084299785380578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219517.54545454544</v>
      </c>
      <c r="G27" s="90">
        <f t="shared" ref="G27" si="21">F27/F26-1</f>
        <v>-0.1969604260233796</v>
      </c>
      <c r="H27" s="90">
        <f t="shared" ref="H27" si="22">F27/F15-1</f>
        <v>-3.917443648274832E-2</v>
      </c>
      <c r="I27" s="130">
        <f t="shared" si="0"/>
        <v>12.731016260919157</v>
      </c>
      <c r="J27" s="130">
        <f t="shared" si="6"/>
        <v>-0.46064160851190783</v>
      </c>
      <c r="L27" s="90"/>
      <c r="M27" s="90"/>
      <c r="P27" s="129" t="s">
        <v>375</v>
      </c>
      <c r="Q27" s="116">
        <v>4829386</v>
      </c>
      <c r="R27" s="116">
        <v>6360120935</v>
      </c>
      <c r="S27" s="116">
        <v>379340.18</v>
      </c>
      <c r="T27" s="130">
        <f t="shared" ref="T27" si="23">Q27/S27</f>
        <v>12.731016260919157</v>
      </c>
      <c r="U27" s="78"/>
    </row>
    <row r="28" spans="1:21" s="79" customFormat="1" ht="13.2" hidden="1">
      <c r="A28" s="123" t="s">
        <v>413</v>
      </c>
      <c r="B28" s="131">
        <f>SUM(F26:F28)</f>
        <v>761090.44019138755</v>
      </c>
      <c r="C28" s="131">
        <f>AVERAGE(F26:F28)</f>
        <v>253696.81339712918</v>
      </c>
      <c r="D28" s="90">
        <f>C28/C25-1</f>
        <v>0.54171459077107253</v>
      </c>
      <c r="E28" s="286">
        <f>C28/C16-1</f>
        <v>0.11921950221468935</v>
      </c>
      <c r="F28" s="78">
        <f>Q28/19</f>
        <v>268214.57894736843</v>
      </c>
      <c r="G28" s="90">
        <f t="shared" ref="G28" si="24">F28/F27-1</f>
        <v>0.22183663447943602</v>
      </c>
      <c r="H28" s="90">
        <f t="shared" ref="H28" si="25">F28/F16-1</f>
        <v>0.13545054309126292</v>
      </c>
      <c r="I28" s="130">
        <f t="shared" si="0"/>
        <v>10.886796734719583</v>
      </c>
      <c r="J28" s="130">
        <f t="shared" si="6"/>
        <v>-0.33357515823046435</v>
      </c>
      <c r="K28" s="78">
        <f>R26+R27+R28</f>
        <v>20012336120</v>
      </c>
      <c r="L28" s="90">
        <f>U28/U25-1</f>
        <v>0.47987160124542294</v>
      </c>
      <c r="M28" s="90">
        <f>U28/U16-1</f>
        <v>4.0573303699423358E-2</v>
      </c>
      <c r="N28" s="88">
        <f>AVERAGE(T26:T28)</f>
        <v>11.900704260339772</v>
      </c>
      <c r="O28" s="91">
        <f>N28/N25-1</f>
        <v>-0.10333699473990277</v>
      </c>
      <c r="P28" s="129" t="s">
        <v>413</v>
      </c>
      <c r="Q28" s="116">
        <v>5096077</v>
      </c>
      <c r="R28" s="116">
        <v>6644461362</v>
      </c>
      <c r="S28" s="116">
        <v>468097.01</v>
      </c>
      <c r="T28" s="130">
        <f t="shared" ref="T28" si="26">Q28/S28</f>
        <v>10.886796734719583</v>
      </c>
      <c r="U28" s="85">
        <f>Q26+Q27+Q28</f>
        <v>15119271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159302.59090909091</v>
      </c>
      <c r="G29" s="190">
        <f t="shared" ref="G29" si="27">F29/F28-1</f>
        <v>-0.40606289361940029</v>
      </c>
      <c r="H29" s="190">
        <f t="shared" ref="H29" si="28">F29/F17-1</f>
        <v>-0.48631645419950142</v>
      </c>
      <c r="I29" s="130">
        <f t="shared" si="0"/>
        <v>10.420722002815564</v>
      </c>
      <c r="J29" s="130">
        <f t="shared" si="6"/>
        <v>-0.59579575272744123</v>
      </c>
      <c r="K29" s="136"/>
      <c r="L29" s="190"/>
      <c r="M29" s="190"/>
      <c r="N29" s="191"/>
      <c r="O29" s="192"/>
      <c r="P29" s="129" t="s">
        <v>427</v>
      </c>
      <c r="Q29" s="116">
        <v>3504657</v>
      </c>
      <c r="R29" s="116">
        <v>4636372791</v>
      </c>
      <c r="S29" s="116">
        <v>336316.14</v>
      </c>
      <c r="T29" s="130">
        <f t="shared" ref="T29" si="29">Q29/S29</f>
        <v>10.420722002815564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223113.10526315789</v>
      </c>
      <c r="G30" s="190">
        <f t="shared" ref="G30" si="30">F30/F29-1</f>
        <v>0.40056168571973627</v>
      </c>
      <c r="H30" s="190">
        <f t="shared" ref="H30" si="31">F30/F18-1</f>
        <v>-0.28901090763003945</v>
      </c>
      <c r="I30" s="130">
        <f t="shared" si="0"/>
        <v>13.11987001788591</v>
      </c>
      <c r="J30" s="130">
        <f t="shared" si="6"/>
        <v>-0.47088033289269393</v>
      </c>
      <c r="K30" s="136"/>
      <c r="L30" s="190"/>
      <c r="M30" s="190"/>
      <c r="N30" s="191"/>
      <c r="O30" s="192"/>
      <c r="P30" s="129" t="s">
        <v>466</v>
      </c>
      <c r="Q30" s="116">
        <v>4239149</v>
      </c>
      <c r="R30" s="116">
        <v>5647954612</v>
      </c>
      <c r="S30" s="116">
        <v>323109.07</v>
      </c>
      <c r="T30" s="130">
        <f t="shared" ref="T30" si="32">Q30/S30</f>
        <v>13.11987001788591</v>
      </c>
      <c r="U30" s="85"/>
    </row>
    <row r="31" spans="1:21" s="79" customFormat="1" ht="13.2" hidden="1">
      <c r="A31" s="129" t="s">
        <v>505</v>
      </c>
      <c r="B31" s="188">
        <f>SUM(F29:F31)</f>
        <v>623312.24617224885</v>
      </c>
      <c r="C31" s="188">
        <f>AVERAGE(F29:F31)</f>
        <v>207770.74872408295</v>
      </c>
      <c r="D31" s="190">
        <f>C31/C28-1</f>
        <v>-0.18102736119572371</v>
      </c>
      <c r="E31" s="287">
        <f>C31/C19-1</f>
        <v>-0.39869253491534606</v>
      </c>
      <c r="F31" s="136">
        <f>Q31/20</f>
        <v>240896.55</v>
      </c>
      <c r="G31" s="190">
        <f t="shared" ref="G31" si="33">F31/F30-1</f>
        <v>7.9705962210811609E-2</v>
      </c>
      <c r="H31" s="190">
        <f t="shared" ref="H31" si="34">F31/F19-1</f>
        <v>-0.41624906842820297</v>
      </c>
      <c r="I31" s="130">
        <f t="shared" si="0"/>
        <v>13.621346861765522</v>
      </c>
      <c r="J31" s="130">
        <f t="shared" si="6"/>
        <v>-0.42390671393983459</v>
      </c>
      <c r="K31" s="136">
        <f>R29+R30+R31</f>
        <v>16696200795</v>
      </c>
      <c r="L31" s="190">
        <f>U31/U28-1</f>
        <v>-0.16915722986908566</v>
      </c>
      <c r="M31" s="190">
        <f>U31/U19-1</f>
        <v>-0.4172844870015352</v>
      </c>
      <c r="N31" s="191">
        <f>AVERAGE(T29:T31)</f>
        <v>12.387312960822333</v>
      </c>
      <c r="O31" s="192">
        <f>N31/N28-1</f>
        <v>4.0889067557474901E-2</v>
      </c>
      <c r="P31" s="129" t="s">
        <v>505</v>
      </c>
      <c r="Q31" s="116">
        <v>4817931</v>
      </c>
      <c r="R31" s="116">
        <v>6411873392</v>
      </c>
      <c r="S31" s="116">
        <v>353704.45</v>
      </c>
      <c r="T31" s="130">
        <f t="shared" ref="T31" si="35">Q31/S31</f>
        <v>13.621346861765522</v>
      </c>
      <c r="U31" s="85">
        <f>Q29+Q30+Q31</f>
        <v>12561737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296971.66666666669</v>
      </c>
      <c r="G32" s="190">
        <f t="shared" ref="G32" si="36">F32/F31-1</f>
        <v>0.23277675278731347</v>
      </c>
      <c r="H32" s="190">
        <f t="shared" ref="H32" si="37">F32/F20-1</f>
        <v>7.4787430253544507E-2</v>
      </c>
      <c r="I32" s="130">
        <f t="shared" si="0"/>
        <v>15.733014757951581</v>
      </c>
      <c r="J32" s="130">
        <f t="shared" si="6"/>
        <v>-0.20144746478416675</v>
      </c>
      <c r="K32" s="136"/>
      <c r="L32" s="190"/>
      <c r="M32" s="190"/>
      <c r="N32" s="191"/>
      <c r="O32" s="192"/>
      <c r="P32" s="129" t="s">
        <v>562</v>
      </c>
      <c r="Q32" s="116">
        <v>6236405</v>
      </c>
      <c r="R32" s="116">
        <v>8480233578</v>
      </c>
      <c r="S32" s="116">
        <v>396389.7</v>
      </c>
      <c r="T32" s="130">
        <f t="shared" ref="T32" si="38">Q32/S32</f>
        <v>15.733014757951581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281072.95238095237</v>
      </c>
      <c r="G33" s="190">
        <f t="shared" ref="G33" si="39">F33/F32-1</f>
        <v>-5.3536131793878172E-2</v>
      </c>
      <c r="H33" s="190">
        <f t="shared" ref="H33" si="40">F33/F21-1</f>
        <v>-0.10234094221677159</v>
      </c>
      <c r="I33" s="130">
        <f t="shared" si="0"/>
        <v>21.664142102788595</v>
      </c>
      <c r="J33" s="130">
        <f t="shared" si="6"/>
        <v>-3.5001092470102746E-3</v>
      </c>
      <c r="K33" s="136"/>
      <c r="L33" s="190"/>
      <c r="M33" s="190"/>
      <c r="N33" s="191"/>
      <c r="O33" s="192"/>
      <c r="P33" s="129" t="s">
        <v>607</v>
      </c>
      <c r="Q33" s="116">
        <v>5902532</v>
      </c>
      <c r="R33" s="116">
        <v>8067589445</v>
      </c>
      <c r="S33" s="116">
        <v>272456.3</v>
      </c>
      <c r="T33" s="130">
        <f t="shared" ref="T33" si="41">Q33/S33</f>
        <v>21.664142102788595</v>
      </c>
      <c r="U33" s="85"/>
    </row>
    <row r="34" spans="1:21" s="79" customFormat="1" ht="13.2" hidden="1">
      <c r="A34" s="129" t="s">
        <v>652</v>
      </c>
      <c r="B34" s="188">
        <f>SUM(F32:F34)</f>
        <v>910237.98746867175</v>
      </c>
      <c r="C34" s="188">
        <f>AVERAGE(F32:F34)</f>
        <v>303412.66248955723</v>
      </c>
      <c r="D34" s="190">
        <f>C34/C31-1</f>
        <v>0.46032424849412079</v>
      </c>
      <c r="E34" s="287">
        <f>C34/C22-1</f>
        <v>6.2938618070258912E-2</v>
      </c>
      <c r="F34" s="136">
        <f>Q34/19</f>
        <v>332193.36842105264</v>
      </c>
      <c r="G34" s="190">
        <f t="shared" ref="G34" si="42">F34/F33-1</f>
        <v>0.18187597065837258</v>
      </c>
      <c r="H34" s="190">
        <f t="shared" ref="H34" si="43">F34/F22-1</f>
        <v>0.2445614666076692</v>
      </c>
      <c r="I34" s="130">
        <f t="shared" si="0"/>
        <v>15.182058690539458</v>
      </c>
      <c r="J34" s="130">
        <f t="shared" si="6"/>
        <v>-0.45463834227197131</v>
      </c>
      <c r="K34" s="136">
        <f>R32+R33+R34</f>
        <v>25225036653</v>
      </c>
      <c r="L34" s="190">
        <f>U34/U31-1</f>
        <v>0.46879456240804918</v>
      </c>
      <c r="M34" s="190">
        <f>U34/U22-1</f>
        <v>4.2003845403376205E-2</v>
      </c>
      <c r="N34" s="191">
        <f>AVERAGE(T32:T34)</f>
        <v>17.526405183759877</v>
      </c>
      <c r="O34" s="192">
        <f>N34/N31-1</f>
        <v>0.41486739208019374</v>
      </c>
      <c r="P34" s="129" t="s">
        <v>652</v>
      </c>
      <c r="Q34" s="116">
        <v>6311674</v>
      </c>
      <c r="R34" s="116">
        <v>8677213630</v>
      </c>
      <c r="S34" s="116">
        <v>415732.42</v>
      </c>
      <c r="T34" s="130">
        <f t="shared" ref="T34" si="44">Q34/S34</f>
        <v>15.182058690539458</v>
      </c>
      <c r="U34" s="85">
        <f>Q32+Q33+Q34</f>
        <v>18450611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281191.4347826087</v>
      </c>
      <c r="G35" s="190">
        <f t="shared" ref="G35" si="45">F35/F34-1</f>
        <v>-0.15353086029640228</v>
      </c>
      <c r="H35" s="190">
        <f t="shared" ref="H35" si="46">F35/F23-1</f>
        <v>0.81591738586122697</v>
      </c>
      <c r="I35" s="130">
        <f t="shared" si="0"/>
        <v>14.676191277561927</v>
      </c>
      <c r="J35" s="130">
        <f t="shared" si="6"/>
        <v>4.3241283498162364E-2</v>
      </c>
      <c r="K35" s="136"/>
      <c r="L35" s="190"/>
      <c r="M35" s="190"/>
      <c r="N35" s="191"/>
      <c r="O35" s="192"/>
      <c r="P35" s="129" t="s">
        <v>660</v>
      </c>
      <c r="Q35" s="116">
        <v>6467403</v>
      </c>
      <c r="R35" s="116">
        <v>8951780295</v>
      </c>
      <c r="S35" s="116">
        <v>440673.12</v>
      </c>
      <c r="T35" s="130">
        <f t="shared" ref="T35" si="47">Q35/S35</f>
        <v>14.676191277561927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338414.04761904763</v>
      </c>
      <c r="G36" s="190">
        <f t="shared" ref="G36" si="48">F36/F35-1</f>
        <v>0.2035005542778292</v>
      </c>
      <c r="H36" s="190">
        <f t="shared" ref="H36" si="49">F36/F24-1</f>
        <v>0.92543317671106884</v>
      </c>
      <c r="I36" s="130">
        <f t="shared" si="0"/>
        <v>17.409217457978588</v>
      </c>
      <c r="J36" s="130">
        <f t="shared" si="6"/>
        <v>0.37200667601328452</v>
      </c>
      <c r="K36" s="136"/>
      <c r="L36" s="190"/>
      <c r="M36" s="190"/>
      <c r="N36" s="191"/>
      <c r="O36" s="192"/>
      <c r="P36" s="129" t="s">
        <v>664</v>
      </c>
      <c r="Q36" s="116">
        <v>7106695</v>
      </c>
      <c r="R36" s="116">
        <v>9686300622</v>
      </c>
      <c r="S36" s="116">
        <v>408214.5</v>
      </c>
      <c r="T36" s="130">
        <f t="shared" ref="T36" si="50">Q36/S36</f>
        <v>17.409217457978588</v>
      </c>
      <c r="U36" s="85"/>
    </row>
    <row r="37" spans="1:21" s="79" customFormat="1" ht="13.2" hidden="1">
      <c r="A37" s="129" t="s">
        <v>702</v>
      </c>
      <c r="B37" s="188">
        <f>SUM(F35:F37)</f>
        <v>883624.81573498971</v>
      </c>
      <c r="C37" s="188">
        <f>AVERAGE(F35:F37)</f>
        <v>294541.60524499655</v>
      </c>
      <c r="D37" s="190">
        <f>C37/C34-1</f>
        <v>-2.9237597309789254E-2</v>
      </c>
      <c r="E37" s="287">
        <f>C37/C25-1</f>
        <v>0.78992823880886465</v>
      </c>
      <c r="F37" s="136">
        <f>Q37/18</f>
        <v>264019.33333333331</v>
      </c>
      <c r="G37" s="190">
        <f t="shared" ref="G37" si="51">F37/F36-1</f>
        <v>-0.21983341060788464</v>
      </c>
      <c r="H37" s="190">
        <f t="shared" ref="H37" si="52">F37/F25-1</f>
        <v>0.61918586135068598</v>
      </c>
      <c r="I37" s="130">
        <f t="shared" si="0"/>
        <v>19.275264200230019</v>
      </c>
      <c r="J37" s="130">
        <f t="shared" si="6"/>
        <v>0.47591266891634332</v>
      </c>
      <c r="K37" s="136">
        <f>R35+R36+R37</f>
        <v>24978547067</v>
      </c>
      <c r="L37" s="190">
        <f>U37/U34-1</f>
        <v>-6.7295874375108422E-3</v>
      </c>
      <c r="M37" s="190">
        <f>U37/U25-1</f>
        <v>0.79378932933722623</v>
      </c>
      <c r="N37" s="191">
        <f>AVERAGE(T35:T37)</f>
        <v>17.120224311923511</v>
      </c>
      <c r="O37" s="192">
        <f>N37/N34-1</f>
        <v>-2.317536697215794E-2</v>
      </c>
      <c r="P37" s="129" t="s">
        <v>702</v>
      </c>
      <c r="Q37" s="116">
        <v>4752348</v>
      </c>
      <c r="R37" s="116">
        <v>6340466150</v>
      </c>
      <c r="S37" s="116">
        <v>246551.64</v>
      </c>
      <c r="T37" s="130">
        <f t="shared" ref="T37" si="53">Q37/S37</f>
        <v>19.275264200230019</v>
      </c>
      <c r="U37" s="85">
        <f>Q35+Q36+Q37</f>
        <v>18326446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188262.55</v>
      </c>
      <c r="G38" s="190">
        <f t="shared" ref="G38" si="54">F38/F37-1</f>
        <v>-0.28693649959977674</v>
      </c>
      <c r="H38" s="190">
        <f t="shared" ref="H38" si="55">F38/F26-1</f>
        <v>-0.31129752004694833</v>
      </c>
      <c r="I38" s="130">
        <f t="shared" si="0"/>
        <v>17.928573989625548</v>
      </c>
      <c r="J38" s="130">
        <f t="shared" si="6"/>
        <v>0.48362539063415944</v>
      </c>
      <c r="K38" s="136"/>
      <c r="L38" s="190"/>
      <c r="M38" s="190"/>
      <c r="N38" s="191"/>
      <c r="O38" s="192"/>
      <c r="P38" s="129" t="s">
        <v>728</v>
      </c>
      <c r="Q38" s="116">
        <v>3765251</v>
      </c>
      <c r="R38" s="116">
        <v>5060316883</v>
      </c>
      <c r="S38" s="116">
        <v>210013.97</v>
      </c>
      <c r="T38" s="130">
        <f t="shared" ref="T38" si="56">Q38/S38</f>
        <v>17.928573989625548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292257.04761904763</v>
      </c>
      <c r="G39" s="190">
        <f t="shared" ref="G39" si="57">F39/F38-1</f>
        <v>0.55239078414186804</v>
      </c>
      <c r="H39" s="190">
        <f t="shared" ref="H39" si="58">F39/F27-1</f>
        <v>0.33136076669354009</v>
      </c>
      <c r="I39" s="130">
        <f t="shared" si="0"/>
        <v>19.764993143727946</v>
      </c>
      <c r="J39" s="130">
        <f t="shared" si="6"/>
        <v>0.55250710066259456</v>
      </c>
      <c r="K39" s="136"/>
      <c r="L39" s="190"/>
      <c r="M39" s="190"/>
      <c r="N39" s="191"/>
      <c r="O39" s="192"/>
      <c r="P39" s="129" t="s">
        <v>762</v>
      </c>
      <c r="Q39" s="116">
        <v>6137398</v>
      </c>
      <c r="R39" s="116">
        <v>8522756098</v>
      </c>
      <c r="S39" s="116">
        <v>310518.59999999998</v>
      </c>
      <c r="T39" s="130">
        <f t="shared" ref="T39" si="59">Q39/S39</f>
        <v>19.764993143727946</v>
      </c>
      <c r="U39" s="85"/>
    </row>
    <row r="40" spans="1:21" s="79" customFormat="1" ht="13.2" hidden="1">
      <c r="A40" s="129" t="s">
        <v>778</v>
      </c>
      <c r="B40" s="188">
        <f>SUM(F38:F40)</f>
        <v>749266.16904761898</v>
      </c>
      <c r="C40" s="188">
        <f>AVERAGE(F38:F40)</f>
        <v>249755.38968253965</v>
      </c>
      <c r="D40" s="190">
        <f>C40/C37-1</f>
        <v>-0.15205395354997198</v>
      </c>
      <c r="E40" s="287">
        <f>C40/C28-1</f>
        <v>-1.5535960668215942E-2</v>
      </c>
      <c r="F40" s="136">
        <f>Q40/21</f>
        <v>268746.57142857142</v>
      </c>
      <c r="G40" s="190">
        <f t="shared" ref="G40" si="60">F40/F39-1</f>
        <v>-8.0444514108421905E-2</v>
      </c>
      <c r="H40" s="190">
        <f t="shared" ref="H40" si="61">F40/F28-1</f>
        <v>1.9834584804854227E-3</v>
      </c>
      <c r="I40" s="130">
        <f t="shared" si="0"/>
        <v>16.968336852369514</v>
      </c>
      <c r="J40" s="130">
        <f t="shared" si="6"/>
        <v>0.55861611692032542</v>
      </c>
      <c r="K40" s="136">
        <f>R38+R39+R40</f>
        <v>21623630722</v>
      </c>
      <c r="L40" s="190">
        <f>U40/U37-1</f>
        <v>-0.15169984403959169</v>
      </c>
      <c r="M40" s="190">
        <f>U40/U28-1</f>
        <v>2.824580629581952E-2</v>
      </c>
      <c r="N40" s="191">
        <f>AVERAGE(T38:T40)</f>
        <v>18.22063466190767</v>
      </c>
      <c r="O40" s="192">
        <f>N40/N37-1</f>
        <v>6.42754633312701E-2</v>
      </c>
      <c r="P40" s="129" t="s">
        <v>778</v>
      </c>
      <c r="Q40" s="116">
        <v>5643678</v>
      </c>
      <c r="R40" s="116">
        <v>8040557741</v>
      </c>
      <c r="S40" s="116">
        <v>332600.53999999998</v>
      </c>
      <c r="T40" s="130">
        <f t="shared" ref="T40" si="62">Q40/S40</f>
        <v>16.968336852369514</v>
      </c>
      <c r="U40" s="85">
        <f>Q38+Q39+Q40</f>
        <v>15546327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238012</v>
      </c>
      <c r="G41" s="190">
        <f t="shared" ref="G41" si="63">F41/F40-1</f>
        <v>-0.11436265499201048</v>
      </c>
      <c r="H41" s="190">
        <f t="shared" ref="H41" si="64">F41/F29-1</f>
        <v>0.49408743851395442</v>
      </c>
      <c r="I41" s="130">
        <f t="shared" si="0"/>
        <v>19.861307931920869</v>
      </c>
      <c r="J41" s="130">
        <f t="shared" si="6"/>
        <v>0.90594355425224493</v>
      </c>
      <c r="K41" s="193"/>
      <c r="L41" s="190"/>
      <c r="M41" s="190"/>
      <c r="N41" s="193"/>
      <c r="O41" s="193"/>
      <c r="P41" s="129" t="s">
        <v>800</v>
      </c>
      <c r="Q41" s="116">
        <v>4284216</v>
      </c>
      <c r="R41" s="116">
        <v>6269148706</v>
      </c>
      <c r="S41" s="116">
        <v>215706.64</v>
      </c>
      <c r="T41" s="130">
        <f t="shared" ref="T41" si="65">Q41/S41</f>
        <v>19.861307931920869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258564.7</v>
      </c>
      <c r="G42" s="190">
        <f t="shared" ref="G42" si="66">F42/F41-1</f>
        <v>8.6351528494361673E-2</v>
      </c>
      <c r="H42" s="190">
        <f t="shared" ref="H42" si="67">F42/F30-1</f>
        <v>0.15889516976166695</v>
      </c>
      <c r="I42" s="130">
        <f t="shared" si="0"/>
        <v>18.428010123247905</v>
      </c>
      <c r="J42" s="130">
        <f t="shared" si="6"/>
        <v>0.40458785781608908</v>
      </c>
      <c r="K42" s="193"/>
      <c r="L42" s="190"/>
      <c r="M42" s="190"/>
      <c r="N42" s="193"/>
      <c r="O42" s="193"/>
      <c r="P42" s="129" t="s">
        <v>826</v>
      </c>
      <c r="Q42" s="116">
        <v>5171294</v>
      </c>
      <c r="R42" s="116">
        <v>7464200342</v>
      </c>
      <c r="S42" s="116">
        <v>280621.40000000002</v>
      </c>
      <c r="T42" s="130">
        <f t="shared" ref="T42" si="68">Q42/S42</f>
        <v>18.428010123247905</v>
      </c>
      <c r="U42" s="78"/>
    </row>
    <row r="43" spans="1:21" s="79" customFormat="1" ht="13.2">
      <c r="A43" s="129" t="s">
        <v>835</v>
      </c>
      <c r="B43" s="188">
        <f>SUM(F41:F43)</f>
        <v>756456.95</v>
      </c>
      <c r="C43" s="188">
        <f>AVERAGE(F41:F43)</f>
        <v>252152.31666666665</v>
      </c>
      <c r="D43" s="190">
        <f>C43/C40-1</f>
        <v>9.5970981333923788E-3</v>
      </c>
      <c r="E43" s="287">
        <f>C43/C31-1</f>
        <v>0.2136083554356436</v>
      </c>
      <c r="F43" s="136">
        <f>Q43/20</f>
        <v>259880.25</v>
      </c>
      <c r="G43" s="190">
        <f t="shared" ref="G43" si="69">F43/F42-1</f>
        <v>5.087894828644357E-3</v>
      </c>
      <c r="H43" s="190">
        <f t="shared" ref="H43" si="70">F43/F31-1</f>
        <v>7.8804366438622875E-2</v>
      </c>
      <c r="I43" s="130">
        <f t="shared" si="0"/>
        <v>16.87745935902214</v>
      </c>
      <c r="J43" s="130">
        <f t="shared" si="6"/>
        <v>0.23904482649923353</v>
      </c>
      <c r="K43" s="136">
        <f>R41+R42+R43</f>
        <v>21272319314</v>
      </c>
      <c r="L43" s="190">
        <f>U43/U40-1</f>
        <v>-5.7454857343474108E-2</v>
      </c>
      <c r="M43" s="190">
        <f>K43/K31-1</f>
        <v>0.27408142577983408</v>
      </c>
      <c r="N43" s="191">
        <f>AVERAGE(T41:T43)</f>
        <v>18.388925804730306</v>
      </c>
      <c r="O43" s="192">
        <f>N43/N40-1</f>
        <v>9.2362942315322716E-3</v>
      </c>
      <c r="P43" s="129" t="s">
        <v>835</v>
      </c>
      <c r="Q43" s="116">
        <v>5197605</v>
      </c>
      <c r="R43" s="116">
        <v>7538970266</v>
      </c>
      <c r="S43" s="116">
        <v>307961.34000000003</v>
      </c>
      <c r="T43" s="130">
        <f t="shared" ref="T43" si="71">Q43/S43</f>
        <v>16.87745935902214</v>
      </c>
      <c r="U43" s="85">
        <f>Q41+Q42+Q43</f>
        <v>14653115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166542.40909090909</v>
      </c>
      <c r="G44" s="190">
        <f t="shared" ref="G44" si="72">F44/F43-1</f>
        <v>-0.35915711528325411</v>
      </c>
      <c r="H44" s="190">
        <f t="shared" ref="H44" si="73">F44/F32-1</f>
        <v>-0.4391976481788642</v>
      </c>
      <c r="I44" s="130">
        <f t="shared" si="0"/>
        <v>14.273327295366549</v>
      </c>
      <c r="J44" s="130">
        <f t="shared" si="6"/>
        <v>-9.2778624125251952E-2</v>
      </c>
      <c r="K44" s="136"/>
      <c r="L44" s="190"/>
      <c r="M44" s="190"/>
      <c r="N44" s="191"/>
      <c r="O44" s="192"/>
      <c r="P44" s="129" t="s">
        <v>843</v>
      </c>
      <c r="Q44" s="116">
        <v>3663933</v>
      </c>
      <c r="R44" s="116">
        <v>5257098540</v>
      </c>
      <c r="S44" s="116">
        <v>256697.89</v>
      </c>
      <c r="T44" s="130">
        <f t="shared" ref="T44" si="74">Q44/S44</f>
        <v>14.273327295366549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271343.59999999998</v>
      </c>
      <c r="G45" s="190">
        <f t="shared" ref="G45" si="75">F45/F44-1</f>
        <v>0.62927629953931996</v>
      </c>
      <c r="H45" s="190">
        <f t="shared" ref="H45" si="76">F45/F33-1</f>
        <v>-3.4615043171303483E-2</v>
      </c>
      <c r="I45" s="130">
        <f t="shared" si="0"/>
        <v>14.158425218297177</v>
      </c>
      <c r="J45" s="130">
        <f t="shared" si="6"/>
        <v>-0.34645807107798132</v>
      </c>
      <c r="K45" s="136"/>
      <c r="L45" s="190"/>
      <c r="M45" s="190"/>
      <c r="N45" s="191"/>
      <c r="O45" s="192"/>
      <c r="P45" s="129" t="s">
        <v>853</v>
      </c>
      <c r="Q45" s="116">
        <v>5426872</v>
      </c>
      <c r="R45" s="116">
        <v>7631815744</v>
      </c>
      <c r="S45" s="116">
        <v>383296.3</v>
      </c>
      <c r="T45" s="130">
        <f t="shared" ref="T45" si="77">Q45/S45</f>
        <v>14.158425218297177</v>
      </c>
      <c r="U45" s="85"/>
    </row>
    <row r="46" spans="1:21" s="79" customFormat="1" ht="13.2">
      <c r="A46" s="129" t="s">
        <v>901</v>
      </c>
      <c r="B46" s="188">
        <f>SUM(F44:F46)</f>
        <v>694486.90382775117</v>
      </c>
      <c r="C46" s="188">
        <f>AVERAGE(F44:F46)</f>
        <v>231495.63460925038</v>
      </c>
      <c r="D46" s="190">
        <f>C46/C43-1</f>
        <v>-8.1921444666809951E-2</v>
      </c>
      <c r="E46" s="287">
        <f>C46/C34-1</f>
        <v>-0.23702711445927893</v>
      </c>
      <c r="F46" s="136">
        <f>Q46/19</f>
        <v>256600.89473684211</v>
      </c>
      <c r="G46" s="190">
        <f t="shared" ref="G46" si="78">F46/F45-1</f>
        <v>-5.433223876722304E-2</v>
      </c>
      <c r="H46" s="190">
        <f t="shared" ref="H46" si="79">F46/F34-1</f>
        <v>-0.22755563737924367</v>
      </c>
      <c r="I46" s="130">
        <f t="shared" si="0"/>
        <v>18.31436252875109</v>
      </c>
      <c r="J46" s="130">
        <f t="shared" si="6"/>
        <v>0.206316146054915</v>
      </c>
      <c r="K46" s="136">
        <f>R44+R45+R46</f>
        <v>19564299718</v>
      </c>
      <c r="L46" s="190">
        <f>U46/U43-1</f>
        <v>-4.6876926851389666E-2</v>
      </c>
      <c r="M46" s="190">
        <f>K46/K34-1</f>
        <v>-0.22440946321981936</v>
      </c>
      <c r="N46" s="191">
        <f>AVERAGE(T44:T46)</f>
        <v>15.582038347471604</v>
      </c>
      <c r="O46" s="192">
        <f>N46/N43-1</f>
        <v>-0.15264009910446574</v>
      </c>
      <c r="P46" s="129" t="s">
        <v>888</v>
      </c>
      <c r="Q46" s="116">
        <v>4875417</v>
      </c>
      <c r="R46" s="116">
        <v>6675385434</v>
      </c>
      <c r="S46" s="116">
        <v>266207.3</v>
      </c>
      <c r="T46" s="130">
        <f t="shared" ref="T46" si="80">Q46/S46</f>
        <v>18.31436252875109</v>
      </c>
      <c r="U46" s="85">
        <f t="shared" ref="U46:U51" si="81">Q44+Q45+Q46</f>
        <v>13966222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285527.47826086957</v>
      </c>
      <c r="G47" s="190">
        <f t="shared" ref="G47" si="82">F47/F46-1</f>
        <v>0.11272986227773374</v>
      </c>
      <c r="H47" s="190">
        <f t="shared" ref="H47" si="83">F47/F35-1</f>
        <v>1.5420254466901095E-2</v>
      </c>
      <c r="I47" s="130">
        <f t="shared" si="0"/>
        <v>21.001832850389363</v>
      </c>
      <c r="J47" s="130">
        <f t="shared" si="6"/>
        <v>0.4310138409342319</v>
      </c>
      <c r="K47" s="136"/>
      <c r="L47" s="190"/>
      <c r="M47" s="190"/>
      <c r="N47" s="191"/>
      <c r="O47" s="192"/>
      <c r="P47" s="129" t="s">
        <v>1029</v>
      </c>
      <c r="Q47" s="116">
        <v>6567132</v>
      </c>
      <c r="R47" s="116">
        <v>9030796785</v>
      </c>
      <c r="S47" s="116">
        <v>312693.28000000003</v>
      </c>
      <c r="T47" s="130">
        <f t="shared" ref="T47" si="84">Q47/S47</f>
        <v>21.001832850389363</v>
      </c>
      <c r="U47" s="85">
        <f t="shared" si="81"/>
        <v>16869421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253691.05</v>
      </c>
      <c r="G48" s="190">
        <f t="shared" ref="G48" si="85">F48/F47-1</f>
        <v>-0.11150040078378209</v>
      </c>
      <c r="H48" s="190">
        <f t="shared" ref="H48" si="86">F48/F36-1</f>
        <v>-0.25035307551541197</v>
      </c>
      <c r="I48" s="130">
        <f t="shared" si="0"/>
        <v>16.419199607944609</v>
      </c>
      <c r="J48" s="130">
        <f t="shared" si="6"/>
        <v>-5.6867452682674013E-2</v>
      </c>
      <c r="K48" s="136"/>
      <c r="L48" s="190"/>
      <c r="M48" s="190"/>
      <c r="N48" s="191"/>
      <c r="O48" s="192"/>
      <c r="P48" s="129" t="s">
        <v>1120</v>
      </c>
      <c r="Q48" s="116">
        <v>5073821</v>
      </c>
      <c r="R48" s="116">
        <v>7046567294</v>
      </c>
      <c r="S48" s="116">
        <v>309017.56</v>
      </c>
      <c r="T48" s="130">
        <f t="shared" ref="T48" si="87">Q48/S48</f>
        <v>16.419199607944609</v>
      </c>
      <c r="U48" s="85">
        <f t="shared" si="81"/>
        <v>16516370</v>
      </c>
    </row>
    <row r="49" spans="1:26" ht="13.2">
      <c r="A49" s="129" t="s">
        <v>1158</v>
      </c>
      <c r="B49" s="188">
        <f>SUM(F47:F49)</f>
        <v>726659.34644268779</v>
      </c>
      <c r="C49" s="188">
        <f>AVERAGE(F47:F49)</f>
        <v>242219.7821475626</v>
      </c>
      <c r="D49" s="190">
        <f>C49/C46-1</f>
        <v>4.6325484955316298E-2</v>
      </c>
      <c r="E49" s="287">
        <f>C49/C37-1</f>
        <v>-0.17763814064200956</v>
      </c>
      <c r="F49" s="136">
        <f>Q49/22</f>
        <v>187440.81818181818</v>
      </c>
      <c r="G49" s="190">
        <f t="shared" ref="G49" si="88">F49/F48-1</f>
        <v>-0.26114532545859148</v>
      </c>
      <c r="H49" s="190">
        <f t="shared" ref="H49" si="89">F49/F37-1</f>
        <v>-0.29004889219545216</v>
      </c>
      <c r="I49" s="130">
        <f t="shared" si="0"/>
        <v>17.582183969501973</v>
      </c>
      <c r="J49" s="130">
        <f t="shared" si="6"/>
        <v>-8.7836940295108468E-2</v>
      </c>
      <c r="K49" s="136">
        <f>R47+R48+R49</f>
        <v>21805579879</v>
      </c>
      <c r="L49" s="190">
        <f>U49/U46-1</f>
        <v>0.12876989926123183</v>
      </c>
      <c r="M49" s="190">
        <f>K49/K37-1</f>
        <v>-0.12702769218278165</v>
      </c>
      <c r="N49" s="191">
        <f>AVERAGE(T47:T49)</f>
        <v>18.334405475945314</v>
      </c>
      <c r="O49" s="192">
        <f>N49/N46-1</f>
        <v>0.1766371681995198</v>
      </c>
      <c r="P49" s="129" t="s">
        <v>1165</v>
      </c>
      <c r="Q49" s="116">
        <v>4123698</v>
      </c>
      <c r="R49" s="116">
        <v>5728215800</v>
      </c>
      <c r="S49" s="116">
        <v>234538.44</v>
      </c>
      <c r="T49" s="130">
        <f t="shared" ref="T49" si="90">Q49/S49</f>
        <v>17.582183969501973</v>
      </c>
      <c r="U49" s="85">
        <f t="shared" si="81"/>
        <v>15764651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245299.88888888888</v>
      </c>
      <c r="G50" s="190">
        <f t="shared" ref="G50" si="91">F50/F49-1</f>
        <v>0.30867914079924264</v>
      </c>
      <c r="H50" s="190">
        <f t="shared" ref="H50" si="92">F50/F38-1</f>
        <v>0.3029669941732378</v>
      </c>
      <c r="I50" s="130">
        <f t="shared" ref="I50" si="93">T50</f>
        <v>13.35854901537459</v>
      </c>
      <c r="J50" s="130">
        <f t="shared" ref="J50" si="94">I50/I38-1</f>
        <v>-0.25490175498036949</v>
      </c>
      <c r="K50" s="136"/>
      <c r="L50" s="190"/>
      <c r="M50" s="190"/>
      <c r="N50" s="191"/>
      <c r="O50" s="192"/>
      <c r="P50" s="129" t="s">
        <v>1291</v>
      </c>
      <c r="Q50" s="116">
        <v>4415398</v>
      </c>
      <c r="R50" s="116">
        <v>6245276270</v>
      </c>
      <c r="S50" s="116">
        <v>330529.76</v>
      </c>
      <c r="T50" s="130">
        <f t="shared" ref="T50" si="95">Q50/S50</f>
        <v>13.35854901537459</v>
      </c>
      <c r="U50" s="85">
        <f t="shared" si="81"/>
        <v>13612917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307943.2</v>
      </c>
      <c r="G51" s="190">
        <f t="shared" ref="G51:G52" si="96">F51/F50-1</f>
        <v>0.25537439660026129</v>
      </c>
      <c r="H51" s="190">
        <f t="shared" ref="H51:H52" si="97">F51/F39-1</f>
        <v>5.3672452071708454E-2</v>
      </c>
      <c r="I51" s="130">
        <f t="shared" ref="I51:I52" si="98">T51</f>
        <v>15.466036446711787</v>
      </c>
      <c r="J51" s="130">
        <f t="shared" ref="J51:J52" si="99">I51/I39-1</f>
        <v>-0.21750357643712881</v>
      </c>
      <c r="K51" s="136"/>
      <c r="L51" s="190"/>
      <c r="M51" s="190"/>
      <c r="N51" s="191"/>
      <c r="O51" s="192"/>
      <c r="P51" s="129" t="s">
        <v>1402</v>
      </c>
      <c r="Q51" s="116">
        <v>6158864</v>
      </c>
      <c r="R51" s="116">
        <v>8929508910</v>
      </c>
      <c r="S51" s="116">
        <v>398218.64</v>
      </c>
      <c r="T51" s="130">
        <f t="shared" ref="T51:T52" si="100">Q51/S51</f>
        <v>15.466036446711787</v>
      </c>
      <c r="U51" s="85">
        <f t="shared" si="81"/>
        <v>14697960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864966.27070707083</v>
      </c>
      <c r="C52" s="188">
        <f>AVERAGE(F50:F52)</f>
        <v>288322.0902356903</v>
      </c>
      <c r="D52" s="190">
        <f>C52/C49-1</f>
        <v>0.19033254707512581</v>
      </c>
      <c r="E52" s="287">
        <f>C52/C40-1</f>
        <v>0.15441789105000781</v>
      </c>
      <c r="F52" s="136">
        <f>Q52/22</f>
        <v>311723.18181818182</v>
      </c>
      <c r="G52" s="190">
        <f t="shared" si="96"/>
        <v>1.227493192959539E-2</v>
      </c>
      <c r="H52" s="190">
        <f t="shared" si="97"/>
        <v>0.15991500900331634</v>
      </c>
      <c r="I52" s="130">
        <f t="shared" si="98"/>
        <v>20.228772783477908</v>
      </c>
      <c r="J52" s="130">
        <f t="shared" si="99"/>
        <v>0.19214823229143385</v>
      </c>
      <c r="K52" s="136">
        <f>R50+R51+R52</f>
        <v>25268140605</v>
      </c>
      <c r="L52" s="190">
        <f>U52/U49-1</f>
        <v>0.10577595406330276</v>
      </c>
      <c r="M52" s="190">
        <f>K52/K40-1</f>
        <v>0.16854292093011258</v>
      </c>
      <c r="N52" s="191">
        <f>AVERAGE(T50:T52)</f>
        <v>16.351119415188094</v>
      </c>
      <c r="O52" s="192">
        <f>N52/N49-1</f>
        <v>-0.10817291367092785</v>
      </c>
      <c r="P52" s="129" t="s">
        <v>1403</v>
      </c>
      <c r="Q52" s="116">
        <v>6857910</v>
      </c>
      <c r="R52" s="116">
        <v>10093355425</v>
      </c>
      <c r="S52" s="116">
        <v>339017.6</v>
      </c>
      <c r="T52" s="130">
        <f t="shared" si="100"/>
        <v>20.228772783477908</v>
      </c>
      <c r="U52" s="85">
        <f t="shared" ref="U52" si="101">Q50+Q51+Q52</f>
        <v>17432172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289463.66666666669</v>
      </c>
      <c r="G53" s="190">
        <f t="shared" ref="G53" si="102">F53/F52-1</f>
        <v>-7.1407955679402724E-2</v>
      </c>
      <c r="H53" s="190">
        <f t="shared" ref="H53" si="103">F53/F41-1</f>
        <v>0.21617257393184675</v>
      </c>
      <c r="I53" s="130">
        <f t="shared" ref="I53" si="104">T53</f>
        <v>20.786527996277343</v>
      </c>
      <c r="J53" s="130">
        <f t="shared" ref="J53" si="105">I53/I41-1</f>
        <v>4.658404509551306E-2</v>
      </c>
      <c r="K53" s="136"/>
      <c r="L53" s="190"/>
      <c r="M53" s="190"/>
      <c r="N53" s="191"/>
      <c r="O53" s="192"/>
      <c r="P53" s="129" t="s">
        <v>1414</v>
      </c>
      <c r="Q53" s="116">
        <v>6078737</v>
      </c>
      <c r="R53" s="116">
        <v>8889029412</v>
      </c>
      <c r="S53" s="116">
        <v>292436.38</v>
      </c>
      <c r="T53" s="130">
        <f t="shared" ref="T53" si="106">Q53/S53</f>
        <v>20.786527996277343</v>
      </c>
      <c r="U53" s="85">
        <f t="shared" ref="U53" si="107">Q51+Q52+Q53</f>
        <v>19095511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244549.82352941178</v>
      </c>
      <c r="G54" s="190">
        <f t="shared" ref="G54" si="108">F54/F53-1</f>
        <v>-0.15516228221131345</v>
      </c>
      <c r="H54" s="190">
        <f t="shared" ref="H54" si="109">F54/F42-1</f>
        <v>-5.4202590185699062E-2</v>
      </c>
      <c r="I54" s="130">
        <f t="shared" ref="I54" si="110">T54</f>
        <v>17.400365481811985</v>
      </c>
      <c r="J54" s="130">
        <f t="shared" ref="J54" si="111">I54/I42-1</f>
        <v>-5.5765361238840017E-2</v>
      </c>
      <c r="K54" s="136"/>
      <c r="L54" s="190"/>
      <c r="M54" s="190"/>
      <c r="N54" s="191"/>
      <c r="O54" s="192"/>
      <c r="P54" s="129" t="s">
        <v>1417</v>
      </c>
      <c r="Q54" s="116">
        <v>4157347</v>
      </c>
      <c r="R54" s="116">
        <v>6023948446</v>
      </c>
      <c r="S54" s="116">
        <v>238922.97</v>
      </c>
      <c r="T54" s="130">
        <f t="shared" ref="T54" si="112">Q54/S54</f>
        <v>17.400365481811985</v>
      </c>
      <c r="U54" s="85">
        <f t="shared" ref="U54" si="113">Q52+Q53+Q54</f>
        <v>17093994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867648.91876750696</v>
      </c>
      <c r="C55" s="188">
        <f>AVERAGE(F53:F55)</f>
        <v>289216.30625583563</v>
      </c>
      <c r="D55" s="190">
        <f>C55/C52-1</f>
        <v>3.1014481735143207E-3</v>
      </c>
      <c r="E55" s="287">
        <f>C55/C43-1</f>
        <v>0.14699047813296828</v>
      </c>
      <c r="F55" s="136">
        <f>Q55/21</f>
        <v>333635.42857142858</v>
      </c>
      <c r="G55" s="190">
        <f t="shared" ref="G55" si="114">F55/F54-1</f>
        <v>0.36428407003656083</v>
      </c>
      <c r="H55" s="190">
        <f t="shared" ref="H55" si="115">F55/F43-1</f>
        <v>0.28380447752927962</v>
      </c>
      <c r="I55" s="130">
        <f>T55</f>
        <v>17.027426152390412</v>
      </c>
      <c r="J55" s="130">
        <f t="shared" ref="J55" si="116">I55/I43-1</f>
        <v>8.8856260991736491E-3</v>
      </c>
      <c r="K55" s="136">
        <f>R53+R54+R55</f>
        <v>25243827098</v>
      </c>
      <c r="L55" s="190">
        <f>U55/U52-1</f>
        <v>-1.0884702147271108E-2</v>
      </c>
      <c r="M55" s="190">
        <f>K55/K43-1</f>
        <v>0.18669839077613992</v>
      </c>
      <c r="N55" s="191">
        <f>AVERAGE(T53:T55)</f>
        <v>18.404773210159913</v>
      </c>
      <c r="O55" s="192">
        <f>N55/N52-1</f>
        <v>0.12559713759195201</v>
      </c>
      <c r="P55" s="129" t="s">
        <v>1418</v>
      </c>
      <c r="Q55" s="116">
        <v>7006344</v>
      </c>
      <c r="R55" s="116">
        <v>10330849240</v>
      </c>
      <c r="S55" s="116">
        <v>411474.05</v>
      </c>
      <c r="T55" s="130">
        <f t="shared" ref="T55" si="117">Q55/S55</f>
        <v>17.027426152390412</v>
      </c>
      <c r="U55" s="85">
        <f t="shared" ref="U55" si="118">Q53+Q54+Q55</f>
        <v>17242428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268964.63636363635</v>
      </c>
      <c r="G56" s="190">
        <f t="shared" ref="G56" si="119">F56/F55-1</f>
        <v>-0.19383670518656193</v>
      </c>
      <c r="H56" s="190">
        <f t="shared" ref="H56" si="120">F56/F44-1</f>
        <v>0.61499186802815431</v>
      </c>
      <c r="I56" s="291">
        <f>T56</f>
        <v>18.395102019194724</v>
      </c>
      <c r="J56" s="130">
        <f t="shared" ref="J56" si="121">I56/I44-1</f>
        <v>0.2887746240616369</v>
      </c>
      <c r="K56" s="136"/>
      <c r="L56" s="190"/>
      <c r="M56" s="190"/>
      <c r="N56" s="191"/>
      <c r="O56" s="192"/>
      <c r="P56" s="129" t="s">
        <v>1420</v>
      </c>
      <c r="Q56" s="116">
        <v>5917222</v>
      </c>
      <c r="R56" s="116">
        <v>8797279327</v>
      </c>
      <c r="S56" s="116">
        <v>321673.78000000003</v>
      </c>
      <c r="T56" s="130">
        <f t="shared" ref="T56" si="122">Q56/S56</f>
        <v>18.395102019194724</v>
      </c>
      <c r="U56" s="85">
        <f t="shared" ref="U56" si="123">Q54+Q55+Q56</f>
        <v>17080913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162874.66666666666</v>
      </c>
      <c r="G57" s="254">
        <f t="shared" ref="G57" si="124">F57/F56-1</f>
        <v>-0.39443835863067722</v>
      </c>
      <c r="H57" s="254">
        <f t="shared" ref="H57" si="125">F57/F45-1</f>
        <v>-0.39974752798051372</v>
      </c>
      <c r="I57" s="282">
        <f>T57</f>
        <v>27.811052927622672</v>
      </c>
      <c r="J57" s="277">
        <f t="shared" ref="J57" si="126">I57/I45-1</f>
        <v>0.96427586393449816</v>
      </c>
      <c r="K57" s="204"/>
      <c r="L57" s="254"/>
      <c r="M57" s="254"/>
      <c r="N57" s="257"/>
      <c r="O57" s="258"/>
      <c r="P57" s="129" t="s">
        <v>1436</v>
      </c>
      <c r="Q57" s="116">
        <v>1954496</v>
      </c>
      <c r="R57" s="116">
        <v>2887242734</v>
      </c>
      <c r="S57" s="116">
        <v>70277.67</v>
      </c>
      <c r="T57" s="130">
        <f t="shared" ref="T57" si="127">Q57/S57</f>
        <v>27.811052927622672</v>
      </c>
      <c r="U57" s="85">
        <f t="shared" ref="U57" si="128">Q55+Q56+Q57</f>
        <v>14878062</v>
      </c>
      <c r="V57" s="79"/>
      <c r="W57" s="79"/>
      <c r="X57" s="79"/>
      <c r="Y57" s="79"/>
      <c r="Z57" s="79"/>
    </row>
    <row r="58" spans="1:26">
      <c r="B58" s="196">
        <f>SUM(F56:F58)</f>
        <v>431839.30303030298</v>
      </c>
      <c r="C58" s="196">
        <f>AVERAGE(F56:F58)</f>
        <v>215919.65151515149</v>
      </c>
      <c r="D58" s="197">
        <f>C58/C55-1</f>
        <v>-0.2534319578642541</v>
      </c>
      <c r="E58" s="233">
        <f>C58/C46-1</f>
        <v>-6.728413311287762E-2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25114146</v>
      </c>
      <c r="R65" s="212">
        <v>36928349159</v>
      </c>
      <c r="S65" s="213">
        <v>1334784.8600000001</v>
      </c>
      <c r="T65" s="214">
        <v>44</v>
      </c>
      <c r="U65" s="214">
        <v>63</v>
      </c>
    </row>
    <row r="66" spans="16:21" ht="18" thickBot="1">
      <c r="P66" s="180" t="s">
        <v>976</v>
      </c>
      <c r="Q66" s="181">
        <v>6078737</v>
      </c>
      <c r="R66" s="181">
        <v>8889029412</v>
      </c>
      <c r="S66" s="182">
        <v>292436.38</v>
      </c>
      <c r="T66" s="210">
        <v>18</v>
      </c>
      <c r="U66" s="210">
        <v>28</v>
      </c>
    </row>
    <row r="67" spans="16:21" ht="18" thickBot="1">
      <c r="P67" s="180" t="s">
        <v>977</v>
      </c>
      <c r="Q67" s="181">
        <v>4157347</v>
      </c>
      <c r="R67" s="181">
        <v>6023948446</v>
      </c>
      <c r="S67" s="182">
        <v>238922.97</v>
      </c>
      <c r="T67" s="210">
        <v>18</v>
      </c>
      <c r="U67" s="210">
        <v>24</v>
      </c>
    </row>
    <row r="68" spans="16:21" ht="18" thickBot="1">
      <c r="P68" s="180" t="s">
        <v>978</v>
      </c>
      <c r="Q68" s="181">
        <v>7006344</v>
      </c>
      <c r="R68" s="181">
        <v>10330849240</v>
      </c>
      <c r="S68" s="182">
        <v>411474.05</v>
      </c>
      <c r="T68" s="210">
        <v>18</v>
      </c>
      <c r="U68" s="210">
        <v>22</v>
      </c>
    </row>
    <row r="69" spans="16:21" ht="18" thickBot="1">
      <c r="P69" s="180" t="s">
        <v>979</v>
      </c>
      <c r="Q69" s="181">
        <v>5917222</v>
      </c>
      <c r="R69" s="181">
        <v>8797279327</v>
      </c>
      <c r="S69" s="182">
        <v>321673.78000000003</v>
      </c>
      <c r="T69" s="210">
        <v>20</v>
      </c>
      <c r="U69" s="210">
        <v>27</v>
      </c>
    </row>
    <row r="70" spans="16:21" ht="18" thickBot="1">
      <c r="P70" s="180" t="s">
        <v>980</v>
      </c>
      <c r="Q70" s="181">
        <v>1954496</v>
      </c>
      <c r="R70" s="181">
        <v>2887242734</v>
      </c>
      <c r="S70" s="182">
        <v>70277.67</v>
      </c>
      <c r="T70" s="210">
        <v>13</v>
      </c>
      <c r="U70" s="210">
        <v>15</v>
      </c>
    </row>
    <row r="71" spans="16:21" ht="18" thickBot="1">
      <c r="P71" s="180" t="s">
        <v>975</v>
      </c>
      <c r="Q71" s="181">
        <v>61856342</v>
      </c>
      <c r="R71" s="181">
        <v>87966407333</v>
      </c>
      <c r="S71" s="182">
        <v>3634506.18</v>
      </c>
      <c r="T71" s="210">
        <v>81</v>
      </c>
      <c r="U71" s="210">
        <v>129</v>
      </c>
    </row>
    <row r="72" spans="16:21" ht="18" thickBot="1">
      <c r="P72" s="215" t="s">
        <v>982</v>
      </c>
      <c r="Q72" s="217" t="s">
        <v>1534</v>
      </c>
      <c r="R72"/>
      <c r="S72"/>
      <c r="T72"/>
      <c r="U72"/>
    </row>
  </sheetData>
  <phoneticPr fontId="1" type="noConversion"/>
  <conditionalFormatting sqref="C29:C30">
    <cfRule type="cellIs" dxfId="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72"/>
  <sheetViews>
    <sheetView zoomScale="90" zoomScaleNormal="90" workbookViewId="0">
      <selection activeCell="F70" sqref="F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4650433.9000000004</v>
      </c>
      <c r="G5" s="90"/>
      <c r="H5" s="90"/>
      <c r="I5" s="130">
        <f t="shared" ref="I5:I49" si="0">T5</f>
        <v>57.515348857780012</v>
      </c>
      <c r="J5" s="130"/>
      <c r="L5" s="80"/>
      <c r="M5" s="80"/>
      <c r="P5" s="129" t="s">
        <v>0</v>
      </c>
      <c r="Q5" s="116">
        <v>93008678</v>
      </c>
      <c r="R5" s="116"/>
      <c r="S5" s="116">
        <v>1617110.56</v>
      </c>
      <c r="T5" s="130">
        <f t="shared" ref="T5:T11" si="1">Q5/S5</f>
        <v>57.515348857780012</v>
      </c>
      <c r="U5" s="85"/>
    </row>
    <row r="6" spans="1:21" ht="15" hidden="1" customHeight="1">
      <c r="A6" s="129" t="s">
        <v>1</v>
      </c>
      <c r="C6" s="79"/>
      <c r="F6" s="78">
        <f>Q6/18</f>
        <v>4932410.888888889</v>
      </c>
      <c r="G6" s="90">
        <f t="shared" ref="G6:G28" si="2">F6/F5-1</f>
        <v>6.0634554743136615E-2</v>
      </c>
      <c r="H6" s="90"/>
      <c r="I6" s="130">
        <f t="shared" si="0"/>
        <v>58.566047563402918</v>
      </c>
      <c r="J6" s="130"/>
      <c r="P6" s="129" t="s">
        <v>1</v>
      </c>
      <c r="Q6" s="116">
        <v>88783396</v>
      </c>
      <c r="R6" s="116"/>
      <c r="S6" s="116">
        <v>1515953.35</v>
      </c>
      <c r="T6" s="130">
        <f t="shared" si="1"/>
        <v>58.566047563402918</v>
      </c>
      <c r="U6" s="85"/>
    </row>
    <row r="7" spans="1:21" ht="15" hidden="1" customHeight="1">
      <c r="A7" s="129" t="s">
        <v>2</v>
      </c>
      <c r="B7" s="131">
        <f>F5+F6+F7</f>
        <v>13816973.743434343</v>
      </c>
      <c r="C7" s="131">
        <f>AVERAGE(F5:F7)</f>
        <v>4605657.9144781148</v>
      </c>
      <c r="F7" s="78">
        <f>Q7/22</f>
        <v>4234128.9545454541</v>
      </c>
      <c r="G7" s="90">
        <f t="shared" si="2"/>
        <v>-0.14157010639896928</v>
      </c>
      <c r="H7" s="90"/>
      <c r="I7" s="130">
        <f t="shared" si="0"/>
        <v>61.842286471291857</v>
      </c>
      <c r="J7" s="130"/>
      <c r="K7" s="79">
        <f>R5+R6+R7</f>
        <v>0</v>
      </c>
      <c r="N7" s="88">
        <f>AVERAGE(T5:T7)</f>
        <v>59.3078942974916</v>
      </c>
      <c r="P7" s="129" t="s">
        <v>2</v>
      </c>
      <c r="Q7" s="116">
        <v>93150837</v>
      </c>
      <c r="R7" s="116"/>
      <c r="S7" s="116">
        <v>1506264.44</v>
      </c>
      <c r="T7" s="130">
        <f t="shared" si="1"/>
        <v>61.842286471291857</v>
      </c>
      <c r="U7" s="85">
        <f>Q5+Q6+Q7</f>
        <v>274942911</v>
      </c>
    </row>
    <row r="8" spans="1:21" ht="15" hidden="1" customHeight="1">
      <c r="A8" s="129" t="s">
        <v>3</v>
      </c>
      <c r="C8" s="79"/>
      <c r="F8" s="78">
        <f>Q8/21</f>
        <v>3937741.3809523811</v>
      </c>
      <c r="G8" s="90">
        <f t="shared" si="2"/>
        <v>-6.9999656782983144E-2</v>
      </c>
      <c r="H8" s="90"/>
      <c r="I8" s="130">
        <f t="shared" si="0"/>
        <v>61.786693421687929</v>
      </c>
      <c r="J8" s="130"/>
      <c r="K8" s="78"/>
      <c r="P8" s="129" t="s">
        <v>3</v>
      </c>
      <c r="Q8" s="116">
        <v>82692569</v>
      </c>
      <c r="R8" s="116"/>
      <c r="S8" s="116">
        <v>1338355.6299999999</v>
      </c>
      <c r="T8" s="130">
        <f t="shared" si="1"/>
        <v>61.786693421687929</v>
      </c>
      <c r="U8" s="85"/>
    </row>
    <row r="9" spans="1:21" ht="15" hidden="1" customHeight="1">
      <c r="A9" s="129" t="s">
        <v>4</v>
      </c>
      <c r="C9" s="79"/>
      <c r="F9" s="78">
        <f>Q9/21</f>
        <v>4083657.5714285714</v>
      </c>
      <c r="G9" s="90">
        <f t="shared" si="2"/>
        <v>3.7055808485040531E-2</v>
      </c>
      <c r="H9" s="90"/>
      <c r="I9" s="130">
        <f t="shared" si="0"/>
        <v>63.371258555909328</v>
      </c>
      <c r="J9" s="130"/>
      <c r="K9" s="78"/>
      <c r="P9" s="129" t="s">
        <v>4</v>
      </c>
      <c r="Q9" s="116">
        <v>85756809</v>
      </c>
      <c r="R9" s="116"/>
      <c r="S9" s="116">
        <v>1353244.53</v>
      </c>
      <c r="T9" s="130">
        <f t="shared" si="1"/>
        <v>63.371258555909328</v>
      </c>
      <c r="U9" s="85"/>
    </row>
    <row r="10" spans="1:21" ht="15" hidden="1" customHeight="1">
      <c r="A10" s="129" t="s">
        <v>5</v>
      </c>
      <c r="B10" s="131">
        <f>F8+F9+F10</f>
        <v>12146394.857142858</v>
      </c>
      <c r="C10" s="131">
        <f>AVERAGE(F8:F10)</f>
        <v>4048798.2857142859</v>
      </c>
      <c r="D10" s="90">
        <f>C10/C7-1</f>
        <v>-0.12090772677955797</v>
      </c>
      <c r="E10" s="286"/>
      <c r="F10" s="78">
        <f>Q10/21</f>
        <v>4124995.9047619049</v>
      </c>
      <c r="G10" s="90">
        <f t="shared" si="2"/>
        <v>1.0122869660413869E-2</v>
      </c>
      <c r="H10" s="90"/>
      <c r="I10" s="130">
        <f t="shared" si="0"/>
        <v>64.340707965522</v>
      </c>
      <c r="J10" s="130"/>
      <c r="K10" s="79">
        <f>R8+R9+R10</f>
        <v>0</v>
      </c>
      <c r="L10" s="87">
        <f>U10/U7-1</f>
        <v>-7.2264525489075027E-2</v>
      </c>
      <c r="N10" s="88">
        <f>AVERAGE(T8:T10)</f>
        <v>63.166219981039752</v>
      </c>
      <c r="O10" s="89">
        <f>N10/N7-1</f>
        <v>6.5055853512427486E-2</v>
      </c>
      <c r="P10" s="129" t="s">
        <v>5</v>
      </c>
      <c r="Q10" s="116">
        <v>86624914</v>
      </c>
      <c r="R10" s="116"/>
      <c r="S10" s="116">
        <v>1346346.92</v>
      </c>
      <c r="T10" s="130">
        <f t="shared" si="1"/>
        <v>64.340707965522</v>
      </c>
      <c r="U10" s="85">
        <f>Q8+Q9+Q10</f>
        <v>255074292</v>
      </c>
    </row>
    <row r="11" spans="1:21" ht="15" hidden="1" customHeight="1">
      <c r="A11" s="129" t="s">
        <v>6</v>
      </c>
      <c r="C11" s="79"/>
      <c r="F11" s="78">
        <f>Q11/21</f>
        <v>4201358.3809523806</v>
      </c>
      <c r="G11" s="90">
        <f t="shared" si="2"/>
        <v>1.8512133818683996E-2</v>
      </c>
      <c r="H11" s="90"/>
      <c r="I11" s="130">
        <f t="shared" si="0"/>
        <v>59.687175659505428</v>
      </c>
      <c r="J11" s="130"/>
      <c r="K11" s="78"/>
      <c r="O11" s="89"/>
      <c r="P11" s="129" t="s">
        <v>6</v>
      </c>
      <c r="Q11" s="116">
        <v>88228526</v>
      </c>
      <c r="R11" s="116"/>
      <c r="S11" s="116">
        <v>1478182.29</v>
      </c>
      <c r="T11" s="130">
        <f t="shared" si="1"/>
        <v>59.687175659505428</v>
      </c>
      <c r="U11" s="85"/>
    </row>
    <row r="12" spans="1:21" ht="15" hidden="1" customHeight="1">
      <c r="A12" s="129" t="s">
        <v>7</v>
      </c>
      <c r="C12" s="79"/>
      <c r="F12" s="78">
        <f>Q12/22</f>
        <v>3680694.5454545454</v>
      </c>
      <c r="G12" s="90">
        <f t="shared" si="2"/>
        <v>-0.12392749874858544</v>
      </c>
      <c r="H12" s="90"/>
      <c r="I12" s="130">
        <f t="shared" si="0"/>
        <v>66.582486741003891</v>
      </c>
      <c r="J12" s="130"/>
      <c r="K12" s="78"/>
      <c r="O12" s="89"/>
      <c r="P12" s="129" t="s">
        <v>7</v>
      </c>
      <c r="Q12" s="116">
        <v>80975280</v>
      </c>
      <c r="R12" s="116"/>
      <c r="S12" s="116">
        <v>1216164.8500000001</v>
      </c>
      <c r="T12" s="130">
        <f>Q12/S12</f>
        <v>66.582486741003891</v>
      </c>
      <c r="U12" s="85"/>
    </row>
    <row r="13" spans="1:21" ht="15" hidden="1" customHeight="1">
      <c r="A13" s="129" t="s">
        <v>35</v>
      </c>
      <c r="B13" s="131">
        <f>F11+F12+F13</f>
        <v>12042326.576406926</v>
      </c>
      <c r="C13" s="131">
        <f>AVERAGE(F11:F13)</f>
        <v>4014108.8588023088</v>
      </c>
      <c r="D13" s="90">
        <f>C13/C10-1</f>
        <v>-8.567832839283418E-3</v>
      </c>
      <c r="E13" s="286"/>
      <c r="F13" s="78">
        <f>Q13/20</f>
        <v>4160273.65</v>
      </c>
      <c r="G13" s="90">
        <f t="shared" si="2"/>
        <v>0.13029581743959384</v>
      </c>
      <c r="H13" s="90"/>
      <c r="I13" s="130">
        <f t="shared" si="0"/>
        <v>59.310720465298488</v>
      </c>
      <c r="J13" s="130"/>
      <c r="K13" s="78">
        <f>R11+R12+R13</f>
        <v>0</v>
      </c>
      <c r="L13" s="87">
        <f>U13/U10-1</f>
        <v>-1.044798744359543E-2</v>
      </c>
      <c r="N13" s="88">
        <f>AVERAGE(T11:T13)</f>
        <v>61.860127621935931</v>
      </c>
      <c r="O13" s="89">
        <f>N13/N10-1</f>
        <v>-2.0677070109559548E-2</v>
      </c>
      <c r="P13" s="129" t="s">
        <v>35</v>
      </c>
      <c r="Q13" s="116">
        <v>83205473</v>
      </c>
      <c r="R13" s="116"/>
      <c r="S13" s="116">
        <v>1402874.09</v>
      </c>
      <c r="T13" s="130">
        <f>Q13/S13</f>
        <v>59.310720465298488</v>
      </c>
      <c r="U13" s="85">
        <f>Q11+Q12+Q13</f>
        <v>252409279</v>
      </c>
    </row>
    <row r="14" spans="1:21" ht="15" hidden="1" customHeight="1">
      <c r="A14" s="129" t="s">
        <v>36</v>
      </c>
      <c r="C14" s="79"/>
      <c r="F14" s="78">
        <f>Q14/20</f>
        <v>4007069.85</v>
      </c>
      <c r="G14" s="90">
        <f t="shared" si="2"/>
        <v>-3.6825414116689159E-2</v>
      </c>
      <c r="H14" s="90"/>
      <c r="I14" s="130">
        <f t="shared" si="0"/>
        <v>58.2566955050698</v>
      </c>
      <c r="J14" s="130"/>
      <c r="O14" s="89"/>
      <c r="P14" s="129" t="s">
        <v>36</v>
      </c>
      <c r="Q14" s="116">
        <v>80141397</v>
      </c>
      <c r="R14" s="116"/>
      <c r="S14" s="116">
        <v>1375659.85</v>
      </c>
      <c r="T14" s="130">
        <f>Q14/S14</f>
        <v>58.2566955050698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3512245.4545454546</v>
      </c>
      <c r="G15" s="90">
        <f t="shared" si="2"/>
        <v>-0.12348783873945834</v>
      </c>
      <c r="H15" s="90"/>
      <c r="I15" s="130">
        <f t="shared" si="0"/>
        <v>61.705312830357471</v>
      </c>
      <c r="J15" s="130"/>
      <c r="O15" s="89"/>
      <c r="P15" s="129" t="s">
        <v>37</v>
      </c>
      <c r="Q15" s="116">
        <v>77269400</v>
      </c>
      <c r="R15" s="116"/>
      <c r="S15" s="116">
        <v>1252232.53</v>
      </c>
      <c r="T15" s="130">
        <f t="shared" ref="T15:T28" si="3">Q15/S15</f>
        <v>61.705312830357471</v>
      </c>
      <c r="U15" s="78"/>
    </row>
    <row r="16" spans="1:21" ht="15" hidden="1" customHeight="1">
      <c r="A16" s="123" t="s">
        <v>38</v>
      </c>
      <c r="B16" s="131">
        <f>F14+F15+F16</f>
        <v>11451103.440909091</v>
      </c>
      <c r="C16" s="131">
        <f>AVERAGE(F14:F16)</f>
        <v>3817034.4803030305</v>
      </c>
      <c r="D16" s="90">
        <f>C16/C13-1</f>
        <v>-4.9095424521715558E-2</v>
      </c>
      <c r="E16" s="286"/>
      <c r="F16" s="78">
        <f>Q16/22</f>
        <v>3931788.1363636362</v>
      </c>
      <c r="G16" s="90">
        <f t="shared" si="2"/>
        <v>0.1194514128490709</v>
      </c>
      <c r="H16" s="90"/>
      <c r="I16" s="130">
        <f t="shared" si="0"/>
        <v>57.894851998611152</v>
      </c>
      <c r="J16" s="130"/>
      <c r="K16" s="78">
        <f>R14+R15+R16</f>
        <v>0</v>
      </c>
      <c r="L16" s="87">
        <f>U16/U13-1</f>
        <v>-3.3672070352057104E-2</v>
      </c>
      <c r="N16" s="88">
        <f>AVERAGE(T14:T16)</f>
        <v>59.285620111346141</v>
      </c>
      <c r="O16" s="89">
        <f>N16/N13-1</f>
        <v>-4.16182056125739E-2</v>
      </c>
      <c r="P16" s="123" t="s">
        <v>38</v>
      </c>
      <c r="Q16" s="133">
        <v>86499339</v>
      </c>
      <c r="R16" s="133"/>
      <c r="S16" s="133">
        <v>1494076.52</v>
      </c>
      <c r="T16" s="134">
        <f t="shared" si="3"/>
        <v>57.894851998611152</v>
      </c>
      <c r="U16" s="85">
        <f>Q14+Q15+Q16</f>
        <v>243910136</v>
      </c>
    </row>
    <row r="17" spans="1:21" ht="15" hidden="1" customHeight="1">
      <c r="A17" s="129" t="s">
        <v>85</v>
      </c>
      <c r="C17" s="79"/>
      <c r="F17" s="78">
        <f>Q17/20</f>
        <v>3967071.75</v>
      </c>
      <c r="G17" s="90">
        <f t="shared" si="2"/>
        <v>8.9739356274156634E-3</v>
      </c>
      <c r="H17" s="90">
        <f t="shared" ref="H17:H28" si="4">F17/F5-1</f>
        <v>-0.14694589036089734</v>
      </c>
      <c r="I17" s="130">
        <f t="shared" si="0"/>
        <v>57.078471904141146</v>
      </c>
      <c r="J17" s="130">
        <f t="shared" ref="J17:J49" si="5">I17/I5-1</f>
        <v>-7.5958324571610003E-3</v>
      </c>
      <c r="O17" s="89"/>
      <c r="P17" s="129" t="s">
        <v>85</v>
      </c>
      <c r="Q17" s="116">
        <v>79341435</v>
      </c>
      <c r="R17" s="116">
        <v>99815043941</v>
      </c>
      <c r="S17" s="116">
        <v>1390041.33</v>
      </c>
      <c r="T17" s="130">
        <f t="shared" si="3"/>
        <v>57.078471904141146</v>
      </c>
      <c r="U17" s="78"/>
    </row>
    <row r="18" spans="1:21" hidden="1">
      <c r="A18" s="129" t="s">
        <v>106</v>
      </c>
      <c r="C18" s="79"/>
      <c r="F18" s="78">
        <f>Q18/20</f>
        <v>4596772.4000000004</v>
      </c>
      <c r="G18" s="90">
        <f t="shared" si="2"/>
        <v>0.15873185303492443</v>
      </c>
      <c r="H18" s="90">
        <f t="shared" si="4"/>
        <v>-6.8047552495063335E-2</v>
      </c>
      <c r="I18" s="130">
        <f t="shared" si="0"/>
        <v>60.261464723027863</v>
      </c>
      <c r="J18" s="130">
        <f t="shared" si="5"/>
        <v>2.8948806179715403E-2</v>
      </c>
      <c r="O18" s="89"/>
      <c r="P18" s="129" t="s">
        <v>106</v>
      </c>
      <c r="Q18" s="116">
        <v>91935448</v>
      </c>
      <c r="R18" s="116">
        <v>114973314847</v>
      </c>
      <c r="S18" s="116">
        <v>1525609.25</v>
      </c>
      <c r="T18" s="130">
        <f t="shared" si="3"/>
        <v>60.261464723027863</v>
      </c>
      <c r="U18" s="78"/>
    </row>
    <row r="19" spans="1:21" hidden="1">
      <c r="A19" s="129" t="s">
        <v>114</v>
      </c>
      <c r="B19" s="131">
        <f>SUM(F17:F19)</f>
        <v>12050944.331818182</v>
      </c>
      <c r="C19" s="131">
        <f>AVERAGE(F17:F19)</f>
        <v>4016981.4439393939</v>
      </c>
      <c r="D19" s="90">
        <f>C19/C16-1</f>
        <v>5.2382802583562205E-2</v>
      </c>
      <c r="E19" s="286">
        <f>C19/C7-1</f>
        <v>-0.12781593454611273</v>
      </c>
      <c r="F19" s="78">
        <f>Q19/22</f>
        <v>3487100.1818181816</v>
      </c>
      <c r="G19" s="90">
        <f t="shared" si="2"/>
        <v>-0.24140247147799154</v>
      </c>
      <c r="H19" s="90">
        <f t="shared" si="4"/>
        <v>-0.17643033094807292</v>
      </c>
      <c r="I19" s="130">
        <f t="shared" si="0"/>
        <v>53.867388540369184</v>
      </c>
      <c r="J19" s="130">
        <f t="shared" si="5"/>
        <v>-0.12895541846798864</v>
      </c>
      <c r="K19" s="78">
        <f>R17+R18+R19</f>
        <v>315106553443</v>
      </c>
      <c r="L19" s="87">
        <f>U19/U16-1</f>
        <v>1.6739570839319207E-2</v>
      </c>
      <c r="M19" s="87">
        <f>U19/U7-1</f>
        <v>-9.8019708535056593E-2</v>
      </c>
      <c r="N19" s="88">
        <f>AVERAGE(T17:T19)</f>
        <v>57.069108389179398</v>
      </c>
      <c r="O19" s="89">
        <f>N19/N16-1</f>
        <v>-3.7387004099878607E-2</v>
      </c>
      <c r="P19" s="129" t="s">
        <v>114</v>
      </c>
      <c r="Q19" s="116">
        <v>76716204</v>
      </c>
      <c r="R19" s="116">
        <v>100318194655</v>
      </c>
      <c r="S19" s="116">
        <v>1424167.87</v>
      </c>
      <c r="T19" s="130">
        <f t="shared" si="3"/>
        <v>53.867388540369184</v>
      </c>
      <c r="U19" s="85">
        <f>Q17+Q18+Q19</f>
        <v>247993087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3622950.5</v>
      </c>
      <c r="G20" s="90">
        <f t="shared" si="2"/>
        <v>3.8957962518583411E-2</v>
      </c>
      <c r="H20" s="90">
        <f t="shared" si="4"/>
        <v>-7.994198970889399E-2</v>
      </c>
      <c r="I20" s="130">
        <f t="shared" si="0"/>
        <v>58.609146479418321</v>
      </c>
      <c r="J20" s="130">
        <f t="shared" si="5"/>
        <v>-5.1427690434624362E-2</v>
      </c>
      <c r="O20" s="89"/>
      <c r="P20" s="129" t="s">
        <v>131</v>
      </c>
      <c r="Q20" s="116">
        <v>72459010</v>
      </c>
      <c r="R20" s="116">
        <v>95049300109</v>
      </c>
      <c r="S20" s="116">
        <v>1236308.9099999999</v>
      </c>
      <c r="T20" s="130">
        <f t="shared" si="3"/>
        <v>58.609146479418321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3933301</v>
      </c>
      <c r="G21" s="90">
        <f t="shared" si="2"/>
        <v>8.5662362762063626E-2</v>
      </c>
      <c r="H21" s="90">
        <f t="shared" si="4"/>
        <v>-3.6819093863438845E-2</v>
      </c>
      <c r="I21" s="130">
        <f t="shared" si="0"/>
        <v>60.599362407297626</v>
      </c>
      <c r="J21" s="130">
        <f t="shared" si="5"/>
        <v>-4.3740588585063245E-2</v>
      </c>
      <c r="O21" s="89"/>
      <c r="P21" s="129" t="s">
        <v>141</v>
      </c>
      <c r="Q21" s="116">
        <v>82599321</v>
      </c>
      <c r="R21" s="116">
        <v>109946864403</v>
      </c>
      <c r="S21" s="116">
        <v>1363039.44</v>
      </c>
      <c r="T21" s="130">
        <f t="shared" si="3"/>
        <v>60.599362407297626</v>
      </c>
      <c r="U21" s="78"/>
    </row>
    <row r="22" spans="1:21" hidden="1">
      <c r="A22" s="129" t="s">
        <v>156</v>
      </c>
      <c r="B22" s="131">
        <f>SUM(F20:F22)</f>
        <v>12026377.547619049</v>
      </c>
      <c r="C22" s="131">
        <f>AVERAGE(F20:F22)</f>
        <v>4008792.5158730163</v>
      </c>
      <c r="D22" s="90">
        <f>C22/C19-1</f>
        <v>-2.0385775191300581E-3</v>
      </c>
      <c r="E22" s="286">
        <f>C22/C10-1</f>
        <v>-9.8808997184239855E-3</v>
      </c>
      <c r="F22" s="78">
        <f>Q22/21</f>
        <v>4470126.0476190476</v>
      </c>
      <c r="G22" s="90">
        <f t="shared" si="2"/>
        <v>0.1364820662387769</v>
      </c>
      <c r="H22" s="90">
        <f t="shared" si="4"/>
        <v>8.3667996484244611E-2</v>
      </c>
      <c r="I22" s="130">
        <f t="shared" si="0"/>
        <v>61.727860538291615</v>
      </c>
      <c r="J22" s="130">
        <f t="shared" si="5"/>
        <v>-4.06095535757941E-2</v>
      </c>
      <c r="K22" s="78">
        <f>R20+R21+R22</f>
        <v>326953434448</v>
      </c>
      <c r="L22" s="87">
        <f>U22/U19-1</f>
        <v>3.7819239695178197E-3</v>
      </c>
      <c r="M22" s="87">
        <f>U22/U10-1</f>
        <v>-2.4084410670441092E-2</v>
      </c>
      <c r="N22" s="88">
        <f>AVERAGE(T20:T22)</f>
        <v>60.31212314166919</v>
      </c>
      <c r="O22" s="89">
        <f>N22/N19-1</f>
        <v>5.6826098112033652E-2</v>
      </c>
      <c r="P22" s="129" t="s">
        <v>156</v>
      </c>
      <c r="Q22" s="116">
        <v>93872647</v>
      </c>
      <c r="R22" s="116">
        <v>121957269936</v>
      </c>
      <c r="S22" s="116">
        <v>1520750.05</v>
      </c>
      <c r="T22" s="130">
        <f t="shared" si="3"/>
        <v>61.727860538291615</v>
      </c>
      <c r="U22" s="85">
        <f>Q20+Q21+Q22</f>
        <v>248930978</v>
      </c>
    </row>
    <row r="23" spans="1:21" hidden="1">
      <c r="A23" s="129" t="s">
        <v>189</v>
      </c>
      <c r="B23" s="131"/>
      <c r="C23" s="131"/>
      <c r="F23" s="78">
        <f>Q23/21</f>
        <v>3916128.1904761903</v>
      </c>
      <c r="G23" s="90">
        <f t="shared" si="2"/>
        <v>-0.12393338604801463</v>
      </c>
      <c r="H23" s="90">
        <f t="shared" si="4"/>
        <v>-6.7889992857865455E-2</v>
      </c>
      <c r="I23" s="130">
        <f t="shared" si="0"/>
        <v>60.587866811163373</v>
      </c>
      <c r="J23" s="130">
        <f t="shared" si="5"/>
        <v>1.5090195535404138E-2</v>
      </c>
      <c r="O23" s="89"/>
      <c r="P23" s="129" t="s">
        <v>189</v>
      </c>
      <c r="Q23" s="116">
        <v>82238692</v>
      </c>
      <c r="R23" s="116">
        <v>106257767688</v>
      </c>
      <c r="S23" s="116">
        <v>1357345.89</v>
      </c>
      <c r="T23" s="130">
        <f t="shared" si="3"/>
        <v>60.587866811163373</v>
      </c>
      <c r="U23" s="78"/>
    </row>
    <row r="24" spans="1:21" hidden="1">
      <c r="A24" s="129" t="s">
        <v>204</v>
      </c>
      <c r="B24" s="131"/>
      <c r="C24" s="131"/>
      <c r="F24" s="78">
        <f>Q24/22</f>
        <v>4403240.8636363633</v>
      </c>
      <c r="G24" s="90">
        <f t="shared" si="2"/>
        <v>0.12438629418332225</v>
      </c>
      <c r="H24" s="90">
        <f t="shared" si="4"/>
        <v>0.19630705815404403</v>
      </c>
      <c r="I24" s="130">
        <f t="shared" si="0"/>
        <v>61.685801638238814</v>
      </c>
      <c r="J24" s="130">
        <f t="shared" si="5"/>
        <v>-7.3543139381568312E-2</v>
      </c>
      <c r="O24" s="89"/>
      <c r="P24" s="129" t="s">
        <v>204</v>
      </c>
      <c r="Q24" s="116">
        <v>96871299</v>
      </c>
      <c r="R24" s="116">
        <v>126886583032</v>
      </c>
      <c r="S24" s="116">
        <v>1570398.64</v>
      </c>
      <c r="T24" s="130">
        <f t="shared" si="3"/>
        <v>61.685801638238814</v>
      </c>
      <c r="U24" s="78"/>
    </row>
    <row r="25" spans="1:21" s="79" customFormat="1" ht="13.2" hidden="1">
      <c r="A25" s="129" t="s">
        <v>217</v>
      </c>
      <c r="B25" s="131">
        <f>SUM(F23:F25)</f>
        <v>12441630.422533605</v>
      </c>
      <c r="C25" s="131">
        <f>AVERAGE(F23:F25)</f>
        <v>4147210.1408445351</v>
      </c>
      <c r="D25" s="90">
        <f>C25/C22-1</f>
        <v>3.4528508128930824E-2</v>
      </c>
      <c r="E25" s="286">
        <f>C25/C13-1</f>
        <v>3.3158363842165306E-2</v>
      </c>
      <c r="F25" s="78">
        <f>Q25/19</f>
        <v>4122261.3684210526</v>
      </c>
      <c r="G25" s="90">
        <f t="shared" si="2"/>
        <v>-6.3811974842381658E-2</v>
      </c>
      <c r="H25" s="90">
        <f t="shared" si="4"/>
        <v>-9.1369666461597054E-3</v>
      </c>
      <c r="I25" s="130">
        <f t="shared" si="0"/>
        <v>61.296242789042473</v>
      </c>
      <c r="J25" s="130">
        <f t="shared" si="5"/>
        <v>3.3476617855378699E-2</v>
      </c>
      <c r="K25" s="78">
        <f>R23+R24+R25</f>
        <v>337070895853</v>
      </c>
      <c r="L25" s="90">
        <f>U25/U22-1</f>
        <v>3.4153961344256745E-2</v>
      </c>
      <c r="M25" s="90">
        <f>U25/U13-1</f>
        <v>1.9902905392000347E-2</v>
      </c>
      <c r="N25" s="88">
        <f>AVERAGE(T23:T25)</f>
        <v>61.189970412814887</v>
      </c>
      <c r="O25" s="91">
        <f>N25/N22-1</f>
        <v>1.4555071607804226E-2</v>
      </c>
      <c r="P25" s="129" t="s">
        <v>217</v>
      </c>
      <c r="Q25" s="116">
        <v>78322966</v>
      </c>
      <c r="R25" s="116">
        <v>103926545133</v>
      </c>
      <c r="S25" s="116">
        <v>1277777.6000000001</v>
      </c>
      <c r="T25" s="130">
        <f t="shared" si="3"/>
        <v>61.296242789042473</v>
      </c>
      <c r="U25" s="85">
        <f>Q23+Q24+Q25</f>
        <v>257432957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3534680.2631578948</v>
      </c>
      <c r="G26" s="90">
        <f t="shared" si="2"/>
        <v>-0.14253853716418241</v>
      </c>
      <c r="H26" s="90">
        <f t="shared" si="4"/>
        <v>-0.11788903226683345</v>
      </c>
      <c r="I26" s="130">
        <f t="shared" si="0"/>
        <v>56.611061929674563</v>
      </c>
      <c r="J26" s="130">
        <f t="shared" si="5"/>
        <v>-2.8247973235145607E-2</v>
      </c>
      <c r="L26" s="90"/>
      <c r="M26" s="90"/>
      <c r="P26" s="129" t="s">
        <v>312</v>
      </c>
      <c r="Q26" s="116">
        <v>67158925</v>
      </c>
      <c r="R26" s="116">
        <v>90594009811</v>
      </c>
      <c r="S26" s="116">
        <v>1186321.5900000001</v>
      </c>
      <c r="T26" s="130">
        <f t="shared" si="3"/>
        <v>56.611061929674563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3370124.8181818184</v>
      </c>
      <c r="G27" s="90">
        <f t="shared" si="2"/>
        <v>-4.6554548848800836E-2</v>
      </c>
      <c r="H27" s="90">
        <f t="shared" si="4"/>
        <v>-4.0464323522636403E-2</v>
      </c>
      <c r="I27" s="130">
        <f t="shared" si="0"/>
        <v>55.815070126584025</v>
      </c>
      <c r="J27" s="130">
        <f t="shared" si="5"/>
        <v>-9.5457626476461055E-2</v>
      </c>
      <c r="L27" s="90"/>
      <c r="M27" s="90"/>
      <c r="P27" s="129" t="s">
        <v>373</v>
      </c>
      <c r="Q27" s="116">
        <v>74142746</v>
      </c>
      <c r="R27" s="116">
        <v>98019017255</v>
      </c>
      <c r="S27" s="116">
        <v>1328364.29</v>
      </c>
      <c r="T27" s="130">
        <f t="shared" si="3"/>
        <v>55.815070126584025</v>
      </c>
      <c r="U27" s="78"/>
    </row>
    <row r="28" spans="1:21" s="79" customFormat="1" ht="13.2" hidden="1">
      <c r="A28" s="123" t="s">
        <v>413</v>
      </c>
      <c r="B28" s="131">
        <f>SUM(F26:F28)</f>
        <v>10410776.186602872</v>
      </c>
      <c r="C28" s="131">
        <f>AVERAGE(F26:F28)</f>
        <v>3470258.728867624</v>
      </c>
      <c r="D28" s="90">
        <f>C28/C25-1</f>
        <v>-0.16323055475531245</v>
      </c>
      <c r="E28" s="286">
        <f>C28/C16-1</f>
        <v>-9.0849520282005991E-2</v>
      </c>
      <c r="F28" s="78">
        <f>Q28/19</f>
        <v>3505971.1052631577</v>
      </c>
      <c r="G28" s="90">
        <f t="shared" si="2"/>
        <v>4.0308977978634086E-2</v>
      </c>
      <c r="H28" s="90">
        <f t="shared" si="4"/>
        <v>-0.10830111296238376</v>
      </c>
      <c r="I28" s="130">
        <f t="shared" si="0"/>
        <v>56.074110055022508</v>
      </c>
      <c r="J28" s="130">
        <f t="shared" si="5"/>
        <v>-3.1449116471224836E-2</v>
      </c>
      <c r="K28" s="78">
        <f>R26+R27+R28</f>
        <v>275454219732</v>
      </c>
      <c r="L28" s="90">
        <f>U28/U25-1</f>
        <v>-0.19235235292736819</v>
      </c>
      <c r="M28" s="90">
        <f>U28/U16-1</f>
        <v>-0.1475749002903266</v>
      </c>
      <c r="N28" s="88">
        <f>AVERAGE(T26:T28)</f>
        <v>56.166747370427032</v>
      </c>
      <c r="O28" s="91">
        <f>N28/N25-1</f>
        <v>-8.2092261337911254E-2</v>
      </c>
      <c r="P28" s="129" t="s">
        <v>413</v>
      </c>
      <c r="Q28" s="116">
        <v>66613451</v>
      </c>
      <c r="R28" s="116">
        <v>86841192666</v>
      </c>
      <c r="S28" s="116">
        <v>1187953.78</v>
      </c>
      <c r="T28" s="130">
        <f t="shared" si="3"/>
        <v>56.074110055022508</v>
      </c>
      <c r="U28" s="85">
        <f>Q26+Q27+Q28</f>
        <v>207915122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3453792.3181818184</v>
      </c>
      <c r="G29" s="190">
        <f t="shared" ref="G29" si="6">F29/F28-1</f>
        <v>-1.4882834317433091E-2</v>
      </c>
      <c r="H29" s="190">
        <f t="shared" ref="H29" si="7">F29/F17-1</f>
        <v>-0.12938496305699076</v>
      </c>
      <c r="I29" s="130">
        <f t="shared" si="0"/>
        <v>52.923116165445229</v>
      </c>
      <c r="J29" s="130">
        <f t="shared" si="5"/>
        <v>-7.2800753069817925E-2</v>
      </c>
      <c r="K29" s="136"/>
      <c r="L29" s="190"/>
      <c r="M29" s="190"/>
      <c r="N29" s="191"/>
      <c r="O29" s="192"/>
      <c r="P29" s="129" t="s">
        <v>427</v>
      </c>
      <c r="Q29" s="116">
        <v>75983431</v>
      </c>
      <c r="R29" s="116">
        <v>99993878531</v>
      </c>
      <c r="S29" s="116">
        <v>1435732.37</v>
      </c>
      <c r="T29" s="130">
        <f t="shared" ref="T29" si="8">Q29/S29</f>
        <v>52.923116165445229</v>
      </c>
      <c r="U29" s="85"/>
    </row>
    <row r="30" spans="1:21" s="79" customFormat="1" ht="13.2" hidden="1">
      <c r="A30" s="129" t="s">
        <v>480</v>
      </c>
      <c r="B30" s="188"/>
      <c r="C30" s="188"/>
      <c r="D30" s="189"/>
      <c r="E30" s="287"/>
      <c r="F30" s="136">
        <f>Q30/19</f>
        <v>4210144.6315789474</v>
      </c>
      <c r="G30" s="190">
        <f t="shared" ref="G30" si="9">F30/F29-1</f>
        <v>0.21899183382146603</v>
      </c>
      <c r="H30" s="190">
        <f t="shared" ref="H30" si="10">F30/F18-1</f>
        <v>-8.4108529806925625E-2</v>
      </c>
      <c r="I30" s="130">
        <f t="shared" si="0"/>
        <v>52.534836676911844</v>
      </c>
      <c r="J30" s="130">
        <f t="shared" si="5"/>
        <v>-0.12821839100043353</v>
      </c>
      <c r="K30" s="136"/>
      <c r="L30" s="190"/>
      <c r="M30" s="190"/>
      <c r="N30" s="191"/>
      <c r="O30" s="192"/>
      <c r="P30" s="129" t="s">
        <v>480</v>
      </c>
      <c r="Q30" s="116">
        <v>79992748</v>
      </c>
      <c r="R30" s="116">
        <v>106577323203</v>
      </c>
      <c r="S30" s="116">
        <v>1522661.02</v>
      </c>
      <c r="T30" s="130">
        <f t="shared" ref="T30" si="11">Q30/S30</f>
        <v>52.534836676911844</v>
      </c>
      <c r="U30" s="85"/>
    </row>
    <row r="31" spans="1:21" s="79" customFormat="1" ht="13.2" hidden="1">
      <c r="A31" s="129" t="s">
        <v>505</v>
      </c>
      <c r="B31" s="188">
        <f>SUM(F29:F31)</f>
        <v>10801138.499760766</v>
      </c>
      <c r="C31" s="188">
        <f>AVERAGE(F29:F31)</f>
        <v>3600379.499920255</v>
      </c>
      <c r="D31" s="190">
        <f>C31/C28-1</f>
        <v>3.7495985521255548E-2</v>
      </c>
      <c r="E31" s="287">
        <f>C31/C19-1</f>
        <v>-0.10371019877318211</v>
      </c>
      <c r="F31" s="136">
        <f>Q31/20</f>
        <v>3137201.55</v>
      </c>
      <c r="G31" s="190">
        <f t="shared" ref="G31" si="12">F31/F30-1</f>
        <v>-0.25484708376314313</v>
      </c>
      <c r="H31" s="190">
        <f t="shared" ref="H31" si="13">F31/F19-1</f>
        <v>-0.10034086019167476</v>
      </c>
      <c r="I31" s="130">
        <f t="shared" si="0"/>
        <v>52.816914462029047</v>
      </c>
      <c r="J31" s="130">
        <f t="shared" si="5"/>
        <v>-1.9501113879929255E-2</v>
      </c>
      <c r="K31" s="136">
        <f>R29+R30+R31</f>
        <v>289906191966</v>
      </c>
      <c r="L31" s="190">
        <f>U31/U28-1</f>
        <v>5.1968745207479516E-2</v>
      </c>
      <c r="M31" s="190">
        <f>U31/U19-1</f>
        <v>-0.11803908469432456</v>
      </c>
      <c r="N31" s="191">
        <f>AVERAGE(T29:T31)</f>
        <v>52.758289101462047</v>
      </c>
      <c r="O31" s="192">
        <f>N31/N28-1</f>
        <v>-6.0684629759415465E-2</v>
      </c>
      <c r="P31" s="129" t="s">
        <v>506</v>
      </c>
      <c r="Q31" s="116">
        <v>62744031</v>
      </c>
      <c r="R31" s="116">
        <v>83334990232</v>
      </c>
      <c r="S31" s="116">
        <v>1187953.3600000001</v>
      </c>
      <c r="T31" s="130">
        <f t="shared" ref="T31" si="14">Q31/S31</f>
        <v>52.816914462029047</v>
      </c>
      <c r="U31" s="85">
        <f>Q29+Q30+Q31</f>
        <v>218720210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3774068.6190476189</v>
      </c>
      <c r="G32" s="190">
        <f t="shared" ref="G32" si="15">F32/F31-1</f>
        <v>0.20300483054638918</v>
      </c>
      <c r="H32" s="190">
        <f t="shared" ref="H32" si="16">F32/F20-1</f>
        <v>4.1711339707130701E-2</v>
      </c>
      <c r="I32" s="130">
        <f t="shared" si="0"/>
        <v>52.837588024961818</v>
      </c>
      <c r="J32" s="130">
        <f t="shared" si="5"/>
        <v>-9.8475388248202678E-2</v>
      </c>
      <c r="K32" s="136"/>
      <c r="L32" s="190"/>
      <c r="M32" s="190"/>
      <c r="N32" s="191"/>
      <c r="O32" s="192"/>
      <c r="P32" s="129" t="s">
        <v>562</v>
      </c>
      <c r="Q32" s="116">
        <v>79255441</v>
      </c>
      <c r="R32" s="116">
        <v>107682749749</v>
      </c>
      <c r="S32" s="116">
        <v>1499982.19</v>
      </c>
      <c r="T32" s="130">
        <f t="shared" ref="T32" si="17">Q32/S32</f>
        <v>52.837588024961818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3791150.5238095238</v>
      </c>
      <c r="G33" s="190">
        <f t="shared" ref="G33" si="18">F33/F32-1</f>
        <v>4.5261245849355092E-3</v>
      </c>
      <c r="H33" s="190">
        <f t="shared" ref="H33" si="19">F33/F21-1</f>
        <v>-3.6140248658944829E-2</v>
      </c>
      <c r="I33" s="130">
        <f t="shared" si="0"/>
        <v>52.612628309767523</v>
      </c>
      <c r="J33" s="130">
        <f t="shared" si="5"/>
        <v>-0.13179567870450581</v>
      </c>
      <c r="K33" s="136"/>
      <c r="L33" s="190"/>
      <c r="M33" s="190"/>
      <c r="N33" s="191"/>
      <c r="O33" s="192"/>
      <c r="P33" s="129" t="s">
        <v>607</v>
      </c>
      <c r="Q33" s="116">
        <v>79614161</v>
      </c>
      <c r="R33" s="116">
        <v>108863069453</v>
      </c>
      <c r="S33" s="116">
        <v>1513213.91</v>
      </c>
      <c r="T33" s="130">
        <f t="shared" ref="T33" si="20">Q33/S33</f>
        <v>52.612628309767523</v>
      </c>
      <c r="U33" s="85"/>
    </row>
    <row r="34" spans="1:21" s="79" customFormat="1" ht="13.2" hidden="1">
      <c r="A34" s="129" t="s">
        <v>652</v>
      </c>
      <c r="B34" s="188">
        <f>SUM(F32:F34)</f>
        <v>11351208.30075188</v>
      </c>
      <c r="C34" s="188">
        <f>AVERAGE(F32:F34)</f>
        <v>3783736.1002506264</v>
      </c>
      <c r="D34" s="190">
        <f>C34/C31-1</f>
        <v>5.0927020425050262E-2</v>
      </c>
      <c r="E34" s="287">
        <f>C34/C22-1</f>
        <v>-5.6140699407930872E-2</v>
      </c>
      <c r="F34" s="136">
        <f>Q34/19</f>
        <v>3785989.1578947366</v>
      </c>
      <c r="G34" s="190">
        <f t="shared" ref="G34" si="21">F34/F33-1</f>
        <v>-1.3614246868786095E-3</v>
      </c>
      <c r="H34" s="190">
        <f t="shared" ref="H34" si="22">F34/F22-1</f>
        <v>-0.15304644263637879</v>
      </c>
      <c r="I34" s="130">
        <f t="shared" si="0"/>
        <v>53.327916062298819</v>
      </c>
      <c r="J34" s="130">
        <f t="shared" si="5"/>
        <v>-0.13608027886827634</v>
      </c>
      <c r="K34" s="136">
        <f>R32+R33+R34</f>
        <v>315432385382</v>
      </c>
      <c r="L34" s="190">
        <f>U34/U31-1</f>
        <v>5.5244945128755996E-2</v>
      </c>
      <c r="M34" s="190">
        <f>U34/U22-1</f>
        <v>-7.2821720083387942E-2</v>
      </c>
      <c r="N34" s="191">
        <f>AVERAGE(T32:T34)</f>
        <v>52.926044132342717</v>
      </c>
      <c r="O34" s="192">
        <f>N34/N31-1</f>
        <v>3.1796905043310897E-3</v>
      </c>
      <c r="P34" s="129" t="s">
        <v>652</v>
      </c>
      <c r="Q34" s="116">
        <v>71933794</v>
      </c>
      <c r="R34" s="116">
        <v>98886566180</v>
      </c>
      <c r="S34" s="116">
        <v>1348895.65</v>
      </c>
      <c r="T34" s="130">
        <f t="shared" ref="T34" si="23">Q34/S34</f>
        <v>53.327916062298819</v>
      </c>
      <c r="U34" s="85">
        <f>Q32+Q33+Q34</f>
        <v>230803396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3180056.8260869565</v>
      </c>
      <c r="G35" s="190">
        <f t="shared" ref="G35" si="24">F35/F34-1</f>
        <v>-0.16004597650372543</v>
      </c>
      <c r="H35" s="190">
        <f t="shared" ref="H35" si="25">F35/F23-1</f>
        <v>-0.18795895552635866</v>
      </c>
      <c r="I35" s="130">
        <f t="shared" si="0"/>
        <v>51.422766739797616</v>
      </c>
      <c r="J35" s="130">
        <f t="shared" si="5"/>
        <v>-0.15126956193937291</v>
      </c>
      <c r="K35" s="136"/>
      <c r="L35" s="190"/>
      <c r="M35" s="190"/>
      <c r="N35" s="191"/>
      <c r="O35" s="192"/>
      <c r="P35" s="129" t="s">
        <v>660</v>
      </c>
      <c r="Q35" s="116">
        <v>73141307</v>
      </c>
      <c r="R35" s="116">
        <v>101267242764</v>
      </c>
      <c r="S35" s="116">
        <v>1422352.62</v>
      </c>
      <c r="T35" s="130">
        <f t="shared" ref="T35" si="26">Q35/S35</f>
        <v>51.422766739797616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2628735.2380952379</v>
      </c>
      <c r="G36" s="190">
        <f t="shared" ref="G36" si="27">F36/F35-1</f>
        <v>-0.17336847048425763</v>
      </c>
      <c r="H36" s="190">
        <f t="shared" ref="H36" si="28">F36/F24-1</f>
        <v>-0.40299989950485504</v>
      </c>
      <c r="I36" s="130">
        <f t="shared" si="0"/>
        <v>53.311591285345713</v>
      </c>
      <c r="J36" s="130">
        <f t="shared" si="5"/>
        <v>-0.13575588110217496</v>
      </c>
      <c r="K36" s="136"/>
      <c r="L36" s="190"/>
      <c r="M36" s="190"/>
      <c r="N36" s="191"/>
      <c r="O36" s="192"/>
      <c r="P36" s="129" t="s">
        <v>664</v>
      </c>
      <c r="Q36" s="116">
        <v>55203440</v>
      </c>
      <c r="R36" s="116">
        <v>75426812684</v>
      </c>
      <c r="S36" s="116">
        <v>1035486.63</v>
      </c>
      <c r="T36" s="130">
        <f t="shared" ref="T36" si="29">Q36/S36</f>
        <v>53.311591285345713</v>
      </c>
      <c r="U36" s="85"/>
    </row>
    <row r="37" spans="1:21" s="79" customFormat="1" ht="13.2" hidden="1">
      <c r="A37" s="129" t="s">
        <v>702</v>
      </c>
      <c r="B37" s="188">
        <f>SUM(F35:F37)</f>
        <v>8053592.786404416</v>
      </c>
      <c r="C37" s="188">
        <f>AVERAGE(F35:F37)</f>
        <v>2684530.9288014718</v>
      </c>
      <c r="D37" s="190">
        <f>C37/C34-1</f>
        <v>-0.29050788488561496</v>
      </c>
      <c r="E37" s="287">
        <f>C37/C25-1</f>
        <v>-0.35268991981805009</v>
      </c>
      <c r="F37" s="136">
        <f>Q37/18</f>
        <v>2244800.722222222</v>
      </c>
      <c r="G37" s="190">
        <f t="shared" ref="G37" si="30">F37/F36-1</f>
        <v>-0.14605294223210241</v>
      </c>
      <c r="H37" s="190">
        <f t="shared" ref="H37" si="31">F37/F25-1</f>
        <v>-0.45544434920630794</v>
      </c>
      <c r="I37" s="130">
        <f t="shared" si="0"/>
        <v>65.211327585350702</v>
      </c>
      <c r="J37" s="130">
        <f t="shared" si="5"/>
        <v>6.3871529773568803E-2</v>
      </c>
      <c r="K37" s="136">
        <f>R35+R36+R37</f>
        <v>230628259700</v>
      </c>
      <c r="L37" s="190">
        <f>U37/U34-1</f>
        <v>-0.26885321912681037</v>
      </c>
      <c r="M37" s="190">
        <f>U37/U25-1</f>
        <v>-0.34448501867614412</v>
      </c>
      <c r="N37" s="191">
        <f>AVERAGE(T35:T37)</f>
        <v>56.648561870164677</v>
      </c>
      <c r="O37" s="192">
        <f>N37/N34-1</f>
        <v>7.0334327812479724E-2</v>
      </c>
      <c r="P37" s="129" t="s">
        <v>702</v>
      </c>
      <c r="Q37" s="116">
        <v>40406413</v>
      </c>
      <c r="R37" s="116">
        <v>53934204252</v>
      </c>
      <c r="S37" s="116">
        <v>619622.61</v>
      </c>
      <c r="T37" s="130">
        <f t="shared" ref="T37" si="32">Q37/S37</f>
        <v>65.211327585350702</v>
      </c>
      <c r="U37" s="85">
        <f>Q35+Q36+Q37</f>
        <v>168751160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2085596.65</v>
      </c>
      <c r="G38" s="190">
        <f t="shared" ref="G38" si="33">F38/F37-1</f>
        <v>-7.0921249555113919E-2</v>
      </c>
      <c r="H38" s="190">
        <f t="shared" ref="H38" si="34">F38/F26-1</f>
        <v>-0.40996172362794669</v>
      </c>
      <c r="I38" s="130">
        <f t="shared" si="0"/>
        <v>62.231785935322257</v>
      </c>
      <c r="J38" s="130">
        <f t="shared" si="5"/>
        <v>9.9286673205849274E-2</v>
      </c>
      <c r="K38" s="136"/>
      <c r="L38" s="190"/>
      <c r="M38" s="190"/>
      <c r="N38" s="191"/>
      <c r="O38" s="192"/>
      <c r="P38" s="129" t="s">
        <v>735</v>
      </c>
      <c r="Q38" s="116">
        <v>41711933</v>
      </c>
      <c r="R38" s="116">
        <v>56021037800</v>
      </c>
      <c r="S38" s="116">
        <v>670267.32999999996</v>
      </c>
      <c r="T38" s="130">
        <f t="shared" ref="T38" si="35">Q38/S38</f>
        <v>62.231785935322257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2060183.857142857</v>
      </c>
      <c r="G39" s="190">
        <f t="shared" ref="G39" si="36">F39/F38-1</f>
        <v>-1.2184902990299173E-2</v>
      </c>
      <c r="H39" s="190">
        <f t="shared" ref="H39" si="37">F39/F27-1</f>
        <v>-0.38869212023597222</v>
      </c>
      <c r="I39" s="130">
        <f t="shared" si="0"/>
        <v>57.467242178647211</v>
      </c>
      <c r="J39" s="130">
        <f t="shared" si="5"/>
        <v>2.960082372585382E-2</v>
      </c>
      <c r="K39" s="136"/>
      <c r="L39" s="190"/>
      <c r="M39" s="190"/>
      <c r="N39" s="191"/>
      <c r="O39" s="192"/>
      <c r="P39" s="129" t="s">
        <v>762</v>
      </c>
      <c r="Q39" s="116">
        <v>43263861</v>
      </c>
      <c r="R39" s="116">
        <v>60142901478</v>
      </c>
      <c r="S39" s="116">
        <v>752843.87</v>
      </c>
      <c r="T39" s="130">
        <f t="shared" ref="T39" si="38">Q39/S39</f>
        <v>57.467242178647211</v>
      </c>
      <c r="U39" s="85"/>
    </row>
    <row r="40" spans="1:21" s="79" customFormat="1" ht="13.2" hidden="1">
      <c r="A40" s="129" t="s">
        <v>778</v>
      </c>
      <c r="B40" s="188">
        <f>SUM(F38:F40)</f>
        <v>6295808.5547619043</v>
      </c>
      <c r="C40" s="188">
        <f>AVERAGE(F38:F40)</f>
        <v>2098602.8515873016</v>
      </c>
      <c r="D40" s="190">
        <f>C40/C37-1</f>
        <v>-0.21826087787923609</v>
      </c>
      <c r="E40" s="287">
        <f>C40/C28-1</f>
        <v>-0.3952604069172404</v>
      </c>
      <c r="F40" s="136">
        <f>Q40/21</f>
        <v>2150028.0476190476</v>
      </c>
      <c r="G40" s="190">
        <f t="shared" ref="G40" si="39">F40/F39-1</f>
        <v>4.3609792477837361E-2</v>
      </c>
      <c r="H40" s="190">
        <f t="shared" ref="H40" si="40">F40/F28-1</f>
        <v>-0.38675249080306762</v>
      </c>
      <c r="I40" s="130">
        <f t="shared" si="0"/>
        <v>60.652949024783155</v>
      </c>
      <c r="J40" s="130">
        <f t="shared" si="5"/>
        <v>8.1656917341491164E-2</v>
      </c>
      <c r="K40" s="136">
        <f>R38+R39+R40</f>
        <v>180347372276</v>
      </c>
      <c r="L40" s="190">
        <f>U40/U37-1</f>
        <v>-0.22888599402812992</v>
      </c>
      <c r="M40" s="190">
        <f>U40/U28-1</f>
        <v>-0.37413699519172061</v>
      </c>
      <c r="N40" s="191">
        <f>AVERAGE(T38:T40)</f>
        <v>60.117325712917534</v>
      </c>
      <c r="O40" s="192">
        <f>N40/N37-1</f>
        <v>6.1233043315434443E-2</v>
      </c>
      <c r="P40" s="129" t="s">
        <v>778</v>
      </c>
      <c r="Q40" s="116">
        <v>45150589</v>
      </c>
      <c r="R40" s="116">
        <v>64183432998</v>
      </c>
      <c r="S40" s="116">
        <v>744408.8</v>
      </c>
      <c r="T40" s="130">
        <f t="shared" ref="T40" si="41">Q40/S40</f>
        <v>60.652949024783155</v>
      </c>
      <c r="U40" s="85">
        <f>Q38+Q39+Q40</f>
        <v>130126383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2576726.277777778</v>
      </c>
      <c r="G41" s="190">
        <f t="shared" ref="G41" si="42">F41/F40-1</f>
        <v>0.19846170408393426</v>
      </c>
      <c r="H41" s="190">
        <f t="shared" ref="H41" si="43">F41/F29-1</f>
        <v>-0.25394290090544724</v>
      </c>
      <c r="I41" s="130">
        <f t="shared" si="0"/>
        <v>59.399044898773589</v>
      </c>
      <c r="J41" s="130">
        <f t="shared" si="5"/>
        <v>0.1223648417278318</v>
      </c>
      <c r="K41" s="193"/>
      <c r="L41" s="190"/>
      <c r="M41" s="190"/>
      <c r="N41" s="193"/>
      <c r="O41" s="193"/>
      <c r="P41" s="129" t="s">
        <v>793</v>
      </c>
      <c r="Q41" s="116">
        <v>46381073</v>
      </c>
      <c r="R41" s="116">
        <v>67810302428</v>
      </c>
      <c r="S41" s="116">
        <v>780838.7</v>
      </c>
      <c r="T41" s="130">
        <f t="shared" ref="T41" si="44">Q41/S41</f>
        <v>59.399044898773589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2066406.05</v>
      </c>
      <c r="G42" s="190">
        <f t="shared" ref="G42" si="45">F42/F41-1</f>
        <v>-0.19804984028722239</v>
      </c>
      <c r="H42" s="190">
        <f t="shared" ref="H42" si="46">F42/F30-1</f>
        <v>-0.50918407066100535</v>
      </c>
      <c r="I42" s="130">
        <f t="shared" si="0"/>
        <v>63.068781365097557</v>
      </c>
      <c r="J42" s="130">
        <f t="shared" si="5"/>
        <v>0.20051351359421288</v>
      </c>
      <c r="K42" s="193"/>
      <c r="L42" s="190"/>
      <c r="M42" s="190"/>
      <c r="N42" s="193"/>
      <c r="O42" s="193"/>
      <c r="P42" s="129" t="s">
        <v>826</v>
      </c>
      <c r="Q42" s="116">
        <v>41328121</v>
      </c>
      <c r="R42" s="116">
        <v>59748523506</v>
      </c>
      <c r="S42" s="116">
        <v>655286.5</v>
      </c>
      <c r="T42" s="130">
        <f t="shared" ref="T42" si="47">Q42/S42</f>
        <v>63.068781365097557</v>
      </c>
      <c r="U42" s="78"/>
    </row>
    <row r="43" spans="1:21" s="79" customFormat="1" ht="13.2">
      <c r="A43" s="129" t="s">
        <v>835</v>
      </c>
      <c r="B43" s="188">
        <f>SUM(F41:F43)</f>
        <v>6722958.3777777776</v>
      </c>
      <c r="C43" s="188">
        <f>AVERAGE(F41:F43)</f>
        <v>2240986.125925926</v>
      </c>
      <c r="D43" s="190">
        <f>C43/C40-1</f>
        <v>6.7846698212065792E-2</v>
      </c>
      <c r="E43" s="287">
        <f>C43/C31-1</f>
        <v>-0.37756946844754513</v>
      </c>
      <c r="F43" s="136">
        <f>Q43/20</f>
        <v>2079826.05</v>
      </c>
      <c r="G43" s="190">
        <f t="shared" ref="G43" si="48">F43/F42-1</f>
        <v>6.4943673582449346E-3</v>
      </c>
      <c r="H43" s="190">
        <f t="shared" ref="H43" si="49">F43/F31-1</f>
        <v>-0.33704417237713014</v>
      </c>
      <c r="I43" s="130">
        <f t="shared" si="0"/>
        <v>58.730358346708307</v>
      </c>
      <c r="J43" s="130">
        <f t="shared" si="5"/>
        <v>0.11196117654564119</v>
      </c>
      <c r="K43" s="136">
        <f>R41+R42+R43</f>
        <v>187827427180</v>
      </c>
      <c r="L43" s="190">
        <f>U43/U40-1</f>
        <v>-6.3066995414757798E-3</v>
      </c>
      <c r="M43" s="190">
        <f>K43/K31-1</f>
        <v>-0.35210963965189035</v>
      </c>
      <c r="N43" s="191">
        <f>AVERAGE(T41:T43)</f>
        <v>60.399394870193156</v>
      </c>
      <c r="O43" s="192">
        <f>N43/N40-1</f>
        <v>4.6919777939324891E-3</v>
      </c>
      <c r="P43" s="129" t="s">
        <v>835</v>
      </c>
      <c r="Q43" s="116">
        <v>41596521</v>
      </c>
      <c r="R43" s="116">
        <v>60268601246</v>
      </c>
      <c r="S43" s="116">
        <v>708262.68</v>
      </c>
      <c r="T43" s="130">
        <f t="shared" ref="T43" si="50">Q43/S43</f>
        <v>58.730358346708307</v>
      </c>
      <c r="U43" s="85">
        <f>Q41+Q42+Q43</f>
        <v>129305715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2522568.1363636362</v>
      </c>
      <c r="G44" s="190">
        <f t="shared" ref="G44" si="51">F44/F43-1</f>
        <v>0.21287457494997541</v>
      </c>
      <c r="H44" s="190">
        <f t="shared" ref="H44" si="52">F44/F32-1</f>
        <v>-0.33160512142457998</v>
      </c>
      <c r="I44" s="130">
        <f t="shared" si="0"/>
        <v>59.107375672732296</v>
      </c>
      <c r="J44" s="130">
        <f t="shared" si="5"/>
        <v>0.11866150371603768</v>
      </c>
      <c r="K44" s="136"/>
      <c r="L44" s="190"/>
      <c r="M44" s="190"/>
      <c r="N44" s="191"/>
      <c r="O44" s="192"/>
      <c r="P44" s="129" t="s">
        <v>843</v>
      </c>
      <c r="Q44" s="116">
        <v>55496499</v>
      </c>
      <c r="R44" s="116">
        <v>80648052110</v>
      </c>
      <c r="S44" s="116">
        <v>938909.88</v>
      </c>
      <c r="T44" s="130">
        <f t="shared" ref="T44" si="53">Q44/S44</f>
        <v>59.107375672732296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2511050.25</v>
      </c>
      <c r="G45" s="190">
        <f t="shared" ref="G45" si="54">F45/F44-1</f>
        <v>-4.5659366728700856E-3</v>
      </c>
      <c r="H45" s="190">
        <f t="shared" ref="H45" si="55">F45/F33-1</f>
        <v>-0.33765482688437798</v>
      </c>
      <c r="I45" s="130">
        <f t="shared" si="0"/>
        <v>64.181024029280479</v>
      </c>
      <c r="J45" s="130">
        <f t="shared" si="5"/>
        <v>0.21987868865629911</v>
      </c>
      <c r="K45" s="136"/>
      <c r="L45" s="190"/>
      <c r="M45" s="190"/>
      <c r="N45" s="191"/>
      <c r="O45" s="192"/>
      <c r="P45" s="129" t="s">
        <v>858</v>
      </c>
      <c r="Q45" s="116">
        <v>50221005</v>
      </c>
      <c r="R45" s="116">
        <v>70772277723</v>
      </c>
      <c r="S45" s="116">
        <v>782489.93</v>
      </c>
      <c r="T45" s="130">
        <f t="shared" ref="T45" si="56">Q45/S45</f>
        <v>64.181024029280479</v>
      </c>
      <c r="U45" s="85"/>
    </row>
    <row r="46" spans="1:21" s="79" customFormat="1" ht="13.2">
      <c r="A46" s="129" t="s">
        <v>893</v>
      </c>
      <c r="B46" s="188">
        <f>SUM(F44:F46)</f>
        <v>7806347.4916267944</v>
      </c>
      <c r="C46" s="188">
        <f>AVERAGE(F44:F46)</f>
        <v>2602115.830542265</v>
      </c>
      <c r="D46" s="190">
        <f>C46/C43-1</f>
        <v>0.16114767531955509</v>
      </c>
      <c r="E46" s="287">
        <f>C46/C34-1</f>
        <v>-0.31228929248794424</v>
      </c>
      <c r="F46" s="136">
        <f>Q46/19</f>
        <v>2772729.1052631577</v>
      </c>
      <c r="G46" s="190">
        <f t="shared" ref="G46" si="57">F46/F45-1</f>
        <v>0.10421091942033334</v>
      </c>
      <c r="H46" s="190">
        <f t="shared" ref="H46" si="58">F46/F34-1</f>
        <v>-0.26763416649481886</v>
      </c>
      <c r="I46" s="130">
        <f t="shared" si="0"/>
        <v>61.218676180374366</v>
      </c>
      <c r="J46" s="130">
        <f t="shared" si="5"/>
        <v>0.14796678176693412</v>
      </c>
      <c r="K46" s="136">
        <f>R44+R45+R46</f>
        <v>223587430173</v>
      </c>
      <c r="L46" s="190">
        <f>U46/U43-1</f>
        <v>0.22499888732682849</v>
      </c>
      <c r="M46" s="190">
        <f>K46/K34-1</f>
        <v>-0.29117160908437623</v>
      </c>
      <c r="N46" s="191">
        <f>AVERAGE(T44:T46)</f>
        <v>61.502358627462378</v>
      </c>
      <c r="O46" s="192">
        <f>N46/N43-1</f>
        <v>1.8261172312067808E-2</v>
      </c>
      <c r="P46" s="129" t="s">
        <v>888</v>
      </c>
      <c r="Q46" s="116">
        <v>52681853</v>
      </c>
      <c r="R46" s="116">
        <v>72167100340</v>
      </c>
      <c r="S46" s="116">
        <v>860551.98</v>
      </c>
      <c r="T46" s="130">
        <f t="shared" ref="T46" si="59">Q46/S46</f>
        <v>61.218676180374366</v>
      </c>
      <c r="U46" s="85">
        <f t="shared" ref="U46:U51" si="60">Q44+Q45+Q46</f>
        <v>158399357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2191975.6086956523</v>
      </c>
      <c r="G47" s="190">
        <f t="shared" ref="G47" si="61">F47/F46-1</f>
        <v>-0.20945194229942143</v>
      </c>
      <c r="H47" s="190">
        <f t="shared" ref="H47" si="62">F47/F35-1</f>
        <v>-0.31071181158958505</v>
      </c>
      <c r="I47" s="130">
        <f t="shared" si="0"/>
        <v>62.755258353798581</v>
      </c>
      <c r="J47" s="130">
        <f t="shared" si="5"/>
        <v>0.22037887753772711</v>
      </c>
      <c r="K47" s="136"/>
      <c r="L47" s="190"/>
      <c r="M47" s="190"/>
      <c r="N47" s="191"/>
      <c r="O47" s="192"/>
      <c r="P47" s="129" t="s">
        <v>1029</v>
      </c>
      <c r="Q47" s="116">
        <v>50415439</v>
      </c>
      <c r="R47" s="116">
        <v>69037281870</v>
      </c>
      <c r="S47" s="116">
        <v>803365.97</v>
      </c>
      <c r="T47" s="130">
        <f t="shared" ref="T47" si="63">Q47/S47</f>
        <v>62.755258353798581</v>
      </c>
      <c r="U47" s="85">
        <f t="shared" si="60"/>
        <v>153318297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2383713.25</v>
      </c>
      <c r="G48" s="190">
        <f t="shared" ref="G48" si="64">F48/F47-1</f>
        <v>8.7472525033452486E-2</v>
      </c>
      <c r="H48" s="190">
        <f t="shared" ref="H48" si="65">F48/F36-1</f>
        <v>-9.320907809368395E-2</v>
      </c>
      <c r="I48" s="130">
        <f t="shared" si="0"/>
        <v>61.40629104817846</v>
      </c>
      <c r="J48" s="130">
        <f t="shared" si="5"/>
        <v>0.15183751915238397</v>
      </c>
      <c r="K48" s="136"/>
      <c r="L48" s="190"/>
      <c r="M48" s="190"/>
      <c r="N48" s="191"/>
      <c r="O48" s="192"/>
      <c r="P48" s="129" t="s">
        <v>1120</v>
      </c>
      <c r="Q48" s="116">
        <v>47674265</v>
      </c>
      <c r="R48" s="116">
        <v>66123116495</v>
      </c>
      <c r="S48" s="116">
        <v>776374.28</v>
      </c>
      <c r="T48" s="130">
        <f t="shared" ref="T48" si="66">Q48/S48</f>
        <v>61.40629104817846</v>
      </c>
      <c r="U48" s="85">
        <f t="shared" si="60"/>
        <v>150771557</v>
      </c>
    </row>
    <row r="49" spans="1:26" ht="13.2">
      <c r="A49" s="129" t="s">
        <v>1158</v>
      </c>
      <c r="B49" s="188">
        <f>SUM(F47:F49)</f>
        <v>7146361.5859683789</v>
      </c>
      <c r="C49" s="188">
        <f>AVERAGE(F47:F49)</f>
        <v>2382120.5286561265</v>
      </c>
      <c r="D49" s="190">
        <f>C49/C46-1</f>
        <v>-8.454477671745031E-2</v>
      </c>
      <c r="E49" s="287">
        <f>C49/C37-1</f>
        <v>-0.11264925164425599</v>
      </c>
      <c r="F49" s="136">
        <f>Q49/22</f>
        <v>2570672.7272727271</v>
      </c>
      <c r="G49" s="190">
        <f t="shared" ref="G49" si="67">F49/F48-1</f>
        <v>7.843203341372007E-2</v>
      </c>
      <c r="H49" s="190">
        <f t="shared" ref="H49" si="68">F49/F37-1</f>
        <v>0.14516745376307205</v>
      </c>
      <c r="I49" s="130">
        <f t="shared" si="0"/>
        <v>62.529594691253465</v>
      </c>
      <c r="J49" s="130">
        <f t="shared" si="5"/>
        <v>-4.1123727938022658E-2</v>
      </c>
      <c r="K49" s="136">
        <f>R47+R48+R49</f>
        <v>213764616583</v>
      </c>
      <c r="L49" s="190">
        <f>U49/U46-1</f>
        <v>-2.3704976277144851E-2</v>
      </c>
      <c r="M49" s="190">
        <f>K49/K37-1</f>
        <v>-7.3120454271025315E-2</v>
      </c>
      <c r="N49" s="191">
        <f>AVERAGE(T47:T49)</f>
        <v>62.230381364410164</v>
      </c>
      <c r="O49" s="192">
        <f>N49/N46-1</f>
        <v>1.1837314099734542E-2</v>
      </c>
      <c r="P49" s="129" t="s">
        <v>1158</v>
      </c>
      <c r="Q49" s="116">
        <v>56554800</v>
      </c>
      <c r="R49" s="116">
        <v>78604218218</v>
      </c>
      <c r="S49" s="116">
        <v>904448.53</v>
      </c>
      <c r="T49" s="130">
        <f t="shared" ref="T49" si="69">Q49/S49</f>
        <v>62.529594691253465</v>
      </c>
      <c r="U49" s="85">
        <f t="shared" si="60"/>
        <v>154644504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87"/>
      <c r="F50" s="136">
        <f>Q50/18</f>
        <v>1995999</v>
      </c>
      <c r="G50" s="190">
        <f t="shared" ref="G50" si="70">F50/F49-1</f>
        <v>-0.2235499374058435</v>
      </c>
      <c r="H50" s="190">
        <f t="shared" ref="H50" si="71">F50/F38-1</f>
        <v>-4.2960200381986557E-2</v>
      </c>
      <c r="I50" s="130">
        <f t="shared" ref="I50" si="72">T50</f>
        <v>66.366068568219518</v>
      </c>
      <c r="J50" s="130">
        <f t="shared" ref="J50" si="73">I50/I38-1</f>
        <v>6.6433617013563317E-2</v>
      </c>
      <c r="K50" s="136"/>
      <c r="L50" s="190"/>
      <c r="M50" s="190"/>
      <c r="N50" s="191"/>
      <c r="O50" s="192"/>
      <c r="P50" s="129" t="s">
        <v>1291</v>
      </c>
      <c r="Q50" s="116">
        <v>35927982</v>
      </c>
      <c r="R50" s="116">
        <v>50763333572</v>
      </c>
      <c r="S50" s="116">
        <v>541360.71</v>
      </c>
      <c r="T50" s="130">
        <f t="shared" ref="T50" si="74">Q50/S50</f>
        <v>66.366068568219518</v>
      </c>
      <c r="U50" s="85">
        <f t="shared" si="60"/>
        <v>140157047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1832419.4</v>
      </c>
      <c r="G51" s="190">
        <f t="shared" ref="G51:G52" si="75">F51/F50-1</f>
        <v>-8.1953748473821975E-2</v>
      </c>
      <c r="H51" s="190">
        <f t="shared" ref="H51:H52" si="76">F51/F39-1</f>
        <v>-0.11055540327295343</v>
      </c>
      <c r="I51" s="130">
        <f t="shared" ref="I51:I52" si="77">T51</f>
        <v>70.644716814991753</v>
      </c>
      <c r="J51" s="130">
        <f t="shared" ref="J51:J52" si="78">I51/I39-1</f>
        <v>0.22930410677060165</v>
      </c>
      <c r="K51" s="136"/>
      <c r="L51" s="190"/>
      <c r="M51" s="190"/>
      <c r="N51" s="191"/>
      <c r="O51" s="192"/>
      <c r="P51" s="129" t="s">
        <v>1402</v>
      </c>
      <c r="Q51" s="116">
        <v>36648388</v>
      </c>
      <c r="R51" s="116">
        <v>53037721272</v>
      </c>
      <c r="S51" s="116">
        <v>518770.4</v>
      </c>
      <c r="T51" s="130">
        <f t="shared" ref="T51:T52" si="79">Q51/S51</f>
        <v>70.644716814991753</v>
      </c>
      <c r="U51" s="85">
        <f t="shared" si="60"/>
        <v>129131170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5775079.1727272728</v>
      </c>
      <c r="C52" s="188">
        <f>AVERAGE(F50:F52)</f>
        <v>1925026.3909090909</v>
      </c>
      <c r="D52" s="190">
        <f>C52/C49-1</f>
        <v>-0.19188539465083465</v>
      </c>
      <c r="E52" s="287">
        <f>C52/C40-1</f>
        <v>-8.2710485477003992E-2</v>
      </c>
      <c r="F52" s="136">
        <f>Q52/22</f>
        <v>1946660.7727272727</v>
      </c>
      <c r="G52" s="190">
        <f t="shared" si="75"/>
        <v>6.2344555360673848E-2</v>
      </c>
      <c r="H52" s="190">
        <f t="shared" si="76"/>
        <v>-9.4588196240967592E-2</v>
      </c>
      <c r="I52" s="130">
        <f t="shared" si="77"/>
        <v>58.927426141852138</v>
      </c>
      <c r="J52" s="130">
        <f t="shared" si="78"/>
        <v>-2.8449117655036993E-2</v>
      </c>
      <c r="K52" s="136">
        <f>R50+R51+R52</f>
        <v>166811325708</v>
      </c>
      <c r="L52" s="190">
        <f>U52/U49-1</f>
        <v>-0.25375358312119523</v>
      </c>
      <c r="M52" s="190">
        <f>K52/K40-1</f>
        <v>-7.5055413323598108E-2</v>
      </c>
      <c r="N52" s="191">
        <f>AVERAGE(T50:T52)</f>
        <v>65.312737175021141</v>
      </c>
      <c r="O52" s="192">
        <f>N52/N49-1</f>
        <v>4.953136623992771E-2</v>
      </c>
      <c r="P52" s="129" t="s">
        <v>1403</v>
      </c>
      <c r="Q52" s="116">
        <v>42826537</v>
      </c>
      <c r="R52" s="116">
        <v>63010270864</v>
      </c>
      <c r="S52" s="116">
        <v>726767.48</v>
      </c>
      <c r="T52" s="130">
        <f t="shared" si="79"/>
        <v>58.927426141852138</v>
      </c>
      <c r="U52" s="85">
        <f t="shared" ref="U52" si="80">Q50+Q51+Q52</f>
        <v>115402907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1912274.7619047619</v>
      </c>
      <c r="G53" s="190">
        <f t="shared" ref="G53" si="81">F53/F52-1</f>
        <v>-1.7664100137147143E-2</v>
      </c>
      <c r="H53" s="190">
        <f t="shared" ref="H53" si="82">F53/F41-1</f>
        <v>-0.25786655012733939</v>
      </c>
      <c r="I53" s="130">
        <f t="shared" ref="I53" si="83">T53</f>
        <v>55.351718089513163</v>
      </c>
      <c r="J53" s="130">
        <f t="shared" ref="J53" si="84">I53/I41-1</f>
        <v>-6.8137910570073679E-2</v>
      </c>
      <c r="K53" s="136"/>
      <c r="L53" s="190"/>
      <c r="M53" s="190"/>
      <c r="N53" s="191"/>
      <c r="O53" s="192"/>
      <c r="P53" s="129" t="s">
        <v>1414</v>
      </c>
      <c r="Q53" s="116">
        <v>40157770</v>
      </c>
      <c r="R53" s="116">
        <v>58501963404</v>
      </c>
      <c r="S53" s="116">
        <v>725501.78</v>
      </c>
      <c r="T53" s="130">
        <f t="shared" ref="T53" si="85">Q53/S53</f>
        <v>55.351718089513163</v>
      </c>
      <c r="U53" s="85">
        <f t="shared" ref="U53" si="86">Q51+Q52+Q53</f>
        <v>119632695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2053442.8235294118</v>
      </c>
      <c r="G54" s="190">
        <f t="shared" ref="G54" si="87">F54/F53-1</f>
        <v>7.3822059693993136E-2</v>
      </c>
      <c r="H54" s="190">
        <f t="shared" ref="H54" si="88">F54/F42-1</f>
        <v>-6.2733200333924266E-3</v>
      </c>
      <c r="I54" s="130">
        <f t="shared" ref="I54" si="89">T54</f>
        <v>48.800366240454174</v>
      </c>
      <c r="J54" s="130">
        <f t="shared" ref="J54" si="90">I54/I42-1</f>
        <v>-0.22623578283596846</v>
      </c>
      <c r="K54" s="136"/>
      <c r="L54" s="190"/>
      <c r="M54" s="190"/>
      <c r="N54" s="191"/>
      <c r="O54" s="192"/>
      <c r="P54" s="129" t="s">
        <v>1417</v>
      </c>
      <c r="Q54" s="116">
        <v>34908528</v>
      </c>
      <c r="R54" s="116">
        <v>50583287893</v>
      </c>
      <c r="S54" s="116">
        <v>715333.32</v>
      </c>
      <c r="T54" s="130">
        <f t="shared" ref="T54" si="91">Q54/S54</f>
        <v>48.800366240454174</v>
      </c>
      <c r="U54" s="85">
        <f t="shared" ref="U54" si="92">Q52+Q53+Q54</f>
        <v>117892835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6210681.2521008402</v>
      </c>
      <c r="C55" s="188">
        <f>AVERAGE(F53:F55)</f>
        <v>2070227.0840336133</v>
      </c>
      <c r="D55" s="190">
        <f>C55/C52-1</f>
        <v>7.5427897409734435E-2</v>
      </c>
      <c r="E55" s="287">
        <f>C55/C43-1</f>
        <v>-7.6198170045233438E-2</v>
      </c>
      <c r="F55" s="136">
        <f>Q55/21</f>
        <v>2244963.6666666665</v>
      </c>
      <c r="G55" s="190">
        <f t="shared" ref="G55" si="93">F55/F54-1</f>
        <v>9.3268164539430876E-2</v>
      </c>
      <c r="H55" s="190">
        <f t="shared" ref="H55" si="94">F55/F43-1</f>
        <v>7.9399725119639886E-2</v>
      </c>
      <c r="I55" s="130">
        <f>T55</f>
        <v>50.329155549040138</v>
      </c>
      <c r="J55" s="130">
        <f t="shared" ref="J55" si="95">I55/I43-1</f>
        <v>-0.14304702089628973</v>
      </c>
      <c r="K55" s="136">
        <f>R53+R54+R55</f>
        <v>178249338306</v>
      </c>
      <c r="L55" s="190">
        <f>U55/U52-1</f>
        <v>5.8990091124827559E-2</v>
      </c>
      <c r="M55" s="190">
        <f>K55/K43-1</f>
        <v>-5.0994090787502833E-2</v>
      </c>
      <c r="N55" s="191">
        <f>AVERAGE(T53:T55)</f>
        <v>51.493746626335827</v>
      </c>
      <c r="O55" s="192">
        <f>N55/N52-1</f>
        <v>-0.21158186207468255</v>
      </c>
      <c r="P55" s="129" t="s">
        <v>1418</v>
      </c>
      <c r="Q55" s="116">
        <v>47144237</v>
      </c>
      <c r="R55" s="116">
        <v>69164087009</v>
      </c>
      <c r="S55" s="116">
        <v>936718.22</v>
      </c>
      <c r="T55" s="130">
        <f t="shared" ref="T55" si="96">Q55/S55</f>
        <v>50.329155549040138</v>
      </c>
      <c r="U55" s="85">
        <f t="shared" ref="U55" si="97">Q53+Q54+Q55</f>
        <v>122210535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2315119.1363636362</v>
      </c>
      <c r="G56" s="190">
        <f t="shared" ref="G56" si="98">F56/F55-1</f>
        <v>3.1250158182353438E-2</v>
      </c>
      <c r="H56" s="190">
        <f t="shared" ref="H56" si="99">F56/F44-1</f>
        <v>-8.2237223649008873E-2</v>
      </c>
      <c r="I56" s="291">
        <f>T56</f>
        <v>54.657348202500536</v>
      </c>
      <c r="J56" s="130">
        <f t="shared" ref="J56" si="100">I56/I44-1</f>
        <v>-7.5287177269903194E-2</v>
      </c>
      <c r="K56" s="136"/>
      <c r="L56" s="190"/>
      <c r="M56" s="190"/>
      <c r="N56" s="191"/>
      <c r="O56" s="192"/>
      <c r="P56" s="129" t="s">
        <v>1420</v>
      </c>
      <c r="Q56" s="116">
        <v>50932621</v>
      </c>
      <c r="R56" s="116">
        <v>75976925851</v>
      </c>
      <c r="S56" s="116">
        <v>931853.13</v>
      </c>
      <c r="T56" s="130">
        <f t="shared" ref="T56" si="101">Q56/S56</f>
        <v>54.657348202500536</v>
      </c>
      <c r="U56" s="85">
        <f t="shared" ref="U56" si="102">Q54+Q55+Q56</f>
        <v>132985386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2380930.5</v>
      </c>
      <c r="G57" s="254">
        <f t="shared" ref="G57" si="103">F57/F56-1</f>
        <v>2.8426771911070459E-2</v>
      </c>
      <c r="H57" s="254">
        <f t="shared" ref="H57" si="104">F57/F45-1</f>
        <v>-5.1818855476906567E-2</v>
      </c>
      <c r="I57" s="282">
        <f>T57</f>
        <v>52.609101474506467</v>
      </c>
      <c r="J57" s="277">
        <f t="shared" ref="J57" si="105">I57/I45-1</f>
        <v>-0.18030130758734397</v>
      </c>
      <c r="K57" s="204"/>
      <c r="L57" s="254"/>
      <c r="M57" s="254"/>
      <c r="N57" s="257"/>
      <c r="O57" s="258"/>
      <c r="P57" s="129" t="s">
        <v>1436</v>
      </c>
      <c r="Q57" s="116">
        <v>28571166</v>
      </c>
      <c r="R57" s="116">
        <v>42080860725</v>
      </c>
      <c r="S57" s="116">
        <v>543084.09</v>
      </c>
      <c r="T57" s="130">
        <f t="shared" ref="T57" si="106">Q57/S57</f>
        <v>52.609101474506467</v>
      </c>
      <c r="U57" s="85">
        <f t="shared" ref="U57" si="107">Q55+Q56+Q57</f>
        <v>126648024</v>
      </c>
      <c r="V57" s="79"/>
      <c r="W57" s="79"/>
      <c r="X57" s="79"/>
      <c r="Y57" s="79"/>
      <c r="Z57" s="79"/>
    </row>
    <row r="58" spans="1:26">
      <c r="B58" s="196">
        <f>SUM(F56:F58)</f>
        <v>4696049.6363636367</v>
      </c>
      <c r="C58" s="196">
        <f>AVERAGE(F56:F58)</f>
        <v>2348024.8181818184</v>
      </c>
      <c r="D58" s="197">
        <f>C58/C55-1</f>
        <v>0.13418708328699203</v>
      </c>
      <c r="E58" s="233">
        <f>C58/C46-1</f>
        <v>-9.7647848484706201E-2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201714322</v>
      </c>
      <c r="R65" s="212">
        <v>296307124882</v>
      </c>
      <c r="S65" s="213">
        <v>3852490.54</v>
      </c>
      <c r="T65" s="214">
        <v>17</v>
      </c>
      <c r="U65" s="214">
        <v>71</v>
      </c>
    </row>
    <row r="66" spans="16:21" ht="18" thickBot="1">
      <c r="P66" s="180" t="s">
        <v>976</v>
      </c>
      <c r="Q66" s="181">
        <v>40157770</v>
      </c>
      <c r="R66" s="181">
        <v>58501963404</v>
      </c>
      <c r="S66" s="182">
        <v>725501.78</v>
      </c>
      <c r="T66" s="210">
        <v>11</v>
      </c>
      <c r="U66" s="210">
        <v>33</v>
      </c>
    </row>
    <row r="67" spans="16:21" ht="18" thickBot="1">
      <c r="P67" s="180" t="s">
        <v>977</v>
      </c>
      <c r="Q67" s="181">
        <v>34908528</v>
      </c>
      <c r="R67" s="181">
        <v>50583287893</v>
      </c>
      <c r="S67" s="182">
        <v>715333.32</v>
      </c>
      <c r="T67" s="210">
        <v>11</v>
      </c>
      <c r="U67" s="210">
        <v>37</v>
      </c>
    </row>
    <row r="68" spans="16:21" ht="18" thickBot="1">
      <c r="P68" s="180" t="s">
        <v>978</v>
      </c>
      <c r="Q68" s="181">
        <v>47144237</v>
      </c>
      <c r="R68" s="181">
        <v>69164087009</v>
      </c>
      <c r="S68" s="182">
        <v>936718.22</v>
      </c>
      <c r="T68" s="210">
        <v>14</v>
      </c>
      <c r="U68" s="210">
        <v>46</v>
      </c>
    </row>
    <row r="69" spans="16:21" ht="18" thickBot="1">
      <c r="P69" s="180" t="s">
        <v>979</v>
      </c>
      <c r="Q69" s="181">
        <v>50932621</v>
      </c>
      <c r="R69" s="181">
        <v>75976925851</v>
      </c>
      <c r="S69" s="182">
        <v>931853.13</v>
      </c>
      <c r="T69" s="210">
        <v>10</v>
      </c>
      <c r="U69" s="210">
        <v>48</v>
      </c>
    </row>
    <row r="70" spans="16:21" ht="18" thickBot="1">
      <c r="P70" s="180" t="s">
        <v>980</v>
      </c>
      <c r="Q70" s="181">
        <v>28571166</v>
      </c>
      <c r="R70" s="181">
        <v>42080860725</v>
      </c>
      <c r="S70" s="182">
        <v>543084.09</v>
      </c>
      <c r="T70" s="210">
        <v>11</v>
      </c>
      <c r="U70" s="210">
        <v>38</v>
      </c>
    </row>
    <row r="71" spans="16:21" ht="18" thickBot="1">
      <c r="P71" s="215" t="s">
        <v>975</v>
      </c>
      <c r="Q71" s="216">
        <v>558023808</v>
      </c>
      <c r="R71" s="216">
        <v>792386234005</v>
      </c>
      <c r="S71" s="272">
        <v>9007190.0700000003</v>
      </c>
      <c r="T71" s="217">
        <v>25</v>
      </c>
      <c r="U71" s="217">
        <v>108</v>
      </c>
    </row>
    <row r="72" spans="16:21" ht="18" thickBot="1">
      <c r="P72" s="180" t="s">
        <v>982</v>
      </c>
      <c r="Q72" s="181">
        <v>748406936</v>
      </c>
      <c r="R72" s="210" t="s">
        <v>1535</v>
      </c>
      <c r="S72"/>
      <c r="T72"/>
      <c r="U72"/>
    </row>
  </sheetData>
  <phoneticPr fontId="1" type="noConversion"/>
  <conditionalFormatting sqref="C29:C30">
    <cfRule type="cellIs" dxfId="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73"/>
  <sheetViews>
    <sheetView zoomScale="90" zoomScaleNormal="90" workbookViewId="0">
      <selection activeCell="H67" sqref="H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3921192010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77579.95</v>
      </c>
      <c r="G5" s="90"/>
      <c r="H5" s="90"/>
      <c r="I5" s="130">
        <f t="shared" ref="I5:I49" si="0">T5</f>
        <v>53.002992436923122</v>
      </c>
      <c r="J5" s="130"/>
      <c r="L5" s="80"/>
      <c r="M5" s="80"/>
      <c r="P5" s="129" t="s">
        <v>0</v>
      </c>
      <c r="Q5" s="116">
        <v>1551599</v>
      </c>
      <c r="R5" s="116"/>
      <c r="S5" s="116">
        <v>29273.8</v>
      </c>
      <c r="T5" s="130">
        <f t="shared" ref="T5:T11" si="1">Q5/S5</f>
        <v>53.002992436923122</v>
      </c>
      <c r="U5" s="85"/>
    </row>
    <row r="6" spans="1:21" ht="15" hidden="1" customHeight="1">
      <c r="A6" s="129" t="s">
        <v>1</v>
      </c>
      <c r="C6" s="79"/>
      <c r="F6" s="78">
        <f>Q6/18</f>
        <v>64660.5</v>
      </c>
      <c r="G6" s="90">
        <f t="shared" ref="G6:G28" si="2">F6/F5-1</f>
        <v>-0.16653078533822208</v>
      </c>
      <c r="H6" s="90"/>
      <c r="I6" s="130">
        <f t="shared" si="0"/>
        <v>44.387564804779061</v>
      </c>
      <c r="J6" s="130"/>
      <c r="P6" s="129" t="s">
        <v>1</v>
      </c>
      <c r="Q6" s="116">
        <v>1163889</v>
      </c>
      <c r="R6" s="116"/>
      <c r="S6" s="116">
        <v>26221.06</v>
      </c>
      <c r="T6" s="130">
        <f t="shared" si="1"/>
        <v>44.387564804779061</v>
      </c>
      <c r="U6" s="85"/>
    </row>
    <row r="7" spans="1:21" ht="15" hidden="1" customHeight="1">
      <c r="A7" s="129" t="s">
        <v>2</v>
      </c>
      <c r="B7" s="131">
        <f>F5+F6+F7</f>
        <v>177547.81363636366</v>
      </c>
      <c r="C7" s="131">
        <f>AVERAGE(F5:F7)</f>
        <v>59182.604545454553</v>
      </c>
      <c r="F7" s="78">
        <f>Q7/22</f>
        <v>35307.36363636364</v>
      </c>
      <c r="G7" s="90">
        <f t="shared" si="2"/>
        <v>-0.45395776963735757</v>
      </c>
      <c r="H7" s="90"/>
      <c r="I7" s="130">
        <f t="shared" si="0"/>
        <v>52.443523232105001</v>
      </c>
      <c r="J7" s="130"/>
      <c r="K7" s="79">
        <f>R5+R6+R7</f>
        <v>0</v>
      </c>
      <c r="N7" s="88">
        <f>AVERAGE(T5:T7)</f>
        <v>49.944693491269057</v>
      </c>
      <c r="P7" s="129" t="s">
        <v>2</v>
      </c>
      <c r="Q7" s="116">
        <v>776762</v>
      </c>
      <c r="R7" s="116"/>
      <c r="S7" s="116">
        <v>14811.4</v>
      </c>
      <c r="T7" s="130">
        <f t="shared" si="1"/>
        <v>52.443523232105001</v>
      </c>
      <c r="U7" s="85">
        <f>Q5+Q6+Q7</f>
        <v>3492250</v>
      </c>
    </row>
    <row r="8" spans="1:21" ht="15" hidden="1" customHeight="1">
      <c r="A8" s="129" t="s">
        <v>3</v>
      </c>
      <c r="C8" s="79"/>
      <c r="F8" s="78">
        <f>Q8/21</f>
        <v>57864.714285714283</v>
      </c>
      <c r="G8" s="90">
        <f t="shared" si="2"/>
        <v>0.63888515952854807</v>
      </c>
      <c r="H8" s="90"/>
      <c r="I8" s="130">
        <f t="shared" si="0"/>
        <v>53.759058211451176</v>
      </c>
      <c r="J8" s="130"/>
      <c r="K8" s="78"/>
      <c r="P8" s="129" t="s">
        <v>3</v>
      </c>
      <c r="Q8" s="116">
        <v>1215159</v>
      </c>
      <c r="R8" s="116"/>
      <c r="S8" s="116">
        <v>22603.8</v>
      </c>
      <c r="T8" s="130">
        <f t="shared" si="1"/>
        <v>53.759058211451176</v>
      </c>
      <c r="U8" s="85"/>
    </row>
    <row r="9" spans="1:21" ht="15" hidden="1" customHeight="1">
      <c r="A9" s="129" t="s">
        <v>4</v>
      </c>
      <c r="C9" s="79"/>
      <c r="F9" s="78">
        <f>Q9/21</f>
        <v>47871.857142857145</v>
      </c>
      <c r="G9" s="90">
        <f t="shared" si="2"/>
        <v>-0.17269344999296377</v>
      </c>
      <c r="H9" s="90"/>
      <c r="I9" s="130">
        <f t="shared" si="0"/>
        <v>53.496932188868605</v>
      </c>
      <c r="J9" s="130"/>
      <c r="K9" s="78"/>
      <c r="P9" s="129" t="s">
        <v>4</v>
      </c>
      <c r="Q9" s="116">
        <v>1005309</v>
      </c>
      <c r="R9" s="116"/>
      <c r="S9" s="116">
        <v>18791.900000000001</v>
      </c>
      <c r="T9" s="130">
        <f t="shared" si="1"/>
        <v>53.496932188868605</v>
      </c>
      <c r="U9" s="85"/>
    </row>
    <row r="10" spans="1:21" ht="15" hidden="1" customHeight="1">
      <c r="A10" s="129" t="s">
        <v>5</v>
      </c>
      <c r="B10" s="131">
        <f>F8+F9+F10</f>
        <v>137927.66666666666</v>
      </c>
      <c r="C10" s="131">
        <f>AVERAGE(F8:F10)</f>
        <v>45975.888888888883</v>
      </c>
      <c r="D10" s="90">
        <f>C10/C7-1</f>
        <v>-0.22315198457381846</v>
      </c>
      <c r="E10" s="286"/>
      <c r="F10" s="78">
        <f>Q10/21</f>
        <v>32191.095238095237</v>
      </c>
      <c r="G10" s="90">
        <f t="shared" si="2"/>
        <v>-0.32755699988759679</v>
      </c>
      <c r="H10" s="90"/>
      <c r="I10" s="130">
        <f t="shared" si="0"/>
        <v>52.227587379090821</v>
      </c>
      <c r="J10" s="130"/>
      <c r="K10" s="79">
        <f>R8+R9+R10</f>
        <v>0</v>
      </c>
      <c r="L10" s="87">
        <f>U10/U7-1</f>
        <v>-0.17059746581716662</v>
      </c>
      <c r="N10" s="88">
        <f>AVERAGE(T8:T10)</f>
        <v>53.161192593136867</v>
      </c>
      <c r="O10" s="89">
        <f>N10/N7-1</f>
        <v>6.440121816805422E-2</v>
      </c>
      <c r="P10" s="129" t="s">
        <v>5</v>
      </c>
      <c r="Q10" s="116">
        <v>676013</v>
      </c>
      <c r="R10" s="116"/>
      <c r="S10" s="116">
        <v>12943.6</v>
      </c>
      <c r="T10" s="130">
        <f t="shared" si="1"/>
        <v>52.227587379090821</v>
      </c>
      <c r="U10" s="85">
        <f>Q8+Q9+Q10</f>
        <v>2896481</v>
      </c>
    </row>
    <row r="11" spans="1:21" ht="15" hidden="1" customHeight="1">
      <c r="A11" s="129" t="s">
        <v>6</v>
      </c>
      <c r="C11" s="79"/>
      <c r="F11" s="78">
        <f>Q11/21</f>
        <v>29572.190476190477</v>
      </c>
      <c r="G11" s="90">
        <f t="shared" si="2"/>
        <v>-8.135494435757884E-2</v>
      </c>
      <c r="H11" s="90"/>
      <c r="I11" s="130">
        <f t="shared" si="0"/>
        <v>50.451779577710795</v>
      </c>
      <c r="J11" s="130"/>
      <c r="K11" s="78"/>
      <c r="O11" s="89"/>
      <c r="P11" s="129" t="s">
        <v>6</v>
      </c>
      <c r="Q11" s="116">
        <v>621016</v>
      </c>
      <c r="R11" s="116"/>
      <c r="S11" s="116">
        <v>12309.1</v>
      </c>
      <c r="T11" s="130">
        <f t="shared" si="1"/>
        <v>50.451779577710795</v>
      </c>
      <c r="U11" s="85"/>
    </row>
    <row r="12" spans="1:21" ht="15" hidden="1" customHeight="1">
      <c r="A12" s="129" t="s">
        <v>7</v>
      </c>
      <c r="C12" s="79"/>
      <c r="F12" s="78">
        <f>Q12/22</f>
        <v>35508.818181818184</v>
      </c>
      <c r="G12" s="90">
        <f t="shared" si="2"/>
        <v>0.20075035396540808</v>
      </c>
      <c r="H12" s="90"/>
      <c r="I12" s="130">
        <f t="shared" si="0"/>
        <v>52.145303081883171</v>
      </c>
      <c r="J12" s="130"/>
      <c r="K12" s="78"/>
      <c r="O12" s="89"/>
      <c r="P12" s="129" t="s">
        <v>7</v>
      </c>
      <c r="Q12" s="116">
        <v>781194</v>
      </c>
      <c r="R12" s="116"/>
      <c r="S12" s="116">
        <v>14981.1</v>
      </c>
      <c r="T12" s="130">
        <f>Q12/S12</f>
        <v>52.145303081883171</v>
      </c>
      <c r="U12" s="85"/>
    </row>
    <row r="13" spans="1:21" ht="15" hidden="1" customHeight="1">
      <c r="A13" s="129" t="s">
        <v>35</v>
      </c>
      <c r="B13" s="131">
        <f>F11+F12+F13</f>
        <v>122617.45865800866</v>
      </c>
      <c r="C13" s="131">
        <f>AVERAGE(F11:F13)</f>
        <v>40872.486219336221</v>
      </c>
      <c r="D13" s="90">
        <f>C13/C10-1</f>
        <v>-0.11100171835472694</v>
      </c>
      <c r="E13" s="286"/>
      <c r="F13" s="78">
        <f>Q13/20</f>
        <v>57536.45</v>
      </c>
      <c r="G13" s="90">
        <f t="shared" si="2"/>
        <v>0.62034257815600213</v>
      </c>
      <c r="H13" s="90"/>
      <c r="I13" s="130">
        <f t="shared" si="0"/>
        <v>50.456406973481123</v>
      </c>
      <c r="J13" s="130"/>
      <c r="K13" s="78">
        <f>R11+R12+R13</f>
        <v>0</v>
      </c>
      <c r="L13" s="87">
        <f>U13/U10-1</f>
        <v>-0.11860668169409705</v>
      </c>
      <c r="N13" s="88">
        <f>AVERAGE(T11:T13)</f>
        <v>51.017829877691696</v>
      </c>
      <c r="O13" s="89">
        <f>N13/N10-1</f>
        <v>-4.0318183451021339E-2</v>
      </c>
      <c r="P13" s="129" t="s">
        <v>35</v>
      </c>
      <c r="Q13" s="116">
        <v>1150729</v>
      </c>
      <c r="R13" s="116"/>
      <c r="S13" s="116">
        <v>22806.400000000001</v>
      </c>
      <c r="T13" s="130">
        <f>Q13/S13</f>
        <v>50.456406973481123</v>
      </c>
      <c r="U13" s="85">
        <f>Q11+Q12+Q13</f>
        <v>2552939</v>
      </c>
    </row>
    <row r="14" spans="1:21" ht="15" hidden="1" customHeight="1">
      <c r="A14" s="129" t="s">
        <v>36</v>
      </c>
      <c r="C14" s="79"/>
      <c r="F14" s="78">
        <f>Q14/20</f>
        <v>35008.550000000003</v>
      </c>
      <c r="G14" s="90">
        <f t="shared" si="2"/>
        <v>-0.39154136204093226</v>
      </c>
      <c r="H14" s="90"/>
      <c r="I14" s="130">
        <f t="shared" si="0"/>
        <v>51.021826907732077</v>
      </c>
      <c r="J14" s="130"/>
      <c r="O14" s="89"/>
      <c r="P14" s="129" t="s">
        <v>36</v>
      </c>
      <c r="Q14" s="116">
        <v>700171</v>
      </c>
      <c r="R14" s="116"/>
      <c r="S14" s="116">
        <v>13722.97</v>
      </c>
      <c r="T14" s="130">
        <f>Q14/S14</f>
        <v>51.021826907732077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35393.772727272728</v>
      </c>
      <c r="G15" s="90">
        <f t="shared" si="2"/>
        <v>1.1003675595610884E-2</v>
      </c>
      <c r="H15" s="90"/>
      <c r="I15" s="130">
        <f t="shared" si="0"/>
        <v>50.058662771672921</v>
      </c>
      <c r="J15" s="130"/>
      <c r="O15" s="89"/>
      <c r="P15" s="129" t="s">
        <v>37</v>
      </c>
      <c r="Q15" s="116">
        <v>778663</v>
      </c>
      <c r="R15" s="116"/>
      <c r="S15" s="116">
        <v>15555.01</v>
      </c>
      <c r="T15" s="130">
        <f t="shared" ref="T15:T28" si="3">Q15/S15</f>
        <v>50.058662771672921</v>
      </c>
      <c r="U15" s="78"/>
    </row>
    <row r="16" spans="1:21" ht="15" hidden="1" customHeight="1">
      <c r="A16" s="123" t="s">
        <v>38</v>
      </c>
      <c r="B16" s="131">
        <f>F14+F15+F16</f>
        <v>111331.95909090908</v>
      </c>
      <c r="C16" s="131">
        <f>AVERAGE(F14:F16)</f>
        <v>37110.653030303023</v>
      </c>
      <c r="D16" s="90">
        <f>C16/C13-1</f>
        <v>-9.2038276527781293E-2</v>
      </c>
      <c r="E16" s="286"/>
      <c r="F16" s="78">
        <f>Q16/22</f>
        <v>40929.63636363636</v>
      </c>
      <c r="G16" s="90">
        <f t="shared" si="2"/>
        <v>0.15640784267391661</v>
      </c>
      <c r="H16" s="90"/>
      <c r="I16" s="130">
        <f t="shared" si="0"/>
        <v>53.079543980853799</v>
      </c>
      <c r="J16" s="130"/>
      <c r="K16" s="78">
        <f>R14+R15+R16</f>
        <v>0</v>
      </c>
      <c r="L16" s="87">
        <f>U16/U13-1</f>
        <v>-6.802081835876217E-2</v>
      </c>
      <c r="N16" s="88">
        <f>AVERAGE(T14:T16)</f>
        <v>51.386677886752928</v>
      </c>
      <c r="O16" s="89">
        <f>N16/N13-1</f>
        <v>7.2297863304946475E-3</v>
      </c>
      <c r="P16" s="123" t="s">
        <v>38</v>
      </c>
      <c r="Q16" s="133">
        <v>900452</v>
      </c>
      <c r="R16" s="133"/>
      <c r="S16" s="133">
        <v>16964.2</v>
      </c>
      <c r="T16" s="134">
        <f t="shared" si="3"/>
        <v>53.079543980853799</v>
      </c>
      <c r="U16" s="85">
        <f>Q14+Q15+Q16</f>
        <v>2379286</v>
      </c>
    </row>
    <row r="17" spans="1:21" ht="15" hidden="1" customHeight="1">
      <c r="A17" s="129" t="s">
        <v>85</v>
      </c>
      <c r="C17" s="79"/>
      <c r="F17" s="78">
        <f>Q17/20</f>
        <v>52933.599999999999</v>
      </c>
      <c r="G17" s="90">
        <f t="shared" si="2"/>
        <v>0.29328292901787112</v>
      </c>
      <c r="H17" s="90">
        <f t="shared" ref="H17:H28" si="4">F17/F5-1</f>
        <v>-0.31768968657494623</v>
      </c>
      <c r="I17" s="130">
        <f t="shared" si="0"/>
        <v>53.291183843590495</v>
      </c>
      <c r="J17" s="130">
        <f t="shared" ref="J17:J49" si="5">I17/I5-1</f>
        <v>5.4372667167865707E-3</v>
      </c>
      <c r="O17" s="89"/>
      <c r="P17" s="129" t="s">
        <v>85</v>
      </c>
      <c r="Q17" s="116">
        <v>1058672</v>
      </c>
      <c r="R17" s="116">
        <v>1337529522</v>
      </c>
      <c r="S17" s="116">
        <v>19865.8</v>
      </c>
      <c r="T17" s="130">
        <f t="shared" si="3"/>
        <v>53.291183843590495</v>
      </c>
      <c r="U17" s="78"/>
    </row>
    <row r="18" spans="1:21" hidden="1">
      <c r="A18" s="129" t="s">
        <v>106</v>
      </c>
      <c r="C18" s="79"/>
      <c r="F18" s="78">
        <f>Q18/20</f>
        <v>41525.15</v>
      </c>
      <c r="G18" s="90">
        <f t="shared" si="2"/>
        <v>-0.21552378829325791</v>
      </c>
      <c r="H18" s="90">
        <f t="shared" si="4"/>
        <v>-0.35779726417209889</v>
      </c>
      <c r="I18" s="130">
        <f t="shared" si="0"/>
        <v>53.290662457329127</v>
      </c>
      <c r="J18" s="130">
        <f t="shared" si="5"/>
        <v>0.20057639322424592</v>
      </c>
      <c r="O18" s="89"/>
      <c r="P18" s="129" t="s">
        <v>106</v>
      </c>
      <c r="Q18" s="116">
        <v>830503</v>
      </c>
      <c r="R18" s="116">
        <v>1047316554</v>
      </c>
      <c r="S18" s="116">
        <v>15584.4</v>
      </c>
      <c r="T18" s="130">
        <f t="shared" si="3"/>
        <v>53.290662457329127</v>
      </c>
      <c r="U18" s="78"/>
    </row>
    <row r="19" spans="1:21" hidden="1">
      <c r="A19" s="129" t="s">
        <v>114</v>
      </c>
      <c r="B19" s="131">
        <f>SUM(F17:F19)</f>
        <v>127925.97727272726</v>
      </c>
      <c r="C19" s="131">
        <f>AVERAGE(F17:F19)</f>
        <v>42641.992424242424</v>
      </c>
      <c r="D19" s="90">
        <f>C19/C16-1</f>
        <v>0.14904990729812106</v>
      </c>
      <c r="E19" s="286">
        <f>C19/C7-1</f>
        <v>-0.2794843560578395</v>
      </c>
      <c r="F19" s="78">
        <f>Q19/22</f>
        <v>33467.227272727272</v>
      </c>
      <c r="G19" s="90">
        <f t="shared" si="2"/>
        <v>-0.19404921420567367</v>
      </c>
      <c r="H19" s="90">
        <f t="shared" si="4"/>
        <v>-5.2117637062575217E-2</v>
      </c>
      <c r="I19" s="130">
        <f t="shared" si="0"/>
        <v>53.299092955748108</v>
      </c>
      <c r="J19" s="130">
        <f t="shared" si="5"/>
        <v>1.6314116041680204E-2</v>
      </c>
      <c r="K19" s="78">
        <f>R17+R18+R19</f>
        <v>3346093990</v>
      </c>
      <c r="L19" s="87">
        <f>U19/U16-1</f>
        <v>0.10346297166460872</v>
      </c>
      <c r="M19" s="87">
        <f>U19/U7-1</f>
        <v>-0.2482055981101009</v>
      </c>
      <c r="N19" s="88">
        <f>AVERAGE(T17:T19)</f>
        <v>53.293646418889239</v>
      </c>
      <c r="O19" s="89">
        <f>N19/N16-1</f>
        <v>3.7110173503313915E-2</v>
      </c>
      <c r="P19" s="129" t="s">
        <v>114</v>
      </c>
      <c r="Q19" s="116">
        <v>736279</v>
      </c>
      <c r="R19" s="116">
        <v>961247914</v>
      </c>
      <c r="S19" s="116">
        <v>13814.1</v>
      </c>
      <c r="T19" s="130">
        <f t="shared" si="3"/>
        <v>53.299092955748108</v>
      </c>
      <c r="U19" s="85">
        <f>Q17+Q18+Q19</f>
        <v>2625454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53908.05</v>
      </c>
      <c r="G20" s="90">
        <f t="shared" si="2"/>
        <v>0.61077132445716931</v>
      </c>
      <c r="H20" s="90">
        <f t="shared" si="4"/>
        <v>-6.8377841912045989E-2</v>
      </c>
      <c r="I20" s="130">
        <f t="shared" si="0"/>
        <v>52.077273451801908</v>
      </c>
      <c r="J20" s="130">
        <f t="shared" si="5"/>
        <v>-3.1283746695008774E-2</v>
      </c>
      <c r="O20" s="89"/>
      <c r="P20" s="129" t="s">
        <v>131</v>
      </c>
      <c r="Q20" s="116">
        <v>1078161</v>
      </c>
      <c r="R20" s="116">
        <v>1412760878</v>
      </c>
      <c r="S20" s="116">
        <v>20703.099999999999</v>
      </c>
      <c r="T20" s="130">
        <f t="shared" si="3"/>
        <v>52.077273451801908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30643.142857142859</v>
      </c>
      <c r="G21" s="90">
        <f t="shared" si="2"/>
        <v>-0.43156647556083261</v>
      </c>
      <c r="H21" s="90">
        <f t="shared" si="4"/>
        <v>-0.35989233161147471</v>
      </c>
      <c r="I21" s="130">
        <f t="shared" si="0"/>
        <v>51.749161647272636</v>
      </c>
      <c r="J21" s="130">
        <f t="shared" si="5"/>
        <v>-3.2670481653518713E-2</v>
      </c>
      <c r="O21" s="89"/>
      <c r="P21" s="129" t="s">
        <v>141</v>
      </c>
      <c r="Q21" s="116">
        <v>643506</v>
      </c>
      <c r="R21" s="116">
        <v>859646793</v>
      </c>
      <c r="S21" s="116">
        <v>12435.1</v>
      </c>
      <c r="T21" s="130">
        <f t="shared" si="3"/>
        <v>51.749161647272636</v>
      </c>
      <c r="U21" s="78"/>
    </row>
    <row r="22" spans="1:21" hidden="1">
      <c r="A22" s="129" t="s">
        <v>156</v>
      </c>
      <c r="B22" s="131">
        <f>SUM(F20:F22)</f>
        <v>121174.62142857144</v>
      </c>
      <c r="C22" s="131">
        <f>AVERAGE(F20:F22)</f>
        <v>40391.540476190479</v>
      </c>
      <c r="D22" s="90">
        <f>C22/C19-1</f>
        <v>-5.2775487731960169E-2</v>
      </c>
      <c r="E22" s="286">
        <f>C22/C10-1</f>
        <v>-0.12146254368663201</v>
      </c>
      <c r="F22" s="78">
        <f>Q22/21</f>
        <v>36623.428571428572</v>
      </c>
      <c r="G22" s="90">
        <f t="shared" si="2"/>
        <v>0.19515901949632175</v>
      </c>
      <c r="H22" s="90">
        <f t="shared" si="4"/>
        <v>0.13768818055274101</v>
      </c>
      <c r="I22" s="130">
        <f t="shared" si="0"/>
        <v>51.762821375689867</v>
      </c>
      <c r="J22" s="130">
        <f t="shared" si="5"/>
        <v>-8.8988602905869518E-3</v>
      </c>
      <c r="K22" s="78">
        <f>R20+R21+R22</f>
        <v>3280952240</v>
      </c>
      <c r="L22" s="87">
        <f>U22/U19-1</f>
        <v>-5.1303507888540434E-2</v>
      </c>
      <c r="M22" s="87">
        <f>U22/U10-1</f>
        <v>-0.14007411061905806</v>
      </c>
      <c r="N22" s="88">
        <f>AVERAGE(T20:T22)</f>
        <v>51.86308549158813</v>
      </c>
      <c r="O22" s="89">
        <f>N22/N19-1</f>
        <v>-2.6842992053065173E-2</v>
      </c>
      <c r="P22" s="129" t="s">
        <v>156</v>
      </c>
      <c r="Q22" s="116">
        <v>769092</v>
      </c>
      <c r="R22" s="116">
        <v>1008544569</v>
      </c>
      <c r="S22" s="116">
        <v>14858</v>
      </c>
      <c r="T22" s="130">
        <f t="shared" si="3"/>
        <v>51.762821375689867</v>
      </c>
      <c r="U22" s="85">
        <f>Q20+Q21+Q22</f>
        <v>2490759</v>
      </c>
    </row>
    <row r="23" spans="1:21" hidden="1">
      <c r="A23" s="129" t="s">
        <v>189</v>
      </c>
      <c r="B23" s="131"/>
      <c r="C23" s="131"/>
      <c r="F23" s="78">
        <f>Q23/21</f>
        <v>59125</v>
      </c>
      <c r="G23" s="90">
        <f t="shared" si="2"/>
        <v>0.61440373843441343</v>
      </c>
      <c r="H23" s="90">
        <f t="shared" si="4"/>
        <v>0.99934462236077648</v>
      </c>
      <c r="I23" s="130">
        <f t="shared" si="0"/>
        <v>53.363289409216328</v>
      </c>
      <c r="J23" s="130">
        <f t="shared" si="5"/>
        <v>5.7708763811213926E-2</v>
      </c>
      <c r="O23" s="89"/>
      <c r="P23" s="129" t="s">
        <v>189</v>
      </c>
      <c r="Q23" s="116">
        <v>1241625</v>
      </c>
      <c r="R23" s="116">
        <v>1594687307</v>
      </c>
      <c r="S23" s="116">
        <v>23267.4</v>
      </c>
      <c r="T23" s="130">
        <f t="shared" si="3"/>
        <v>53.363289409216328</v>
      </c>
      <c r="U23" s="78"/>
    </row>
    <row r="24" spans="1:21" hidden="1">
      <c r="A24" s="129" t="s">
        <v>204</v>
      </c>
      <c r="B24" s="131"/>
      <c r="C24" s="131"/>
      <c r="F24" s="78">
        <f>Q24/22</f>
        <v>75024.909090909088</v>
      </c>
      <c r="G24" s="90">
        <f t="shared" si="2"/>
        <v>0.26892023832404388</v>
      </c>
      <c r="H24" s="90">
        <f t="shared" si="4"/>
        <v>1.1128528892951044</v>
      </c>
      <c r="I24" s="130">
        <f t="shared" si="0"/>
        <v>51.747318654514785</v>
      </c>
      <c r="J24" s="130">
        <f t="shared" si="5"/>
        <v>-7.6322200437388688E-3</v>
      </c>
      <c r="O24" s="89"/>
      <c r="P24" s="129" t="s">
        <v>204</v>
      </c>
      <c r="Q24" s="116">
        <v>1650548</v>
      </c>
      <c r="R24" s="116">
        <v>2172328933</v>
      </c>
      <c r="S24" s="116">
        <v>31896.3</v>
      </c>
      <c r="T24" s="130">
        <f t="shared" si="3"/>
        <v>51.747318654514785</v>
      </c>
      <c r="U24" s="78"/>
    </row>
    <row r="25" spans="1:21" s="79" customFormat="1" ht="13.2" hidden="1">
      <c r="A25" s="129" t="s">
        <v>217</v>
      </c>
      <c r="B25" s="131">
        <f>SUM(F23:F25)</f>
        <v>306458.59330143541</v>
      </c>
      <c r="C25" s="131">
        <f>AVERAGE(F23:F25)</f>
        <v>102152.8644338118</v>
      </c>
      <c r="D25" s="90">
        <f>C25/C22-1</f>
        <v>1.5290658199587028</v>
      </c>
      <c r="E25" s="286">
        <f>C25/C13-1</f>
        <v>1.4993063520927841</v>
      </c>
      <c r="F25" s="78">
        <f>Q25/19</f>
        <v>172308.68421052632</v>
      </c>
      <c r="G25" s="90">
        <f t="shared" si="2"/>
        <v>1.2966863445544021</v>
      </c>
      <c r="H25" s="90">
        <f t="shared" si="4"/>
        <v>1.9947743423608224</v>
      </c>
      <c r="I25" s="130">
        <f t="shared" si="0"/>
        <v>50.568423953245293</v>
      </c>
      <c r="J25" s="130">
        <f t="shared" si="5"/>
        <v>2.2200744461065014E-3</v>
      </c>
      <c r="K25" s="78">
        <f>R23+R24+R25</f>
        <v>8113868546</v>
      </c>
      <c r="L25" s="90">
        <f>U25/U22-1</f>
        <v>1.4755658817252089</v>
      </c>
      <c r="M25" s="90">
        <f>U25/U13-1</f>
        <v>1.4152704001153182</v>
      </c>
      <c r="N25" s="88">
        <f>AVERAGE(T23:T25)</f>
        <v>51.893010672325467</v>
      </c>
      <c r="O25" s="91">
        <f>N25/N22-1</f>
        <v>5.7700347855682566E-4</v>
      </c>
      <c r="P25" s="129" t="s">
        <v>217</v>
      </c>
      <c r="Q25" s="116">
        <v>3273865</v>
      </c>
      <c r="R25" s="116">
        <v>4346852306</v>
      </c>
      <c r="S25" s="116">
        <v>64741.29</v>
      </c>
      <c r="T25" s="130">
        <f t="shared" si="3"/>
        <v>50.568423953245293</v>
      </c>
      <c r="U25" s="85">
        <f>Q23+Q24+Q25</f>
        <v>6166038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123403.57894736843</v>
      </c>
      <c r="G26" s="90">
        <f t="shared" si="2"/>
        <v>-0.28382263776911998</v>
      </c>
      <c r="H26" s="90">
        <f t="shared" si="4"/>
        <v>2.524955445094653</v>
      </c>
      <c r="I26" s="130">
        <f t="shared" si="0"/>
        <v>56.141572459581326</v>
      </c>
      <c r="J26" s="130">
        <f t="shared" si="5"/>
        <v>0.10034422250516051</v>
      </c>
      <c r="L26" s="90"/>
      <c r="M26" s="90"/>
      <c r="P26" s="129" t="s">
        <v>312</v>
      </c>
      <c r="Q26" s="116">
        <v>2344668</v>
      </c>
      <c r="R26" s="116">
        <v>3165622531</v>
      </c>
      <c r="S26" s="116">
        <v>41763.49</v>
      </c>
      <c r="T26" s="130">
        <f t="shared" si="3"/>
        <v>56.141572459581326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78604.181818181823</v>
      </c>
      <c r="G27" s="90">
        <f t="shared" si="2"/>
        <v>-0.36303158718187201</v>
      </c>
      <c r="H27" s="90">
        <f t="shared" si="4"/>
        <v>1.220847786526392</v>
      </c>
      <c r="I27" s="130">
        <f t="shared" si="0"/>
        <v>55.260757011642426</v>
      </c>
      <c r="J27" s="130">
        <f t="shared" si="5"/>
        <v>0.10391996014150928</v>
      </c>
      <c r="L27" s="90"/>
      <c r="M27" s="90"/>
      <c r="P27" s="129" t="s">
        <v>373</v>
      </c>
      <c r="Q27" s="116">
        <v>1729292</v>
      </c>
      <c r="R27" s="116">
        <v>2296049838</v>
      </c>
      <c r="S27" s="116">
        <v>31293.31</v>
      </c>
      <c r="T27" s="130">
        <f t="shared" si="3"/>
        <v>55.260757011642426</v>
      </c>
      <c r="U27" s="78"/>
    </row>
    <row r="28" spans="1:21" s="79" customFormat="1" ht="13.2" hidden="1">
      <c r="A28" s="123" t="s">
        <v>413</v>
      </c>
      <c r="B28" s="131">
        <f>SUM(F26:F28)</f>
        <v>326719.0765550239</v>
      </c>
      <c r="C28" s="131">
        <f>AVERAGE(F26:F28)</f>
        <v>108906.35885167464</v>
      </c>
      <c r="D28" s="90">
        <f>C28/C25-1</f>
        <v>6.6111649979611053E-2</v>
      </c>
      <c r="E28" s="286">
        <f>C28/C16-1</f>
        <v>1.9346387077248739</v>
      </c>
      <c r="F28" s="78">
        <f>Q28/19</f>
        <v>124711.31578947368</v>
      </c>
      <c r="G28" s="90">
        <f t="shared" si="2"/>
        <v>0.58657354996635669</v>
      </c>
      <c r="H28" s="90">
        <f t="shared" si="4"/>
        <v>2.0469685750805384</v>
      </c>
      <c r="I28" s="130">
        <f t="shared" si="0"/>
        <v>55.244434382873798</v>
      </c>
      <c r="J28" s="130">
        <f t="shared" si="5"/>
        <v>4.07857762078907E-2</v>
      </c>
      <c r="K28" s="78">
        <f>R26+R27+R28</f>
        <v>8554007874</v>
      </c>
      <c r="L28" s="90">
        <f>U28/U25-1</f>
        <v>4.4994370777474924E-2</v>
      </c>
      <c r="M28" s="90">
        <f>U28/U16-1</f>
        <v>1.7081548834398217</v>
      </c>
      <c r="N28" s="88">
        <f>AVERAGE(T26:T28)</f>
        <v>55.548921284699183</v>
      </c>
      <c r="O28" s="91">
        <f>N28/N25-1</f>
        <v>7.0450925182558688E-2</v>
      </c>
      <c r="P28" s="129" t="s">
        <v>413</v>
      </c>
      <c r="Q28" s="116">
        <v>2369515</v>
      </c>
      <c r="R28" s="116">
        <v>3092335505</v>
      </c>
      <c r="S28" s="116">
        <v>42891.47</v>
      </c>
      <c r="T28" s="130">
        <f t="shared" si="3"/>
        <v>55.244434382873798</v>
      </c>
      <c r="U28" s="85">
        <f>Q26+Q27+Q28</f>
        <v>6443475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70259.318181818177</v>
      </c>
      <c r="G29" s="190">
        <f t="shared" ref="G29" si="6">F29/F28-1</f>
        <v>-0.43662435331511074</v>
      </c>
      <c r="H29" s="190">
        <f t="shared" ref="H29" si="7">F29/F17-1</f>
        <v>0.32731040741264872</v>
      </c>
      <c r="I29" s="130">
        <f t="shared" si="0"/>
        <v>54.622295662670865</v>
      </c>
      <c r="J29" s="130">
        <f t="shared" si="5"/>
        <v>2.497808686305758E-2</v>
      </c>
      <c r="K29" s="136"/>
      <c r="L29" s="190"/>
      <c r="M29" s="190"/>
      <c r="N29" s="191"/>
      <c r="O29" s="192"/>
      <c r="P29" s="129" t="s">
        <v>441</v>
      </c>
      <c r="Q29" s="116">
        <v>1545705</v>
      </c>
      <c r="R29" s="116">
        <v>2046399547</v>
      </c>
      <c r="S29" s="116">
        <v>28298.06</v>
      </c>
      <c r="T29" s="130">
        <f t="shared" ref="T29" si="8">Q29/S29</f>
        <v>54.622295662670865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117704.36842105263</v>
      </c>
      <c r="G30" s="190">
        <f t="shared" ref="G30" si="9">F30/F29-1</f>
        <v>0.67528480872039487</v>
      </c>
      <c r="H30" s="190">
        <f t="shared" ref="H30" si="10">F30/F18-1</f>
        <v>1.8345320467488406</v>
      </c>
      <c r="I30" s="130">
        <f t="shared" si="0"/>
        <v>54.895638826956414</v>
      </c>
      <c r="J30" s="130">
        <f t="shared" si="5"/>
        <v>3.0117403230114137E-2</v>
      </c>
      <c r="K30" s="136"/>
      <c r="L30" s="190"/>
      <c r="M30" s="190"/>
      <c r="N30" s="191"/>
      <c r="O30" s="192"/>
      <c r="P30" s="129" t="s">
        <v>479</v>
      </c>
      <c r="Q30" s="116">
        <v>2236383</v>
      </c>
      <c r="R30" s="116">
        <v>2980276321</v>
      </c>
      <c r="S30" s="116">
        <v>40738.81</v>
      </c>
      <c r="T30" s="130">
        <f t="shared" ref="T30" si="11">Q30/S30</f>
        <v>54.895638826956414</v>
      </c>
      <c r="U30" s="85"/>
    </row>
    <row r="31" spans="1:21" s="79" customFormat="1" ht="13.2" hidden="1">
      <c r="A31" s="129" t="s">
        <v>505</v>
      </c>
      <c r="B31" s="188">
        <f>SUM(F29:F31)</f>
        <v>301886.98660287081</v>
      </c>
      <c r="C31" s="188">
        <f>AVERAGE(F29:F31)</f>
        <v>100628.99553429027</v>
      </c>
      <c r="D31" s="190">
        <f>C31/C28-1</f>
        <v>-7.6004407866190338E-2</v>
      </c>
      <c r="E31" s="287">
        <f>C31/C19-1</f>
        <v>1.3598567940526536</v>
      </c>
      <c r="F31" s="136">
        <f>Q31/20</f>
        <v>113923.3</v>
      </c>
      <c r="G31" s="190">
        <f t="shared" ref="G31" si="12">F31/F30-1</f>
        <v>-3.2123433240191845E-2</v>
      </c>
      <c r="H31" s="190">
        <f t="shared" ref="H31" si="13">F31/F19-1</f>
        <v>2.4040256478861957</v>
      </c>
      <c r="I31" s="130">
        <f t="shared" si="0"/>
        <v>54.998014634976457</v>
      </c>
      <c r="J31" s="130">
        <f t="shared" si="5"/>
        <v>3.1875245618886661E-2</v>
      </c>
      <c r="K31" s="136">
        <f>R29+R30+R31</f>
        <v>8051391632</v>
      </c>
      <c r="L31" s="190">
        <f>U31/U28-1</f>
        <v>-5.9427715634808864E-2</v>
      </c>
      <c r="M31" s="190">
        <f>U31/U19-1</f>
        <v>1.3083832358136918</v>
      </c>
      <c r="N31" s="191">
        <f>AVERAGE(T29:T31)</f>
        <v>54.838649708201245</v>
      </c>
      <c r="O31" s="192">
        <f>N31/N28-1</f>
        <v>-1.2786415290724662E-2</v>
      </c>
      <c r="P31" s="129" t="s">
        <v>505</v>
      </c>
      <c r="Q31" s="116">
        <v>2278466</v>
      </c>
      <c r="R31" s="116">
        <v>3024715764</v>
      </c>
      <c r="S31" s="116">
        <v>41428.15</v>
      </c>
      <c r="T31" s="130">
        <f t="shared" ref="T31" si="14">Q31/S31</f>
        <v>54.998014634976457</v>
      </c>
      <c r="U31" s="85">
        <f>Q29+Q30+Q31</f>
        <v>6060554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44955.714285714283</v>
      </c>
      <c r="G32" s="190">
        <f t="shared" ref="G32" si="15">F32/F31-1</f>
        <v>-0.60538613009178732</v>
      </c>
      <c r="H32" s="190">
        <f t="shared" ref="H32" si="16">F32/F20-1</f>
        <v>-0.16606676951375021</v>
      </c>
      <c r="I32" s="130">
        <f t="shared" si="0"/>
        <v>54.797375028876772</v>
      </c>
      <c r="J32" s="130">
        <f t="shared" si="5"/>
        <v>5.2232027461889929E-2</v>
      </c>
      <c r="K32" s="136"/>
      <c r="L32" s="190"/>
      <c r="M32" s="190"/>
      <c r="N32" s="191"/>
      <c r="O32" s="192"/>
      <c r="P32" s="129" t="s">
        <v>562</v>
      </c>
      <c r="Q32" s="116">
        <v>944070</v>
      </c>
      <c r="R32" s="116">
        <v>1281476799</v>
      </c>
      <c r="S32" s="116">
        <v>17228.38</v>
      </c>
      <c r="T32" s="130">
        <f t="shared" ref="T32" si="17">Q32/S32</f>
        <v>54.797375028876772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124844.85714285714</v>
      </c>
      <c r="G33" s="190">
        <f t="shared" ref="G33" si="18">F33/F32-1</f>
        <v>1.7770631415043376</v>
      </c>
      <c r="H33" s="190">
        <f t="shared" ref="H33" si="19">F33/F21-1</f>
        <v>3.0741531547491396</v>
      </c>
      <c r="I33" s="130">
        <f t="shared" si="0"/>
        <v>53.423908879430222</v>
      </c>
      <c r="J33" s="130">
        <f t="shared" si="5"/>
        <v>3.2362789634599931E-2</v>
      </c>
      <c r="K33" s="136"/>
      <c r="L33" s="190"/>
      <c r="M33" s="190"/>
      <c r="N33" s="191"/>
      <c r="O33" s="192"/>
      <c r="P33" s="129" t="s">
        <v>607</v>
      </c>
      <c r="Q33" s="116">
        <v>2621742</v>
      </c>
      <c r="R33" s="116">
        <v>3586723683</v>
      </c>
      <c r="S33" s="116">
        <v>49074.32</v>
      </c>
      <c r="T33" s="130">
        <f t="shared" ref="T33" si="20">Q33/S33</f>
        <v>53.423908879430222</v>
      </c>
      <c r="U33" s="85"/>
    </row>
    <row r="34" spans="1:21" s="79" customFormat="1" ht="13.2" hidden="1">
      <c r="A34" s="129" t="s">
        <v>652</v>
      </c>
      <c r="B34" s="188">
        <f>SUM(F32:F34)</f>
        <v>270532.78195488721</v>
      </c>
      <c r="C34" s="188">
        <f>AVERAGE(F32:F34)</f>
        <v>90177.593984962397</v>
      </c>
      <c r="D34" s="190">
        <f>C34/C31-1</f>
        <v>-0.10386073610132041</v>
      </c>
      <c r="E34" s="287">
        <f>C34/C22-1</f>
        <v>1.2325861534822917</v>
      </c>
      <c r="F34" s="136">
        <f>Q34/19</f>
        <v>100732.21052631579</v>
      </c>
      <c r="G34" s="190">
        <f t="shared" ref="G34" si="21">F34/F33-1</f>
        <v>-0.19314088836634902</v>
      </c>
      <c r="H34" s="190">
        <f t="shared" ref="H34" si="22">F34/F22-1</f>
        <v>1.7504855349589277</v>
      </c>
      <c r="I34" s="130">
        <f t="shared" si="0"/>
        <v>53.705634692853621</v>
      </c>
      <c r="J34" s="130">
        <f t="shared" si="5"/>
        <v>3.7532987297253184E-2</v>
      </c>
      <c r="K34" s="136">
        <f>R32+R33+R34</f>
        <v>7500594386</v>
      </c>
      <c r="L34" s="190">
        <f>U34/U31-1</f>
        <v>-9.5837773246472135E-2</v>
      </c>
      <c r="M34" s="190">
        <f>U34/U22-1</f>
        <v>1.200021760435273</v>
      </c>
      <c r="N34" s="191">
        <f>AVERAGE(T32:T34)</f>
        <v>53.975639533720198</v>
      </c>
      <c r="O34" s="192">
        <f>N34/N31-1</f>
        <v>-1.5737261567765781E-2</v>
      </c>
      <c r="P34" s="129" t="s">
        <v>652</v>
      </c>
      <c r="Q34" s="116">
        <v>1913912</v>
      </c>
      <c r="R34" s="116">
        <v>2632393904</v>
      </c>
      <c r="S34" s="116">
        <v>35637.08</v>
      </c>
      <c r="T34" s="130">
        <f t="shared" ref="T34" si="23">Q34/S34</f>
        <v>53.705634692853621</v>
      </c>
      <c r="U34" s="85">
        <f>Q32+Q33+Q34</f>
        <v>5479724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180476</v>
      </c>
      <c r="G35" s="190">
        <f t="shared" ref="G35" si="24">F35/F34-1</f>
        <v>0.79164141298032509</v>
      </c>
      <c r="H35" s="190">
        <f t="shared" ref="H35" si="25">F35/F23-1</f>
        <v>2.0524482029598308</v>
      </c>
      <c r="I35" s="130">
        <f t="shared" si="0"/>
        <v>53.740215688559182</v>
      </c>
      <c r="J35" s="130">
        <f t="shared" si="5"/>
        <v>7.0634003922134259E-3</v>
      </c>
      <c r="K35" s="136"/>
      <c r="L35" s="190"/>
      <c r="M35" s="190"/>
      <c r="N35" s="191"/>
      <c r="O35" s="192"/>
      <c r="P35" s="129" t="s">
        <v>660</v>
      </c>
      <c r="Q35" s="116">
        <v>4150948</v>
      </c>
      <c r="R35" s="116">
        <v>5749628809</v>
      </c>
      <c r="S35" s="116">
        <v>77241</v>
      </c>
      <c r="T35" s="130">
        <f t="shared" ref="T35" si="26">Q35/S35</f>
        <v>53.740215688559182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197835.90476190476</v>
      </c>
      <c r="G36" s="190">
        <f t="shared" ref="G36" si="27">F36/F35-1</f>
        <v>9.6189547429601507E-2</v>
      </c>
      <c r="H36" s="190">
        <f t="shared" ref="H36" si="28">F36/F24-1</f>
        <v>1.6369362810181256</v>
      </c>
      <c r="I36" s="130">
        <f t="shared" si="0"/>
        <v>53.620944537213838</v>
      </c>
      <c r="J36" s="130">
        <f t="shared" si="5"/>
        <v>3.6207207086575988E-2</v>
      </c>
      <c r="K36" s="136"/>
      <c r="L36" s="190"/>
      <c r="M36" s="190"/>
      <c r="N36" s="191"/>
      <c r="O36" s="192"/>
      <c r="P36" s="129" t="s">
        <v>674</v>
      </c>
      <c r="Q36" s="116">
        <v>4154554</v>
      </c>
      <c r="R36" s="116">
        <v>5657725391</v>
      </c>
      <c r="S36" s="116">
        <v>77480.06</v>
      </c>
      <c r="T36" s="130">
        <f t="shared" ref="T36" si="29">Q36/S36</f>
        <v>53.620944537213838</v>
      </c>
      <c r="U36" s="85"/>
    </row>
    <row r="37" spans="1:21" s="79" customFormat="1" ht="13.2" hidden="1">
      <c r="A37" s="129" t="s">
        <v>702</v>
      </c>
      <c r="B37" s="188">
        <f>SUM(F35:F37)</f>
        <v>581281.68253968249</v>
      </c>
      <c r="C37" s="188">
        <f>AVERAGE(F35:F37)</f>
        <v>193760.56084656084</v>
      </c>
      <c r="D37" s="190">
        <f>C37/C34-1</f>
        <v>1.1486552510912129</v>
      </c>
      <c r="E37" s="287">
        <f>C37/C25-1</f>
        <v>0.89677070653368385</v>
      </c>
      <c r="F37" s="136">
        <f>Q37/18</f>
        <v>202969.77777777778</v>
      </c>
      <c r="G37" s="190">
        <f t="shared" ref="G37" si="30">F37/F36-1</f>
        <v>2.5950158147741931E-2</v>
      </c>
      <c r="H37" s="190">
        <f t="shared" ref="H37" si="31">F37/F25-1</f>
        <v>0.17794282225375135</v>
      </c>
      <c r="I37" s="130">
        <f t="shared" si="0"/>
        <v>52.992567751817447</v>
      </c>
      <c r="J37" s="130">
        <f t="shared" si="5"/>
        <v>4.793789501554313E-2</v>
      </c>
      <c r="K37" s="136">
        <f>R35+R36+R37</f>
        <v>16285377754</v>
      </c>
      <c r="L37" s="190">
        <f>U37/U34-1</f>
        <v>1.1824015224124427</v>
      </c>
      <c r="M37" s="190">
        <f>U37/U25-1</f>
        <v>0.93948820944664946</v>
      </c>
      <c r="N37" s="191">
        <f>AVERAGE(T35:T37)</f>
        <v>53.451242659196822</v>
      </c>
      <c r="O37" s="192">
        <f>N37/N34-1</f>
        <v>-9.715436056959903E-3</v>
      </c>
      <c r="P37" s="129" t="s">
        <v>702</v>
      </c>
      <c r="Q37" s="116">
        <v>3653456</v>
      </c>
      <c r="R37" s="116">
        <v>4878023554</v>
      </c>
      <c r="S37" s="116">
        <v>68942.8</v>
      </c>
      <c r="T37" s="130">
        <f t="shared" ref="T37" si="32">Q37/S37</f>
        <v>52.992567751817447</v>
      </c>
      <c r="U37" s="85">
        <f>Q35+Q36+Q37</f>
        <v>11958958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130072.05</v>
      </c>
      <c r="G38" s="190">
        <f t="shared" ref="G38" si="33">F38/F37-1</f>
        <v>-0.35915557762294115</v>
      </c>
      <c r="H38" s="190">
        <f t="shared" ref="H38" si="34">F38/F26-1</f>
        <v>5.4037906432808258E-2</v>
      </c>
      <c r="I38" s="130">
        <f t="shared" si="0"/>
        <v>53.41413700898277</v>
      </c>
      <c r="J38" s="130">
        <f t="shared" si="5"/>
        <v>-4.858138686019442E-2</v>
      </c>
      <c r="K38" s="136"/>
      <c r="L38" s="190"/>
      <c r="M38" s="190"/>
      <c r="N38" s="191"/>
      <c r="O38" s="192"/>
      <c r="P38" s="129" t="s">
        <v>736</v>
      </c>
      <c r="Q38" s="116">
        <v>2601441</v>
      </c>
      <c r="R38" s="116">
        <v>3494637890</v>
      </c>
      <c r="S38" s="116">
        <v>48703.23</v>
      </c>
      <c r="T38" s="130">
        <f t="shared" ref="T38" si="35">Q38/S38</f>
        <v>53.41413700898277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118761.33333333333</v>
      </c>
      <c r="G39" s="190">
        <f t="shared" ref="G39" si="36">F39/F38-1</f>
        <v>-8.6957318399046302E-2</v>
      </c>
      <c r="H39" s="190">
        <f t="shared" ref="H39" si="37">F39/F27-1</f>
        <v>0.51087805491110405</v>
      </c>
      <c r="I39" s="130">
        <f t="shared" si="0"/>
        <v>53.424279288224092</v>
      </c>
      <c r="J39" s="130">
        <f t="shared" si="5"/>
        <v>-3.3232945452256857E-2</v>
      </c>
      <c r="K39" s="136"/>
      <c r="L39" s="190"/>
      <c r="M39" s="190"/>
      <c r="N39" s="191"/>
      <c r="O39" s="192"/>
      <c r="P39" s="129" t="s">
        <v>762</v>
      </c>
      <c r="Q39" s="116">
        <v>2493988</v>
      </c>
      <c r="R39" s="116">
        <v>3469796897</v>
      </c>
      <c r="S39" s="116">
        <v>46682.67</v>
      </c>
      <c r="T39" s="130">
        <f t="shared" ref="T39" si="38">Q39/S39</f>
        <v>53.424279288224092</v>
      </c>
      <c r="U39" s="85"/>
    </row>
    <row r="40" spans="1:21" s="79" customFormat="1" ht="13.2" hidden="1">
      <c r="A40" s="129" t="s">
        <v>777</v>
      </c>
      <c r="B40" s="188">
        <f>SUM(F38:F40)</f>
        <v>376228.09761904762</v>
      </c>
      <c r="C40" s="188">
        <f>AVERAGE(F38:F40)</f>
        <v>125409.36587301588</v>
      </c>
      <c r="D40" s="190">
        <f>C40/C37-1</f>
        <v>-0.35276113299275769</v>
      </c>
      <c r="E40" s="287">
        <f>C40/C28-1</f>
        <v>0.15153391588288767</v>
      </c>
      <c r="F40" s="136">
        <f>Q40/21</f>
        <v>127394.71428571429</v>
      </c>
      <c r="G40" s="190">
        <f t="shared" ref="G40" si="39">F40/F39-1</f>
        <v>7.2695217458945249E-2</v>
      </c>
      <c r="H40" s="190">
        <f t="shared" ref="H40" si="40">F40/F28-1</f>
        <v>2.151688063952828E-2</v>
      </c>
      <c r="I40" s="130">
        <f t="shared" si="0"/>
        <v>53.496696260974886</v>
      </c>
      <c r="J40" s="130">
        <f t="shared" si="5"/>
        <v>-3.1636456077840158E-2</v>
      </c>
      <c r="K40" s="136">
        <f>R38+R39+R40</f>
        <v>10753253026</v>
      </c>
      <c r="L40" s="190">
        <f>U40/U37-1</f>
        <v>-0.35021780325677199</v>
      </c>
      <c r="M40" s="190">
        <f>U40/U28-1</f>
        <v>0.20598248615847825</v>
      </c>
      <c r="N40" s="191">
        <f>AVERAGE(T38:T40)</f>
        <v>53.445037519393914</v>
      </c>
      <c r="O40" s="192">
        <f>N40/N37-1</f>
        <v>-1.1608972016741159E-4</v>
      </c>
      <c r="P40" s="129" t="s">
        <v>779</v>
      </c>
      <c r="Q40" s="116">
        <v>2675289</v>
      </c>
      <c r="R40" s="116">
        <v>3788818239</v>
      </c>
      <c r="S40" s="116">
        <v>50008.49</v>
      </c>
      <c r="T40" s="130">
        <f t="shared" ref="T40" si="41">Q40/S40</f>
        <v>53.496696260974886</v>
      </c>
      <c r="U40" s="85">
        <f>Q38+Q39+Q40</f>
        <v>7770718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103055.94444444444</v>
      </c>
      <c r="G41" s="190">
        <f t="shared" ref="G41" si="42">F41/F40-1</f>
        <v>-0.19105007596064083</v>
      </c>
      <c r="H41" s="190">
        <f t="shared" ref="H41" si="43">F41/F29-1</f>
        <v>0.46679397283296487</v>
      </c>
      <c r="I41" s="130">
        <f t="shared" si="0"/>
        <v>53.063633783929127</v>
      </c>
      <c r="J41" s="130">
        <f t="shared" si="5"/>
        <v>-2.8535268608399722E-2</v>
      </c>
      <c r="K41" s="193"/>
      <c r="L41" s="190"/>
      <c r="M41" s="190"/>
      <c r="N41" s="193"/>
      <c r="O41" s="193"/>
      <c r="P41" s="129" t="s">
        <v>792</v>
      </c>
      <c r="Q41" s="116">
        <v>1855007</v>
      </c>
      <c r="R41" s="116">
        <v>2716540983</v>
      </c>
      <c r="S41" s="116">
        <v>34958.160000000003</v>
      </c>
      <c r="T41" s="130">
        <f t="shared" ref="T41" si="44">Q41/S41</f>
        <v>53.063633783929127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112025.25</v>
      </c>
      <c r="G42" s="190">
        <f t="shared" ref="G42" si="45">F42/F41-1</f>
        <v>8.7033364294582194E-2</v>
      </c>
      <c r="H42" s="190">
        <f t="shared" ref="H42" si="46">F42/F30-1</f>
        <v>-4.8249002965949916E-2</v>
      </c>
      <c r="I42" s="130">
        <f t="shared" si="0"/>
        <v>52.790939158254425</v>
      </c>
      <c r="J42" s="130">
        <f t="shared" si="5"/>
        <v>-3.8340015958944984E-2</v>
      </c>
      <c r="K42" s="193"/>
      <c r="L42" s="190"/>
      <c r="M42" s="190"/>
      <c r="N42" s="193"/>
      <c r="O42" s="193"/>
      <c r="P42" s="129" t="s">
        <v>826</v>
      </c>
      <c r="Q42" s="116">
        <v>2240505</v>
      </c>
      <c r="R42" s="116">
        <v>3236337936</v>
      </c>
      <c r="S42" s="116">
        <v>42441.09</v>
      </c>
      <c r="T42" s="130">
        <f t="shared" ref="T42" si="47">Q42/S42</f>
        <v>52.790939158254425</v>
      </c>
      <c r="U42" s="78"/>
    </row>
    <row r="43" spans="1:21" s="79" customFormat="1" ht="13.2">
      <c r="A43" s="129" t="s">
        <v>835</v>
      </c>
      <c r="B43" s="188">
        <f>SUM(F41:F43)</f>
        <v>342671.8444444444</v>
      </c>
      <c r="C43" s="188">
        <f>AVERAGE(F41:F43)</f>
        <v>114223.94814814813</v>
      </c>
      <c r="D43" s="190">
        <f>C43/C40-1</f>
        <v>-8.9191246977467498E-2</v>
      </c>
      <c r="E43" s="287">
        <f>C43/C31-1</f>
        <v>0.13509975471458691</v>
      </c>
      <c r="F43" s="136">
        <f>Q43/20</f>
        <v>127590.65</v>
      </c>
      <c r="G43" s="190">
        <f t="shared" ref="G43" si="48">F43/F42-1</f>
        <v>0.13894546095634674</v>
      </c>
      <c r="H43" s="190">
        <f t="shared" ref="H43" si="49">F43/F31-1</f>
        <v>0.11996975157847412</v>
      </c>
      <c r="I43" s="130">
        <f t="shared" si="0"/>
        <v>51.129520244926745</v>
      </c>
      <c r="J43" s="130">
        <f t="shared" si="5"/>
        <v>-7.0338800695352921E-2</v>
      </c>
      <c r="K43" s="136">
        <f>R41+R42+R43</f>
        <v>9654116025</v>
      </c>
      <c r="L43" s="190">
        <f>U43/U40-1</f>
        <v>-0.14456746467958304</v>
      </c>
      <c r="M43" s="190">
        <f>K43/K31-1</f>
        <v>0.19906178537260844</v>
      </c>
      <c r="N43" s="191">
        <f>AVERAGE(T41:T43)</f>
        <v>52.328031062370094</v>
      </c>
      <c r="O43" s="192">
        <f>N43/N40-1</f>
        <v>-2.090009678856497E-2</v>
      </c>
      <c r="P43" s="129" t="s">
        <v>835</v>
      </c>
      <c r="Q43" s="116">
        <v>2551813</v>
      </c>
      <c r="R43" s="116">
        <v>3701237106</v>
      </c>
      <c r="S43" s="116">
        <v>49908.800000000003</v>
      </c>
      <c r="T43" s="130">
        <f t="shared" ref="T43" si="50">Q43/S43</f>
        <v>51.129520244926745</v>
      </c>
      <c r="U43" s="85">
        <f>Q41+Q42+Q43</f>
        <v>6647325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121075.31818181818</v>
      </c>
      <c r="G44" s="190">
        <f t="shared" ref="G44" si="51">F44/F43-1</f>
        <v>-5.1064335969617014E-2</v>
      </c>
      <c r="H44" s="190">
        <f t="shared" ref="H44" si="52">F44/F32-1</f>
        <v>1.6932130899384386</v>
      </c>
      <c r="I44" s="130">
        <f t="shared" si="0"/>
        <v>50.993720685364217</v>
      </c>
      <c r="J44" s="130">
        <f t="shared" si="5"/>
        <v>-6.9413075745108799E-2</v>
      </c>
      <c r="K44" s="136"/>
      <c r="L44" s="190"/>
      <c r="M44" s="190"/>
      <c r="N44" s="191"/>
      <c r="O44" s="192"/>
      <c r="P44" s="129" t="s">
        <v>841</v>
      </c>
      <c r="Q44" s="116">
        <v>2663657</v>
      </c>
      <c r="R44" s="116">
        <v>3856345675</v>
      </c>
      <c r="S44" s="116">
        <v>52235</v>
      </c>
      <c r="T44" s="130">
        <f t="shared" ref="T44" si="53">Q44/S44</f>
        <v>50.993720685364217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149244.1</v>
      </c>
      <c r="G45" s="190">
        <f t="shared" ref="G45" si="54">F45/F44-1</f>
        <v>0.23265503028355394</v>
      </c>
      <c r="H45" s="190">
        <f t="shared" ref="H45" si="55">F45/F33-1</f>
        <v>0.19543650748242958</v>
      </c>
      <c r="I45" s="130">
        <f t="shared" si="0"/>
        <v>50.832762116259204</v>
      </c>
      <c r="J45" s="130">
        <f t="shared" si="5"/>
        <v>-4.8501631900781494E-2</v>
      </c>
      <c r="K45" s="136"/>
      <c r="L45" s="190"/>
      <c r="M45" s="190"/>
      <c r="N45" s="191"/>
      <c r="O45" s="192"/>
      <c r="P45" s="129" t="s">
        <v>849</v>
      </c>
      <c r="Q45" s="116">
        <v>2984882</v>
      </c>
      <c r="R45" s="116">
        <v>4202847388</v>
      </c>
      <c r="S45" s="116">
        <v>58719.65</v>
      </c>
      <c r="T45" s="130">
        <f t="shared" ref="T45" si="56">Q45/S45</f>
        <v>50.832762116259204</v>
      </c>
      <c r="U45" s="85"/>
    </row>
    <row r="46" spans="1:21" s="79" customFormat="1" ht="13.2">
      <c r="A46" s="129" t="s">
        <v>888</v>
      </c>
      <c r="B46" s="188">
        <f>SUM(F44:F46)</f>
        <v>418278.52344497608</v>
      </c>
      <c r="C46" s="188">
        <f>AVERAGE(F44:F46)</f>
        <v>139426.1744816587</v>
      </c>
      <c r="D46" s="190">
        <f>C46/C43-1</f>
        <v>0.22063872543455898</v>
      </c>
      <c r="E46" s="287">
        <f>C46/C34-1</f>
        <v>0.54612879231296385</v>
      </c>
      <c r="F46" s="136">
        <f>Q46/19</f>
        <v>147959.10526315789</v>
      </c>
      <c r="G46" s="190">
        <f t="shared" ref="G46" si="57">F46/F45-1</f>
        <v>-8.6100203414547494E-3</v>
      </c>
      <c r="H46" s="190">
        <f t="shared" ref="H46" si="58">F46/F34-1</f>
        <v>0.46883608023775381</v>
      </c>
      <c r="I46" s="130">
        <f t="shared" si="0"/>
        <v>50.764311565218925</v>
      </c>
      <c r="J46" s="130">
        <f t="shared" si="5"/>
        <v>-5.4767495896032803E-2</v>
      </c>
      <c r="K46" s="136">
        <f>R44+R45+R46</f>
        <v>11910153929</v>
      </c>
      <c r="L46" s="190">
        <f>U46/U43-1</f>
        <v>0.27265659494608729</v>
      </c>
      <c r="M46" s="190">
        <f>K46/K34-1</f>
        <v>0.58789468088429442</v>
      </c>
      <c r="N46" s="191">
        <f>AVERAGE(T44:T46)</f>
        <v>50.863598122280784</v>
      </c>
      <c r="O46" s="192">
        <f>N46/N43-1</f>
        <v>-2.7985630461498601E-2</v>
      </c>
      <c r="P46" s="129" t="s">
        <v>888</v>
      </c>
      <c r="Q46" s="116">
        <v>2811223</v>
      </c>
      <c r="R46" s="116">
        <v>3850960866</v>
      </c>
      <c r="S46" s="116">
        <v>55377.94</v>
      </c>
      <c r="T46" s="130">
        <f t="shared" ref="T46" si="59">Q46/S46</f>
        <v>50.764311565218925</v>
      </c>
      <c r="U46" s="85">
        <f t="shared" ref="U46:U51" si="60">Q44+Q45+Q46</f>
        <v>8459762</v>
      </c>
    </row>
    <row r="47" spans="1:21" s="79" customFormat="1" ht="13.2">
      <c r="A47" s="129" t="s">
        <v>998</v>
      </c>
      <c r="B47" s="188"/>
      <c r="C47" s="188"/>
      <c r="D47" s="190"/>
      <c r="E47" s="287"/>
      <c r="F47" s="136">
        <f>Q47/23</f>
        <v>106080.43478260869</v>
      </c>
      <c r="G47" s="190">
        <f t="shared" ref="G47" si="61">F47/F46-1</f>
        <v>-0.28304219876204584</v>
      </c>
      <c r="H47" s="190">
        <f t="shared" ref="H47" si="62">F47/F35-1</f>
        <v>-0.41221860644845465</v>
      </c>
      <c r="I47" s="130">
        <f t="shared" si="0"/>
        <v>50.986705652997003</v>
      </c>
      <c r="J47" s="130">
        <f t="shared" si="5"/>
        <v>-5.1237420622194829E-2</v>
      </c>
      <c r="K47" s="136"/>
      <c r="L47" s="190"/>
      <c r="M47" s="190"/>
      <c r="N47" s="191"/>
      <c r="O47" s="192"/>
      <c r="P47" s="129" t="s">
        <v>1029</v>
      </c>
      <c r="Q47" s="116">
        <v>2439850</v>
      </c>
      <c r="R47" s="116">
        <v>3351708072</v>
      </c>
      <c r="S47" s="116">
        <v>47852.67</v>
      </c>
      <c r="T47" s="130">
        <f t="shared" ref="T47" si="63">Q47/S47</f>
        <v>50.986705652997003</v>
      </c>
      <c r="U47" s="85">
        <f t="shared" si="60"/>
        <v>8235955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116496.65</v>
      </c>
      <c r="G48" s="190">
        <f t="shared" ref="G48" si="64">F48/F47-1</f>
        <v>9.8191671619156873E-2</v>
      </c>
      <c r="H48" s="190">
        <f t="shared" ref="H48" si="65">F48/F36-1</f>
        <v>-0.41114505913270116</v>
      </c>
      <c r="I48" s="130">
        <f t="shared" si="0"/>
        <v>50.234849283572238</v>
      </c>
      <c r="J48" s="130">
        <f t="shared" si="5"/>
        <v>-6.3148743142553032E-2</v>
      </c>
      <c r="K48" s="136"/>
      <c r="L48" s="190"/>
      <c r="M48" s="190"/>
      <c r="N48" s="191"/>
      <c r="O48" s="192"/>
      <c r="P48" s="129" t="s">
        <v>1125</v>
      </c>
      <c r="Q48" s="116">
        <v>2329933</v>
      </c>
      <c r="R48" s="116">
        <v>3233692464</v>
      </c>
      <c r="S48" s="116">
        <v>46380.81</v>
      </c>
      <c r="T48" s="130">
        <f t="shared" ref="T48" si="66">Q48/S48</f>
        <v>50.234849283572238</v>
      </c>
      <c r="U48" s="85">
        <f t="shared" si="60"/>
        <v>7581006</v>
      </c>
    </row>
    <row r="49" spans="1:26" ht="13.2">
      <c r="A49" s="129" t="s">
        <v>1158</v>
      </c>
      <c r="B49" s="188">
        <f>SUM(F47:F49)</f>
        <v>355185.49387351773</v>
      </c>
      <c r="C49" s="188">
        <f>AVERAGE(F47:F49)</f>
        <v>118395.16462450591</v>
      </c>
      <c r="D49" s="190">
        <f>C49/C46-1</f>
        <v>-0.15083975397976213</v>
      </c>
      <c r="E49" s="287">
        <f>C49/C37-1</f>
        <v>-0.38896148882298531</v>
      </c>
      <c r="F49" s="136">
        <f>Q49/22</f>
        <v>132608.40909090909</v>
      </c>
      <c r="G49" s="190">
        <f t="shared" ref="G49" si="67">F49/F48-1</f>
        <v>0.13830233822954652</v>
      </c>
      <c r="H49" s="190">
        <f t="shared" ref="H49" si="68">F49/F37-1</f>
        <v>-0.34665933745024891</v>
      </c>
      <c r="I49" s="130">
        <f t="shared" si="0"/>
        <v>50.512503527790336</v>
      </c>
      <c r="J49" s="130">
        <f t="shared" si="5"/>
        <v>-4.6800227451557208E-2</v>
      </c>
      <c r="K49" s="136">
        <f>R47+R48+R49</f>
        <v>10641576132</v>
      </c>
      <c r="L49" s="190">
        <f>U49/U46-1</f>
        <v>-9.132573705974234E-2</v>
      </c>
      <c r="M49" s="190">
        <f>K49/K37-1</f>
        <v>-0.34655638372366127</v>
      </c>
      <c r="N49" s="191">
        <f>AVERAGE(T47:T49)</f>
        <v>50.578019488119857</v>
      </c>
      <c r="O49" s="192">
        <f>N49/N46-1</f>
        <v>-5.6145975649298796E-3</v>
      </c>
      <c r="P49" s="129" t="s">
        <v>1165</v>
      </c>
      <c r="Q49" s="116">
        <v>2917385</v>
      </c>
      <c r="R49" s="116">
        <v>4056175596</v>
      </c>
      <c r="S49" s="116">
        <v>57755.7</v>
      </c>
      <c r="T49" s="130">
        <f t="shared" ref="T49" si="69">Q49/S49</f>
        <v>50.512503527790336</v>
      </c>
      <c r="U49" s="85">
        <f t="shared" si="60"/>
        <v>7687168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96522.555555555562</v>
      </c>
      <c r="G50" s="190">
        <f t="shared" ref="G50" si="70">F50/F49-1</f>
        <v>-0.27212341798486572</v>
      </c>
      <c r="H50" s="190">
        <f t="shared" ref="H50" si="71">F50/F38-1</f>
        <v>-0.25793008140061169</v>
      </c>
      <c r="I50" s="130">
        <f t="shared" ref="I50" si="72">T50</f>
        <v>50.405777583461251</v>
      </c>
      <c r="J50" s="130">
        <f t="shared" ref="J50" si="73">I50/I38-1</f>
        <v>-5.6321408413199658E-2</v>
      </c>
      <c r="K50" s="136"/>
      <c r="L50" s="190"/>
      <c r="M50" s="190"/>
      <c r="N50" s="191"/>
      <c r="O50" s="192"/>
      <c r="P50" s="129" t="s">
        <v>1291</v>
      </c>
      <c r="Q50" s="116">
        <v>1737406</v>
      </c>
      <c r="R50" s="116">
        <v>2463092304</v>
      </c>
      <c r="S50" s="116">
        <v>34468.39</v>
      </c>
      <c r="T50" s="130">
        <f t="shared" ref="T50" si="74">Q50/S50</f>
        <v>50.405777583461251</v>
      </c>
      <c r="U50" s="85">
        <f t="shared" si="60"/>
        <v>6984724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77104.600000000006</v>
      </c>
      <c r="G51" s="190">
        <f t="shared" ref="G51:G52" si="75">F51/F50-1</f>
        <v>-0.20117531538396893</v>
      </c>
      <c r="H51" s="190">
        <f t="shared" ref="H51:H52" si="76">F51/F39-1</f>
        <v>-0.35076006781107194</v>
      </c>
      <c r="I51" s="130">
        <f t="shared" ref="I51:I52" si="77">T51</f>
        <v>50.816140246815941</v>
      </c>
      <c r="J51" s="130">
        <f t="shared" ref="J51:J52" si="78">I51/I39-1</f>
        <v>-4.8819358466910434E-2</v>
      </c>
      <c r="K51" s="136"/>
      <c r="L51" s="190"/>
      <c r="M51" s="190"/>
      <c r="N51" s="191"/>
      <c r="O51" s="192"/>
      <c r="P51" s="129" t="s">
        <v>1402</v>
      </c>
      <c r="Q51" s="116">
        <v>1542092</v>
      </c>
      <c r="R51" s="116">
        <v>2233327942</v>
      </c>
      <c r="S51" s="116">
        <v>30346.5</v>
      </c>
      <c r="T51" s="130">
        <f t="shared" ref="T51:T52" si="79">Q51/S51</f>
        <v>50.816140246815941</v>
      </c>
      <c r="U51" s="85">
        <f t="shared" si="60"/>
        <v>6196883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276119.11010101013</v>
      </c>
      <c r="C52" s="188">
        <f>AVERAGE(F50:F52)</f>
        <v>92039.703367003371</v>
      </c>
      <c r="D52" s="190">
        <f>C52/C49-1</f>
        <v>-0.22260589223461735</v>
      </c>
      <c r="E52" s="287">
        <f>C52/C40-1</f>
        <v>-0.26608588819276213</v>
      </c>
      <c r="F52" s="136">
        <f>Q52/22</f>
        <v>102491.95454545454</v>
      </c>
      <c r="G52" s="190">
        <f t="shared" si="75"/>
        <v>0.32925862458860489</v>
      </c>
      <c r="H52" s="190">
        <f t="shared" si="76"/>
        <v>-0.19547718192145025</v>
      </c>
      <c r="I52" s="130">
        <f t="shared" si="77"/>
        <v>44.52123671736431</v>
      </c>
      <c r="J52" s="130">
        <f t="shared" si="78"/>
        <v>-0.16777595946907198</v>
      </c>
      <c r="K52" s="136">
        <f>R50+R51+R52</f>
        <v>8012793758</v>
      </c>
      <c r="L52" s="190">
        <f>U52/U49-1</f>
        <v>-0.28005723304082852</v>
      </c>
      <c r="M52" s="190">
        <f>K52/K40-1</f>
        <v>-0.25484932432761676</v>
      </c>
      <c r="N52" s="191">
        <f>AVERAGE(T50:T52)</f>
        <v>48.581051515880496</v>
      </c>
      <c r="O52" s="192">
        <f>N52/N49-1</f>
        <v>-3.9482921483480093E-2</v>
      </c>
      <c r="P52" s="129" t="s">
        <v>1403</v>
      </c>
      <c r="Q52" s="116">
        <v>2254823</v>
      </c>
      <c r="R52" s="116">
        <v>3316373512</v>
      </c>
      <c r="S52" s="116">
        <v>50646.01</v>
      </c>
      <c r="T52" s="130">
        <f t="shared" si="79"/>
        <v>44.52123671736431</v>
      </c>
      <c r="U52" s="85">
        <f t="shared" ref="U52" si="80">Q50+Q51+Q52</f>
        <v>5534321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126861.09523809524</v>
      </c>
      <c r="G53" s="190">
        <f t="shared" ref="G53" si="81">F53/F52-1</f>
        <v>0.23776637688993563</v>
      </c>
      <c r="H53" s="190">
        <f t="shared" ref="H53" si="82">F53/F41-1</f>
        <v>0.23099250530359972</v>
      </c>
      <c r="I53" s="130">
        <f t="shared" ref="I53" si="83">T53</f>
        <v>49.152188071371775</v>
      </c>
      <c r="J53" s="130">
        <f t="shared" ref="J53" si="84">I53/I41-1</f>
        <v>-7.3712360681600586E-2</v>
      </c>
      <c r="K53" s="136"/>
      <c r="L53" s="190"/>
      <c r="M53" s="190"/>
      <c r="N53" s="191"/>
      <c r="O53" s="192"/>
      <c r="P53" s="129" t="s">
        <v>1414</v>
      </c>
      <c r="Q53" s="116">
        <v>2664083</v>
      </c>
      <c r="R53" s="116">
        <v>3877583505</v>
      </c>
      <c r="S53" s="116">
        <v>54200.7</v>
      </c>
      <c r="T53" s="130">
        <f t="shared" ref="T53" si="85">Q53/S53</f>
        <v>49.152188071371775</v>
      </c>
      <c r="U53" s="85">
        <f t="shared" ref="U53" si="86">Q51+Q52+Q53</f>
        <v>6460998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130594.35294117648</v>
      </c>
      <c r="G54" s="190">
        <f t="shared" ref="G54" si="87">F54/F53-1</f>
        <v>2.9427916384251462E-2</v>
      </c>
      <c r="H54" s="190">
        <f t="shared" ref="H54" si="88">F54/F42-1</f>
        <v>0.16575819238231082</v>
      </c>
      <c r="I54" s="130">
        <f t="shared" ref="I54" si="89">T54</f>
        <v>49.450325243163924</v>
      </c>
      <c r="J54" s="130">
        <f t="shared" ref="J54" si="90">I54/I42-1</f>
        <v>-6.3280062229545742E-2</v>
      </c>
      <c r="K54" s="136"/>
      <c r="L54" s="190"/>
      <c r="M54" s="190"/>
      <c r="N54" s="191"/>
      <c r="O54" s="192"/>
      <c r="P54" s="129" t="s">
        <v>1417</v>
      </c>
      <c r="Q54" s="116">
        <v>2220104</v>
      </c>
      <c r="R54" s="116">
        <v>3210656812</v>
      </c>
      <c r="S54" s="116">
        <v>44895.64</v>
      </c>
      <c r="T54" s="130">
        <f t="shared" ref="T54" si="91">Q54/S54</f>
        <v>49.450325243163924</v>
      </c>
      <c r="U54" s="85">
        <f t="shared" ref="U54" si="92">Q52+Q53+Q54</f>
        <v>7139010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363663.59103641455</v>
      </c>
      <c r="C55" s="188">
        <f>AVERAGE(F53:F55)</f>
        <v>121221.19701213819</v>
      </c>
      <c r="D55" s="190">
        <f>C55/C52-1</f>
        <v>0.317053321312599</v>
      </c>
      <c r="E55" s="287">
        <f>C55/C43-1</f>
        <v>6.1259035232389625E-2</v>
      </c>
      <c r="F55" s="136">
        <f>Q55/21</f>
        <v>106208.14285714286</v>
      </c>
      <c r="G55" s="190">
        <f t="shared" ref="G55" si="93">F55/F54-1</f>
        <v>-0.18673250056239321</v>
      </c>
      <c r="H55" s="190">
        <f t="shared" ref="H55" si="94">F55/F43-1</f>
        <v>-0.16758678745548472</v>
      </c>
      <c r="I55" s="130">
        <f>T55</f>
        <v>49.921437175928347</v>
      </c>
      <c r="J55" s="130">
        <f t="shared" ref="J55" si="95">I55/I43-1</f>
        <v>-2.3627897606144033E-2</v>
      </c>
      <c r="K55" s="136">
        <f>R53+R54+R55</f>
        <v>10374919095</v>
      </c>
      <c r="L55" s="190">
        <f>U55/U52-1</f>
        <v>0.28553403389503429</v>
      </c>
      <c r="M55" s="190">
        <f>K55/K43-1</f>
        <v>7.4662772659188192E-2</v>
      </c>
      <c r="N55" s="191">
        <f>AVERAGE(T53:T55)</f>
        <v>49.507983496821346</v>
      </c>
      <c r="O55" s="192">
        <f>N55/N52-1</f>
        <v>1.9080113583746616E-2</v>
      </c>
      <c r="P55" s="129" t="s">
        <v>1418</v>
      </c>
      <c r="Q55" s="116">
        <v>2230371</v>
      </c>
      <c r="R55" s="116">
        <v>3286678778</v>
      </c>
      <c r="S55" s="116">
        <v>44677.62</v>
      </c>
      <c r="T55" s="130">
        <f t="shared" ref="T55" si="96">Q55/S55</f>
        <v>49.921437175928347</v>
      </c>
      <c r="U55" s="85">
        <f t="shared" ref="U55" si="97">Q53+Q54+Q55</f>
        <v>7114558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141757.36363636365</v>
      </c>
      <c r="G56" s="190">
        <f t="shared" ref="G56" si="98">F56/F55-1</f>
        <v>0.33471276140320905</v>
      </c>
      <c r="H56" s="190">
        <f t="shared" ref="H56" si="99">F56/F44-1</f>
        <v>0.17081966634592982</v>
      </c>
      <c r="I56" s="291">
        <f>T56</f>
        <v>41.897790018136632</v>
      </c>
      <c r="J56" s="130">
        <f t="shared" ref="J56" si="100">I56/I44-1</f>
        <v>-0.17837354374179293</v>
      </c>
      <c r="K56" s="136"/>
      <c r="L56" s="190"/>
      <c r="M56" s="190"/>
      <c r="N56" s="191"/>
      <c r="O56" s="192"/>
      <c r="P56" s="129" t="s">
        <v>1420</v>
      </c>
      <c r="Q56" s="116">
        <v>3118662</v>
      </c>
      <c r="R56" s="116">
        <v>4675377213</v>
      </c>
      <c r="S56" s="116">
        <v>74435</v>
      </c>
      <c r="T56" s="130">
        <f t="shared" ref="T56" si="101">Q56/S56</f>
        <v>41.897790018136632</v>
      </c>
      <c r="U56" s="85">
        <f t="shared" ref="U56" si="102">Q54+Q55+Q56</f>
        <v>7569137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118408.58333333333</v>
      </c>
      <c r="G57" s="254">
        <f t="shared" ref="G57" si="103">F57/F56-1</f>
        <v>-0.16470947049300855</v>
      </c>
      <c r="H57" s="254">
        <f t="shared" ref="H57" si="104">F57/F45-1</f>
        <v>-0.20661129429348746</v>
      </c>
      <c r="I57" s="282">
        <f>T57</f>
        <v>35.178163193256424</v>
      </c>
      <c r="J57" s="277">
        <f t="shared" ref="J57" si="105">I57/I45-1</f>
        <v>-0.30796278367087893</v>
      </c>
      <c r="K57" s="204"/>
      <c r="L57" s="254"/>
      <c r="M57" s="254"/>
      <c r="N57" s="257"/>
      <c r="O57" s="258"/>
      <c r="P57" s="129" t="s">
        <v>1436</v>
      </c>
      <c r="Q57" s="116">
        <v>1420903</v>
      </c>
      <c r="R57" s="116">
        <v>2092069500</v>
      </c>
      <c r="S57" s="116">
        <v>40391.620000000003</v>
      </c>
      <c r="T57" s="130">
        <f t="shared" ref="T57" si="106">Q57/S57</f>
        <v>35.178163193256424</v>
      </c>
      <c r="U57" s="85">
        <f t="shared" ref="U57" si="107">Q55+Q56+Q57</f>
        <v>6769936</v>
      </c>
      <c r="V57" s="79"/>
      <c r="W57" s="79"/>
      <c r="X57" s="79"/>
      <c r="Y57" s="79"/>
      <c r="Z57" s="79"/>
    </row>
    <row r="58" spans="1:26">
      <c r="B58" s="196">
        <f>SUM(F56:F58)</f>
        <v>260165.94696969696</v>
      </c>
      <c r="C58" s="196">
        <f>AVERAGE(F56:F58)</f>
        <v>130082.97348484848</v>
      </c>
      <c r="D58" s="197">
        <f>C58/C55-1</f>
        <v>7.3104182198621137E-2</v>
      </c>
      <c r="E58" s="233">
        <f>C58/C46-1</f>
        <v>-6.701181490165109E-2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11654123</v>
      </c>
      <c r="R66" s="212">
        <v>17142365808</v>
      </c>
      <c r="S66" s="213">
        <v>258600.59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2664083</v>
      </c>
      <c r="R67" s="181">
        <v>3877583505</v>
      </c>
      <c r="S67" s="182">
        <v>54200.7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2220104</v>
      </c>
      <c r="R68" s="181">
        <v>3210656812</v>
      </c>
      <c r="S68" s="182">
        <v>44895.64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2230371</v>
      </c>
      <c r="R69" s="181">
        <v>3286678778</v>
      </c>
      <c r="S69" s="182">
        <v>44677.62</v>
      </c>
      <c r="T69" s="210" t="s">
        <v>1421</v>
      </c>
      <c r="U69" s="210" t="s">
        <v>1421</v>
      </c>
    </row>
    <row r="70" spans="16:21" ht="18" thickBot="1">
      <c r="P70" s="180" t="s">
        <v>979</v>
      </c>
      <c r="Q70" s="181">
        <v>3118662</v>
      </c>
      <c r="R70" s="181">
        <v>4675377213</v>
      </c>
      <c r="S70" s="182">
        <v>74435</v>
      </c>
      <c r="T70" s="210" t="s">
        <v>1421</v>
      </c>
      <c r="U70" s="210" t="s">
        <v>1421</v>
      </c>
    </row>
    <row r="71" spans="16:21" ht="18" thickBot="1">
      <c r="P71" s="180" t="s">
        <v>980</v>
      </c>
      <c r="Q71" s="181">
        <v>1420903</v>
      </c>
      <c r="R71" s="181">
        <v>2092069500</v>
      </c>
      <c r="S71" s="182">
        <v>40391.620000000003</v>
      </c>
      <c r="T71" s="210" t="s">
        <v>1421</v>
      </c>
      <c r="U71" s="210" t="s">
        <v>1421</v>
      </c>
    </row>
    <row r="72" spans="16:21" ht="18" thickBot="1">
      <c r="P72" s="215" t="s">
        <v>975</v>
      </c>
      <c r="Q72" s="217" t="s">
        <v>1536</v>
      </c>
      <c r="R72"/>
      <c r="S72"/>
      <c r="T72"/>
      <c r="U72"/>
    </row>
    <row r="73" spans="16:21" ht="18" thickBot="1">
      <c r="P73" s="215" t="s">
        <v>982</v>
      </c>
      <c r="Q73" s="217" t="s">
        <v>1454</v>
      </c>
      <c r="R73"/>
      <c r="S73"/>
      <c r="T73"/>
      <c r="U73"/>
    </row>
  </sheetData>
  <phoneticPr fontId="1" type="noConversion"/>
  <conditionalFormatting sqref="C29:C30">
    <cfRule type="cellIs" dxfId="4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/>
  <dimension ref="A1:Z71"/>
  <sheetViews>
    <sheetView zoomScale="90" zoomScaleNormal="90" workbookViewId="0">
      <selection activeCell="F72" sqref="F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8479899099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49.665195956909891</v>
      </c>
      <c r="J5" s="130"/>
      <c r="L5" s="80"/>
      <c r="M5" s="80"/>
      <c r="P5" s="129" t="s">
        <v>0</v>
      </c>
      <c r="Q5" s="116">
        <v>266703406</v>
      </c>
      <c r="R5" s="116"/>
      <c r="S5" s="116">
        <v>5370026.25</v>
      </c>
      <c r="T5" s="130">
        <f t="shared" ref="T5:T11" si="1">Q5/S5</f>
        <v>49.665195956909891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41.433393856958354</v>
      </c>
      <c r="J6" s="130"/>
      <c r="P6" s="129" t="s">
        <v>1</v>
      </c>
      <c r="Q6" s="116">
        <v>180217166</v>
      </c>
      <c r="R6" s="116"/>
      <c r="S6" s="116">
        <v>4349563.22</v>
      </c>
      <c r="T6" s="130">
        <f t="shared" si="1"/>
        <v>41.433393856958354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48.600981658677711</v>
      </c>
      <c r="J7" s="130"/>
      <c r="K7" s="79">
        <f>R5+R6+R7</f>
        <v>0</v>
      </c>
      <c r="N7" s="88">
        <f>AVERAGE(T5:T7)</f>
        <v>46.566523824181985</v>
      </c>
      <c r="P7" s="129" t="s">
        <v>2</v>
      </c>
      <c r="Q7" s="116">
        <v>370226742</v>
      </c>
      <c r="R7" s="116"/>
      <c r="S7" s="116">
        <v>7617680.3300000001</v>
      </c>
      <c r="T7" s="130">
        <f t="shared" si="1"/>
        <v>48.600981658677711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48.715309074565681</v>
      </c>
      <c r="J8" s="130"/>
      <c r="K8" s="78"/>
      <c r="P8" s="129" t="s">
        <v>3</v>
      </c>
      <c r="Q8" s="116">
        <v>220815785</v>
      </c>
      <c r="R8" s="116"/>
      <c r="S8" s="116">
        <v>4532780.13</v>
      </c>
      <c r="T8" s="130">
        <f t="shared" si="1"/>
        <v>48.715309074565681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35.379152351155987</v>
      </c>
      <c r="J9" s="130"/>
      <c r="K9" s="78"/>
      <c r="P9" s="129" t="s">
        <v>4</v>
      </c>
      <c r="Q9" s="116">
        <v>213449076</v>
      </c>
      <c r="R9" s="116"/>
      <c r="S9" s="116">
        <v>6033187.96</v>
      </c>
      <c r="T9" s="130">
        <f t="shared" si="1"/>
        <v>35.379152351155987</v>
      </c>
      <c r="U9" s="85"/>
    </row>
    <row r="10" spans="1:21" ht="15" hidden="1" customHeight="1">
      <c r="A10" s="129" t="s">
        <v>5</v>
      </c>
      <c r="B10" s="131">
        <f>F8+F9+F10</f>
        <v>30940428.142857146</v>
      </c>
      <c r="C10" s="131">
        <f>AVERAGE(F8:F10)</f>
        <v>10313476.047619049</v>
      </c>
      <c r="D10" s="90">
        <f>C10/C7-1</f>
        <v>-0.22987253090819115</v>
      </c>
      <c r="E10" s="286"/>
      <c r="F10" s="78">
        <f>Q10/21</f>
        <v>10261149.047619049</v>
      </c>
      <c r="G10" s="90">
        <f t="shared" si="2"/>
        <v>9.5341429353388296E-3</v>
      </c>
      <c r="H10" s="90"/>
      <c r="I10" s="130">
        <f t="shared" si="0"/>
        <v>48.002824600655309</v>
      </c>
      <c r="J10" s="130"/>
      <c r="K10" s="79">
        <f>R8+R9+R10</f>
        <v>0</v>
      </c>
      <c r="L10" s="87">
        <f>U10/U7-1</f>
        <v>-0.20485697025738492</v>
      </c>
      <c r="N10" s="88">
        <f>AVERAGE(T8:T10)</f>
        <v>44.032428675458995</v>
      </c>
      <c r="O10" s="89">
        <f>N10/N7-1</f>
        <v>-5.4418817223523042E-2</v>
      </c>
      <c r="P10" s="129" t="s">
        <v>5</v>
      </c>
      <c r="Q10" s="116">
        <v>215484130</v>
      </c>
      <c r="R10" s="116"/>
      <c r="S10" s="116">
        <v>4488988.55</v>
      </c>
      <c r="T10" s="130">
        <f t="shared" si="1"/>
        <v>48.002824600655309</v>
      </c>
      <c r="U10" s="85">
        <f>Q8+Q9+Q10</f>
        <v>649748991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-6.5764611064397349E-2</v>
      </c>
      <c r="H11" s="90"/>
      <c r="I11" s="130">
        <f t="shared" si="0"/>
        <v>37.417088821354184</v>
      </c>
      <c r="J11" s="130"/>
      <c r="K11" s="78"/>
      <c r="O11" s="89"/>
      <c r="P11" s="129" t="s">
        <v>6</v>
      </c>
      <c r="Q11" s="116">
        <v>201312900</v>
      </c>
      <c r="R11" s="116"/>
      <c r="S11" s="116">
        <v>5380239.5199999996</v>
      </c>
      <c r="T11" s="130">
        <f t="shared" si="1"/>
        <v>37.417088821354184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36.619222177925472</v>
      </c>
      <c r="J12" s="130"/>
      <c r="K12" s="78"/>
      <c r="O12" s="89"/>
      <c r="P12" s="129" t="s">
        <v>7</v>
      </c>
      <c r="Q12" s="116">
        <v>164339326</v>
      </c>
      <c r="R12" s="116"/>
      <c r="S12" s="116">
        <v>4487788.55</v>
      </c>
      <c r="T12" s="130">
        <f>Q12/S12</f>
        <v>36.619222177925472</v>
      </c>
      <c r="U12" s="85"/>
    </row>
    <row r="13" spans="1:21" ht="15" hidden="1" customHeight="1">
      <c r="A13" s="129" t="s">
        <v>35</v>
      </c>
      <c r="B13" s="131">
        <f>F11+F12+F13</f>
        <v>25540441.435064934</v>
      </c>
      <c r="C13" s="131">
        <f>AVERAGE(F11:F13)</f>
        <v>8513480.4783549774</v>
      </c>
      <c r="D13" s="90">
        <f>C13/C10-1</f>
        <v>-0.17452850629149563</v>
      </c>
      <c r="E13" s="286"/>
      <c r="F13" s="78">
        <f>Q13/20</f>
        <v>8484143.5</v>
      </c>
      <c r="G13" s="90">
        <f t="shared" si="2"/>
        <v>0.13576684012930662</v>
      </c>
      <c r="H13" s="90"/>
      <c r="I13" s="130">
        <f t="shared" si="0"/>
        <v>45.459123243905161</v>
      </c>
      <c r="J13" s="130"/>
      <c r="K13" s="78">
        <f>R11+R12+R13</f>
        <v>0</v>
      </c>
      <c r="L13" s="87">
        <f>U13/U10-1</f>
        <v>-0.17608937695141413</v>
      </c>
      <c r="N13" s="88">
        <f>AVERAGE(T11:T13)</f>
        <v>39.831811414394942</v>
      </c>
      <c r="O13" s="89">
        <f>N13/N10-1</f>
        <v>-9.5398264129937127E-2</v>
      </c>
      <c r="P13" s="129" t="s">
        <v>60</v>
      </c>
      <c r="Q13" s="116">
        <v>169682870</v>
      </c>
      <c r="R13" s="116"/>
      <c r="S13" s="116">
        <v>3732647.22</v>
      </c>
      <c r="T13" s="130">
        <f>Q13/S13</f>
        <v>45.459123243905161</v>
      </c>
      <c r="U13" s="85">
        <f>Q11+Q12+Q13</f>
        <v>535335096</v>
      </c>
    </row>
    <row r="14" spans="1:21" ht="15" hidden="1" customHeight="1">
      <c r="A14" s="129" t="s">
        <v>36</v>
      </c>
      <c r="C14" s="79"/>
      <c r="F14" s="78">
        <f>Q14/20</f>
        <v>11431808.65</v>
      </c>
      <c r="G14" s="90">
        <f t="shared" si="2"/>
        <v>0.34743225995647053</v>
      </c>
      <c r="H14" s="90"/>
      <c r="I14" s="130">
        <f t="shared" si="0"/>
        <v>45.20319030809663</v>
      </c>
      <c r="J14" s="130"/>
      <c r="O14" s="89"/>
      <c r="P14" s="129" t="s">
        <v>36</v>
      </c>
      <c r="Q14" s="116">
        <v>228636173</v>
      </c>
      <c r="R14" s="116"/>
      <c r="S14" s="116">
        <v>5057965.41</v>
      </c>
      <c r="T14" s="130">
        <f>Q14/S14</f>
        <v>45.20319030809663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12785187.409090908</v>
      </c>
      <c r="G15" s="90">
        <f t="shared" si="2"/>
        <v>0.11838710745835557</v>
      </c>
      <c r="H15" s="90"/>
      <c r="I15" s="130">
        <f t="shared" si="0"/>
        <v>42.991530026973898</v>
      </c>
      <c r="J15" s="130"/>
      <c r="O15" s="89"/>
      <c r="P15" s="129" t="s">
        <v>37</v>
      </c>
      <c r="Q15" s="116">
        <v>281274123</v>
      </c>
      <c r="R15" s="116"/>
      <c r="S15" s="116">
        <v>6542547.4000000004</v>
      </c>
      <c r="T15" s="130">
        <f t="shared" ref="T15:T19" si="3">Q15/S15</f>
        <v>42.991530026973898</v>
      </c>
      <c r="U15" s="78"/>
    </row>
    <row r="16" spans="1:21" ht="15" hidden="1" customHeight="1">
      <c r="A16" s="123" t="s">
        <v>38</v>
      </c>
      <c r="B16" s="131">
        <f>F14+F15+F16</f>
        <v>38505185.422727272</v>
      </c>
      <c r="C16" s="131">
        <f>AVERAGE(F14:F16)</f>
        <v>12835061.807575757</v>
      </c>
      <c r="D16" s="90">
        <f>C16/C13-1</f>
        <v>0.50761628457458086</v>
      </c>
      <c r="E16" s="286"/>
      <c r="F16" s="78">
        <f>Q16/22</f>
        <v>14288189.363636363</v>
      </c>
      <c r="G16" s="90">
        <f t="shared" si="2"/>
        <v>0.1175580698548655</v>
      </c>
      <c r="H16" s="90"/>
      <c r="I16" s="130">
        <f t="shared" si="0"/>
        <v>49.844077504198211</v>
      </c>
      <c r="J16" s="130"/>
      <c r="K16" s="78">
        <f>R14+R15+R16</f>
        <v>0</v>
      </c>
      <c r="L16" s="87">
        <f>U16/U13-1</f>
        <v>0.5396906874941747</v>
      </c>
      <c r="N16" s="88">
        <f>AVERAGE(T14:T16)</f>
        <v>46.012932613089582</v>
      </c>
      <c r="O16" s="89">
        <f>N16/N13-1</f>
        <v>0.15518051977070835</v>
      </c>
      <c r="P16" s="123" t="s">
        <v>38</v>
      </c>
      <c r="Q16" s="133">
        <v>314340166</v>
      </c>
      <c r="R16" s="133"/>
      <c r="S16" s="133">
        <v>6306469.7300000004</v>
      </c>
      <c r="T16" s="134">
        <f t="shared" si="3"/>
        <v>49.844077504198211</v>
      </c>
      <c r="U16" s="85">
        <f>Q14+Q15+Q16</f>
        <v>824250462</v>
      </c>
    </row>
    <row r="17" spans="1:21" ht="15" hidden="1" customHeight="1">
      <c r="A17" s="129" t="s">
        <v>85</v>
      </c>
      <c r="C17" s="79"/>
      <c r="F17" s="78">
        <f>Q17/20</f>
        <v>6989691.7999999998</v>
      </c>
      <c r="G17" s="90">
        <f t="shared" ref="G17:G22" si="4">F17/F16-1</f>
        <v>-0.5108063294717482</v>
      </c>
      <c r="H17" s="90">
        <f t="shared" ref="H17:H22" si="5">F17/F5-1</f>
        <v>-0.4758453290993967</v>
      </c>
      <c r="I17" s="130">
        <f t="shared" si="0"/>
        <v>46.761216641488033</v>
      </c>
      <c r="J17" s="130">
        <f t="shared" ref="J17:J49" si="6">I17/I5-1</f>
        <v>-5.8471113613271175E-2</v>
      </c>
      <c r="O17" s="89"/>
      <c r="P17" s="129" t="s">
        <v>85</v>
      </c>
      <c r="Q17" s="116">
        <v>139793836</v>
      </c>
      <c r="R17" s="116">
        <v>175795922526</v>
      </c>
      <c r="S17" s="116">
        <v>2989525.21</v>
      </c>
      <c r="T17" s="130">
        <f t="shared" si="3"/>
        <v>46.761216641488033</v>
      </c>
      <c r="U17" s="78"/>
    </row>
    <row r="18" spans="1:21" hidden="1">
      <c r="A18" s="129" t="s">
        <v>106</v>
      </c>
      <c r="C18" s="79"/>
      <c r="F18" s="78">
        <f>Q18/20</f>
        <v>15263842.75</v>
      </c>
      <c r="G18" s="90">
        <f t="shared" si="4"/>
        <v>1.1837647762952868</v>
      </c>
      <c r="H18" s="90">
        <f t="shared" si="5"/>
        <v>0.52454494540214891</v>
      </c>
      <c r="I18" s="130">
        <f t="shared" si="0"/>
        <v>45.890569391587341</v>
      </c>
      <c r="J18" s="130">
        <f t="shared" si="6"/>
        <v>0.10757447362426098</v>
      </c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si="3"/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-1.5962100418831504E-4</v>
      </c>
      <c r="E19" s="286">
        <f>C19/C7-1</f>
        <v>-4.1733764181755229E-2</v>
      </c>
      <c r="F19" s="78">
        <f>Q19/22</f>
        <v>16245504.636363637</v>
      </c>
      <c r="G19" s="90">
        <f t="shared" si="4"/>
        <v>6.4312893053332543E-2</v>
      </c>
      <c r="H19" s="90">
        <f t="shared" si="5"/>
        <v>-3.4642662306657468E-2</v>
      </c>
      <c r="I19" s="130">
        <f t="shared" si="0"/>
        <v>46.06490137151583</v>
      </c>
      <c r="J19" s="130">
        <f t="shared" si="6"/>
        <v>-5.2181667954212307E-2</v>
      </c>
      <c r="K19" s="78">
        <f>R17+R18+R19</f>
        <v>1025938716794</v>
      </c>
      <c r="L19" s="87">
        <f>U19/U16-1</f>
        <v>-2.6422392226696734E-2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4.9108625685929663E-3</v>
      </c>
      <c r="P19" s="129" t="s">
        <v>114</v>
      </c>
      <c r="Q19" s="116">
        <v>357401102</v>
      </c>
      <c r="R19" s="116">
        <v>466801630058</v>
      </c>
      <c r="S19" s="116">
        <v>7758642.5099999998</v>
      </c>
      <c r="T19" s="130">
        <f t="shared" si="3"/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13008282.9</v>
      </c>
      <c r="G20" s="90">
        <f t="shared" si="4"/>
        <v>-0.19926877058146286</v>
      </c>
      <c r="H20" s="90">
        <f t="shared" si="5"/>
        <v>0.23711237808474617</v>
      </c>
      <c r="I20" s="130">
        <f t="shared" si="0"/>
        <v>36.725704931970689</v>
      </c>
      <c r="J20" s="130">
        <f t="shared" si="6"/>
        <v>-0.24611573590230551</v>
      </c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7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13554982.666666666</v>
      </c>
      <c r="G21" s="90">
        <f t="shared" si="4"/>
        <v>4.2027050831333401E-2</v>
      </c>
      <c r="H21" s="90">
        <f t="shared" si="5"/>
        <v>0.33359507257834164</v>
      </c>
      <c r="I21" s="130">
        <f t="shared" si="0"/>
        <v>42.1315141064713</v>
      </c>
      <c r="J21" s="130">
        <f t="shared" si="6"/>
        <v>0.19085708126341494</v>
      </c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8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86">
        <f>C22/C10-1</f>
        <v>0.24190788146987652</v>
      </c>
      <c r="F22" s="78">
        <f>Q22/21</f>
        <v>11861896</v>
      </c>
      <c r="G22" s="90">
        <f t="shared" si="4"/>
        <v>-0.12490511484239442</v>
      </c>
      <c r="H22" s="90">
        <f t="shared" si="5"/>
        <v>0.15600075049610362</v>
      </c>
      <c r="I22" s="130">
        <f t="shared" si="0"/>
        <v>37.987476771673975</v>
      </c>
      <c r="J22" s="130">
        <f t="shared" si="6"/>
        <v>-0.20864080212572755</v>
      </c>
      <c r="K22" s="78">
        <f>R20+R21+R22</f>
        <v>1044332160092</v>
      </c>
      <c r="L22" s="87">
        <f>U22/U19-1</f>
        <v>-1.0656677374328627E-2</v>
      </c>
      <c r="M22" s="87">
        <f>U22/U10-1</f>
        <v>0.22188740728648559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9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0">F23/F22-1</f>
        <v>-0.20048022837560031</v>
      </c>
      <c r="H23" s="90">
        <f t="shared" ref="H23" si="11">F23/F11-1</f>
        <v>-1.0693164720194215E-2</v>
      </c>
      <c r="I23" s="130">
        <f t="shared" si="0"/>
        <v>44.504204213461321</v>
      </c>
      <c r="J23" s="130">
        <f t="shared" si="6"/>
        <v>0.18940851935179071</v>
      </c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9"/>
        <v>44.504204213461321</v>
      </c>
      <c r="U23" s="78"/>
    </row>
    <row r="24" spans="1:21" hidden="1">
      <c r="A24" s="129" t="s">
        <v>204</v>
      </c>
      <c r="B24" s="131"/>
      <c r="C24" s="131"/>
      <c r="F24" s="78">
        <f>Q24/22</f>
        <v>8561350.5454545449</v>
      </c>
      <c r="G24" s="90">
        <f t="shared" ref="G24" si="12">F24/F23-1</f>
        <v>-9.726774637682456E-2</v>
      </c>
      <c r="H24" s="90">
        <f t="shared" ref="H24" si="13">F24/F12-1</f>
        <v>0.14610249770648331</v>
      </c>
      <c r="I24" s="130">
        <f t="shared" si="0"/>
        <v>43.379045074789012</v>
      </c>
      <c r="J24" s="130">
        <f t="shared" si="6"/>
        <v>0.18459766469148131</v>
      </c>
      <c r="O24" s="89"/>
      <c r="P24" s="129" t="s">
        <v>204</v>
      </c>
      <c r="Q24" s="116">
        <v>188349712</v>
      </c>
      <c r="R24" s="116">
        <v>247665981360</v>
      </c>
      <c r="S24" s="116">
        <v>4341951.55</v>
      </c>
      <c r="T24" s="130">
        <f t="shared" ref="T24" si="14">Q24/S24</f>
        <v>43.379045074789012</v>
      </c>
      <c r="U24" s="78"/>
    </row>
    <row r="25" spans="1:21" s="79" customFormat="1" ht="13.2" hidden="1">
      <c r="A25" s="129" t="s">
        <v>219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86">
        <f>C25/C13-1</f>
        <v>0.21336573750206544</v>
      </c>
      <c r="F25" s="78">
        <f>Q25/19</f>
        <v>12944725.631578946</v>
      </c>
      <c r="G25" s="90">
        <f t="shared" ref="G25" si="15">F25/F24-1</f>
        <v>0.51199574913465673</v>
      </c>
      <c r="H25" s="90">
        <f t="shared" ref="H25" si="16">F25/F13-1</f>
        <v>0.52575514918847688</v>
      </c>
      <c r="I25" s="130">
        <f t="shared" si="0"/>
        <v>45.64362560903092</v>
      </c>
      <c r="J25" s="130">
        <f t="shared" si="6"/>
        <v>4.0586432812581563E-3</v>
      </c>
      <c r="K25" s="78">
        <f>R23+R24+R25</f>
        <v>831400903480</v>
      </c>
      <c r="L25" s="90">
        <f>U25/U22-1</f>
        <v>-0.20211149834710695</v>
      </c>
      <c r="M25" s="90">
        <f>U25/U13-1</f>
        <v>0.18329571838869319</v>
      </c>
      <c r="N25" s="88">
        <f>AVERAGE(T23:T25)</f>
        <v>44.508958299093756</v>
      </c>
      <c r="O25" s="91">
        <f>N25/N22-1</f>
        <v>0.14277224114884479</v>
      </c>
      <c r="P25" s="129" t="s">
        <v>219</v>
      </c>
      <c r="Q25" s="116">
        <v>245949787</v>
      </c>
      <c r="R25" s="116">
        <v>326533080545</v>
      </c>
      <c r="S25" s="116">
        <v>5388480.5099999998</v>
      </c>
      <c r="T25" s="130">
        <f t="shared" ref="T25" si="17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19825855.315789472</v>
      </c>
      <c r="G26" s="90">
        <f t="shared" ref="G26" si="18">F26/F25-1</f>
        <v>0.53157787040490501</v>
      </c>
      <c r="H26" s="90">
        <f t="shared" ref="H26" si="19">F26/F14-1</f>
        <v>0.7342710959205454</v>
      </c>
      <c r="I26" s="130">
        <f t="shared" si="0"/>
        <v>42.770921058762639</v>
      </c>
      <c r="J26" s="130">
        <f t="shared" si="6"/>
        <v>-5.3807468737407493E-2</v>
      </c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0">Q26/S26</f>
        <v>42.770921058762639</v>
      </c>
      <c r="U26" s="78"/>
    </row>
    <row r="27" spans="1:21" s="79" customFormat="1" ht="13.2" hidden="1">
      <c r="A27" s="129" t="s">
        <v>395</v>
      </c>
      <c r="B27" s="131"/>
      <c r="C27" s="131"/>
      <c r="D27" s="132"/>
      <c r="E27" s="286"/>
      <c r="F27" s="78">
        <f>Q27/22</f>
        <v>19126945.772727273</v>
      </c>
      <c r="G27" s="90">
        <f t="shared" ref="G27" si="21">F27/F26-1</f>
        <v>-3.5252428302832484E-2</v>
      </c>
      <c r="H27" s="90">
        <f t="shared" ref="H27" si="22">F27/F15-1</f>
        <v>0.49602388770046946</v>
      </c>
      <c r="I27" s="130">
        <f t="shared" si="0"/>
        <v>50.043174392614553</v>
      </c>
      <c r="J27" s="130">
        <f t="shared" si="6"/>
        <v>0.16402403825163447</v>
      </c>
      <c r="L27" s="90"/>
      <c r="M27" s="90"/>
      <c r="P27" s="129" t="s">
        <v>395</v>
      </c>
      <c r="Q27" s="116">
        <v>420792807</v>
      </c>
      <c r="R27" s="116">
        <v>556579909203</v>
      </c>
      <c r="S27" s="116">
        <v>8408595.4199999999</v>
      </c>
      <c r="T27" s="130">
        <f t="shared" ref="T27" si="23">Q27/S27</f>
        <v>50.043174392614553</v>
      </c>
      <c r="U27" s="78"/>
    </row>
    <row r="28" spans="1:21" s="79" customFormat="1" ht="13.2" hidden="1">
      <c r="A28" s="123" t="s">
        <v>414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86">
        <f>C28/C16-1</f>
        <v>0.55919355188775777</v>
      </c>
      <c r="F28" s="78">
        <f>Q28/19</f>
        <v>21084235.736842107</v>
      </c>
      <c r="G28" s="90">
        <f t="shared" ref="G28" si="24">F28/F27-1</f>
        <v>0.10233154772183717</v>
      </c>
      <c r="H28" s="90">
        <f t="shared" ref="H28" si="25">F28/F16-1</f>
        <v>0.47564083875468333</v>
      </c>
      <c r="I28" s="130">
        <f t="shared" si="0"/>
        <v>44.293182326563738</v>
      </c>
      <c r="J28" s="130">
        <f t="shared" si="6"/>
        <v>-0.1113651903210956</v>
      </c>
      <c r="K28" s="78">
        <f>R26+R27+R28</f>
        <v>1588273237272</v>
      </c>
      <c r="L28" s="90">
        <f>U28/U25-1</f>
        <v>0.89133497511200099</v>
      </c>
      <c r="M28" s="90">
        <f>U28/U16-1</f>
        <v>0.45354427111015672</v>
      </c>
      <c r="N28" s="88">
        <f>AVERAGE(T26:T28)</f>
        <v>45.702425925980315</v>
      </c>
      <c r="O28" s="91">
        <f>N28/N25-1</f>
        <v>2.6814099284611981E-2</v>
      </c>
      <c r="P28" s="129" t="s">
        <v>414</v>
      </c>
      <c r="Q28" s="116">
        <v>400600479</v>
      </c>
      <c r="R28" s="116">
        <v>522965954142</v>
      </c>
      <c r="S28" s="116">
        <v>9044292.0999999996</v>
      </c>
      <c r="T28" s="130">
        <f t="shared" ref="T28" si="26">Q28/S28</f>
        <v>44.293182326563738</v>
      </c>
      <c r="U28" s="85">
        <f>Q26+Q27+Q28</f>
        <v>1198084537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15750987.818181818</v>
      </c>
      <c r="G29" s="190">
        <f t="shared" ref="G29" si="27">F29/F28-1</f>
        <v>-0.25294954890592003</v>
      </c>
      <c r="H29" s="190">
        <f t="shared" ref="H29" si="28">F29/F17-1</f>
        <v>1.2534595614332837</v>
      </c>
      <c r="I29" s="130">
        <f t="shared" si="0"/>
        <v>49.043510755857454</v>
      </c>
      <c r="J29" s="130">
        <f t="shared" si="6"/>
        <v>4.8807415167733126E-2</v>
      </c>
      <c r="K29" s="136"/>
      <c r="L29" s="190"/>
      <c r="M29" s="190"/>
      <c r="N29" s="191"/>
      <c r="O29" s="192"/>
      <c r="P29" s="129" t="s">
        <v>439</v>
      </c>
      <c r="Q29" s="116">
        <v>346521732</v>
      </c>
      <c r="R29" s="116">
        <v>454780938871</v>
      </c>
      <c r="S29" s="116">
        <v>7065598.0099999998</v>
      </c>
      <c r="T29" s="130">
        <f t="shared" ref="T29" si="29">Q29/S29</f>
        <v>49.043510755857454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18216066.52631579</v>
      </c>
      <c r="G30" s="190">
        <f t="shared" ref="G30" si="30">F30/F29-1</f>
        <v>0.15650311819100393</v>
      </c>
      <c r="H30" s="190">
        <f t="shared" ref="H30" si="31">F30/F18-1</f>
        <v>0.19341287935607099</v>
      </c>
      <c r="I30" s="130">
        <f t="shared" si="0"/>
        <v>41.891071155778718</v>
      </c>
      <c r="J30" s="130">
        <f t="shared" si="6"/>
        <v>-8.7152944250498021E-2</v>
      </c>
      <c r="K30" s="136"/>
      <c r="L30" s="190"/>
      <c r="M30" s="190"/>
      <c r="N30" s="191"/>
      <c r="O30" s="192"/>
      <c r="P30" s="129" t="s">
        <v>469</v>
      </c>
      <c r="Q30" s="116">
        <v>346105264</v>
      </c>
      <c r="R30" s="116">
        <v>461172913148</v>
      </c>
      <c r="S30" s="116">
        <v>8262029.46</v>
      </c>
      <c r="T30" s="130">
        <f t="shared" ref="T30" si="32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87">
        <f>C31/C19-1</f>
        <v>0.26256463983948963</v>
      </c>
      <c r="F31" s="136">
        <f>Q31/20</f>
        <v>14640471.199999999</v>
      </c>
      <c r="G31" s="190">
        <f t="shared" ref="G31" si="33">F31/F30-1</f>
        <v>-0.19628800329370322</v>
      </c>
      <c r="H31" s="190">
        <f t="shared" ref="H31" si="34">F31/F19-1</f>
        <v>-9.8798619820707811E-2</v>
      </c>
      <c r="I31" s="130">
        <f t="shared" si="0"/>
        <v>40.331156345121187</v>
      </c>
      <c r="J31" s="130">
        <f t="shared" si="6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505</v>
      </c>
      <c r="Q31" s="116">
        <v>292809424</v>
      </c>
      <c r="R31" s="116">
        <v>389052398387</v>
      </c>
      <c r="S31" s="116">
        <v>7260129.6500000004</v>
      </c>
      <c r="T31" s="130">
        <f t="shared" ref="T31" si="35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17060831.380952381</v>
      </c>
      <c r="G32" s="190">
        <f t="shared" ref="G32" si="36">F32/F31-1</f>
        <v>0.16531982802250123</v>
      </c>
      <c r="H32" s="190">
        <f t="shared" ref="H32" si="37">F32/F20-1</f>
        <v>0.31153600456770358</v>
      </c>
      <c r="I32" s="130">
        <f t="shared" si="0"/>
        <v>49.690676121198976</v>
      </c>
      <c r="J32" s="130">
        <f t="shared" si="6"/>
        <v>0.3530217109036875</v>
      </c>
      <c r="K32" s="136"/>
      <c r="L32" s="190"/>
      <c r="M32" s="190"/>
      <c r="N32" s="191"/>
      <c r="O32" s="192"/>
      <c r="P32" s="129" t="s">
        <v>562</v>
      </c>
      <c r="Q32" s="116">
        <v>358277459</v>
      </c>
      <c r="R32" s="116">
        <v>487032376191</v>
      </c>
      <c r="S32" s="116">
        <v>7210154.6399999997</v>
      </c>
      <c r="T32" s="130">
        <f t="shared" ref="T32" si="38">Q32/S32</f>
        <v>49.690676121198976</v>
      </c>
      <c r="U32" s="85"/>
    </row>
    <row r="33" spans="1:21" s="79" customFormat="1" ht="13.2" hidden="1">
      <c r="A33" s="129" t="s">
        <v>619</v>
      </c>
      <c r="B33" s="188"/>
      <c r="C33" s="188"/>
      <c r="D33" s="190"/>
      <c r="E33" s="287"/>
      <c r="F33" s="136">
        <f>Q33/21</f>
        <v>15876640.19047619</v>
      </c>
      <c r="G33" s="190">
        <f t="shared" ref="G33" si="39">F33/F32-1</f>
        <v>-6.9409934606017187E-2</v>
      </c>
      <c r="H33" s="190">
        <f t="shared" ref="H33" si="40">F33/F21-1</f>
        <v>0.17127705589168762</v>
      </c>
      <c r="I33" s="130">
        <f t="shared" si="0"/>
        <v>38.006079056321425</v>
      </c>
      <c r="J33" s="130">
        <f t="shared" si="6"/>
        <v>-9.7918034460485193E-2</v>
      </c>
      <c r="K33" s="136"/>
      <c r="L33" s="190"/>
      <c r="M33" s="190"/>
      <c r="N33" s="191"/>
      <c r="O33" s="192"/>
      <c r="P33" s="129" t="s">
        <v>619</v>
      </c>
      <c r="Q33" s="116">
        <v>333409444</v>
      </c>
      <c r="R33" s="116">
        <v>455860095536</v>
      </c>
      <c r="S33" s="116">
        <v>8772529.3499999996</v>
      </c>
      <c r="T33" s="130">
        <f t="shared" ref="T33" si="41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87">
        <f>C34/C22-1</f>
        <v>0.16566099174726689</v>
      </c>
      <c r="F34" s="136">
        <f>Q34/19</f>
        <v>11853240.368421054</v>
      </c>
      <c r="G34" s="190">
        <f t="shared" ref="G34" si="42">F34/F33-1</f>
        <v>-0.25341632573298634</v>
      </c>
      <c r="H34" s="190">
        <f t="shared" ref="H34" si="43">F34/F22-1</f>
        <v>-7.2970051153264937E-4</v>
      </c>
      <c r="I34" s="130">
        <f t="shared" si="0"/>
        <v>42.063435025099864</v>
      </c>
      <c r="J34" s="130">
        <f t="shared" si="6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4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11093883.739130436</v>
      </c>
      <c r="G35" s="190">
        <f t="shared" ref="G35" si="45">F35/F34-1</f>
        <v>-6.4063210201462439E-2</v>
      </c>
      <c r="H35" s="190">
        <f t="shared" ref="H35" si="46">F35/F23-1</f>
        <v>0.16976949093339644</v>
      </c>
      <c r="I35" s="130">
        <f t="shared" si="0"/>
        <v>37.787600631633346</v>
      </c>
      <c r="J35" s="130">
        <f t="shared" si="6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7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12531682.523809524</v>
      </c>
      <c r="G36" s="190">
        <f t="shared" ref="G36" si="48">F36/F35-1</f>
        <v>0.12960283508359405</v>
      </c>
      <c r="H36" s="190">
        <f t="shared" ref="H36" si="49">F36/F24-1</f>
        <v>0.46375066144942956</v>
      </c>
      <c r="I36" s="130">
        <f t="shared" si="0"/>
        <v>42.735879414822556</v>
      </c>
      <c r="J36" s="130">
        <f t="shared" si="6"/>
        <v>-1.482664403648315E-2</v>
      </c>
      <c r="K36" s="136"/>
      <c r="L36" s="190"/>
      <c r="M36" s="190"/>
      <c r="N36" s="191"/>
      <c r="O36" s="192"/>
      <c r="P36" s="129" t="s">
        <v>664</v>
      </c>
      <c r="Q36" s="116">
        <v>263165333</v>
      </c>
      <c r="R36" s="116">
        <v>359134105539</v>
      </c>
      <c r="S36" s="116">
        <v>6157948.2300000004</v>
      </c>
      <c r="T36" s="130">
        <f t="shared" ref="T36" si="50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87">
        <f>C37/C25-1</f>
        <v>0.24234888482341144</v>
      </c>
      <c r="F37" s="136">
        <f>Q37/18</f>
        <v>14874697.166666666</v>
      </c>
      <c r="G37" s="190">
        <f t="shared" ref="G37" si="51">F37/F36-1</f>
        <v>0.18696728379493655</v>
      </c>
      <c r="H37" s="190">
        <f t="shared" ref="H37" si="52">F37/F25-1</f>
        <v>0.14909327474500578</v>
      </c>
      <c r="I37" s="130">
        <f t="shared" si="0"/>
        <v>45.533572009616421</v>
      </c>
      <c r="J37" s="130">
        <f t="shared" si="6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3">Q37/S37</f>
        <v>45.533572009616421</v>
      </c>
      <c r="U37" s="85">
        <f>Q35+Q36+Q37</f>
        <v>786069208</v>
      </c>
    </row>
    <row r="38" spans="1:21" s="79" customFormat="1" ht="13.2" hidden="1">
      <c r="A38" s="129" t="s">
        <v>735</v>
      </c>
      <c r="B38" s="188"/>
      <c r="C38" s="188"/>
      <c r="D38" s="190"/>
      <c r="E38" s="287"/>
      <c r="F38" s="136">
        <f>Q38/20</f>
        <v>12307257.449999999</v>
      </c>
      <c r="G38" s="190">
        <f t="shared" ref="G38" si="54">F38/F37-1</f>
        <v>-0.17260450333201738</v>
      </c>
      <c r="H38" s="190">
        <f t="shared" ref="H38" si="55">F38/F26-1</f>
        <v>-0.37923195473950633</v>
      </c>
      <c r="I38" s="130">
        <f t="shared" si="0"/>
        <v>42.65537527950999</v>
      </c>
      <c r="J38" s="130">
        <f t="shared" si="6"/>
        <v>-2.7015031800203815E-3</v>
      </c>
      <c r="K38" s="136"/>
      <c r="L38" s="190"/>
      <c r="M38" s="190"/>
      <c r="N38" s="191"/>
      <c r="O38" s="192"/>
      <c r="P38" s="129" t="s">
        <v>735</v>
      </c>
      <c r="Q38" s="116">
        <v>246145149</v>
      </c>
      <c r="R38" s="116">
        <v>333271694253</v>
      </c>
      <c r="S38" s="116">
        <v>5770554.0599999996</v>
      </c>
      <c r="T38" s="130">
        <f t="shared" ref="T38" si="56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15391544.761904761</v>
      </c>
      <c r="G39" s="190">
        <f t="shared" ref="G39" si="57">F39/F38-1</f>
        <v>0.25060719859279135</v>
      </c>
      <c r="H39" s="190">
        <f t="shared" ref="H39" si="58">F39/F27-1</f>
        <v>-0.19529521624663904</v>
      </c>
      <c r="I39" s="130">
        <f t="shared" si="0"/>
        <v>41.752474995811255</v>
      </c>
      <c r="J39" s="130">
        <f t="shared" si="6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59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87">
        <f>C40/C28-1</f>
        <v>-0.27157876600052189</v>
      </c>
      <c r="F40" s="136">
        <f>Q40/21</f>
        <v>16033450.238095239</v>
      </c>
      <c r="G40" s="190">
        <f t="shared" ref="G40" si="60">F40/F39-1</f>
        <v>4.1705071590945275E-2</v>
      </c>
      <c r="H40" s="190">
        <f t="shared" ref="H40" si="61">F40/F28-1</f>
        <v>-0.23955269528319878</v>
      </c>
      <c r="I40" s="130">
        <f t="shared" si="0"/>
        <v>37.465107020729164</v>
      </c>
      <c r="J40" s="130">
        <f t="shared" si="6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2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14399777.5</v>
      </c>
      <c r="G41" s="190">
        <f t="shared" ref="G41" si="63">F41/F40-1</f>
        <v>-0.10189152763973763</v>
      </c>
      <c r="H41" s="190">
        <f t="shared" ref="H41" si="64">F41/F29-1</f>
        <v>-8.5785750949669115E-2</v>
      </c>
      <c r="I41" s="130">
        <f t="shared" si="0"/>
        <v>43.026006106739551</v>
      </c>
      <c r="J41" s="130">
        <f t="shared" si="6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5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9930137.1999999993</v>
      </c>
      <c r="G42" s="190">
        <f t="shared" ref="G42" si="66">F42/F41-1</f>
        <v>-0.31039648355677718</v>
      </c>
      <c r="H42" s="190">
        <f t="shared" ref="H42" si="67">F42/F30-1</f>
        <v>-0.45486929433121825</v>
      </c>
      <c r="I42" s="130">
        <f t="shared" si="0"/>
        <v>42.231235983346608</v>
      </c>
      <c r="J42" s="130">
        <f t="shared" si="6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8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87">
        <f>C43/C31-1</f>
        <v>-0.2329867601289487</v>
      </c>
      <c r="F43" s="136">
        <f>Q43/20</f>
        <v>12952700.949999999</v>
      </c>
      <c r="G43" s="190">
        <f t="shared" ref="G43" si="69">F43/F42-1</f>
        <v>0.30438287902004024</v>
      </c>
      <c r="H43" s="190">
        <f t="shared" ref="H43" si="70">F43/F31-1</f>
        <v>-0.11528114272715484</v>
      </c>
      <c r="I43" s="130">
        <f t="shared" si="0"/>
        <v>40.618444600495806</v>
      </c>
      <c r="J43" s="130">
        <f t="shared" si="6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1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9135738.8636363633</v>
      </c>
      <c r="G44" s="190">
        <f t="shared" ref="G44" si="72">F44/F43-1</f>
        <v>-0.29468464539541739</v>
      </c>
      <c r="H44" s="190">
        <f t="shared" ref="H44" si="73">F44/F32-1</f>
        <v>-0.46451971421299032</v>
      </c>
      <c r="I44" s="130">
        <f t="shared" si="0"/>
        <v>42.251498935538372</v>
      </c>
      <c r="J44" s="130">
        <f t="shared" si="6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4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15747868.15</v>
      </c>
      <c r="G45" s="190">
        <f t="shared" ref="G45" si="75">F45/F44-1</f>
        <v>0.72376513657613062</v>
      </c>
      <c r="H45" s="190">
        <f t="shared" ref="H45" si="76">F45/F33-1</f>
        <v>-8.1107865978744531E-3</v>
      </c>
      <c r="I45" s="130">
        <f t="shared" si="0"/>
        <v>41.533094756480025</v>
      </c>
      <c r="J45" s="130">
        <f t="shared" si="6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7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87">
        <f>C46/C34-1</f>
        <v>-0.19093245658921476</v>
      </c>
      <c r="F46" s="136">
        <f>Q46/19</f>
        <v>11355104.263157895</v>
      </c>
      <c r="G46" s="190">
        <f t="shared" ref="G46" si="78">F46/F45-1</f>
        <v>-0.27894340014791819</v>
      </c>
      <c r="H46" s="190">
        <f t="shared" ref="H46" si="79">F46/F34-1</f>
        <v>-4.20253103607241E-2</v>
      </c>
      <c r="I46" s="130">
        <f t="shared" si="0"/>
        <v>47.301986094692147</v>
      </c>
      <c r="J46" s="130">
        <f t="shared" si="6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0">Q46/S46</f>
        <v>47.301986094692147</v>
      </c>
      <c r="U46" s="85">
        <f t="shared" ref="U46:U51" si="81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10573275</v>
      </c>
      <c r="G47" s="190">
        <f t="shared" ref="G47" si="82">F47/F46-1</f>
        <v>-6.8852671454067815E-2</v>
      </c>
      <c r="H47" s="190">
        <f t="shared" ref="H47" si="83">F47/F35-1</f>
        <v>-4.6927545967886841E-2</v>
      </c>
      <c r="I47" s="130">
        <f t="shared" si="0"/>
        <v>38.096734193960103</v>
      </c>
      <c r="J47" s="130">
        <f t="shared" si="6"/>
        <v>8.1808200880573168E-3</v>
      </c>
      <c r="K47" s="136"/>
      <c r="L47" s="190"/>
      <c r="M47" s="190"/>
      <c r="N47" s="191"/>
      <c r="O47" s="192"/>
      <c r="P47" s="129" t="s">
        <v>1034</v>
      </c>
      <c r="Q47" s="116">
        <v>243185325</v>
      </c>
      <c r="R47" s="116">
        <v>332565566623</v>
      </c>
      <c r="S47" s="116">
        <v>6383364.0899999999</v>
      </c>
      <c r="T47" s="130">
        <f t="shared" ref="T47" si="84">Q47/S47</f>
        <v>38.096734193960103</v>
      </c>
      <c r="U47" s="85">
        <f t="shared" si="81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7302706.2000000002</v>
      </c>
      <c r="G48" s="190">
        <f t="shared" ref="G48" si="85">F48/F47-1</f>
        <v>-0.30932410251317588</v>
      </c>
      <c r="H48" s="190">
        <f t="shared" ref="H48" si="86">F48/F36-1</f>
        <v>-0.41726051660459396</v>
      </c>
      <c r="I48" s="130">
        <f t="shared" si="0"/>
        <v>38.727443290020339</v>
      </c>
      <c r="J48" s="130">
        <f t="shared" si="6"/>
        <v>-9.3795568961941744E-2</v>
      </c>
      <c r="K48" s="136"/>
      <c r="L48" s="190"/>
      <c r="M48" s="190"/>
      <c r="N48" s="191"/>
      <c r="O48" s="192"/>
      <c r="P48" s="129" t="s">
        <v>1120</v>
      </c>
      <c r="Q48" s="116">
        <v>146054124</v>
      </c>
      <c r="R48" s="116">
        <v>202658836719</v>
      </c>
      <c r="S48" s="116">
        <v>3771334.01</v>
      </c>
      <c r="T48" s="130">
        <f t="shared" ref="T48" si="87">Q48/S48</f>
        <v>38.727443290020339</v>
      </c>
      <c r="U48" s="85">
        <f t="shared" si="81"/>
        <v>604986430</v>
      </c>
    </row>
    <row r="49" spans="1:26" ht="13.2">
      <c r="A49" s="129" t="s">
        <v>1158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87">
        <f>C49/C37-1</f>
        <v>-0.1830722078692707</v>
      </c>
      <c r="F49" s="136">
        <f>Q49/22</f>
        <v>13575954</v>
      </c>
      <c r="G49" s="190">
        <f t="shared" ref="G49" si="88">F49/F48-1</f>
        <v>0.85903056047907267</v>
      </c>
      <c r="H49" s="190">
        <f t="shared" ref="H49" si="89">F49/F37-1</f>
        <v>-8.7312242536074947E-2</v>
      </c>
      <c r="I49" s="130">
        <f t="shared" si="0"/>
        <v>50.016466176050862</v>
      </c>
      <c r="J49" s="130">
        <f t="shared" si="6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0">Q49/S49</f>
        <v>50.016466176050862</v>
      </c>
      <c r="U49" s="85">
        <f t="shared" si="81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10400754.611111112</v>
      </c>
      <c r="G50" s="190">
        <f t="shared" ref="G50" si="91">F50/F49-1</f>
        <v>-0.23388407097496711</v>
      </c>
      <c r="H50" s="190">
        <f t="shared" ref="H50" si="92">F50/F38-1</f>
        <v>-0.15490882892751112</v>
      </c>
      <c r="I50" s="130">
        <f t="shared" ref="I50" si="93">T50</f>
        <v>44.423062150231438</v>
      </c>
      <c r="J50" s="130">
        <f t="shared" ref="J50" si="94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5">Q50/S50</f>
        <v>44.423062150231438</v>
      </c>
      <c r="U50" s="85">
        <f t="shared" si="81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11728400.5</v>
      </c>
      <c r="G51" s="190">
        <f t="shared" ref="G51:G52" si="96">F51/F50-1</f>
        <v>0.12764899649402039</v>
      </c>
      <c r="H51" s="190">
        <f t="shared" ref="H51:H52" si="97">F51/F39-1</f>
        <v>-0.23799718082692523</v>
      </c>
      <c r="I51" s="130">
        <f t="shared" ref="I51:I52" si="98">T51</f>
        <v>48.386631679887437</v>
      </c>
      <c r="J51" s="130">
        <f t="shared" ref="J51:J52" si="99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0">Q51/S51</f>
        <v>48.386631679887437</v>
      </c>
      <c r="U51" s="85">
        <f t="shared" si="81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87">
        <f>C52/C40-1</f>
        <v>-0.20974697594212888</v>
      </c>
      <c r="F52" s="136">
        <f>Q52/22</f>
        <v>12430389.636363637</v>
      </c>
      <c r="G52" s="190">
        <f t="shared" si="96"/>
        <v>5.9853782820908696E-2</v>
      </c>
      <c r="H52" s="190">
        <f t="shared" si="97"/>
        <v>-0.22472147592854241</v>
      </c>
      <c r="I52" s="130">
        <f t="shared" si="98"/>
        <v>49.020402965770124</v>
      </c>
      <c r="J52" s="130">
        <f t="shared" si="99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0"/>
        <v>49.020402965770124</v>
      </c>
      <c r="U52" s="85">
        <f t="shared" ref="U52" si="101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6586559.5714285718</v>
      </c>
      <c r="G53" s="190">
        <f t="shared" ref="G53" si="102">F53/F52-1</f>
        <v>-0.47012444789659935</v>
      </c>
      <c r="H53" s="190">
        <f t="shared" ref="H53" si="103">F53/F41-1</f>
        <v>-0.542592962187883</v>
      </c>
      <c r="I53" s="130">
        <f t="shared" ref="I53" si="104">T53</f>
        <v>35.663374483860821</v>
      </c>
      <c r="J53" s="130">
        <f t="shared" ref="J53" si="105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6">Q53/S53</f>
        <v>35.663374483860821</v>
      </c>
      <c r="U53" s="85">
        <f t="shared" ref="U53" si="107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8632524.5294117648</v>
      </c>
      <c r="G54" s="190">
        <f t="shared" ref="G54" si="108">F54/F53-1</f>
        <v>0.310627260832538</v>
      </c>
      <c r="H54" s="190">
        <f t="shared" ref="H54" si="109">F54/F42-1</f>
        <v>-0.13067419356383458</v>
      </c>
      <c r="I54" s="130">
        <f t="shared" ref="I54" si="110">T54</f>
        <v>41.122514849794527</v>
      </c>
      <c r="J54" s="130">
        <f t="shared" ref="J54" si="111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2">Q54/S54</f>
        <v>41.122514849794527</v>
      </c>
      <c r="U54" s="85">
        <f t="shared" ref="U54" si="113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24116450.577030815</v>
      </c>
      <c r="C55" s="188">
        <f>AVERAGE(F53:F55)</f>
        <v>8038816.8590102717</v>
      </c>
      <c r="D55" s="190">
        <f>C55/C52-1</f>
        <v>-0.30217684424812929</v>
      </c>
      <c r="E55" s="287">
        <f>C55/C43-1</f>
        <v>-0.35314488652217679</v>
      </c>
      <c r="F55" s="136">
        <f>Q55/21</f>
        <v>8897366.4761904757</v>
      </c>
      <c r="G55" s="190">
        <f t="shared" ref="G55" si="114">F55/F54-1</f>
        <v>3.0679547550241049E-2</v>
      </c>
      <c r="H55" s="190">
        <f t="shared" ref="H55" si="115">F55/F43-1</f>
        <v>-0.31308794123047545</v>
      </c>
      <c r="I55" s="130">
        <f>T55</f>
        <v>43.033590786536173</v>
      </c>
      <c r="J55" s="130">
        <f t="shared" ref="J55" si="116">I55/I43-1</f>
        <v>5.9459346850787353E-2</v>
      </c>
      <c r="K55" s="136">
        <f>R53+R54+R55</f>
        <v>688840669330</v>
      </c>
      <c r="L55" s="190">
        <f>U55/U52-1</f>
        <v>-0.32122941099913294</v>
      </c>
      <c r="M55" s="190">
        <f>K55/K43-1</f>
        <v>-0.33860008540603537</v>
      </c>
      <c r="N55" s="191">
        <f>AVERAGE(T53:T55)</f>
        <v>39.939826706730507</v>
      </c>
      <c r="O55" s="192">
        <f>N55/N52-1</f>
        <v>-0.15519002787802849</v>
      </c>
      <c r="P55" s="129" t="s">
        <v>1418</v>
      </c>
      <c r="Q55" s="116">
        <v>186844696</v>
      </c>
      <c r="R55" s="116">
        <v>274397637580</v>
      </c>
      <c r="S55" s="116">
        <v>4341833.7300000004</v>
      </c>
      <c r="T55" s="130">
        <f t="shared" ref="T55" si="117">Q55/S55</f>
        <v>43.033590786536173</v>
      </c>
      <c r="U55" s="85">
        <f t="shared" ref="U55" si="118">Q53+Q54+Q55</f>
        <v>471915364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11377254.909090908</v>
      </c>
      <c r="G56" s="190">
        <f t="shared" ref="G56" si="119">F56/F55-1</f>
        <v>0.27872162392508626</v>
      </c>
      <c r="H56" s="190">
        <f t="shared" ref="H56" si="120">F56/F44-1</f>
        <v>0.24535684293435889</v>
      </c>
      <c r="I56" s="291">
        <f>T56</f>
        <v>40.796773679814137</v>
      </c>
      <c r="J56" s="130">
        <f t="shared" ref="J56" si="121">I56/I44-1</f>
        <v>-3.4430145494806164E-2</v>
      </c>
      <c r="K56" s="136"/>
      <c r="L56" s="190"/>
      <c r="M56" s="190"/>
      <c r="N56" s="191"/>
      <c r="O56" s="192"/>
      <c r="P56" s="129" t="s">
        <v>1420</v>
      </c>
      <c r="Q56" s="116">
        <v>250299608</v>
      </c>
      <c r="R56" s="116">
        <v>373013330975</v>
      </c>
      <c r="S56" s="116">
        <v>6135279.4699999997</v>
      </c>
      <c r="T56" s="130">
        <f t="shared" ref="T56" si="122">Q56/S56</f>
        <v>40.796773679814137</v>
      </c>
      <c r="U56" s="85">
        <f t="shared" ref="U56" si="123">Q54+Q55+Q56</f>
        <v>583897221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13323927.083333334</v>
      </c>
      <c r="G57" s="254">
        <f t="shared" ref="G57" si="124">F57/F56-1</f>
        <v>0.17110209710489577</v>
      </c>
      <c r="H57" s="254">
        <f t="shared" ref="H57" si="125">F57/F45-1</f>
        <v>-0.1539218542839188</v>
      </c>
      <c r="I57" s="282">
        <f>T57</f>
        <v>40.40485595093957</v>
      </c>
      <c r="J57" s="277">
        <f t="shared" ref="J57" si="126">I57/I45-1</f>
        <v>-2.7164814280169369E-2</v>
      </c>
      <c r="K57" s="204"/>
      <c r="L57" s="254"/>
      <c r="M57" s="254"/>
      <c r="N57" s="257"/>
      <c r="O57" s="258"/>
      <c r="P57" s="129" t="s">
        <v>1436</v>
      </c>
      <c r="Q57" s="116">
        <v>159887125</v>
      </c>
      <c r="R57" s="116">
        <v>235417115071</v>
      </c>
      <c r="S57" s="116">
        <v>3957126.47</v>
      </c>
      <c r="T57" s="130">
        <f t="shared" ref="T57" si="127">Q57/S57</f>
        <v>40.40485595093957</v>
      </c>
      <c r="U57" s="85">
        <f t="shared" ref="U57" si="128">Q55+Q56+Q57</f>
        <v>597031429</v>
      </c>
      <c r="V57" s="79"/>
      <c r="W57" s="79"/>
      <c r="X57" s="79"/>
      <c r="Y57" s="79"/>
      <c r="Z57" s="79"/>
    </row>
    <row r="58" spans="1:26">
      <c r="B58" s="196">
        <f>SUM(F56:F58)</f>
        <v>24701181.992424242</v>
      </c>
      <c r="C58" s="196">
        <f>AVERAGE(F56:F58)</f>
        <v>12350590.996212121</v>
      </c>
      <c r="D58" s="197">
        <f>C58/C55-1</f>
        <v>0.5363692459754219</v>
      </c>
      <c r="E58" s="233">
        <f>C58/C46-1</f>
        <v>2.2436275551629636E-2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882102097</v>
      </c>
      <c r="R65" s="212">
        <v>1297271115376</v>
      </c>
      <c r="S65" s="213">
        <v>21881341.109999999</v>
      </c>
      <c r="T65" s="214">
        <v>1543</v>
      </c>
      <c r="U65" s="214">
        <v>2438</v>
      </c>
    </row>
    <row r="66" spans="16:21" ht="18" thickBot="1">
      <c r="P66" s="180" t="s">
        <v>976</v>
      </c>
      <c r="Q66" s="181">
        <v>138317751</v>
      </c>
      <c r="R66" s="181">
        <v>201821040778</v>
      </c>
      <c r="S66" s="182">
        <v>3878425.78</v>
      </c>
      <c r="T66" s="210">
        <v>584</v>
      </c>
      <c r="U66" s="210">
        <v>885</v>
      </c>
    </row>
    <row r="67" spans="16:21" ht="18" thickBot="1">
      <c r="P67" s="180" t="s">
        <v>977</v>
      </c>
      <c r="Q67" s="181">
        <v>146752917</v>
      </c>
      <c r="R67" s="181">
        <v>212621990972</v>
      </c>
      <c r="S67" s="182">
        <v>3568675.64</v>
      </c>
      <c r="T67" s="210">
        <v>522</v>
      </c>
      <c r="U67" s="210">
        <v>777</v>
      </c>
    </row>
    <row r="68" spans="16:21" ht="18" thickBot="1">
      <c r="P68" s="180" t="s">
        <v>978</v>
      </c>
      <c r="Q68" s="181">
        <v>186844696</v>
      </c>
      <c r="R68" s="181">
        <v>274397637580</v>
      </c>
      <c r="S68" s="182">
        <v>4341833.7300000004</v>
      </c>
      <c r="T68" s="210">
        <v>597</v>
      </c>
      <c r="U68" s="210">
        <v>938</v>
      </c>
    </row>
    <row r="69" spans="16:21" ht="18" thickBot="1">
      <c r="P69" s="180" t="s">
        <v>979</v>
      </c>
      <c r="Q69" s="181">
        <v>250299608</v>
      </c>
      <c r="R69" s="181">
        <v>373013330975</v>
      </c>
      <c r="S69" s="182">
        <v>6135279.4699999997</v>
      </c>
      <c r="T69" s="210">
        <v>655</v>
      </c>
      <c r="U69" s="210">
        <v>990</v>
      </c>
    </row>
    <row r="70" spans="16:21" ht="18" thickBot="1">
      <c r="P70" s="180" t="s">
        <v>980</v>
      </c>
      <c r="Q70" s="181">
        <v>159887125</v>
      </c>
      <c r="R70" s="181">
        <v>235417115071</v>
      </c>
      <c r="S70" s="182">
        <v>3957126.47</v>
      </c>
      <c r="T70" s="210">
        <v>453</v>
      </c>
      <c r="U70" s="210">
        <v>694</v>
      </c>
    </row>
    <row r="71" spans="16:21" ht="18" thickBot="1">
      <c r="P71" s="215" t="s">
        <v>975</v>
      </c>
      <c r="Q71" s="217" t="s">
        <v>1537</v>
      </c>
      <c r="R71"/>
      <c r="S71"/>
      <c r="T71"/>
      <c r="U71"/>
    </row>
  </sheetData>
  <phoneticPr fontId="1" type="noConversion"/>
  <conditionalFormatting sqref="C29:C30">
    <cfRule type="cellIs" dxfId="4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61"/>
  <dimension ref="A1:Z72"/>
  <sheetViews>
    <sheetView topLeftCell="C1" zoomScale="90" zoomScaleNormal="9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3912399000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1501818.95</v>
      </c>
      <c r="G5" s="90"/>
      <c r="H5" s="90"/>
      <c r="I5" s="130">
        <f t="shared" ref="I5:I49" si="0">T5</f>
        <v>5.8142312520866444</v>
      </c>
      <c r="J5" s="130"/>
      <c r="L5" s="80"/>
      <c r="M5" s="80"/>
      <c r="P5" s="129" t="s">
        <v>0</v>
      </c>
      <c r="Q5" s="116">
        <v>30036379</v>
      </c>
      <c r="R5" s="116"/>
      <c r="S5" s="116">
        <v>5166010.38</v>
      </c>
      <c r="T5" s="130">
        <f t="shared" ref="T5:T11" si="1">Q5/S5</f>
        <v>5.8142312520866444</v>
      </c>
      <c r="U5" s="85"/>
    </row>
    <row r="6" spans="1:21" ht="15" hidden="1" customHeight="1">
      <c r="A6" s="129" t="s">
        <v>1</v>
      </c>
      <c r="C6" s="79"/>
      <c r="F6" s="78">
        <f>Q6/18</f>
        <v>1504931.888888889</v>
      </c>
      <c r="G6" s="90">
        <f t="shared" ref="G6:G22" si="2">F6/F5-1</f>
        <v>2.0727790715977523E-3</v>
      </c>
      <c r="H6" s="90"/>
      <c r="I6" s="130">
        <f t="shared" si="0"/>
        <v>5.8914993984537318</v>
      </c>
      <c r="J6" s="130"/>
      <c r="P6" s="129" t="s">
        <v>1</v>
      </c>
      <c r="Q6" s="116">
        <v>27088774</v>
      </c>
      <c r="R6" s="116"/>
      <c r="S6" s="116">
        <v>4597942.25</v>
      </c>
      <c r="T6" s="130">
        <f t="shared" si="1"/>
        <v>5.8914993984537318</v>
      </c>
      <c r="U6" s="85"/>
    </row>
    <row r="7" spans="1:21" ht="15" hidden="1" customHeight="1">
      <c r="A7" s="129" t="s">
        <v>2</v>
      </c>
      <c r="B7" s="131">
        <f>F5+F6+F7</f>
        <v>4344544.8388888892</v>
      </c>
      <c r="C7" s="131">
        <f>AVERAGE(F5:F7)</f>
        <v>1448181.6129629631</v>
      </c>
      <c r="F7" s="78">
        <f>Q7/22</f>
        <v>1337794</v>
      </c>
      <c r="G7" s="90">
        <f t="shared" si="2"/>
        <v>-0.1110601018709817</v>
      </c>
      <c r="H7" s="90"/>
      <c r="I7" s="130">
        <f t="shared" si="0"/>
        <v>5.7655961715592694</v>
      </c>
      <c r="J7" s="130"/>
      <c r="K7" s="79">
        <f>R5+R6+R7</f>
        <v>0</v>
      </c>
      <c r="N7" s="88">
        <f>AVERAGE(T5:T7)</f>
        <v>5.8237756073665485</v>
      </c>
      <c r="P7" s="129" t="s">
        <v>2</v>
      </c>
      <c r="Q7" s="116">
        <v>29431468</v>
      </c>
      <c r="R7" s="116"/>
      <c r="S7" s="116">
        <v>5104670.38</v>
      </c>
      <c r="T7" s="130">
        <f t="shared" si="1"/>
        <v>5.7655961715592694</v>
      </c>
      <c r="U7" s="85">
        <f>Q5+Q6+Q7</f>
        <v>86556621</v>
      </c>
    </row>
    <row r="8" spans="1:21" ht="15" hidden="1" customHeight="1">
      <c r="A8" s="129" t="s">
        <v>3</v>
      </c>
      <c r="C8" s="79"/>
      <c r="F8" s="78">
        <f>Q8/21</f>
        <v>1566573.6190476189</v>
      </c>
      <c r="G8" s="90">
        <f t="shared" si="2"/>
        <v>0.17101259166031468</v>
      </c>
      <c r="H8" s="90"/>
      <c r="I8" s="130">
        <f t="shared" si="0"/>
        <v>6.1643257379788707</v>
      </c>
      <c r="J8" s="130"/>
      <c r="K8" s="78"/>
      <c r="P8" s="129" t="s">
        <v>3</v>
      </c>
      <c r="Q8" s="116">
        <v>32898046</v>
      </c>
      <c r="R8" s="116"/>
      <c r="S8" s="116">
        <v>5336844.1900000004</v>
      </c>
      <c r="T8" s="130">
        <f t="shared" si="1"/>
        <v>6.1643257379788707</v>
      </c>
      <c r="U8" s="85"/>
    </row>
    <row r="9" spans="1:21" ht="15" hidden="1" customHeight="1">
      <c r="A9" s="129" t="s">
        <v>4</v>
      </c>
      <c r="C9" s="79"/>
      <c r="F9" s="78">
        <f>Q9/21</f>
        <v>1612749.857142857</v>
      </c>
      <c r="G9" s="90">
        <f t="shared" si="2"/>
        <v>2.9475945167077633E-2</v>
      </c>
      <c r="H9" s="90"/>
      <c r="I9" s="130">
        <f t="shared" si="0"/>
        <v>6.3915769498431683</v>
      </c>
      <c r="J9" s="130"/>
      <c r="K9" s="78"/>
      <c r="P9" s="129" t="s">
        <v>4</v>
      </c>
      <c r="Q9" s="116">
        <v>33867747</v>
      </c>
      <c r="R9" s="116"/>
      <c r="S9" s="116">
        <v>5298809.24</v>
      </c>
      <c r="T9" s="130">
        <f t="shared" si="1"/>
        <v>6.3915769498431683</v>
      </c>
      <c r="U9" s="85"/>
    </row>
    <row r="10" spans="1:21" ht="15" hidden="1" customHeight="1">
      <c r="A10" s="129" t="s">
        <v>5</v>
      </c>
      <c r="B10" s="131">
        <f>F8+F9+F10</f>
        <v>4614367.5714285709</v>
      </c>
      <c r="C10" s="131">
        <f>AVERAGE(F8:F10)</f>
        <v>1538122.5238095236</v>
      </c>
      <c r="D10" s="90">
        <f>C10/C7-1</f>
        <v>6.2106099153228733E-2</v>
      </c>
      <c r="E10" s="286"/>
      <c r="F10" s="78">
        <f>Q10/21</f>
        <v>1435044.0952380951</v>
      </c>
      <c r="G10" s="90">
        <f t="shared" si="2"/>
        <v>-0.11018805000521592</v>
      </c>
      <c r="H10" s="90"/>
      <c r="I10" s="130">
        <f t="shared" si="0"/>
        <v>6.1169835336938929</v>
      </c>
      <c r="J10" s="130"/>
      <c r="K10" s="79">
        <f>R8+R9+R10</f>
        <v>0</v>
      </c>
      <c r="L10" s="87">
        <f>U10/U7-1</f>
        <v>0.11951827463320219</v>
      </c>
      <c r="N10" s="88">
        <f>AVERAGE(T8:T10)</f>
        <v>6.2242954071719767</v>
      </c>
      <c r="O10" s="89">
        <f>N10/N7-1</f>
        <v>6.877321978182116E-2</v>
      </c>
      <c r="P10" s="129" t="s">
        <v>5</v>
      </c>
      <c r="Q10" s="116">
        <v>30135926</v>
      </c>
      <c r="R10" s="116"/>
      <c r="S10" s="116">
        <v>4926599.17</v>
      </c>
      <c r="T10" s="130">
        <f t="shared" si="1"/>
        <v>6.1169835336938929</v>
      </c>
      <c r="U10" s="85">
        <f>Q8+Q9+Q10</f>
        <v>96901719</v>
      </c>
    </row>
    <row r="11" spans="1:21" ht="15" hidden="1" customHeight="1">
      <c r="A11" s="129" t="s">
        <v>6</v>
      </c>
      <c r="C11" s="79"/>
      <c r="F11" s="78">
        <f>Q11/21</f>
        <v>1416970.6666666667</v>
      </c>
      <c r="G11" s="90">
        <f t="shared" si="2"/>
        <v>-1.2594336739478185E-2</v>
      </c>
      <c r="H11" s="90"/>
      <c r="I11" s="130">
        <f t="shared" si="0"/>
        <v>6.6003868407614608</v>
      </c>
      <c r="J11" s="130"/>
      <c r="K11" s="78"/>
      <c r="O11" s="89"/>
      <c r="P11" s="129" t="s">
        <v>6</v>
      </c>
      <c r="Q11" s="116">
        <v>29756384</v>
      </c>
      <c r="R11" s="116"/>
      <c r="S11" s="116">
        <v>4508278.79</v>
      </c>
      <c r="T11" s="130">
        <f t="shared" si="1"/>
        <v>6.6003868407614608</v>
      </c>
      <c r="U11" s="85"/>
    </row>
    <row r="12" spans="1:21" ht="15" hidden="1" customHeight="1">
      <c r="A12" s="129" t="s">
        <v>7</v>
      </c>
      <c r="C12" s="79"/>
      <c r="F12" s="78">
        <f>Q12/22</f>
        <v>1608423.6818181819</v>
      </c>
      <c r="G12" s="90">
        <f t="shared" si="2"/>
        <v>0.13511431087130132</v>
      </c>
      <c r="H12" s="90"/>
      <c r="I12" s="130">
        <f t="shared" si="0"/>
        <v>6.3303790621820184</v>
      </c>
      <c r="J12" s="130"/>
      <c r="K12" s="78"/>
      <c r="O12" s="89"/>
      <c r="P12" s="129" t="s">
        <v>7</v>
      </c>
      <c r="Q12" s="116">
        <v>35385321</v>
      </c>
      <c r="R12" s="116"/>
      <c r="S12" s="116">
        <v>5589763.3700000001</v>
      </c>
      <c r="T12" s="130">
        <f>Q12/S12</f>
        <v>6.3303790621820184</v>
      </c>
      <c r="U12" s="85"/>
    </row>
    <row r="13" spans="1:21" ht="15" hidden="1" customHeight="1">
      <c r="A13" s="129" t="s">
        <v>96</v>
      </c>
      <c r="B13" s="131">
        <f>F11+F12+F13</f>
        <v>4529812.8984848484</v>
      </c>
      <c r="C13" s="131">
        <f>AVERAGE(F11:F13)</f>
        <v>1509937.6328282829</v>
      </c>
      <c r="D13" s="90">
        <f>C13/C10-1</f>
        <v>-1.8324217053550584E-2</v>
      </c>
      <c r="E13" s="286"/>
      <c r="F13" s="78">
        <f>Q13/20</f>
        <v>1504418.55</v>
      </c>
      <c r="G13" s="90">
        <f t="shared" si="2"/>
        <v>-6.4662770757399679E-2</v>
      </c>
      <c r="H13" s="90"/>
      <c r="I13" s="130">
        <f t="shared" si="0"/>
        <v>6.4162493922225758</v>
      </c>
      <c r="J13" s="130"/>
      <c r="K13" s="78">
        <f>R11+R12+R13</f>
        <v>0</v>
      </c>
      <c r="L13" s="87">
        <f>U13/U10-1</f>
        <v>-1.7250911720152251E-2</v>
      </c>
      <c r="N13" s="88">
        <f>AVERAGE(T11:T13)</f>
        <v>6.4490050983886853</v>
      </c>
      <c r="O13" s="89">
        <f>N13/N10-1</f>
        <v>3.610202866621437E-2</v>
      </c>
      <c r="P13" s="129" t="s">
        <v>96</v>
      </c>
      <c r="Q13" s="116">
        <v>30088371</v>
      </c>
      <c r="R13" s="116"/>
      <c r="S13" s="116">
        <v>4689401.7300000004</v>
      </c>
      <c r="T13" s="130">
        <f>Q13/S13</f>
        <v>6.4162493922225758</v>
      </c>
      <c r="U13" s="85">
        <f>Q11+Q12+Q13</f>
        <v>95230076</v>
      </c>
    </row>
    <row r="14" spans="1:21" ht="15" hidden="1" customHeight="1">
      <c r="A14" s="129" t="s">
        <v>97</v>
      </c>
      <c r="C14" s="79"/>
      <c r="F14" s="78">
        <f>Q14/20</f>
        <v>1365916.8</v>
      </c>
      <c r="G14" s="90">
        <f t="shared" si="2"/>
        <v>-9.2063309110353653E-2</v>
      </c>
      <c r="H14" s="90"/>
      <c r="I14" s="130">
        <f t="shared" si="0"/>
        <v>6.628398645461008</v>
      </c>
      <c r="J14" s="130"/>
      <c r="O14" s="89"/>
      <c r="P14" s="129" t="s">
        <v>97</v>
      </c>
      <c r="Q14" s="116">
        <v>27318336</v>
      </c>
      <c r="R14" s="116"/>
      <c r="S14" s="116">
        <v>4121408.12</v>
      </c>
      <c r="T14" s="130">
        <f>Q14/S14</f>
        <v>6.628398645461008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1065210.8636363635</v>
      </c>
      <c r="G15" s="90">
        <f t="shared" si="2"/>
        <v>-0.2201495262109936</v>
      </c>
      <c r="H15" s="90"/>
      <c r="I15" s="130">
        <f t="shared" si="0"/>
        <v>6.7479581777828468</v>
      </c>
      <c r="J15" s="130"/>
      <c r="O15" s="89"/>
      <c r="P15" s="129" t="s">
        <v>98</v>
      </c>
      <c r="Q15" s="116">
        <v>23434639</v>
      </c>
      <c r="R15" s="116"/>
      <c r="S15" s="116">
        <v>3472848.88</v>
      </c>
      <c r="T15" s="130">
        <f t="shared" ref="T15:T23" si="3">Q15/S15</f>
        <v>6.7479581777828468</v>
      </c>
      <c r="U15" s="85"/>
    </row>
    <row r="16" spans="1:21" ht="15" hidden="1" customHeight="1">
      <c r="A16" s="129" t="s">
        <v>99</v>
      </c>
      <c r="B16" s="131">
        <f>F14+F15+F16</f>
        <v>3567045.8454545457</v>
      </c>
      <c r="C16" s="131">
        <f>AVERAGE(F14:F16)</f>
        <v>1189015.281818182</v>
      </c>
      <c r="D16" s="90">
        <f>C16/C13-1</f>
        <v>-0.21254013677967432</v>
      </c>
      <c r="E16" s="286"/>
      <c r="F16" s="78">
        <f>Q16/22</f>
        <v>1135918.1818181819</v>
      </c>
      <c r="G16" s="90">
        <f t="shared" si="2"/>
        <v>6.6378705470991228E-2</v>
      </c>
      <c r="H16" s="90"/>
      <c r="I16" s="130">
        <f t="shared" si="0"/>
        <v>6.8094201074490099</v>
      </c>
      <c r="J16" s="130"/>
      <c r="K16" s="78">
        <f>R14+R15+R16</f>
        <v>0</v>
      </c>
      <c r="L16" s="87">
        <f>U16/U13-1</f>
        <v>-0.20462969072921877</v>
      </c>
      <c r="N16" s="88">
        <f>AVERAGE(T14:T16)</f>
        <v>6.7285923102309546</v>
      </c>
      <c r="O16" s="89">
        <f>N16/N13-1</f>
        <v>4.3353541759817427E-2</v>
      </c>
      <c r="P16" s="129" t="s">
        <v>99</v>
      </c>
      <c r="Q16" s="116">
        <v>24990200</v>
      </c>
      <c r="R16" s="116"/>
      <c r="S16" s="116">
        <v>3669945.4</v>
      </c>
      <c r="T16" s="130">
        <f t="shared" si="3"/>
        <v>6.8094201074490099</v>
      </c>
      <c r="U16" s="85">
        <f>Q14+Q15+Q16</f>
        <v>75743175</v>
      </c>
    </row>
    <row r="17" spans="1:21" ht="15" hidden="1" customHeight="1">
      <c r="A17" s="129" t="s">
        <v>100</v>
      </c>
      <c r="C17" s="79"/>
      <c r="F17" s="78">
        <f>Q17/20</f>
        <v>1770963.75</v>
      </c>
      <c r="G17" s="90">
        <f t="shared" si="2"/>
        <v>0.5590592512264807</v>
      </c>
      <c r="H17" s="90">
        <f t="shared" ref="H17:H22" si="4">F17/F5-1</f>
        <v>0.17921254755774663</v>
      </c>
      <c r="I17" s="130">
        <f t="shared" si="0"/>
        <v>7.0905441058607632</v>
      </c>
      <c r="J17" s="130">
        <f t="shared" ref="J17:J49" si="5">I17/I5-1</f>
        <v>0.21951532342578717</v>
      </c>
      <c r="O17" s="89"/>
      <c r="P17" s="129" t="s">
        <v>100</v>
      </c>
      <c r="Q17" s="116">
        <v>35419275</v>
      </c>
      <c r="R17" s="116">
        <v>44577413937</v>
      </c>
      <c r="S17" s="116">
        <v>4995283.08</v>
      </c>
      <c r="T17" s="130">
        <f t="shared" si="3"/>
        <v>7.0905441058607632</v>
      </c>
      <c r="U17" s="78"/>
    </row>
    <row r="18" spans="1:21" ht="15" hidden="1" customHeight="1">
      <c r="A18" s="129" t="s">
        <v>106</v>
      </c>
      <c r="C18" s="79"/>
      <c r="F18" s="78">
        <f>Q18/20</f>
        <v>1702069.55</v>
      </c>
      <c r="G18" s="90">
        <f t="shared" si="2"/>
        <v>-3.8902094975122981E-2</v>
      </c>
      <c r="H18" s="90">
        <f t="shared" si="4"/>
        <v>0.13099440749884073</v>
      </c>
      <c r="I18" s="130">
        <f t="shared" si="0"/>
        <v>6.7911840833789912</v>
      </c>
      <c r="J18" s="130">
        <f t="shared" si="5"/>
        <v>0.15270894963706327</v>
      </c>
      <c r="O18" s="89"/>
      <c r="P18" s="129" t="s">
        <v>106</v>
      </c>
      <c r="Q18" s="116">
        <v>34041391</v>
      </c>
      <c r="R18" s="116">
        <v>42521488912</v>
      </c>
      <c r="S18" s="116">
        <v>5012585.5199999996</v>
      </c>
      <c r="T18" s="130">
        <f t="shared" si="3"/>
        <v>6.7911840833789912</v>
      </c>
      <c r="U18" s="78"/>
    </row>
    <row r="19" spans="1:21" hidden="1">
      <c r="A19" s="129" t="s">
        <v>114</v>
      </c>
      <c r="B19" s="131">
        <f>SUM(F17:F19)</f>
        <v>5009396.9818181815</v>
      </c>
      <c r="C19" s="131">
        <f>AVERAGE(F17:F19)</f>
        <v>1669798.9939393939</v>
      </c>
      <c r="D19" s="90">
        <f>C19/C16-1</f>
        <v>0.40435452720676701</v>
      </c>
      <c r="E19" s="286">
        <f>C19/C7-1</f>
        <v>0.15303148375361864</v>
      </c>
      <c r="F19" s="78">
        <f>Q19/22</f>
        <v>1536363.6818181819</v>
      </c>
      <c r="G19" s="90">
        <f t="shared" si="2"/>
        <v>-9.7355521213465246E-2</v>
      </c>
      <c r="H19" s="90">
        <f t="shared" si="4"/>
        <v>0.14843068650194424</v>
      </c>
      <c r="I19" s="130">
        <f t="shared" si="0"/>
        <v>6.6720033743438929</v>
      </c>
      <c r="J19" s="130">
        <f t="shared" si="5"/>
        <v>0.15720962339606448</v>
      </c>
      <c r="K19" s="78">
        <f>R17+R18+R19</f>
        <v>131296980317</v>
      </c>
      <c r="L19" s="87">
        <f>U19/U16-1</f>
        <v>0.36329995408827265</v>
      </c>
      <c r="M19" s="87">
        <f>U19/U7-1</f>
        <v>0.19298403527097019</v>
      </c>
      <c r="N19" s="88">
        <f>AVERAGE(T17:T19)</f>
        <v>6.8512438545278824</v>
      </c>
      <c r="O19" s="89">
        <f>N19/N16-1</f>
        <v>1.8228410734654421E-2</v>
      </c>
      <c r="P19" s="129" t="s">
        <v>114</v>
      </c>
      <c r="Q19" s="116">
        <v>33800001</v>
      </c>
      <c r="R19" s="116">
        <v>44198077468</v>
      </c>
      <c r="S19" s="116">
        <v>5065944.83</v>
      </c>
      <c r="T19" s="130">
        <f t="shared" si="3"/>
        <v>6.6720033743438929</v>
      </c>
      <c r="U19" s="85">
        <f>Q17+Q18+Q19</f>
        <v>103260667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1687372.75</v>
      </c>
      <c r="G20" s="90">
        <f t="shared" si="2"/>
        <v>9.8289923127516943E-2</v>
      </c>
      <c r="H20" s="90">
        <f t="shared" si="4"/>
        <v>7.711040801633029E-2</v>
      </c>
      <c r="I20" s="130">
        <f t="shared" si="0"/>
        <v>6.6437957307013091</v>
      </c>
      <c r="J20" s="130">
        <f t="shared" si="5"/>
        <v>7.778141732004662E-2</v>
      </c>
      <c r="O20" s="89"/>
      <c r="P20" s="129" t="s">
        <v>131</v>
      </c>
      <c r="Q20" s="116">
        <v>33747455</v>
      </c>
      <c r="R20" s="116">
        <v>44252202372</v>
      </c>
      <c r="S20" s="116">
        <v>5079544.34</v>
      </c>
      <c r="T20" s="130">
        <f t="shared" si="3"/>
        <v>6.6437957307013091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1527854.2857142857</v>
      </c>
      <c r="G21" s="90">
        <f t="shared" si="2"/>
        <v>-9.4536589076547717E-2</v>
      </c>
      <c r="H21" s="90">
        <f t="shared" si="4"/>
        <v>-5.2640259772815723E-2</v>
      </c>
      <c r="I21" s="130">
        <f t="shared" si="0"/>
        <v>6.5581220525149035</v>
      </c>
      <c r="J21" s="130">
        <f t="shared" si="5"/>
        <v>2.6056965906640972E-2</v>
      </c>
      <c r="O21" s="89"/>
      <c r="P21" s="129" t="s">
        <v>141</v>
      </c>
      <c r="Q21" s="116">
        <v>32084940</v>
      </c>
      <c r="R21" s="116">
        <v>42713413788</v>
      </c>
      <c r="S21" s="116">
        <v>4892397.51</v>
      </c>
      <c r="T21" s="130">
        <f t="shared" si="3"/>
        <v>6.5581220525149035</v>
      </c>
      <c r="U21" s="78"/>
    </row>
    <row r="22" spans="1:21" hidden="1">
      <c r="A22" s="129" t="s">
        <v>155</v>
      </c>
      <c r="B22" s="131">
        <f>SUM(F20:F22)</f>
        <v>4857953.1785714282</v>
      </c>
      <c r="C22" s="131">
        <f>AVERAGE(F20:F22)</f>
        <v>1619317.726190476</v>
      </c>
      <c r="D22" s="90">
        <f>C22/C19-1</f>
        <v>-3.0231942845900472E-2</v>
      </c>
      <c r="E22" s="286">
        <f>C22/C10-1</f>
        <v>5.2788513999426634E-2</v>
      </c>
      <c r="F22" s="78">
        <f>Q22/21</f>
        <v>1642726.142857143</v>
      </c>
      <c r="G22" s="90">
        <f t="shared" si="2"/>
        <v>7.5185086835132031E-2</v>
      </c>
      <c r="H22" s="90">
        <f t="shared" si="4"/>
        <v>0.14472171852293525</v>
      </c>
      <c r="I22" s="130">
        <f t="shared" si="0"/>
        <v>6.4552124827403317</v>
      </c>
      <c r="J22" s="130">
        <f t="shared" si="5"/>
        <v>5.5293421534223119E-2</v>
      </c>
      <c r="K22" s="78">
        <f>R20+R21+R22</f>
        <v>131901228029</v>
      </c>
      <c r="L22" s="87">
        <f>U22/U19-1</f>
        <v>-2.8384699471290409E-2</v>
      </c>
      <c r="M22" s="87">
        <f>U22/U10-1</f>
        <v>3.5375275437580234E-2</v>
      </c>
      <c r="N22" s="88">
        <f>AVERAGE(T20:T22)</f>
        <v>6.552376755318849</v>
      </c>
      <c r="O22" s="89">
        <f>N22/N19-1</f>
        <v>-4.3622312320925061E-2</v>
      </c>
      <c r="P22" s="129" t="s">
        <v>155</v>
      </c>
      <c r="Q22" s="116">
        <v>34497249</v>
      </c>
      <c r="R22" s="116">
        <v>44935611869</v>
      </c>
      <c r="S22" s="116">
        <v>5344091.9400000004</v>
      </c>
      <c r="T22" s="130">
        <f t="shared" si="3"/>
        <v>6.4552124827403317</v>
      </c>
      <c r="U22" s="85">
        <f>Q20+Q21+Q22</f>
        <v>100329644</v>
      </c>
    </row>
    <row r="23" spans="1:21" hidden="1">
      <c r="A23" s="129" t="s">
        <v>189</v>
      </c>
      <c r="B23" s="131"/>
      <c r="C23" s="131"/>
      <c r="F23" s="78">
        <f>Q23/21</f>
        <v>1351346.3333333333</v>
      </c>
      <c r="G23" s="90">
        <f t="shared" ref="G23" si="6">F23/F22-1</f>
        <v>-0.17737576697782487</v>
      </c>
      <c r="H23" s="90">
        <f t="shared" ref="H23" si="7">F23/F11-1</f>
        <v>-4.6313120572714861E-2</v>
      </c>
      <c r="I23" s="130">
        <f t="shared" si="0"/>
        <v>6.3570368067971801</v>
      </c>
      <c r="J23" s="130">
        <f t="shared" si="5"/>
        <v>-3.6869056289465352E-2</v>
      </c>
      <c r="O23" s="89"/>
      <c r="P23" s="129" t="s">
        <v>189</v>
      </c>
      <c r="Q23" s="116">
        <v>28378273</v>
      </c>
      <c r="R23" s="116">
        <v>36719614778</v>
      </c>
      <c r="S23" s="116">
        <v>4464072.47</v>
      </c>
      <c r="T23" s="130">
        <f t="shared" si="3"/>
        <v>6.3570368067971801</v>
      </c>
      <c r="U23" s="78"/>
    </row>
    <row r="24" spans="1:21" hidden="1">
      <c r="A24" s="129" t="s">
        <v>204</v>
      </c>
      <c r="B24" s="131"/>
      <c r="C24" s="131"/>
      <c r="F24" s="78">
        <f>Q24/22</f>
        <v>1345331</v>
      </c>
      <c r="G24" s="90">
        <f t="shared" ref="G24" si="8">F24/F23-1</f>
        <v>-4.4513631960619859E-3</v>
      </c>
      <c r="H24" s="90">
        <f t="shared" ref="H24" si="9">F24/F12-1</f>
        <v>-0.16357175338327445</v>
      </c>
      <c r="I24" s="130">
        <f t="shared" si="0"/>
        <v>5.9126420209444417</v>
      </c>
      <c r="J24" s="130">
        <f t="shared" si="5"/>
        <v>-6.5989261801581156E-2</v>
      </c>
      <c r="O24" s="89"/>
      <c r="P24" s="129" t="s">
        <v>204</v>
      </c>
      <c r="Q24" s="116">
        <v>29597282</v>
      </c>
      <c r="R24" s="116">
        <v>38819174796</v>
      </c>
      <c r="S24" s="116">
        <v>5005762.55</v>
      </c>
      <c r="T24" s="130">
        <f t="shared" ref="T24" si="10">Q24/S24</f>
        <v>5.9126420209444417</v>
      </c>
      <c r="U24" s="78"/>
    </row>
    <row r="25" spans="1:21" s="79" customFormat="1" ht="13.2" hidden="1">
      <c r="A25" s="129" t="s">
        <v>219</v>
      </c>
      <c r="B25" s="131">
        <f>SUM(F23:F25)</f>
        <v>4130941.3859649119</v>
      </c>
      <c r="C25" s="131">
        <f>AVERAGE(F23:F25)</f>
        <v>1376980.461988304</v>
      </c>
      <c r="D25" s="90">
        <f>C25/C22-1</f>
        <v>-0.149653931580359</v>
      </c>
      <c r="E25" s="286">
        <f>C25/C13-1</f>
        <v>-8.805474342071673E-2</v>
      </c>
      <c r="F25" s="78">
        <f>Q25/19</f>
        <v>1434264.0526315789</v>
      </c>
      <c r="G25" s="90">
        <f t="shared" ref="G25" si="11">F25/F24-1</f>
        <v>6.6104960512750388E-2</v>
      </c>
      <c r="H25" s="90">
        <f t="shared" ref="H25" si="12">F25/F13-1</f>
        <v>-4.663230014574149E-2</v>
      </c>
      <c r="I25" s="130">
        <f t="shared" si="0"/>
        <v>5.7433275614869821</v>
      </c>
      <c r="J25" s="130">
        <f t="shared" si="5"/>
        <v>-0.10487775483778305</v>
      </c>
      <c r="K25" s="78">
        <f>R23+R24+R25</f>
        <v>111697324752</v>
      </c>
      <c r="L25" s="90">
        <f>U25/U22-1</f>
        <v>-0.15053449207893133</v>
      </c>
      <c r="M25" s="90">
        <f>U25/U13-1</f>
        <v>-0.10504563705273107</v>
      </c>
      <c r="N25" s="88">
        <f>AVERAGE(T23:T25)</f>
        <v>6.0043354630762016</v>
      </c>
      <c r="O25" s="91">
        <f>N25/N22-1</f>
        <v>-8.3640076373474481E-2</v>
      </c>
      <c r="P25" s="129" t="s">
        <v>219</v>
      </c>
      <c r="Q25" s="116">
        <v>27251017</v>
      </c>
      <c r="R25" s="116">
        <v>36158535178</v>
      </c>
      <c r="S25" s="116">
        <v>4744813.3</v>
      </c>
      <c r="T25" s="130">
        <f t="shared" ref="T25" si="13">Q25/S25</f>
        <v>5.7433275614869821</v>
      </c>
      <c r="U25" s="85">
        <f>Q23+Q24+Q25</f>
        <v>85226572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1479282.3157894737</v>
      </c>
      <c r="G26" s="90">
        <f t="shared" ref="G26" si="14">F26/F25-1</f>
        <v>3.1387709310078282E-2</v>
      </c>
      <c r="H26" s="90">
        <f t="shared" ref="H26" si="15">F26/F14-1</f>
        <v>8.2995915848954827E-2</v>
      </c>
      <c r="I26" s="130">
        <f t="shared" si="0"/>
        <v>5.5525791338761996</v>
      </c>
      <c r="J26" s="130">
        <f t="shared" si="5"/>
        <v>-0.162304588050314</v>
      </c>
      <c r="L26" s="90"/>
      <c r="M26" s="90"/>
      <c r="P26" s="129" t="s">
        <v>312</v>
      </c>
      <c r="Q26" s="116">
        <v>28106364</v>
      </c>
      <c r="R26" s="116">
        <v>37902062845</v>
      </c>
      <c r="S26" s="116">
        <v>5061857.4400000004</v>
      </c>
      <c r="T26" s="130">
        <f t="shared" ref="T26" si="16">Q26/S26</f>
        <v>5.5525791338761996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1312022.0909090908</v>
      </c>
      <c r="G27" s="90">
        <f t="shared" ref="G27" si="17">F27/F26-1</f>
        <v>-0.11306849483367098</v>
      </c>
      <c r="H27" s="90">
        <f t="shared" ref="H27" si="18">F27/F15-1</f>
        <v>0.23170175567884788</v>
      </c>
      <c r="I27" s="130">
        <f t="shared" si="0"/>
        <v>5.3560267045762959</v>
      </c>
      <c r="J27" s="130">
        <f t="shared" si="5"/>
        <v>-0.20627446651779535</v>
      </c>
      <c r="L27" s="90"/>
      <c r="M27" s="90"/>
      <c r="P27" s="129" t="s">
        <v>375</v>
      </c>
      <c r="Q27" s="116">
        <v>28864486</v>
      </c>
      <c r="R27" s="116">
        <v>38180244655</v>
      </c>
      <c r="S27" s="116">
        <v>5389160.21</v>
      </c>
      <c r="T27" s="130">
        <f t="shared" ref="T27" si="19">Q27/S27</f>
        <v>5.3560267045762959</v>
      </c>
      <c r="U27" s="78"/>
    </row>
    <row r="28" spans="1:21" s="79" customFormat="1" ht="13.2" hidden="1">
      <c r="A28" s="123" t="s">
        <v>414</v>
      </c>
      <c r="B28" s="131">
        <f>SUM(F26:F28)</f>
        <v>4058578.8803827753</v>
      </c>
      <c r="C28" s="131">
        <f>AVERAGE(F26:F28)</f>
        <v>1352859.6267942584</v>
      </c>
      <c r="D28" s="90">
        <f>C28/C25-1</f>
        <v>-1.751719494931403E-2</v>
      </c>
      <c r="E28" s="286">
        <f>C28/C16-1</f>
        <v>0.13779835085511594</v>
      </c>
      <c r="F28" s="78">
        <f>Q28/19</f>
        <v>1267274.4736842106</v>
      </c>
      <c r="G28" s="90">
        <f t="shared" ref="G28" si="20">F28/F27-1</f>
        <v>-3.4105841307805251E-2</v>
      </c>
      <c r="H28" s="90">
        <f t="shared" ref="H28" si="21">F28/F16-1</f>
        <v>0.11563886727807815</v>
      </c>
      <c r="I28" s="130">
        <f t="shared" si="0"/>
        <v>5.4388490842137838</v>
      </c>
      <c r="J28" s="130">
        <f t="shared" si="5"/>
        <v>-0.2012757329711411</v>
      </c>
      <c r="K28" s="78">
        <f>R26+R27+R28</f>
        <v>107509336162</v>
      </c>
      <c r="L28" s="90">
        <f>U28/U25-1</f>
        <v>-4.9016485140338628E-2</v>
      </c>
      <c r="M28" s="90">
        <f>U28/U16-1</f>
        <v>7.0051064006757091E-2</v>
      </c>
      <c r="N28" s="88">
        <f>AVERAGE(T26:T28)</f>
        <v>5.4491516408887604</v>
      </c>
      <c r="O28" s="91">
        <f>N28/N25-1</f>
        <v>-9.246382478153603E-2</v>
      </c>
      <c r="P28" s="129" t="s">
        <v>414</v>
      </c>
      <c r="Q28" s="116">
        <v>24078215</v>
      </c>
      <c r="R28" s="116">
        <v>31427028662</v>
      </c>
      <c r="S28" s="116">
        <v>4427079.08</v>
      </c>
      <c r="T28" s="130">
        <f t="shared" ref="T28" si="22">Q28/S28</f>
        <v>5.4388490842137838</v>
      </c>
      <c r="U28" s="85">
        <f>Q26+Q27+Q28</f>
        <v>81049065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1403634.8636363635</v>
      </c>
      <c r="G29" s="190">
        <f t="shared" ref="G29" si="23">F29/F28-1</f>
        <v>0.10760130720200434</v>
      </c>
      <c r="H29" s="190">
        <f t="shared" ref="H29" si="24">F29/F17-1</f>
        <v>-0.20741750719834695</v>
      </c>
      <c r="I29" s="130">
        <f t="shared" si="0"/>
        <v>5.4490139359086189</v>
      </c>
      <c r="J29" s="130">
        <f t="shared" si="5"/>
        <v>-0.23150976080881025</v>
      </c>
      <c r="K29" s="136"/>
      <c r="L29" s="190"/>
      <c r="M29" s="190"/>
      <c r="N29" s="191"/>
      <c r="O29" s="192"/>
      <c r="P29" s="129" t="s">
        <v>430</v>
      </c>
      <c r="Q29" s="116">
        <v>30879967</v>
      </c>
      <c r="R29" s="116">
        <v>40546868120</v>
      </c>
      <c r="S29" s="116">
        <v>5667074.3300000001</v>
      </c>
      <c r="T29" s="130">
        <f t="shared" ref="T29" si="25">Q29/S29</f>
        <v>5.4490139359086189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1747816.2631578948</v>
      </c>
      <c r="G30" s="190">
        <f t="shared" ref="G30" si="26">F30/F29-1</f>
        <v>0.24520721765906317</v>
      </c>
      <c r="H30" s="190">
        <f t="shared" ref="H30" si="27">F30/F18-1</f>
        <v>2.6877111548053279E-2</v>
      </c>
      <c r="I30" s="130">
        <f t="shared" si="0"/>
        <v>5.6838343056931739</v>
      </c>
      <c r="J30" s="130">
        <f t="shared" si="5"/>
        <v>-0.16305695208527604</v>
      </c>
      <c r="K30" s="136"/>
      <c r="L30" s="190"/>
      <c r="M30" s="190"/>
      <c r="N30" s="191"/>
      <c r="O30" s="192"/>
      <c r="P30" s="129" t="s">
        <v>477</v>
      </c>
      <c r="Q30" s="116">
        <v>33208509</v>
      </c>
      <c r="R30" s="116">
        <v>44244700791</v>
      </c>
      <c r="S30" s="116">
        <v>5842624.4000000004</v>
      </c>
      <c r="T30" s="130">
        <f t="shared" ref="T30" si="28">Q30/S30</f>
        <v>5.6838343056931739</v>
      </c>
      <c r="U30" s="85"/>
    </row>
    <row r="31" spans="1:21" s="79" customFormat="1" ht="13.2" hidden="1">
      <c r="A31" s="129" t="s">
        <v>509</v>
      </c>
      <c r="B31" s="188">
        <f>SUM(F29:F31)</f>
        <v>4605977.6267942581</v>
      </c>
      <c r="C31" s="188">
        <f>AVERAGE(F29:F31)</f>
        <v>1535325.875598086</v>
      </c>
      <c r="D31" s="190">
        <f>C31/C28-1</f>
        <v>0.13487448748559405</v>
      </c>
      <c r="E31" s="287">
        <f>C31/C19-1</f>
        <v>-8.05325184823944E-2</v>
      </c>
      <c r="F31" s="136">
        <f>Q31/20</f>
        <v>1454526.5</v>
      </c>
      <c r="G31" s="190">
        <f t="shared" ref="G31" si="29">F31/F30-1</f>
        <v>-0.16780354396519281</v>
      </c>
      <c r="H31" s="190">
        <f t="shared" ref="H31" si="30">F31/F19-1</f>
        <v>-5.3266803157786979E-2</v>
      </c>
      <c r="I31" s="130">
        <f t="shared" si="0"/>
        <v>5.7519099146706161</v>
      </c>
      <c r="J31" s="130">
        <f t="shared" si="5"/>
        <v>-0.13790362624985275</v>
      </c>
      <c r="K31" s="136">
        <f>R29+R30+R31</f>
        <v>123404882262</v>
      </c>
      <c r="L31" s="190">
        <f>U31/U28-1</f>
        <v>0.14966170183456162</v>
      </c>
      <c r="M31" s="190">
        <f>U31/U19-1</f>
        <v>-9.7633119104295507E-2</v>
      </c>
      <c r="N31" s="191">
        <f>AVERAGE(T29:T31)</f>
        <v>5.6282527187574694</v>
      </c>
      <c r="O31" s="192">
        <f>N31/N28-1</f>
        <v>3.2867699354297564E-2</v>
      </c>
      <c r="P31" s="129" t="s">
        <v>509</v>
      </c>
      <c r="Q31" s="116">
        <v>29090530</v>
      </c>
      <c r="R31" s="116">
        <v>38613313351</v>
      </c>
      <c r="S31" s="116">
        <v>5057542.7</v>
      </c>
      <c r="T31" s="130">
        <f t="shared" ref="T31" si="31">Q31/S31</f>
        <v>5.7519099146706161</v>
      </c>
      <c r="U31" s="85">
        <f>Q29+Q30+Q31</f>
        <v>93179006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1550922.2380952381</v>
      </c>
      <c r="G32" s="190">
        <f t="shared" ref="G32" si="32">F32/F31-1</f>
        <v>6.62729335596417E-2</v>
      </c>
      <c r="H32" s="190">
        <f t="shared" ref="H32" si="33">F32/F20-1</f>
        <v>-8.0865660480034407E-2</v>
      </c>
      <c r="I32" s="130">
        <f t="shared" si="0"/>
        <v>5.7997148208593536</v>
      </c>
      <c r="J32" s="130">
        <f t="shared" si="5"/>
        <v>-0.1270479924512754</v>
      </c>
      <c r="K32" s="136"/>
      <c r="L32" s="190"/>
      <c r="M32" s="190"/>
      <c r="N32" s="191"/>
      <c r="O32" s="192"/>
      <c r="P32" s="129" t="s">
        <v>562</v>
      </c>
      <c r="Q32" s="116">
        <v>32569367</v>
      </c>
      <c r="R32" s="116">
        <v>44273985118</v>
      </c>
      <c r="S32" s="116">
        <v>5615684.2199999997</v>
      </c>
      <c r="T32" s="130">
        <f t="shared" ref="T32" si="34">Q32/S32</f>
        <v>5.7997148208593536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1733449.4761904762</v>
      </c>
      <c r="G33" s="190">
        <f t="shared" ref="G33" si="35">F33/F32-1</f>
        <v>0.11768948410940872</v>
      </c>
      <c r="H33" s="190">
        <f t="shared" ref="H33" si="36">F33/F21-1</f>
        <v>0.13456465868410539</v>
      </c>
      <c r="I33" s="130">
        <f t="shared" si="0"/>
        <v>5.6020885476748585</v>
      </c>
      <c r="J33" s="130">
        <f t="shared" si="5"/>
        <v>-0.14577854714878724</v>
      </c>
      <c r="K33" s="136"/>
      <c r="L33" s="190"/>
      <c r="M33" s="190"/>
      <c r="N33" s="191"/>
      <c r="O33" s="192"/>
      <c r="P33" s="129" t="s">
        <v>607</v>
      </c>
      <c r="Q33" s="116">
        <v>36402439</v>
      </c>
      <c r="R33" s="116">
        <v>49787423639</v>
      </c>
      <c r="S33" s="116">
        <v>6498012.0700000003</v>
      </c>
      <c r="T33" s="130">
        <f t="shared" ref="T33" si="37">Q33/S33</f>
        <v>5.6020885476748585</v>
      </c>
      <c r="U33" s="85"/>
    </row>
    <row r="34" spans="1:21" s="79" customFormat="1" ht="13.2" hidden="1">
      <c r="A34" s="129" t="s">
        <v>652</v>
      </c>
      <c r="B34" s="188">
        <f>SUM(F32:F34)</f>
        <v>4972748.5563909775</v>
      </c>
      <c r="C34" s="188">
        <f>AVERAGE(F32:F34)</f>
        <v>1657582.8521303257</v>
      </c>
      <c r="D34" s="190">
        <f>C34/C31-1</f>
        <v>7.9629333729957841E-2</v>
      </c>
      <c r="E34" s="287">
        <f>C34/C22-1</f>
        <v>2.3630400211742453E-2</v>
      </c>
      <c r="F34" s="136">
        <f>Q34/19</f>
        <v>1688376.8421052631</v>
      </c>
      <c r="G34" s="190">
        <f t="shared" ref="G34" si="38">F34/F33-1</f>
        <v>-2.6001700484670098E-2</v>
      </c>
      <c r="H34" s="190">
        <f t="shared" ref="H34" si="39">F34/F22-1</f>
        <v>2.7789598069414945E-2</v>
      </c>
      <c r="I34" s="130">
        <f t="shared" si="0"/>
        <v>5.627178212873071</v>
      </c>
      <c r="J34" s="130">
        <f t="shared" si="5"/>
        <v>-0.12827374344085851</v>
      </c>
      <c r="K34" s="136">
        <f>R32+R33+R34</f>
        <v>138137141244</v>
      </c>
      <c r="L34" s="190">
        <f>U34/U31-1</f>
        <v>8.4482120360888979E-2</v>
      </c>
      <c r="M34" s="190">
        <f>U34/U22-1</f>
        <v>7.1895201781040363E-3</v>
      </c>
      <c r="N34" s="191">
        <f>AVERAGE(T32:T34)</f>
        <v>5.676327193802428</v>
      </c>
      <c r="O34" s="192">
        <f>N34/N31-1</f>
        <v>8.5416340465200857E-3</v>
      </c>
      <c r="P34" s="129" t="s">
        <v>652</v>
      </c>
      <c r="Q34" s="116">
        <v>32079160</v>
      </c>
      <c r="R34" s="116">
        <v>44075732487</v>
      </c>
      <c r="S34" s="116">
        <v>5700754.2300000004</v>
      </c>
      <c r="T34" s="130">
        <f t="shared" ref="T34" si="40">Q34/S34</f>
        <v>5.627178212873071</v>
      </c>
      <c r="U34" s="85">
        <f>Q32+Q33+Q34</f>
        <v>101050966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1498944.2173913044</v>
      </c>
      <c r="G35" s="190">
        <f t="shared" ref="G35" si="41">F35/F34-1</f>
        <v>-0.1121980709459105</v>
      </c>
      <c r="H35" s="190">
        <f t="shared" ref="H35" si="42">F35/F23-1</f>
        <v>0.1092228397837105</v>
      </c>
      <c r="I35" s="130">
        <f t="shared" si="0"/>
        <v>5.3732592465209468</v>
      </c>
      <c r="J35" s="130">
        <f t="shared" si="5"/>
        <v>-0.1547541079555087</v>
      </c>
      <c r="K35" s="136"/>
      <c r="L35" s="190"/>
      <c r="M35" s="190"/>
      <c r="N35" s="191"/>
      <c r="O35" s="192"/>
      <c r="P35" s="129" t="s">
        <v>660</v>
      </c>
      <c r="Q35" s="116">
        <v>34475717</v>
      </c>
      <c r="R35" s="116">
        <v>47716606856</v>
      </c>
      <c r="S35" s="116">
        <v>6416164.8300000001</v>
      </c>
      <c r="T35" s="130">
        <f t="shared" ref="T35" si="43">Q35/S35</f>
        <v>5.3732592465209468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1635435.4285714286</v>
      </c>
      <c r="G36" s="190">
        <f t="shared" ref="G36" si="44">F36/F35-1</f>
        <v>9.1058232585644383E-2</v>
      </c>
      <c r="H36" s="190">
        <f t="shared" ref="H36" si="45">F36/F24-1</f>
        <v>0.21563795718037326</v>
      </c>
      <c r="I36" s="130">
        <f t="shared" si="0"/>
        <v>5.3769708320235194</v>
      </c>
      <c r="J36" s="130">
        <f t="shared" si="5"/>
        <v>-9.0597602057321591E-2</v>
      </c>
      <c r="K36" s="136"/>
      <c r="L36" s="190"/>
      <c r="M36" s="190"/>
      <c r="N36" s="191"/>
      <c r="O36" s="192"/>
      <c r="P36" s="129" t="s">
        <v>664</v>
      </c>
      <c r="Q36" s="116">
        <v>34344144</v>
      </c>
      <c r="R36" s="116">
        <v>46943495255</v>
      </c>
      <c r="S36" s="116">
        <v>6387266.1900000004</v>
      </c>
      <c r="T36" s="130">
        <f t="shared" ref="T36" si="46">Q36/S36</f>
        <v>5.3769708320235194</v>
      </c>
      <c r="U36" s="85"/>
    </row>
    <row r="37" spans="1:21" s="79" customFormat="1" ht="13.2" hidden="1">
      <c r="A37" s="129" t="s">
        <v>702</v>
      </c>
      <c r="B37" s="188">
        <f>SUM(F35:F37)</f>
        <v>4723996.1459627328</v>
      </c>
      <c r="C37" s="188">
        <f>AVERAGE(F35:F37)</f>
        <v>1574665.3819875775</v>
      </c>
      <c r="D37" s="190">
        <f>C37/C34-1</f>
        <v>-5.0023122546292376E-2</v>
      </c>
      <c r="E37" s="287">
        <f>C37/C25-1</f>
        <v>0.1435640704108645</v>
      </c>
      <c r="F37" s="136">
        <f>Q37/18</f>
        <v>1589616.5</v>
      </c>
      <c r="G37" s="190">
        <f t="shared" ref="G37" si="47">F37/F36-1</f>
        <v>-2.8016348289245485E-2</v>
      </c>
      <c r="H37" s="190">
        <f t="shared" ref="H37" si="48">F37/F25-1</f>
        <v>0.10831509517608096</v>
      </c>
      <c r="I37" s="130">
        <f t="shared" si="0"/>
        <v>5.2507754359541865</v>
      </c>
      <c r="J37" s="130">
        <f t="shared" si="5"/>
        <v>-8.576075807267225E-2</v>
      </c>
      <c r="K37" s="136">
        <f>R35+R36+R37</f>
        <v>132860204209</v>
      </c>
      <c r="L37" s="190">
        <f>U37/U34-1</f>
        <v>-3.5803794295247049E-2</v>
      </c>
      <c r="M37" s="190">
        <f>U37/U25-1</f>
        <v>0.14322277329187894</v>
      </c>
      <c r="N37" s="191">
        <f>AVERAGE(T35:T37)</f>
        <v>5.3336685048328834</v>
      </c>
      <c r="O37" s="192">
        <f>N37/N34-1</f>
        <v>-6.0366268058625772E-2</v>
      </c>
      <c r="P37" s="129" t="s">
        <v>702</v>
      </c>
      <c r="Q37" s="116">
        <v>28613097</v>
      </c>
      <c r="R37" s="116">
        <v>38200102098</v>
      </c>
      <c r="S37" s="116">
        <v>5449308.8399999999</v>
      </c>
      <c r="T37" s="130">
        <f t="shared" ref="T37" si="49">Q37/S37</f>
        <v>5.2507754359541865</v>
      </c>
      <c r="U37" s="85">
        <f>Q35+Q36+Q37</f>
        <v>97432958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1564688.9</v>
      </c>
      <c r="G38" s="190">
        <f t="shared" ref="G38" si="50">F38/F37-1</f>
        <v>-1.5681518152334317E-2</v>
      </c>
      <c r="H38" s="190">
        <f t="shared" ref="H38" si="51">F38/F26-1</f>
        <v>5.7735148523658131E-2</v>
      </c>
      <c r="I38" s="130">
        <f t="shared" si="0"/>
        <v>5.4274945487104347</v>
      </c>
      <c r="J38" s="130">
        <f t="shared" si="5"/>
        <v>-2.252729446080759E-2</v>
      </c>
      <c r="K38" s="136"/>
      <c r="L38" s="190"/>
      <c r="M38" s="190"/>
      <c r="N38" s="191"/>
      <c r="O38" s="192"/>
      <c r="P38" s="129" t="s">
        <v>728</v>
      </c>
      <c r="Q38" s="116">
        <v>31293778</v>
      </c>
      <c r="R38" s="116">
        <v>42029600970</v>
      </c>
      <c r="S38" s="116">
        <v>5765787.0899999999</v>
      </c>
      <c r="T38" s="130">
        <f t="shared" ref="T38" si="52">Q38/S38</f>
        <v>5.4274945487104347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1411742.7142857143</v>
      </c>
      <c r="G39" s="190">
        <f t="shared" ref="G39" si="53">F39/F38-1</f>
        <v>-9.7748623201893703E-2</v>
      </c>
      <c r="H39" s="190">
        <f t="shared" ref="H39" si="54">F39/F27-1</f>
        <v>7.6005292950157344E-2</v>
      </c>
      <c r="I39" s="130">
        <f t="shared" si="0"/>
        <v>5.254020651114339</v>
      </c>
      <c r="J39" s="130">
        <f t="shared" si="5"/>
        <v>-1.9045097996767013E-2</v>
      </c>
      <c r="K39" s="136"/>
      <c r="L39" s="190"/>
      <c r="M39" s="190"/>
      <c r="N39" s="191"/>
      <c r="O39" s="192"/>
      <c r="P39" s="129" t="s">
        <v>762</v>
      </c>
      <c r="Q39" s="116">
        <v>29646597</v>
      </c>
      <c r="R39" s="116">
        <v>41212625470</v>
      </c>
      <c r="S39" s="116">
        <v>5642649.5</v>
      </c>
      <c r="T39" s="130">
        <f t="shared" ref="T39" si="55">Q39/S39</f>
        <v>5.254020651114339</v>
      </c>
      <c r="U39" s="85"/>
    </row>
    <row r="40" spans="1:21" s="79" customFormat="1" ht="13.2" hidden="1">
      <c r="A40" s="129" t="s">
        <v>778</v>
      </c>
      <c r="B40" s="188">
        <f>SUM(F38:F40)</f>
        <v>4286191.3761904761</v>
      </c>
      <c r="C40" s="188">
        <f>AVERAGE(F38:F40)</f>
        <v>1428730.4587301586</v>
      </c>
      <c r="D40" s="190">
        <f>C40/C37-1</f>
        <v>-9.2676783859448664E-2</v>
      </c>
      <c r="E40" s="287">
        <f>C40/C28-1</f>
        <v>5.60818213754255E-2</v>
      </c>
      <c r="F40" s="136">
        <f>Q40/21</f>
        <v>1309759.7619047619</v>
      </c>
      <c r="G40" s="190">
        <f t="shared" ref="G40" si="56">F40/F39-1</f>
        <v>-7.2239049898374486E-2</v>
      </c>
      <c r="H40" s="190">
        <f t="shared" ref="H40" si="57">F40/F28-1</f>
        <v>3.3524930157425414E-2</v>
      </c>
      <c r="I40" s="130">
        <f t="shared" si="0"/>
        <v>5.1490068099054005</v>
      </c>
      <c r="J40" s="130">
        <f t="shared" si="5"/>
        <v>-5.3291104390016608E-2</v>
      </c>
      <c r="K40" s="136">
        <f>R38+R39+R40</f>
        <v>122230584249</v>
      </c>
      <c r="L40" s="190">
        <f>U40/U37-1</f>
        <v>-9.2244228077320578E-2</v>
      </c>
      <c r="M40" s="190">
        <f>U40/U28-1</f>
        <v>9.1256635718129475E-2</v>
      </c>
      <c r="N40" s="191">
        <f>AVERAGE(T38:T40)</f>
        <v>5.2768406699100581</v>
      </c>
      <c r="O40" s="192">
        <f>N40/N37-1</f>
        <v>-1.0654549466531882E-2</v>
      </c>
      <c r="P40" s="129" t="s">
        <v>778</v>
      </c>
      <c r="Q40" s="116">
        <v>27504955</v>
      </c>
      <c r="R40" s="116">
        <v>38988357809</v>
      </c>
      <c r="S40" s="116">
        <v>5341798.1399999997</v>
      </c>
      <c r="T40" s="130">
        <f t="shared" ref="T40" si="58">Q40/S40</f>
        <v>5.1490068099054005</v>
      </c>
      <c r="U40" s="85">
        <f>Q38+Q39+Q40</f>
        <v>88445330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1483866.9444444445</v>
      </c>
      <c r="G41" s="190">
        <f t="shared" ref="G41" si="59">F41/F40-1</f>
        <v>0.13293062407603773</v>
      </c>
      <c r="H41" s="190">
        <f t="shared" ref="H41" si="60">F41/F29-1</f>
        <v>5.7160222281901429E-2</v>
      </c>
      <c r="I41" s="130">
        <f t="shared" si="0"/>
        <v>5.1650529053982783</v>
      </c>
      <c r="J41" s="130">
        <f t="shared" si="5"/>
        <v>-5.2112370026998311E-2</v>
      </c>
      <c r="K41" s="193"/>
      <c r="L41" s="190"/>
      <c r="M41" s="190"/>
      <c r="N41" s="193"/>
      <c r="O41" s="193"/>
      <c r="P41" s="129" t="s">
        <v>793</v>
      </c>
      <c r="Q41" s="116">
        <v>26709605</v>
      </c>
      <c r="R41" s="116">
        <v>39059560548</v>
      </c>
      <c r="S41" s="116">
        <v>5171216.1500000004</v>
      </c>
      <c r="T41" s="130">
        <f t="shared" ref="T41" si="61">Q41/S41</f>
        <v>5.1650529053982783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1562994.5</v>
      </c>
      <c r="G42" s="190">
        <f t="shared" ref="G42" si="62">F42/F41-1</f>
        <v>5.3325236370960871E-2</v>
      </c>
      <c r="H42" s="190">
        <f t="shared" ref="H42" si="63">F42/F30-1</f>
        <v>-0.10574438918651852</v>
      </c>
      <c r="I42" s="130">
        <f t="shared" si="0"/>
        <v>5.1234661595844342</v>
      </c>
      <c r="J42" s="130">
        <f t="shared" si="5"/>
        <v>-9.8589810323543525E-2</v>
      </c>
      <c r="K42" s="193"/>
      <c r="L42" s="190"/>
      <c r="M42" s="190"/>
      <c r="N42" s="193"/>
      <c r="O42" s="193"/>
      <c r="P42" s="129" t="s">
        <v>826</v>
      </c>
      <c r="Q42" s="116">
        <v>31259890</v>
      </c>
      <c r="R42" s="116">
        <v>45218834566</v>
      </c>
      <c r="S42" s="116">
        <v>6101316.7699999996</v>
      </c>
      <c r="T42" s="130">
        <f t="shared" ref="T42" si="64">Q42/S42</f>
        <v>5.1234661595844342</v>
      </c>
      <c r="U42" s="78"/>
    </row>
    <row r="43" spans="1:21" s="79" customFormat="1" ht="13.2">
      <c r="A43" s="129" t="s">
        <v>835</v>
      </c>
      <c r="B43" s="188">
        <f>SUM(F41:F43)</f>
        <v>4430796.6444444442</v>
      </c>
      <c r="C43" s="188">
        <f>AVERAGE(F41:F43)</f>
        <v>1476932.2148148147</v>
      </c>
      <c r="D43" s="190">
        <f>C43/C40-1</f>
        <v>3.3737473566215703E-2</v>
      </c>
      <c r="E43" s="287">
        <f>C43/C31-1</f>
        <v>-3.8033398453943268E-2</v>
      </c>
      <c r="F43" s="136">
        <f>Q43/20</f>
        <v>1383935.2</v>
      </c>
      <c r="G43" s="190">
        <f t="shared" ref="G43" si="65">F43/F42-1</f>
        <v>-0.1145616955146036</v>
      </c>
      <c r="H43" s="190">
        <f t="shared" ref="H43" si="66">F43/F31-1</f>
        <v>-4.8532151184595196E-2</v>
      </c>
      <c r="I43" s="130">
        <f t="shared" si="0"/>
        <v>5.3788648511424872</v>
      </c>
      <c r="J43" s="130">
        <f t="shared" si="5"/>
        <v>-6.4855859890408429E-2</v>
      </c>
      <c r="K43" s="136">
        <f>R41+R42+R43</f>
        <v>124419636110</v>
      </c>
      <c r="L43" s="190">
        <f>U43/U40-1</f>
        <v>-3.1625536362406059E-2</v>
      </c>
      <c r="M43" s="190">
        <f>K43/K31-1</f>
        <v>8.2229635440644877E-3</v>
      </c>
      <c r="N43" s="191">
        <f>AVERAGE(T41:T43)</f>
        <v>5.2224613053750666</v>
      </c>
      <c r="O43" s="192">
        <f>N43/N40-1</f>
        <v>-1.0305288322438266E-2</v>
      </c>
      <c r="P43" s="129" t="s">
        <v>835</v>
      </c>
      <c r="Q43" s="116">
        <v>27678704</v>
      </c>
      <c r="R43" s="116">
        <v>40141240996</v>
      </c>
      <c r="S43" s="116">
        <v>5145826.26</v>
      </c>
      <c r="T43" s="130">
        <f t="shared" ref="T43" si="67">Q43/S43</f>
        <v>5.3788648511424872</v>
      </c>
      <c r="U43" s="85">
        <f>Q41+Q42+Q43</f>
        <v>85648199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1581049.0909090908</v>
      </c>
      <c r="G44" s="190">
        <f t="shared" ref="G44" si="68">F44/F43-1</f>
        <v>0.14243000026958685</v>
      </c>
      <c r="H44" s="190">
        <f t="shared" ref="H44" si="69">F44/F32-1</f>
        <v>1.9425121436683401E-2</v>
      </c>
      <c r="I44" s="130">
        <f t="shared" si="0"/>
        <v>5.3822066467918974</v>
      </c>
      <c r="J44" s="130">
        <f t="shared" si="5"/>
        <v>-7.1987707493106234E-2</v>
      </c>
      <c r="K44" s="136"/>
      <c r="L44" s="190"/>
      <c r="M44" s="190"/>
      <c r="N44" s="191"/>
      <c r="O44" s="192"/>
      <c r="P44" s="129" t="s">
        <v>843</v>
      </c>
      <c r="Q44" s="116">
        <v>34783080</v>
      </c>
      <c r="R44" s="116">
        <v>50545838471</v>
      </c>
      <c r="S44" s="116">
        <v>6462605.8200000003</v>
      </c>
      <c r="T44" s="130">
        <f t="shared" ref="T44" si="70">Q44/S44</f>
        <v>5.3822066467918974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1526648.05</v>
      </c>
      <c r="G45" s="190">
        <f t="shared" ref="G45" si="71">F45/F44-1</f>
        <v>-3.4408192143996374E-2</v>
      </c>
      <c r="H45" s="190">
        <f t="shared" ref="H45" si="72">F45/F33-1</f>
        <v>-0.11930052131946434</v>
      </c>
      <c r="I45" s="130">
        <f t="shared" si="0"/>
        <v>5.2144728860956677</v>
      </c>
      <c r="J45" s="130">
        <f t="shared" si="5"/>
        <v>-6.9191277196086198E-2</v>
      </c>
      <c r="K45" s="136"/>
      <c r="L45" s="190"/>
      <c r="M45" s="190"/>
      <c r="N45" s="191"/>
      <c r="O45" s="192"/>
      <c r="P45" s="129" t="s">
        <v>849</v>
      </c>
      <c r="Q45" s="116">
        <v>30532961</v>
      </c>
      <c r="R45" s="116">
        <v>43023876603</v>
      </c>
      <c r="S45" s="116">
        <v>5855426.1699999999</v>
      </c>
      <c r="T45" s="130">
        <f t="shared" ref="T45" si="73">Q45/S45</f>
        <v>5.2144728860956677</v>
      </c>
      <c r="U45" s="85"/>
    </row>
    <row r="46" spans="1:21" s="79" customFormat="1" ht="13.2">
      <c r="A46" s="129" t="s">
        <v>888</v>
      </c>
      <c r="B46" s="188">
        <f>SUM(F44:F46)</f>
        <v>4773338.8777511958</v>
      </c>
      <c r="C46" s="188">
        <f>AVERAGE(F44:F46)</f>
        <v>1591112.9592503987</v>
      </c>
      <c r="D46" s="190">
        <f>C46/C43-1</f>
        <v>7.7309400722835875E-2</v>
      </c>
      <c r="E46" s="287">
        <f>C46/C34-1</f>
        <v>-4.0100495003613235E-2</v>
      </c>
      <c r="F46" s="136">
        <f>Q46/19</f>
        <v>1665641.7368421052</v>
      </c>
      <c r="G46" s="190">
        <f t="shared" ref="G46" si="74">F46/F45-1</f>
        <v>9.1045009910506236E-2</v>
      </c>
      <c r="H46" s="190">
        <f t="shared" ref="H46" si="75">F46/F34-1</f>
        <v>-1.3465658078328779E-2</v>
      </c>
      <c r="I46" s="130">
        <f t="shared" si="0"/>
        <v>5.3779836152138945</v>
      </c>
      <c r="J46" s="130">
        <f t="shared" si="5"/>
        <v>-4.4284113321505281E-2</v>
      </c>
      <c r="K46" s="136">
        <f>R44+R45+R46</f>
        <v>136900340830</v>
      </c>
      <c r="L46" s="190">
        <f>U46/U43-1</f>
        <v>0.13211060048092782</v>
      </c>
      <c r="M46" s="190">
        <f>K46/K34-1</f>
        <v>-8.9534241324378261E-3</v>
      </c>
      <c r="N46" s="191">
        <f>AVERAGE(T44:T46)</f>
        <v>5.3248877160338202</v>
      </c>
      <c r="O46" s="192">
        <f>N46/N43-1</f>
        <v>1.9612670093569484E-2</v>
      </c>
      <c r="P46" s="129" t="s">
        <v>888</v>
      </c>
      <c r="Q46" s="116">
        <v>31647193</v>
      </c>
      <c r="R46" s="116">
        <v>43330625756</v>
      </c>
      <c r="S46" s="116">
        <v>5884583.3799999999</v>
      </c>
      <c r="T46" s="130">
        <f t="shared" ref="T46" si="76">Q46/S46</f>
        <v>5.3779836152138945</v>
      </c>
      <c r="U46" s="85">
        <f t="shared" ref="U46:U51" si="77">Q44+Q45+Q46</f>
        <v>96963234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1518430.6521739131</v>
      </c>
      <c r="G47" s="190">
        <f t="shared" ref="G47" si="78">F47/F46-1</f>
        <v>-8.8381001395468117E-2</v>
      </c>
      <c r="H47" s="190">
        <f t="shared" ref="H47" si="79">F47/F35-1</f>
        <v>1.3000106712791393E-2</v>
      </c>
      <c r="I47" s="130">
        <f t="shared" si="0"/>
        <v>5.2382181816110878</v>
      </c>
      <c r="J47" s="130">
        <f t="shared" si="5"/>
        <v>-2.513205834937049E-2</v>
      </c>
      <c r="K47" s="136"/>
      <c r="L47" s="190"/>
      <c r="M47" s="190"/>
      <c r="N47" s="191"/>
      <c r="O47" s="192"/>
      <c r="P47" s="129" t="s">
        <v>1033</v>
      </c>
      <c r="Q47" s="116">
        <v>34923905</v>
      </c>
      <c r="R47" s="116">
        <v>47868265150</v>
      </c>
      <c r="S47" s="116">
        <v>6667134.4699999997</v>
      </c>
      <c r="T47" s="130">
        <f t="shared" ref="T47" si="80">Q47/S47</f>
        <v>5.2382181816110878</v>
      </c>
      <c r="U47" s="85">
        <f t="shared" si="77"/>
        <v>97104059</v>
      </c>
    </row>
    <row r="48" spans="1:21" s="79" customFormat="1" ht="13.2">
      <c r="A48" s="129" t="s">
        <v>1080</v>
      </c>
      <c r="B48" s="188"/>
      <c r="C48" s="188"/>
      <c r="D48" s="190"/>
      <c r="E48" s="287"/>
      <c r="F48" s="136">
        <f>Q48/20</f>
        <v>1443089.35</v>
      </c>
      <c r="G48" s="190">
        <f t="shared" ref="G48" si="81">F48/F47-1</f>
        <v>-4.9617874919771987E-2</v>
      </c>
      <c r="H48" s="190">
        <f t="shared" ref="H48" si="82">F48/F36-1</f>
        <v>-0.11761153953931702</v>
      </c>
      <c r="I48" s="130">
        <f t="shared" si="0"/>
        <v>5.395491431125425</v>
      </c>
      <c r="J48" s="130">
        <f t="shared" si="5"/>
        <v>3.4444298993780986E-3</v>
      </c>
      <c r="K48" s="136"/>
      <c r="L48" s="190"/>
      <c r="M48" s="190"/>
      <c r="N48" s="191"/>
      <c r="O48" s="192"/>
      <c r="P48" s="129" t="s">
        <v>1070</v>
      </c>
      <c r="Q48" s="116">
        <v>28861787</v>
      </c>
      <c r="R48" s="116">
        <v>40032618602</v>
      </c>
      <c r="S48" s="116">
        <v>5349241.5599999996</v>
      </c>
      <c r="T48" s="130">
        <f t="shared" ref="T48" si="83">Q48/S48</f>
        <v>5.395491431125425</v>
      </c>
      <c r="U48" s="85">
        <f t="shared" si="77"/>
        <v>95432885</v>
      </c>
    </row>
    <row r="49" spans="1:26" ht="13.2">
      <c r="A49" s="129" t="s">
        <v>1207</v>
      </c>
      <c r="B49" s="188">
        <f>SUM(F47:F49)</f>
        <v>4350488.1385375494</v>
      </c>
      <c r="C49" s="188">
        <f>AVERAGE(F47:F49)</f>
        <v>1450162.7128458498</v>
      </c>
      <c r="D49" s="190">
        <f>C49/C46-1</f>
        <v>-8.8585945821818335E-2</v>
      </c>
      <c r="E49" s="287">
        <f>C49/C37-1</f>
        <v>-7.9066111801211814E-2</v>
      </c>
      <c r="F49" s="136">
        <f>Q49/22</f>
        <v>1388968.1363636365</v>
      </c>
      <c r="G49" s="190">
        <f t="shared" ref="G49" si="84">F49/F48-1</f>
        <v>-3.7503716340477222E-2</v>
      </c>
      <c r="H49" s="190">
        <f t="shared" ref="H49" si="85">F49/F37-1</f>
        <v>-0.12622438408028824</v>
      </c>
      <c r="I49" s="130">
        <f t="shared" si="0"/>
        <v>5.2470045867338078</v>
      </c>
      <c r="J49" s="130">
        <f t="shared" si="5"/>
        <v>-7.1815092196825248E-4</v>
      </c>
      <c r="K49" s="136">
        <f>R47+R48+R49</f>
        <v>130380399193</v>
      </c>
      <c r="L49" s="190">
        <f>U49/U46-1</f>
        <v>-2.7023057007360185E-2</v>
      </c>
      <c r="M49" s="190">
        <f>K49/K37-1</f>
        <v>-1.8664768963466805E-2</v>
      </c>
      <c r="N49" s="191">
        <f>AVERAGE(T47:T49)</f>
        <v>5.293571399823441</v>
      </c>
      <c r="O49" s="192">
        <f>N49/N46-1</f>
        <v>-5.8811223598354001E-3</v>
      </c>
      <c r="P49" s="129" t="s">
        <v>1158</v>
      </c>
      <c r="Q49" s="116">
        <v>30557299</v>
      </c>
      <c r="R49" s="116">
        <v>42479515441</v>
      </c>
      <c r="S49" s="116">
        <v>5823760.6799999997</v>
      </c>
      <c r="T49" s="130">
        <f t="shared" ref="T49" si="86">Q49/S49</f>
        <v>5.2470045867338078</v>
      </c>
      <c r="U49" s="85">
        <f t="shared" si="77"/>
        <v>94342991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1367027.5</v>
      </c>
      <c r="G50" s="190">
        <f t="shared" ref="G50" si="87">F50/F49-1</f>
        <v>-1.5796356870415917E-2</v>
      </c>
      <c r="H50" s="190">
        <f t="shared" ref="H50" si="88">F50/F38-1</f>
        <v>-0.12632632595527449</v>
      </c>
      <c r="I50" s="130">
        <f t="shared" ref="I50" si="89">T50</f>
        <v>5.2746266605779537</v>
      </c>
      <c r="J50" s="130">
        <f t="shared" ref="J50" si="90">I50/I38-1</f>
        <v>-2.8165461385641022E-2</v>
      </c>
      <c r="K50" s="136"/>
      <c r="L50" s="190"/>
      <c r="M50" s="190"/>
      <c r="N50" s="191"/>
      <c r="O50" s="192"/>
      <c r="P50" s="129" t="s">
        <v>1291</v>
      </c>
      <c r="Q50" s="116">
        <v>24606495</v>
      </c>
      <c r="R50" s="116">
        <v>34766909863</v>
      </c>
      <c r="S50" s="116">
        <v>4665068.5599999996</v>
      </c>
      <c r="T50" s="130">
        <f t="shared" ref="T50" si="91">Q50/S50</f>
        <v>5.2746266605779537</v>
      </c>
      <c r="U50" s="85">
        <f t="shared" si="77"/>
        <v>84025581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1452654.4</v>
      </c>
      <c r="G51" s="190">
        <f t="shared" ref="G51:G52" si="92">F51/F50-1</f>
        <v>6.2637291495599046E-2</v>
      </c>
      <c r="H51" s="190">
        <f t="shared" ref="H51:H52" si="93">F51/F39-1</f>
        <v>2.8979562139964887E-2</v>
      </c>
      <c r="I51" s="130">
        <f t="shared" ref="I51:I52" si="94">T51</f>
        <v>5.2375453152299212</v>
      </c>
      <c r="J51" s="130">
        <f t="shared" ref="J51:J52" si="95">I51/I39-1</f>
        <v>-3.1357577326849295E-3</v>
      </c>
      <c r="K51" s="136"/>
      <c r="L51" s="190"/>
      <c r="M51" s="190"/>
      <c r="N51" s="191"/>
      <c r="O51" s="192"/>
      <c r="P51" s="129" t="s">
        <v>1402</v>
      </c>
      <c r="Q51" s="116">
        <v>29053088</v>
      </c>
      <c r="R51" s="116">
        <v>42093093199</v>
      </c>
      <c r="S51" s="116">
        <v>5547080.9800000004</v>
      </c>
      <c r="T51" s="130">
        <f t="shared" ref="T51:T52" si="96">Q51/S51</f>
        <v>5.2375453152299212</v>
      </c>
      <c r="U51" s="85">
        <f t="shared" si="77"/>
        <v>84216882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4238882.8090909086</v>
      </c>
      <c r="C52" s="188">
        <f>AVERAGE(F50:F52)</f>
        <v>1412960.9363636363</v>
      </c>
      <c r="D52" s="190">
        <f>C52/C49-1</f>
        <v>-2.5653518844935275E-2</v>
      </c>
      <c r="E52" s="287">
        <f>C52/C40-1</f>
        <v>-1.1037436956819802E-2</v>
      </c>
      <c r="F52" s="136">
        <f>Q52/22</f>
        <v>1419200.9090909092</v>
      </c>
      <c r="G52" s="190">
        <f t="shared" si="92"/>
        <v>-2.3029215282789006E-2</v>
      </c>
      <c r="H52" s="190">
        <f t="shared" si="93"/>
        <v>8.355818400390369E-2</v>
      </c>
      <c r="I52" s="130">
        <f t="shared" si="94"/>
        <v>5.5591482659025599</v>
      </c>
      <c r="J52" s="130">
        <f t="shared" si="95"/>
        <v>7.965447923047031E-2</v>
      </c>
      <c r="K52" s="136">
        <f>R50+R51+R52</f>
        <v>122798746390</v>
      </c>
      <c r="L52" s="190">
        <f>U52/U49-1</f>
        <v>-0.10028289223944575</v>
      </c>
      <c r="M52" s="190">
        <f>K52/K40-1</f>
        <v>4.648281315931424E-3</v>
      </c>
      <c r="N52" s="191">
        <f>AVERAGE(T50:T52)</f>
        <v>5.3571067472368119</v>
      </c>
      <c r="O52" s="192">
        <f>N52/N49-1</f>
        <v>1.2002359581943178E-2</v>
      </c>
      <c r="P52" s="129" t="s">
        <v>1403</v>
      </c>
      <c r="Q52" s="116">
        <v>31222420</v>
      </c>
      <c r="R52" s="116">
        <v>45938743328</v>
      </c>
      <c r="S52" s="116">
        <v>5616403.54</v>
      </c>
      <c r="T52" s="130">
        <f t="shared" si="96"/>
        <v>5.5591482659025599</v>
      </c>
      <c r="U52" s="85">
        <f t="shared" ref="U52" si="97">Q50+Q51+Q52</f>
        <v>84882003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1506326.142857143</v>
      </c>
      <c r="G53" s="190">
        <f t="shared" ref="G53" si="98">F53/F52-1</f>
        <v>6.1390345234518806E-2</v>
      </c>
      <c r="H53" s="190">
        <f t="shared" ref="H53" si="99">F53/F41-1</f>
        <v>1.5135587794300021E-2</v>
      </c>
      <c r="I53" s="130">
        <f t="shared" ref="I53" si="100">T53</f>
        <v>5.3000914705354685</v>
      </c>
      <c r="J53" s="130">
        <f t="shared" ref="J53" si="101">I53/I41-1</f>
        <v>2.6144662525344975E-2</v>
      </c>
      <c r="K53" s="136"/>
      <c r="L53" s="190"/>
      <c r="M53" s="190"/>
      <c r="N53" s="191"/>
      <c r="O53" s="192"/>
      <c r="P53" s="129" t="s">
        <v>1414</v>
      </c>
      <c r="Q53" s="116">
        <v>31632849</v>
      </c>
      <c r="R53" s="116">
        <v>46041728401</v>
      </c>
      <c r="S53" s="116">
        <v>5968359.0700000003</v>
      </c>
      <c r="T53" s="130">
        <f t="shared" ref="T53" si="102">Q53/S53</f>
        <v>5.3000914705354685</v>
      </c>
      <c r="U53" s="85">
        <f t="shared" ref="U53" si="103">Q51+Q52+Q53</f>
        <v>91908357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1827605.705882353</v>
      </c>
      <c r="G54" s="190">
        <f t="shared" ref="G54" si="104">F54/F53-1</f>
        <v>0.21328685328120178</v>
      </c>
      <c r="H54" s="190">
        <f t="shared" ref="H54" si="105">F54/F42-1</f>
        <v>0.16929759246264342</v>
      </c>
      <c r="I54" s="130">
        <f t="shared" ref="I54" si="106">T54</f>
        <v>5.1652395182076081</v>
      </c>
      <c r="J54" s="130">
        <f t="shared" ref="J54" si="107">I54/I42-1</f>
        <v>8.1533394233568313E-3</v>
      </c>
      <c r="K54" s="136"/>
      <c r="L54" s="190"/>
      <c r="M54" s="190"/>
      <c r="N54" s="191"/>
      <c r="O54" s="192"/>
      <c r="P54" s="129" t="s">
        <v>1417</v>
      </c>
      <c r="Q54" s="116">
        <v>31069297</v>
      </c>
      <c r="R54" s="116">
        <v>45003959814</v>
      </c>
      <c r="S54" s="116">
        <v>6015073.8200000003</v>
      </c>
      <c r="T54" s="130">
        <f t="shared" ref="T54" si="108">Q54/S54</f>
        <v>5.1652395182076081</v>
      </c>
      <c r="U54" s="85">
        <f t="shared" ref="U54" si="109">Q52+Q53+Q54</f>
        <v>93924566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4918846.0392156867</v>
      </c>
      <c r="C55" s="188">
        <f>AVERAGE(F53:F55)</f>
        <v>1639615.3464052288</v>
      </c>
      <c r="D55" s="190">
        <f>C55/C52-1</f>
        <v>0.16041095277899542</v>
      </c>
      <c r="E55" s="287">
        <f>C55/C43-1</f>
        <v>0.11014935550770155</v>
      </c>
      <c r="F55" s="136">
        <f>Q55/21</f>
        <v>1584914.1904761905</v>
      </c>
      <c r="G55" s="190">
        <f t="shared" ref="G55" si="110">F55/F54-1</f>
        <v>-0.13279205390146942</v>
      </c>
      <c r="H55" s="190">
        <f t="shared" ref="H55" si="111">F55/F43-1</f>
        <v>0.14522283303162653</v>
      </c>
      <c r="I55" s="130">
        <f>T55</f>
        <v>5.1905306246190905</v>
      </c>
      <c r="J55" s="130">
        <f t="shared" ref="J55" si="112">I55/I43-1</f>
        <v>-3.5013749505789171E-2</v>
      </c>
      <c r="K55" s="136">
        <f>R53+R54+R55</f>
        <v>140052866907</v>
      </c>
      <c r="L55" s="190">
        <f>U55/U52-1</f>
        <v>0.13080913041130748</v>
      </c>
      <c r="M55" s="190">
        <f>K55/K43-1</f>
        <v>0.12564922455791927</v>
      </c>
      <c r="N55" s="191">
        <f>AVERAGE(T53:T55)</f>
        <v>5.2186205377873884</v>
      </c>
      <c r="O55" s="192">
        <f>N55/N52-1</f>
        <v>-2.5850933345850202E-2</v>
      </c>
      <c r="P55" s="129" t="s">
        <v>1418</v>
      </c>
      <c r="Q55" s="116">
        <v>33283198</v>
      </c>
      <c r="R55" s="116">
        <v>49007178692</v>
      </c>
      <c r="S55" s="116">
        <v>6412292</v>
      </c>
      <c r="T55" s="130">
        <f t="shared" ref="T55" si="113">Q55/S55</f>
        <v>5.1905306246190905</v>
      </c>
      <c r="U55" s="85">
        <f t="shared" ref="U55" si="114">Q53+Q54+Q55</f>
        <v>95985344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1713837</v>
      </c>
      <c r="G56" s="190">
        <f t="shared" ref="G56" si="115">F56/F55-1</f>
        <v>8.1343715829230057E-2</v>
      </c>
      <c r="H56" s="190">
        <f t="shared" ref="H56" si="116">F56/F44-1</f>
        <v>8.3987214473243865E-2</v>
      </c>
      <c r="I56" s="291">
        <f>T56</f>
        <v>5.3930474829373694</v>
      </c>
      <c r="J56" s="130">
        <f t="shared" ref="J56" si="117">I56/I44-1</f>
        <v>2.0141991671638326E-3</v>
      </c>
      <c r="K56" s="136"/>
      <c r="L56" s="190"/>
      <c r="M56" s="190"/>
      <c r="N56" s="191"/>
      <c r="O56" s="192"/>
      <c r="P56" s="129" t="s">
        <v>1420</v>
      </c>
      <c r="Q56" s="116">
        <v>37704414</v>
      </c>
      <c r="R56" s="116">
        <v>56283812015</v>
      </c>
      <c r="S56" s="116">
        <v>6991300.21</v>
      </c>
      <c r="T56" s="130">
        <f t="shared" ref="T56" si="118">Q56/S56</f>
        <v>5.3930474829373694</v>
      </c>
      <c r="U56" s="85">
        <f t="shared" ref="U56" si="119">Q54+Q55+Q56</f>
        <v>102056909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1804274.5833333333</v>
      </c>
      <c r="G57" s="254">
        <f t="shared" ref="G57" si="120">F57/F56-1</f>
        <v>5.2769069248320255E-2</v>
      </c>
      <c r="H57" s="254">
        <f t="shared" ref="H57" si="121">F57/F45-1</f>
        <v>0.18185365863031322</v>
      </c>
      <c r="I57" s="282">
        <f>T57</f>
        <v>5.6169796436073804</v>
      </c>
      <c r="J57" s="277">
        <f t="shared" ref="J57" si="122">I57/I45-1</f>
        <v>7.7190305962658634E-2</v>
      </c>
      <c r="K57" s="204"/>
      <c r="L57" s="254"/>
      <c r="M57" s="254"/>
      <c r="N57" s="257"/>
      <c r="O57" s="258"/>
      <c r="P57" s="129" t="s">
        <v>1436</v>
      </c>
      <c r="Q57" s="116">
        <v>21651295</v>
      </c>
      <c r="R57" s="116">
        <v>31920033159</v>
      </c>
      <c r="S57" s="116">
        <v>3854615.18</v>
      </c>
      <c r="T57" s="130">
        <f t="shared" ref="T57" si="123">Q57/S57</f>
        <v>5.6169796436073804</v>
      </c>
      <c r="U57" s="85">
        <f t="shared" ref="U57" si="124">Q55+Q56+Q57</f>
        <v>92638907</v>
      </c>
      <c r="V57" s="79"/>
      <c r="W57" s="79"/>
      <c r="X57" s="79"/>
      <c r="Y57" s="79"/>
      <c r="Z57" s="79"/>
    </row>
    <row r="58" spans="1:26">
      <c r="B58" s="196">
        <f>SUM(F56:F58)</f>
        <v>3518111.583333333</v>
      </c>
      <c r="C58" s="196">
        <f>AVERAGE(F56:F58)</f>
        <v>1759055.7916666665</v>
      </c>
      <c r="D58" s="197">
        <f>C58/C55-1</f>
        <v>7.2846625596244108E-2</v>
      </c>
      <c r="E58" s="233">
        <f>C58/C46-1</f>
        <v>0.10555054023027299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155341053</v>
      </c>
      <c r="R64" s="212">
        <v>228256712081</v>
      </c>
      <c r="S64" s="213">
        <v>29241640.289999999</v>
      </c>
      <c r="T64" s="214">
        <v>47</v>
      </c>
      <c r="U64" s="214">
        <v>308</v>
      </c>
    </row>
    <row r="65" spans="16:21" ht="18" thickBot="1">
      <c r="P65" s="180" t="s">
        <v>976</v>
      </c>
      <c r="Q65" s="181">
        <v>31632849</v>
      </c>
      <c r="R65" s="181">
        <v>46041728401</v>
      </c>
      <c r="S65" s="182">
        <v>5968359.0700000003</v>
      </c>
      <c r="T65" s="210">
        <v>25</v>
      </c>
      <c r="U65" s="210">
        <v>161</v>
      </c>
    </row>
    <row r="66" spans="16:21" ht="18" thickBot="1">
      <c r="P66" s="180" t="s">
        <v>977</v>
      </c>
      <c r="Q66" s="181">
        <v>31069297</v>
      </c>
      <c r="R66" s="181">
        <v>45003959814</v>
      </c>
      <c r="S66" s="182">
        <v>6015073.8200000003</v>
      </c>
      <c r="T66" s="210">
        <v>22</v>
      </c>
      <c r="U66" s="210">
        <v>154</v>
      </c>
    </row>
    <row r="67" spans="16:21" ht="18" thickBot="1">
      <c r="P67" s="180" t="s">
        <v>978</v>
      </c>
      <c r="Q67" s="181">
        <v>33283198</v>
      </c>
      <c r="R67" s="181">
        <v>49007178692</v>
      </c>
      <c r="S67" s="182">
        <v>6412292</v>
      </c>
      <c r="T67" s="210">
        <v>18</v>
      </c>
      <c r="U67" s="210">
        <v>152</v>
      </c>
    </row>
    <row r="68" spans="16:21" ht="18" thickBot="1">
      <c r="P68" s="180" t="s">
        <v>979</v>
      </c>
      <c r="Q68" s="181">
        <v>37704414</v>
      </c>
      <c r="R68" s="181">
        <v>56283812015</v>
      </c>
      <c r="S68" s="182">
        <v>6991300.21</v>
      </c>
      <c r="T68" s="210">
        <v>23</v>
      </c>
      <c r="U68" s="210">
        <v>176</v>
      </c>
    </row>
    <row r="69" spans="16:21" ht="18" thickBot="1">
      <c r="P69" s="180" t="s">
        <v>980</v>
      </c>
      <c r="Q69" s="181">
        <v>21651295</v>
      </c>
      <c r="R69" s="181">
        <v>31920033159</v>
      </c>
      <c r="S69" s="182">
        <v>3854615.18</v>
      </c>
      <c r="T69" s="210">
        <v>19</v>
      </c>
      <c r="U69" s="210">
        <v>114</v>
      </c>
    </row>
    <row r="70" spans="16:21" ht="18" thickBot="1">
      <c r="P70" s="215" t="s">
        <v>975</v>
      </c>
      <c r="Q70" s="217">
        <v>361</v>
      </c>
      <c r="R70"/>
      <c r="S70"/>
      <c r="T70"/>
      <c r="U70"/>
    </row>
    <row r="71" spans="16:21" ht="18" thickBot="1">
      <c r="P71" s="180" t="s">
        <v>982</v>
      </c>
      <c r="Q71" s="181">
        <v>379950181</v>
      </c>
      <c r="R71" s="181">
        <v>516416891544</v>
      </c>
      <c r="S71" s="182">
        <v>69384666.510000005</v>
      </c>
      <c r="T71" s="210">
        <v>62</v>
      </c>
      <c r="U71" s="210">
        <v>434</v>
      </c>
    </row>
    <row r="72" spans="16:21" ht="18" thickBot="1">
      <c r="P72" s="215" t="s">
        <v>1386</v>
      </c>
      <c r="Q72" s="217">
        <v>36</v>
      </c>
      <c r="R72"/>
      <c r="S72"/>
      <c r="T72"/>
      <c r="U72"/>
    </row>
  </sheetData>
  <phoneticPr fontId="1" type="noConversion"/>
  <conditionalFormatting sqref="C29:C30">
    <cfRule type="cellIs" dxfId="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37"/>
  <dimension ref="A1:Z72"/>
  <sheetViews>
    <sheetView zoomScale="90" zoomScaleNormal="90" workbookViewId="0">
      <selection activeCell="G70" sqref="G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9405499000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387374.65</v>
      </c>
      <c r="G5" s="90"/>
      <c r="H5" s="90"/>
      <c r="I5" s="130">
        <f t="shared" ref="I5:I49" si="0">T5</f>
        <v>35.143496047753651</v>
      </c>
      <c r="J5" s="130"/>
      <c r="L5" s="80"/>
      <c r="M5" s="80"/>
      <c r="P5" s="129" t="s">
        <v>0</v>
      </c>
      <c r="Q5" s="116">
        <v>7747493</v>
      </c>
      <c r="R5" s="116">
        <v>9143731832</v>
      </c>
      <c r="S5" s="116">
        <v>220453.11</v>
      </c>
      <c r="T5" s="130">
        <f t="shared" ref="T5:T17" si="1">Q5/S5</f>
        <v>35.143496047753651</v>
      </c>
      <c r="U5" s="85"/>
    </row>
    <row r="6" spans="1:21" ht="15" hidden="1" customHeight="1">
      <c r="A6" s="129" t="s">
        <v>1</v>
      </c>
      <c r="C6" s="79"/>
      <c r="F6" s="78">
        <f>Q6/18</f>
        <v>416120.5</v>
      </c>
      <c r="G6" s="90">
        <f t="shared" ref="G6:G16" si="2">F6/F5-1</f>
        <v>7.4206843426641411E-2</v>
      </c>
      <c r="H6" s="90"/>
      <c r="I6" s="130">
        <f t="shared" si="0"/>
        <v>42.43619629555662</v>
      </c>
      <c r="J6" s="130"/>
      <c r="P6" s="129" t="s">
        <v>1</v>
      </c>
      <c r="Q6" s="116">
        <v>7490169</v>
      </c>
      <c r="R6" s="116">
        <v>8895812906</v>
      </c>
      <c r="S6" s="116">
        <v>176504.25</v>
      </c>
      <c r="T6" s="130">
        <f t="shared" si="1"/>
        <v>42.43619629555662</v>
      </c>
      <c r="U6" s="85"/>
    </row>
    <row r="7" spans="1:21" ht="15" hidden="1" customHeight="1">
      <c r="A7" s="129" t="s">
        <v>2</v>
      </c>
      <c r="B7" s="131">
        <f>F5+F6+F7</f>
        <v>1085673.1954545456</v>
      </c>
      <c r="C7" s="131">
        <f>AVERAGE(F5:F7)</f>
        <v>361891.06515151518</v>
      </c>
      <c r="F7" s="78">
        <f>Q7/22</f>
        <v>282178.04545454547</v>
      </c>
      <c r="G7" s="90">
        <f t="shared" si="2"/>
        <v>-0.32188381621538598</v>
      </c>
      <c r="H7" s="90"/>
      <c r="I7" s="130">
        <f t="shared" si="0"/>
        <v>35.439265232822471</v>
      </c>
      <c r="J7" s="130"/>
      <c r="K7" s="79">
        <f>R5+R6+R7</f>
        <v>25522812536</v>
      </c>
      <c r="N7" s="88">
        <f>AVERAGE(T5:T7)</f>
        <v>37.672985858710916</v>
      </c>
      <c r="P7" s="129" t="s">
        <v>2</v>
      </c>
      <c r="Q7" s="116">
        <v>6207917</v>
      </c>
      <c r="R7" s="116">
        <v>7483267798</v>
      </c>
      <c r="S7" s="116">
        <v>175170.59</v>
      </c>
      <c r="T7" s="130">
        <f t="shared" si="1"/>
        <v>35.439265232822471</v>
      </c>
      <c r="U7" s="85">
        <f>Q5+Q6+Q7</f>
        <v>21445579</v>
      </c>
    </row>
    <row r="8" spans="1:21" ht="15" hidden="1" customHeight="1">
      <c r="A8" s="129" t="s">
        <v>3</v>
      </c>
      <c r="C8" s="79"/>
      <c r="F8" s="78">
        <f>Q8/21</f>
        <v>285114.47619047621</v>
      </c>
      <c r="G8" s="90">
        <f t="shared" si="2"/>
        <v>1.0406304754151163E-2</v>
      </c>
      <c r="H8" s="90"/>
      <c r="I8" s="130">
        <f t="shared" si="0"/>
        <v>31.54904528555387</v>
      </c>
      <c r="J8" s="130"/>
      <c r="K8" s="78"/>
      <c r="P8" s="129" t="s">
        <v>3</v>
      </c>
      <c r="Q8" s="116">
        <v>5987404</v>
      </c>
      <c r="R8" s="116">
        <v>7270503672</v>
      </c>
      <c r="S8" s="116">
        <v>189780.83</v>
      </c>
      <c r="T8" s="130">
        <f t="shared" si="1"/>
        <v>31.54904528555387</v>
      </c>
      <c r="U8" s="85"/>
    </row>
    <row r="9" spans="1:21" ht="15" hidden="1" customHeight="1">
      <c r="A9" s="129" t="s">
        <v>4</v>
      </c>
      <c r="C9" s="79"/>
      <c r="F9" s="78">
        <f>Q9/21</f>
        <v>302343.33333333331</v>
      </c>
      <c r="G9" s="90">
        <f t="shared" si="2"/>
        <v>6.0427858217016794E-2</v>
      </c>
      <c r="H9" s="90"/>
      <c r="I9" s="130">
        <f t="shared" si="0"/>
        <v>24.482109082639173</v>
      </c>
      <c r="J9" s="130"/>
      <c r="K9" s="78"/>
      <c r="P9" s="129" t="s">
        <v>4</v>
      </c>
      <c r="Q9" s="116">
        <v>6349210</v>
      </c>
      <c r="R9" s="116">
        <v>7972796298</v>
      </c>
      <c r="S9" s="116">
        <v>259340.81</v>
      </c>
      <c r="T9" s="130">
        <f t="shared" si="1"/>
        <v>24.482109082639173</v>
      </c>
      <c r="U9" s="85"/>
    </row>
    <row r="10" spans="1:21" ht="15" hidden="1" customHeight="1">
      <c r="A10" s="129" t="s">
        <v>5</v>
      </c>
      <c r="B10" s="131">
        <f>F8+F9+F10</f>
        <v>1019997.6666666666</v>
      </c>
      <c r="C10" s="131">
        <f>AVERAGE(F8:F10)</f>
        <v>339999.22222222219</v>
      </c>
      <c r="D10" s="90">
        <f>C10/C7-1</f>
        <v>-6.0492908052668826E-2</v>
      </c>
      <c r="E10" s="286"/>
      <c r="F10" s="78">
        <f>Q10/21</f>
        <v>432539.85714285716</v>
      </c>
      <c r="G10" s="90">
        <f t="shared" si="2"/>
        <v>0.43062475489076601</v>
      </c>
      <c r="H10" s="90"/>
      <c r="I10" s="130">
        <f t="shared" si="0"/>
        <v>31.235516755824833</v>
      </c>
      <c r="J10" s="130"/>
      <c r="K10" s="79">
        <f>R8+R9+R10</f>
        <v>26630135581</v>
      </c>
      <c r="L10" s="87">
        <f>U10/U7-1</f>
        <v>-1.1950248580371303E-3</v>
      </c>
      <c r="N10" s="88">
        <f>AVERAGE(T8:T10)</f>
        <v>29.088890374672626</v>
      </c>
      <c r="O10" s="89">
        <f>N10/N7-1</f>
        <v>-0.22785811340338546</v>
      </c>
      <c r="P10" s="129" t="s">
        <v>5</v>
      </c>
      <c r="Q10" s="116">
        <v>9083337</v>
      </c>
      <c r="R10" s="116">
        <v>11386835611</v>
      </c>
      <c r="S10" s="116">
        <v>290801.56</v>
      </c>
      <c r="T10" s="130">
        <f t="shared" si="1"/>
        <v>31.235516755824833</v>
      </c>
      <c r="U10" s="85">
        <f>Q8+Q9+Q10</f>
        <v>21419951</v>
      </c>
    </row>
    <row r="11" spans="1:21" ht="15" hidden="1" customHeight="1">
      <c r="A11" s="129" t="s">
        <v>6</v>
      </c>
      <c r="C11" s="79"/>
      <c r="F11" s="78">
        <f>Q11/21</f>
        <v>398585.85714285716</v>
      </c>
      <c r="G11" s="90">
        <f t="shared" si="2"/>
        <v>-7.849912427558281E-2</v>
      </c>
      <c r="H11" s="90"/>
      <c r="I11" s="130">
        <f t="shared" si="0"/>
        <v>34.343679323871697</v>
      </c>
      <c r="J11" s="130"/>
      <c r="K11" s="78"/>
      <c r="O11" s="89"/>
      <c r="P11" s="129" t="s">
        <v>6</v>
      </c>
      <c r="Q11" s="116">
        <v>8370303</v>
      </c>
      <c r="R11" s="116">
        <v>10785762089</v>
      </c>
      <c r="S11" s="116">
        <v>243721.79</v>
      </c>
      <c r="T11" s="130">
        <f t="shared" si="1"/>
        <v>34.343679323871697</v>
      </c>
      <c r="U11" s="85"/>
    </row>
    <row r="12" spans="1:21" ht="15" hidden="1" customHeight="1">
      <c r="A12" s="129" t="s">
        <v>7</v>
      </c>
      <c r="C12" s="79"/>
      <c r="F12" s="78">
        <f>Q12/22</f>
        <v>245719.40909090909</v>
      </c>
      <c r="G12" s="90">
        <f t="shared" si="2"/>
        <v>-0.38352200739816822</v>
      </c>
      <c r="H12" s="90"/>
      <c r="I12" s="130">
        <f t="shared" si="0"/>
        <v>41.021121697233035</v>
      </c>
      <c r="J12" s="130"/>
      <c r="K12" s="78"/>
      <c r="O12" s="89"/>
      <c r="P12" s="129" t="s">
        <v>7</v>
      </c>
      <c r="Q12" s="116">
        <v>5405827</v>
      </c>
      <c r="R12" s="116">
        <v>7036862506</v>
      </c>
      <c r="S12" s="116">
        <v>131781.54999999999</v>
      </c>
      <c r="T12" s="130">
        <f t="shared" si="1"/>
        <v>41.021121697233035</v>
      </c>
      <c r="U12" s="85"/>
    </row>
    <row r="13" spans="1:21" ht="15" hidden="1" customHeight="1">
      <c r="A13" s="129" t="s">
        <v>96</v>
      </c>
      <c r="B13" s="131">
        <f>F11+F12+F13</f>
        <v>952755.46623376617</v>
      </c>
      <c r="C13" s="131">
        <f>AVERAGE(F11:F13)</f>
        <v>317585.15541125537</v>
      </c>
      <c r="D13" s="90">
        <f>C13/C10-1</f>
        <v>-6.5923876720862196E-2</v>
      </c>
      <c r="E13" s="286"/>
      <c r="F13" s="78">
        <f>Q13/20</f>
        <v>308450.2</v>
      </c>
      <c r="G13" s="90">
        <f t="shared" si="2"/>
        <v>0.2552944073127017</v>
      </c>
      <c r="H13" s="90"/>
      <c r="I13" s="130">
        <f t="shared" si="0"/>
        <v>30.567876349081057</v>
      </c>
      <c r="J13" s="130"/>
      <c r="K13" s="78">
        <f>R11+R12+R13</f>
        <v>26230313097</v>
      </c>
      <c r="L13" s="87">
        <f>U13/U10-1</f>
        <v>-6.8852491772740332E-2</v>
      </c>
      <c r="N13" s="88">
        <f>AVERAGE(T11:T13)</f>
        <v>35.310892456728602</v>
      </c>
      <c r="O13" s="89">
        <f>N13/N10-1</f>
        <v>0.21389616454649651</v>
      </c>
      <c r="P13" s="129" t="s">
        <v>96</v>
      </c>
      <c r="Q13" s="116">
        <v>6169004</v>
      </c>
      <c r="R13" s="116">
        <v>8407688502</v>
      </c>
      <c r="S13" s="116">
        <v>201813.3</v>
      </c>
      <c r="T13" s="130">
        <f t="shared" si="1"/>
        <v>30.567876349081057</v>
      </c>
      <c r="U13" s="85">
        <f>Q11+Q12+Q13</f>
        <v>19945134</v>
      </c>
    </row>
    <row r="14" spans="1:21" ht="15" hidden="1" customHeight="1">
      <c r="A14" s="129" t="s">
        <v>97</v>
      </c>
      <c r="C14" s="79"/>
      <c r="F14" s="78">
        <f>Q14/20</f>
        <v>250710</v>
      </c>
      <c r="G14" s="90">
        <f t="shared" si="2"/>
        <v>-0.18719456171531101</v>
      </c>
      <c r="H14" s="90"/>
      <c r="I14" s="130">
        <f t="shared" si="0"/>
        <v>31.027781813717471</v>
      </c>
      <c r="J14" s="130"/>
      <c r="O14" s="89"/>
      <c r="P14" s="129" t="s">
        <v>97</v>
      </c>
      <c r="Q14" s="116">
        <v>5014200</v>
      </c>
      <c r="R14" s="116">
        <v>7151433317</v>
      </c>
      <c r="S14" s="116">
        <v>161603.56</v>
      </c>
      <c r="T14" s="130">
        <f t="shared" si="1"/>
        <v>31.027781813717471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317712.68181818182</v>
      </c>
      <c r="G15" s="90">
        <f t="shared" si="2"/>
        <v>0.26725173235284516</v>
      </c>
      <c r="H15" s="90"/>
      <c r="I15" s="130">
        <f t="shared" si="0"/>
        <v>32.038348593424402</v>
      </c>
      <c r="J15" s="130"/>
      <c r="O15" s="89"/>
      <c r="P15" s="129" t="s">
        <v>98</v>
      </c>
      <c r="Q15" s="116">
        <v>6989679</v>
      </c>
      <c r="R15" s="116">
        <v>9777241927</v>
      </c>
      <c r="S15" s="116">
        <v>218166.02</v>
      </c>
      <c r="T15" s="130">
        <f t="shared" si="1"/>
        <v>32.038348593424402</v>
      </c>
      <c r="U15" s="85"/>
    </row>
    <row r="16" spans="1:21" ht="15" hidden="1" customHeight="1">
      <c r="A16" s="129" t="s">
        <v>99</v>
      </c>
      <c r="B16" s="131">
        <f>F14+F15+F16</f>
        <v>804927.77272727282</v>
      </c>
      <c r="C16" s="131">
        <f>AVERAGE(F14:F16)</f>
        <v>268309.25757575763</v>
      </c>
      <c r="D16" s="90">
        <f>C16/C13-1</f>
        <v>-0.15515806389529807</v>
      </c>
      <c r="E16" s="286"/>
      <c r="F16" s="78">
        <f>Q16/22</f>
        <v>236505.09090909091</v>
      </c>
      <c r="G16" s="90">
        <f t="shared" si="2"/>
        <v>-0.25560072215047358</v>
      </c>
      <c r="H16" s="90"/>
      <c r="I16" s="130">
        <f t="shared" si="0"/>
        <v>29.541612948702202</v>
      </c>
      <c r="J16" s="130"/>
      <c r="K16" s="78">
        <f>R14+R15+R16</f>
        <v>23763231109</v>
      </c>
      <c r="L16" s="87">
        <f>U16/U13-1</f>
        <v>-0.13728376054029012</v>
      </c>
      <c r="N16" s="88">
        <f>AVERAGE(T14:T16)</f>
        <v>30.869247785281356</v>
      </c>
      <c r="O16" s="89">
        <f>N16/N13-1</f>
        <v>-0.12578681427806493</v>
      </c>
      <c r="P16" s="129" t="s">
        <v>99</v>
      </c>
      <c r="Q16" s="116">
        <v>5203112</v>
      </c>
      <c r="R16" s="116">
        <v>6834555865</v>
      </c>
      <c r="S16" s="116">
        <v>176128.23</v>
      </c>
      <c r="T16" s="130">
        <f t="shared" si="1"/>
        <v>29.541612948702202</v>
      </c>
      <c r="U16" s="85">
        <f>Q14+Q15+Q16</f>
        <v>17206991</v>
      </c>
    </row>
    <row r="17" spans="1:21" ht="15" hidden="1" customHeight="1">
      <c r="A17" s="129" t="s">
        <v>100</v>
      </c>
      <c r="C17" s="79"/>
      <c r="F17" s="78">
        <f>Q17/20</f>
        <v>261770.2</v>
      </c>
      <c r="G17" s="90">
        <f t="shared" ref="G17:G22" si="3">F17/F16-1</f>
        <v>0.10682691435433256</v>
      </c>
      <c r="H17" s="90">
        <f t="shared" ref="H17:H22" si="4">F17/F5-1</f>
        <v>-0.32424540428755466</v>
      </c>
      <c r="I17" s="130">
        <f t="shared" si="0"/>
        <v>33.940082452153199</v>
      </c>
      <c r="J17" s="130">
        <f t="shared" ref="J17:J49" si="5">I17/I5-1</f>
        <v>-3.4242853754937519E-2</v>
      </c>
      <c r="O17" s="89"/>
      <c r="P17" s="129" t="s">
        <v>100</v>
      </c>
      <c r="Q17" s="116">
        <v>5235404</v>
      </c>
      <c r="R17" s="116">
        <v>6563105597</v>
      </c>
      <c r="S17" s="116">
        <v>154254.31</v>
      </c>
      <c r="T17" s="130">
        <f t="shared" si="1"/>
        <v>33.940082452153199</v>
      </c>
      <c r="U17" s="78"/>
    </row>
    <row r="18" spans="1:21" ht="15" hidden="1" customHeight="1">
      <c r="A18" s="129" t="s">
        <v>106</v>
      </c>
      <c r="C18" s="79"/>
      <c r="F18" s="78">
        <f>Q18/20</f>
        <v>269796.5</v>
      </c>
      <c r="G18" s="90">
        <f t="shared" si="3"/>
        <v>3.0661626113285489E-2</v>
      </c>
      <c r="H18" s="90">
        <f t="shared" si="4"/>
        <v>-0.35163852778221694</v>
      </c>
      <c r="I18" s="130">
        <f t="shared" si="0"/>
        <v>28.066190464549333</v>
      </c>
      <c r="J18" s="130">
        <f t="shared" si="5"/>
        <v>-0.33862615138557861</v>
      </c>
      <c r="O18" s="89"/>
      <c r="P18" s="129" t="s">
        <v>106</v>
      </c>
      <c r="Q18" s="116">
        <v>5395930</v>
      </c>
      <c r="R18" s="116">
        <v>6768352281</v>
      </c>
      <c r="S18" s="116">
        <v>192257.3</v>
      </c>
      <c r="T18" s="130">
        <f t="shared" ref="T18" si="6">Q18/S18</f>
        <v>28.066190464549333</v>
      </c>
      <c r="U18" s="78"/>
    </row>
    <row r="19" spans="1:21" hidden="1">
      <c r="A19" s="129" t="s">
        <v>114</v>
      </c>
      <c r="B19" s="131">
        <f>SUM(F17:F19)</f>
        <v>836621.01818181807</v>
      </c>
      <c r="C19" s="131">
        <f>AVERAGE(F17:F19)</f>
        <v>278873.67272727267</v>
      </c>
      <c r="D19" s="90">
        <f>C19/C16-1</f>
        <v>3.9374024016044951E-2</v>
      </c>
      <c r="E19" s="286">
        <f>C19/C7-1</f>
        <v>-0.22939884517316034</v>
      </c>
      <c r="F19" s="78">
        <f>Q19/22</f>
        <v>305054.31818181818</v>
      </c>
      <c r="G19" s="90">
        <f t="shared" si="3"/>
        <v>0.13068300805169142</v>
      </c>
      <c r="H19" s="90">
        <f t="shared" si="4"/>
        <v>8.1070349361951788E-2</v>
      </c>
      <c r="I19" s="130">
        <f t="shared" si="0"/>
        <v>35.856311569311046</v>
      </c>
      <c r="J19" s="130">
        <f t="shared" si="5"/>
        <v>1.1767917132275096E-2</v>
      </c>
      <c r="K19" s="78">
        <f>R17+R18+R19</f>
        <v>22101886171</v>
      </c>
      <c r="L19" s="87">
        <f>U19/U16-1</f>
        <v>7.8769146796207057E-3</v>
      </c>
      <c r="M19" s="87">
        <f>U19/U7-1</f>
        <v>-0.19132381550528432</v>
      </c>
      <c r="N19" s="88">
        <f>AVERAGE(T17:T19)</f>
        <v>32.620861495337856</v>
      </c>
      <c r="O19" s="89">
        <f>N19/N16-1</f>
        <v>5.6742999448521791E-2</v>
      </c>
      <c r="P19" s="129" t="s">
        <v>115</v>
      </c>
      <c r="Q19" s="116">
        <v>6711195</v>
      </c>
      <c r="R19" s="116">
        <v>8770428293</v>
      </c>
      <c r="S19" s="116">
        <v>187169.14</v>
      </c>
      <c r="T19" s="130">
        <f t="shared" ref="T19" si="7">Q19/S19</f>
        <v>35.856311569311046</v>
      </c>
      <c r="U19" s="85">
        <f>Q17+Q18+Q19</f>
        <v>17342529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483280.45</v>
      </c>
      <c r="G20" s="90">
        <f t="shared" si="3"/>
        <v>0.58424392377214507</v>
      </c>
      <c r="H20" s="90">
        <f t="shared" si="4"/>
        <v>0.69504002903428597</v>
      </c>
      <c r="I20" s="130">
        <f t="shared" si="0"/>
        <v>43.017651435846744</v>
      </c>
      <c r="J20" s="130">
        <f t="shared" si="5"/>
        <v>0.36351674183764549</v>
      </c>
      <c r="O20" s="89"/>
      <c r="P20" s="129" t="s">
        <v>132</v>
      </c>
      <c r="Q20" s="116">
        <v>9665609</v>
      </c>
      <c r="R20" s="116">
        <v>12686900899</v>
      </c>
      <c r="S20" s="116">
        <v>224689.37</v>
      </c>
      <c r="T20" s="130">
        <f t="shared" ref="T20" si="8">Q20/S20</f>
        <v>43.017651435846744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255987.47619047618</v>
      </c>
      <c r="G21" s="90">
        <f t="shared" si="3"/>
        <v>-0.4703127838287765</v>
      </c>
      <c r="H21" s="90">
        <f t="shared" si="4"/>
        <v>-0.15332190933990208</v>
      </c>
      <c r="I21" s="130">
        <f t="shared" si="0"/>
        <v>27.078161693749344</v>
      </c>
      <c r="J21" s="130">
        <f t="shared" si="5"/>
        <v>0.10603876497515863</v>
      </c>
      <c r="O21" s="89"/>
      <c r="P21" s="129" t="s">
        <v>141</v>
      </c>
      <c r="Q21" s="116">
        <v>5375737</v>
      </c>
      <c r="R21" s="116">
        <v>7157880445</v>
      </c>
      <c r="S21" s="116">
        <v>198526.66</v>
      </c>
      <c r="T21" s="130">
        <f t="shared" ref="T21" si="9">Q21/S21</f>
        <v>27.078161693749344</v>
      </c>
      <c r="U21" s="78"/>
    </row>
    <row r="22" spans="1:21" hidden="1">
      <c r="A22" s="129" t="s">
        <v>156</v>
      </c>
      <c r="B22" s="131">
        <f>SUM(F20:F22)</f>
        <v>1218007.1166666667</v>
      </c>
      <c r="C22" s="131">
        <f>AVERAGE(F20:F22)</f>
        <v>406002.37222222221</v>
      </c>
      <c r="D22" s="90">
        <f>C22/C19-1</f>
        <v>0.45586483030714886</v>
      </c>
      <c r="E22" s="286">
        <f>C22/C10-1</f>
        <v>0.19412735584689256</v>
      </c>
      <c r="F22" s="78">
        <f>Q22/21</f>
        <v>478739.19047619047</v>
      </c>
      <c r="G22" s="90">
        <f t="shared" si="3"/>
        <v>0.87016645345559129</v>
      </c>
      <c r="H22" s="90">
        <f t="shared" si="4"/>
        <v>0.1068094247741771</v>
      </c>
      <c r="I22" s="130">
        <f t="shared" si="0"/>
        <v>43.947877285445038</v>
      </c>
      <c r="J22" s="130">
        <f t="shared" si="5"/>
        <v>0.40698415937842913</v>
      </c>
      <c r="K22" s="78">
        <f>R20+R21+R22</f>
        <v>32932829410</v>
      </c>
      <c r="L22" s="87">
        <f>U22/U19-1</f>
        <v>0.4470132354975449</v>
      </c>
      <c r="M22" s="87">
        <f>U22/U10-1</f>
        <v>0.17156519172242746</v>
      </c>
      <c r="N22" s="88">
        <f>AVERAGE(T20:T22)</f>
        <v>38.014563471680368</v>
      </c>
      <c r="O22" s="89">
        <f>N22/N19-1</f>
        <v>0.16534517266238891</v>
      </c>
      <c r="P22" s="129" t="s">
        <v>156</v>
      </c>
      <c r="Q22" s="116">
        <v>10053523</v>
      </c>
      <c r="R22" s="116">
        <v>13088048066</v>
      </c>
      <c r="S22" s="116">
        <v>228760.15</v>
      </c>
      <c r="T22" s="130">
        <f t="shared" ref="T22:T23" si="10">Q22/S22</f>
        <v>43.947877285445038</v>
      </c>
      <c r="U22" s="85">
        <f>Q20+Q21+Q22</f>
        <v>25094869</v>
      </c>
    </row>
    <row r="23" spans="1:21" hidden="1">
      <c r="A23" s="129" t="s">
        <v>189</v>
      </c>
      <c r="B23" s="131"/>
      <c r="C23" s="131"/>
      <c r="F23" s="78">
        <f>Q23/21</f>
        <v>354360.42857142858</v>
      </c>
      <c r="G23" s="90">
        <f t="shared" ref="G23" si="11">F23/F22-1</f>
        <v>-0.25980484651997116</v>
      </c>
      <c r="H23" s="90">
        <f t="shared" ref="H23" si="12">F23/F11-1</f>
        <v>-0.11095583994988001</v>
      </c>
      <c r="I23" s="130">
        <f t="shared" si="0"/>
        <v>31.549508484710426</v>
      </c>
      <c r="J23" s="130">
        <f t="shared" si="5"/>
        <v>-8.1359099961636705E-2</v>
      </c>
      <c r="O23" s="89"/>
      <c r="P23" s="129" t="s">
        <v>189</v>
      </c>
      <c r="Q23" s="116">
        <v>7441569</v>
      </c>
      <c r="R23" s="116">
        <v>9641607966</v>
      </c>
      <c r="S23" s="116">
        <v>235869.57</v>
      </c>
      <c r="T23" s="130">
        <f t="shared" si="10"/>
        <v>31.549508484710426</v>
      </c>
      <c r="U23" s="78"/>
    </row>
    <row r="24" spans="1:21" hidden="1">
      <c r="A24" s="129" t="s">
        <v>204</v>
      </c>
      <c r="B24" s="131"/>
      <c r="C24" s="131"/>
      <c r="F24" s="78">
        <f>Q24/22</f>
        <v>380661.22727272729</v>
      </c>
      <c r="G24" s="90">
        <f t="shared" ref="G24" si="13">F24/F23-1</f>
        <v>7.4220473226449091E-2</v>
      </c>
      <c r="H24" s="90">
        <f t="shared" ref="H24" si="14">F24/F12-1</f>
        <v>0.54917036745719039</v>
      </c>
      <c r="I24" s="130">
        <f t="shared" si="0"/>
        <v>35.25624785030503</v>
      </c>
      <c r="J24" s="130">
        <f t="shared" si="5"/>
        <v>-0.14053428108273447</v>
      </c>
      <c r="O24" s="89"/>
      <c r="P24" s="129" t="s">
        <v>204</v>
      </c>
      <c r="Q24" s="116">
        <v>8374547</v>
      </c>
      <c r="R24" s="116">
        <v>11049101372</v>
      </c>
      <c r="S24" s="116">
        <v>237533.7</v>
      </c>
      <c r="T24" s="130">
        <f t="shared" ref="T24" si="15">Q24/S24</f>
        <v>35.25624785030503</v>
      </c>
      <c r="U24" s="78"/>
    </row>
    <row r="25" spans="1:21" s="79" customFormat="1" ht="13.2" hidden="1">
      <c r="A25" s="129" t="s">
        <v>218</v>
      </c>
      <c r="B25" s="131">
        <f>SUM(F23:F25)</f>
        <v>1098720.2347915242</v>
      </c>
      <c r="C25" s="131">
        <f>AVERAGE(F23:F25)</f>
        <v>366240.07826384139</v>
      </c>
      <c r="D25" s="90">
        <f>C25/C22-1</f>
        <v>-9.7936112394479413E-2</v>
      </c>
      <c r="E25" s="286">
        <f>C25/C13-1</f>
        <v>0.15320276160131141</v>
      </c>
      <c r="F25" s="78">
        <f>Q25/19</f>
        <v>363698.57894736843</v>
      </c>
      <c r="G25" s="90">
        <f t="shared" ref="G25" si="16">F25/F24-1</f>
        <v>-4.4561008871034424E-2</v>
      </c>
      <c r="H25" s="90">
        <f t="shared" ref="H25" si="17">F25/F13-1</f>
        <v>0.17911604190034058</v>
      </c>
      <c r="I25" s="130">
        <f t="shared" si="0"/>
        <v>27.859329731007634</v>
      </c>
      <c r="J25" s="130">
        <f t="shared" si="5"/>
        <v>-8.8607614972730953E-2</v>
      </c>
      <c r="K25" s="78">
        <f>R23+R24+R25</f>
        <v>29867718953</v>
      </c>
      <c r="L25" s="90">
        <f>U25/U22-1</f>
        <v>-9.4381046579681271E-2</v>
      </c>
      <c r="M25" s="90">
        <f>U25/U13-1</f>
        <v>0.13944529026478336</v>
      </c>
      <c r="N25" s="88">
        <f>AVERAGE(T23:T25)</f>
        <v>31.555028688674366</v>
      </c>
      <c r="O25" s="91">
        <f>N25/N22-1</f>
        <v>-0.16992263472440372</v>
      </c>
      <c r="P25" s="129" t="s">
        <v>220</v>
      </c>
      <c r="Q25" s="116">
        <v>6910273</v>
      </c>
      <c r="R25" s="116">
        <v>9177009615</v>
      </c>
      <c r="S25" s="116">
        <v>248041.61</v>
      </c>
      <c r="T25" s="130">
        <f t="shared" ref="T25" si="18">Q25/S25</f>
        <v>27.859329731007634</v>
      </c>
      <c r="U25" s="85">
        <f>Q23+Q24+Q25</f>
        <v>22726389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254702.84210526315</v>
      </c>
      <c r="G26" s="90">
        <f t="shared" ref="G26" si="19">F26/F25-1</f>
        <v>-0.29968700223565703</v>
      </c>
      <c r="H26" s="90">
        <f t="shared" ref="H26" si="20">F26/F14-1</f>
        <v>1.5926138188596894E-2</v>
      </c>
      <c r="I26" s="130">
        <f t="shared" si="0"/>
        <v>26.482066402248432</v>
      </c>
      <c r="J26" s="130">
        <f t="shared" si="5"/>
        <v>-0.14650468534168193</v>
      </c>
      <c r="L26" s="90"/>
      <c r="M26" s="90"/>
      <c r="P26" s="129" t="s">
        <v>313</v>
      </c>
      <c r="Q26" s="116">
        <v>4839354</v>
      </c>
      <c r="R26" s="116">
        <v>6529607025</v>
      </c>
      <c r="S26" s="116">
        <v>182740.8</v>
      </c>
      <c r="T26" s="130">
        <f t="shared" ref="T26" si="21">Q26/S26</f>
        <v>26.482066402248432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220063.31818181818</v>
      </c>
      <c r="G27" s="90">
        <f t="shared" ref="G27" si="22">F27/F26-1</f>
        <v>-0.13599975421212307</v>
      </c>
      <c r="H27" s="90">
        <f t="shared" ref="H27" si="23">F27/F15-1</f>
        <v>-0.30735116734259182</v>
      </c>
      <c r="I27" s="130">
        <f t="shared" si="0"/>
        <v>23.487886866757258</v>
      </c>
      <c r="J27" s="130">
        <f t="shared" si="5"/>
        <v>-0.26688209917355277</v>
      </c>
      <c r="L27" s="90"/>
      <c r="M27" s="90"/>
      <c r="P27" s="129" t="s">
        <v>375</v>
      </c>
      <c r="Q27" s="116">
        <v>4841393</v>
      </c>
      <c r="R27" s="116">
        <v>6383012394</v>
      </c>
      <c r="S27" s="116">
        <v>206122.97</v>
      </c>
      <c r="T27" s="130">
        <f t="shared" ref="T27" si="24">Q27/S27</f>
        <v>23.487886866757258</v>
      </c>
      <c r="U27" s="78"/>
    </row>
    <row r="28" spans="1:21" s="79" customFormat="1" ht="13.2" hidden="1">
      <c r="A28" s="123" t="s">
        <v>413</v>
      </c>
      <c r="B28" s="131">
        <f>SUM(F26:F28)</f>
        <v>679712.16028708126</v>
      </c>
      <c r="C28" s="131">
        <f>AVERAGE(F26:F28)</f>
        <v>226570.72009569374</v>
      </c>
      <c r="D28" s="90">
        <f>C28/C25-1</f>
        <v>-0.38136011446439533</v>
      </c>
      <c r="E28" s="286">
        <f>C28/C16-1</f>
        <v>-0.15556130212271535</v>
      </c>
      <c r="F28" s="78">
        <f>Q28/19</f>
        <v>204946</v>
      </c>
      <c r="G28" s="90">
        <f t="shared" ref="G28" si="25">F28/F27-1</f>
        <v>-6.8695311452716123E-2</v>
      </c>
      <c r="H28" s="90">
        <f t="shared" ref="H28" si="26">F28/F16-1</f>
        <v>-0.13343937243711068</v>
      </c>
      <c r="I28" s="130">
        <f t="shared" si="0"/>
        <v>24.60295251301504</v>
      </c>
      <c r="J28" s="130">
        <f t="shared" si="5"/>
        <v>-0.16717639772286441</v>
      </c>
      <c r="K28" s="78">
        <f>R26+R27+R28</f>
        <v>17992685330</v>
      </c>
      <c r="L28" s="90">
        <f>U28/U25-1</f>
        <v>-0.40268905016102641</v>
      </c>
      <c r="M28" s="90">
        <f>U28/U16-1</f>
        <v>-0.21109268901227418</v>
      </c>
      <c r="N28" s="88">
        <f>AVERAGE(T26:T28)</f>
        <v>24.857635260673575</v>
      </c>
      <c r="O28" s="91">
        <f>N28/N25-1</f>
        <v>-0.21224488477187153</v>
      </c>
      <c r="P28" s="129" t="s">
        <v>413</v>
      </c>
      <c r="Q28" s="116">
        <v>3893974</v>
      </c>
      <c r="R28" s="116">
        <v>5080065911</v>
      </c>
      <c r="S28" s="116">
        <v>158272.63</v>
      </c>
      <c r="T28" s="130">
        <f t="shared" ref="T28" si="27">Q28/S28</f>
        <v>24.60295251301504</v>
      </c>
      <c r="U28" s="85">
        <f>Q26+Q27+Q28</f>
        <v>13574721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235143.04545454544</v>
      </c>
      <c r="G29" s="190">
        <f t="shared" ref="G29" si="28">F29/F28-1</f>
        <v>0.14734147265399389</v>
      </c>
      <c r="H29" s="190">
        <f t="shared" ref="H29" si="29">F29/F17-1</f>
        <v>-0.10171957902562845</v>
      </c>
      <c r="I29" s="130">
        <f t="shared" si="0"/>
        <v>24.74859931357479</v>
      </c>
      <c r="J29" s="130">
        <f t="shared" si="5"/>
        <v>-0.27081499143486287</v>
      </c>
      <c r="K29" s="136"/>
      <c r="L29" s="190"/>
      <c r="M29" s="190"/>
      <c r="N29" s="191"/>
      <c r="O29" s="192"/>
      <c r="P29" s="129" t="s">
        <v>427</v>
      </c>
      <c r="Q29" s="116">
        <v>5173147</v>
      </c>
      <c r="R29" s="116">
        <v>6806197481</v>
      </c>
      <c r="S29" s="116">
        <v>209027.87</v>
      </c>
      <c r="T29" s="130">
        <f t="shared" ref="T29" si="30">Q29/S29</f>
        <v>24.74859931357479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246845.05263157896</v>
      </c>
      <c r="G30" s="190">
        <f t="shared" ref="G30" si="31">F30/F29-1</f>
        <v>4.9765482769914993E-2</v>
      </c>
      <c r="H30" s="190">
        <f t="shared" ref="H30" si="32">F30/F18-1</f>
        <v>-8.5069477804274873E-2</v>
      </c>
      <c r="I30" s="130">
        <f t="shared" si="0"/>
        <v>29.463680102886698</v>
      </c>
      <c r="J30" s="130">
        <f t="shared" si="5"/>
        <v>4.9792637162586972E-2</v>
      </c>
      <c r="K30" s="136"/>
      <c r="L30" s="190"/>
      <c r="M30" s="190"/>
      <c r="N30" s="191"/>
      <c r="O30" s="192"/>
      <c r="P30" s="129" t="s">
        <v>466</v>
      </c>
      <c r="Q30" s="116">
        <v>4690056</v>
      </c>
      <c r="R30" s="116">
        <v>6249875567</v>
      </c>
      <c r="S30" s="116">
        <v>159180.93</v>
      </c>
      <c r="T30" s="130">
        <f t="shared" ref="T30" si="33">Q30/S30</f>
        <v>29.463680102886698</v>
      </c>
      <c r="U30" s="85"/>
    </row>
    <row r="31" spans="1:21" s="79" customFormat="1" ht="13.2" hidden="1">
      <c r="A31" s="129" t="s">
        <v>505</v>
      </c>
      <c r="B31" s="188">
        <f>SUM(F29:F31)</f>
        <v>761891.24808612443</v>
      </c>
      <c r="C31" s="188">
        <f>AVERAGE(F29:F31)</f>
        <v>253963.74936204148</v>
      </c>
      <c r="D31" s="190">
        <f>C31/C28-1</f>
        <v>0.1209027770877813</v>
      </c>
      <c r="E31" s="287">
        <f>C31/C19-1</f>
        <v>-8.9323323788947695E-2</v>
      </c>
      <c r="F31" s="136">
        <f>Q31/20</f>
        <v>279903.15000000002</v>
      </c>
      <c r="G31" s="190">
        <f t="shared" ref="G31" si="34">F31/F30-1</f>
        <v>0.13392246275950659</v>
      </c>
      <c r="H31" s="190">
        <f t="shared" ref="H31" si="35">F31/F19-1</f>
        <v>-8.2448163106570327E-2</v>
      </c>
      <c r="I31" s="130">
        <f t="shared" si="0"/>
        <v>23.85043110511122</v>
      </c>
      <c r="J31" s="130">
        <f t="shared" si="5"/>
        <v>-0.33483311413646644</v>
      </c>
      <c r="K31" s="136">
        <f>R29+R30+R31</f>
        <v>20496225957</v>
      </c>
      <c r="L31" s="190">
        <f>U31/U28-1</f>
        <v>0.13897486364544798</v>
      </c>
      <c r="M31" s="190">
        <f>U31/U19-1</f>
        <v>-0.10847685478859515</v>
      </c>
      <c r="N31" s="191">
        <f>AVERAGE(T29:T31)</f>
        <v>26.020903507190905</v>
      </c>
      <c r="O31" s="192">
        <f>N31/N28-1</f>
        <v>4.679722082645954E-2</v>
      </c>
      <c r="P31" s="129" t="s">
        <v>505</v>
      </c>
      <c r="Q31" s="116">
        <v>5598063</v>
      </c>
      <c r="R31" s="116">
        <v>7440152909</v>
      </c>
      <c r="S31" s="116">
        <v>234715.38</v>
      </c>
      <c r="T31" s="130">
        <f t="shared" ref="T31" si="36">Q31/S31</f>
        <v>23.85043110511122</v>
      </c>
      <c r="U31" s="85">
        <f>Q29+Q30+Q31</f>
        <v>15461266</v>
      </c>
    </row>
    <row r="32" spans="1:21" s="79" customFormat="1" ht="13.2" hidden="1">
      <c r="A32" s="129" t="s">
        <v>574</v>
      </c>
      <c r="B32" s="188"/>
      <c r="C32" s="188"/>
      <c r="D32" s="190"/>
      <c r="E32" s="287"/>
      <c r="F32" s="136">
        <f>Q32/21</f>
        <v>242982.71428571429</v>
      </c>
      <c r="G32" s="190">
        <f t="shared" ref="G32" si="37">F32/F31-1</f>
        <v>-0.13190432374300087</v>
      </c>
      <c r="H32" s="190">
        <f t="shared" ref="H32" si="38">F32/F20-1</f>
        <v>-0.49722213202351906</v>
      </c>
      <c r="I32" s="130">
        <f t="shared" si="0"/>
        <v>34.842282899313595</v>
      </c>
      <c r="J32" s="130">
        <f t="shared" si="5"/>
        <v>-0.19004683574428216</v>
      </c>
      <c r="K32" s="136"/>
      <c r="L32" s="190"/>
      <c r="M32" s="190"/>
      <c r="N32" s="191"/>
      <c r="O32" s="192"/>
      <c r="P32" s="129" t="s">
        <v>574</v>
      </c>
      <c r="Q32" s="116">
        <v>5102637</v>
      </c>
      <c r="R32" s="116">
        <v>6954298488</v>
      </c>
      <c r="S32" s="116">
        <v>146449.56</v>
      </c>
      <c r="T32" s="130">
        <f t="shared" ref="T32" si="39">Q32/S32</f>
        <v>34.842282899313595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301960.76190476189</v>
      </c>
      <c r="G33" s="190">
        <f t="shared" ref="G33" si="40">F33/F32-1</f>
        <v>0.24272528106545677</v>
      </c>
      <c r="H33" s="190">
        <f t="shared" ref="H33" si="41">F33/F21-1</f>
        <v>0.17959193316190869</v>
      </c>
      <c r="I33" s="130">
        <f t="shared" si="0"/>
        <v>23.489752865838859</v>
      </c>
      <c r="J33" s="130">
        <f t="shared" si="5"/>
        <v>-0.13252040033200718</v>
      </c>
      <c r="K33" s="136"/>
      <c r="L33" s="190"/>
      <c r="M33" s="190"/>
      <c r="N33" s="191"/>
      <c r="O33" s="192"/>
      <c r="P33" s="129" t="s">
        <v>607</v>
      </c>
      <c r="Q33" s="116">
        <v>6341176</v>
      </c>
      <c r="R33" s="116">
        <v>8672492426</v>
      </c>
      <c r="S33" s="116">
        <v>269954.99</v>
      </c>
      <c r="T33" s="130">
        <f t="shared" ref="T33" si="42">Q33/S33</f>
        <v>23.489752865838859</v>
      </c>
      <c r="U33" s="85"/>
    </row>
    <row r="34" spans="1:21" s="79" customFormat="1" ht="13.2" hidden="1">
      <c r="A34" s="129" t="s">
        <v>652</v>
      </c>
      <c r="B34" s="188">
        <f>SUM(F32:F34)</f>
        <v>811559.47619047621</v>
      </c>
      <c r="C34" s="188">
        <f>AVERAGE(F32:F34)</f>
        <v>270519.82539682538</v>
      </c>
      <c r="D34" s="190">
        <f>C34/C31-1</f>
        <v>6.5190705667139026E-2</v>
      </c>
      <c r="E34" s="287">
        <f>C34/C22-1</f>
        <v>-0.33369890447645345</v>
      </c>
      <c r="F34" s="136">
        <f>Q34/19</f>
        <v>266616</v>
      </c>
      <c r="G34" s="190">
        <f t="shared" ref="G34" si="43">F34/F33-1</f>
        <v>-0.11705084356592532</v>
      </c>
      <c r="H34" s="190">
        <f t="shared" ref="H34" si="44">F34/F22-1</f>
        <v>-0.44308716456907693</v>
      </c>
      <c r="I34" s="130">
        <f t="shared" si="0"/>
        <v>27.488806176475968</v>
      </c>
      <c r="J34" s="130">
        <f t="shared" si="5"/>
        <v>-0.37451344924047325</v>
      </c>
      <c r="K34" s="136">
        <f>R32+R33+R34</f>
        <v>22589870469</v>
      </c>
      <c r="L34" s="190">
        <f>U34/U31-1</f>
        <v>6.7798523096362251E-2</v>
      </c>
      <c r="M34" s="190">
        <f>U34/U22-1</f>
        <v>-0.34211583252337363</v>
      </c>
      <c r="N34" s="191">
        <f>AVERAGE(T32:T34)</f>
        <v>28.606947313876145</v>
      </c>
      <c r="O34" s="192">
        <f>N34/N31-1</f>
        <v>9.9383321027672444E-2</v>
      </c>
      <c r="P34" s="129" t="s">
        <v>652</v>
      </c>
      <c r="Q34" s="116">
        <v>5065704</v>
      </c>
      <c r="R34" s="116">
        <v>6963079555</v>
      </c>
      <c r="S34" s="116">
        <v>184282.43</v>
      </c>
      <c r="T34" s="130">
        <f t="shared" ref="T34" si="45">Q34/S34</f>
        <v>27.488806176475968</v>
      </c>
      <c r="U34" s="85">
        <f>Q32+Q33+Q34</f>
        <v>16509517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203139.4347826087</v>
      </c>
      <c r="G35" s="190">
        <f t="shared" ref="G35" si="46">F35/F34-1</f>
        <v>-0.23808235521270782</v>
      </c>
      <c r="H35" s="190">
        <f t="shared" ref="H35" si="47">F35/F23-1</f>
        <v>-0.42674345552197623</v>
      </c>
      <c r="I35" s="130">
        <f t="shared" si="0"/>
        <v>32.148260492859443</v>
      </c>
      <c r="J35" s="130">
        <f t="shared" si="5"/>
        <v>1.8978172304623619E-2</v>
      </c>
      <c r="K35" s="136"/>
      <c r="L35" s="190"/>
      <c r="M35" s="190"/>
      <c r="N35" s="191"/>
      <c r="O35" s="192"/>
      <c r="P35" s="129" t="s">
        <v>660</v>
      </c>
      <c r="Q35" s="116">
        <v>4672207</v>
      </c>
      <c r="R35" s="116">
        <v>6470038595</v>
      </c>
      <c r="S35" s="116">
        <v>145333.12</v>
      </c>
      <c r="T35" s="130">
        <f t="shared" ref="T35" si="48">Q35/S35</f>
        <v>32.148260492859443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197808.04761904763</v>
      </c>
      <c r="G36" s="190">
        <f t="shared" ref="G36" si="49">F36/F35-1</f>
        <v>-2.6244964052728137E-2</v>
      </c>
      <c r="H36" s="190">
        <f t="shared" ref="H36" si="50">F36/F24-1</f>
        <v>-0.4803567228628548</v>
      </c>
      <c r="I36" s="130">
        <f t="shared" si="0"/>
        <v>40.280220160100036</v>
      </c>
      <c r="J36" s="130">
        <f t="shared" si="5"/>
        <v>0.14249878010633332</v>
      </c>
      <c r="K36" s="136"/>
      <c r="L36" s="190"/>
      <c r="M36" s="190"/>
      <c r="N36" s="191"/>
      <c r="O36" s="192"/>
      <c r="P36" s="129" t="s">
        <v>664</v>
      </c>
      <c r="Q36" s="116">
        <v>4153969</v>
      </c>
      <c r="R36" s="116">
        <v>5657346187</v>
      </c>
      <c r="S36" s="116">
        <v>103126.77</v>
      </c>
      <c r="T36" s="130">
        <f t="shared" ref="T36" si="51">Q36/S36</f>
        <v>40.280220160100036</v>
      </c>
      <c r="U36" s="85"/>
    </row>
    <row r="37" spans="1:21" s="79" customFormat="1" ht="13.2" hidden="1">
      <c r="A37" s="129" t="s">
        <v>702</v>
      </c>
      <c r="B37" s="188">
        <f>SUM(F35:F37)</f>
        <v>657273.53795721196</v>
      </c>
      <c r="C37" s="188">
        <f>AVERAGE(F35:F37)</f>
        <v>219091.17931907065</v>
      </c>
      <c r="D37" s="190">
        <f>C37/C34-1</f>
        <v>-0.19011045124812598</v>
      </c>
      <c r="E37" s="287">
        <f>C37/C25-1</f>
        <v>-0.40178262205034765</v>
      </c>
      <c r="F37" s="136">
        <f>Q37/18</f>
        <v>256326.05555555556</v>
      </c>
      <c r="G37" s="190">
        <f t="shared" ref="G37" si="52">F37/F36-1</f>
        <v>0.29583229115736454</v>
      </c>
      <c r="H37" s="190">
        <f t="shared" ref="H37" si="53">F37/F25-1</f>
        <v>-0.29522392884397541</v>
      </c>
      <c r="I37" s="130">
        <f t="shared" si="0"/>
        <v>31.568230948623533</v>
      </c>
      <c r="J37" s="130">
        <f t="shared" si="5"/>
        <v>0.13312959261499624</v>
      </c>
      <c r="K37" s="136">
        <f>R35+R36+R37</f>
        <v>18282882645</v>
      </c>
      <c r="L37" s="190">
        <f>U37/U34-1</f>
        <v>-0.18592136886863497</v>
      </c>
      <c r="M37" s="190">
        <f>U37/U25-1</f>
        <v>-0.40861502458661603</v>
      </c>
      <c r="N37" s="191">
        <f>AVERAGE(T35:T37)</f>
        <v>34.665570533861008</v>
      </c>
      <c r="O37" s="192">
        <f>N37/N34-1</f>
        <v>0.21178852652502544</v>
      </c>
      <c r="P37" s="129" t="s">
        <v>702</v>
      </c>
      <c r="Q37" s="116">
        <v>4613869</v>
      </c>
      <c r="R37" s="116">
        <v>6155497863</v>
      </c>
      <c r="S37" s="116">
        <v>146155.45000000001</v>
      </c>
      <c r="T37" s="130">
        <f t="shared" ref="T37" si="54">Q37/S37</f>
        <v>31.568230948623533</v>
      </c>
      <c r="U37" s="85">
        <f>Q35+Q36+Q37</f>
        <v>13440045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227056.4</v>
      </c>
      <c r="G38" s="190">
        <f t="shared" ref="G38" si="55">F38/F37-1</f>
        <v>-0.11418915448184597</v>
      </c>
      <c r="H38" s="190">
        <f t="shared" ref="H38" si="56">F38/F26-1</f>
        <v>-0.10854390895974952</v>
      </c>
      <c r="I38" s="130">
        <f t="shared" si="0"/>
        <v>36.450359958228951</v>
      </c>
      <c r="J38" s="130">
        <f t="shared" si="5"/>
        <v>0.37641675708260336</v>
      </c>
      <c r="K38" s="136"/>
      <c r="L38" s="190"/>
      <c r="M38" s="190"/>
      <c r="N38" s="191"/>
      <c r="O38" s="192"/>
      <c r="P38" s="129" t="s">
        <v>727</v>
      </c>
      <c r="Q38" s="116">
        <v>4541128</v>
      </c>
      <c r="R38" s="116">
        <v>6120920118</v>
      </c>
      <c r="S38" s="116">
        <v>124583.9</v>
      </c>
      <c r="T38" s="130">
        <f t="shared" ref="T38" si="57">Q38/S38</f>
        <v>36.450359958228951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254010.61904761905</v>
      </c>
      <c r="G39" s="190">
        <f t="shared" ref="G39" si="58">F39/F38-1</f>
        <v>0.11871155821909918</v>
      </c>
      <c r="H39" s="190">
        <f t="shared" ref="H39" si="59">F39/F27-1</f>
        <v>0.15426151503247509</v>
      </c>
      <c r="I39" s="130">
        <f t="shared" si="0"/>
        <v>29.567850724404231</v>
      </c>
      <c r="J39" s="130">
        <f t="shared" si="5"/>
        <v>0.25885529388563411</v>
      </c>
      <c r="K39" s="136"/>
      <c r="L39" s="190"/>
      <c r="M39" s="190"/>
      <c r="N39" s="191"/>
      <c r="O39" s="192"/>
      <c r="P39" s="129" t="s">
        <v>762</v>
      </c>
      <c r="Q39" s="116">
        <v>5334223</v>
      </c>
      <c r="R39" s="116">
        <v>7406858522</v>
      </c>
      <c r="S39" s="116">
        <v>180406.18</v>
      </c>
      <c r="T39" s="130">
        <f t="shared" ref="T39" si="60">Q39/S39</f>
        <v>29.567850724404231</v>
      </c>
      <c r="U39" s="85"/>
    </row>
    <row r="40" spans="1:21" s="79" customFormat="1" ht="13.2" hidden="1">
      <c r="A40" s="129" t="s">
        <v>778</v>
      </c>
      <c r="B40" s="188">
        <f>SUM(F38:F40)</f>
        <v>765981.92380952381</v>
      </c>
      <c r="C40" s="188">
        <f>AVERAGE(F38:F40)</f>
        <v>255327.30793650795</v>
      </c>
      <c r="D40" s="190">
        <f>C40/C37-1</f>
        <v>0.16539291417417257</v>
      </c>
      <c r="E40" s="287">
        <f>C40/C28-1</f>
        <v>0.12692102416706197</v>
      </c>
      <c r="F40" s="136">
        <f>Q40/21</f>
        <v>284914.90476190473</v>
      </c>
      <c r="G40" s="190">
        <f t="shared" ref="G40" si="61">F40/F39-1</f>
        <v>0.12166532970218902</v>
      </c>
      <c r="H40" s="190">
        <f t="shared" ref="H40" si="62">F40/F28-1</f>
        <v>0.39019500142430075</v>
      </c>
      <c r="I40" s="130">
        <f t="shared" si="0"/>
        <v>32.209824868878698</v>
      </c>
      <c r="J40" s="130">
        <f t="shared" si="5"/>
        <v>0.30918534480118187</v>
      </c>
      <c r="K40" s="136">
        <f>R38+R39+R40</f>
        <v>22029461636</v>
      </c>
      <c r="L40" s="190">
        <f>U40/U37-1</f>
        <v>0.17994872785024163</v>
      </c>
      <c r="M40" s="190">
        <f>U40/U28-1</f>
        <v>0.16824235282625688</v>
      </c>
      <c r="N40" s="191">
        <f>AVERAGE(T38:T40)</f>
        <v>32.742678517170624</v>
      </c>
      <c r="O40" s="192">
        <f>N40/N37-1</f>
        <v>-5.5469792854328515E-2</v>
      </c>
      <c r="P40" s="129" t="s">
        <v>778</v>
      </c>
      <c r="Q40" s="116">
        <v>5983213</v>
      </c>
      <c r="R40" s="116">
        <v>8501682996</v>
      </c>
      <c r="S40" s="116">
        <v>185757.39</v>
      </c>
      <c r="T40" s="130">
        <f t="shared" ref="T40" si="63">Q40/S40</f>
        <v>32.209824868878698</v>
      </c>
      <c r="U40" s="85">
        <f>Q38+Q39+Q40</f>
        <v>15858564</v>
      </c>
    </row>
    <row r="41" spans="1:21" s="79" customFormat="1" ht="13.2">
      <c r="A41" s="129" t="s">
        <v>799</v>
      </c>
      <c r="B41" s="193"/>
      <c r="C41" s="194"/>
      <c r="D41" s="195"/>
      <c r="E41" s="288"/>
      <c r="F41" s="136">
        <f>Q41/18</f>
        <v>209814.5</v>
      </c>
      <c r="G41" s="190">
        <f t="shared" ref="G41" si="64">F41/F40-1</f>
        <v>-0.2635888944618886</v>
      </c>
      <c r="H41" s="190">
        <f t="shared" ref="H41" si="65">F41/F29-1</f>
        <v>-0.10771547763865974</v>
      </c>
      <c r="I41" s="130">
        <f t="shared" si="0"/>
        <v>35.898362300313472</v>
      </c>
      <c r="J41" s="130">
        <f t="shared" si="5"/>
        <v>0.45052097072107644</v>
      </c>
      <c r="K41" s="193"/>
      <c r="L41" s="190"/>
      <c r="M41" s="190"/>
      <c r="N41" s="193"/>
      <c r="O41" s="193"/>
      <c r="P41" s="129" t="s">
        <v>799</v>
      </c>
      <c r="Q41" s="116">
        <v>3776661</v>
      </c>
      <c r="R41" s="116">
        <v>5524405515</v>
      </c>
      <c r="S41" s="116">
        <v>105204.27</v>
      </c>
      <c r="T41" s="130">
        <f t="shared" ref="T41" si="66">Q41/S41</f>
        <v>35.898362300313472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319344.84999999998</v>
      </c>
      <c r="G42" s="190">
        <f t="shared" ref="G42" si="67">F42/F41-1</f>
        <v>0.52203422547059408</v>
      </c>
      <c r="H42" s="190">
        <f t="shared" ref="H42" si="68">F42/F30-1</f>
        <v>0.29370569349278552</v>
      </c>
      <c r="I42" s="130">
        <f t="shared" si="0"/>
        <v>44.897667237896236</v>
      </c>
      <c r="J42" s="130">
        <f t="shared" si="5"/>
        <v>0.52383093629561217</v>
      </c>
      <c r="K42" s="193"/>
      <c r="L42" s="190"/>
      <c r="M42" s="190"/>
      <c r="N42" s="193"/>
      <c r="O42" s="193"/>
      <c r="P42" s="129" t="s">
        <v>826</v>
      </c>
      <c r="Q42" s="116">
        <v>6386897</v>
      </c>
      <c r="R42" s="116">
        <v>9247422870</v>
      </c>
      <c r="S42" s="116">
        <v>142254.54</v>
      </c>
      <c r="T42" s="130">
        <f t="shared" ref="T42" si="69">Q42/S42</f>
        <v>44.897667237896236</v>
      </c>
      <c r="U42" s="78"/>
    </row>
    <row r="43" spans="1:21" s="79" customFormat="1" ht="13.2">
      <c r="A43" s="129" t="s">
        <v>835</v>
      </c>
      <c r="B43" s="188">
        <f>SUM(F41:F43)</f>
        <v>842339.64999999991</v>
      </c>
      <c r="C43" s="188">
        <f>AVERAGE(F41:F43)</f>
        <v>280779.8833333333</v>
      </c>
      <c r="D43" s="190">
        <f>C43/C40-1</f>
        <v>9.9686068061136002E-2</v>
      </c>
      <c r="E43" s="287">
        <f>C43/C31-1</f>
        <v>0.10559040035695699</v>
      </c>
      <c r="F43" s="136">
        <f>Q43/20</f>
        <v>313180.3</v>
      </c>
      <c r="G43" s="190">
        <f t="shared" ref="G43" si="70">F43/F42-1</f>
        <v>-1.9303740141730752E-2</v>
      </c>
      <c r="H43" s="190">
        <f t="shared" ref="H43" si="71">F43/F31-1</f>
        <v>0.11888808682574648</v>
      </c>
      <c r="I43" s="130">
        <f t="shared" si="0"/>
        <v>46.361829320150271</v>
      </c>
      <c r="J43" s="130">
        <f t="shared" si="5"/>
        <v>0.94385707813117015</v>
      </c>
      <c r="K43" s="136">
        <f>R41+R42+R43</f>
        <v>23866431285</v>
      </c>
      <c r="L43" s="190">
        <f>U43/U40-1</f>
        <v>3.5854444324215029E-2</v>
      </c>
      <c r="M43" s="190">
        <f>K43/K31-1</f>
        <v>0.16443053150714237</v>
      </c>
      <c r="N43" s="191">
        <f>AVERAGE(T41:T43)</f>
        <v>42.38595295278666</v>
      </c>
      <c r="O43" s="192">
        <f>N43/N40-1</f>
        <v>0.29451696905489855</v>
      </c>
      <c r="P43" s="129" t="s">
        <v>835</v>
      </c>
      <c r="Q43" s="116">
        <v>6263606</v>
      </c>
      <c r="R43" s="116">
        <v>9094602900</v>
      </c>
      <c r="S43" s="116">
        <v>135102.65</v>
      </c>
      <c r="T43" s="130">
        <f t="shared" ref="T43" si="72">Q43/S43</f>
        <v>46.361829320150271</v>
      </c>
      <c r="U43" s="85">
        <f>Q41+Q42+Q43</f>
        <v>16427164</v>
      </c>
    </row>
    <row r="44" spans="1:21" s="79" customFormat="1" ht="13.2">
      <c r="A44" s="129" t="s">
        <v>845</v>
      </c>
      <c r="B44" s="188"/>
      <c r="C44" s="188"/>
      <c r="D44" s="190"/>
      <c r="E44" s="287"/>
      <c r="F44" s="136">
        <f>Q44/22</f>
        <v>289222.45454545453</v>
      </c>
      <c r="G44" s="190">
        <f t="shared" ref="G44" si="73">F44/F43-1</f>
        <v>-7.6498571125148906E-2</v>
      </c>
      <c r="H44" s="190">
        <f t="shared" ref="H44" si="74">F44/F32-1</f>
        <v>0.19030053391110235</v>
      </c>
      <c r="I44" s="130">
        <f t="shared" si="0"/>
        <v>44.429723512359779</v>
      </c>
      <c r="J44" s="130">
        <f t="shared" si="5"/>
        <v>0.27516683222944205</v>
      </c>
      <c r="K44" s="136"/>
      <c r="L44" s="190"/>
      <c r="M44" s="190"/>
      <c r="N44" s="191"/>
      <c r="O44" s="192"/>
      <c r="P44" s="129" t="s">
        <v>845</v>
      </c>
      <c r="Q44" s="116">
        <v>6362894</v>
      </c>
      <c r="R44" s="116">
        <v>9236539052</v>
      </c>
      <c r="S44" s="116">
        <v>143212.54999999999</v>
      </c>
      <c r="T44" s="130">
        <f t="shared" ref="T44" si="75">Q44/S44</f>
        <v>44.429723512359779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292237</v>
      </c>
      <c r="G45" s="190">
        <f t="shared" ref="G45" si="76">F45/F44-1</f>
        <v>1.0422930194970981E-2</v>
      </c>
      <c r="H45" s="190">
        <f t="shared" ref="H45" si="77">F45/F33-1</f>
        <v>-3.2202071035404178E-2</v>
      </c>
      <c r="I45" s="130">
        <f t="shared" si="0"/>
        <v>32.553789942130209</v>
      </c>
      <c r="J45" s="130">
        <f t="shared" si="5"/>
        <v>0.38587196417350023</v>
      </c>
      <c r="K45" s="136"/>
      <c r="L45" s="190"/>
      <c r="M45" s="190"/>
      <c r="N45" s="191"/>
      <c r="O45" s="192"/>
      <c r="P45" s="129" t="s">
        <v>849</v>
      </c>
      <c r="Q45" s="116">
        <v>5844740</v>
      </c>
      <c r="R45" s="116">
        <v>8217454688</v>
      </c>
      <c r="S45" s="116">
        <v>179541</v>
      </c>
      <c r="T45" s="130">
        <f t="shared" ref="T45" si="78">Q45/S45</f>
        <v>32.553789942130209</v>
      </c>
      <c r="U45" s="85"/>
    </row>
    <row r="46" spans="1:21" s="79" customFormat="1" ht="13.2">
      <c r="A46" s="129" t="s">
        <v>888</v>
      </c>
      <c r="B46" s="188">
        <f>SUM(F44:F46)</f>
        <v>840059.4019138756</v>
      </c>
      <c r="C46" s="188">
        <f>AVERAGE(F44:F46)</f>
        <v>280019.80063795851</v>
      </c>
      <c r="D46" s="190">
        <f>C46/C43-1</f>
        <v>-2.7070411396690197E-3</v>
      </c>
      <c r="E46" s="287">
        <f>C46/C34-1</f>
        <v>3.5117482525347743E-2</v>
      </c>
      <c r="F46" s="136">
        <f>Q46/19</f>
        <v>258599.94736842104</v>
      </c>
      <c r="G46" s="190">
        <f t="shared" ref="G46" si="79">F46/F45-1</f>
        <v>-0.11510196392509831</v>
      </c>
      <c r="H46" s="190">
        <f t="shared" ref="H46" si="80">F46/F34-1</f>
        <v>-3.0065909891300424E-2</v>
      </c>
      <c r="I46" s="130">
        <f t="shared" si="0"/>
        <v>39.617223715284226</v>
      </c>
      <c r="J46" s="130">
        <f t="shared" si="5"/>
        <v>0.44121295995703758</v>
      </c>
      <c r="K46" s="136">
        <f>R44+R45+R46</f>
        <v>24180077833</v>
      </c>
      <c r="L46" s="190">
        <f>U46/U43-1</f>
        <v>4.2239122955124886E-2</v>
      </c>
      <c r="M46" s="190">
        <f>K46/K34-1</f>
        <v>7.0394709265032551E-2</v>
      </c>
      <c r="N46" s="191">
        <f>AVERAGE(T44:T46)</f>
        <v>38.866912389924735</v>
      </c>
      <c r="O46" s="192">
        <f>N46/N43-1</f>
        <v>-8.3023745314438346E-2</v>
      </c>
      <c r="P46" s="129" t="s">
        <v>935</v>
      </c>
      <c r="Q46" s="116">
        <v>4913399</v>
      </c>
      <c r="R46" s="116">
        <v>6726084093</v>
      </c>
      <c r="S46" s="116">
        <v>124021.79</v>
      </c>
      <c r="T46" s="130">
        <f t="shared" ref="T46" si="81">Q46/S46</f>
        <v>39.617223715284226</v>
      </c>
      <c r="U46" s="85">
        <f t="shared" ref="U46:U51" si="82">Q44+Q45+Q46</f>
        <v>17121033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243123.91304347827</v>
      </c>
      <c r="G47" s="190">
        <f t="shared" ref="G47" si="83">F47/F46-1</f>
        <v>-5.9845465872792492E-2</v>
      </c>
      <c r="H47" s="190">
        <f t="shared" ref="H47" si="84">F47/F35-1</f>
        <v>0.19683267457970088</v>
      </c>
      <c r="I47" s="130">
        <f t="shared" si="0"/>
        <v>46.865021430091971</v>
      </c>
      <c r="J47" s="130">
        <f t="shared" si="5"/>
        <v>0.45777783032775021</v>
      </c>
      <c r="K47" s="136"/>
      <c r="L47" s="190"/>
      <c r="M47" s="190"/>
      <c r="N47" s="191"/>
      <c r="O47" s="192"/>
      <c r="P47" s="129" t="s">
        <v>991</v>
      </c>
      <c r="Q47" s="116">
        <v>5591850</v>
      </c>
      <c r="R47" s="116">
        <v>7670103671</v>
      </c>
      <c r="S47" s="116">
        <v>119318.2</v>
      </c>
      <c r="T47" s="130">
        <f t="shared" ref="T47" si="85">Q47/S47</f>
        <v>46.865021430091971</v>
      </c>
      <c r="U47" s="85">
        <f t="shared" si="82"/>
        <v>16349989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181014.55</v>
      </c>
      <c r="G48" s="190">
        <f t="shared" ref="G48" si="86">F48/F47-1</f>
        <v>-0.25546381787780437</v>
      </c>
      <c r="H48" s="190">
        <f t="shared" ref="H48" si="87">F48/F36-1</f>
        <v>-8.4897949406940842E-2</v>
      </c>
      <c r="I48" s="130">
        <f t="shared" si="0"/>
        <v>33.641246800505321</v>
      </c>
      <c r="J48" s="130">
        <f t="shared" si="5"/>
        <v>-0.16481968899889521</v>
      </c>
      <c r="K48" s="136"/>
      <c r="L48" s="190"/>
      <c r="M48" s="190"/>
      <c r="N48" s="191"/>
      <c r="O48" s="192"/>
      <c r="P48" s="129" t="s">
        <v>1070</v>
      </c>
      <c r="Q48" s="116">
        <v>3620291</v>
      </c>
      <c r="R48" s="116">
        <v>5025837855</v>
      </c>
      <c r="S48" s="116">
        <v>107614.65</v>
      </c>
      <c r="T48" s="130">
        <f t="shared" ref="T48" si="88">Q48/S48</f>
        <v>33.641246800505321</v>
      </c>
      <c r="U48" s="85">
        <f t="shared" si="82"/>
        <v>14125540</v>
      </c>
    </row>
    <row r="49" spans="1:26" ht="13.2">
      <c r="A49" s="129" t="s">
        <v>1207</v>
      </c>
      <c r="B49" s="188">
        <f>SUM(F47:F49)</f>
        <v>640109.82667984185</v>
      </c>
      <c r="C49" s="188">
        <f>AVERAGE(F47:F49)</f>
        <v>213369.94222661396</v>
      </c>
      <c r="D49" s="190">
        <f>C49/C46-1</f>
        <v>-0.23801837677013804</v>
      </c>
      <c r="E49" s="287">
        <f>C49/C37-1</f>
        <v>-2.6113498088960685E-2</v>
      </c>
      <c r="F49" s="136">
        <f>Q49/22</f>
        <v>215971.36363636365</v>
      </c>
      <c r="G49" s="190">
        <f t="shared" ref="G49" si="89">F49/F48-1</f>
        <v>0.19311604308252384</v>
      </c>
      <c r="H49" s="190">
        <f t="shared" ref="H49" si="90">F49/F37-1</f>
        <v>-0.15743499751411549</v>
      </c>
      <c r="I49" s="130">
        <f t="shared" si="0"/>
        <v>36.038306700107654</v>
      </c>
      <c r="J49" s="130">
        <f t="shared" si="5"/>
        <v>0.14160045137654542</v>
      </c>
      <c r="K49" s="136">
        <f>R47+R48+R49</f>
        <v>19298858551</v>
      </c>
      <c r="L49" s="190">
        <f>U49/U46-1</f>
        <v>-0.18442356836763296</v>
      </c>
      <c r="M49" s="190">
        <f>K49/K37-1</f>
        <v>5.5569787638376056E-2</v>
      </c>
      <c r="N49" s="191">
        <f>AVERAGE(T47:T49)</f>
        <v>38.84819164356832</v>
      </c>
      <c r="O49" s="192">
        <f>N49/N46-1</f>
        <v>-4.8166281305295211E-4</v>
      </c>
      <c r="P49" s="129" t="s">
        <v>1158</v>
      </c>
      <c r="Q49" s="116">
        <v>4751370</v>
      </c>
      <c r="R49" s="116">
        <v>6602917025</v>
      </c>
      <c r="S49" s="116">
        <v>131842.21</v>
      </c>
      <c r="T49" s="130">
        <f t="shared" ref="T49" si="91">Q49/S49</f>
        <v>36.038306700107654</v>
      </c>
      <c r="U49" s="85">
        <f t="shared" si="82"/>
        <v>13963511</v>
      </c>
      <c r="V49" s="79"/>
      <c r="W49" s="79"/>
      <c r="X49" s="79"/>
      <c r="Y49" s="79"/>
      <c r="Z49" s="79"/>
    </row>
    <row r="50" spans="1:26" ht="13.2">
      <c r="A50" s="129" t="s">
        <v>1302</v>
      </c>
      <c r="B50" s="188"/>
      <c r="C50" s="188"/>
      <c r="D50" s="190"/>
      <c r="E50" s="287"/>
      <c r="F50" s="136">
        <f>Q50/18</f>
        <v>159982.94444444444</v>
      </c>
      <c r="G50" s="190">
        <f t="shared" ref="G50" si="92">F50/F49-1</f>
        <v>-0.25924001334819691</v>
      </c>
      <c r="H50" s="190">
        <f t="shared" ref="H50" si="93">F50/F38-1</f>
        <v>-0.29540438215155163</v>
      </c>
      <c r="I50" s="130">
        <f t="shared" ref="I50" si="94">T50</f>
        <v>31.705263315510798</v>
      </c>
      <c r="J50" s="130">
        <f t="shared" ref="J50" si="95">I50/I38-1</f>
        <v>-0.13017969227617765</v>
      </c>
      <c r="K50" s="136"/>
      <c r="L50" s="190"/>
      <c r="M50" s="190"/>
      <c r="N50" s="191"/>
      <c r="O50" s="192"/>
      <c r="P50" s="129" t="s">
        <v>1293</v>
      </c>
      <c r="Q50" s="116">
        <v>2879693</v>
      </c>
      <c r="R50" s="116">
        <v>4069143865</v>
      </c>
      <c r="S50" s="116">
        <v>90826.97</v>
      </c>
      <c r="T50" s="130">
        <f t="shared" ref="T50" si="96">Q50/S50</f>
        <v>31.705263315510798</v>
      </c>
      <c r="U50" s="85">
        <f t="shared" si="82"/>
        <v>11251354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175346.1</v>
      </c>
      <c r="G51" s="190">
        <f t="shared" ref="G51:G52" si="97">F51/F50-1</f>
        <v>9.6029958749075162E-2</v>
      </c>
      <c r="H51" s="190">
        <f t="shared" ref="H51:H52" si="98">F51/F39-1</f>
        <v>-0.30968988360629091</v>
      </c>
      <c r="I51" s="130">
        <f t="shared" ref="I51:I52" si="99">T51</f>
        <v>40.273470642088469</v>
      </c>
      <c r="J51" s="130">
        <f t="shared" ref="J51:J52" si="100">I51/I39-1</f>
        <v>0.36206960111741249</v>
      </c>
      <c r="K51" s="136"/>
      <c r="L51" s="190"/>
      <c r="M51" s="190"/>
      <c r="N51" s="191"/>
      <c r="O51" s="192"/>
      <c r="P51" s="129" t="s">
        <v>1402</v>
      </c>
      <c r="Q51" s="116">
        <v>3506922</v>
      </c>
      <c r="R51" s="116">
        <v>5065142181</v>
      </c>
      <c r="S51" s="116">
        <v>87077.72</v>
      </c>
      <c r="T51" s="130">
        <f t="shared" ref="T51:T52" si="101">Q51/S51</f>
        <v>40.273470642088469</v>
      </c>
      <c r="U51" s="85">
        <f t="shared" si="82"/>
        <v>11137985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538155.68080808083</v>
      </c>
      <c r="C52" s="188">
        <f>AVERAGE(F50:F52)</f>
        <v>179385.22693602694</v>
      </c>
      <c r="D52" s="190">
        <f>C52/C49-1</f>
        <v>-0.15927602049258116</v>
      </c>
      <c r="E52" s="287">
        <f>C52/C40-1</f>
        <v>-0.29743031254363694</v>
      </c>
      <c r="F52" s="136">
        <f>Q52/22</f>
        <v>202826.63636363635</v>
      </c>
      <c r="G52" s="190">
        <f t="shared" si="97"/>
        <v>0.1567216856470508</v>
      </c>
      <c r="H52" s="190">
        <f t="shared" si="98"/>
        <v>-0.28811503724898913</v>
      </c>
      <c r="I52" s="130">
        <f t="shared" si="99"/>
        <v>36.275354395520644</v>
      </c>
      <c r="J52" s="130">
        <f t="shared" si="100"/>
        <v>0.12622016863463559</v>
      </c>
      <c r="K52" s="136">
        <f>R50+R51+R52</f>
        <v>15701570315</v>
      </c>
      <c r="L52" s="190">
        <f>U52/U49-1</f>
        <v>-0.22306066146257919</v>
      </c>
      <c r="M52" s="190">
        <f>K52/K40-1</f>
        <v>-0.28724675280575707</v>
      </c>
      <c r="N52" s="191">
        <f>AVERAGE(T50:T52)</f>
        <v>36.084696117706642</v>
      </c>
      <c r="O52" s="192">
        <f>N52/N49-1</f>
        <v>-7.1135757134250022E-2</v>
      </c>
      <c r="P52" s="129" t="s">
        <v>1403</v>
      </c>
      <c r="Q52" s="116">
        <v>4462186</v>
      </c>
      <c r="R52" s="116">
        <v>6567284269</v>
      </c>
      <c r="S52" s="116">
        <v>123008.75</v>
      </c>
      <c r="T52" s="130">
        <f t="shared" si="101"/>
        <v>36.275354395520644</v>
      </c>
      <c r="U52" s="85">
        <f t="shared" ref="U52" si="102">Q50+Q51+Q52</f>
        <v>10848801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198084.85714285713</v>
      </c>
      <c r="G53" s="190">
        <f t="shared" ref="G53" si="103">F53/F52-1</f>
        <v>-2.3378483742529488E-2</v>
      </c>
      <c r="H53" s="190">
        <f t="shared" ref="H53" si="104">F53/F41-1</f>
        <v>-5.5904824772086137E-2</v>
      </c>
      <c r="I53" s="130">
        <f t="shared" ref="I53" si="105">T53</f>
        <v>35.303612979476412</v>
      </c>
      <c r="J53" s="130">
        <f t="shared" ref="J53" si="106">I53/I41-1</f>
        <v>-1.6567589236009983E-2</v>
      </c>
      <c r="K53" s="136"/>
      <c r="L53" s="190"/>
      <c r="M53" s="190"/>
      <c r="N53" s="191"/>
      <c r="O53" s="192"/>
      <c r="P53" s="129" t="s">
        <v>1414</v>
      </c>
      <c r="Q53" s="116">
        <v>4159782</v>
      </c>
      <c r="R53" s="116">
        <v>6052467143</v>
      </c>
      <c r="S53" s="116">
        <v>117828.79</v>
      </c>
      <c r="T53" s="130">
        <f t="shared" ref="T53" si="107">Q53/S53</f>
        <v>35.303612979476412</v>
      </c>
      <c r="U53" s="85">
        <f t="shared" ref="U53" si="108">Q51+Q52+Q53</f>
        <v>12128890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249939.70588235295</v>
      </c>
      <c r="G54" s="190">
        <f t="shared" ref="G54" si="109">F54/F53-1</f>
        <v>0.26178098360188407</v>
      </c>
      <c r="H54" s="190">
        <f t="shared" ref="H54" si="110">F54/F42-1</f>
        <v>-0.21733603694453518</v>
      </c>
      <c r="I54" s="130">
        <f t="shared" ref="I54" si="111">T54</f>
        <v>30.047985125417306</v>
      </c>
      <c r="J54" s="130">
        <f t="shared" ref="J54" si="112">I54/I42-1</f>
        <v>-0.33074507042416978</v>
      </c>
      <c r="K54" s="136"/>
      <c r="L54" s="190"/>
      <c r="M54" s="190"/>
      <c r="N54" s="191"/>
      <c r="O54" s="192"/>
      <c r="P54" s="129" t="s">
        <v>1417</v>
      </c>
      <c r="Q54" s="116">
        <v>4248975</v>
      </c>
      <c r="R54" s="116">
        <v>6152512017</v>
      </c>
      <c r="S54" s="116">
        <v>141406.32</v>
      </c>
      <c r="T54" s="130">
        <f t="shared" ref="T54" si="113">Q54/S54</f>
        <v>30.047985125417306</v>
      </c>
      <c r="U54" s="85">
        <f t="shared" ref="U54" si="114">Q52+Q53+Q54</f>
        <v>12870943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634130.61064425763</v>
      </c>
      <c r="C55" s="188">
        <f>AVERAGE(F53:F55)</f>
        <v>211376.87021475253</v>
      </c>
      <c r="D55" s="190">
        <f>C55/C52-1</f>
        <v>0.17834045659810416</v>
      </c>
      <c r="E55" s="287">
        <f>C55/C43-1</f>
        <v>-0.24717943570119527</v>
      </c>
      <c r="F55" s="136">
        <f>Q55/21</f>
        <v>186106.04761904763</v>
      </c>
      <c r="G55" s="190">
        <f t="shared" ref="G55" si="115">F55/F54-1</f>
        <v>-0.25539622861423994</v>
      </c>
      <c r="H55" s="190">
        <f t="shared" ref="H55" si="116">F55/F43-1</f>
        <v>-0.40575429674520513</v>
      </c>
      <c r="I55" s="130">
        <f>T55</f>
        <v>35.405087038640666</v>
      </c>
      <c r="J55" s="130">
        <f t="shared" ref="J55" si="117">I55/I43-1</f>
        <v>-0.23633110345685759</v>
      </c>
      <c r="K55" s="136">
        <f>R53+R54+R55</f>
        <v>17957730629</v>
      </c>
      <c r="L55" s="190">
        <f>U55/U52-1</f>
        <v>0.13533136058076822</v>
      </c>
      <c r="M55" s="190">
        <f>K55/K43-1</f>
        <v>-0.24757369819733399</v>
      </c>
      <c r="N55" s="191">
        <f>AVERAGE(T53:T55)</f>
        <v>33.585561714511464</v>
      </c>
      <c r="O55" s="192">
        <f>N55/N52-1</f>
        <v>-6.9257460144409033E-2</v>
      </c>
      <c r="P55" s="129" t="s">
        <v>1418</v>
      </c>
      <c r="Q55" s="116">
        <v>3908227</v>
      </c>
      <c r="R55" s="116">
        <v>5752751469</v>
      </c>
      <c r="S55" s="116">
        <v>110386.03</v>
      </c>
      <c r="T55" s="130">
        <f t="shared" ref="T55" si="118">Q55/S55</f>
        <v>35.405087038640666</v>
      </c>
      <c r="U55" s="85">
        <f t="shared" ref="U55" si="119">Q53+Q54+Q55</f>
        <v>12316984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185740.31818181818</v>
      </c>
      <c r="G56" s="190">
        <f t="shared" ref="G56" si="120">F56/F55-1</f>
        <v>-1.965166860015688E-3</v>
      </c>
      <c r="H56" s="190">
        <f t="shared" ref="H56" si="121">F56/F44-1</f>
        <v>-0.35779426782844403</v>
      </c>
      <c r="I56" s="291">
        <f>T56</f>
        <v>37.11131668533303</v>
      </c>
      <c r="J56" s="130">
        <f t="shared" ref="J56" si="122">I56/I44-1</f>
        <v>-0.16471871189994824</v>
      </c>
      <c r="K56" s="136"/>
      <c r="L56" s="190"/>
      <c r="M56" s="190"/>
      <c r="N56" s="191"/>
      <c r="O56" s="192"/>
      <c r="P56" s="129" t="s">
        <v>1420</v>
      </c>
      <c r="Q56" s="116">
        <v>4086287</v>
      </c>
      <c r="R56" s="116">
        <v>6112668201</v>
      </c>
      <c r="S56" s="116">
        <v>110108.92</v>
      </c>
      <c r="T56" s="130">
        <f t="shared" ref="T56" si="123">Q56/S56</f>
        <v>37.11131668533303</v>
      </c>
      <c r="U56" s="85">
        <f t="shared" ref="U56" si="124">Q54+Q55+Q56</f>
        <v>12243489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167651.58333333334</v>
      </c>
      <c r="G57" s="254">
        <f t="shared" ref="G57" si="125">F57/F56-1</f>
        <v>-9.7387228715620444E-2</v>
      </c>
      <c r="H57" s="254">
        <f t="shared" ref="H57" si="126">F57/F45-1</f>
        <v>-0.42631636879199641</v>
      </c>
      <c r="I57" s="282">
        <f>T57</f>
        <v>32.193554436965364</v>
      </c>
      <c r="J57" s="277">
        <f t="shared" ref="J57" si="127">I57/I45-1</f>
        <v>-1.1065854568860445E-2</v>
      </c>
      <c r="K57" s="204"/>
      <c r="L57" s="254"/>
      <c r="M57" s="254"/>
      <c r="N57" s="257"/>
      <c r="O57" s="258"/>
      <c r="P57" s="129" t="s">
        <v>1436</v>
      </c>
      <c r="Q57" s="116">
        <v>2011819</v>
      </c>
      <c r="R57" s="116">
        <v>2963200246</v>
      </c>
      <c r="S57" s="116">
        <v>62491.360000000001</v>
      </c>
      <c r="T57" s="130">
        <f t="shared" ref="T57" si="128">Q57/S57</f>
        <v>32.193554436965364</v>
      </c>
      <c r="U57" s="85">
        <f t="shared" ref="U57" si="129">Q55+Q56+Q57</f>
        <v>10006333</v>
      </c>
      <c r="V57" s="79"/>
      <c r="W57" s="79"/>
      <c r="X57" s="79"/>
      <c r="Y57" s="79"/>
      <c r="Z57" s="79"/>
    </row>
    <row r="58" spans="1:26">
      <c r="B58" s="196">
        <f>SUM(F56:F58)</f>
        <v>353391.90151515149</v>
      </c>
      <c r="C58" s="196">
        <f>AVERAGE(F56:F58)</f>
        <v>176695.95075757575</v>
      </c>
      <c r="D58" s="197">
        <f>C58/C55-1</f>
        <v>-0.16407149666821175</v>
      </c>
      <c r="E58" s="233">
        <f>C58/C46-1</f>
        <v>-0.36898765603355177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18415090</v>
      </c>
      <c r="R65" s="212">
        <v>27033599076</v>
      </c>
      <c r="S65" s="213">
        <v>542221.43999999994</v>
      </c>
      <c r="T65" s="214">
        <v>326</v>
      </c>
      <c r="U65" s="214">
        <v>846</v>
      </c>
    </row>
    <row r="66" spans="16:21" ht="18" thickBot="1">
      <c r="P66" s="180" t="s">
        <v>976</v>
      </c>
      <c r="Q66" s="181">
        <v>4159782</v>
      </c>
      <c r="R66" s="181">
        <v>6052467143</v>
      </c>
      <c r="S66" s="182">
        <v>117828.79</v>
      </c>
      <c r="T66" s="210">
        <v>155</v>
      </c>
      <c r="U66" s="210">
        <v>330</v>
      </c>
    </row>
    <row r="67" spans="16:21" ht="18" thickBot="1">
      <c r="P67" s="180" t="s">
        <v>977</v>
      </c>
      <c r="Q67" s="181">
        <v>4248975</v>
      </c>
      <c r="R67" s="181">
        <v>6152512017</v>
      </c>
      <c r="S67" s="182">
        <v>141406.32</v>
      </c>
      <c r="T67" s="210">
        <v>126</v>
      </c>
      <c r="U67" s="210">
        <v>261</v>
      </c>
    </row>
    <row r="68" spans="16:21" ht="18" thickBot="1">
      <c r="P68" s="180" t="s">
        <v>978</v>
      </c>
      <c r="Q68" s="181">
        <v>3908227</v>
      </c>
      <c r="R68" s="181">
        <v>5752751469</v>
      </c>
      <c r="S68" s="182">
        <v>110386.03</v>
      </c>
      <c r="T68" s="210">
        <v>156</v>
      </c>
      <c r="U68" s="210">
        <v>307</v>
      </c>
    </row>
    <row r="69" spans="16:21" ht="18" thickBot="1">
      <c r="P69" s="180" t="s">
        <v>979</v>
      </c>
      <c r="Q69" s="181">
        <v>4086287</v>
      </c>
      <c r="R69" s="181">
        <v>6112668201</v>
      </c>
      <c r="S69" s="182">
        <v>110108.92</v>
      </c>
      <c r="T69" s="210">
        <v>161</v>
      </c>
      <c r="U69" s="210">
        <v>308</v>
      </c>
    </row>
    <row r="70" spans="16:21" ht="18" thickBot="1">
      <c r="P70" s="180" t="s">
        <v>980</v>
      </c>
      <c r="Q70" s="181">
        <v>2011819</v>
      </c>
      <c r="R70" s="181">
        <v>2963200246</v>
      </c>
      <c r="S70" s="182">
        <v>62491.360000000001</v>
      </c>
      <c r="T70" s="210">
        <v>106</v>
      </c>
      <c r="U70" s="210">
        <v>196</v>
      </c>
    </row>
    <row r="71" spans="16:21" ht="18" thickBot="1">
      <c r="P71" s="180" t="s">
        <v>975</v>
      </c>
      <c r="Q71" s="181">
        <v>58351591</v>
      </c>
      <c r="R71" s="181">
        <v>83033749004</v>
      </c>
      <c r="S71" s="182">
        <v>1489015.82</v>
      </c>
      <c r="T71" s="210">
        <v>569</v>
      </c>
      <c r="U71" s="210">
        <v>1757</v>
      </c>
    </row>
    <row r="72" spans="16:21" ht="18" thickBot="1">
      <c r="P72" s="215" t="s">
        <v>982</v>
      </c>
      <c r="Q72" s="217">
        <v>61</v>
      </c>
      <c r="R72"/>
      <c r="S72"/>
      <c r="T72"/>
      <c r="U72"/>
    </row>
  </sheetData>
  <phoneticPr fontId="1" type="noConversion"/>
  <conditionalFormatting sqref="C29:C30">
    <cfRule type="cellIs" dxfId="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114"/>
  <dimension ref="A1:Z72"/>
  <sheetViews>
    <sheetView zoomScale="90" zoomScaleNormal="90" workbookViewId="0">
      <selection activeCell="F71" sqref="F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266</v>
      </c>
      <c r="F4" s="84" t="s">
        <v>73</v>
      </c>
      <c r="G4" s="172" t="s">
        <v>282</v>
      </c>
      <c r="H4" s="172" t="s">
        <v>266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3489481.35</v>
      </c>
      <c r="G5" s="90"/>
      <c r="H5" s="90"/>
      <c r="I5" s="130">
        <f t="shared" ref="I5:I49" si="0">T5</f>
        <v>93.453556126337844</v>
      </c>
      <c r="J5" s="130"/>
      <c r="L5" s="80"/>
      <c r="M5" s="80"/>
      <c r="P5" s="129" t="s">
        <v>0</v>
      </c>
      <c r="Q5" s="116">
        <v>69789627</v>
      </c>
      <c r="R5" s="116"/>
      <c r="S5" s="116">
        <v>746784.07</v>
      </c>
      <c r="T5" s="130">
        <f t="shared" ref="T5:T11" si="1">Q5/S5</f>
        <v>93.453556126337844</v>
      </c>
      <c r="U5" s="85"/>
    </row>
    <row r="6" spans="1:21" ht="15" hidden="1" customHeight="1">
      <c r="A6" s="129" t="s">
        <v>1</v>
      </c>
      <c r="C6" s="79"/>
      <c r="F6" s="78">
        <f>Q6/18</f>
        <v>3455277.722222222</v>
      </c>
      <c r="G6" s="90">
        <f t="shared" ref="G6:G16" si="2">F6/F5-1</f>
        <v>-9.8019230788489731E-3</v>
      </c>
      <c r="H6" s="90"/>
      <c r="I6" s="130">
        <f t="shared" si="0"/>
        <v>85.821665845821769</v>
      </c>
      <c r="J6" s="130"/>
      <c r="P6" s="129" t="s">
        <v>1</v>
      </c>
      <c r="Q6" s="116">
        <v>62194999</v>
      </c>
      <c r="R6" s="116"/>
      <c r="S6" s="116">
        <v>724700.44</v>
      </c>
      <c r="T6" s="130">
        <f t="shared" si="1"/>
        <v>85.821665845821769</v>
      </c>
      <c r="U6" s="85"/>
    </row>
    <row r="7" spans="1:21" ht="15" hidden="1" customHeight="1">
      <c r="A7" s="129" t="s">
        <v>2</v>
      </c>
      <c r="B7" s="131">
        <f>F5+F6+F7</f>
        <v>12837821.299494948</v>
      </c>
      <c r="C7" s="131">
        <f>AVERAGE(F5:F7)</f>
        <v>4279273.7664983161</v>
      </c>
      <c r="F7" s="78">
        <f>Q7/22</f>
        <v>5893062.2272727275</v>
      </c>
      <c r="G7" s="90">
        <f t="shared" si="2"/>
        <v>0.70552491030523368</v>
      </c>
      <c r="H7" s="90"/>
      <c r="I7" s="130">
        <f t="shared" si="0"/>
        <v>89.436019639568912</v>
      </c>
      <c r="J7" s="130"/>
      <c r="K7" s="79">
        <f>R5+R6+R7</f>
        <v>0</v>
      </c>
      <c r="N7" s="88">
        <f>AVERAGE(T5:T7)</f>
        <v>89.570413870576161</v>
      </c>
      <c r="P7" s="129" t="s">
        <v>2</v>
      </c>
      <c r="Q7" s="116">
        <v>129647369</v>
      </c>
      <c r="R7" s="116"/>
      <c r="S7" s="116">
        <v>1449610.23</v>
      </c>
      <c r="T7" s="130">
        <f t="shared" si="1"/>
        <v>89.436019639568912</v>
      </c>
      <c r="U7" s="85">
        <f>Q5+Q6+Q7</f>
        <v>261631995</v>
      </c>
    </row>
    <row r="8" spans="1:21" ht="15" hidden="1" customHeight="1">
      <c r="A8" s="129" t="s">
        <v>3</v>
      </c>
      <c r="C8" s="79"/>
      <c r="F8" s="78">
        <f>Q8/21</f>
        <v>3965503</v>
      </c>
      <c r="G8" s="90">
        <f t="shared" si="2"/>
        <v>-0.32708957634149904</v>
      </c>
      <c r="H8" s="90"/>
      <c r="I8" s="130">
        <f t="shared" si="0"/>
        <v>85.631286543309358</v>
      </c>
      <c r="J8" s="130"/>
      <c r="K8" s="78"/>
      <c r="P8" s="129" t="s">
        <v>3</v>
      </c>
      <c r="Q8" s="116">
        <v>83275563</v>
      </c>
      <c r="R8" s="116"/>
      <c r="S8" s="116">
        <v>972489.92</v>
      </c>
      <c r="T8" s="130">
        <f t="shared" si="1"/>
        <v>85.631286543309358</v>
      </c>
      <c r="U8" s="85"/>
    </row>
    <row r="9" spans="1:21" ht="15" hidden="1" customHeight="1">
      <c r="A9" s="129" t="s">
        <v>4</v>
      </c>
      <c r="C9" s="79"/>
      <c r="F9" s="78">
        <f>Q9/21</f>
        <v>4783099.4285714282</v>
      </c>
      <c r="G9" s="90">
        <f t="shared" si="2"/>
        <v>0.20617723112841624</v>
      </c>
      <c r="H9" s="90"/>
      <c r="I9" s="130">
        <f t="shared" si="0"/>
        <v>89.282994935419993</v>
      </c>
      <c r="J9" s="130"/>
      <c r="K9" s="78"/>
      <c r="P9" s="129" t="s">
        <v>4</v>
      </c>
      <c r="Q9" s="116">
        <v>100445088</v>
      </c>
      <c r="R9" s="116"/>
      <c r="S9" s="116">
        <v>1125019.25</v>
      </c>
      <c r="T9" s="130">
        <f t="shared" si="1"/>
        <v>89.282994935419993</v>
      </c>
      <c r="U9" s="85"/>
    </row>
    <row r="10" spans="1:21" ht="15" hidden="1" customHeight="1">
      <c r="A10" s="129" t="s">
        <v>5</v>
      </c>
      <c r="B10" s="131">
        <f>F8+F9+F10</f>
        <v>14354708.714285715</v>
      </c>
      <c r="C10" s="131">
        <f>AVERAGE(F8:F10)</f>
        <v>4784902.9047619049</v>
      </c>
      <c r="D10" s="90">
        <f>C10/C7-1</f>
        <v>0.11815769821086719</v>
      </c>
      <c r="E10" s="286"/>
      <c r="F10" s="78">
        <f>Q10/21</f>
        <v>5606106.2857142854</v>
      </c>
      <c r="G10" s="90">
        <f t="shared" si="2"/>
        <v>0.17206559667706212</v>
      </c>
      <c r="H10" s="90"/>
      <c r="I10" s="130">
        <f t="shared" si="0"/>
        <v>101.41537694356514</v>
      </c>
      <c r="J10" s="130"/>
      <c r="K10" s="79">
        <f>R8+R9+R10</f>
        <v>0</v>
      </c>
      <c r="L10" s="87">
        <f>U10/U7-1</f>
        <v>0.15218661616672691</v>
      </c>
      <c r="N10" s="88">
        <f>AVERAGE(T8:T10)</f>
        <v>92.109886140764829</v>
      </c>
      <c r="O10" s="89">
        <f>N10/N7-1</f>
        <v>2.8351686237132467E-2</v>
      </c>
      <c r="P10" s="129" t="s">
        <v>5</v>
      </c>
      <c r="Q10" s="116">
        <v>117728232</v>
      </c>
      <c r="R10" s="116"/>
      <c r="S10" s="116">
        <v>1160851.8899999999</v>
      </c>
      <c r="T10" s="130">
        <f t="shared" si="1"/>
        <v>101.41537694356514</v>
      </c>
      <c r="U10" s="85">
        <f>Q8+Q9+Q10</f>
        <v>301448883</v>
      </c>
    </row>
    <row r="11" spans="1:21" ht="15" hidden="1" customHeight="1">
      <c r="A11" s="129" t="s">
        <v>6</v>
      </c>
      <c r="C11" s="79"/>
      <c r="F11" s="78">
        <f>Q11/21</f>
        <v>3870129.5238095238</v>
      </c>
      <c r="G11" s="90">
        <f t="shared" si="2"/>
        <v>-0.30965819651483428</v>
      </c>
      <c r="H11" s="90"/>
      <c r="I11" s="130">
        <f t="shared" si="0"/>
        <v>89.624826183335912</v>
      </c>
      <c r="J11" s="130"/>
      <c r="K11" s="78"/>
      <c r="O11" s="89"/>
      <c r="P11" s="129" t="s">
        <v>6</v>
      </c>
      <c r="Q11" s="116">
        <v>81272720</v>
      </c>
      <c r="R11" s="116"/>
      <c r="S11" s="116">
        <v>906810.35</v>
      </c>
      <c r="T11" s="130">
        <f t="shared" si="1"/>
        <v>89.624826183335912</v>
      </c>
      <c r="U11" s="85"/>
    </row>
    <row r="12" spans="1:21" ht="15" hidden="1" customHeight="1">
      <c r="A12" s="129" t="s">
        <v>7</v>
      </c>
      <c r="C12" s="79"/>
      <c r="F12" s="78">
        <f>Q12/22</f>
        <v>2942037.5454545454</v>
      </c>
      <c r="G12" s="90">
        <f t="shared" si="2"/>
        <v>-0.23980902257798864</v>
      </c>
      <c r="H12" s="90"/>
      <c r="I12" s="130">
        <f t="shared" si="0"/>
        <v>80.628451920716898</v>
      </c>
      <c r="J12" s="130"/>
      <c r="K12" s="78"/>
      <c r="O12" s="89"/>
      <c r="P12" s="129" t="s">
        <v>7</v>
      </c>
      <c r="Q12" s="116">
        <v>64724826</v>
      </c>
      <c r="R12" s="116"/>
      <c r="S12" s="116">
        <v>802754.17</v>
      </c>
      <c r="T12" s="130">
        <f>Q12/S12</f>
        <v>80.628451920716898</v>
      </c>
      <c r="U12" s="85"/>
    </row>
    <row r="13" spans="1:21" ht="15" hidden="1" customHeight="1">
      <c r="A13" s="129" t="s">
        <v>96</v>
      </c>
      <c r="B13" s="131">
        <f>F11+F12+F13</f>
        <v>10514883.319264069</v>
      </c>
      <c r="C13" s="131">
        <f>AVERAGE(F11:F13)</f>
        <v>3504961.1064213566</v>
      </c>
      <c r="D13" s="90">
        <f>C13/C10-1</f>
        <v>-0.26749587688953069</v>
      </c>
      <c r="E13" s="286"/>
      <c r="F13" s="78">
        <f>Q13/20</f>
        <v>3702716.25</v>
      </c>
      <c r="G13" s="90">
        <f t="shared" si="2"/>
        <v>0.258555063554748</v>
      </c>
      <c r="H13" s="90"/>
      <c r="I13" s="130">
        <f t="shared" si="0"/>
        <v>71.586549787915601</v>
      </c>
      <c r="J13" s="130"/>
      <c r="K13" s="78">
        <f>R11+R12+R13</f>
        <v>0</v>
      </c>
      <c r="L13" s="87">
        <f>U13/U10-1</f>
        <v>-0.27001928549192866</v>
      </c>
      <c r="N13" s="88">
        <f>AVERAGE(T11:T13)</f>
        <v>80.613275963989466</v>
      </c>
      <c r="O13" s="89">
        <f>N13/N10-1</f>
        <v>-0.12481407434600378</v>
      </c>
      <c r="P13" s="129" t="s">
        <v>96</v>
      </c>
      <c r="Q13" s="116">
        <v>74054325</v>
      </c>
      <c r="R13" s="116"/>
      <c r="S13" s="116">
        <v>1034472.61</v>
      </c>
      <c r="T13" s="130">
        <f>Q13/S13</f>
        <v>71.586549787915601</v>
      </c>
      <c r="U13" s="85">
        <f>Q11+Q12+Q13</f>
        <v>220051871</v>
      </c>
    </row>
    <row r="14" spans="1:21" ht="15" hidden="1" customHeight="1">
      <c r="A14" s="129" t="s">
        <v>97</v>
      </c>
      <c r="C14" s="79"/>
      <c r="F14" s="78">
        <f>Q14/20</f>
        <v>3207632.85</v>
      </c>
      <c r="G14" s="90">
        <f t="shared" si="2"/>
        <v>-0.13370816626847926</v>
      </c>
      <c r="H14" s="90"/>
      <c r="I14" s="130">
        <f t="shared" si="0"/>
        <v>68.591204839774591</v>
      </c>
      <c r="J14" s="130"/>
      <c r="O14" s="89"/>
      <c r="P14" s="129" t="s">
        <v>97</v>
      </c>
      <c r="Q14" s="116">
        <v>64152657</v>
      </c>
      <c r="R14" s="116"/>
      <c r="S14" s="116">
        <v>935289.84</v>
      </c>
      <c r="T14" s="130">
        <f>Q14/S14</f>
        <v>68.591204839774591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2797715.9090909092</v>
      </c>
      <c r="G15" s="90">
        <f t="shared" si="2"/>
        <v>-0.12779422087197134</v>
      </c>
      <c r="H15" s="90"/>
      <c r="I15" s="130">
        <f t="shared" si="0"/>
        <v>36.4742194488297</v>
      </c>
      <c r="J15" s="130"/>
      <c r="O15" s="89"/>
      <c r="P15" s="129" t="s">
        <v>98</v>
      </c>
      <c r="Q15" s="116">
        <v>61549750</v>
      </c>
      <c r="R15" s="116"/>
      <c r="S15" s="116">
        <v>1687486.42</v>
      </c>
      <c r="T15" s="130">
        <f t="shared" ref="T15:T21" si="3">Q15/S15</f>
        <v>36.4742194488297</v>
      </c>
      <c r="U15" s="85"/>
    </row>
    <row r="16" spans="1:21" ht="15" hidden="1" customHeight="1">
      <c r="A16" s="129" t="s">
        <v>99</v>
      </c>
      <c r="B16" s="131">
        <f>F14+F15+F16</f>
        <v>9451450.0318181831</v>
      </c>
      <c r="C16" s="131">
        <f>AVERAGE(F14:F16)</f>
        <v>3150483.3439393942</v>
      </c>
      <c r="D16" s="90">
        <f>C16/C13-1</f>
        <v>-0.10113600457150063</v>
      </c>
      <c r="E16" s="286"/>
      <c r="F16" s="78">
        <f>Q16/22</f>
        <v>3446101.2727272729</v>
      </c>
      <c r="G16" s="90">
        <f t="shared" si="2"/>
        <v>0.23175525489543025</v>
      </c>
      <c r="H16" s="90"/>
      <c r="I16" s="130">
        <f t="shared" si="0"/>
        <v>96.387763294059894</v>
      </c>
      <c r="J16" s="130"/>
      <c r="K16" s="78">
        <f>R14+R15+R16</f>
        <v>0</v>
      </c>
      <c r="L16" s="87">
        <f>U16/U13-1</f>
        <v>-8.4231212921611509E-2</v>
      </c>
      <c r="N16" s="88">
        <f>AVERAGE(T14:T16)</f>
        <v>67.151062527554728</v>
      </c>
      <c r="O16" s="89">
        <f>N16/N13-1</f>
        <v>-0.16699747374673624</v>
      </c>
      <c r="P16" s="129" t="s">
        <v>99</v>
      </c>
      <c r="Q16" s="116">
        <v>75814228</v>
      </c>
      <c r="R16" s="116"/>
      <c r="S16" s="116">
        <v>786554.49</v>
      </c>
      <c r="T16" s="130">
        <f t="shared" si="3"/>
        <v>96.387763294059894</v>
      </c>
      <c r="U16" s="85">
        <f>Q14+Q15+Q16</f>
        <v>201516635</v>
      </c>
    </row>
    <row r="17" spans="1:21" ht="15" hidden="1" customHeight="1">
      <c r="A17" s="129" t="s">
        <v>100</v>
      </c>
      <c r="C17" s="79"/>
      <c r="F17" s="78">
        <f>Q17/20</f>
        <v>3268040.25</v>
      </c>
      <c r="G17" s="90">
        <f t="shared" ref="G17:G22" si="4">F17/F16-1</f>
        <v>-5.1670281467483981E-2</v>
      </c>
      <c r="H17" s="90">
        <f t="shared" ref="H17:H22" si="5">F17/F5-1</f>
        <v>-6.3459602671325333E-2</v>
      </c>
      <c r="I17" s="130">
        <f t="shared" si="0"/>
        <v>71.761995839897665</v>
      </c>
      <c r="J17" s="130">
        <f t="shared" ref="J17:J49" si="6">I17/I5-1</f>
        <v>-0.23211059252914712</v>
      </c>
      <c r="O17" s="89"/>
      <c r="P17" s="129" t="s">
        <v>100</v>
      </c>
      <c r="Q17" s="116">
        <v>65360805</v>
      </c>
      <c r="R17" s="116">
        <v>81988521209</v>
      </c>
      <c r="S17" s="116">
        <v>910799.71</v>
      </c>
      <c r="T17" s="130">
        <f t="shared" si="3"/>
        <v>71.761995839897665</v>
      </c>
      <c r="U17" s="78"/>
    </row>
    <row r="18" spans="1:21" ht="15" hidden="1" customHeight="1">
      <c r="A18" s="129" t="s">
        <v>106</v>
      </c>
      <c r="C18" s="79"/>
      <c r="F18" s="78">
        <f>Q18/20</f>
        <v>4839493.2</v>
      </c>
      <c r="G18" s="90">
        <f t="shared" si="4"/>
        <v>0.48085483341277713</v>
      </c>
      <c r="H18" s="90">
        <f t="shared" si="5"/>
        <v>0.40060903610594178</v>
      </c>
      <c r="I18" s="130">
        <f t="shared" si="0"/>
        <v>73.653712645438702</v>
      </c>
      <c r="J18" s="130">
        <f t="shared" si="6"/>
        <v>-0.14178183423102897</v>
      </c>
      <c r="O18" s="89"/>
      <c r="P18" s="129" t="s">
        <v>106</v>
      </c>
      <c r="Q18" s="116">
        <v>96789864</v>
      </c>
      <c r="R18" s="116">
        <v>121512680151</v>
      </c>
      <c r="S18" s="116">
        <v>1314120.6399999999</v>
      </c>
      <c r="T18" s="130">
        <f t="shared" si="3"/>
        <v>73.653712645438702</v>
      </c>
      <c r="U18" s="78"/>
    </row>
    <row r="19" spans="1:21" hidden="1">
      <c r="A19" s="129" t="s">
        <v>114</v>
      </c>
      <c r="B19" s="131">
        <f>SUM(F17:F19)</f>
        <v>12353167.222727273</v>
      </c>
      <c r="C19" s="131">
        <f>AVERAGE(F17:F19)</f>
        <v>4117722.4075757577</v>
      </c>
      <c r="D19" s="90">
        <f>C19/C16-1</f>
        <v>0.30701291136709163</v>
      </c>
      <c r="E19" s="286">
        <f>C19/C7-1</f>
        <v>-3.7752050403345505E-2</v>
      </c>
      <c r="F19" s="78">
        <f>Q19/22</f>
        <v>4245633.7727272725</v>
      </c>
      <c r="G19" s="90">
        <f t="shared" si="4"/>
        <v>-0.12271107794360114</v>
      </c>
      <c r="H19" s="90">
        <f t="shared" si="5"/>
        <v>-0.27955388743754617</v>
      </c>
      <c r="I19" s="130">
        <f t="shared" si="0"/>
        <v>70.723018064463133</v>
      </c>
      <c r="J19" s="130">
        <f t="shared" si="6"/>
        <v>-0.20923338997553775</v>
      </c>
      <c r="K19" s="78">
        <f>R17+R18+R19</f>
        <v>325610653433</v>
      </c>
      <c r="L19" s="87">
        <f>U19/U16-1</f>
        <v>0.26815640803053298</v>
      </c>
      <c r="M19" s="87">
        <f>U19/U7-1</f>
        <v>-2.3228745398665818E-2</v>
      </c>
      <c r="N19" s="88">
        <f>AVERAGE(T17:T19)</f>
        <v>72.0462421832665</v>
      </c>
      <c r="O19" s="89">
        <f>N19/N16-1</f>
        <v>7.2898022331412626E-2</v>
      </c>
      <c r="P19" s="129" t="s">
        <v>115</v>
      </c>
      <c r="Q19" s="116">
        <v>93403943</v>
      </c>
      <c r="R19" s="116">
        <v>122109452073</v>
      </c>
      <c r="S19" s="116">
        <v>1320700.75</v>
      </c>
      <c r="T19" s="130">
        <f t="shared" si="3"/>
        <v>70.723018064463133</v>
      </c>
      <c r="U19" s="85">
        <f>Q17+Q18+Q19</f>
        <v>255554612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4046527.7</v>
      </c>
      <c r="G20" s="90">
        <f t="shared" si="4"/>
        <v>-4.6896666878399218E-2</v>
      </c>
      <c r="H20" s="90">
        <f t="shared" si="5"/>
        <v>2.0432389031101561E-2</v>
      </c>
      <c r="I20" s="130">
        <f t="shared" si="0"/>
        <v>72.173125421577396</v>
      </c>
      <c r="J20" s="130">
        <f t="shared" si="6"/>
        <v>-0.15716406543682238</v>
      </c>
      <c r="O20" s="89"/>
      <c r="P20" s="129" t="s">
        <v>132</v>
      </c>
      <c r="Q20" s="116">
        <v>80930554</v>
      </c>
      <c r="R20" s="116">
        <v>106240391428</v>
      </c>
      <c r="S20" s="116">
        <v>1121339.19</v>
      </c>
      <c r="T20" s="130">
        <f t="shared" si="3"/>
        <v>72.173125421577396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3821386.6190476189</v>
      </c>
      <c r="G21" s="90">
        <f t="shared" si="4"/>
        <v>-5.5638092123373117E-2</v>
      </c>
      <c r="H21" s="90">
        <f t="shared" si="5"/>
        <v>-0.20106477481507101</v>
      </c>
      <c r="I21" s="130">
        <f t="shared" si="0"/>
        <v>82.632207912866775</v>
      </c>
      <c r="J21" s="130">
        <f t="shared" si="6"/>
        <v>-7.4491083406911351E-2</v>
      </c>
      <c r="O21" s="89"/>
      <c r="P21" s="129" t="s">
        <v>141</v>
      </c>
      <c r="Q21" s="116">
        <v>80249119</v>
      </c>
      <c r="R21" s="116">
        <v>106952239169</v>
      </c>
      <c r="S21" s="116">
        <v>971160.29</v>
      </c>
      <c r="T21" s="130">
        <f t="shared" si="3"/>
        <v>82.632207912866775</v>
      </c>
      <c r="U21" s="78"/>
    </row>
    <row r="22" spans="1:21" hidden="1">
      <c r="A22" s="129" t="s">
        <v>156</v>
      </c>
      <c r="B22" s="131">
        <f>SUM(F20:F22)</f>
        <v>11041554.795238094</v>
      </c>
      <c r="C22" s="131">
        <f>AVERAGE(F20:F22)</f>
        <v>3680518.2650793646</v>
      </c>
      <c r="D22" s="90">
        <f>C22/C19-1</f>
        <v>-0.10617620597542654</v>
      </c>
      <c r="E22" s="286">
        <f>C22/C10-1</f>
        <v>-0.23080607102465212</v>
      </c>
      <c r="F22" s="78">
        <f>Q22/21</f>
        <v>3173640.4761904762</v>
      </c>
      <c r="G22" s="90">
        <f t="shared" si="4"/>
        <v>-0.16950552441578826</v>
      </c>
      <c r="H22" s="90">
        <f t="shared" si="5"/>
        <v>-0.43389577106704524</v>
      </c>
      <c r="I22" s="130">
        <f t="shared" si="0"/>
        <v>74.660928906709287</v>
      </c>
      <c r="J22" s="130">
        <f t="shared" si="6"/>
        <v>-0.26381056643652734</v>
      </c>
      <c r="K22" s="78">
        <f>R20+R21+R22</f>
        <v>299727137003</v>
      </c>
      <c r="L22" s="87">
        <f>U22/U19-1</f>
        <v>-0.10850318365610245</v>
      </c>
      <c r="M22" s="87">
        <f>U22/U10-1</f>
        <v>-0.24422966596296858</v>
      </c>
      <c r="N22" s="88">
        <f>AVERAGE(T20:T22)</f>
        <v>76.488754080384481</v>
      </c>
      <c r="O22" s="89">
        <f>N22/N19-1</f>
        <v>6.1661951581283292E-2</v>
      </c>
      <c r="P22" s="129" t="s">
        <v>156</v>
      </c>
      <c r="Q22" s="116">
        <v>66646450</v>
      </c>
      <c r="R22" s="116">
        <v>86534506406</v>
      </c>
      <c r="S22" s="116">
        <v>892654.98</v>
      </c>
      <c r="T22" s="130">
        <f t="shared" ref="T22:T23" si="7">Q22/S22</f>
        <v>74.660928906709287</v>
      </c>
      <c r="U22" s="85">
        <f>Q20+Q21+Q22</f>
        <v>227826123</v>
      </c>
    </row>
    <row r="23" spans="1:21" hidden="1">
      <c r="A23" s="129" t="s">
        <v>189</v>
      </c>
      <c r="B23" s="131"/>
      <c r="C23" s="131"/>
      <c r="F23" s="78">
        <f>Q23/21</f>
        <v>3574980.6666666665</v>
      </c>
      <c r="G23" s="90">
        <f t="shared" ref="G23" si="8">F23/F22-1</f>
        <v>0.12646050914939955</v>
      </c>
      <c r="H23" s="90">
        <f t="shared" ref="H23" si="9">F23/F11-1</f>
        <v>-7.6263302126470034E-2</v>
      </c>
      <c r="I23" s="130">
        <f t="shared" si="0"/>
        <v>79.671304822776619</v>
      </c>
      <c r="J23" s="130">
        <f t="shared" si="6"/>
        <v>-0.11105763642094479</v>
      </c>
      <c r="O23" s="89"/>
      <c r="P23" s="129" t="s">
        <v>189</v>
      </c>
      <c r="Q23" s="116">
        <v>75074594</v>
      </c>
      <c r="R23" s="116">
        <v>96927045817</v>
      </c>
      <c r="S23" s="116">
        <v>942304.06</v>
      </c>
      <c r="T23" s="130">
        <f t="shared" si="7"/>
        <v>79.671304822776619</v>
      </c>
      <c r="U23" s="78"/>
    </row>
    <row r="24" spans="1:21" hidden="1">
      <c r="A24" s="129" t="s">
        <v>204</v>
      </c>
      <c r="B24" s="131"/>
      <c r="C24" s="131"/>
      <c r="F24" s="78">
        <f>Q24/22</f>
        <v>4370303.1363636367</v>
      </c>
      <c r="G24" s="90">
        <f t="shared" ref="G24" si="10">F24/F23-1</f>
        <v>0.22246902678736258</v>
      </c>
      <c r="H24" s="90">
        <f t="shared" ref="H24" si="11">F24/F12-1</f>
        <v>0.48546817259887276</v>
      </c>
      <c r="I24" s="130">
        <f t="shared" si="0"/>
        <v>75.667103984951112</v>
      </c>
      <c r="J24" s="130">
        <f t="shared" si="6"/>
        <v>-6.1533463902349927E-2</v>
      </c>
      <c r="O24" s="89"/>
      <c r="P24" s="129" t="s">
        <v>204</v>
      </c>
      <c r="Q24" s="116">
        <v>96146669</v>
      </c>
      <c r="R24" s="116">
        <v>126823502575</v>
      </c>
      <c r="S24" s="116">
        <v>1270653.48</v>
      </c>
      <c r="T24" s="130">
        <f t="shared" ref="T24" si="12">Q24/S24</f>
        <v>75.667103984951112</v>
      </c>
      <c r="U24" s="78"/>
    </row>
    <row r="25" spans="1:21" s="79" customFormat="1" ht="13.2" hidden="1">
      <c r="A25" s="129" t="s">
        <v>219</v>
      </c>
      <c r="B25" s="131">
        <f>SUM(F23:F25)</f>
        <v>11372555.434609249</v>
      </c>
      <c r="C25" s="131">
        <f>AVERAGE(F23:F25)</f>
        <v>3790851.8115364164</v>
      </c>
      <c r="D25" s="90">
        <f>C25/C22-1</f>
        <v>2.9977720122704721E-2</v>
      </c>
      <c r="E25" s="286">
        <f>C25/C13-1</f>
        <v>8.1567440104053146E-2</v>
      </c>
      <c r="F25" s="78">
        <f>Q25/19</f>
        <v>3427271.6315789474</v>
      </c>
      <c r="G25" s="90">
        <f t="shared" ref="G25" si="13">F25/F24-1</f>
        <v>-0.21578171475980268</v>
      </c>
      <c r="H25" s="90">
        <f t="shared" ref="H25" si="14">F25/F13-1</f>
        <v>-7.4389880245631201E-2</v>
      </c>
      <c r="I25" s="130">
        <f t="shared" si="0"/>
        <v>90.50873223359801</v>
      </c>
      <c r="J25" s="130">
        <f t="shared" si="6"/>
        <v>0.26432594533109666</v>
      </c>
      <c r="K25" s="78">
        <f>R23+R24+R25</f>
        <v>310149320550</v>
      </c>
      <c r="L25" s="90">
        <f>U25/U22-1</f>
        <v>3.7367536645479316E-2</v>
      </c>
      <c r="M25" s="90">
        <f>U25/U13-1</f>
        <v>7.4016880320004086E-2</v>
      </c>
      <c r="N25" s="88">
        <f>AVERAGE(T23:T25)</f>
        <v>81.949047013775242</v>
      </c>
      <c r="O25" s="91">
        <f>N25/N22-1</f>
        <v>7.1386872476081553E-2</v>
      </c>
      <c r="P25" s="129" t="s">
        <v>219</v>
      </c>
      <c r="Q25" s="116">
        <v>65118161</v>
      </c>
      <c r="R25" s="116">
        <v>86398772158</v>
      </c>
      <c r="S25" s="116">
        <v>719468.27</v>
      </c>
      <c r="T25" s="130">
        <f t="shared" ref="T25" si="15">Q25/S25</f>
        <v>90.50873223359801</v>
      </c>
      <c r="U25" s="85">
        <f>Q23+Q24+Q25</f>
        <v>236339424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3758598</v>
      </c>
      <c r="G26" s="90">
        <f t="shared" ref="G26" si="16">F26/F25-1</f>
        <v>9.6673507103494538E-2</v>
      </c>
      <c r="H26" s="90">
        <f t="shared" ref="H26" si="17">F26/F14-1</f>
        <v>0.17176689969364789</v>
      </c>
      <c r="I26" s="130">
        <f t="shared" si="0"/>
        <v>58.204505452362731</v>
      </c>
      <c r="J26" s="130">
        <f t="shared" si="6"/>
        <v>-0.15142902667586366</v>
      </c>
      <c r="L26" s="90"/>
      <c r="M26" s="90"/>
      <c r="P26" s="129" t="s">
        <v>312</v>
      </c>
      <c r="Q26" s="116">
        <v>71413362</v>
      </c>
      <c r="R26" s="116">
        <v>96334912965</v>
      </c>
      <c r="S26" s="116">
        <v>1226938.73</v>
      </c>
      <c r="T26" s="130">
        <f t="shared" ref="T26" si="18">Q26/S26</f>
        <v>58.204505452362731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4104522.7727272729</v>
      </c>
      <c r="G27" s="90">
        <f t="shared" ref="G27" si="19">F27/F26-1</f>
        <v>9.2035586867037278E-2</v>
      </c>
      <c r="H27" s="90">
        <f t="shared" ref="H27" si="20">F27/F15-1</f>
        <v>0.4670977705027235</v>
      </c>
      <c r="I27" s="130">
        <f t="shared" si="0"/>
        <v>58.74337634684165</v>
      </c>
      <c r="J27" s="130">
        <f t="shared" si="6"/>
        <v>0.61054512569497832</v>
      </c>
      <c r="L27" s="90"/>
      <c r="M27" s="90"/>
      <c r="P27" s="129" t="s">
        <v>375</v>
      </c>
      <c r="Q27" s="116">
        <v>90299501</v>
      </c>
      <c r="R27" s="116">
        <v>119425043355</v>
      </c>
      <c r="S27" s="116">
        <v>1537186.09</v>
      </c>
      <c r="T27" s="130">
        <f t="shared" ref="T27" si="21">Q27/S27</f>
        <v>58.74337634684165</v>
      </c>
      <c r="U27" s="78"/>
    </row>
    <row r="28" spans="1:21" s="79" customFormat="1" ht="13.2" hidden="1">
      <c r="A28" s="123" t="s">
        <v>413</v>
      </c>
      <c r="B28" s="131">
        <f>SUM(F26:F28)</f>
        <v>12884734.825358853</v>
      </c>
      <c r="C28" s="131">
        <f>AVERAGE(F26:F28)</f>
        <v>4294911.6084529506</v>
      </c>
      <c r="D28" s="90">
        <f>C28/C25-1</f>
        <v>0.13296742314816079</v>
      </c>
      <c r="E28" s="286">
        <f>C28/C16-1</f>
        <v>0.36325482142767096</v>
      </c>
      <c r="F28" s="78">
        <f>Q28/19</f>
        <v>5021614.0526315793</v>
      </c>
      <c r="G28" s="90">
        <f t="shared" ref="G28" si="22">F28/F27-1</f>
        <v>0.22343432615308401</v>
      </c>
      <c r="H28" s="90">
        <f t="shared" ref="H28" si="23">F28/F16-1</f>
        <v>0.45718702243983467</v>
      </c>
      <c r="I28" s="130">
        <f t="shared" si="0"/>
        <v>64.711403671621113</v>
      </c>
      <c r="J28" s="130">
        <f t="shared" si="6"/>
        <v>-0.32863465796794666</v>
      </c>
      <c r="K28" s="78">
        <f>R26+R27+R28</f>
        <v>340050586417</v>
      </c>
      <c r="L28" s="90">
        <f>U28/U25-1</f>
        <v>8.7941764637625486E-2</v>
      </c>
      <c r="M28" s="90">
        <f>U28/U16-1</f>
        <v>0.27594195883630146</v>
      </c>
      <c r="N28" s="88">
        <f>AVERAGE(T26:T28)</f>
        <v>60.553095156941829</v>
      </c>
      <c r="O28" s="91">
        <f>N28/N25-1</f>
        <v>-0.26108847676089331</v>
      </c>
      <c r="P28" s="129" t="s">
        <v>413</v>
      </c>
      <c r="Q28" s="116">
        <v>95410667</v>
      </c>
      <c r="R28" s="116">
        <v>124290630097</v>
      </c>
      <c r="S28" s="116">
        <v>1474402.68</v>
      </c>
      <c r="T28" s="130">
        <f t="shared" ref="T28" si="24">Q28/S28</f>
        <v>64.711403671621113</v>
      </c>
      <c r="U28" s="85">
        <f>Q26+Q27+Q28</f>
        <v>257123530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3341861.1818181816</v>
      </c>
      <c r="G29" s="190">
        <f t="shared" ref="G29" si="25">F29/F28-1</f>
        <v>-0.33450457426793334</v>
      </c>
      <c r="H29" s="190">
        <f t="shared" ref="H29" si="26">F29/F17-1</f>
        <v>2.2588746212101274E-2</v>
      </c>
      <c r="I29" s="130">
        <f t="shared" si="0"/>
        <v>90.597130796704633</v>
      </c>
      <c r="J29" s="130">
        <f t="shared" si="6"/>
        <v>0.26246671007908562</v>
      </c>
      <c r="K29" s="136"/>
      <c r="L29" s="190"/>
      <c r="M29" s="190"/>
      <c r="N29" s="191"/>
      <c r="O29" s="192"/>
      <c r="P29" s="129" t="s">
        <v>427</v>
      </c>
      <c r="Q29" s="116">
        <v>73520946</v>
      </c>
      <c r="R29" s="116">
        <v>96561993569</v>
      </c>
      <c r="S29" s="116">
        <v>811515.17</v>
      </c>
      <c r="T29" s="130">
        <f t="shared" ref="T29" si="27">Q29/S29</f>
        <v>90.597130796704633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5162167.0526315793</v>
      </c>
      <c r="G30" s="190">
        <f t="shared" ref="G30:G35" si="28">F30/F29-1</f>
        <v>0.54469823005126661</v>
      </c>
      <c r="H30" s="190">
        <f t="shared" ref="H30:H35" si="29">F30/F18-1</f>
        <v>6.6675132972927598E-2</v>
      </c>
      <c r="I30" s="130">
        <f t="shared" si="0"/>
        <v>70.184823452075349</v>
      </c>
      <c r="J30" s="130">
        <f t="shared" si="6"/>
        <v>-4.7097275463386712E-2</v>
      </c>
      <c r="K30" s="136"/>
      <c r="L30" s="190"/>
      <c r="M30" s="190"/>
      <c r="N30" s="191"/>
      <c r="O30" s="192"/>
      <c r="P30" s="129" t="s">
        <v>466</v>
      </c>
      <c r="Q30" s="116">
        <v>98081174</v>
      </c>
      <c r="R30" s="116">
        <v>130699338288</v>
      </c>
      <c r="S30" s="116">
        <v>1397469.84</v>
      </c>
      <c r="T30" s="130">
        <f t="shared" ref="T30" si="30">Q30/S30</f>
        <v>70.184823452075349</v>
      </c>
      <c r="U30" s="85"/>
    </row>
    <row r="31" spans="1:21" s="79" customFormat="1" ht="13.2" hidden="1">
      <c r="A31" s="129" t="s">
        <v>505</v>
      </c>
      <c r="B31" s="188">
        <f>SUM(F29:F31)</f>
        <v>12656236.384449761</v>
      </c>
      <c r="C31" s="188">
        <f>AVERAGE(F29:F31)</f>
        <v>4218745.4614832541</v>
      </c>
      <c r="D31" s="190">
        <f>C31/C28-1</f>
        <v>-1.773404295906611E-2</v>
      </c>
      <c r="E31" s="287">
        <f>C31/C19-1</f>
        <v>2.4533721292536503E-2</v>
      </c>
      <c r="F31" s="136">
        <f>Q31/20</f>
        <v>4152208.15</v>
      </c>
      <c r="G31" s="190">
        <f t="shared" si="28"/>
        <v>-0.19564630364232805</v>
      </c>
      <c r="H31" s="190">
        <f t="shared" si="29"/>
        <v>-2.2005106358304327E-2</v>
      </c>
      <c r="I31" s="130">
        <f t="shared" si="0"/>
        <v>64.824316992692147</v>
      </c>
      <c r="J31" s="130">
        <f t="shared" si="6"/>
        <v>-8.3405675170626803E-2</v>
      </c>
      <c r="K31" s="136">
        <f>R29+R30+R31</f>
        <v>337426069681</v>
      </c>
      <c r="L31" s="190">
        <f>U31/U28-1</f>
        <v>-9.6344624702375814E-3</v>
      </c>
      <c r="M31" s="190">
        <f>U31/U19-1</f>
        <v>-3.554343992821396E-3</v>
      </c>
      <c r="N31" s="191">
        <f>AVERAGE(T29:T31)</f>
        <v>75.202090413824052</v>
      </c>
      <c r="O31" s="192">
        <f>N31/N28-1</f>
        <v>0.24191984272504774</v>
      </c>
      <c r="P31" s="129" t="s">
        <v>505</v>
      </c>
      <c r="Q31" s="116">
        <v>83044163</v>
      </c>
      <c r="R31" s="116">
        <v>110164737824</v>
      </c>
      <c r="S31" s="116">
        <v>1281064.99</v>
      </c>
      <c r="T31" s="130">
        <f t="shared" ref="T31" si="31">Q31/S31</f>
        <v>64.824316992692147</v>
      </c>
      <c r="U31" s="85">
        <f>Q29+Q30+Q31</f>
        <v>254646283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3812890.5238095238</v>
      </c>
      <c r="G32" s="190">
        <f t="shared" si="28"/>
        <v>-8.1719801592912922E-2</v>
      </c>
      <c r="H32" s="190">
        <f t="shared" si="29"/>
        <v>-5.7737693526841882E-2</v>
      </c>
      <c r="I32" s="130">
        <f t="shared" si="0"/>
        <v>83.320444115827414</v>
      </c>
      <c r="J32" s="130">
        <f t="shared" si="6"/>
        <v>0.15445248669967304</v>
      </c>
      <c r="K32" s="136"/>
      <c r="L32" s="190"/>
      <c r="M32" s="190"/>
      <c r="N32" s="191"/>
      <c r="O32" s="192"/>
      <c r="P32" s="129" t="s">
        <v>562</v>
      </c>
      <c r="Q32" s="116">
        <v>80070701</v>
      </c>
      <c r="R32" s="116">
        <v>108763142180</v>
      </c>
      <c r="S32" s="116">
        <v>960997.05</v>
      </c>
      <c r="T32" s="130">
        <f t="shared" ref="T32" si="32">Q32/S32</f>
        <v>83.320444115827414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3413563.0476190476</v>
      </c>
      <c r="G33" s="190">
        <f t="shared" si="28"/>
        <v>-0.10473090525334605</v>
      </c>
      <c r="H33" s="190">
        <f t="shared" si="29"/>
        <v>-0.10672135852357456</v>
      </c>
      <c r="I33" s="130">
        <f t="shared" si="0"/>
        <v>84.222879393750745</v>
      </c>
      <c r="J33" s="130">
        <f t="shared" si="6"/>
        <v>1.9250017893280624E-2</v>
      </c>
      <c r="K33" s="136"/>
      <c r="L33" s="190"/>
      <c r="M33" s="190"/>
      <c r="N33" s="191"/>
      <c r="O33" s="192"/>
      <c r="P33" s="129" t="s">
        <v>607</v>
      </c>
      <c r="Q33" s="116">
        <v>71684824</v>
      </c>
      <c r="R33" s="116">
        <v>98101684493</v>
      </c>
      <c r="S33" s="116">
        <v>851132.43</v>
      </c>
      <c r="T33" s="130">
        <f t="shared" ref="T33" si="33">Q33/S33</f>
        <v>84.222879393750745</v>
      </c>
      <c r="U33" s="85"/>
    </row>
    <row r="34" spans="1:21" s="79" customFormat="1" ht="13.2" hidden="1">
      <c r="A34" s="129" t="s">
        <v>652</v>
      </c>
      <c r="B34" s="188">
        <f>SUM(F32:F34)</f>
        <v>10966638.887218045</v>
      </c>
      <c r="C34" s="188">
        <f>AVERAGE(F32:F34)</f>
        <v>3655546.2957393485</v>
      </c>
      <c r="D34" s="190">
        <f>C34/C31-1</f>
        <v>-0.13349920512765245</v>
      </c>
      <c r="E34" s="287">
        <f>C34/C22-1</f>
        <v>-6.7849056957410836E-3</v>
      </c>
      <c r="F34" s="136">
        <f>Q34/19</f>
        <v>3740185.3157894737</v>
      </c>
      <c r="G34" s="190">
        <f t="shared" si="28"/>
        <v>9.5683678201943456E-2</v>
      </c>
      <c r="H34" s="190">
        <f t="shared" si="29"/>
        <v>0.17851575937771558</v>
      </c>
      <c r="I34" s="130">
        <f t="shared" si="0"/>
        <v>89.311771897222599</v>
      </c>
      <c r="J34" s="130">
        <f t="shared" si="6"/>
        <v>0.19623172662129496</v>
      </c>
      <c r="K34" s="136">
        <f>R32+R33+R34</f>
        <v>304595072473</v>
      </c>
      <c r="L34" s="190">
        <f>U34/U31-1</f>
        <v>-0.1249860654749867</v>
      </c>
      <c r="M34" s="190">
        <f>U34/U22-1</f>
        <v>-2.1977624576440702E-2</v>
      </c>
      <c r="N34" s="191">
        <f>AVERAGE(T32:T34)</f>
        <v>85.618365135600243</v>
      </c>
      <c r="O34" s="192">
        <f>N34/N31-1</f>
        <v>0.13851044119195666</v>
      </c>
      <c r="P34" s="129" t="s">
        <v>652</v>
      </c>
      <c r="Q34" s="116">
        <v>71063521</v>
      </c>
      <c r="R34" s="116">
        <v>97730245800</v>
      </c>
      <c r="S34" s="116">
        <v>795679.22</v>
      </c>
      <c r="T34" s="130">
        <f t="shared" ref="T34" si="34">Q34/S34</f>
        <v>89.311771897222599</v>
      </c>
      <c r="U34" s="85">
        <f>Q32+Q33+Q34</f>
        <v>222819046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2630416.4782608696</v>
      </c>
      <c r="G35" s="190">
        <f t="shared" si="28"/>
        <v>-0.29671493357391454</v>
      </c>
      <c r="H35" s="190">
        <f t="shared" si="29"/>
        <v>-0.26421518785065601</v>
      </c>
      <c r="I35" s="130">
        <f t="shared" si="0"/>
        <v>86.204844768787169</v>
      </c>
      <c r="J35" s="130">
        <f t="shared" si="6"/>
        <v>8.200618730349607E-2</v>
      </c>
      <c r="K35" s="136"/>
      <c r="L35" s="190"/>
      <c r="M35" s="190"/>
      <c r="N35" s="191"/>
      <c r="O35" s="192"/>
      <c r="P35" s="129" t="s">
        <v>660</v>
      </c>
      <c r="Q35" s="116">
        <v>60499579</v>
      </c>
      <c r="R35" s="116">
        <v>83740706508</v>
      </c>
      <c r="S35" s="116">
        <v>701811.82</v>
      </c>
      <c r="T35" s="130">
        <f t="shared" ref="T35" si="35">Q35/S35</f>
        <v>86.204844768787169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2605131.6666666665</v>
      </c>
      <c r="G36" s="190">
        <f t="shared" ref="G36" si="36">F36/F35-1</f>
        <v>-9.6124746036112541E-3</v>
      </c>
      <c r="H36" s="190">
        <f t="shared" ref="H36" si="37">F36/F24-1</f>
        <v>-0.40390138043506574</v>
      </c>
      <c r="I36" s="130">
        <f t="shared" si="0"/>
        <v>84.608051610081532</v>
      </c>
      <c r="J36" s="130">
        <f t="shared" si="6"/>
        <v>0.11816162049638668</v>
      </c>
      <c r="K36" s="136"/>
      <c r="L36" s="190"/>
      <c r="M36" s="190"/>
      <c r="N36" s="191"/>
      <c r="O36" s="192"/>
      <c r="P36" s="129" t="s">
        <v>664</v>
      </c>
      <c r="Q36" s="116">
        <v>54707765</v>
      </c>
      <c r="R36" s="116">
        <v>74734388719</v>
      </c>
      <c r="S36" s="116">
        <v>646602.35</v>
      </c>
      <c r="T36" s="130">
        <f t="shared" ref="T36" si="38">Q36/S36</f>
        <v>84.608051610081532</v>
      </c>
      <c r="U36" s="85"/>
    </row>
    <row r="37" spans="1:21" s="79" customFormat="1" ht="13.2" hidden="1">
      <c r="A37" s="129" t="s">
        <v>702</v>
      </c>
      <c r="B37" s="188">
        <f>SUM(F35:F37)</f>
        <v>8427982.5338164251</v>
      </c>
      <c r="C37" s="188">
        <f>AVERAGE(F35:F37)</f>
        <v>2809327.5112721417</v>
      </c>
      <c r="D37" s="190">
        <f>C37/C34-1</f>
        <v>-0.23148900766309566</v>
      </c>
      <c r="E37" s="287">
        <f>C37/C25-1</f>
        <v>-0.25891919522606377</v>
      </c>
      <c r="F37" s="136">
        <f>Q37/18</f>
        <v>3192434.388888889</v>
      </c>
      <c r="G37" s="190">
        <f t="shared" ref="G37" si="39">F37/F36-1</f>
        <v>0.22544070602530875</v>
      </c>
      <c r="H37" s="190">
        <f t="shared" ref="H37" si="40">F37/F25-1</f>
        <v>-6.8520172292812598E-2</v>
      </c>
      <c r="I37" s="130">
        <f t="shared" si="0"/>
        <v>72.606400856117375</v>
      </c>
      <c r="J37" s="130">
        <f t="shared" si="6"/>
        <v>-0.19779673116264307</v>
      </c>
      <c r="K37" s="136">
        <f>R35+R36+R37</f>
        <v>235190626612</v>
      </c>
      <c r="L37" s="190">
        <f>U37/U34-1</f>
        <v>-0.22506102552831142</v>
      </c>
      <c r="M37" s="190">
        <f>U37/U25-1</f>
        <v>-0.2693933154377155</v>
      </c>
      <c r="N37" s="191">
        <f>AVERAGE(T35:T37)</f>
        <v>81.139765744995358</v>
      </c>
      <c r="O37" s="192">
        <f>N37/N34-1</f>
        <v>-5.2308863682596463E-2</v>
      </c>
      <c r="P37" s="129" t="s">
        <v>702</v>
      </c>
      <c r="Q37" s="116">
        <v>57463819</v>
      </c>
      <c r="R37" s="116">
        <v>76715531385</v>
      </c>
      <c r="S37" s="116">
        <v>791442.88</v>
      </c>
      <c r="T37" s="130">
        <f t="shared" ref="T37" si="41">Q37/S37</f>
        <v>72.606400856117375</v>
      </c>
      <c r="U37" s="85">
        <f>Q35+Q36+Q37</f>
        <v>172671163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3593546.65</v>
      </c>
      <c r="G38" s="190">
        <f t="shared" ref="G38" si="42">F38/F37-1</f>
        <v>0.12564463736738407</v>
      </c>
      <c r="H38" s="190">
        <f t="shared" ref="H38" si="43">F38/F26-1</f>
        <v>-4.3913009584956919E-2</v>
      </c>
      <c r="I38" s="130">
        <f t="shared" si="0"/>
        <v>94.086956977081741</v>
      </c>
      <c r="J38" s="130">
        <f t="shared" si="6"/>
        <v>0.61648924332991495</v>
      </c>
      <c r="K38" s="136"/>
      <c r="L38" s="190"/>
      <c r="M38" s="190"/>
      <c r="N38" s="191"/>
      <c r="O38" s="192"/>
      <c r="P38" s="129" t="s">
        <v>728</v>
      </c>
      <c r="Q38" s="116">
        <v>71870933</v>
      </c>
      <c r="R38" s="116">
        <v>96907609423</v>
      </c>
      <c r="S38" s="116">
        <v>763877.75</v>
      </c>
      <c r="T38" s="130">
        <f t="shared" ref="T38" si="44">Q38/S38</f>
        <v>94.086956977081741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3242565.1904761903</v>
      </c>
      <c r="G39" s="190">
        <f t="shared" ref="G39" si="45">F39/F38-1</f>
        <v>-9.7669932717809438E-2</v>
      </c>
      <c r="H39" s="190">
        <f t="shared" ref="H39" si="46">F39/F27-1</f>
        <v>-0.21000190033745392</v>
      </c>
      <c r="I39" s="130">
        <f t="shared" si="0"/>
        <v>71.622128312003895</v>
      </c>
      <c r="J39" s="130">
        <f t="shared" si="6"/>
        <v>0.21923751690950732</v>
      </c>
      <c r="K39" s="136"/>
      <c r="L39" s="190"/>
      <c r="M39" s="190"/>
      <c r="N39" s="191"/>
      <c r="O39" s="192"/>
      <c r="P39" s="129" t="s">
        <v>762</v>
      </c>
      <c r="Q39" s="116">
        <v>68093869</v>
      </c>
      <c r="R39" s="116">
        <v>94607366334</v>
      </c>
      <c r="S39" s="116">
        <v>950737.86</v>
      </c>
      <c r="T39" s="130">
        <f t="shared" ref="T39" si="47">Q39/S39</f>
        <v>71.622128312003895</v>
      </c>
      <c r="U39" s="85"/>
    </row>
    <row r="40" spans="1:21" s="79" customFormat="1" ht="13.2" hidden="1">
      <c r="A40" s="129" t="s">
        <v>778</v>
      </c>
      <c r="B40" s="188">
        <f>SUM(F38:F40)</f>
        <v>10351155.316666666</v>
      </c>
      <c r="C40" s="188">
        <f>AVERAGE(F38:F40)</f>
        <v>3450385.1055555553</v>
      </c>
      <c r="D40" s="190">
        <f>C40/C37-1</f>
        <v>0.22818898533945764</v>
      </c>
      <c r="E40" s="287">
        <f>C40/C28-1</f>
        <v>-0.1966341987656407</v>
      </c>
      <c r="F40" s="136">
        <f>Q40/21</f>
        <v>3515043.4761904762</v>
      </c>
      <c r="G40" s="190">
        <f t="shared" ref="G40" si="48">F40/F39-1</f>
        <v>8.4031706290620845E-2</v>
      </c>
      <c r="H40" s="190">
        <f t="shared" ref="H40" si="49">F40/F28-1</f>
        <v>-0.30001719778754887</v>
      </c>
      <c r="I40" s="130">
        <f t="shared" si="0"/>
        <v>60.466989429617925</v>
      </c>
      <c r="J40" s="130">
        <f t="shared" si="6"/>
        <v>-6.5589896079855214E-2</v>
      </c>
      <c r="K40" s="136">
        <f>R38+R39+R40</f>
        <v>296356256762</v>
      </c>
      <c r="L40" s="190">
        <f>U40/U37-1</f>
        <v>0.23808000876208846</v>
      </c>
      <c r="M40" s="190">
        <f>U40/U28-1</f>
        <v>-0.16856806142946157</v>
      </c>
      <c r="N40" s="191">
        <f>AVERAGE(T38:T40)</f>
        <v>75.392024906234511</v>
      </c>
      <c r="O40" s="192">
        <f>N40/N37-1</f>
        <v>-7.0837533063932479E-2</v>
      </c>
      <c r="P40" s="129" t="s">
        <v>778</v>
      </c>
      <c r="Q40" s="116">
        <v>73815913</v>
      </c>
      <c r="R40" s="116">
        <v>104841281005</v>
      </c>
      <c r="S40" s="116">
        <v>1220763.82</v>
      </c>
      <c r="T40" s="130">
        <f t="shared" ref="T40" si="50">Q40/S40</f>
        <v>60.466989429617925</v>
      </c>
      <c r="U40" s="85">
        <f>Q38+Q39+Q40</f>
        <v>213780715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2785515.8333333335</v>
      </c>
      <c r="G41" s="190">
        <f t="shared" ref="G41" si="51">F41/F40-1</f>
        <v>-0.20754441525365941</v>
      </c>
      <c r="H41" s="190">
        <f t="shared" ref="H41" si="52">F41/F29-1</f>
        <v>-0.16647769557626013</v>
      </c>
      <c r="I41" s="130">
        <f t="shared" si="0"/>
        <v>77.82578448159046</v>
      </c>
      <c r="J41" s="130">
        <f t="shared" si="6"/>
        <v>-0.140968551683744</v>
      </c>
      <c r="K41" s="193"/>
      <c r="L41" s="190"/>
      <c r="M41" s="190"/>
      <c r="N41" s="193"/>
      <c r="O41" s="193"/>
      <c r="P41" s="129" t="s">
        <v>792</v>
      </c>
      <c r="Q41" s="116">
        <v>50139285</v>
      </c>
      <c r="R41" s="116">
        <v>73347382598</v>
      </c>
      <c r="S41" s="116">
        <v>644250.30000000005</v>
      </c>
      <c r="T41" s="130">
        <f t="shared" ref="T41" si="53">Q41/S41</f>
        <v>77.82578448159046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3348884.7</v>
      </c>
      <c r="G42" s="190">
        <f t="shared" ref="G42" si="54">F42/F41-1</f>
        <v>0.20224938588573815</v>
      </c>
      <c r="H42" s="190">
        <f t="shared" ref="H42" si="55">F42/F30-1</f>
        <v>-0.35126378789063029</v>
      </c>
      <c r="I42" s="130">
        <f t="shared" si="0"/>
        <v>82.252189646971345</v>
      </c>
      <c r="J42" s="130">
        <f t="shared" si="6"/>
        <v>0.17193697442490552</v>
      </c>
      <c r="K42" s="193"/>
      <c r="L42" s="190"/>
      <c r="M42" s="190"/>
      <c r="N42" s="193"/>
      <c r="O42" s="193"/>
      <c r="P42" s="129" t="s">
        <v>826</v>
      </c>
      <c r="Q42" s="116">
        <v>66977694</v>
      </c>
      <c r="R42" s="116">
        <v>96891849732</v>
      </c>
      <c r="S42" s="116">
        <v>814296.79</v>
      </c>
      <c r="T42" s="130">
        <f t="shared" ref="T42" si="56">Q42/S42</f>
        <v>82.252189646971345</v>
      </c>
      <c r="U42" s="78"/>
    </row>
    <row r="43" spans="1:21" s="79" customFormat="1" ht="13.2">
      <c r="A43" s="129" t="s">
        <v>835</v>
      </c>
      <c r="B43" s="188">
        <f>SUM(F41:F43)</f>
        <v>9875832.1333333328</v>
      </c>
      <c r="C43" s="188">
        <f>AVERAGE(F41:F43)</f>
        <v>3291944.0444444441</v>
      </c>
      <c r="D43" s="190">
        <f>C43/C40-1</f>
        <v>-4.5919819458993483E-2</v>
      </c>
      <c r="E43" s="287">
        <f>C43/C31-1</f>
        <v>-0.21968649815458619</v>
      </c>
      <c r="F43" s="136">
        <f>Q43/20</f>
        <v>3741431.6</v>
      </c>
      <c r="G43" s="190">
        <f t="shared" ref="G43" si="57">F43/F42-1</f>
        <v>0.11721720368575239</v>
      </c>
      <c r="H43" s="190">
        <f t="shared" ref="H43" si="58">F43/F31-1</f>
        <v>-9.8929662281020292E-2</v>
      </c>
      <c r="I43" s="130">
        <f t="shared" si="0"/>
        <v>74.206875593533226</v>
      </c>
      <c r="J43" s="130">
        <f t="shared" si="6"/>
        <v>0.14473825619942593</v>
      </c>
      <c r="K43" s="136">
        <f>R41+R42+R43</f>
        <v>278722215976</v>
      </c>
      <c r="L43" s="190">
        <f>U43/U40-1</f>
        <v>-0.10213785654145646</v>
      </c>
      <c r="M43" s="190">
        <f>K43/K31-1</f>
        <v>-0.17397545412095206</v>
      </c>
      <c r="N43" s="191">
        <f>AVERAGE(T41:T43)</f>
        <v>78.094949907365006</v>
      </c>
      <c r="O43" s="192">
        <f>N43/N40-1</f>
        <v>3.5851603727212966E-2</v>
      </c>
      <c r="P43" s="129" t="s">
        <v>835</v>
      </c>
      <c r="Q43" s="116">
        <v>74828632</v>
      </c>
      <c r="R43" s="116">
        <v>108482983646</v>
      </c>
      <c r="S43" s="116">
        <v>1008378.69</v>
      </c>
      <c r="T43" s="130">
        <f t="shared" ref="T43" si="59">Q43/S43</f>
        <v>74.206875593533226</v>
      </c>
      <c r="U43" s="85">
        <f>Q41+Q42+Q43</f>
        <v>191945611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3764999.9090909092</v>
      </c>
      <c r="G44" s="190">
        <f t="shared" ref="G44" si="60">F44/F43-1</f>
        <v>6.2992756812416673E-3</v>
      </c>
      <c r="H44" s="190">
        <f t="shared" ref="H44" si="61">F44/F32-1</f>
        <v>-1.2560186142130947E-2</v>
      </c>
      <c r="I44" s="130">
        <f t="shared" si="0"/>
        <v>79.820267841863625</v>
      </c>
      <c r="J44" s="130">
        <f t="shared" si="6"/>
        <v>-4.2008612785333188E-2</v>
      </c>
      <c r="K44" s="136"/>
      <c r="L44" s="190"/>
      <c r="M44" s="190"/>
      <c r="N44" s="191"/>
      <c r="O44" s="192"/>
      <c r="P44" s="129" t="s">
        <v>843</v>
      </c>
      <c r="Q44" s="116">
        <v>82829998</v>
      </c>
      <c r="R44" s="116">
        <v>120148848740</v>
      </c>
      <c r="S44" s="116">
        <v>1037706.34</v>
      </c>
      <c r="T44" s="130">
        <f t="shared" ref="T44" si="62">Q44/S44</f>
        <v>79.820267841863625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3211649.65</v>
      </c>
      <c r="G45" s="190">
        <f t="shared" ref="G45" si="63">F45/F44-1</f>
        <v>-0.14697218391819833</v>
      </c>
      <c r="H45" s="190">
        <f t="shared" ref="H45" si="64">F45/F33-1</f>
        <v>-5.9150334943976479E-2</v>
      </c>
      <c r="I45" s="130">
        <f t="shared" si="0"/>
        <v>86.224855326387882</v>
      </c>
      <c r="J45" s="130">
        <f t="shared" si="6"/>
        <v>2.3769977315518886E-2</v>
      </c>
      <c r="K45" s="136"/>
      <c r="L45" s="190"/>
      <c r="M45" s="190"/>
      <c r="N45" s="191"/>
      <c r="O45" s="192"/>
      <c r="P45" s="129" t="s">
        <v>849</v>
      </c>
      <c r="Q45" s="116">
        <v>64232993</v>
      </c>
      <c r="R45" s="116">
        <v>90255264163</v>
      </c>
      <c r="S45" s="116">
        <v>744947.53</v>
      </c>
      <c r="T45" s="130">
        <f t="shared" ref="T45" si="65">Q45/S45</f>
        <v>86.224855326387882</v>
      </c>
      <c r="U45" s="85"/>
    </row>
    <row r="46" spans="1:21" s="79" customFormat="1" ht="13.2">
      <c r="A46" s="129" t="s">
        <v>899</v>
      </c>
      <c r="B46" s="188">
        <f>SUM(F44:F46)</f>
        <v>10347391.874880383</v>
      </c>
      <c r="C46" s="188">
        <f>AVERAGE(F44:F46)</f>
        <v>3449130.6249601278</v>
      </c>
      <c r="D46" s="190">
        <f>C46/C43-1</f>
        <v>4.7748861582551871E-2</v>
      </c>
      <c r="E46" s="287">
        <f>C46/C34-1</f>
        <v>-5.6466435952351235E-2</v>
      </c>
      <c r="F46" s="136">
        <f>Q46/19</f>
        <v>3370742.3157894737</v>
      </c>
      <c r="G46" s="190">
        <f t="shared" ref="G46" si="66">F46/F45-1</f>
        <v>4.9536121036575009E-2</v>
      </c>
      <c r="H46" s="190">
        <f t="shared" ref="H46" si="67">F46/F34-1</f>
        <v>-9.8776656450782929E-2</v>
      </c>
      <c r="I46" s="130">
        <f t="shared" si="0"/>
        <v>90.652368025991848</v>
      </c>
      <c r="J46" s="130">
        <f t="shared" si="6"/>
        <v>1.5010295958655551E-2</v>
      </c>
      <c r="K46" s="136">
        <f>R44+R45+R46</f>
        <v>298111545714</v>
      </c>
      <c r="L46" s="190">
        <f>U46/U43-1</f>
        <v>9.9827674621848939E-2</v>
      </c>
      <c r="M46" s="190">
        <f>K46/K34-1</f>
        <v>-2.1285724376170601E-2</v>
      </c>
      <c r="N46" s="191">
        <f>AVERAGE(T44:T46)</f>
        <v>85.565830398081118</v>
      </c>
      <c r="O46" s="192">
        <f>N46/N43-1</f>
        <v>9.5664066621182986E-2</v>
      </c>
      <c r="P46" s="129" t="s">
        <v>888</v>
      </c>
      <c r="Q46" s="116">
        <v>64044104</v>
      </c>
      <c r="R46" s="116">
        <v>87707432811</v>
      </c>
      <c r="S46" s="116">
        <v>706480.21</v>
      </c>
      <c r="T46" s="130">
        <f t="shared" ref="T46" si="68">Q46/S46</f>
        <v>90.652368025991848</v>
      </c>
      <c r="U46" s="85">
        <f t="shared" ref="U46:U51" si="69">Q44+Q45+Q46</f>
        <v>211107095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3656802.086956522</v>
      </c>
      <c r="G47" s="190">
        <f t="shared" ref="G47" si="70">F47/F46-1</f>
        <v>8.4865511619522715E-2</v>
      </c>
      <c r="H47" s="190">
        <f t="shared" ref="H47" si="71">F47/F35-1</f>
        <v>0.39019889708654021</v>
      </c>
      <c r="I47" s="130">
        <f t="shared" si="0"/>
        <v>101.04054532723605</v>
      </c>
      <c r="J47" s="130">
        <f t="shared" si="6"/>
        <v>0.17209822253308604</v>
      </c>
      <c r="K47" s="136"/>
      <c r="L47" s="190"/>
      <c r="M47" s="190"/>
      <c r="N47" s="191"/>
      <c r="O47" s="192"/>
      <c r="P47" s="129" t="s">
        <v>1029</v>
      </c>
      <c r="Q47" s="116">
        <v>84106448</v>
      </c>
      <c r="R47" s="116">
        <v>115340650910</v>
      </c>
      <c r="S47" s="116">
        <v>832402.95</v>
      </c>
      <c r="T47" s="130">
        <f t="shared" ref="T47" si="72">Q47/S47</f>
        <v>101.04054532723605</v>
      </c>
      <c r="U47" s="85">
        <f t="shared" si="69"/>
        <v>212383545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3295744.1</v>
      </c>
      <c r="G48" s="190">
        <f t="shared" ref="G48" si="73">F48/F47-1</f>
        <v>-9.8735993463901828E-2</v>
      </c>
      <c r="H48" s="190">
        <f t="shared" ref="H48" si="74">F48/F36-1</f>
        <v>0.26509694007788487</v>
      </c>
      <c r="I48" s="130">
        <f t="shared" si="0"/>
        <v>109.90220745185485</v>
      </c>
      <c r="J48" s="130">
        <f t="shared" si="6"/>
        <v>0.29895684110942677</v>
      </c>
      <c r="K48" s="136"/>
      <c r="L48" s="190"/>
      <c r="M48" s="190"/>
      <c r="N48" s="191"/>
      <c r="O48" s="192"/>
      <c r="P48" s="129" t="s">
        <v>1124</v>
      </c>
      <c r="Q48" s="116">
        <v>65914882</v>
      </c>
      <c r="R48" s="116">
        <v>91424816611</v>
      </c>
      <c r="S48" s="116">
        <v>599759.4</v>
      </c>
      <c r="T48" s="130">
        <f t="shared" ref="T48" si="75">Q48/S48</f>
        <v>109.90220745185485</v>
      </c>
      <c r="U48" s="85">
        <f t="shared" si="69"/>
        <v>214065434</v>
      </c>
    </row>
    <row r="49" spans="1:26" ht="13.2">
      <c r="A49" s="129" t="s">
        <v>1158</v>
      </c>
      <c r="B49" s="188">
        <f>SUM(F47:F49)</f>
        <v>10400299.596047431</v>
      </c>
      <c r="C49" s="188">
        <f>AVERAGE(F47:F49)</f>
        <v>3466766.5320158103</v>
      </c>
      <c r="D49" s="190">
        <f>C49/C46-1</f>
        <v>5.113145593286017E-3</v>
      </c>
      <c r="E49" s="287">
        <f>C49/C37-1</f>
        <v>0.2340200699654138</v>
      </c>
      <c r="F49" s="136">
        <f>Q49/22</f>
        <v>3447753.4090909092</v>
      </c>
      <c r="G49" s="190">
        <f t="shared" ref="G49" si="76">F49/F48-1</f>
        <v>4.6122910177070153E-2</v>
      </c>
      <c r="H49" s="190">
        <f t="shared" ref="H49" si="77">F49/F37-1</f>
        <v>7.997627800610263E-2</v>
      </c>
      <c r="I49" s="130">
        <f t="shared" si="0"/>
        <v>98.072865349717745</v>
      </c>
      <c r="J49" s="130">
        <f t="shared" si="6"/>
        <v>0.35074682387943645</v>
      </c>
      <c r="K49" s="136">
        <f>R47+R48+R49</f>
        <v>312170727848</v>
      </c>
      <c r="L49" s="190">
        <f>U49/U46-1</f>
        <v>6.9939904198861758E-2</v>
      </c>
      <c r="M49" s="190">
        <f>K49/K37-1</f>
        <v>0.32730939300143125</v>
      </c>
      <c r="N49" s="191">
        <f>AVERAGE(T47:T49)</f>
        <v>103.00520604293621</v>
      </c>
      <c r="O49" s="192">
        <f>N49/N46-1</f>
        <v>0.20381238122415479</v>
      </c>
      <c r="P49" s="129" t="s">
        <v>1169</v>
      </c>
      <c r="Q49" s="116">
        <v>75850575</v>
      </c>
      <c r="R49" s="116">
        <v>105405260327</v>
      </c>
      <c r="S49" s="116">
        <v>773410.41</v>
      </c>
      <c r="T49" s="130">
        <f t="shared" ref="T49" si="78">Q49/S49</f>
        <v>98.072865349717745</v>
      </c>
      <c r="U49" s="85">
        <f t="shared" si="69"/>
        <v>225871905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3589629.0555555555</v>
      </c>
      <c r="G50" s="190">
        <f t="shared" ref="G50" si="79">F50/F49-1</f>
        <v>4.1150172193450407E-2</v>
      </c>
      <c r="H50" s="190">
        <f t="shared" ref="H50" si="80">F50/F38-1</f>
        <v>-1.090174923552012E-3</v>
      </c>
      <c r="I50" s="130">
        <f t="shared" ref="I50" si="81">T50</f>
        <v>110.52706673958808</v>
      </c>
      <c r="J50" s="130">
        <f t="shared" ref="J50" si="82">I50/I38-1</f>
        <v>0.17473314358026171</v>
      </c>
      <c r="K50" s="136"/>
      <c r="L50" s="190"/>
      <c r="M50" s="190"/>
      <c r="N50" s="191"/>
      <c r="O50" s="192"/>
      <c r="P50" s="129" t="s">
        <v>1291</v>
      </c>
      <c r="Q50" s="116">
        <v>64613323</v>
      </c>
      <c r="R50" s="116">
        <v>91258242847</v>
      </c>
      <c r="S50" s="116">
        <v>584592.76</v>
      </c>
      <c r="T50" s="130">
        <f t="shared" ref="T50" si="83">Q50/S50</f>
        <v>110.52706673958808</v>
      </c>
      <c r="U50" s="85">
        <f t="shared" si="69"/>
        <v>206378780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4048903.7</v>
      </c>
      <c r="G51" s="190">
        <f t="shared" ref="G51:G52" si="84">F51/F50-1</f>
        <v>0.12794487601264537</v>
      </c>
      <c r="H51" s="190">
        <f t="shared" ref="H51:H52" si="85">F51/F39-1</f>
        <v>0.24867302957921233</v>
      </c>
      <c r="I51" s="130">
        <f t="shared" ref="I51:I52" si="86">T51</f>
        <v>88.614946414094717</v>
      </c>
      <c r="J51" s="130">
        <f t="shared" ref="J51:J52" si="87">I51/I39-1</f>
        <v>0.23725653652828993</v>
      </c>
      <c r="K51" s="136"/>
      <c r="L51" s="190"/>
      <c r="M51" s="190"/>
      <c r="N51" s="191"/>
      <c r="O51" s="192"/>
      <c r="P51" s="129" t="s">
        <v>1402</v>
      </c>
      <c r="Q51" s="116">
        <v>80978074</v>
      </c>
      <c r="R51" s="116">
        <v>117136182898</v>
      </c>
      <c r="S51" s="116">
        <v>913819.59</v>
      </c>
      <c r="T51" s="130">
        <f t="shared" ref="T51:T52" si="88">Q51/S51</f>
        <v>88.614946414094717</v>
      </c>
      <c r="U51" s="85">
        <f t="shared" si="69"/>
        <v>221441972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11418664.255555555</v>
      </c>
      <c r="C52" s="188">
        <f>AVERAGE(F50:F52)</f>
        <v>3806221.4185185186</v>
      </c>
      <c r="D52" s="190">
        <f>C52/C49-1</f>
        <v>9.791685807735262E-2</v>
      </c>
      <c r="E52" s="287">
        <f>C52/C40-1</f>
        <v>0.10312944847519256</v>
      </c>
      <c r="F52" s="136">
        <f>Q52/22</f>
        <v>3780131.5</v>
      </c>
      <c r="G52" s="190">
        <f t="shared" si="84"/>
        <v>-6.638147506447245E-2</v>
      </c>
      <c r="H52" s="190">
        <f t="shared" si="85"/>
        <v>7.5415290196302331E-2</v>
      </c>
      <c r="I52" s="130">
        <f t="shared" si="86"/>
        <v>87.883770085117902</v>
      </c>
      <c r="J52" s="130">
        <f t="shared" si="87"/>
        <v>0.45341732595125195</v>
      </c>
      <c r="K52" s="136">
        <f>R50+R51+R52</f>
        <v>330749826552</v>
      </c>
      <c r="L52" s="190">
        <f>U52/U49-1</f>
        <v>1.2761148846732295E-2</v>
      </c>
      <c r="M52" s="190">
        <f>K52/K40-1</f>
        <v>0.11605481242672422</v>
      </c>
      <c r="N52" s="191">
        <f>AVERAGE(T50:T52)</f>
        <v>95.675261079600247</v>
      </c>
      <c r="O52" s="192">
        <f>N52/N49-1</f>
        <v>-7.1160917442178451E-2</v>
      </c>
      <c r="P52" s="129" t="s">
        <v>1403</v>
      </c>
      <c r="Q52" s="116">
        <v>83162893</v>
      </c>
      <c r="R52" s="116">
        <v>122355400807</v>
      </c>
      <c r="S52" s="116">
        <v>946282.72</v>
      </c>
      <c r="T52" s="130">
        <f t="shared" si="88"/>
        <v>87.883770085117902</v>
      </c>
      <c r="U52" s="85">
        <f t="shared" ref="U52" si="89">Q50+Q51+Q52</f>
        <v>228754290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3242482.7619047621</v>
      </c>
      <c r="G53" s="190">
        <f t="shared" ref="G53" si="90">F53/F52-1</f>
        <v>-0.14223016794395593</v>
      </c>
      <c r="H53" s="190">
        <f t="shared" ref="H53" si="91">F53/F41-1</f>
        <v>0.16405109714439914</v>
      </c>
      <c r="I53" s="130">
        <f t="shared" ref="I53" si="92">T53</f>
        <v>90.894036992431182</v>
      </c>
      <c r="J53" s="130">
        <f t="shared" ref="J53" si="93">I53/I41-1</f>
        <v>0.16791674633144238</v>
      </c>
      <c r="K53" s="136"/>
      <c r="L53" s="190"/>
      <c r="M53" s="190"/>
      <c r="N53" s="191"/>
      <c r="O53" s="192"/>
      <c r="P53" s="129" t="s">
        <v>1414</v>
      </c>
      <c r="Q53" s="116">
        <v>68092138</v>
      </c>
      <c r="R53" s="116">
        <v>99148539954</v>
      </c>
      <c r="S53" s="116">
        <v>749137.57</v>
      </c>
      <c r="T53" s="130">
        <f t="shared" ref="T53" si="94">Q53/S53</f>
        <v>90.894036992431182</v>
      </c>
      <c r="U53" s="85">
        <f t="shared" ref="U53" si="95">Q51+Q52+Q53</f>
        <v>232233105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3849657.1176470588</v>
      </c>
      <c r="G54" s="190">
        <f t="shared" ref="G54" si="96">F54/F53-1</f>
        <v>0.18725600113464247</v>
      </c>
      <c r="H54" s="190">
        <f t="shared" ref="H54" si="97">F54/F42-1</f>
        <v>0.14953408746710761</v>
      </c>
      <c r="I54" s="130">
        <f t="shared" ref="I54" si="98">T54</f>
        <v>111.33560148151292</v>
      </c>
      <c r="J54" s="130">
        <f t="shared" ref="J54" si="99">I54/I42-1</f>
        <v>0.35358829910022305</v>
      </c>
      <c r="K54" s="136"/>
      <c r="L54" s="190"/>
      <c r="M54" s="190"/>
      <c r="N54" s="191"/>
      <c r="O54" s="192"/>
      <c r="P54" s="129" t="s">
        <v>1417</v>
      </c>
      <c r="Q54" s="116">
        <v>65444171</v>
      </c>
      <c r="R54" s="116">
        <v>94780957673</v>
      </c>
      <c r="S54" s="116">
        <v>587809.92000000004</v>
      </c>
      <c r="T54" s="130">
        <f t="shared" ref="T54" si="100">Q54/S54</f>
        <v>111.33560148151292</v>
      </c>
      <c r="U54" s="85">
        <f t="shared" ref="U54" si="101">Q52+Q53+Q54</f>
        <v>216699202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10637555.070028011</v>
      </c>
      <c r="C55" s="188">
        <f>AVERAGE(F53:F55)</f>
        <v>3545851.6900093369</v>
      </c>
      <c r="D55" s="190">
        <f>C55/C52-1</f>
        <v>-6.8406353672016418E-2</v>
      </c>
      <c r="E55" s="287">
        <f>C55/C43-1</f>
        <v>7.7130000430412071E-2</v>
      </c>
      <c r="F55" s="136">
        <f>Q55/21</f>
        <v>3545415.1904761903</v>
      </c>
      <c r="G55" s="190">
        <f t="shared" ref="G55" si="102">F55/F54-1</f>
        <v>-7.9030915708364069E-2</v>
      </c>
      <c r="H55" s="190">
        <f t="shared" ref="H55" si="103">F55/F43-1</f>
        <v>-5.2390750514805573E-2</v>
      </c>
      <c r="I55" s="130">
        <f>T55</f>
        <v>92.639574268945722</v>
      </c>
      <c r="J55" s="130">
        <f t="shared" ref="J55" si="104">I55/I43-1</f>
        <v>0.2483961024902499</v>
      </c>
      <c r="K55" s="136">
        <f>R53+R54+R55</f>
        <v>303416771225</v>
      </c>
      <c r="L55" s="190">
        <f>U55/U52-1</f>
        <v>-9.0771027725862541E-2</v>
      </c>
      <c r="M55" s="190">
        <f>K55/K43-1</f>
        <v>8.8599163731987396E-2</v>
      </c>
      <c r="N55" s="191">
        <f>AVERAGE(T53:T55)</f>
        <v>98.289737580963276</v>
      </c>
      <c r="O55" s="192">
        <f>N55/N52-1</f>
        <v>2.7326567723581441E-2</v>
      </c>
      <c r="P55" s="129" t="s">
        <v>1418</v>
      </c>
      <c r="Q55" s="116">
        <v>74453719</v>
      </c>
      <c r="R55" s="116">
        <v>109487273598</v>
      </c>
      <c r="S55" s="116">
        <v>803692.37</v>
      </c>
      <c r="T55" s="130">
        <f t="shared" ref="T55" si="105">Q55/S55</f>
        <v>92.639574268945722</v>
      </c>
      <c r="U55" s="85">
        <f t="shared" ref="U55" si="106">Q53+Q54+Q55</f>
        <v>207990028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4479047.5909090908</v>
      </c>
      <c r="G56" s="190">
        <f t="shared" ref="G56" si="107">F56/F55-1</f>
        <v>0.26333513855890689</v>
      </c>
      <c r="H56" s="190">
        <f t="shared" ref="H56" si="108">F56/F44-1</f>
        <v>0.18965410333584698</v>
      </c>
      <c r="I56" s="291">
        <f>T56</f>
        <v>95.030975681777889</v>
      </c>
      <c r="J56" s="130">
        <f t="shared" ref="J56" si="109">I56/I44-1</f>
        <v>0.19056197443547851</v>
      </c>
      <c r="K56" s="136"/>
      <c r="L56" s="190"/>
      <c r="M56" s="190"/>
      <c r="N56" s="191"/>
      <c r="O56" s="192"/>
      <c r="P56" s="129" t="s">
        <v>1420</v>
      </c>
      <c r="Q56" s="116">
        <v>98539047</v>
      </c>
      <c r="R56" s="116">
        <v>146975189420</v>
      </c>
      <c r="S56" s="116">
        <v>1036915.03</v>
      </c>
      <c r="T56" s="130">
        <f t="shared" ref="T56" si="110">Q56/S56</f>
        <v>95.030975681777889</v>
      </c>
      <c r="U56" s="85">
        <f t="shared" ref="U56" si="111">Q54+Q55+Q56</f>
        <v>238436937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5553224.75</v>
      </c>
      <c r="G57" s="254">
        <f t="shared" ref="G57" si="112">F57/F56-1</f>
        <v>0.23982267151416647</v>
      </c>
      <c r="H57" s="254">
        <f t="shared" ref="H57" si="113">F57/F45-1</f>
        <v>0.72908796263004594</v>
      </c>
      <c r="I57" s="282">
        <f>T57</f>
        <v>62.724368365543533</v>
      </c>
      <c r="J57" s="277">
        <f t="shared" ref="J57" si="114">I57/I45-1</f>
        <v>-0.27254887087821367</v>
      </c>
      <c r="K57" s="204"/>
      <c r="L57" s="254"/>
      <c r="M57" s="254"/>
      <c r="N57" s="257"/>
      <c r="O57" s="258"/>
      <c r="P57" s="129" t="s">
        <v>1436</v>
      </c>
      <c r="Q57" s="116">
        <v>66638697</v>
      </c>
      <c r="R57" s="116">
        <v>98030374070</v>
      </c>
      <c r="S57" s="116">
        <v>1062405.23</v>
      </c>
      <c r="T57" s="130">
        <f t="shared" ref="T57" si="115">Q57/S57</f>
        <v>62.724368365543533</v>
      </c>
      <c r="U57" s="85">
        <f t="shared" ref="U57" si="116">Q55+Q56+Q57</f>
        <v>239631463</v>
      </c>
      <c r="V57" s="79"/>
      <c r="W57" s="79"/>
      <c r="X57" s="79"/>
      <c r="Y57" s="79"/>
      <c r="Z57" s="79"/>
    </row>
    <row r="58" spans="1:26">
      <c r="B58" s="196">
        <f>SUM(F56:F58)</f>
        <v>10032272.34090909</v>
      </c>
      <c r="C58" s="196">
        <f>AVERAGE(F56:F58)</f>
        <v>5016136.1704545449</v>
      </c>
      <c r="D58" s="197">
        <f>C58/C55-1</f>
        <v>0.41464917570800508</v>
      </c>
      <c r="E58" s="233">
        <f>C58/C46-1</f>
        <v>0.45431899103923667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373167772</v>
      </c>
      <c r="R65" s="212">
        <v>548422334715</v>
      </c>
      <c r="S65" s="213">
        <v>4239960.1399999997</v>
      </c>
      <c r="T65" s="214">
        <v>1638</v>
      </c>
      <c r="U65" s="214">
        <v>3360</v>
      </c>
    </row>
    <row r="66" spans="16:21" ht="18" thickBot="1">
      <c r="P66" s="180" t="s">
        <v>976</v>
      </c>
      <c r="Q66" s="181">
        <v>68092138</v>
      </c>
      <c r="R66" s="181">
        <v>99148539954</v>
      </c>
      <c r="S66" s="182">
        <v>749137.57</v>
      </c>
      <c r="T66" s="210">
        <v>636</v>
      </c>
      <c r="U66" s="210">
        <v>1283</v>
      </c>
    </row>
    <row r="67" spans="16:21" ht="18" thickBot="1">
      <c r="P67" s="180" t="s">
        <v>977</v>
      </c>
      <c r="Q67" s="181">
        <v>65444171</v>
      </c>
      <c r="R67" s="181">
        <v>94780957673</v>
      </c>
      <c r="S67" s="182">
        <v>587809.92000000004</v>
      </c>
      <c r="T67" s="210">
        <v>589</v>
      </c>
      <c r="U67" s="210">
        <v>1171</v>
      </c>
    </row>
    <row r="68" spans="16:21" ht="18" thickBot="1">
      <c r="P68" s="180" t="s">
        <v>978</v>
      </c>
      <c r="Q68" s="181">
        <v>74453719</v>
      </c>
      <c r="R68" s="181">
        <v>109487273598</v>
      </c>
      <c r="S68" s="182">
        <v>803692.37</v>
      </c>
      <c r="T68" s="210">
        <v>689</v>
      </c>
      <c r="U68" s="210">
        <v>1372</v>
      </c>
    </row>
    <row r="69" spans="16:21" ht="18" thickBot="1">
      <c r="P69" s="180" t="s">
        <v>979</v>
      </c>
      <c r="Q69" s="181">
        <v>98539047</v>
      </c>
      <c r="R69" s="181">
        <v>146975189420</v>
      </c>
      <c r="S69" s="182">
        <v>1036915.03</v>
      </c>
      <c r="T69" s="210">
        <v>734</v>
      </c>
      <c r="U69" s="210">
        <v>1425</v>
      </c>
    </row>
    <row r="70" spans="16:21" ht="18" thickBot="1">
      <c r="P70" s="180" t="s">
        <v>980</v>
      </c>
      <c r="Q70" s="181">
        <v>66638697</v>
      </c>
      <c r="R70" s="181">
        <v>98030374070</v>
      </c>
      <c r="S70" s="182">
        <v>1062405.23</v>
      </c>
      <c r="T70" s="210">
        <v>501</v>
      </c>
      <c r="U70" s="210">
        <v>972</v>
      </c>
    </row>
    <row r="71" spans="16:21" ht="18" thickBot="1">
      <c r="P71" s="215" t="s">
        <v>975</v>
      </c>
      <c r="Q71" s="217" t="s">
        <v>1538</v>
      </c>
      <c r="R71"/>
      <c r="S71"/>
      <c r="T71"/>
      <c r="U71"/>
    </row>
    <row r="72" spans="16:21" ht="18" thickBot="1">
      <c r="P72" s="215" t="s">
        <v>982</v>
      </c>
      <c r="Q72" s="216">
        <v>864054651</v>
      </c>
      <c r="R72" s="217"/>
      <c r="S72"/>
      <c r="T72"/>
      <c r="U72"/>
    </row>
  </sheetData>
  <phoneticPr fontId="1" type="noConversion"/>
  <conditionalFormatting sqref="C29:C30">
    <cfRule type="cellIs" dxfId="4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80">
    <tabColor rgb="FFFF0000"/>
  </sheetPr>
  <dimension ref="A1:Z58"/>
  <sheetViews>
    <sheetView zoomScale="90" zoomScaleNormal="9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1663856.9</v>
      </c>
      <c r="G5" s="90"/>
      <c r="H5" s="90"/>
      <c r="I5" s="130">
        <f t="shared" ref="I5:I49" si="0">T5</f>
        <v>4.3057840928544362</v>
      </c>
      <c r="J5" s="130"/>
      <c r="L5" s="80"/>
      <c r="M5" s="80"/>
      <c r="P5" s="129" t="s">
        <v>0</v>
      </c>
      <c r="Q5" s="116">
        <f>산화방지조제품!Q5+'산화방지조제품(2)'!Q5+'산화방지조제품(3)'!Q5</f>
        <v>33277138</v>
      </c>
      <c r="R5" s="116"/>
      <c r="S5" s="116">
        <f>산화방지조제품!S5+'산화방지조제품(2)'!S5+'산화방지조제품(3)'!S5</f>
        <v>7728473.4399999995</v>
      </c>
      <c r="T5" s="130">
        <f t="shared" ref="T5:T18" si="1">Q5/S5</f>
        <v>4.3057840928544362</v>
      </c>
      <c r="U5" s="85"/>
    </row>
    <row r="6" spans="1:21" ht="15" hidden="1" customHeight="1">
      <c r="A6" s="129" t="s">
        <v>1</v>
      </c>
      <c r="C6" s="79"/>
      <c r="F6" s="78">
        <f>Q6/18</f>
        <v>1857998.5555555555</v>
      </c>
      <c r="G6" s="90">
        <f t="shared" ref="G6:G16" si="2">F6/F5-1</f>
        <v>0.11668170234805375</v>
      </c>
      <c r="H6" s="90"/>
      <c r="I6" s="130">
        <f t="shared" si="0"/>
        <v>4.1703211299526055</v>
      </c>
      <c r="J6" s="130"/>
      <c r="P6" s="129" t="s">
        <v>1</v>
      </c>
      <c r="Q6" s="116">
        <f>산화방지조제품!Q6+'산화방지조제품(2)'!Q6+'산화방지조제품(3)'!Q6</f>
        <v>33443974</v>
      </c>
      <c r="R6" s="116"/>
      <c r="S6" s="116">
        <f>산화방지조제품!S6+'산화방지조제품(2)'!S6+'산화방지조제품(3)'!S6</f>
        <v>8019520.0700000003</v>
      </c>
      <c r="T6" s="130">
        <f t="shared" si="1"/>
        <v>4.1703211299526055</v>
      </c>
      <c r="U6" s="85"/>
    </row>
    <row r="7" spans="1:21" ht="15" hidden="1" customHeight="1">
      <c r="A7" s="129" t="s">
        <v>2</v>
      </c>
      <c r="B7" s="131">
        <f>F5+F6+F7</f>
        <v>5188991.0010101013</v>
      </c>
      <c r="C7" s="131">
        <f>AVERAGE(F5:F7)</f>
        <v>1729663.6670033671</v>
      </c>
      <c r="F7" s="78">
        <f>Q7/22</f>
        <v>1667135.5454545454</v>
      </c>
      <c r="G7" s="90">
        <f t="shared" si="2"/>
        <v>-0.10272505838624868</v>
      </c>
      <c r="H7" s="90"/>
      <c r="I7" s="130">
        <f t="shared" si="0"/>
        <v>4.3115211536889095</v>
      </c>
      <c r="J7" s="130"/>
      <c r="K7" s="79">
        <f>R5+R6+R7</f>
        <v>0</v>
      </c>
      <c r="N7" s="88">
        <f>AVERAGE(T5:T7)</f>
        <v>4.2625421254986504</v>
      </c>
      <c r="P7" s="129" t="s">
        <v>2</v>
      </c>
      <c r="Q7" s="116">
        <f>산화방지조제품!Q7+'산화방지조제품(2)'!Q7+'산화방지조제품(3)'!Q7</f>
        <v>36676982</v>
      </c>
      <c r="R7" s="116"/>
      <c r="S7" s="116">
        <f>산화방지조제품!S7+'산화방지조제품(2)'!S7+'산화방지조제품(3)'!S7</f>
        <v>8506738.2699999996</v>
      </c>
      <c r="T7" s="130">
        <f t="shared" si="1"/>
        <v>4.3115211536889095</v>
      </c>
      <c r="U7" s="85">
        <f>Q5+Q6+Q7</f>
        <v>103398094</v>
      </c>
    </row>
    <row r="8" spans="1:21" ht="15" hidden="1" customHeight="1">
      <c r="A8" s="129" t="s">
        <v>3</v>
      </c>
      <c r="C8" s="79"/>
      <c r="F8" s="78">
        <f>Q8/21</f>
        <v>2103448.8571428573</v>
      </c>
      <c r="G8" s="90">
        <f t="shared" si="2"/>
        <v>0.2617143596259599</v>
      </c>
      <c r="H8" s="90"/>
      <c r="I8" s="130">
        <f t="shared" si="0"/>
        <v>4.5789352956294378</v>
      </c>
      <c r="J8" s="130"/>
      <c r="K8" s="78"/>
      <c r="P8" s="129" t="s">
        <v>3</v>
      </c>
      <c r="Q8" s="116">
        <f>산화방지조제품!Q8+'산화방지조제품(2)'!Q8+'산화방지조제품(3)'!Q8</f>
        <v>44172426</v>
      </c>
      <c r="R8" s="116"/>
      <c r="S8" s="116">
        <f>산화방지조제품!S8+'산화방지조제품(2)'!S8+'산화방지조제품(3)'!S8</f>
        <v>9646877.0899999999</v>
      </c>
      <c r="T8" s="130">
        <f t="shared" si="1"/>
        <v>4.5789352956294378</v>
      </c>
      <c r="U8" s="85"/>
    </row>
    <row r="9" spans="1:21" ht="15" hidden="1" customHeight="1">
      <c r="A9" s="129" t="s">
        <v>4</v>
      </c>
      <c r="C9" s="79"/>
      <c r="F9" s="78">
        <f>Q9/21</f>
        <v>1792358.0476190476</v>
      </c>
      <c r="G9" s="90">
        <f t="shared" si="2"/>
        <v>-0.14789558988677698</v>
      </c>
      <c r="H9" s="90"/>
      <c r="I9" s="130">
        <f t="shared" si="0"/>
        <v>4.5729520740115266</v>
      </c>
      <c r="J9" s="130"/>
      <c r="K9" s="78"/>
      <c r="P9" s="129" t="s">
        <v>4</v>
      </c>
      <c r="Q9" s="116">
        <f>산화방지조제품!Q9+'산화방지조제품(2)'!Q9+'산화방지조제품(3)'!Q9</f>
        <v>37639519</v>
      </c>
      <c r="R9" s="116"/>
      <c r="S9" s="116">
        <f>산화방지조제품!S9+'산화방지조제품(2)'!S9+'산화방지조제품(3)'!S9</f>
        <v>8230901.7000000002</v>
      </c>
      <c r="T9" s="130">
        <f t="shared" si="1"/>
        <v>4.5729520740115266</v>
      </c>
      <c r="U9" s="85"/>
    </row>
    <row r="10" spans="1:21" ht="15" hidden="1" customHeight="1">
      <c r="A10" s="129" t="s">
        <v>5</v>
      </c>
      <c r="B10" s="131">
        <f>F8+F9+F10</f>
        <v>5454506.4285714291</v>
      </c>
      <c r="C10" s="131">
        <f>AVERAGE(F8:F10)</f>
        <v>1818168.8095238097</v>
      </c>
      <c r="D10" s="90">
        <f>C10/C7-1</f>
        <v>5.1168989791973374E-2</v>
      </c>
      <c r="E10" s="286"/>
      <c r="F10" s="78">
        <f>Q10/21</f>
        <v>1558699.5238095238</v>
      </c>
      <c r="G10" s="90">
        <f t="shared" si="2"/>
        <v>-0.13036375411704915</v>
      </c>
      <c r="H10" s="90"/>
      <c r="I10" s="130">
        <f t="shared" si="0"/>
        <v>4.5938415723653385</v>
      </c>
      <c r="J10" s="130"/>
      <c r="K10" s="79">
        <f>R8+R9+R10</f>
        <v>0</v>
      </c>
      <c r="L10" s="87">
        <f>U10/U7-1</f>
        <v>0.10780219024153381</v>
      </c>
      <c r="N10" s="88">
        <f>AVERAGE(T8:T10)</f>
        <v>4.5819096473354337</v>
      </c>
      <c r="O10" s="89">
        <f>N10/N7-1</f>
        <v>7.4924191347298885E-2</v>
      </c>
      <c r="P10" s="129" t="s">
        <v>5</v>
      </c>
      <c r="Q10" s="116">
        <f>산화방지조제품!Q10+'산화방지조제품(2)'!Q10+'산화방지조제품(3)'!Q10</f>
        <v>32732690</v>
      </c>
      <c r="R10" s="116"/>
      <c r="S10" s="116">
        <f>산화방지조제품!S10+'산화방지조제품(2)'!S10+'산화방지조제품(3)'!S10</f>
        <v>7125341.5</v>
      </c>
      <c r="T10" s="130">
        <f t="shared" si="1"/>
        <v>4.5938415723653385</v>
      </c>
      <c r="U10" s="85">
        <f>Q8+Q9+Q10</f>
        <v>114544635</v>
      </c>
    </row>
    <row r="11" spans="1:21" ht="15" hidden="1" customHeight="1">
      <c r="A11" s="129" t="s">
        <v>6</v>
      </c>
      <c r="C11" s="79"/>
      <c r="F11" s="78">
        <f>Q11/21</f>
        <v>1454302.4285714286</v>
      </c>
      <c r="G11" s="90">
        <f t="shared" si="2"/>
        <v>-6.6977049548937129E-2</v>
      </c>
      <c r="H11" s="90"/>
      <c r="I11" s="130">
        <f t="shared" si="0"/>
        <v>4.729223448569444</v>
      </c>
      <c r="J11" s="130"/>
      <c r="K11" s="78"/>
      <c r="O11" s="89"/>
      <c r="P11" s="129" t="s">
        <v>6</v>
      </c>
      <c r="Q11" s="116">
        <f>산화방지조제품!Q11+'산화방지조제품(2)'!Q11+'산화방지조제품(3)'!Q11</f>
        <v>30540351</v>
      </c>
      <c r="R11" s="116"/>
      <c r="S11" s="116">
        <f>산화방지조제품!S11+'산화방지조제품(2)'!S11+'산화방지조제품(3)'!S11</f>
        <v>6457794.04</v>
      </c>
      <c r="T11" s="130">
        <f t="shared" si="1"/>
        <v>4.729223448569444</v>
      </c>
      <c r="U11" s="85"/>
    </row>
    <row r="12" spans="1:21" ht="15" hidden="1" customHeight="1">
      <c r="A12" s="129" t="s">
        <v>7</v>
      </c>
      <c r="C12" s="79"/>
      <c r="F12" s="78">
        <f>Q12/22</f>
        <v>1152809.7727272727</v>
      </c>
      <c r="G12" s="90">
        <f t="shared" si="2"/>
        <v>-0.20731083846178699</v>
      </c>
      <c r="H12" s="90"/>
      <c r="I12" s="130">
        <f t="shared" si="0"/>
        <v>4.5585220625171115</v>
      </c>
      <c r="J12" s="130"/>
      <c r="K12" s="78"/>
      <c r="O12" s="89"/>
      <c r="P12" s="129" t="s">
        <v>7</v>
      </c>
      <c r="Q12" s="116">
        <f>산화방지조제품!Q12+'산화방지조제품(2)'!Q12+'산화방지조제품(3)'!Q12</f>
        <v>25361815</v>
      </c>
      <c r="R12" s="116"/>
      <c r="S12" s="116">
        <f>산화방지조제품!S12+'산화방지조제품(2)'!S12+'산화방지조제품(3)'!S12</f>
        <v>5563604.75</v>
      </c>
      <c r="T12" s="130">
        <f t="shared" si="1"/>
        <v>4.5585220625171115</v>
      </c>
      <c r="U12" s="85"/>
    </row>
    <row r="13" spans="1:21" ht="15" hidden="1" customHeight="1">
      <c r="A13" s="129" t="s">
        <v>96</v>
      </c>
      <c r="B13" s="131">
        <f>F11+F12+F13</f>
        <v>3968023.1012987015</v>
      </c>
      <c r="C13" s="131">
        <f>AVERAGE(F11:F13)</f>
        <v>1322674.3670995671</v>
      </c>
      <c r="D13" s="90">
        <f>C13/C10-1</f>
        <v>-0.2725238931769024</v>
      </c>
      <c r="E13" s="286"/>
      <c r="F13" s="78">
        <f>Q13/20</f>
        <v>1360910.9</v>
      </c>
      <c r="G13" s="90">
        <f t="shared" si="2"/>
        <v>0.18051644963106939</v>
      </c>
      <c r="H13" s="90"/>
      <c r="I13" s="130">
        <f t="shared" si="0"/>
        <v>5.0124254320444352</v>
      </c>
      <c r="J13" s="130"/>
      <c r="K13" s="78">
        <f>R11+R12+R13</f>
        <v>0</v>
      </c>
      <c r="L13" s="87">
        <f>U13/U10-1</f>
        <v>-0.27434066204846697</v>
      </c>
      <c r="N13" s="88">
        <f>AVERAGE(T11:T13)</f>
        <v>4.7667236477103296</v>
      </c>
      <c r="O13" s="89">
        <f>N13/N10-1</f>
        <v>4.0335583763065452E-2</v>
      </c>
      <c r="P13" s="129" t="s">
        <v>96</v>
      </c>
      <c r="Q13" s="116">
        <f>산화방지조제품!Q13+'산화방지조제품(2)'!Q13+'산화방지조제품(3)'!Q13</f>
        <v>27218218</v>
      </c>
      <c r="R13" s="116"/>
      <c r="S13" s="116">
        <f>산화방지조제품!S13+'산화방지조제품(2)'!S13+'산화방지조제품(3)'!S13</f>
        <v>5430149.21</v>
      </c>
      <c r="T13" s="130">
        <f t="shared" si="1"/>
        <v>5.0124254320444352</v>
      </c>
      <c r="U13" s="85">
        <f>Q11+Q12+Q13</f>
        <v>83120384</v>
      </c>
    </row>
    <row r="14" spans="1:21" ht="15" hidden="1" customHeight="1">
      <c r="A14" s="129" t="s">
        <v>97</v>
      </c>
      <c r="C14" s="79"/>
      <c r="F14" s="78">
        <f>Q14/20</f>
        <v>1147402.5</v>
      </c>
      <c r="G14" s="90">
        <f t="shared" si="2"/>
        <v>-0.15688639131334747</v>
      </c>
      <c r="H14" s="90"/>
      <c r="I14" s="130">
        <f t="shared" si="0"/>
        <v>4.5935451983004807</v>
      </c>
      <c r="J14" s="130"/>
      <c r="O14" s="89"/>
      <c r="P14" s="129" t="s">
        <v>97</v>
      </c>
      <c r="Q14" s="116">
        <f>산화방지조제품!Q14+'산화방지조제품(2)'!Q14+'산화방지조제품(3)'!Q14</f>
        <v>22948050</v>
      </c>
      <c r="R14" s="116"/>
      <c r="S14" s="116">
        <f>산화방지조제품!S14+'산화방지조제품(2)'!S14+'산화방지조제품(3)'!S14</f>
        <v>4995716.5999999996</v>
      </c>
      <c r="T14" s="130">
        <f t="shared" si="1"/>
        <v>4.5935451983004807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756205.54545454541</v>
      </c>
      <c r="G15" s="90">
        <f t="shared" si="2"/>
        <v>-0.34094134756151795</v>
      </c>
      <c r="H15" s="90"/>
      <c r="I15" s="130">
        <f t="shared" si="0"/>
        <v>4.7748175322675808</v>
      </c>
      <c r="J15" s="130"/>
      <c r="O15" s="89"/>
      <c r="P15" s="129" t="s">
        <v>98</v>
      </c>
      <c r="Q15" s="116">
        <f>산화방지조제품!Q15+'산화방지조제품(2)'!Q15+'산화방지조제품(3)'!Q15</f>
        <v>16636522</v>
      </c>
      <c r="R15" s="116"/>
      <c r="S15" s="116">
        <f>산화방지조제품!S15+'산화방지조제품(2)'!S15+'산화방지조제품(3)'!S15</f>
        <v>3484221.52</v>
      </c>
      <c r="T15" s="130">
        <f t="shared" si="1"/>
        <v>4.7748175322675808</v>
      </c>
      <c r="U15" s="85"/>
    </row>
    <row r="16" spans="1:21" ht="15" hidden="1" customHeight="1">
      <c r="A16" s="129" t="s">
        <v>99</v>
      </c>
      <c r="B16" s="131">
        <f>F14+F15+F16</f>
        <v>2753189.2727272725</v>
      </c>
      <c r="C16" s="131">
        <f>AVERAGE(F14:F16)</f>
        <v>917729.75757575745</v>
      </c>
      <c r="D16" s="90">
        <f>C16/C13-1</f>
        <v>-0.30615593648480111</v>
      </c>
      <c r="E16" s="286"/>
      <c r="F16" s="78">
        <f>Q16/22</f>
        <v>849581.22727272729</v>
      </c>
      <c r="G16" s="90">
        <f t="shared" si="2"/>
        <v>0.12347923442171393</v>
      </c>
      <c r="H16" s="90"/>
      <c r="I16" s="130">
        <f t="shared" si="0"/>
        <v>4.73855948087086</v>
      </c>
      <c r="J16" s="130"/>
      <c r="K16" s="78">
        <f>R14+R15+R16</f>
        <v>0</v>
      </c>
      <c r="L16" s="87">
        <f>U16/U13-1</f>
        <v>-0.29890411718983401</v>
      </c>
      <c r="N16" s="88">
        <f>AVERAGE(T14:T16)</f>
        <v>4.7023074038129744</v>
      </c>
      <c r="O16" s="89">
        <f>N16/N13-1</f>
        <v>-1.3513735777046176E-2</v>
      </c>
      <c r="P16" s="129" t="s">
        <v>99</v>
      </c>
      <c r="Q16" s="116">
        <f>산화방지조제품!Q16+'산화방지조제품(2)'!Q16+'산화방지조제품(3)'!Q16</f>
        <v>18690787</v>
      </c>
      <c r="R16" s="116"/>
      <c r="S16" s="116">
        <f>산화방지조제품!S16+'산화방지조제품(2)'!S16+'산화방지조제품(3)'!S16</f>
        <v>3944402.74</v>
      </c>
      <c r="T16" s="130">
        <f t="shared" si="1"/>
        <v>4.73855948087086</v>
      </c>
      <c r="U16" s="85">
        <f>Q14+Q15+Q16</f>
        <v>58275359</v>
      </c>
    </row>
    <row r="17" spans="1:21" ht="15" hidden="1" customHeight="1">
      <c r="A17" s="129" t="s">
        <v>100</v>
      </c>
      <c r="C17" s="79"/>
      <c r="F17" s="78">
        <f>Q17/20</f>
        <v>1122244.45</v>
      </c>
      <c r="G17" s="90">
        <f t="shared" ref="G17:G22" si="3">F17/F16-1</f>
        <v>0.32093837996227759</v>
      </c>
      <c r="H17" s="90">
        <f t="shared" ref="H17:H22" si="4">F17/F5-1</f>
        <v>-0.32551624481648633</v>
      </c>
      <c r="I17" s="130">
        <f t="shared" si="0"/>
        <v>4.909404889451543</v>
      </c>
      <c r="J17" s="130">
        <f t="shared" ref="J17:J49" si="5">I17/I5-1</f>
        <v>0.14018835677312103</v>
      </c>
      <c r="O17" s="89"/>
      <c r="P17" s="129" t="s">
        <v>100</v>
      </c>
      <c r="Q17" s="116">
        <f>산화방지조제품!Q17+'산화방지조제품(2)'!Q17+'산화방지조제품(3)'!Q17</f>
        <v>22444889</v>
      </c>
      <c r="R17" s="116">
        <f>산화방지조제품!R17+'산화방지조제품(2)'!R17+'산화방지조제품(3)'!R17</f>
        <v>28152645113</v>
      </c>
      <c r="S17" s="116">
        <f>산화방지조제품!S17+'산화방지조제품(2)'!S17+'산화방지조제품(3)'!S17</f>
        <v>4571814.6100000003</v>
      </c>
      <c r="T17" s="130">
        <f t="shared" si="1"/>
        <v>4.909404889451543</v>
      </c>
      <c r="U17" s="78"/>
    </row>
    <row r="18" spans="1:21" ht="15" hidden="1" customHeight="1">
      <c r="A18" s="129" t="s">
        <v>106</v>
      </c>
      <c r="C18" s="79"/>
      <c r="F18" s="78">
        <f>Q18/20</f>
        <v>1194511.75</v>
      </c>
      <c r="G18" s="90">
        <f t="shared" si="3"/>
        <v>6.4395328486587688E-2</v>
      </c>
      <c r="H18" s="90">
        <f t="shared" si="4"/>
        <v>-0.35709758953885085</v>
      </c>
      <c r="I18" s="130">
        <f t="shared" si="0"/>
        <v>5.1349536147157924</v>
      </c>
      <c r="J18" s="130">
        <f t="shared" si="5"/>
        <v>0.23130892195204877</v>
      </c>
      <c r="O18" s="89"/>
      <c r="P18" s="129" t="s">
        <v>106</v>
      </c>
      <c r="Q18" s="116">
        <f>산화방지조제품!Q18+'산화방지조제품(2)'!Q18+'산화방지조제품(3)'!Q18</f>
        <v>23890235</v>
      </c>
      <c r="R18" s="116">
        <f>산화방지조제품!R18+'산화방지조제품(2)'!R18+'산화방지조제품(3)'!R18</f>
        <v>29830956532</v>
      </c>
      <c r="S18" s="116">
        <f>산화방지조제품!S18+'산화방지조제품(2)'!S18+'산화방지조제품(3)'!S18</f>
        <v>4652473.38</v>
      </c>
      <c r="T18" s="130">
        <f t="shared" si="1"/>
        <v>5.1349536147157924</v>
      </c>
      <c r="U18" s="78"/>
    </row>
    <row r="19" spans="1:21" hidden="1">
      <c r="A19" s="129" t="s">
        <v>114</v>
      </c>
      <c r="B19" s="131">
        <f>SUM(F17:F19)</f>
        <v>3430703.3818181818</v>
      </c>
      <c r="C19" s="131">
        <f>AVERAGE(F17:F19)</f>
        <v>1143567.7939393939</v>
      </c>
      <c r="D19" s="90">
        <f>C19/C16-1</f>
        <v>0.246083375306694</v>
      </c>
      <c r="E19" s="286">
        <f>C19/C7-1</f>
        <v>-0.338849618133785</v>
      </c>
      <c r="F19" s="78">
        <f>Q19/22</f>
        <v>1113947.1818181819</v>
      </c>
      <c r="G19" s="90">
        <f t="shared" si="3"/>
        <v>-6.7445605438220313E-2</v>
      </c>
      <c r="H19" s="90">
        <f t="shared" si="4"/>
        <v>-0.33181966825950937</v>
      </c>
      <c r="I19" s="130">
        <f t="shared" si="0"/>
        <v>5.0179002648679321</v>
      </c>
      <c r="J19" s="130">
        <f t="shared" si="5"/>
        <v>0.16383524190172394</v>
      </c>
      <c r="K19" s="78">
        <f>R17+R18+R19</f>
        <v>90028754418</v>
      </c>
      <c r="L19" s="87">
        <f>U19/U16-1</f>
        <v>0.21564179467345701</v>
      </c>
      <c r="M19" s="87">
        <f>U19/U7-1</f>
        <v>-0.31486201283362147</v>
      </c>
      <c r="N19" s="88">
        <f>AVERAGE(T17:T19)</f>
        <v>5.0207529230117558</v>
      </c>
      <c r="O19" s="89">
        <f>N19/N16-1</f>
        <v>6.7721118985237361E-2</v>
      </c>
      <c r="P19" s="129" t="s">
        <v>115</v>
      </c>
      <c r="Q19" s="116">
        <f>산화방지조제품!Q19+'산화방지조제품(2)'!Q19+'산화방지조제품(3)'!Q19</f>
        <v>24506838</v>
      </c>
      <c r="R19" s="116">
        <f>산화방지조제품!R19+'산화방지조제품(2)'!R19+'산화방지조제품(3)'!R19</f>
        <v>32045152773</v>
      </c>
      <c r="S19" s="116">
        <f>산화방지조제품!S19+'산화방지조제품(2)'!S19+'산화방지조제품(3)'!S19</f>
        <v>4883883.04</v>
      </c>
      <c r="T19" s="130">
        <f t="shared" ref="T19" si="6">Q19/S19</f>
        <v>5.0179002648679321</v>
      </c>
      <c r="U19" s="85">
        <f>Q17+Q18+Q19</f>
        <v>70841962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1299647.1499999999</v>
      </c>
      <c r="G20" s="90">
        <f t="shared" si="3"/>
        <v>0.16670446428054064</v>
      </c>
      <c r="H20" s="90">
        <f t="shared" si="4"/>
        <v>-0.38213513222026796</v>
      </c>
      <c r="I20" s="130">
        <f t="shared" si="0"/>
        <v>4.7063877027231644</v>
      </c>
      <c r="J20" s="130">
        <f t="shared" si="5"/>
        <v>2.7834507121203389E-2</v>
      </c>
      <c r="O20" s="89"/>
      <c r="P20" s="129" t="s">
        <v>132</v>
      </c>
      <c r="Q20" s="116">
        <f>산화방지조제품!Q20+'산화방지조제품(2)'!Q20+'산화방지조제품(3)'!Q20</f>
        <v>25992943</v>
      </c>
      <c r="R20" s="116">
        <f>산화방지조제품!R20+'산화방지조제품(2)'!R20+'산화방지조제품(3)'!R20</f>
        <v>34093762512</v>
      </c>
      <c r="S20" s="116">
        <f>산화방지조제품!S20+'산화방지조제품(2)'!S20+'산화방지조제품(3)'!S20</f>
        <v>5522907.3000000007</v>
      </c>
      <c r="T20" s="130">
        <f t="shared" ref="T20" si="7">Q20/S20</f>
        <v>4.7063877027231644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1455920.4761904762</v>
      </c>
      <c r="G21" s="90">
        <f t="shared" si="3"/>
        <v>0.12024288761028434</v>
      </c>
      <c r="H21" s="90">
        <f t="shared" si="4"/>
        <v>-0.18770667606033964</v>
      </c>
      <c r="I21" s="130">
        <f t="shared" si="0"/>
        <v>4.8798108489920393</v>
      </c>
      <c r="J21" s="130">
        <f t="shared" si="5"/>
        <v>6.7102993867881766E-2</v>
      </c>
      <c r="O21" s="89"/>
      <c r="P21" s="129" t="s">
        <v>142</v>
      </c>
      <c r="Q21" s="116">
        <f>산화방지조제품!Q21+'산화방지조제품(2)'!Q21+'산화방지조제품(3)'!Q21</f>
        <v>30574330</v>
      </c>
      <c r="R21" s="116">
        <f>산화방지조제품!R21+'산화방지조제품(2)'!R21+'산화방지조제품(3)'!R21</f>
        <v>40733365747</v>
      </c>
      <c r="S21" s="116">
        <f>산화방지조제품!S21+'산화방지조제품(2)'!S21+'산화방지조제품(3)'!S21</f>
        <v>6265474.4100000001</v>
      </c>
      <c r="T21" s="130">
        <f t="shared" ref="T21" si="8">Q21/S21</f>
        <v>4.8798108489920393</v>
      </c>
      <c r="U21" s="78"/>
    </row>
    <row r="22" spans="1:21" hidden="1">
      <c r="A22" s="129" t="s">
        <v>156</v>
      </c>
      <c r="B22" s="131">
        <f>SUM(F20:F22)</f>
        <v>4190130.1976190475</v>
      </c>
      <c r="C22" s="131">
        <f>AVERAGE(F20:F22)</f>
        <v>1396710.0658730159</v>
      </c>
      <c r="D22" s="90">
        <f>C22/C19-1</f>
        <v>0.2213618407891591</v>
      </c>
      <c r="E22" s="286">
        <f>C22/C10-1</f>
        <v>-0.23180396751013266</v>
      </c>
      <c r="F22" s="78">
        <f>Q22/21</f>
        <v>1434562.5714285714</v>
      </c>
      <c r="G22" s="90">
        <f t="shared" si="3"/>
        <v>-1.4669691862421952E-2</v>
      </c>
      <c r="H22" s="90">
        <f t="shared" si="4"/>
        <v>-7.9641361586841763E-2</v>
      </c>
      <c r="I22" s="130">
        <f t="shared" si="0"/>
        <v>4.5838254846799256</v>
      </c>
      <c r="J22" s="130">
        <f t="shared" si="5"/>
        <v>-2.1803293665296763E-3</v>
      </c>
      <c r="K22" s="78">
        <f>R20+R21+R22</f>
        <v>114112245085</v>
      </c>
      <c r="L22" s="87">
        <f>U22/U19-1</f>
        <v>0.2237533313941813</v>
      </c>
      <c r="M22" s="87">
        <f>U22/U10-1</f>
        <v>-0.24315017460224131</v>
      </c>
      <c r="N22" s="88">
        <f>AVERAGE(T20:T22)</f>
        <v>4.7233413454650428</v>
      </c>
      <c r="O22" s="89">
        <f>N22/N19-1</f>
        <v>-5.9236449613678133E-2</v>
      </c>
      <c r="P22" s="129" t="s">
        <v>156</v>
      </c>
      <c r="Q22" s="116">
        <f>산화방지조제품!Q22+'산화방지조제품(2)'!Q22+'산화방지조제품(3)'!Q22</f>
        <v>30125814</v>
      </c>
      <c r="R22" s="116">
        <f>산화방지조제품!R22+'산화방지조제품(2)'!R22+'산화방지조제품(3)'!R22</f>
        <v>39285116826</v>
      </c>
      <c r="S22" s="116">
        <f>산화방지조제품!S22+'산화방지조제품(2)'!S22+'산화방지조제품(3)'!S22</f>
        <v>6572199.1600000001</v>
      </c>
      <c r="T22" s="130">
        <f t="shared" ref="T22:T23" si="9">Q22/S22</f>
        <v>4.5838254846799256</v>
      </c>
      <c r="U22" s="85">
        <f>Q20+Q21+Q22</f>
        <v>86693087</v>
      </c>
    </row>
    <row r="23" spans="1:21" hidden="1">
      <c r="A23" s="129" t="s">
        <v>189</v>
      </c>
      <c r="B23" s="131"/>
      <c r="C23" s="131"/>
      <c r="F23" s="78">
        <f>Q23/21</f>
        <v>1167444.7619047619</v>
      </c>
      <c r="G23" s="90">
        <f t="shared" ref="G23" si="10">F23/F22-1</f>
        <v>-0.18620157450351382</v>
      </c>
      <c r="H23" s="90">
        <f t="shared" ref="H23" si="11">F23/F11-1</f>
        <v>-0.19724760203312663</v>
      </c>
      <c r="I23" s="130">
        <f t="shared" si="0"/>
        <v>4.3249841597623186</v>
      </c>
      <c r="J23" s="130">
        <f t="shared" si="5"/>
        <v>-8.5476884990368762E-2</v>
      </c>
      <c r="O23" s="89"/>
      <c r="P23" s="129" t="s">
        <v>189</v>
      </c>
      <c r="Q23" s="116">
        <f>산화방지조제품!Q23+'산화방지조제품(2)'!Q23+'산화방지조제품(3)'!Q23</f>
        <v>24516340</v>
      </c>
      <c r="R23" s="116">
        <f>산화방지조제품!R23+'산화방지조제품(2)'!R23+'산화방지조제품(3)'!R23</f>
        <v>31764181348</v>
      </c>
      <c r="S23" s="116">
        <f>산화방지조제품!S23+'산화방지조제품(2)'!S23+'산화방지조제품(3)'!S23</f>
        <v>5668538.6799999997</v>
      </c>
      <c r="T23" s="130">
        <f t="shared" si="9"/>
        <v>4.3249841597623186</v>
      </c>
      <c r="U23" s="78"/>
    </row>
    <row r="24" spans="1:21" hidden="1">
      <c r="A24" s="129" t="s">
        <v>204</v>
      </c>
      <c r="B24" s="131"/>
      <c r="C24" s="131"/>
      <c r="F24" s="78">
        <f>Q24/22</f>
        <v>1164031.1363636365</v>
      </c>
      <c r="G24" s="90">
        <f t="shared" ref="G24" si="12">F24/F23-1</f>
        <v>-2.9240146108119314E-3</v>
      </c>
      <c r="H24" s="90">
        <f t="shared" ref="H24" si="13">F24/F12-1</f>
        <v>9.7339247999403966E-3</v>
      </c>
      <c r="I24" s="130">
        <f t="shared" si="0"/>
        <v>4.3140141992430632</v>
      </c>
      <c r="J24" s="130">
        <f t="shared" si="5"/>
        <v>-5.3637529866212064E-2</v>
      </c>
      <c r="O24" s="89"/>
      <c r="P24" s="129" t="s">
        <v>204</v>
      </c>
      <c r="Q24" s="116">
        <f>산화방지조제품!Q24+'산화방지조제품(2)'!Q24+'산화방지조제품(3)'!Q24</f>
        <v>25608685</v>
      </c>
      <c r="R24" s="116">
        <f>산화방지조제품!R24+'산화방지조제품(2)'!R24+'산화방지조제품(3)'!R24</f>
        <v>33536629446</v>
      </c>
      <c r="S24" s="116">
        <f>산화방지조제품!S24+'산화방지조제품(2)'!S24+'산화방지조제품(3)'!S24</f>
        <v>5936161.5</v>
      </c>
      <c r="T24" s="130">
        <f t="shared" ref="T24" si="14">Q24/S24</f>
        <v>4.3140141992430632</v>
      </c>
      <c r="U24" s="78"/>
    </row>
    <row r="25" spans="1:21" s="79" customFormat="1" ht="13.2" hidden="1">
      <c r="A25" s="129" t="s">
        <v>219</v>
      </c>
      <c r="B25" s="131">
        <f>SUM(F23:F25)</f>
        <v>3839755.8982683984</v>
      </c>
      <c r="C25" s="131">
        <f>AVERAGE(F23:F25)</f>
        <v>1279918.6327561329</v>
      </c>
      <c r="D25" s="90">
        <f>C25/C22-1</f>
        <v>-8.3618952831046145E-2</v>
      </c>
      <c r="E25" s="286">
        <f>C25/C13-1</f>
        <v>-3.2325215795321771E-2</v>
      </c>
      <c r="F25" s="78">
        <f>Q25/19</f>
        <v>1508280</v>
      </c>
      <c r="G25" s="90">
        <f t="shared" ref="G25" si="15">F25/F24-1</f>
        <v>0.29573853557884755</v>
      </c>
      <c r="H25" s="90">
        <f t="shared" ref="H25" si="16">F25/F13-1</f>
        <v>0.10828710388020268</v>
      </c>
      <c r="I25" s="130">
        <f t="shared" si="0"/>
        <v>4.3151147879541458</v>
      </c>
      <c r="J25" s="130">
        <f t="shared" si="5"/>
        <v>-0.13911641251207096</v>
      </c>
      <c r="K25" s="78">
        <f>R23+R24+R25</f>
        <v>103341304414</v>
      </c>
      <c r="L25" s="90">
        <f>U25/U22-1</f>
        <v>-9.1249974752888874E-2</v>
      </c>
      <c r="M25" s="90">
        <f>U25/U13-1</f>
        <v>-5.2189833482963688E-2</v>
      </c>
      <c r="N25" s="88">
        <f>AVERAGE(T23:T25)</f>
        <v>4.3180377156531753</v>
      </c>
      <c r="O25" s="91">
        <f>N25/N22-1</f>
        <v>-8.5808668094887186E-2</v>
      </c>
      <c r="P25" s="129" t="s">
        <v>219</v>
      </c>
      <c r="Q25" s="116">
        <f>산화방지조제품!Q25+'산화방지조제품(2)'!Q25+'산화방지조제품(3)'!Q25</f>
        <v>28657320</v>
      </c>
      <c r="R25" s="116">
        <f>산화방지조제품!R25+'산화방지조제품(2)'!R25+'산화방지조제품(3)'!R25</f>
        <v>38040493620</v>
      </c>
      <c r="S25" s="116">
        <f>산화방지조제품!S25+'산화방지조제품(2)'!S25+'산화방지조제품(3)'!S25</f>
        <v>6641148.9399999995</v>
      </c>
      <c r="T25" s="130">
        <f t="shared" ref="T25" si="17">Q25/S25</f>
        <v>4.3151147879541458</v>
      </c>
      <c r="U25" s="85">
        <f>Q23+Q24+Q25</f>
        <v>78782345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1214146.6315789474</v>
      </c>
      <c r="G26" s="90">
        <f t="shared" ref="G26" si="18">F26/F25-1</f>
        <v>-0.19501244359207348</v>
      </c>
      <c r="H26" s="90">
        <f t="shared" ref="H26" si="19">F26/F14-1</f>
        <v>5.8169763076991288E-2</v>
      </c>
      <c r="I26" s="130">
        <f t="shared" si="0"/>
        <v>3.8562613031846875</v>
      </c>
      <c r="J26" s="130">
        <f t="shared" si="5"/>
        <v>-0.16050433016062915</v>
      </c>
      <c r="L26" s="90"/>
      <c r="M26" s="90"/>
      <c r="P26" s="129" t="s">
        <v>312</v>
      </c>
      <c r="Q26" s="116">
        <f>산화방지조제품!Q26+'산화방지조제품(2)'!Q26+'산화방지조제품(3)'!Q26</f>
        <v>23068786</v>
      </c>
      <c r="R26" s="116">
        <f>산화방지조제품!R26+'산화방지조제품(2)'!R26+'산화방지조제품(3)'!R26</f>
        <v>31088161555</v>
      </c>
      <c r="S26" s="116">
        <f>산화방지조제품!S26+'산화방지조제품(2)'!S26+'산화방지조제품(3)'!S26</f>
        <v>5982163.5999999996</v>
      </c>
      <c r="T26" s="130">
        <f t="shared" ref="T26" si="20">Q26/S26</f>
        <v>3.8562613031846875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1164361.4545454546</v>
      </c>
      <c r="G27" s="90">
        <f t="shared" ref="G27" si="21">F27/F26-1</f>
        <v>-4.1004254130943996E-2</v>
      </c>
      <c r="H27" s="90">
        <f t="shared" ref="H27" si="22">F27/F15-1</f>
        <v>0.53974202059781495</v>
      </c>
      <c r="I27" s="130">
        <f t="shared" si="0"/>
        <v>3.8953534983430731</v>
      </c>
      <c r="J27" s="130">
        <f t="shared" si="5"/>
        <v>-0.18418798791392699</v>
      </c>
      <c r="L27" s="90"/>
      <c r="M27" s="90"/>
      <c r="P27" s="129" t="s">
        <v>375</v>
      </c>
      <c r="Q27" s="116">
        <f>산화방지조제품!Q27+'산화방지조제품(2)'!Q27+'산화방지조제품(3)'!Q27</f>
        <v>25615952</v>
      </c>
      <c r="R27" s="116">
        <f>산화방지조제품!R27+'산화방지조제품(2)'!R27+'산화방지조제품(3)'!R27</f>
        <v>34033555509</v>
      </c>
      <c r="S27" s="116">
        <f>산화방지조제품!S27+'산화방지조제품(2)'!S27+'산화방지조제품(3)'!S27</f>
        <v>6576027.5700000003</v>
      </c>
      <c r="T27" s="130">
        <f t="shared" ref="T27" si="23">Q27/S27</f>
        <v>3.8953534983430731</v>
      </c>
      <c r="U27" s="78"/>
    </row>
    <row r="28" spans="1:21" s="79" customFormat="1" ht="13.2" hidden="1">
      <c r="A28" s="123" t="s">
        <v>413</v>
      </c>
      <c r="B28" s="131">
        <f>SUM(F26:F28)</f>
        <v>3561293.5598086128</v>
      </c>
      <c r="C28" s="131">
        <f>AVERAGE(F26:F28)</f>
        <v>1187097.8532695377</v>
      </c>
      <c r="D28" s="90">
        <f>C28/C25-1</f>
        <v>-7.2520843990463768E-2</v>
      </c>
      <c r="E28" s="286">
        <f>C28/C16-1</f>
        <v>0.29351570380079361</v>
      </c>
      <c r="F28" s="78">
        <f>Q28/19</f>
        <v>1182785.4736842106</v>
      </c>
      <c r="G28" s="90">
        <f t="shared" ref="G28" si="24">F28/F27-1</f>
        <v>1.5823281565043201E-2</v>
      </c>
      <c r="H28" s="90">
        <f t="shared" ref="H28" si="25">F28/F16-1</f>
        <v>0.39219822156512896</v>
      </c>
      <c r="I28" s="130">
        <f t="shared" si="0"/>
        <v>3.8736219439479203</v>
      </c>
      <c r="J28" s="130">
        <f t="shared" si="5"/>
        <v>-0.18253174628589452</v>
      </c>
      <c r="K28" s="78">
        <f>R26+R27+R28</f>
        <v>94458477275</v>
      </c>
      <c r="L28" s="90">
        <f>U28/U25-1</f>
        <v>-9.6781620298304172E-2</v>
      </c>
      <c r="M28" s="90">
        <f>U28/U16-1</f>
        <v>0.22105917871737168</v>
      </c>
      <c r="N28" s="88">
        <f>AVERAGE(T26:T28)</f>
        <v>3.8750789151585603</v>
      </c>
      <c r="O28" s="91">
        <f>N28/N25-1</f>
        <v>-0.10258335606677538</v>
      </c>
      <c r="P28" s="129" t="s">
        <v>413</v>
      </c>
      <c r="Q28" s="116">
        <f>산화방지조제품!Q28+'산화방지조제품(2)'!Q28+'산화방지조제품(3)'!Q28</f>
        <v>22472924</v>
      </c>
      <c r="R28" s="116">
        <f>산화방지조제품!R28+'산화방지조제품(2)'!R28+'산화방지조제품(3)'!R28</f>
        <v>29336760211</v>
      </c>
      <c r="S28" s="116">
        <f>산화방지조제품!S28+'산화방지조제품(2)'!S28+'산화방지조제품(3)'!S28</f>
        <v>5801527.4399999995</v>
      </c>
      <c r="T28" s="130">
        <f t="shared" ref="T28" si="26">Q28/S28</f>
        <v>3.8736219439479203</v>
      </c>
      <c r="U28" s="85">
        <f>Q26+Q27+Q28</f>
        <v>71157662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1464022.1818181819</v>
      </c>
      <c r="G29" s="190">
        <f t="shared" ref="G29" si="27">F29/F28-1</f>
        <v>0.23777490879893759</v>
      </c>
      <c r="H29" s="190">
        <f t="shared" ref="H29" si="28">F29/F17-1</f>
        <v>0.30454838232274795</v>
      </c>
      <c r="I29" s="130">
        <f t="shared" si="0"/>
        <v>3.9216554292854862</v>
      </c>
      <c r="J29" s="130">
        <f t="shared" si="5"/>
        <v>-0.20119535512101627</v>
      </c>
      <c r="K29" s="136"/>
      <c r="L29" s="190"/>
      <c r="M29" s="190"/>
      <c r="N29" s="191"/>
      <c r="O29" s="192"/>
      <c r="P29" s="129" t="s">
        <v>427</v>
      </c>
      <c r="Q29" s="116">
        <f>산화방지조제품!Q29+'산화방지조제품(2)'!Q29+'산화방지조제품(3)'!Q29</f>
        <v>32208488</v>
      </c>
      <c r="R29" s="116">
        <f>산화방지조제품!R29+'산화방지조제품(2)'!R29+'산화방지조제품(3)'!R29</f>
        <v>42324228694</v>
      </c>
      <c r="S29" s="116">
        <f>산화방지조제품!S29+'산화방지조제품(2)'!S29+'산화방지조제품(3)'!S29</f>
        <v>8212982.6500000004</v>
      </c>
      <c r="T29" s="130">
        <f t="shared" ref="T29" si="29">Q29/S29</f>
        <v>3.9216554292854862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1610047.4736842106</v>
      </c>
      <c r="G30" s="190">
        <f t="shared" ref="G30" si="30">F30/F29-1</f>
        <v>9.9742540570443072E-2</v>
      </c>
      <c r="H30" s="190">
        <f t="shared" ref="H30" si="31">F30/F18-1</f>
        <v>0.34787077120355714</v>
      </c>
      <c r="I30" s="130">
        <f t="shared" si="0"/>
        <v>3.7059968868387636</v>
      </c>
      <c r="J30" s="130">
        <f t="shared" si="5"/>
        <v>-0.27828035754440172</v>
      </c>
      <c r="K30" s="136"/>
      <c r="L30" s="190"/>
      <c r="M30" s="190"/>
      <c r="N30" s="191"/>
      <c r="O30" s="192"/>
      <c r="P30" s="129" t="s">
        <v>466</v>
      </c>
      <c r="Q30" s="116">
        <f>산화방지조제품!Q30+'산화방지조제품(2)'!Q30+'산화방지조제품(3)'!Q30</f>
        <v>30590902</v>
      </c>
      <c r="R30" s="116">
        <f>산화방지조제품!R30+'산화방지조제품(2)'!R30+'산화방지조제품(3)'!R30</f>
        <v>40756292370</v>
      </c>
      <c r="S30" s="116">
        <f>산화방지조제품!S30+'산화방지조제품(2)'!S30+'산화방지조제품(3)'!S30</f>
        <v>8254432.7300000004</v>
      </c>
      <c r="T30" s="130">
        <f t="shared" ref="T30" si="32">Q30/S30</f>
        <v>3.7059968868387636</v>
      </c>
      <c r="U30" s="85"/>
    </row>
    <row r="31" spans="1:21" s="79" customFormat="1" ht="13.2" hidden="1">
      <c r="A31" s="129" t="s">
        <v>505</v>
      </c>
      <c r="B31" s="188">
        <f>SUM(F29:F31)</f>
        <v>4555817.5555023924</v>
      </c>
      <c r="C31" s="188">
        <f>AVERAGE(F29:F31)</f>
        <v>1518605.8518341307</v>
      </c>
      <c r="D31" s="190">
        <f>C31/C28-1</f>
        <v>0.27925920146476946</v>
      </c>
      <c r="E31" s="287">
        <f>C31/C19-1</f>
        <v>0.32795437216957235</v>
      </c>
      <c r="F31" s="136">
        <f>Q31/20</f>
        <v>1481747.9</v>
      </c>
      <c r="G31" s="190">
        <f t="shared" ref="G31" si="33">F31/F30-1</f>
        <v>-7.9686826495014795E-2</v>
      </c>
      <c r="H31" s="190">
        <f t="shared" ref="H31" si="34">F31/F19-1</f>
        <v>0.33017787933310672</v>
      </c>
      <c r="I31" s="130">
        <f t="shared" si="0"/>
        <v>3.6599122288695263</v>
      </c>
      <c r="J31" s="130">
        <f t="shared" si="5"/>
        <v>-0.27062874196726328</v>
      </c>
      <c r="K31" s="136">
        <f>R29+R30+R31</f>
        <v>122436660920</v>
      </c>
      <c r="L31" s="190">
        <f>U31/U28-1</f>
        <v>0.29900765992002376</v>
      </c>
      <c r="M31" s="190">
        <f>U31/U19-1</f>
        <v>0.30479655546524809</v>
      </c>
      <c r="N31" s="191">
        <f>AVERAGE(T29:T31)</f>
        <v>3.7625215149979252</v>
      </c>
      <c r="O31" s="192">
        <f>N31/N28-1</f>
        <v>-2.9046479471768194E-2</v>
      </c>
      <c r="P31" s="129" t="s">
        <v>505</v>
      </c>
      <c r="Q31" s="116">
        <f>산화방지조제품!Q31+'산화방지조제품(2)'!Q31+'산화방지조제품(3)'!Q31</f>
        <v>29634958</v>
      </c>
      <c r="R31" s="116">
        <f>산화방지조제품!R31+'산화방지조제품(2)'!R31+'산화방지조제품(3)'!R31</f>
        <v>39356139856</v>
      </c>
      <c r="S31" s="116">
        <f>산화방지조제품!S31+'산화방지조제품(2)'!S31+'산화방지조제품(3)'!S31</f>
        <v>8097177.2400000002</v>
      </c>
      <c r="T31" s="130">
        <f t="shared" ref="T31" si="35">Q31/S31</f>
        <v>3.6599122288695263</v>
      </c>
      <c r="U31" s="85">
        <f>Q29+Q30+Q31</f>
        <v>92434348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1536207.7142857143</v>
      </c>
      <c r="G32" s="190">
        <f t="shared" ref="G32" si="36">F32/F31-1</f>
        <v>3.6753765121390947E-2</v>
      </c>
      <c r="H32" s="190">
        <f t="shared" ref="H32" si="37">F32/F20-1</f>
        <v>0.18201906901093468</v>
      </c>
      <c r="I32" s="130">
        <f t="shared" si="0"/>
        <v>3.7513666505025975</v>
      </c>
      <c r="J32" s="130">
        <f t="shared" si="5"/>
        <v>-0.20292018264198286</v>
      </c>
      <c r="K32" s="136"/>
      <c r="L32" s="190"/>
      <c r="M32" s="190"/>
      <c r="N32" s="191"/>
      <c r="O32" s="192"/>
      <c r="P32" s="129" t="s">
        <v>566</v>
      </c>
      <c r="Q32" s="116">
        <f>산화방지조제품!Q32+'산화방지조제품(2)'!Q32+'산화방지조제품(3)'!Q32</f>
        <v>32260362</v>
      </c>
      <c r="R32" s="116">
        <f>산화방지조제품!R32+'산화방지조제품(2)'!R32+'산화방지조제품(3)'!R32</f>
        <v>43880200882</v>
      </c>
      <c r="S32" s="116">
        <f>산화방지조제품!S32+'산화방지조제품(2)'!S32+'산화방지조제품(3)'!S32</f>
        <v>8599629.1500000004</v>
      </c>
      <c r="T32" s="130">
        <f t="shared" ref="T32" si="38">Q32/S32</f>
        <v>3.7513666505025975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1406383.7619047619</v>
      </c>
      <c r="G33" s="190">
        <f t="shared" ref="G33" si="39">F33/F32-1</f>
        <v>-8.4509374073359789E-2</v>
      </c>
      <c r="H33" s="190">
        <f t="shared" ref="H33" si="40">F33/F21-1</f>
        <v>-3.4024326943550398E-2</v>
      </c>
      <c r="I33" s="130">
        <f t="shared" si="0"/>
        <v>3.6319368106728454</v>
      </c>
      <c r="J33" s="130">
        <f t="shared" si="5"/>
        <v>-0.25572180499105857</v>
      </c>
      <c r="K33" s="136"/>
      <c r="L33" s="190"/>
      <c r="M33" s="190"/>
      <c r="N33" s="191"/>
      <c r="O33" s="192"/>
      <c r="P33" s="129" t="s">
        <v>618</v>
      </c>
      <c r="Q33" s="116">
        <f>산화방지조제품!Q33+'산화방지조제품(2)'!Q33+'산화방지조제품(3)'!Q33</f>
        <v>29534059</v>
      </c>
      <c r="R33" s="116">
        <f>산화방지조제품!R33+'산화방지조제품(2)'!R33+'산화방지조제품(3)'!R33</f>
        <v>40398206219</v>
      </c>
      <c r="S33" s="116">
        <f>산화방지조제품!S33+'산화방지조제품(2)'!S33+'산화방지조제품(3)'!S33</f>
        <v>8131765.6500000004</v>
      </c>
      <c r="T33" s="130">
        <f t="shared" ref="T33" si="41">Q33/S33</f>
        <v>3.6319368106728454</v>
      </c>
      <c r="U33" s="85"/>
    </row>
    <row r="34" spans="1:21" s="79" customFormat="1" ht="13.2" hidden="1">
      <c r="A34" s="129" t="s">
        <v>652</v>
      </c>
      <c r="B34" s="188">
        <f>SUM(F32:F34)</f>
        <v>4400404.5288220551</v>
      </c>
      <c r="C34" s="188">
        <f>AVERAGE(F32:F34)</f>
        <v>1466801.5096073516</v>
      </c>
      <c r="D34" s="190">
        <f>C34/C31-1</f>
        <v>-3.4113092718700666E-2</v>
      </c>
      <c r="E34" s="287">
        <f>C34/C22-1</f>
        <v>5.0183245218129668E-2</v>
      </c>
      <c r="F34" s="136">
        <f>Q34/19</f>
        <v>1457813.0526315789</v>
      </c>
      <c r="G34" s="190">
        <f t="shared" ref="G34" si="42">F34/F33-1</f>
        <v>3.6568461695805299E-2</v>
      </c>
      <c r="H34" s="190">
        <f t="shared" ref="H34" si="43">F34/F22-1</f>
        <v>1.6207366388943267E-2</v>
      </c>
      <c r="I34" s="130">
        <f t="shared" si="0"/>
        <v>3.5441134596675252</v>
      </c>
      <c r="J34" s="130">
        <f t="shared" si="5"/>
        <v>-0.2268219042123939</v>
      </c>
      <c r="K34" s="136">
        <f>R32+R33+R34</f>
        <v>122343391321</v>
      </c>
      <c r="L34" s="190">
        <f>U34/U31-1</f>
        <v>-3.1822358935230444E-2</v>
      </c>
      <c r="M34" s="190">
        <f>U34/U22-1</f>
        <v>3.2295331691210905E-2</v>
      </c>
      <c r="N34" s="191">
        <f>AVERAGE(T32:T34)</f>
        <v>3.6424723069476559</v>
      </c>
      <c r="O34" s="192">
        <f>N34/N31-1</f>
        <v>-3.190658380868705E-2</v>
      </c>
      <c r="P34" s="129" t="s">
        <v>652</v>
      </c>
      <c r="Q34" s="116">
        <f>산화방지조제품!Q34+'산화방지조제품(2)'!Q34+'산화방지조제품(3)'!Q34</f>
        <v>27698448</v>
      </c>
      <c r="R34" s="116">
        <f>산화방지조제품!R34+'산화방지조제품(2)'!R34+'산화방지조제품(3)'!R34</f>
        <v>38064984220</v>
      </c>
      <c r="S34" s="116">
        <f>산화방지조제품!S34+'산화방지조제품(2)'!S34+'산화방지조제품(3)'!S34</f>
        <v>7815338.96</v>
      </c>
      <c r="T34" s="130">
        <f t="shared" ref="T34" si="44">Q34/S34</f>
        <v>3.5441134596675252</v>
      </c>
      <c r="U34" s="85">
        <f>Q32+Q33+Q34</f>
        <v>89492869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1256460.8695652173</v>
      </c>
      <c r="G35" s="190">
        <f t="shared" ref="G35" si="45">F35/F34-1</f>
        <v>-0.13811934438568074</v>
      </c>
      <c r="H35" s="190">
        <f t="shared" ref="H35" si="46">F35/F23-1</f>
        <v>7.6248667658776359E-2</v>
      </c>
      <c r="I35" s="130">
        <f t="shared" si="0"/>
        <v>3.7333016747794185</v>
      </c>
      <c r="J35" s="130">
        <f t="shared" si="5"/>
        <v>-0.13680569988848612</v>
      </c>
      <c r="K35" s="136"/>
      <c r="L35" s="190"/>
      <c r="M35" s="190"/>
      <c r="N35" s="191"/>
      <c r="O35" s="192"/>
      <c r="P35" s="129" t="s">
        <v>660</v>
      </c>
      <c r="Q35" s="116">
        <f>산화방지조제품!Q35+'산화방지조제품(2)'!Q35+'산화방지조제품(3)'!Q35</f>
        <v>28898600</v>
      </c>
      <c r="R35" s="116">
        <f>산화방지조제품!R35+'산화방지조제품(2)'!R35+'산화방지조제품(3)'!R35</f>
        <v>39999362209</v>
      </c>
      <c r="S35" s="116">
        <f>산화방지조제품!S35+'산화방지조제품(2)'!S35+'산화방지조제품(3)'!S35</f>
        <v>7740762.0700000003</v>
      </c>
      <c r="T35" s="130">
        <f t="shared" ref="T35" si="47">Q35/S35</f>
        <v>3.7333016747794185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1178859.6666666667</v>
      </c>
      <c r="G36" s="190">
        <f t="shared" ref="G36" si="48">F36/F35-1</f>
        <v>-6.176173470917834E-2</v>
      </c>
      <c r="H36" s="190">
        <f t="shared" ref="H36" si="49">F36/F24-1</f>
        <v>1.2738946442063082E-2</v>
      </c>
      <c r="I36" s="130">
        <f t="shared" si="0"/>
        <v>3.6246958639090501</v>
      </c>
      <c r="J36" s="130">
        <f t="shared" si="5"/>
        <v>-0.15978582904408634</v>
      </c>
      <c r="K36" s="136"/>
      <c r="L36" s="190"/>
      <c r="M36" s="190"/>
      <c r="N36" s="191"/>
      <c r="O36" s="192"/>
      <c r="P36" s="129" t="s">
        <v>664</v>
      </c>
      <c r="Q36" s="116">
        <f>산화방지조제품!Q36+'산화방지조제품(2)'!Q36+'산화방지조제품(3)'!Q36</f>
        <v>24756053</v>
      </c>
      <c r="R36" s="116">
        <f>산화방지조제품!R36+'산화방지조제품(2)'!R36+'산화방지조제품(3)'!R36</f>
        <v>33803089988</v>
      </c>
      <c r="S36" s="116">
        <f>산화방지조제품!S36+'산화방지조제품(2)'!S36+'산화방지조제품(3)'!S36</f>
        <v>6829829.0199999996</v>
      </c>
      <c r="T36" s="130">
        <f t="shared" ref="T36" si="50">Q36/S36</f>
        <v>3.6246958639090501</v>
      </c>
      <c r="U36" s="85"/>
    </row>
    <row r="37" spans="1:21" s="79" customFormat="1" ht="13.2" hidden="1">
      <c r="A37" s="129" t="s">
        <v>702</v>
      </c>
      <c r="B37" s="188">
        <f>SUM(F35:F37)</f>
        <v>3701445.6473429948</v>
      </c>
      <c r="C37" s="188">
        <f>AVERAGE(F35:F37)</f>
        <v>1233815.2157809983</v>
      </c>
      <c r="D37" s="190">
        <f>C37/C34-1</f>
        <v>-0.15883968778346935</v>
      </c>
      <c r="E37" s="287">
        <f>C37/C25-1</f>
        <v>-3.6020584274061962E-2</v>
      </c>
      <c r="F37" s="136">
        <f>Q37/18</f>
        <v>1266125.111111111</v>
      </c>
      <c r="G37" s="190">
        <f t="shared" ref="G37" si="51">F37/F36-1</f>
        <v>7.4025303360488515E-2</v>
      </c>
      <c r="H37" s="190">
        <f t="shared" ref="H37" si="52">F37/F25-1</f>
        <v>-0.16055035463500744</v>
      </c>
      <c r="I37" s="130">
        <f t="shared" si="0"/>
        <v>3.4815887259930247</v>
      </c>
      <c r="J37" s="130">
        <f t="shared" si="5"/>
        <v>-0.19316428482689496</v>
      </c>
      <c r="K37" s="136">
        <f>R35+R36+R37</f>
        <v>104217519008</v>
      </c>
      <c r="L37" s="190">
        <f>U37/U34-1</f>
        <v>-0.1457989239343751</v>
      </c>
      <c r="M37" s="190">
        <f>U37/U25-1</f>
        <v>-2.9669591581718002E-2</v>
      </c>
      <c r="N37" s="191">
        <f>AVERAGE(T35:T37)</f>
        <v>3.6131954215604978</v>
      </c>
      <c r="O37" s="192">
        <f>N37/N34-1</f>
        <v>-8.0376411733633635E-3</v>
      </c>
      <c r="P37" s="129" t="s">
        <v>702</v>
      </c>
      <c r="Q37" s="116">
        <f>산화방지조제품!Q37+'산화방지조제품(2)'!Q37+'산화방지조제품(3)'!Q37</f>
        <v>22790252</v>
      </c>
      <c r="R37" s="116">
        <f>산화방지조제품!R37+'산화방지조제품(2)'!R37+'산화방지조제품(3)'!R37</f>
        <v>30415066811</v>
      </c>
      <c r="S37" s="116">
        <f>산화방지조제품!S37+'산화방지조제품(2)'!S37+'산화방지조제품(3)'!S37</f>
        <v>6545934.5700000003</v>
      </c>
      <c r="T37" s="130">
        <f t="shared" ref="T37" si="53">Q37/S37</f>
        <v>3.4815887259930247</v>
      </c>
      <c r="U37" s="85">
        <f>Q35+Q36+Q37</f>
        <v>76444905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1349950.2</v>
      </c>
      <c r="G38" s="190">
        <f t="shared" ref="G38" si="54">F38/F37-1</f>
        <v>6.6206007726461236E-2</v>
      </c>
      <c r="H38" s="190">
        <f t="shared" ref="H38" si="55">F38/F26-1</f>
        <v>0.11185104409048652</v>
      </c>
      <c r="I38" s="130">
        <f t="shared" si="0"/>
        <v>3.5911074021376792</v>
      </c>
      <c r="J38" s="130">
        <f t="shared" si="5"/>
        <v>-6.875931898806531E-2</v>
      </c>
      <c r="K38" s="136"/>
      <c r="L38" s="190"/>
      <c r="M38" s="190"/>
      <c r="N38" s="191"/>
      <c r="O38" s="192"/>
      <c r="P38" s="129" t="s">
        <v>728</v>
      </c>
      <c r="Q38" s="116">
        <f>산화방지조제품!Q38+'산화방지조제품(2)'!Q38+'산화방지조제품(3)'!Q38</f>
        <v>26999004</v>
      </c>
      <c r="R38" s="116">
        <f>산화방지조제품!R38+'산화방지조제품(2)'!R38+'산화방지조제품(3)'!R38</f>
        <v>36334276121</v>
      </c>
      <c r="S38" s="116">
        <f>산화방지조제품!S38+'산화방지조제품(2)'!S38+'산화방지조제품(3)'!S38</f>
        <v>7518294.7699999996</v>
      </c>
      <c r="T38" s="130">
        <f t="shared" ref="T38" si="56">Q38/S38</f>
        <v>3.5911074021376792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926605.33333333337</v>
      </c>
      <c r="G39" s="190">
        <f t="shared" ref="G39" si="57">F39/F38-1</f>
        <v>-0.31360035849223666</v>
      </c>
      <c r="H39" s="190">
        <f t="shared" ref="H39" si="58">F39/F27-1</f>
        <v>-0.20419442801371057</v>
      </c>
      <c r="I39" s="130">
        <f t="shared" si="0"/>
        <v>3.6201634572922017</v>
      </c>
      <c r="J39" s="130">
        <f t="shared" si="5"/>
        <v>-7.0645717049280909E-2</v>
      </c>
      <c r="K39" s="136"/>
      <c r="L39" s="190"/>
      <c r="M39" s="190"/>
      <c r="N39" s="191"/>
      <c r="O39" s="192"/>
      <c r="P39" s="129" t="s">
        <v>762</v>
      </c>
      <c r="Q39" s="116">
        <f>산화방지조제품!Q39+'산화방지조제품(2)'!Q39+'산화방지조제품(3)'!Q39</f>
        <v>19458712</v>
      </c>
      <c r="R39" s="116">
        <f>산화방지조제품!R39+'산화방지조제품(2)'!R39+'산화방지조제품(3)'!R39</f>
        <v>27029369594</v>
      </c>
      <c r="S39" s="116">
        <f>산화방지조제품!S39+'산화방지조제품(2)'!S39+'산화방지조제품(3)'!S39</f>
        <v>5375092.0999999996</v>
      </c>
      <c r="T39" s="130">
        <f t="shared" ref="T39" si="59">Q39/S39</f>
        <v>3.6201634572922017</v>
      </c>
      <c r="U39" s="85"/>
    </row>
    <row r="40" spans="1:21" s="79" customFormat="1" ht="13.2" hidden="1">
      <c r="A40" s="129" t="s">
        <v>778</v>
      </c>
      <c r="B40" s="188">
        <f>SUM(F38:F40)</f>
        <v>3470797.0095238094</v>
      </c>
      <c r="C40" s="188">
        <f>AVERAGE(F38:F40)</f>
        <v>1156932.3365079365</v>
      </c>
      <c r="D40" s="190">
        <f>C40/C37-1</f>
        <v>-6.2313122977978086E-2</v>
      </c>
      <c r="E40" s="287">
        <f>C40/C28-1</f>
        <v>-2.5411145912292321E-2</v>
      </c>
      <c r="F40" s="136">
        <f>Q40/21</f>
        <v>1194241.4761904762</v>
      </c>
      <c r="G40" s="190">
        <f t="shared" ref="G40" si="60">F40/F39-1</f>
        <v>0.28883509864373336</v>
      </c>
      <c r="H40" s="190">
        <f t="shared" ref="H40" si="61">F40/F28-1</f>
        <v>9.6856131235547593E-3</v>
      </c>
      <c r="I40" s="130">
        <f t="shared" si="0"/>
        <v>3.647827418161826</v>
      </c>
      <c r="J40" s="130">
        <f t="shared" si="5"/>
        <v>-5.8290284662103287E-2</v>
      </c>
      <c r="K40" s="136">
        <f>R38+R39+R40</f>
        <v>98993853796</v>
      </c>
      <c r="L40" s="190">
        <f>U40/U37-1</f>
        <v>-6.4204645162421192E-2</v>
      </c>
      <c r="M40" s="190">
        <f>U40/U28-1</f>
        <v>5.3279575149616232E-3</v>
      </c>
      <c r="N40" s="191">
        <f>AVERAGE(T38:T40)</f>
        <v>3.6196994258639026</v>
      </c>
      <c r="O40" s="192">
        <f>N40/N37-1</f>
        <v>1.8000698950835226E-3</v>
      </c>
      <c r="P40" s="129" t="s">
        <v>778</v>
      </c>
      <c r="Q40" s="116">
        <f>산화방지조제품!Q40+'산화방지조제품(2)'!Q40+'산화방지조제품(3)'!Q40</f>
        <v>25079071</v>
      </c>
      <c r="R40" s="116">
        <f>산화방지조제품!R40+'산화방지조제품(2)'!R40+'산화방지조제품(3)'!R40</f>
        <v>35630208081</v>
      </c>
      <c r="S40" s="116">
        <f>산화방지조제품!S40+'산화방지조제품(2)'!S40+'산화방지조제품(3)'!S40</f>
        <v>6875070.5899999999</v>
      </c>
      <c r="T40" s="130">
        <f t="shared" ref="T40" si="62">Q40/S40</f>
        <v>3.647827418161826</v>
      </c>
      <c r="U40" s="85">
        <f>Q38+Q39+Q40</f>
        <v>71536787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1201448.7777777778</v>
      </c>
      <c r="G41" s="190">
        <f t="shared" ref="G41" si="63">F41/F40-1</f>
        <v>6.0350454501816309E-3</v>
      </c>
      <c r="H41" s="190">
        <f t="shared" ref="H41" si="64">F41/F29-1</f>
        <v>-0.17935070062552738</v>
      </c>
      <c r="I41" s="130">
        <f t="shared" si="0"/>
        <v>3.5263341768181422</v>
      </c>
      <c r="J41" s="130">
        <f t="shared" si="5"/>
        <v>-0.10080468812104948</v>
      </c>
      <c r="K41" s="193"/>
      <c r="L41" s="190"/>
      <c r="M41" s="190"/>
      <c r="N41" s="193"/>
      <c r="O41" s="193"/>
      <c r="P41" s="129" t="s">
        <v>792</v>
      </c>
      <c r="Q41" s="116">
        <f>산화방지조제품!Q41+'산화방지조제품(2)'!Q41+'산화방지조제품(3)'!Q41</f>
        <v>21626078</v>
      </c>
      <c r="R41" s="116">
        <f>산화방지조제품!R41+'산화방지조제품(2)'!R41+'산화방지조제품(3)'!R41</f>
        <v>31620259487</v>
      </c>
      <c r="S41" s="116">
        <f>산화방지조제품!S41+'산화방지조제품(2)'!S41+'산화방지조제품(3)'!S41</f>
        <v>6132736.4100000001</v>
      </c>
      <c r="T41" s="130">
        <f t="shared" ref="T41" si="65">Q41/S41</f>
        <v>3.5263341768181422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1339603.8500000001</v>
      </c>
      <c r="G42" s="190">
        <f t="shared" ref="G42" si="66">F42/F41-1</f>
        <v>0.11499039724170057</v>
      </c>
      <c r="H42" s="190">
        <f t="shared" ref="H42" si="67">F42/F30-1</f>
        <v>-0.16797245305156416</v>
      </c>
      <c r="I42" s="130">
        <f t="shared" si="0"/>
        <v>3.6100373463703921</v>
      </c>
      <c r="J42" s="130">
        <f t="shared" si="5"/>
        <v>-2.5893044003667653E-2</v>
      </c>
      <c r="K42" s="193"/>
      <c r="L42" s="190"/>
      <c r="M42" s="190"/>
      <c r="N42" s="193"/>
      <c r="O42" s="193"/>
      <c r="P42" s="129" t="s">
        <v>826</v>
      </c>
      <c r="Q42" s="116">
        <f>산화방지조제품!Q42+'산화방지조제품(2)'!Q42+'산화방지조제품(3)'!Q42</f>
        <v>26792077</v>
      </c>
      <c r="R42" s="116">
        <f>산화방지조제품!R42+'산화방지조제품(2)'!R42+'산화방지조제품(3)'!R42</f>
        <v>38748969526</v>
      </c>
      <c r="S42" s="116">
        <f>산화방지조제품!S42+'산화방지조제품(2)'!S42+'산화방지조제품(3)'!S42</f>
        <v>7421551.2000000002</v>
      </c>
      <c r="T42" s="130">
        <f t="shared" ref="T42" si="68">Q42/S42</f>
        <v>3.6100373463703921</v>
      </c>
      <c r="U42" s="78"/>
    </row>
    <row r="43" spans="1:21" s="79" customFormat="1" ht="13.2">
      <c r="A43" s="129" t="s">
        <v>835</v>
      </c>
      <c r="B43" s="188">
        <f>SUM(F41:F43)</f>
        <v>3741092.1777777774</v>
      </c>
      <c r="C43" s="188">
        <f>AVERAGE(F41:F43)</f>
        <v>1247030.7259259259</v>
      </c>
      <c r="D43" s="190">
        <f>C43/C40-1</f>
        <v>7.7876973937767824E-2</v>
      </c>
      <c r="E43" s="287">
        <f>C43/C31-1</f>
        <v>-0.1788318710745147</v>
      </c>
      <c r="F43" s="136">
        <f>Q43/20</f>
        <v>1200039.55</v>
      </c>
      <c r="G43" s="190">
        <f t="shared" ref="G43" si="69">F43/F42-1</f>
        <v>-0.10418326283550172</v>
      </c>
      <c r="H43" s="190">
        <f t="shared" ref="H43" si="70">F43/F31-1</f>
        <v>-0.19011894668452023</v>
      </c>
      <c r="I43" s="130">
        <f t="shared" si="0"/>
        <v>3.6240654652924205</v>
      </c>
      <c r="J43" s="130">
        <f t="shared" si="5"/>
        <v>-9.7944325807447497E-3</v>
      </c>
      <c r="K43" s="136">
        <f>R41+R42+R43</f>
        <v>105153443250</v>
      </c>
      <c r="L43" s="190">
        <f>U43/U40-1</f>
        <v>1.233154348964538E-2</v>
      </c>
      <c r="M43" s="190">
        <f>K43/K31-1</f>
        <v>-0.14116047873351301</v>
      </c>
      <c r="N43" s="191">
        <f>AVERAGE(T41:T43)</f>
        <v>3.5868123294936516</v>
      </c>
      <c r="O43" s="192">
        <f>N43/N40-1</f>
        <v>-9.0855876416870984E-3</v>
      </c>
      <c r="P43" s="129" t="s">
        <v>835</v>
      </c>
      <c r="Q43" s="116">
        <f>산화방지조제품!Q43+'산화방지조제품(2)'!Q43+'산화방지조제품(3)'!Q43</f>
        <v>24000791</v>
      </c>
      <c r="R43" s="116">
        <f>산화방지조제품!R43+'산화방지조제품(2)'!R43+'산화방지조제품(3)'!R43</f>
        <v>34784214237</v>
      </c>
      <c r="S43" s="116">
        <f>산화방지조제품!S43+'산화방지조제품(2)'!S43+'산화방지조제품(3)'!S43</f>
        <v>6622615.1899999995</v>
      </c>
      <c r="T43" s="130">
        <f t="shared" ref="T43" si="71">Q43/S43</f>
        <v>3.6240654652924205</v>
      </c>
      <c r="U43" s="85">
        <f>Q41+Q42+Q43</f>
        <v>72418946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1018278.2272727273</v>
      </c>
      <c r="G44" s="190">
        <f t="shared" ref="G44" si="72">F44/F43-1</f>
        <v>-0.1514627769787027</v>
      </c>
      <c r="H44" s="190">
        <f t="shared" ref="H44" si="73">F44/F32-1</f>
        <v>-0.33714808368463833</v>
      </c>
      <c r="I44" s="130">
        <f t="shared" si="0"/>
        <v>3.5121643654319841</v>
      </c>
      <c r="J44" s="130">
        <f t="shared" si="5"/>
        <v>-6.3764037844332266E-2</v>
      </c>
      <c r="K44" s="136"/>
      <c r="L44" s="190"/>
      <c r="M44" s="190"/>
      <c r="N44" s="191"/>
      <c r="O44" s="192"/>
      <c r="P44" s="129" t="s">
        <v>843</v>
      </c>
      <c r="Q44" s="116">
        <f>산화방지조제품!Q44+'산화방지조제품(2)'!Q44+'산화방지조제품(3)'!Q44</f>
        <v>22402121</v>
      </c>
      <c r="R44" s="116">
        <f>산화방지조제품!R44+'산화방지조제품(2)'!R44+'산화방지조제품(3)'!R44</f>
        <v>32562925066</v>
      </c>
      <c r="S44" s="116">
        <f>산화방지조제품!S44+'산화방지조제품(2)'!S44+'산화방지조제품(3)'!S44</f>
        <v>6378437.5299999993</v>
      </c>
      <c r="T44" s="130">
        <f t="shared" ref="T44" si="74">Q44/S44</f>
        <v>3.5121643654319841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1051393.8500000001</v>
      </c>
      <c r="G45" s="190">
        <f t="shared" ref="G45" si="75">F45/F44-1</f>
        <v>3.2521192970969226E-2</v>
      </c>
      <c r="H45" s="190">
        <f t="shared" ref="H45" si="76">F45/F33-1</f>
        <v>-0.25241326124526253</v>
      </c>
      <c r="I45" s="130">
        <f t="shared" si="0"/>
        <v>3.6513345903944039</v>
      </c>
      <c r="J45" s="130">
        <f t="shared" si="5"/>
        <v>5.3408913020061011E-3</v>
      </c>
      <c r="K45" s="136"/>
      <c r="L45" s="190"/>
      <c r="M45" s="190"/>
      <c r="N45" s="191"/>
      <c r="O45" s="192"/>
      <c r="P45" s="129" t="s">
        <v>849</v>
      </c>
      <c r="Q45" s="116">
        <f>산화방지조제품!Q45+'산화방지조제품(2)'!Q45+'산화방지조제품(3)'!Q45</f>
        <v>21027877</v>
      </c>
      <c r="R45" s="116">
        <f>산화방지조제품!R45+'산화방지조제품(2)'!R45+'산화방지조제품(3)'!R45</f>
        <v>29622312512</v>
      </c>
      <c r="S45" s="116">
        <f>산화방지조제품!S45+'산화방지조제품(2)'!S45+'산화방지조제품(3)'!S45</f>
        <v>5758956.4800000004</v>
      </c>
      <c r="T45" s="130">
        <f t="shared" ref="T45" si="77">Q45/S45</f>
        <v>3.6513345903944039</v>
      </c>
      <c r="U45" s="85"/>
    </row>
    <row r="46" spans="1:21" s="79" customFormat="1" ht="13.2">
      <c r="A46" s="129" t="s">
        <v>898</v>
      </c>
      <c r="B46" s="188">
        <f>SUM(F44:F46)</f>
        <v>3282365.9193779905</v>
      </c>
      <c r="C46" s="188">
        <f>AVERAGE(F44:F46)</f>
        <v>1094121.9731259968</v>
      </c>
      <c r="D46" s="190">
        <f>C46/C43-1</f>
        <v>-0.12261827204489584</v>
      </c>
      <c r="E46" s="287">
        <f>C46/C34-1</f>
        <v>-0.25407632460176399</v>
      </c>
      <c r="F46" s="136">
        <f>Q46/19</f>
        <v>1212693.8421052631</v>
      </c>
      <c r="G46" s="190">
        <f t="shared" ref="G46" si="78">F46/F45-1</f>
        <v>0.15341538482963646</v>
      </c>
      <c r="H46" s="190">
        <f t="shared" ref="H46" si="79">F46/F34-1</f>
        <v>-0.16814173126234366</v>
      </c>
      <c r="I46" s="130">
        <f t="shared" si="0"/>
        <v>3.4103730198520736</v>
      </c>
      <c r="J46" s="130">
        <f t="shared" si="5"/>
        <v>-3.7735936317342955E-2</v>
      </c>
      <c r="K46" s="136">
        <f>R44+R45+R46</f>
        <v>93745873807</v>
      </c>
      <c r="L46" s="190">
        <f>U46/U43-1</f>
        <v>-8.2129958091353594E-2</v>
      </c>
      <c r="M46" s="190">
        <f>K46/K34-1</f>
        <v>-0.23374795487699784</v>
      </c>
      <c r="N46" s="191">
        <f>AVERAGE(T44:T46)</f>
        <v>3.5246239918928204</v>
      </c>
      <c r="O46" s="192">
        <f>N46/N43-1</f>
        <v>-1.7338051698291723E-2</v>
      </c>
      <c r="P46" s="129" t="s">
        <v>888</v>
      </c>
      <c r="Q46" s="116">
        <f>산화방지조제품!Q46+'산화방지조제품(2)'!Q46+'산화방지조제품(3)'!Q46</f>
        <v>23041183</v>
      </c>
      <c r="R46" s="116">
        <f>산화방지조제품!R46+'산화방지조제품(2)'!R46+'산화방지조제품(3)'!R46</f>
        <v>31560636229</v>
      </c>
      <c r="S46" s="116">
        <f>산화방지조제품!S46+'산화방지조제품(2)'!S46+'산화방지조제품(3)'!S46</f>
        <v>6756206.0999999996</v>
      </c>
      <c r="T46" s="130">
        <f t="shared" ref="T46" si="80">Q46/S46</f>
        <v>3.4103730198520736</v>
      </c>
      <c r="U46" s="85">
        <f t="shared" ref="U46:U51" si="81">Q44+Q45+Q46</f>
        <v>66471181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1192983.8695652173</v>
      </c>
      <c r="G47" s="190">
        <f t="shared" ref="G47" si="82">F47/F46-1</f>
        <v>-1.6253049084366533E-2</v>
      </c>
      <c r="H47" s="190">
        <f t="shared" ref="H47" si="83">F47/F35-1</f>
        <v>-5.0520475040313428E-2</v>
      </c>
      <c r="I47" s="130">
        <f t="shared" si="0"/>
        <v>3.7212934552802097</v>
      </c>
      <c r="J47" s="130">
        <f t="shared" si="5"/>
        <v>-3.2165146418065005E-3</v>
      </c>
      <c r="K47" s="136"/>
      <c r="L47" s="190"/>
      <c r="M47" s="190"/>
      <c r="N47" s="191"/>
      <c r="O47" s="192"/>
      <c r="P47" s="129" t="s">
        <v>991</v>
      </c>
      <c r="Q47" s="116">
        <f>산화방지조제품!Q47+'산화방지조제품(2)'!Q47+'산화방지조제품(3)'!Q47</f>
        <v>27438629</v>
      </c>
      <c r="R47" s="116">
        <f>산화방지조제품!R47+'산화방지조제품(2)'!R47+'산화방지조제품(3)'!R47</f>
        <v>37588735994</v>
      </c>
      <c r="S47" s="116">
        <f>산화방지조제품!S47+'산화방지조제품(2)'!S47+'산화방지조제품(3)'!S47</f>
        <v>7373411.7799999993</v>
      </c>
      <c r="T47" s="130">
        <f t="shared" ref="T47" si="84">Q47/S47</f>
        <v>3.7212934552802097</v>
      </c>
      <c r="U47" s="85">
        <f t="shared" si="81"/>
        <v>71507689</v>
      </c>
    </row>
    <row r="48" spans="1:21" s="79" customFormat="1" ht="13.2">
      <c r="A48" s="129" t="s">
        <v>1079</v>
      </c>
      <c r="B48" s="188"/>
      <c r="C48" s="188"/>
      <c r="D48" s="190"/>
      <c r="E48" s="287"/>
      <c r="F48" s="136">
        <f>Q48/20</f>
        <v>1039723.45</v>
      </c>
      <c r="G48" s="190">
        <f t="shared" ref="G48" si="85">F48/F47-1</f>
        <v>-0.12846814066402512</v>
      </c>
      <c r="H48" s="190">
        <f t="shared" ref="H48" si="86">F48/F36-1</f>
        <v>-0.11802610658492296</v>
      </c>
      <c r="I48" s="130">
        <f t="shared" si="0"/>
        <v>3.439315948751319</v>
      </c>
      <c r="J48" s="130">
        <f t="shared" si="5"/>
        <v>-5.1143577866367029E-2</v>
      </c>
      <c r="K48" s="136"/>
      <c r="L48" s="190"/>
      <c r="M48" s="190"/>
      <c r="N48" s="191"/>
      <c r="O48" s="192"/>
      <c r="P48" s="129" t="s">
        <v>1123</v>
      </c>
      <c r="Q48" s="116">
        <f>산화방지조제품!Q48+'산화방지조제품(2)'!Q48+'산화방지조제품(3)'!Q48</f>
        <v>20794469</v>
      </c>
      <c r="R48" s="116">
        <f>산화방지조제품!R48+'산화방지조제품(2)'!R48+'산화방지조제품(3)'!R48</f>
        <v>28848106969</v>
      </c>
      <c r="S48" s="116">
        <f>산화방지조제품!S48+'산화방지조제품(2)'!S48+'산화방지조제품(3)'!S48</f>
        <v>6046106.0600000005</v>
      </c>
      <c r="T48" s="130">
        <f t="shared" ref="T48" si="87">Q48/S48</f>
        <v>3.439315948751319</v>
      </c>
      <c r="U48" s="85">
        <f t="shared" si="81"/>
        <v>71274281</v>
      </c>
    </row>
    <row r="49" spans="1:26" ht="13.2">
      <c r="A49" s="129" t="s">
        <v>1217</v>
      </c>
      <c r="B49" s="188">
        <f>SUM(F47:F49)</f>
        <v>3417720.0013833987</v>
      </c>
      <c r="C49" s="188">
        <f>AVERAGE(F47:F49)</f>
        <v>1139240.000461133</v>
      </c>
      <c r="D49" s="190">
        <f>C49/C46-1</f>
        <v>4.1236743656861474E-2</v>
      </c>
      <c r="E49" s="287">
        <f>C49/C37-1</f>
        <v>-7.6652657634798116E-2</v>
      </c>
      <c r="F49" s="136">
        <f>Q49/22</f>
        <v>1185012.6818181819</v>
      </c>
      <c r="G49" s="190">
        <f t="shared" ref="G49" si="88">F49/F48-1</f>
        <v>0.13973834274698915</v>
      </c>
      <c r="H49" s="190">
        <f t="shared" ref="H49" si="89">F49/F37-1</f>
        <v>-6.4063518353053905E-2</v>
      </c>
      <c r="I49" s="130">
        <f t="shared" si="0"/>
        <v>3.4631193170506358</v>
      </c>
      <c r="J49" s="130">
        <f t="shared" si="5"/>
        <v>-5.3048795811231342E-3</v>
      </c>
      <c r="K49" s="136">
        <f>R47+R48+R49</f>
        <v>102676377172</v>
      </c>
      <c r="L49" s="190">
        <f>U49/U46-1</f>
        <v>0.11782844658649894</v>
      </c>
      <c r="M49" s="190">
        <f>K49/K37-1</f>
        <v>-1.4787742508835744E-2</v>
      </c>
      <c r="N49" s="191">
        <f>AVERAGE(T47:T49)</f>
        <v>3.5412429070273883</v>
      </c>
      <c r="O49" s="192">
        <f>N49/N46-1</f>
        <v>4.7150888074285469E-3</v>
      </c>
      <c r="P49" s="129" t="s">
        <v>1158</v>
      </c>
      <c r="Q49" s="116">
        <f>산화방지조제품!Q49+'산화방지조제품(2)'!Q49+'산화방지조제품(3)'!Q49</f>
        <v>26070279</v>
      </c>
      <c r="R49" s="116">
        <f>산화방지조제품!R49+'산화방지조제품(2)'!R49+'산화방지조제품(3)'!R49</f>
        <v>36239534209</v>
      </c>
      <c r="S49" s="116">
        <f>산화방지조제품!S49+'산화방지조제품(2)'!S49+'산화방지조제품(3)'!S49</f>
        <v>7527975.9700000007</v>
      </c>
      <c r="T49" s="130">
        <f t="shared" ref="T49" si="90">Q49/S49</f>
        <v>3.4631193170506358</v>
      </c>
      <c r="U49" s="85">
        <f t="shared" si="81"/>
        <v>74303377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889871.33333333337</v>
      </c>
      <c r="G50" s="190">
        <f t="shared" ref="G50" si="91">F50/F49-1</f>
        <v>-0.24906176365303445</v>
      </c>
      <c r="H50" s="190">
        <f t="shared" ref="H50" si="92">F50/F38-1</f>
        <v>-0.34081173265996523</v>
      </c>
      <c r="I50" s="130">
        <f t="shared" ref="I50" si="93">T50</f>
        <v>3.3605769013803473</v>
      </c>
      <c r="J50" s="130">
        <f t="shared" ref="J50" si="94">I50/I38-1</f>
        <v>-6.4194822081930503E-2</v>
      </c>
      <c r="K50" s="136"/>
      <c r="L50" s="190"/>
      <c r="M50" s="190"/>
      <c r="N50" s="191"/>
      <c r="O50" s="192"/>
      <c r="P50" s="129" t="s">
        <v>1291</v>
      </c>
      <c r="Q50" s="116">
        <f>산화방지조제품!Q50+'산화방지조제품(2)'!Q50+'산화방지조제품(3)'!Q50</f>
        <v>16017684</v>
      </c>
      <c r="R50" s="116">
        <f>산화방지조제품!R50+'산화방지조제품(2)'!R50+'산화방지조제품(3)'!R50</f>
        <v>22695889923</v>
      </c>
      <c r="S50" s="116">
        <f>산화방지조제품!S50+'산화방지조제품(2)'!S50+'산화방지조제품(3)'!S50</f>
        <v>4766349.49</v>
      </c>
      <c r="T50" s="130">
        <f t="shared" ref="T50" si="95">Q50/S50</f>
        <v>3.3605769013803473</v>
      </c>
      <c r="U50" s="85">
        <f t="shared" si="81"/>
        <v>62882432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789312.7</v>
      </c>
      <c r="G51" s="190">
        <f t="shared" ref="G51:G52" si="96">F51/F50-1</f>
        <v>-0.11300356530944178</v>
      </c>
      <c r="H51" s="190">
        <f t="shared" ref="H51:H52" si="97">F51/F39-1</f>
        <v>-0.14816732474379612</v>
      </c>
      <c r="I51" s="130">
        <f t="shared" ref="I51:I52" si="98">T51</f>
        <v>3.6182173160052074</v>
      </c>
      <c r="J51" s="130">
        <f t="shared" ref="J51:J52" si="99">I51/I39-1</f>
        <v>-5.3758381629820384E-4</v>
      </c>
      <c r="K51" s="136"/>
      <c r="L51" s="190"/>
      <c r="M51" s="190"/>
      <c r="N51" s="191"/>
      <c r="O51" s="192"/>
      <c r="P51" s="129" t="s">
        <v>1402</v>
      </c>
      <c r="Q51" s="116">
        <f>산화방지조제품!Q51+'산화방지조제품(2)'!Q51+'산화방지조제품(3)'!Q51</f>
        <v>15786254</v>
      </c>
      <c r="R51" s="116">
        <f>산화방지조제품!R51+'산화방지조제품(2)'!R51+'산화방지조제품(3)'!R51</f>
        <v>22944614069</v>
      </c>
      <c r="S51" s="116">
        <f>산화방지조제품!S51+'산화방지조제품(2)'!S51+'산화방지조제품(3)'!S51</f>
        <v>4362992.22</v>
      </c>
      <c r="T51" s="130">
        <f t="shared" ref="T51:T52" si="100">Q51/S51</f>
        <v>3.6182173160052074</v>
      </c>
      <c r="U51" s="85">
        <f t="shared" si="81"/>
        <v>57874217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2660912.8060606057</v>
      </c>
      <c r="C52" s="188">
        <f>AVERAGE(F50:F52)</f>
        <v>886970.93535353523</v>
      </c>
      <c r="D52" s="190">
        <f>C52/C49-1</f>
        <v>-0.22143627769871688</v>
      </c>
      <c r="E52" s="287">
        <f>C52/C40-1</f>
        <v>-0.23334242862400045</v>
      </c>
      <c r="F52" s="136">
        <f>Q52/22</f>
        <v>981728.77272727271</v>
      </c>
      <c r="G52" s="190">
        <f t="shared" si="96"/>
        <v>0.24377673478112394</v>
      </c>
      <c r="H52" s="190">
        <f t="shared" si="97"/>
        <v>-0.1779478503301527</v>
      </c>
      <c r="I52" s="130">
        <f t="shared" si="98"/>
        <v>3.1537795082363722</v>
      </c>
      <c r="J52" s="130">
        <f t="shared" si="99"/>
        <v>-0.13543620716969362</v>
      </c>
      <c r="K52" s="136">
        <f>R50+R51+R52</f>
        <v>77418414723</v>
      </c>
      <c r="L52" s="190">
        <f>U52/U49-1</f>
        <v>-0.2812981972542109</v>
      </c>
      <c r="M52" s="190">
        <f>K52/K40-1</f>
        <v>-0.21794725880114985</v>
      </c>
      <c r="N52" s="191">
        <f>AVERAGE(T50:T52)</f>
        <v>3.3775245752073091</v>
      </c>
      <c r="O52" s="192">
        <f>N52/N49-1</f>
        <v>-4.6231884148695279E-2</v>
      </c>
      <c r="P52" s="129" t="s">
        <v>1403</v>
      </c>
      <c r="Q52" s="116">
        <f>산화방지조제품!Q52+'산화방지조제품(2)'!Q52+'산화방지조제품(3)'!Q52</f>
        <v>21598033</v>
      </c>
      <c r="R52" s="116">
        <f>산화방지조제품!R52+'산화방지조제품(2)'!R52+'산화방지조제품(3)'!R52</f>
        <v>31777910731</v>
      </c>
      <c r="S52" s="116">
        <f>산화방지조제품!S52+'산화방지조제품(2)'!S52+'산화방지조제품(3)'!S52</f>
        <v>6848301.5199999996</v>
      </c>
      <c r="T52" s="130">
        <f t="shared" si="100"/>
        <v>3.1537795082363722</v>
      </c>
      <c r="U52" s="85">
        <f t="shared" ref="U52" si="101">Q50+Q51+Q52</f>
        <v>53401971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927010.52380952379</v>
      </c>
      <c r="G53" s="190">
        <f t="shared" ref="G53" si="102">F53/F52-1</f>
        <v>-5.5736625469109957E-2</v>
      </c>
      <c r="H53" s="190">
        <f t="shared" ref="H53" si="103">F53/F41-1</f>
        <v>-0.22842276678316664</v>
      </c>
      <c r="I53" s="130">
        <f t="shared" ref="I53" si="104">T53</f>
        <v>3.1301234447694255</v>
      </c>
      <c r="J53" s="130">
        <f t="shared" ref="J53" si="105">I53/I41-1</f>
        <v>-0.11235768142831626</v>
      </c>
      <c r="K53" s="136"/>
      <c r="L53" s="190"/>
      <c r="M53" s="190"/>
      <c r="N53" s="191"/>
      <c r="O53" s="192"/>
      <c r="P53" s="129" t="s">
        <v>1414</v>
      </c>
      <c r="Q53" s="116">
        <f>산화방지조제품!Q53+'산화방지조제품(2)'!Q53+'산화방지조제품(3)'!Q53</f>
        <v>19467221</v>
      </c>
      <c r="R53" s="116">
        <f>산화방지조제품!R53+'산화방지조제품(2)'!R53+'산화방지조제품(3)'!R53</f>
        <v>28360521590</v>
      </c>
      <c r="S53" s="116">
        <f>산화방지조제품!S53+'산화방지조제품(2)'!S53+'산화방지조제품(3)'!S53</f>
        <v>6219314.1400000006</v>
      </c>
      <c r="T53" s="130">
        <f t="shared" ref="T53" si="106">Q53/S53</f>
        <v>3.1301234447694255</v>
      </c>
      <c r="U53" s="85">
        <f t="shared" ref="U53" si="107">Q51+Q52+Q53</f>
        <v>56851508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1155912</v>
      </c>
      <c r="G54" s="190">
        <f t="shared" ref="G54" si="108">F54/F53-1</f>
        <v>0.24692435556158743</v>
      </c>
      <c r="H54" s="190">
        <f t="shared" ref="H54" si="109">F54/F42-1</f>
        <v>-0.13712400871347163</v>
      </c>
      <c r="I54" s="130">
        <f t="shared" ref="I54" si="110">T54</f>
        <v>3.1960966215960345</v>
      </c>
      <c r="J54" s="130">
        <f t="shared" ref="J54" si="111">I54/I42-1</f>
        <v>-0.1146638344865164</v>
      </c>
      <c r="K54" s="136"/>
      <c r="L54" s="190"/>
      <c r="M54" s="190"/>
      <c r="N54" s="191"/>
      <c r="O54" s="192"/>
      <c r="P54" s="129" t="s">
        <v>1417</v>
      </c>
      <c r="Q54" s="116">
        <f>산화방지조제품!Q54+'산화방지조제품(2)'!Q54+'산화방지조제품(3)'!Q54</f>
        <v>19650504</v>
      </c>
      <c r="R54" s="116">
        <f>산화방지조제품!R54+'산화방지조제품(2)'!R54+'산화방지조제품(3)'!R54</f>
        <v>28465338795</v>
      </c>
      <c r="S54" s="116">
        <f>산화방지조제품!S54+'산화방지조제품(2)'!S54+'산화방지조제품(3)'!S54</f>
        <v>6148282.21</v>
      </c>
      <c r="T54" s="130">
        <f t="shared" ref="T54" si="112">Q54/S54</f>
        <v>3.1960966215960345</v>
      </c>
      <c r="U54" s="85">
        <f t="shared" ref="U54" si="113">Q52+Q53+Q54</f>
        <v>60715758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3210505.666666667</v>
      </c>
      <c r="C55" s="188">
        <f>AVERAGE(F53:F55)</f>
        <v>1070168.5555555557</v>
      </c>
      <c r="D55" s="190">
        <f>C55/C52-1</f>
        <v>0.20654298004590221</v>
      </c>
      <c r="E55" s="287">
        <f>C55/C43-1</f>
        <v>-0.14182663401420936</v>
      </c>
      <c r="F55" s="136">
        <f>Q55/21</f>
        <v>1127583.142857143</v>
      </c>
      <c r="G55" s="190">
        <f t="shared" ref="G55" si="114">F55/F54-1</f>
        <v>-2.4507797429957456E-2</v>
      </c>
      <c r="H55" s="190">
        <f t="shared" ref="H55" si="115">F55/F43-1</f>
        <v>-6.0378349315951318E-2</v>
      </c>
      <c r="I55" s="130">
        <f>T55</f>
        <v>3.0720143558141366</v>
      </c>
      <c r="J55" s="130">
        <f t="shared" ref="J55" si="116">I55/I43-1</f>
        <v>-0.15232923211935956</v>
      </c>
      <c r="K55" s="136">
        <f>R53+R54+R55</f>
        <v>91762248636</v>
      </c>
      <c r="L55" s="190">
        <f>U55/U52-1</f>
        <v>0.17592983599800083</v>
      </c>
      <c r="M55" s="190">
        <f>K55/K43-1</f>
        <v>-0.12734908339770412</v>
      </c>
      <c r="N55" s="191">
        <f>AVERAGE(T53:T55)</f>
        <v>3.1327448073931987</v>
      </c>
      <c r="O55" s="192">
        <f>N55/N52-1</f>
        <v>-7.2473127097553713E-2</v>
      </c>
      <c r="P55" s="129" t="s">
        <v>1418</v>
      </c>
      <c r="Q55" s="116">
        <f>산화방지조제품!Q55+'산화방지조제품(2)'!Q55+'산화방지조제품(3)'!Q55</f>
        <v>23679246</v>
      </c>
      <c r="R55" s="116">
        <f>산화방지조제품!R55+'산화방지조제품(2)'!R55+'산화방지조제품(3)'!R55</f>
        <v>34936388251</v>
      </c>
      <c r="S55" s="116">
        <f>산화방지조제품!S55+'산화방지조제품(2)'!S55+'산화방지조제품(3)'!S55</f>
        <v>7708051.8700000001</v>
      </c>
      <c r="T55" s="130">
        <f t="shared" ref="T55" si="117">Q55/S55</f>
        <v>3.0720143558141366</v>
      </c>
      <c r="U55" s="85">
        <f t="shared" ref="U55" si="118">Q53+Q54+Q55</f>
        <v>62796971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1311449.2272727273</v>
      </c>
      <c r="G56" s="190">
        <f t="shared" ref="G56" si="119">F56/F55-1</f>
        <v>0.1630621081738528</v>
      </c>
      <c r="H56" s="190">
        <f t="shared" ref="H56" si="120">F56/F44-1</f>
        <v>0.28790854223133611</v>
      </c>
      <c r="I56" s="291">
        <f>T56</f>
        <v>3.3230581712836811</v>
      </c>
      <c r="J56" s="130">
        <f t="shared" ref="J56" si="121">I56/I44-1</f>
        <v>-5.3843207342331612E-2</v>
      </c>
      <c r="K56" s="136"/>
      <c r="L56" s="190"/>
      <c r="M56" s="190"/>
      <c r="N56" s="191"/>
      <c r="O56" s="192"/>
      <c r="P56" s="129" t="s">
        <v>1420</v>
      </c>
      <c r="Q56" s="116">
        <f>산화방지조제품!Q56+'산화방지조제품(2)'!Q56+'산화방지조제품(3)'!Q56</f>
        <v>28851883</v>
      </c>
      <c r="R56" s="116">
        <f>산화방지조제품!R56+'산화방지조제품(2)'!R56+'산화방지조제품(3)'!R56</f>
        <v>43057737996</v>
      </c>
      <c r="S56" s="116">
        <f>산화방지조제품!S56+'산화방지조제품(2)'!S56+'산화방지조제품(3)'!S56</f>
        <v>8682328.5999999996</v>
      </c>
      <c r="T56" s="130">
        <f t="shared" ref="T56" si="122">Q56/S56</f>
        <v>3.3230581712836811</v>
      </c>
      <c r="U56" s="85">
        <f t="shared" ref="U56" si="123">Q54+Q55+Q56</f>
        <v>72181633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1434731.6666666667</v>
      </c>
      <c r="G57" s="254">
        <f t="shared" ref="G57" si="124">F57/F56-1</f>
        <v>9.4004736767671959E-2</v>
      </c>
      <c r="H57" s="254">
        <f t="shared" ref="H57" si="125">F57/F45-1</f>
        <v>0.36459963758268765</v>
      </c>
      <c r="I57" s="282">
        <f>T57</f>
        <v>3.0911882156144133</v>
      </c>
      <c r="J57" s="277">
        <f t="shared" ref="J57" si="126">I57/I45-1</f>
        <v>-0.15340866768374839</v>
      </c>
      <c r="K57" s="204"/>
      <c r="L57" s="254"/>
      <c r="M57" s="254"/>
      <c r="N57" s="257"/>
      <c r="O57" s="258"/>
      <c r="P57" s="129" t="s">
        <v>1436</v>
      </c>
      <c r="Q57" s="116">
        <f>산화방지조제품!Q57+'산화방지조제품(2)'!Q57+'산화방지조제품(3)'!Q57</f>
        <v>17216780</v>
      </c>
      <c r="R57" s="116">
        <f>산화방지조제품!R57+'산화방지조제품(2)'!R57+'산화방지조제품(3)'!R57</f>
        <v>25366445679</v>
      </c>
      <c r="S57" s="116">
        <f>산화방지조제품!S57+'산화방지조제품(2)'!S57+'산화방지조제품(3)'!S57</f>
        <v>5569631.7400000002</v>
      </c>
      <c r="T57" s="130">
        <f t="shared" ref="T57" si="127">Q57/S57</f>
        <v>3.0911882156144133</v>
      </c>
      <c r="U57" s="85">
        <f t="shared" ref="U57" si="128">Q55+Q56+Q57</f>
        <v>69747909</v>
      </c>
      <c r="V57" s="79"/>
      <c r="W57" s="79"/>
      <c r="X57" s="79"/>
      <c r="Y57" s="79"/>
      <c r="Z57" s="79"/>
    </row>
    <row r="58" spans="1:26">
      <c r="B58" s="196">
        <f>SUM(F56:F58)</f>
        <v>2746180.893939394</v>
      </c>
      <c r="C58" s="196">
        <f>AVERAGE(F56:F58)</f>
        <v>1373090.446969697</v>
      </c>
      <c r="D58" s="197">
        <f>C58/C55-1</f>
        <v>0.28305998138478827</v>
      </c>
      <c r="E58" s="233">
        <f>C58/C46-1</f>
        <v>0.25497017763628693</v>
      </c>
    </row>
  </sheetData>
  <phoneticPr fontId="1" type="noConversion"/>
  <conditionalFormatting sqref="C29:C30">
    <cfRule type="cellIs" dxfId="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84">
    <tabColor rgb="FFFF0000"/>
  </sheetPr>
  <dimension ref="A1:Z71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3812391000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85" t="s">
        <v>271</v>
      </c>
      <c r="F4" s="84" t="s">
        <v>73</v>
      </c>
      <c r="G4" s="172" t="s">
        <v>282</v>
      </c>
      <c r="H4" s="172" t="s">
        <v>271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461065.55</v>
      </c>
      <c r="G5" s="90"/>
      <c r="H5" s="90"/>
      <c r="I5" s="130">
        <f t="shared" ref="I5:I49" si="0">T5</f>
        <v>4.8411804080818372</v>
      </c>
      <c r="J5" s="130"/>
      <c r="L5" s="80"/>
      <c r="M5" s="80"/>
      <c r="P5" s="129" t="s">
        <v>0</v>
      </c>
      <c r="Q5" s="116">
        <v>9221311</v>
      </c>
      <c r="R5" s="116"/>
      <c r="S5" s="116">
        <v>1904765</v>
      </c>
      <c r="T5" s="130">
        <f t="shared" ref="T5:T18" si="1">Q5/S5</f>
        <v>4.8411804080818372</v>
      </c>
      <c r="U5" s="85"/>
    </row>
    <row r="6" spans="1:21" ht="15" hidden="1" customHeight="1">
      <c r="A6" s="129" t="s">
        <v>1</v>
      </c>
      <c r="C6" s="79"/>
      <c r="F6" s="78">
        <f>Q6/18</f>
        <v>392747.83333333331</v>
      </c>
      <c r="G6" s="90">
        <f t="shared" ref="G6:G16" si="2">F6/F5-1</f>
        <v>-0.14817354423176199</v>
      </c>
      <c r="H6" s="90"/>
      <c r="I6" s="130">
        <f t="shared" si="0"/>
        <v>4.3150777993988951</v>
      </c>
      <c r="J6" s="130"/>
      <c r="P6" s="129" t="s">
        <v>1</v>
      </c>
      <c r="Q6" s="116">
        <v>7069461</v>
      </c>
      <c r="R6" s="116"/>
      <c r="S6" s="116">
        <v>1638316</v>
      </c>
      <c r="T6" s="130">
        <f t="shared" si="1"/>
        <v>4.3150777993988951</v>
      </c>
      <c r="U6" s="85"/>
    </row>
    <row r="7" spans="1:21" ht="15" hidden="1" customHeight="1">
      <c r="A7" s="129" t="s">
        <v>2</v>
      </c>
      <c r="B7" s="131">
        <f>F5+F6+F7</f>
        <v>1263731.156060606</v>
      </c>
      <c r="C7" s="131">
        <f>AVERAGE(F5:F7)</f>
        <v>421243.71868686867</v>
      </c>
      <c r="F7" s="78">
        <f>Q7/22</f>
        <v>409917.77272727271</v>
      </c>
      <c r="G7" s="90">
        <f t="shared" si="2"/>
        <v>4.3717464328738576E-2</v>
      </c>
      <c r="H7" s="90"/>
      <c r="I7" s="130">
        <f t="shared" si="0"/>
        <v>4.0338062302155118</v>
      </c>
      <c r="J7" s="130"/>
      <c r="K7" s="79">
        <f>R5+R6+R7</f>
        <v>0</v>
      </c>
      <c r="N7" s="88">
        <f>AVERAGE(T5:T7)</f>
        <v>4.3966881458987475</v>
      </c>
      <c r="P7" s="129" t="s">
        <v>2</v>
      </c>
      <c r="Q7" s="116">
        <v>9018191</v>
      </c>
      <c r="R7" s="116"/>
      <c r="S7" s="116">
        <v>2235653</v>
      </c>
      <c r="T7" s="130">
        <f t="shared" si="1"/>
        <v>4.0338062302155118</v>
      </c>
      <c r="U7" s="85">
        <f>Q5+Q6+Q7</f>
        <v>25308963</v>
      </c>
    </row>
    <row r="8" spans="1:21" ht="15" hidden="1" customHeight="1">
      <c r="A8" s="129" t="s">
        <v>3</v>
      </c>
      <c r="C8" s="79"/>
      <c r="F8" s="78">
        <f>Q8/21</f>
        <v>535362.76190476189</v>
      </c>
      <c r="G8" s="90">
        <f t="shared" si="2"/>
        <v>0.30602476282713043</v>
      </c>
      <c r="H8" s="90"/>
      <c r="I8" s="130">
        <f t="shared" si="0"/>
        <v>4.8702316200232536</v>
      </c>
      <c r="J8" s="130"/>
      <c r="K8" s="78"/>
      <c r="P8" s="129" t="s">
        <v>3</v>
      </c>
      <c r="Q8" s="116">
        <v>11242618</v>
      </c>
      <c r="R8" s="116"/>
      <c r="S8" s="116">
        <v>2308436</v>
      </c>
      <c r="T8" s="130">
        <f t="shared" si="1"/>
        <v>4.8702316200232536</v>
      </c>
      <c r="U8" s="85"/>
    </row>
    <row r="9" spans="1:21" ht="15" hidden="1" customHeight="1">
      <c r="A9" s="129" t="s">
        <v>4</v>
      </c>
      <c r="C9" s="79"/>
      <c r="F9" s="78">
        <f>Q9/21</f>
        <v>475173.61904761905</v>
      </c>
      <c r="G9" s="90">
        <f t="shared" si="2"/>
        <v>-0.11242683865982106</v>
      </c>
      <c r="H9" s="90"/>
      <c r="I9" s="130">
        <f t="shared" si="0"/>
        <v>4.8842362157010832</v>
      </c>
      <c r="J9" s="130"/>
      <c r="K9" s="78"/>
      <c r="P9" s="129" t="s">
        <v>4</v>
      </c>
      <c r="Q9" s="116">
        <v>9978646</v>
      </c>
      <c r="R9" s="116"/>
      <c r="S9" s="116">
        <v>2043031</v>
      </c>
      <c r="T9" s="130">
        <f t="shared" si="1"/>
        <v>4.8842362157010832</v>
      </c>
      <c r="U9" s="85"/>
    </row>
    <row r="10" spans="1:21" ht="15" hidden="1" customHeight="1">
      <c r="A10" s="129" t="s">
        <v>5</v>
      </c>
      <c r="B10" s="131">
        <f>F8+F9+F10</f>
        <v>1418888.0952380951</v>
      </c>
      <c r="C10" s="131">
        <f>AVERAGE(F8:F10)</f>
        <v>472962.6984126984</v>
      </c>
      <c r="D10" s="90">
        <f>C10/C7-1</f>
        <v>0.12277685679694383</v>
      </c>
      <c r="E10" s="286"/>
      <c r="F10" s="78">
        <f>Q10/21</f>
        <v>408351.71428571426</v>
      </c>
      <c r="G10" s="90">
        <f t="shared" si="2"/>
        <v>-0.14062629338689847</v>
      </c>
      <c r="H10" s="90"/>
      <c r="I10" s="130">
        <f t="shared" si="0"/>
        <v>4.8743447640809645</v>
      </c>
      <c r="J10" s="130"/>
      <c r="K10" s="79">
        <f>R8+R9+R10</f>
        <v>0</v>
      </c>
      <c r="L10" s="87">
        <f>U10/U7-1</f>
        <v>0.17731611524344171</v>
      </c>
      <c r="N10" s="88">
        <f>AVERAGE(T8:T10)</f>
        <v>4.8762708666017671</v>
      </c>
      <c r="O10" s="89">
        <f>N10/N7-1</f>
        <v>0.10907817538762132</v>
      </c>
      <c r="P10" s="129" t="s">
        <v>5</v>
      </c>
      <c r="Q10" s="116">
        <v>8575386</v>
      </c>
      <c r="R10" s="116"/>
      <c r="S10" s="116">
        <v>1759290</v>
      </c>
      <c r="T10" s="130">
        <f t="shared" si="1"/>
        <v>4.8743447640809645</v>
      </c>
      <c r="U10" s="85">
        <f>Q8+Q9+Q10</f>
        <v>29796650</v>
      </c>
    </row>
    <row r="11" spans="1:21" ht="15" hidden="1" customHeight="1">
      <c r="A11" s="129" t="s">
        <v>6</v>
      </c>
      <c r="C11" s="79"/>
      <c r="F11" s="78">
        <f>Q11/21</f>
        <v>337068.47619047621</v>
      </c>
      <c r="G11" s="90">
        <f t="shared" si="2"/>
        <v>-0.17456333744043695</v>
      </c>
      <c r="H11" s="90"/>
      <c r="I11" s="130">
        <f t="shared" si="0"/>
        <v>5.2950732235335654</v>
      </c>
      <c r="J11" s="130"/>
      <c r="K11" s="78"/>
      <c r="O11" s="89"/>
      <c r="P11" s="129" t="s">
        <v>6</v>
      </c>
      <c r="Q11" s="116">
        <v>7078438</v>
      </c>
      <c r="R11" s="116"/>
      <c r="S11" s="116">
        <v>1336797</v>
      </c>
      <c r="T11" s="130">
        <f t="shared" si="1"/>
        <v>5.2950732235335654</v>
      </c>
      <c r="U11" s="85"/>
    </row>
    <row r="12" spans="1:21" ht="15" hidden="1" customHeight="1">
      <c r="A12" s="129" t="s">
        <v>7</v>
      </c>
      <c r="C12" s="79"/>
      <c r="F12" s="78">
        <f>Q12/22</f>
        <v>317611.59090909088</v>
      </c>
      <c r="G12" s="90">
        <f t="shared" si="2"/>
        <v>-5.772383552827498E-2</v>
      </c>
      <c r="H12" s="90"/>
      <c r="I12" s="130">
        <f t="shared" si="0"/>
        <v>5.1086439177318423</v>
      </c>
      <c r="J12" s="130"/>
      <c r="K12" s="78"/>
      <c r="O12" s="89"/>
      <c r="P12" s="129" t="s">
        <v>7</v>
      </c>
      <c r="Q12" s="116">
        <v>6987455</v>
      </c>
      <c r="R12" s="116"/>
      <c r="S12" s="116">
        <v>1367771</v>
      </c>
      <c r="T12" s="130">
        <f t="shared" si="1"/>
        <v>5.1086439177318423</v>
      </c>
      <c r="U12" s="85"/>
    </row>
    <row r="13" spans="1:21" ht="15" hidden="1" customHeight="1">
      <c r="A13" s="129" t="s">
        <v>96</v>
      </c>
      <c r="B13" s="131">
        <f>F11+F12+F13</f>
        <v>1032821.4670995671</v>
      </c>
      <c r="C13" s="131">
        <f>AVERAGE(F11:F13)</f>
        <v>344273.82236652233</v>
      </c>
      <c r="D13" s="90">
        <f>C13/C10-1</f>
        <v>-0.27209096294076995</v>
      </c>
      <c r="E13" s="286"/>
      <c r="F13" s="78">
        <f>Q13/20</f>
        <v>378141.4</v>
      </c>
      <c r="G13" s="90">
        <f t="shared" si="2"/>
        <v>0.19057808601271864</v>
      </c>
      <c r="H13" s="90"/>
      <c r="I13" s="130">
        <f t="shared" si="0"/>
        <v>5.4247574835094525</v>
      </c>
      <c r="J13" s="130"/>
      <c r="K13" s="78">
        <f>R11+R12+R13</f>
        <v>0</v>
      </c>
      <c r="L13" s="87">
        <f>U13/U10-1</f>
        <v>-0.27412239295357033</v>
      </c>
      <c r="N13" s="88">
        <f>AVERAGE(T11:T13)</f>
        <v>5.2761582082582867</v>
      </c>
      <c r="O13" s="89">
        <f>N13/N10-1</f>
        <v>8.2006794248326464E-2</v>
      </c>
      <c r="P13" s="129" t="s">
        <v>96</v>
      </c>
      <c r="Q13" s="116">
        <v>7562828</v>
      </c>
      <c r="R13" s="116"/>
      <c r="S13" s="116">
        <v>1394132</v>
      </c>
      <c r="T13" s="130">
        <f t="shared" si="1"/>
        <v>5.4247574835094525</v>
      </c>
      <c r="U13" s="85">
        <f>Q11+Q12+Q13</f>
        <v>21628721</v>
      </c>
    </row>
    <row r="14" spans="1:21" ht="15" hidden="1" customHeight="1">
      <c r="A14" s="129" t="s">
        <v>97</v>
      </c>
      <c r="C14" s="79"/>
      <c r="F14" s="78">
        <f>Q14/20</f>
        <v>284670.7</v>
      </c>
      <c r="G14" s="90">
        <f t="shared" si="2"/>
        <v>-0.247184518806986</v>
      </c>
      <c r="H14" s="90"/>
      <c r="I14" s="130">
        <f t="shared" si="0"/>
        <v>4.4820326307295666</v>
      </c>
      <c r="J14" s="130"/>
      <c r="O14" s="89"/>
      <c r="P14" s="129" t="s">
        <v>97</v>
      </c>
      <c r="Q14" s="116">
        <v>5693414</v>
      </c>
      <c r="R14" s="116"/>
      <c r="S14" s="116">
        <v>1270275</v>
      </c>
      <c r="T14" s="130">
        <f t="shared" si="1"/>
        <v>4.4820326307295666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196523.77272727274</v>
      </c>
      <c r="G15" s="90">
        <f t="shared" si="2"/>
        <v>-0.30964524017655237</v>
      </c>
      <c r="H15" s="90"/>
      <c r="I15" s="130">
        <f t="shared" si="0"/>
        <v>4.4506972224338242</v>
      </c>
      <c r="J15" s="130"/>
      <c r="O15" s="89"/>
      <c r="P15" s="129" t="s">
        <v>98</v>
      </c>
      <c r="Q15" s="116">
        <v>4323523</v>
      </c>
      <c r="R15" s="116"/>
      <c r="S15" s="116">
        <v>971426</v>
      </c>
      <c r="T15" s="130">
        <f t="shared" si="1"/>
        <v>4.4506972224338242</v>
      </c>
      <c r="U15" s="85"/>
    </row>
    <row r="16" spans="1:21" ht="15" hidden="1" customHeight="1">
      <c r="A16" s="129" t="s">
        <v>99</v>
      </c>
      <c r="B16" s="131">
        <f>F14+F15+F16</f>
        <v>735905.92727272736</v>
      </c>
      <c r="C16" s="131">
        <f>AVERAGE(F14:F16)</f>
        <v>245301.9757575758</v>
      </c>
      <c r="D16" s="90">
        <f>C16/C13-1</f>
        <v>-0.28748002368759451</v>
      </c>
      <c r="E16" s="286"/>
      <c r="F16" s="78">
        <f>Q16/22</f>
        <v>254711.45454545456</v>
      </c>
      <c r="G16" s="90">
        <f t="shared" si="2"/>
        <v>0.29608469759499378</v>
      </c>
      <c r="H16" s="90"/>
      <c r="I16" s="130">
        <f t="shared" si="0"/>
        <v>4.4649172676100894</v>
      </c>
      <c r="J16" s="130"/>
      <c r="K16" s="78">
        <f>R14+R15+R16</f>
        <v>0</v>
      </c>
      <c r="L16" s="87">
        <f>U16/U13-1</f>
        <v>-0.27778489537129825</v>
      </c>
      <c r="N16" s="88">
        <f>AVERAGE(T14:T16)</f>
        <v>4.4658823735911604</v>
      </c>
      <c r="O16" s="89">
        <f>N16/N13-1</f>
        <v>-0.15357307394590181</v>
      </c>
      <c r="P16" s="129" t="s">
        <v>99</v>
      </c>
      <c r="Q16" s="116">
        <v>5603652</v>
      </c>
      <c r="R16" s="116"/>
      <c r="S16" s="116">
        <v>1255040.5</v>
      </c>
      <c r="T16" s="130">
        <f t="shared" si="1"/>
        <v>4.4649172676100894</v>
      </c>
      <c r="U16" s="85">
        <f>Q14+Q15+Q16</f>
        <v>15620589</v>
      </c>
    </row>
    <row r="17" spans="1:21" ht="15" hidden="1" customHeight="1">
      <c r="A17" s="129" t="s">
        <v>100</v>
      </c>
      <c r="C17" s="79"/>
      <c r="F17" s="78">
        <f>Q17/20</f>
        <v>338067.15</v>
      </c>
      <c r="G17" s="90">
        <f t="shared" ref="G17:G22" si="3">F17/F16-1</f>
        <v>0.3272553863087857</v>
      </c>
      <c r="H17" s="90">
        <f t="shared" ref="H17:H22" si="4">F17/F5-1</f>
        <v>-0.2667698768645802</v>
      </c>
      <c r="I17" s="130">
        <f t="shared" si="0"/>
        <v>4.505561530680378</v>
      </c>
      <c r="J17" s="130">
        <f t="shared" ref="J17:J49" si="5">I17/I5-1</f>
        <v>-6.9325835666272484E-2</v>
      </c>
      <c r="O17" s="89"/>
      <c r="P17" s="129" t="s">
        <v>100</v>
      </c>
      <c r="Q17" s="116">
        <v>6761343</v>
      </c>
      <c r="R17" s="116">
        <v>8476306366</v>
      </c>
      <c r="S17" s="116">
        <v>1500666</v>
      </c>
      <c r="T17" s="130">
        <f t="shared" si="1"/>
        <v>4.505561530680378</v>
      </c>
      <c r="U17" s="78"/>
    </row>
    <row r="18" spans="1:21" ht="15" hidden="1" customHeight="1">
      <c r="A18" s="129" t="s">
        <v>106</v>
      </c>
      <c r="C18" s="79"/>
      <c r="F18" s="78">
        <f>Q18/20</f>
        <v>351028.75</v>
      </c>
      <c r="G18" s="90">
        <f t="shared" si="3"/>
        <v>3.8340311976481578E-2</v>
      </c>
      <c r="H18" s="90">
        <f t="shared" si="4"/>
        <v>-0.10622358621116934</v>
      </c>
      <c r="I18" s="130">
        <f t="shared" si="0"/>
        <v>4.9924550413621605</v>
      </c>
      <c r="J18" s="130">
        <f t="shared" si="5"/>
        <v>0.15697914926531009</v>
      </c>
      <c r="O18" s="89"/>
      <c r="P18" s="129" t="s">
        <v>106</v>
      </c>
      <c r="Q18" s="116">
        <v>7020575</v>
      </c>
      <c r="R18" s="116">
        <v>8763638542</v>
      </c>
      <c r="S18" s="116">
        <v>1406237</v>
      </c>
      <c r="T18" s="130">
        <f t="shared" si="1"/>
        <v>4.9924550413621605</v>
      </c>
      <c r="U18" s="78"/>
    </row>
    <row r="19" spans="1:21" hidden="1">
      <c r="A19" s="129" t="s">
        <v>114</v>
      </c>
      <c r="B19" s="131">
        <f>SUM(F17:F19)</f>
        <v>972259.44545454555</v>
      </c>
      <c r="C19" s="131">
        <f>AVERAGE(F17:F19)</f>
        <v>324086.48181818187</v>
      </c>
      <c r="D19" s="90">
        <f>C19/C16-1</f>
        <v>0.32117354871395865</v>
      </c>
      <c r="E19" s="286">
        <f>C19/C7-1</f>
        <v>-0.23064376406977027</v>
      </c>
      <c r="F19" s="78">
        <f>Q19/22</f>
        <v>283163.54545454547</v>
      </c>
      <c r="G19" s="90">
        <f t="shared" si="3"/>
        <v>-0.19333232547321133</v>
      </c>
      <c r="H19" s="90">
        <f t="shared" si="4"/>
        <v>-0.30921866702534906</v>
      </c>
      <c r="I19" s="130">
        <f t="shared" si="0"/>
        <v>4.6145341279041778</v>
      </c>
      <c r="J19" s="130">
        <f t="shared" si="5"/>
        <v>0.14396524387777543</v>
      </c>
      <c r="K19" s="78">
        <f>R17+R18+R19</f>
        <v>25391676861</v>
      </c>
      <c r="L19" s="87">
        <f>U19/U16-1</f>
        <v>0.28109868328268539</v>
      </c>
      <c r="M19" s="87">
        <f>U19/U7-1</f>
        <v>-0.20931110452846291</v>
      </c>
      <c r="N19" s="88">
        <f>AVERAGE(T17:T19)</f>
        <v>4.7041835666489051</v>
      </c>
      <c r="O19" s="89">
        <f>N19/N16-1</f>
        <v>5.3360382814140017E-2</v>
      </c>
      <c r="P19" s="129" t="s">
        <v>115</v>
      </c>
      <c r="Q19" s="116">
        <v>6229598</v>
      </c>
      <c r="R19" s="116">
        <v>8151731953</v>
      </c>
      <c r="S19" s="116">
        <v>1349995</v>
      </c>
      <c r="T19" s="130">
        <f t="shared" ref="T19" si="6">Q19/S19</f>
        <v>4.6145341279041778</v>
      </c>
      <c r="U19" s="85">
        <f>Q17+Q18+Q19</f>
        <v>20011516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347867.8</v>
      </c>
      <c r="G20" s="90">
        <f t="shared" si="3"/>
        <v>0.22850488907952005</v>
      </c>
      <c r="H20" s="90">
        <f t="shared" si="4"/>
        <v>-0.35022040240093544</v>
      </c>
      <c r="I20" s="130">
        <f t="shared" si="0"/>
        <v>4.8429150671200505</v>
      </c>
      <c r="J20" s="130">
        <f t="shared" si="5"/>
        <v>-5.6088816784185536E-3</v>
      </c>
      <c r="O20" s="89"/>
      <c r="P20" s="129" t="s">
        <v>132</v>
      </c>
      <c r="Q20" s="116">
        <v>6957356</v>
      </c>
      <c r="R20" s="116">
        <v>9105247508</v>
      </c>
      <c r="S20" s="116">
        <v>1436605</v>
      </c>
      <c r="T20" s="130">
        <f t="shared" ref="T20" si="7">Q20/S20</f>
        <v>4.8429150671200505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338818.76190476189</v>
      </c>
      <c r="G21" s="90">
        <f t="shared" si="3"/>
        <v>-2.6012864930982649E-2</v>
      </c>
      <c r="H21" s="90">
        <f t="shared" si="4"/>
        <v>-0.28695797004924317</v>
      </c>
      <c r="I21" s="130">
        <f t="shared" si="0"/>
        <v>5.3753005817858206</v>
      </c>
      <c r="J21" s="130">
        <f t="shared" si="5"/>
        <v>0.10054066683059681</v>
      </c>
      <c r="O21" s="89"/>
      <c r="P21" s="129" t="s">
        <v>141</v>
      </c>
      <c r="Q21" s="116">
        <v>7115194</v>
      </c>
      <c r="R21" s="116">
        <v>9484804378</v>
      </c>
      <c r="S21" s="116">
        <v>1323683</v>
      </c>
      <c r="T21" s="130">
        <f t="shared" ref="T21" si="8">Q21/S21</f>
        <v>5.3753005817858206</v>
      </c>
      <c r="U21" s="78"/>
    </row>
    <row r="22" spans="1:21" hidden="1">
      <c r="A22" s="129" t="s">
        <v>156</v>
      </c>
      <c r="B22" s="131">
        <f>SUM(F20:F22)</f>
        <v>1002074.3238095238</v>
      </c>
      <c r="C22" s="131">
        <f>AVERAGE(F20:F22)</f>
        <v>334024.77460317459</v>
      </c>
      <c r="D22" s="90">
        <f>C22/C19-1</f>
        <v>3.0665557937613386E-2</v>
      </c>
      <c r="E22" s="286">
        <f>C22/C10-1</f>
        <v>-0.29376084895449661</v>
      </c>
      <c r="F22" s="78">
        <f>Q22/21</f>
        <v>315387.76190476189</v>
      </c>
      <c r="G22" s="90">
        <f t="shared" si="3"/>
        <v>-6.9154966118984196E-2</v>
      </c>
      <c r="H22" s="90">
        <f t="shared" si="4"/>
        <v>-0.22765657429298225</v>
      </c>
      <c r="I22" s="130">
        <f t="shared" si="0"/>
        <v>4.7017375920856566</v>
      </c>
      <c r="J22" s="130">
        <f t="shared" si="5"/>
        <v>-3.5411358931204395E-2</v>
      </c>
      <c r="K22" s="78">
        <f>R20+R21+R22</f>
        <v>27231814120</v>
      </c>
      <c r="L22" s="87">
        <f>U22/U19-1</f>
        <v>3.4189163879438267E-2</v>
      </c>
      <c r="M22" s="87">
        <f>U22/U10-1</f>
        <v>-0.30543557748941574</v>
      </c>
      <c r="N22" s="88">
        <f>AVERAGE(T20:T22)</f>
        <v>4.9733177469971759</v>
      </c>
      <c r="O22" s="89">
        <f>N22/N19-1</f>
        <v>5.7211666282825924E-2</v>
      </c>
      <c r="P22" s="129" t="s">
        <v>156</v>
      </c>
      <c r="Q22" s="116">
        <v>6623143</v>
      </c>
      <c r="R22" s="116">
        <v>8641762234</v>
      </c>
      <c r="S22" s="116">
        <v>1408658.58</v>
      </c>
      <c r="T22" s="130">
        <f t="shared" ref="T22:T23" si="9">Q22/S22</f>
        <v>4.7017375920856566</v>
      </c>
      <c r="U22" s="85">
        <f>Q20+Q21+Q22</f>
        <v>20695693</v>
      </c>
    </row>
    <row r="23" spans="1:21" hidden="1">
      <c r="A23" s="129" t="s">
        <v>189</v>
      </c>
      <c r="B23" s="131"/>
      <c r="C23" s="131"/>
      <c r="F23" s="78">
        <f>Q23/21</f>
        <v>294646.47619047621</v>
      </c>
      <c r="G23" s="90">
        <f t="shared" ref="G23" si="10">F23/F22-1</f>
        <v>-6.5764396148475068E-2</v>
      </c>
      <c r="H23" s="90">
        <f t="shared" ref="H23" si="11">F23/F11-1</f>
        <v>-0.12585573257828919</v>
      </c>
      <c r="I23" s="130">
        <f t="shared" si="0"/>
        <v>4.4294577694419486</v>
      </c>
      <c r="J23" s="130">
        <f t="shared" si="5"/>
        <v>-0.16347563433956913</v>
      </c>
      <c r="O23" s="89"/>
      <c r="P23" s="129" t="s">
        <v>189</v>
      </c>
      <c r="Q23" s="116">
        <v>6187576</v>
      </c>
      <c r="R23" s="116">
        <v>8013596001</v>
      </c>
      <c r="S23" s="116">
        <v>1396915</v>
      </c>
      <c r="T23" s="130">
        <f t="shared" si="9"/>
        <v>4.4294577694419486</v>
      </c>
      <c r="U23" s="78"/>
    </row>
    <row r="24" spans="1:21" hidden="1">
      <c r="A24" s="129" t="s">
        <v>204</v>
      </c>
      <c r="B24" s="131"/>
      <c r="C24" s="131"/>
      <c r="F24" s="78">
        <f>Q24/22</f>
        <v>254726.63636363635</v>
      </c>
      <c r="G24" s="90">
        <f t="shared" ref="G24" si="12">F24/F23-1</f>
        <v>-0.13548385286316278</v>
      </c>
      <c r="H24" s="90">
        <f t="shared" ref="H24" si="13">F24/F12-1</f>
        <v>-0.19799326077949697</v>
      </c>
      <c r="I24" s="130">
        <f t="shared" si="0"/>
        <v>4.3605322601604</v>
      </c>
      <c r="J24" s="130">
        <f t="shared" si="5"/>
        <v>-0.14644036061601107</v>
      </c>
      <c r="O24" s="89"/>
      <c r="P24" s="129" t="s">
        <v>204</v>
      </c>
      <c r="Q24" s="116">
        <v>5603986</v>
      </c>
      <c r="R24" s="116">
        <v>7336243568</v>
      </c>
      <c r="S24" s="116">
        <v>1285161</v>
      </c>
      <c r="T24" s="130">
        <f t="shared" ref="T24" si="14">Q24/S24</f>
        <v>4.3605322601604</v>
      </c>
      <c r="U24" s="78"/>
    </row>
    <row r="25" spans="1:21" s="79" customFormat="1" ht="13.2" hidden="1">
      <c r="A25" s="129" t="s">
        <v>218</v>
      </c>
      <c r="B25" s="131">
        <f>SUM(F23:F25)</f>
        <v>943684.79676463886</v>
      </c>
      <c r="C25" s="131">
        <f>AVERAGE(F23:F25)</f>
        <v>314561.59892154631</v>
      </c>
      <c r="D25" s="90">
        <f>C25/C22-1</f>
        <v>-5.8268658978217314E-2</v>
      </c>
      <c r="E25" s="286">
        <f>C25/C13-1</f>
        <v>-8.6304044962627668E-2</v>
      </c>
      <c r="F25" s="78">
        <f>Q25/19</f>
        <v>394311.68421052629</v>
      </c>
      <c r="G25" s="90">
        <f t="shared" ref="G25" si="15">F25/F24-1</f>
        <v>0.54797978664321767</v>
      </c>
      <c r="H25" s="90">
        <f t="shared" ref="H25" si="16">F25/F13-1</f>
        <v>4.2762533302426631E-2</v>
      </c>
      <c r="I25" s="130">
        <f t="shared" si="0"/>
        <v>4.9692384224559918</v>
      </c>
      <c r="J25" s="130">
        <f t="shared" si="5"/>
        <v>-8.3970400969661574E-2</v>
      </c>
      <c r="K25" s="78">
        <f>R23+R24+R25</f>
        <v>25296580086</v>
      </c>
      <c r="L25" s="90">
        <f>U25/U22-1</f>
        <v>-6.8236854885700082E-2</v>
      </c>
      <c r="M25" s="90">
        <f>U25/U13-1</f>
        <v>-0.10843160813808639</v>
      </c>
      <c r="N25" s="88">
        <f>AVERAGE(T23:T25)</f>
        <v>4.5864094840194474</v>
      </c>
      <c r="O25" s="91">
        <f>N25/N22-1</f>
        <v>-7.7796811436658841E-2</v>
      </c>
      <c r="P25" s="129" t="s">
        <v>235</v>
      </c>
      <c r="Q25" s="116">
        <v>7491922</v>
      </c>
      <c r="R25" s="116">
        <v>9946740517</v>
      </c>
      <c r="S25" s="116">
        <v>1507660</v>
      </c>
      <c r="T25" s="130">
        <f t="shared" ref="T25" si="17">Q25/S25</f>
        <v>4.9692384224559918</v>
      </c>
      <c r="U25" s="85">
        <f>Q23+Q24+Q25</f>
        <v>19283484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303497.68421052629</v>
      </c>
      <c r="G26" s="90">
        <f t="shared" ref="G26" si="18">F26/F25-1</f>
        <v>-0.23031019276495401</v>
      </c>
      <c r="H26" s="90">
        <f t="shared" ref="H26" si="19">F26/F14-1</f>
        <v>6.613600981950829E-2</v>
      </c>
      <c r="I26" s="130">
        <f t="shared" si="0"/>
        <v>4.1876189611662822</v>
      </c>
      <c r="J26" s="130">
        <f t="shared" si="5"/>
        <v>-6.5687533719575142E-2</v>
      </c>
      <c r="L26" s="90"/>
      <c r="M26" s="90"/>
      <c r="P26" s="129" t="s">
        <v>312</v>
      </c>
      <c r="Q26" s="116">
        <v>5766456</v>
      </c>
      <c r="R26" s="116">
        <v>7775128467</v>
      </c>
      <c r="S26" s="116">
        <v>1377025</v>
      </c>
      <c r="T26" s="130">
        <f t="shared" ref="T26" si="20">Q26/S26</f>
        <v>4.1876189611662822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319953.09090909088</v>
      </c>
      <c r="G27" s="90">
        <f t="shared" ref="G27" si="21">F27/F26-1</f>
        <v>5.4219216668388137E-2</v>
      </c>
      <c r="H27" s="90">
        <f t="shared" ref="H27" si="22">F27/F15-1</f>
        <v>0.6280630402567533</v>
      </c>
      <c r="I27" s="130">
        <f t="shared" si="0"/>
        <v>4.6582519067551242</v>
      </c>
      <c r="J27" s="130">
        <f t="shared" si="5"/>
        <v>4.6634195486297436E-2</v>
      </c>
      <c r="L27" s="90"/>
      <c r="M27" s="90"/>
      <c r="P27" s="129" t="s">
        <v>375</v>
      </c>
      <c r="Q27" s="116">
        <v>7038968</v>
      </c>
      <c r="R27" s="116">
        <v>9324654780</v>
      </c>
      <c r="S27" s="116">
        <v>1511075</v>
      </c>
      <c r="T27" s="130">
        <f t="shared" ref="T27" si="23">Q27/S27</f>
        <v>4.6582519067551242</v>
      </c>
      <c r="U27" s="78"/>
    </row>
    <row r="28" spans="1:21" s="79" customFormat="1" ht="13.2" hidden="1">
      <c r="A28" s="123" t="s">
        <v>413</v>
      </c>
      <c r="B28" s="131">
        <f>SUM(F26:F28)</f>
        <v>925551.24880382768</v>
      </c>
      <c r="C28" s="131">
        <f>AVERAGE(F26:F28)</f>
        <v>308517.08293460921</v>
      </c>
      <c r="D28" s="90">
        <f>C28/C25-1</f>
        <v>-1.9215683057500765E-2</v>
      </c>
      <c r="E28" s="286">
        <f>C28/C16-1</f>
        <v>0.25770321246620087</v>
      </c>
      <c r="F28" s="78">
        <f>Q28/19</f>
        <v>302100.4736842105</v>
      </c>
      <c r="G28" s="90">
        <f t="shared" ref="G28" si="24">F28/F27-1</f>
        <v>-5.5797608249869679E-2</v>
      </c>
      <c r="H28" s="90">
        <f t="shared" ref="H28" si="25">F28/F16-1</f>
        <v>0.18604981555825217</v>
      </c>
      <c r="I28" s="130">
        <f t="shared" si="0"/>
        <v>4.3219309850469356</v>
      </c>
      <c r="J28" s="130">
        <f t="shared" si="5"/>
        <v>-3.2024396868542526E-2</v>
      </c>
      <c r="K28" s="78">
        <f>R26+R27+R28</f>
        <v>24595507143</v>
      </c>
      <c r="L28" s="90">
        <f>U28/U25-1</f>
        <v>-3.8278923041085267E-2</v>
      </c>
      <c r="M28" s="90">
        <f>U28/U16-1</f>
        <v>0.18723647360544482</v>
      </c>
      <c r="N28" s="88">
        <f>AVERAGE(T26:T28)</f>
        <v>4.3892672843227807</v>
      </c>
      <c r="O28" s="91">
        <f>N28/N25-1</f>
        <v>-4.2983994426048278E-2</v>
      </c>
      <c r="P28" s="129" t="s">
        <v>413</v>
      </c>
      <c r="Q28" s="116">
        <v>5739909</v>
      </c>
      <c r="R28" s="116">
        <v>7495723896</v>
      </c>
      <c r="S28" s="116">
        <v>1328089</v>
      </c>
      <c r="T28" s="130">
        <f t="shared" ref="T28" si="26">Q28/S28</f>
        <v>4.3219309850469356</v>
      </c>
      <c r="U28" s="85">
        <f>Q26+Q27+Q28</f>
        <v>18545333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362914.59090909088</v>
      </c>
      <c r="G29" s="190">
        <f t="shared" ref="G29" si="27">F29/F28-1</f>
        <v>0.20130427629997749</v>
      </c>
      <c r="H29" s="190">
        <f t="shared" ref="H29" si="28">F29/F17-1</f>
        <v>7.349853692998809E-2</v>
      </c>
      <c r="I29" s="130">
        <f t="shared" si="0"/>
        <v>4.7719184267730208</v>
      </c>
      <c r="J29" s="130">
        <f t="shared" si="5"/>
        <v>5.9117358464400027E-2</v>
      </c>
      <c r="K29" s="136"/>
      <c r="L29" s="190"/>
      <c r="M29" s="190"/>
      <c r="N29" s="191"/>
      <c r="O29" s="192"/>
      <c r="P29" s="129" t="s">
        <v>427</v>
      </c>
      <c r="Q29" s="116">
        <v>7984121</v>
      </c>
      <c r="R29" s="116">
        <v>10460584389</v>
      </c>
      <c r="S29" s="116">
        <v>1673147</v>
      </c>
      <c r="T29" s="130">
        <f t="shared" ref="T29" si="29">Q29/S29</f>
        <v>4.7719184267730208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415780.4736842105</v>
      </c>
      <c r="G30" s="190">
        <f t="shared" ref="G30" si="30">F30/F29-1</f>
        <v>0.14567031499806071</v>
      </c>
      <c r="H30" s="190">
        <f t="shared" ref="H30" si="31">F30/F18-1</f>
        <v>0.18446273612691422</v>
      </c>
      <c r="I30" s="130">
        <f t="shared" si="0"/>
        <v>4.4430984251968502</v>
      </c>
      <c r="J30" s="130">
        <f t="shared" si="5"/>
        <v>-0.11003736871217207</v>
      </c>
      <c r="K30" s="136"/>
      <c r="L30" s="190"/>
      <c r="M30" s="190"/>
      <c r="N30" s="191"/>
      <c r="O30" s="192"/>
      <c r="P30" s="129" t="s">
        <v>469</v>
      </c>
      <c r="Q30" s="116">
        <v>7899829</v>
      </c>
      <c r="R30" s="116">
        <v>10520971055</v>
      </c>
      <c r="S30" s="116">
        <v>1778000</v>
      </c>
      <c r="T30" s="130">
        <f t="shared" ref="T30" si="32">Q30/S30</f>
        <v>4.4430984251968502</v>
      </c>
      <c r="U30" s="85"/>
    </row>
    <row r="31" spans="1:21" s="79" customFormat="1" ht="13.2" hidden="1">
      <c r="A31" s="129" t="s">
        <v>505</v>
      </c>
      <c r="B31" s="188">
        <f>SUM(F29:F31)</f>
        <v>1111127.0145933013</v>
      </c>
      <c r="C31" s="188">
        <f>AVERAGE(F29:F31)</f>
        <v>370375.67153110047</v>
      </c>
      <c r="D31" s="190">
        <f>C31/C28-1</f>
        <v>0.20050296083475638</v>
      </c>
      <c r="E31" s="287">
        <f>C31/C19-1</f>
        <v>0.1428297454840699</v>
      </c>
      <c r="F31" s="136">
        <f>Q31/20</f>
        <v>332431.95</v>
      </c>
      <c r="G31" s="190">
        <f t="shared" ref="G31" si="33">F31/F30-1</f>
        <v>-0.20046281381533693</v>
      </c>
      <c r="H31" s="190">
        <f t="shared" ref="H31" si="34">F31/F19-1</f>
        <v>0.17399275202027487</v>
      </c>
      <c r="I31" s="130">
        <f t="shared" si="0"/>
        <v>4.1178242289111857</v>
      </c>
      <c r="J31" s="130">
        <f t="shared" si="5"/>
        <v>-0.10764031324188883</v>
      </c>
      <c r="K31" s="136">
        <f>R29+R30+R31</f>
        <v>29811579476</v>
      </c>
      <c r="L31" s="190">
        <f>U31/U28-1</f>
        <v>0.21500050713567664</v>
      </c>
      <c r="M31" s="190">
        <f>U31/U19-1</f>
        <v>0.12598111007681778</v>
      </c>
      <c r="N31" s="191">
        <f>AVERAGE(T29:T31)</f>
        <v>4.4442803602936856</v>
      </c>
      <c r="O31" s="192">
        <f>N31/N28-1</f>
        <v>1.2533544304170308E-2</v>
      </c>
      <c r="P31" s="129" t="s">
        <v>505</v>
      </c>
      <c r="Q31" s="116">
        <v>6648639</v>
      </c>
      <c r="R31" s="116">
        <v>8830024032</v>
      </c>
      <c r="S31" s="116">
        <v>1614600</v>
      </c>
      <c r="T31" s="130">
        <f t="shared" ref="T31" si="35">Q31/S31</f>
        <v>4.1178242289111857</v>
      </c>
      <c r="U31" s="85">
        <f>Q29+Q30+Q31</f>
        <v>22532589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477190.76190476189</v>
      </c>
      <c r="G32" s="190">
        <f t="shared" ref="G32" si="36">F32/F31-1</f>
        <v>0.43545396856337626</v>
      </c>
      <c r="H32" s="190">
        <f t="shared" ref="H32" si="37">F32/F20-1</f>
        <v>0.37175893228623602</v>
      </c>
      <c r="I32" s="130">
        <f t="shared" si="0"/>
        <v>4.0869976535973631</v>
      </c>
      <c r="J32" s="130">
        <f t="shared" si="5"/>
        <v>-0.15608727451258209</v>
      </c>
      <c r="K32" s="136"/>
      <c r="L32" s="190"/>
      <c r="M32" s="190"/>
      <c r="N32" s="191"/>
      <c r="O32" s="192"/>
      <c r="P32" s="129" t="s">
        <v>562</v>
      </c>
      <c r="Q32" s="116">
        <v>10021006</v>
      </c>
      <c r="R32" s="116">
        <v>13637662418</v>
      </c>
      <c r="S32" s="116">
        <v>2451923.6</v>
      </c>
      <c r="T32" s="130">
        <f t="shared" ref="T32" si="38">Q32/S32</f>
        <v>4.0869976535973631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364638.19047619047</v>
      </c>
      <c r="G33" s="190">
        <f t="shared" ref="G33" si="39">F33/F32-1</f>
        <v>-0.23586494210261921</v>
      </c>
      <c r="H33" s="190">
        <f t="shared" ref="H33" si="40">F33/F21-1</f>
        <v>7.62042468553914E-2</v>
      </c>
      <c r="I33" s="130">
        <f t="shared" si="0"/>
        <v>4.4783376104466051</v>
      </c>
      <c r="J33" s="130">
        <f t="shared" si="5"/>
        <v>-0.16686750028055553</v>
      </c>
      <c r="K33" s="136"/>
      <c r="L33" s="190"/>
      <c r="M33" s="190"/>
      <c r="N33" s="191"/>
      <c r="O33" s="192"/>
      <c r="P33" s="129" t="s">
        <v>607</v>
      </c>
      <c r="Q33" s="116">
        <v>7657402</v>
      </c>
      <c r="R33" s="116">
        <v>10474575308</v>
      </c>
      <c r="S33" s="116">
        <v>1709876</v>
      </c>
      <c r="T33" s="130">
        <f t="shared" ref="T33" si="41">Q33/S33</f>
        <v>4.4783376104466051</v>
      </c>
      <c r="U33" s="85"/>
    </row>
    <row r="34" spans="1:21" s="79" customFormat="1" ht="13.2" hidden="1">
      <c r="A34" s="129" t="s">
        <v>652</v>
      </c>
      <c r="B34" s="188">
        <f>SUM(F32:F34)</f>
        <v>1175719.3734335839</v>
      </c>
      <c r="C34" s="188">
        <f>AVERAGE(F32:F34)</f>
        <v>391906.45781119465</v>
      </c>
      <c r="D34" s="190">
        <f>C34/C31-1</f>
        <v>5.8132290900986483E-2</v>
      </c>
      <c r="E34" s="287">
        <f>C34/C22-1</f>
        <v>0.17328559917983388</v>
      </c>
      <c r="F34" s="136">
        <f>Q34/19</f>
        <v>333890.42105263157</v>
      </c>
      <c r="G34" s="190">
        <f t="shared" ref="G34" si="42">F34/F33-1</f>
        <v>-8.4324051146163814E-2</v>
      </c>
      <c r="H34" s="190">
        <f t="shared" ref="H34" si="43">F34/F22-1</f>
        <v>5.8666382728753241E-2</v>
      </c>
      <c r="I34" s="130">
        <f t="shared" si="0"/>
        <v>4.3989460144437622</v>
      </c>
      <c r="J34" s="130">
        <f t="shared" si="5"/>
        <v>-6.4399931240649688E-2</v>
      </c>
      <c r="K34" s="136">
        <f>R32+R33+R34</f>
        <v>32830582220</v>
      </c>
      <c r="L34" s="190">
        <f>U34/U31-1</f>
        <v>6.6114772696559632E-2</v>
      </c>
      <c r="M34" s="190">
        <f>U34/U22-1</f>
        <v>0.16074035307732859</v>
      </c>
      <c r="N34" s="191">
        <f>AVERAGE(T32:T34)</f>
        <v>4.3214270928292438</v>
      </c>
      <c r="O34" s="192">
        <f>N34/N31-1</f>
        <v>-2.7643005729801273E-2</v>
      </c>
      <c r="P34" s="129" t="s">
        <v>652</v>
      </c>
      <c r="Q34" s="116">
        <v>6343918</v>
      </c>
      <c r="R34" s="116">
        <v>8718344494</v>
      </c>
      <c r="S34" s="116">
        <v>1442145</v>
      </c>
      <c r="T34" s="130">
        <f t="shared" ref="T34" si="44">Q34/S34</f>
        <v>4.3989460144437622</v>
      </c>
      <c r="U34" s="85">
        <f>Q32+Q33+Q34</f>
        <v>24022326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332280.26086956525</v>
      </c>
      <c r="G35" s="190">
        <f t="shared" ref="G35" si="45">F35/F34-1</f>
        <v>-4.8224210146253776E-3</v>
      </c>
      <c r="H35" s="190">
        <f t="shared" ref="H35" si="46">F35/F23-1</f>
        <v>0.12772521553850313</v>
      </c>
      <c r="I35" s="130">
        <f t="shared" si="0"/>
        <v>4.5222992200347107</v>
      </c>
      <c r="J35" s="130">
        <f t="shared" si="5"/>
        <v>2.0960003554669537E-2</v>
      </c>
      <c r="K35" s="136"/>
      <c r="L35" s="190"/>
      <c r="M35" s="190"/>
      <c r="N35" s="191"/>
      <c r="O35" s="192"/>
      <c r="P35" s="129" t="s">
        <v>660</v>
      </c>
      <c r="Q35" s="116">
        <v>7642446</v>
      </c>
      <c r="R35" s="116">
        <v>10574378217</v>
      </c>
      <c r="S35" s="116">
        <v>1689947</v>
      </c>
      <c r="T35" s="130">
        <f t="shared" ref="T35" si="47">Q35/S35</f>
        <v>4.5222992200347107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366962</v>
      </c>
      <c r="G36" s="190">
        <f t="shared" ref="G36" si="48">F36/F35-1</f>
        <v>0.10437496058199169</v>
      </c>
      <c r="H36" s="190">
        <f t="shared" ref="H36" si="49">F36/F24-1</f>
        <v>0.4406110222259656</v>
      </c>
      <c r="I36" s="130">
        <f t="shared" si="0"/>
        <v>4.5120127874093203</v>
      </c>
      <c r="J36" s="130">
        <f t="shared" si="5"/>
        <v>3.4738999326506148E-2</v>
      </c>
      <c r="K36" s="136"/>
      <c r="L36" s="190"/>
      <c r="M36" s="190"/>
      <c r="N36" s="191"/>
      <c r="O36" s="192"/>
      <c r="P36" s="129" t="s">
        <v>664</v>
      </c>
      <c r="Q36" s="116">
        <v>7706202</v>
      </c>
      <c r="R36" s="116">
        <v>10491160931</v>
      </c>
      <c r="S36" s="116">
        <v>1707930</v>
      </c>
      <c r="T36" s="130">
        <f t="shared" ref="T36" si="50">Q36/S36</f>
        <v>4.5120127874093203</v>
      </c>
      <c r="U36" s="85"/>
    </row>
    <row r="37" spans="1:21" s="79" customFormat="1" ht="13.2" hidden="1">
      <c r="A37" s="129" t="s">
        <v>702</v>
      </c>
      <c r="B37" s="188">
        <f>SUM(F35:F37)</f>
        <v>967173.48309178744</v>
      </c>
      <c r="C37" s="188">
        <f>AVERAGE(F35:F37)</f>
        <v>322391.16103059583</v>
      </c>
      <c r="D37" s="190">
        <f>C37/C34-1</f>
        <v>-0.17737726795532571</v>
      </c>
      <c r="E37" s="287">
        <f>C37/C25-1</f>
        <v>2.4890393919323461E-2</v>
      </c>
      <c r="F37" s="136">
        <f>Q37/18</f>
        <v>267931.22222222225</v>
      </c>
      <c r="G37" s="190">
        <f t="shared" ref="G37" si="51">F37/F36-1</f>
        <v>-0.26986657413513593</v>
      </c>
      <c r="H37" s="190">
        <f t="shared" ref="H37" si="52">F37/F25-1</f>
        <v>-0.32050904664754609</v>
      </c>
      <c r="I37" s="130">
        <f t="shared" si="0"/>
        <v>3.655795513981853</v>
      </c>
      <c r="J37" s="130">
        <f t="shared" si="5"/>
        <v>-0.26431472930312405</v>
      </c>
      <c r="K37" s="136">
        <f>R35+R36+R37</f>
        <v>27499471835</v>
      </c>
      <c r="L37" s="190">
        <f>U37/U34-1</f>
        <v>-0.16030570894758489</v>
      </c>
      <c r="M37" s="190">
        <f>U37/U25-1</f>
        <v>4.6045932363674602E-2</v>
      </c>
      <c r="N37" s="191">
        <f>AVERAGE(T35:T37)</f>
        <v>4.2300358404752947</v>
      </c>
      <c r="O37" s="192">
        <f>N37/N34-1</f>
        <v>-2.1148396210501685E-2</v>
      </c>
      <c r="P37" s="129" t="s">
        <v>702</v>
      </c>
      <c r="Q37" s="116">
        <v>4822762</v>
      </c>
      <c r="R37" s="116">
        <v>6433932687</v>
      </c>
      <c r="S37" s="116">
        <v>1319210</v>
      </c>
      <c r="T37" s="130">
        <f t="shared" ref="T37" si="53">Q37/S37</f>
        <v>3.655795513981853</v>
      </c>
      <c r="U37" s="85">
        <f>Q35+Q36+Q37</f>
        <v>20171410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355520.6</v>
      </c>
      <c r="G38" s="190">
        <f t="shared" ref="G38" si="54">F38/F37-1</f>
        <v>0.32690993252414269</v>
      </c>
      <c r="H38" s="190">
        <f t="shared" ref="H38" si="55">F38/F26-1</f>
        <v>0.17141124461887869</v>
      </c>
      <c r="I38" s="130">
        <f t="shared" si="0"/>
        <v>4.2580402532159516</v>
      </c>
      <c r="J38" s="130">
        <f t="shared" si="5"/>
        <v>1.6816547231903956E-2</v>
      </c>
      <c r="K38" s="136"/>
      <c r="L38" s="190"/>
      <c r="M38" s="190"/>
      <c r="N38" s="191"/>
      <c r="O38" s="192"/>
      <c r="P38" s="129" t="s">
        <v>728</v>
      </c>
      <c r="Q38" s="116">
        <v>7110412</v>
      </c>
      <c r="R38" s="116">
        <v>9599626555</v>
      </c>
      <c r="S38" s="116">
        <v>1669879</v>
      </c>
      <c r="T38" s="130">
        <f t="shared" ref="T38" si="56">Q38/S38</f>
        <v>4.2580402532159516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231809.33333333334</v>
      </c>
      <c r="G39" s="190">
        <f t="shared" ref="G39" si="57">F39/F38-1</f>
        <v>-0.34797214751175221</v>
      </c>
      <c r="H39" s="190">
        <f t="shared" ref="H39" si="58">F39/F27-1</f>
        <v>-0.27548962669906529</v>
      </c>
      <c r="I39" s="130">
        <f t="shared" si="0"/>
        <v>3.7330885504975795</v>
      </c>
      <c r="J39" s="130">
        <f t="shared" si="5"/>
        <v>-0.19860741213156097</v>
      </c>
      <c r="K39" s="136"/>
      <c r="L39" s="190"/>
      <c r="M39" s="190"/>
      <c r="N39" s="191"/>
      <c r="O39" s="192"/>
      <c r="P39" s="129" t="s">
        <v>762</v>
      </c>
      <c r="Q39" s="116">
        <v>4867996</v>
      </c>
      <c r="R39" s="116">
        <v>6765138843</v>
      </c>
      <c r="S39" s="116">
        <v>1304013</v>
      </c>
      <c r="T39" s="130">
        <f t="shared" ref="T39" si="59">Q39/S39</f>
        <v>3.7330885504975795</v>
      </c>
      <c r="U39" s="85"/>
    </row>
    <row r="40" spans="1:21" s="79" customFormat="1" ht="13.2" hidden="1">
      <c r="A40" s="129" t="s">
        <v>778</v>
      </c>
      <c r="B40" s="188">
        <f>SUM(F38:F40)</f>
        <v>896324.2666666666</v>
      </c>
      <c r="C40" s="188">
        <f>AVERAGE(F38:F40)</f>
        <v>298774.75555555552</v>
      </c>
      <c r="D40" s="190">
        <f>C40/C37-1</f>
        <v>-7.3253886364456067E-2</v>
      </c>
      <c r="E40" s="287">
        <f>C40/C28-1</f>
        <v>-3.1577918753752154E-2</v>
      </c>
      <c r="F40" s="136">
        <f>Q40/21</f>
        <v>308994.33333333331</v>
      </c>
      <c r="G40" s="190">
        <f t="shared" ref="G40" si="60">F40/F39-1</f>
        <v>0.33296761131274533</v>
      </c>
      <c r="H40" s="190">
        <f t="shared" ref="H40" si="61">F40/F28-1</f>
        <v>2.2819757827751808E-2</v>
      </c>
      <c r="I40" s="130">
        <f t="shared" si="0"/>
        <v>4.3524079707741414</v>
      </c>
      <c r="J40" s="130">
        <f t="shared" si="5"/>
        <v>7.0517057844399211E-3</v>
      </c>
      <c r="K40" s="136">
        <f>R38+R39+R40</f>
        <v>25567535000</v>
      </c>
      <c r="L40" s="190">
        <f>U40/U37-1</f>
        <v>-8.4481997044331569E-2</v>
      </c>
      <c r="M40" s="190">
        <f>U40/U28-1</f>
        <v>-4.2082824827140985E-3</v>
      </c>
      <c r="N40" s="191">
        <f>AVERAGE(T38:T40)</f>
        <v>4.1145122581625575</v>
      </c>
      <c r="O40" s="192">
        <f>N40/N37-1</f>
        <v>-2.7310308155629404E-2</v>
      </c>
      <c r="P40" s="129" t="s">
        <v>778</v>
      </c>
      <c r="Q40" s="116">
        <v>6488881</v>
      </c>
      <c r="R40" s="116">
        <v>9202769602</v>
      </c>
      <c r="S40" s="116">
        <v>1490871.5</v>
      </c>
      <c r="T40" s="130">
        <f t="shared" ref="T40" si="62">Q40/S40</f>
        <v>4.3524079707741414</v>
      </c>
      <c r="U40" s="85">
        <f>Q38+Q39+Q40</f>
        <v>18467289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279411.22222222225</v>
      </c>
      <c r="G41" s="190">
        <f t="shared" ref="G41" si="63">F41/F40-1</f>
        <v>-9.5739979409906306E-2</v>
      </c>
      <c r="H41" s="190">
        <f t="shared" ref="H41" si="64">F41/F29-1</f>
        <v>-0.23009096569442145</v>
      </c>
      <c r="I41" s="130">
        <f t="shared" si="0"/>
        <v>4.0021023482322606</v>
      </c>
      <c r="J41" s="130">
        <f t="shared" si="5"/>
        <v>-0.16132213707210064</v>
      </c>
      <c r="K41" s="193"/>
      <c r="L41" s="190"/>
      <c r="M41" s="190"/>
      <c r="N41" s="193"/>
      <c r="O41" s="193"/>
      <c r="P41" s="129" t="s">
        <v>792</v>
      </c>
      <c r="Q41" s="116">
        <v>5029402</v>
      </c>
      <c r="R41" s="116">
        <v>7347420409</v>
      </c>
      <c r="S41" s="116">
        <v>1256690</v>
      </c>
      <c r="T41" s="130">
        <f t="shared" ref="T41" si="65">Q41/S41</f>
        <v>4.0021023482322606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352407.4</v>
      </c>
      <c r="G42" s="190">
        <f t="shared" ref="G42" si="66">F42/F41-1</f>
        <v>0.2612499855847672</v>
      </c>
      <c r="H42" s="190">
        <f t="shared" ref="H42" si="67">F42/F30-1</f>
        <v>-0.1524195523725892</v>
      </c>
      <c r="I42" s="130">
        <f t="shared" si="0"/>
        <v>4.2670817418385001</v>
      </c>
      <c r="J42" s="130">
        <f t="shared" si="5"/>
        <v>-3.9615751557552259E-2</v>
      </c>
      <c r="K42" s="193"/>
      <c r="L42" s="190"/>
      <c r="M42" s="190"/>
      <c r="N42" s="193"/>
      <c r="O42" s="193"/>
      <c r="P42" s="129" t="s">
        <v>826</v>
      </c>
      <c r="Q42" s="116">
        <v>7048148</v>
      </c>
      <c r="R42" s="116">
        <v>10175139839</v>
      </c>
      <c r="S42" s="116">
        <v>1651749</v>
      </c>
      <c r="T42" s="130">
        <f t="shared" ref="T42" si="68">Q42/S42</f>
        <v>4.2670817418385001</v>
      </c>
      <c r="U42" s="78"/>
    </row>
    <row r="43" spans="1:21" s="79" customFormat="1" ht="13.2">
      <c r="A43" s="129" t="s">
        <v>835</v>
      </c>
      <c r="B43" s="188">
        <f>SUM(F41:F43)</f>
        <v>954049.02222222229</v>
      </c>
      <c r="C43" s="188">
        <f>AVERAGE(F41:F43)</f>
        <v>318016.34074074076</v>
      </c>
      <c r="D43" s="190">
        <f>C43/C40-1</f>
        <v>6.4401643135500342E-2</v>
      </c>
      <c r="E43" s="287">
        <f>C43/C31-1</f>
        <v>-0.14136816971241883</v>
      </c>
      <c r="F43" s="136">
        <f>Q43/20</f>
        <v>322230.40000000002</v>
      </c>
      <c r="G43" s="190">
        <f t="shared" ref="G43" si="69">F43/F42-1</f>
        <v>-8.5631005478318589E-2</v>
      </c>
      <c r="H43" s="190">
        <f t="shared" ref="H43" si="70">F43/F31-1</f>
        <v>-3.0687633965387429E-2</v>
      </c>
      <c r="I43" s="130">
        <f t="shared" si="0"/>
        <v>3.9919286902159152</v>
      </c>
      <c r="J43" s="130">
        <f t="shared" si="5"/>
        <v>-3.0573315347304009E-2</v>
      </c>
      <c r="K43" s="136">
        <f>R41+R42+R43</f>
        <v>26869102619</v>
      </c>
      <c r="L43" s="190">
        <f>U43/U40-1</f>
        <v>2.9711453586933612E-3</v>
      </c>
      <c r="M43" s="190">
        <f>K43/K31-1</f>
        <v>-9.8702481006377352E-2</v>
      </c>
      <c r="N43" s="191">
        <f>AVERAGE(T41:T43)</f>
        <v>4.0870375934288923</v>
      </c>
      <c r="O43" s="192">
        <f>N43/N40-1</f>
        <v>-6.6775022189227151E-3</v>
      </c>
      <c r="P43" s="129" t="s">
        <v>835</v>
      </c>
      <c r="Q43" s="116">
        <v>6444608</v>
      </c>
      <c r="R43" s="116">
        <v>9346542371</v>
      </c>
      <c r="S43" s="116">
        <v>1614409.6</v>
      </c>
      <c r="T43" s="130">
        <f t="shared" ref="T43" si="71">Q43/S43</f>
        <v>3.9919286902159152</v>
      </c>
      <c r="U43" s="85">
        <f>Q41+Q42+Q43</f>
        <v>18522158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262990.31818181818</v>
      </c>
      <c r="G44" s="190">
        <f t="shared" ref="G44" si="72">F44/F43-1</f>
        <v>-0.18384386395008612</v>
      </c>
      <c r="H44" s="190">
        <f t="shared" ref="H44" si="73">F44/F32-1</f>
        <v>-0.44887801865220101</v>
      </c>
      <c r="I44" s="130">
        <f t="shared" si="0"/>
        <v>4.1942252974885195</v>
      </c>
      <c r="J44" s="130">
        <f t="shared" si="5"/>
        <v>2.6236287118191814E-2</v>
      </c>
      <c r="K44" s="136"/>
      <c r="L44" s="190"/>
      <c r="M44" s="190"/>
      <c r="N44" s="191"/>
      <c r="O44" s="192"/>
      <c r="P44" s="129" t="s">
        <v>843</v>
      </c>
      <c r="Q44" s="116">
        <v>5785787</v>
      </c>
      <c r="R44" s="116">
        <v>8427116463</v>
      </c>
      <c r="S44" s="116">
        <v>1379465</v>
      </c>
      <c r="T44" s="130">
        <f t="shared" ref="T44" si="74">Q44/S44</f>
        <v>4.1942252974885195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290739.84999999998</v>
      </c>
      <c r="G45" s="190">
        <f t="shared" ref="G45" si="75">F45/F44-1</f>
        <v>0.10551541216432603</v>
      </c>
      <c r="H45" s="190">
        <f t="shared" ref="H45" si="76">F45/F33-1</f>
        <v>-0.20266209740588259</v>
      </c>
      <c r="I45" s="130">
        <f t="shared" si="0"/>
        <v>4.3538496787473058</v>
      </c>
      <c r="J45" s="130">
        <f t="shared" si="5"/>
        <v>-2.7797799658718647E-2</v>
      </c>
      <c r="K45" s="136"/>
      <c r="L45" s="190"/>
      <c r="M45" s="190"/>
      <c r="N45" s="191"/>
      <c r="O45" s="192"/>
      <c r="P45" s="129" t="s">
        <v>856</v>
      </c>
      <c r="Q45" s="116">
        <v>5814797</v>
      </c>
      <c r="R45" s="116">
        <v>8195941997</v>
      </c>
      <c r="S45" s="116">
        <v>1335553</v>
      </c>
      <c r="T45" s="130">
        <f t="shared" ref="T45" si="77">Q45/S45</f>
        <v>4.3538496787473058</v>
      </c>
      <c r="U45" s="85"/>
    </row>
    <row r="46" spans="1:21" s="79" customFormat="1" ht="13.2">
      <c r="A46" s="129" t="s">
        <v>888</v>
      </c>
      <c r="B46" s="188">
        <f>SUM(F44:F46)</f>
        <v>874537.01028708136</v>
      </c>
      <c r="C46" s="188">
        <f>AVERAGE(F44:F46)</f>
        <v>291512.33676236047</v>
      </c>
      <c r="D46" s="190">
        <f>C46/C43-1</f>
        <v>-8.3341641868608818E-2</v>
      </c>
      <c r="E46" s="287">
        <f>C46/C34-1</f>
        <v>-0.256168580659623</v>
      </c>
      <c r="F46" s="136">
        <f>Q46/19</f>
        <v>320806.84210526315</v>
      </c>
      <c r="G46" s="190">
        <f t="shared" ref="G46" si="78">F46/F45-1</f>
        <v>0.10341544891511489</v>
      </c>
      <c r="H46" s="190">
        <f t="shared" ref="H46" si="79">F46/F34-1</f>
        <v>-3.9185247980822013E-2</v>
      </c>
      <c r="I46" s="130">
        <f t="shared" si="0"/>
        <v>4.1566228909434857</v>
      </c>
      <c r="J46" s="130">
        <f t="shared" si="5"/>
        <v>-5.5086632730799168E-2</v>
      </c>
      <c r="K46" s="136">
        <f>R44+R45+R46</f>
        <v>24978200547</v>
      </c>
      <c r="L46" s="190">
        <f>U46/U43-1</f>
        <v>-4.4608409020158502E-2</v>
      </c>
      <c r="M46" s="190">
        <f>K46/K34-1</f>
        <v>-0.23917887353872214</v>
      </c>
      <c r="N46" s="191">
        <f>AVERAGE(T44:T46)</f>
        <v>4.2348992890597694</v>
      </c>
      <c r="O46" s="192">
        <f>N46/N43-1</f>
        <v>3.6178207870807944E-2</v>
      </c>
      <c r="P46" s="129" t="s">
        <v>928</v>
      </c>
      <c r="Q46" s="116">
        <v>6095330</v>
      </c>
      <c r="R46" s="116">
        <v>8355142087</v>
      </c>
      <c r="S46" s="116">
        <v>1466414</v>
      </c>
      <c r="T46" s="130">
        <f t="shared" ref="T46" si="80">Q46/S46</f>
        <v>4.1566228909434857</v>
      </c>
      <c r="U46" s="85">
        <f t="shared" ref="U46:U51" si="81">Q44+Q45+Q46</f>
        <v>17695914</v>
      </c>
    </row>
    <row r="47" spans="1:21" s="79" customFormat="1" ht="13.2">
      <c r="A47" s="129" t="s">
        <v>997</v>
      </c>
      <c r="B47" s="188"/>
      <c r="C47" s="188"/>
      <c r="D47" s="190"/>
      <c r="E47" s="287"/>
      <c r="F47" s="136">
        <f>Q47/23</f>
        <v>308899.4347826087</v>
      </c>
      <c r="G47" s="190">
        <f t="shared" ref="G47" si="82">F47/F46-1</f>
        <v>-3.7117061607892299E-2</v>
      </c>
      <c r="H47" s="190">
        <f t="shared" ref="H47" si="83">F47/F35-1</f>
        <v>-7.0364775884579456E-2</v>
      </c>
      <c r="I47" s="130">
        <f t="shared" si="0"/>
        <v>4.0482224073426192</v>
      </c>
      <c r="J47" s="130">
        <f t="shared" si="5"/>
        <v>-0.10483092551501993</v>
      </c>
      <c r="K47" s="136"/>
      <c r="L47" s="190"/>
      <c r="M47" s="190"/>
      <c r="N47" s="191"/>
      <c r="O47" s="192"/>
      <c r="P47" s="129" t="s">
        <v>991</v>
      </c>
      <c r="Q47" s="116">
        <v>7104687</v>
      </c>
      <c r="R47" s="116">
        <v>9740442087</v>
      </c>
      <c r="S47" s="116">
        <v>1755014</v>
      </c>
      <c r="T47" s="130">
        <f t="shared" ref="T47" si="84">Q47/S47</f>
        <v>4.0482224073426192</v>
      </c>
      <c r="U47" s="85">
        <f t="shared" si="81"/>
        <v>19014814</v>
      </c>
    </row>
    <row r="48" spans="1:21" s="79" customFormat="1" ht="13.2">
      <c r="A48" s="129" t="s">
        <v>1078</v>
      </c>
      <c r="B48" s="188"/>
      <c r="C48" s="188"/>
      <c r="D48" s="190"/>
      <c r="E48" s="287"/>
      <c r="F48" s="136">
        <f>Q48/20</f>
        <v>249991.45</v>
      </c>
      <c r="G48" s="190">
        <f t="shared" ref="G48" si="85">F48/F47-1</f>
        <v>-0.19070279239606192</v>
      </c>
      <c r="H48" s="190">
        <f t="shared" ref="H48" si="86">F48/F36-1</f>
        <v>-0.3187538491723938</v>
      </c>
      <c r="I48" s="130">
        <f t="shared" si="0"/>
        <v>3.6625644541823155</v>
      </c>
      <c r="J48" s="130">
        <f t="shared" si="5"/>
        <v>-0.18826372469452501</v>
      </c>
      <c r="K48" s="136"/>
      <c r="L48" s="190"/>
      <c r="M48" s="190"/>
      <c r="N48" s="191"/>
      <c r="O48" s="192"/>
      <c r="P48" s="129" t="s">
        <v>1070</v>
      </c>
      <c r="Q48" s="116">
        <v>4999829</v>
      </c>
      <c r="R48" s="116">
        <v>6937674611</v>
      </c>
      <c r="S48" s="116">
        <v>1365117</v>
      </c>
      <c r="T48" s="130">
        <f t="shared" ref="T48" si="87">Q48/S48</f>
        <v>3.6625644541823155</v>
      </c>
      <c r="U48" s="85">
        <f t="shared" si="81"/>
        <v>18199846</v>
      </c>
    </row>
    <row r="49" spans="1:26" ht="13.2">
      <c r="A49" s="129" t="s">
        <v>1158</v>
      </c>
      <c r="B49" s="188">
        <f>SUM(F47:F49)</f>
        <v>863835.29387351777</v>
      </c>
      <c r="C49" s="188">
        <f>AVERAGE(F47:F49)</f>
        <v>287945.09795783926</v>
      </c>
      <c r="D49" s="190">
        <f>C49/C46-1</f>
        <v>-1.2237008025595908E-2</v>
      </c>
      <c r="E49" s="287">
        <f>C49/C37-1</f>
        <v>-0.10684555669157303</v>
      </c>
      <c r="F49" s="136">
        <f>Q49/22</f>
        <v>304944.40909090912</v>
      </c>
      <c r="G49" s="190">
        <f t="shared" ref="G49" si="88">F49/F48-1</f>
        <v>0.21981935418554954</v>
      </c>
      <c r="H49" s="190">
        <f t="shared" ref="H49" si="89">F49/F37-1</f>
        <v>0.13814435869660646</v>
      </c>
      <c r="I49" s="130">
        <f t="shared" si="0"/>
        <v>4.116714483873313</v>
      </c>
      <c r="J49" s="130">
        <f t="shared" si="5"/>
        <v>0.12607898010942953</v>
      </c>
      <c r="K49" s="136">
        <f>R47+R48+R49</f>
        <v>26006915854</v>
      </c>
      <c r="L49" s="190">
        <f>U49/U46-1</f>
        <v>6.3143333540160773E-2</v>
      </c>
      <c r="M49" s="190">
        <f>K49/K37-1</f>
        <v>-5.4275805366572394E-2</v>
      </c>
      <c r="N49" s="191">
        <f>AVERAGE(T47:T49)</f>
        <v>3.9425004484660824</v>
      </c>
      <c r="O49" s="192">
        <f>N49/N46-1</f>
        <v>-6.9045051755789233E-2</v>
      </c>
      <c r="P49" s="129" t="s">
        <v>1158</v>
      </c>
      <c r="Q49" s="116">
        <v>6708777</v>
      </c>
      <c r="R49" s="116">
        <v>9328799156</v>
      </c>
      <c r="S49" s="116">
        <v>1629643.5</v>
      </c>
      <c r="T49" s="130">
        <f t="shared" ref="T49" si="90">Q49/S49</f>
        <v>4.116714483873313</v>
      </c>
      <c r="U49" s="85">
        <f t="shared" si="81"/>
        <v>18813293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281189.55555555556</v>
      </c>
      <c r="G50" s="190">
        <f t="shared" ref="G50" si="91">F50/F49-1</f>
        <v>-7.7898963965828405E-2</v>
      </c>
      <c r="H50" s="190">
        <f t="shared" ref="H50" si="92">F50/F38-1</f>
        <v>-0.20907661734494265</v>
      </c>
      <c r="I50" s="130">
        <f t="shared" ref="I50" si="93">T50</f>
        <v>3.6690910224411786</v>
      </c>
      <c r="J50" s="130">
        <f t="shared" ref="J50" si="94">I50/I38-1</f>
        <v>-0.13831462263184569</v>
      </c>
      <c r="K50" s="136"/>
      <c r="L50" s="190"/>
      <c r="M50" s="190"/>
      <c r="N50" s="191"/>
      <c r="O50" s="192"/>
      <c r="P50" s="129" t="s">
        <v>1291</v>
      </c>
      <c r="Q50" s="116">
        <v>5061412</v>
      </c>
      <c r="R50" s="116">
        <v>7168054528</v>
      </c>
      <c r="S50" s="116">
        <v>1379473</v>
      </c>
      <c r="T50" s="130">
        <f t="shared" ref="T50" si="95">Q50/S50</f>
        <v>3.6690910224411786</v>
      </c>
      <c r="U50" s="85">
        <f t="shared" si="81"/>
        <v>16770018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230663.55</v>
      </c>
      <c r="G51" s="190">
        <f t="shared" ref="G51:G52" si="96">F51/F50-1</f>
        <v>-0.17968663685153474</v>
      </c>
      <c r="H51" s="190">
        <f t="shared" ref="H51:H52" si="97">F51/F39-1</f>
        <v>-4.9427834369626389E-3</v>
      </c>
      <c r="I51" s="130">
        <f t="shared" ref="I51:I52" si="98">T51</f>
        <v>4.7180492007477453</v>
      </c>
      <c r="J51" s="130">
        <f t="shared" ref="J51:J52" si="99">I51/I39-1</f>
        <v>0.26384604515177701</v>
      </c>
      <c r="K51" s="136"/>
      <c r="L51" s="190"/>
      <c r="M51" s="190"/>
      <c r="N51" s="191"/>
      <c r="O51" s="192"/>
      <c r="P51" s="129" t="s">
        <v>1402</v>
      </c>
      <c r="Q51" s="116">
        <v>4613271</v>
      </c>
      <c r="R51" s="116">
        <v>6705257645</v>
      </c>
      <c r="S51" s="116">
        <v>977792.05</v>
      </c>
      <c r="T51" s="130">
        <f t="shared" ref="T51:T52" si="100">Q51/S51</f>
        <v>4.7180492007477453</v>
      </c>
      <c r="U51" s="85">
        <f t="shared" si="81"/>
        <v>16383460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820303.69646464637</v>
      </c>
      <c r="C52" s="188">
        <f>AVERAGE(F50:F52)</f>
        <v>273434.56548821548</v>
      </c>
      <c r="D52" s="190">
        <f>C52/C49-1</f>
        <v>-5.0393399896491387E-2</v>
      </c>
      <c r="E52" s="287">
        <f>C52/C40-1</f>
        <v>-8.4813691907207223E-2</v>
      </c>
      <c r="F52" s="136">
        <f>Q52/22</f>
        <v>308450.59090909088</v>
      </c>
      <c r="G52" s="190">
        <f t="shared" si="96"/>
        <v>0.33723161248966682</v>
      </c>
      <c r="H52" s="190">
        <f t="shared" si="97"/>
        <v>-1.7597164918097263E-3</v>
      </c>
      <c r="I52" s="130">
        <f t="shared" si="98"/>
        <v>3.4517571836230183</v>
      </c>
      <c r="J52" s="130">
        <f t="shared" si="99"/>
        <v>-0.20693160962825108</v>
      </c>
      <c r="K52" s="136">
        <f>R50+R51+R52</f>
        <v>23858124967</v>
      </c>
      <c r="L52" s="190">
        <f>U52/U49-1</f>
        <v>-0.12505503422500253</v>
      </c>
      <c r="M52" s="190">
        <f>K52/K40-1</f>
        <v>-6.6858617109549323E-2</v>
      </c>
      <c r="N52" s="191">
        <f>AVERAGE(T50:T52)</f>
        <v>3.9462991356039807</v>
      </c>
      <c r="O52" s="192">
        <f>N52/N49-1</f>
        <v>9.6352230964891206E-4</v>
      </c>
      <c r="P52" s="129" t="s">
        <v>1403</v>
      </c>
      <c r="Q52" s="116">
        <v>6785913</v>
      </c>
      <c r="R52" s="116">
        <v>9984812794</v>
      </c>
      <c r="S52" s="116">
        <v>1965930</v>
      </c>
      <c r="T52" s="130">
        <f t="shared" si="100"/>
        <v>3.4517571836230183</v>
      </c>
      <c r="U52" s="85">
        <f t="shared" ref="U52" si="101">Q50+Q51+Q52</f>
        <v>16460596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272144.04761904763</v>
      </c>
      <c r="G53" s="190">
        <f t="shared" ref="G53" si="102">F53/F52-1</f>
        <v>-0.11770618815492495</v>
      </c>
      <c r="H53" s="190">
        <f t="shared" ref="H53" si="103">F53/F41-1</f>
        <v>-2.6008885918672453E-2</v>
      </c>
      <c r="I53" s="130">
        <f t="shared" ref="I53" si="104">T53</f>
        <v>3.6057508793514095</v>
      </c>
      <c r="J53" s="130">
        <f t="shared" ref="J53" si="105">I53/I41-1</f>
        <v>-9.9035815277418004E-2</v>
      </c>
      <c r="K53" s="136"/>
      <c r="L53" s="190"/>
      <c r="M53" s="190"/>
      <c r="N53" s="191"/>
      <c r="O53" s="192"/>
      <c r="P53" s="129" t="s">
        <v>1414</v>
      </c>
      <c r="Q53" s="116">
        <v>5715025</v>
      </c>
      <c r="R53" s="116">
        <v>8314436596</v>
      </c>
      <c r="S53" s="116">
        <v>1584975</v>
      </c>
      <c r="T53" s="130">
        <f t="shared" ref="T53" si="106">Q53/S53</f>
        <v>3.6057508793514095</v>
      </c>
      <c r="U53" s="85">
        <f t="shared" ref="U53" si="107">Q51+Q52+Q53</f>
        <v>17114209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330183.64705882355</v>
      </c>
      <c r="G54" s="190">
        <f t="shared" ref="G54" si="108">F54/F53-1</f>
        <v>0.21326793640190456</v>
      </c>
      <c r="H54" s="190">
        <f t="shared" ref="H54" si="109">F54/F42-1</f>
        <v>-6.3062673885895926E-2</v>
      </c>
      <c r="I54" s="130">
        <f t="shared" ref="I54" si="110">T54</f>
        <v>3.5741646932671789</v>
      </c>
      <c r="J54" s="130">
        <f t="shared" ref="J54" si="111">I54/I42-1</f>
        <v>-0.16238663576029211</v>
      </c>
      <c r="K54" s="136"/>
      <c r="L54" s="190"/>
      <c r="M54" s="190"/>
      <c r="N54" s="191"/>
      <c r="O54" s="192"/>
      <c r="P54" s="129" t="s">
        <v>1417</v>
      </c>
      <c r="Q54" s="116">
        <v>5613122</v>
      </c>
      <c r="R54" s="116">
        <v>8129478569</v>
      </c>
      <c r="S54" s="116">
        <v>1570471</v>
      </c>
      <c r="T54" s="130">
        <f t="shared" ref="T54" si="112">Q54/S54</f>
        <v>3.5741646932671789</v>
      </c>
      <c r="U54" s="85">
        <f t="shared" ref="U54" si="113">Q52+Q53+Q54</f>
        <v>18114060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896651.1708683474</v>
      </c>
      <c r="C55" s="188">
        <f>AVERAGE(F53:F55)</f>
        <v>298883.72362278245</v>
      </c>
      <c r="D55" s="190">
        <f>C55/C52-1</f>
        <v>9.3072205736417057E-2</v>
      </c>
      <c r="E55" s="287">
        <f>C55/C43-1</f>
        <v>-6.0162371132859382E-2</v>
      </c>
      <c r="F55" s="136">
        <f>Q55/21</f>
        <v>294323.47619047621</v>
      </c>
      <c r="G55" s="190">
        <f t="shared" ref="G55" si="114">F55/F54-1</f>
        <v>-0.10860674411885307</v>
      </c>
      <c r="H55" s="190">
        <f t="shared" ref="H55" si="115">F55/F43-1</f>
        <v>-8.6605496593505138E-2</v>
      </c>
      <c r="I55" s="130">
        <f>T55</f>
        <v>3.5398268455267083</v>
      </c>
      <c r="J55" s="130">
        <f t="shared" ref="J55" si="116">I55/I43-1</f>
        <v>-0.11325398817801868</v>
      </c>
      <c r="K55" s="136">
        <f>R53+R54+R55</f>
        <v>25567851179</v>
      </c>
      <c r="L55" s="190">
        <f>U55/U52-1</f>
        <v>6.3688094890367308E-2</v>
      </c>
      <c r="M55" s="190">
        <f>K55/K43-1</f>
        <v>-4.8429285430613644E-2</v>
      </c>
      <c r="N55" s="191">
        <f>AVERAGE(T53:T55)</f>
        <v>3.5732474727150989</v>
      </c>
      <c r="O55" s="192">
        <f>N55/N52-1</f>
        <v>-9.4532028634921605E-2</v>
      </c>
      <c r="P55" s="129" t="s">
        <v>1418</v>
      </c>
      <c r="Q55" s="116">
        <v>6180793</v>
      </c>
      <c r="R55" s="116">
        <v>9123936014</v>
      </c>
      <c r="S55" s="116">
        <v>1746072.13</v>
      </c>
      <c r="T55" s="130">
        <f t="shared" ref="T55" si="117">Q55/S55</f>
        <v>3.5398268455267083</v>
      </c>
      <c r="U55" s="85">
        <f t="shared" ref="U55" si="118">Q53+Q54+Q55</f>
        <v>17508940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406833.36363636365</v>
      </c>
      <c r="G56" s="190">
        <f t="shared" ref="G56" si="119">F56/F55-1</f>
        <v>0.38226610021782581</v>
      </c>
      <c r="H56" s="190">
        <f t="shared" ref="H56" si="120">F56/F44-1</f>
        <v>0.54695186670370011</v>
      </c>
      <c r="I56" s="291">
        <f>T56</f>
        <v>4.2905859906809072</v>
      </c>
      <c r="J56" s="130">
        <f t="shared" ref="J56" si="121">I56/I44-1</f>
        <v>2.2974610651003369E-2</v>
      </c>
      <c r="K56" s="136"/>
      <c r="L56" s="190"/>
      <c r="M56" s="190"/>
      <c r="N56" s="191"/>
      <c r="O56" s="192"/>
      <c r="P56" s="129" t="s">
        <v>1420</v>
      </c>
      <c r="Q56" s="116">
        <v>8950334</v>
      </c>
      <c r="R56" s="116">
        <v>13359838092</v>
      </c>
      <c r="S56" s="116">
        <v>2086040</v>
      </c>
      <c r="T56" s="130">
        <f t="shared" ref="T56" si="122">Q56/S56</f>
        <v>4.2905859906809072</v>
      </c>
      <c r="U56" s="85">
        <f t="shared" ref="U56" si="123">Q54+Q55+Q56</f>
        <v>20744249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365551.25</v>
      </c>
      <c r="G57" s="254">
        <f t="shared" ref="G57" si="124">F57/F56-1</f>
        <v>-0.10147179982333621</v>
      </c>
      <c r="H57" s="254">
        <f t="shared" ref="H57" si="125">F57/F45-1</f>
        <v>0.25731388387247245</v>
      </c>
      <c r="I57" s="282">
        <f>T57</f>
        <v>3.7017223338002734</v>
      </c>
      <c r="J57" s="277">
        <f t="shared" ref="J57" si="126">I57/I45-1</f>
        <v>-0.14978177775183621</v>
      </c>
      <c r="K57" s="204"/>
      <c r="L57" s="254"/>
      <c r="M57" s="254"/>
      <c r="N57" s="257"/>
      <c r="O57" s="258"/>
      <c r="P57" s="129" t="s">
        <v>1436</v>
      </c>
      <c r="Q57" s="116">
        <v>4386615</v>
      </c>
      <c r="R57" s="116">
        <v>6464114067</v>
      </c>
      <c r="S57" s="116">
        <v>1185020</v>
      </c>
      <c r="T57" s="130">
        <f t="shared" ref="T57" si="127">Q57/S57</f>
        <v>3.7017223338002734</v>
      </c>
      <c r="U57" s="85">
        <f t="shared" ref="U57" si="128">Q55+Q56+Q57</f>
        <v>19517742</v>
      </c>
      <c r="V57" s="79"/>
      <c r="W57" s="79"/>
      <c r="X57" s="79"/>
      <c r="Y57" s="79"/>
      <c r="Z57" s="79"/>
    </row>
    <row r="58" spans="1:26">
      <c r="B58" s="196">
        <f>SUM(F56:F58)</f>
        <v>772384.61363636365</v>
      </c>
      <c r="C58" s="196">
        <f>AVERAGE(F56:F58)</f>
        <v>386192.30681818182</v>
      </c>
      <c r="D58" s="197">
        <f>C58/C55-1</f>
        <v>0.29211554960948782</v>
      </c>
      <c r="E58" s="233">
        <f>C58/C46-1</f>
        <v>0.32478889609740258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30845889</v>
      </c>
      <c r="R64" s="212">
        <v>45391803338</v>
      </c>
      <c r="S64" s="213">
        <v>8172578.1299999999</v>
      </c>
      <c r="T64" s="214">
        <v>55</v>
      </c>
      <c r="U64" s="214">
        <v>136</v>
      </c>
    </row>
    <row r="65" spans="16:21" ht="18" thickBot="1">
      <c r="P65" s="180" t="s">
        <v>976</v>
      </c>
      <c r="Q65" s="181">
        <v>5715025</v>
      </c>
      <c r="R65" s="181">
        <v>8314436596</v>
      </c>
      <c r="S65" s="182">
        <v>1584975</v>
      </c>
      <c r="T65" s="210">
        <v>28</v>
      </c>
      <c r="U65" s="210">
        <v>65</v>
      </c>
    </row>
    <row r="66" spans="16:21" ht="18" thickBot="1">
      <c r="P66" s="180" t="s">
        <v>977</v>
      </c>
      <c r="Q66" s="181">
        <v>5613122</v>
      </c>
      <c r="R66" s="181">
        <v>8129478569</v>
      </c>
      <c r="S66" s="182">
        <v>1570471</v>
      </c>
      <c r="T66" s="210">
        <v>30</v>
      </c>
      <c r="U66" s="210">
        <v>65</v>
      </c>
    </row>
    <row r="67" spans="16:21" ht="18" thickBot="1">
      <c r="P67" s="180" t="s">
        <v>978</v>
      </c>
      <c r="Q67" s="181">
        <v>6180793</v>
      </c>
      <c r="R67" s="181">
        <v>9123936014</v>
      </c>
      <c r="S67" s="182">
        <v>1746072.13</v>
      </c>
      <c r="T67" s="210">
        <v>30</v>
      </c>
      <c r="U67" s="210">
        <v>74</v>
      </c>
    </row>
    <row r="68" spans="16:21" ht="18" thickBot="1">
      <c r="P68" s="180" t="s">
        <v>979</v>
      </c>
      <c r="Q68" s="181">
        <v>8950334</v>
      </c>
      <c r="R68" s="181">
        <v>13359838092</v>
      </c>
      <c r="S68" s="182">
        <v>2086040</v>
      </c>
      <c r="T68" s="210">
        <v>27</v>
      </c>
      <c r="U68" s="210">
        <v>81</v>
      </c>
    </row>
    <row r="69" spans="16:21" ht="18" thickBot="1">
      <c r="P69" s="180" t="s">
        <v>980</v>
      </c>
      <c r="Q69" s="181">
        <v>4386615</v>
      </c>
      <c r="R69" s="181">
        <v>6464114067</v>
      </c>
      <c r="S69" s="182">
        <v>1185020</v>
      </c>
      <c r="T69" s="210">
        <v>22</v>
      </c>
      <c r="U69" s="210">
        <v>50</v>
      </c>
    </row>
    <row r="70" spans="16:21" ht="18" thickBot="1">
      <c r="P70" s="215" t="s">
        <v>975</v>
      </c>
      <c r="Q70" s="217"/>
      <c r="R70"/>
      <c r="S70"/>
      <c r="T70"/>
      <c r="U70"/>
    </row>
    <row r="71" spans="16:21" ht="18" thickBot="1">
      <c r="P71" s="215" t="s">
        <v>982</v>
      </c>
      <c r="Q71" s="216">
        <v>85193614</v>
      </c>
      <c r="R71" s="217"/>
      <c r="S71"/>
      <c r="T71"/>
      <c r="U71"/>
    </row>
  </sheetData>
  <phoneticPr fontId="1" type="noConversion"/>
  <conditionalFormatting sqref="C29:C30">
    <cfRule type="cellIs" dxfId="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85">
    <tabColor rgb="FFFF0000"/>
  </sheetPr>
  <dimension ref="A1:Z73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2918299090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760147.45</v>
      </c>
      <c r="G5" s="90"/>
      <c r="H5" s="90"/>
      <c r="I5" s="130">
        <f t="shared" ref="I5:I49" si="0">T5</f>
        <v>3.9825908719580716</v>
      </c>
      <c r="J5" s="130"/>
      <c r="L5" s="80"/>
      <c r="M5" s="80"/>
      <c r="P5" s="129" t="s">
        <v>0</v>
      </c>
      <c r="Q5" s="116">
        <v>15202949</v>
      </c>
      <c r="R5" s="116"/>
      <c r="S5" s="116">
        <v>3817351.44</v>
      </c>
      <c r="T5" s="130">
        <f t="shared" ref="T5:T18" si="1">Q5/S5</f>
        <v>3.9825908719580716</v>
      </c>
      <c r="U5" s="85"/>
    </row>
    <row r="6" spans="1:21" ht="15" hidden="1" customHeight="1">
      <c r="A6" s="129" t="s">
        <v>1</v>
      </c>
      <c r="C6" s="79"/>
      <c r="F6" s="78">
        <f>Q6/18</f>
        <v>907055.5555555555</v>
      </c>
      <c r="G6" s="90">
        <f t="shared" ref="G6:G16" si="2">F6/F5-1</f>
        <v>0.19326264339314103</v>
      </c>
      <c r="H6" s="90"/>
      <c r="I6" s="130">
        <f t="shared" si="0"/>
        <v>4.0452556553136141</v>
      </c>
      <c r="J6" s="130"/>
      <c r="P6" s="129" t="s">
        <v>1</v>
      </c>
      <c r="Q6" s="116">
        <v>16327000</v>
      </c>
      <c r="R6" s="116"/>
      <c r="S6" s="116">
        <v>4036086.07</v>
      </c>
      <c r="T6" s="130">
        <f t="shared" si="1"/>
        <v>4.0452556553136141</v>
      </c>
      <c r="U6" s="85"/>
    </row>
    <row r="7" spans="1:21" ht="15" hidden="1" customHeight="1">
      <c r="A7" s="129" t="s">
        <v>2</v>
      </c>
      <c r="B7" s="131">
        <f>F5+F6+F7</f>
        <v>2507414.0964646465</v>
      </c>
      <c r="C7" s="131">
        <f>AVERAGE(F5:F7)</f>
        <v>835804.69882154884</v>
      </c>
      <c r="F7" s="78">
        <f>Q7/22</f>
        <v>840211.09090909094</v>
      </c>
      <c r="G7" s="90">
        <f t="shared" si="2"/>
        <v>-7.3693903572999431E-2</v>
      </c>
      <c r="H7" s="90"/>
      <c r="I7" s="130">
        <f t="shared" si="0"/>
        <v>4.3299904967703213</v>
      </c>
      <c r="J7" s="130"/>
      <c r="K7" s="79">
        <f>R5+R6+R7</f>
        <v>0</v>
      </c>
      <c r="N7" s="88">
        <f>AVERAGE(T5:T7)</f>
        <v>4.1192790080140025</v>
      </c>
      <c r="P7" s="129" t="s">
        <v>2</v>
      </c>
      <c r="Q7" s="116">
        <v>18484644</v>
      </c>
      <c r="R7" s="116"/>
      <c r="S7" s="116">
        <v>4268980.2699999996</v>
      </c>
      <c r="T7" s="130">
        <f t="shared" si="1"/>
        <v>4.3299904967703213</v>
      </c>
      <c r="U7" s="85">
        <f>Q5+Q6+Q7</f>
        <v>50014593</v>
      </c>
    </row>
    <row r="8" spans="1:21" ht="15" hidden="1" customHeight="1">
      <c r="A8" s="129" t="s">
        <v>3</v>
      </c>
      <c r="C8" s="79"/>
      <c r="F8" s="78">
        <f>Q8/21</f>
        <v>976747.66666666663</v>
      </c>
      <c r="G8" s="90">
        <f t="shared" si="2"/>
        <v>0.16250270584960491</v>
      </c>
      <c r="H8" s="90"/>
      <c r="I8" s="130">
        <f t="shared" si="0"/>
        <v>4.3350971220789285</v>
      </c>
      <c r="J8" s="130"/>
      <c r="K8" s="78"/>
      <c r="P8" s="129" t="s">
        <v>3</v>
      </c>
      <c r="Q8" s="116">
        <v>20511701</v>
      </c>
      <c r="R8" s="116"/>
      <c r="S8" s="116">
        <v>4731543.59</v>
      </c>
      <c r="T8" s="130">
        <f t="shared" si="1"/>
        <v>4.3350971220789285</v>
      </c>
      <c r="U8" s="85"/>
    </row>
    <row r="9" spans="1:21" ht="15" hidden="1" customHeight="1">
      <c r="A9" s="129" t="s">
        <v>4</v>
      </c>
      <c r="C9" s="79"/>
      <c r="F9" s="78">
        <f>Q9/21</f>
        <v>844779.71428571432</v>
      </c>
      <c r="G9" s="90">
        <f t="shared" si="2"/>
        <v>-0.13510956502339799</v>
      </c>
      <c r="H9" s="90"/>
      <c r="I9" s="130">
        <f t="shared" si="0"/>
        <v>4.4203354365862548</v>
      </c>
      <c r="J9" s="130"/>
      <c r="K9" s="78"/>
      <c r="P9" s="129" t="s">
        <v>4</v>
      </c>
      <c r="Q9" s="116">
        <v>17740374</v>
      </c>
      <c r="R9" s="116"/>
      <c r="S9" s="116">
        <v>4013354.7</v>
      </c>
      <c r="T9" s="130">
        <f t="shared" si="1"/>
        <v>4.4203354365862548</v>
      </c>
      <c r="U9" s="85"/>
    </row>
    <row r="10" spans="1:21" ht="15" hidden="1" customHeight="1">
      <c r="A10" s="129" t="s">
        <v>5</v>
      </c>
      <c r="B10" s="131">
        <f>F8+F9+F10</f>
        <v>2499234.7619047621</v>
      </c>
      <c r="C10" s="131">
        <f>AVERAGE(F8:F10)</f>
        <v>833078.25396825408</v>
      </c>
      <c r="D10" s="90">
        <f>C10/C7-1</f>
        <v>-3.2620597337379431E-3</v>
      </c>
      <c r="E10" s="286"/>
      <c r="F10" s="78">
        <f>Q10/21</f>
        <v>677707.38095238095</v>
      </c>
      <c r="G10" s="90">
        <f t="shared" si="2"/>
        <v>-0.19777029503436627</v>
      </c>
      <c r="H10" s="90"/>
      <c r="I10" s="130">
        <f t="shared" si="0"/>
        <v>4.3769562836580738</v>
      </c>
      <c r="J10" s="130"/>
      <c r="K10" s="79">
        <f>R8+R9+R10</f>
        <v>0</v>
      </c>
      <c r="L10" s="87">
        <f>U10/U7-1</f>
        <v>4.9372330191710168E-2</v>
      </c>
      <c r="N10" s="88">
        <f>AVERAGE(T8:T10)</f>
        <v>4.377462947441086</v>
      </c>
      <c r="O10" s="89">
        <f>N10/N7-1</f>
        <v>6.2676973063681807E-2</v>
      </c>
      <c r="P10" s="129" t="s">
        <v>5</v>
      </c>
      <c r="Q10" s="116">
        <v>14231855</v>
      </c>
      <c r="R10" s="116"/>
      <c r="S10" s="116">
        <v>3251541.5</v>
      </c>
      <c r="T10" s="130">
        <f t="shared" si="1"/>
        <v>4.3769562836580738</v>
      </c>
      <c r="U10" s="85">
        <f>Q8+Q9+Q10</f>
        <v>52483930</v>
      </c>
    </row>
    <row r="11" spans="1:21" ht="15" hidden="1" customHeight="1">
      <c r="A11" s="129" t="s">
        <v>6</v>
      </c>
      <c r="C11" s="79"/>
      <c r="F11" s="78">
        <f>Q11/21</f>
        <v>617925.85714285716</v>
      </c>
      <c r="G11" s="90">
        <f t="shared" si="2"/>
        <v>-8.8211410248347777E-2</v>
      </c>
      <c r="H11" s="90"/>
      <c r="I11" s="130">
        <f t="shared" si="0"/>
        <v>4.3187983218127375</v>
      </c>
      <c r="J11" s="130"/>
      <c r="K11" s="78"/>
      <c r="O11" s="89"/>
      <c r="P11" s="129" t="s">
        <v>6</v>
      </c>
      <c r="Q11" s="116">
        <v>12976443</v>
      </c>
      <c r="R11" s="116"/>
      <c r="S11" s="116">
        <v>3004642.04</v>
      </c>
      <c r="T11" s="130">
        <f t="shared" si="1"/>
        <v>4.3187983218127375</v>
      </c>
      <c r="U11" s="85"/>
    </row>
    <row r="12" spans="1:21" ht="15" hidden="1" customHeight="1">
      <c r="A12" s="129" t="s">
        <v>7</v>
      </c>
      <c r="C12" s="79"/>
      <c r="F12" s="78">
        <f>Q12/22</f>
        <v>497578.40909090912</v>
      </c>
      <c r="G12" s="90">
        <f t="shared" si="2"/>
        <v>-0.19476033679575433</v>
      </c>
      <c r="H12" s="90"/>
      <c r="I12" s="130">
        <f t="shared" si="0"/>
        <v>4.3171979904234039</v>
      </c>
      <c r="J12" s="130"/>
      <c r="K12" s="78"/>
      <c r="O12" s="89"/>
      <c r="P12" s="129" t="s">
        <v>7</v>
      </c>
      <c r="Q12" s="116">
        <v>10946725</v>
      </c>
      <c r="R12" s="116"/>
      <c r="S12" s="116">
        <v>2535608.75</v>
      </c>
      <c r="T12" s="130">
        <f t="shared" si="1"/>
        <v>4.3171979904234039</v>
      </c>
      <c r="U12" s="85"/>
    </row>
    <row r="13" spans="1:21" ht="15" hidden="1" customHeight="1">
      <c r="A13" s="129" t="s">
        <v>96</v>
      </c>
      <c r="B13" s="131">
        <f>F11+F12+F13</f>
        <v>1697230.1662337664</v>
      </c>
      <c r="C13" s="131">
        <f>AVERAGE(F11:F13)</f>
        <v>565743.38874458882</v>
      </c>
      <c r="D13" s="90">
        <f>C13/C10-1</f>
        <v>-0.32090006424996964</v>
      </c>
      <c r="E13" s="286"/>
      <c r="F13" s="78">
        <f>Q13/20</f>
        <v>581725.9</v>
      </c>
      <c r="G13" s="90">
        <f t="shared" si="2"/>
        <v>0.169114031822303</v>
      </c>
      <c r="H13" s="90"/>
      <c r="I13" s="130">
        <f t="shared" si="0"/>
        <v>4.3900905781315656</v>
      </c>
      <c r="J13" s="130"/>
      <c r="K13" s="78">
        <f>R11+R12+R13</f>
        <v>0</v>
      </c>
      <c r="L13" s="87">
        <f>U13/U10-1</f>
        <v>-0.32250336436314886</v>
      </c>
      <c r="N13" s="88">
        <f>AVERAGE(T11:T13)</f>
        <v>4.3420289634559026</v>
      </c>
      <c r="O13" s="89">
        <f>N13/N10-1</f>
        <v>-8.0946393860162891E-3</v>
      </c>
      <c r="P13" s="129" t="s">
        <v>96</v>
      </c>
      <c r="Q13" s="116">
        <v>11634518</v>
      </c>
      <c r="R13" s="116"/>
      <c r="S13" s="116">
        <v>2650177.21</v>
      </c>
      <c r="T13" s="130">
        <f t="shared" si="1"/>
        <v>4.3900905781315656</v>
      </c>
      <c r="U13" s="85">
        <f>Q11+Q12+Q13</f>
        <v>35557686</v>
      </c>
    </row>
    <row r="14" spans="1:21" ht="15" hidden="1" customHeight="1">
      <c r="A14" s="129" t="s">
        <v>97</v>
      </c>
      <c r="C14" s="79"/>
      <c r="F14" s="78">
        <f>Q14/20</f>
        <v>538976.30000000005</v>
      </c>
      <c r="G14" s="90">
        <f t="shared" si="2"/>
        <v>-7.3487530811332191E-2</v>
      </c>
      <c r="H14" s="90"/>
      <c r="I14" s="130">
        <f t="shared" si="0"/>
        <v>4.6654282107910641</v>
      </c>
      <c r="J14" s="130"/>
      <c r="O14" s="89"/>
      <c r="P14" s="129" t="s">
        <v>97</v>
      </c>
      <c r="Q14" s="116">
        <v>10779526</v>
      </c>
      <c r="R14" s="116"/>
      <c r="S14" s="116">
        <v>2310511.6</v>
      </c>
      <c r="T14" s="130">
        <f t="shared" si="1"/>
        <v>4.6654282107910641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372764.22727272729</v>
      </c>
      <c r="G15" s="90">
        <f t="shared" si="2"/>
        <v>-0.30838475221873896</v>
      </c>
      <c r="H15" s="90"/>
      <c r="I15" s="130">
        <f t="shared" si="0"/>
        <v>4.7752995356155505</v>
      </c>
      <c r="J15" s="130"/>
      <c r="O15" s="89"/>
      <c r="P15" s="129" t="s">
        <v>98</v>
      </c>
      <c r="Q15" s="116">
        <v>8200813</v>
      </c>
      <c r="R15" s="116"/>
      <c r="S15" s="116">
        <v>1717340.02</v>
      </c>
      <c r="T15" s="130">
        <f t="shared" si="1"/>
        <v>4.7752995356155505</v>
      </c>
      <c r="U15" s="85"/>
    </row>
    <row r="16" spans="1:21" ht="15" hidden="1" customHeight="1">
      <c r="A16" s="129" t="s">
        <v>99</v>
      </c>
      <c r="B16" s="131">
        <f>F14+F15+F16</f>
        <v>1318607.3</v>
      </c>
      <c r="C16" s="131">
        <f>AVERAGE(F14:F16)</f>
        <v>439535.76666666666</v>
      </c>
      <c r="D16" s="90">
        <f>C16/C13-1</f>
        <v>-0.22308280501161981</v>
      </c>
      <c r="E16" s="286"/>
      <c r="F16" s="78">
        <f>Q16/22</f>
        <v>406866.77272727271</v>
      </c>
      <c r="G16" s="90">
        <f t="shared" si="2"/>
        <v>9.1485563687405014E-2</v>
      </c>
      <c r="H16" s="90"/>
      <c r="I16" s="130">
        <f t="shared" si="0"/>
        <v>4.8491828537076467</v>
      </c>
      <c r="J16" s="130"/>
      <c r="K16" s="78">
        <f>R14+R15+R16</f>
        <v>0</v>
      </c>
      <c r="L16" s="87">
        <f>U16/U13-1</f>
        <v>-0.21447621760313651</v>
      </c>
      <c r="N16" s="88">
        <f>AVERAGE(T14:T16)</f>
        <v>4.7633035333714204</v>
      </c>
      <c r="O16" s="89">
        <f>N16/N13-1</f>
        <v>9.7022514925883208E-2</v>
      </c>
      <c r="P16" s="129" t="s">
        <v>99</v>
      </c>
      <c r="Q16" s="116">
        <v>8951069</v>
      </c>
      <c r="R16" s="116"/>
      <c r="S16" s="116">
        <v>1845892.24</v>
      </c>
      <c r="T16" s="130">
        <f t="shared" si="1"/>
        <v>4.8491828537076467</v>
      </c>
      <c r="U16" s="85">
        <f>Q14+Q15+Q16</f>
        <v>27931408</v>
      </c>
    </row>
    <row r="17" spans="1:21" ht="15" hidden="1" customHeight="1">
      <c r="A17" s="129" t="s">
        <v>100</v>
      </c>
      <c r="C17" s="79"/>
      <c r="F17" s="78">
        <f>Q17/20</f>
        <v>517417.25</v>
      </c>
      <c r="G17" s="90">
        <f t="shared" ref="G17:G22" si="3">F17/F16-1</f>
        <v>0.27171173633004075</v>
      </c>
      <c r="H17" s="90">
        <f t="shared" ref="H17:H22" si="4">F17/F5-1</f>
        <v>-0.31931988984505566</v>
      </c>
      <c r="I17" s="130">
        <f t="shared" si="0"/>
        <v>5.0833992311914642</v>
      </c>
      <c r="J17" s="130">
        <f t="shared" ref="J17:J49" si="5">I17/I5-1</f>
        <v>0.27640508267729036</v>
      </c>
      <c r="O17" s="89"/>
      <c r="P17" s="129" t="s">
        <v>100</v>
      </c>
      <c r="Q17" s="116">
        <v>10348345</v>
      </c>
      <c r="R17" s="116">
        <v>12986861564</v>
      </c>
      <c r="S17" s="116">
        <v>2035713.61</v>
      </c>
      <c r="T17" s="130">
        <f t="shared" si="1"/>
        <v>5.0833992311914642</v>
      </c>
      <c r="U17" s="78"/>
    </row>
    <row r="18" spans="1:21" ht="15" hidden="1" customHeight="1">
      <c r="A18" s="129" t="s">
        <v>106</v>
      </c>
      <c r="C18" s="79"/>
      <c r="F18" s="78">
        <f>Q18/20</f>
        <v>551705.25</v>
      </c>
      <c r="G18" s="90">
        <f t="shared" si="3"/>
        <v>6.6267601244450303E-2</v>
      </c>
      <c r="H18" s="90">
        <f t="shared" si="4"/>
        <v>-0.39176244870459975</v>
      </c>
      <c r="I18" s="130">
        <f t="shared" si="0"/>
        <v>5.1966017656183672</v>
      </c>
      <c r="J18" s="130">
        <f t="shared" si="5"/>
        <v>0.2846164021283577</v>
      </c>
      <c r="O18" s="89"/>
      <c r="P18" s="129" t="s">
        <v>106</v>
      </c>
      <c r="Q18" s="116">
        <v>11034105</v>
      </c>
      <c r="R18" s="116">
        <v>13790095296</v>
      </c>
      <c r="S18" s="116">
        <v>2123330.88</v>
      </c>
      <c r="T18" s="130">
        <f t="shared" si="1"/>
        <v>5.1966017656183672</v>
      </c>
      <c r="U18" s="78"/>
    </row>
    <row r="19" spans="1:21" hidden="1">
      <c r="A19" s="129" t="s">
        <v>114</v>
      </c>
      <c r="B19" s="131">
        <f>SUM(F17:F19)</f>
        <v>1666730.4090909092</v>
      </c>
      <c r="C19" s="131">
        <f>AVERAGE(F17:F19)</f>
        <v>555576.8030303031</v>
      </c>
      <c r="D19" s="90">
        <f>C19/C16-1</f>
        <v>0.26400817672623944</v>
      </c>
      <c r="E19" s="286">
        <f>C19/C7-1</f>
        <v>-0.33527915814107756</v>
      </c>
      <c r="F19" s="78">
        <f>Q19/22</f>
        <v>597607.90909090906</v>
      </c>
      <c r="G19" s="90">
        <f t="shared" si="3"/>
        <v>8.3201417950815371E-2</v>
      </c>
      <c r="H19" s="90">
        <f t="shared" si="4"/>
        <v>-0.28874075151244472</v>
      </c>
      <c r="I19" s="130">
        <f t="shared" si="0"/>
        <v>5.173172115743677</v>
      </c>
      <c r="J19" s="130">
        <f t="shared" si="5"/>
        <v>0.19473059342792398</v>
      </c>
      <c r="K19" s="78">
        <f>R17+R18+R19</f>
        <v>43969120894</v>
      </c>
      <c r="L19" s="87">
        <f>U19/U16-1</f>
        <v>0.23623642603337425</v>
      </c>
      <c r="M19" s="87">
        <f>U19/U7-1</f>
        <v>-0.30960501867924828</v>
      </c>
      <c r="N19" s="88">
        <f>AVERAGE(T17:T19)</f>
        <v>5.1510577041845034</v>
      </c>
      <c r="O19" s="89">
        <f>N19/N16-1</f>
        <v>8.1404463960043749E-2</v>
      </c>
      <c r="P19" s="129" t="s">
        <v>115</v>
      </c>
      <c r="Q19" s="116">
        <v>13147374</v>
      </c>
      <c r="R19" s="116">
        <v>17192164034</v>
      </c>
      <c r="S19" s="116">
        <v>2541453.04</v>
      </c>
      <c r="T19" s="130">
        <f t="shared" ref="T19" si="6">Q19/S19</f>
        <v>5.173172115743677</v>
      </c>
      <c r="U19" s="85">
        <f>Q17+Q18+Q19</f>
        <v>34529824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609935.69999999995</v>
      </c>
      <c r="G20" s="90">
        <f t="shared" si="3"/>
        <v>2.0628560501891879E-2</v>
      </c>
      <c r="H20" s="90">
        <f t="shared" si="4"/>
        <v>-0.37554424667169239</v>
      </c>
      <c r="I20" s="130">
        <f t="shared" si="0"/>
        <v>4.6213627130440758</v>
      </c>
      <c r="J20" s="130">
        <f t="shared" si="5"/>
        <v>6.6034412356571703E-2</v>
      </c>
      <c r="O20" s="89"/>
      <c r="P20" s="129" t="s">
        <v>132</v>
      </c>
      <c r="Q20" s="116">
        <v>12198714</v>
      </c>
      <c r="R20" s="116">
        <v>16016762685</v>
      </c>
      <c r="S20" s="116">
        <v>2639635.7000000002</v>
      </c>
      <c r="T20" s="130">
        <f t="shared" ref="T20" si="7">Q20/S20</f>
        <v>4.6213627130440758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686398.23809523811</v>
      </c>
      <c r="G21" s="90">
        <f t="shared" si="3"/>
        <v>0.12536163745660112</v>
      </c>
      <c r="H21" s="90">
        <f t="shared" si="4"/>
        <v>-0.18748257505732402</v>
      </c>
      <c r="I21" s="130">
        <f t="shared" si="0"/>
        <v>4.6452071343312538</v>
      </c>
      <c r="J21" s="130">
        <f t="shared" si="5"/>
        <v>5.0872089001160248E-2</v>
      </c>
      <c r="O21" s="89"/>
      <c r="P21" s="129" t="s">
        <v>142</v>
      </c>
      <c r="Q21" s="116">
        <v>14414363</v>
      </c>
      <c r="R21" s="116">
        <v>19200575993</v>
      </c>
      <c r="S21" s="116">
        <v>3103061.41</v>
      </c>
      <c r="T21" s="130">
        <f t="shared" ref="T21" si="8">Q21/S21</f>
        <v>4.6452071343312538</v>
      </c>
      <c r="U21" s="78"/>
    </row>
    <row r="22" spans="1:21" hidden="1">
      <c r="A22" s="129" t="s">
        <v>156</v>
      </c>
      <c r="B22" s="131">
        <f>SUM(F20:F22)</f>
        <v>1999999.0333333332</v>
      </c>
      <c r="C22" s="131">
        <f>AVERAGE(F20:F22)</f>
        <v>666666.3444444444</v>
      </c>
      <c r="D22" s="90">
        <f>C22/C19-1</f>
        <v>0.19995352723191728</v>
      </c>
      <c r="E22" s="286">
        <f>C22/C10-1</f>
        <v>-0.19975543561619735</v>
      </c>
      <c r="F22" s="78">
        <f>Q22/21</f>
        <v>703665.09523809527</v>
      </c>
      <c r="G22" s="90">
        <f t="shared" si="3"/>
        <v>2.5155742227388034E-2</v>
      </c>
      <c r="H22" s="90">
        <f t="shared" si="4"/>
        <v>3.8302245209777652E-2</v>
      </c>
      <c r="I22" s="130">
        <f t="shared" si="0"/>
        <v>4.5210999843387301</v>
      </c>
      <c r="J22" s="130">
        <f t="shared" si="5"/>
        <v>3.2932405840751855E-2</v>
      </c>
      <c r="K22" s="78">
        <f>R20+R21+R22</f>
        <v>54490149564</v>
      </c>
      <c r="L22" s="87">
        <f>U22/U19-1</f>
        <v>0.19867520900193414</v>
      </c>
      <c r="M22" s="87">
        <f>U22/U10-1</f>
        <v>-0.21137681572245071</v>
      </c>
      <c r="N22" s="88">
        <f>AVERAGE(T20:T22)</f>
        <v>4.5958899439046865</v>
      </c>
      <c r="O22" s="89">
        <f>N22/N19-1</f>
        <v>-0.10777742983325966</v>
      </c>
      <c r="P22" s="129" t="s">
        <v>156</v>
      </c>
      <c r="Q22" s="116">
        <v>14776967</v>
      </c>
      <c r="R22" s="116">
        <v>19272810886</v>
      </c>
      <c r="S22" s="116">
        <v>3268445.08</v>
      </c>
      <c r="T22" s="130">
        <f t="shared" ref="T22:T23" si="9">Q22/S22</f>
        <v>4.5210999843387301</v>
      </c>
      <c r="U22" s="85">
        <f>Q20+Q21+Q22</f>
        <v>41390044</v>
      </c>
    </row>
    <row r="23" spans="1:21" hidden="1">
      <c r="A23" s="129" t="s">
        <v>189</v>
      </c>
      <c r="B23" s="131"/>
      <c r="C23" s="131"/>
      <c r="F23" s="78">
        <f>Q23/21</f>
        <v>564305.80952380947</v>
      </c>
      <c r="G23" s="90">
        <f t="shared" ref="G23" si="10">F23/F22-1</f>
        <v>-0.1980477455217976</v>
      </c>
      <c r="H23" s="90">
        <f t="shared" ref="H23" si="11">F23/F11-1</f>
        <v>-8.6774241600722335E-2</v>
      </c>
      <c r="I23" s="130">
        <f t="shared" si="0"/>
        <v>4.1909629237192902</v>
      </c>
      <c r="J23" s="130">
        <f t="shared" si="5"/>
        <v>-2.959976099087458E-2</v>
      </c>
      <c r="O23" s="89"/>
      <c r="P23" s="129" t="s">
        <v>189</v>
      </c>
      <c r="Q23" s="116">
        <v>11850422</v>
      </c>
      <c r="R23" s="116">
        <v>15335878827</v>
      </c>
      <c r="S23" s="116">
        <v>2827613.18</v>
      </c>
      <c r="T23" s="130">
        <f t="shared" si="9"/>
        <v>4.1909629237192902</v>
      </c>
      <c r="U23" s="78"/>
    </row>
    <row r="24" spans="1:21" hidden="1">
      <c r="A24" s="129" t="s">
        <v>204</v>
      </c>
      <c r="B24" s="131"/>
      <c r="C24" s="131"/>
      <c r="F24" s="78">
        <f>Q24/22</f>
        <v>553756.27272727271</v>
      </c>
      <c r="G24" s="90">
        <f t="shared" ref="G24" si="12">F24/F23-1</f>
        <v>-1.869471591199634E-2</v>
      </c>
      <c r="H24" s="90">
        <f t="shared" ref="H24" si="13">F24/F12-1</f>
        <v>0.11290253477638279</v>
      </c>
      <c r="I24" s="130">
        <f t="shared" si="0"/>
        <v>4.2140320055261737</v>
      </c>
      <c r="J24" s="130">
        <f t="shared" si="5"/>
        <v>-2.3896514620380449E-2</v>
      </c>
      <c r="O24" s="89"/>
      <c r="P24" s="129" t="s">
        <v>204</v>
      </c>
      <c r="Q24" s="116">
        <v>12182638</v>
      </c>
      <c r="R24" s="116">
        <v>15936188012</v>
      </c>
      <c r="S24" s="116">
        <v>2890969.5</v>
      </c>
      <c r="T24" s="130">
        <f t="shared" ref="T24" si="14">Q24/S24</f>
        <v>4.2140320055261737</v>
      </c>
      <c r="U24" s="78"/>
    </row>
    <row r="25" spans="1:21" s="79" customFormat="1" ht="13.2" hidden="1">
      <c r="A25" s="129" t="s">
        <v>219</v>
      </c>
      <c r="B25" s="131">
        <f>SUM(F23:F25)</f>
        <v>1845349.345408977</v>
      </c>
      <c r="C25" s="131">
        <f>AVERAGE(F23:F25)</f>
        <v>615116.44846965896</v>
      </c>
      <c r="D25" s="90">
        <f>C25/C22-1</f>
        <v>-7.7324881335870788E-2</v>
      </c>
      <c r="E25" s="286">
        <f>C25/C13-1</f>
        <v>8.7271120984075967E-2</v>
      </c>
      <c r="F25" s="78">
        <f>Q25/19</f>
        <v>727287.26315789472</v>
      </c>
      <c r="G25" s="90">
        <f t="shared" ref="G25" si="15">F25/F24-1</f>
        <v>0.31337069930779227</v>
      </c>
      <c r="H25" s="90">
        <f t="shared" ref="H25" si="16">F25/F13-1</f>
        <v>0.25022328068579158</v>
      </c>
      <c r="I25" s="130">
        <f t="shared" si="0"/>
        <v>4.0528282169231478</v>
      </c>
      <c r="J25" s="130">
        <f t="shared" si="5"/>
        <v>-7.6823554139959782E-2</v>
      </c>
      <c r="K25" s="78">
        <f>R23+R24+R25</f>
        <v>49611643345</v>
      </c>
      <c r="L25" s="90">
        <f>U25/U22-1</f>
        <v>-8.5492201941123835E-2</v>
      </c>
      <c r="M25" s="90">
        <f>U25/U13-1</f>
        <v>6.4510159631872455E-2</v>
      </c>
      <c r="N25" s="88">
        <f>AVERAGE(T23:T25)</f>
        <v>4.1526077153895375</v>
      </c>
      <c r="O25" s="91">
        <f>N25/N22-1</f>
        <v>-9.6451880685927582E-2</v>
      </c>
      <c r="P25" s="129" t="s">
        <v>219</v>
      </c>
      <c r="Q25" s="116">
        <v>13818458</v>
      </c>
      <c r="R25" s="116">
        <v>18339576506</v>
      </c>
      <c r="S25" s="116">
        <v>3409583.94</v>
      </c>
      <c r="T25" s="130">
        <f t="shared" ref="T25" si="17">Q25/S25</f>
        <v>4.0528282169231478</v>
      </c>
      <c r="U25" s="85">
        <f>Q23+Q24+Q25</f>
        <v>37851518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596374.21052631584</v>
      </c>
      <c r="G26" s="90">
        <f t="shared" ref="G26" si="18">F26/F25-1</f>
        <v>-0.18000184969987232</v>
      </c>
      <c r="H26" s="90">
        <f t="shared" ref="H26" si="19">F26/F14-1</f>
        <v>0.10649431250746244</v>
      </c>
      <c r="I26" s="130">
        <f t="shared" si="0"/>
        <v>3.8478713609766126</v>
      </c>
      <c r="J26" s="130">
        <f t="shared" si="5"/>
        <v>-0.17523725859149542</v>
      </c>
      <c r="L26" s="90"/>
      <c r="M26" s="90"/>
      <c r="P26" s="129" t="s">
        <v>312</v>
      </c>
      <c r="Q26" s="116">
        <v>11331110</v>
      </c>
      <c r="R26" s="116">
        <v>15266765404</v>
      </c>
      <c r="S26" s="116">
        <v>2944773.6</v>
      </c>
      <c r="T26" s="130">
        <f t="shared" ref="T26" si="20">Q26/S26</f>
        <v>3.8478713609766126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588368.95454545459</v>
      </c>
      <c r="G27" s="90">
        <f t="shared" ref="G27" si="21">F27/F26-1</f>
        <v>-1.342320952107634E-2</v>
      </c>
      <c r="H27" s="90">
        <f t="shared" ref="H27" si="22">F27/F15-1</f>
        <v>0.57839436163219426</v>
      </c>
      <c r="I27" s="130">
        <f t="shared" si="0"/>
        <v>3.684006807985321</v>
      </c>
      <c r="J27" s="130">
        <f t="shared" si="5"/>
        <v>-0.22852864401302075</v>
      </c>
      <c r="L27" s="90"/>
      <c r="M27" s="90"/>
      <c r="P27" s="129" t="s">
        <v>378</v>
      </c>
      <c r="Q27" s="116">
        <v>12944117</v>
      </c>
      <c r="R27" s="116">
        <v>17204095607</v>
      </c>
      <c r="S27" s="116">
        <v>3513597.47</v>
      </c>
      <c r="T27" s="130">
        <f t="shared" ref="T27" si="23">Q27/S27</f>
        <v>3.684006807985321</v>
      </c>
      <c r="U27" s="78"/>
    </row>
    <row r="28" spans="1:21" s="79" customFormat="1" ht="13.2" hidden="1">
      <c r="A28" s="123" t="s">
        <v>413</v>
      </c>
      <c r="B28" s="131">
        <f>SUM(F26:F28)</f>
        <v>1771441.69138756</v>
      </c>
      <c r="C28" s="131">
        <f>AVERAGE(F26:F28)</f>
        <v>590480.56379585329</v>
      </c>
      <c r="D28" s="90">
        <f>C28/C25-1</f>
        <v>-4.005076556658016E-2</v>
      </c>
      <c r="E28" s="286">
        <f>C28/C16-1</f>
        <v>0.34341868984614288</v>
      </c>
      <c r="F28" s="78">
        <f>Q28/19</f>
        <v>586698.52631578944</v>
      </c>
      <c r="G28" s="90">
        <f t="shared" ref="G28" si="24">F28/F27-1</f>
        <v>-2.8390828862744355E-3</v>
      </c>
      <c r="H28" s="90">
        <f t="shared" ref="H28" si="25">F28/F16-1</f>
        <v>0.44199174187433576</v>
      </c>
      <c r="I28" s="130">
        <f t="shared" si="0"/>
        <v>3.8470435417000304</v>
      </c>
      <c r="J28" s="130">
        <f t="shared" si="5"/>
        <v>-0.20666148137544216</v>
      </c>
      <c r="K28" s="78">
        <f>R26+R27+R28</f>
        <v>47023470914</v>
      </c>
      <c r="L28" s="90">
        <f>U28/U25-1</f>
        <v>-6.4172300830841134E-2</v>
      </c>
      <c r="M28" s="90">
        <f>U28/U16-1</f>
        <v>0.26819596777935439</v>
      </c>
      <c r="N28" s="88">
        <f>AVERAGE(T26:T28)</f>
        <v>3.7929739035539876</v>
      </c>
      <c r="O28" s="91">
        <f>N28/N25-1</f>
        <v>-8.6604330696287368E-2</v>
      </c>
      <c r="P28" s="129" t="s">
        <v>413</v>
      </c>
      <c r="Q28" s="116">
        <v>11147272</v>
      </c>
      <c r="R28" s="116">
        <v>14552609903</v>
      </c>
      <c r="S28" s="116">
        <v>2897620.44</v>
      </c>
      <c r="T28" s="130">
        <f t="shared" ref="T28" si="26">Q28/S28</f>
        <v>3.8470435417000304</v>
      </c>
      <c r="U28" s="85">
        <f>Q26+Q27+Q28</f>
        <v>35422499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710145.13636363635</v>
      </c>
      <c r="G29" s="190">
        <f t="shared" ref="G29" si="27">F29/F28-1</f>
        <v>0.2104089315223574</v>
      </c>
      <c r="H29" s="190">
        <f t="shared" ref="H29" si="28">F29/F17-1</f>
        <v>0.37248059735858496</v>
      </c>
      <c r="I29" s="130">
        <f t="shared" si="0"/>
        <v>3.7814105004887781</v>
      </c>
      <c r="J29" s="130">
        <f t="shared" si="5"/>
        <v>-0.25612561034233816</v>
      </c>
      <c r="K29" s="136"/>
      <c r="L29" s="190"/>
      <c r="M29" s="190"/>
      <c r="N29" s="191"/>
      <c r="O29" s="192"/>
      <c r="P29" s="129" t="s">
        <v>427</v>
      </c>
      <c r="Q29" s="116">
        <v>15623193</v>
      </c>
      <c r="R29" s="116">
        <v>20552468602</v>
      </c>
      <c r="S29" s="116">
        <v>4131578.15</v>
      </c>
      <c r="T29" s="130">
        <f t="shared" ref="T29" si="29">Q29/S29</f>
        <v>3.7814105004887781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833345.78947368416</v>
      </c>
      <c r="G30" s="190">
        <f t="shared" ref="G30" si="30">F30/F29-1</f>
        <v>0.17348658295529296</v>
      </c>
      <c r="H30" s="190">
        <f t="shared" ref="H30" si="31">F30/F18-1</f>
        <v>0.51049095413481038</v>
      </c>
      <c r="I30" s="130">
        <f t="shared" si="0"/>
        <v>3.5408622315981657</v>
      </c>
      <c r="J30" s="130">
        <f t="shared" si="5"/>
        <v>-0.31861966891033788</v>
      </c>
      <c r="K30" s="136"/>
      <c r="L30" s="190"/>
      <c r="M30" s="190"/>
      <c r="N30" s="191"/>
      <c r="O30" s="192"/>
      <c r="P30" s="129" t="s">
        <v>469</v>
      </c>
      <c r="Q30" s="116">
        <v>15833570</v>
      </c>
      <c r="R30" s="116">
        <v>21100858027</v>
      </c>
      <c r="S30" s="116">
        <v>4471670.7300000004</v>
      </c>
      <c r="T30" s="130">
        <f t="shared" ref="T30" si="32">Q30/S30</f>
        <v>3.5408622315981657</v>
      </c>
      <c r="U30" s="85"/>
    </row>
    <row r="31" spans="1:21" s="79" customFormat="1" ht="13.2" hidden="1">
      <c r="A31" s="129" t="s">
        <v>505</v>
      </c>
      <c r="B31" s="188">
        <f>SUM(F29:F31)</f>
        <v>2316861.4258373203</v>
      </c>
      <c r="C31" s="188">
        <f>AVERAGE(F29:F31)</f>
        <v>772287.14194577339</v>
      </c>
      <c r="D31" s="190">
        <f>C31/C28-1</f>
        <v>0.30789595678000348</v>
      </c>
      <c r="E31" s="287">
        <f>C31/C19-1</f>
        <v>0.39006369188464873</v>
      </c>
      <c r="F31" s="136">
        <f>Q31/20</f>
        <v>773370.5</v>
      </c>
      <c r="G31" s="190">
        <f t="shared" ref="G31" si="33">F31/F30-1</f>
        <v>-7.1969271617203123E-2</v>
      </c>
      <c r="H31" s="190">
        <f t="shared" ref="H31" si="34">F31/F19-1</f>
        <v>0.29411021546964444</v>
      </c>
      <c r="I31" s="130">
        <f t="shared" si="0"/>
        <v>3.5768456629857464</v>
      </c>
      <c r="J31" s="130">
        <f t="shared" si="5"/>
        <v>-0.3085778738928443</v>
      </c>
      <c r="K31" s="136">
        <f>R29+R30+R31</f>
        <v>62192026875</v>
      </c>
      <c r="L31" s="190">
        <f>U31/U28-1</f>
        <v>0.32469967745640993</v>
      </c>
      <c r="M31" s="190">
        <f>U31/U19-1</f>
        <v>0.35894619677181083</v>
      </c>
      <c r="N31" s="191">
        <f>AVERAGE(T29:T31)</f>
        <v>3.6330394650242304</v>
      </c>
      <c r="O31" s="192">
        <f>N31/N28-1</f>
        <v>-4.2165973876039597E-2</v>
      </c>
      <c r="P31" s="129" t="s">
        <v>506</v>
      </c>
      <c r="Q31" s="116">
        <v>15467410</v>
      </c>
      <c r="R31" s="116">
        <v>20538700246</v>
      </c>
      <c r="S31" s="116">
        <v>4324315.74</v>
      </c>
      <c r="T31" s="130">
        <f t="shared" ref="T31" si="35">Q31/S31</f>
        <v>3.5768456629857464</v>
      </c>
      <c r="U31" s="85">
        <f>Q29+Q30+Q31</f>
        <v>46924173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676233.14285714284</v>
      </c>
      <c r="G32" s="190">
        <f t="shared" ref="G32" si="36">F32/F31-1</f>
        <v>-0.12560261497284564</v>
      </c>
      <c r="H32" s="190">
        <f t="shared" ref="H32" si="37">F32/F20-1</f>
        <v>0.10869579015811492</v>
      </c>
      <c r="I32" s="130">
        <f t="shared" si="0"/>
        <v>3.6822095327401092</v>
      </c>
      <c r="J32" s="130">
        <f t="shared" si="5"/>
        <v>-0.20321996748992455</v>
      </c>
      <c r="K32" s="136"/>
      <c r="L32" s="190"/>
      <c r="M32" s="190"/>
      <c r="N32" s="191"/>
      <c r="O32" s="192"/>
      <c r="P32" s="129" t="s">
        <v>573</v>
      </c>
      <c r="Q32" s="116">
        <v>14200896</v>
      </c>
      <c r="R32" s="116">
        <v>19303282555</v>
      </c>
      <c r="S32" s="116">
        <v>3856623.55</v>
      </c>
      <c r="T32" s="130">
        <f t="shared" ref="T32" si="38">Q32/S32</f>
        <v>3.6822095327401092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616332.47619047621</v>
      </c>
      <c r="G33" s="190">
        <f t="shared" ref="G33" si="39">F33/F32-1</f>
        <v>-8.8579903690583994E-2</v>
      </c>
      <c r="H33" s="190">
        <f t="shared" ref="H33" si="40">F33/F21-1</f>
        <v>-0.10207742097240091</v>
      </c>
      <c r="I33" s="130">
        <f t="shared" si="0"/>
        <v>3.3811588728512563</v>
      </c>
      <c r="J33" s="130">
        <f t="shared" si="5"/>
        <v>-0.27211881514127056</v>
      </c>
      <c r="K33" s="136"/>
      <c r="L33" s="190"/>
      <c r="M33" s="190"/>
      <c r="N33" s="191"/>
      <c r="O33" s="192"/>
      <c r="P33" s="129" t="s">
        <v>607</v>
      </c>
      <c r="Q33" s="116">
        <v>12942982</v>
      </c>
      <c r="R33" s="116">
        <v>17705454074</v>
      </c>
      <c r="S33" s="116">
        <v>3827972.15</v>
      </c>
      <c r="T33" s="130">
        <f t="shared" ref="T33" si="41">Q33/S33</f>
        <v>3.3811588728512563</v>
      </c>
      <c r="U33" s="85"/>
    </row>
    <row r="34" spans="1:21" s="79" customFormat="1" ht="13.2" hidden="1">
      <c r="A34" s="129" t="s">
        <v>652</v>
      </c>
      <c r="B34" s="188">
        <f>SUM(F32:F34)</f>
        <v>2014445.1979949875</v>
      </c>
      <c r="C34" s="188">
        <f>AVERAGE(F32:F34)</f>
        <v>671481.73266499583</v>
      </c>
      <c r="D34" s="190">
        <f>C34/C31-1</f>
        <v>-0.13052840557049661</v>
      </c>
      <c r="E34" s="287">
        <f>C34/C22-1</f>
        <v>7.2230858219852756E-3</v>
      </c>
      <c r="F34" s="136">
        <f>Q34/19</f>
        <v>721879.57894736843</v>
      </c>
      <c r="G34" s="190">
        <f t="shared" ref="G34" si="42">F34/F33-1</f>
        <v>0.17125026967469603</v>
      </c>
      <c r="H34" s="190">
        <f t="shared" ref="H34" si="43">F34/F22-1</f>
        <v>2.5885160188470202E-2</v>
      </c>
      <c r="I34" s="130">
        <f t="shared" si="0"/>
        <v>3.3711476170390573</v>
      </c>
      <c r="J34" s="130">
        <f t="shared" si="5"/>
        <v>-0.25435234152820185</v>
      </c>
      <c r="K34" s="136">
        <f>R32+R33+R34</f>
        <v>55855993783</v>
      </c>
      <c r="L34" s="190">
        <f>U34/U31-1</f>
        <v>-0.12924219250491642</v>
      </c>
      <c r="M34" s="190">
        <f>U34/U22-1</f>
        <v>-1.2815980577358221E-2</v>
      </c>
      <c r="N34" s="191">
        <f>AVERAGE(T32:T34)</f>
        <v>3.4781720075434741</v>
      </c>
      <c r="O34" s="192">
        <f>N34/N31-1</f>
        <v>-4.262751863052594E-2</v>
      </c>
      <c r="P34" s="129" t="s">
        <v>652</v>
      </c>
      <c r="Q34" s="116">
        <v>13715712</v>
      </c>
      <c r="R34" s="116">
        <v>18847257154</v>
      </c>
      <c r="S34" s="116">
        <v>4068558.71</v>
      </c>
      <c r="T34" s="130">
        <f t="shared" ref="T34" si="44">Q34/S34</f>
        <v>3.3711476170390573</v>
      </c>
      <c r="U34" s="85">
        <f>Q32+Q33+Q34</f>
        <v>40859590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618396.73913043481</v>
      </c>
      <c r="G35" s="190">
        <f t="shared" ref="G35" si="45">F35/F34-1</f>
        <v>-0.14335194239436777</v>
      </c>
      <c r="H35" s="190">
        <f t="shared" ref="H35" si="46">F35/F23-1</f>
        <v>9.5853930074315752E-2</v>
      </c>
      <c r="I35" s="130">
        <f t="shared" si="0"/>
        <v>3.5384186102594577</v>
      </c>
      <c r="J35" s="130">
        <f t="shared" si="5"/>
        <v>-0.15570271685456216</v>
      </c>
      <c r="K35" s="136"/>
      <c r="L35" s="190"/>
      <c r="M35" s="190"/>
      <c r="N35" s="191"/>
      <c r="O35" s="192"/>
      <c r="P35" s="129" t="s">
        <v>660</v>
      </c>
      <c r="Q35" s="116">
        <v>14223125</v>
      </c>
      <c r="R35" s="116">
        <v>19688678689</v>
      </c>
      <c r="S35" s="116">
        <v>4019627.57</v>
      </c>
      <c r="T35" s="130">
        <f t="shared" ref="T35" si="47">Q35/S35</f>
        <v>3.5384186102594577</v>
      </c>
      <c r="U35" s="85"/>
    </row>
    <row r="36" spans="1:21" s="79" customFormat="1" ht="13.2" hidden="1">
      <c r="A36" s="129" t="s">
        <v>673</v>
      </c>
      <c r="B36" s="188"/>
      <c r="C36" s="188"/>
      <c r="D36" s="190"/>
      <c r="E36" s="287"/>
      <c r="F36" s="136">
        <f>Q36/21</f>
        <v>543853.09523809527</v>
      </c>
      <c r="G36" s="190">
        <f t="shared" ref="G36" si="48">F36/F35-1</f>
        <v>-0.12054339742664211</v>
      </c>
      <c r="H36" s="190">
        <f t="shared" ref="H36" si="49">F36/F24-1</f>
        <v>-1.7883639385977257E-2</v>
      </c>
      <c r="I36" s="130">
        <f t="shared" si="0"/>
        <v>3.3348521754817941</v>
      </c>
      <c r="J36" s="130">
        <f t="shared" si="5"/>
        <v>-0.20863150277250997</v>
      </c>
      <c r="K36" s="136"/>
      <c r="L36" s="190"/>
      <c r="M36" s="190"/>
      <c r="N36" s="191"/>
      <c r="O36" s="192"/>
      <c r="P36" s="129" t="s">
        <v>673</v>
      </c>
      <c r="Q36" s="116">
        <v>11420915</v>
      </c>
      <c r="R36" s="116">
        <v>15615777894</v>
      </c>
      <c r="S36" s="116">
        <v>3424714.02</v>
      </c>
      <c r="T36" s="130">
        <f t="shared" ref="T36" si="50">Q36/S36</f>
        <v>3.3348521754817941</v>
      </c>
      <c r="U36" s="85"/>
    </row>
    <row r="37" spans="1:21" s="79" customFormat="1" ht="13.2" hidden="1">
      <c r="A37" s="129" t="s">
        <v>702</v>
      </c>
      <c r="B37" s="188">
        <f>SUM(F35:F37)</f>
        <v>1781176.6677018637</v>
      </c>
      <c r="C37" s="188">
        <f>AVERAGE(F35:F37)</f>
        <v>593725.55590062123</v>
      </c>
      <c r="D37" s="190">
        <f>C37/C34-1</f>
        <v>-0.11579790332608697</v>
      </c>
      <c r="E37" s="287">
        <f>C37/C25-1</f>
        <v>-3.4775354523937541E-2</v>
      </c>
      <c r="F37" s="136">
        <f>Q37/18</f>
        <v>618926.83333333337</v>
      </c>
      <c r="G37" s="190">
        <f t="shared" ref="G37" si="51">F37/F36-1</f>
        <v>0.13804047223887062</v>
      </c>
      <c r="H37" s="190">
        <f t="shared" ref="H37" si="52">F37/F25-1</f>
        <v>-0.14899261311693868</v>
      </c>
      <c r="I37" s="130">
        <f t="shared" si="0"/>
        <v>3.465432487595578</v>
      </c>
      <c r="J37" s="130">
        <f t="shared" si="5"/>
        <v>-0.14493477095200269</v>
      </c>
      <c r="K37" s="136">
        <f>R35+R36+R37</f>
        <v>50177009685</v>
      </c>
      <c r="L37" s="190">
        <f>U37/U34-1</f>
        <v>-9.9728533742017511E-2</v>
      </c>
      <c r="M37" s="190">
        <f>U37/U25-1</f>
        <v>-2.8183678128840151E-2</v>
      </c>
      <c r="N37" s="191">
        <f>AVERAGE(T35:T37)</f>
        <v>3.4462344244456098</v>
      </c>
      <c r="O37" s="192">
        <f>N37/N34-1</f>
        <v>-9.1822897282244353E-3</v>
      </c>
      <c r="P37" s="129" t="s">
        <v>702</v>
      </c>
      <c r="Q37" s="116">
        <v>11140683</v>
      </c>
      <c r="R37" s="116">
        <v>14872553102</v>
      </c>
      <c r="S37" s="116">
        <v>3214803.07</v>
      </c>
      <c r="T37" s="130">
        <f t="shared" ref="T37" si="53">Q37/S37</f>
        <v>3.465432487595578</v>
      </c>
      <c r="U37" s="85">
        <f>Q35+Q36+Q37</f>
        <v>36784723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641991.5</v>
      </c>
      <c r="G38" s="190">
        <f t="shared" ref="G38" si="54">F38/F37-1</f>
        <v>3.7265578780044217E-2</v>
      </c>
      <c r="H38" s="190">
        <f t="shared" ref="H38" si="55">F38/F26-1</f>
        <v>7.6491049861840521E-2</v>
      </c>
      <c r="I38" s="130">
        <f t="shared" si="0"/>
        <v>3.4703347466242485</v>
      </c>
      <c r="J38" s="130">
        <f t="shared" si="5"/>
        <v>-9.8115705785066343E-2</v>
      </c>
      <c r="K38" s="136"/>
      <c r="L38" s="190"/>
      <c r="M38" s="190"/>
      <c r="N38" s="191"/>
      <c r="O38" s="192"/>
      <c r="P38" s="129" t="s">
        <v>728</v>
      </c>
      <c r="Q38" s="116">
        <v>12839830</v>
      </c>
      <c r="R38" s="116">
        <v>17254455113</v>
      </c>
      <c r="S38" s="116">
        <v>3699882.27</v>
      </c>
      <c r="T38" s="130">
        <f t="shared" ref="T38" si="56">Q38/S38</f>
        <v>3.4703347466242485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434450.14285714284</v>
      </c>
      <c r="G39" s="190">
        <f t="shared" ref="G39" si="57">F39/F38-1</f>
        <v>-0.32327742211985233</v>
      </c>
      <c r="H39" s="190">
        <f t="shared" ref="H39" si="58">F39/F27-1</f>
        <v>-0.26160253782802323</v>
      </c>
      <c r="I39" s="130">
        <f t="shared" si="0"/>
        <v>3.5145847833855108</v>
      </c>
      <c r="J39" s="130">
        <f t="shared" si="5"/>
        <v>-4.5988521039802888E-2</v>
      </c>
      <c r="K39" s="136"/>
      <c r="L39" s="190"/>
      <c r="M39" s="190"/>
      <c r="N39" s="191"/>
      <c r="O39" s="192"/>
      <c r="P39" s="129" t="s">
        <v>762</v>
      </c>
      <c r="Q39" s="116">
        <v>9123453</v>
      </c>
      <c r="R39" s="116">
        <v>12663593413</v>
      </c>
      <c r="S39" s="116">
        <v>2595883.6</v>
      </c>
      <c r="T39" s="130">
        <f t="shared" ref="T39" si="59">Q39/S39</f>
        <v>3.5145847833855108</v>
      </c>
      <c r="U39" s="85"/>
    </row>
    <row r="40" spans="1:21" s="79" customFormat="1" ht="13.2" hidden="1">
      <c r="A40" s="129" t="s">
        <v>778</v>
      </c>
      <c r="B40" s="188">
        <f>SUM(F38:F40)</f>
        <v>1606375.0714285714</v>
      </c>
      <c r="C40" s="188">
        <f>AVERAGE(F38:F40)</f>
        <v>535458.35714285716</v>
      </c>
      <c r="D40" s="190">
        <f>C40/C37-1</f>
        <v>-9.8138269742117923E-2</v>
      </c>
      <c r="E40" s="287">
        <f>C40/C28-1</f>
        <v>-9.3182079185283651E-2</v>
      </c>
      <c r="F40" s="136">
        <f>Q40/21</f>
        <v>529933.42857142852</v>
      </c>
      <c r="G40" s="190">
        <f t="shared" ref="G40" si="60">F40/F39-1</f>
        <v>0.2197796163360517</v>
      </c>
      <c r="H40" s="190">
        <f t="shared" ref="H40" si="61">F40/F28-1</f>
        <v>-9.6753435023641421E-2</v>
      </c>
      <c r="I40" s="130">
        <f t="shared" si="0"/>
        <v>3.4808610495012191</v>
      </c>
      <c r="J40" s="130">
        <f t="shared" si="5"/>
        <v>-9.5185429597969495E-2</v>
      </c>
      <c r="K40" s="136">
        <f>R38+R39+R40</f>
        <v>45739991863</v>
      </c>
      <c r="L40" s="190">
        <f>U40/U37-1</f>
        <v>-0.10039053440744949</v>
      </c>
      <c r="M40" s="190">
        <f>U40/U28-1</f>
        <v>-6.5794736842253898E-2</v>
      </c>
      <c r="N40" s="191">
        <f>AVERAGE(T38:T40)</f>
        <v>3.4885935265036596</v>
      </c>
      <c r="O40" s="192">
        <f>N40/N37-1</f>
        <v>1.2291416323155113E-2</v>
      </c>
      <c r="P40" s="129" t="s">
        <v>778</v>
      </c>
      <c r="Q40" s="116">
        <v>11128602</v>
      </c>
      <c r="R40" s="116">
        <v>15821943337</v>
      </c>
      <c r="S40" s="116">
        <v>3197083.09</v>
      </c>
      <c r="T40" s="130">
        <f t="shared" ref="T40" si="62">Q40/S40</f>
        <v>3.4808610495012191</v>
      </c>
      <c r="U40" s="85">
        <f>Q38+Q39+Q40</f>
        <v>33091885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631043.16666666663</v>
      </c>
      <c r="G41" s="190">
        <f t="shared" ref="G41" si="63">F41/F40-1</f>
        <v>0.19079705609024389</v>
      </c>
      <c r="H41" s="190">
        <f t="shared" ref="H41" si="64">F41/F29-1</f>
        <v>-0.11138845518539864</v>
      </c>
      <c r="I41" s="130">
        <f t="shared" si="0"/>
        <v>3.5722408023379537</v>
      </c>
      <c r="J41" s="130">
        <f t="shared" si="5"/>
        <v>-5.5315258188389671E-2</v>
      </c>
      <c r="K41" s="193"/>
      <c r="L41" s="190"/>
      <c r="M41" s="190"/>
      <c r="N41" s="193"/>
      <c r="O41" s="193"/>
      <c r="P41" s="129" t="s">
        <v>792</v>
      </c>
      <c r="Q41" s="116">
        <v>11358777</v>
      </c>
      <c r="R41" s="116">
        <v>16610805134</v>
      </c>
      <c r="S41" s="116">
        <v>3179734.41</v>
      </c>
      <c r="T41" s="130">
        <f t="shared" ref="T41" si="65">Q41/S41</f>
        <v>3.5722408023379537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661243.9</v>
      </c>
      <c r="G42" s="190">
        <f t="shared" ref="G42" si="66">F42/F41-1</f>
        <v>4.785842701199261E-2</v>
      </c>
      <c r="H42" s="190">
        <f t="shared" ref="H42" si="67">F42/F30-1</f>
        <v>-0.20651918045014472</v>
      </c>
      <c r="I42" s="130">
        <f t="shared" si="0"/>
        <v>3.4127200850584134</v>
      </c>
      <c r="J42" s="130">
        <f t="shared" si="5"/>
        <v>-3.6189531859282642E-2</v>
      </c>
      <c r="K42" s="193"/>
      <c r="L42" s="190"/>
      <c r="M42" s="190"/>
      <c r="N42" s="193"/>
      <c r="O42" s="193"/>
      <c r="P42" s="129" t="s">
        <v>826</v>
      </c>
      <c r="Q42" s="116">
        <v>13224878</v>
      </c>
      <c r="R42" s="116">
        <v>19132635061</v>
      </c>
      <c r="S42" s="116">
        <v>3875172.2</v>
      </c>
      <c r="T42" s="130">
        <f t="shared" ref="T42" si="68">Q42/S42</f>
        <v>3.4127200850584134</v>
      </c>
      <c r="U42" s="78"/>
    </row>
    <row r="43" spans="1:21" s="79" customFormat="1" ht="13.2">
      <c r="A43" s="129" t="s">
        <v>835</v>
      </c>
      <c r="B43" s="188">
        <f>SUM(F41:F43)</f>
        <v>1895718.2166666668</v>
      </c>
      <c r="C43" s="188">
        <f>AVERAGE(F41:F43)</f>
        <v>631906.07222222222</v>
      </c>
      <c r="D43" s="190">
        <f>C43/C40-1</f>
        <v>0.18012178499556675</v>
      </c>
      <c r="E43" s="287">
        <f>C43/C31-1</f>
        <v>-0.18177315417923678</v>
      </c>
      <c r="F43" s="136">
        <f>Q43/20</f>
        <v>603431.15</v>
      </c>
      <c r="G43" s="190">
        <f t="shared" ref="G43" si="69">F43/F42-1</f>
        <v>-8.7430296143374608E-2</v>
      </c>
      <c r="H43" s="190">
        <f t="shared" ref="H43" si="70">F43/F31-1</f>
        <v>-0.21973859876992974</v>
      </c>
      <c r="I43" s="130">
        <f t="shared" si="0"/>
        <v>3.5539641913126205</v>
      </c>
      <c r="J43" s="130">
        <f t="shared" si="5"/>
        <v>-6.397109025393477E-3</v>
      </c>
      <c r="K43" s="136">
        <f>R41+R42+R43</f>
        <v>53230293638</v>
      </c>
      <c r="L43" s="190">
        <f>U43/U40-1</f>
        <v>0.10759112090471734</v>
      </c>
      <c r="M43" s="190">
        <f>K43/K31-1</f>
        <v>-0.14409778370806636</v>
      </c>
      <c r="N43" s="191">
        <f>AVERAGE(T41:T43)</f>
        <v>3.5129750262363295</v>
      </c>
      <c r="O43" s="192">
        <f>N43/N40-1</f>
        <v>6.98891961687087E-3</v>
      </c>
      <c r="P43" s="129" t="s">
        <v>835</v>
      </c>
      <c r="Q43" s="116">
        <v>12068623</v>
      </c>
      <c r="R43" s="116">
        <v>17486853443</v>
      </c>
      <c r="S43" s="116">
        <v>3395820.09</v>
      </c>
      <c r="T43" s="130">
        <f t="shared" ref="T43" si="71">Q43/S43</f>
        <v>3.5539641913126205</v>
      </c>
      <c r="U43" s="85">
        <f>Q41+Q42+Q43</f>
        <v>36652278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586671.13636363635</v>
      </c>
      <c r="G44" s="190">
        <f t="shared" ref="G44" si="72">F44/F43-1</f>
        <v>-2.7774525124139915E-2</v>
      </c>
      <c r="H44" s="190">
        <f t="shared" ref="H44" si="73">F44/F32-1</f>
        <v>-0.13244249773842698</v>
      </c>
      <c r="I44" s="130">
        <f t="shared" si="0"/>
        <v>3.4094433547707585</v>
      </c>
      <c r="J44" s="130">
        <f t="shared" si="5"/>
        <v>-7.40767670997724E-2</v>
      </c>
      <c r="K44" s="136"/>
      <c r="L44" s="190"/>
      <c r="M44" s="190"/>
      <c r="N44" s="191"/>
      <c r="O44" s="192"/>
      <c r="P44" s="129" t="s">
        <v>843</v>
      </c>
      <c r="Q44" s="116">
        <v>12906765</v>
      </c>
      <c r="R44" s="116">
        <v>18754126237</v>
      </c>
      <c r="S44" s="116">
        <v>3785593.03</v>
      </c>
      <c r="T44" s="130">
        <f t="shared" ref="T44" si="74">Q44/S44</f>
        <v>3.4094433547707585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522725.3</v>
      </c>
      <c r="G45" s="190">
        <f t="shared" ref="G45" si="75">F45/F44-1</f>
        <v>-0.10899775427847336</v>
      </c>
      <c r="H45" s="190">
        <f t="shared" ref="H45" si="76">F45/F33-1</f>
        <v>-0.15187772802280031</v>
      </c>
      <c r="I45" s="130">
        <f t="shared" si="0"/>
        <v>3.3385639654277939</v>
      </c>
      <c r="J45" s="130">
        <f t="shared" si="5"/>
        <v>-1.2597724338088589E-2</v>
      </c>
      <c r="K45" s="136"/>
      <c r="L45" s="190"/>
      <c r="M45" s="190"/>
      <c r="N45" s="191"/>
      <c r="O45" s="192"/>
      <c r="P45" s="129" t="s">
        <v>853</v>
      </c>
      <c r="Q45" s="116">
        <v>10454506</v>
      </c>
      <c r="R45" s="116">
        <v>14722489097</v>
      </c>
      <c r="S45" s="116">
        <v>3131437.98</v>
      </c>
      <c r="T45" s="130">
        <f t="shared" ref="T45" si="77">Q45/S45</f>
        <v>3.3385639654277939</v>
      </c>
      <c r="U45" s="85"/>
    </row>
    <row r="46" spans="1:21" s="79" customFormat="1" ht="13.2">
      <c r="A46" s="129" t="s">
        <v>888</v>
      </c>
      <c r="B46" s="188">
        <f>SUM(F44:F46)</f>
        <v>1629329.3311004783</v>
      </c>
      <c r="C46" s="188">
        <f>AVERAGE(F44:F46)</f>
        <v>543109.77703349281</v>
      </c>
      <c r="D46" s="190">
        <f>C46/C43-1</f>
        <v>-0.14052135134017585</v>
      </c>
      <c r="E46" s="287">
        <f>C46/C34-1</f>
        <v>-0.19117713764455924</v>
      </c>
      <c r="F46" s="136">
        <f>Q46/19</f>
        <v>519932.89473684208</v>
      </c>
      <c r="G46" s="190">
        <f t="shared" ref="G46" si="78">F46/F45-1</f>
        <v>-5.3420128376374665E-3</v>
      </c>
      <c r="H46" s="190">
        <f t="shared" ref="H46" si="79">F46/F34-1</f>
        <v>-0.27975120795770581</v>
      </c>
      <c r="I46" s="130">
        <f t="shared" si="0"/>
        <v>3.1976962868530272</v>
      </c>
      <c r="J46" s="130">
        <f t="shared" si="5"/>
        <v>-5.145171611867172E-2</v>
      </c>
      <c r="K46" s="136">
        <f>R44+R45+R46</f>
        <v>46999523346</v>
      </c>
      <c r="L46" s="190">
        <f>U46/U43-1</f>
        <v>-9.3098770013694598E-2</v>
      </c>
      <c r="M46" s="190">
        <f>K46/K34-1</f>
        <v>-0.15855899854556887</v>
      </c>
      <c r="N46" s="191">
        <f>AVERAGE(T44:T46)</f>
        <v>3.3152345356838602</v>
      </c>
      <c r="O46" s="192">
        <f>N46/N43-1</f>
        <v>-5.6288612664668225E-2</v>
      </c>
      <c r="P46" s="129" t="s">
        <v>928</v>
      </c>
      <c r="Q46" s="116">
        <v>9878725</v>
      </c>
      <c r="R46" s="116">
        <v>13522908012</v>
      </c>
      <c r="S46" s="116">
        <v>3089325.6</v>
      </c>
      <c r="T46" s="130">
        <f t="shared" ref="T46" si="80">Q46/S46</f>
        <v>3.1976962868530272</v>
      </c>
      <c r="U46" s="85">
        <f t="shared" ref="U46:U51" si="81">Q44+Q45+Q46</f>
        <v>33239996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669566.91304347827</v>
      </c>
      <c r="G47" s="190">
        <f t="shared" ref="G47" si="82">F47/F46-1</f>
        <v>0.28779486703254609</v>
      </c>
      <c r="H47" s="190">
        <f t="shared" ref="H47" si="83">F47/F35-1</f>
        <v>8.2746513160785629E-2</v>
      </c>
      <c r="I47" s="130">
        <f t="shared" si="0"/>
        <v>3.690831318535988</v>
      </c>
      <c r="J47" s="130">
        <f t="shared" si="5"/>
        <v>4.3073679251691033E-2</v>
      </c>
      <c r="K47" s="136"/>
      <c r="L47" s="190"/>
      <c r="M47" s="190"/>
      <c r="N47" s="191"/>
      <c r="O47" s="192"/>
      <c r="P47" s="129" t="s">
        <v>1029</v>
      </c>
      <c r="Q47" s="116">
        <v>15400039</v>
      </c>
      <c r="R47" s="116">
        <v>21104534970</v>
      </c>
      <c r="S47" s="116">
        <v>4172512.28</v>
      </c>
      <c r="T47" s="130">
        <f t="shared" ref="T47" si="84">Q47/S47</f>
        <v>3.690831318535988</v>
      </c>
      <c r="U47" s="85">
        <f t="shared" si="81"/>
        <v>35733270</v>
      </c>
    </row>
    <row r="48" spans="1:21" s="79" customFormat="1" ht="13.2">
      <c r="A48" s="129" t="s">
        <v>1077</v>
      </c>
      <c r="B48" s="188"/>
      <c r="C48" s="188"/>
      <c r="D48" s="190"/>
      <c r="E48" s="287"/>
      <c r="F48" s="136">
        <f>Q48/20</f>
        <v>572603.75</v>
      </c>
      <c r="G48" s="190">
        <f t="shared" ref="G48" si="85">F48/F47-1</f>
        <v>-0.14481474689771889</v>
      </c>
      <c r="H48" s="190">
        <f t="shared" ref="H48" si="86">F48/F36-1</f>
        <v>5.2864744199567104E-2</v>
      </c>
      <c r="I48" s="130">
        <f t="shared" si="0"/>
        <v>3.5102279439802677</v>
      </c>
      <c r="J48" s="130">
        <f t="shared" si="5"/>
        <v>5.2588768338175829E-2</v>
      </c>
      <c r="K48" s="136"/>
      <c r="L48" s="190"/>
      <c r="M48" s="190"/>
      <c r="N48" s="191"/>
      <c r="O48" s="192"/>
      <c r="P48" s="129" t="s">
        <v>1070</v>
      </c>
      <c r="Q48" s="116">
        <v>11452075</v>
      </c>
      <c r="R48" s="116">
        <v>15886278757</v>
      </c>
      <c r="S48" s="116">
        <v>3262487.56</v>
      </c>
      <c r="T48" s="130">
        <f t="shared" ref="T48" si="87">Q48/S48</f>
        <v>3.5102279439802677</v>
      </c>
      <c r="U48" s="85">
        <f t="shared" si="81"/>
        <v>36730839</v>
      </c>
    </row>
    <row r="49" spans="1:26" ht="13.2">
      <c r="A49" s="129" t="s">
        <v>1216</v>
      </c>
      <c r="B49" s="188">
        <f>SUM(F47:F49)</f>
        <v>1787153.7994071147</v>
      </c>
      <c r="C49" s="188">
        <f>AVERAGE(F47:F49)</f>
        <v>595717.93313570495</v>
      </c>
      <c r="D49" s="190">
        <f>C49/C46-1</f>
        <v>9.6864682476463404E-2</v>
      </c>
      <c r="E49" s="287">
        <f>C49/C37-1</f>
        <v>3.355720863424061E-3</v>
      </c>
      <c r="F49" s="136">
        <f>Q49/22</f>
        <v>544983.13636363635</v>
      </c>
      <c r="G49" s="190">
        <f t="shared" ref="G49" si="88">F49/F48-1</f>
        <v>-4.823687172213531E-2</v>
      </c>
      <c r="H49" s="190">
        <f t="shared" ref="H49" si="89">F49/F37-1</f>
        <v>-0.11947082108471685</v>
      </c>
      <c r="I49" s="130">
        <f t="shared" si="0"/>
        <v>3.3952879087504817</v>
      </c>
      <c r="J49" s="130">
        <f t="shared" si="5"/>
        <v>-2.0241219269507282E-2</v>
      </c>
      <c r="K49" s="136">
        <f>R47+R48+R49</f>
        <v>53653532940</v>
      </c>
      <c r="L49" s="190">
        <f>U49/U46-1</f>
        <v>0.16852429825803839</v>
      </c>
      <c r="M49" s="190">
        <f>K49/K37-1</f>
        <v>6.928518213470336E-2</v>
      </c>
      <c r="N49" s="191">
        <f>AVERAGE(T47:T49)</f>
        <v>3.5321157237555791</v>
      </c>
      <c r="O49" s="192">
        <f>N49/N46-1</f>
        <v>6.5419561040794161E-2</v>
      </c>
      <c r="P49" s="129" t="s">
        <v>1158</v>
      </c>
      <c r="Q49" s="116">
        <v>11989629</v>
      </c>
      <c r="R49" s="116">
        <v>16662719213</v>
      </c>
      <c r="S49" s="116">
        <v>3531255.47</v>
      </c>
      <c r="T49" s="130">
        <f t="shared" ref="T49" si="90">Q49/S49</f>
        <v>3.3952879087504817</v>
      </c>
      <c r="U49" s="85">
        <f t="shared" si="81"/>
        <v>38841743</v>
      </c>
      <c r="V49" s="79"/>
      <c r="W49" s="79"/>
      <c r="X49" s="79"/>
      <c r="Y49" s="79"/>
      <c r="Z49" s="79"/>
    </row>
    <row r="50" spans="1:26" ht="13.2">
      <c r="A50" s="129" t="s">
        <v>1301</v>
      </c>
      <c r="B50" s="188"/>
      <c r="C50" s="188"/>
      <c r="D50" s="190"/>
      <c r="E50" s="287"/>
      <c r="F50" s="136">
        <f>Q50/18</f>
        <v>351280.66666666669</v>
      </c>
      <c r="G50" s="190">
        <f t="shared" ref="G50" si="91">F50/F49-1</f>
        <v>-0.35542837341616929</v>
      </c>
      <c r="H50" s="190">
        <f t="shared" ref="H50" si="92">F50/F38-1</f>
        <v>-0.4528266080366069</v>
      </c>
      <c r="I50" s="130">
        <f t="shared" ref="I50" si="93">T50</f>
        <v>3.39001379418134</v>
      </c>
      <c r="J50" s="130">
        <f t="shared" ref="J50" si="94">I50/I38-1</f>
        <v>-2.3145015771472877E-2</v>
      </c>
      <c r="K50" s="136"/>
      <c r="L50" s="190"/>
      <c r="M50" s="190"/>
      <c r="N50" s="191"/>
      <c r="O50" s="192"/>
      <c r="P50" s="129" t="s">
        <v>1291</v>
      </c>
      <c r="Q50" s="116">
        <v>6323052</v>
      </c>
      <c r="R50" s="116">
        <v>8961876817</v>
      </c>
      <c r="S50" s="116">
        <v>1865199.49</v>
      </c>
      <c r="T50" s="130">
        <f t="shared" ref="T50" si="95">Q50/S50</f>
        <v>3.39001379418134</v>
      </c>
      <c r="U50" s="85">
        <f t="shared" si="81"/>
        <v>29764756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361960.15</v>
      </c>
      <c r="G51" s="190">
        <f t="shared" ref="G51:G52" si="96">F51/F50-1</f>
        <v>3.0401568736110329E-2</v>
      </c>
      <c r="H51" s="190">
        <f t="shared" ref="H51:H52" si="97">F51/F39-1</f>
        <v>-0.16685457249574243</v>
      </c>
      <c r="I51" s="130">
        <f t="shared" ref="I51:I52" si="98">T51</f>
        <v>3.3041182284871025</v>
      </c>
      <c r="J51" s="130">
        <f t="shared" ref="J51:J52" si="99">I51/I39-1</f>
        <v>-5.988376091916936E-2</v>
      </c>
      <c r="K51" s="136"/>
      <c r="L51" s="190"/>
      <c r="M51" s="190"/>
      <c r="N51" s="191"/>
      <c r="O51" s="192"/>
      <c r="P51" s="129" t="s">
        <v>1402</v>
      </c>
      <c r="Q51" s="116">
        <v>7239203</v>
      </c>
      <c r="R51" s="116">
        <v>10532381476</v>
      </c>
      <c r="S51" s="116">
        <v>2190963.67</v>
      </c>
      <c r="T51" s="130">
        <f t="shared" ref="T51:T52" si="100">Q51/S51</f>
        <v>3.3041182284871025</v>
      </c>
      <c r="U51" s="85">
        <f t="shared" si="81"/>
        <v>25551884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1179007.2712121212</v>
      </c>
      <c r="C52" s="188">
        <f>AVERAGE(F50:F52)</f>
        <v>393002.42373737373</v>
      </c>
      <c r="D52" s="190">
        <f>C52/C49-1</f>
        <v>-0.34028774042656273</v>
      </c>
      <c r="E52" s="287">
        <f>C52/C40-1</f>
        <v>-0.2660448408455357</v>
      </c>
      <c r="F52" s="136">
        <f>Q52/22</f>
        <v>465766.45454545453</v>
      </c>
      <c r="G52" s="190">
        <f t="shared" si="96"/>
        <v>0.2867893179551797</v>
      </c>
      <c r="H52" s="190">
        <f t="shared" si="97"/>
        <v>-0.12108497136886143</v>
      </c>
      <c r="I52" s="130">
        <f t="shared" si="98"/>
        <v>3.0708524580660415</v>
      </c>
      <c r="J52" s="130">
        <f t="shared" si="99"/>
        <v>-0.11778941635545281</v>
      </c>
      <c r="K52" s="136">
        <f>R50+R51+R52</f>
        <v>34571505294</v>
      </c>
      <c r="L52" s="190">
        <f>U52/U49-1</f>
        <v>-0.38702243614556642</v>
      </c>
      <c r="M52" s="190">
        <f>K52/K40-1</f>
        <v>-0.24417333965541022</v>
      </c>
      <c r="N52" s="191">
        <f>AVERAGE(T50:T52)</f>
        <v>3.2549948269114943</v>
      </c>
      <c r="O52" s="192">
        <f>N52/N49-1</f>
        <v>-7.8457479459204005E-2</v>
      </c>
      <c r="P52" s="129" t="s">
        <v>1403</v>
      </c>
      <c r="Q52" s="116">
        <v>10246862</v>
      </c>
      <c r="R52" s="116">
        <v>15077247001</v>
      </c>
      <c r="S52" s="116">
        <v>3336813.52</v>
      </c>
      <c r="T52" s="130">
        <f t="shared" si="100"/>
        <v>3.0708524580660415</v>
      </c>
      <c r="U52" s="85">
        <f t="shared" ref="U52" si="101">Q50+Q51+Q52</f>
        <v>23809117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438673.42857142858</v>
      </c>
      <c r="G53" s="190">
        <f t="shared" ref="G53" si="102">F53/F52-1</f>
        <v>-5.8168693150017159E-2</v>
      </c>
      <c r="H53" s="190">
        <f t="shared" ref="H53" si="103">F53/F41-1</f>
        <v>-0.30484402376367503</v>
      </c>
      <c r="I53" s="130">
        <f t="shared" ref="I53" si="104">T53</f>
        <v>2.9280634902193663</v>
      </c>
      <c r="J53" s="130">
        <f t="shared" ref="J53" si="105">I53/I41-1</f>
        <v>-0.18032863621539386</v>
      </c>
      <c r="K53" s="136"/>
      <c r="L53" s="190"/>
      <c r="M53" s="190"/>
      <c r="N53" s="191"/>
      <c r="O53" s="192"/>
      <c r="P53" s="129" t="s">
        <v>1414</v>
      </c>
      <c r="Q53" s="116">
        <v>9212142</v>
      </c>
      <c r="R53" s="116">
        <v>13441195188</v>
      </c>
      <c r="S53" s="116">
        <v>3146155.14</v>
      </c>
      <c r="T53" s="130">
        <f t="shared" ref="T53" si="106">Q53/S53</f>
        <v>2.9280634902193663</v>
      </c>
      <c r="U53" s="85">
        <f t="shared" ref="U53" si="107">Q51+Q52+Q53</f>
        <v>26698207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537471.70588235289</v>
      </c>
      <c r="G54" s="190">
        <f t="shared" ref="G54" si="108">F54/F53-1</f>
        <v>0.22522056472093133</v>
      </c>
      <c r="H54" s="190">
        <f t="shared" ref="H54" si="109">F54/F42-1</f>
        <v>-0.18718084827345416</v>
      </c>
      <c r="I54" s="130">
        <f t="shared" ref="I54" si="110">T54</f>
        <v>3.097453428382773</v>
      </c>
      <c r="J54" s="130">
        <f t="shared" ref="J54" si="111">I54/I42-1</f>
        <v>-9.2379875529769451E-2</v>
      </c>
      <c r="K54" s="136"/>
      <c r="L54" s="190"/>
      <c r="M54" s="190"/>
      <c r="N54" s="191"/>
      <c r="O54" s="192"/>
      <c r="P54" s="129" t="s">
        <v>1417</v>
      </c>
      <c r="Q54" s="116">
        <v>9137019</v>
      </c>
      <c r="R54" s="116">
        <v>13239436281</v>
      </c>
      <c r="S54" s="116">
        <v>2949848.71</v>
      </c>
      <c r="T54" s="130">
        <f t="shared" ref="T54" si="112">Q54/S54</f>
        <v>3.097453428382773</v>
      </c>
      <c r="U54" s="85">
        <f t="shared" ref="U54" si="113">Q52+Q53+Q54</f>
        <v>28596023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1529492.8963585433</v>
      </c>
      <c r="C55" s="188">
        <f>AVERAGE(F53:F55)</f>
        <v>509830.96545284777</v>
      </c>
      <c r="D55" s="190">
        <f>C55/C52-1</f>
        <v>0.29727180968620548</v>
      </c>
      <c r="E55" s="287">
        <f>C55/C43-1</f>
        <v>-0.19318552572231706</v>
      </c>
      <c r="F55" s="136">
        <f>Q55/21</f>
        <v>553347.76190476189</v>
      </c>
      <c r="G55" s="190">
        <f t="shared" ref="G55" si="114">F55/F54-1</f>
        <v>2.9538403321800466E-2</v>
      </c>
      <c r="H55" s="190">
        <f t="shared" ref="H55" si="115">F55/F43-1</f>
        <v>-8.2997684317818399E-2</v>
      </c>
      <c r="I55" s="130">
        <f>T55</f>
        <v>2.9276005328436669</v>
      </c>
      <c r="J55" s="130">
        <f t="shared" ref="J55" si="116">I55/I43-1</f>
        <v>-0.17624366052985263</v>
      </c>
      <c r="K55" s="136">
        <f>R53+R54+R55</f>
        <v>43822746369</v>
      </c>
      <c r="L55" s="190">
        <f>U55/U52-1</f>
        <v>0.25873899481446538</v>
      </c>
      <c r="M55" s="190">
        <f>K55/K43-1</f>
        <v>-0.17673295835971392</v>
      </c>
      <c r="N55" s="191">
        <f>AVERAGE(T53:T55)</f>
        <v>2.9843724838152688</v>
      </c>
      <c r="O55" s="192">
        <f>N55/N52-1</f>
        <v>-8.3140636924761591E-2</v>
      </c>
      <c r="P55" s="129" t="s">
        <v>1418</v>
      </c>
      <c r="Q55" s="116">
        <v>11620303</v>
      </c>
      <c r="R55" s="116">
        <v>17142114900</v>
      </c>
      <c r="S55" s="116">
        <v>3969224.24</v>
      </c>
      <c r="T55" s="130">
        <f t="shared" ref="T55" si="117">Q55/S55</f>
        <v>2.9276005328436669</v>
      </c>
      <c r="U55" s="85">
        <f t="shared" ref="U55" si="118">Q53+Q54+Q55</f>
        <v>29969464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592022</v>
      </c>
      <c r="G56" s="190">
        <f t="shared" ref="G56" si="119">F56/F55-1</f>
        <v>6.9891378908105928E-2</v>
      </c>
      <c r="H56" s="190">
        <f t="shared" ref="H56" si="120">F56/F44-1</f>
        <v>9.1207208002934692E-3</v>
      </c>
      <c r="I56" s="291">
        <f>T56</f>
        <v>3.1359191795022134</v>
      </c>
      <c r="J56" s="130">
        <f t="shared" ref="J56" si="121">I56/I44-1</f>
        <v>-8.0225464044096473E-2</v>
      </c>
      <c r="K56" s="136"/>
      <c r="L56" s="190"/>
      <c r="M56" s="190"/>
      <c r="N56" s="191"/>
      <c r="O56" s="192"/>
      <c r="P56" s="129" t="s">
        <v>1420</v>
      </c>
      <c r="Q56" s="116">
        <v>13024484</v>
      </c>
      <c r="R56" s="116">
        <v>19441757270</v>
      </c>
      <c r="S56" s="116">
        <v>4153322.6</v>
      </c>
      <c r="T56" s="130">
        <f t="shared" ref="T56" si="122">Q56/S56</f>
        <v>3.1359191795022134</v>
      </c>
      <c r="U56" s="85">
        <f t="shared" ref="U56" si="123">Q54+Q55+Q56</f>
        <v>33781806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719848.66666666663</v>
      </c>
      <c r="G57" s="254">
        <f t="shared" ref="G57" si="124">F57/F56-1</f>
        <v>0.21591539954033223</v>
      </c>
      <c r="H57" s="254">
        <f t="shared" ref="H57" si="125">F57/F45-1</f>
        <v>0.3771069941834968</v>
      </c>
      <c r="I57" s="282">
        <f>T57</f>
        <v>3.0030484499041172</v>
      </c>
      <c r="J57" s="277">
        <f t="shared" ref="J57" si="126">I57/I45-1</f>
        <v>-0.10049695587626239</v>
      </c>
      <c r="K57" s="204"/>
      <c r="L57" s="254"/>
      <c r="M57" s="254"/>
      <c r="N57" s="257"/>
      <c r="O57" s="258"/>
      <c r="P57" s="129" t="s">
        <v>1436</v>
      </c>
      <c r="Q57" s="116">
        <v>8638184</v>
      </c>
      <c r="R57" s="116">
        <v>12729562289</v>
      </c>
      <c r="S57" s="116">
        <v>2876471.74</v>
      </c>
      <c r="T57" s="130">
        <f t="shared" ref="T57" si="127">Q57/S57</f>
        <v>3.0030484499041172</v>
      </c>
      <c r="U57" s="85">
        <f t="shared" ref="U57" si="128">Q55+Q56+Q57</f>
        <v>33282971</v>
      </c>
      <c r="V57" s="79"/>
      <c r="W57" s="79"/>
      <c r="X57" s="79"/>
      <c r="Y57" s="79"/>
      <c r="Z57" s="79"/>
    </row>
    <row r="58" spans="1:26">
      <c r="B58" s="196">
        <f>SUM(F56:F58)</f>
        <v>1311870.6666666665</v>
      </c>
      <c r="C58" s="196">
        <f>AVERAGE(F56:F58)</f>
        <v>655935.33333333326</v>
      </c>
      <c r="D58" s="197">
        <f>C58/C55-1</f>
        <v>0.28657413492079886</v>
      </c>
      <c r="E58" s="233">
        <f>C58/C46-1</f>
        <v>0.20773987335691557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51632132</v>
      </c>
      <c r="R66" s="212">
        <v>75994065928</v>
      </c>
      <c r="S66" s="213">
        <v>17095022.43</v>
      </c>
      <c r="T66" s="214">
        <v>37</v>
      </c>
      <c r="U66" s="214">
        <v>127</v>
      </c>
    </row>
    <row r="67" spans="16:21" ht="18" thickBot="1">
      <c r="P67" s="180" t="s">
        <v>976</v>
      </c>
      <c r="Q67" s="181">
        <v>9212142</v>
      </c>
      <c r="R67" s="181">
        <v>13441195188</v>
      </c>
      <c r="S67" s="182">
        <v>3146155.14</v>
      </c>
      <c r="T67" s="210">
        <v>20</v>
      </c>
      <c r="U67" s="210">
        <v>69</v>
      </c>
    </row>
    <row r="68" spans="16:21" ht="18" thickBot="1">
      <c r="P68" s="180" t="s">
        <v>977</v>
      </c>
      <c r="Q68" s="181">
        <v>9137019</v>
      </c>
      <c r="R68" s="181">
        <v>13239436281</v>
      </c>
      <c r="S68" s="182">
        <v>2949848.71</v>
      </c>
      <c r="T68" s="210">
        <v>15</v>
      </c>
      <c r="U68" s="210">
        <v>60</v>
      </c>
    </row>
    <row r="69" spans="16:21" ht="18" thickBot="1">
      <c r="P69" s="180" t="s">
        <v>978</v>
      </c>
      <c r="Q69" s="181">
        <v>11620303</v>
      </c>
      <c r="R69" s="181">
        <v>17142114900</v>
      </c>
      <c r="S69" s="182">
        <v>3969224.24</v>
      </c>
      <c r="T69" s="210">
        <v>18</v>
      </c>
      <c r="U69" s="210">
        <v>71</v>
      </c>
    </row>
    <row r="70" spans="16:21" ht="18" thickBot="1">
      <c r="P70" s="180" t="s">
        <v>979</v>
      </c>
      <c r="Q70" s="181">
        <v>13024484</v>
      </c>
      <c r="R70" s="181">
        <v>19441757270</v>
      </c>
      <c r="S70" s="182">
        <v>4153322.6</v>
      </c>
      <c r="T70" s="210">
        <v>17</v>
      </c>
      <c r="U70" s="210">
        <v>67</v>
      </c>
    </row>
    <row r="71" spans="16:21" ht="18" thickBot="1">
      <c r="P71" s="180" t="s">
        <v>980</v>
      </c>
      <c r="Q71" s="181">
        <v>8638184</v>
      </c>
      <c r="R71" s="181">
        <v>12729562289</v>
      </c>
      <c r="S71" s="182">
        <v>2876471.74</v>
      </c>
      <c r="T71" s="210">
        <v>14</v>
      </c>
      <c r="U71" s="210">
        <v>47</v>
      </c>
    </row>
    <row r="72" spans="16:21" ht="18" thickBot="1">
      <c r="P72" s="180" t="s">
        <v>975</v>
      </c>
      <c r="Q72" s="181">
        <v>132489093</v>
      </c>
      <c r="R72" s="181">
        <v>188376262755</v>
      </c>
      <c r="S72" s="182">
        <v>38816315.32</v>
      </c>
      <c r="T72" s="210">
        <v>47</v>
      </c>
      <c r="U72" s="210">
        <v>171</v>
      </c>
    </row>
    <row r="73" spans="16:21" ht="18" thickBot="1">
      <c r="P73" s="215" t="s">
        <v>982</v>
      </c>
      <c r="Q73" s="217">
        <v>15</v>
      </c>
      <c r="R73"/>
      <c r="S73"/>
      <c r="T73"/>
      <c r="U73"/>
    </row>
  </sheetData>
  <phoneticPr fontId="1" type="noConversion"/>
  <conditionalFormatting sqref="C29:C30">
    <cfRule type="cellIs" dxfId="4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86">
    <tabColor rgb="FFFF0000"/>
  </sheetPr>
  <dimension ref="A1:Z74"/>
  <sheetViews>
    <sheetView zoomScale="90" zoomScaleNormal="90" workbookViewId="0">
      <selection activeCell="G69" sqref="F69: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2920290000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442643.9</v>
      </c>
      <c r="G5" s="90"/>
      <c r="H5" s="90"/>
      <c r="I5" s="130">
        <f t="shared" ref="I5:I49" si="0">T5</f>
        <v>4.4124141416507632</v>
      </c>
      <c r="J5" s="130"/>
      <c r="L5" s="80"/>
      <c r="M5" s="80"/>
      <c r="P5" s="129" t="s">
        <v>0</v>
      </c>
      <c r="Q5" s="116">
        <v>8852878</v>
      </c>
      <c r="R5" s="116"/>
      <c r="S5" s="116">
        <v>2006357</v>
      </c>
      <c r="T5" s="130">
        <f t="shared" ref="T5:T18" si="1">Q5/S5</f>
        <v>4.4124141416507632</v>
      </c>
      <c r="U5" s="85"/>
    </row>
    <row r="6" spans="1:21" ht="15" hidden="1" customHeight="1">
      <c r="A6" s="129" t="s">
        <v>1</v>
      </c>
      <c r="C6" s="79"/>
      <c r="F6" s="78">
        <f>Q6/18</f>
        <v>558195.16666666663</v>
      </c>
      <c r="G6" s="90">
        <f t="shared" ref="G6:G16" si="2">F6/F5-1</f>
        <v>0.26104791383472503</v>
      </c>
      <c r="H6" s="90"/>
      <c r="I6" s="130">
        <f t="shared" si="0"/>
        <v>4.2844381391469426</v>
      </c>
      <c r="J6" s="130"/>
      <c r="P6" s="129" t="s">
        <v>1</v>
      </c>
      <c r="Q6" s="116">
        <v>10047513</v>
      </c>
      <c r="R6" s="116"/>
      <c r="S6" s="116">
        <v>2345118</v>
      </c>
      <c r="T6" s="130">
        <f t="shared" si="1"/>
        <v>4.2844381391469426</v>
      </c>
      <c r="U6" s="85"/>
    </row>
    <row r="7" spans="1:21" ht="15" hidden="1" customHeight="1">
      <c r="A7" s="129" t="s">
        <v>2</v>
      </c>
      <c r="B7" s="131">
        <f>F5+F6+F7</f>
        <v>1417845.7484848485</v>
      </c>
      <c r="C7" s="131">
        <f>AVERAGE(F5:F7)</f>
        <v>472615.24949494953</v>
      </c>
      <c r="F7" s="78">
        <f>Q7/22</f>
        <v>417006.68181818182</v>
      </c>
      <c r="G7" s="90">
        <f t="shared" si="2"/>
        <v>-0.25293749082710582</v>
      </c>
      <c r="H7" s="90"/>
      <c r="I7" s="130">
        <f t="shared" si="0"/>
        <v>4.5822506811580812</v>
      </c>
      <c r="J7" s="130"/>
      <c r="K7" s="79">
        <f>R5+R6+R7</f>
        <v>0</v>
      </c>
      <c r="N7" s="88">
        <f>AVERAGE(T5:T7)</f>
        <v>4.4263676539852623</v>
      </c>
      <c r="P7" s="129" t="s">
        <v>2</v>
      </c>
      <c r="Q7" s="116">
        <v>9174147</v>
      </c>
      <c r="R7" s="116"/>
      <c r="S7" s="116">
        <v>2002105</v>
      </c>
      <c r="T7" s="130">
        <f t="shared" si="1"/>
        <v>4.5822506811580812</v>
      </c>
      <c r="U7" s="85">
        <f>Q5+Q6+Q7</f>
        <v>28074538</v>
      </c>
    </row>
    <row r="8" spans="1:21" ht="15" hidden="1" customHeight="1">
      <c r="A8" s="129" t="s">
        <v>3</v>
      </c>
      <c r="C8" s="79"/>
      <c r="F8" s="78">
        <f>Q8/21</f>
        <v>591338.42857142852</v>
      </c>
      <c r="G8" s="90">
        <f t="shared" si="2"/>
        <v>0.4180550440898132</v>
      </c>
      <c r="H8" s="90"/>
      <c r="I8" s="130">
        <f t="shared" si="0"/>
        <v>4.7635578307163975</v>
      </c>
      <c r="J8" s="130"/>
      <c r="K8" s="78"/>
      <c r="P8" s="129" t="s">
        <v>3</v>
      </c>
      <c r="Q8" s="116">
        <v>12418107</v>
      </c>
      <c r="R8" s="116"/>
      <c r="S8" s="116">
        <v>2606897.5</v>
      </c>
      <c r="T8" s="130">
        <f t="shared" si="1"/>
        <v>4.7635578307163975</v>
      </c>
      <c r="U8" s="85"/>
    </row>
    <row r="9" spans="1:21" ht="15" hidden="1" customHeight="1">
      <c r="A9" s="129" t="s">
        <v>4</v>
      </c>
      <c r="C9" s="79"/>
      <c r="F9" s="78">
        <f>Q9/21</f>
        <v>472404.71428571426</v>
      </c>
      <c r="G9" s="90">
        <f t="shared" si="2"/>
        <v>-0.2011263069322885</v>
      </c>
      <c r="H9" s="90"/>
      <c r="I9" s="130">
        <f t="shared" si="0"/>
        <v>4.5621641781435498</v>
      </c>
      <c r="J9" s="130"/>
      <c r="K9" s="78"/>
      <c r="P9" s="129" t="s">
        <v>4</v>
      </c>
      <c r="Q9" s="116">
        <v>9920499</v>
      </c>
      <c r="R9" s="116"/>
      <c r="S9" s="116">
        <v>2174516</v>
      </c>
      <c r="T9" s="130">
        <f t="shared" si="1"/>
        <v>4.5621641781435498</v>
      </c>
      <c r="U9" s="85"/>
    </row>
    <row r="10" spans="1:21" ht="15" hidden="1" customHeight="1">
      <c r="A10" s="129" t="s">
        <v>5</v>
      </c>
      <c r="B10" s="131">
        <f>F8+F9+F10</f>
        <v>1536383.5714285714</v>
      </c>
      <c r="C10" s="131">
        <f>AVERAGE(F8:F10)</f>
        <v>512127.8571428571</v>
      </c>
      <c r="D10" s="90">
        <f>C10/C7-1</f>
        <v>8.3604174199059189E-2</v>
      </c>
      <c r="E10" s="286"/>
      <c r="F10" s="78">
        <f>Q10/21</f>
        <v>472640.42857142858</v>
      </c>
      <c r="G10" s="90">
        <f t="shared" si="2"/>
        <v>4.9896683624495175E-4</v>
      </c>
      <c r="H10" s="90"/>
      <c r="I10" s="130">
        <f t="shared" si="0"/>
        <v>4.6939711800842749</v>
      </c>
      <c r="J10" s="130"/>
      <c r="K10" s="79">
        <f>R8+R9+R10</f>
        <v>0</v>
      </c>
      <c r="L10" s="87">
        <f>U10/U7-1</f>
        <v>0.14922835061435391</v>
      </c>
      <c r="N10" s="88">
        <f>AVERAGE(T8:T10)</f>
        <v>4.673231062981408</v>
      </c>
      <c r="O10" s="89">
        <f>N10/N7-1</f>
        <v>5.5771103598654559E-2</v>
      </c>
      <c r="P10" s="129" t="s">
        <v>5</v>
      </c>
      <c r="Q10" s="116">
        <v>9925449</v>
      </c>
      <c r="R10" s="116"/>
      <c r="S10" s="116">
        <v>2114510</v>
      </c>
      <c r="T10" s="130">
        <f t="shared" si="1"/>
        <v>4.6939711800842749</v>
      </c>
      <c r="U10" s="85">
        <f>Q8+Q9+Q10</f>
        <v>32264055</v>
      </c>
    </row>
    <row r="11" spans="1:21" ht="15" hidden="1" customHeight="1">
      <c r="A11" s="129" t="s">
        <v>6</v>
      </c>
      <c r="C11" s="79"/>
      <c r="F11" s="78">
        <f>Q11/21</f>
        <v>499308.09523809527</v>
      </c>
      <c r="G11" s="90">
        <f t="shared" si="2"/>
        <v>5.6422737147709956E-2</v>
      </c>
      <c r="H11" s="90"/>
      <c r="I11" s="130">
        <f t="shared" si="0"/>
        <v>4.9544948744421422</v>
      </c>
      <c r="J11" s="130"/>
      <c r="K11" s="78"/>
      <c r="O11" s="89"/>
      <c r="P11" s="129" t="s">
        <v>6</v>
      </c>
      <c r="Q11" s="116">
        <v>10485470</v>
      </c>
      <c r="R11" s="116"/>
      <c r="S11" s="116">
        <v>2116355</v>
      </c>
      <c r="T11" s="130">
        <f t="shared" si="1"/>
        <v>4.9544948744421422</v>
      </c>
      <c r="U11" s="85"/>
    </row>
    <row r="12" spans="1:21" ht="15" hidden="1" customHeight="1">
      <c r="A12" s="129" t="s">
        <v>7</v>
      </c>
      <c r="C12" s="79"/>
      <c r="F12" s="78">
        <f>Q12/22</f>
        <v>337619.77272727271</v>
      </c>
      <c r="G12" s="90">
        <f t="shared" si="2"/>
        <v>-0.32382475680415601</v>
      </c>
      <c r="H12" s="90"/>
      <c r="I12" s="130">
        <f t="shared" si="0"/>
        <v>4.4738725172792844</v>
      </c>
      <c r="J12" s="130"/>
      <c r="K12" s="78"/>
      <c r="O12" s="89"/>
      <c r="P12" s="129" t="s">
        <v>7</v>
      </c>
      <c r="Q12" s="116">
        <v>7427635</v>
      </c>
      <c r="R12" s="116"/>
      <c r="S12" s="116">
        <v>1660225</v>
      </c>
      <c r="T12" s="130">
        <f t="shared" si="1"/>
        <v>4.4738725172792844</v>
      </c>
      <c r="U12" s="85"/>
    </row>
    <row r="13" spans="1:21" ht="15" hidden="1" customHeight="1">
      <c r="A13" s="129" t="s">
        <v>96</v>
      </c>
      <c r="B13" s="131">
        <f>F11+F12+F13</f>
        <v>1237971.4679653679</v>
      </c>
      <c r="C13" s="131">
        <f>AVERAGE(F11:F13)</f>
        <v>412657.15598845598</v>
      </c>
      <c r="D13" s="90">
        <f>C13/C10-1</f>
        <v>-0.19423020983342831</v>
      </c>
      <c r="E13" s="286"/>
      <c r="F13" s="78">
        <f>Q13/20</f>
        <v>401043.6</v>
      </c>
      <c r="G13" s="90">
        <f t="shared" si="2"/>
        <v>0.18785578451283613</v>
      </c>
      <c r="H13" s="90"/>
      <c r="I13" s="130">
        <f t="shared" si="0"/>
        <v>5.7877330716388613</v>
      </c>
      <c r="J13" s="130"/>
      <c r="K13" s="78">
        <f>R11+R12+R13</f>
        <v>0</v>
      </c>
      <c r="L13" s="87">
        <f>U13/U10-1</f>
        <v>-0.19619598342489808</v>
      </c>
      <c r="N13" s="88">
        <f>AVERAGE(T11:T13)</f>
        <v>5.0720334877867623</v>
      </c>
      <c r="O13" s="89">
        <f>N13/N10-1</f>
        <v>8.533762175049131E-2</v>
      </c>
      <c r="P13" s="129" t="s">
        <v>96</v>
      </c>
      <c r="Q13" s="116">
        <v>8020872</v>
      </c>
      <c r="R13" s="116"/>
      <c r="S13" s="116">
        <v>1385840</v>
      </c>
      <c r="T13" s="130">
        <f t="shared" si="1"/>
        <v>5.7877330716388613</v>
      </c>
      <c r="U13" s="85">
        <f>Q11+Q12+Q13</f>
        <v>25933977</v>
      </c>
    </row>
    <row r="14" spans="1:21" ht="15" hidden="1" customHeight="1">
      <c r="A14" s="129" t="s">
        <v>97</v>
      </c>
      <c r="C14" s="79"/>
      <c r="F14" s="78">
        <f>Q14/20</f>
        <v>323755.5</v>
      </c>
      <c r="G14" s="90">
        <f t="shared" si="2"/>
        <v>-0.19271745017249986</v>
      </c>
      <c r="H14" s="90"/>
      <c r="I14" s="130">
        <f t="shared" si="0"/>
        <v>4.5762758581696623</v>
      </c>
      <c r="J14" s="130"/>
      <c r="O14" s="89"/>
      <c r="P14" s="129" t="s">
        <v>97</v>
      </c>
      <c r="Q14" s="116">
        <v>6475110</v>
      </c>
      <c r="R14" s="116"/>
      <c r="S14" s="116">
        <v>1414930</v>
      </c>
      <c r="T14" s="130">
        <f t="shared" si="1"/>
        <v>4.5762758581696623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186917.54545454544</v>
      </c>
      <c r="G15" s="90">
        <f t="shared" si="2"/>
        <v>-0.42265831636977458</v>
      </c>
      <c r="H15" s="90"/>
      <c r="I15" s="130">
        <f t="shared" si="0"/>
        <v>5.1695990536239931</v>
      </c>
      <c r="J15" s="130"/>
      <c r="O15" s="89"/>
      <c r="P15" s="129" t="s">
        <v>98</v>
      </c>
      <c r="Q15" s="116">
        <v>4112186</v>
      </c>
      <c r="R15" s="116"/>
      <c r="S15" s="116">
        <v>795455.5</v>
      </c>
      <c r="T15" s="130">
        <f t="shared" si="1"/>
        <v>5.1695990536239931</v>
      </c>
      <c r="U15" s="85"/>
    </row>
    <row r="16" spans="1:21" ht="15" hidden="1" customHeight="1">
      <c r="A16" s="129" t="s">
        <v>99</v>
      </c>
      <c r="B16" s="131">
        <f>F14+F15+F16</f>
        <v>698676.04545454541</v>
      </c>
      <c r="C16" s="131">
        <f>AVERAGE(F14:F16)</f>
        <v>232892.01515151514</v>
      </c>
      <c r="D16" s="90">
        <f>C16/C13-1</f>
        <v>-0.43562831330609408</v>
      </c>
      <c r="E16" s="286"/>
      <c r="F16" s="78">
        <f>Q16/22</f>
        <v>188003</v>
      </c>
      <c r="G16" s="90">
        <f t="shared" si="2"/>
        <v>5.8071303194944246E-3</v>
      </c>
      <c r="H16" s="90"/>
      <c r="I16" s="130">
        <f t="shared" si="0"/>
        <v>4.9036314273181025</v>
      </c>
      <c r="J16" s="130"/>
      <c r="K16" s="78">
        <f>R14+R15+R16</f>
        <v>0</v>
      </c>
      <c r="L16" s="87">
        <f>U16/U13-1</f>
        <v>-0.43227519635727296</v>
      </c>
      <c r="N16" s="88">
        <f>AVERAGE(T14:T16)</f>
        <v>4.8831687797039196</v>
      </c>
      <c r="O16" s="89">
        <f>N16/N13-1</f>
        <v>-3.7236486812955993E-2</v>
      </c>
      <c r="P16" s="129" t="s">
        <v>99</v>
      </c>
      <c r="Q16" s="116">
        <v>4136066</v>
      </c>
      <c r="R16" s="116"/>
      <c r="S16" s="116">
        <v>843470</v>
      </c>
      <c r="T16" s="130">
        <f t="shared" si="1"/>
        <v>4.9036314273181025</v>
      </c>
      <c r="U16" s="85">
        <f>Q14+Q15+Q16</f>
        <v>14723362</v>
      </c>
    </row>
    <row r="17" spans="1:21" ht="15" hidden="1" customHeight="1">
      <c r="A17" s="129" t="s">
        <v>100</v>
      </c>
      <c r="C17" s="79"/>
      <c r="F17" s="78">
        <f>Q17/20</f>
        <v>266760.05</v>
      </c>
      <c r="G17" s="90">
        <f t="shared" ref="G17:G22" si="3">F17/F16-1</f>
        <v>0.41891379392882033</v>
      </c>
      <c r="H17" s="90">
        <f t="shared" ref="H17:H22" si="4">F17/F5-1</f>
        <v>-0.39734841031357271</v>
      </c>
      <c r="I17" s="130">
        <f t="shared" si="0"/>
        <v>5.1526179818144069</v>
      </c>
      <c r="J17" s="130">
        <f t="shared" ref="J17:J49" si="5">I17/I5-1</f>
        <v>0.16775484267818985</v>
      </c>
      <c r="O17" s="89"/>
      <c r="P17" s="129" t="s">
        <v>100</v>
      </c>
      <c r="Q17" s="116">
        <v>5335201</v>
      </c>
      <c r="R17" s="116">
        <v>6689477183</v>
      </c>
      <c r="S17" s="116">
        <v>1035435</v>
      </c>
      <c r="T17" s="130">
        <f t="shared" si="1"/>
        <v>5.1526179818144069</v>
      </c>
      <c r="U17" s="78"/>
    </row>
    <row r="18" spans="1:21" ht="15" hidden="1" customHeight="1">
      <c r="A18" s="129" t="s">
        <v>106</v>
      </c>
      <c r="C18" s="79"/>
      <c r="F18" s="78">
        <f>Q18/20</f>
        <v>291777.75</v>
      </c>
      <c r="G18" s="90">
        <f t="shared" si="3"/>
        <v>9.378353317897492E-2</v>
      </c>
      <c r="H18" s="90">
        <f t="shared" si="4"/>
        <v>-0.47728363227795767</v>
      </c>
      <c r="I18" s="130">
        <f t="shared" si="0"/>
        <v>5.1968353525741922</v>
      </c>
      <c r="J18" s="130">
        <f t="shared" si="5"/>
        <v>0.21295609454380249</v>
      </c>
      <c r="O18" s="89"/>
      <c r="P18" s="129" t="s">
        <v>106</v>
      </c>
      <c r="Q18" s="116">
        <v>5835555</v>
      </c>
      <c r="R18" s="116">
        <v>7277222694</v>
      </c>
      <c r="S18" s="116">
        <v>1122905.5</v>
      </c>
      <c r="T18" s="130">
        <f t="shared" si="1"/>
        <v>5.1968353525741922</v>
      </c>
      <c r="U18" s="78"/>
    </row>
    <row r="19" spans="1:21" hidden="1">
      <c r="A19" s="129" t="s">
        <v>114</v>
      </c>
      <c r="B19" s="131">
        <f>SUM(F17:F19)</f>
        <v>791713.52727272734</v>
      </c>
      <c r="C19" s="131">
        <f>AVERAGE(F17:F19)</f>
        <v>263904.50909090909</v>
      </c>
      <c r="D19" s="90">
        <f>C19/C16-1</f>
        <v>0.13316254711101982</v>
      </c>
      <c r="E19" s="286">
        <f>C19/C7-1</f>
        <v>-0.44160813817809486</v>
      </c>
      <c r="F19" s="78">
        <f>Q19/22</f>
        <v>233175.72727272726</v>
      </c>
      <c r="G19" s="90">
        <f t="shared" si="3"/>
        <v>-0.20084472763009764</v>
      </c>
      <c r="H19" s="90">
        <f t="shared" si="4"/>
        <v>-0.44083455388277515</v>
      </c>
      <c r="I19" s="130">
        <f t="shared" si="0"/>
        <v>5.1689692523943638</v>
      </c>
      <c r="J19" s="130">
        <f t="shared" si="5"/>
        <v>0.12804156997539029</v>
      </c>
      <c r="K19" s="78">
        <f>R17+R18+R19</f>
        <v>20667956663</v>
      </c>
      <c r="L19" s="87">
        <f>U19/U16-1</f>
        <v>0.107126347908854</v>
      </c>
      <c r="M19" s="87">
        <f>U19/U7-1</f>
        <v>-0.41938057894309788</v>
      </c>
      <c r="N19" s="88">
        <f>AVERAGE(T17:T19)</f>
        <v>5.1728075289276543</v>
      </c>
      <c r="O19" s="89">
        <f>N19/N16-1</f>
        <v>5.9313687953520988E-2</v>
      </c>
      <c r="P19" s="129" t="s">
        <v>115</v>
      </c>
      <c r="Q19" s="116">
        <v>5129866</v>
      </c>
      <c r="R19" s="116">
        <v>6701256786</v>
      </c>
      <c r="S19" s="116">
        <v>992435</v>
      </c>
      <c r="T19" s="130">
        <f t="shared" ref="T19" si="6">Q19/S19</f>
        <v>5.1689692523943638</v>
      </c>
      <c r="U19" s="85">
        <f>Q17+Q18+Q19</f>
        <v>16300622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341843.65</v>
      </c>
      <c r="G20" s="90">
        <f t="shared" si="3"/>
        <v>0.46603445392140852</v>
      </c>
      <c r="H20" s="90">
        <f t="shared" si="4"/>
        <v>-0.42191538130570139</v>
      </c>
      <c r="I20" s="130">
        <f t="shared" si="0"/>
        <v>4.7259492961266956</v>
      </c>
      <c r="J20" s="130">
        <f t="shared" si="5"/>
        <v>-7.8950515405091792E-3</v>
      </c>
      <c r="O20" s="89"/>
      <c r="P20" s="129" t="s">
        <v>132</v>
      </c>
      <c r="Q20" s="116">
        <v>6836873</v>
      </c>
      <c r="R20" s="116">
        <v>8971752319</v>
      </c>
      <c r="S20" s="116">
        <v>1446666.6</v>
      </c>
      <c r="T20" s="130">
        <f t="shared" ref="T20" si="7">Q20/S20</f>
        <v>4.7259492961266956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430703.47619047621</v>
      </c>
      <c r="G21" s="90">
        <f t="shared" si="3"/>
        <v>0.25994288965284618</v>
      </c>
      <c r="H21" s="90">
        <f t="shared" si="4"/>
        <v>-8.8274390229765576E-2</v>
      </c>
      <c r="I21" s="130">
        <f t="shared" si="0"/>
        <v>4.9190327019192592</v>
      </c>
      <c r="J21" s="130">
        <f t="shared" si="5"/>
        <v>7.8223516261294979E-2</v>
      </c>
      <c r="O21" s="89"/>
      <c r="P21" s="129" t="s">
        <v>141</v>
      </c>
      <c r="Q21" s="116">
        <v>9044773</v>
      </c>
      <c r="R21" s="116">
        <v>12047985376</v>
      </c>
      <c r="S21" s="116">
        <v>1838730</v>
      </c>
      <c r="T21" s="130">
        <f t="shared" ref="T21" si="8">Q21/S21</f>
        <v>4.9190327019192592</v>
      </c>
      <c r="U21" s="78"/>
    </row>
    <row r="22" spans="1:21" hidden="1">
      <c r="A22" s="129" t="s">
        <v>156</v>
      </c>
      <c r="B22" s="131">
        <f>SUM(F20:F22)</f>
        <v>1188056.8404761904</v>
      </c>
      <c r="C22" s="131">
        <f>AVERAGE(F20:F22)</f>
        <v>396018.94682539679</v>
      </c>
      <c r="D22" s="90">
        <f>C22/C19-1</f>
        <v>0.50061455255005627</v>
      </c>
      <c r="E22" s="286">
        <f>C22/C10-1</f>
        <v>-0.2267185990725592</v>
      </c>
      <c r="F22" s="78">
        <f>Q22/21</f>
        <v>415509.71428571426</v>
      </c>
      <c r="G22" s="90">
        <f t="shared" si="3"/>
        <v>-3.5276617776919483E-2</v>
      </c>
      <c r="H22" s="90">
        <f t="shared" si="4"/>
        <v>-0.12087563998364215</v>
      </c>
      <c r="I22" s="130">
        <f t="shared" si="0"/>
        <v>4.6043610994802107</v>
      </c>
      <c r="J22" s="130">
        <f t="shared" si="5"/>
        <v>-1.909046246049928E-2</v>
      </c>
      <c r="K22" s="78">
        <f>R20+R21+R22</f>
        <v>32390281401</v>
      </c>
      <c r="L22" s="87">
        <f>U22/U19-1</f>
        <v>0.50959576879949742</v>
      </c>
      <c r="M22" s="87">
        <f>U22/U10-1</f>
        <v>-0.23731378464362274</v>
      </c>
      <c r="N22" s="88">
        <f>AVERAGE(T20:T22)</f>
        <v>4.7497810325087215</v>
      </c>
      <c r="O22" s="89">
        <f>N22/N19-1</f>
        <v>-8.17788974465532E-2</v>
      </c>
      <c r="P22" s="129" t="s">
        <v>156</v>
      </c>
      <c r="Q22" s="116">
        <v>8725704</v>
      </c>
      <c r="R22" s="116">
        <v>11370543706</v>
      </c>
      <c r="S22" s="116">
        <v>1895095.5</v>
      </c>
      <c r="T22" s="130">
        <f t="shared" ref="T22:T23" si="9">Q22/S22</f>
        <v>4.6043610994802107</v>
      </c>
      <c r="U22" s="85">
        <f>Q20+Q21+Q22</f>
        <v>24607350</v>
      </c>
    </row>
    <row r="23" spans="1:21" hidden="1">
      <c r="A23" s="129" t="s">
        <v>189</v>
      </c>
      <c r="B23" s="131"/>
      <c r="C23" s="131"/>
      <c r="F23" s="78">
        <f>Q23/21</f>
        <v>308492.47619047621</v>
      </c>
      <c r="G23" s="90">
        <f t="shared" ref="G23" si="10">F23/F22-1</f>
        <v>-0.25755652495202674</v>
      </c>
      <c r="H23" s="90">
        <f t="shared" ref="H23" si="11">F23/F11-1</f>
        <v>-0.38216007484643033</v>
      </c>
      <c r="I23" s="130">
        <f t="shared" si="0"/>
        <v>4.4863538042140272</v>
      </c>
      <c r="J23" s="130">
        <f t="shared" si="5"/>
        <v>-9.4488153099729688E-2</v>
      </c>
      <c r="O23" s="89"/>
      <c r="P23" s="129" t="s">
        <v>189</v>
      </c>
      <c r="Q23" s="116">
        <v>6478342</v>
      </c>
      <c r="R23" s="116">
        <v>8414706520</v>
      </c>
      <c r="S23" s="116">
        <v>1444010.5</v>
      </c>
      <c r="T23" s="130">
        <f t="shared" si="9"/>
        <v>4.4863538042140272</v>
      </c>
      <c r="U23" s="78"/>
    </row>
    <row r="24" spans="1:21" hidden="1">
      <c r="A24" s="129" t="s">
        <v>204</v>
      </c>
      <c r="B24" s="131"/>
      <c r="C24" s="131"/>
      <c r="F24" s="78">
        <f>Q24/22</f>
        <v>355548.22727272729</v>
      </c>
      <c r="G24" s="90">
        <f t="shared" ref="G24" si="12">F24/F23-1</f>
        <v>0.15253451774038362</v>
      </c>
      <c r="H24" s="90">
        <f t="shared" ref="H24" si="13">F24/F12-1</f>
        <v>5.310250167112418E-2</v>
      </c>
      <c r="I24" s="130">
        <f t="shared" si="0"/>
        <v>4.4442745610730716</v>
      </c>
      <c r="J24" s="130">
        <f t="shared" si="5"/>
        <v>-6.6157352700367822E-3</v>
      </c>
      <c r="O24" s="89"/>
      <c r="P24" s="129" t="s">
        <v>204</v>
      </c>
      <c r="Q24" s="116">
        <v>7822061</v>
      </c>
      <c r="R24" s="116">
        <v>10264197866</v>
      </c>
      <c r="S24" s="116">
        <v>1760031</v>
      </c>
      <c r="T24" s="130">
        <f t="shared" ref="T24" si="14">Q24/S24</f>
        <v>4.4442745610730716</v>
      </c>
      <c r="U24" s="78"/>
    </row>
    <row r="25" spans="1:21" s="79" customFormat="1" ht="13.2" hidden="1">
      <c r="A25" s="129" t="s">
        <v>218</v>
      </c>
      <c r="B25" s="131">
        <f>SUM(F23:F25)</f>
        <v>1050721.7560947824</v>
      </c>
      <c r="C25" s="131">
        <f>AVERAGE(F23:F25)</f>
        <v>350240.58536492748</v>
      </c>
      <c r="D25" s="90">
        <f>C25/C22-1</f>
        <v>-0.1155963921106351</v>
      </c>
      <c r="E25" s="286">
        <f>C25/C13-1</f>
        <v>-0.1512552726100661</v>
      </c>
      <c r="F25" s="78">
        <f>Q25/19</f>
        <v>386681.05263157893</v>
      </c>
      <c r="G25" s="90">
        <f t="shared" ref="G25" si="15">F25/F24-1</f>
        <v>8.7562876062298178E-2</v>
      </c>
      <c r="H25" s="90">
        <f t="shared" ref="H25" si="16">F25/F13-1</f>
        <v>-3.5812932480211779E-2</v>
      </c>
      <c r="I25" s="130">
        <f t="shared" si="0"/>
        <v>4.2618009693109542</v>
      </c>
      <c r="J25" s="130">
        <f t="shared" si="5"/>
        <v>-0.26364935691407454</v>
      </c>
      <c r="K25" s="78">
        <f>R23+R24+R25</f>
        <v>28433080983</v>
      </c>
      <c r="L25" s="90">
        <f>U25/U22-1</f>
        <v>-0.12028954763515776</v>
      </c>
      <c r="M25" s="90">
        <f>U25/U13-1</f>
        <v>-0.16529026766700683</v>
      </c>
      <c r="N25" s="88">
        <f>AVERAGE(T23:T25)</f>
        <v>4.397476444866018</v>
      </c>
      <c r="O25" s="91">
        <f>N25/N22-1</f>
        <v>-7.4172806121259205E-2</v>
      </c>
      <c r="P25" s="129" t="s">
        <v>232</v>
      </c>
      <c r="Q25" s="116">
        <v>7346940</v>
      </c>
      <c r="R25" s="116">
        <v>9754176597</v>
      </c>
      <c r="S25" s="116">
        <v>1723905</v>
      </c>
      <c r="T25" s="130">
        <f t="shared" ref="T25" si="17">Q25/S25</f>
        <v>4.2618009693109542</v>
      </c>
      <c r="U25" s="85">
        <f>Q23+Q24+Q25</f>
        <v>21647343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314274.73684210528</v>
      </c>
      <c r="G26" s="90">
        <f t="shared" ref="G26" si="18">F26/F25-1</f>
        <v>-0.18725074656931995</v>
      </c>
      <c r="H26" s="90">
        <f t="shared" ref="H26" si="19">F26/F14-1</f>
        <v>-2.9283713042387638E-2</v>
      </c>
      <c r="I26" s="130">
        <f t="shared" si="0"/>
        <v>3.5963297226814586</v>
      </c>
      <c r="J26" s="130">
        <f t="shared" si="5"/>
        <v>-0.21413615915194095</v>
      </c>
      <c r="L26" s="90"/>
      <c r="M26" s="90"/>
      <c r="P26" s="129" t="s">
        <v>312</v>
      </c>
      <c r="Q26" s="116">
        <v>5971220</v>
      </c>
      <c r="R26" s="116">
        <v>8046267684</v>
      </c>
      <c r="S26" s="116">
        <v>1660365</v>
      </c>
      <c r="T26" s="130">
        <f t="shared" ref="T26" si="20">Q26/S26</f>
        <v>3.5963297226814586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256039.40909090909</v>
      </c>
      <c r="G27" s="90">
        <f t="shared" ref="G27" si="21">F27/F26-1</f>
        <v>-0.18530069688819495</v>
      </c>
      <c r="H27" s="90">
        <f t="shared" ref="H27" si="22">F27/F15-1</f>
        <v>0.3697986910125175</v>
      </c>
      <c r="I27" s="130">
        <f t="shared" si="0"/>
        <v>3.6309333691557786</v>
      </c>
      <c r="J27" s="130">
        <f t="shared" si="5"/>
        <v>-0.2976373348315241</v>
      </c>
      <c r="L27" s="90"/>
      <c r="M27" s="90"/>
      <c r="P27" s="129" t="s">
        <v>375</v>
      </c>
      <c r="Q27" s="116">
        <v>5632867</v>
      </c>
      <c r="R27" s="116">
        <v>7504805122</v>
      </c>
      <c r="S27" s="116">
        <v>1551355.1</v>
      </c>
      <c r="T27" s="130">
        <f t="shared" ref="T27" si="23">Q27/S27</f>
        <v>3.6309333691557786</v>
      </c>
      <c r="U27" s="78"/>
    </row>
    <row r="28" spans="1:21" s="79" customFormat="1" ht="13.2" hidden="1">
      <c r="A28" s="123" t="s">
        <v>413</v>
      </c>
      <c r="B28" s="131">
        <f>SUM(F26:F28)</f>
        <v>864300.6196172249</v>
      </c>
      <c r="C28" s="131">
        <f>AVERAGE(F26:F28)</f>
        <v>288100.20653907495</v>
      </c>
      <c r="D28" s="90">
        <f>C28/C25-1</f>
        <v>-0.17742198198163239</v>
      </c>
      <c r="E28" s="286">
        <f>C28/C16-1</f>
        <v>0.23705489151975612</v>
      </c>
      <c r="F28" s="78">
        <f>Q28/19</f>
        <v>293986.4736842105</v>
      </c>
      <c r="G28" s="90">
        <f t="shared" ref="G28" si="24">F28/F27-1</f>
        <v>0.14820790568153508</v>
      </c>
      <c r="H28" s="90">
        <f t="shared" ref="H28" si="25">F28/F16-1</f>
        <v>0.56373288556145651</v>
      </c>
      <c r="I28" s="130">
        <f t="shared" si="0"/>
        <v>3.5446625181334395</v>
      </c>
      <c r="J28" s="130">
        <f t="shared" si="5"/>
        <v>-0.2771352066988263</v>
      </c>
      <c r="K28" s="78">
        <f>R26+R27+R28</f>
        <v>22839499218</v>
      </c>
      <c r="L28" s="90">
        <f>U28/U25-1</f>
        <v>-0.20591501691454694</v>
      </c>
      <c r="M28" s="90">
        <f>U28/U16-1</f>
        <v>0.16752070620826953</v>
      </c>
      <c r="N28" s="88">
        <f>AVERAGE(T26:T28)</f>
        <v>3.5906418699902254</v>
      </c>
      <c r="O28" s="91">
        <f>N28/N25-1</f>
        <v>-0.18347672466051723</v>
      </c>
      <c r="P28" s="129" t="s">
        <v>413</v>
      </c>
      <c r="Q28" s="116">
        <v>5585743</v>
      </c>
      <c r="R28" s="116">
        <v>7288426412</v>
      </c>
      <c r="S28" s="116">
        <v>1575818</v>
      </c>
      <c r="T28" s="130">
        <f t="shared" ref="T28" si="26">Q28/S28</f>
        <v>3.5446625181334395</v>
      </c>
      <c r="U28" s="85">
        <f>Q26+Q27+Q28</f>
        <v>17189830</v>
      </c>
    </row>
    <row r="29" spans="1:21" s="79" customFormat="1" ht="13.2" hidden="1">
      <c r="A29" s="129" t="s">
        <v>440</v>
      </c>
      <c r="B29" s="188"/>
      <c r="C29" s="188"/>
      <c r="D29" s="189"/>
      <c r="E29" s="287"/>
      <c r="F29" s="136">
        <f>Q29/22</f>
        <v>390962.45454545453</v>
      </c>
      <c r="G29" s="190">
        <f t="shared" ref="G29" si="27">F29/F28-1</f>
        <v>0.32986545144730739</v>
      </c>
      <c r="H29" s="190">
        <f t="shared" ref="H29" si="28">F29/F17-1</f>
        <v>0.46559597115630535</v>
      </c>
      <c r="I29" s="130">
        <f t="shared" si="0"/>
        <v>3.5715341901769224</v>
      </c>
      <c r="J29" s="130">
        <f t="shared" si="5"/>
        <v>-0.30685057522559289</v>
      </c>
      <c r="K29" s="136"/>
      <c r="L29" s="190"/>
      <c r="M29" s="190"/>
      <c r="N29" s="191"/>
      <c r="O29" s="192"/>
      <c r="P29" s="129" t="s">
        <v>440</v>
      </c>
      <c r="Q29" s="116">
        <v>8601174</v>
      </c>
      <c r="R29" s="116">
        <v>11311175703</v>
      </c>
      <c r="S29" s="116">
        <v>2408257.5</v>
      </c>
      <c r="T29" s="130">
        <f t="shared" ref="T29" si="29">Q29/S29</f>
        <v>3.5715341901769224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360921.21052631579</v>
      </c>
      <c r="G30" s="190">
        <f t="shared" ref="G30" si="30">F30/F29-1</f>
        <v>-7.683920455754667E-2</v>
      </c>
      <c r="H30" s="190">
        <f t="shared" ref="H30" si="31">F30/F18-1</f>
        <v>0.23697304035799771</v>
      </c>
      <c r="I30" s="130">
        <f t="shared" si="0"/>
        <v>3.4206070346504971</v>
      </c>
      <c r="J30" s="130">
        <f t="shared" si="5"/>
        <v>-0.34179037768511578</v>
      </c>
      <c r="K30" s="136"/>
      <c r="L30" s="190"/>
      <c r="M30" s="190"/>
      <c r="N30" s="191"/>
      <c r="O30" s="192"/>
      <c r="P30" s="129" t="s">
        <v>478</v>
      </c>
      <c r="Q30" s="116">
        <v>6857503</v>
      </c>
      <c r="R30" s="116">
        <v>9134463288</v>
      </c>
      <c r="S30" s="116">
        <v>2004762</v>
      </c>
      <c r="T30" s="130">
        <f t="shared" ref="T30" si="32">Q30/S30</f>
        <v>3.4206070346504971</v>
      </c>
      <c r="U30" s="85"/>
    </row>
    <row r="31" spans="1:21" s="79" customFormat="1" ht="13.2" hidden="1">
      <c r="A31" s="129" t="s">
        <v>505</v>
      </c>
      <c r="B31" s="188">
        <f>SUM(F29:F31)</f>
        <v>1127829.1150717703</v>
      </c>
      <c r="C31" s="188">
        <f>AVERAGE(F29:F31)</f>
        <v>375943.03835725674</v>
      </c>
      <c r="D31" s="190">
        <f>C31/C28-1</f>
        <v>0.30490374468463877</v>
      </c>
      <c r="E31" s="287">
        <f>C31/C19-1</f>
        <v>0.42454192864038154</v>
      </c>
      <c r="F31" s="136">
        <f>Q31/20</f>
        <v>375945.45</v>
      </c>
      <c r="G31" s="190">
        <f t="shared" ref="G31" si="33">F31/F30-1</f>
        <v>4.1627477231872989E-2</v>
      </c>
      <c r="H31" s="190">
        <f t="shared" ref="H31" si="34">F31/F19-1</f>
        <v>0.61228381014240929</v>
      </c>
      <c r="I31" s="130">
        <f t="shared" si="0"/>
        <v>3.4837803482108169</v>
      </c>
      <c r="J31" s="130">
        <f t="shared" si="5"/>
        <v>-0.32602029957963774</v>
      </c>
      <c r="K31" s="136">
        <f>R29+R30+R31</f>
        <v>30433054569</v>
      </c>
      <c r="L31" s="190">
        <f>U31/U28-1</f>
        <v>0.33669652346765511</v>
      </c>
      <c r="M31" s="190">
        <f>U31/U19-1</f>
        <v>0.40961406257994337</v>
      </c>
      <c r="N31" s="191">
        <f>AVERAGE(T29:T31)</f>
        <v>3.4919738576794117</v>
      </c>
      <c r="O31" s="192">
        <f>N31/N28-1</f>
        <v>-2.7479212877078774E-2</v>
      </c>
      <c r="P31" s="129" t="s">
        <v>505</v>
      </c>
      <c r="Q31" s="116">
        <v>7518909</v>
      </c>
      <c r="R31" s="116">
        <v>9987415578</v>
      </c>
      <c r="S31" s="116">
        <v>2158261.5</v>
      </c>
      <c r="T31" s="130">
        <f t="shared" ref="T31" si="35">Q31/S31</f>
        <v>3.4837803482108169</v>
      </c>
      <c r="U31" s="85">
        <f>Q29+Q30+Q31</f>
        <v>22977586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382783.80952380953</v>
      </c>
      <c r="G32" s="190">
        <f t="shared" ref="G32" si="36">F32/F31-1</f>
        <v>1.8189765360398846E-2</v>
      </c>
      <c r="H32" s="190">
        <f t="shared" ref="H32" si="37">F32/F20-1</f>
        <v>0.11976282000209593</v>
      </c>
      <c r="I32" s="130">
        <f t="shared" si="0"/>
        <v>3.5085867725380409</v>
      </c>
      <c r="J32" s="130">
        <f t="shared" si="5"/>
        <v>-0.25759110970284504</v>
      </c>
      <c r="K32" s="136"/>
      <c r="L32" s="190"/>
      <c r="M32" s="190"/>
      <c r="N32" s="191"/>
      <c r="O32" s="192"/>
      <c r="P32" s="129" t="s">
        <v>566</v>
      </c>
      <c r="Q32" s="116">
        <v>8038460</v>
      </c>
      <c r="R32" s="116">
        <v>10939255909</v>
      </c>
      <c r="S32" s="116">
        <v>2291082</v>
      </c>
      <c r="T32" s="130">
        <f t="shared" ref="T32" si="38">Q32/S32</f>
        <v>3.5085867725380409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425413.09523809527</v>
      </c>
      <c r="G33" s="190">
        <f t="shared" ref="G33" si="39">F33/F32-1</f>
        <v>0.11136648064430266</v>
      </c>
      <c r="H33" s="190">
        <f t="shared" ref="H33" si="40">F33/F21-1</f>
        <v>-1.2283116447477482E-2</v>
      </c>
      <c r="I33" s="130">
        <f t="shared" si="0"/>
        <v>3.4440860204690398</v>
      </c>
      <c r="J33" s="130">
        <f t="shared" si="5"/>
        <v>-0.29984486195319238</v>
      </c>
      <c r="K33" s="136"/>
      <c r="L33" s="190"/>
      <c r="M33" s="190"/>
      <c r="N33" s="191"/>
      <c r="O33" s="192"/>
      <c r="P33" s="129" t="s">
        <v>607</v>
      </c>
      <c r="Q33" s="116">
        <v>8933675</v>
      </c>
      <c r="R33" s="116">
        <v>12218176837</v>
      </c>
      <c r="S33" s="116">
        <v>2593917.5</v>
      </c>
      <c r="T33" s="130">
        <f t="shared" ref="T33" si="41">Q33/S33</f>
        <v>3.4440860204690398</v>
      </c>
      <c r="U33" s="85"/>
    </row>
    <row r="34" spans="1:21" s="79" customFormat="1" ht="13.2" hidden="1">
      <c r="A34" s="129" t="s">
        <v>652</v>
      </c>
      <c r="B34" s="188">
        <f>SUM(F32:F34)</f>
        <v>1210239.9573934837</v>
      </c>
      <c r="C34" s="188">
        <f>AVERAGE(F32:F34)</f>
        <v>403413.31913116126</v>
      </c>
      <c r="D34" s="190">
        <f>C34/C31-1</f>
        <v>7.3070327073857522E-2</v>
      </c>
      <c r="E34" s="287">
        <f>C34/C22-1</f>
        <v>1.8671763977556877E-2</v>
      </c>
      <c r="F34" s="136">
        <f>Q34/19</f>
        <v>402043.05263157893</v>
      </c>
      <c r="G34" s="190">
        <f t="shared" ref="G34" si="42">F34/F33-1</f>
        <v>-5.4934939399165827E-2</v>
      </c>
      <c r="H34" s="190">
        <f t="shared" ref="H34" si="43">F34/F22-1</f>
        <v>-3.240998029922193E-2</v>
      </c>
      <c r="I34" s="130">
        <f t="shared" si="0"/>
        <v>3.3145453277259382</v>
      </c>
      <c r="J34" s="130">
        <f t="shared" si="5"/>
        <v>-0.28012915231602509</v>
      </c>
      <c r="K34" s="136">
        <f>R32+R33+R34</f>
        <v>33656815318</v>
      </c>
      <c r="L34" s="190">
        <f>U34/U31-1</f>
        <v>7.1085230624313711E-2</v>
      </c>
      <c r="M34" s="190">
        <f>U34/U22-1</f>
        <v>1.4641966729445066E-4</v>
      </c>
      <c r="N34" s="191">
        <f>AVERAGE(T32:T34)</f>
        <v>3.4224060402443395</v>
      </c>
      <c r="O34" s="192">
        <f>N34/N31-1</f>
        <v>-1.9922204538296184E-2</v>
      </c>
      <c r="P34" s="129" t="s">
        <v>652</v>
      </c>
      <c r="Q34" s="116">
        <v>7638818</v>
      </c>
      <c r="R34" s="116">
        <v>10499382572</v>
      </c>
      <c r="S34" s="116">
        <v>2304635.25</v>
      </c>
      <c r="T34" s="130">
        <f t="shared" ref="T34" si="44">Q34/S34</f>
        <v>3.3145453277259382</v>
      </c>
      <c r="U34" s="85">
        <f>Q32+Q33+Q34</f>
        <v>24610953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305783.86956521741</v>
      </c>
      <c r="G35" s="190">
        <f t="shared" ref="G35" si="45">F35/F34-1</f>
        <v>-0.23942506265509522</v>
      </c>
      <c r="H35" s="190">
        <f t="shared" ref="H35" si="46">F35/F23-1</f>
        <v>-8.78013836417324E-3</v>
      </c>
      <c r="I35" s="130">
        <f t="shared" si="0"/>
        <v>3.4625208160251084</v>
      </c>
      <c r="J35" s="130">
        <f t="shared" si="5"/>
        <v>-0.22821048737333949</v>
      </c>
      <c r="K35" s="136"/>
      <c r="L35" s="190"/>
      <c r="M35" s="190"/>
      <c r="N35" s="191"/>
      <c r="O35" s="192"/>
      <c r="P35" s="129" t="s">
        <v>660</v>
      </c>
      <c r="Q35" s="116">
        <v>7033029</v>
      </c>
      <c r="R35" s="116">
        <v>9736305303</v>
      </c>
      <c r="S35" s="116">
        <v>2031187.5</v>
      </c>
      <c r="T35" s="130">
        <f t="shared" ref="T35" si="47">Q35/S35</f>
        <v>3.4625208160251084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268044.57142857142</v>
      </c>
      <c r="G36" s="190">
        <f t="shared" ref="G36" si="48">F36/F35-1</f>
        <v>-0.1234182110073565</v>
      </c>
      <c r="H36" s="190">
        <f t="shared" ref="H36" si="49">F36/F24-1</f>
        <v>-0.24610910456610213</v>
      </c>
      <c r="I36" s="130">
        <f t="shared" si="0"/>
        <v>3.3166307738991332</v>
      </c>
      <c r="J36" s="130">
        <f t="shared" si="5"/>
        <v>-0.25372955061121794</v>
      </c>
      <c r="K36" s="136"/>
      <c r="L36" s="190"/>
      <c r="M36" s="190"/>
      <c r="N36" s="191"/>
      <c r="O36" s="192"/>
      <c r="P36" s="129" t="s">
        <v>666</v>
      </c>
      <c r="Q36" s="116">
        <v>5628936</v>
      </c>
      <c r="R36" s="116">
        <v>7696151163</v>
      </c>
      <c r="S36" s="116">
        <v>1697185</v>
      </c>
      <c r="T36" s="130">
        <f t="shared" ref="T36" si="50">Q36/S36</f>
        <v>3.3166307738991332</v>
      </c>
      <c r="U36" s="85"/>
    </row>
    <row r="37" spans="1:21" s="79" customFormat="1" ht="13.2" hidden="1">
      <c r="A37" s="129" t="s">
        <v>702</v>
      </c>
      <c r="B37" s="188">
        <f>SUM(F35:F37)</f>
        <v>953095.49654934439</v>
      </c>
      <c r="C37" s="188">
        <f>AVERAGE(F35:F37)</f>
        <v>317698.49884978146</v>
      </c>
      <c r="D37" s="190">
        <f>C37/C34-1</f>
        <v>-0.21247394723105673</v>
      </c>
      <c r="E37" s="287">
        <f>C37/C25-1</f>
        <v>-9.2913522518354941E-2</v>
      </c>
      <c r="F37" s="136">
        <f>Q37/18</f>
        <v>379267.05555555556</v>
      </c>
      <c r="G37" s="190">
        <f t="shared" ref="G37" si="51">F37/F36-1</f>
        <v>0.41494025987623018</v>
      </c>
      <c r="H37" s="190">
        <f t="shared" ref="H37" si="52">F37/F25-1</f>
        <v>-1.917341702047981E-2</v>
      </c>
      <c r="I37" s="130">
        <f t="shared" si="0"/>
        <v>3.3931776165223146</v>
      </c>
      <c r="J37" s="130">
        <f t="shared" si="5"/>
        <v>-0.20381602966528911</v>
      </c>
      <c r="K37" s="136">
        <f>R35+R36+R37</f>
        <v>26541037488</v>
      </c>
      <c r="L37" s="190">
        <f>U37/U34-1</f>
        <v>-0.20812607297246877</v>
      </c>
      <c r="M37" s="190">
        <f>U37/U25-1</f>
        <v>-9.9715286074600451E-2</v>
      </c>
      <c r="N37" s="191">
        <f>AVERAGE(T35:T37)</f>
        <v>3.3907764021488518</v>
      </c>
      <c r="O37" s="192">
        <f>N37/N34-1</f>
        <v>-9.2419303038716594E-3</v>
      </c>
      <c r="P37" s="129" t="s">
        <v>702</v>
      </c>
      <c r="Q37" s="116">
        <v>6826807</v>
      </c>
      <c r="R37" s="116">
        <v>9108581022</v>
      </c>
      <c r="S37" s="116">
        <v>2011921.5</v>
      </c>
      <c r="T37" s="130">
        <f t="shared" ref="T37" si="53">Q37/S37</f>
        <v>3.3931776165223146</v>
      </c>
      <c r="U37" s="85">
        <f>Q35+Q36+Q37</f>
        <v>19488772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352438.1</v>
      </c>
      <c r="G38" s="190">
        <f t="shared" ref="G38" si="54">F38/F37-1</f>
        <v>-7.0738956000953368E-2</v>
      </c>
      <c r="H38" s="190">
        <f t="shared" ref="H38" si="55">F38/F26-1</f>
        <v>0.12143312421917107</v>
      </c>
      <c r="I38" s="130">
        <f t="shared" si="0"/>
        <v>3.2807317177041924</v>
      </c>
      <c r="J38" s="130">
        <f t="shared" si="5"/>
        <v>-8.7755581193471155E-2</v>
      </c>
      <c r="K38" s="136"/>
      <c r="L38" s="190"/>
      <c r="M38" s="190"/>
      <c r="N38" s="191"/>
      <c r="O38" s="192"/>
      <c r="P38" s="129" t="s">
        <v>728</v>
      </c>
      <c r="Q38" s="116">
        <v>7048762</v>
      </c>
      <c r="R38" s="116">
        <v>9480194453</v>
      </c>
      <c r="S38" s="116">
        <v>2148533.5</v>
      </c>
      <c r="T38" s="130">
        <f t="shared" ref="T38" si="56">Q38/S38</f>
        <v>3.2807317177041924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260345.85714285713</v>
      </c>
      <c r="G39" s="190">
        <f t="shared" ref="G39" si="57">F39/F38-1</f>
        <v>-0.26130047477030105</v>
      </c>
      <c r="H39" s="190">
        <f t="shared" ref="H39" si="58">F39/F27-1</f>
        <v>1.681947348354873E-2</v>
      </c>
      <c r="I39" s="130">
        <f t="shared" si="0"/>
        <v>3.7061277640827943</v>
      </c>
      <c r="J39" s="130">
        <f t="shared" si="5"/>
        <v>2.0709384414977272E-2</v>
      </c>
      <c r="K39" s="136"/>
      <c r="L39" s="190"/>
      <c r="M39" s="190"/>
      <c r="N39" s="191"/>
      <c r="O39" s="192"/>
      <c r="P39" s="129" t="s">
        <v>762</v>
      </c>
      <c r="Q39" s="116">
        <v>5467263</v>
      </c>
      <c r="R39" s="116">
        <v>7600637338</v>
      </c>
      <c r="S39" s="116">
        <v>1475195.5</v>
      </c>
      <c r="T39" s="130">
        <f t="shared" ref="T39" si="59">Q39/S39</f>
        <v>3.7061277640827943</v>
      </c>
      <c r="U39" s="85"/>
    </row>
    <row r="40" spans="1:21" s="79" customFormat="1" ht="13.2" hidden="1">
      <c r="A40" s="129" t="s">
        <v>778</v>
      </c>
      <c r="B40" s="188">
        <f>SUM(F38:F40)</f>
        <v>968097.67142857146</v>
      </c>
      <c r="C40" s="188">
        <f>AVERAGE(F38:F40)</f>
        <v>322699.2238095238</v>
      </c>
      <c r="D40" s="190">
        <f>C40/C37-1</f>
        <v>1.5740473996091575E-2</v>
      </c>
      <c r="E40" s="287">
        <f>C40/C28-1</f>
        <v>0.12009369130999281</v>
      </c>
      <c r="F40" s="136">
        <f>Q40/21</f>
        <v>355313.71428571426</v>
      </c>
      <c r="G40" s="190">
        <f t="shared" ref="G40" si="60">F40/F39-1</f>
        <v>0.36477575708357168</v>
      </c>
      <c r="H40" s="190">
        <f t="shared" ref="H40" si="61">F40/F28-1</f>
        <v>0.20860565397093489</v>
      </c>
      <c r="I40" s="130">
        <f t="shared" si="0"/>
        <v>3.4116105410046837</v>
      </c>
      <c r="J40" s="130">
        <f t="shared" si="5"/>
        <v>-3.7535865952852077E-2</v>
      </c>
      <c r="K40" s="136">
        <f>R38+R39+R40</f>
        <v>27686326933</v>
      </c>
      <c r="L40" s="190">
        <f>U40/U37-1</f>
        <v>2.5083212015615919E-2</v>
      </c>
      <c r="M40" s="190">
        <f>U40/U28-1</f>
        <v>0.16217629842761672</v>
      </c>
      <c r="N40" s="191">
        <f>AVERAGE(T38:T40)</f>
        <v>3.4661566742638903</v>
      </c>
      <c r="O40" s="192">
        <f>N40/N37-1</f>
        <v>2.2230976972491545E-2</v>
      </c>
      <c r="P40" s="129" t="s">
        <v>778</v>
      </c>
      <c r="Q40" s="116">
        <v>7461588</v>
      </c>
      <c r="R40" s="116">
        <v>10605495142</v>
      </c>
      <c r="S40" s="116">
        <v>2187116</v>
      </c>
      <c r="T40" s="130">
        <f t="shared" ref="T40" si="62">Q40/S40</f>
        <v>3.4116105410046837</v>
      </c>
      <c r="U40" s="85">
        <f>Q38+Q39+Q40</f>
        <v>19977613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290994.38888888888</v>
      </c>
      <c r="G41" s="190">
        <f t="shared" ref="G41" si="63">F41/F40-1</f>
        <v>-0.18102122943981003</v>
      </c>
      <c r="H41" s="190">
        <f t="shared" ref="H41" si="64">F41/F29-1</f>
        <v>-0.25569735531968596</v>
      </c>
      <c r="I41" s="130">
        <f t="shared" si="0"/>
        <v>3.0878158027532669</v>
      </c>
      <c r="J41" s="130">
        <f t="shared" si="5"/>
        <v>-0.13543714316219202</v>
      </c>
      <c r="K41" s="193"/>
      <c r="L41" s="190"/>
      <c r="M41" s="190"/>
      <c r="N41" s="193"/>
      <c r="O41" s="193"/>
      <c r="P41" s="129" t="s">
        <v>792</v>
      </c>
      <c r="Q41" s="116">
        <v>5237899</v>
      </c>
      <c r="R41" s="116">
        <v>7662033944</v>
      </c>
      <c r="S41" s="116">
        <v>1696312</v>
      </c>
      <c r="T41" s="130">
        <f t="shared" ref="T41" si="65">Q41/S41</f>
        <v>3.0878158027532669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325952.55</v>
      </c>
      <c r="G42" s="190">
        <f t="shared" ref="G42" si="66">F42/F41-1</f>
        <v>0.12013345427240951</v>
      </c>
      <c r="H42" s="190">
        <f t="shared" ref="H42" si="67">F42/F30-1</f>
        <v>-9.6887241609664665E-2</v>
      </c>
      <c r="I42" s="130">
        <f t="shared" si="0"/>
        <v>3.4408042731298458</v>
      </c>
      <c r="J42" s="130">
        <f t="shared" si="5"/>
        <v>5.9045772503980576E-3</v>
      </c>
      <c r="K42" s="193"/>
      <c r="L42" s="190"/>
      <c r="M42" s="190"/>
      <c r="N42" s="193"/>
      <c r="O42" s="193"/>
      <c r="P42" s="129" t="s">
        <v>826</v>
      </c>
      <c r="Q42" s="116">
        <v>6519051</v>
      </c>
      <c r="R42" s="116">
        <v>9441194626</v>
      </c>
      <c r="S42" s="116">
        <v>1894630</v>
      </c>
      <c r="T42" s="130">
        <f t="shared" ref="T42" si="68">Q42/S42</f>
        <v>3.4408042731298458</v>
      </c>
      <c r="U42" s="78"/>
    </row>
    <row r="43" spans="1:21" s="79" customFormat="1" ht="13.2">
      <c r="A43" s="129" t="s">
        <v>835</v>
      </c>
      <c r="B43" s="188">
        <f>SUM(F41:F43)</f>
        <v>891324.93888888881</v>
      </c>
      <c r="C43" s="188">
        <f>AVERAGE(F41:F43)</f>
        <v>297108.31296296295</v>
      </c>
      <c r="D43" s="190">
        <f>C43/C40-1</f>
        <v>-7.9302672452866263E-2</v>
      </c>
      <c r="E43" s="287">
        <f>C43/C31-1</f>
        <v>-0.2096985908790191</v>
      </c>
      <c r="F43" s="136">
        <f>Q43/20</f>
        <v>274378</v>
      </c>
      <c r="G43" s="190">
        <f t="shared" ref="G43" si="69">F43/F42-1</f>
        <v>-0.15822717140884457</v>
      </c>
      <c r="H43" s="190">
        <f t="shared" ref="H43" si="70">F43/F31-1</f>
        <v>-0.27016539234615022</v>
      </c>
      <c r="I43" s="130">
        <f t="shared" si="0"/>
        <v>3.4033796508341214</v>
      </c>
      <c r="J43" s="130">
        <f t="shared" si="5"/>
        <v>-2.3078578251349069E-2</v>
      </c>
      <c r="K43" s="136">
        <f>R41+R42+R43</f>
        <v>25054046993</v>
      </c>
      <c r="L43" s="190">
        <f>U43/U40-1</f>
        <v>-0.13680828635533182</v>
      </c>
      <c r="M43" s="190">
        <f>K43/K31-1</f>
        <v>-0.17674885587985689</v>
      </c>
      <c r="N43" s="191">
        <f>AVERAGE(T41:T43)</f>
        <v>3.3106665755724118</v>
      </c>
      <c r="O43" s="192">
        <f>N43/N40-1</f>
        <v>-4.4859512510207034E-2</v>
      </c>
      <c r="P43" s="129" t="s">
        <v>835</v>
      </c>
      <c r="Q43" s="116">
        <v>5487560</v>
      </c>
      <c r="R43" s="116">
        <v>7950818423</v>
      </c>
      <c r="S43" s="116">
        <v>1612385.5</v>
      </c>
      <c r="T43" s="130">
        <f t="shared" ref="T43" si="71">Q43/S43</f>
        <v>3.4033796508341214</v>
      </c>
      <c r="U43" s="85">
        <f>Q41+Q42+Q43</f>
        <v>17244510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168616.77272727274</v>
      </c>
      <c r="G44" s="190">
        <f t="shared" ref="G44" si="72">F44/F43-1</f>
        <v>-0.38545811716947886</v>
      </c>
      <c r="H44" s="190">
        <f t="shared" ref="H44" si="73">F44/F32-1</f>
        <v>-0.55949868167873862</v>
      </c>
      <c r="I44" s="130">
        <f t="shared" si="0"/>
        <v>3.0572207623418723</v>
      </c>
      <c r="J44" s="130">
        <f t="shared" si="5"/>
        <v>-0.12864610153838651</v>
      </c>
      <c r="K44" s="136"/>
      <c r="L44" s="190"/>
      <c r="M44" s="190"/>
      <c r="N44" s="191"/>
      <c r="O44" s="192"/>
      <c r="P44" s="129" t="s">
        <v>843</v>
      </c>
      <c r="Q44" s="116">
        <v>3709569</v>
      </c>
      <c r="R44" s="116">
        <v>5381682366</v>
      </c>
      <c r="S44" s="116">
        <v>1213379.5</v>
      </c>
      <c r="T44" s="130">
        <f t="shared" ref="T44" si="74">Q44/S44</f>
        <v>3.0572207623418723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237928.7</v>
      </c>
      <c r="G45" s="190">
        <f t="shared" ref="G45" si="75">F45/F44-1</f>
        <v>0.4110618780780193</v>
      </c>
      <c r="H45" s="190">
        <f t="shared" ref="H45" si="76">F45/F33-1</f>
        <v>-0.44071138697120726</v>
      </c>
      <c r="I45" s="130">
        <f t="shared" si="0"/>
        <v>3.6832051629861633</v>
      </c>
      <c r="J45" s="130">
        <f t="shared" si="5"/>
        <v>6.9428911210690059E-2</v>
      </c>
      <c r="K45" s="136"/>
      <c r="L45" s="190"/>
      <c r="M45" s="190"/>
      <c r="N45" s="191"/>
      <c r="O45" s="192"/>
      <c r="P45" s="129" t="s">
        <v>849</v>
      </c>
      <c r="Q45" s="116">
        <v>4758574</v>
      </c>
      <c r="R45" s="116">
        <v>6703881418</v>
      </c>
      <c r="S45" s="116">
        <v>1291965.5</v>
      </c>
      <c r="T45" s="130">
        <f t="shared" ref="T45" si="77">Q45/S45</f>
        <v>3.6832051629861633</v>
      </c>
      <c r="U45" s="85"/>
    </row>
    <row r="46" spans="1:21" s="79" customFormat="1" ht="13.2">
      <c r="A46" s="129" t="s">
        <v>888</v>
      </c>
      <c r="B46" s="188">
        <f>SUM(F44:F46)</f>
        <v>778499.57799043064</v>
      </c>
      <c r="C46" s="188">
        <f>AVERAGE(F44:F46)</f>
        <v>259499.85933014355</v>
      </c>
      <c r="D46" s="190">
        <f>C46/C43-1</f>
        <v>-0.12658162694191466</v>
      </c>
      <c r="E46" s="287">
        <f>C46/C34-1</f>
        <v>-0.35673948522811993</v>
      </c>
      <c r="F46" s="136">
        <f>Q46/19</f>
        <v>371954.10526315792</v>
      </c>
      <c r="G46" s="190">
        <f t="shared" ref="G46" si="78">F46/F45-1</f>
        <v>0.56330070841877378</v>
      </c>
      <c r="H46" s="190">
        <f t="shared" ref="H46" si="79">F46/F34-1</f>
        <v>-7.4840112698063899E-2</v>
      </c>
      <c r="I46" s="130">
        <f t="shared" si="0"/>
        <v>3.2116498933294371</v>
      </c>
      <c r="J46" s="130">
        <f t="shared" si="5"/>
        <v>-3.1043604543823267E-2</v>
      </c>
      <c r="K46" s="136">
        <f>R44+R45+R46</f>
        <v>21768149914</v>
      </c>
      <c r="L46" s="190">
        <f>U46/U43-1</f>
        <v>-9.9117864178222548E-2</v>
      </c>
      <c r="M46" s="190">
        <f>K46/K34-1</f>
        <v>-0.35323203611726817</v>
      </c>
      <c r="N46" s="191">
        <f>AVERAGE(T44:T46)</f>
        <v>3.3173586062191576</v>
      </c>
      <c r="O46" s="192">
        <f>N46/N43-1</f>
        <v>2.0213544595890642E-3</v>
      </c>
      <c r="P46" s="129" t="s">
        <v>888</v>
      </c>
      <c r="Q46" s="116">
        <v>7067128</v>
      </c>
      <c r="R46" s="116">
        <v>9682586130</v>
      </c>
      <c r="S46" s="116">
        <v>2200466.5</v>
      </c>
      <c r="T46" s="130">
        <f t="shared" ref="T46" si="80">Q46/S46</f>
        <v>3.2116498933294371</v>
      </c>
      <c r="U46" s="85">
        <f t="shared" ref="U46:U51" si="81">Q44+Q45+Q46</f>
        <v>15535271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214517.52173913043</v>
      </c>
      <c r="G47" s="190">
        <f t="shared" ref="G47" si="82">F47/F46-1</f>
        <v>-0.42326884230150097</v>
      </c>
      <c r="H47" s="190">
        <f t="shared" ref="H47" si="83">F47/F35-1</f>
        <v>-0.29846684835225334</v>
      </c>
      <c r="I47" s="130">
        <f t="shared" si="0"/>
        <v>3.4123746313245413</v>
      </c>
      <c r="J47" s="130">
        <f t="shared" si="5"/>
        <v>-1.4482565554113758E-2</v>
      </c>
      <c r="K47" s="136"/>
      <c r="L47" s="190"/>
      <c r="M47" s="190"/>
      <c r="N47" s="191"/>
      <c r="O47" s="192"/>
      <c r="P47" s="129" t="s">
        <v>991</v>
      </c>
      <c r="Q47" s="116">
        <v>4933903</v>
      </c>
      <c r="R47" s="116">
        <v>6743758937</v>
      </c>
      <c r="S47" s="116">
        <v>1445885.5</v>
      </c>
      <c r="T47" s="130">
        <f t="shared" ref="T47" si="84">Q47/S47</f>
        <v>3.4123746313245413</v>
      </c>
      <c r="U47" s="85">
        <f t="shared" si="81"/>
        <v>16759605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217128.25</v>
      </c>
      <c r="G48" s="190">
        <f t="shared" ref="G48" si="85">F48/F47-1</f>
        <v>1.2170233180506473E-2</v>
      </c>
      <c r="H48" s="190">
        <f t="shared" ref="H48" si="86">F48/F36-1</f>
        <v>-0.18995468237691815</v>
      </c>
      <c r="I48" s="130">
        <f t="shared" si="0"/>
        <v>3.0613749791593454</v>
      </c>
      <c r="J48" s="130">
        <f t="shared" si="5"/>
        <v>-7.6962379034944961E-2</v>
      </c>
      <c r="K48" s="136"/>
      <c r="L48" s="190"/>
      <c r="M48" s="190"/>
      <c r="N48" s="191"/>
      <c r="O48" s="192"/>
      <c r="P48" s="129" t="s">
        <v>1120</v>
      </c>
      <c r="Q48" s="116">
        <v>4342565</v>
      </c>
      <c r="R48" s="116">
        <v>6024153601</v>
      </c>
      <c r="S48" s="116">
        <v>1418501.5</v>
      </c>
      <c r="T48" s="130">
        <f t="shared" ref="T48" si="87">Q48/S48</f>
        <v>3.0613749791593454</v>
      </c>
      <c r="U48" s="85">
        <f t="shared" si="81"/>
        <v>16343596</v>
      </c>
    </row>
    <row r="49" spans="1:26" ht="13.2">
      <c r="A49" s="129" t="s">
        <v>1158</v>
      </c>
      <c r="B49" s="188">
        <f>SUM(F47:F49)</f>
        <v>766730.90810276684</v>
      </c>
      <c r="C49" s="188">
        <f>AVERAGE(F47:F49)</f>
        <v>255576.96936758896</v>
      </c>
      <c r="D49" s="190">
        <f>C49/C46-1</f>
        <v>-1.5117117876984221E-2</v>
      </c>
      <c r="E49" s="287">
        <f>C49/C37-1</f>
        <v>-0.19553611272039928</v>
      </c>
      <c r="F49" s="136">
        <f>Q49/22</f>
        <v>335085.13636363635</v>
      </c>
      <c r="G49" s="190">
        <f t="shared" ref="G49" si="88">F49/F48-1</f>
        <v>0.54325904788361878</v>
      </c>
      <c r="H49" s="190">
        <f t="shared" ref="H49" si="89">F49/F37-1</f>
        <v>-0.1164929000416367</v>
      </c>
      <c r="I49" s="130">
        <f t="shared" si="0"/>
        <v>3.1143359510484871</v>
      </c>
      <c r="J49" s="130">
        <f t="shared" si="5"/>
        <v>-8.2177149853892351E-2</v>
      </c>
      <c r="K49" s="136">
        <f>R47+R48+R49</f>
        <v>23015928378</v>
      </c>
      <c r="L49" s="190">
        <f>U49/U46-1</f>
        <v>7.1647929411723821E-2</v>
      </c>
      <c r="M49" s="190">
        <f>K49/K37-1</f>
        <v>-0.13281730646715706</v>
      </c>
      <c r="N49" s="191">
        <f>AVERAGE(T47:T49)</f>
        <v>3.1960285205107914</v>
      </c>
      <c r="O49" s="192">
        <f>N49/N46-1</f>
        <v>-3.6574305075400826E-2</v>
      </c>
      <c r="P49" s="129" t="s">
        <v>1158</v>
      </c>
      <c r="Q49" s="116">
        <v>7371873</v>
      </c>
      <c r="R49" s="116">
        <v>10248015840</v>
      </c>
      <c r="S49" s="116">
        <v>2367077</v>
      </c>
      <c r="T49" s="130">
        <f t="shared" ref="T49" si="90">Q49/S49</f>
        <v>3.1143359510484871</v>
      </c>
      <c r="U49" s="85">
        <f t="shared" si="81"/>
        <v>16648341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257401.11111111112</v>
      </c>
      <c r="G50" s="190">
        <f t="shared" ref="G50" si="91">F50/F49-1</f>
        <v>-0.23183369485008154</v>
      </c>
      <c r="H50" s="190">
        <f t="shared" ref="H50" si="92">F50/F38-1</f>
        <v>-0.26965583144639826</v>
      </c>
      <c r="I50" s="130">
        <f t="shared" ref="I50" si="93">T50</f>
        <v>3.0448117438852003</v>
      </c>
      <c r="J50" s="130">
        <f t="shared" ref="J50" si="94">I50/I38-1</f>
        <v>-7.1910779094148336E-2</v>
      </c>
      <c r="K50" s="136"/>
      <c r="L50" s="190"/>
      <c r="M50" s="190"/>
      <c r="N50" s="191"/>
      <c r="O50" s="192"/>
      <c r="P50" s="129" t="s">
        <v>1293</v>
      </c>
      <c r="Q50" s="116">
        <v>4633220</v>
      </c>
      <c r="R50" s="116">
        <v>6565958578</v>
      </c>
      <c r="S50" s="116">
        <v>1521677</v>
      </c>
      <c r="T50" s="130">
        <f t="shared" ref="T50" si="95">Q50/S50</f>
        <v>3.0448117438852003</v>
      </c>
      <c r="U50" s="85">
        <f t="shared" si="81"/>
        <v>16347658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196689</v>
      </c>
      <c r="G51" s="190">
        <f t="shared" ref="G51:G52" si="96">F51/F50-1</f>
        <v>-0.23586576937853165</v>
      </c>
      <c r="H51" s="190">
        <f t="shared" ref="H51:H52" si="97">F51/F39-1</f>
        <v>-0.24450881547128789</v>
      </c>
      <c r="I51" s="130">
        <f t="shared" ref="I51:I52" si="98">T51</f>
        <v>3.2939706666141926</v>
      </c>
      <c r="J51" s="130">
        <f t="shared" ref="J51:J52" si="99">I51/I39-1</f>
        <v>-0.11120963002488493</v>
      </c>
      <c r="K51" s="136"/>
      <c r="L51" s="190"/>
      <c r="M51" s="190"/>
      <c r="N51" s="191"/>
      <c r="O51" s="192"/>
      <c r="P51" s="129" t="s">
        <v>1402</v>
      </c>
      <c r="Q51" s="116">
        <v>3933780</v>
      </c>
      <c r="R51" s="116">
        <v>5706974948</v>
      </c>
      <c r="S51" s="116">
        <v>1194236.5</v>
      </c>
      <c r="T51" s="130">
        <f t="shared" ref="T51:T52" si="100">Q51/S51</f>
        <v>3.2939706666141926</v>
      </c>
      <c r="U51" s="85">
        <f t="shared" si="81"/>
        <v>15938873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661601.83838383842</v>
      </c>
      <c r="C52" s="188">
        <f>AVERAGE(F50:F52)</f>
        <v>220533.94612794614</v>
      </c>
      <c r="D52" s="190">
        <f>C52/C49-1</f>
        <v>-0.13711338438027043</v>
      </c>
      <c r="E52" s="287">
        <f>C52/C40-1</f>
        <v>-0.31659598208975448</v>
      </c>
      <c r="F52" s="136">
        <f>Q52/22</f>
        <v>207511.72727272726</v>
      </c>
      <c r="G52" s="190">
        <f t="shared" si="96"/>
        <v>5.5024568088338777E-2</v>
      </c>
      <c r="H52" s="190">
        <f t="shared" si="97"/>
        <v>-0.41597602645344756</v>
      </c>
      <c r="I52" s="130">
        <f t="shared" si="98"/>
        <v>2.9537927402271542</v>
      </c>
      <c r="J52" s="130">
        <f t="shared" si="99"/>
        <v>-0.13419403981636979</v>
      </c>
      <c r="K52" s="136">
        <f>R50+R51+R52</f>
        <v>18988784462</v>
      </c>
      <c r="L52" s="190">
        <f>U52/U49-1</f>
        <v>-0.21119719976903406</v>
      </c>
      <c r="M52" s="190">
        <f>K52/K40-1</f>
        <v>-0.31414576921119819</v>
      </c>
      <c r="N52" s="191">
        <f>AVERAGE(T50:T52)</f>
        <v>3.0975250502421825</v>
      </c>
      <c r="O52" s="192">
        <f>N52/N49-1</f>
        <v>-3.0820585497424169E-2</v>
      </c>
      <c r="P52" s="129" t="s">
        <v>1403</v>
      </c>
      <c r="Q52" s="116">
        <v>4565258</v>
      </c>
      <c r="R52" s="116">
        <v>6715850936</v>
      </c>
      <c r="S52" s="116">
        <v>1545558</v>
      </c>
      <c r="T52" s="130">
        <f t="shared" si="100"/>
        <v>2.9537927402271542</v>
      </c>
      <c r="U52" s="85">
        <f t="shared" ref="U52" si="101">Q50+Q51+Q52</f>
        <v>13132258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216193.04761904763</v>
      </c>
      <c r="G53" s="190">
        <f t="shared" ref="G53" si="102">F53/F52-1</f>
        <v>4.1835324009956931E-2</v>
      </c>
      <c r="H53" s="190">
        <f t="shared" ref="H53" si="103">F53/F41-1</f>
        <v>-0.25705423927745508</v>
      </c>
      <c r="I53" s="130">
        <f t="shared" ref="I53" si="104">T53</f>
        <v>3.050734317799412</v>
      </c>
      <c r="J53" s="130">
        <f t="shared" ref="J53" si="105">I53/I41-1</f>
        <v>-1.2008969226982691E-2</v>
      </c>
      <c r="K53" s="136"/>
      <c r="L53" s="190"/>
      <c r="M53" s="190"/>
      <c r="N53" s="191"/>
      <c r="O53" s="192"/>
      <c r="P53" s="129" t="s">
        <v>1414</v>
      </c>
      <c r="Q53" s="116">
        <v>4540054</v>
      </c>
      <c r="R53" s="116">
        <v>6604889806</v>
      </c>
      <c r="S53" s="116">
        <v>1488184</v>
      </c>
      <c r="T53" s="130">
        <f t="shared" ref="T53" si="106">Q53/S53</f>
        <v>3.050734317799412</v>
      </c>
      <c r="U53" s="85">
        <f t="shared" ref="U53" si="107">Q51+Q52+Q53</f>
        <v>13039092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288256.64705882355</v>
      </c>
      <c r="G54" s="190">
        <f t="shared" ref="G54" si="108">F54/F53-1</f>
        <v>0.33332986529131459</v>
      </c>
      <c r="H54" s="190">
        <f t="shared" ref="H54" si="109">F54/F42-1</f>
        <v>-0.11564843699236727</v>
      </c>
      <c r="I54" s="130">
        <f t="shared" ref="I54" si="110">T54</f>
        <v>3.0101203191105448</v>
      </c>
      <c r="J54" s="130">
        <f t="shared" ref="J54" si="111">I54/I42-1</f>
        <v>-0.12516955915877759</v>
      </c>
      <c r="K54" s="136"/>
      <c r="L54" s="190"/>
      <c r="M54" s="190"/>
      <c r="N54" s="191"/>
      <c r="O54" s="192"/>
      <c r="P54" s="129" t="s">
        <v>1417</v>
      </c>
      <c r="Q54" s="116">
        <v>4900363</v>
      </c>
      <c r="R54" s="116">
        <v>7096423945</v>
      </c>
      <c r="S54" s="116">
        <v>1627962.5</v>
      </c>
      <c r="T54" s="130">
        <f t="shared" ref="T54" si="112">Q54/S54</f>
        <v>3.0101203191105448</v>
      </c>
      <c r="U54" s="85">
        <f t="shared" ref="U54" si="113">Q52+Q53+Q54</f>
        <v>14005675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784361.59943977592</v>
      </c>
      <c r="C55" s="188">
        <f>AVERAGE(F53:F55)</f>
        <v>261453.86647992532</v>
      </c>
      <c r="D55" s="190">
        <f>C55/C52-1</f>
        <v>0.18554930463285157</v>
      </c>
      <c r="E55" s="287">
        <f>C55/C43-1</f>
        <v>-0.12000487676520266</v>
      </c>
      <c r="F55" s="136">
        <f>Q55/21</f>
        <v>279911.90476190473</v>
      </c>
      <c r="G55" s="190">
        <f t="shared" ref="G55" si="114">F55/F54-1</f>
        <v>-2.8949002155068904E-2</v>
      </c>
      <c r="H55" s="190">
        <f t="shared" ref="H55" si="115">F55/F43-1</f>
        <v>2.0168908447123046E-2</v>
      </c>
      <c r="I55" s="130">
        <f>T55</f>
        <v>2.9497597673171647</v>
      </c>
      <c r="J55" s="130">
        <f t="shared" ref="J55" si="116">I55/I43-1</f>
        <v>-0.13328512539169135</v>
      </c>
      <c r="K55" s="136">
        <f>R53+R54+R55</f>
        <v>22371651088</v>
      </c>
      <c r="L55" s="190">
        <f>U55/U52-1</f>
        <v>0.16648385982060354</v>
      </c>
      <c r="M55" s="190">
        <f>K55/K43-1</f>
        <v>-0.10706437589701379</v>
      </c>
      <c r="N55" s="191">
        <f>AVERAGE(T53:T55)</f>
        <v>3.003538134742374</v>
      </c>
      <c r="O55" s="192">
        <f>N55/N52-1</f>
        <v>-3.0342584474808421E-2</v>
      </c>
      <c r="P55" s="129" t="s">
        <v>1418</v>
      </c>
      <c r="Q55" s="116">
        <v>5878150</v>
      </c>
      <c r="R55" s="116">
        <v>8670337337</v>
      </c>
      <c r="S55" s="116">
        <v>1992755.5</v>
      </c>
      <c r="T55" s="130">
        <f t="shared" ref="T55" si="117">Q55/S55</f>
        <v>2.9497597673171647</v>
      </c>
      <c r="U55" s="85">
        <f t="shared" ref="U55" si="118">Q53+Q54+Q55</f>
        <v>15318567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312593.86363636365</v>
      </c>
      <c r="G56" s="190">
        <f t="shared" ref="G56" si="119">F56/F55-1</f>
        <v>0.11675801678481101</v>
      </c>
      <c r="H56" s="190">
        <f t="shared" ref="H56" si="120">F56/F44-1</f>
        <v>0.85387170315473315</v>
      </c>
      <c r="I56" s="291">
        <f>T56</f>
        <v>2.8150473645560354</v>
      </c>
      <c r="J56" s="130">
        <f t="shared" ref="J56" si="121">I56/I44-1</f>
        <v>-7.9213578806238694E-2</v>
      </c>
      <c r="K56" s="136"/>
      <c r="L56" s="190"/>
      <c r="M56" s="190"/>
      <c r="N56" s="191"/>
      <c r="O56" s="192"/>
      <c r="P56" s="129" t="s">
        <v>1420</v>
      </c>
      <c r="Q56" s="116">
        <v>6877065</v>
      </c>
      <c r="R56" s="116">
        <v>10256142634</v>
      </c>
      <c r="S56" s="116">
        <v>2442966</v>
      </c>
      <c r="T56" s="130">
        <f t="shared" ref="T56" si="122">Q56/S56</f>
        <v>2.8150473645560354</v>
      </c>
      <c r="U56" s="85">
        <f t="shared" ref="U56" si="123">Q54+Q55+Q56</f>
        <v>17655578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349331.75</v>
      </c>
      <c r="G57" s="254">
        <f t="shared" ref="G57" si="124">F57/F56-1</f>
        <v>0.11752593584617843</v>
      </c>
      <c r="H57" s="254">
        <f t="shared" ref="H57" si="125">F57/F45-1</f>
        <v>0.46822031137899711</v>
      </c>
      <c r="I57" s="282">
        <f>T57</f>
        <v>2.7795701990531385</v>
      </c>
      <c r="J57" s="277">
        <f t="shared" ref="J57" si="126">I57/I45-1</f>
        <v>-0.24533929660339682</v>
      </c>
      <c r="K57" s="204"/>
      <c r="L57" s="254"/>
      <c r="M57" s="254"/>
      <c r="N57" s="257"/>
      <c r="O57" s="258"/>
      <c r="P57" s="129" t="s">
        <v>1436</v>
      </c>
      <c r="Q57" s="116">
        <v>4191981</v>
      </c>
      <c r="R57" s="116">
        <v>6172769323</v>
      </c>
      <c r="S57" s="116">
        <v>1508140</v>
      </c>
      <c r="T57" s="130">
        <f t="shared" ref="T57" si="127">Q57/S57</f>
        <v>2.7795701990531385</v>
      </c>
      <c r="U57" s="85">
        <f t="shared" ref="U57" si="128">Q55+Q56+Q57</f>
        <v>16947196</v>
      </c>
      <c r="V57" s="79"/>
      <c r="W57" s="79"/>
      <c r="X57" s="79"/>
      <c r="Y57" s="79"/>
      <c r="Z57" s="79"/>
    </row>
    <row r="58" spans="1:26">
      <c r="B58" s="196">
        <f>SUM(F56:F58)</f>
        <v>661925.61363636365</v>
      </c>
      <c r="C58" s="196">
        <f>AVERAGE(F56:F58)</f>
        <v>330962.80681818182</v>
      </c>
      <c r="D58" s="197">
        <f>C58/C55-1</f>
        <v>0.26585546916589009</v>
      </c>
      <c r="E58" s="233">
        <f>C58/C46-1</f>
        <v>0.27538723016077227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26387613</v>
      </c>
      <c r="R66" s="212">
        <v>38800563045</v>
      </c>
      <c r="S66" s="213">
        <v>9060008</v>
      </c>
      <c r="T66" s="214">
        <v>15</v>
      </c>
      <c r="U66" s="214">
        <v>62</v>
      </c>
    </row>
    <row r="67" spans="16:21" ht="18" thickBot="1">
      <c r="P67" s="180" t="s">
        <v>976</v>
      </c>
      <c r="Q67" s="181">
        <v>4540054</v>
      </c>
      <c r="R67" s="181">
        <v>6604889806</v>
      </c>
      <c r="S67" s="182">
        <v>1488184</v>
      </c>
      <c r="T67" s="210">
        <v>9</v>
      </c>
      <c r="U67" s="210">
        <v>34</v>
      </c>
    </row>
    <row r="68" spans="16:21" ht="18" thickBot="1">
      <c r="P68" s="180" t="s">
        <v>977</v>
      </c>
      <c r="Q68" s="181">
        <v>4900363</v>
      </c>
      <c r="R68" s="181">
        <v>7096423945</v>
      </c>
      <c r="S68" s="182">
        <v>1627962.5</v>
      </c>
      <c r="T68" s="210">
        <v>10</v>
      </c>
      <c r="U68" s="210">
        <v>33</v>
      </c>
    </row>
    <row r="69" spans="16:21" ht="18" thickBot="1">
      <c r="P69" s="180" t="s">
        <v>978</v>
      </c>
      <c r="Q69" s="181">
        <v>5878150</v>
      </c>
      <c r="R69" s="181">
        <v>8670337337</v>
      </c>
      <c r="S69" s="182">
        <v>1992755.5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6877065</v>
      </c>
      <c r="R70" s="181">
        <v>10256142634</v>
      </c>
      <c r="S70" s="182">
        <v>2442966</v>
      </c>
      <c r="T70" s="210">
        <v>7</v>
      </c>
      <c r="U70" s="210">
        <v>40</v>
      </c>
    </row>
    <row r="71" spans="16:21" ht="18" thickBot="1">
      <c r="P71" s="180" t="s">
        <v>980</v>
      </c>
      <c r="Q71" s="181">
        <v>4191981</v>
      </c>
      <c r="R71" s="181">
        <v>6172769323</v>
      </c>
      <c r="S71" s="182">
        <v>1508140</v>
      </c>
      <c r="T71" s="210">
        <v>6</v>
      </c>
      <c r="U71" s="210">
        <v>24</v>
      </c>
    </row>
    <row r="72" spans="16:21" ht="18" thickBot="1">
      <c r="P72" s="180" t="s">
        <v>975</v>
      </c>
      <c r="Q72" s="181">
        <v>62072750</v>
      </c>
      <c r="R72" s="181">
        <v>88121779503</v>
      </c>
      <c r="S72" s="182">
        <v>19402074.5</v>
      </c>
      <c r="T72" s="210">
        <v>22</v>
      </c>
      <c r="U72" s="210">
        <v>76</v>
      </c>
    </row>
    <row r="73" spans="16:21" ht="18" thickBot="1">
      <c r="P73" s="180" t="s">
        <v>982</v>
      </c>
      <c r="Q73" s="181">
        <v>87054924</v>
      </c>
      <c r="R73" s="181">
        <v>118317234308</v>
      </c>
      <c r="S73" s="182">
        <v>25312054.75</v>
      </c>
      <c r="T73" s="210">
        <v>18</v>
      </c>
      <c r="U73" s="210">
        <v>73</v>
      </c>
    </row>
    <row r="74" spans="16:21" ht="18" thickBot="1">
      <c r="P74" s="215" t="s">
        <v>1386</v>
      </c>
      <c r="Q74" s="216">
        <v>79744</v>
      </c>
      <c r="R74"/>
      <c r="S74"/>
      <c r="T74"/>
      <c r="U74"/>
    </row>
  </sheetData>
  <phoneticPr fontId="1" type="noConversion"/>
  <conditionalFormatting sqref="C29:C30">
    <cfRule type="cellIs" dxfId="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78"/>
  <dimension ref="A1:Z58"/>
  <sheetViews>
    <sheetView topLeftCell="B1"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250951.4</v>
      </c>
      <c r="G5" s="90"/>
      <c r="H5" s="90"/>
      <c r="I5" s="130">
        <f t="shared" ref="I5:I49" si="0">T5</f>
        <v>172.79649547664059</v>
      </c>
      <c r="J5" s="130"/>
      <c r="L5" s="80"/>
      <c r="M5" s="80"/>
      <c r="P5" s="129" t="s">
        <v>0</v>
      </c>
      <c r="Q5" s="116">
        <f>안과용기기!Q5+'안과용기기 (소모품)'!Q5</f>
        <v>5019028</v>
      </c>
      <c r="R5" s="116">
        <f>안과용기기!R5+'안과용기기 (소모품)'!R5</f>
        <v>5923579052</v>
      </c>
      <c r="S5" s="116">
        <f>안과용기기!S5+'안과용기기 (소모품)'!S5</f>
        <v>29045.89</v>
      </c>
      <c r="T5" s="130">
        <f t="shared" ref="T5:T17" si="1">Q5/S5</f>
        <v>172.79649547664059</v>
      </c>
      <c r="U5" s="85"/>
    </row>
    <row r="6" spans="1:21" ht="15" hidden="1" customHeight="1">
      <c r="A6" s="129" t="s">
        <v>1</v>
      </c>
      <c r="C6" s="79"/>
      <c r="F6" s="78">
        <f>Q6/18</f>
        <v>338532.88888888888</v>
      </c>
      <c r="G6" s="90">
        <f t="shared" ref="G6:G16" si="2">F6/F5-1</f>
        <v>0.34899780949175363</v>
      </c>
      <c r="H6" s="90"/>
      <c r="I6" s="130">
        <f t="shared" si="0"/>
        <v>178.30262327815552</v>
      </c>
      <c r="J6" s="130"/>
      <c r="P6" s="129" t="s">
        <v>1</v>
      </c>
      <c r="Q6" s="116">
        <f>안과용기기!Q6+'안과용기기 (소모품)'!Q6</f>
        <v>6093592</v>
      </c>
      <c r="R6" s="116">
        <f>안과용기기!R6+'안과용기기 (소모품)'!R6</f>
        <v>7235501739</v>
      </c>
      <c r="S6" s="116">
        <f>안과용기기!S6+'안과용기기 (소모품)'!S6</f>
        <v>34175.56</v>
      </c>
      <c r="T6" s="130">
        <f t="shared" si="1"/>
        <v>178.30262327815552</v>
      </c>
      <c r="U6" s="85"/>
    </row>
    <row r="7" spans="1:21" ht="15" hidden="1" customHeight="1">
      <c r="A7" s="129" t="s">
        <v>2</v>
      </c>
      <c r="B7" s="131">
        <f>F5+F6+F7</f>
        <v>825645.7888888889</v>
      </c>
      <c r="C7" s="131">
        <f>AVERAGE(F5:F7)</f>
        <v>275215.26296296297</v>
      </c>
      <c r="F7" s="78">
        <f>Q7/22</f>
        <v>236161.5</v>
      </c>
      <c r="G7" s="90">
        <f t="shared" si="2"/>
        <v>-0.30239717394928967</v>
      </c>
      <c r="H7" s="90"/>
      <c r="I7" s="130">
        <f t="shared" si="0"/>
        <v>169.3658989780451</v>
      </c>
      <c r="J7" s="130"/>
      <c r="K7" s="79">
        <f>R5+R6+R7</f>
        <v>19407630772</v>
      </c>
      <c r="N7" s="88">
        <f>AVERAGE(T5:T7)</f>
        <v>173.48833924428041</v>
      </c>
      <c r="P7" s="129" t="s">
        <v>2</v>
      </c>
      <c r="Q7" s="116">
        <f>안과용기기!Q7+'안과용기기 (소모품)'!Q7</f>
        <v>5195553</v>
      </c>
      <c r="R7" s="116">
        <f>안과용기기!R7+'안과용기기 (소모품)'!R7</f>
        <v>6248549981</v>
      </c>
      <c r="S7" s="116">
        <f>안과용기기!S7+'안과용기기 (소모품)'!S7</f>
        <v>30676.5</v>
      </c>
      <c r="T7" s="130">
        <f t="shared" si="1"/>
        <v>169.3658989780451</v>
      </c>
      <c r="U7" s="85">
        <f>Q5+Q6+Q7</f>
        <v>16308173</v>
      </c>
    </row>
    <row r="8" spans="1:21" ht="15" hidden="1" customHeight="1">
      <c r="A8" s="129" t="s">
        <v>3</v>
      </c>
      <c r="C8" s="79"/>
      <c r="F8" s="78">
        <f>Q8/21</f>
        <v>369476.28571428574</v>
      </c>
      <c r="G8" s="90">
        <f t="shared" si="2"/>
        <v>0.56450685532690859</v>
      </c>
      <c r="H8" s="90"/>
      <c r="I8" s="130">
        <f t="shared" si="0"/>
        <v>178.33408108441066</v>
      </c>
      <c r="J8" s="130"/>
      <c r="K8" s="78"/>
      <c r="P8" s="129" t="s">
        <v>3</v>
      </c>
      <c r="Q8" s="116">
        <f>안과용기기!Q8+'안과용기기 (소모품)'!Q8</f>
        <v>7759002</v>
      </c>
      <c r="R8" s="116">
        <f>안과용기기!R8+'안과용기기 (소모품)'!R8</f>
        <v>9411078458</v>
      </c>
      <c r="S8" s="116">
        <f>안과용기기!S8+'안과용기기 (소모품)'!S8</f>
        <v>43508.240000000005</v>
      </c>
      <c r="T8" s="130">
        <f t="shared" si="1"/>
        <v>178.33408108441066</v>
      </c>
      <c r="U8" s="85"/>
    </row>
    <row r="9" spans="1:21" ht="15" hidden="1" customHeight="1">
      <c r="A9" s="129" t="s">
        <v>4</v>
      </c>
      <c r="C9" s="79"/>
      <c r="F9" s="78">
        <f>Q9/21</f>
        <v>239889.33333333334</v>
      </c>
      <c r="G9" s="90">
        <f t="shared" si="2"/>
        <v>-0.35073144716292126</v>
      </c>
      <c r="H9" s="90"/>
      <c r="I9" s="130">
        <f t="shared" si="0"/>
        <v>161.92426484130689</v>
      </c>
      <c r="J9" s="130"/>
      <c r="K9" s="78"/>
      <c r="P9" s="129" t="s">
        <v>4</v>
      </c>
      <c r="Q9" s="116">
        <f>안과용기기!Q9+'안과용기기 (소모품)'!Q9</f>
        <v>5037676</v>
      </c>
      <c r="R9" s="116">
        <f>안과용기기!R9+'안과용기기 (소모품)'!R9</f>
        <v>6349993360</v>
      </c>
      <c r="S9" s="116">
        <f>안과용기기!S9+'안과용기기 (소모품)'!S9</f>
        <v>31111.31</v>
      </c>
      <c r="T9" s="130">
        <f t="shared" si="1"/>
        <v>161.92426484130689</v>
      </c>
      <c r="U9" s="85"/>
    </row>
    <row r="10" spans="1:21" ht="15" hidden="1" customHeight="1">
      <c r="A10" s="129" t="s">
        <v>5</v>
      </c>
      <c r="B10" s="131">
        <f>F8+F9+F10</f>
        <v>904617.61904761905</v>
      </c>
      <c r="C10" s="131">
        <f>AVERAGE(F8:F10)</f>
        <v>301539.20634920633</v>
      </c>
      <c r="D10" s="90">
        <f>C10/C7-1</f>
        <v>9.5648559250821386E-2</v>
      </c>
      <c r="E10" s="286"/>
      <c r="F10" s="78">
        <f>Q10/21</f>
        <v>295252</v>
      </c>
      <c r="G10" s="90">
        <f t="shared" si="2"/>
        <v>0.23078419493433078</v>
      </c>
      <c r="H10" s="90"/>
      <c r="I10" s="130">
        <f t="shared" si="0"/>
        <v>163.3220242548125</v>
      </c>
      <c r="J10" s="130"/>
      <c r="K10" s="79">
        <f>R8+R9+R10</f>
        <v>23539567237</v>
      </c>
      <c r="L10" s="87">
        <f>U10/U7-1</f>
        <v>0.16487420142035525</v>
      </c>
      <c r="N10" s="88">
        <f>AVERAGE(T8:T10)</f>
        <v>167.86012339351001</v>
      </c>
      <c r="O10" s="89">
        <f>N10/N7-1</f>
        <v>-3.2441464799807584E-2</v>
      </c>
      <c r="P10" s="129" t="s">
        <v>5</v>
      </c>
      <c r="Q10" s="116">
        <f>안과용기기!Q10+'안과용기기 (소모품)'!Q10</f>
        <v>6200292</v>
      </c>
      <c r="R10" s="116">
        <f>안과용기기!R10+'안과용기기 (소모품)'!R10</f>
        <v>7778495419</v>
      </c>
      <c r="S10" s="116">
        <f>안과용기기!S10+'안과용기기 (소모품)'!S10</f>
        <v>37963.599999999999</v>
      </c>
      <c r="T10" s="130">
        <f t="shared" si="1"/>
        <v>163.3220242548125</v>
      </c>
      <c r="U10" s="85">
        <f>Q8+Q9+Q10</f>
        <v>18996970</v>
      </c>
    </row>
    <row r="11" spans="1:21" ht="15" hidden="1" customHeight="1">
      <c r="A11" s="129" t="s">
        <v>6</v>
      </c>
      <c r="C11" s="79"/>
      <c r="F11" s="78">
        <f>Q11/21</f>
        <v>323587.42857142858</v>
      </c>
      <c r="G11" s="90">
        <f t="shared" si="2"/>
        <v>9.5970318817242939E-2</v>
      </c>
      <c r="H11" s="90"/>
      <c r="I11" s="130">
        <f t="shared" si="0"/>
        <v>176.92644363667796</v>
      </c>
      <c r="J11" s="130"/>
      <c r="K11" s="78"/>
      <c r="O11" s="89"/>
      <c r="P11" s="129" t="s">
        <v>6</v>
      </c>
      <c r="Q11" s="116">
        <f>안과용기기!Q11+'안과용기기 (소모품)'!Q11</f>
        <v>6795336</v>
      </c>
      <c r="R11" s="116">
        <f>안과용기기!R11+'안과용기기 (소모품)'!R11</f>
        <v>8771896927</v>
      </c>
      <c r="S11" s="116">
        <f>안과용기기!S11+'안과용기기 (소모품)'!S11</f>
        <v>38407.69</v>
      </c>
      <c r="T11" s="130">
        <f t="shared" si="1"/>
        <v>176.92644363667796</v>
      </c>
      <c r="U11" s="85"/>
    </row>
    <row r="12" spans="1:21" ht="15" hidden="1" customHeight="1">
      <c r="A12" s="129" t="s">
        <v>7</v>
      </c>
      <c r="C12" s="79"/>
      <c r="F12" s="78">
        <f>Q12/22</f>
        <v>218898.95454545456</v>
      </c>
      <c r="G12" s="90">
        <f t="shared" si="2"/>
        <v>-0.32352454014716192</v>
      </c>
      <c r="H12" s="90"/>
      <c r="I12" s="130">
        <f t="shared" si="0"/>
        <v>163.96143867844228</v>
      </c>
      <c r="J12" s="130"/>
      <c r="K12" s="78"/>
      <c r="O12" s="89"/>
      <c r="P12" s="129" t="s">
        <v>7</v>
      </c>
      <c r="Q12" s="116">
        <f>안과용기기!Q12+'안과용기기 (소모품)'!Q12</f>
        <v>4815777</v>
      </c>
      <c r="R12" s="116">
        <f>안과용기기!R12+'안과용기기 (소모품)'!R12</f>
        <v>6265714243</v>
      </c>
      <c r="S12" s="116">
        <f>안과용기기!S12+'안과용기기 (소모품)'!S12</f>
        <v>29371.4</v>
      </c>
      <c r="T12" s="130">
        <f t="shared" si="1"/>
        <v>163.96143867844228</v>
      </c>
      <c r="U12" s="85"/>
    </row>
    <row r="13" spans="1:21" ht="15" hidden="1" customHeight="1">
      <c r="A13" s="129" t="s">
        <v>35</v>
      </c>
      <c r="B13" s="131">
        <f>F11+F12+F13</f>
        <v>876356.58311688318</v>
      </c>
      <c r="C13" s="131">
        <f>AVERAGE(F11:F13)</f>
        <v>292118.86103896104</v>
      </c>
      <c r="D13" s="90">
        <f>C13/C10-1</f>
        <v>-3.124086391384806E-2</v>
      </c>
      <c r="E13" s="286"/>
      <c r="F13" s="78">
        <f>Q13/20</f>
        <v>333870.2</v>
      </c>
      <c r="G13" s="90">
        <f t="shared" si="2"/>
        <v>0.52522519211333907</v>
      </c>
      <c r="H13" s="90"/>
      <c r="I13" s="130">
        <f t="shared" si="0"/>
        <v>170.51201581168971</v>
      </c>
      <c r="J13" s="130"/>
      <c r="K13" s="78">
        <f>R11+R12+R13</f>
        <v>24183408133</v>
      </c>
      <c r="L13" s="87">
        <f>U13/U10-1</f>
        <v>-3.7292947243692032E-2</v>
      </c>
      <c r="N13" s="88">
        <f>AVERAGE(T11:T13)</f>
        <v>170.46663270893666</v>
      </c>
      <c r="O13" s="89">
        <f>N13/N10-1</f>
        <v>1.5527864883765563E-2</v>
      </c>
      <c r="P13" s="129" t="s">
        <v>35</v>
      </c>
      <c r="Q13" s="116">
        <f>안과용기기!Q13+'안과용기기 (소모품)'!Q13</f>
        <v>6677404</v>
      </c>
      <c r="R13" s="116">
        <f>안과용기기!R13+'안과용기기 (소모품)'!R13</f>
        <v>9145796963</v>
      </c>
      <c r="S13" s="116">
        <f>안과용기기!S13+'안과용기기 (소모품)'!S13</f>
        <v>39160.9</v>
      </c>
      <c r="T13" s="130">
        <f t="shared" si="1"/>
        <v>170.51201581168971</v>
      </c>
      <c r="U13" s="85">
        <f>Q11+Q12+Q13</f>
        <v>18288517</v>
      </c>
    </row>
    <row r="14" spans="1:21" ht="15" hidden="1" customHeight="1">
      <c r="A14" s="129" t="s">
        <v>36</v>
      </c>
      <c r="C14" s="79"/>
      <c r="F14" s="78">
        <f>Q14/20</f>
        <v>319884.34999999998</v>
      </c>
      <c r="G14" s="90">
        <f t="shared" si="2"/>
        <v>-4.1890081834197956E-2</v>
      </c>
      <c r="H14" s="90"/>
      <c r="I14" s="130">
        <f t="shared" si="0"/>
        <v>180.16106590280796</v>
      </c>
      <c r="J14" s="130"/>
      <c r="O14" s="89"/>
      <c r="P14" s="129" t="s">
        <v>36</v>
      </c>
      <c r="Q14" s="116">
        <f>안과용기기!Q14+'안과용기기 (소모품)'!Q14</f>
        <v>6397687</v>
      </c>
      <c r="R14" s="116">
        <f>안과용기기!R14+'안과용기기 (소모품)'!R14</f>
        <v>9125744806</v>
      </c>
      <c r="S14" s="116">
        <f>안과용기기!S14+'안과용기기 (소모품)'!S14</f>
        <v>35510.93</v>
      </c>
      <c r="T14" s="130">
        <f t="shared" si="1"/>
        <v>180.16106590280796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274344.81818181818</v>
      </c>
      <c r="G15" s="90">
        <f t="shared" si="2"/>
        <v>-0.14236248762461123</v>
      </c>
      <c r="H15" s="90"/>
      <c r="I15" s="130">
        <f t="shared" si="0"/>
        <v>167.1124689238365</v>
      </c>
      <c r="J15" s="130"/>
      <c r="O15" s="89"/>
      <c r="P15" s="129" t="s">
        <v>37</v>
      </c>
      <c r="Q15" s="116">
        <f>안과용기기!Q15+'안과용기기 (소모품)'!Q15</f>
        <v>6035586</v>
      </c>
      <c r="R15" s="116">
        <f>안과용기기!R15+'안과용기기 (소모품)'!R15</f>
        <v>8302280543</v>
      </c>
      <c r="S15" s="116">
        <f>안과용기기!S15+'안과용기기 (소모품)'!S15</f>
        <v>36116.910000000003</v>
      </c>
      <c r="T15" s="130">
        <f t="shared" si="1"/>
        <v>167.1124689238365</v>
      </c>
      <c r="U15" s="85"/>
    </row>
    <row r="16" spans="1:21" ht="15" hidden="1" customHeight="1">
      <c r="A16" s="129" t="s">
        <v>38</v>
      </c>
      <c r="B16" s="131">
        <f>F14+F15+F16</f>
        <v>841526.35000000009</v>
      </c>
      <c r="C16" s="131">
        <f>AVERAGE(F14:F16)</f>
        <v>280508.78333333338</v>
      </c>
      <c r="D16" s="90">
        <f>C16/C13-1</f>
        <v>-3.9744361813320861E-2</v>
      </c>
      <c r="E16" s="286"/>
      <c r="F16" s="78">
        <f>Q16/22</f>
        <v>247297.18181818182</v>
      </c>
      <c r="G16" s="90">
        <f t="shared" si="2"/>
        <v>-9.8589929793063913E-2</v>
      </c>
      <c r="H16" s="90"/>
      <c r="I16" s="130">
        <f t="shared" si="0"/>
        <v>186.34557657977336</v>
      </c>
      <c r="J16" s="130"/>
      <c r="K16" s="78">
        <f>R14+R15+R16</f>
        <v>24567422595</v>
      </c>
      <c r="L16" s="87">
        <f>U16/U13-1</f>
        <v>-2.2675758783503364E-2</v>
      </c>
      <c r="N16" s="88">
        <f>AVERAGE(T14:T16)</f>
        <v>177.8730371354726</v>
      </c>
      <c r="O16" s="89">
        <f>N16/N13-1</f>
        <v>4.3447825001518003E-2</v>
      </c>
      <c r="P16" s="129" t="s">
        <v>38</v>
      </c>
      <c r="Q16" s="116">
        <f>안과용기기!Q16+'안과용기기 (소모품)'!Q16</f>
        <v>5440538</v>
      </c>
      <c r="R16" s="116">
        <f>안과용기기!R16+'안과용기기 (소모품)'!R16</f>
        <v>7139397246</v>
      </c>
      <c r="S16" s="116">
        <f>안과용기기!S16+'안과용기기 (소모품)'!S16</f>
        <v>29195.96</v>
      </c>
      <c r="T16" s="130">
        <f t="shared" si="1"/>
        <v>186.34557657977336</v>
      </c>
      <c r="U16" s="85">
        <f>Q14+Q15+Q16</f>
        <v>17873811</v>
      </c>
    </row>
    <row r="17" spans="1:21" ht="15" hidden="1" customHeight="1">
      <c r="A17" s="129" t="s">
        <v>85</v>
      </c>
      <c r="C17" s="79"/>
      <c r="F17" s="78">
        <f>Q17/20</f>
        <v>308438.65000000002</v>
      </c>
      <c r="G17" s="90">
        <f t="shared" ref="G17:G22" si="3">F17/F16-1</f>
        <v>0.24723883924714807</v>
      </c>
      <c r="H17" s="90">
        <f t="shared" ref="H17:H22" si="4">F17/F5-1</f>
        <v>0.22907722371742101</v>
      </c>
      <c r="I17" s="130">
        <f t="shared" si="0"/>
        <v>171.04260528906821</v>
      </c>
      <c r="J17" s="130">
        <f t="shared" ref="J17:J49" si="5">I17/I5-1</f>
        <v>-1.0150033325238783E-2</v>
      </c>
      <c r="O17" s="89"/>
      <c r="P17" s="129" t="s">
        <v>85</v>
      </c>
      <c r="Q17" s="116">
        <f>안과용기기!Q17+'안과용기기 (소모품)'!Q17</f>
        <v>6168773</v>
      </c>
      <c r="R17" s="116">
        <f>안과용기기!R17+'안과용기기 (소모품)'!R17</f>
        <v>7737583266</v>
      </c>
      <c r="S17" s="116">
        <f>안과용기기!S17+'안과용기기 (소모품)'!S17</f>
        <v>36065.71</v>
      </c>
      <c r="T17" s="130">
        <f t="shared" si="1"/>
        <v>171.04260528906821</v>
      </c>
      <c r="U17" s="78"/>
    </row>
    <row r="18" spans="1:21" ht="15" hidden="1" customHeight="1">
      <c r="A18" s="129" t="s">
        <v>116</v>
      </c>
      <c r="C18" s="79"/>
      <c r="F18" s="78">
        <f>Q18/20</f>
        <v>340194.65</v>
      </c>
      <c r="G18" s="90">
        <f t="shared" si="3"/>
        <v>0.10295726556966844</v>
      </c>
      <c r="H18" s="90">
        <f t="shared" si="4"/>
        <v>4.9087139408088287E-3</v>
      </c>
      <c r="I18" s="130">
        <f t="shared" si="0"/>
        <v>173.21030388397884</v>
      </c>
      <c r="J18" s="130">
        <f t="shared" si="5"/>
        <v>-2.8559980221000814E-2</v>
      </c>
      <c r="O18" s="89"/>
      <c r="P18" s="129" t="s">
        <v>116</v>
      </c>
      <c r="Q18" s="116">
        <f>안과용기기!Q18+'안과용기기 (소모품)'!Q18</f>
        <v>6803893</v>
      </c>
      <c r="R18" s="116">
        <f>안과용기기!R18+'안과용기기 (소모품)'!R18</f>
        <v>8501621846</v>
      </c>
      <c r="S18" s="116">
        <f>안과용기기!S18+'안과용기기 (소모품)'!S18</f>
        <v>39281.11</v>
      </c>
      <c r="T18" s="130">
        <f t="shared" ref="T18" si="6">Q18/S18</f>
        <v>173.21030388397884</v>
      </c>
      <c r="U18" s="78"/>
    </row>
    <row r="19" spans="1:21" hidden="1">
      <c r="A19" s="129" t="s">
        <v>114</v>
      </c>
      <c r="B19" s="131">
        <f>SUM(F17:F19)</f>
        <v>961414.9363636364</v>
      </c>
      <c r="C19" s="131">
        <f>AVERAGE(F17:F19)</f>
        <v>320471.64545454545</v>
      </c>
      <c r="D19" s="90">
        <f>C19/C16-1</f>
        <v>0.14246563564365644</v>
      </c>
      <c r="E19" s="286">
        <f>C19/C7-1</f>
        <v>0.16443994422530572</v>
      </c>
      <c r="F19" s="78">
        <f>Q19/22</f>
        <v>312781.63636363635</v>
      </c>
      <c r="G19" s="90">
        <f t="shared" si="3"/>
        <v>-8.0580378428536936E-2</v>
      </c>
      <c r="H19" s="90">
        <f t="shared" si="4"/>
        <v>0.3244395736122796</v>
      </c>
      <c r="I19" s="130">
        <f t="shared" si="0"/>
        <v>200.89869021054787</v>
      </c>
      <c r="J19" s="130">
        <f t="shared" si="5"/>
        <v>0.18618146523457102</v>
      </c>
      <c r="K19" s="78">
        <f>R17+R18+R19</f>
        <v>25237969576</v>
      </c>
      <c r="L19" s="87">
        <f>U19/U16-1</f>
        <v>0.11077945268639122</v>
      </c>
      <c r="M19" s="87">
        <f>U19/U7-1</f>
        <v>0.21741791677093447</v>
      </c>
      <c r="N19" s="88">
        <f>AVERAGE(T17:T19)</f>
        <v>181.71719979453164</v>
      </c>
      <c r="O19" s="89">
        <f>N19/N16-1</f>
        <v>2.1611834603865399E-2</v>
      </c>
      <c r="P19" s="129" t="s">
        <v>115</v>
      </c>
      <c r="Q19" s="116">
        <f>안과용기기!Q19+'안과용기기 (소모품)'!Q19</f>
        <v>6881196</v>
      </c>
      <c r="R19" s="116">
        <f>안과용기기!R19+'안과용기기 (소모품)'!R19</f>
        <v>8998764464</v>
      </c>
      <c r="S19" s="116">
        <f>안과용기기!S19+'안과용기기 (소모품)'!S19</f>
        <v>34252.07</v>
      </c>
      <c r="T19" s="130">
        <f t="shared" ref="T19" si="7">Q19/S19</f>
        <v>200.89869021054787</v>
      </c>
      <c r="U19" s="85">
        <f>Q17+Q18+Q19</f>
        <v>19853862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348239.1</v>
      </c>
      <c r="G20" s="90">
        <f t="shared" si="3"/>
        <v>0.11336171793391725</v>
      </c>
      <c r="H20" s="90">
        <f t="shared" si="4"/>
        <v>-5.7479157757660215E-2</v>
      </c>
      <c r="I20" s="130">
        <f t="shared" si="0"/>
        <v>181.30965638857347</v>
      </c>
      <c r="J20" s="130">
        <f t="shared" si="5"/>
        <v>1.668539903348254E-2</v>
      </c>
      <c r="O20" s="89"/>
      <c r="P20" s="129" t="s">
        <v>132</v>
      </c>
      <c r="Q20" s="116">
        <f>안과용기기!Q20+'안과용기기 (소모품)'!Q20</f>
        <v>6964782</v>
      </c>
      <c r="R20" s="116">
        <f>안과용기기!R20+'안과용기기 (소모품)'!R20</f>
        <v>9135865755</v>
      </c>
      <c r="S20" s="116">
        <f>안과용기기!S20+'안과용기기 (소모품)'!S20</f>
        <v>38413.74</v>
      </c>
      <c r="T20" s="130">
        <f t="shared" ref="T20" si="8">Q20/S20</f>
        <v>181.30965638857347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283499.19047619047</v>
      </c>
      <c r="G21" s="90">
        <f t="shared" si="3"/>
        <v>-0.1859064921882968</v>
      </c>
      <c r="H21" s="90">
        <f t="shared" si="4"/>
        <v>0.18179156420539933</v>
      </c>
      <c r="I21" s="130">
        <f t="shared" si="0"/>
        <v>202.77413243860647</v>
      </c>
      <c r="J21" s="130">
        <f t="shared" si="5"/>
        <v>0.25227761655941006</v>
      </c>
      <c r="O21" s="89"/>
      <c r="P21" s="129" t="s">
        <v>141</v>
      </c>
      <c r="Q21" s="116">
        <f>안과용기기!Q21+'안과용기기 (소모품)'!Q21</f>
        <v>5953483</v>
      </c>
      <c r="R21" s="116">
        <f>안과용기기!R21+'안과용기기 (소모품)'!R21</f>
        <v>7914776083</v>
      </c>
      <c r="S21" s="116">
        <f>안과용기기!S21+'안과용기기 (소모품)'!S21</f>
        <v>29360.17</v>
      </c>
      <c r="T21" s="130">
        <f t="shared" ref="T21" si="9">Q21/S21</f>
        <v>202.77413243860647</v>
      </c>
      <c r="U21" s="78"/>
    </row>
    <row r="22" spans="1:21" hidden="1">
      <c r="A22" s="129" t="s">
        <v>156</v>
      </c>
      <c r="B22" s="131">
        <f>SUM(F20:F22)</f>
        <v>973297.90952380945</v>
      </c>
      <c r="C22" s="131">
        <f>AVERAGE(F20:F22)</f>
        <v>324432.63650793646</v>
      </c>
      <c r="D22" s="90">
        <f>C22/C19-1</f>
        <v>1.2359879913160121E-2</v>
      </c>
      <c r="E22" s="286">
        <f>C22/C10-1</f>
        <v>7.5921902282311216E-2</v>
      </c>
      <c r="F22" s="78">
        <f>Q22/21</f>
        <v>341559.61904761905</v>
      </c>
      <c r="G22" s="90">
        <f t="shared" si="3"/>
        <v>0.20479927464309555</v>
      </c>
      <c r="H22" s="90">
        <f t="shared" si="4"/>
        <v>0.15684100039159454</v>
      </c>
      <c r="I22" s="130">
        <f t="shared" si="0"/>
        <v>168.64401340076191</v>
      </c>
      <c r="J22" s="130">
        <f t="shared" si="5"/>
        <v>3.2585863236951562E-2</v>
      </c>
      <c r="K22" s="78">
        <f>R20+R21+R22</f>
        <v>26354988345</v>
      </c>
      <c r="L22" s="87">
        <f>U22/U19-1</f>
        <v>1.1945031148095975E-2</v>
      </c>
      <c r="M22" s="87">
        <f>U22/U10-1</f>
        <v>5.7590605238624804E-2</v>
      </c>
      <c r="N22" s="88">
        <f>AVERAGE(T20:T22)</f>
        <v>184.24260074264728</v>
      </c>
      <c r="O22" s="89">
        <f>N22/N19-1</f>
        <v>1.3897423859552838E-2</v>
      </c>
      <c r="P22" s="129" t="s">
        <v>156</v>
      </c>
      <c r="Q22" s="116">
        <f>안과용기기!Q22+'안과용기기 (소모품)'!Q22</f>
        <v>7172752</v>
      </c>
      <c r="R22" s="116">
        <f>안과용기기!R22+'안과용기기 (소모품)'!R22</f>
        <v>9304346507</v>
      </c>
      <c r="S22" s="116">
        <f>안과용기기!S22+'안과용기기 (소모품)'!S22</f>
        <v>42531.91</v>
      </c>
      <c r="T22" s="130">
        <f t="shared" ref="T22:T23" si="10">Q22/S22</f>
        <v>168.64401340076191</v>
      </c>
      <c r="U22" s="85">
        <f>Q20+Q21+Q22</f>
        <v>20091017</v>
      </c>
    </row>
    <row r="23" spans="1:21" hidden="1">
      <c r="A23" s="129" t="s">
        <v>189</v>
      </c>
      <c r="B23" s="131"/>
      <c r="C23" s="131"/>
      <c r="F23" s="78">
        <f>Q23/21</f>
        <v>261141.90476190476</v>
      </c>
      <c r="G23" s="90">
        <f t="shared" ref="G23" si="11">F23/F22-1</f>
        <v>-0.23544268643332433</v>
      </c>
      <c r="H23" s="90">
        <f t="shared" ref="H23" si="12">F23/F11-1</f>
        <v>-0.19297883136315852</v>
      </c>
      <c r="I23" s="130">
        <f t="shared" si="0"/>
        <v>176.84085748135652</v>
      </c>
      <c r="J23" s="130">
        <f t="shared" si="5"/>
        <v>-4.8373862924178113E-4</v>
      </c>
      <c r="O23" s="89"/>
      <c r="P23" s="129" t="s">
        <v>189</v>
      </c>
      <c r="Q23" s="116">
        <f>안과용기기!Q23+'안과용기기 (소모품)'!Q23</f>
        <v>5483980</v>
      </c>
      <c r="R23" s="116">
        <f>안과용기기!R23+'안과용기기 (소모품)'!R23</f>
        <v>7081964464</v>
      </c>
      <c r="S23" s="116">
        <f>안과용기기!S23+'안과용기기 (소모품)'!S23</f>
        <v>31010.82</v>
      </c>
      <c r="T23" s="130">
        <f t="shared" si="10"/>
        <v>176.84085748135652</v>
      </c>
      <c r="U23" s="78"/>
    </row>
    <row r="24" spans="1:21" hidden="1">
      <c r="A24" s="129" t="s">
        <v>204</v>
      </c>
      <c r="B24" s="131"/>
      <c r="C24" s="131"/>
      <c r="F24" s="78">
        <f>Q24/22</f>
        <v>235656</v>
      </c>
      <c r="G24" s="90">
        <f t="shared" ref="G24" si="13">F24/F23-1</f>
        <v>-9.7594083129405984E-2</v>
      </c>
      <c r="H24" s="90">
        <f t="shared" ref="H24" si="14">F24/F12-1</f>
        <v>7.6551509756369374E-2</v>
      </c>
      <c r="I24" s="130">
        <f t="shared" si="0"/>
        <v>166.11466339591593</v>
      </c>
      <c r="J24" s="130">
        <f t="shared" si="5"/>
        <v>1.3132506855447312E-2</v>
      </c>
      <c r="O24" s="89"/>
      <c r="P24" s="129" t="s">
        <v>204</v>
      </c>
      <c r="Q24" s="116">
        <f>안과용기기!Q24+'안과용기기 (소모품)'!Q24</f>
        <v>5184432</v>
      </c>
      <c r="R24" s="116">
        <f>안과용기기!R24+'안과용기기 (소모품)'!R24</f>
        <v>6850355058</v>
      </c>
      <c r="S24" s="116">
        <f>안과용기기!S24+'안과용기기 (소모품)'!S24</f>
        <v>31209.96</v>
      </c>
      <c r="T24" s="130">
        <f t="shared" ref="T24" si="15">Q24/S24</f>
        <v>166.11466339591593</v>
      </c>
      <c r="U24" s="78"/>
    </row>
    <row r="25" spans="1:21" s="79" customFormat="1" ht="13.2" hidden="1">
      <c r="A25" s="129" t="s">
        <v>218</v>
      </c>
      <c r="B25" s="131">
        <f>SUM(F23:F25)</f>
        <v>808081.06265664159</v>
      </c>
      <c r="C25" s="131">
        <f>AVERAGE(F23:F25)</f>
        <v>269360.35421888053</v>
      </c>
      <c r="D25" s="90">
        <f>C25/C22-1</f>
        <v>-0.16974951374137948</v>
      </c>
      <c r="E25" s="286">
        <f>C25/C13-1</f>
        <v>-7.7908378593346317E-2</v>
      </c>
      <c r="F25" s="78">
        <f>Q25/19</f>
        <v>311283.15789473685</v>
      </c>
      <c r="G25" s="90">
        <f t="shared" ref="G25" si="16">F25/F24-1</f>
        <v>0.32092184325770123</v>
      </c>
      <c r="H25" s="90">
        <f t="shared" ref="H25" si="17">F25/F13-1</f>
        <v>-6.7652165737652425E-2</v>
      </c>
      <c r="I25" s="130">
        <f t="shared" si="0"/>
        <v>169.32577514386327</v>
      </c>
      <c r="J25" s="130">
        <f t="shared" si="5"/>
        <v>-6.9569329890305509E-3</v>
      </c>
      <c r="K25" s="78">
        <f>R23+R24+R25</f>
        <v>21782780007</v>
      </c>
      <c r="L25" s="90">
        <f>U25/U22-1</f>
        <v>-0.17461659606380309</v>
      </c>
      <c r="M25" s="90">
        <f>U25/U13-1</f>
        <v>-9.32675405009602E-2</v>
      </c>
      <c r="N25" s="88">
        <f>AVERAGE(T23:T25)</f>
        <v>170.76043200704521</v>
      </c>
      <c r="O25" s="91">
        <f>N25/N22-1</f>
        <v>-7.3176174680871786E-2</v>
      </c>
      <c r="P25" s="129" t="s">
        <v>232</v>
      </c>
      <c r="Q25" s="116">
        <f>안과용기기!Q25+'안과용기기 (소모품)'!Q25</f>
        <v>5914380</v>
      </c>
      <c r="R25" s="116">
        <f>안과용기기!R25+'안과용기기 (소모품)'!R25</f>
        <v>7850460485</v>
      </c>
      <c r="S25" s="116">
        <f>안과용기기!S25+'안과용기기 (소모품)'!S25</f>
        <v>34929</v>
      </c>
      <c r="T25" s="130">
        <f t="shared" ref="T25" si="18">Q25/S25</f>
        <v>169.32577514386327</v>
      </c>
      <c r="U25" s="85">
        <f>Q23+Q24+Q25</f>
        <v>16582792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364335</v>
      </c>
      <c r="G26" s="90">
        <f t="shared" ref="G26" si="19">F26/F25-1</f>
        <v>0.1704295293843141</v>
      </c>
      <c r="H26" s="90">
        <f t="shared" ref="H26" si="20">F26/F14-1</f>
        <v>0.13895850172101265</v>
      </c>
      <c r="I26" s="130">
        <f t="shared" si="0"/>
        <v>169.99642687432544</v>
      </c>
      <c r="J26" s="130">
        <f t="shared" si="5"/>
        <v>-5.6419731852419663E-2</v>
      </c>
      <c r="L26" s="90"/>
      <c r="M26" s="90"/>
      <c r="P26" s="129" t="s">
        <v>312</v>
      </c>
      <c r="Q26" s="116">
        <f>안과용기기!Q26+'안과용기기 (소모품)'!Q26</f>
        <v>6922365</v>
      </c>
      <c r="R26" s="116">
        <f>안과용기기!R26+'안과용기기 (소모품)'!R26</f>
        <v>9337342455</v>
      </c>
      <c r="S26" s="116">
        <f>안과용기기!S26+'안과용기기 (소모품)'!S26</f>
        <v>40720.65</v>
      </c>
      <c r="T26" s="130">
        <f t="shared" ref="T26" si="21">Q26/S26</f>
        <v>169.99642687432544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299253.90909090912</v>
      </c>
      <c r="G27" s="90">
        <f t="shared" ref="G27" si="22">F27/F26-1</f>
        <v>-0.17862980748237445</v>
      </c>
      <c r="H27" s="90">
        <f t="shared" ref="H27" si="23">F27/F15-1</f>
        <v>9.0794829201340299E-2</v>
      </c>
      <c r="I27" s="130">
        <f t="shared" si="0"/>
        <v>192.89987708598559</v>
      </c>
      <c r="J27" s="130">
        <f t="shared" si="5"/>
        <v>0.15431169396403344</v>
      </c>
      <c r="L27" s="90"/>
      <c r="M27" s="90"/>
      <c r="P27" s="129" t="s">
        <v>375</v>
      </c>
      <c r="Q27" s="116">
        <f>안과용기기!Q27+'안과용기기 (소모품)'!Q27</f>
        <v>6583586</v>
      </c>
      <c r="R27" s="116">
        <f>안과용기기!R27+'안과용기기 (소모품)'!R27</f>
        <v>8663264208</v>
      </c>
      <c r="S27" s="116">
        <f>안과용기기!S27+'안과용기기 (소모품)'!S27</f>
        <v>34129.550000000003</v>
      </c>
      <c r="T27" s="130">
        <f t="shared" ref="T27" si="24">Q27/S27</f>
        <v>192.89987708598559</v>
      </c>
      <c r="U27" s="78"/>
    </row>
    <row r="28" spans="1:21" s="79" customFormat="1" ht="13.2" hidden="1">
      <c r="A28" s="123" t="s">
        <v>413</v>
      </c>
      <c r="B28" s="131">
        <f>SUM(F26:F28)</f>
        <v>839925.80382775131</v>
      </c>
      <c r="C28" s="131">
        <f>AVERAGE(F26:F28)</f>
        <v>279975.26794258377</v>
      </c>
      <c r="D28" s="90">
        <f>C28/C25-1</f>
        <v>3.9407854784292429E-2</v>
      </c>
      <c r="E28" s="286">
        <f>C28/C16-1</f>
        <v>-1.9019560970953142E-3</v>
      </c>
      <c r="F28" s="78">
        <f>Q28/19</f>
        <v>176336.89473684211</v>
      </c>
      <c r="G28" s="90">
        <f t="shared" ref="G28" si="25">F28/F27-1</f>
        <v>-0.41074489127801683</v>
      </c>
      <c r="H28" s="90">
        <f t="shared" ref="H28" si="26">F28/F16-1</f>
        <v>-0.28694337137052872</v>
      </c>
      <c r="I28" s="130">
        <f t="shared" si="0"/>
        <v>172.24817631577997</v>
      </c>
      <c r="J28" s="130">
        <f t="shared" si="5"/>
        <v>-7.5651917919062561E-2</v>
      </c>
      <c r="K28" s="78">
        <f>R26+R27+R28</f>
        <v>22372496406</v>
      </c>
      <c r="L28" s="90">
        <f>U28/U25-1</f>
        <v>1.6496618904705551E-2</v>
      </c>
      <c r="M28" s="90">
        <f>U28/U16-1</f>
        <v>-5.69245696958528E-2</v>
      </c>
      <c r="N28" s="88">
        <f>AVERAGE(T26:T28)</f>
        <v>178.38149342536363</v>
      </c>
      <c r="O28" s="91">
        <f>N28/N25-1</f>
        <v>4.4630136670092302E-2</v>
      </c>
      <c r="P28" s="129" t="s">
        <v>413</v>
      </c>
      <c r="Q28" s="116">
        <f>안과용기기!Q28+'안과용기기 (소모품)'!Q28</f>
        <v>3350401</v>
      </c>
      <c r="R28" s="116">
        <f>안과용기기!R28+'안과용기기 (소모품)'!R28</f>
        <v>4371889743</v>
      </c>
      <c r="S28" s="116">
        <f>안과용기기!S28+'안과용기기 (소모품)'!S28</f>
        <v>19451.010000000002</v>
      </c>
      <c r="T28" s="130">
        <f t="shared" ref="T28" si="27">Q28/S28</f>
        <v>172.24817631577997</v>
      </c>
      <c r="U28" s="85">
        <f>Q26+Q27+Q28</f>
        <v>16856352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254857.45454545456</v>
      </c>
      <c r="G29" s="190">
        <f t="shared" ref="G29" si="28">F29/F28-1</f>
        <v>0.44528718692587432</v>
      </c>
      <c r="H29" s="190">
        <f t="shared" ref="H29" si="29">F29/F17-1</f>
        <v>-0.17371751385419909</v>
      </c>
      <c r="I29" s="130">
        <f t="shared" si="0"/>
        <v>176.87664297843895</v>
      </c>
      <c r="J29" s="130">
        <f t="shared" si="5"/>
        <v>3.4108681164619847E-2</v>
      </c>
      <c r="K29" s="136"/>
      <c r="L29" s="190"/>
      <c r="M29" s="190"/>
      <c r="N29" s="191"/>
      <c r="O29" s="192"/>
      <c r="P29" s="129" t="s">
        <v>438</v>
      </c>
      <c r="Q29" s="116">
        <f>안과용기기!Q29+'안과용기기 (소모품)'!Q29</f>
        <v>5606864</v>
      </c>
      <c r="R29" s="116">
        <f>안과용기기!R29+'안과용기기 (소모품)'!R29</f>
        <v>7375491489</v>
      </c>
      <c r="S29" s="116">
        <f>안과용기기!S29+'안과용기기 (소모품)'!S29</f>
        <v>31699.29</v>
      </c>
      <c r="T29" s="130">
        <f t="shared" ref="T29" si="30">Q29/S29</f>
        <v>176.87664297843895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358385.15789473685</v>
      </c>
      <c r="G30" s="190">
        <f t="shared" ref="G30" si="31">F30/F29-1</f>
        <v>0.40621807015190847</v>
      </c>
      <c r="H30" s="190">
        <f t="shared" ref="H30" si="32">F30/F18-1</f>
        <v>5.3470881728260089E-2</v>
      </c>
      <c r="I30" s="130">
        <f t="shared" si="0"/>
        <v>165.31399087307398</v>
      </c>
      <c r="J30" s="130">
        <f t="shared" si="5"/>
        <v>-4.5588009684424113E-2</v>
      </c>
      <c r="K30" s="136"/>
      <c r="L30" s="190"/>
      <c r="M30" s="190"/>
      <c r="N30" s="191"/>
      <c r="O30" s="192"/>
      <c r="P30" s="129" t="s">
        <v>469</v>
      </c>
      <c r="Q30" s="116">
        <f>안과용기기!Q30+'안과용기기 (소모품)'!Q30</f>
        <v>6809318</v>
      </c>
      <c r="R30" s="116">
        <f>안과용기기!R30+'안과용기기 (소모품)'!R30</f>
        <v>9074170521</v>
      </c>
      <c r="S30" s="116">
        <f>안과용기기!S30+'안과용기기 (소모품)'!S30</f>
        <v>41190.21</v>
      </c>
      <c r="T30" s="130">
        <f t="shared" ref="T30:T31" si="33">Q30/S30</f>
        <v>165.31399087307398</v>
      </c>
      <c r="U30" s="85"/>
    </row>
    <row r="31" spans="1:21" s="79" customFormat="1" ht="13.2" hidden="1">
      <c r="A31" s="129" t="s">
        <v>505</v>
      </c>
      <c r="B31" s="188">
        <f>SUM(F29:F31)</f>
        <v>897920.26244019147</v>
      </c>
      <c r="C31" s="188">
        <f>AVERAGE(F29:F31)</f>
        <v>299306.75414673047</v>
      </c>
      <c r="D31" s="190">
        <f>C31/C28-1</f>
        <v>6.9047121005385126E-2</v>
      </c>
      <c r="E31" s="287">
        <f>C31/C19-1</f>
        <v>-6.6042945165384115E-2</v>
      </c>
      <c r="F31" s="136">
        <f>Q31/20</f>
        <v>284677.65000000002</v>
      </c>
      <c r="G31" s="190">
        <f t="shared" ref="G31" si="34">F31/F30-1</f>
        <v>-0.20566562613172124</v>
      </c>
      <c r="H31" s="190">
        <f t="shared" ref="H31" si="35">F31/F19-1</f>
        <v>-8.9851778673358473E-2</v>
      </c>
      <c r="I31" s="130">
        <f t="shared" si="0"/>
        <v>190.54033838792361</v>
      </c>
      <c r="J31" s="130">
        <f t="shared" si="5"/>
        <v>-5.1560076433392332E-2</v>
      </c>
      <c r="K31" s="136">
        <f>R29+R30+R31</f>
        <v>24015309804</v>
      </c>
      <c r="L31" s="190">
        <f>U31/U28-1</f>
        <v>7.4356717277854756E-2</v>
      </c>
      <c r="M31" s="190">
        <f>U31/U19-1</f>
        <v>-8.7848248365985371E-2</v>
      </c>
      <c r="N31" s="191">
        <f>AVERAGE(T29:T31)</f>
        <v>177.57699074647886</v>
      </c>
      <c r="O31" s="192">
        <f>N31/N28-1</f>
        <v>-4.5100120165850743E-3</v>
      </c>
      <c r="P31" s="129" t="s">
        <v>505</v>
      </c>
      <c r="Q31" s="116">
        <f>안과용기기!Q31+'안과용기기 (소모품)'!Q31</f>
        <v>5693553</v>
      </c>
      <c r="R31" s="116">
        <f>안과용기기!R31+'안과용기기 (소모품)'!R31</f>
        <v>7565647794</v>
      </c>
      <c r="S31" s="116">
        <f>안과용기기!S31+'안과용기기 (소모품)'!S31</f>
        <v>29881.09</v>
      </c>
      <c r="T31" s="130">
        <f t="shared" si="33"/>
        <v>190.54033838792361</v>
      </c>
      <c r="U31" s="85">
        <f>Q29+Q30+Q31</f>
        <v>18109735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339032.04761904763</v>
      </c>
      <c r="G32" s="190">
        <f t="shared" ref="G32" si="36">F32/F31-1</f>
        <v>0.19093314005875639</v>
      </c>
      <c r="H32" s="190">
        <f t="shared" ref="H32" si="37">F32/F20-1</f>
        <v>-2.6438881736577935E-2</v>
      </c>
      <c r="I32" s="130">
        <f t="shared" si="0"/>
        <v>183.91741418838194</v>
      </c>
      <c r="J32" s="130">
        <f t="shared" si="5"/>
        <v>1.4382895272933904E-2</v>
      </c>
      <c r="K32" s="136"/>
      <c r="L32" s="190"/>
      <c r="M32" s="190"/>
      <c r="N32" s="191"/>
      <c r="O32" s="192"/>
      <c r="P32" s="129" t="s">
        <v>562</v>
      </c>
      <c r="Q32" s="116">
        <f>안과용기기!Q32+'안과용기기 (소모품)'!Q32</f>
        <v>7119673</v>
      </c>
      <c r="R32" s="116">
        <f>안과용기기!R32+'안과용기기 (소모품)'!R32</f>
        <v>9739743764</v>
      </c>
      <c r="S32" s="116">
        <f>안과용기기!S32+'안과용기기 (소모품)'!S32</f>
        <v>38711.25</v>
      </c>
      <c r="T32" s="130">
        <f t="shared" ref="T32" si="38">Q32/S32</f>
        <v>183.91741418838194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309301.90476190473</v>
      </c>
      <c r="G33" s="190">
        <f t="shared" ref="G33" si="39">F33/F32-1</f>
        <v>-8.7691246494045583E-2</v>
      </c>
      <c r="H33" s="190">
        <f t="shared" ref="H33" si="40">F33/F21-1</f>
        <v>9.1015125095679217E-2</v>
      </c>
      <c r="I33" s="130">
        <f t="shared" si="0"/>
        <v>170.13898802593312</v>
      </c>
      <c r="J33" s="130">
        <f t="shared" si="5"/>
        <v>-0.16094333148018392</v>
      </c>
      <c r="K33" s="136"/>
      <c r="L33" s="190"/>
      <c r="M33" s="190"/>
      <c r="N33" s="191"/>
      <c r="O33" s="192"/>
      <c r="P33" s="129" t="s">
        <v>607</v>
      </c>
      <c r="Q33" s="116">
        <f>안과용기기!Q33+'안과용기기 (소모품)'!Q33</f>
        <v>6495340</v>
      </c>
      <c r="R33" s="116">
        <f>안과용기기!R33+'안과용기기 (소모품)'!R33</f>
        <v>8858001394</v>
      </c>
      <c r="S33" s="116">
        <f>안과용기기!S33+'안과용기기 (소모품)'!S33</f>
        <v>38176.67</v>
      </c>
      <c r="T33" s="130">
        <f t="shared" ref="T33" si="41">Q33/S33</f>
        <v>170.13898802593312</v>
      </c>
      <c r="U33" s="85"/>
    </row>
    <row r="34" spans="1:21" s="79" customFormat="1" ht="13.2" hidden="1">
      <c r="A34" s="129" t="s">
        <v>652</v>
      </c>
      <c r="B34" s="188">
        <f>SUM(F32:F34)</f>
        <v>950248.373433584</v>
      </c>
      <c r="C34" s="188">
        <f>AVERAGE(F32:F34)</f>
        <v>316749.45781119465</v>
      </c>
      <c r="D34" s="190">
        <f>C34/C31-1</f>
        <v>5.8277013207370443E-2</v>
      </c>
      <c r="E34" s="287">
        <f>C34/C22-1</f>
        <v>-2.3681892116158454E-2</v>
      </c>
      <c r="F34" s="136">
        <f>Q34/19</f>
        <v>301914.42105263157</v>
      </c>
      <c r="G34" s="190">
        <f t="shared" ref="G34" si="42">F34/F33-1</f>
        <v>-2.3884378322726163E-2</v>
      </c>
      <c r="H34" s="190">
        <f t="shared" ref="H34" si="43">F34/F22-1</f>
        <v>-0.11607109208498179</v>
      </c>
      <c r="I34" s="130">
        <f t="shared" si="0"/>
        <v>178.24391474679578</v>
      </c>
      <c r="J34" s="130">
        <f t="shared" si="5"/>
        <v>5.6924056493015796E-2</v>
      </c>
      <c r="K34" s="136">
        <f>R32+R33+R34</f>
        <v>26500772429</v>
      </c>
      <c r="L34" s="190">
        <f>U34/U31-1</f>
        <v>6.8562681894572153E-2</v>
      </c>
      <c r="M34" s="190">
        <f>U34/U22-1</f>
        <v>-3.6813965166621498E-2</v>
      </c>
      <c r="N34" s="191">
        <f>AVERAGE(T32:T34)</f>
        <v>177.43343898703696</v>
      </c>
      <c r="O34" s="192">
        <f>N34/N31-1</f>
        <v>-8.083916662763313E-4</v>
      </c>
      <c r="P34" s="129" t="s">
        <v>652</v>
      </c>
      <c r="Q34" s="116">
        <f>안과용기기!Q34+'안과용기기 (소모품)'!Q34</f>
        <v>5736374</v>
      </c>
      <c r="R34" s="116">
        <f>안과용기기!R34+'안과용기기 (소모품)'!R34</f>
        <v>7903027271</v>
      </c>
      <c r="S34" s="116">
        <f>안과용기기!S34+'안과용기기 (소모품)'!S34</f>
        <v>32182.720000000001</v>
      </c>
      <c r="T34" s="130">
        <f t="shared" ref="T34" si="44">Q34/S34</f>
        <v>178.24391474679578</v>
      </c>
      <c r="U34" s="85">
        <f>Q32+Q33+Q34</f>
        <v>19351387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269950.52173913043</v>
      </c>
      <c r="G35" s="190">
        <f t="shared" ref="G35" si="45">F35/F34-1</f>
        <v>-0.10587072721487856</v>
      </c>
      <c r="H35" s="190">
        <f t="shared" ref="H35" si="46">F35/F23-1</f>
        <v>3.3731150828730128E-2</v>
      </c>
      <c r="I35" s="130">
        <f t="shared" si="0"/>
        <v>231.25355696658909</v>
      </c>
      <c r="J35" s="130">
        <f t="shared" si="5"/>
        <v>0.30769303123837788</v>
      </c>
      <c r="K35" s="136"/>
      <c r="L35" s="190"/>
      <c r="M35" s="190"/>
      <c r="N35" s="191"/>
      <c r="O35" s="192"/>
      <c r="P35" s="129" t="s">
        <v>660</v>
      </c>
      <c r="Q35" s="116">
        <f>안과용기기!Q35+'안과용기기 (소모품)'!Q35</f>
        <v>6208862</v>
      </c>
      <c r="R35" s="116">
        <f>안과용기기!R35+'안과용기기 (소모품)'!R35</f>
        <v>8587002550</v>
      </c>
      <c r="S35" s="116">
        <f>안과용기기!S35+'안과용기기 (소모품)'!S35</f>
        <v>26848.720000000001</v>
      </c>
      <c r="T35" s="130">
        <f t="shared" ref="T35" si="47">Q35/S35</f>
        <v>231.25355696658909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300085.33333333331</v>
      </c>
      <c r="G36" s="190">
        <f t="shared" ref="G36" si="48">F36/F35-1</f>
        <v>0.1116308699833668</v>
      </c>
      <c r="H36" s="190">
        <f t="shared" ref="H36" si="49">F36/F24-1</f>
        <v>0.27340417105158932</v>
      </c>
      <c r="I36" s="130">
        <f t="shared" si="0"/>
        <v>185.63149488657015</v>
      </c>
      <c r="J36" s="130">
        <f t="shared" si="5"/>
        <v>0.11749011852215618</v>
      </c>
      <c r="K36" s="136"/>
      <c r="L36" s="190"/>
      <c r="M36" s="190"/>
      <c r="N36" s="191"/>
      <c r="O36" s="192"/>
      <c r="P36" s="129" t="s">
        <v>664</v>
      </c>
      <c r="Q36" s="116">
        <f>안과용기기!Q36+'안과용기기 (소모품)'!Q36</f>
        <v>6301792</v>
      </c>
      <c r="R36" s="116">
        <f>안과용기기!R36+'안과용기기 (소모품)'!R36</f>
        <v>8522581826</v>
      </c>
      <c r="S36" s="116">
        <f>안과용기기!S36+'안과용기기 (소모품)'!S36</f>
        <v>33947.86</v>
      </c>
      <c r="T36" s="130">
        <f t="shared" ref="T36" si="50">Q36/S36</f>
        <v>185.63149488657015</v>
      </c>
      <c r="U36" s="85"/>
    </row>
    <row r="37" spans="1:21" s="79" customFormat="1" ht="13.2" hidden="1">
      <c r="A37" s="129" t="s">
        <v>702</v>
      </c>
      <c r="B37" s="188">
        <f>SUM(F35:F37)</f>
        <v>875765.35507246375</v>
      </c>
      <c r="C37" s="188">
        <f>AVERAGE(F35:F37)</f>
        <v>291921.78502415458</v>
      </c>
      <c r="D37" s="190">
        <f>C37/C34-1</f>
        <v>-7.8382684404906366E-2</v>
      </c>
      <c r="E37" s="287">
        <f>C37/C25-1</f>
        <v>8.3759285477256196E-2</v>
      </c>
      <c r="F37" s="136">
        <f>Q37/18</f>
        <v>305729.5</v>
      </c>
      <c r="G37" s="190">
        <f t="shared" ref="G37" si="51">F37/F36-1</f>
        <v>1.8808538904489414E-2</v>
      </c>
      <c r="H37" s="190">
        <f t="shared" ref="H37" si="52">F37/F25-1</f>
        <v>-1.784117692809728E-2</v>
      </c>
      <c r="I37" s="130">
        <f t="shared" si="0"/>
        <v>217.3675414748173</v>
      </c>
      <c r="J37" s="130">
        <f t="shared" si="5"/>
        <v>0.28372388249890834</v>
      </c>
      <c r="K37" s="136">
        <f>R35+R36+R37</f>
        <v>24443755632</v>
      </c>
      <c r="L37" s="190">
        <f>U37/U34-1</f>
        <v>-6.9121763726806784E-2</v>
      </c>
      <c r="M37" s="190">
        <f>U37/U25-1</f>
        <v>8.6293852084739386E-2</v>
      </c>
      <c r="N37" s="191">
        <f>AVERAGE(T35:T37)</f>
        <v>211.41753110932549</v>
      </c>
      <c r="O37" s="192">
        <f>N37/N34-1</f>
        <v>0.19153149663503588</v>
      </c>
      <c r="P37" s="129" t="s">
        <v>702</v>
      </c>
      <c r="Q37" s="116">
        <f>안과용기기!Q37+'안과용기기 (소모품)'!Q37</f>
        <v>5503131</v>
      </c>
      <c r="R37" s="116">
        <f>안과용기기!R37+'안과용기기 (소모품)'!R37</f>
        <v>7334171256</v>
      </c>
      <c r="S37" s="116">
        <f>안과용기기!S37+'안과용기기 (소모품)'!S37</f>
        <v>25317.17</v>
      </c>
      <c r="T37" s="130">
        <f t="shared" ref="T37" si="53">Q37/S37</f>
        <v>217.3675414748173</v>
      </c>
      <c r="U37" s="85">
        <f>Q35+Q36+Q37</f>
        <v>18013785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310327.55</v>
      </c>
      <c r="G38" s="190">
        <f t="shared" ref="G38" si="54">F38/F37-1</f>
        <v>1.5039602001115426E-2</v>
      </c>
      <c r="H38" s="190">
        <f t="shared" ref="H38" si="55">F38/F26-1</f>
        <v>-0.14823568968120004</v>
      </c>
      <c r="I38" s="130">
        <f t="shared" si="0"/>
        <v>181.20189897679353</v>
      </c>
      <c r="J38" s="130">
        <f t="shared" si="5"/>
        <v>6.5915927225647319E-2</v>
      </c>
      <c r="K38" s="136"/>
      <c r="L38" s="190"/>
      <c r="M38" s="190"/>
      <c r="N38" s="191"/>
      <c r="O38" s="192"/>
      <c r="P38" s="129" t="s">
        <v>728</v>
      </c>
      <c r="Q38" s="116">
        <f>안과용기기!Q38+'안과용기기 (소모품)'!Q38</f>
        <v>6206551</v>
      </c>
      <c r="R38" s="116">
        <f>안과용기기!R38+'안과용기기 (소모품)'!R38</f>
        <v>8451058482</v>
      </c>
      <c r="S38" s="116">
        <f>안과용기기!S38+'안과용기기 (소모품)'!S38</f>
        <v>34252.130000000005</v>
      </c>
      <c r="T38" s="130">
        <f t="shared" ref="T38" si="56">Q38/S38</f>
        <v>181.20189897679353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367747.76190476189</v>
      </c>
      <c r="G39" s="190">
        <f t="shared" ref="G39" si="57">F39/F38-1</f>
        <v>0.18503098389028594</v>
      </c>
      <c r="H39" s="190">
        <f t="shared" ref="H39" si="58">F39/F27-1</f>
        <v>0.22888206547385592</v>
      </c>
      <c r="I39" s="130">
        <f t="shared" si="0"/>
        <v>211.01653604797255</v>
      </c>
      <c r="J39" s="130">
        <f t="shared" si="5"/>
        <v>9.3917420973324006E-2</v>
      </c>
      <c r="K39" s="136"/>
      <c r="L39" s="190"/>
      <c r="M39" s="190"/>
      <c r="N39" s="191"/>
      <c r="O39" s="192"/>
      <c r="P39" s="129" t="s">
        <v>762</v>
      </c>
      <c r="Q39" s="116">
        <f>안과용기기!Q39+'안과용기기 (소모품)'!Q39</f>
        <v>7722703</v>
      </c>
      <c r="R39" s="116">
        <f>안과용기기!R39+'안과용기기 (소모품)'!R39</f>
        <v>10764043747</v>
      </c>
      <c r="S39" s="116">
        <f>안과용기기!S39+'안과용기기 (소모품)'!S39</f>
        <v>36597.619999999995</v>
      </c>
      <c r="T39" s="130">
        <f t="shared" ref="T39" si="59">Q39/S39</f>
        <v>211.01653604797255</v>
      </c>
      <c r="U39" s="85"/>
    </row>
    <row r="40" spans="1:21" s="79" customFormat="1" ht="13.2" hidden="1">
      <c r="A40" s="129" t="s">
        <v>778</v>
      </c>
      <c r="B40" s="188">
        <f>SUM(F38:F40)</f>
        <v>900833.59761904762</v>
      </c>
      <c r="C40" s="188">
        <f>AVERAGE(F38:F40)</f>
        <v>300277.86587301589</v>
      </c>
      <c r="D40" s="190">
        <f>C40/C37-1</f>
        <v>2.8624382548804617E-2</v>
      </c>
      <c r="E40" s="287">
        <f>C40/C28-1</f>
        <v>7.2515683544575493E-2</v>
      </c>
      <c r="F40" s="136">
        <f>Q40/21</f>
        <v>222758.28571428571</v>
      </c>
      <c r="G40" s="190">
        <f t="shared" ref="G40" si="60">F40/F39-1</f>
        <v>-0.39426338161651431</v>
      </c>
      <c r="H40" s="190">
        <f t="shared" ref="H40" si="61">F40/F28-1</f>
        <v>0.26325398917067799</v>
      </c>
      <c r="I40" s="130">
        <f t="shared" si="0"/>
        <v>188.05974109405273</v>
      </c>
      <c r="J40" s="130">
        <f t="shared" si="5"/>
        <v>9.1795252155736362E-2</v>
      </c>
      <c r="K40" s="136">
        <f>R38+R39+R40</f>
        <v>25866620530</v>
      </c>
      <c r="L40" s="190">
        <f>U40/U37-1</f>
        <v>3.2941050423328511E-2</v>
      </c>
      <c r="M40" s="190">
        <f>U40/U28-1</f>
        <v>0.10386743228902673</v>
      </c>
      <c r="N40" s="191">
        <f>AVERAGE(T38:T40)</f>
        <v>193.42605870627293</v>
      </c>
      <c r="O40" s="192">
        <f>N40/N37-1</f>
        <v>-8.5099245595432915E-2</v>
      </c>
      <c r="P40" s="129" t="s">
        <v>778</v>
      </c>
      <c r="Q40" s="116">
        <f>안과용기기!Q40+'안과용기기 (소모품)'!Q40</f>
        <v>4677924</v>
      </c>
      <c r="R40" s="116">
        <f>안과용기기!R40+'안과용기기 (소모품)'!R40</f>
        <v>6651518301</v>
      </c>
      <c r="S40" s="116">
        <f>안과용기기!S40+'안과용기기 (소모품)'!S40</f>
        <v>24874.67</v>
      </c>
      <c r="T40" s="130">
        <f t="shared" ref="T40" si="62">Q40/S40</f>
        <v>188.05974109405273</v>
      </c>
      <c r="U40" s="85">
        <f>Q38+Q39+Q40</f>
        <v>18607178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237041.83333333334</v>
      </c>
      <c r="G41" s="190">
        <f t="shared" ref="G41" si="63">F41/F40-1</f>
        <v>6.4121285424902252E-2</v>
      </c>
      <c r="H41" s="190">
        <f t="shared" ref="H41" si="64">F41/F29-1</f>
        <v>-6.9904257828737548E-2</v>
      </c>
      <c r="I41" s="130">
        <f t="shared" si="0"/>
        <v>198.30623564439082</v>
      </c>
      <c r="J41" s="130">
        <f t="shared" si="5"/>
        <v>0.12115558224702472</v>
      </c>
      <c r="K41" s="193"/>
      <c r="L41" s="190"/>
      <c r="M41" s="190"/>
      <c r="N41" s="193"/>
      <c r="O41" s="193"/>
      <c r="P41" s="129" t="s">
        <v>792</v>
      </c>
      <c r="Q41" s="116">
        <f>안과용기기!Q41+'안과용기기 (소모품)'!Q41</f>
        <v>4266753</v>
      </c>
      <c r="R41" s="116">
        <f>안과용기기!R41+'안과용기기 (소모품)'!R41</f>
        <v>6220438964</v>
      </c>
      <c r="S41" s="116">
        <f>안과용기기!S41+'안과용기기 (소모품)'!S41</f>
        <v>21515.98</v>
      </c>
      <c r="T41" s="130">
        <f t="shared" ref="T41" si="65">Q41/S41</f>
        <v>198.30623564439082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308012.34999999998</v>
      </c>
      <c r="G42" s="190">
        <f t="shared" ref="G42" si="66">F42/F41-1</f>
        <v>0.29940080899925525</v>
      </c>
      <c r="H42" s="190">
        <f t="shared" ref="H42" si="67">F42/F30-1</f>
        <v>-0.14055494984960326</v>
      </c>
      <c r="I42" s="130">
        <f t="shared" si="0"/>
        <v>167.61979368898687</v>
      </c>
      <c r="J42" s="130">
        <f t="shared" si="5"/>
        <v>1.3948019787891175E-2</v>
      </c>
      <c r="K42" s="193"/>
      <c r="L42" s="190"/>
      <c r="M42" s="190"/>
      <c r="N42" s="193"/>
      <c r="O42" s="193"/>
      <c r="P42" s="129" t="s">
        <v>826</v>
      </c>
      <c r="Q42" s="116">
        <f>안과용기기!Q42+'안과용기기 (소모품)'!Q42</f>
        <v>6160247</v>
      </c>
      <c r="R42" s="116">
        <f>안과용기기!R42+'안과용기기 (소모품)'!R42</f>
        <v>8907349696</v>
      </c>
      <c r="S42" s="116">
        <f>안과용기기!S42+'안과용기기 (소모품)'!S42</f>
        <v>36751.31</v>
      </c>
      <c r="T42" s="130">
        <f t="shared" ref="T42" si="68">Q42/S42</f>
        <v>167.61979368898687</v>
      </c>
      <c r="U42" s="78"/>
    </row>
    <row r="43" spans="1:21" s="79" customFormat="1" ht="13.2">
      <c r="A43" s="129" t="s">
        <v>835</v>
      </c>
      <c r="B43" s="188">
        <f>SUM(F41:F43)</f>
        <v>852807.28333333333</v>
      </c>
      <c r="C43" s="188">
        <f>AVERAGE(F41:F43)</f>
        <v>284269.09444444446</v>
      </c>
      <c r="D43" s="190">
        <f>C43/C40-1</f>
        <v>-5.3313191706715224E-2</v>
      </c>
      <c r="E43" s="287">
        <f>C43/C31-1</f>
        <v>-5.0241631683707433E-2</v>
      </c>
      <c r="F43" s="136">
        <f>Q43/20</f>
        <v>307753.09999999998</v>
      </c>
      <c r="G43" s="190">
        <f t="shared" ref="G43" si="69">F43/F42-1</f>
        <v>-8.4168702975706555E-4</v>
      </c>
      <c r="H43" s="190">
        <f t="shared" ref="H43" si="70">F43/F31-1</f>
        <v>8.1058172287146402E-2</v>
      </c>
      <c r="I43" s="130">
        <f t="shared" si="0"/>
        <v>238.42856434523645</v>
      </c>
      <c r="J43" s="130">
        <f t="shared" si="5"/>
        <v>0.25132854471905341</v>
      </c>
      <c r="K43" s="136">
        <f>R41+R42+R43</f>
        <v>24085282134</v>
      </c>
      <c r="L43" s="190">
        <f>U43/U40-1</f>
        <v>-0.10883520327477925</v>
      </c>
      <c r="M43" s="190">
        <f>K43/K31-1</f>
        <v>2.9136551046426984E-3</v>
      </c>
      <c r="N43" s="191">
        <f>AVERAGE(T41:T43)</f>
        <v>201.45153122620471</v>
      </c>
      <c r="O43" s="192">
        <f>N43/N40-1</f>
        <v>4.1491165014734932E-2</v>
      </c>
      <c r="P43" s="129" t="s">
        <v>835</v>
      </c>
      <c r="Q43" s="116">
        <f>안과용기기!Q43+'안과용기기 (소모품)'!Q43</f>
        <v>6155062</v>
      </c>
      <c r="R43" s="116">
        <f>안과용기기!R43+'안과용기기 (소모품)'!R43</f>
        <v>8957493474</v>
      </c>
      <c r="S43" s="116">
        <f>안과용기기!S43+'안과용기기 (소모품)'!S43</f>
        <v>25815.119999999999</v>
      </c>
      <c r="T43" s="130">
        <f t="shared" ref="T43" si="71">Q43/S43</f>
        <v>238.42856434523645</v>
      </c>
      <c r="U43" s="85">
        <f>Q41+Q42+Q43</f>
        <v>16582062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244372.13636363635</v>
      </c>
      <c r="G44" s="190">
        <f t="shared" ref="G44" si="72">F44/F43-1</f>
        <v>-0.20594744175237756</v>
      </c>
      <c r="H44" s="190">
        <f t="shared" ref="H44" si="73">F44/F32-1</f>
        <v>-0.27920638158011424</v>
      </c>
      <c r="I44" s="130">
        <f t="shared" si="0"/>
        <v>225.0988646217269</v>
      </c>
      <c r="J44" s="130">
        <f t="shared" si="5"/>
        <v>0.22391273069533191</v>
      </c>
      <c r="K44" s="136"/>
      <c r="L44" s="190"/>
      <c r="M44" s="190"/>
      <c r="N44" s="191"/>
      <c r="O44" s="192"/>
      <c r="P44" s="129" t="s">
        <v>843</v>
      </c>
      <c r="Q44" s="116">
        <f>안과용기기!Q44+'안과용기기 (소모품)'!Q44</f>
        <v>5376187</v>
      </c>
      <c r="R44" s="116">
        <f>안과용기기!R44+'안과용기기 (소모품)'!R44</f>
        <v>7758928110</v>
      </c>
      <c r="S44" s="116">
        <f>안과용기기!S44+'안과용기기 (소모품)'!S44</f>
        <v>23883.67</v>
      </c>
      <c r="T44" s="130">
        <f t="shared" ref="T44" si="74">Q44/S44</f>
        <v>225.0988646217269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256920.15</v>
      </c>
      <c r="G45" s="190">
        <f t="shared" ref="G45" si="75">F45/F44-1</f>
        <v>5.1347972085048488E-2</v>
      </c>
      <c r="H45" s="190">
        <f t="shared" ref="H45" si="76">F45/F33-1</f>
        <v>-0.16935477588548087</v>
      </c>
      <c r="I45" s="130">
        <f t="shared" si="0"/>
        <v>184.29408849009056</v>
      </c>
      <c r="J45" s="130">
        <f t="shared" si="5"/>
        <v>8.3197276699446876E-2</v>
      </c>
      <c r="K45" s="136"/>
      <c r="L45" s="190"/>
      <c r="M45" s="190"/>
      <c r="N45" s="191"/>
      <c r="O45" s="192"/>
      <c r="P45" s="129" t="s">
        <v>849</v>
      </c>
      <c r="Q45" s="116">
        <f>안과용기기!Q45+'안과용기기 (소모품)'!Q45</f>
        <v>5138403</v>
      </c>
      <c r="R45" s="116">
        <f>안과용기기!R45+'안과용기기 (소모품)'!R45</f>
        <v>7212213132</v>
      </c>
      <c r="S45" s="116">
        <f>안과용기기!S45+'안과용기기 (소모품)'!S45</f>
        <v>27881.54</v>
      </c>
      <c r="T45" s="130">
        <f t="shared" ref="T45" si="77">Q45/S45</f>
        <v>184.29408849009056</v>
      </c>
      <c r="U45" s="85"/>
    </row>
    <row r="46" spans="1:21" s="79" customFormat="1" ht="13.2">
      <c r="A46" s="129" t="s">
        <v>888</v>
      </c>
      <c r="B46" s="188">
        <f>SUM(F44:F46)</f>
        <v>853809.97057416267</v>
      </c>
      <c r="C46" s="188">
        <f>AVERAGE(F44:F46)</f>
        <v>284603.32352472091</v>
      </c>
      <c r="D46" s="190">
        <f>C46/C43-1</f>
        <v>1.175748918220032E-3</v>
      </c>
      <c r="E46" s="287">
        <f>C46/C34-1</f>
        <v>-0.10148757478105974</v>
      </c>
      <c r="F46" s="136">
        <f>Q46/19</f>
        <v>352517.68421052629</v>
      </c>
      <c r="G46" s="190">
        <f t="shared" ref="G46" si="78">F46/F45-1</f>
        <v>0.37209044993367124</v>
      </c>
      <c r="H46" s="190">
        <f t="shared" ref="H46" si="79">F46/F34-1</f>
        <v>0.16760796977324</v>
      </c>
      <c r="I46" s="130">
        <f t="shared" si="0"/>
        <v>224.39957906459472</v>
      </c>
      <c r="J46" s="130">
        <f t="shared" si="5"/>
        <v>0.25894664837991987</v>
      </c>
      <c r="K46" s="136">
        <f>R44+R45+R46</f>
        <v>24142679751</v>
      </c>
      <c r="L46" s="190">
        <f>U46/U43-1</f>
        <v>3.8014813839195583E-2</v>
      </c>
      <c r="M46" s="190">
        <f>K46/K34-1</f>
        <v>-8.8982035686609673E-2</v>
      </c>
      <c r="N46" s="191">
        <f>AVERAGE(T44:T46)</f>
        <v>211.26417739213738</v>
      </c>
      <c r="O46" s="192">
        <f>N46/N43-1</f>
        <v>4.8709712486197487E-2</v>
      </c>
      <c r="P46" s="129" t="s">
        <v>888</v>
      </c>
      <c r="Q46" s="116">
        <f>안과용기기!Q46+'안과용기기 (소모품)'!Q46</f>
        <v>6697836</v>
      </c>
      <c r="R46" s="116">
        <f>안과용기기!R46+'안과용기기 (소모품)'!R46</f>
        <v>9171538509</v>
      </c>
      <c r="S46" s="116">
        <f>안과용기기!S46+'안과용기기 (소모품)'!S46</f>
        <v>29847.809999999998</v>
      </c>
      <c r="T46" s="130">
        <f t="shared" ref="T46" si="80">Q46/S46</f>
        <v>224.39957906459472</v>
      </c>
      <c r="U46" s="85">
        <f t="shared" ref="U46:U51" si="81">Q44+Q45+Q46</f>
        <v>17212426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259039.13043478262</v>
      </c>
      <c r="G47" s="190">
        <f t="shared" ref="G47" si="82">F47/F46-1</f>
        <v>-0.26517408335156756</v>
      </c>
      <c r="H47" s="190">
        <f t="shared" ref="H47" si="83">F47/F35-1</f>
        <v>-4.0419967459415229E-2</v>
      </c>
      <c r="I47" s="130">
        <f t="shared" si="0"/>
        <v>182.41929770147215</v>
      </c>
      <c r="J47" s="130">
        <f t="shared" si="5"/>
        <v>-0.21117192706433652</v>
      </c>
      <c r="K47" s="136"/>
      <c r="L47" s="190"/>
      <c r="M47" s="190"/>
      <c r="N47" s="191"/>
      <c r="O47" s="192"/>
      <c r="P47" s="129" t="s">
        <v>991</v>
      </c>
      <c r="Q47" s="116">
        <f>안과용기기!Q47+'안과용기기 (소모품)'!Q47</f>
        <v>5957900</v>
      </c>
      <c r="R47" s="116">
        <f>안과용기기!R47+'안과용기기 (소모품)'!R47</f>
        <v>8210370475</v>
      </c>
      <c r="S47" s="116">
        <f>안과용기기!S47+'안과용기기 (소모품)'!S47</f>
        <v>32660.469999999998</v>
      </c>
      <c r="T47" s="130">
        <f t="shared" ref="T47" si="84">Q47/S47</f>
        <v>182.41929770147215</v>
      </c>
      <c r="U47" s="85">
        <f t="shared" si="81"/>
        <v>17794139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262924.3</v>
      </c>
      <c r="G48" s="190">
        <f t="shared" ref="G48" si="85">F48/F47-1</f>
        <v>1.4998388694002829E-2</v>
      </c>
      <c r="H48" s="190">
        <f t="shared" ref="H48" si="86">F48/F36-1</f>
        <v>-0.12383488696548539</v>
      </c>
      <c r="I48" s="130">
        <f t="shared" si="0"/>
        <v>217.501773397996</v>
      </c>
      <c r="J48" s="130">
        <f t="shared" si="5"/>
        <v>0.17168572892708833</v>
      </c>
      <c r="K48" s="136"/>
      <c r="L48" s="190"/>
      <c r="M48" s="190"/>
      <c r="N48" s="191"/>
      <c r="O48" s="192"/>
      <c r="P48" s="129" t="s">
        <v>1120</v>
      </c>
      <c r="Q48" s="116">
        <f>안과용기기!Q48+'안과용기기 (소모품)'!Q48</f>
        <v>5258486</v>
      </c>
      <c r="R48" s="116">
        <f>안과용기기!R48+'안과용기기 (소모품)'!R48</f>
        <v>7304964523</v>
      </c>
      <c r="S48" s="116">
        <f>안과용기기!S48+'안과용기기 (소모품)'!S48</f>
        <v>24176.75</v>
      </c>
      <c r="T48" s="130">
        <f t="shared" ref="T48" si="87">Q48/S48</f>
        <v>217.501773397996</v>
      </c>
      <c r="U48" s="85">
        <f t="shared" si="81"/>
        <v>17914222</v>
      </c>
    </row>
    <row r="49" spans="1:26" ht="13.2">
      <c r="A49" s="129" t="s">
        <v>1158</v>
      </c>
      <c r="B49" s="188">
        <f>SUM(F47:F49)</f>
        <v>861207.38498023711</v>
      </c>
      <c r="C49" s="188">
        <f>AVERAGE(F47:F49)</f>
        <v>287069.1283267457</v>
      </c>
      <c r="D49" s="190">
        <f>C49/C46-1</f>
        <v>8.664005646478623E-3</v>
      </c>
      <c r="E49" s="287">
        <f>C49/C37-1</f>
        <v>-1.6623139985963542E-2</v>
      </c>
      <c r="F49" s="136">
        <f>Q49/22</f>
        <v>339243.95454545453</v>
      </c>
      <c r="G49" s="190">
        <f t="shared" ref="G49" si="88">F49/F48-1</f>
        <v>0.29027235042730748</v>
      </c>
      <c r="H49" s="190">
        <f t="shared" ref="H49" si="89">F49/F37-1</f>
        <v>0.10962126502497971</v>
      </c>
      <c r="I49" s="130">
        <f t="shared" si="0"/>
        <v>243.49211797058337</v>
      </c>
      <c r="J49" s="130">
        <f t="shared" si="5"/>
        <v>0.12018618933863534</v>
      </c>
      <c r="K49" s="136">
        <f>R47+R48+R49</f>
        <v>25895863852</v>
      </c>
      <c r="L49" s="190">
        <f>U49/U46-1</f>
        <v>8.524812249011271E-2</v>
      </c>
      <c r="M49" s="190">
        <f>K49/K37-1</f>
        <v>5.9406101167981173E-2</v>
      </c>
      <c r="N49" s="191">
        <f>AVERAGE(T47:T49)</f>
        <v>214.47106302335047</v>
      </c>
      <c r="O49" s="192">
        <f>N49/N46-1</f>
        <v>1.5179504972395952E-2</v>
      </c>
      <c r="P49" s="129" t="s">
        <v>1165</v>
      </c>
      <c r="Q49" s="116">
        <f>안과용기기!Q49+'안과용기기 (소모품)'!Q49</f>
        <v>7463367</v>
      </c>
      <c r="R49" s="116">
        <f>안과용기기!R49+'안과용기기 (소모품)'!R49</f>
        <v>10380528854</v>
      </c>
      <c r="S49" s="116">
        <f>안과용기기!S49+'안과용기기 (소모품)'!S49</f>
        <v>30651.37</v>
      </c>
      <c r="T49" s="130">
        <f t="shared" ref="T49" si="90">Q49/S49</f>
        <v>243.49211797058337</v>
      </c>
      <c r="U49" s="85">
        <f t="shared" si="81"/>
        <v>18679753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332478.55555555556</v>
      </c>
      <c r="G50" s="190">
        <f t="shared" ref="G50" si="91">F50/F49-1</f>
        <v>-1.9942577897854585E-2</v>
      </c>
      <c r="H50" s="190">
        <f t="shared" ref="H50" si="92">F50/F38-1</f>
        <v>7.137943619751308E-2</v>
      </c>
      <c r="I50" s="130">
        <f t="shared" ref="I50" si="93">T50</f>
        <v>210.82115998923456</v>
      </c>
      <c r="J50" s="130">
        <f t="shared" ref="J50" si="94">I50/I38-1</f>
        <v>0.16345999230523711</v>
      </c>
      <c r="K50" s="136"/>
      <c r="L50" s="190"/>
      <c r="M50" s="190"/>
      <c r="N50" s="191"/>
      <c r="O50" s="192"/>
      <c r="P50" s="129" t="s">
        <v>1293</v>
      </c>
      <c r="Q50" s="116">
        <f>안과용기기!Q50+'안과용기기 (소모품)'!Q50</f>
        <v>5984614</v>
      </c>
      <c r="R50" s="116">
        <f>안과용기기!R50+'안과용기기 (소모품)'!R50</f>
        <v>8510032888</v>
      </c>
      <c r="S50" s="116">
        <f>안과용기기!S50+'안과용기기 (소모품)'!S50</f>
        <v>28387.16</v>
      </c>
      <c r="T50" s="130">
        <f t="shared" ref="T50" si="95">Q50/S50</f>
        <v>210.82115998923456</v>
      </c>
      <c r="U50" s="85">
        <f t="shared" si="81"/>
        <v>18706467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295105.45</v>
      </c>
      <c r="G51" s="190">
        <f t="shared" ref="G51:G52" si="96">F51/F50-1</f>
        <v>-0.11240756713799749</v>
      </c>
      <c r="H51" s="190">
        <f t="shared" ref="H51:H52" si="97">F51/F39-1</f>
        <v>-0.19753298165163147</v>
      </c>
      <c r="I51" s="130">
        <f t="shared" ref="I51:I52" si="98">T51</f>
        <v>197.67261705405588</v>
      </c>
      <c r="J51" s="130">
        <f t="shared" ref="J51:J52" si="99">I51/I39-1</f>
        <v>-6.3236366418615964E-2</v>
      </c>
      <c r="K51" s="136"/>
      <c r="L51" s="190"/>
      <c r="M51" s="190"/>
      <c r="N51" s="191"/>
      <c r="O51" s="192"/>
      <c r="P51" s="129" t="s">
        <v>1402</v>
      </c>
      <c r="Q51" s="116">
        <f>안과용기기!Q51+'안과용기기 (소모품)'!Q51</f>
        <v>5902109</v>
      </c>
      <c r="R51" s="116">
        <f>안과용기기!R51+'안과용기기 (소모품)'!R51</f>
        <v>8591324047</v>
      </c>
      <c r="S51" s="116">
        <f>안과용기기!S51+'안과용기기 (소모품)'!S51</f>
        <v>29858</v>
      </c>
      <c r="T51" s="130">
        <f t="shared" ref="T51:T52" si="100">Q51/S51</f>
        <v>197.67261705405588</v>
      </c>
      <c r="U51" s="85">
        <f t="shared" si="81"/>
        <v>19350090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775556.18737373734</v>
      </c>
      <c r="C52" s="188">
        <f>AVERAGE(F50:F52)</f>
        <v>258518.72912457911</v>
      </c>
      <c r="D52" s="190">
        <f>C52/C49-1</f>
        <v>-9.9454787662399458E-2</v>
      </c>
      <c r="E52" s="287">
        <f>C52/C40-1</f>
        <v>-0.13906831469921344</v>
      </c>
      <c r="F52" s="136">
        <f>Q52/22</f>
        <v>147972.18181818182</v>
      </c>
      <c r="G52" s="190">
        <f t="shared" si="96"/>
        <v>-0.4985786205636602</v>
      </c>
      <c r="H52" s="190">
        <f t="shared" si="97"/>
        <v>-0.33572759664718399</v>
      </c>
      <c r="I52" s="130">
        <f t="shared" si="98"/>
        <v>140.75953526784363</v>
      </c>
      <c r="J52" s="130">
        <f t="shared" si="99"/>
        <v>-0.25151691452426939</v>
      </c>
      <c r="K52" s="136">
        <f>R50+R51+R52</f>
        <v>21890900701</v>
      </c>
      <c r="L52" s="190">
        <f>U52/U49-1</f>
        <v>-0.18938376754767583</v>
      </c>
      <c r="M52" s="190">
        <f>K52/K40-1</f>
        <v>-0.15370078299903833</v>
      </c>
      <c r="N52" s="191">
        <f>AVERAGE(T50:T52)</f>
        <v>183.0844374370447</v>
      </c>
      <c r="O52" s="192">
        <f>N52/N49-1</f>
        <v>-0.14634433729126695</v>
      </c>
      <c r="P52" s="129" t="s">
        <v>1403</v>
      </c>
      <c r="Q52" s="116">
        <f>안과용기기!Q52+'안과용기기 (소모품)'!Q52</f>
        <v>3255388</v>
      </c>
      <c r="R52" s="116">
        <f>안과용기기!R52+'안과용기기 (소모품)'!R52</f>
        <v>4789543766</v>
      </c>
      <c r="S52" s="116">
        <f>안과용기기!S52+'안과용기기 (소모품)'!S52</f>
        <v>23127.3</v>
      </c>
      <c r="T52" s="130">
        <f t="shared" si="100"/>
        <v>140.75953526784363</v>
      </c>
      <c r="U52" s="85">
        <f t="shared" ref="U52" si="101">Q50+Q51+Q52</f>
        <v>15142111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252768.61904761905</v>
      </c>
      <c r="G53" s="190">
        <f t="shared" ref="G53" si="102">F53/F52-1</f>
        <v>0.7082171523172105</v>
      </c>
      <c r="H53" s="190">
        <f t="shared" ref="H53" si="103">F53/F41-1</f>
        <v>6.6346034761595618E-2</v>
      </c>
      <c r="I53" s="130">
        <f t="shared" ref="I53" si="104">T53</f>
        <v>193.54729440248235</v>
      </c>
      <c r="J53" s="130">
        <f t="shared" ref="J53" si="105">I53/I41-1</f>
        <v>-2.3997940490597336E-2</v>
      </c>
      <c r="K53" s="136"/>
      <c r="L53" s="190"/>
      <c r="M53" s="190"/>
      <c r="N53" s="191"/>
      <c r="O53" s="192"/>
      <c r="P53" s="129" t="s">
        <v>1414</v>
      </c>
      <c r="Q53" s="116">
        <f>안과용기기!Q53+'안과용기기 (소모품)'!Q53</f>
        <v>5308141</v>
      </c>
      <c r="R53" s="116">
        <f>안과용기기!R53+'안과용기기 (소모품)'!R53</f>
        <v>7764272748</v>
      </c>
      <c r="S53" s="116">
        <f>안과용기기!S53+'안과용기기 (소모품)'!S53</f>
        <v>27425.55</v>
      </c>
      <c r="T53" s="130">
        <f t="shared" ref="T53" si="106">Q53/S53</f>
        <v>193.54729440248235</v>
      </c>
      <c r="U53" s="85">
        <f t="shared" ref="U53" si="107">Q51+Q52+Q53</f>
        <v>14465638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263802</v>
      </c>
      <c r="G54" s="190">
        <f t="shared" ref="G54" si="108">F54/F53-1</f>
        <v>4.3650121577403445E-2</v>
      </c>
      <c r="H54" s="190">
        <f t="shared" ref="H54" si="109">F54/F42-1</f>
        <v>-0.14353434204829763</v>
      </c>
      <c r="I54" s="130">
        <f t="shared" ref="I54" si="110">T54</f>
        <v>229.03350188374364</v>
      </c>
      <c r="J54" s="130">
        <f t="shared" ref="J54" si="111">I54/I42-1</f>
        <v>0.3663869692424746</v>
      </c>
      <c r="K54" s="136"/>
      <c r="L54" s="190"/>
      <c r="M54" s="190"/>
      <c r="N54" s="191"/>
      <c r="O54" s="192"/>
      <c r="P54" s="129" t="s">
        <v>1417</v>
      </c>
      <c r="Q54" s="116">
        <f>안과용기기!Q54+'안과용기기 (소모품)'!Q54</f>
        <v>4484634</v>
      </c>
      <c r="R54" s="116">
        <f>안과용기기!R54+'안과용기기 (소모품)'!R54</f>
        <v>6498570783</v>
      </c>
      <c r="S54" s="116">
        <f>안과용기기!S54+'안과용기기 (소모품)'!S54</f>
        <v>19580.689999999999</v>
      </c>
      <c r="T54" s="130">
        <f t="shared" ref="T54" si="112">Q54/S54</f>
        <v>229.03350188374364</v>
      </c>
      <c r="U54" s="85">
        <f t="shared" ref="U54" si="113">Q52+Q53+Q54</f>
        <v>13048163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755698.28571428568</v>
      </c>
      <c r="C55" s="188">
        <f>AVERAGE(F53:F55)</f>
        <v>251899.42857142855</v>
      </c>
      <c r="D55" s="190">
        <f>C55/C52-1</f>
        <v>-2.5604723400758922E-2</v>
      </c>
      <c r="E55" s="287">
        <f>C55/C43-1</f>
        <v>-0.11386980331533014</v>
      </c>
      <c r="F55" s="136">
        <f>Q55/21</f>
        <v>239127.66666666666</v>
      </c>
      <c r="G55" s="190">
        <f t="shared" ref="G55" si="114">F55/F54-1</f>
        <v>-9.3533533988875539E-2</v>
      </c>
      <c r="H55" s="190">
        <f t="shared" ref="H55" si="115">F55/F43-1</f>
        <v>-0.22298860136041954</v>
      </c>
      <c r="I55" s="130">
        <f>T55</f>
        <v>207.57266744928157</v>
      </c>
      <c r="J55" s="130">
        <f t="shared" ref="J55" si="116">I55/I43-1</f>
        <v>-0.12941359178456735</v>
      </c>
      <c r="K55" s="136">
        <f>R53+R54+R55</f>
        <v>21704449487</v>
      </c>
      <c r="L55" s="190">
        <f>U55/U52-1</f>
        <v>-2.1638660554000655E-2</v>
      </c>
      <c r="M55" s="190">
        <f>K55/K43-1</f>
        <v>-9.8850104132228389E-2</v>
      </c>
      <c r="N55" s="191">
        <f>AVERAGE(T53:T55)</f>
        <v>210.05115457850252</v>
      </c>
      <c r="O55" s="192">
        <f>N55/N52-1</f>
        <v>0.14729114893083461</v>
      </c>
      <c r="P55" s="129" t="s">
        <v>1418</v>
      </c>
      <c r="Q55" s="116">
        <f>안과용기기!Q55+'안과용기기 (소모품)'!Q55</f>
        <v>5021681</v>
      </c>
      <c r="R55" s="116">
        <f>안과용기기!R55+'안과용기기 (소모품)'!R55</f>
        <v>7441605956</v>
      </c>
      <c r="S55" s="116">
        <f>안과용기기!S55+'안과용기기 (소모품)'!S55</f>
        <v>24192.400000000001</v>
      </c>
      <c r="T55" s="130">
        <f t="shared" ref="T55" si="117">Q55/S55</f>
        <v>207.57266744928157</v>
      </c>
      <c r="U55" s="85">
        <f t="shared" ref="U55" si="118">Q53+Q54+Q55</f>
        <v>14814456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198540.04545454544</v>
      </c>
      <c r="G56" s="190">
        <f t="shared" ref="G56" si="119">F56/F55-1</f>
        <v>-0.16973201711828079</v>
      </c>
      <c r="H56" s="190">
        <f t="shared" ref="H56" si="120">F56/F44-1</f>
        <v>-0.18755039584746591</v>
      </c>
      <c r="I56" s="291">
        <f>T56</f>
        <v>228.28853153373515</v>
      </c>
      <c r="J56" s="130">
        <f t="shared" ref="J56" si="121">I56/I44-1</f>
        <v>1.417007108129309E-2</v>
      </c>
      <c r="K56" s="136"/>
      <c r="L56" s="190"/>
      <c r="M56" s="190"/>
      <c r="N56" s="191"/>
      <c r="O56" s="192"/>
      <c r="P56" s="129" t="s">
        <v>1420</v>
      </c>
      <c r="Q56" s="116">
        <f>안과용기기!Q56+'안과용기기 (소모품)'!Q56</f>
        <v>4367881</v>
      </c>
      <c r="R56" s="116">
        <f>안과용기기!R56+'안과용기기 (소모품)'!R56</f>
        <v>6509893107</v>
      </c>
      <c r="S56" s="116">
        <f>안과용기기!S56+'안과용기기 (소모품)'!S56</f>
        <v>19133.16</v>
      </c>
      <c r="T56" s="130">
        <f t="shared" ref="T56" si="122">Q56/S56</f>
        <v>228.28853153373515</v>
      </c>
      <c r="U56" s="85">
        <f t="shared" ref="U56" si="123">Q54+Q55+Q56</f>
        <v>13874196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235356.25</v>
      </c>
      <c r="G57" s="254">
        <f t="shared" ref="G57" si="124">F57/F56-1</f>
        <v>0.18543465355397748</v>
      </c>
      <c r="H57" s="254">
        <f t="shared" ref="H57" si="125">F57/F45-1</f>
        <v>-8.3932303480283688E-2</v>
      </c>
      <c r="I57" s="282">
        <f>T57</f>
        <v>213.71930732628672</v>
      </c>
      <c r="J57" s="277">
        <f t="shared" ref="J57" si="126">I57/I45-1</f>
        <v>0.15966447473858247</v>
      </c>
      <c r="K57" s="204"/>
      <c r="L57" s="254"/>
      <c r="M57" s="254"/>
      <c r="N57" s="257"/>
      <c r="O57" s="258"/>
      <c r="P57" s="129" t="s">
        <v>1436</v>
      </c>
      <c r="Q57" s="116">
        <f>안과용기기!Q57+'안과용기기 (소모품)'!Q57</f>
        <v>2824275</v>
      </c>
      <c r="R57" s="116">
        <f>안과용기기!R57+'안과용기기 (소모품)'!R57</f>
        <v>4166283707</v>
      </c>
      <c r="S57" s="116">
        <f>안과용기기!S57+'안과용기기 (소모품)'!S57</f>
        <v>13214.880000000001</v>
      </c>
      <c r="T57" s="130">
        <f t="shared" ref="T57" si="127">Q57/S57</f>
        <v>213.71930732628672</v>
      </c>
      <c r="U57" s="85">
        <f t="shared" ref="U57" si="128">Q55+Q56+Q57</f>
        <v>12213837</v>
      </c>
      <c r="V57" s="79"/>
      <c r="W57" s="79"/>
      <c r="X57" s="79"/>
      <c r="Y57" s="79"/>
      <c r="Z57" s="79"/>
    </row>
    <row r="58" spans="1:26">
      <c r="B58" s="196">
        <f>SUM(F56:F58)</f>
        <v>433896.29545454541</v>
      </c>
      <c r="C58" s="196">
        <f>AVERAGE(F56:F58)</f>
        <v>216948.14772727271</v>
      </c>
      <c r="D58" s="197">
        <f>C58/C55-1</f>
        <v>-0.13875093342756462</v>
      </c>
      <c r="E58" s="233">
        <f>C58/C46-1</f>
        <v>-0.23771744812941942</v>
      </c>
    </row>
  </sheetData>
  <phoneticPr fontId="1" type="noConversion"/>
  <conditionalFormatting sqref="C29:C30">
    <cfRule type="cellIs" dxfId="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8"/>
  <dimension ref="A1:Z74"/>
  <sheetViews>
    <sheetView zoomScale="90" zoomScaleNormal="9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78892.45</v>
      </c>
      <c r="G5" s="90"/>
      <c r="H5" s="90"/>
      <c r="I5" s="130">
        <f t="shared" ref="I5:I49" si="0">T5</f>
        <v>172.5543439628087</v>
      </c>
      <c r="J5" s="130"/>
      <c r="L5" s="80"/>
      <c r="M5" s="80"/>
      <c r="P5" s="129" t="s">
        <v>0</v>
      </c>
      <c r="Q5" s="116">
        <v>1577849</v>
      </c>
      <c r="R5" s="116">
        <v>1862670679</v>
      </c>
      <c r="S5" s="116">
        <v>9144.07</v>
      </c>
      <c r="T5" s="130">
        <f t="shared" ref="T5:T17" si="1">Q5/S5</f>
        <v>172.5543439628087</v>
      </c>
      <c r="U5" s="85"/>
    </row>
    <row r="6" spans="1:21" ht="15" hidden="1" customHeight="1">
      <c r="A6" s="129" t="s">
        <v>1</v>
      </c>
      <c r="C6" s="79"/>
      <c r="F6" s="78">
        <f>Q6/18</f>
        <v>131373.83333333334</v>
      </c>
      <c r="G6" s="90">
        <f t="shared" ref="G6:G16" si="2">F6/F5-1</f>
        <v>0.66522694292461892</v>
      </c>
      <c r="H6" s="90"/>
      <c r="I6" s="130">
        <f t="shared" si="0"/>
        <v>190.15052158676883</v>
      </c>
      <c r="J6" s="130"/>
      <c r="P6" s="129" t="s">
        <v>1</v>
      </c>
      <c r="Q6" s="116">
        <v>2364729</v>
      </c>
      <c r="R6" s="116">
        <v>2808128675</v>
      </c>
      <c r="S6" s="116">
        <v>12436.09</v>
      </c>
      <c r="T6" s="130">
        <f t="shared" si="1"/>
        <v>190.15052158676883</v>
      </c>
      <c r="U6" s="85"/>
    </row>
    <row r="7" spans="1:21" ht="15" hidden="1" customHeight="1">
      <c r="A7" s="129" t="s">
        <v>2</v>
      </c>
      <c r="B7" s="131">
        <f>F5+F6+F7</f>
        <v>301403.46515151515</v>
      </c>
      <c r="C7" s="131">
        <f>AVERAGE(F5:F7)</f>
        <v>100467.82171717171</v>
      </c>
      <c r="F7" s="78">
        <f>Q7/22</f>
        <v>91137.181818181823</v>
      </c>
      <c r="G7" s="90">
        <f t="shared" si="2"/>
        <v>-0.30627599495448621</v>
      </c>
      <c r="H7" s="90"/>
      <c r="I7" s="130">
        <f t="shared" si="0"/>
        <v>226.91928989046858</v>
      </c>
      <c r="J7" s="130"/>
      <c r="K7" s="79">
        <f>R5+R6+R7</f>
        <v>7080604832</v>
      </c>
      <c r="N7" s="88">
        <f>AVERAGE(T5:T7)</f>
        <v>196.54138514668205</v>
      </c>
      <c r="P7" s="129" t="s">
        <v>2</v>
      </c>
      <c r="Q7" s="116">
        <v>2005018</v>
      </c>
      <c r="R7" s="116">
        <v>2409805478</v>
      </c>
      <c r="S7" s="116">
        <v>8835.82</v>
      </c>
      <c r="T7" s="130">
        <f t="shared" si="1"/>
        <v>226.91928989046858</v>
      </c>
      <c r="U7" s="85">
        <f>Q5+Q6+Q7</f>
        <v>5947596</v>
      </c>
    </row>
    <row r="8" spans="1:21" ht="15" hidden="1" customHeight="1">
      <c r="A8" s="129" t="s">
        <v>3</v>
      </c>
      <c r="C8" s="79"/>
      <c r="F8" s="78">
        <f>Q8/21</f>
        <v>139746.61904761905</v>
      </c>
      <c r="G8" s="90">
        <f t="shared" si="2"/>
        <v>0.53336559524533889</v>
      </c>
      <c r="H8" s="90"/>
      <c r="I8" s="130">
        <f t="shared" si="0"/>
        <v>191.69006172637904</v>
      </c>
      <c r="J8" s="130"/>
      <c r="K8" s="78"/>
      <c r="P8" s="129" t="s">
        <v>3</v>
      </c>
      <c r="Q8" s="116">
        <v>2934679</v>
      </c>
      <c r="R8" s="116">
        <v>3557716119</v>
      </c>
      <c r="S8" s="116">
        <v>15309.5</v>
      </c>
      <c r="T8" s="130">
        <f t="shared" si="1"/>
        <v>191.69006172637904</v>
      </c>
      <c r="U8" s="85"/>
    </row>
    <row r="9" spans="1:21" ht="15" hidden="1" customHeight="1">
      <c r="A9" s="129" t="s">
        <v>4</v>
      </c>
      <c r="C9" s="79"/>
      <c r="F9" s="78">
        <f>Q9/21</f>
        <v>92483.333333333328</v>
      </c>
      <c r="G9" s="90">
        <f t="shared" si="2"/>
        <v>-0.33820700662661918</v>
      </c>
      <c r="H9" s="90"/>
      <c r="I9" s="130">
        <f t="shared" si="0"/>
        <v>162.96868759083418</v>
      </c>
      <c r="J9" s="130"/>
      <c r="K9" s="78"/>
      <c r="P9" s="129" t="s">
        <v>4</v>
      </c>
      <c r="Q9" s="116">
        <v>1942150</v>
      </c>
      <c r="R9" s="116">
        <v>2448453683</v>
      </c>
      <c r="S9" s="116">
        <v>11917.32</v>
      </c>
      <c r="T9" s="130">
        <f t="shared" si="1"/>
        <v>162.96868759083418</v>
      </c>
      <c r="U9" s="85"/>
    </row>
    <row r="10" spans="1:21" ht="15" hidden="1" customHeight="1">
      <c r="A10" s="129" t="s">
        <v>5</v>
      </c>
      <c r="B10" s="131">
        <f>F8+F9+F10</f>
        <v>324992.61904761905</v>
      </c>
      <c r="C10" s="131">
        <f>AVERAGE(F8:F10)</f>
        <v>108330.87301587302</v>
      </c>
      <c r="D10" s="90">
        <f>C10/C7-1</f>
        <v>7.8264375242818485E-2</v>
      </c>
      <c r="E10" s="286"/>
      <c r="F10" s="78">
        <f>Q10/21</f>
        <v>92762.666666666672</v>
      </c>
      <c r="G10" s="90">
        <f t="shared" si="2"/>
        <v>3.0203640295549672E-3</v>
      </c>
      <c r="H10" s="90"/>
      <c r="I10" s="130">
        <f t="shared" si="0"/>
        <v>163.02753368482718</v>
      </c>
      <c r="J10" s="130"/>
      <c r="K10" s="79">
        <f>R8+R9+R10</f>
        <v>8447808544</v>
      </c>
      <c r="L10" s="87">
        <f>U10/U7-1</f>
        <v>0.14749640022624266</v>
      </c>
      <c r="N10" s="88">
        <f>AVERAGE(T8:T10)</f>
        <v>172.56209433401349</v>
      </c>
      <c r="O10" s="89">
        <f>N10/N7-1</f>
        <v>-0.12200631838822351</v>
      </c>
      <c r="P10" s="129" t="s">
        <v>5</v>
      </c>
      <c r="Q10" s="116">
        <v>1948016</v>
      </c>
      <c r="R10" s="116">
        <v>2441638742</v>
      </c>
      <c r="S10" s="116">
        <v>11949</v>
      </c>
      <c r="T10" s="130">
        <f t="shared" si="1"/>
        <v>163.02753368482718</v>
      </c>
      <c r="U10" s="85">
        <f>Q8+Q9+Q10</f>
        <v>6824845</v>
      </c>
    </row>
    <row r="11" spans="1:21" ht="15" hidden="1" customHeight="1">
      <c r="A11" s="129" t="s">
        <v>6</v>
      </c>
      <c r="C11" s="79"/>
      <c r="F11" s="78">
        <f>Q11/21</f>
        <v>145171.76190476189</v>
      </c>
      <c r="G11" s="90">
        <f t="shared" si="2"/>
        <v>0.56498047243965122</v>
      </c>
      <c r="H11" s="90"/>
      <c r="I11" s="130">
        <f t="shared" si="0"/>
        <v>212.40207622099911</v>
      </c>
      <c r="J11" s="130"/>
      <c r="K11" s="78"/>
      <c r="O11" s="89"/>
      <c r="P11" s="129" t="s">
        <v>6</v>
      </c>
      <c r="Q11" s="116">
        <v>3048607</v>
      </c>
      <c r="R11" s="116">
        <v>3941061138</v>
      </c>
      <c r="S11" s="116">
        <v>14353</v>
      </c>
      <c r="T11" s="130">
        <f t="shared" si="1"/>
        <v>212.40207622099911</v>
      </c>
      <c r="U11" s="85"/>
    </row>
    <row r="12" spans="1:21" ht="15" hidden="1" customHeight="1">
      <c r="A12" s="129" t="s">
        <v>7</v>
      </c>
      <c r="C12" s="79"/>
      <c r="F12" s="78">
        <f>Q12/22</f>
        <v>71936.045454545456</v>
      </c>
      <c r="G12" s="90">
        <f t="shared" si="2"/>
        <v>-0.5044763216296968</v>
      </c>
      <c r="H12" s="90"/>
      <c r="I12" s="130">
        <f t="shared" si="0"/>
        <v>194.00204226483004</v>
      </c>
      <c r="J12" s="130"/>
      <c r="K12" s="78"/>
      <c r="O12" s="89"/>
      <c r="P12" s="129" t="s">
        <v>7</v>
      </c>
      <c r="Q12" s="116">
        <v>1582593</v>
      </c>
      <c r="R12" s="116">
        <v>2063542804</v>
      </c>
      <c r="S12" s="116">
        <v>8157.61</v>
      </c>
      <c r="T12" s="130">
        <f t="shared" si="1"/>
        <v>194.00204226483004</v>
      </c>
      <c r="U12" s="85"/>
    </row>
    <row r="13" spans="1:21" ht="15" hidden="1" customHeight="1">
      <c r="A13" s="129" t="s">
        <v>96</v>
      </c>
      <c r="B13" s="131">
        <f>F11+F12+F13</f>
        <v>345305.60735930735</v>
      </c>
      <c r="C13" s="131">
        <f>AVERAGE(F11:F13)</f>
        <v>115101.86911976912</v>
      </c>
      <c r="D13" s="90">
        <f>C13/C10-1</f>
        <v>6.2502921977781956E-2</v>
      </c>
      <c r="E13" s="286"/>
      <c r="F13" s="78">
        <f>Q13/20</f>
        <v>128197.8</v>
      </c>
      <c r="G13" s="90">
        <f t="shared" si="2"/>
        <v>0.78210797090597528</v>
      </c>
      <c r="H13" s="90"/>
      <c r="I13" s="130">
        <f t="shared" si="0"/>
        <v>243.43511450381681</v>
      </c>
      <c r="J13" s="130"/>
      <c r="K13" s="78">
        <f>R11+R12+R13</f>
        <v>9531476742</v>
      </c>
      <c r="L13" s="87">
        <f>U13/U10-1</f>
        <v>5.4259254239473531E-2</v>
      </c>
      <c r="N13" s="88">
        <f>AVERAGE(T11:T13)</f>
        <v>216.61307766321534</v>
      </c>
      <c r="O13" s="89">
        <f>N13/N10-1</f>
        <v>0.25527612827841661</v>
      </c>
      <c r="P13" s="129" t="s">
        <v>96</v>
      </c>
      <c r="Q13" s="116">
        <v>2563956</v>
      </c>
      <c r="R13" s="116">
        <v>3526872800</v>
      </c>
      <c r="S13" s="116">
        <v>10532.4</v>
      </c>
      <c r="T13" s="130">
        <f t="shared" si="1"/>
        <v>243.43511450381681</v>
      </c>
      <c r="U13" s="85">
        <f>Q11+Q12+Q13</f>
        <v>7195156</v>
      </c>
    </row>
    <row r="14" spans="1:21" ht="15" hidden="1" customHeight="1">
      <c r="A14" s="129" t="s">
        <v>97</v>
      </c>
      <c r="C14" s="79"/>
      <c r="F14" s="78">
        <f>Q14/20</f>
        <v>151907.75</v>
      </c>
      <c r="G14" s="90">
        <f t="shared" si="2"/>
        <v>0.18494818163806248</v>
      </c>
      <c r="H14" s="90"/>
      <c r="I14" s="130">
        <f t="shared" si="0"/>
        <v>234.30368774264002</v>
      </c>
      <c r="J14" s="130"/>
      <c r="O14" s="89"/>
      <c r="P14" s="129" t="s">
        <v>97</v>
      </c>
      <c r="Q14" s="116">
        <v>3038155</v>
      </c>
      <c r="R14" s="116">
        <v>4334170018</v>
      </c>
      <c r="S14" s="116">
        <v>12966.74</v>
      </c>
      <c r="T14" s="130">
        <f t="shared" si="1"/>
        <v>234.30368774264002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114581.18181818182</v>
      </c>
      <c r="G15" s="90">
        <f t="shared" si="2"/>
        <v>-0.24571865610423549</v>
      </c>
      <c r="H15" s="90"/>
      <c r="I15" s="130">
        <f t="shared" si="0"/>
        <v>207.08519884659935</v>
      </c>
      <c r="J15" s="130"/>
      <c r="O15" s="89"/>
      <c r="P15" s="129" t="s">
        <v>98</v>
      </c>
      <c r="Q15" s="116">
        <v>2520786</v>
      </c>
      <c r="R15" s="116">
        <v>3433737830</v>
      </c>
      <c r="S15" s="116">
        <v>12172.7</v>
      </c>
      <c r="T15" s="130">
        <f t="shared" si="1"/>
        <v>207.08519884659935</v>
      </c>
      <c r="U15" s="85"/>
    </row>
    <row r="16" spans="1:21" ht="15" hidden="1" customHeight="1">
      <c r="A16" s="129" t="s">
        <v>99</v>
      </c>
      <c r="B16" s="131">
        <f>F14+F15+F16</f>
        <v>359624.11363636365</v>
      </c>
      <c r="C16" s="131">
        <f>AVERAGE(F14:F16)</f>
        <v>119874.70454545454</v>
      </c>
      <c r="D16" s="90">
        <f>C16/C13-1</f>
        <v>4.1466185233873576E-2</v>
      </c>
      <c r="E16" s="286"/>
      <c r="F16" s="78">
        <f>Q16/22</f>
        <v>93135.181818181823</v>
      </c>
      <c r="G16" s="90">
        <f t="shared" si="2"/>
        <v>-0.18716860534769708</v>
      </c>
      <c r="H16" s="90"/>
      <c r="I16" s="130">
        <f t="shared" si="0"/>
        <v>245.9486970195297</v>
      </c>
      <c r="J16" s="130"/>
      <c r="K16" s="78">
        <f>R14+R15+R16</f>
        <v>10456800654</v>
      </c>
      <c r="L16" s="87">
        <f>U16/U13-1</f>
        <v>5.7366233616060525E-2</v>
      </c>
      <c r="N16" s="88">
        <f>AVERAGE(T14:T16)</f>
        <v>229.11252786958971</v>
      </c>
      <c r="O16" s="89">
        <f>N16/N13-1</f>
        <v>5.7704042346917728E-2</v>
      </c>
      <c r="P16" s="129" t="s">
        <v>99</v>
      </c>
      <c r="Q16" s="116">
        <v>2048974</v>
      </c>
      <c r="R16" s="116">
        <v>2688892806</v>
      </c>
      <c r="S16" s="116">
        <v>8330.9</v>
      </c>
      <c r="T16" s="130">
        <f t="shared" si="1"/>
        <v>245.9486970195297</v>
      </c>
      <c r="U16" s="85">
        <f>Q14+Q15+Q16</f>
        <v>7607915</v>
      </c>
    </row>
    <row r="17" spans="1:21" ht="15" hidden="1" customHeight="1">
      <c r="A17" s="129" t="s">
        <v>100</v>
      </c>
      <c r="C17" s="79"/>
      <c r="F17" s="78">
        <f>Q17/20</f>
        <v>120997.6</v>
      </c>
      <c r="G17" s="90">
        <f t="shared" ref="G17:G22" si="3">F17/F16-1</f>
        <v>0.29916104352715056</v>
      </c>
      <c r="H17" s="90">
        <f t="shared" ref="H17:H22" si="4">F17/F5-1</f>
        <v>0.53370316170939058</v>
      </c>
      <c r="I17" s="130">
        <f t="shared" si="0"/>
        <v>195.39378280177635</v>
      </c>
      <c r="J17" s="130">
        <f t="shared" ref="J17:J49" si="5">I17/I5-1</f>
        <v>0.13236084536875126</v>
      </c>
      <c r="O17" s="89"/>
      <c r="P17" s="129" t="s">
        <v>100</v>
      </c>
      <c r="Q17" s="116">
        <v>2419952</v>
      </c>
      <c r="R17" s="116">
        <v>3021590200</v>
      </c>
      <c r="S17" s="116">
        <v>12385</v>
      </c>
      <c r="T17" s="130">
        <f t="shared" si="1"/>
        <v>195.39378280177635</v>
      </c>
      <c r="U17" s="78"/>
    </row>
    <row r="18" spans="1:21" ht="15" hidden="1" customHeight="1">
      <c r="A18" s="129" t="s">
        <v>106</v>
      </c>
      <c r="C18" s="79"/>
      <c r="F18" s="78">
        <f>Q18/20</f>
        <v>119559.15</v>
      </c>
      <c r="G18" s="90">
        <f t="shared" si="3"/>
        <v>-1.1888252328971949E-2</v>
      </c>
      <c r="H18" s="90">
        <f t="shared" si="4"/>
        <v>-8.9931784995236352E-2</v>
      </c>
      <c r="I18" s="130">
        <f t="shared" si="0"/>
        <v>215.65503246753246</v>
      </c>
      <c r="J18" s="130">
        <f t="shared" si="5"/>
        <v>0.13412800905268885</v>
      </c>
      <c r="O18" s="89"/>
      <c r="P18" s="129" t="s">
        <v>106</v>
      </c>
      <c r="Q18" s="116">
        <v>2391183</v>
      </c>
      <c r="R18" s="116">
        <v>2990101055</v>
      </c>
      <c r="S18" s="116">
        <v>11088</v>
      </c>
      <c r="T18" s="130">
        <f t="shared" ref="T18" si="6">Q18/S18</f>
        <v>215.65503246753246</v>
      </c>
      <c r="U18" s="78"/>
    </row>
    <row r="19" spans="1:21" hidden="1">
      <c r="A19" s="129" t="s">
        <v>114</v>
      </c>
      <c r="B19" s="131">
        <f>SUM(F17:F19)</f>
        <v>369119.52272727271</v>
      </c>
      <c r="C19" s="131">
        <f>AVERAGE(F17:F19)</f>
        <v>123039.8409090909</v>
      </c>
      <c r="D19" s="90">
        <f>C19/C16-1</f>
        <v>2.6403705232376007E-2</v>
      </c>
      <c r="E19" s="286">
        <f>C19/C7-1</f>
        <v>0.22466914088634238</v>
      </c>
      <c r="F19" s="78">
        <f>Q19/22</f>
        <v>128562.77272727272</v>
      </c>
      <c r="G19" s="90">
        <f t="shared" si="3"/>
        <v>7.5306847926509324E-2</v>
      </c>
      <c r="H19" s="90">
        <f t="shared" si="4"/>
        <v>0.41065117619891667</v>
      </c>
      <c r="I19" s="130">
        <f t="shared" si="0"/>
        <v>243.23547319610324</v>
      </c>
      <c r="J19" s="130">
        <f t="shared" si="5"/>
        <v>7.1903024698827034E-2</v>
      </c>
      <c r="K19" s="78">
        <f>R17+R18+R19</f>
        <v>9713153735</v>
      </c>
      <c r="L19" s="87">
        <f>U19/U16-1</f>
        <v>4.1537004553811041E-3</v>
      </c>
      <c r="M19" s="87">
        <f>U19/U7-1</f>
        <v>0.28447123846340605</v>
      </c>
      <c r="N19" s="88">
        <f>AVERAGE(T17:T19)</f>
        <v>218.09476282180401</v>
      </c>
      <c r="O19" s="89">
        <f>N19/N16-1</f>
        <v>-4.8088880823038083E-2</v>
      </c>
      <c r="P19" s="129" t="s">
        <v>115</v>
      </c>
      <c r="Q19" s="116">
        <v>2828381</v>
      </c>
      <c r="R19" s="116">
        <v>3701462480</v>
      </c>
      <c r="S19" s="116">
        <v>11628.16</v>
      </c>
      <c r="T19" s="130">
        <f t="shared" ref="T19" si="7">Q19/S19</f>
        <v>243.23547319610324</v>
      </c>
      <c r="U19" s="85">
        <f>Q17+Q18+Q19</f>
        <v>7639516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132407.79999999999</v>
      </c>
      <c r="G20" s="90">
        <f t="shared" si="3"/>
        <v>2.9907781165267266E-2</v>
      </c>
      <c r="H20" s="90">
        <f t="shared" si="4"/>
        <v>-5.2515181387811194E-2</v>
      </c>
      <c r="I20" s="130">
        <f t="shared" si="0"/>
        <v>225.43004121006578</v>
      </c>
      <c r="J20" s="130">
        <f t="shared" si="5"/>
        <v>0.17601319118905412</v>
      </c>
      <c r="O20" s="89"/>
      <c r="P20" s="129" t="s">
        <v>132</v>
      </c>
      <c r="Q20" s="116">
        <v>2648156</v>
      </c>
      <c r="R20" s="116">
        <v>3477159740</v>
      </c>
      <c r="S20" s="116">
        <v>11747.13</v>
      </c>
      <c r="T20" s="130">
        <f t="shared" ref="T20" si="8">Q20/S20</f>
        <v>225.43004121006578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93100.428571428565</v>
      </c>
      <c r="G21" s="90">
        <f t="shared" si="3"/>
        <v>-0.29686598092084782</v>
      </c>
      <c r="H21" s="90">
        <f t="shared" si="4"/>
        <v>6.672502123934887E-3</v>
      </c>
      <c r="I21" s="130">
        <f t="shared" si="0"/>
        <v>298.75583916676982</v>
      </c>
      <c r="J21" s="130">
        <f t="shared" si="5"/>
        <v>0.83321006988076585</v>
      </c>
      <c r="O21" s="89"/>
      <c r="P21" s="129" t="s">
        <v>141</v>
      </c>
      <c r="Q21" s="116">
        <v>1955109</v>
      </c>
      <c r="R21" s="116">
        <v>2597352389</v>
      </c>
      <c r="S21" s="116">
        <v>6544.17</v>
      </c>
      <c r="T21" s="130">
        <f t="shared" ref="T21" si="9">Q21/S21</f>
        <v>298.75583916676982</v>
      </c>
      <c r="U21" s="78"/>
    </row>
    <row r="22" spans="1:21" hidden="1">
      <c r="A22" s="129" t="s">
        <v>156</v>
      </c>
      <c r="B22" s="131">
        <f>SUM(F20:F22)</f>
        <v>376731.94285714289</v>
      </c>
      <c r="C22" s="131">
        <f>AVERAGE(F20:F22)</f>
        <v>125577.3142857143</v>
      </c>
      <c r="D22" s="90">
        <f>C22/C19-1</f>
        <v>2.0623184798314487E-2</v>
      </c>
      <c r="E22" s="286">
        <f>C22/C10-1</f>
        <v>0.1592015349799154</v>
      </c>
      <c r="F22" s="78">
        <f>Q22/21</f>
        <v>151223.71428571429</v>
      </c>
      <c r="G22" s="90">
        <f t="shared" si="3"/>
        <v>0.62430739155719728</v>
      </c>
      <c r="H22" s="90">
        <f t="shared" si="4"/>
        <v>0.63022172302486212</v>
      </c>
      <c r="I22" s="130">
        <f t="shared" si="0"/>
        <v>214.02466639708857</v>
      </c>
      <c r="J22" s="130">
        <f t="shared" si="5"/>
        <v>0.3128130050157758</v>
      </c>
      <c r="K22" s="78">
        <f>R20+R21+R22</f>
        <v>10190880030</v>
      </c>
      <c r="L22" s="87">
        <f>U22/U19-1</f>
        <v>1.8253381496943E-2</v>
      </c>
      <c r="M22" s="87">
        <f>U22/U10-1</f>
        <v>0.13980068411810076</v>
      </c>
      <c r="N22" s="88">
        <f>AVERAGE(T20:T22)</f>
        <v>246.07018225797472</v>
      </c>
      <c r="O22" s="89">
        <f>N22/N19-1</f>
        <v>0.12827185336416469</v>
      </c>
      <c r="P22" s="129" t="s">
        <v>156</v>
      </c>
      <c r="Q22" s="116">
        <v>3175698</v>
      </c>
      <c r="R22" s="116">
        <v>4116367901</v>
      </c>
      <c r="S22" s="116">
        <v>14838</v>
      </c>
      <c r="T22" s="130">
        <f t="shared" ref="T22:T23" si="10">Q22/S22</f>
        <v>214.02466639708857</v>
      </c>
      <c r="U22" s="85">
        <f>Q20+Q21+Q22</f>
        <v>7778963</v>
      </c>
    </row>
    <row r="23" spans="1:21" hidden="1">
      <c r="A23" s="129" t="s">
        <v>189</v>
      </c>
      <c r="B23" s="131"/>
      <c r="C23" s="131"/>
      <c r="F23" s="78">
        <f>Q23/21</f>
        <v>119094.38095238095</v>
      </c>
      <c r="G23" s="90">
        <f t="shared" ref="G23" si="11">F23/F22-1</f>
        <v>-0.2124622681375874</v>
      </c>
      <c r="H23" s="90">
        <f t="shared" ref="H23" si="12">F23/F11-1</f>
        <v>-0.17963122173504154</v>
      </c>
      <c r="I23" s="130">
        <f t="shared" si="0"/>
        <v>184.73792288373468</v>
      </c>
      <c r="J23" s="130">
        <f t="shared" si="5"/>
        <v>-0.13024426987465298</v>
      </c>
      <c r="O23" s="89"/>
      <c r="P23" s="129" t="s">
        <v>189</v>
      </c>
      <c r="Q23" s="116">
        <v>2500982</v>
      </c>
      <c r="R23" s="116">
        <v>3222092976</v>
      </c>
      <c r="S23" s="116">
        <v>13538</v>
      </c>
      <c r="T23" s="130">
        <f t="shared" si="10"/>
        <v>184.73792288373468</v>
      </c>
      <c r="U23" s="78"/>
    </row>
    <row r="24" spans="1:21" hidden="1">
      <c r="A24" s="129" t="s">
        <v>204</v>
      </c>
      <c r="B24" s="131"/>
      <c r="C24" s="131"/>
      <c r="F24" s="78">
        <f>Q24/22</f>
        <v>75849.590909090912</v>
      </c>
      <c r="G24" s="90">
        <f t="shared" ref="G24" si="13">F24/F23-1</f>
        <v>-0.36311360533945902</v>
      </c>
      <c r="H24" s="90">
        <f t="shared" ref="H24" si="14">F24/F12-1</f>
        <v>5.4403121965028278E-2</v>
      </c>
      <c r="I24" s="130">
        <f t="shared" si="0"/>
        <v>204.06530809906522</v>
      </c>
      <c r="J24" s="130">
        <f t="shared" si="5"/>
        <v>5.187195823690316E-2</v>
      </c>
      <c r="O24" s="89"/>
      <c r="P24" s="129" t="s">
        <v>204</v>
      </c>
      <c r="Q24" s="116">
        <v>1668691</v>
      </c>
      <c r="R24" s="116">
        <v>2206838108</v>
      </c>
      <c r="S24" s="116">
        <v>8177.24</v>
      </c>
      <c r="T24" s="130">
        <f t="shared" ref="T24" si="15">Q24/S24</f>
        <v>204.06530809906522</v>
      </c>
      <c r="U24" s="78"/>
    </row>
    <row r="25" spans="1:21" s="79" customFormat="1" ht="13.2" hidden="1">
      <c r="A25" s="129" t="s">
        <v>219</v>
      </c>
      <c r="B25" s="131">
        <f>SUM(F23:F25)</f>
        <v>336800.49817726132</v>
      </c>
      <c r="C25" s="131">
        <f>AVERAGE(F23:F25)</f>
        <v>112266.83272575377</v>
      </c>
      <c r="D25" s="90">
        <f>C25/C22-1</f>
        <v>-0.10599431621603583</v>
      </c>
      <c r="E25" s="286">
        <f>C25/C13-1</f>
        <v>-2.4630672079402616E-2</v>
      </c>
      <c r="F25" s="78">
        <f>Q25/19</f>
        <v>141856.52631578947</v>
      </c>
      <c r="G25" s="90">
        <f t="shared" ref="G25" si="16">F25/F24-1</f>
        <v>0.87023456047127246</v>
      </c>
      <c r="H25" s="90">
        <f t="shared" ref="H25" si="17">F25/F13-1</f>
        <v>0.10654415532707628</v>
      </c>
      <c r="I25" s="130">
        <f t="shared" si="0"/>
        <v>193.59721650587881</v>
      </c>
      <c r="J25" s="130">
        <f t="shared" si="5"/>
        <v>-0.20472764621291561</v>
      </c>
      <c r="K25" s="78">
        <f>R23+R24+R25</f>
        <v>9006189308</v>
      </c>
      <c r="L25" s="90">
        <f>U25/U22-1</f>
        <v>-0.11749843777377522</v>
      </c>
      <c r="M25" s="90">
        <f>U25/U13-1</f>
        <v>-4.5893237061156111E-2</v>
      </c>
      <c r="N25" s="88">
        <f>AVERAGE(T23:T25)</f>
        <v>194.13348249622626</v>
      </c>
      <c r="O25" s="91">
        <f>N25/N22-1</f>
        <v>-0.2110645803777198</v>
      </c>
      <c r="P25" s="129" t="s">
        <v>219</v>
      </c>
      <c r="Q25" s="116">
        <v>2695274</v>
      </c>
      <c r="R25" s="116">
        <v>3577258224</v>
      </c>
      <c r="S25" s="116">
        <v>13922.07</v>
      </c>
      <c r="T25" s="130">
        <f t="shared" ref="T25" si="18">Q25/S25</f>
        <v>193.59721650587881</v>
      </c>
      <c r="U25" s="85">
        <f>Q23+Q24+Q25</f>
        <v>6864947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148581.89473684211</v>
      </c>
      <c r="G26" s="90">
        <f t="shared" ref="G26" si="19">F26/F25-1</f>
        <v>4.7409651115248419E-2</v>
      </c>
      <c r="H26" s="90">
        <f t="shared" ref="H26" si="20">F26/F14-1</f>
        <v>-2.189391432074983E-2</v>
      </c>
      <c r="I26" s="130">
        <f t="shared" si="0"/>
        <v>166.40324429786943</v>
      </c>
      <c r="J26" s="130">
        <f t="shared" si="5"/>
        <v>-0.28979673388390148</v>
      </c>
      <c r="L26" s="90"/>
      <c r="M26" s="90"/>
      <c r="P26" s="129" t="s">
        <v>312</v>
      </c>
      <c r="Q26" s="116">
        <v>2823056</v>
      </c>
      <c r="R26" s="116">
        <v>3811555816</v>
      </c>
      <c r="S26" s="116">
        <v>16965.150000000001</v>
      </c>
      <c r="T26" s="130">
        <f t="shared" ref="T26" si="21">Q26/S26</f>
        <v>166.40324429786943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125375.54545454546</v>
      </c>
      <c r="G27" s="90">
        <f t="shared" ref="G27" si="22">F27/F26-1</f>
        <v>-0.15618557916089382</v>
      </c>
      <c r="H27" s="90">
        <f t="shared" ref="H27" si="23">F27/F15-1</f>
        <v>9.4207124285837773E-2</v>
      </c>
      <c r="I27" s="130">
        <f t="shared" si="0"/>
        <v>199.59924741298212</v>
      </c>
      <c r="J27" s="130">
        <f t="shared" si="5"/>
        <v>-3.614913801329922E-2</v>
      </c>
      <c r="L27" s="90"/>
      <c r="M27" s="90"/>
      <c r="P27" s="129" t="s">
        <v>377</v>
      </c>
      <c r="Q27" s="116">
        <v>2758262</v>
      </c>
      <c r="R27" s="116">
        <v>3625493499</v>
      </c>
      <c r="S27" s="116">
        <v>13819</v>
      </c>
      <c r="T27" s="130">
        <f t="shared" ref="T27" si="24">Q27/S27</f>
        <v>199.59924741298212</v>
      </c>
      <c r="U27" s="78"/>
    </row>
    <row r="28" spans="1:21" s="79" customFormat="1" ht="13.2" hidden="1">
      <c r="A28" s="123" t="s">
        <v>414</v>
      </c>
      <c r="B28" s="131">
        <f>SUM(F26:F28)</f>
        <v>322502.80861244019</v>
      </c>
      <c r="C28" s="131">
        <f>AVERAGE(F26:F28)</f>
        <v>107500.93620414672</v>
      </c>
      <c r="D28" s="90">
        <f>C28/C25-1</f>
        <v>-4.2451509550012978E-2</v>
      </c>
      <c r="E28" s="286">
        <f>C28/C16-1</f>
        <v>-0.10322251377575564</v>
      </c>
      <c r="F28" s="78">
        <f>Q28/19</f>
        <v>48545.368421052633</v>
      </c>
      <c r="G28" s="90">
        <f t="shared" ref="G28" si="25">F28/F27-1</f>
        <v>-0.61280034120647064</v>
      </c>
      <c r="H28" s="90">
        <f t="shared" ref="H28" si="26">F28/F16-1</f>
        <v>-0.478764442465762</v>
      </c>
      <c r="I28" s="130">
        <f t="shared" si="0"/>
        <v>162.96119618163218</v>
      </c>
      <c r="J28" s="130">
        <f t="shared" si="5"/>
        <v>-0.33741793245323781</v>
      </c>
      <c r="K28" s="78">
        <f>R26+R27+R28</f>
        <v>8643406354</v>
      </c>
      <c r="L28" s="90">
        <f>U28/U25-1</f>
        <v>-5.2624878240137951E-2</v>
      </c>
      <c r="M28" s="90">
        <f>U28/U16-1</f>
        <v>-0.14514292023504471</v>
      </c>
      <c r="N28" s="88">
        <f>AVERAGE(T26:T28)</f>
        <v>176.3212292974946</v>
      </c>
      <c r="O28" s="91">
        <f>N28/N25-1</f>
        <v>-9.1752607379708029E-2</v>
      </c>
      <c r="P28" s="129" t="s">
        <v>414</v>
      </c>
      <c r="Q28" s="116">
        <v>922362</v>
      </c>
      <c r="R28" s="116">
        <v>1206357039</v>
      </c>
      <c r="S28" s="116">
        <v>5660.01</v>
      </c>
      <c r="T28" s="130">
        <f t="shared" ref="T28" si="27">Q28/S28</f>
        <v>162.96119618163218</v>
      </c>
      <c r="U28" s="85">
        <f>Q26+Q27+Q28</f>
        <v>6503680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107704.72727272728</v>
      </c>
      <c r="G29" s="190">
        <f t="shared" ref="G29" si="28">F29/F28-1</f>
        <v>1.2186406402061429</v>
      </c>
      <c r="H29" s="190">
        <f t="shared" ref="H29" si="29">F29/F17-1</f>
        <v>-0.10986063134535495</v>
      </c>
      <c r="I29" s="130">
        <f t="shared" si="0"/>
        <v>201.1975885199966</v>
      </c>
      <c r="J29" s="130">
        <f t="shared" si="5"/>
        <v>2.9703123789297292E-2</v>
      </c>
      <c r="K29" s="136"/>
      <c r="L29" s="190"/>
      <c r="M29" s="190"/>
      <c r="N29" s="191"/>
      <c r="O29" s="192"/>
      <c r="P29" s="129" t="s">
        <v>438</v>
      </c>
      <c r="Q29" s="116">
        <v>2369504</v>
      </c>
      <c r="R29" s="116">
        <v>3121289300</v>
      </c>
      <c r="S29" s="116">
        <v>11777</v>
      </c>
      <c r="T29" s="130">
        <f t="shared" ref="T29" si="30">Q29/S29</f>
        <v>201.1975885199966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155375.57894736843</v>
      </c>
      <c r="G30" s="190">
        <f t="shared" ref="G30" si="31">F30/F29-1</f>
        <v>0.44260686491438928</v>
      </c>
      <c r="H30" s="190">
        <f t="shared" ref="H30" si="32">F30/F18-1</f>
        <v>0.29957078941568627</v>
      </c>
      <c r="I30" s="130">
        <f t="shared" si="0"/>
        <v>211.15100606816603</v>
      </c>
      <c r="J30" s="130">
        <f t="shared" si="5"/>
        <v>-2.088532944411825E-2</v>
      </c>
      <c r="K30" s="136"/>
      <c r="L30" s="190"/>
      <c r="M30" s="190"/>
      <c r="N30" s="191"/>
      <c r="O30" s="192"/>
      <c r="P30" s="129" t="s">
        <v>466</v>
      </c>
      <c r="Q30" s="116">
        <v>2952136</v>
      </c>
      <c r="R30" s="116">
        <v>3933868682</v>
      </c>
      <c r="S30" s="116">
        <v>13981.16</v>
      </c>
      <c r="T30" s="130">
        <f t="shared" ref="T30" si="33">Q30/S30</f>
        <v>211.15100606816603</v>
      </c>
      <c r="U30" s="85"/>
    </row>
    <row r="31" spans="1:21" s="79" customFormat="1" ht="13.2" hidden="1">
      <c r="A31" s="129" t="s">
        <v>505</v>
      </c>
      <c r="B31" s="188">
        <f>SUM(F29:F31)</f>
        <v>403864.60622009571</v>
      </c>
      <c r="C31" s="188">
        <f>AVERAGE(F29:F31)</f>
        <v>134621.53540669856</v>
      </c>
      <c r="D31" s="190">
        <f>C31/C28-1</f>
        <v>0.25228244664817812</v>
      </c>
      <c r="E31" s="287">
        <f>C31/C19-1</f>
        <v>9.4129628354809869E-2</v>
      </c>
      <c r="F31" s="136">
        <f>Q31/20</f>
        <v>140784.29999999999</v>
      </c>
      <c r="G31" s="190">
        <f t="shared" ref="G31" si="34">F31/F30-1</f>
        <v>-9.3909731800974061E-2</v>
      </c>
      <c r="H31" s="190">
        <f t="shared" ref="H31" si="35">F31/F19-1</f>
        <v>9.5062723162119944E-2</v>
      </c>
      <c r="I31" s="130">
        <f t="shared" si="0"/>
        <v>208.84609308186921</v>
      </c>
      <c r="J31" s="130">
        <f t="shared" si="5"/>
        <v>-0.14138307896606983</v>
      </c>
      <c r="K31" s="136">
        <f>R29+R30+R31</f>
        <v>10797900744</v>
      </c>
      <c r="L31" s="190">
        <f>U31/U28-1</f>
        <v>0.25118794282621537</v>
      </c>
      <c r="M31" s="190">
        <f>U31/U19-1</f>
        <v>6.5162505059221054E-2</v>
      </c>
      <c r="N31" s="191">
        <f>AVERAGE(T29:T31)</f>
        <v>207.0648958900106</v>
      </c>
      <c r="O31" s="192">
        <f>N31/N28-1</f>
        <v>0.17436168472172087</v>
      </c>
      <c r="P31" s="129" t="s">
        <v>505</v>
      </c>
      <c r="Q31" s="116">
        <v>2815686</v>
      </c>
      <c r="R31" s="116">
        <v>3742742762</v>
      </c>
      <c r="S31" s="116">
        <v>13482.11</v>
      </c>
      <c r="T31" s="130">
        <f t="shared" ref="T31" si="36">Q31/S31</f>
        <v>208.84609308186921</v>
      </c>
      <c r="U31" s="85">
        <f>Q29+Q30+Q31</f>
        <v>8137326</v>
      </c>
    </row>
    <row r="32" spans="1:21" s="79" customFormat="1" ht="13.2" hidden="1">
      <c r="A32" s="129" t="s">
        <v>570</v>
      </c>
      <c r="B32" s="188"/>
      <c r="C32" s="188"/>
      <c r="D32" s="190"/>
      <c r="E32" s="287"/>
      <c r="F32" s="136">
        <f>Q32/21</f>
        <v>105625.80952380953</v>
      </c>
      <c r="G32" s="190">
        <f t="shared" ref="G32" si="37">F32/F31-1</f>
        <v>-0.24973303469343144</v>
      </c>
      <c r="H32" s="190">
        <f t="shared" ref="H32" si="38">F32/F20-1</f>
        <v>-0.20226897868698424</v>
      </c>
      <c r="I32" s="130">
        <f t="shared" si="0"/>
        <v>221.6337900948628</v>
      </c>
      <c r="J32" s="130">
        <f t="shared" si="5"/>
        <v>-1.6840040905042764E-2</v>
      </c>
      <c r="K32" s="136"/>
      <c r="L32" s="190"/>
      <c r="M32" s="190"/>
      <c r="N32" s="191"/>
      <c r="O32" s="192"/>
      <c r="P32" s="129" t="s">
        <v>570</v>
      </c>
      <c r="Q32" s="116">
        <v>2218142</v>
      </c>
      <c r="R32" s="116">
        <v>3048414280</v>
      </c>
      <c r="S32" s="116">
        <v>10008.14</v>
      </c>
      <c r="T32" s="130">
        <f t="shared" ref="T32" si="39">Q32/S32</f>
        <v>221.6337900948628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146604.95238095237</v>
      </c>
      <c r="G33" s="190">
        <f t="shared" ref="G33" si="40">F33/F32-1</f>
        <v>0.38796524298264035</v>
      </c>
      <c r="H33" s="190">
        <f t="shared" ref="H33" si="41">F33/F21-1</f>
        <v>0.57469685833372974</v>
      </c>
      <c r="I33" s="130">
        <f t="shared" si="0"/>
        <v>179.61670695158401</v>
      </c>
      <c r="J33" s="130">
        <f t="shared" si="5"/>
        <v>-0.39878427999086108</v>
      </c>
      <c r="K33" s="136"/>
      <c r="L33" s="190"/>
      <c r="M33" s="190"/>
      <c r="N33" s="191"/>
      <c r="O33" s="192"/>
      <c r="P33" s="129" t="s">
        <v>607</v>
      </c>
      <c r="Q33" s="116">
        <v>3078704</v>
      </c>
      <c r="R33" s="116">
        <v>4192813005</v>
      </c>
      <c r="S33" s="116">
        <v>17140.41</v>
      </c>
      <c r="T33" s="130">
        <f t="shared" ref="T33" si="42">Q33/S33</f>
        <v>179.61670695158401</v>
      </c>
      <c r="U33" s="85"/>
    </row>
    <row r="34" spans="1:21" s="79" customFormat="1" ht="13.2" hidden="1">
      <c r="A34" s="129" t="s">
        <v>652</v>
      </c>
      <c r="B34" s="188">
        <f>SUM(F32:F34)</f>
        <v>340330.70927318296</v>
      </c>
      <c r="C34" s="188">
        <f>AVERAGE(F32:F34)</f>
        <v>113443.56975772766</v>
      </c>
      <c r="D34" s="190">
        <f>C34/C31-1</f>
        <v>-0.157314842569513</v>
      </c>
      <c r="E34" s="287">
        <f>C34/C22-1</f>
        <v>-9.6623698292988336E-2</v>
      </c>
      <c r="F34" s="136">
        <f>Q34/19</f>
        <v>88099.947368421053</v>
      </c>
      <c r="G34" s="190">
        <f t="shared" ref="G34" si="43">F34/F33-1</f>
        <v>-0.39906567999494513</v>
      </c>
      <c r="H34" s="190">
        <f t="shared" ref="H34" si="44">F34/F22-1</f>
        <v>-0.41741976260436542</v>
      </c>
      <c r="I34" s="130">
        <f t="shared" si="0"/>
        <v>205.23025428508373</v>
      </c>
      <c r="J34" s="130">
        <f t="shared" si="5"/>
        <v>-4.1090647447561968E-2</v>
      </c>
      <c r="K34" s="136">
        <f>R32+R33+R34</f>
        <v>9548907422</v>
      </c>
      <c r="L34" s="190">
        <f>U34/U31-1</f>
        <v>-0.14336171366367767</v>
      </c>
      <c r="M34" s="190">
        <f>U34/U22-1</f>
        <v>-0.10389791029986906</v>
      </c>
      <c r="N34" s="191">
        <f>AVERAGE(T32:T34)</f>
        <v>202.16025044384352</v>
      </c>
      <c r="O34" s="192">
        <f>N34/N31-1</f>
        <v>-2.3686513472435E-2</v>
      </c>
      <c r="P34" s="129" t="s">
        <v>652</v>
      </c>
      <c r="Q34" s="116">
        <v>1673899</v>
      </c>
      <c r="R34" s="116">
        <v>2307680137</v>
      </c>
      <c r="S34" s="116">
        <v>8156.2</v>
      </c>
      <c r="T34" s="130">
        <f t="shared" ref="T34" si="45">Q34/S34</f>
        <v>205.23025428508373</v>
      </c>
      <c r="U34" s="85">
        <f>Q32+Q33+Q34</f>
        <v>6970745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122337.86956521739</v>
      </c>
      <c r="G35" s="190">
        <f t="shared" ref="G35" si="46">F35/F34-1</f>
        <v>0.38862590977061973</v>
      </c>
      <c r="H35" s="190">
        <f t="shared" ref="H35" si="47">F35/F23-1</f>
        <v>2.7234606594355837E-2</v>
      </c>
      <c r="I35" s="130">
        <f t="shared" si="0"/>
        <v>312.40865133733774</v>
      </c>
      <c r="J35" s="130">
        <f t="shared" si="5"/>
        <v>0.69109106815038168</v>
      </c>
      <c r="K35" s="136"/>
      <c r="L35" s="190"/>
      <c r="M35" s="190"/>
      <c r="N35" s="191"/>
      <c r="O35" s="192"/>
      <c r="P35" s="129" t="s">
        <v>660</v>
      </c>
      <c r="Q35" s="116">
        <v>2813771</v>
      </c>
      <c r="R35" s="116">
        <v>3889876796</v>
      </c>
      <c r="S35" s="116">
        <v>9006.7000000000007</v>
      </c>
      <c r="T35" s="130">
        <f t="shared" ref="T35" si="48">Q35/S35</f>
        <v>312.40865133733774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149225.90476190476</v>
      </c>
      <c r="G36" s="190">
        <f t="shared" ref="G36" si="49">F36/F35-1</f>
        <v>0.2197850534118837</v>
      </c>
      <c r="H36" s="190">
        <f t="shared" ref="H36" si="50">F36/F24-1</f>
        <v>0.96739234811112707</v>
      </c>
      <c r="I36" s="130">
        <f t="shared" si="0"/>
        <v>226.17949176910773</v>
      </c>
      <c r="J36" s="130">
        <f t="shared" si="5"/>
        <v>0.10836816838708807</v>
      </c>
      <c r="K36" s="136"/>
      <c r="L36" s="190"/>
      <c r="M36" s="190"/>
      <c r="N36" s="191"/>
      <c r="O36" s="192"/>
      <c r="P36" s="129" t="s">
        <v>664</v>
      </c>
      <c r="Q36" s="116">
        <v>3133744</v>
      </c>
      <c r="R36" s="116">
        <v>4223177867</v>
      </c>
      <c r="S36" s="116">
        <v>13855.12</v>
      </c>
      <c r="T36" s="130">
        <f t="shared" ref="T36" si="51">Q36/S36</f>
        <v>226.17949176910773</v>
      </c>
      <c r="U36" s="85"/>
    </row>
    <row r="37" spans="1:21" s="79" customFormat="1" ht="13.2" hidden="1">
      <c r="A37" s="129" t="s">
        <v>702</v>
      </c>
      <c r="B37" s="188">
        <f>SUM(F35:F37)</f>
        <v>448281.77432712214</v>
      </c>
      <c r="C37" s="188">
        <f>AVERAGE(F35:F37)</f>
        <v>149427.2581090407</v>
      </c>
      <c r="D37" s="190">
        <f>C37/C34-1</f>
        <v>0.31719460546032296</v>
      </c>
      <c r="E37" s="287">
        <f>C37/C25-1</f>
        <v>0.33100092414705129</v>
      </c>
      <c r="F37" s="136">
        <f>Q37/18</f>
        <v>176718</v>
      </c>
      <c r="G37" s="190">
        <f t="shared" ref="G37" si="52">F37/F36-1</f>
        <v>0.18423138584389798</v>
      </c>
      <c r="H37" s="190">
        <f t="shared" ref="H37" si="53">F37/F25-1</f>
        <v>0.24575163786687382</v>
      </c>
      <c r="I37" s="130">
        <f t="shared" si="0"/>
        <v>282.19970209077627</v>
      </c>
      <c r="J37" s="130">
        <f t="shared" si="5"/>
        <v>0.45766404695290097</v>
      </c>
      <c r="K37" s="136">
        <f>R35+R36+R37</f>
        <v>12350894684</v>
      </c>
      <c r="L37" s="190">
        <f>U37/U34-1</f>
        <v>0.30953563786940985</v>
      </c>
      <c r="M37" s="190">
        <f>U37/U25-1</f>
        <v>0.32971733066548081</v>
      </c>
      <c r="N37" s="191">
        <f>AVERAGE(T35:T37)</f>
        <v>273.5959483990739</v>
      </c>
      <c r="O37" s="192">
        <f>N37/N34-1</f>
        <v>0.35336174049247093</v>
      </c>
      <c r="P37" s="129" t="s">
        <v>702</v>
      </c>
      <c r="Q37" s="116">
        <v>3180924</v>
      </c>
      <c r="R37" s="116">
        <v>4237840021</v>
      </c>
      <c r="S37" s="116">
        <v>11271.89</v>
      </c>
      <c r="T37" s="130">
        <f t="shared" ref="T37" si="54">Q37/S37</f>
        <v>282.19970209077627</v>
      </c>
      <c r="U37" s="85">
        <f>Q35+Q36+Q37</f>
        <v>9128439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127183.55</v>
      </c>
      <c r="G38" s="190">
        <f t="shared" ref="G38" si="55">F38/F37-1</f>
        <v>-0.28030223293609025</v>
      </c>
      <c r="H38" s="190">
        <f t="shared" ref="H38" si="56">F38/F26-1</f>
        <v>-0.14401717500467581</v>
      </c>
      <c r="I38" s="130">
        <f t="shared" si="0"/>
        <v>270.51696267148782</v>
      </c>
      <c r="J38" s="130">
        <f t="shared" si="5"/>
        <v>0.62567120498714579</v>
      </c>
      <c r="K38" s="136"/>
      <c r="L38" s="190"/>
      <c r="M38" s="190"/>
      <c r="N38" s="191"/>
      <c r="O38" s="192"/>
      <c r="P38" s="129" t="s">
        <v>727</v>
      </c>
      <c r="Q38" s="116">
        <v>2543671</v>
      </c>
      <c r="R38" s="116">
        <v>3474186717</v>
      </c>
      <c r="S38" s="116">
        <v>9403</v>
      </c>
      <c r="T38" s="130">
        <f t="shared" ref="T38" si="57">Q38/S38</f>
        <v>270.51696267148782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174509.19047619047</v>
      </c>
      <c r="G39" s="190">
        <f t="shared" ref="G39" si="58">F39/F38-1</f>
        <v>0.37210504405790279</v>
      </c>
      <c r="H39" s="190">
        <f t="shared" ref="H39" si="59">F39/F27-1</f>
        <v>0.39189177477563431</v>
      </c>
      <c r="I39" s="130">
        <f t="shared" si="0"/>
        <v>268.81617814799847</v>
      </c>
      <c r="J39" s="130">
        <f t="shared" si="5"/>
        <v>0.34677951761913506</v>
      </c>
      <c r="K39" s="136"/>
      <c r="L39" s="190"/>
      <c r="M39" s="190"/>
      <c r="N39" s="191"/>
      <c r="O39" s="192"/>
      <c r="P39" s="129" t="s">
        <v>762</v>
      </c>
      <c r="Q39" s="116">
        <v>3664693</v>
      </c>
      <c r="R39" s="116">
        <v>5112072627</v>
      </c>
      <c r="S39" s="116">
        <v>13632.71</v>
      </c>
      <c r="T39" s="130">
        <f t="shared" ref="T39" si="60">Q39/S39</f>
        <v>268.81617814799847</v>
      </c>
      <c r="U39" s="85"/>
    </row>
    <row r="40" spans="1:21" s="79" customFormat="1" ht="13.2" hidden="1">
      <c r="A40" s="129" t="s">
        <v>778</v>
      </c>
      <c r="B40" s="188">
        <f>SUM(F38:F40)</f>
        <v>380282.50238095236</v>
      </c>
      <c r="C40" s="188">
        <f>AVERAGE(F38:F40)</f>
        <v>126760.83412698412</v>
      </c>
      <c r="D40" s="190">
        <f>C40/C37-1</f>
        <v>-0.15168868296784477</v>
      </c>
      <c r="E40" s="287">
        <f>C40/C28-1</f>
        <v>0.17916028085804214</v>
      </c>
      <c r="F40" s="136">
        <f>Q40/21</f>
        <v>78589.761904761908</v>
      </c>
      <c r="G40" s="190">
        <f t="shared" ref="G40" si="61">F40/F39-1</f>
        <v>-0.54965259027154523</v>
      </c>
      <c r="H40" s="190">
        <f t="shared" ref="H40" si="62">F40/F28-1</f>
        <v>0.61889309857786445</v>
      </c>
      <c r="I40" s="130">
        <f t="shared" si="0"/>
        <v>247.20239655495226</v>
      </c>
      <c r="J40" s="130">
        <f t="shared" si="5"/>
        <v>0.51694024312037512</v>
      </c>
      <c r="K40" s="136">
        <f>R38+R39+R40</f>
        <v>10940671454</v>
      </c>
      <c r="L40" s="190">
        <f>U40/U37-1</f>
        <v>-0.13909168917051429</v>
      </c>
      <c r="M40" s="190">
        <f>U40/U28-1</f>
        <v>0.20835419331824445</v>
      </c>
      <c r="N40" s="191">
        <f>AVERAGE(T38:T40)</f>
        <v>262.17851245814614</v>
      </c>
      <c r="O40" s="192">
        <f>N40/N37-1</f>
        <v>-4.1731012493920416E-2</v>
      </c>
      <c r="P40" s="129" t="s">
        <v>778</v>
      </c>
      <c r="Q40" s="116">
        <v>1650385</v>
      </c>
      <c r="R40" s="116">
        <v>2354412110</v>
      </c>
      <c r="S40" s="116">
        <v>6676.25</v>
      </c>
      <c r="T40" s="130">
        <f t="shared" ref="T40" si="63">Q40/S40</f>
        <v>247.20239655495226</v>
      </c>
      <c r="U40" s="85">
        <f>Q38+Q39+Q40</f>
        <v>7858749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109322.05555555556</v>
      </c>
      <c r="G41" s="190">
        <f t="shared" ref="G41" si="64">F41/F40-1</f>
        <v>0.39104703851929501</v>
      </c>
      <c r="H41" s="190">
        <f t="shared" ref="H41" si="65">F41/F29-1</f>
        <v>1.5016316588713163E-2</v>
      </c>
      <c r="I41" s="130">
        <f t="shared" si="0"/>
        <v>283.90668778873317</v>
      </c>
      <c r="J41" s="130">
        <f t="shared" si="5"/>
        <v>0.41108394925178882</v>
      </c>
      <c r="K41" s="193"/>
      <c r="L41" s="190"/>
      <c r="M41" s="190"/>
      <c r="N41" s="193"/>
      <c r="O41" s="193"/>
      <c r="P41" s="129" t="s">
        <v>792</v>
      </c>
      <c r="Q41" s="116">
        <v>1967797</v>
      </c>
      <c r="R41" s="116">
        <v>2863824789</v>
      </c>
      <c r="S41" s="116">
        <v>6931.14</v>
      </c>
      <c r="T41" s="130">
        <f t="shared" ref="T41" si="66">Q41/S41</f>
        <v>283.90668778873317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124419.6</v>
      </c>
      <c r="G42" s="190">
        <f t="shared" ref="G42" si="67">F42/F41-1</f>
        <v>0.13810154197816127</v>
      </c>
      <c r="H42" s="190">
        <f t="shared" ref="H42" si="68">F42/F30-1</f>
        <v>-0.19923323315728003</v>
      </c>
      <c r="I42" s="130">
        <f t="shared" si="0"/>
        <v>206.9237005899889</v>
      </c>
      <c r="J42" s="130">
        <f t="shared" si="5"/>
        <v>-2.0020295223279305E-2</v>
      </c>
      <c r="K42" s="193"/>
      <c r="L42" s="190"/>
      <c r="M42" s="190"/>
      <c r="N42" s="193"/>
      <c r="O42" s="193"/>
      <c r="P42" s="129" t="s">
        <v>826</v>
      </c>
      <c r="Q42" s="116">
        <v>2488392</v>
      </c>
      <c r="R42" s="116">
        <v>3593698456</v>
      </c>
      <c r="S42" s="116">
        <v>12025.65</v>
      </c>
      <c r="T42" s="130">
        <f t="shared" ref="T42" si="69">Q42/S42</f>
        <v>206.9237005899889</v>
      </c>
      <c r="U42" s="78"/>
    </row>
    <row r="43" spans="1:21" s="79" customFormat="1" ht="13.2">
      <c r="A43" s="129" t="s">
        <v>835</v>
      </c>
      <c r="B43" s="188">
        <f>SUM(F41:F43)</f>
        <v>364720.60555555555</v>
      </c>
      <c r="C43" s="188">
        <f>AVERAGE(F41:F43)</f>
        <v>121573.53518518519</v>
      </c>
      <c r="D43" s="190">
        <f>C43/C40-1</f>
        <v>-4.0921937580518764E-2</v>
      </c>
      <c r="E43" s="287">
        <f>C43/C31-1</f>
        <v>-9.6923573053112944E-2</v>
      </c>
      <c r="F43" s="136">
        <f>Q43/20</f>
        <v>130978.95</v>
      </c>
      <c r="G43" s="190">
        <f t="shared" ref="G43" si="70">F43/F42-1</f>
        <v>5.2719587589093564E-2</v>
      </c>
      <c r="H43" s="190">
        <f t="shared" ref="H43" si="71">F43/F31-1</f>
        <v>-6.9648036038109318E-2</v>
      </c>
      <c r="I43" s="130">
        <f t="shared" si="0"/>
        <v>300.69733966353215</v>
      </c>
      <c r="J43" s="130">
        <f t="shared" si="5"/>
        <v>0.43980351859230882</v>
      </c>
      <c r="K43" s="136">
        <f>R41+R42+R43</f>
        <v>10275464579</v>
      </c>
      <c r="L43" s="190">
        <f>U43/U40-1</f>
        <v>-9.9631760729347651E-2</v>
      </c>
      <c r="M43" s="190">
        <f>K43/K31-1</f>
        <v>-4.8383123477987011E-2</v>
      </c>
      <c r="N43" s="191">
        <f>AVERAGE(T41:T43)</f>
        <v>263.84257601408473</v>
      </c>
      <c r="O43" s="192">
        <f>N43/N40-1</f>
        <v>6.3470630767432645E-3</v>
      </c>
      <c r="P43" s="129" t="s">
        <v>835</v>
      </c>
      <c r="Q43" s="116">
        <v>2619579</v>
      </c>
      <c r="R43" s="116">
        <v>3817941334</v>
      </c>
      <c r="S43" s="116">
        <v>8711.68</v>
      </c>
      <c r="T43" s="130">
        <f t="shared" ref="T43" si="72">Q43/S43</f>
        <v>300.69733966353215</v>
      </c>
      <c r="U43" s="85">
        <f>Q41+Q42+Q43</f>
        <v>7075768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111412.27272727272</v>
      </c>
      <c r="G44" s="190">
        <f t="shared" ref="G44" si="73">F44/F43-1</f>
        <v>-0.14938795335225452</v>
      </c>
      <c r="H44" s="190">
        <f t="shared" ref="H44" si="74">F44/F32-1</f>
        <v>5.4782663721586466E-2</v>
      </c>
      <c r="I44" s="130">
        <f t="shared" si="0"/>
        <v>281.96585906251039</v>
      </c>
      <c r="J44" s="130">
        <f t="shared" si="5"/>
        <v>0.2722151209065391</v>
      </c>
      <c r="K44" s="136"/>
      <c r="L44" s="190"/>
      <c r="M44" s="190"/>
      <c r="N44" s="191"/>
      <c r="O44" s="192"/>
      <c r="P44" s="129" t="s">
        <v>843</v>
      </c>
      <c r="Q44" s="116">
        <v>2451070</v>
      </c>
      <c r="R44" s="116">
        <v>3530051054</v>
      </c>
      <c r="S44" s="116">
        <v>8692.7900000000009</v>
      </c>
      <c r="T44" s="130">
        <f t="shared" ref="T44" si="75">Q44/S44</f>
        <v>281.96585906251039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101041.1</v>
      </c>
      <c r="G45" s="190">
        <f t="shared" ref="G45" si="76">F45/F44-1</f>
        <v>-9.3088243093832346E-2</v>
      </c>
      <c r="H45" s="190">
        <f t="shared" ref="H45" si="77">F45/F33-1</f>
        <v>-0.31079340527702559</v>
      </c>
      <c r="I45" s="130">
        <f t="shared" si="0"/>
        <v>257.27879204542558</v>
      </c>
      <c r="J45" s="130">
        <f t="shared" si="5"/>
        <v>0.43237673383453967</v>
      </c>
      <c r="K45" s="136"/>
      <c r="L45" s="190"/>
      <c r="M45" s="190"/>
      <c r="N45" s="191"/>
      <c r="O45" s="192"/>
      <c r="P45" s="129" t="s">
        <v>853</v>
      </c>
      <c r="Q45" s="116">
        <v>2020822</v>
      </c>
      <c r="R45" s="116">
        <v>2827610716</v>
      </c>
      <c r="S45" s="116">
        <v>7854.6</v>
      </c>
      <c r="T45" s="130">
        <f t="shared" ref="T45" si="78">Q45/S45</f>
        <v>257.27879204542558</v>
      </c>
      <c r="U45" s="85"/>
    </row>
    <row r="46" spans="1:21" s="79" customFormat="1" ht="13.2">
      <c r="A46" s="129" t="s">
        <v>888</v>
      </c>
      <c r="B46" s="188">
        <f>SUM(F44:F46)</f>
        <v>385979.0043062201</v>
      </c>
      <c r="C46" s="188">
        <f>AVERAGE(F44:F46)</f>
        <v>128659.66810207337</v>
      </c>
      <c r="D46" s="190">
        <f>C46/C43-1</f>
        <v>5.8286804822236471E-2</v>
      </c>
      <c r="E46" s="287">
        <f>C46/C34-1</f>
        <v>0.13412922721703402</v>
      </c>
      <c r="F46" s="136">
        <f>Q46/19</f>
        <v>173525.63157894736</v>
      </c>
      <c r="G46" s="190">
        <f t="shared" ref="G46" si="79">F46/F45-1</f>
        <v>0.71737670689400002</v>
      </c>
      <c r="H46" s="190">
        <f t="shared" ref="H46" si="80">F46/F34-1</f>
        <v>0.96964512195777641</v>
      </c>
      <c r="I46" s="130">
        <f t="shared" si="0"/>
        <v>254.34376427169607</v>
      </c>
      <c r="J46" s="130">
        <f t="shared" si="5"/>
        <v>0.23930930728365785</v>
      </c>
      <c r="K46" s="136">
        <f>R44+R45+R46</f>
        <v>10872232965</v>
      </c>
      <c r="L46" s="190">
        <f>U46/U43-1</f>
        <v>9.7955585881278173E-2</v>
      </c>
      <c r="M46" s="190">
        <f>K46/K34-1</f>
        <v>0.13858397453421234</v>
      </c>
      <c r="N46" s="191">
        <f>AVERAGE(T44:T46)</f>
        <v>264.52947179321069</v>
      </c>
      <c r="O46" s="192">
        <f>N46/N43-1</f>
        <v>2.6034303845232643E-3</v>
      </c>
      <c r="P46" s="129" t="s">
        <v>888</v>
      </c>
      <c r="Q46" s="116">
        <v>3296987</v>
      </c>
      <c r="R46" s="116">
        <v>4514571195</v>
      </c>
      <c r="S46" s="116">
        <v>12962.72</v>
      </c>
      <c r="T46" s="130">
        <f t="shared" ref="T46" si="81">Q46/S46</f>
        <v>254.34376427169607</v>
      </c>
      <c r="U46" s="85">
        <f t="shared" ref="U46:U51" si="82">Q44+Q45+Q46</f>
        <v>7768879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150963.65217391305</v>
      </c>
      <c r="G47" s="190">
        <f t="shared" ref="G47" si="83">F47/F46-1</f>
        <v>-0.13002101879554018</v>
      </c>
      <c r="H47" s="190">
        <f t="shared" ref="H47" si="84">F47/F35-1</f>
        <v>0.23398954641298109</v>
      </c>
      <c r="I47" s="130">
        <f t="shared" si="0"/>
        <v>230.26792582964163</v>
      </c>
      <c r="J47" s="130">
        <f t="shared" si="5"/>
        <v>-0.26292717937250998</v>
      </c>
      <c r="K47" s="136"/>
      <c r="L47" s="190"/>
      <c r="M47" s="190"/>
      <c r="N47" s="191"/>
      <c r="O47" s="192"/>
      <c r="P47" s="129" t="s">
        <v>991</v>
      </c>
      <c r="Q47" s="116">
        <v>3472164</v>
      </c>
      <c r="R47" s="116">
        <v>4794996524</v>
      </c>
      <c r="S47" s="116">
        <v>15078.8</v>
      </c>
      <c r="T47" s="130">
        <f t="shared" ref="T47" si="85">Q47/S47</f>
        <v>230.26792582964163</v>
      </c>
      <c r="U47" s="85">
        <f t="shared" si="82"/>
        <v>8789973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108088.05</v>
      </c>
      <c r="G48" s="190">
        <f t="shared" ref="G48" si="86">F48/F47-1</f>
        <v>-0.28401275112581092</v>
      </c>
      <c r="H48" s="190">
        <f t="shared" ref="H48" si="87">F48/F36-1</f>
        <v>-0.2756750232309978</v>
      </c>
      <c r="I48" s="130">
        <f t="shared" si="0"/>
        <v>264.73968264465242</v>
      </c>
      <c r="J48" s="130">
        <f t="shared" si="5"/>
        <v>0.17048491255302811</v>
      </c>
      <c r="K48" s="136"/>
      <c r="L48" s="190"/>
      <c r="M48" s="190"/>
      <c r="N48" s="191"/>
      <c r="O48" s="192"/>
      <c r="P48" s="129" t="s">
        <v>1122</v>
      </c>
      <c r="Q48" s="116">
        <v>2161761</v>
      </c>
      <c r="R48" s="116">
        <v>3003737450</v>
      </c>
      <c r="S48" s="116">
        <v>8165.61</v>
      </c>
      <c r="T48" s="130">
        <f t="shared" ref="T48" si="88">Q48/S48</f>
        <v>264.73968264465242</v>
      </c>
      <c r="U48" s="85">
        <f t="shared" si="82"/>
        <v>8930912</v>
      </c>
    </row>
    <row r="49" spans="1:26" ht="13.2">
      <c r="A49" s="129" t="s">
        <v>1215</v>
      </c>
      <c r="B49" s="188">
        <f>SUM(F47:F49)</f>
        <v>414743.1567193676</v>
      </c>
      <c r="C49" s="188">
        <f>AVERAGE(F47:F49)</f>
        <v>138247.71890645588</v>
      </c>
      <c r="D49" s="190">
        <f>C49/C46-1</f>
        <v>7.4522583073786119E-2</v>
      </c>
      <c r="E49" s="287">
        <f>C49/C37-1</f>
        <v>-7.4815929463330266E-2</v>
      </c>
      <c r="F49" s="136">
        <f>Q49/22</f>
        <v>155691.45454545456</v>
      </c>
      <c r="G49" s="190">
        <f t="shared" ref="G49" si="89">F49/F48-1</f>
        <v>0.4404132052105163</v>
      </c>
      <c r="H49" s="190">
        <f t="shared" ref="H49" si="90">F49/F37-1</f>
        <v>-0.11898360922229456</v>
      </c>
      <c r="I49" s="130">
        <f t="shared" si="0"/>
        <v>296.52254687146956</v>
      </c>
      <c r="J49" s="130">
        <f t="shared" si="5"/>
        <v>5.0754287387893893E-2</v>
      </c>
      <c r="K49" s="136">
        <f>R47+R48+R49</f>
        <v>12564285115</v>
      </c>
      <c r="L49" s="190">
        <f>U49/U46-1</f>
        <v>0.16608033153817936</v>
      </c>
      <c r="M49" s="190">
        <f>K49/K37-1</f>
        <v>1.7277325769479379E-2</v>
      </c>
      <c r="N49" s="191">
        <f>AVERAGE(T47:T49)</f>
        <v>263.84338511525453</v>
      </c>
      <c r="O49" s="192">
        <f>N49/N46-1</f>
        <v>-2.5936114917753939E-3</v>
      </c>
      <c r="P49" s="129" t="s">
        <v>1165</v>
      </c>
      <c r="Q49" s="116">
        <v>3425212</v>
      </c>
      <c r="R49" s="116">
        <v>4765551141</v>
      </c>
      <c r="S49" s="116">
        <v>11551.27</v>
      </c>
      <c r="T49" s="130">
        <f t="shared" ref="T49" si="91">Q49/S49</f>
        <v>296.52254687146956</v>
      </c>
      <c r="U49" s="85">
        <f t="shared" si="82"/>
        <v>9059137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177303.33333333334</v>
      </c>
      <c r="G50" s="190">
        <f t="shared" ref="G50" si="92">F50/F49-1</f>
        <v>0.1388122350772254</v>
      </c>
      <c r="H50" s="190">
        <f t="shared" ref="H50" si="93">F50/F38-1</f>
        <v>0.39407441711867097</v>
      </c>
      <c r="I50" s="130">
        <f t="shared" ref="I50" si="94">T50</f>
        <v>249.9301064027234</v>
      </c>
      <c r="J50" s="130">
        <f t="shared" ref="J50" si="95">I50/I38-1</f>
        <v>-7.6101905275954285E-2</v>
      </c>
      <c r="K50" s="136"/>
      <c r="L50" s="190"/>
      <c r="M50" s="190"/>
      <c r="N50" s="191"/>
      <c r="O50" s="192"/>
      <c r="P50" s="129" t="s">
        <v>1338</v>
      </c>
      <c r="Q50" s="116">
        <v>3191460</v>
      </c>
      <c r="R50" s="116">
        <v>4542577965</v>
      </c>
      <c r="S50" s="116">
        <v>12769.41</v>
      </c>
      <c r="T50" s="130">
        <f t="shared" ref="T50" si="96">Q50/S50</f>
        <v>249.9301064027234</v>
      </c>
      <c r="U50" s="85">
        <f t="shared" si="82"/>
        <v>8778433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129568.05</v>
      </c>
      <c r="G51" s="190">
        <f t="shared" ref="G51:G52" si="97">F51/F50-1</f>
        <v>-0.26922947491116922</v>
      </c>
      <c r="H51" s="190">
        <f t="shared" ref="H51:H52" si="98">F51/F39-1</f>
        <v>-0.25752878890537345</v>
      </c>
      <c r="I51" s="130">
        <f t="shared" ref="I51:I52" si="99">T51</f>
        <v>283.4098721388176</v>
      </c>
      <c r="J51" s="130">
        <f t="shared" ref="J51:J52" si="100">I51/I39-1</f>
        <v>5.4288748881715199E-2</v>
      </c>
      <c r="K51" s="136"/>
      <c r="L51" s="190"/>
      <c r="M51" s="190"/>
      <c r="N51" s="191"/>
      <c r="O51" s="192"/>
      <c r="P51" s="129" t="s">
        <v>1402</v>
      </c>
      <c r="Q51" s="116">
        <v>2591361</v>
      </c>
      <c r="R51" s="116">
        <v>3785611330</v>
      </c>
      <c r="S51" s="116">
        <v>9143.51</v>
      </c>
      <c r="T51" s="130">
        <f t="shared" ref="T51:T52" si="101">Q51/S51</f>
        <v>283.4098721388176</v>
      </c>
      <c r="U51" s="85">
        <f t="shared" si="82"/>
        <v>9208033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360344.42878787883</v>
      </c>
      <c r="C52" s="188">
        <f>AVERAGE(F50:F52)</f>
        <v>120114.80959595961</v>
      </c>
      <c r="D52" s="190">
        <f>C52/C49-1</f>
        <v>-0.13116244849411041</v>
      </c>
      <c r="E52" s="287">
        <f>C52/C40-1</f>
        <v>-5.2429637094110415E-2</v>
      </c>
      <c r="F52" s="136">
        <f>Q52/22</f>
        <v>53473.045454545456</v>
      </c>
      <c r="G52" s="190">
        <f t="shared" si="97"/>
        <v>-0.58729759802246417</v>
      </c>
      <c r="H52" s="190">
        <f t="shared" si="98"/>
        <v>-0.31959272863879973</v>
      </c>
      <c r="I52" s="130">
        <f t="shared" si="99"/>
        <v>250.43896810562484</v>
      </c>
      <c r="J52" s="130">
        <f t="shared" si="100"/>
        <v>1.3092800052822762E-2</v>
      </c>
      <c r="K52" s="136">
        <f>R50+R51+R52</f>
        <v>10060419199</v>
      </c>
      <c r="L52" s="190">
        <f>U52/U49-1</f>
        <v>-0.23180011517653387</v>
      </c>
      <c r="M52" s="190">
        <f>K52/K40-1</f>
        <v>-8.0456876774064212E-2</v>
      </c>
      <c r="N52" s="191">
        <f>AVERAGE(T50:T52)</f>
        <v>261.2596488823886</v>
      </c>
      <c r="O52" s="192">
        <f>N52/N49-1</f>
        <v>-9.7926890671800049E-3</v>
      </c>
      <c r="P52" s="129" t="s">
        <v>1403</v>
      </c>
      <c r="Q52" s="116">
        <v>1176407</v>
      </c>
      <c r="R52" s="116">
        <v>1732229904</v>
      </c>
      <c r="S52" s="116">
        <v>4697.38</v>
      </c>
      <c r="T52" s="130">
        <f t="shared" si="101"/>
        <v>250.43896810562484</v>
      </c>
      <c r="U52" s="85">
        <f t="shared" ref="U52" si="102">Q50+Q51+Q52</f>
        <v>6959228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93431.952380952382</v>
      </c>
      <c r="G53" s="190">
        <f t="shared" ref="G53" si="103">F53/F52-1</f>
        <v>0.74727194957268384</v>
      </c>
      <c r="H53" s="190">
        <f t="shared" ref="H53" si="104">F53/F41-1</f>
        <v>-0.14535130256975548</v>
      </c>
      <c r="I53" s="130">
        <f t="shared" ref="I53" si="105">T53</f>
        <v>336.73736980216967</v>
      </c>
      <c r="J53" s="130">
        <f t="shared" ref="J53" si="106">I53/I41-1</f>
        <v>0.18608466896260656</v>
      </c>
      <c r="K53" s="136"/>
      <c r="L53" s="190"/>
      <c r="M53" s="190"/>
      <c r="N53" s="191"/>
      <c r="O53" s="192"/>
      <c r="P53" s="129" t="s">
        <v>1414</v>
      </c>
      <c r="Q53" s="116">
        <v>1962071</v>
      </c>
      <c r="R53" s="116">
        <v>2879186339</v>
      </c>
      <c r="S53" s="116">
        <v>5826.71</v>
      </c>
      <c r="T53" s="130">
        <f t="shared" ref="T53" si="107">Q53/S53</f>
        <v>336.73736980216967</v>
      </c>
      <c r="U53" s="85">
        <f t="shared" ref="U53" si="108">Q51+Q52+Q53</f>
        <v>5729839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142512.70588235295</v>
      </c>
      <c r="G54" s="190">
        <f t="shared" ref="G54" si="109">F54/F53-1</f>
        <v>0.52531015622238542</v>
      </c>
      <c r="H54" s="190">
        <f t="shared" ref="H54" si="110">F54/F42-1</f>
        <v>0.14542006148832609</v>
      </c>
      <c r="I54" s="130">
        <f t="shared" ref="I54" si="111">T54</f>
        <v>309.74329077219886</v>
      </c>
      <c r="J54" s="130">
        <f t="shared" ref="J54" si="112">I54/I42-1</f>
        <v>0.49689615007390042</v>
      </c>
      <c r="K54" s="136"/>
      <c r="L54" s="190"/>
      <c r="M54" s="190"/>
      <c r="N54" s="191"/>
      <c r="O54" s="192"/>
      <c r="P54" s="129" t="s">
        <v>1417</v>
      </c>
      <c r="Q54" s="116">
        <v>2422716</v>
      </c>
      <c r="R54" s="116">
        <v>3511193650</v>
      </c>
      <c r="S54" s="116">
        <v>7821.69</v>
      </c>
      <c r="T54" s="130">
        <f t="shared" ref="T54" si="113">Q54/S54</f>
        <v>309.74329077219886</v>
      </c>
      <c r="U54" s="85">
        <f t="shared" ref="U54" si="114">Q52+Q53+Q54</f>
        <v>5561194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345296.51540616248</v>
      </c>
      <c r="C55" s="188">
        <f>AVERAGE(F53:F55)</f>
        <v>115098.83846872083</v>
      </c>
      <c r="D55" s="190">
        <f>C55/C52-1</f>
        <v>-4.1759805840024478E-2</v>
      </c>
      <c r="E55" s="287">
        <f>C55/C43-1</f>
        <v>-5.3257452015373796E-2</v>
      </c>
      <c r="F55" s="136">
        <f>Q55/21</f>
        <v>109351.85714285714</v>
      </c>
      <c r="G55" s="190">
        <f t="shared" ref="G55" si="115">F55/F54-1</f>
        <v>-0.2326869631320504</v>
      </c>
      <c r="H55" s="190">
        <f t="shared" ref="H55" si="116">F55/F43-1</f>
        <v>-0.16511884434210877</v>
      </c>
      <c r="I55" s="130">
        <f>T55</f>
        <v>259.65502035278155</v>
      </c>
      <c r="J55" s="130">
        <f t="shared" ref="J55" si="117">I55/I43-1</f>
        <v>-0.13649046365583162</v>
      </c>
      <c r="K55" s="136">
        <f>R53+R54+R55</f>
        <v>9801580618</v>
      </c>
      <c r="L55" s="190">
        <f>U55/U52-1</f>
        <v>-3.995443172719737E-2</v>
      </c>
      <c r="M55" s="190">
        <f>K55/K43-1</f>
        <v>-4.6118008325237048E-2</v>
      </c>
      <c r="N55" s="191">
        <f>AVERAGE(T53:T55)</f>
        <v>302.04522697571673</v>
      </c>
      <c r="O55" s="192">
        <f>N55/N52-1</f>
        <v>0.15611127959407378</v>
      </c>
      <c r="P55" s="129" t="s">
        <v>1418</v>
      </c>
      <c r="Q55" s="116">
        <v>2296389</v>
      </c>
      <c r="R55" s="116">
        <v>3411200629</v>
      </c>
      <c r="S55" s="116">
        <v>8844</v>
      </c>
      <c r="T55" s="130">
        <f t="shared" ref="T55" si="118">Q55/S55</f>
        <v>259.65502035278155</v>
      </c>
      <c r="U55" s="85">
        <f t="shared" ref="U55" si="119">Q53+Q54+Q55</f>
        <v>6681176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103517.72727272728</v>
      </c>
      <c r="G56" s="190">
        <f t="shared" ref="G56" si="120">F56/F55-1</f>
        <v>-5.3351904782999338E-2</v>
      </c>
      <c r="H56" s="190">
        <f t="shared" ref="H56" si="121">F56/F44-1</f>
        <v>-7.0858849400465829E-2</v>
      </c>
      <c r="I56" s="291">
        <f>T56</f>
        <v>305.18565966838685</v>
      </c>
      <c r="J56" s="130">
        <f t="shared" ref="J56" si="122">I56/I44-1</f>
        <v>8.2349688302968405E-2</v>
      </c>
      <c r="K56" s="136"/>
      <c r="L56" s="190"/>
      <c r="M56" s="190"/>
      <c r="N56" s="191"/>
      <c r="O56" s="192"/>
      <c r="P56" s="129" t="s">
        <v>1420</v>
      </c>
      <c r="Q56" s="116">
        <v>2277390</v>
      </c>
      <c r="R56" s="116">
        <v>3395914542</v>
      </c>
      <c r="S56" s="116">
        <v>7462.31</v>
      </c>
      <c r="T56" s="130">
        <f t="shared" ref="T56" si="123">Q56/S56</f>
        <v>305.18565966838685</v>
      </c>
      <c r="U56" s="85">
        <f t="shared" ref="U56" si="124">Q54+Q55+Q56</f>
        <v>6996495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129180</v>
      </c>
      <c r="G57" s="254">
        <f t="shared" ref="G57" si="125">F57/F56-1</f>
        <v>0.24790220383860473</v>
      </c>
      <c r="H57" s="254">
        <f t="shared" ref="H57" si="126">F57/F45-1</f>
        <v>0.27848964431305667</v>
      </c>
      <c r="I57" s="282">
        <f>T57</f>
        <v>269.73377414303116</v>
      </c>
      <c r="J57" s="277">
        <f t="shared" ref="J57" si="127">I57/I45-1</f>
        <v>4.8410449997007499E-2</v>
      </c>
      <c r="K57" s="204"/>
      <c r="L57" s="254"/>
      <c r="M57" s="254"/>
      <c r="N57" s="257"/>
      <c r="O57" s="258"/>
      <c r="P57" s="129" t="s">
        <v>1436</v>
      </c>
      <c r="Q57" s="116">
        <v>1550160</v>
      </c>
      <c r="R57" s="116">
        <v>2289305344</v>
      </c>
      <c r="S57" s="116">
        <v>5747</v>
      </c>
      <c r="T57" s="130">
        <f t="shared" ref="T57" si="128">Q57/S57</f>
        <v>269.73377414303116</v>
      </c>
      <c r="U57" s="85">
        <f t="shared" ref="U57" si="129">Q55+Q56+Q57</f>
        <v>6123939</v>
      </c>
      <c r="V57" s="79"/>
      <c r="W57" s="79"/>
      <c r="X57" s="79"/>
      <c r="Y57" s="79"/>
      <c r="Z57" s="79"/>
    </row>
    <row r="58" spans="1:26">
      <c r="B58" s="196">
        <f>SUM(F56:F58)</f>
        <v>232697.72727272729</v>
      </c>
      <c r="C58" s="196">
        <f>AVERAGE(F56:F58)</f>
        <v>116348.86363636365</v>
      </c>
      <c r="D58" s="197">
        <f>C58/C55-1</f>
        <v>1.0860449890487178E-2</v>
      </c>
      <c r="E58" s="233">
        <f>C58/C46-1</f>
        <v>-9.5685032048604568E-2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10508726</v>
      </c>
      <c r="R66" s="212">
        <v>15486800504</v>
      </c>
      <c r="S66" s="213">
        <v>35701.72</v>
      </c>
      <c r="T66" s="214">
        <v>6</v>
      </c>
      <c r="U66" s="214">
        <v>95</v>
      </c>
    </row>
    <row r="67" spans="16:21" ht="18" thickBot="1">
      <c r="P67" s="180" t="s">
        <v>976</v>
      </c>
      <c r="Q67" s="181">
        <v>1962071</v>
      </c>
      <c r="R67" s="181">
        <v>2879186339</v>
      </c>
      <c r="S67" s="182">
        <v>5826.71</v>
      </c>
      <c r="T67" s="210" t="s">
        <v>1421</v>
      </c>
      <c r="U67" s="210">
        <v>49</v>
      </c>
    </row>
    <row r="68" spans="16:21" ht="18" thickBot="1">
      <c r="P68" s="180" t="s">
        <v>977</v>
      </c>
      <c r="Q68" s="181">
        <v>2422716</v>
      </c>
      <c r="R68" s="181">
        <v>3511193650</v>
      </c>
      <c r="S68" s="182">
        <v>7821.69</v>
      </c>
      <c r="T68" s="210" t="s">
        <v>1421</v>
      </c>
      <c r="U68" s="210">
        <v>48</v>
      </c>
    </row>
    <row r="69" spans="16:21" ht="18" thickBot="1">
      <c r="P69" s="180" t="s">
        <v>978</v>
      </c>
      <c r="Q69" s="181">
        <v>2296389</v>
      </c>
      <c r="R69" s="181">
        <v>3411200629</v>
      </c>
      <c r="S69" s="182">
        <v>8844</v>
      </c>
      <c r="T69" s="210" t="s">
        <v>1421</v>
      </c>
      <c r="U69" s="210">
        <v>43</v>
      </c>
    </row>
    <row r="70" spans="16:21" ht="18" thickBot="1">
      <c r="P70" s="180" t="s">
        <v>979</v>
      </c>
      <c r="Q70" s="181">
        <v>2277390</v>
      </c>
      <c r="R70" s="181">
        <v>3395914542</v>
      </c>
      <c r="S70" s="182">
        <v>7462.31</v>
      </c>
      <c r="T70" s="210">
        <v>5</v>
      </c>
      <c r="U70" s="210">
        <v>55</v>
      </c>
    </row>
    <row r="71" spans="16:21" ht="18" thickBot="1">
      <c r="P71" s="180" t="s">
        <v>980</v>
      </c>
      <c r="Q71" s="181">
        <v>1550160</v>
      </c>
      <c r="R71" s="181">
        <v>2289305344</v>
      </c>
      <c r="S71" s="182">
        <v>5747</v>
      </c>
      <c r="T71" s="210" t="s">
        <v>1421</v>
      </c>
      <c r="U71" s="210">
        <v>37</v>
      </c>
    </row>
    <row r="72" spans="16:21" ht="18" thickBot="1">
      <c r="P72" s="215" t="s">
        <v>975</v>
      </c>
      <c r="Q72" s="217"/>
      <c r="R72"/>
      <c r="S72"/>
      <c r="T72"/>
      <c r="U72"/>
    </row>
    <row r="73" spans="16:21" ht="18" thickBot="1">
      <c r="P73" s="180" t="s">
        <v>982</v>
      </c>
      <c r="Q73" s="181">
        <v>32095259</v>
      </c>
      <c r="R73" s="181">
        <v>43638374304</v>
      </c>
      <c r="S73" s="182">
        <v>138390.67000000001</v>
      </c>
      <c r="T73" s="210">
        <v>14</v>
      </c>
      <c r="U73" s="210">
        <v>141</v>
      </c>
    </row>
    <row r="74" spans="16:21" ht="18" thickBot="1">
      <c r="P74" s="215" t="s">
        <v>1386</v>
      </c>
      <c r="Q74" s="217" t="s">
        <v>1455</v>
      </c>
      <c r="R74"/>
      <c r="S74"/>
      <c r="T74"/>
      <c r="U74"/>
    </row>
  </sheetData>
  <phoneticPr fontId="1" type="noConversion"/>
  <conditionalFormatting sqref="C29:C30">
    <cfRule type="cellIs" dxfId="3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79"/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172058.95</v>
      </c>
      <c r="G5" s="90"/>
      <c r="H5" s="90"/>
      <c r="I5" s="130">
        <f t="shared" ref="I5:I49" si="0">T5</f>
        <v>172.90775416519696</v>
      </c>
      <c r="J5" s="130"/>
      <c r="L5" s="80"/>
      <c r="M5" s="80"/>
      <c r="P5" s="129" t="s">
        <v>0</v>
      </c>
      <c r="Q5" s="116">
        <v>3441179</v>
      </c>
      <c r="R5" s="116">
        <v>4060908373</v>
      </c>
      <c r="S5" s="116">
        <v>19901.82</v>
      </c>
      <c r="T5" s="130">
        <f t="shared" ref="T5:T17" si="1">Q5/S5</f>
        <v>172.90775416519696</v>
      </c>
      <c r="U5" s="85"/>
    </row>
    <row r="6" spans="1:21" ht="15" hidden="1" customHeight="1">
      <c r="A6" s="129" t="s">
        <v>1</v>
      </c>
      <c r="C6" s="79"/>
      <c r="F6" s="78">
        <f>Q6/18</f>
        <v>207159.05555555556</v>
      </c>
      <c r="G6" s="90">
        <f t="shared" ref="G6:G16" si="2">F6/F5-1</f>
        <v>0.20400046353622137</v>
      </c>
      <c r="H6" s="90"/>
      <c r="I6" s="130">
        <f t="shared" si="0"/>
        <v>171.52501877920665</v>
      </c>
      <c r="J6" s="130"/>
      <c r="P6" s="129" t="s">
        <v>1</v>
      </c>
      <c r="Q6" s="116">
        <v>3728863</v>
      </c>
      <c r="R6" s="116">
        <v>4427373064</v>
      </c>
      <c r="S6" s="116">
        <v>21739.47</v>
      </c>
      <c r="T6" s="130">
        <f t="shared" si="1"/>
        <v>171.52501877920665</v>
      </c>
      <c r="U6" s="85"/>
    </row>
    <row r="7" spans="1:21" ht="15" hidden="1" customHeight="1">
      <c r="A7" s="129" t="s">
        <v>2</v>
      </c>
      <c r="B7" s="131">
        <f>F5+F6+F7</f>
        <v>524242.32373737375</v>
      </c>
      <c r="C7" s="131">
        <f>AVERAGE(F5:F7)</f>
        <v>174747.44124579124</v>
      </c>
      <c r="F7" s="78">
        <f>Q7/22</f>
        <v>145024.31818181818</v>
      </c>
      <c r="G7" s="90">
        <f t="shared" si="2"/>
        <v>-0.29993734624395507</v>
      </c>
      <c r="H7" s="90"/>
      <c r="I7" s="130">
        <f t="shared" si="0"/>
        <v>146.08221905178777</v>
      </c>
      <c r="J7" s="130"/>
      <c r="K7" s="79">
        <f>R5+R6+R7</f>
        <v>12327025940</v>
      </c>
      <c r="N7" s="88">
        <f>AVERAGE(T5:T7)</f>
        <v>163.50499733206379</v>
      </c>
      <c r="P7" s="129" t="s">
        <v>2</v>
      </c>
      <c r="Q7" s="116">
        <v>3190535</v>
      </c>
      <c r="R7" s="116">
        <v>3838744503</v>
      </c>
      <c r="S7" s="116">
        <v>21840.68</v>
      </c>
      <c r="T7" s="130">
        <f t="shared" si="1"/>
        <v>146.08221905178777</v>
      </c>
      <c r="U7" s="85">
        <f>Q5+Q6+Q7</f>
        <v>10360577</v>
      </c>
    </row>
    <row r="8" spans="1:21" ht="15" hidden="1" customHeight="1">
      <c r="A8" s="129" t="s">
        <v>3</v>
      </c>
      <c r="C8" s="79"/>
      <c r="F8" s="78">
        <f>Q8/21</f>
        <v>229729.66666666666</v>
      </c>
      <c r="G8" s="90">
        <f t="shared" si="2"/>
        <v>0.58407686067279196</v>
      </c>
      <c r="H8" s="90"/>
      <c r="I8" s="130">
        <f t="shared" si="0"/>
        <v>171.08292781876068</v>
      </c>
      <c r="J8" s="130"/>
      <c r="K8" s="78"/>
      <c r="P8" s="129" t="s">
        <v>3</v>
      </c>
      <c r="Q8" s="116">
        <v>4824323</v>
      </c>
      <c r="R8" s="116">
        <v>5853362339</v>
      </c>
      <c r="S8" s="116">
        <v>28198.74</v>
      </c>
      <c r="T8" s="130">
        <f t="shared" si="1"/>
        <v>171.08292781876068</v>
      </c>
      <c r="U8" s="85"/>
    </row>
    <row r="9" spans="1:21" ht="15" hidden="1" customHeight="1">
      <c r="A9" s="129" t="s">
        <v>4</v>
      </c>
      <c r="C9" s="79"/>
      <c r="F9" s="78">
        <f>Q9/21</f>
        <v>147406</v>
      </c>
      <c r="G9" s="90">
        <f t="shared" si="2"/>
        <v>-0.35835017680200931</v>
      </c>
      <c r="H9" s="90"/>
      <c r="I9" s="130">
        <f t="shared" si="0"/>
        <v>161.27579518380492</v>
      </c>
      <c r="J9" s="130"/>
      <c r="K9" s="78"/>
      <c r="P9" s="129" t="s">
        <v>4</v>
      </c>
      <c r="Q9" s="116">
        <v>3095526</v>
      </c>
      <c r="R9" s="116">
        <v>3901539677</v>
      </c>
      <c r="S9" s="116">
        <v>19193.990000000002</v>
      </c>
      <c r="T9" s="130">
        <f t="shared" si="1"/>
        <v>161.27579518380492</v>
      </c>
      <c r="U9" s="85"/>
    </row>
    <row r="10" spans="1:21" ht="15" hidden="1" customHeight="1">
      <c r="A10" s="129" t="s">
        <v>5</v>
      </c>
      <c r="B10" s="131">
        <f>F8+F9+F10</f>
        <v>579625</v>
      </c>
      <c r="C10" s="131">
        <f>AVERAGE(F8:F10)</f>
        <v>193208.33333333334</v>
      </c>
      <c r="D10" s="90">
        <f>C10/C7-1</f>
        <v>0.10564327555203468</v>
      </c>
      <c r="E10" s="286"/>
      <c r="F10" s="78">
        <f>Q10/21</f>
        <v>202489.33333333334</v>
      </c>
      <c r="G10" s="90">
        <f t="shared" si="2"/>
        <v>0.37368447236430913</v>
      </c>
      <c r="H10" s="90"/>
      <c r="I10" s="130">
        <f t="shared" si="0"/>
        <v>163.45728936827783</v>
      </c>
      <c r="J10" s="130"/>
      <c r="K10" s="79">
        <f>R8+R9+R10</f>
        <v>15091758693</v>
      </c>
      <c r="L10" s="87">
        <f>U10/U7-1</f>
        <v>0.17485010728649564</v>
      </c>
      <c r="N10" s="88">
        <f>AVERAGE(T8:T10)</f>
        <v>165.27200412361449</v>
      </c>
      <c r="O10" s="89">
        <f>N10/N7-1</f>
        <v>1.0807050673577123E-2</v>
      </c>
      <c r="P10" s="129" t="s">
        <v>5</v>
      </c>
      <c r="Q10" s="116">
        <v>4252276</v>
      </c>
      <c r="R10" s="116">
        <v>5336856677</v>
      </c>
      <c r="S10" s="116">
        <v>26014.6</v>
      </c>
      <c r="T10" s="130">
        <f t="shared" si="1"/>
        <v>163.45728936827783</v>
      </c>
      <c r="U10" s="85">
        <f>Q8+Q9+Q10</f>
        <v>12172125</v>
      </c>
    </row>
    <row r="11" spans="1:21" ht="15" hidden="1" customHeight="1">
      <c r="A11" s="129" t="s">
        <v>6</v>
      </c>
      <c r="C11" s="79"/>
      <c r="F11" s="78">
        <f>Q11/21</f>
        <v>178415.66666666666</v>
      </c>
      <c r="G11" s="90">
        <f t="shared" si="2"/>
        <v>-0.11888856696978289</v>
      </c>
      <c r="H11" s="90"/>
      <c r="I11" s="130">
        <f t="shared" si="0"/>
        <v>155.75877302929285</v>
      </c>
      <c r="J11" s="130"/>
      <c r="K11" s="78"/>
      <c r="O11" s="89"/>
      <c r="P11" s="129" t="s">
        <v>6</v>
      </c>
      <c r="Q11" s="116">
        <v>3746729</v>
      </c>
      <c r="R11" s="116">
        <v>4830835789</v>
      </c>
      <c r="S11" s="116">
        <v>24054.69</v>
      </c>
      <c r="T11" s="130">
        <f t="shared" si="1"/>
        <v>155.75877302929285</v>
      </c>
      <c r="U11" s="85"/>
    </row>
    <row r="12" spans="1:21" ht="15" hidden="1" customHeight="1">
      <c r="A12" s="129" t="s">
        <v>7</v>
      </c>
      <c r="C12" s="79"/>
      <c r="F12" s="78">
        <f>Q12/22</f>
        <v>146962.90909090909</v>
      </c>
      <c r="G12" s="90">
        <f t="shared" si="2"/>
        <v>-0.17628921362898387</v>
      </c>
      <c r="H12" s="90"/>
      <c r="I12" s="130">
        <f t="shared" si="0"/>
        <v>152.40954115224105</v>
      </c>
      <c r="J12" s="130"/>
      <c r="K12" s="78"/>
      <c r="O12" s="89"/>
      <c r="P12" s="129" t="s">
        <v>7</v>
      </c>
      <c r="Q12" s="116">
        <v>3233184</v>
      </c>
      <c r="R12" s="116">
        <v>4202171439</v>
      </c>
      <c r="S12" s="116">
        <v>21213.79</v>
      </c>
      <c r="T12" s="130">
        <f t="shared" si="1"/>
        <v>152.40954115224105</v>
      </c>
      <c r="U12" s="85"/>
    </row>
    <row r="13" spans="1:21" ht="15" hidden="1" customHeight="1">
      <c r="A13" s="129" t="s">
        <v>96</v>
      </c>
      <c r="B13" s="131">
        <f>F11+F12+F13</f>
        <v>531050.97575757571</v>
      </c>
      <c r="C13" s="131">
        <f>AVERAGE(F11:F13)</f>
        <v>177016.9919191919</v>
      </c>
      <c r="D13" s="90">
        <f>C13/C10-1</f>
        <v>-8.3802500310415029E-2</v>
      </c>
      <c r="E13" s="286"/>
      <c r="F13" s="78">
        <f>Q13/20</f>
        <v>205672.4</v>
      </c>
      <c r="G13" s="90">
        <f t="shared" si="2"/>
        <v>0.39948508962063412</v>
      </c>
      <c r="H13" s="90"/>
      <c r="I13" s="130">
        <f t="shared" si="0"/>
        <v>143.68367186544876</v>
      </c>
      <c r="J13" s="130"/>
      <c r="K13" s="78">
        <f>R11+R12+R13</f>
        <v>14651931391</v>
      </c>
      <c r="L13" s="87">
        <f>U13/U10-1</f>
        <v>-8.8625774053421202E-2</v>
      </c>
      <c r="N13" s="88">
        <f>AVERAGE(T11:T13)</f>
        <v>150.61732868232755</v>
      </c>
      <c r="O13" s="89">
        <f>N13/N10-1</f>
        <v>-8.8670041359975471E-2</v>
      </c>
      <c r="P13" s="129" t="s">
        <v>96</v>
      </c>
      <c r="Q13" s="116">
        <v>4113448</v>
      </c>
      <c r="R13" s="116">
        <v>5618924163</v>
      </c>
      <c r="S13" s="116">
        <v>28628.5</v>
      </c>
      <c r="T13" s="130">
        <f t="shared" si="1"/>
        <v>143.68367186544876</v>
      </c>
      <c r="U13" s="85">
        <f>Q11+Q12+Q13</f>
        <v>11093361</v>
      </c>
    </row>
    <row r="14" spans="1:21" ht="15" hidden="1" customHeight="1">
      <c r="A14" s="129" t="s">
        <v>97</v>
      </c>
      <c r="C14" s="79"/>
      <c r="F14" s="78">
        <f>Q14/20</f>
        <v>167976.6</v>
      </c>
      <c r="G14" s="90">
        <f t="shared" si="2"/>
        <v>-0.18328079022756572</v>
      </c>
      <c r="H14" s="90"/>
      <c r="I14" s="130">
        <f t="shared" si="0"/>
        <v>149.01985833157013</v>
      </c>
      <c r="J14" s="130"/>
      <c r="O14" s="89"/>
      <c r="P14" s="129" t="s">
        <v>97</v>
      </c>
      <c r="Q14" s="116">
        <v>3359532</v>
      </c>
      <c r="R14" s="116">
        <v>4791574788</v>
      </c>
      <c r="S14" s="116">
        <v>22544.19</v>
      </c>
      <c r="T14" s="130">
        <f t="shared" si="1"/>
        <v>149.01985833157013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159763.63636363635</v>
      </c>
      <c r="G15" s="90">
        <f t="shared" si="2"/>
        <v>-4.8893498477547759E-2</v>
      </c>
      <c r="H15" s="90"/>
      <c r="I15" s="130">
        <f t="shared" si="0"/>
        <v>146.7912284431184</v>
      </c>
      <c r="J15" s="130"/>
      <c r="O15" s="89"/>
      <c r="P15" s="129" t="s">
        <v>98</v>
      </c>
      <c r="Q15" s="116">
        <v>3514800</v>
      </c>
      <c r="R15" s="116">
        <v>4868542713</v>
      </c>
      <c r="S15" s="116">
        <v>23944.21</v>
      </c>
      <c r="T15" s="130">
        <f t="shared" si="1"/>
        <v>146.7912284431184</v>
      </c>
      <c r="U15" s="85"/>
    </row>
    <row r="16" spans="1:21" ht="15" hidden="1" customHeight="1">
      <c r="A16" s="129" t="s">
        <v>99</v>
      </c>
      <c r="B16" s="131">
        <f>F14+F15+F16</f>
        <v>481902.23636363633</v>
      </c>
      <c r="C16" s="131">
        <f>AVERAGE(F14:F16)</f>
        <v>160634.07878787877</v>
      </c>
      <c r="D16" s="90">
        <f>C16/C13-1</f>
        <v>-9.254994649774595E-2</v>
      </c>
      <c r="E16" s="286"/>
      <c r="F16" s="78">
        <f>Q16/22</f>
        <v>154162</v>
      </c>
      <c r="G16" s="90">
        <f t="shared" si="2"/>
        <v>-3.5062023443723667E-2</v>
      </c>
      <c r="H16" s="90"/>
      <c r="I16" s="130">
        <f t="shared" si="0"/>
        <v>162.54753161505406</v>
      </c>
      <c r="J16" s="130"/>
      <c r="K16" s="78">
        <f>R14+R15+R16</f>
        <v>14110621941</v>
      </c>
      <c r="L16" s="87">
        <f>U16/U13-1</f>
        <v>-7.4591009884200088E-2</v>
      </c>
      <c r="N16" s="88">
        <f>AVERAGE(T14:T16)</f>
        <v>152.78620612991418</v>
      </c>
      <c r="O16" s="89">
        <f>N16/N13-1</f>
        <v>1.4399919760634372E-2</v>
      </c>
      <c r="P16" s="129" t="s">
        <v>99</v>
      </c>
      <c r="Q16" s="116">
        <v>3391564</v>
      </c>
      <c r="R16" s="116">
        <v>4450504440</v>
      </c>
      <c r="S16" s="116">
        <v>20865.060000000001</v>
      </c>
      <c r="T16" s="130">
        <f t="shared" si="1"/>
        <v>162.54753161505406</v>
      </c>
      <c r="U16" s="85">
        <f>Q14+Q15+Q16</f>
        <v>10265896</v>
      </c>
    </row>
    <row r="17" spans="1:21" ht="15" hidden="1" customHeight="1">
      <c r="A17" s="129" t="s">
        <v>100</v>
      </c>
      <c r="C17" s="79"/>
      <c r="F17" s="78">
        <f>Q17/20</f>
        <v>187441.05</v>
      </c>
      <c r="G17" s="90">
        <f t="shared" ref="G17:G22" si="3">F17/F16-1</f>
        <v>0.21587064257080213</v>
      </c>
      <c r="H17" s="90">
        <f t="shared" ref="H17:H22" si="4">F17/F5-1</f>
        <v>8.9400173603291E-2</v>
      </c>
      <c r="I17" s="130">
        <f t="shared" si="0"/>
        <v>158.30695110070602</v>
      </c>
      <c r="J17" s="130">
        <f t="shared" ref="J17:J49" si="5">I17/I5-1</f>
        <v>-8.4442731530370074E-2</v>
      </c>
      <c r="O17" s="89"/>
      <c r="P17" s="129" t="s">
        <v>100</v>
      </c>
      <c r="Q17" s="116">
        <v>3748821</v>
      </c>
      <c r="R17" s="116">
        <v>4715993066</v>
      </c>
      <c r="S17" s="116">
        <v>23680.71</v>
      </c>
      <c r="T17" s="130">
        <f t="shared" si="1"/>
        <v>158.30695110070602</v>
      </c>
      <c r="U17" s="78"/>
    </row>
    <row r="18" spans="1:21" ht="15" hidden="1" customHeight="1">
      <c r="A18" s="129" t="s">
        <v>106</v>
      </c>
      <c r="C18" s="79"/>
      <c r="F18" s="78">
        <f>Q18/20</f>
        <v>220635.5</v>
      </c>
      <c r="G18" s="90">
        <f t="shared" si="3"/>
        <v>0.177092744625577</v>
      </c>
      <c r="H18" s="90">
        <f t="shared" si="4"/>
        <v>6.5053610175541454E-2</v>
      </c>
      <c r="I18" s="130">
        <f t="shared" si="0"/>
        <v>156.51731930248206</v>
      </c>
      <c r="J18" s="130">
        <f t="shared" si="5"/>
        <v>-8.7495687705144931E-2</v>
      </c>
      <c r="O18" s="89"/>
      <c r="P18" s="129" t="s">
        <v>106</v>
      </c>
      <c r="Q18" s="116">
        <v>4412710</v>
      </c>
      <c r="R18" s="116">
        <v>5511520791</v>
      </c>
      <c r="S18" s="116">
        <v>28193.11</v>
      </c>
      <c r="T18" s="130">
        <f t="shared" ref="T18" si="6">Q18/S18</f>
        <v>156.51731930248206</v>
      </c>
      <c r="U18" s="78"/>
    </row>
    <row r="19" spans="1:21" hidden="1">
      <c r="A19" s="129" t="s">
        <v>114</v>
      </c>
      <c r="B19" s="131">
        <f>SUM(F17:F19)</f>
        <v>592295.41363636358</v>
      </c>
      <c r="C19" s="131">
        <f>AVERAGE(F17:F19)</f>
        <v>197431.80454545454</v>
      </c>
      <c r="D19" s="90">
        <f>C19/C16-1</f>
        <v>0.22907795179731494</v>
      </c>
      <c r="E19" s="286">
        <f>C19/C7-1</f>
        <v>0.12981227729541733</v>
      </c>
      <c r="F19" s="78">
        <f>Q19/22</f>
        <v>184218.86363636365</v>
      </c>
      <c r="G19" s="90">
        <f t="shared" si="3"/>
        <v>-0.16505338607629483</v>
      </c>
      <c r="H19" s="90">
        <f t="shared" si="4"/>
        <v>0.27026188397870587</v>
      </c>
      <c r="I19" s="130">
        <f t="shared" si="0"/>
        <v>179.13857507389307</v>
      </c>
      <c r="J19" s="130">
        <f t="shared" si="5"/>
        <v>0.22628596578469584</v>
      </c>
      <c r="K19" s="78">
        <f>R17+R18+R19</f>
        <v>15524815841</v>
      </c>
      <c r="L19" s="87">
        <f>U19/U16-1</f>
        <v>0.18979833810901647</v>
      </c>
      <c r="M19" s="87">
        <f>U19/U7-1</f>
        <v>0.1789252664209724</v>
      </c>
      <c r="N19" s="88">
        <f>AVERAGE(T17:T19)</f>
        <v>164.65428182569372</v>
      </c>
      <c r="O19" s="89">
        <f>N19/N16-1</f>
        <v>7.7677664734263407E-2</v>
      </c>
      <c r="P19" s="129" t="s">
        <v>115</v>
      </c>
      <c r="Q19" s="116">
        <v>4052815</v>
      </c>
      <c r="R19" s="116">
        <v>5297301984</v>
      </c>
      <c r="S19" s="116">
        <v>22623.91</v>
      </c>
      <c r="T19" s="130">
        <f t="shared" ref="T19" si="7">Q19/S19</f>
        <v>179.13857507389307</v>
      </c>
      <c r="U19" s="85">
        <f>Q17+Q18+Q19</f>
        <v>12214346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215831.3</v>
      </c>
      <c r="G20" s="90">
        <f t="shared" si="3"/>
        <v>0.17160260214196787</v>
      </c>
      <c r="H20" s="90">
        <f t="shared" si="4"/>
        <v>-6.0498789156530397E-2</v>
      </c>
      <c r="I20" s="130">
        <f t="shared" si="0"/>
        <v>161.87381898186533</v>
      </c>
      <c r="J20" s="130">
        <f t="shared" si="5"/>
        <v>-5.3828333161630049E-2</v>
      </c>
      <c r="O20" s="89"/>
      <c r="P20" s="129" t="s">
        <v>132</v>
      </c>
      <c r="Q20" s="116">
        <v>4316626</v>
      </c>
      <c r="R20" s="116">
        <v>5658706015</v>
      </c>
      <c r="S20" s="116">
        <v>26666.61</v>
      </c>
      <c r="T20" s="130">
        <f t="shared" ref="T20" si="8">Q20/S20</f>
        <v>161.87381898186533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190398.76190476189</v>
      </c>
      <c r="G21" s="90">
        <f t="shared" si="3"/>
        <v>-0.11783526344528383</v>
      </c>
      <c r="H21" s="90">
        <f t="shared" si="4"/>
        <v>0.29166222477213877</v>
      </c>
      <c r="I21" s="130">
        <f t="shared" si="0"/>
        <v>175.24430224403926</v>
      </c>
      <c r="J21" s="130">
        <f t="shared" si="5"/>
        <v>8.661254495328663E-2</v>
      </c>
      <c r="O21" s="89"/>
      <c r="P21" s="129" t="s">
        <v>141</v>
      </c>
      <c r="Q21" s="116">
        <v>3998374</v>
      </c>
      <c r="R21" s="116">
        <v>5317423694</v>
      </c>
      <c r="S21" s="116">
        <v>22816</v>
      </c>
      <c r="T21" s="130">
        <f t="shared" ref="T21" si="9">Q21/S21</f>
        <v>175.24430224403926</v>
      </c>
      <c r="U21" s="78"/>
    </row>
    <row r="22" spans="1:21" hidden="1">
      <c r="A22" s="129" t="s">
        <v>156</v>
      </c>
      <c r="B22" s="131">
        <f>SUM(F20:F22)</f>
        <v>596565.96666666667</v>
      </c>
      <c r="C22" s="131">
        <f>AVERAGE(F20:F22)</f>
        <v>198855.32222222222</v>
      </c>
      <c r="D22" s="90">
        <f>C22/C19-1</f>
        <v>7.2101740651413504E-3</v>
      </c>
      <c r="E22" s="286">
        <f>C22/C10-1</f>
        <v>2.9227460283228979E-2</v>
      </c>
      <c r="F22" s="78">
        <f>Q22/21</f>
        <v>190335.90476190476</v>
      </c>
      <c r="G22" s="90">
        <f t="shared" si="3"/>
        <v>-3.3013419955207901E-4</v>
      </c>
      <c r="H22" s="90">
        <f t="shared" si="4"/>
        <v>-6.0020092769142996E-2</v>
      </c>
      <c r="I22" s="130">
        <f t="shared" si="0"/>
        <v>144.32971003372222</v>
      </c>
      <c r="J22" s="130">
        <f t="shared" si="5"/>
        <v>-0.11701882129869512</v>
      </c>
      <c r="K22" s="78">
        <f>R20+R21+R22</f>
        <v>16164108315</v>
      </c>
      <c r="L22" s="87">
        <f>U22/U19-1</f>
        <v>7.999445897471702E-3</v>
      </c>
      <c r="M22" s="87">
        <f>U22/U10-1</f>
        <v>1.1495856311038555E-2</v>
      </c>
      <c r="N22" s="88">
        <f>AVERAGE(T20:T22)</f>
        <v>160.48261041987561</v>
      </c>
      <c r="O22" s="89">
        <f>N22/N19-1</f>
        <v>-2.533594243382209E-2</v>
      </c>
      <c r="P22" s="129" t="s">
        <v>156</v>
      </c>
      <c r="Q22" s="116">
        <v>3997054</v>
      </c>
      <c r="R22" s="116">
        <v>5187978606</v>
      </c>
      <c r="S22" s="116">
        <v>27693.91</v>
      </c>
      <c r="T22" s="130">
        <f t="shared" ref="T22:T23" si="10">Q22/S22</f>
        <v>144.32971003372222</v>
      </c>
      <c r="U22" s="85">
        <f>Q20+Q21+Q22</f>
        <v>12312054</v>
      </c>
    </row>
    <row r="23" spans="1:21" hidden="1">
      <c r="A23" s="129" t="s">
        <v>189</v>
      </c>
      <c r="B23" s="131"/>
      <c r="C23" s="131"/>
      <c r="F23" s="78">
        <f>Q23/21</f>
        <v>142047.52380952382</v>
      </c>
      <c r="G23" s="90">
        <f t="shared" ref="G23" si="11">F23/F22-1</f>
        <v>-0.25370085067652326</v>
      </c>
      <c r="H23" s="90">
        <f t="shared" ref="H23" si="12">F23/F11-1</f>
        <v>-0.2038394023159934</v>
      </c>
      <c r="I23" s="130">
        <f t="shared" si="0"/>
        <v>170.72218451286054</v>
      </c>
      <c r="J23" s="130">
        <f t="shared" si="5"/>
        <v>9.6067856677026997E-2</v>
      </c>
      <c r="O23" s="89"/>
      <c r="P23" s="129" t="s">
        <v>189</v>
      </c>
      <c r="Q23" s="116">
        <v>2982998</v>
      </c>
      <c r="R23" s="116">
        <v>3859871488</v>
      </c>
      <c r="S23" s="116">
        <v>17472.82</v>
      </c>
      <c r="T23" s="130">
        <f t="shared" si="10"/>
        <v>170.72218451286054</v>
      </c>
      <c r="U23" s="78"/>
    </row>
    <row r="24" spans="1:21" hidden="1">
      <c r="A24" s="129" t="s">
        <v>204</v>
      </c>
      <c r="B24" s="131"/>
      <c r="C24" s="131"/>
      <c r="F24" s="78">
        <f>Q24/22</f>
        <v>159806.40909090909</v>
      </c>
      <c r="G24" s="90">
        <f t="shared" ref="G24" si="13">F24/F23-1</f>
        <v>0.12502073112656831</v>
      </c>
      <c r="H24" s="90">
        <f t="shared" ref="H24" si="14">F24/F12-1</f>
        <v>8.7392799172580249E-2</v>
      </c>
      <c r="I24" s="130">
        <f t="shared" si="0"/>
        <v>152.64115571239523</v>
      </c>
      <c r="J24" s="130">
        <f t="shared" si="5"/>
        <v>1.5196854370345125E-3</v>
      </c>
      <c r="O24" s="89"/>
      <c r="P24" s="129" t="s">
        <v>204</v>
      </c>
      <c r="Q24" s="116">
        <v>3515741</v>
      </c>
      <c r="R24" s="116">
        <v>4643516950</v>
      </c>
      <c r="S24" s="116">
        <v>23032.720000000001</v>
      </c>
      <c r="T24" s="130">
        <f t="shared" ref="T24" si="15">Q24/S24</f>
        <v>152.64115571239523</v>
      </c>
      <c r="U24" s="78"/>
    </row>
    <row r="25" spans="1:21" s="79" customFormat="1" ht="13.2" hidden="1">
      <c r="A25" s="129" t="s">
        <v>218</v>
      </c>
      <c r="B25" s="131">
        <f>SUM(F23:F25)</f>
        <v>471280.56447938026</v>
      </c>
      <c r="C25" s="131">
        <f>AVERAGE(F23:F25)</f>
        <v>157093.52149312675</v>
      </c>
      <c r="D25" s="90">
        <f>C25/C22-1</f>
        <v>-0.21001097814433334</v>
      </c>
      <c r="E25" s="286">
        <f>C25/C13-1</f>
        <v>-0.11255117494686717</v>
      </c>
      <c r="F25" s="78">
        <f>Q25/19</f>
        <v>169426.63157894736</v>
      </c>
      <c r="G25" s="90">
        <f t="shared" ref="G25" si="16">F25/F24-1</f>
        <v>6.0199228195945587E-2</v>
      </c>
      <c r="H25" s="90">
        <f t="shared" ref="H25" si="17">F25/F13-1</f>
        <v>-0.17623059010860298</v>
      </c>
      <c r="I25" s="130">
        <f t="shared" si="0"/>
        <v>153.2401926411903</v>
      </c>
      <c r="J25" s="130">
        <f t="shared" si="5"/>
        <v>6.6510833497425148E-2</v>
      </c>
      <c r="K25" s="78">
        <f>R23+R24+R25</f>
        <v>12776590699</v>
      </c>
      <c r="L25" s="90">
        <f>U25/U22-1</f>
        <v>-0.21070481009911102</v>
      </c>
      <c r="M25" s="90">
        <f>U25/U13-1</f>
        <v>-0.12399452248962239</v>
      </c>
      <c r="N25" s="88">
        <f>AVERAGE(T23:T25)</f>
        <v>158.86784428881538</v>
      </c>
      <c r="O25" s="91">
        <f>N25/N22-1</f>
        <v>-1.0061938342325494E-2</v>
      </c>
      <c r="P25" s="129" t="s">
        <v>232</v>
      </c>
      <c r="Q25" s="116">
        <v>3219106</v>
      </c>
      <c r="R25" s="116">
        <v>4273202261</v>
      </c>
      <c r="S25" s="116">
        <v>21006.93</v>
      </c>
      <c r="T25" s="130">
        <f t="shared" ref="T25" si="18">Q25/S25</f>
        <v>153.2401926411903</v>
      </c>
      <c r="U25" s="85">
        <f>Q23+Q24+Q25</f>
        <v>9717845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215753.10526315789</v>
      </c>
      <c r="G26" s="90">
        <f t="shared" ref="G26" si="19">F26/F25-1</f>
        <v>0.27343088422686312</v>
      </c>
      <c r="H26" s="90">
        <f t="shared" ref="H26" si="20">F26/F14-1</f>
        <v>0.2844235760406979</v>
      </c>
      <c r="I26" s="130">
        <f t="shared" si="0"/>
        <v>172.56252236324221</v>
      </c>
      <c r="J26" s="130">
        <f t="shared" si="5"/>
        <v>0.15798340097257046</v>
      </c>
      <c r="L26" s="90"/>
      <c r="M26" s="90"/>
      <c r="P26" s="129" t="s">
        <v>312</v>
      </c>
      <c r="Q26" s="116">
        <v>4099309</v>
      </c>
      <c r="R26" s="116">
        <v>5525786639</v>
      </c>
      <c r="S26" s="116">
        <v>23755.5</v>
      </c>
      <c r="T26" s="130">
        <f t="shared" ref="T26" si="21">Q26/S26</f>
        <v>172.56252236324221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173878.36363636365</v>
      </c>
      <c r="G27" s="90">
        <f t="shared" ref="G27" si="22">F27/F26-1</f>
        <v>-0.19408639136720129</v>
      </c>
      <c r="H27" s="90">
        <f t="shared" ref="H27" si="23">F27/F15-1</f>
        <v>8.834755889382051E-2</v>
      </c>
      <c r="I27" s="130">
        <f t="shared" si="0"/>
        <v>188.34172388241581</v>
      </c>
      <c r="J27" s="130">
        <f t="shared" si="5"/>
        <v>0.28305843530288466</v>
      </c>
      <c r="L27" s="90"/>
      <c r="M27" s="90"/>
      <c r="P27" s="129" t="s">
        <v>393</v>
      </c>
      <c r="Q27" s="116">
        <v>3825324</v>
      </c>
      <c r="R27" s="116">
        <v>5037770709</v>
      </c>
      <c r="S27" s="116">
        <v>20310.55</v>
      </c>
      <c r="T27" s="130">
        <f t="shared" ref="T27" si="24">Q27/S27</f>
        <v>188.34172388241581</v>
      </c>
      <c r="U27" s="78"/>
    </row>
    <row r="28" spans="1:21" s="79" customFormat="1" ht="13.2" hidden="1">
      <c r="A28" s="123" t="s">
        <v>413</v>
      </c>
      <c r="B28" s="131">
        <f>SUM(F26:F28)</f>
        <v>517422.99521531101</v>
      </c>
      <c r="C28" s="131">
        <f>AVERAGE(F26:F28)</f>
        <v>172474.331738437</v>
      </c>
      <c r="D28" s="90">
        <f>C28/C25-1</f>
        <v>9.7908622196003048E-2</v>
      </c>
      <c r="E28" s="286">
        <f>C28/C16-1</f>
        <v>7.3709470866350824E-2</v>
      </c>
      <c r="F28" s="78">
        <f>Q28/19</f>
        <v>127791.52631578948</v>
      </c>
      <c r="G28" s="90">
        <f t="shared" ref="G28" si="25">F28/F27-1</f>
        <v>-0.26505216840524659</v>
      </c>
      <c r="H28" s="90">
        <f t="shared" ref="H28" si="26">F28/F16-1</f>
        <v>-0.17105689913344746</v>
      </c>
      <c r="I28" s="130">
        <f t="shared" si="0"/>
        <v>176.0596766006816</v>
      </c>
      <c r="J28" s="130">
        <f t="shared" si="5"/>
        <v>8.3127346514415779E-2</v>
      </c>
      <c r="K28" s="78">
        <f>R26+R27+R28</f>
        <v>13729090052</v>
      </c>
      <c r="L28" s="90">
        <f>U28/U25-1</f>
        <v>6.5325903016563824E-2</v>
      </c>
      <c r="M28" s="90">
        <f>U28/U16-1</f>
        <v>8.4528423042664613E-3</v>
      </c>
      <c r="N28" s="88">
        <f>AVERAGE(T26:T28)</f>
        <v>178.98797428211319</v>
      </c>
      <c r="O28" s="91">
        <f>N28/N25-1</f>
        <v>0.12664696297332645</v>
      </c>
      <c r="P28" s="129" t="s">
        <v>413</v>
      </c>
      <c r="Q28" s="116">
        <v>2428039</v>
      </c>
      <c r="R28" s="116">
        <v>3165532704</v>
      </c>
      <c r="S28" s="116">
        <v>13791</v>
      </c>
      <c r="T28" s="130">
        <f t="shared" ref="T28" si="27">Q28/S28</f>
        <v>176.0596766006816</v>
      </c>
      <c r="U28" s="85">
        <f>Q26+Q27+Q28</f>
        <v>10352672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147152.72727272726</v>
      </c>
      <c r="G29" s="190">
        <f t="shared" ref="G29" si="28">F29/F28-1</f>
        <v>0.15150614062699064</v>
      </c>
      <c r="H29" s="190">
        <f t="shared" ref="H29" si="29">F29/F17-1</f>
        <v>-0.21493863125111989</v>
      </c>
      <c r="I29" s="130">
        <f t="shared" si="0"/>
        <v>162.49939138522728</v>
      </c>
      <c r="J29" s="130">
        <f t="shared" si="5"/>
        <v>2.6482982935185584E-2</v>
      </c>
      <c r="K29" s="136"/>
      <c r="L29" s="190"/>
      <c r="M29" s="190"/>
      <c r="N29" s="191"/>
      <c r="O29" s="192"/>
      <c r="P29" s="129" t="s">
        <v>427</v>
      </c>
      <c r="Q29" s="116">
        <v>3237360</v>
      </c>
      <c r="R29" s="116">
        <v>4254202189</v>
      </c>
      <c r="S29" s="116">
        <v>19922.29</v>
      </c>
      <c r="T29" s="130">
        <f t="shared" ref="T29" si="30">Q29/S29</f>
        <v>162.49939138522728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203009.57894736843</v>
      </c>
      <c r="G30" s="190">
        <f t="shared" ref="G30" si="31">F30/F29-1</f>
        <v>0.37958420961589256</v>
      </c>
      <c r="H30" s="190">
        <f t="shared" ref="H30" si="32">F30/F18-1</f>
        <v>-7.9887058304903613E-2</v>
      </c>
      <c r="I30" s="130">
        <f t="shared" si="0"/>
        <v>141.76099496307296</v>
      </c>
      <c r="J30" s="130">
        <f t="shared" si="5"/>
        <v>-9.4279178848516665E-2</v>
      </c>
      <c r="K30" s="136"/>
      <c r="L30" s="190"/>
      <c r="M30" s="190"/>
      <c r="N30" s="191"/>
      <c r="O30" s="192"/>
      <c r="P30" s="129" t="s">
        <v>466</v>
      </c>
      <c r="Q30" s="116">
        <v>3857182</v>
      </c>
      <c r="R30" s="116">
        <v>5140301839</v>
      </c>
      <c r="S30" s="116">
        <v>27209.05</v>
      </c>
      <c r="T30" s="130">
        <f t="shared" ref="T30" si="33">Q30/S30</f>
        <v>141.76099496307296</v>
      </c>
      <c r="U30" s="85"/>
    </row>
    <row r="31" spans="1:21" s="79" customFormat="1" ht="13.2" hidden="1">
      <c r="A31" s="129" t="s">
        <v>505</v>
      </c>
      <c r="B31" s="188">
        <f>SUM(F29:F31)</f>
        <v>494055.6562200957</v>
      </c>
      <c r="C31" s="188">
        <f>AVERAGE(F29:F31)</f>
        <v>164685.21874003191</v>
      </c>
      <c r="D31" s="190">
        <f>C31/C28-1</f>
        <v>-4.5160998276645214E-2</v>
      </c>
      <c r="E31" s="287">
        <f>C31/C19-1</f>
        <v>-0.16586276907519937</v>
      </c>
      <c r="F31" s="136">
        <f>Q31/20</f>
        <v>143893.35</v>
      </c>
      <c r="G31" s="190">
        <f t="shared" ref="G31" si="34">F31/F30-1</f>
        <v>-0.29119920968209434</v>
      </c>
      <c r="H31" s="190">
        <f t="shared" ref="H31" si="35">F31/F19-1</f>
        <v>-0.21890002381061069</v>
      </c>
      <c r="I31" s="130">
        <f t="shared" si="0"/>
        <v>175.49060978182789</v>
      </c>
      <c r="J31" s="130">
        <f t="shared" si="5"/>
        <v>-2.0363929380148416E-2</v>
      </c>
      <c r="K31" s="136">
        <f>R29+R30+R31</f>
        <v>13217409060</v>
      </c>
      <c r="L31" s="190">
        <f>U31/U28-1</f>
        <v>-3.6730903867136955E-2</v>
      </c>
      <c r="M31" s="190">
        <f>U31/U19-1</f>
        <v>-0.18354949172063739</v>
      </c>
      <c r="N31" s="191">
        <f>AVERAGE(T29:T31)</f>
        <v>159.91699871004269</v>
      </c>
      <c r="O31" s="192">
        <f>N31/N28-1</f>
        <v>-0.10654892122535364</v>
      </c>
      <c r="P31" s="129" t="s">
        <v>505</v>
      </c>
      <c r="Q31" s="116">
        <v>2877867</v>
      </c>
      <c r="R31" s="116">
        <v>3822905032</v>
      </c>
      <c r="S31" s="116">
        <v>16398.98</v>
      </c>
      <c r="T31" s="130">
        <f t="shared" ref="T31" si="36">Q31/S31</f>
        <v>175.49060978182789</v>
      </c>
      <c r="U31" s="85">
        <f>Q29+Q30+Q31</f>
        <v>9972409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233406.23809523811</v>
      </c>
      <c r="G32" s="190">
        <f t="shared" ref="G32" si="37">F32/F31-1</f>
        <v>0.62207800496157817</v>
      </c>
      <c r="H32" s="190">
        <f t="shared" ref="H32" si="38">F32/F20-1</f>
        <v>8.1429051741976899E-2</v>
      </c>
      <c r="I32" s="130">
        <f t="shared" si="0"/>
        <v>170.76654759710706</v>
      </c>
      <c r="J32" s="130">
        <f t="shared" si="5"/>
        <v>5.493617603621237E-2</v>
      </c>
      <c r="K32" s="136"/>
      <c r="L32" s="190"/>
      <c r="M32" s="190"/>
      <c r="N32" s="191"/>
      <c r="O32" s="192"/>
      <c r="P32" s="129" t="s">
        <v>572</v>
      </c>
      <c r="Q32" s="116">
        <v>4901531</v>
      </c>
      <c r="R32" s="116">
        <v>6691329484</v>
      </c>
      <c r="S32" s="116">
        <v>28703.11</v>
      </c>
      <c r="T32" s="130">
        <f t="shared" ref="T32" si="39">Q32/S32</f>
        <v>170.76654759710706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162696.95238095237</v>
      </c>
      <c r="G33" s="190">
        <f t="shared" ref="G33" si="40">F33/F32-1</f>
        <v>-0.30294514101818404</v>
      </c>
      <c r="H33" s="190">
        <f t="shared" ref="H33" si="41">F33/F21-1</f>
        <v>-0.14549364316594693</v>
      </c>
      <c r="I33" s="130">
        <f t="shared" si="0"/>
        <v>162.41651320149114</v>
      </c>
      <c r="J33" s="130">
        <f t="shared" si="5"/>
        <v>-7.319946428092472E-2</v>
      </c>
      <c r="K33" s="136"/>
      <c r="L33" s="190"/>
      <c r="M33" s="190"/>
      <c r="N33" s="191"/>
      <c r="O33" s="192"/>
      <c r="P33" s="129" t="s">
        <v>607</v>
      </c>
      <c r="Q33" s="116">
        <v>3416636</v>
      </c>
      <c r="R33" s="116">
        <v>4665188389</v>
      </c>
      <c r="S33" s="116">
        <v>21036.26</v>
      </c>
      <c r="T33" s="130">
        <f t="shared" ref="T33" si="42">Q33/S33</f>
        <v>162.41651320149114</v>
      </c>
      <c r="U33" s="85"/>
    </row>
    <row r="34" spans="1:21" s="79" customFormat="1" ht="13.2" hidden="1">
      <c r="A34" s="129" t="s">
        <v>652</v>
      </c>
      <c r="B34" s="188">
        <f>SUM(F32:F34)</f>
        <v>609917.66416040098</v>
      </c>
      <c r="C34" s="188">
        <f>AVERAGE(F32:F34)</f>
        <v>203305.888053467</v>
      </c>
      <c r="D34" s="190">
        <f>C34/C31-1</f>
        <v>0.23451205644873774</v>
      </c>
      <c r="E34" s="287">
        <f>C34/C22-1</f>
        <v>2.23809238873236E-2</v>
      </c>
      <c r="F34" s="136">
        <f>Q34/19</f>
        <v>213814.47368421053</v>
      </c>
      <c r="G34" s="190">
        <f t="shared" ref="G34" si="43">F34/F33-1</f>
        <v>0.31418856072710755</v>
      </c>
      <c r="H34" s="190">
        <f t="shared" ref="H34" si="44">F34/F22-1</f>
        <v>0.12335333657449232</v>
      </c>
      <c r="I34" s="130">
        <f t="shared" si="0"/>
        <v>169.08295500139013</v>
      </c>
      <c r="J34" s="130">
        <f t="shared" si="5"/>
        <v>0.17150484790611986</v>
      </c>
      <c r="K34" s="136">
        <f>R32+R33+R34</f>
        <v>16951865007</v>
      </c>
      <c r="L34" s="190">
        <f>U34/U31-1</f>
        <v>0.24148959393863612</v>
      </c>
      <c r="M34" s="190">
        <f>U34/U22-1</f>
        <v>5.5708007778394464E-3</v>
      </c>
      <c r="N34" s="191">
        <f>AVERAGE(T32:T34)</f>
        <v>167.42200526666278</v>
      </c>
      <c r="O34" s="192">
        <f>N34/N31-1</f>
        <v>4.6930636624990418E-2</v>
      </c>
      <c r="P34" s="129" t="s">
        <v>652</v>
      </c>
      <c r="Q34" s="116">
        <v>4062475</v>
      </c>
      <c r="R34" s="116">
        <v>5595347134</v>
      </c>
      <c r="S34" s="116">
        <v>24026.52</v>
      </c>
      <c r="T34" s="130">
        <f t="shared" ref="T34" si="45">Q34/S34</f>
        <v>169.08295500139013</v>
      </c>
      <c r="U34" s="85">
        <f>Q32+Q33+Q34</f>
        <v>12380642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147612.65217391305</v>
      </c>
      <c r="G35" s="190">
        <f t="shared" ref="G35" si="46">F35/F34-1</f>
        <v>-0.30962273212651203</v>
      </c>
      <c r="H35" s="190">
        <f t="shared" ref="H35" si="47">F35/F23-1</f>
        <v>3.9177932956097949E-2</v>
      </c>
      <c r="I35" s="130">
        <f t="shared" si="0"/>
        <v>190.28624561568702</v>
      </c>
      <c r="J35" s="130">
        <f t="shared" si="5"/>
        <v>0.11459589249429225</v>
      </c>
      <c r="K35" s="136"/>
      <c r="L35" s="190"/>
      <c r="M35" s="190"/>
      <c r="N35" s="191"/>
      <c r="O35" s="192"/>
      <c r="P35" s="129" t="s">
        <v>660</v>
      </c>
      <c r="Q35" s="116">
        <v>3395091</v>
      </c>
      <c r="R35" s="116">
        <v>4697125754</v>
      </c>
      <c r="S35" s="116">
        <v>17842.02</v>
      </c>
      <c r="T35" s="130">
        <f t="shared" ref="T35" si="48">Q35/S35</f>
        <v>190.28624561568702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150859.42857142858</v>
      </c>
      <c r="G36" s="190">
        <f t="shared" ref="G36" si="49">F36/F35-1</f>
        <v>2.1995244646713985E-2</v>
      </c>
      <c r="H36" s="190">
        <f t="shared" ref="H36" si="50">F36/F24-1</f>
        <v>-5.5986368571681266E-2</v>
      </c>
      <c r="I36" s="130">
        <f t="shared" si="0"/>
        <v>157.67127828260357</v>
      </c>
      <c r="J36" s="130">
        <f t="shared" si="5"/>
        <v>3.29539077893648E-2</v>
      </c>
      <c r="K36" s="136"/>
      <c r="L36" s="190"/>
      <c r="M36" s="190"/>
      <c r="N36" s="191"/>
      <c r="O36" s="192"/>
      <c r="P36" s="129" t="s">
        <v>664</v>
      </c>
      <c r="Q36" s="116">
        <v>3168048</v>
      </c>
      <c r="R36" s="116">
        <v>4299403959</v>
      </c>
      <c r="S36" s="116">
        <v>20092.740000000002</v>
      </c>
      <c r="T36" s="130">
        <f t="shared" ref="T36" si="51">Q36/S36</f>
        <v>157.67127828260357</v>
      </c>
      <c r="U36" s="85"/>
    </row>
    <row r="37" spans="1:21" s="79" customFormat="1" ht="13.2" hidden="1">
      <c r="A37" s="129" t="s">
        <v>702</v>
      </c>
      <c r="B37" s="188">
        <f>SUM(F35:F37)</f>
        <v>427483.58074534161</v>
      </c>
      <c r="C37" s="188">
        <f>AVERAGE(F35:F37)</f>
        <v>142494.52691511388</v>
      </c>
      <c r="D37" s="190">
        <f>C37/C34-1</f>
        <v>-0.29911264115656344</v>
      </c>
      <c r="E37" s="287">
        <f>C37/C25-1</f>
        <v>-9.2931869113721643E-2</v>
      </c>
      <c r="F37" s="136">
        <f>Q37/18</f>
        <v>129011.5</v>
      </c>
      <c r="G37" s="190">
        <f t="shared" ref="G37" si="52">F37/F36-1</f>
        <v>-0.14482308980166969</v>
      </c>
      <c r="H37" s="190">
        <f t="shared" ref="H37" si="53">F37/F25-1</f>
        <v>-0.23854060723691606</v>
      </c>
      <c r="I37" s="130">
        <f t="shared" si="0"/>
        <v>165.33718088923823</v>
      </c>
      <c r="J37" s="130">
        <f t="shared" si="5"/>
        <v>7.8941353698065653E-2</v>
      </c>
      <c r="K37" s="136">
        <f>R35+R36+R37</f>
        <v>12092860948</v>
      </c>
      <c r="L37" s="190">
        <f>U37/U34-1</f>
        <v>-0.28231944676213072</v>
      </c>
      <c r="M37" s="190">
        <f>U37/U25-1</f>
        <v>-8.5667038319709787E-2</v>
      </c>
      <c r="N37" s="191">
        <f>AVERAGE(T35:T37)</f>
        <v>171.09823492917624</v>
      </c>
      <c r="O37" s="192">
        <f>N37/N34-1</f>
        <v>2.1957864240474967E-2</v>
      </c>
      <c r="P37" s="129" t="s">
        <v>702</v>
      </c>
      <c r="Q37" s="116">
        <v>2322207</v>
      </c>
      <c r="R37" s="116">
        <v>3096331235</v>
      </c>
      <c r="S37" s="116">
        <v>14045.28</v>
      </c>
      <c r="T37" s="130">
        <f t="shared" ref="T37" si="54">Q37/S37</f>
        <v>165.33718088923823</v>
      </c>
      <c r="U37" s="85">
        <f>Q35+Q36+Q37</f>
        <v>8885346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183144</v>
      </c>
      <c r="G38" s="190">
        <f t="shared" ref="G38" si="55">F38/F37-1</f>
        <v>0.41959437724543935</v>
      </c>
      <c r="H38" s="190">
        <f t="shared" ref="H38" si="56">F38/F26-1</f>
        <v>-0.151140838614508</v>
      </c>
      <c r="I38" s="130">
        <f t="shared" si="0"/>
        <v>147.40475823499656</v>
      </c>
      <c r="J38" s="130">
        <f t="shared" si="5"/>
        <v>-0.1457892697887716</v>
      </c>
      <c r="K38" s="136"/>
      <c r="L38" s="190"/>
      <c r="M38" s="190"/>
      <c r="N38" s="191"/>
      <c r="O38" s="192"/>
      <c r="P38" s="129" t="s">
        <v>728</v>
      </c>
      <c r="Q38" s="116">
        <v>3662880</v>
      </c>
      <c r="R38" s="116">
        <v>4976871765</v>
      </c>
      <c r="S38" s="116">
        <v>24849.13</v>
      </c>
      <c r="T38" s="130">
        <f t="shared" ref="T38" si="57">Q38/S38</f>
        <v>147.40475823499656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193238.57142857142</v>
      </c>
      <c r="G39" s="190">
        <f t="shared" ref="G39" si="58">F39/F38-1</f>
        <v>5.5118220791133821E-2</v>
      </c>
      <c r="H39" s="190">
        <f t="shared" ref="H39" si="59">F39/F27-1</f>
        <v>0.11134339769090706</v>
      </c>
      <c r="I39" s="130">
        <f t="shared" si="0"/>
        <v>176.70480746495414</v>
      </c>
      <c r="J39" s="130">
        <f t="shared" si="5"/>
        <v>-6.1786184057265769E-2</v>
      </c>
      <c r="K39" s="136"/>
      <c r="L39" s="190"/>
      <c r="M39" s="190"/>
      <c r="N39" s="191"/>
      <c r="O39" s="192"/>
      <c r="P39" s="129" t="s">
        <v>762</v>
      </c>
      <c r="Q39" s="116">
        <v>4058010</v>
      </c>
      <c r="R39" s="116">
        <v>5651971120</v>
      </c>
      <c r="S39" s="116">
        <v>22964.91</v>
      </c>
      <c r="T39" s="130">
        <f t="shared" ref="T39" si="60">Q39/S39</f>
        <v>176.70480746495414</v>
      </c>
      <c r="U39" s="85"/>
    </row>
    <row r="40" spans="1:21" s="79" customFormat="1" ht="13.2" hidden="1">
      <c r="A40" s="129" t="s">
        <v>778</v>
      </c>
      <c r="B40" s="188">
        <f>SUM(F38:F40)</f>
        <v>520551.09523809527</v>
      </c>
      <c r="C40" s="188">
        <f>AVERAGE(F38:F40)</f>
        <v>173517.03174603175</v>
      </c>
      <c r="D40" s="190">
        <f>C40/C37-1</f>
        <v>0.21771015001438232</v>
      </c>
      <c r="E40" s="287">
        <f>C40/C28-1</f>
        <v>6.0455373103056598E-3</v>
      </c>
      <c r="F40" s="136">
        <f>Q40/21</f>
        <v>144168.52380952382</v>
      </c>
      <c r="G40" s="190">
        <f t="shared" ref="G40" si="61">F40/F39-1</f>
        <v>-0.25393505683820383</v>
      </c>
      <c r="H40" s="190">
        <f t="shared" ref="H40" si="62">F40/F28-1</f>
        <v>0.1281540174523359</v>
      </c>
      <c r="I40" s="130">
        <f t="shared" si="0"/>
        <v>166.36273918285215</v>
      </c>
      <c r="J40" s="130">
        <f t="shared" si="5"/>
        <v>-5.5077560092439137E-2</v>
      </c>
      <c r="K40" s="136">
        <f>R38+R39+R40</f>
        <v>14925949076</v>
      </c>
      <c r="L40" s="190">
        <f>U40/U37-1</f>
        <v>0.20968041086976252</v>
      </c>
      <c r="M40" s="190">
        <f>U40/U28-1</f>
        <v>3.8227522324671304E-2</v>
      </c>
      <c r="N40" s="191">
        <f>AVERAGE(T38:T40)</f>
        <v>163.49076829426761</v>
      </c>
      <c r="O40" s="192">
        <f>N40/N37-1</f>
        <v>-4.4462566420148231E-2</v>
      </c>
      <c r="P40" s="129" t="s">
        <v>778</v>
      </c>
      <c r="Q40" s="116">
        <v>3027539</v>
      </c>
      <c r="R40" s="116">
        <v>4297106191</v>
      </c>
      <c r="S40" s="116">
        <v>18198.419999999998</v>
      </c>
      <c r="T40" s="130">
        <f t="shared" ref="T40" si="63">Q40/S40</f>
        <v>166.36273918285215</v>
      </c>
      <c r="U40" s="85">
        <f>Q38+Q39+Q40</f>
        <v>10748429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127719.77777777778</v>
      </c>
      <c r="G41" s="190">
        <f t="shared" ref="G41" si="64">F41/F40-1</f>
        <v>-0.11409387844935004</v>
      </c>
      <c r="H41" s="190">
        <f t="shared" ref="H41" si="65">F41/F29-1</f>
        <v>-0.13205973042506503</v>
      </c>
      <c r="I41" s="130">
        <f t="shared" si="0"/>
        <v>157.62641208268312</v>
      </c>
      <c r="J41" s="130">
        <f t="shared" si="5"/>
        <v>-2.998767725223106E-2</v>
      </c>
      <c r="K41" s="193"/>
      <c r="L41" s="190"/>
      <c r="M41" s="190"/>
      <c r="N41" s="193"/>
      <c r="O41" s="193"/>
      <c r="P41" s="129" t="s">
        <v>798</v>
      </c>
      <c r="Q41" s="116">
        <v>2298956</v>
      </c>
      <c r="R41" s="116">
        <v>3356614175</v>
      </c>
      <c r="S41" s="116">
        <v>14584.84</v>
      </c>
      <c r="T41" s="130">
        <f t="shared" ref="T41" si="66">Q41/S41</f>
        <v>157.62641208268312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183592.75</v>
      </c>
      <c r="G42" s="190">
        <f t="shared" ref="G42" si="67">F42/F41-1</f>
        <v>0.43746531034086766</v>
      </c>
      <c r="H42" s="190">
        <f t="shared" ref="H42" si="68">F42/F30-1</f>
        <v>-9.5644890492592838E-2</v>
      </c>
      <c r="I42" s="130">
        <f t="shared" si="0"/>
        <v>148.50382153600754</v>
      </c>
      <c r="J42" s="130">
        <f t="shared" si="5"/>
        <v>4.7564752029928936E-2</v>
      </c>
      <c r="K42" s="193"/>
      <c r="L42" s="190"/>
      <c r="M42" s="190"/>
      <c r="N42" s="193"/>
      <c r="O42" s="193"/>
      <c r="P42" s="129" t="s">
        <v>826</v>
      </c>
      <c r="Q42" s="116">
        <v>3671855</v>
      </c>
      <c r="R42" s="116">
        <v>5313651240</v>
      </c>
      <c r="S42" s="116">
        <v>24725.66</v>
      </c>
      <c r="T42" s="130">
        <f t="shared" ref="T42" si="69">Q42/S42</f>
        <v>148.50382153600754</v>
      </c>
      <c r="U42" s="78"/>
    </row>
    <row r="43" spans="1:21" s="79" customFormat="1" ht="13.2">
      <c r="A43" s="129" t="s">
        <v>835</v>
      </c>
      <c r="B43" s="188">
        <f>SUM(F41:F43)</f>
        <v>488086.67777777778</v>
      </c>
      <c r="C43" s="188">
        <f>AVERAGE(F41:F43)</f>
        <v>162695.55925925926</v>
      </c>
      <c r="D43" s="190">
        <f>C43/C40-1</f>
        <v>-6.2365477197715902E-2</v>
      </c>
      <c r="E43" s="287">
        <f>C43/C31-1</f>
        <v>-1.208159114700802E-2</v>
      </c>
      <c r="F43" s="136">
        <f>Q43/20</f>
        <v>176774.15</v>
      </c>
      <c r="G43" s="190">
        <f t="shared" ref="G43" si="70">F43/F42-1</f>
        <v>-3.7139810804075912E-2</v>
      </c>
      <c r="H43" s="190">
        <f t="shared" ref="H43" si="71">F43/F31-1</f>
        <v>0.22850812772098217</v>
      </c>
      <c r="I43" s="130">
        <f t="shared" si="0"/>
        <v>206.71180768313278</v>
      </c>
      <c r="J43" s="130">
        <f t="shared" si="5"/>
        <v>0.17790808260407487</v>
      </c>
      <c r="K43" s="136">
        <f>R41+R42+R43</f>
        <v>13809817555</v>
      </c>
      <c r="L43" s="190">
        <f>U43/U40-1</f>
        <v>-0.11556433037795566</v>
      </c>
      <c r="M43" s="190">
        <f>K43/K31-1</f>
        <v>4.4820319346309256E-2</v>
      </c>
      <c r="N43" s="191">
        <f>AVERAGE(T41:T43)</f>
        <v>170.9473471006078</v>
      </c>
      <c r="O43" s="192">
        <f>N43/N40-1</f>
        <v>4.5608561780803747E-2</v>
      </c>
      <c r="P43" s="129" t="s">
        <v>835</v>
      </c>
      <c r="Q43" s="116">
        <v>3535483</v>
      </c>
      <c r="R43" s="116">
        <v>5139552140</v>
      </c>
      <c r="S43" s="116">
        <v>17103.439999999999</v>
      </c>
      <c r="T43" s="130">
        <f t="shared" ref="T43" si="72">Q43/S43</f>
        <v>206.71180768313278</v>
      </c>
      <c r="U43" s="85">
        <f>Q41+Q42+Q43</f>
        <v>9506294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132959.86363636365</v>
      </c>
      <c r="G44" s="190">
        <f t="shared" ref="G44" si="73">F44/F43-1</f>
        <v>-0.24785460070737919</v>
      </c>
      <c r="H44" s="190">
        <f t="shared" ref="H44" si="74">F44/F32-1</f>
        <v>-0.4303499995483786</v>
      </c>
      <c r="I44" s="130">
        <f t="shared" si="0"/>
        <v>192.55744236015295</v>
      </c>
      <c r="J44" s="130">
        <f t="shared" si="5"/>
        <v>0.12760634368774371</v>
      </c>
      <c r="K44" s="136"/>
      <c r="L44" s="190"/>
      <c r="M44" s="190"/>
      <c r="N44" s="191"/>
      <c r="O44" s="192"/>
      <c r="P44" s="129" t="s">
        <v>843</v>
      </c>
      <c r="Q44" s="116">
        <v>2925117</v>
      </c>
      <c r="R44" s="116">
        <v>4228877056</v>
      </c>
      <c r="S44" s="116">
        <v>15190.88</v>
      </c>
      <c r="T44" s="130">
        <f t="shared" ref="T44" si="75">Q44/S44</f>
        <v>192.55744236015295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155879.04999999999</v>
      </c>
      <c r="G45" s="190">
        <f t="shared" ref="G45" si="76">F45/F44-1</f>
        <v>0.17237672886246935</v>
      </c>
      <c r="H45" s="190">
        <f t="shared" ref="H45" si="77">F45/F33-1</f>
        <v>-4.190553222526483E-2</v>
      </c>
      <c r="I45" s="130">
        <f t="shared" si="0"/>
        <v>155.66936336754392</v>
      </c>
      <c r="J45" s="130">
        <f t="shared" si="5"/>
        <v>-4.1542265013267632E-2</v>
      </c>
      <c r="K45" s="136"/>
      <c r="L45" s="190"/>
      <c r="M45" s="190"/>
      <c r="N45" s="191"/>
      <c r="O45" s="192"/>
      <c r="P45" s="129" t="s">
        <v>855</v>
      </c>
      <c r="Q45" s="116">
        <v>3117581</v>
      </c>
      <c r="R45" s="116">
        <v>4384602416</v>
      </c>
      <c r="S45" s="116">
        <v>20026.939999999999</v>
      </c>
      <c r="T45" s="130">
        <f t="shared" ref="T45" si="78">Q45/S45</f>
        <v>155.66936336754392</v>
      </c>
      <c r="U45" s="85"/>
    </row>
    <row r="46" spans="1:21" s="79" customFormat="1" ht="13.2">
      <c r="A46" s="129" t="s">
        <v>888</v>
      </c>
      <c r="B46" s="188">
        <f>SUM(F44:F46)</f>
        <v>467830.96626794257</v>
      </c>
      <c r="C46" s="188">
        <f>AVERAGE(F44:F46)</f>
        <v>155943.65542264751</v>
      </c>
      <c r="D46" s="190">
        <f>C46/C43-1</f>
        <v>-4.1500234347837561E-2</v>
      </c>
      <c r="E46" s="287">
        <f>C46/C34-1</f>
        <v>-0.23296045719228653</v>
      </c>
      <c r="F46" s="136">
        <f>Q46/19</f>
        <v>178992.05263157896</v>
      </c>
      <c r="G46" s="190">
        <f t="shared" ref="G46" si="79">F46/F45-1</f>
        <v>0.14827523410990118</v>
      </c>
      <c r="H46" s="190">
        <f t="shared" ref="H46" si="80">F46/F34-1</f>
        <v>-0.16286278684791899</v>
      </c>
      <c r="I46" s="130">
        <f t="shared" si="0"/>
        <v>201.41136351656993</v>
      </c>
      <c r="J46" s="130">
        <f t="shared" si="5"/>
        <v>0.19119850676204475</v>
      </c>
      <c r="K46" s="136">
        <f>R44+R45+R46</f>
        <v>13270446786</v>
      </c>
      <c r="L46" s="190">
        <f>U46/U43-1</f>
        <v>-6.6005743142385498E-3</v>
      </c>
      <c r="M46" s="190">
        <f>K46/K34-1</f>
        <v>-0.21716892032114565</v>
      </c>
      <c r="N46" s="191">
        <f>AVERAGE(T44:T46)</f>
        <v>183.21272308142227</v>
      </c>
      <c r="O46" s="192">
        <f>N46/N43-1</f>
        <v>7.1749437407741201E-2</v>
      </c>
      <c r="P46" s="129" t="s">
        <v>888</v>
      </c>
      <c r="Q46" s="116">
        <v>3400849</v>
      </c>
      <c r="R46" s="116">
        <v>4656967314</v>
      </c>
      <c r="S46" s="116">
        <v>16885.09</v>
      </c>
      <c r="T46" s="130">
        <f t="shared" ref="T46" si="81">Q46/S46</f>
        <v>201.41136351656993</v>
      </c>
      <c r="U46" s="85">
        <f t="shared" ref="U46:U51" si="82">Q44+Q45+Q46</f>
        <v>9443547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108075.47826086957</v>
      </c>
      <c r="G47" s="190">
        <f t="shared" ref="G47" si="83">F47/F46-1</f>
        <v>-0.39619957047298437</v>
      </c>
      <c r="H47" s="190">
        <f t="shared" ref="H47" si="84">F47/F35-1</f>
        <v>-0.26784407251528752</v>
      </c>
      <c r="I47" s="130">
        <f t="shared" si="0"/>
        <v>141.38224639638898</v>
      </c>
      <c r="J47" s="130">
        <f t="shared" si="5"/>
        <v>-0.25700228127926472</v>
      </c>
      <c r="K47" s="136"/>
      <c r="L47" s="190"/>
      <c r="M47" s="190"/>
      <c r="N47" s="191"/>
      <c r="O47" s="192"/>
      <c r="P47" s="129" t="s">
        <v>991</v>
      </c>
      <c r="Q47" s="116">
        <v>2485736</v>
      </c>
      <c r="R47" s="116">
        <v>3415373951</v>
      </c>
      <c r="S47" s="116">
        <v>17581.669999999998</v>
      </c>
      <c r="T47" s="130">
        <f t="shared" ref="T47" si="85">Q47/S47</f>
        <v>141.38224639638898</v>
      </c>
      <c r="U47" s="85">
        <f t="shared" si="82"/>
        <v>9004166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154836.25</v>
      </c>
      <c r="G48" s="190">
        <f t="shared" ref="G48" si="86">F48/F47-1</f>
        <v>0.4326677289945513</v>
      </c>
      <c r="H48" s="190">
        <f t="shared" ref="H48" si="87">F48/F36-1</f>
        <v>2.6361106271117096E-2</v>
      </c>
      <c r="I48" s="130">
        <f t="shared" si="0"/>
        <v>193.41065033470446</v>
      </c>
      <c r="J48" s="130">
        <f t="shared" si="5"/>
        <v>0.22667014843402922</v>
      </c>
      <c r="K48" s="136"/>
      <c r="L48" s="190"/>
      <c r="M48" s="190"/>
      <c r="N48" s="191"/>
      <c r="O48" s="192"/>
      <c r="P48" s="129" t="s">
        <v>1070</v>
      </c>
      <c r="Q48" s="116">
        <v>3096725</v>
      </c>
      <c r="R48" s="116">
        <v>4301227073</v>
      </c>
      <c r="S48" s="116">
        <v>16011.14</v>
      </c>
      <c r="T48" s="130">
        <f t="shared" ref="T48" si="88">Q48/S48</f>
        <v>193.41065033470446</v>
      </c>
      <c r="U48" s="85">
        <f t="shared" si="82"/>
        <v>8983310</v>
      </c>
    </row>
    <row r="49" spans="1:26" ht="13.2">
      <c r="A49" s="129" t="s">
        <v>1207</v>
      </c>
      <c r="B49" s="188">
        <f>SUM(F47:F49)</f>
        <v>446464.22826086957</v>
      </c>
      <c r="C49" s="188">
        <f>AVERAGE(F47:F49)</f>
        <v>148821.40942028986</v>
      </c>
      <c r="D49" s="190">
        <f>C49/C46-1</f>
        <v>-4.5671919021357588E-2</v>
      </c>
      <c r="E49" s="287">
        <f>C49/C37-1</f>
        <v>4.4400880806776399E-2</v>
      </c>
      <c r="F49" s="136">
        <f>Q49/22</f>
        <v>183552.5</v>
      </c>
      <c r="G49" s="190">
        <f t="shared" ref="G49" si="89">F49/F48-1</f>
        <v>0.1854620607254438</v>
      </c>
      <c r="H49" s="190">
        <f t="shared" ref="H49" si="90">F49/F37-1</f>
        <v>0.4227607616375284</v>
      </c>
      <c r="I49" s="130">
        <f t="shared" si="0"/>
        <v>211.42062083444591</v>
      </c>
      <c r="J49" s="130">
        <f t="shared" si="5"/>
        <v>0.27872399721197416</v>
      </c>
      <c r="K49" s="136">
        <f>R47+R48+R49</f>
        <v>13331578737</v>
      </c>
      <c r="L49" s="190">
        <f>U49/U46-1</f>
        <v>1.8750264069210543E-2</v>
      </c>
      <c r="M49" s="190">
        <f>K49/K37-1</f>
        <v>0.10243380737830021</v>
      </c>
      <c r="N49" s="191">
        <f>AVERAGE(T47:T49)</f>
        <v>182.07117252184648</v>
      </c>
      <c r="O49" s="192">
        <f>N49/N46-1</f>
        <v>-6.2307384573312419E-3</v>
      </c>
      <c r="P49" s="129" t="s">
        <v>1158</v>
      </c>
      <c r="Q49" s="116">
        <v>4038155</v>
      </c>
      <c r="R49" s="116">
        <v>5614977713</v>
      </c>
      <c r="S49" s="116">
        <v>19100.099999999999</v>
      </c>
      <c r="T49" s="130">
        <f t="shared" ref="T49" si="91">Q49/S49</f>
        <v>211.42062083444591</v>
      </c>
      <c r="U49" s="85">
        <f t="shared" si="82"/>
        <v>9620616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155175.22222222222</v>
      </c>
      <c r="G50" s="190">
        <f t="shared" ref="G50" si="92">F50/F49-1</f>
        <v>-0.15460033384332972</v>
      </c>
      <c r="H50" s="190">
        <f t="shared" ref="H50" si="93">F50/F38-1</f>
        <v>-0.1527146823143416</v>
      </c>
      <c r="I50" s="130">
        <f t="shared" ref="I50" si="94">T50</f>
        <v>178.84484000576268</v>
      </c>
      <c r="J50" s="130">
        <f t="shared" ref="J50" si="95">I50/I38-1</f>
        <v>0.21329082010123113</v>
      </c>
      <c r="K50" s="136"/>
      <c r="L50" s="190"/>
      <c r="M50" s="190"/>
      <c r="N50" s="191"/>
      <c r="O50" s="192"/>
      <c r="P50" s="129" t="s">
        <v>1293</v>
      </c>
      <c r="Q50" s="116">
        <v>2793154</v>
      </c>
      <c r="R50" s="116">
        <v>3967454923</v>
      </c>
      <c r="S50" s="116">
        <v>15617.75</v>
      </c>
      <c r="T50" s="130">
        <f t="shared" ref="T50" si="96">Q50/S50</f>
        <v>178.84484000576268</v>
      </c>
      <c r="U50" s="85">
        <f t="shared" si="82"/>
        <v>9928034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165537.4</v>
      </c>
      <c r="G51" s="190">
        <f t="shared" ref="G51:G52" si="97">F51/F50-1</f>
        <v>6.677727042619197E-2</v>
      </c>
      <c r="H51" s="190">
        <f t="shared" ref="H51:H52" si="98">F51/F39-1</f>
        <v>-0.14335218493793755</v>
      </c>
      <c r="I51" s="130">
        <f t="shared" ref="I51:I52" si="99">T51</f>
        <v>159.8276375619192</v>
      </c>
      <c r="J51" s="130">
        <f t="shared" ref="J51:J52" si="100">I51/I39-1</f>
        <v>-9.5510530500887425E-2</v>
      </c>
      <c r="K51" s="136"/>
      <c r="L51" s="190"/>
      <c r="M51" s="190"/>
      <c r="N51" s="191"/>
      <c r="O51" s="192"/>
      <c r="P51" s="129" t="s">
        <v>1402</v>
      </c>
      <c r="Q51" s="116">
        <v>3310748</v>
      </c>
      <c r="R51" s="116">
        <v>4805712717</v>
      </c>
      <c r="S51" s="116">
        <v>20714.490000000002</v>
      </c>
      <c r="T51" s="130">
        <f t="shared" ref="T51:T52" si="101">Q51/S51</f>
        <v>159.8276375619192</v>
      </c>
      <c r="U51" s="85">
        <f t="shared" si="82"/>
        <v>10142057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415211.75858585857</v>
      </c>
      <c r="C52" s="188">
        <f>AVERAGE(F50:F52)</f>
        <v>138403.91952861953</v>
      </c>
      <c r="D52" s="190">
        <f>C52/C49-1</f>
        <v>-6.9999941085425843E-2</v>
      </c>
      <c r="E52" s="287">
        <f>C52/C40-1</f>
        <v>-0.20236118532044467</v>
      </c>
      <c r="F52" s="136">
        <f>Q52/22</f>
        <v>94499.136363636368</v>
      </c>
      <c r="G52" s="190">
        <f t="shared" si="97"/>
        <v>-0.4291372441295056</v>
      </c>
      <c r="H52" s="190">
        <f t="shared" si="98"/>
        <v>-0.34452310485963566</v>
      </c>
      <c r="I52" s="130">
        <f t="shared" si="99"/>
        <v>112.80466762742324</v>
      </c>
      <c r="J52" s="130">
        <f t="shared" si="100"/>
        <v>-0.32193549961065693</v>
      </c>
      <c r="K52" s="136">
        <f>R50+R51+R52</f>
        <v>11830481502</v>
      </c>
      <c r="L52" s="190">
        <f>U52/U49-1</f>
        <v>-0.14944292548418936</v>
      </c>
      <c r="M52" s="190">
        <f>K52/K40-1</f>
        <v>-0.20738832473824531</v>
      </c>
      <c r="N52" s="191">
        <f>AVERAGE(T50:T52)</f>
        <v>150.4923817317017</v>
      </c>
      <c r="O52" s="192">
        <f>N52/N49-1</f>
        <v>-0.17344201365186285</v>
      </c>
      <c r="P52" s="129" t="s">
        <v>1403</v>
      </c>
      <c r="Q52" s="116">
        <v>2078981</v>
      </c>
      <c r="R52" s="116">
        <v>3057313862</v>
      </c>
      <c r="S52" s="116">
        <v>18429.919999999998</v>
      </c>
      <c r="T52" s="130">
        <f t="shared" si="101"/>
        <v>112.80466762742324</v>
      </c>
      <c r="U52" s="85">
        <f t="shared" ref="U52" si="102">Q50+Q51+Q52</f>
        <v>8182883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159336.66666666666</v>
      </c>
      <c r="G53" s="190">
        <f t="shared" ref="G53" si="103">F53/F52-1</f>
        <v>0.68611770221404922</v>
      </c>
      <c r="H53" s="190">
        <f t="shared" ref="H53" si="104">F53/F41-1</f>
        <v>0.24754888740802339</v>
      </c>
      <c r="I53" s="130">
        <f t="shared" ref="I53" si="105">T53</f>
        <v>154.91896787049674</v>
      </c>
      <c r="J53" s="130">
        <f t="shared" ref="J53" si="106">I53/I41-1</f>
        <v>-1.7176335973226209E-2</v>
      </c>
      <c r="K53" s="136"/>
      <c r="L53" s="190"/>
      <c r="M53" s="190"/>
      <c r="N53" s="191"/>
      <c r="O53" s="192"/>
      <c r="P53" s="129" t="s">
        <v>1414</v>
      </c>
      <c r="Q53" s="116">
        <v>3346070</v>
      </c>
      <c r="R53" s="116">
        <v>4885086409</v>
      </c>
      <c r="S53" s="116">
        <v>21598.84</v>
      </c>
      <c r="T53" s="130">
        <f t="shared" ref="T53" si="107">Q53/S53</f>
        <v>154.91896787049674</v>
      </c>
      <c r="U53" s="85">
        <f t="shared" ref="U53" si="108">Q51+Q52+Q53</f>
        <v>8735799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121289.29411764706</v>
      </c>
      <c r="G54" s="190">
        <f t="shared" ref="G54" si="109">F54/F53-1</f>
        <v>-0.23878604557866734</v>
      </c>
      <c r="H54" s="190">
        <f t="shared" ref="H54" si="110">F54/F42-1</f>
        <v>-0.33935684215391371</v>
      </c>
      <c r="I54" s="130">
        <f t="shared" ref="I54" si="111">T54</f>
        <v>175.34807381580066</v>
      </c>
      <c r="J54" s="130">
        <f t="shared" ref="J54" si="112">I54/I42-1</f>
        <v>0.18076472377705266</v>
      </c>
      <c r="K54" s="136"/>
      <c r="L54" s="190"/>
      <c r="M54" s="190"/>
      <c r="N54" s="191"/>
      <c r="O54" s="192"/>
      <c r="P54" s="129" t="s">
        <v>1417</v>
      </c>
      <c r="Q54" s="116">
        <v>2061918</v>
      </c>
      <c r="R54" s="116">
        <v>2987377133</v>
      </c>
      <c r="S54" s="116">
        <v>11759</v>
      </c>
      <c r="T54" s="130">
        <f t="shared" ref="T54" si="113">Q54/S54</f>
        <v>175.34807381580066</v>
      </c>
      <c r="U54" s="85">
        <f t="shared" ref="U54" si="114">Q52+Q53+Q54</f>
        <v>7486969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410401.77030812326</v>
      </c>
      <c r="C55" s="188">
        <f>AVERAGE(F53:F55)</f>
        <v>136800.59010270776</v>
      </c>
      <c r="D55" s="190">
        <f>C55/C52-1</f>
        <v>-1.1584422112989601E-2</v>
      </c>
      <c r="E55" s="287">
        <f>C55/C43-1</f>
        <v>-0.1591621140395556</v>
      </c>
      <c r="F55" s="136">
        <f>Q55/21</f>
        <v>129775.80952380953</v>
      </c>
      <c r="G55" s="190">
        <f t="shared" ref="G55" si="115">F55/F54-1</f>
        <v>6.9969204354761949E-2</v>
      </c>
      <c r="H55" s="190">
        <f t="shared" ref="H55" si="116">F55/F43-1</f>
        <v>-0.26586659008791991</v>
      </c>
      <c r="I55" s="130">
        <f>T55</f>
        <v>177.56196085585469</v>
      </c>
      <c r="J55" s="130">
        <f t="shared" ref="J55" si="117">I55/I43-1</f>
        <v>-0.14101684443668405</v>
      </c>
      <c r="K55" s="136">
        <f>R53+R54+R55</f>
        <v>11902868869</v>
      </c>
      <c r="L55" s="190">
        <f>U55/U52-1</f>
        <v>-6.0617999792982324E-3</v>
      </c>
      <c r="M55" s="190">
        <f>K55/K43-1</f>
        <v>-0.13808645033906097</v>
      </c>
      <c r="N55" s="191">
        <f>AVERAGE(T53:T55)</f>
        <v>169.27633418071736</v>
      </c>
      <c r="O55" s="192">
        <f>N55/N52-1</f>
        <v>0.1248166334592522</v>
      </c>
      <c r="P55" s="129" t="s">
        <v>1418</v>
      </c>
      <c r="Q55" s="116">
        <v>2725292</v>
      </c>
      <c r="R55" s="116">
        <v>4030405327</v>
      </c>
      <c r="S55" s="116">
        <v>15348.4</v>
      </c>
      <c r="T55" s="130">
        <f t="shared" ref="T55" si="118">Q55/S55</f>
        <v>177.56196085585469</v>
      </c>
      <c r="U55" s="85">
        <f t="shared" ref="U55" si="119">Q53+Q54+Q55</f>
        <v>8133280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95022.318181818177</v>
      </c>
      <c r="G56" s="190">
        <f t="shared" ref="G56" si="120">F56/F55-1</f>
        <v>-0.26779637491388752</v>
      </c>
      <c r="H56" s="190">
        <f t="shared" ref="H56" si="121">F56/F44-1</f>
        <v>-0.28533080898986274</v>
      </c>
      <c r="I56" s="291">
        <f>T56</f>
        <v>179.12071528637588</v>
      </c>
      <c r="J56" s="130">
        <f t="shared" ref="J56" si="122">I56/I44-1</f>
        <v>-6.9780357014949668E-2</v>
      </c>
      <c r="K56" s="136"/>
      <c r="L56" s="190"/>
      <c r="M56" s="190"/>
      <c r="N56" s="191"/>
      <c r="O56" s="192"/>
      <c r="P56" s="129" t="s">
        <v>1420</v>
      </c>
      <c r="Q56" s="116">
        <v>2090491</v>
      </c>
      <c r="R56" s="116">
        <v>3113978565</v>
      </c>
      <c r="S56" s="116">
        <v>11670.85</v>
      </c>
      <c r="T56" s="130">
        <f t="shared" ref="T56" si="123">Q56/S56</f>
        <v>179.12071528637588</v>
      </c>
      <c r="U56" s="85">
        <f t="shared" ref="U56" si="124">Q54+Q55+Q56</f>
        <v>6877701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106176.25</v>
      </c>
      <c r="G57" s="254">
        <f t="shared" ref="G57" si="125">F57/F56-1</f>
        <v>0.11738223221243249</v>
      </c>
      <c r="H57" s="254">
        <f t="shared" ref="H57" si="126">F57/F45-1</f>
        <v>-0.31885490705774766</v>
      </c>
      <c r="I57" s="282">
        <f>T57</f>
        <v>170.61267722566512</v>
      </c>
      <c r="J57" s="277">
        <f t="shared" ref="J57" si="127">I57/I45-1</f>
        <v>9.5993929279708068E-2</v>
      </c>
      <c r="K57" s="204"/>
      <c r="L57" s="254"/>
      <c r="M57" s="254"/>
      <c r="N57" s="257"/>
      <c r="O57" s="258"/>
      <c r="P57" s="129" t="s">
        <v>1436</v>
      </c>
      <c r="Q57" s="116">
        <v>1274115</v>
      </c>
      <c r="R57" s="116">
        <v>1876978363</v>
      </c>
      <c r="S57" s="116">
        <v>7467.88</v>
      </c>
      <c r="T57" s="130">
        <f t="shared" ref="T57" si="128">Q57/S57</f>
        <v>170.61267722566512</v>
      </c>
      <c r="U57" s="85">
        <f t="shared" ref="U57" si="129">Q55+Q56+Q57</f>
        <v>6089898</v>
      </c>
      <c r="V57" s="79"/>
      <c r="W57" s="79"/>
      <c r="X57" s="79"/>
      <c r="Y57" s="79"/>
      <c r="Z57" s="79"/>
    </row>
    <row r="58" spans="1:26">
      <c r="B58" s="196">
        <f>SUM(F56:F58)</f>
        <v>201198.56818181818</v>
      </c>
      <c r="C58" s="196">
        <f>AVERAGE(F56:F58)</f>
        <v>100599.28409090909</v>
      </c>
      <c r="D58" s="197">
        <f>C58/C55-1</f>
        <v>-0.26462828840591479</v>
      </c>
      <c r="E58" s="233">
        <f>C58/C46-1</f>
        <v>-0.35489979494030011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11497886</v>
      </c>
      <c r="R65" s="212">
        <v>16893825797</v>
      </c>
      <c r="S65" s="213">
        <v>67844.98</v>
      </c>
      <c r="T65" s="214">
        <v>40</v>
      </c>
      <c r="U65" s="214">
        <v>296</v>
      </c>
    </row>
    <row r="66" spans="16:21" ht="18" thickBot="1">
      <c r="P66" s="180" t="s">
        <v>976</v>
      </c>
      <c r="Q66" s="181">
        <v>3346070</v>
      </c>
      <c r="R66" s="181">
        <v>4885086409</v>
      </c>
      <c r="S66" s="182">
        <v>21598.84</v>
      </c>
      <c r="T66" s="210">
        <v>21</v>
      </c>
      <c r="U66" s="210">
        <v>124</v>
      </c>
    </row>
    <row r="67" spans="16:21" ht="18" thickBot="1">
      <c r="P67" s="180" t="s">
        <v>977</v>
      </c>
      <c r="Q67" s="181">
        <v>2061918</v>
      </c>
      <c r="R67" s="181">
        <v>2987377133</v>
      </c>
      <c r="S67" s="182">
        <v>11759</v>
      </c>
      <c r="T67" s="210">
        <v>23</v>
      </c>
      <c r="U67" s="210">
        <v>104</v>
      </c>
    </row>
    <row r="68" spans="16:21" ht="18" thickBot="1">
      <c r="P68" s="180" t="s">
        <v>978</v>
      </c>
      <c r="Q68" s="181">
        <v>2725292</v>
      </c>
      <c r="R68" s="181">
        <v>4030405327</v>
      </c>
      <c r="S68" s="182">
        <v>15348.4</v>
      </c>
      <c r="T68" s="210">
        <v>21</v>
      </c>
      <c r="U68" s="210">
        <v>100</v>
      </c>
    </row>
    <row r="69" spans="16:21" ht="18" thickBot="1">
      <c r="P69" s="180" t="s">
        <v>979</v>
      </c>
      <c r="Q69" s="181">
        <v>2090491</v>
      </c>
      <c r="R69" s="181">
        <v>3113978565</v>
      </c>
      <c r="S69" s="182">
        <v>11670.85</v>
      </c>
      <c r="T69" s="210">
        <v>21</v>
      </c>
      <c r="U69" s="210">
        <v>123</v>
      </c>
    </row>
    <row r="70" spans="16:21" ht="18" thickBot="1">
      <c r="P70" s="180" t="s">
        <v>980</v>
      </c>
      <c r="Q70" s="181">
        <v>1274115</v>
      </c>
      <c r="R70" s="181">
        <v>1876978363</v>
      </c>
      <c r="S70" s="182">
        <v>7467.88</v>
      </c>
      <c r="T70" s="210">
        <v>15</v>
      </c>
      <c r="U70" s="210">
        <v>66</v>
      </c>
    </row>
    <row r="71" spans="16:21" ht="18" thickBot="1">
      <c r="P71" s="180" t="s">
        <v>975</v>
      </c>
      <c r="Q71" s="181">
        <v>36753340</v>
      </c>
      <c r="R71" s="181">
        <v>52242324580</v>
      </c>
      <c r="S71" s="182">
        <v>215971.96</v>
      </c>
      <c r="T71" s="210">
        <v>71</v>
      </c>
      <c r="U71" s="210">
        <v>581</v>
      </c>
    </row>
    <row r="72" spans="16:21" ht="18" thickBot="1">
      <c r="P72" s="215" t="s">
        <v>982</v>
      </c>
      <c r="Q72" s="217">
        <v>41</v>
      </c>
      <c r="R72"/>
      <c r="S72"/>
      <c r="T72"/>
      <c r="U72"/>
    </row>
    <row r="73" spans="16:21" ht="18" thickBot="1">
      <c r="P73" s="215" t="s">
        <v>1386</v>
      </c>
      <c r="Q73" s="217" t="s">
        <v>1456</v>
      </c>
      <c r="R73"/>
      <c r="S73"/>
      <c r="T73"/>
      <c r="U73"/>
    </row>
  </sheetData>
  <phoneticPr fontId="1" type="noConversion"/>
  <conditionalFormatting sqref="C29:C30">
    <cfRule type="cellIs" dxfId="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62"/>
  <dimension ref="A1:Z50"/>
  <sheetViews>
    <sheetView topLeftCell="G1"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333</v>
      </c>
      <c r="C4" s="84" t="s">
        <v>353</v>
      </c>
      <c r="D4" s="118" t="s">
        <v>89</v>
      </c>
      <c r="E4" s="118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23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22" si="2">F6/F5-1</f>
        <v>-0.17670247887520329</v>
      </c>
      <c r="H6" s="90"/>
      <c r="I6" s="130">
        <f t="shared" si="0"/>
        <v>1183.2356631228201</v>
      </c>
      <c r="J6" s="130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79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90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79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 t="shared" si="1"/>
        <v>1163.9910175685791</v>
      </c>
      <c r="U12" s="85"/>
    </row>
    <row r="13" spans="1:21" ht="15" hidden="1" customHeight="1">
      <c r="A13" s="129" t="s">
        <v>96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90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96</v>
      </c>
      <c r="Q13" s="116">
        <v>9854002</v>
      </c>
      <c r="R13" s="116"/>
      <c r="S13" s="116">
        <v>7837.41</v>
      </c>
      <c r="T13" s="130">
        <f t="shared" si="1"/>
        <v>1257.3033693528857</v>
      </c>
      <c r="U13" s="85">
        <f>Q11+Q12+Q13</f>
        <v>29149622</v>
      </c>
    </row>
    <row r="14" spans="1:21" ht="15" hidden="1" customHeight="1">
      <c r="A14" s="129" t="s">
        <v>97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O14" s="89"/>
      <c r="P14" s="129" t="s">
        <v>97</v>
      </c>
      <c r="Q14" s="116">
        <v>12733259</v>
      </c>
      <c r="R14" s="116"/>
      <c r="S14" s="116">
        <v>12617.26</v>
      </c>
      <c r="T14" s="130">
        <f t="shared" si="1"/>
        <v>1009.1936759645121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O15" s="89"/>
      <c r="P15" s="129" t="s">
        <v>98</v>
      </c>
      <c r="Q15" s="116">
        <v>11938106</v>
      </c>
      <c r="R15" s="116"/>
      <c r="S15" s="116">
        <v>11583.13</v>
      </c>
      <c r="T15" s="130">
        <f t="shared" si="1"/>
        <v>1030.6459480295914</v>
      </c>
      <c r="U15" s="78"/>
    </row>
    <row r="16" spans="1:21" ht="15" hidden="1" customHeight="1">
      <c r="A16" s="129" t="s">
        <v>99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90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9" t="s">
        <v>99</v>
      </c>
      <c r="Q16" s="116">
        <v>15237963</v>
      </c>
      <c r="R16" s="116"/>
      <c r="S16" s="116">
        <v>14793.56</v>
      </c>
      <c r="T16" s="130">
        <f t="shared" si="1"/>
        <v>1030.0403013203043</v>
      </c>
      <c r="U16" s="85">
        <f>Q14+Q15+Q16</f>
        <v>39909328</v>
      </c>
    </row>
    <row r="17" spans="1:21" ht="15" hidden="1" customHeight="1">
      <c r="A17" s="129" t="s">
        <v>100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22" si="3">F17/F5-1</f>
        <v>-0.12386917879142489</v>
      </c>
      <c r="I17" s="130">
        <f t="shared" si="0"/>
        <v>1202.7651825707887</v>
      </c>
      <c r="J17" s="130">
        <f t="shared" ref="J17:J49" si="4">I17/I5-1</f>
        <v>-7.3697908573465254E-2</v>
      </c>
      <c r="O17" s="89"/>
      <c r="P17" s="129" t="s">
        <v>100</v>
      </c>
      <c r="Q17" s="116">
        <v>9623661</v>
      </c>
      <c r="R17" s="116">
        <v>12117027658</v>
      </c>
      <c r="S17" s="116">
        <v>8001.28</v>
      </c>
      <c r="T17" s="130">
        <f t="shared" si="1"/>
        <v>1202.7651825707887</v>
      </c>
      <c r="U17" s="78"/>
    </row>
    <row r="18" spans="1:21" ht="15" hidden="1" customHeight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3"/>
        <v>0.31430090921567344</v>
      </c>
      <c r="I18" s="130">
        <f t="shared" si="0"/>
        <v>1217.3281290327868</v>
      </c>
      <c r="J18" s="130">
        <f t="shared" si="4"/>
        <v>2.881291273793174E-2</v>
      </c>
      <c r="O18" s="89"/>
      <c r="P18" s="129" t="s">
        <v>106</v>
      </c>
      <c r="Q18" s="116">
        <v>11885651</v>
      </c>
      <c r="R18" s="116">
        <v>14917402455</v>
      </c>
      <c r="S18" s="116">
        <v>9763.7199999999993</v>
      </c>
      <c r="T18" s="130">
        <f t="shared" si="1"/>
        <v>1217.3281290327868</v>
      </c>
      <c r="U18" s="78"/>
    </row>
    <row r="19" spans="1:21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90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3"/>
        <v>0.16412191995293357</v>
      </c>
      <c r="I19" s="130">
        <f t="shared" si="0"/>
        <v>1183.6593804307968</v>
      </c>
      <c r="J19" s="130">
        <f t="shared" si="4"/>
        <v>7.6629802121104706E-2</v>
      </c>
      <c r="K19" s="78">
        <f>R17+R18+R19</f>
        <v>41589652742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1201.2508973447909</v>
      </c>
      <c r="O19" s="89">
        <f>N19/N16-1</f>
        <v>0.1739067259007816</v>
      </c>
      <c r="P19" s="129" t="s">
        <v>114</v>
      </c>
      <c r="Q19" s="116">
        <v>11136045</v>
      </c>
      <c r="R19" s="116">
        <v>14555222629</v>
      </c>
      <c r="S19" s="116">
        <v>9408.15</v>
      </c>
      <c r="T19" s="130">
        <f t="shared" si="1"/>
        <v>1183.6593804307968</v>
      </c>
      <c r="U19" s="85">
        <f>Q17+Q18+Q19</f>
        <v>32645357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505205.45</v>
      </c>
      <c r="G20" s="90">
        <f t="shared" si="2"/>
        <v>-1.9329214276702089E-3</v>
      </c>
      <c r="H20" s="90">
        <f t="shared" si="3"/>
        <v>0.24998447138558255</v>
      </c>
      <c r="I20" s="130">
        <f t="shared" si="0"/>
        <v>1255.3933871400598</v>
      </c>
      <c r="J20" s="130">
        <f t="shared" si="4"/>
        <v>7.2525472614071607E-2</v>
      </c>
      <c r="O20" s="89"/>
      <c r="P20" s="129" t="s">
        <v>131</v>
      </c>
      <c r="Q20" s="116">
        <v>10104109</v>
      </c>
      <c r="R20" s="116">
        <v>13268271905</v>
      </c>
      <c r="S20" s="116">
        <v>8048.56</v>
      </c>
      <c r="T20" s="130">
        <f t="shared" si="1"/>
        <v>1255.3933871400598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453682.80952380953</v>
      </c>
      <c r="G21" s="90">
        <f t="shared" si="2"/>
        <v>-0.10198354051048042</v>
      </c>
      <c r="H21" s="90">
        <f t="shared" si="3"/>
        <v>-0.24527768744897971</v>
      </c>
      <c r="I21" s="130">
        <f t="shared" si="0"/>
        <v>1275.0926139070755</v>
      </c>
      <c r="J21" s="130">
        <f t="shared" si="4"/>
        <v>4.213855835455993E-2</v>
      </c>
      <c r="O21" s="89"/>
      <c r="P21" s="129" t="s">
        <v>141</v>
      </c>
      <c r="Q21" s="116">
        <v>9527339</v>
      </c>
      <c r="R21" s="116">
        <v>12677970766</v>
      </c>
      <c r="S21" s="116">
        <v>7471.88</v>
      </c>
      <c r="T21" s="130">
        <f t="shared" si="1"/>
        <v>1275.0926139070755</v>
      </c>
      <c r="U21" s="78"/>
    </row>
    <row r="22" spans="1:21" hidden="1">
      <c r="A22" s="129" t="s">
        <v>155</v>
      </c>
      <c r="B22" s="131">
        <f>SUM(F20:F22)</f>
        <v>1480020.2119047618</v>
      </c>
      <c r="C22" s="131">
        <f>AVERAGE(F20:F22)</f>
        <v>493340.07063492062</v>
      </c>
      <c r="D22" s="90">
        <f>C22/C19-1</f>
        <v>-6.4255231053501838E-2</v>
      </c>
      <c r="E22" s="90">
        <f>C22/C10-1</f>
        <v>-6.0684755390751244E-2</v>
      </c>
      <c r="F22" s="78">
        <f>Q22/21</f>
        <v>521131.95238095237</v>
      </c>
      <c r="G22" s="90">
        <f t="shared" si="2"/>
        <v>0.14867026354368207</v>
      </c>
      <c r="H22" s="90">
        <f t="shared" si="3"/>
        <v>-8.6282487056858814E-2</v>
      </c>
      <c r="I22" s="130">
        <f t="shared" si="0"/>
        <v>1107.4550365263397</v>
      </c>
      <c r="J22" s="130">
        <f t="shared" si="4"/>
        <v>-3.8955215428438938E-3</v>
      </c>
      <c r="K22" s="78">
        <f>R20+R21+R22</f>
        <v>40144598029</v>
      </c>
      <c r="L22" s="87">
        <f>U22/U19-1</f>
        <v>-6.3412938017495146E-2</v>
      </c>
      <c r="M22" s="87">
        <f>U22/U10-1</f>
        <v>-7.5953117687671989E-2</v>
      </c>
      <c r="N22" s="88">
        <f>AVERAGE(T20:T22)</f>
        <v>1212.6470125244916</v>
      </c>
      <c r="O22" s="89">
        <f>N22/N19-1</f>
        <v>9.4868733957995666E-3</v>
      </c>
      <c r="P22" s="129" t="s">
        <v>155</v>
      </c>
      <c r="Q22" s="116">
        <v>10943771</v>
      </c>
      <c r="R22" s="116">
        <v>14198355358</v>
      </c>
      <c r="S22" s="116">
        <v>9881.91</v>
      </c>
      <c r="T22" s="130">
        <f t="shared" si="1"/>
        <v>1107.4550365263397</v>
      </c>
      <c r="U22" s="85">
        <f>Q20+Q21+Q22</f>
        <v>30575219</v>
      </c>
    </row>
    <row r="23" spans="1:21" hidden="1">
      <c r="A23" s="129" t="s">
        <v>189</v>
      </c>
      <c r="C23" s="131"/>
      <c r="F23" s="78">
        <f>Q23/21</f>
        <v>473691.80952380953</v>
      </c>
      <c r="G23" s="90">
        <f t="shared" ref="G23" si="5">F23/F22-1</f>
        <v>-9.1032880713604047E-2</v>
      </c>
      <c r="H23" s="90">
        <f t="shared" ref="H23" si="6">F23/F11-1</f>
        <v>-3.4931173008146188E-2</v>
      </c>
      <c r="I23" s="130">
        <f t="shared" si="0"/>
        <v>1304.2585774673003</v>
      </c>
      <c r="J23" s="130">
        <f t="shared" si="4"/>
        <v>8.064234058020614E-2</v>
      </c>
      <c r="O23" s="89"/>
      <c r="P23" s="129" t="s">
        <v>189</v>
      </c>
      <c r="Q23" s="116">
        <v>9947528</v>
      </c>
      <c r="R23" s="116">
        <v>12827861469</v>
      </c>
      <c r="S23" s="116">
        <v>7626.96</v>
      </c>
      <c r="T23" s="130">
        <f t="shared" si="1"/>
        <v>1304.2585774673003</v>
      </c>
      <c r="U23" s="78"/>
    </row>
    <row r="24" spans="1:21" hidden="1">
      <c r="A24" s="129" t="s">
        <v>204</v>
      </c>
      <c r="C24" s="131"/>
      <c r="F24" s="78">
        <f>Q24/22</f>
        <v>472433.13636363635</v>
      </c>
      <c r="G24" s="90">
        <f t="shared" ref="G24" si="7">F24/F23-1</f>
        <v>-2.6571562667264681E-3</v>
      </c>
      <c r="H24" s="90">
        <f t="shared" ref="H24" si="8">F24/F12-1</f>
        <v>0.15637376174283246</v>
      </c>
      <c r="I24" s="130">
        <f t="shared" si="0"/>
        <v>1153.9723584782064</v>
      </c>
      <c r="J24" s="130">
        <f t="shared" si="4"/>
        <v>-8.6071618587747478E-3</v>
      </c>
      <c r="O24" s="89"/>
      <c r="P24" s="129" t="s">
        <v>204</v>
      </c>
      <c r="Q24" s="116">
        <v>10393529</v>
      </c>
      <c r="R24" s="116">
        <v>13680710043</v>
      </c>
      <c r="S24" s="116">
        <v>9006.74</v>
      </c>
      <c r="T24" s="130">
        <f t="shared" ref="T24" si="9">Q24/S24</f>
        <v>1153.9723584782064</v>
      </c>
      <c r="U24" s="78"/>
    </row>
    <row r="25" spans="1:21" s="79" customFormat="1" ht="13.2" hidden="1">
      <c r="A25" s="129" t="s">
        <v>218</v>
      </c>
      <c r="B25" s="131">
        <f>SUM(F23:F25)</f>
        <v>1426801.5774663934</v>
      </c>
      <c r="C25" s="131">
        <f>AVERAGE(F23:F25)</f>
        <v>475600.52582213114</v>
      </c>
      <c r="D25" s="90">
        <f>C25/C22-1</f>
        <v>-3.5958045714711506E-2</v>
      </c>
      <c r="E25" s="90">
        <f>C25/C13-1</f>
        <v>2.4938897473098631E-2</v>
      </c>
      <c r="F25" s="78">
        <f>Q25/19</f>
        <v>480676.63157894736</v>
      </c>
      <c r="G25" s="90">
        <f t="shared" ref="G25" si="10">F25/F24-1</f>
        <v>1.7449019937005206E-2</v>
      </c>
      <c r="H25" s="90">
        <f t="shared" ref="H25" si="11">F25/F13-1</f>
        <v>-2.4403218958251927E-2</v>
      </c>
      <c r="I25" s="130">
        <f t="shared" si="0"/>
        <v>1231.291170641608</v>
      </c>
      <c r="J25" s="130">
        <f t="shared" si="4"/>
        <v>-2.0688880142479715E-2</v>
      </c>
      <c r="K25" s="78">
        <f>R23+R24+R25</f>
        <v>38634705803</v>
      </c>
      <c r="L25" s="90">
        <f>U25/U22-1</f>
        <v>-3.6019562116627823E-2</v>
      </c>
      <c r="M25" s="90">
        <f>U25/U13-1</f>
        <v>1.1125049923460306E-2</v>
      </c>
      <c r="N25" s="88">
        <f>AVERAGE(T23:T25)</f>
        <v>1229.8407021957048</v>
      </c>
      <c r="O25" s="91">
        <f>N25/N22-1</f>
        <v>1.417864349116682E-2</v>
      </c>
      <c r="P25" s="129" t="s">
        <v>230</v>
      </c>
      <c r="Q25" s="116">
        <v>9132856</v>
      </c>
      <c r="R25" s="116">
        <v>12126134291</v>
      </c>
      <c r="S25" s="116">
        <v>7417.3</v>
      </c>
      <c r="T25" s="130">
        <f t="shared" ref="T25" si="12">Q25/S25</f>
        <v>1231.291170641608</v>
      </c>
      <c r="U25" s="85">
        <f>Q23+Q24+Q25</f>
        <v>29473913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554629.21052631584</v>
      </c>
      <c r="G26" s="90">
        <f t="shared" ref="G26" si="13">F26/F25-1</f>
        <v>0.15385099688421677</v>
      </c>
      <c r="H26" s="90">
        <f t="shared" ref="H26" si="14">F26/F14-1</f>
        <v>-0.12884955764063877</v>
      </c>
      <c r="I26" s="130">
        <f t="shared" si="0"/>
        <v>1159.4198035205231</v>
      </c>
      <c r="J26" s="130">
        <f t="shared" si="4"/>
        <v>0.14885757920791187</v>
      </c>
      <c r="L26" s="90"/>
      <c r="M26" s="90"/>
      <c r="P26" s="129" t="s">
        <v>312</v>
      </c>
      <c r="Q26" s="116">
        <v>10537955</v>
      </c>
      <c r="R26" s="116">
        <v>14208095846</v>
      </c>
      <c r="S26" s="116">
        <v>9088.99</v>
      </c>
      <c r="T26" s="130">
        <f t="shared" ref="T26" si="15">Q26/S26</f>
        <v>1159.4198035205231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571953.59090909094</v>
      </c>
      <c r="G27" s="90">
        <f t="shared" ref="G27" si="16">F27/F26-1</f>
        <v>3.1235968199971209E-2</v>
      </c>
      <c r="H27" s="90">
        <f t="shared" ref="H27" si="17">F27/F15-1</f>
        <v>5.4018032676205197E-2</v>
      </c>
      <c r="I27" s="130">
        <f t="shared" si="0"/>
        <v>1120.2545349328941</v>
      </c>
      <c r="J27" s="130">
        <f t="shared" si="4"/>
        <v>8.694410245789852E-2</v>
      </c>
      <c r="L27" s="90"/>
      <c r="M27" s="90"/>
      <c r="P27" s="129" t="s">
        <v>375</v>
      </c>
      <c r="Q27" s="116">
        <v>12582979</v>
      </c>
      <c r="R27" s="116">
        <v>16619880978</v>
      </c>
      <c r="S27" s="116">
        <v>11232.25</v>
      </c>
      <c r="T27" s="130">
        <f t="shared" ref="T27" si="18">Q27/S27</f>
        <v>1120.2545349328941</v>
      </c>
      <c r="U27" s="78"/>
    </row>
    <row r="28" spans="1:21" s="79" customFormat="1" ht="13.2" hidden="1">
      <c r="A28" s="123" t="s">
        <v>413</v>
      </c>
      <c r="B28" s="131">
        <f>SUM(F26:F28)</f>
        <v>1919001.5909090908</v>
      </c>
      <c r="C28" s="131">
        <f>AVERAGE(F26:F28)</f>
        <v>639667.1969696969</v>
      </c>
      <c r="D28" s="90">
        <f>C28/C25-1</f>
        <v>0.34496738804894567</v>
      </c>
      <c r="E28" s="90">
        <f>C28/C16-1</f>
        <v>2.5141194215266394E-2</v>
      </c>
      <c r="F28" s="78">
        <f>Q28/19</f>
        <v>792418.78947368416</v>
      </c>
      <c r="G28" s="90">
        <f t="shared" ref="G28" si="19">F28/F27-1</f>
        <v>0.38545994302470432</v>
      </c>
      <c r="H28" s="90">
        <f t="shared" ref="H28" si="20">F28/F16-1</f>
        <v>0.14406455563785348</v>
      </c>
      <c r="I28" s="130">
        <f t="shared" si="0"/>
        <v>1328.6688299367875</v>
      </c>
      <c r="J28" s="130">
        <f t="shared" si="4"/>
        <v>0.28991926649248723</v>
      </c>
      <c r="K28" s="78">
        <f>R26+R27+R28</f>
        <v>50461459104</v>
      </c>
      <c r="L28" s="90">
        <f>U28/U25-1</f>
        <v>0.2952773186241</v>
      </c>
      <c r="M28" s="90">
        <f>U28/U16-1</f>
        <v>-4.3409325258495945E-2</v>
      </c>
      <c r="N28" s="88">
        <f>AVERAGE(T26:T28)</f>
        <v>1202.7810561300682</v>
      </c>
      <c r="O28" s="91">
        <f>N28/N25-1</f>
        <v>-2.2002561809285948E-2</v>
      </c>
      <c r="P28" s="129" t="s">
        <v>413</v>
      </c>
      <c r="Q28" s="116">
        <v>15055957</v>
      </c>
      <c r="R28" s="116">
        <v>19633482280</v>
      </c>
      <c r="S28" s="116">
        <v>11331.61</v>
      </c>
      <c r="T28" s="130">
        <f t="shared" ref="T28" si="21">Q28/S28</f>
        <v>1328.6688299367875</v>
      </c>
      <c r="U28" s="85">
        <f>Q26+Q27+Q28</f>
        <v>38176891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496101.27272727271</v>
      </c>
      <c r="G29" s="190">
        <f t="shared" ref="G29" si="22">F29/F28-1</f>
        <v>-0.37394054846077318</v>
      </c>
      <c r="H29" s="190">
        <f t="shared" ref="H29" si="23">F29/F17-1</f>
        <v>3.100321743933554E-2</v>
      </c>
      <c r="I29" s="130">
        <f t="shared" si="0"/>
        <v>1054.7654804910151</v>
      </c>
      <c r="J29" s="130">
        <f t="shared" si="4"/>
        <v>-0.12304953969771493</v>
      </c>
      <c r="K29" s="136"/>
      <c r="L29" s="190"/>
      <c r="M29" s="190"/>
      <c r="N29" s="191"/>
      <c r="O29" s="192"/>
      <c r="P29" s="129" t="s">
        <v>427</v>
      </c>
      <c r="Q29" s="116">
        <v>10914228</v>
      </c>
      <c r="R29" s="116">
        <v>14367072649</v>
      </c>
      <c r="S29" s="116">
        <v>10347.540000000001</v>
      </c>
      <c r="T29" s="130">
        <f t="shared" ref="T29" si="24">Q29/S29</f>
        <v>1054.7654804910151</v>
      </c>
      <c r="U29" s="85"/>
    </row>
    <row r="30" spans="1:21" s="79" customFormat="1" ht="13.2">
      <c r="A30" s="129" t="s">
        <v>466</v>
      </c>
      <c r="B30" s="188"/>
      <c r="C30" s="188"/>
      <c r="D30" s="189"/>
      <c r="E30" s="189"/>
      <c r="F30" s="136">
        <f>Q30/19</f>
        <v>493362.36842105264</v>
      </c>
      <c r="G30" s="190">
        <f t="shared" ref="G30" si="25">F30/F29-1</f>
        <v>-5.520857245866706E-3</v>
      </c>
      <c r="H30" s="190">
        <f t="shared" ref="H30" si="26">F30/F18-1</f>
        <v>-0.16981851743576759</v>
      </c>
      <c r="I30" s="130">
        <f t="shared" si="0"/>
        <v>1082.0224394861082</v>
      </c>
      <c r="J30" s="130">
        <f t="shared" si="4"/>
        <v>-0.11114972727540939</v>
      </c>
      <c r="K30" s="136"/>
      <c r="L30" s="190"/>
      <c r="M30" s="190"/>
      <c r="N30" s="191"/>
      <c r="O30" s="192"/>
      <c r="P30" s="129" t="s">
        <v>466</v>
      </c>
      <c r="Q30" s="116">
        <v>9373885</v>
      </c>
      <c r="R30" s="116">
        <v>12494527537</v>
      </c>
      <c r="S30" s="116">
        <v>8663.2999999999993</v>
      </c>
      <c r="T30" s="130">
        <f t="shared" ref="T30" si="27">Q30/S30</f>
        <v>1082.0224394861082</v>
      </c>
      <c r="U30" s="85"/>
    </row>
    <row r="31" spans="1:21" s="79" customFormat="1" ht="13.2">
      <c r="A31" s="129" t="s">
        <v>505</v>
      </c>
      <c r="B31" s="188">
        <f>SUM(F29:F31)</f>
        <v>1590347.9911483251</v>
      </c>
      <c r="C31" s="188">
        <f>AVERAGE(F29:F31)</f>
        <v>530115.99704944168</v>
      </c>
      <c r="D31" s="190">
        <f>C31/C28-1</f>
        <v>-0.1712628073461222</v>
      </c>
      <c r="E31" s="190">
        <f>C31/C19-1</f>
        <v>5.4996557150928105E-3</v>
      </c>
      <c r="F31" s="136">
        <f>Q31/20</f>
        <v>600884.35</v>
      </c>
      <c r="G31" s="190">
        <f t="shared" ref="G31" si="28">F31/F30-1</f>
        <v>0.21793713599004039</v>
      </c>
      <c r="H31" s="190">
        <f t="shared" ref="H31" si="29">F31/F19-1</f>
        <v>0.18708713012564138</v>
      </c>
      <c r="I31" s="130">
        <f t="shared" si="0"/>
        <v>1131.1956648606724</v>
      </c>
      <c r="J31" s="130">
        <f t="shared" si="4"/>
        <v>-4.4323321757505973E-2</v>
      </c>
      <c r="K31" s="136">
        <f>R29+R30+R31</f>
        <v>42829934523</v>
      </c>
      <c r="L31" s="190">
        <f>U31/U28-1</f>
        <v>-0.15378651446499403</v>
      </c>
      <c r="M31" s="190">
        <f>U31/U19-1</f>
        <v>-1.0401387247809812E-2</v>
      </c>
      <c r="N31" s="191">
        <f>AVERAGE(T29:T31)</f>
        <v>1089.3278616125986</v>
      </c>
      <c r="O31" s="192">
        <f>N31/N28-1</f>
        <v>-9.4325724485970652E-2</v>
      </c>
      <c r="P31" s="129" t="s">
        <v>506</v>
      </c>
      <c r="Q31" s="116">
        <v>12017687</v>
      </c>
      <c r="R31" s="116">
        <v>15968334337</v>
      </c>
      <c r="S31" s="116">
        <v>10623.88</v>
      </c>
      <c r="T31" s="130">
        <f t="shared" ref="T31" si="30">Q31/S31</f>
        <v>1131.1956648606724</v>
      </c>
      <c r="U31" s="85">
        <f>Q29+Q30+Q31</f>
        <v>32305800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462302.19047619047</v>
      </c>
      <c r="G32" s="190">
        <f t="shared" ref="G32" si="31">F32/F31-1</f>
        <v>-0.23063033597698046</v>
      </c>
      <c r="H32" s="190">
        <f t="shared" ref="H32" si="32">F32/F20-1</f>
        <v>-8.4922400428992906E-2</v>
      </c>
      <c r="I32" s="130">
        <f t="shared" si="0"/>
        <v>1161.338194798328</v>
      </c>
      <c r="J32" s="130">
        <f t="shared" si="4"/>
        <v>-7.4920891973153547E-2</v>
      </c>
      <c r="K32" s="136"/>
      <c r="L32" s="190"/>
      <c r="M32" s="190"/>
      <c r="N32" s="191"/>
      <c r="O32" s="192"/>
      <c r="P32" s="129" t="s">
        <v>562</v>
      </c>
      <c r="Q32" s="116">
        <v>9708346</v>
      </c>
      <c r="R32" s="116">
        <v>13235334604</v>
      </c>
      <c r="S32" s="116">
        <v>8359.6200000000008</v>
      </c>
      <c r="T32" s="130">
        <f t="shared" ref="T32" si="33">Q32/S32</f>
        <v>1161.338194798328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578640.95238095243</v>
      </c>
      <c r="G33" s="190">
        <f t="shared" ref="G33" si="34">F33/F32-1</f>
        <v>0.25165089913359084</v>
      </c>
      <c r="H33" s="190">
        <f t="shared" ref="H33" si="35">F33/F21-1</f>
        <v>0.2754306317850137</v>
      </c>
      <c r="I33" s="130">
        <f t="shared" si="0"/>
        <v>1130.6965370414484</v>
      </c>
      <c r="J33" s="130">
        <f t="shared" si="4"/>
        <v>-0.11324359916349591</v>
      </c>
      <c r="K33" s="136"/>
      <c r="L33" s="190"/>
      <c r="M33" s="190"/>
      <c r="N33" s="191"/>
      <c r="O33" s="192"/>
      <c r="P33" s="129" t="s">
        <v>607</v>
      </c>
      <c r="Q33" s="116">
        <v>12151460</v>
      </c>
      <c r="R33" s="116">
        <v>16623389578</v>
      </c>
      <c r="S33" s="116">
        <v>10746.88</v>
      </c>
      <c r="T33" s="130">
        <f t="shared" ref="T33" si="36">Q33/S33</f>
        <v>1130.6965370414484</v>
      </c>
      <c r="U33" s="85"/>
    </row>
    <row r="34" spans="1:21" s="79" customFormat="1" ht="13.2">
      <c r="A34" s="129" t="s">
        <v>652</v>
      </c>
      <c r="B34" s="188">
        <f>SUM(F32:F34)</f>
        <v>1581063.7744360904</v>
      </c>
      <c r="C34" s="188">
        <f>AVERAGE(F32:F34)</f>
        <v>527021.25814536342</v>
      </c>
      <c r="D34" s="190">
        <f>C34/C31-1</f>
        <v>-5.8378523215734113E-3</v>
      </c>
      <c r="E34" s="190">
        <f>C34/C22-1</f>
        <v>6.8271745019810925E-2</v>
      </c>
      <c r="F34" s="136">
        <f>Q34/19</f>
        <v>540120.63157894742</v>
      </c>
      <c r="G34" s="190">
        <f t="shared" ref="G34" si="37">F34/F33-1</f>
        <v>-6.657033285235725E-2</v>
      </c>
      <c r="H34" s="190">
        <f t="shared" ref="H34" si="38">F34/F22-1</f>
        <v>3.6437372744540841E-2</v>
      </c>
      <c r="I34" s="130">
        <f t="shared" si="0"/>
        <v>1176.2802085195933</v>
      </c>
      <c r="J34" s="130">
        <f t="shared" si="4"/>
        <v>6.2147147941221892E-2</v>
      </c>
      <c r="K34" s="136">
        <f>R32+R33+R34</f>
        <v>43979076242</v>
      </c>
      <c r="L34" s="190">
        <f>U34/U31-1</f>
        <v>-5.6863473432015033E-3</v>
      </c>
      <c r="M34" s="190">
        <f>U34/U22-1</f>
        <v>5.0592573024579091E-2</v>
      </c>
      <c r="N34" s="191">
        <f>AVERAGE(T32:T34)</f>
        <v>1156.1049801197898</v>
      </c>
      <c r="O34" s="192">
        <f>N34/N31-1</f>
        <v>6.1301212298322305E-2</v>
      </c>
      <c r="P34" s="129" t="s">
        <v>652</v>
      </c>
      <c r="Q34" s="116">
        <v>10262292</v>
      </c>
      <c r="R34" s="116">
        <v>14120352060</v>
      </c>
      <c r="S34" s="116">
        <v>8724.36</v>
      </c>
      <c r="T34" s="130">
        <f t="shared" ref="T34" si="39">Q34/S34</f>
        <v>1176.2802085195933</v>
      </c>
      <c r="U34" s="85">
        <f>Q32+Q33+Q34</f>
        <v>32122098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702764.26086956519</v>
      </c>
      <c r="G35" s="190">
        <f t="shared" ref="G35" si="40">F35/F34-1</f>
        <v>0.30112463731510819</v>
      </c>
      <c r="H35" s="190">
        <f t="shared" ref="H35" si="41">F35/F23-1</f>
        <v>0.48358963938185129</v>
      </c>
      <c r="I35" s="130">
        <f t="shared" si="0"/>
        <v>1287.9909478104616</v>
      </c>
      <c r="J35" s="130">
        <f t="shared" si="4"/>
        <v>-1.2472702835068294E-2</v>
      </c>
      <c r="K35" s="136"/>
      <c r="L35" s="190"/>
      <c r="M35" s="190"/>
      <c r="N35" s="191"/>
      <c r="O35" s="192"/>
      <c r="P35" s="129" t="s">
        <v>660</v>
      </c>
      <c r="Q35" s="116">
        <v>16163578</v>
      </c>
      <c r="R35" s="116">
        <v>22371685427</v>
      </c>
      <c r="S35" s="116">
        <v>12549.45</v>
      </c>
      <c r="T35" s="130">
        <f t="shared" ref="T35" si="42">Q35/S35</f>
        <v>1287.9909478104616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495026.95238095237</v>
      </c>
      <c r="G36" s="190">
        <f t="shared" ref="G36" si="43">F36/F35-1</f>
        <v>-0.29560027459502436</v>
      </c>
      <c r="H36" s="190">
        <f t="shared" ref="H36" si="44">F36/F24-1</f>
        <v>4.7824367679250468E-2</v>
      </c>
      <c r="I36" s="130">
        <f t="shared" si="0"/>
        <v>1208.5661106053894</v>
      </c>
      <c r="J36" s="130">
        <f t="shared" si="4"/>
        <v>4.7309410599035706E-2</v>
      </c>
      <c r="K36" s="136"/>
      <c r="L36" s="190"/>
      <c r="M36" s="190"/>
      <c r="N36" s="191"/>
      <c r="O36" s="192"/>
      <c r="P36" s="129" t="s">
        <v>666</v>
      </c>
      <c r="Q36" s="116">
        <v>10395566</v>
      </c>
      <c r="R36" s="116">
        <v>14164769336</v>
      </c>
      <c r="S36" s="116">
        <v>8601.57</v>
      </c>
      <c r="T36" s="130">
        <f t="shared" ref="T36" si="45">Q36/S36</f>
        <v>1208.5661106053894</v>
      </c>
      <c r="U36" s="85"/>
    </row>
    <row r="37" spans="1:21" s="79" customFormat="1" ht="13.2">
      <c r="A37" s="129" t="s">
        <v>702</v>
      </c>
      <c r="B37" s="188">
        <f>SUM(F35:F37)</f>
        <v>1900364.7132505176</v>
      </c>
      <c r="C37" s="188">
        <f>AVERAGE(F35:F37)</f>
        <v>633454.90441683924</v>
      </c>
      <c r="D37" s="190">
        <f>C37/C34-1</f>
        <v>0.2019532317273609</v>
      </c>
      <c r="E37" s="190">
        <f>C37/C25-1</f>
        <v>0.3319053912352985</v>
      </c>
      <c r="F37" s="136">
        <f>Q37/18</f>
        <v>702573.5</v>
      </c>
      <c r="G37" s="190">
        <f t="shared" ref="G37" si="46">F37/F36-1</f>
        <v>0.41926312622131401</v>
      </c>
      <c r="H37" s="190">
        <f t="shared" ref="H37" si="47">F37/F25-1</f>
        <v>0.46163440001681844</v>
      </c>
      <c r="I37" s="130">
        <f t="shared" si="0"/>
        <v>1245.4412950840499</v>
      </c>
      <c r="J37" s="130">
        <f t="shared" si="4"/>
        <v>1.1492102582907782E-2</v>
      </c>
      <c r="K37" s="136">
        <f>R35+R36+R37</f>
        <v>53410606081</v>
      </c>
      <c r="L37" s="190">
        <f>U37/U34-1</f>
        <v>0.22051389669504151</v>
      </c>
      <c r="M37" s="190">
        <f>U37/U25-1</f>
        <v>0.33017516201530483</v>
      </c>
      <c r="N37" s="191">
        <f>AVERAGE(T35:T37)</f>
        <v>1247.3327844999669</v>
      </c>
      <c r="O37" s="192">
        <f>N37/N34-1</f>
        <v>7.8909619756784011E-2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ref="T37" si="48">Q37/S37</f>
        <v>1245.4412950840499</v>
      </c>
      <c r="U37" s="85">
        <f>Q35+Q36+Q37</f>
        <v>39205467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670530.25</v>
      </c>
      <c r="G38" s="190">
        <f t="shared" ref="G38" si="49">F38/F37-1</f>
        <v>-4.5608395420550285E-2</v>
      </c>
      <c r="H38" s="190">
        <f t="shared" ref="H38" si="50">F38/F26-1</f>
        <v>0.20897031255115417</v>
      </c>
      <c r="I38" s="130">
        <f t="shared" si="0"/>
        <v>1232.0691948823201</v>
      </c>
      <c r="J38" s="130">
        <f t="shared" si="4"/>
        <v>6.2660126333188737E-2</v>
      </c>
      <c r="K38" s="136"/>
      <c r="L38" s="190"/>
      <c r="M38" s="190"/>
      <c r="N38" s="191"/>
      <c r="O38" s="192"/>
      <c r="P38" s="129" t="s">
        <v>728</v>
      </c>
      <c r="Q38" s="116">
        <v>13410605</v>
      </c>
      <c r="R38" s="116">
        <v>18116801144</v>
      </c>
      <c r="S38" s="116">
        <v>10884.62</v>
      </c>
      <c r="T38" s="130">
        <f t="shared" ref="T38" si="51">Q38/S38</f>
        <v>1232.0691948823201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679382.19047619053</v>
      </c>
      <c r="G39" s="190">
        <f t="shared" ref="G39" si="52">F39/F38-1</f>
        <v>1.3201403629725217E-2</v>
      </c>
      <c r="H39" s="190">
        <f t="shared" ref="H39" si="53">F39/F27-1</f>
        <v>0.18782747634532249</v>
      </c>
      <c r="I39" s="130">
        <f t="shared" si="0"/>
        <v>933.18555360492712</v>
      </c>
      <c r="J39" s="130">
        <f t="shared" si="4"/>
        <v>-0.16698792595307177</v>
      </c>
      <c r="K39" s="136"/>
      <c r="L39" s="190"/>
      <c r="M39" s="190"/>
      <c r="N39" s="191"/>
      <c r="O39" s="192"/>
      <c r="P39" s="129" t="s">
        <v>762</v>
      </c>
      <c r="Q39" s="116">
        <v>14267026</v>
      </c>
      <c r="R39" s="116">
        <v>19856660884</v>
      </c>
      <c r="S39" s="116">
        <v>15288.52</v>
      </c>
      <c r="T39" s="130">
        <f t="shared" ref="T39" si="54">Q39/S39</f>
        <v>933.18555360492712</v>
      </c>
      <c r="U39" s="85"/>
    </row>
    <row r="40" spans="1:21" s="79" customFormat="1" ht="13.2">
      <c r="A40" s="129" t="s">
        <v>778</v>
      </c>
      <c r="B40" s="188">
        <f>SUM(F38:F40)</f>
        <v>2041149.7738095238</v>
      </c>
      <c r="C40" s="188">
        <f>AVERAGE(F38:F40)</f>
        <v>680383.25793650793</v>
      </c>
      <c r="D40" s="190">
        <f>C40/C37-1</f>
        <v>7.4083179706172064E-2</v>
      </c>
      <c r="E40" s="190">
        <f>C40/C28-1</f>
        <v>6.3651944573202668E-2</v>
      </c>
      <c r="F40" s="136">
        <f>Q40/21</f>
        <v>691237.33333333337</v>
      </c>
      <c r="G40" s="190">
        <f t="shared" ref="G40" si="55">F40/F39-1</f>
        <v>1.7449887593952607E-2</v>
      </c>
      <c r="H40" s="190">
        <f t="shared" ref="H40" si="56">F40/F28-1</f>
        <v>-0.12768684625405513</v>
      </c>
      <c r="I40" s="130">
        <f t="shared" si="0"/>
        <v>1274.259680293547</v>
      </c>
      <c r="J40" s="130">
        <f t="shared" si="4"/>
        <v>-4.0950121217059765E-2</v>
      </c>
      <c r="K40" s="136">
        <f>R38+R39+R40</f>
        <v>58600344736</v>
      </c>
      <c r="L40" s="190">
        <f>U40/U37-1</f>
        <v>7.6217635668005101E-2</v>
      </c>
      <c r="M40" s="190">
        <f>U40/U28-1</f>
        <v>0.10521349158578674</v>
      </c>
      <c r="N40" s="191">
        <f>AVERAGE(T38:T40)</f>
        <v>1146.5048095935981</v>
      </c>
      <c r="O40" s="192">
        <f>N40/N37-1</f>
        <v>-8.0834863124991108E-2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57">Q40/S40</f>
        <v>1274.259680293547</v>
      </c>
      <c r="U40" s="85">
        <f>Q38+Q39+Q40</f>
        <v>42193615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0</v>
      </c>
      <c r="G41" s="190">
        <f t="shared" ref="G41" si="58">F41/F40-1</f>
        <v>-1</v>
      </c>
      <c r="H41" s="190">
        <f t="shared" ref="H41" si="59">F41/F29-1</f>
        <v>-1</v>
      </c>
      <c r="I41" s="130" t="e">
        <f t="shared" si="0"/>
        <v>#DIV/0!</v>
      </c>
      <c r="J41" s="130" t="e">
        <f t="shared" si="4"/>
        <v>#DIV/0!</v>
      </c>
      <c r="K41" s="193"/>
      <c r="L41" s="190"/>
      <c r="M41" s="190"/>
      <c r="N41" s="193"/>
      <c r="O41" s="193"/>
      <c r="P41" s="129" t="s">
        <v>792</v>
      </c>
      <c r="Q41" s="116"/>
      <c r="R41" s="116"/>
      <c r="S41" s="116"/>
      <c r="T41" s="130" t="e">
        <f t="shared" ref="T41" si="60">Q41/S41</f>
        <v>#DIV/0!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0</v>
      </c>
      <c r="G42" s="190" t="e">
        <f t="shared" ref="G42" si="61">F42/F41-1</f>
        <v>#DIV/0!</v>
      </c>
      <c r="H42" s="190">
        <f t="shared" ref="H42" si="62">F42/F30-1</f>
        <v>-1</v>
      </c>
      <c r="I42" s="130" t="e">
        <f t="shared" si="0"/>
        <v>#DIV/0!</v>
      </c>
      <c r="J42" s="130" t="e">
        <f t="shared" si="4"/>
        <v>#DIV/0!</v>
      </c>
      <c r="K42" s="193"/>
      <c r="L42" s="190"/>
      <c r="M42" s="190"/>
      <c r="N42" s="193"/>
      <c r="O42" s="193"/>
      <c r="P42" s="129" t="s">
        <v>826</v>
      </c>
      <c r="Q42" s="116"/>
      <c r="R42" s="116"/>
      <c r="S42" s="116"/>
      <c r="T42" s="130" t="e">
        <f t="shared" ref="T42" si="63">Q42/S42</f>
        <v>#DIV/0!</v>
      </c>
      <c r="U42" s="78"/>
    </row>
    <row r="43" spans="1:21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Q43/20</f>
        <v>0</v>
      </c>
      <c r="G43" s="190" t="e">
        <f t="shared" ref="G43" si="64">F43/F42-1</f>
        <v>#DIV/0!</v>
      </c>
      <c r="H43" s="190">
        <f t="shared" ref="H43" si="65">F43/F31-1</f>
        <v>-1</v>
      </c>
      <c r="I43" s="130" t="e">
        <f t="shared" si="0"/>
        <v>#DIV/0!</v>
      </c>
      <c r="J43" s="130" t="e">
        <f t="shared" si="4"/>
        <v>#DIV/0!</v>
      </c>
      <c r="K43" s="136">
        <f>R41+R42+R43</f>
        <v>0</v>
      </c>
      <c r="L43" s="190">
        <f>U43/U40-1</f>
        <v>-1</v>
      </c>
      <c r="M43" s="190">
        <f>U43/U31-1</f>
        <v>-1</v>
      </c>
      <c r="N43" s="191" t="e">
        <f>AVERAGE(T41:T43)</f>
        <v>#DIV/0!</v>
      </c>
      <c r="O43" s="192" t="e">
        <f>N43/N40-1</f>
        <v>#DIV/0!</v>
      </c>
      <c r="P43" s="129" t="s">
        <v>835</v>
      </c>
      <c r="Q43" s="116"/>
      <c r="R43" s="116"/>
      <c r="S43" s="116"/>
      <c r="T43" s="130" t="e">
        <f t="shared" ref="T43" si="66">Q43/S43</f>
        <v>#DIV/0!</v>
      </c>
      <c r="U43" s="85">
        <f>Q41+Q42+Q43</f>
        <v>0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0</v>
      </c>
      <c r="G44" s="190" t="e">
        <f t="shared" ref="G44" si="67">F44/F43-1</f>
        <v>#DIV/0!</v>
      </c>
      <c r="H44" s="190">
        <f t="shared" ref="H44" si="68">F44/F32-1</f>
        <v>-1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843</v>
      </c>
      <c r="Q44" s="116"/>
      <c r="R44" s="116"/>
      <c r="S44" s="116"/>
      <c r="T44" s="130" t="e">
        <f t="shared" ref="T44" si="69">Q44/S44</f>
        <v>#DIV/0!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190"/>
      <c r="F45" s="136">
        <f>Q45/20</f>
        <v>0</v>
      </c>
      <c r="G45" s="190" t="e">
        <f t="shared" ref="G45" si="70">F45/F44-1</f>
        <v>#DIV/0!</v>
      </c>
      <c r="H45" s="190">
        <f t="shared" ref="H45" si="71">F45/F33-1</f>
        <v>-1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855</v>
      </c>
      <c r="Q45" s="116"/>
      <c r="R45" s="116"/>
      <c r="S45" s="116"/>
      <c r="T45" s="130" t="e">
        <f t="shared" ref="T45" si="72">Q45/S45</f>
        <v>#DIV/0!</v>
      </c>
      <c r="U45" s="85"/>
    </row>
    <row r="46" spans="1:21" s="79" customFormat="1" ht="13.2">
      <c r="A46" s="129" t="s">
        <v>888</v>
      </c>
      <c r="B46" s="188">
        <f>SUM(F44:F46)</f>
        <v>0</v>
      </c>
      <c r="C46" s="188">
        <f>AVERAGE(F44:F46)</f>
        <v>0</v>
      </c>
      <c r="D46" s="190" t="e">
        <f>C46/C43-1</f>
        <v>#DIV/0!</v>
      </c>
      <c r="E46" s="190">
        <f>C46/C34-1</f>
        <v>-1</v>
      </c>
      <c r="F46" s="136">
        <f>Q46/19</f>
        <v>0</v>
      </c>
      <c r="G46" s="190" t="e">
        <f t="shared" ref="G46" si="73">F46/F45-1</f>
        <v>#DIV/0!</v>
      </c>
      <c r="H46" s="190">
        <f t="shared" ref="H46" si="74">F46/F34-1</f>
        <v>-1</v>
      </c>
      <c r="I46" s="130" t="e">
        <f t="shared" si="0"/>
        <v>#DIV/0!</v>
      </c>
      <c r="J46" s="130" t="e">
        <f t="shared" si="4"/>
        <v>#DIV/0!</v>
      </c>
      <c r="K46" s="136">
        <f>R44+R45+R46</f>
        <v>0</v>
      </c>
      <c r="L46" s="190" t="e">
        <f>U46/U43-1</f>
        <v>#DIV/0!</v>
      </c>
      <c r="M46" s="190">
        <f>U46/U34-1</f>
        <v>-1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/>
      <c r="R46" s="116"/>
      <c r="S46" s="116"/>
      <c r="T46" s="130" t="e">
        <f t="shared" ref="T46" si="75">Q46/S46</f>
        <v>#DIV/0!</v>
      </c>
      <c r="U46" s="85">
        <f>Q44+Q45+Q46</f>
        <v>0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0</v>
      </c>
      <c r="G47" s="190" t="e">
        <f t="shared" ref="G47" si="76">F47/F46-1</f>
        <v>#DIV/0!</v>
      </c>
      <c r="H47" s="190">
        <f t="shared" ref="H47" si="77">F47/F35-1</f>
        <v>-1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991</v>
      </c>
      <c r="Q47" s="116"/>
      <c r="R47" s="116"/>
      <c r="S47" s="116"/>
      <c r="T47" s="130" t="e">
        <f t="shared" ref="T47" si="78">Q47/S47</f>
        <v>#DIV/0!</v>
      </c>
      <c r="U47" s="85">
        <f>Q45+Q46+Q47</f>
        <v>0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0</v>
      </c>
      <c r="G48" s="190" t="e">
        <f t="shared" ref="G48" si="79">F48/F47-1</f>
        <v>#DIV/0!</v>
      </c>
      <c r="H48" s="190">
        <f t="shared" ref="H48" si="80">F48/F36-1</f>
        <v>-1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1120</v>
      </c>
      <c r="Q48" s="116"/>
      <c r="R48" s="116"/>
      <c r="S48" s="116"/>
      <c r="T48" s="130" t="e">
        <f t="shared" ref="T48" si="81">Q48/S48</f>
        <v>#DIV/0!</v>
      </c>
      <c r="U48" s="85">
        <f>Q46+Q47+Q48</f>
        <v>0</v>
      </c>
    </row>
    <row r="49" spans="1:21" s="79" customFormat="1" ht="13.2">
      <c r="A49" s="129" t="s">
        <v>1207</v>
      </c>
      <c r="B49" s="188">
        <f>SUM(F47:F49)</f>
        <v>0</v>
      </c>
      <c r="C49" s="188">
        <f>AVERAGE(F47:F49)</f>
        <v>0</v>
      </c>
      <c r="D49" s="190" t="e">
        <f>C49/C46-1</f>
        <v>#DIV/0!</v>
      </c>
      <c r="E49" s="190">
        <f>C49/C37-1</f>
        <v>-1</v>
      </c>
      <c r="F49" s="136">
        <f>Q49/22</f>
        <v>0</v>
      </c>
      <c r="G49" s="190" t="e">
        <f t="shared" ref="G49" si="82">F49/F48-1</f>
        <v>#DIV/0!</v>
      </c>
      <c r="H49" s="190">
        <f t="shared" ref="H49" si="8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0</v>
      </c>
      <c r="L49" s="190" t="e">
        <f>U49/U46-1</f>
        <v>#DIV/0!</v>
      </c>
      <c r="M49" s="190">
        <f>U49/U37-1</f>
        <v>-1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84">Q49/S49</f>
        <v>#DIV/0!</v>
      </c>
      <c r="U49" s="85">
        <f>Q47+Q48+Q49</f>
        <v>0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0</v>
      </c>
      <c r="G50" s="233" t="e">
        <f t="shared" ref="G50" si="85">F50/F49-1</f>
        <v>#DIV/0!</v>
      </c>
      <c r="H50" s="233">
        <f t="shared" ref="H50" si="86">F50/F38-1</f>
        <v>-1</v>
      </c>
      <c r="I50" s="220" t="e">
        <f t="shared" ref="I50" si="87">T50</f>
        <v>#DIV/0!</v>
      </c>
      <c r="J50" s="220" t="e">
        <f t="shared" ref="J50" si="88">I50/I38-1</f>
        <v>#DIV/0!</v>
      </c>
      <c r="K50" s="232"/>
      <c r="L50" s="233"/>
      <c r="M50" s="233"/>
      <c r="N50" s="237"/>
      <c r="O50" s="234"/>
      <c r="P50" s="235" t="s">
        <v>1293</v>
      </c>
      <c r="Q50" s="238"/>
      <c r="R50" s="238"/>
      <c r="S50" s="238"/>
      <c r="T50" s="220" t="e">
        <f t="shared" ref="T50" si="89">Q50/S50</f>
        <v>#DIV/0!</v>
      </c>
      <c r="U50" s="240">
        <f>Q48+Q49+Q50</f>
        <v>0</v>
      </c>
    </row>
  </sheetData>
  <phoneticPr fontId="1" type="noConversion"/>
  <conditionalFormatting sqref="C29:C30">
    <cfRule type="cellIs" dxfId="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12"/>
  <dimension ref="A1:Z72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8443321090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675543.4</v>
      </c>
      <c r="G5" s="90"/>
      <c r="H5" s="90"/>
      <c r="I5" s="130">
        <f t="shared" ref="I5:I49" si="0">T5</f>
        <v>51.442929050632429</v>
      </c>
      <c r="J5" s="130"/>
      <c r="L5" s="80"/>
      <c r="M5" s="80"/>
      <c r="P5" s="129" t="s">
        <v>0</v>
      </c>
      <c r="Q5" s="116">
        <v>13510868</v>
      </c>
      <c r="R5" s="116"/>
      <c r="S5" s="116">
        <v>262638</v>
      </c>
      <c r="T5" s="130">
        <f t="shared" ref="T5:T23" si="1">Q5/S5</f>
        <v>51.442929050632429</v>
      </c>
      <c r="U5" s="85"/>
    </row>
    <row r="6" spans="1:21" ht="15" hidden="1" customHeight="1">
      <c r="A6" s="129" t="s">
        <v>1</v>
      </c>
      <c r="C6" s="79"/>
      <c r="F6" s="78">
        <f>Q6/18</f>
        <v>584192.88888888888</v>
      </c>
      <c r="G6" s="90">
        <f t="shared" ref="G6:G22" si="2">F6/F5-1</f>
        <v>-0.13522522921711788</v>
      </c>
      <c r="H6" s="90"/>
      <c r="I6" s="130">
        <f t="shared" si="0"/>
        <v>67.198624979103215</v>
      </c>
      <c r="J6" s="130"/>
      <c r="P6" s="129" t="s">
        <v>1</v>
      </c>
      <c r="Q6" s="116">
        <v>10515472</v>
      </c>
      <c r="R6" s="116"/>
      <c r="S6" s="116">
        <v>156483.44</v>
      </c>
      <c r="T6" s="130">
        <f t="shared" si="1"/>
        <v>67.198624979103215</v>
      </c>
      <c r="U6" s="85"/>
    </row>
    <row r="7" spans="1:21" ht="15" hidden="1" customHeight="1">
      <c r="A7" s="129" t="s">
        <v>2</v>
      </c>
      <c r="B7" s="131">
        <f>F5+F6+F7</f>
        <v>1907018.5161616162</v>
      </c>
      <c r="C7" s="131">
        <f>AVERAGE(F5:F7)</f>
        <v>635672.83872053877</v>
      </c>
      <c r="F7" s="78">
        <f>Q7/22</f>
        <v>647282.22727272729</v>
      </c>
      <c r="G7" s="90">
        <f t="shared" si="2"/>
        <v>0.10799401975575518</v>
      </c>
      <c r="H7" s="90"/>
      <c r="I7" s="130">
        <f t="shared" si="0"/>
        <v>55.986888094704518</v>
      </c>
      <c r="J7" s="130"/>
      <c r="K7" s="79">
        <f>R5+R6+R7</f>
        <v>0</v>
      </c>
      <c r="N7" s="88">
        <f>AVERAGE(T5:T7)</f>
        <v>58.209480708146721</v>
      </c>
      <c r="P7" s="129" t="s">
        <v>2</v>
      </c>
      <c r="Q7" s="116">
        <v>14240209</v>
      </c>
      <c r="R7" s="116"/>
      <c r="S7" s="116">
        <v>254349</v>
      </c>
      <c r="T7" s="130">
        <f t="shared" si="1"/>
        <v>55.986888094704518</v>
      </c>
      <c r="U7" s="85">
        <f>Q5+Q6+Q7</f>
        <v>38266549</v>
      </c>
    </row>
    <row r="8" spans="1:21" ht="15" hidden="1" customHeight="1">
      <c r="A8" s="129" t="s">
        <v>3</v>
      </c>
      <c r="C8" s="79"/>
      <c r="F8" s="78">
        <f>Q8/21</f>
        <v>659402.52380952379</v>
      </c>
      <c r="G8" s="90">
        <f t="shared" si="2"/>
        <v>1.8724902409053223E-2</v>
      </c>
      <c r="H8" s="90"/>
      <c r="I8" s="130">
        <f t="shared" si="0"/>
        <v>55.014157726512899</v>
      </c>
      <c r="J8" s="130"/>
      <c r="K8" s="78"/>
      <c r="P8" s="129" t="s">
        <v>3</v>
      </c>
      <c r="Q8" s="116">
        <v>13847453</v>
      </c>
      <c r="R8" s="116"/>
      <c r="S8" s="116">
        <v>251707.08</v>
      </c>
      <c r="T8" s="130">
        <f t="shared" si="1"/>
        <v>55.014157726512899</v>
      </c>
      <c r="U8" s="85"/>
    </row>
    <row r="9" spans="1:21" ht="15" hidden="1" customHeight="1">
      <c r="A9" s="129" t="s">
        <v>4</v>
      </c>
      <c r="C9" s="79"/>
      <c r="F9" s="78">
        <f>Q9/21</f>
        <v>785482.76190476189</v>
      </c>
      <c r="G9" s="90">
        <f t="shared" si="2"/>
        <v>0.19120375422108316</v>
      </c>
      <c r="H9" s="90"/>
      <c r="I9" s="130">
        <f t="shared" si="0"/>
        <v>59.017292834487591</v>
      </c>
      <c r="J9" s="130"/>
      <c r="K9" s="78"/>
      <c r="P9" s="129" t="s">
        <v>4</v>
      </c>
      <c r="Q9" s="116">
        <v>16495138</v>
      </c>
      <c r="R9" s="116"/>
      <c r="S9" s="116">
        <v>279496.69</v>
      </c>
      <c r="T9" s="130">
        <f t="shared" si="1"/>
        <v>59.017292834487591</v>
      </c>
      <c r="U9" s="85"/>
    </row>
    <row r="10" spans="1:21" ht="15" hidden="1" customHeight="1">
      <c r="A10" s="129" t="s">
        <v>5</v>
      </c>
      <c r="B10" s="131">
        <f>F8+F9+F10</f>
        <v>2054738.1904761903</v>
      </c>
      <c r="C10" s="131">
        <f>AVERAGE(F8:F10)</f>
        <v>684912.73015873006</v>
      </c>
      <c r="D10" s="90">
        <f>C10/C7-1</f>
        <v>7.7461059272722288E-2</v>
      </c>
      <c r="E10" s="286"/>
      <c r="F10" s="78">
        <f>Q10/21</f>
        <v>609852.90476190473</v>
      </c>
      <c r="G10" s="90">
        <f t="shared" si="2"/>
        <v>-0.22359479502384283</v>
      </c>
      <c r="H10" s="90"/>
      <c r="I10" s="130">
        <f t="shared" si="0"/>
        <v>49.219403732776016</v>
      </c>
      <c r="J10" s="130"/>
      <c r="K10" s="79">
        <f>R8+R9+R10</f>
        <v>0</v>
      </c>
      <c r="L10" s="87">
        <f>U10/U7-1</f>
        <v>0.12760369376397129</v>
      </c>
      <c r="N10" s="88">
        <f>AVERAGE(T8:T10)</f>
        <v>54.416951431258838</v>
      </c>
      <c r="O10" s="89">
        <f>N10/N7-1</f>
        <v>-6.5153119917063629E-2</v>
      </c>
      <c r="P10" s="129" t="s">
        <v>5</v>
      </c>
      <c r="Q10" s="116">
        <v>12806911</v>
      </c>
      <c r="R10" s="116"/>
      <c r="S10" s="116">
        <v>260200.45</v>
      </c>
      <c r="T10" s="130">
        <f t="shared" si="1"/>
        <v>49.219403732776016</v>
      </c>
      <c r="U10" s="85">
        <f>Q8+Q9+Q10</f>
        <v>43149502</v>
      </c>
    </row>
    <row r="11" spans="1:21" ht="15" hidden="1" customHeight="1">
      <c r="A11" s="129" t="s">
        <v>6</v>
      </c>
      <c r="C11" s="79"/>
      <c r="F11" s="78">
        <f>Q11/21</f>
        <v>678195.47619047621</v>
      </c>
      <c r="G11" s="90">
        <f t="shared" si="2"/>
        <v>0.11206402543126925</v>
      </c>
      <c r="H11" s="90"/>
      <c r="I11" s="130">
        <f t="shared" si="0"/>
        <v>59.754905996013633</v>
      </c>
      <c r="J11" s="130"/>
      <c r="K11" s="78"/>
      <c r="O11" s="89"/>
      <c r="P11" s="129" t="s">
        <v>6</v>
      </c>
      <c r="Q11" s="116">
        <v>14242105</v>
      </c>
      <c r="R11" s="116"/>
      <c r="S11" s="116">
        <v>238342.02</v>
      </c>
      <c r="T11" s="130">
        <f t="shared" si="1"/>
        <v>59.754905996013633</v>
      </c>
      <c r="U11" s="85"/>
    </row>
    <row r="12" spans="1:21" ht="15" hidden="1" customHeight="1">
      <c r="A12" s="129" t="s">
        <v>7</v>
      </c>
      <c r="C12" s="79"/>
      <c r="F12" s="78">
        <f>Q12/22</f>
        <v>733724.40909090906</v>
      </c>
      <c r="G12" s="90">
        <f t="shared" si="2"/>
        <v>8.1877474636585568E-2</v>
      </c>
      <c r="H12" s="90"/>
      <c r="I12" s="130">
        <f t="shared" si="0"/>
        <v>65.005840561177138</v>
      </c>
      <c r="J12" s="130"/>
      <c r="K12" s="78"/>
      <c r="O12" s="89"/>
      <c r="P12" s="129" t="s">
        <v>7</v>
      </c>
      <c r="Q12" s="116">
        <v>16141937</v>
      </c>
      <c r="R12" s="116"/>
      <c r="S12" s="116">
        <v>248315.18</v>
      </c>
      <c r="T12" s="130">
        <f t="shared" si="1"/>
        <v>65.005840561177138</v>
      </c>
      <c r="U12" s="85"/>
    </row>
    <row r="13" spans="1:21" ht="15" hidden="1" customHeight="1">
      <c r="A13" s="129" t="s">
        <v>96</v>
      </c>
      <c r="B13" s="131">
        <f>F11+F12+F13</f>
        <v>2026647.6352813854</v>
      </c>
      <c r="C13" s="131">
        <f>AVERAGE(F11:F13)</f>
        <v>675549.2117604618</v>
      </c>
      <c r="D13" s="90">
        <f>C13/C10-1</f>
        <v>-1.3671111640892186E-2</v>
      </c>
      <c r="E13" s="286"/>
      <c r="F13" s="78">
        <f>Q13/20</f>
        <v>614727.75</v>
      </c>
      <c r="G13" s="90">
        <f t="shared" si="2"/>
        <v>-0.16218168240899467</v>
      </c>
      <c r="H13" s="90"/>
      <c r="I13" s="130">
        <f t="shared" si="0"/>
        <v>51.294238657888883</v>
      </c>
      <c r="J13" s="130"/>
      <c r="K13" s="78">
        <f>R11+R12+R13</f>
        <v>0</v>
      </c>
      <c r="L13" s="87">
        <f>U13/U10-1</f>
        <v>-1.0913335685774572E-2</v>
      </c>
      <c r="N13" s="88">
        <f>AVERAGE(T11:T13)</f>
        <v>58.684995071693216</v>
      </c>
      <c r="O13" s="89">
        <f>N13/N10-1</f>
        <v>7.8432244515312499E-2</v>
      </c>
      <c r="P13" s="129" t="s">
        <v>96</v>
      </c>
      <c r="Q13" s="116">
        <v>12294555</v>
      </c>
      <c r="R13" s="116"/>
      <c r="S13" s="116">
        <v>239686.86</v>
      </c>
      <c r="T13" s="130">
        <f t="shared" si="1"/>
        <v>51.294238657888883</v>
      </c>
      <c r="U13" s="85">
        <f>Q11+Q12+Q13</f>
        <v>42678597</v>
      </c>
    </row>
    <row r="14" spans="1:21" ht="15" hidden="1" customHeight="1">
      <c r="A14" s="129" t="s">
        <v>97</v>
      </c>
      <c r="C14" s="79"/>
      <c r="F14" s="78">
        <f>Q14/20</f>
        <v>723814.40000000002</v>
      </c>
      <c r="G14" s="90">
        <f t="shared" si="2"/>
        <v>0.17745522306419392</v>
      </c>
      <c r="H14" s="90"/>
      <c r="I14" s="130">
        <f t="shared" si="0"/>
        <v>54.026363788665577</v>
      </c>
      <c r="J14" s="130"/>
      <c r="O14" s="89"/>
      <c r="P14" s="129" t="s">
        <v>97</v>
      </c>
      <c r="Q14" s="116">
        <v>14476288</v>
      </c>
      <c r="R14" s="116"/>
      <c r="S14" s="116">
        <v>267948.59000000003</v>
      </c>
      <c r="T14" s="130">
        <f t="shared" si="1"/>
        <v>54.026363788665577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336560.63636363635</v>
      </c>
      <c r="G15" s="90">
        <f t="shared" si="2"/>
        <v>-0.53501804279710885</v>
      </c>
      <c r="H15" s="90"/>
      <c r="I15" s="130">
        <f t="shared" si="0"/>
        <v>50.318653440063322</v>
      </c>
      <c r="J15" s="130"/>
      <c r="O15" s="89"/>
      <c r="P15" s="129" t="s">
        <v>98</v>
      </c>
      <c r="Q15" s="116">
        <v>7404334</v>
      </c>
      <c r="R15" s="116"/>
      <c r="S15" s="116">
        <v>147148.89000000001</v>
      </c>
      <c r="T15" s="130">
        <f t="shared" si="1"/>
        <v>50.318653440063322</v>
      </c>
      <c r="U15" s="78"/>
    </row>
    <row r="16" spans="1:21" ht="15" hidden="1" customHeight="1">
      <c r="A16" s="129" t="s">
        <v>99</v>
      </c>
      <c r="B16" s="131">
        <f>F14+F15+F16</f>
        <v>1566701.9454545456</v>
      </c>
      <c r="C16" s="131">
        <f>AVERAGE(F14:F16)</f>
        <v>522233.98181818187</v>
      </c>
      <c r="D16" s="90">
        <f>C16/C13-1</f>
        <v>-0.2269490175893254</v>
      </c>
      <c r="E16" s="286"/>
      <c r="F16" s="78">
        <f>Q16/22</f>
        <v>506326.90909090912</v>
      </c>
      <c r="G16" s="90">
        <f t="shared" si="2"/>
        <v>0.50441511687614327</v>
      </c>
      <c r="H16" s="90"/>
      <c r="I16" s="130">
        <f t="shared" si="0"/>
        <v>71.818743679137512</v>
      </c>
      <c r="J16" s="130"/>
      <c r="K16" s="78">
        <f>R14+R15+R16</f>
        <v>0</v>
      </c>
      <c r="L16" s="87">
        <f>U16/U13-1</f>
        <v>-0.22631444515385546</v>
      </c>
      <c r="N16" s="88">
        <f>AVERAGE(T14:T16)</f>
        <v>58.721253635955463</v>
      </c>
      <c r="O16" s="89">
        <f>N16/N13-1</f>
        <v>6.178506825800234E-4</v>
      </c>
      <c r="P16" s="129" t="s">
        <v>99</v>
      </c>
      <c r="Q16" s="116">
        <v>11139192</v>
      </c>
      <c r="R16" s="116"/>
      <c r="S16" s="116">
        <v>155101.46</v>
      </c>
      <c r="T16" s="130">
        <f t="shared" si="1"/>
        <v>71.818743679137512</v>
      </c>
      <c r="U16" s="85">
        <f>Q14+Q15+Q16</f>
        <v>33019814</v>
      </c>
    </row>
    <row r="17" spans="1:21" ht="15" hidden="1" customHeight="1">
      <c r="A17" s="129" t="s">
        <v>100</v>
      </c>
      <c r="C17" s="79"/>
      <c r="F17" s="78">
        <f>Q17/20</f>
        <v>310223.15000000002</v>
      </c>
      <c r="G17" s="90">
        <f t="shared" si="2"/>
        <v>-0.38730661074878681</v>
      </c>
      <c r="H17" s="90">
        <f t="shared" ref="H17:H22" si="3">F17/F5-1</f>
        <v>-0.54077983738720559</v>
      </c>
      <c r="I17" s="130">
        <f t="shared" si="0"/>
        <v>50.330620895935013</v>
      </c>
      <c r="J17" s="130">
        <f t="shared" ref="J17:J49" si="4">I17/I5-1</f>
        <v>-2.1622177726362213E-2</v>
      </c>
      <c r="O17" s="89"/>
      <c r="P17" s="129" t="s">
        <v>100</v>
      </c>
      <c r="Q17" s="116">
        <v>6204463</v>
      </c>
      <c r="R17" s="116">
        <v>7791540787</v>
      </c>
      <c r="S17" s="116">
        <v>123274.12</v>
      </c>
      <c r="T17" s="130">
        <f t="shared" si="1"/>
        <v>50.330620895935013</v>
      </c>
      <c r="U17" s="78"/>
    </row>
    <row r="18" spans="1:21" ht="15" hidden="1" customHeight="1">
      <c r="A18" s="129" t="s">
        <v>106</v>
      </c>
      <c r="C18" s="79"/>
      <c r="F18" s="78">
        <f>Q18/20</f>
        <v>549313.75</v>
      </c>
      <c r="G18" s="90">
        <f t="shared" si="2"/>
        <v>0.77070521655137592</v>
      </c>
      <c r="H18" s="90">
        <f t="shared" si="3"/>
        <v>-5.970483303079499E-2</v>
      </c>
      <c r="I18" s="130">
        <f t="shared" si="0"/>
        <v>57.378061614327336</v>
      </c>
      <c r="J18" s="130">
        <f t="shared" si="4"/>
        <v>-0.14614232609416911</v>
      </c>
      <c r="O18" s="89"/>
      <c r="P18" s="129" t="s">
        <v>106</v>
      </c>
      <c r="Q18" s="116">
        <v>10986275</v>
      </c>
      <c r="R18" s="116">
        <v>13761680398</v>
      </c>
      <c r="S18" s="116">
        <v>191471.7</v>
      </c>
      <c r="T18" s="130">
        <f t="shared" si="1"/>
        <v>57.378061614327336</v>
      </c>
      <c r="U18" s="78"/>
    </row>
    <row r="19" spans="1:21" hidden="1">
      <c r="A19" s="129" t="s">
        <v>114</v>
      </c>
      <c r="B19" s="131">
        <f>SUM(F17:F19)</f>
        <v>1283977.3545454545</v>
      </c>
      <c r="C19" s="131">
        <f>AVERAGE(F17:F19)</f>
        <v>427992.45151515148</v>
      </c>
      <c r="D19" s="90">
        <f>C19/C16-1</f>
        <v>-0.18045844120469545</v>
      </c>
      <c r="E19" s="286">
        <f>C19/C7-1</f>
        <v>-0.32670955018842629</v>
      </c>
      <c r="F19" s="78">
        <f>Q19/22</f>
        <v>424440.45454545453</v>
      </c>
      <c r="G19" s="90">
        <f t="shared" si="2"/>
        <v>-0.22732599621718097</v>
      </c>
      <c r="H19" s="90">
        <f t="shared" si="3"/>
        <v>-0.3442729667801927</v>
      </c>
      <c r="I19" s="130">
        <f t="shared" si="0"/>
        <v>47.570858504194781</v>
      </c>
      <c r="J19" s="130">
        <f t="shared" si="4"/>
        <v>-0.15032143912470397</v>
      </c>
      <c r="K19" s="78">
        <f>R17+R18+R19</f>
        <v>33760366570</v>
      </c>
      <c r="L19" s="87">
        <f>U19/U16-1</f>
        <v>-0.19659062888724932</v>
      </c>
      <c r="M19" s="87">
        <f>U19/U7-1</f>
        <v>-0.30674626551769801</v>
      </c>
      <c r="N19" s="88">
        <f>AVERAGE(T17:T19)</f>
        <v>51.759847004819044</v>
      </c>
      <c r="O19" s="89">
        <f>N19/N16-1</f>
        <v>-0.1185500342736876</v>
      </c>
      <c r="P19" s="129" t="s">
        <v>114</v>
      </c>
      <c r="Q19" s="116">
        <v>9337690</v>
      </c>
      <c r="R19" s="116">
        <v>12207145385</v>
      </c>
      <c r="S19" s="116">
        <v>196290.13</v>
      </c>
      <c r="T19" s="130">
        <f t="shared" si="1"/>
        <v>47.570858504194781</v>
      </c>
      <c r="U19" s="85">
        <f>Q17+Q18+Q19</f>
        <v>26528428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462237.15</v>
      </c>
      <c r="G20" s="90">
        <f t="shared" si="2"/>
        <v>8.9050643146217245E-2</v>
      </c>
      <c r="H20" s="90">
        <f t="shared" si="3"/>
        <v>-0.29900609520032306</v>
      </c>
      <c r="I20" s="130">
        <f t="shared" si="0"/>
        <v>49.362013611800137</v>
      </c>
      <c r="J20" s="130">
        <f t="shared" si="4"/>
        <v>-0.10273981004691146</v>
      </c>
      <c r="O20" s="89"/>
      <c r="P20" s="129" t="s">
        <v>131</v>
      </c>
      <c r="Q20" s="116">
        <v>9244743</v>
      </c>
      <c r="R20" s="116">
        <v>12132336035</v>
      </c>
      <c r="S20" s="116">
        <v>187284.56</v>
      </c>
      <c r="T20" s="130">
        <f t="shared" si="1"/>
        <v>49.362013611800137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465898.57142857142</v>
      </c>
      <c r="G21" s="90">
        <f t="shared" si="2"/>
        <v>7.9210886199245767E-3</v>
      </c>
      <c r="H21" s="90">
        <f t="shared" si="3"/>
        <v>-0.40686340423462963</v>
      </c>
      <c r="I21" s="130">
        <f t="shared" si="0"/>
        <v>40.163244576473701</v>
      </c>
      <c r="J21" s="130">
        <f t="shared" si="4"/>
        <v>-0.3194665046885421</v>
      </c>
      <c r="O21" s="89"/>
      <c r="P21" s="129" t="s">
        <v>141</v>
      </c>
      <c r="Q21" s="116">
        <v>9783870</v>
      </c>
      <c r="R21" s="116">
        <v>13028023447</v>
      </c>
      <c r="S21" s="116">
        <v>243602.58</v>
      </c>
      <c r="T21" s="130">
        <f t="shared" si="1"/>
        <v>40.163244576473701</v>
      </c>
      <c r="U21" s="78"/>
    </row>
    <row r="22" spans="1:21" hidden="1">
      <c r="A22" s="129" t="s">
        <v>155</v>
      </c>
      <c r="B22" s="131">
        <f>SUM(F20:F22)</f>
        <v>1467325.1023809523</v>
      </c>
      <c r="C22" s="131">
        <f>AVERAGE(F20:F22)</f>
        <v>489108.36746031744</v>
      </c>
      <c r="D22" s="90">
        <f>C22/C19-1</f>
        <v>0.14279671458879073</v>
      </c>
      <c r="E22" s="286">
        <f>C22/C10-1</f>
        <v>-0.28588220670542142</v>
      </c>
      <c r="F22" s="78">
        <f>Q22/21</f>
        <v>539189.38095238095</v>
      </c>
      <c r="G22" s="90">
        <f t="shared" si="2"/>
        <v>0.15731065519063514</v>
      </c>
      <c r="H22" s="90">
        <f t="shared" si="3"/>
        <v>-0.11586978311944229</v>
      </c>
      <c r="I22" s="130">
        <f t="shared" si="0"/>
        <v>58.291416076046382</v>
      </c>
      <c r="J22" s="130">
        <f t="shared" si="4"/>
        <v>0.18431780263987974</v>
      </c>
      <c r="K22" s="78">
        <f>R20+R21+R22</f>
        <v>39876616827</v>
      </c>
      <c r="L22" s="87">
        <f>U22/U19-1</f>
        <v>0.14411566339324744</v>
      </c>
      <c r="M22" s="87">
        <f>U22/U10-1</f>
        <v>-0.29659466290016512</v>
      </c>
      <c r="N22" s="88">
        <f>AVERAGE(T20:T22)</f>
        <v>49.272224754773411</v>
      </c>
      <c r="O22" s="89">
        <f>N22/N19-1</f>
        <v>-4.8060850137637057E-2</v>
      </c>
      <c r="P22" s="129" t="s">
        <v>155</v>
      </c>
      <c r="Q22" s="116">
        <v>11322977</v>
      </c>
      <c r="R22" s="116">
        <v>14716257345</v>
      </c>
      <c r="S22" s="116">
        <v>194247.76</v>
      </c>
      <c r="T22" s="130">
        <f t="shared" si="1"/>
        <v>58.291416076046382</v>
      </c>
      <c r="U22" s="85">
        <f>Q20+Q21+Q22</f>
        <v>30351590</v>
      </c>
    </row>
    <row r="23" spans="1:21" hidden="1">
      <c r="A23" s="129" t="s">
        <v>189</v>
      </c>
      <c r="B23" s="131"/>
      <c r="C23" s="131"/>
      <c r="F23" s="78">
        <f>Q23/21</f>
        <v>323217.23809523811</v>
      </c>
      <c r="G23" s="90">
        <f t="shared" ref="G23" si="5">F23/F22-1</f>
        <v>-0.40054969642700855</v>
      </c>
      <c r="H23" s="90">
        <f t="shared" ref="H23" si="6">F23/F11-1</f>
        <v>-0.52341581528854064</v>
      </c>
      <c r="I23" s="130">
        <f t="shared" si="0"/>
        <v>64.545044088973683</v>
      </c>
      <c r="J23" s="130">
        <f t="shared" si="4"/>
        <v>8.0163093107026295E-2</v>
      </c>
      <c r="O23" s="89"/>
      <c r="P23" s="129" t="s">
        <v>189</v>
      </c>
      <c r="Q23" s="116">
        <v>6787562</v>
      </c>
      <c r="R23" s="116">
        <v>8786500193</v>
      </c>
      <c r="S23" s="116">
        <v>105160.08</v>
      </c>
      <c r="T23" s="130">
        <f t="shared" si="1"/>
        <v>64.545044088973683</v>
      </c>
      <c r="U23" s="78"/>
    </row>
    <row r="24" spans="1:21" hidden="1">
      <c r="A24" s="129" t="s">
        <v>204</v>
      </c>
      <c r="B24" s="131"/>
      <c r="C24" s="131"/>
      <c r="F24" s="78">
        <f>Q24/22</f>
        <v>408412.68181818182</v>
      </c>
      <c r="G24" s="90">
        <f t="shared" ref="G24" si="7">F24/F23-1</f>
        <v>0.2635857054685935</v>
      </c>
      <c r="H24" s="90">
        <f t="shared" ref="H24" si="8">F24/F12-1</f>
        <v>-0.44337045795681151</v>
      </c>
      <c r="I24" s="130">
        <f t="shared" si="0"/>
        <v>58.424338383509983</v>
      </c>
      <c r="J24" s="130">
        <f t="shared" si="4"/>
        <v>-0.10124478232803236</v>
      </c>
      <c r="O24" s="89"/>
      <c r="P24" s="129" t="s">
        <v>204</v>
      </c>
      <c r="Q24" s="116">
        <v>8985079</v>
      </c>
      <c r="R24" s="116">
        <v>11844100320</v>
      </c>
      <c r="S24" s="116">
        <v>153790</v>
      </c>
      <c r="T24" s="130">
        <f t="shared" ref="T24" si="9">Q24/S24</f>
        <v>58.424338383509983</v>
      </c>
      <c r="U24" s="78"/>
    </row>
    <row r="25" spans="1:21" s="79" customFormat="1" ht="13.2" hidden="1">
      <c r="A25" s="129" t="s">
        <v>219</v>
      </c>
      <c r="B25" s="131">
        <f>SUM(F23:F25)</f>
        <v>1233889.5514923674</v>
      </c>
      <c r="C25" s="131">
        <f>AVERAGE(F23:F25)</f>
        <v>411296.51716412249</v>
      </c>
      <c r="D25" s="90">
        <f>C25/C22-1</f>
        <v>-0.15908918242440007</v>
      </c>
      <c r="E25" s="286">
        <f>C25/C13-1</f>
        <v>-0.39116720143556138</v>
      </c>
      <c r="F25" s="78">
        <f>Q25/19</f>
        <v>502259.63157894736</v>
      </c>
      <c r="G25" s="90">
        <f t="shared" ref="G25" si="10">F25/F24-1</f>
        <v>0.22978461232637382</v>
      </c>
      <c r="H25" s="90">
        <f t="shared" ref="H25" si="11">F25/F13-1</f>
        <v>-0.18295598079158237</v>
      </c>
      <c r="I25" s="130">
        <f t="shared" si="0"/>
        <v>56.57810625944532</v>
      </c>
      <c r="J25" s="130">
        <f t="shared" si="4"/>
        <v>0.10301093728669275</v>
      </c>
      <c r="K25" s="78">
        <f>R23+R24+R25</f>
        <v>33298981719</v>
      </c>
      <c r="L25" s="90">
        <f>U25/U22-1</f>
        <v>-0.16592264194396411</v>
      </c>
      <c r="M25" s="90">
        <f>U25/U13-1</f>
        <v>-0.40683209431650247</v>
      </c>
      <c r="N25" s="88">
        <f>AVERAGE(T23:T25)</f>
        <v>59.849162910642995</v>
      </c>
      <c r="O25" s="91">
        <f>N25/N22-1</f>
        <v>0.21466329577182131</v>
      </c>
      <c r="P25" s="129" t="s">
        <v>219</v>
      </c>
      <c r="Q25" s="116">
        <v>9542933</v>
      </c>
      <c r="R25" s="116">
        <v>12668381206</v>
      </c>
      <c r="S25" s="116">
        <v>168668.3</v>
      </c>
      <c r="T25" s="130">
        <f t="shared" ref="T25" si="12">Q25/S25</f>
        <v>56.57810625944532</v>
      </c>
      <c r="U25" s="85">
        <f>Q23+Q24+Q25</f>
        <v>25315574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427092.31578947371</v>
      </c>
      <c r="G26" s="90">
        <f t="shared" ref="G26" si="13">F26/F25-1</f>
        <v>-0.14965828639895085</v>
      </c>
      <c r="H26" s="90">
        <f t="shared" ref="H26" si="14">F26/F14-1</f>
        <v>-0.40994222304851391</v>
      </c>
      <c r="I26" s="130">
        <f t="shared" si="0"/>
        <v>63.519018006132768</v>
      </c>
      <c r="J26" s="130">
        <f t="shared" si="4"/>
        <v>0.17570411095219218</v>
      </c>
      <c r="L26" s="90"/>
      <c r="M26" s="90"/>
      <c r="P26" s="129" t="s">
        <v>312</v>
      </c>
      <c r="Q26" s="116">
        <v>8114754</v>
      </c>
      <c r="R26" s="116">
        <v>10946808931</v>
      </c>
      <c r="S26" s="116">
        <v>127753.14</v>
      </c>
      <c r="T26" s="130">
        <f t="shared" ref="T26" si="15">Q26/S26</f>
        <v>63.519018006132768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668136</v>
      </c>
      <c r="G27" s="90">
        <f t="shared" ref="G27" si="16">F27/F26-1</f>
        <v>0.56438309775009809</v>
      </c>
      <c r="H27" s="90">
        <f t="shared" ref="H27" si="17">F27/F15-1</f>
        <v>0.98518759418470325</v>
      </c>
      <c r="I27" s="130">
        <f t="shared" si="0"/>
        <v>65.733241312409888</v>
      </c>
      <c r="J27" s="130">
        <f t="shared" si="4"/>
        <v>0.30633943515017803</v>
      </c>
      <c r="L27" s="90"/>
      <c r="M27" s="90"/>
      <c r="P27" s="129" t="s">
        <v>392</v>
      </c>
      <c r="Q27" s="116">
        <v>14698992</v>
      </c>
      <c r="R27" s="116">
        <v>19430401295</v>
      </c>
      <c r="S27" s="116">
        <v>223615.81</v>
      </c>
      <c r="T27" s="130">
        <f t="shared" ref="T27" si="18">Q27/S27</f>
        <v>65.733241312409888</v>
      </c>
      <c r="U27" s="78"/>
    </row>
    <row r="28" spans="1:21" s="79" customFormat="1" ht="13.2" hidden="1">
      <c r="A28" s="123" t="s">
        <v>413</v>
      </c>
      <c r="B28" s="131">
        <f>SUM(F26:F28)</f>
        <v>1704130.6315789474</v>
      </c>
      <c r="C28" s="131">
        <f>AVERAGE(F26:F28)</f>
        <v>568043.5438596491</v>
      </c>
      <c r="D28" s="90">
        <f>C28/C25-1</f>
        <v>0.3811046779007341</v>
      </c>
      <c r="E28" s="286">
        <f>C28/C16-1</f>
        <v>8.7718462674487574E-2</v>
      </c>
      <c r="F28" s="78">
        <f>Q28/19</f>
        <v>608902.31578947371</v>
      </c>
      <c r="G28" s="90">
        <f t="shared" ref="G28" si="19">F28/F27-1</f>
        <v>-8.8655130408369365E-2</v>
      </c>
      <c r="H28" s="90">
        <f t="shared" ref="H28" si="20">F28/F16-1</f>
        <v>0.20258731040531663</v>
      </c>
      <c r="I28" s="130">
        <f t="shared" si="0"/>
        <v>61.318837342744239</v>
      </c>
      <c r="J28" s="130">
        <f t="shared" si="4"/>
        <v>-0.14620008368989845</v>
      </c>
      <c r="K28" s="78">
        <f>R26+R27+R28</f>
        <v>45474251056</v>
      </c>
      <c r="L28" s="90">
        <f>U28/U25-1</f>
        <v>0.3581714560372995</v>
      </c>
      <c r="M28" s="90">
        <f>U28/U16-1</f>
        <v>4.1280547491878705E-2</v>
      </c>
      <c r="N28" s="88">
        <f>AVERAGE(T26:T28)</f>
        <v>63.523698887095634</v>
      </c>
      <c r="O28" s="91">
        <f>N28/N25-1</f>
        <v>6.1396614384379156E-2</v>
      </c>
      <c r="P28" s="129" t="s">
        <v>413</v>
      </c>
      <c r="Q28" s="116">
        <v>11569144</v>
      </c>
      <c r="R28" s="116">
        <v>15097040830</v>
      </c>
      <c r="S28" s="116">
        <v>188671.94</v>
      </c>
      <c r="T28" s="130">
        <f t="shared" ref="T28" si="21">Q28/S28</f>
        <v>61.318837342744239</v>
      </c>
      <c r="U28" s="85">
        <f>Q26+Q27+Q28</f>
        <v>34382890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610051.72727272729</v>
      </c>
      <c r="G29" s="190">
        <f t="shared" ref="G29" si="22">F29/F28-1</f>
        <v>1.8876779631940011E-3</v>
      </c>
      <c r="H29" s="190">
        <f t="shared" ref="H29" si="23">F29/F17-1</f>
        <v>0.96649323969770551</v>
      </c>
      <c r="I29" s="130">
        <f t="shared" si="0"/>
        <v>73.447664466542903</v>
      </c>
      <c r="J29" s="130">
        <f t="shared" si="4"/>
        <v>0.45930376297970432</v>
      </c>
      <c r="K29" s="136"/>
      <c r="L29" s="190"/>
      <c r="M29" s="190"/>
      <c r="N29" s="191"/>
      <c r="O29" s="192"/>
      <c r="P29" s="129" t="s">
        <v>430</v>
      </c>
      <c r="Q29" s="116">
        <v>13421138</v>
      </c>
      <c r="R29" s="116">
        <v>17673508528</v>
      </c>
      <c r="S29" s="116">
        <v>182730.63</v>
      </c>
      <c r="T29" s="130">
        <f t="shared" ref="T29" si="24">Q29/S29</f>
        <v>73.447664466542903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616822.05263157899</v>
      </c>
      <c r="G30" s="190">
        <f t="shared" ref="G30" si="25">F30/F29-1</f>
        <v>1.1097952937726863E-2</v>
      </c>
      <c r="H30" s="190">
        <f t="shared" ref="H30" si="26">F30/F18-1</f>
        <v>0.12289570874855937</v>
      </c>
      <c r="I30" s="130">
        <f t="shared" si="0"/>
        <v>75.875377503604682</v>
      </c>
      <c r="J30" s="130">
        <f t="shared" si="4"/>
        <v>0.32237610279707596</v>
      </c>
      <c r="K30" s="136"/>
      <c r="L30" s="190"/>
      <c r="M30" s="190"/>
      <c r="N30" s="191"/>
      <c r="O30" s="192"/>
      <c r="P30" s="129" t="s">
        <v>466</v>
      </c>
      <c r="Q30" s="116">
        <v>11719619</v>
      </c>
      <c r="R30" s="116">
        <v>15606051627</v>
      </c>
      <c r="S30" s="116">
        <v>154458.79</v>
      </c>
      <c r="T30" s="130">
        <f t="shared" ref="T30" si="27">Q30/S30</f>
        <v>75.875377503604682</v>
      </c>
      <c r="U30" s="85"/>
    </row>
    <row r="31" spans="1:21" s="79" customFormat="1" ht="13.2" hidden="1">
      <c r="A31" s="129" t="s">
        <v>505</v>
      </c>
      <c r="B31" s="188">
        <f>SUM(F29:F31)</f>
        <v>1928563.0299043064</v>
      </c>
      <c r="C31" s="188">
        <f>AVERAGE(F29:F31)</f>
        <v>642854.34330143547</v>
      </c>
      <c r="D31" s="190">
        <f>C31/C28-1</f>
        <v>0.1316990576699002</v>
      </c>
      <c r="E31" s="287">
        <f>C31/C19-1</f>
        <v>0.5020226198514568</v>
      </c>
      <c r="F31" s="136">
        <f>Q31/20</f>
        <v>701689.25</v>
      </c>
      <c r="G31" s="190">
        <f t="shared" ref="G31" si="28">F31/F30-1</f>
        <v>0.1375878132215731</v>
      </c>
      <c r="H31" s="190">
        <f t="shared" ref="H31" si="29">F31/F19-1</f>
        <v>0.65321010870996998</v>
      </c>
      <c r="I31" s="130">
        <f t="shared" si="0"/>
        <v>66.415842138946587</v>
      </c>
      <c r="J31" s="130">
        <f t="shared" si="4"/>
        <v>0.39614554429557036</v>
      </c>
      <c r="K31" s="136">
        <f>R29+R30+R31</f>
        <v>51937489077</v>
      </c>
      <c r="L31" s="190">
        <f>U31/U28-1</f>
        <v>0.13936152545641156</v>
      </c>
      <c r="M31" s="190">
        <f>U31/U19-1</f>
        <v>0.47670046638270458</v>
      </c>
      <c r="N31" s="191">
        <f>AVERAGE(T29:T31)</f>
        <v>71.912961369698053</v>
      </c>
      <c r="O31" s="192">
        <f>N31/N28-1</f>
        <v>0.13206508168727926</v>
      </c>
      <c r="P31" s="129" t="s">
        <v>505</v>
      </c>
      <c r="Q31" s="116">
        <v>14033785</v>
      </c>
      <c r="R31" s="116">
        <v>18657928922</v>
      </c>
      <c r="S31" s="116">
        <v>211301.77</v>
      </c>
      <c r="T31" s="130">
        <f t="shared" ref="T31" si="30">Q31/S31</f>
        <v>66.415842138946587</v>
      </c>
      <c r="U31" s="85">
        <f>Q29+Q30+Q31</f>
        <v>39174542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545650.80952380947</v>
      </c>
      <c r="G32" s="190">
        <f t="shared" ref="G32" si="31">F32/F31-1</f>
        <v>-0.22237541828692764</v>
      </c>
      <c r="H32" s="190">
        <f t="shared" ref="H32" si="32">F32/F20-1</f>
        <v>0.18045641620066544</v>
      </c>
      <c r="I32" s="130">
        <f t="shared" si="0"/>
        <v>54.721558551954516</v>
      </c>
      <c r="J32" s="130">
        <f t="shared" si="4"/>
        <v>0.10857630286932141</v>
      </c>
      <c r="K32" s="136"/>
      <c r="L32" s="190"/>
      <c r="M32" s="190"/>
      <c r="N32" s="191"/>
      <c r="O32" s="192"/>
      <c r="P32" s="129" t="s">
        <v>562</v>
      </c>
      <c r="Q32" s="116">
        <v>11458667</v>
      </c>
      <c r="R32" s="116">
        <v>15599877672</v>
      </c>
      <c r="S32" s="116">
        <v>209399.5</v>
      </c>
      <c r="T32" s="130">
        <f t="shared" ref="T32" si="33">Q32/S32</f>
        <v>54.721558551954516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744301.19047619053</v>
      </c>
      <c r="G33" s="190">
        <f t="shared" ref="G33" si="34">F33/F32-1</f>
        <v>0.36406136944201295</v>
      </c>
      <c r="H33" s="190">
        <f t="shared" ref="H33" si="35">F33/F21-1</f>
        <v>0.59756057674519392</v>
      </c>
      <c r="I33" s="130">
        <f t="shared" si="0"/>
        <v>59.385947631649891</v>
      </c>
      <c r="J33" s="130">
        <f t="shared" si="4"/>
        <v>0.47861429667552846</v>
      </c>
      <c r="K33" s="136"/>
      <c r="L33" s="190"/>
      <c r="M33" s="190"/>
      <c r="N33" s="191"/>
      <c r="O33" s="192"/>
      <c r="P33" s="129" t="s">
        <v>617</v>
      </c>
      <c r="Q33" s="116">
        <v>15630325</v>
      </c>
      <c r="R33" s="116">
        <v>21375461534</v>
      </c>
      <c r="S33" s="116">
        <v>263199.05</v>
      </c>
      <c r="T33" s="130">
        <f t="shared" ref="T33" si="36">Q33/S33</f>
        <v>59.385947631649891</v>
      </c>
      <c r="U33" s="85"/>
    </row>
    <row r="34" spans="1:21" s="79" customFormat="1" ht="13.2" hidden="1">
      <c r="A34" s="129" t="s">
        <v>652</v>
      </c>
      <c r="B34" s="188">
        <f>SUM(F32:F34)</f>
        <v>1988101.1578947369</v>
      </c>
      <c r="C34" s="188">
        <f>AVERAGE(F32:F34)</f>
        <v>662700.38596491225</v>
      </c>
      <c r="D34" s="190">
        <f>C34/C31-1</f>
        <v>3.0871756363277658E-2</v>
      </c>
      <c r="E34" s="287">
        <f>C34/C22-1</f>
        <v>0.35491524998021773</v>
      </c>
      <c r="F34" s="136">
        <f>Q34/19</f>
        <v>698149.15789473685</v>
      </c>
      <c r="G34" s="190">
        <f t="shared" ref="G34" si="37">F34/F33-1</f>
        <v>-6.200719973580382E-2</v>
      </c>
      <c r="H34" s="190">
        <f t="shared" ref="H34" si="38">F34/F22-1</f>
        <v>0.29481251404021003</v>
      </c>
      <c r="I34" s="130">
        <f t="shared" si="0"/>
        <v>63.855199146712486</v>
      </c>
      <c r="J34" s="130">
        <f t="shared" si="4"/>
        <v>9.5447725329020239E-2</v>
      </c>
      <c r="K34" s="136">
        <f>R32+R33+R34</f>
        <v>55222367167</v>
      </c>
      <c r="L34" s="190">
        <f>U34/U31-1</f>
        <v>3.0103325777235623E-2</v>
      </c>
      <c r="M34" s="190">
        <f>U34/U22-1</f>
        <v>0.3295457009006777</v>
      </c>
      <c r="N34" s="191">
        <f>AVERAGE(T32:T34)</f>
        <v>59.320901776772303</v>
      </c>
      <c r="O34" s="192">
        <f>N34/N31-1</f>
        <v>-0.17510139136380587</v>
      </c>
      <c r="P34" s="129" t="s">
        <v>652</v>
      </c>
      <c r="Q34" s="116">
        <v>13264834</v>
      </c>
      <c r="R34" s="116">
        <v>18247027961</v>
      </c>
      <c r="S34" s="116">
        <v>207733.03</v>
      </c>
      <c r="T34" s="130">
        <f t="shared" ref="T34" si="39">Q34/S34</f>
        <v>63.855199146712486</v>
      </c>
      <c r="U34" s="85">
        <f>Q32+Q33+Q34</f>
        <v>40353826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538529.39130434778</v>
      </c>
      <c r="G35" s="190">
        <f t="shared" ref="G35" si="40">F35/F34-1</f>
        <v>-0.22863275674745664</v>
      </c>
      <c r="H35" s="190">
        <f t="shared" ref="H35" si="41">F35/F23-1</f>
        <v>0.66615306311622691</v>
      </c>
      <c r="I35" s="130">
        <f t="shared" si="0"/>
        <v>60.649893597330774</v>
      </c>
      <c r="J35" s="130">
        <f t="shared" si="4"/>
        <v>-6.0347785745928695E-2</v>
      </c>
      <c r="K35" s="136"/>
      <c r="L35" s="190"/>
      <c r="M35" s="190"/>
      <c r="N35" s="191"/>
      <c r="O35" s="192"/>
      <c r="P35" s="129" t="s">
        <v>660</v>
      </c>
      <c r="Q35" s="116">
        <v>12386176</v>
      </c>
      <c r="R35" s="116">
        <v>17136551535</v>
      </c>
      <c r="S35" s="116">
        <v>204224.2</v>
      </c>
      <c r="T35" s="130">
        <f t="shared" ref="T35" si="42">Q35/S35</f>
        <v>60.649893597330774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622034.33333333337</v>
      </c>
      <c r="G36" s="190">
        <f t="shared" ref="G36" si="43">F36/F35-1</f>
        <v>0.15506106700459199</v>
      </c>
      <c r="H36" s="190">
        <f t="shared" ref="H36" si="44">F36/F24-1</f>
        <v>0.52305342371873786</v>
      </c>
      <c r="I36" s="130">
        <f t="shared" si="0"/>
        <v>68.637214544296285</v>
      </c>
      <c r="J36" s="130">
        <f t="shared" si="4"/>
        <v>0.17480516584966321</v>
      </c>
      <c r="K36" s="136"/>
      <c r="L36" s="190"/>
      <c r="M36" s="190"/>
      <c r="N36" s="191"/>
      <c r="O36" s="192"/>
      <c r="P36" s="129" t="s">
        <v>664</v>
      </c>
      <c r="Q36" s="116">
        <v>13062721</v>
      </c>
      <c r="R36" s="116">
        <v>17805529223</v>
      </c>
      <c r="S36" s="116">
        <v>190315.43</v>
      </c>
      <c r="T36" s="130">
        <f t="shared" ref="T36" si="45">Q36/S36</f>
        <v>68.637214544296285</v>
      </c>
      <c r="U36" s="85"/>
    </row>
    <row r="37" spans="1:21" s="79" customFormat="1" ht="13.2" hidden="1">
      <c r="A37" s="129" t="s">
        <v>702</v>
      </c>
      <c r="B37" s="188">
        <f>SUM(F35:F37)</f>
        <v>1802499.6690821256</v>
      </c>
      <c r="C37" s="188">
        <f>AVERAGE(F35:F37)</f>
        <v>600833.22302737518</v>
      </c>
      <c r="D37" s="190">
        <f>C37/C34-1</f>
        <v>-9.3356159507069769E-2</v>
      </c>
      <c r="E37" s="287">
        <f>C37/C25-1</f>
        <v>0.46082740298921743</v>
      </c>
      <c r="F37" s="136">
        <f>Q37/18</f>
        <v>641935.9444444445</v>
      </c>
      <c r="G37" s="190">
        <f t="shared" ref="G37" si="46">F37/F36-1</f>
        <v>3.1994393306979063E-2</v>
      </c>
      <c r="H37" s="190">
        <f t="shared" ref="H37" si="47">F37/F25-1</f>
        <v>0.2780958374584046</v>
      </c>
      <c r="I37" s="130">
        <f t="shared" si="0"/>
        <v>66.463519327623018</v>
      </c>
      <c r="J37" s="130">
        <f t="shared" si="4"/>
        <v>0.17472152607665969</v>
      </c>
      <c r="K37" s="136">
        <f>R35+R36+R37</f>
        <v>50353766795</v>
      </c>
      <c r="L37" s="190">
        <f>U37/U34-1</f>
        <v>-8.3017704442696516E-2</v>
      </c>
      <c r="M37" s="190">
        <f>U37/U25-1</f>
        <v>0.46169879458391905</v>
      </c>
      <c r="N37" s="191">
        <f>AVERAGE(T35:T37)</f>
        <v>65.250209156416702</v>
      </c>
      <c r="O37" s="192">
        <f>N37/N34-1</f>
        <v>9.9953089080754287E-2</v>
      </c>
      <c r="P37" s="129" t="s">
        <v>702</v>
      </c>
      <c r="Q37" s="116">
        <v>11554847</v>
      </c>
      <c r="R37" s="116">
        <v>15411686037</v>
      </c>
      <c r="S37" s="116">
        <v>173852.47</v>
      </c>
      <c r="T37" s="130">
        <f t="shared" ref="T37" si="48">Q37/S37</f>
        <v>66.463519327623018</v>
      </c>
      <c r="U37" s="85">
        <f>Q35+Q36+Q37</f>
        <v>37003744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531253.15</v>
      </c>
      <c r="G38" s="190">
        <f t="shared" ref="G38" si="49">F38/F37-1</f>
        <v>-0.17242030984919143</v>
      </c>
      <c r="H38" s="190">
        <f t="shared" ref="H38" si="50">F38/F26-1</f>
        <v>0.24388365315818561</v>
      </c>
      <c r="I38" s="130">
        <f t="shared" si="0"/>
        <v>64.204811954436067</v>
      </c>
      <c r="J38" s="130">
        <f t="shared" si="4"/>
        <v>1.0796671136148239E-2</v>
      </c>
      <c r="K38" s="136"/>
      <c r="L38" s="190"/>
      <c r="M38" s="190"/>
      <c r="N38" s="191"/>
      <c r="O38" s="192"/>
      <c r="P38" s="129" t="s">
        <v>727</v>
      </c>
      <c r="Q38" s="116">
        <v>10625063</v>
      </c>
      <c r="R38" s="116">
        <v>14311571140</v>
      </c>
      <c r="S38" s="116">
        <v>165487.01999999999</v>
      </c>
      <c r="T38" s="130">
        <f t="shared" ref="T38" si="51">Q38/S38</f>
        <v>64.204811954436067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604037.52380952379</v>
      </c>
      <c r="G39" s="190">
        <f t="shared" ref="G39" si="52">F39/F38-1</f>
        <v>0.13700506775258425</v>
      </c>
      <c r="H39" s="190">
        <f t="shared" ref="H39" si="53">F39/F27-1</f>
        <v>-9.5936270744992336E-2</v>
      </c>
      <c r="I39" s="130">
        <f t="shared" si="0"/>
        <v>62.61142836355473</v>
      </c>
      <c r="J39" s="130">
        <f t="shared" si="4"/>
        <v>-4.7492149885293822E-2</v>
      </c>
      <c r="K39" s="136"/>
      <c r="L39" s="190"/>
      <c r="M39" s="190"/>
      <c r="N39" s="191"/>
      <c r="O39" s="192"/>
      <c r="P39" s="129" t="s">
        <v>762</v>
      </c>
      <c r="Q39" s="116">
        <v>12684788</v>
      </c>
      <c r="R39" s="116">
        <v>17642018867</v>
      </c>
      <c r="S39" s="116">
        <v>202595.41</v>
      </c>
      <c r="T39" s="130">
        <f t="shared" ref="T39" si="54">Q39/S39</f>
        <v>62.61142836355473</v>
      </c>
      <c r="U39" s="85"/>
    </row>
    <row r="40" spans="1:21" s="79" customFormat="1" ht="13.2" hidden="1">
      <c r="A40" s="129" t="s">
        <v>778</v>
      </c>
      <c r="B40" s="188">
        <f>SUM(F38:F40)</f>
        <v>1754617.9595238094</v>
      </c>
      <c r="C40" s="188">
        <f>AVERAGE(F38:F40)</f>
        <v>584872.65317460313</v>
      </c>
      <c r="D40" s="190">
        <f>C40/C37-1</f>
        <v>-2.6564060110312648E-2</v>
      </c>
      <c r="E40" s="287">
        <f>C40/C28-1</f>
        <v>2.9626442368495765E-2</v>
      </c>
      <c r="F40" s="136">
        <f>Q40/21</f>
        <v>619327.28571428568</v>
      </c>
      <c r="G40" s="190">
        <f t="shared" ref="G40" si="55">F40/F39-1</f>
        <v>2.5312602780590332E-2</v>
      </c>
      <c r="H40" s="190">
        <f t="shared" ref="H40" si="56">F40/F28-1</f>
        <v>1.7120923429722046E-2</v>
      </c>
      <c r="I40" s="130">
        <f t="shared" si="0"/>
        <v>61.359852534878762</v>
      </c>
      <c r="J40" s="130">
        <f t="shared" si="4"/>
        <v>6.688840479029956E-4</v>
      </c>
      <c r="K40" s="136">
        <f>R38+R39+R40</f>
        <v>50376624859</v>
      </c>
      <c r="L40" s="190">
        <f>U40/U37-1</f>
        <v>-1.8593253698868994E-2</v>
      </c>
      <c r="M40" s="190">
        <f>U40/U28-1</f>
        <v>5.6214995307258819E-2</v>
      </c>
      <c r="N40" s="191">
        <f>AVERAGE(T38:T40)</f>
        <v>62.72536428428986</v>
      </c>
      <c r="O40" s="192">
        <f>N40/N37-1</f>
        <v>-3.8694816534217136E-2</v>
      </c>
      <c r="P40" s="129" t="s">
        <v>778</v>
      </c>
      <c r="Q40" s="116">
        <v>13005873</v>
      </c>
      <c r="R40" s="116">
        <v>18423034852</v>
      </c>
      <c r="S40" s="116">
        <v>211960.63</v>
      </c>
      <c r="T40" s="130">
        <f t="shared" ref="T40" si="57">Q40/S40</f>
        <v>61.359852534878762</v>
      </c>
      <c r="U40" s="85">
        <f>Q38+Q39+Q40</f>
        <v>36315724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639159.0555555555</v>
      </c>
      <c r="G41" s="190">
        <f t="shared" ref="G41" si="58">F41/F40-1</f>
        <v>3.2021469582754314E-2</v>
      </c>
      <c r="H41" s="190">
        <f t="shared" ref="H41" si="59">F41/F29-1</f>
        <v>4.771288561537923E-2</v>
      </c>
      <c r="I41" s="130">
        <f t="shared" si="0"/>
        <v>57.479736590287409</v>
      </c>
      <c r="J41" s="130">
        <f t="shared" si="4"/>
        <v>-0.2174055225885263</v>
      </c>
      <c r="K41" s="193"/>
      <c r="L41" s="190"/>
      <c r="M41" s="190"/>
      <c r="N41" s="193"/>
      <c r="O41" s="193"/>
      <c r="P41" s="129" t="s">
        <v>793</v>
      </c>
      <c r="Q41" s="116">
        <v>11504863</v>
      </c>
      <c r="R41" s="116">
        <v>16816870046</v>
      </c>
      <c r="S41" s="116">
        <v>200155.11</v>
      </c>
      <c r="T41" s="130">
        <f t="shared" ref="T41" si="60">Q41/S41</f>
        <v>57.479736590287409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554265.4</v>
      </c>
      <c r="G42" s="190">
        <f t="shared" ref="G42" si="61">F42/F41-1</f>
        <v>-0.13282086018755712</v>
      </c>
      <c r="H42" s="190">
        <f t="shared" ref="H42" si="62">F42/F30-1</f>
        <v>-0.10141766554015108</v>
      </c>
      <c r="I42" s="130">
        <f t="shared" si="0"/>
        <v>59.737380539336236</v>
      </c>
      <c r="J42" s="130">
        <f t="shared" si="4"/>
        <v>-0.21269082929441452</v>
      </c>
      <c r="K42" s="193"/>
      <c r="L42" s="190"/>
      <c r="M42" s="190"/>
      <c r="N42" s="193"/>
      <c r="O42" s="193"/>
      <c r="P42" s="129" t="s">
        <v>826</v>
      </c>
      <c r="Q42" s="116">
        <v>11085308</v>
      </c>
      <c r="R42" s="116">
        <v>16032872707</v>
      </c>
      <c r="S42" s="116">
        <v>185567.35999999999</v>
      </c>
      <c r="T42" s="130">
        <f t="shared" ref="T42" si="63">Q42/S42</f>
        <v>59.737380539336236</v>
      </c>
      <c r="U42" s="78"/>
    </row>
    <row r="43" spans="1:21" s="79" customFormat="1" ht="13.2">
      <c r="A43" s="129" t="s">
        <v>835</v>
      </c>
      <c r="B43" s="188">
        <f>SUM(F41:F43)</f>
        <v>1764632.4055555554</v>
      </c>
      <c r="C43" s="188">
        <f>AVERAGE(F41:F43)</f>
        <v>588210.80185185175</v>
      </c>
      <c r="D43" s="190">
        <f>C43/C40-1</f>
        <v>5.7074794985363386E-3</v>
      </c>
      <c r="E43" s="287">
        <f>C43/C31-1</f>
        <v>-8.5001434646854834E-2</v>
      </c>
      <c r="F43" s="136">
        <f>Q43/20</f>
        <v>571207.94999999995</v>
      </c>
      <c r="G43" s="190">
        <f t="shared" ref="G43" si="64">F43/F42-1</f>
        <v>3.0567576471488112E-2</v>
      </c>
      <c r="H43" s="190">
        <f t="shared" ref="H43" si="65">F43/F31-1</f>
        <v>-0.18595311243545498</v>
      </c>
      <c r="I43" s="130">
        <f t="shared" si="0"/>
        <v>49.752644738267236</v>
      </c>
      <c r="J43" s="130">
        <f t="shared" si="4"/>
        <v>-0.25089190867773348</v>
      </c>
      <c r="K43" s="136">
        <f>R41+R42+R43</f>
        <v>49421247503</v>
      </c>
      <c r="L43" s="190">
        <f>U43/U40-1</f>
        <v>-6.3371833093565755E-2</v>
      </c>
      <c r="M43" s="190">
        <f>K43/K31-1</f>
        <v>-4.8447501385165959E-2</v>
      </c>
      <c r="N43" s="191">
        <f>AVERAGE(T41:T43)</f>
        <v>55.656587289296965</v>
      </c>
      <c r="O43" s="192">
        <f>N43/N40-1</f>
        <v>-0.11269407640193385</v>
      </c>
      <c r="P43" s="129" t="s">
        <v>835</v>
      </c>
      <c r="Q43" s="116">
        <v>11424159</v>
      </c>
      <c r="R43" s="116">
        <v>16571504750</v>
      </c>
      <c r="S43" s="116">
        <v>229619.13</v>
      </c>
      <c r="T43" s="130">
        <f t="shared" ref="T43" si="66">Q43/S43</f>
        <v>49.752644738267236</v>
      </c>
      <c r="U43" s="85">
        <f>Q41+Q42+Q43</f>
        <v>34014330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717180.72727272729</v>
      </c>
      <c r="G44" s="190">
        <f t="shared" ref="G44" si="67">F44/F43-1</f>
        <v>0.25555102528374718</v>
      </c>
      <c r="H44" s="190">
        <f t="shared" ref="H44" si="68">F44/F32-1</f>
        <v>0.31435840423037642</v>
      </c>
      <c r="I44" s="130">
        <f t="shared" si="0"/>
        <v>52.869073049736237</v>
      </c>
      <c r="J44" s="130">
        <f t="shared" si="4"/>
        <v>-3.3852937511994807E-2</v>
      </c>
      <c r="K44" s="136"/>
      <c r="L44" s="190"/>
      <c r="M44" s="190"/>
      <c r="N44" s="191"/>
      <c r="O44" s="192"/>
      <c r="P44" s="129" t="s">
        <v>843</v>
      </c>
      <c r="Q44" s="116">
        <v>15777976</v>
      </c>
      <c r="R44" s="116">
        <v>22864351569</v>
      </c>
      <c r="S44" s="116">
        <v>298434.89</v>
      </c>
      <c r="T44" s="130">
        <f t="shared" ref="T44" si="69">Q44/S44</f>
        <v>52.869073049736237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545424.19999999995</v>
      </c>
      <c r="G45" s="190">
        <f t="shared" ref="G45" si="70">F45/F44-1</f>
        <v>-0.23948848698971281</v>
      </c>
      <c r="H45" s="190">
        <f t="shared" ref="H45" si="71">F45/F33-1</f>
        <v>-0.26719961357169486</v>
      </c>
      <c r="I45" s="130">
        <f t="shared" si="0"/>
        <v>51.879139523630045</v>
      </c>
      <c r="J45" s="130">
        <f t="shared" si="4"/>
        <v>-0.12640714524893892</v>
      </c>
      <c r="K45" s="136"/>
      <c r="L45" s="190"/>
      <c r="M45" s="190"/>
      <c r="N45" s="191"/>
      <c r="O45" s="192"/>
      <c r="P45" s="129" t="s">
        <v>853</v>
      </c>
      <c r="Q45" s="116">
        <v>10908484</v>
      </c>
      <c r="R45" s="116">
        <v>15313202350</v>
      </c>
      <c r="S45" s="116">
        <v>210267.25</v>
      </c>
      <c r="T45" s="130">
        <f t="shared" ref="T45" si="72">Q45/S45</f>
        <v>51.879139523630045</v>
      </c>
      <c r="U45" s="85"/>
    </row>
    <row r="46" spans="1:21" s="79" customFormat="1" ht="13.2">
      <c r="A46" s="129" t="s">
        <v>888</v>
      </c>
      <c r="B46" s="188">
        <f>SUM(F44:F46)</f>
        <v>1982753.1904306221</v>
      </c>
      <c r="C46" s="188">
        <f>AVERAGE(F44:F46)</f>
        <v>660917.73014354066</v>
      </c>
      <c r="D46" s="190">
        <f>C46/C43-1</f>
        <v>0.12360692469908274</v>
      </c>
      <c r="E46" s="287">
        <f>C46/C34-1</f>
        <v>-2.6899876009216506E-3</v>
      </c>
      <c r="F46" s="136">
        <f>Q46/19</f>
        <v>720148.26315789472</v>
      </c>
      <c r="G46" s="190">
        <f t="shared" ref="G46" si="73">F46/F45-1</f>
        <v>0.32034527099805032</v>
      </c>
      <c r="H46" s="190">
        <f t="shared" ref="H46" si="74">F46/F34-1</f>
        <v>3.1510609179127291E-2</v>
      </c>
      <c r="I46" s="130">
        <f t="shared" si="0"/>
        <v>56.880105086807234</v>
      </c>
      <c r="J46" s="130">
        <f t="shared" si="4"/>
        <v>-0.10923298577269192</v>
      </c>
      <c r="K46" s="136">
        <f>R44+R45+R46</f>
        <v>56897869190</v>
      </c>
      <c r="L46" s="190">
        <f>U46/U43-1</f>
        <v>0.18683146191619837</v>
      </c>
      <c r="M46" s="190">
        <f>K46/K34-1</f>
        <v>3.0341003273783196E-2</v>
      </c>
      <c r="N46" s="191">
        <f>AVERAGE(T44:T46)</f>
        <v>53.87610588672451</v>
      </c>
      <c r="O46" s="192">
        <f>N46/N43-1</f>
        <v>-3.1990488265435713E-2</v>
      </c>
      <c r="P46" s="129" t="s">
        <v>928</v>
      </c>
      <c r="Q46" s="116">
        <v>13682817</v>
      </c>
      <c r="R46" s="116">
        <v>18720315271</v>
      </c>
      <c r="S46" s="116">
        <v>240555.41</v>
      </c>
      <c r="T46" s="130">
        <f t="shared" ref="T46" si="75">Q46/S46</f>
        <v>56.880105086807234</v>
      </c>
      <c r="U46" s="85">
        <f t="shared" ref="U46:U51" si="76">Q44+Q45+Q46</f>
        <v>40369277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612894.56521739135</v>
      </c>
      <c r="G47" s="190">
        <f t="shared" ref="G47" si="77">F47/F46-1</f>
        <v>-0.14893280096266459</v>
      </c>
      <c r="H47" s="190">
        <f t="shared" ref="H47" si="78">F47/F35-1</f>
        <v>0.13808935057922667</v>
      </c>
      <c r="I47" s="130">
        <f t="shared" si="0"/>
        <v>52.7417974903097</v>
      </c>
      <c r="J47" s="130">
        <f t="shared" si="4"/>
        <v>-0.130389282453236</v>
      </c>
      <c r="K47" s="136"/>
      <c r="L47" s="190"/>
      <c r="M47" s="190"/>
      <c r="N47" s="191"/>
      <c r="O47" s="192"/>
      <c r="P47" s="129" t="s">
        <v>991</v>
      </c>
      <c r="Q47" s="116">
        <v>14096575</v>
      </c>
      <c r="R47" s="116">
        <v>19351339412</v>
      </c>
      <c r="S47" s="116">
        <v>267275.21000000002</v>
      </c>
      <c r="T47" s="130">
        <f t="shared" ref="T47" si="79">Q47/S47</f>
        <v>52.7417974903097</v>
      </c>
      <c r="U47" s="85">
        <f t="shared" si="76"/>
        <v>38687876</v>
      </c>
    </row>
    <row r="48" spans="1:21" s="79" customFormat="1" ht="13.2">
      <c r="A48" s="129" t="s">
        <v>1076</v>
      </c>
      <c r="B48" s="188"/>
      <c r="C48" s="188"/>
      <c r="D48" s="190"/>
      <c r="E48" s="287"/>
      <c r="F48" s="136">
        <f>Q48/20</f>
        <v>543745.65</v>
      </c>
      <c r="G48" s="190">
        <f t="shared" ref="G48" si="80">F48/F47-1</f>
        <v>-0.11282350854728895</v>
      </c>
      <c r="H48" s="190">
        <f t="shared" ref="H48" si="81">F48/F36-1</f>
        <v>-0.1258591031684746</v>
      </c>
      <c r="I48" s="130">
        <f t="shared" si="0"/>
        <v>73.038002228432461</v>
      </c>
      <c r="J48" s="130">
        <f t="shared" si="4"/>
        <v>6.4116641582184997E-2</v>
      </c>
      <c r="K48" s="136"/>
      <c r="L48" s="190"/>
      <c r="M48" s="190"/>
      <c r="N48" s="191"/>
      <c r="O48" s="192"/>
      <c r="P48" s="129" t="s">
        <v>1120</v>
      </c>
      <c r="Q48" s="116">
        <v>10874913</v>
      </c>
      <c r="R48" s="116">
        <v>15095344408</v>
      </c>
      <c r="S48" s="116">
        <v>148893.9</v>
      </c>
      <c r="T48" s="130">
        <f t="shared" ref="T48" si="82">Q48/S48</f>
        <v>73.038002228432461</v>
      </c>
      <c r="U48" s="85">
        <f t="shared" si="76"/>
        <v>38654305</v>
      </c>
    </row>
    <row r="49" spans="1:26" ht="13.2">
      <c r="A49" s="129" t="s">
        <v>1158</v>
      </c>
      <c r="B49" s="188">
        <f>SUM(F47:F49)</f>
        <v>1730297.2152173915</v>
      </c>
      <c r="C49" s="188">
        <f>AVERAGE(F47:F49)</f>
        <v>576765.73840579716</v>
      </c>
      <c r="D49" s="190">
        <f>C49/C46-1</f>
        <v>-0.12732597099410092</v>
      </c>
      <c r="E49" s="287">
        <f>C49/C37-1</f>
        <v>-4.0056847223445602E-2</v>
      </c>
      <c r="F49" s="136">
        <f>Q49/22</f>
        <v>573657</v>
      </c>
      <c r="G49" s="190">
        <f t="shared" ref="G49" si="83">F49/F48-1</f>
        <v>5.5009819388899928E-2</v>
      </c>
      <c r="H49" s="190">
        <f t="shared" ref="H49" si="84">F49/F37-1</f>
        <v>-0.10636410849922984</v>
      </c>
      <c r="I49" s="130">
        <f t="shared" si="0"/>
        <v>65.574606435318557</v>
      </c>
      <c r="J49" s="130">
        <f t="shared" si="4"/>
        <v>-1.3374448137822514E-2</v>
      </c>
      <c r="K49" s="136">
        <f>R47+R48+R49</f>
        <v>51989217803</v>
      </c>
      <c r="L49" s="190">
        <f>U49/U46-1</f>
        <v>-6.8798234855679929E-2</v>
      </c>
      <c r="M49" s="190">
        <f>K49/K37-1</f>
        <v>3.2479218777380359E-2</v>
      </c>
      <c r="N49" s="191">
        <f>AVERAGE(T47:T49)</f>
        <v>63.784802051353573</v>
      </c>
      <c r="O49" s="192">
        <f>N49/N46-1</f>
        <v>0.18391633919241079</v>
      </c>
      <c r="P49" s="129" t="s">
        <v>1158</v>
      </c>
      <c r="Q49" s="116">
        <v>12620454</v>
      </c>
      <c r="R49" s="116">
        <v>17542533983</v>
      </c>
      <c r="S49" s="116">
        <v>192459.47</v>
      </c>
      <c r="T49" s="130">
        <f t="shared" ref="T49" si="85">Q49/S49</f>
        <v>65.574606435318557</v>
      </c>
      <c r="U49" s="85">
        <f t="shared" si="76"/>
        <v>37591942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619906.77777777775</v>
      </c>
      <c r="G50" s="190">
        <f t="shared" ref="G50" si="86">F50/F49-1</f>
        <v>8.0622702726154793E-2</v>
      </c>
      <c r="H50" s="190">
        <f t="shared" ref="H50" si="87">F50/F38-1</f>
        <v>0.16687642751441145</v>
      </c>
      <c r="I50" s="130">
        <f t="shared" ref="I50" si="88">T50</f>
        <v>88.341163442824509</v>
      </c>
      <c r="J50" s="130">
        <f t="shared" ref="J50" si="89">I50/I38-1</f>
        <v>0.37592745393471705</v>
      </c>
      <c r="K50" s="136"/>
      <c r="L50" s="190"/>
      <c r="M50" s="190"/>
      <c r="N50" s="191"/>
      <c r="O50" s="192"/>
      <c r="P50" s="129" t="s">
        <v>1339</v>
      </c>
      <c r="Q50" s="116">
        <v>11158322</v>
      </c>
      <c r="R50" s="116">
        <v>15817137454</v>
      </c>
      <c r="S50" s="116">
        <v>126309.43</v>
      </c>
      <c r="T50" s="130">
        <f t="shared" ref="T50" si="90">Q50/S50</f>
        <v>88.341163442824509</v>
      </c>
      <c r="U50" s="85">
        <f t="shared" si="76"/>
        <v>34653689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834787.6</v>
      </c>
      <c r="G51" s="190">
        <f t="shared" ref="G51:G52" si="91">F51/F50-1</f>
        <v>0.34663409068137674</v>
      </c>
      <c r="H51" s="190">
        <f t="shared" ref="H51:H52" si="92">F51/F39-1</f>
        <v>0.38201281724219593</v>
      </c>
      <c r="I51" s="130">
        <f t="shared" ref="I51:I52" si="93">T51</f>
        <v>75.757426706686445</v>
      </c>
      <c r="J51" s="130">
        <f t="shared" ref="J51:J52" si="94">I51/I39-1</f>
        <v>0.20996164257424654</v>
      </c>
      <c r="K51" s="136"/>
      <c r="L51" s="190"/>
      <c r="M51" s="190"/>
      <c r="N51" s="191"/>
      <c r="O51" s="192"/>
      <c r="P51" s="129" t="s">
        <v>1402</v>
      </c>
      <c r="Q51" s="116">
        <v>16695752</v>
      </c>
      <c r="R51" s="116">
        <v>24173323350</v>
      </c>
      <c r="S51" s="116">
        <v>220384.36</v>
      </c>
      <c r="T51" s="130">
        <f t="shared" ref="T51:T52" si="95">Q51/S51</f>
        <v>75.757426706686445</v>
      </c>
      <c r="U51" s="85">
        <f t="shared" si="76"/>
        <v>40474528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2158836.3323232322</v>
      </c>
      <c r="C52" s="188">
        <f>AVERAGE(F50:F52)</f>
        <v>719612.11077441077</v>
      </c>
      <c r="D52" s="190">
        <f>C52/C49-1</f>
        <v>0.2476679227920966</v>
      </c>
      <c r="E52" s="287">
        <f>C52/C40-1</f>
        <v>0.23037400854435841</v>
      </c>
      <c r="F52" s="136">
        <f>Q52/22</f>
        <v>704141.95454545459</v>
      </c>
      <c r="G52" s="190">
        <f t="shared" si="91"/>
        <v>-0.15650166036791324</v>
      </c>
      <c r="H52" s="190">
        <f t="shared" si="92"/>
        <v>0.13694644299960079</v>
      </c>
      <c r="I52" s="130">
        <f t="shared" si="93"/>
        <v>57.559318492081928</v>
      </c>
      <c r="J52" s="130">
        <f t="shared" si="94"/>
        <v>-6.1938448118604827E-2</v>
      </c>
      <c r="K52" s="136">
        <f>R50+R51+R52</f>
        <v>62783757752</v>
      </c>
      <c r="L52" s="190">
        <f>U52/U49-1</f>
        <v>0.15304489988838554</v>
      </c>
      <c r="M52" s="190">
        <f>K52/K40-1</f>
        <v>0.24628749797602634</v>
      </c>
      <c r="N52" s="191">
        <f>AVERAGE(T50:T52)</f>
        <v>73.885969547197632</v>
      </c>
      <c r="O52" s="192">
        <f>N52/N49-1</f>
        <v>0.15836323341901326</v>
      </c>
      <c r="P52" s="129" t="s">
        <v>1403</v>
      </c>
      <c r="Q52" s="116">
        <v>15491123</v>
      </c>
      <c r="R52" s="116">
        <v>22793296948</v>
      </c>
      <c r="S52" s="116">
        <v>269133.19</v>
      </c>
      <c r="T52" s="130">
        <f t="shared" si="95"/>
        <v>57.559318492081928</v>
      </c>
      <c r="U52" s="85">
        <f t="shared" ref="U52" si="96">Q50+Q51+Q52</f>
        <v>43345197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546428.71428571432</v>
      </c>
      <c r="G53" s="190">
        <f t="shared" ref="G53" si="97">F53/F52-1</f>
        <v>-0.22397932581868241</v>
      </c>
      <c r="H53" s="190">
        <f t="shared" ref="H53" si="98">F53/F41-1</f>
        <v>-0.1450817921827614</v>
      </c>
      <c r="I53" s="130">
        <f t="shared" ref="I53" si="99">T53</f>
        <v>54.780872271662638</v>
      </c>
      <c r="J53" s="130">
        <f t="shared" ref="J53" si="100">I53/I41-1</f>
        <v>-4.695331744232123E-2</v>
      </c>
      <c r="K53" s="136"/>
      <c r="L53" s="190"/>
      <c r="M53" s="190"/>
      <c r="N53" s="191"/>
      <c r="O53" s="192"/>
      <c r="P53" s="129" t="s">
        <v>1414</v>
      </c>
      <c r="Q53" s="116">
        <v>11475003</v>
      </c>
      <c r="R53" s="116">
        <v>16812725848</v>
      </c>
      <c r="S53" s="116">
        <v>209470.98</v>
      </c>
      <c r="T53" s="130">
        <f t="shared" ref="T53" si="101">Q53/S53</f>
        <v>54.780872271662638</v>
      </c>
      <c r="U53" s="85">
        <f t="shared" ref="U53" si="102">Q51+Q52+Q53</f>
        <v>43661878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730777.6470588235</v>
      </c>
      <c r="G54" s="190">
        <f t="shared" ref="G54" si="103">F54/F53-1</f>
        <v>0.33737050772320432</v>
      </c>
      <c r="H54" s="190">
        <f t="shared" ref="H54" si="104">F54/F42-1</f>
        <v>0.31846160171431137</v>
      </c>
      <c r="I54" s="130">
        <f t="shared" ref="I54" si="105">T54</f>
        <v>58.558070637420862</v>
      </c>
      <c r="J54" s="130">
        <f t="shared" ref="J54" si="106">I54/I42-1</f>
        <v>-1.9741573722651173E-2</v>
      </c>
      <c r="K54" s="136"/>
      <c r="L54" s="190"/>
      <c r="M54" s="190"/>
      <c r="N54" s="191"/>
      <c r="O54" s="192"/>
      <c r="P54" s="129" t="s">
        <v>1417</v>
      </c>
      <c r="Q54" s="116">
        <v>12423220</v>
      </c>
      <c r="R54" s="116">
        <v>17991304860</v>
      </c>
      <c r="S54" s="116">
        <v>212152.14</v>
      </c>
      <c r="T54" s="130">
        <f t="shared" ref="T54" si="107">Q54/S54</f>
        <v>58.558070637420862</v>
      </c>
      <c r="U54" s="85">
        <f t="shared" ref="U54" si="108">Q52+Q53+Q54</f>
        <v>39389346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1909874.8375350139</v>
      </c>
      <c r="C55" s="188">
        <f>AVERAGE(F53:F55)</f>
        <v>636624.94584500464</v>
      </c>
      <c r="D55" s="190">
        <f>C55/C52-1</f>
        <v>-0.11532207933535121</v>
      </c>
      <c r="E55" s="287">
        <f>C55/C43-1</f>
        <v>8.230747181236997E-2</v>
      </c>
      <c r="F55" s="136">
        <f>Q55/21</f>
        <v>632668.47619047621</v>
      </c>
      <c r="G55" s="190">
        <f t="shared" ref="G55" si="109">F55/F54-1</f>
        <v>-0.13425310867568185</v>
      </c>
      <c r="H55" s="190">
        <f t="shared" ref="H55" si="110">F55/F43-1</f>
        <v>0.1075974628687788</v>
      </c>
      <c r="I55" s="130">
        <f>T55</f>
        <v>62.224842262864598</v>
      </c>
      <c r="J55" s="130">
        <f t="shared" ref="J55" si="111">I55/I43-1</f>
        <v>0.25068411117056399</v>
      </c>
      <c r="K55" s="136">
        <f>R53+R54+R55</f>
        <v>54430682467</v>
      </c>
      <c r="L55" s="190">
        <f>U55/U52-1</f>
        <v>-0.14213653245133484</v>
      </c>
      <c r="M55" s="190">
        <f>K55/K43-1</f>
        <v>0.10136196913475159</v>
      </c>
      <c r="N55" s="191">
        <f>AVERAGE(T53:T55)</f>
        <v>58.521261723982697</v>
      </c>
      <c r="O55" s="192">
        <f>N55/N52-1</f>
        <v>-0.20795163029430253</v>
      </c>
      <c r="P55" s="129" t="s">
        <v>1418</v>
      </c>
      <c r="Q55" s="116">
        <v>13286038</v>
      </c>
      <c r="R55" s="116">
        <v>19626651759</v>
      </c>
      <c r="S55" s="116">
        <v>213516.62</v>
      </c>
      <c r="T55" s="130">
        <f t="shared" ref="T55" si="112">Q55/S55</f>
        <v>62.224842262864598</v>
      </c>
      <c r="U55" s="85">
        <f t="shared" ref="U55" si="113">Q53+Q54+Q55</f>
        <v>37184261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636416.86363636365</v>
      </c>
      <c r="G56" s="190">
        <f t="shared" ref="G56" si="114">F56/F55-1</f>
        <v>5.9247261195276568E-3</v>
      </c>
      <c r="H56" s="190">
        <f t="shared" ref="H56" si="115">F56/F44-1</f>
        <v>-0.11261298660867525</v>
      </c>
      <c r="I56" s="291">
        <f>T56</f>
        <v>51.11780544204295</v>
      </c>
      <c r="J56" s="130">
        <f t="shared" ref="J56" si="116">I56/I44-1</f>
        <v>-3.3124613439804218E-2</v>
      </c>
      <c r="K56" s="136"/>
      <c r="L56" s="190"/>
      <c r="M56" s="190"/>
      <c r="N56" s="191"/>
      <c r="O56" s="192"/>
      <c r="P56" s="129" t="s">
        <v>1420</v>
      </c>
      <c r="Q56" s="116">
        <v>14001171</v>
      </c>
      <c r="R56" s="116">
        <v>20881929397</v>
      </c>
      <c r="S56" s="116">
        <v>273900.08</v>
      </c>
      <c r="T56" s="130">
        <f t="shared" ref="T56" si="117">Q56/S56</f>
        <v>51.11780544204295</v>
      </c>
      <c r="U56" s="85">
        <f t="shared" ref="U56" si="118">Q54+Q55+Q56</f>
        <v>39710429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579741.41666666663</v>
      </c>
      <c r="G57" s="254">
        <f t="shared" ref="G57" si="119">F57/F56-1</f>
        <v>-8.9053967938348522E-2</v>
      </c>
      <c r="H57" s="254">
        <f t="shared" ref="H57" si="120">F57/F45-1</f>
        <v>6.2918397582407692E-2</v>
      </c>
      <c r="I57" s="282">
        <f>T57</f>
        <v>53.442917133828587</v>
      </c>
      <c r="J57" s="277">
        <f t="shared" ref="J57" si="121">I57/I45-1</f>
        <v>3.0142705229069255E-2</v>
      </c>
      <c r="K57" s="204"/>
      <c r="L57" s="254"/>
      <c r="M57" s="254"/>
      <c r="N57" s="257"/>
      <c r="O57" s="258"/>
      <c r="P57" s="129" t="s">
        <v>1436</v>
      </c>
      <c r="Q57" s="116">
        <v>6956897</v>
      </c>
      <c r="R57" s="116">
        <v>10259376760</v>
      </c>
      <c r="S57" s="116">
        <v>130174.35</v>
      </c>
      <c r="T57" s="130">
        <f t="shared" ref="T57" si="122">Q57/S57</f>
        <v>53.442917133828587</v>
      </c>
      <c r="U57" s="85">
        <f t="shared" ref="U57" si="123">Q55+Q56+Q57</f>
        <v>34244106</v>
      </c>
      <c r="V57" s="79"/>
      <c r="W57" s="79"/>
      <c r="X57" s="79"/>
      <c r="Y57" s="79"/>
      <c r="Z57" s="79"/>
    </row>
    <row r="58" spans="1:26">
      <c r="B58" s="196">
        <f>SUM(F56:F58)</f>
        <v>1216158.2803030303</v>
      </c>
      <c r="C58" s="196">
        <f>AVERAGE(F56:F58)</f>
        <v>608079.14015151514</v>
      </c>
      <c r="D58" s="197">
        <f>C58/C55-1</f>
        <v>-4.4839282343232867E-2</v>
      </c>
      <c r="E58" s="233">
        <f>C58/C46-1</f>
        <v>-7.994730294275787E-2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58142329</v>
      </c>
      <c r="R65" s="212">
        <v>85571988624</v>
      </c>
      <c r="S65" s="213">
        <v>1039214.2</v>
      </c>
      <c r="T65" s="214">
        <v>155</v>
      </c>
      <c r="U65" s="214">
        <v>471</v>
      </c>
    </row>
    <row r="66" spans="16:21" ht="18" thickBot="1">
      <c r="P66" s="180" t="s">
        <v>976</v>
      </c>
      <c r="Q66" s="181">
        <v>11475003</v>
      </c>
      <c r="R66" s="181">
        <v>16812725848</v>
      </c>
      <c r="S66" s="182">
        <v>209470.98</v>
      </c>
      <c r="T66" s="210">
        <v>51</v>
      </c>
      <c r="U66" s="210">
        <v>166</v>
      </c>
    </row>
    <row r="67" spans="16:21" ht="18" thickBot="1">
      <c r="P67" s="180" t="s">
        <v>977</v>
      </c>
      <c r="Q67" s="181">
        <v>12423220</v>
      </c>
      <c r="R67" s="181">
        <v>17991304860</v>
      </c>
      <c r="S67" s="182">
        <v>212152.14</v>
      </c>
      <c r="T67" s="210">
        <v>49</v>
      </c>
      <c r="U67" s="210">
        <v>171</v>
      </c>
    </row>
    <row r="68" spans="16:21" ht="18" thickBot="1">
      <c r="P68" s="180" t="s">
        <v>978</v>
      </c>
      <c r="Q68" s="181">
        <v>13286038</v>
      </c>
      <c r="R68" s="181">
        <v>19626651759</v>
      </c>
      <c r="S68" s="182">
        <v>213516.62</v>
      </c>
      <c r="T68" s="210">
        <v>53</v>
      </c>
      <c r="U68" s="210">
        <v>164</v>
      </c>
    </row>
    <row r="69" spans="16:21" ht="18" thickBot="1">
      <c r="P69" s="180" t="s">
        <v>979</v>
      </c>
      <c r="Q69" s="181">
        <v>14001171</v>
      </c>
      <c r="R69" s="181">
        <v>20881929397</v>
      </c>
      <c r="S69" s="182">
        <v>273900.08</v>
      </c>
      <c r="T69" s="210">
        <v>55</v>
      </c>
      <c r="U69" s="210">
        <v>202</v>
      </c>
    </row>
    <row r="70" spans="16:21" ht="18" thickBot="1">
      <c r="P70" s="180" t="s">
        <v>980</v>
      </c>
      <c r="Q70" s="181">
        <v>6956897</v>
      </c>
      <c r="R70" s="181">
        <v>10259376760</v>
      </c>
      <c r="S70" s="182">
        <v>130174.35</v>
      </c>
      <c r="T70" s="210">
        <v>40</v>
      </c>
      <c r="U70" s="210">
        <v>116</v>
      </c>
    </row>
    <row r="71" spans="16:21" ht="18" thickBot="1">
      <c r="P71" s="180" t="s">
        <v>975</v>
      </c>
      <c r="Q71" s="181">
        <v>155318664</v>
      </c>
      <c r="R71" s="181">
        <v>221089088624</v>
      </c>
      <c r="S71" s="182">
        <v>2589032.7599999998</v>
      </c>
      <c r="T71" s="210">
        <v>260</v>
      </c>
      <c r="U71" s="210">
        <v>910</v>
      </c>
    </row>
    <row r="72" spans="16:21" ht="18" thickBot="1">
      <c r="P72" s="215" t="s">
        <v>982</v>
      </c>
      <c r="Q72" s="216">
        <v>152830</v>
      </c>
      <c r="R72"/>
      <c r="S72"/>
      <c r="T72"/>
      <c r="U72"/>
    </row>
  </sheetData>
  <phoneticPr fontId="1" type="noConversion"/>
  <conditionalFormatting sqref="C29:C30">
    <cfRule type="cellIs" dxfId="3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01"/>
  <dimension ref="A1:Z73"/>
  <sheetViews>
    <sheetView zoomScale="90" zoomScaleNormal="90" workbookViewId="0">
      <selection activeCell="C72" sqref="C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8458110000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3155804.4</v>
      </c>
      <c r="G5" s="90"/>
      <c r="H5" s="90"/>
      <c r="I5" s="130">
        <f t="shared" ref="I5:I49" si="0">T5</f>
        <v>14.247060515160674</v>
      </c>
      <c r="J5" s="130"/>
      <c r="L5" s="80"/>
      <c r="M5" s="80"/>
      <c r="P5" s="129" t="s">
        <v>0</v>
      </c>
      <c r="Q5" s="116">
        <v>63116088</v>
      </c>
      <c r="R5" s="116"/>
      <c r="S5" s="116">
        <v>4430113</v>
      </c>
      <c r="T5" s="130">
        <f t="shared" ref="T5:T20" si="1">Q5/S5</f>
        <v>14.247060515160674</v>
      </c>
      <c r="U5" s="85"/>
    </row>
    <row r="6" spans="1:21" ht="15" hidden="1" customHeight="1">
      <c r="A6" s="129" t="s">
        <v>1</v>
      </c>
      <c r="C6" s="79"/>
      <c r="F6" s="78">
        <f>Q6/18</f>
        <v>2685417</v>
      </c>
      <c r="G6" s="90">
        <f t="shared" ref="G6:G16" si="2">F6/F5-1</f>
        <v>-0.1490546752517361</v>
      </c>
      <c r="H6" s="90"/>
      <c r="I6" s="130">
        <f t="shared" si="0"/>
        <v>13.823864469948703</v>
      </c>
      <c r="J6" s="130"/>
      <c r="P6" s="129" t="s">
        <v>1</v>
      </c>
      <c r="Q6" s="116">
        <v>48337506</v>
      </c>
      <c r="R6" s="116"/>
      <c r="S6" s="116">
        <v>3496671</v>
      </c>
      <c r="T6" s="130">
        <f t="shared" si="1"/>
        <v>13.823864469948703</v>
      </c>
      <c r="U6" s="85"/>
    </row>
    <row r="7" spans="1:21" ht="15" hidden="1" customHeight="1">
      <c r="A7" s="129" t="s">
        <v>2</v>
      </c>
      <c r="B7" s="131">
        <f>F5+F6+F7</f>
        <v>8572549.3545454554</v>
      </c>
      <c r="C7" s="131">
        <f>AVERAGE(F5:F7)</f>
        <v>2857516.4515151517</v>
      </c>
      <c r="F7" s="78">
        <f>Q7/22</f>
        <v>2731327.9545454546</v>
      </c>
      <c r="G7" s="90">
        <f t="shared" si="2"/>
        <v>1.7096396777652956E-2</v>
      </c>
      <c r="H7" s="90"/>
      <c r="I7" s="130">
        <f t="shared" si="0"/>
        <v>13.872015423093918</v>
      </c>
      <c r="J7" s="130"/>
      <c r="K7" s="79">
        <f>R5+R6+R7</f>
        <v>0</v>
      </c>
      <c r="N7" s="88">
        <f>AVERAGE(T5:T7)</f>
        <v>13.980980136067766</v>
      </c>
      <c r="P7" s="129" t="s">
        <v>2</v>
      </c>
      <c r="Q7" s="116">
        <v>60089215</v>
      </c>
      <c r="R7" s="116"/>
      <c r="S7" s="116">
        <v>4331686</v>
      </c>
      <c r="T7" s="130">
        <f t="shared" si="1"/>
        <v>13.872015423093918</v>
      </c>
      <c r="U7" s="85">
        <f>Q5+Q6+Q7</f>
        <v>171542809</v>
      </c>
    </row>
    <row r="8" spans="1:21" ht="15" hidden="1" customHeight="1">
      <c r="A8" s="129" t="s">
        <v>3</v>
      </c>
      <c r="C8" s="79"/>
      <c r="F8" s="78">
        <f>Q8/21</f>
        <v>3276947.5714285714</v>
      </c>
      <c r="G8" s="90">
        <f t="shared" si="2"/>
        <v>0.19976349452108111</v>
      </c>
      <c r="H8" s="90"/>
      <c r="I8" s="130">
        <f t="shared" si="0"/>
        <v>13.893139000841673</v>
      </c>
      <c r="J8" s="130"/>
      <c r="K8" s="78"/>
      <c r="P8" s="129" t="s">
        <v>3</v>
      </c>
      <c r="Q8" s="116">
        <v>68815899</v>
      </c>
      <c r="R8" s="116"/>
      <c r="S8" s="116">
        <v>4953229</v>
      </c>
      <c r="T8" s="130">
        <f t="shared" si="1"/>
        <v>13.893139000841673</v>
      </c>
      <c r="U8" s="85"/>
    </row>
    <row r="9" spans="1:21" ht="15" hidden="1" customHeight="1">
      <c r="A9" s="129" t="s">
        <v>4</v>
      </c>
      <c r="C9" s="79"/>
      <c r="F9" s="78">
        <f>Q9/21</f>
        <v>2959958.6190476189</v>
      </c>
      <c r="G9" s="90">
        <f t="shared" si="2"/>
        <v>-9.6732994798193417E-2</v>
      </c>
      <c r="H9" s="90"/>
      <c r="I9" s="130">
        <f t="shared" si="0"/>
        <v>14.047361241102621</v>
      </c>
      <c r="J9" s="130"/>
      <c r="K9" s="78"/>
      <c r="P9" s="129" t="s">
        <v>4</v>
      </c>
      <c r="Q9" s="116">
        <v>62159131</v>
      </c>
      <c r="R9" s="116"/>
      <c r="S9" s="116">
        <v>4424968.5</v>
      </c>
      <c r="T9" s="130">
        <f t="shared" si="1"/>
        <v>14.047361241102621</v>
      </c>
      <c r="U9" s="85"/>
    </row>
    <row r="10" spans="1:21" ht="15" hidden="1" customHeight="1">
      <c r="A10" s="129" t="s">
        <v>5</v>
      </c>
      <c r="B10" s="131">
        <f>F8+F9+F10</f>
        <v>8947899.4285714291</v>
      </c>
      <c r="C10" s="131">
        <f>AVERAGE(F8:F10)</f>
        <v>2982633.1428571432</v>
      </c>
      <c r="D10" s="90">
        <f>C10/C7-1</f>
        <v>4.3785116714078809E-2</v>
      </c>
      <c r="E10" s="286"/>
      <c r="F10" s="78">
        <f>Q10/21</f>
        <v>2710993.2380952379</v>
      </c>
      <c r="G10" s="90">
        <f t="shared" si="2"/>
        <v>-8.4111101874960292E-2</v>
      </c>
      <c r="H10" s="90"/>
      <c r="I10" s="130">
        <f t="shared" si="0"/>
        <v>14.32300313098696</v>
      </c>
      <c r="J10" s="130"/>
      <c r="K10" s="79">
        <f>R8+R9+R10</f>
        <v>0</v>
      </c>
      <c r="L10" s="87">
        <f>U10/U7-1</f>
        <v>9.5387729135297139E-2</v>
      </c>
      <c r="N10" s="88">
        <f>AVERAGE(T8:T10)</f>
        <v>14.087834457643751</v>
      </c>
      <c r="O10" s="89">
        <f>N10/N7-1</f>
        <v>7.6428348038579674E-3</v>
      </c>
      <c r="P10" s="129" t="s">
        <v>5</v>
      </c>
      <c r="Q10" s="116">
        <v>56930858</v>
      </c>
      <c r="R10" s="116"/>
      <c r="S10" s="116">
        <v>3974785</v>
      </c>
      <c r="T10" s="130">
        <f t="shared" si="1"/>
        <v>14.32300313098696</v>
      </c>
      <c r="U10" s="85">
        <f>Q8+Q9+Q10</f>
        <v>187905888</v>
      </c>
    </row>
    <row r="11" spans="1:21" ht="15" hidden="1" customHeight="1">
      <c r="A11" s="129" t="s">
        <v>6</v>
      </c>
      <c r="C11" s="79"/>
      <c r="F11" s="78">
        <f>Q11/21</f>
        <v>3097394.5714285714</v>
      </c>
      <c r="G11" s="90">
        <f t="shared" si="2"/>
        <v>0.14253127890677497</v>
      </c>
      <c r="H11" s="90"/>
      <c r="I11" s="130">
        <f t="shared" si="0"/>
        <v>13.699371257541783</v>
      </c>
      <c r="J11" s="130"/>
      <c r="K11" s="78"/>
      <c r="O11" s="89"/>
      <c r="P11" s="129" t="s">
        <v>6</v>
      </c>
      <c r="Q11" s="116">
        <v>65045286</v>
      </c>
      <c r="R11" s="116"/>
      <c r="S11" s="116">
        <v>4748049</v>
      </c>
      <c r="T11" s="130">
        <f t="shared" si="1"/>
        <v>13.699371257541783</v>
      </c>
      <c r="U11" s="85"/>
    </row>
    <row r="12" spans="1:21" ht="15" hidden="1" customHeight="1">
      <c r="A12" s="129" t="s">
        <v>7</v>
      </c>
      <c r="C12" s="79"/>
      <c r="F12" s="78">
        <f>Q12/22</f>
        <v>2959651.5454545454</v>
      </c>
      <c r="G12" s="90">
        <f t="shared" si="2"/>
        <v>-4.4470609990930665E-2</v>
      </c>
      <c r="H12" s="90"/>
      <c r="I12" s="130">
        <f t="shared" si="0"/>
        <v>13.676584751320565</v>
      </c>
      <c r="J12" s="130"/>
      <c r="K12" s="78"/>
      <c r="O12" s="89"/>
      <c r="P12" s="129" t="s">
        <v>7</v>
      </c>
      <c r="Q12" s="116">
        <v>65112334</v>
      </c>
      <c r="R12" s="116"/>
      <c r="S12" s="116">
        <v>4760862.0999999996</v>
      </c>
      <c r="T12" s="130">
        <f t="shared" si="1"/>
        <v>13.676584751320565</v>
      </c>
      <c r="U12" s="85"/>
    </row>
    <row r="13" spans="1:21" ht="15" hidden="1" customHeight="1">
      <c r="A13" s="129" t="s">
        <v>96</v>
      </c>
      <c r="B13" s="131">
        <f>F11+F12+F13</f>
        <v>9339992.3668831177</v>
      </c>
      <c r="C13" s="131">
        <f>AVERAGE(F11:F13)</f>
        <v>3113330.7889610394</v>
      </c>
      <c r="D13" s="90">
        <f>C13/C10-1</f>
        <v>4.3819551330639861E-2</v>
      </c>
      <c r="E13" s="286"/>
      <c r="F13" s="78">
        <f>Q13/20</f>
        <v>3282946.25</v>
      </c>
      <c r="G13" s="90">
        <f t="shared" si="2"/>
        <v>0.10923404312307405</v>
      </c>
      <c r="H13" s="90"/>
      <c r="I13" s="130">
        <f t="shared" si="0"/>
        <v>14.215439311031369</v>
      </c>
      <c r="J13" s="130"/>
      <c r="K13" s="78">
        <f>R11+R12+R13</f>
        <v>0</v>
      </c>
      <c r="L13" s="87">
        <f>U13/U10-1</f>
        <v>4.2099037364917491E-2</v>
      </c>
      <c r="N13" s="88">
        <f>AVERAGE(T11:T13)</f>
        <v>13.863798439964571</v>
      </c>
      <c r="O13" s="89">
        <f>N13/N10-1</f>
        <v>-1.5902800274432805E-2</v>
      </c>
      <c r="P13" s="129" t="s">
        <v>96</v>
      </c>
      <c r="Q13" s="116">
        <v>65658925</v>
      </c>
      <c r="R13" s="116"/>
      <c r="S13" s="116">
        <v>4618846</v>
      </c>
      <c r="T13" s="130">
        <f t="shared" si="1"/>
        <v>14.215439311031369</v>
      </c>
      <c r="U13" s="85">
        <f>Q11+Q12+Q13</f>
        <v>195816545</v>
      </c>
    </row>
    <row r="14" spans="1:21" ht="15" hidden="1" customHeight="1">
      <c r="A14" s="129" t="s">
        <v>97</v>
      </c>
      <c r="C14" s="79"/>
      <c r="F14" s="78">
        <f>Q14/20</f>
        <v>2635468.9</v>
      </c>
      <c r="G14" s="90">
        <f t="shared" si="2"/>
        <v>-0.19722447481435312</v>
      </c>
      <c r="H14" s="90"/>
      <c r="I14" s="130">
        <f t="shared" si="0"/>
        <v>13.744794922162759</v>
      </c>
      <c r="J14" s="130"/>
      <c r="O14" s="89"/>
      <c r="P14" s="129" t="s">
        <v>97</v>
      </c>
      <c r="Q14" s="116">
        <v>52709378</v>
      </c>
      <c r="R14" s="116"/>
      <c r="S14" s="116">
        <v>3834861</v>
      </c>
      <c r="T14" s="130">
        <f t="shared" si="1"/>
        <v>13.744794922162759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2598334.1818181816</v>
      </c>
      <c r="G15" s="90">
        <f t="shared" si="2"/>
        <v>-1.4090364785491638E-2</v>
      </c>
      <c r="H15" s="90"/>
      <c r="I15" s="130">
        <f t="shared" si="0"/>
        <v>13.904606275338358</v>
      </c>
      <c r="J15" s="130"/>
      <c r="O15" s="89"/>
      <c r="P15" s="129" t="s">
        <v>98</v>
      </c>
      <c r="Q15" s="116">
        <v>57163352</v>
      </c>
      <c r="R15" s="116"/>
      <c r="S15" s="116">
        <v>4111109</v>
      </c>
      <c r="T15" s="130">
        <f t="shared" si="1"/>
        <v>13.904606275338358</v>
      </c>
      <c r="U15" s="85"/>
    </row>
    <row r="16" spans="1:21" ht="15" hidden="1" customHeight="1">
      <c r="A16" s="129" t="s">
        <v>99</v>
      </c>
      <c r="B16" s="131">
        <f>F14+F15+F16</f>
        <v>8775800.127272727</v>
      </c>
      <c r="C16" s="131">
        <f>AVERAGE(F14:F16)</f>
        <v>2925266.709090909</v>
      </c>
      <c r="D16" s="90">
        <f>C16/C13-1</f>
        <v>-6.0406070738435735E-2</v>
      </c>
      <c r="E16" s="286"/>
      <c r="F16" s="78">
        <f>Q16/22</f>
        <v>3541997.0454545454</v>
      </c>
      <c r="G16" s="90">
        <f t="shared" si="2"/>
        <v>0.36317994438114831</v>
      </c>
      <c r="H16" s="90"/>
      <c r="I16" s="130">
        <f t="shared" si="0"/>
        <v>14.042152622490061</v>
      </c>
      <c r="J16" s="130"/>
      <c r="K16" s="78">
        <f>R14+R15+R16</f>
        <v>0</v>
      </c>
      <c r="L16" s="87">
        <f>U16/U13-1</f>
        <v>-4.0956089793127592E-2</v>
      </c>
      <c r="N16" s="88">
        <f>AVERAGE(T14:T16)</f>
        <v>13.897184606663727</v>
      </c>
      <c r="O16" s="89">
        <f>N16/N13-1</f>
        <v>2.4081543628704516E-3</v>
      </c>
      <c r="P16" s="129" t="s">
        <v>99</v>
      </c>
      <c r="Q16" s="116">
        <v>77923935</v>
      </c>
      <c r="R16" s="116"/>
      <c r="S16" s="116">
        <v>5549287</v>
      </c>
      <c r="T16" s="130">
        <f t="shared" si="1"/>
        <v>14.042152622490061</v>
      </c>
      <c r="U16" s="85">
        <f>Q14+Q15+Q16</f>
        <v>187796665</v>
      </c>
    </row>
    <row r="17" spans="1:21" ht="15" hidden="1" customHeight="1">
      <c r="A17" s="129" t="s">
        <v>100</v>
      </c>
      <c r="C17" s="79"/>
      <c r="F17" s="78">
        <f>Q17/20</f>
        <v>3442504.4</v>
      </c>
      <c r="G17" s="90">
        <f t="shared" ref="G17:G22" si="3">F17/F16-1</f>
        <v>-2.8089420792212327E-2</v>
      </c>
      <c r="H17" s="90">
        <f t="shared" ref="H17:H22" si="4">F17/F5-1</f>
        <v>9.0848469569279944E-2</v>
      </c>
      <c r="I17" s="130">
        <f t="shared" si="0"/>
        <v>14.313786913826746</v>
      </c>
      <c r="J17" s="130">
        <f t="shared" ref="J17:J49" si="5">I17/I5-1</f>
        <v>4.6835204072492864E-3</v>
      </c>
      <c r="O17" s="89"/>
      <c r="P17" s="129" t="s">
        <v>100</v>
      </c>
      <c r="Q17" s="116">
        <v>68850088</v>
      </c>
      <c r="R17" s="116">
        <v>86370900407</v>
      </c>
      <c r="S17" s="116">
        <v>4810054</v>
      </c>
      <c r="T17" s="130">
        <f t="shared" si="1"/>
        <v>14.313786913826746</v>
      </c>
      <c r="U17" s="78"/>
    </row>
    <row r="18" spans="1:21" ht="15" hidden="1" customHeight="1">
      <c r="A18" s="129" t="s">
        <v>106</v>
      </c>
      <c r="C18" s="79"/>
      <c r="F18" s="78">
        <f>Q18/20</f>
        <v>3427604.15</v>
      </c>
      <c r="G18" s="90">
        <f t="shared" si="3"/>
        <v>-4.3283169078883743E-3</v>
      </c>
      <c r="H18" s="90">
        <f t="shared" si="4"/>
        <v>0.27637687182288628</v>
      </c>
      <c r="I18" s="130">
        <f t="shared" si="0"/>
        <v>14.508816764376503</v>
      </c>
      <c r="J18" s="130">
        <f t="shared" si="5"/>
        <v>4.9548539478001752E-2</v>
      </c>
      <c r="O18" s="89"/>
      <c r="P18" s="129" t="s">
        <v>106</v>
      </c>
      <c r="Q18" s="116">
        <v>68552083</v>
      </c>
      <c r="R18" s="116">
        <v>86106701571</v>
      </c>
      <c r="S18" s="116">
        <v>4724856.9000000004</v>
      </c>
      <c r="T18" s="130">
        <f t="shared" si="1"/>
        <v>14.508816764376503</v>
      </c>
      <c r="U18" s="78"/>
    </row>
    <row r="19" spans="1:21" hidden="1">
      <c r="A19" s="129" t="s">
        <v>114</v>
      </c>
      <c r="B19" s="131">
        <f>SUM(F17:F19)</f>
        <v>11156405.640909091</v>
      </c>
      <c r="C19" s="131">
        <f>AVERAGE(F17:F19)</f>
        <v>3718801.8803030304</v>
      </c>
      <c r="D19" s="90">
        <f>C19/C16-1</f>
        <v>0.2712693405856077</v>
      </c>
      <c r="E19" s="286">
        <f>C19/C7-1</f>
        <v>0.3014104882340034</v>
      </c>
      <c r="F19" s="78">
        <f>Q19/22</f>
        <v>4286297.0909090908</v>
      </c>
      <c r="G19" s="90">
        <f t="shared" si="3"/>
        <v>0.25052278598422495</v>
      </c>
      <c r="H19" s="90">
        <f t="shared" si="4"/>
        <v>0.56930883520445374</v>
      </c>
      <c r="I19" s="130">
        <f t="shared" si="0"/>
        <v>14.278671574749787</v>
      </c>
      <c r="J19" s="130">
        <f t="shared" si="5"/>
        <v>2.9314857232559888E-2</v>
      </c>
      <c r="K19" s="78">
        <f>R17+R18+R19</f>
        <v>295765116785</v>
      </c>
      <c r="L19" s="87">
        <f>U19/U16-1</f>
        <v>0.23378499293371369</v>
      </c>
      <c r="M19" s="87">
        <f>U19/U7-1</f>
        <v>0.35068737856566168</v>
      </c>
      <c r="N19" s="88">
        <f>AVERAGE(T17:T19)</f>
        <v>14.367091750984345</v>
      </c>
      <c r="O19" s="89">
        <f>N19/N16-1</f>
        <v>3.3813118096977623E-2</v>
      </c>
      <c r="P19" s="129" t="s">
        <v>115</v>
      </c>
      <c r="Q19" s="116">
        <v>94298536</v>
      </c>
      <c r="R19" s="116">
        <v>123287514807</v>
      </c>
      <c r="S19" s="116">
        <v>6604153.2999999998</v>
      </c>
      <c r="T19" s="130">
        <f t="shared" si="1"/>
        <v>14.278671574749787</v>
      </c>
      <c r="U19" s="85">
        <f>Q17+Q18+Q19</f>
        <v>231700707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4474916.0999999996</v>
      </c>
      <c r="G20" s="90">
        <f t="shared" si="3"/>
        <v>4.4005117958564988E-2</v>
      </c>
      <c r="H20" s="90">
        <f t="shared" si="4"/>
        <v>0.36557451788866402</v>
      </c>
      <c r="I20" s="130">
        <f t="shared" si="0"/>
        <v>14.459917995702108</v>
      </c>
      <c r="J20" s="130">
        <f t="shared" si="5"/>
        <v>4.0795603846337292E-2</v>
      </c>
      <c r="O20" s="89"/>
      <c r="P20" s="129" t="s">
        <v>131</v>
      </c>
      <c r="Q20" s="116">
        <v>89498322</v>
      </c>
      <c r="R20" s="116">
        <v>117603635380</v>
      </c>
      <c r="S20" s="116">
        <v>6189407.2999999998</v>
      </c>
      <c r="T20" s="130">
        <f t="shared" si="1"/>
        <v>14.459917995702108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3129479.8571428573</v>
      </c>
      <c r="G21" s="90">
        <f t="shared" si="3"/>
        <v>-0.30066178064369575</v>
      </c>
      <c r="H21" s="90">
        <f t="shared" si="4"/>
        <v>5.7271489204056003E-2</v>
      </c>
      <c r="I21" s="130">
        <f t="shared" si="0"/>
        <v>14.415878264402151</v>
      </c>
      <c r="J21" s="130">
        <f t="shared" si="5"/>
        <v>2.6233896671016721E-2</v>
      </c>
      <c r="O21" s="89"/>
      <c r="P21" s="129" t="s">
        <v>141</v>
      </c>
      <c r="Q21" s="116">
        <v>65719077</v>
      </c>
      <c r="R21" s="116">
        <v>87534388433</v>
      </c>
      <c r="S21" s="116">
        <v>4558798</v>
      </c>
      <c r="T21" s="130">
        <f t="shared" ref="T21" si="6">Q21/S21</f>
        <v>14.415878264402151</v>
      </c>
      <c r="U21" s="78"/>
    </row>
    <row r="22" spans="1:21" hidden="1">
      <c r="A22" s="129" t="s">
        <v>156</v>
      </c>
      <c r="B22" s="131">
        <f>SUM(F20:F22)</f>
        <v>10948719.48095238</v>
      </c>
      <c r="C22" s="131">
        <f>AVERAGE(F20:F22)</f>
        <v>3649573.1603174601</v>
      </c>
      <c r="D22" s="90">
        <f>C22/C19-1</f>
        <v>-1.8615866672609394E-2</v>
      </c>
      <c r="E22" s="286">
        <f>C22/C10-1</f>
        <v>0.22360779402505981</v>
      </c>
      <c r="F22" s="78">
        <f>Q22/21</f>
        <v>3344323.5238095238</v>
      </c>
      <c r="G22" s="90">
        <f t="shared" si="3"/>
        <v>6.8651557598716773E-2</v>
      </c>
      <c r="H22" s="90">
        <f t="shared" si="4"/>
        <v>0.2336155903359125</v>
      </c>
      <c r="I22" s="130">
        <f t="shared" si="0"/>
        <v>13.606508297328544</v>
      </c>
      <c r="J22" s="130">
        <f t="shared" si="5"/>
        <v>-5.0024064583796823E-2</v>
      </c>
      <c r="K22" s="78">
        <f>R20+R21+R22</f>
        <v>296229138986</v>
      </c>
      <c r="L22" s="87">
        <f>U22/U19-1</f>
        <v>-2.6985303933492077E-2</v>
      </c>
      <c r="M22" s="87">
        <f>U22/U10-1</f>
        <v>0.19979312729146614</v>
      </c>
      <c r="N22" s="88">
        <f>AVERAGE(T20:T22)</f>
        <v>14.160768185810936</v>
      </c>
      <c r="O22" s="89">
        <f>N22/N19-1</f>
        <v>-1.4360844125553385E-2</v>
      </c>
      <c r="P22" s="129" t="s">
        <v>156</v>
      </c>
      <c r="Q22" s="116">
        <v>70230794</v>
      </c>
      <c r="R22" s="116">
        <v>91091115173</v>
      </c>
      <c r="S22" s="116">
        <v>5161558.9000000004</v>
      </c>
      <c r="T22" s="130">
        <f t="shared" ref="T22:T23" si="7">Q22/S22</f>
        <v>13.606508297328544</v>
      </c>
      <c r="U22" s="85">
        <f>Q20+Q21+Q22</f>
        <v>225448193</v>
      </c>
    </row>
    <row r="23" spans="1:21" hidden="1">
      <c r="A23" s="129" t="s">
        <v>189</v>
      </c>
      <c r="B23" s="131"/>
      <c r="C23" s="131"/>
      <c r="F23" s="78">
        <f>Q23/21</f>
        <v>2954225.3333333335</v>
      </c>
      <c r="G23" s="90">
        <f t="shared" ref="G23" si="8">F23/F22-1</f>
        <v>-0.11664487233335274</v>
      </c>
      <c r="H23" s="90">
        <f t="shared" ref="H23" si="9">F23/F11-1</f>
        <v>-4.6222473370322259E-2</v>
      </c>
      <c r="I23" s="130">
        <f t="shared" si="0"/>
        <v>14.197958463943566</v>
      </c>
      <c r="J23" s="130">
        <f t="shared" si="5"/>
        <v>3.6394897037869578E-2</v>
      </c>
      <c r="O23" s="89"/>
      <c r="P23" s="129" t="s">
        <v>189</v>
      </c>
      <c r="Q23" s="116">
        <v>62038732</v>
      </c>
      <c r="R23" s="116">
        <v>80096434302</v>
      </c>
      <c r="S23" s="116">
        <v>4369553</v>
      </c>
      <c r="T23" s="130">
        <f t="shared" si="7"/>
        <v>14.197958463943566</v>
      </c>
      <c r="U23" s="78"/>
    </row>
    <row r="24" spans="1:21" hidden="1">
      <c r="A24" s="129" t="s">
        <v>204</v>
      </c>
      <c r="B24" s="131"/>
      <c r="C24" s="131"/>
      <c r="F24" s="78">
        <f>Q24/22</f>
        <v>2755034.8636363638</v>
      </c>
      <c r="G24" s="90">
        <f t="shared" ref="G24" si="10">F24/F23-1</f>
        <v>-6.7425618299812529E-2</v>
      </c>
      <c r="H24" s="90">
        <f t="shared" ref="H24" si="11">F24/F12-1</f>
        <v>-6.91353960679707E-2</v>
      </c>
      <c r="I24" s="130">
        <f t="shared" si="0"/>
        <v>13.829003715143012</v>
      </c>
      <c r="J24" s="130">
        <f t="shared" si="5"/>
        <v>1.1144519380668516E-2</v>
      </c>
      <c r="O24" s="89"/>
      <c r="P24" s="129" t="s">
        <v>204</v>
      </c>
      <c r="Q24" s="116">
        <v>60610767</v>
      </c>
      <c r="R24" s="116">
        <v>79664928721</v>
      </c>
      <c r="S24" s="116">
        <v>4382873</v>
      </c>
      <c r="T24" s="130">
        <f t="shared" ref="T24" si="12">Q24/S24</f>
        <v>13.829003715143012</v>
      </c>
      <c r="U24" s="78"/>
    </row>
    <row r="25" spans="1:21" s="79" customFormat="1" ht="13.2" hidden="1">
      <c r="A25" s="129" t="s">
        <v>219</v>
      </c>
      <c r="B25" s="131">
        <f>SUM(F23:F25)</f>
        <v>8829180.8811802231</v>
      </c>
      <c r="C25" s="131">
        <f>AVERAGE(F23:F25)</f>
        <v>2943060.2937267409</v>
      </c>
      <c r="D25" s="90">
        <f>C25/C22-1</f>
        <v>-0.19358780754768123</v>
      </c>
      <c r="E25" s="286">
        <f>C25/C13-1</f>
        <v>-5.4690781923343312E-2</v>
      </c>
      <c r="F25" s="78">
        <f>Q25/19</f>
        <v>3119920.6842105263</v>
      </c>
      <c r="G25" s="90">
        <f t="shared" ref="G25" si="13">F25/F24-1</f>
        <v>0.13244326792022898</v>
      </c>
      <c r="H25" s="90">
        <f t="shared" ref="H25" si="14">F25/F13-1</f>
        <v>-4.9658310972795716E-2</v>
      </c>
      <c r="I25" s="130">
        <f t="shared" si="0"/>
        <v>13.829648599479182</v>
      </c>
      <c r="J25" s="130">
        <f t="shared" si="5"/>
        <v>-2.7138852561018556E-2</v>
      </c>
      <c r="K25" s="78">
        <f>R23+R24+R25</f>
        <v>238461627317</v>
      </c>
      <c r="L25" s="90">
        <f>U25/U22-1</f>
        <v>-0.19303858869252499</v>
      </c>
      <c r="M25" s="90">
        <f>U25/U13-1</f>
        <v>-7.0926350988370301E-2</v>
      </c>
      <c r="N25" s="88">
        <f>AVERAGE(T23:T25)</f>
        <v>13.952203592855254</v>
      </c>
      <c r="O25" s="91">
        <f>N25/N22-1</f>
        <v>-1.4728338902169402E-2</v>
      </c>
      <c r="P25" s="129" t="s">
        <v>219</v>
      </c>
      <c r="Q25" s="116">
        <v>59278493</v>
      </c>
      <c r="R25" s="116">
        <v>78700264294</v>
      </c>
      <c r="S25" s="116">
        <v>4286334</v>
      </c>
      <c r="T25" s="130">
        <f t="shared" ref="T25" si="15">Q25/S25</f>
        <v>13.829648599479182</v>
      </c>
      <c r="U25" s="85">
        <f>Q23+Q24+Q25</f>
        <v>181927992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3085670.2631578948</v>
      </c>
      <c r="G26" s="90">
        <f t="shared" ref="G26" si="16">F26/F25-1</f>
        <v>-1.0977978134498079E-2</v>
      </c>
      <c r="H26" s="90">
        <f t="shared" ref="H26" si="17">F26/F14-1</f>
        <v>0.17082400902469197</v>
      </c>
      <c r="I26" s="130">
        <f t="shared" si="0"/>
        <v>13.487693367403478</v>
      </c>
      <c r="J26" s="130">
        <f t="shared" si="5"/>
        <v>-1.8705375832470117E-2</v>
      </c>
      <c r="L26" s="90"/>
      <c r="M26" s="90"/>
      <c r="P26" s="129" t="s">
        <v>312</v>
      </c>
      <c r="Q26" s="116">
        <v>58627735</v>
      </c>
      <c r="R26" s="116">
        <v>79117831122</v>
      </c>
      <c r="S26" s="116">
        <v>4346757.7</v>
      </c>
      <c r="T26" s="130">
        <f t="shared" ref="T26" si="18">Q26/S26</f>
        <v>13.487693367403478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2669343.0454545454</v>
      </c>
      <c r="G27" s="90">
        <f t="shared" ref="G27" si="19">F27/F26-1</f>
        <v>-0.13492278247426137</v>
      </c>
      <c r="H27" s="90">
        <f t="shared" ref="H27" si="20">F27/F15-1</f>
        <v>2.7328610820443133E-2</v>
      </c>
      <c r="I27" s="130">
        <f t="shared" si="0"/>
        <v>13.690148150617501</v>
      </c>
      <c r="J27" s="130">
        <f t="shared" si="5"/>
        <v>-1.5423530913005856E-2</v>
      </c>
      <c r="L27" s="90"/>
      <c r="M27" s="90"/>
      <c r="P27" s="129" t="s">
        <v>378</v>
      </c>
      <c r="Q27" s="116">
        <v>58725547</v>
      </c>
      <c r="R27" s="116">
        <v>77548307945</v>
      </c>
      <c r="S27" s="116">
        <v>4289621</v>
      </c>
      <c r="T27" s="130">
        <f t="shared" ref="T27" si="21">Q27/S27</f>
        <v>13.690148150617501</v>
      </c>
      <c r="U27" s="78"/>
    </row>
    <row r="28" spans="1:21" s="79" customFormat="1" ht="13.2" hidden="1">
      <c r="A28" s="123" t="s">
        <v>413</v>
      </c>
      <c r="B28" s="131">
        <f>SUM(F26:F28)</f>
        <v>8967508.0980861243</v>
      </c>
      <c r="C28" s="131">
        <f>AVERAGE(F26:F28)</f>
        <v>2989169.3660287079</v>
      </c>
      <c r="D28" s="90">
        <f>C28/C25-1</f>
        <v>1.5667049839328984E-2</v>
      </c>
      <c r="E28" s="286">
        <f>C28/C16-1</f>
        <v>2.1845070310754E-2</v>
      </c>
      <c r="F28" s="78">
        <f>Q28/19</f>
        <v>3212494.789473684</v>
      </c>
      <c r="G28" s="90">
        <f t="shared" ref="G28" si="22">F28/F27-1</f>
        <v>0.20347768524695131</v>
      </c>
      <c r="H28" s="90">
        <f t="shared" ref="H28" si="23">F28/F16-1</f>
        <v>-9.3027253199918003E-2</v>
      </c>
      <c r="I28" s="130">
        <f t="shared" si="0"/>
        <v>14.572276171862391</v>
      </c>
      <c r="J28" s="130">
        <f t="shared" si="5"/>
        <v>3.7752299353539298E-2</v>
      </c>
      <c r="K28" s="78">
        <f>R26+R27+R28</f>
        <v>236350207309</v>
      </c>
      <c r="L28" s="90">
        <f>U28/U25-1</f>
        <v>-1.9443456507781343E-2</v>
      </c>
      <c r="M28" s="90">
        <f>U28/U16-1</f>
        <v>-5.0085990611175135E-2</v>
      </c>
      <c r="N28" s="88">
        <f>AVERAGE(T26:T28)</f>
        <v>13.916705896627789</v>
      </c>
      <c r="O28" s="91">
        <f>N28/N25-1</f>
        <v>-2.5442358256327902E-3</v>
      </c>
      <c r="P28" s="129" t="s">
        <v>413</v>
      </c>
      <c r="Q28" s="116">
        <v>61037401</v>
      </c>
      <c r="R28" s="116">
        <v>79684068242</v>
      </c>
      <c r="S28" s="116">
        <v>4188597.6</v>
      </c>
      <c r="T28" s="130">
        <f t="shared" ref="T28" si="24">Q28/S28</f>
        <v>14.572276171862391</v>
      </c>
      <c r="U28" s="85">
        <f>Q26+Q27+Q28</f>
        <v>178390683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2439562.4090909092</v>
      </c>
      <c r="G29" s="190">
        <f t="shared" ref="G29" si="25">F29/F28-1</f>
        <v>-0.24060190943046089</v>
      </c>
      <c r="H29" s="190">
        <f t="shared" ref="H29" si="26">F29/F17-1</f>
        <v>-0.29134080145521113</v>
      </c>
      <c r="I29" s="130">
        <f t="shared" si="0"/>
        <v>12.879577863790352</v>
      </c>
      <c r="J29" s="130">
        <f t="shared" si="5"/>
        <v>-0.10019773653686193</v>
      </c>
      <c r="K29" s="136"/>
      <c r="L29" s="190"/>
      <c r="M29" s="190"/>
      <c r="N29" s="191"/>
      <c r="O29" s="192"/>
      <c r="P29" s="129" t="s">
        <v>437</v>
      </c>
      <c r="Q29" s="116">
        <v>53670373</v>
      </c>
      <c r="R29" s="116">
        <v>70721713491</v>
      </c>
      <c r="S29" s="116">
        <v>4167091</v>
      </c>
      <c r="T29" s="130">
        <f t="shared" ref="T29" si="27">Q29/S29</f>
        <v>12.879577863790352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3315711.1578947366</v>
      </c>
      <c r="G30" s="190">
        <f t="shared" ref="G30" si="28">F30/F29-1</f>
        <v>0.35914176474391568</v>
      </c>
      <c r="H30" s="190">
        <f t="shared" ref="H30" si="29">F30/F18-1</f>
        <v>-3.2644665839041909E-2</v>
      </c>
      <c r="I30" s="130">
        <f t="shared" si="0"/>
        <v>13.361941005637069</v>
      </c>
      <c r="J30" s="130">
        <f t="shared" si="5"/>
        <v>-7.9046815282370786E-2</v>
      </c>
      <c r="K30" s="136"/>
      <c r="L30" s="190"/>
      <c r="M30" s="190"/>
      <c r="N30" s="191"/>
      <c r="O30" s="192"/>
      <c r="P30" s="129" t="s">
        <v>466</v>
      </c>
      <c r="Q30" s="116">
        <v>62998512</v>
      </c>
      <c r="R30" s="116">
        <v>83930330463</v>
      </c>
      <c r="S30" s="116">
        <v>4714772.5</v>
      </c>
      <c r="T30" s="130">
        <f t="shared" ref="T30" si="30">Q30/S30</f>
        <v>13.361941005637069</v>
      </c>
      <c r="U30" s="85"/>
    </row>
    <row r="31" spans="1:21" s="79" customFormat="1" ht="13.2" hidden="1">
      <c r="A31" s="129" t="s">
        <v>505</v>
      </c>
      <c r="B31" s="188">
        <f>SUM(F29:F31)</f>
        <v>9018329.5669856463</v>
      </c>
      <c r="C31" s="188">
        <f>AVERAGE(F29:F31)</f>
        <v>3006109.8556618821</v>
      </c>
      <c r="D31" s="190">
        <f>C31/C28-1</f>
        <v>5.6672899922296516E-3</v>
      </c>
      <c r="E31" s="287">
        <f>C31/C19-1</f>
        <v>-0.19164560188483981</v>
      </c>
      <c r="F31" s="136">
        <f>Q31/20</f>
        <v>3263056</v>
      </c>
      <c r="G31" s="190">
        <f t="shared" ref="G31" si="31">F31/F30-1</f>
        <v>-1.588050206646141E-2</v>
      </c>
      <c r="H31" s="190">
        <f t="shared" ref="H31" si="32">F31/F19-1</f>
        <v>-0.23872379100349972</v>
      </c>
      <c r="I31" s="130">
        <f t="shared" si="0"/>
        <v>14.029893780951067</v>
      </c>
      <c r="J31" s="130">
        <f t="shared" si="5"/>
        <v>-1.7423034943856774E-2</v>
      </c>
      <c r="K31" s="136">
        <f>R29+R30+R31</f>
        <v>241172670720</v>
      </c>
      <c r="L31" s="190">
        <f>U31/U28-1</f>
        <v>1.9840285044482986E-2</v>
      </c>
      <c r="M31" s="190">
        <f>U31/U19-1</f>
        <v>-0.21480599970719982</v>
      </c>
      <c r="N31" s="191">
        <f>AVERAGE(T29:T31)</f>
        <v>13.423804216792831</v>
      </c>
      <c r="O31" s="192">
        <f>N31/N28-1</f>
        <v>-3.541798493811632E-2</v>
      </c>
      <c r="P31" s="129" t="s">
        <v>506</v>
      </c>
      <c r="Q31" s="116">
        <v>65261120</v>
      </c>
      <c r="R31" s="116">
        <v>86520626766</v>
      </c>
      <c r="S31" s="116">
        <v>4651576.2</v>
      </c>
      <c r="T31" s="130">
        <f t="shared" ref="T31" si="33">Q31/S31</f>
        <v>14.029893780951067</v>
      </c>
      <c r="U31" s="85">
        <f>Q29+Q30+Q31</f>
        <v>181930005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2972276.4761904762</v>
      </c>
      <c r="G32" s="190">
        <f t="shared" ref="G32" si="34">F32/F31-1</f>
        <v>-8.9112636684606006E-2</v>
      </c>
      <c r="H32" s="190">
        <f t="shared" ref="H32" si="35">F32/F20-1</f>
        <v>-0.33579168642056179</v>
      </c>
      <c r="I32" s="130">
        <f t="shared" si="0"/>
        <v>14.208246216938546</v>
      </c>
      <c r="J32" s="130">
        <f t="shared" si="5"/>
        <v>-1.7404786032560238E-2</v>
      </c>
      <c r="K32" s="136"/>
      <c r="L32" s="190"/>
      <c r="M32" s="190"/>
      <c r="N32" s="191"/>
      <c r="O32" s="192"/>
      <c r="P32" s="129" t="s">
        <v>562</v>
      </c>
      <c r="Q32" s="116">
        <v>62417806</v>
      </c>
      <c r="R32" s="116">
        <v>84997727654</v>
      </c>
      <c r="S32" s="116">
        <v>4393069</v>
      </c>
      <c r="T32" s="130">
        <f t="shared" ref="T32" si="36">Q32/S32</f>
        <v>14.208246216938546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3248899.1904761903</v>
      </c>
      <c r="G33" s="190">
        <f t="shared" ref="G33" si="37">F33/F32-1</f>
        <v>9.3067625606705784E-2</v>
      </c>
      <c r="H33" s="190">
        <f t="shared" ref="H33" si="38">F33/F21-1</f>
        <v>3.8159482976305226E-2</v>
      </c>
      <c r="I33" s="130">
        <f t="shared" si="0"/>
        <v>13.660433129395219</v>
      </c>
      <c r="J33" s="130">
        <f t="shared" si="5"/>
        <v>-5.2403684406269635E-2</v>
      </c>
      <c r="K33" s="136"/>
      <c r="L33" s="190"/>
      <c r="M33" s="190"/>
      <c r="N33" s="191"/>
      <c r="O33" s="192"/>
      <c r="P33" s="129" t="s">
        <v>607</v>
      </c>
      <c r="Q33" s="116">
        <v>68226883</v>
      </c>
      <c r="R33" s="116">
        <v>93292311766</v>
      </c>
      <c r="S33" s="116">
        <v>4994489</v>
      </c>
      <c r="T33" s="130">
        <f t="shared" ref="T33" si="39">Q33/S33</f>
        <v>13.660433129395219</v>
      </c>
      <c r="U33" s="85"/>
    </row>
    <row r="34" spans="1:21" s="79" customFormat="1" ht="13.2" hidden="1">
      <c r="A34" s="129" t="s">
        <v>652</v>
      </c>
      <c r="B34" s="188">
        <f>SUM(F32:F34)</f>
        <v>9827230.1403508764</v>
      </c>
      <c r="C34" s="188">
        <f>AVERAGE(F32:F34)</f>
        <v>3275743.3801169586</v>
      </c>
      <c r="D34" s="190">
        <f>C34/C31-1</f>
        <v>8.9695166644436775E-2</v>
      </c>
      <c r="E34" s="287">
        <f>C34/C22-1</f>
        <v>-0.10243109639922487</v>
      </c>
      <c r="F34" s="136">
        <f>Q34/19</f>
        <v>3606054.4736842103</v>
      </c>
      <c r="G34" s="190">
        <f t="shared" ref="G34" si="40">F34/F33-1</f>
        <v>0.10993116814919457</v>
      </c>
      <c r="H34" s="190">
        <f t="shared" ref="H34" si="41">F34/F22-1</f>
        <v>7.8261253138735887E-2</v>
      </c>
      <c r="I34" s="130">
        <f t="shared" si="0"/>
        <v>13.270191734465371</v>
      </c>
      <c r="J34" s="130">
        <f t="shared" si="5"/>
        <v>-2.4717330524040793E-2</v>
      </c>
      <c r="K34" s="136">
        <f>R32+R33+R34</f>
        <v>272471887828</v>
      </c>
      <c r="L34" s="190">
        <f>U34/U31-1</f>
        <v>9.4705208192568335E-2</v>
      </c>
      <c r="M34" s="190">
        <f>U34/U22-1</f>
        <v>-0.11660536573917002</v>
      </c>
      <c r="N34" s="191">
        <f>AVERAGE(T32:T34)</f>
        <v>13.712957026933045</v>
      </c>
      <c r="O34" s="192">
        <f>N34/N31-1</f>
        <v>2.1540302992387961E-2</v>
      </c>
      <c r="P34" s="129" t="s">
        <v>652</v>
      </c>
      <c r="Q34" s="116">
        <v>68515035</v>
      </c>
      <c r="R34" s="116">
        <v>94181848408</v>
      </c>
      <c r="S34" s="116">
        <v>5163078</v>
      </c>
      <c r="T34" s="130">
        <f t="shared" ref="T34" si="42">Q34/S34</f>
        <v>13.270191734465371</v>
      </c>
      <c r="U34" s="85">
        <f>Q32+Q33+Q34</f>
        <v>199159724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2329282.1739130435</v>
      </c>
      <c r="G35" s="190">
        <f t="shared" ref="G35" si="43">F35/F34-1</f>
        <v>-0.35406350877077086</v>
      </c>
      <c r="H35" s="190">
        <f t="shared" ref="H35" si="44">F35/F23-1</f>
        <v>-0.21154214350844713</v>
      </c>
      <c r="I35" s="130">
        <f t="shared" si="0"/>
        <v>13.573035376013445</v>
      </c>
      <c r="J35" s="130">
        <f t="shared" si="5"/>
        <v>-4.4014996206471868E-2</v>
      </c>
      <c r="K35" s="136"/>
      <c r="L35" s="190"/>
      <c r="M35" s="190"/>
      <c r="N35" s="191"/>
      <c r="O35" s="192"/>
      <c r="P35" s="129" t="s">
        <v>660</v>
      </c>
      <c r="Q35" s="116">
        <v>53573490</v>
      </c>
      <c r="R35" s="116">
        <v>74095232968</v>
      </c>
      <c r="S35" s="116">
        <v>3947053</v>
      </c>
      <c r="T35" s="130">
        <f t="shared" ref="T35" si="45">Q35/S35</f>
        <v>13.573035376013445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2638936.6190476189</v>
      </c>
      <c r="G36" s="190">
        <f t="shared" ref="G36" si="46">F36/F35-1</f>
        <v>0.13293985958531418</v>
      </c>
      <c r="H36" s="190">
        <f t="shared" ref="H36" si="47">F36/F24-1</f>
        <v>-4.2140390352631396E-2</v>
      </c>
      <c r="I36" s="130">
        <f t="shared" si="0"/>
        <v>13.867560993647585</v>
      </c>
      <c r="J36" s="130">
        <f t="shared" si="5"/>
        <v>2.7881457911789198E-3</v>
      </c>
      <c r="K36" s="136"/>
      <c r="L36" s="190"/>
      <c r="M36" s="190"/>
      <c r="N36" s="191"/>
      <c r="O36" s="192"/>
      <c r="P36" s="129" t="s">
        <v>664</v>
      </c>
      <c r="Q36" s="116">
        <v>55417669</v>
      </c>
      <c r="R36" s="116">
        <v>75771118835</v>
      </c>
      <c r="S36" s="116">
        <v>3996208.78</v>
      </c>
      <c r="T36" s="130">
        <f t="shared" ref="T36" si="48">Q36/S36</f>
        <v>13.867560993647585</v>
      </c>
      <c r="U36" s="85"/>
    </row>
    <row r="37" spans="1:21" s="79" customFormat="1" ht="13.2" hidden="1">
      <c r="A37" s="129" t="s">
        <v>702</v>
      </c>
      <c r="B37" s="188">
        <f>SUM(F35:F37)</f>
        <v>8132532.4596273284</v>
      </c>
      <c r="C37" s="188">
        <f>AVERAGE(F35:F37)</f>
        <v>2710844.1532091093</v>
      </c>
      <c r="D37" s="190">
        <f>C37/C34-1</f>
        <v>-0.17244916996143933</v>
      </c>
      <c r="E37" s="287">
        <f>C37/C25-1</f>
        <v>-7.8902950446720466E-2</v>
      </c>
      <c r="F37" s="136">
        <f>Q37/18</f>
        <v>3164313.6666666665</v>
      </c>
      <c r="G37" s="190">
        <f t="shared" ref="G37" si="49">F37/F36-1</f>
        <v>0.19908664870043524</v>
      </c>
      <c r="H37" s="190">
        <f t="shared" ref="H37" si="50">F37/F25-1</f>
        <v>1.4228881740746324E-2</v>
      </c>
      <c r="I37" s="130">
        <f t="shared" si="0"/>
        <v>13.345745514583342</v>
      </c>
      <c r="J37" s="130">
        <f t="shared" si="5"/>
        <v>-3.4990266123902991E-2</v>
      </c>
      <c r="K37" s="136">
        <f>R35+R36+R37</f>
        <v>225931835796</v>
      </c>
      <c r="L37" s="190">
        <f>U37/U34-1</f>
        <v>-0.16675519694935914</v>
      </c>
      <c r="M37" s="190">
        <f>U37/U25-1</f>
        <v>-8.7832481545775498E-2</v>
      </c>
      <c r="N37" s="191">
        <f>AVERAGE(T35:T37)</f>
        <v>13.595447294748125</v>
      </c>
      <c r="O37" s="192">
        <f>N37/N34-1</f>
        <v>-8.5692481901696871E-3</v>
      </c>
      <c r="P37" s="129" t="s">
        <v>702</v>
      </c>
      <c r="Q37" s="116">
        <v>56957646</v>
      </c>
      <c r="R37" s="116">
        <v>76065483993</v>
      </c>
      <c r="S37" s="116">
        <v>4267850.45</v>
      </c>
      <c r="T37" s="130">
        <f t="shared" ref="T37" si="51">Q37/S37</f>
        <v>13.345745514583342</v>
      </c>
      <c r="U37" s="85">
        <f>Q35+Q36+Q37</f>
        <v>165948805</v>
      </c>
    </row>
    <row r="38" spans="1:21" s="79" customFormat="1" ht="13.2" hidden="1">
      <c r="A38" s="129" t="s">
        <v>733</v>
      </c>
      <c r="B38" s="188"/>
      <c r="C38" s="188"/>
      <c r="D38" s="190"/>
      <c r="E38" s="287"/>
      <c r="F38" s="136">
        <f>Q38/20</f>
        <v>2714159.1</v>
      </c>
      <c r="G38" s="190">
        <f t="shared" ref="G38" si="52">F38/F37-1</f>
        <v>-0.14225978018824714</v>
      </c>
      <c r="H38" s="190">
        <f t="shared" ref="H38" si="53">F38/F26-1</f>
        <v>-0.12039885388715765</v>
      </c>
      <c r="I38" s="130">
        <f t="shared" si="0"/>
        <v>13.675787942985284</v>
      </c>
      <c r="J38" s="130">
        <f t="shared" si="5"/>
        <v>1.3945644407692859E-2</v>
      </c>
      <c r="K38" s="136"/>
      <c r="L38" s="190"/>
      <c r="M38" s="190"/>
      <c r="N38" s="191"/>
      <c r="O38" s="192"/>
      <c r="P38" s="129" t="s">
        <v>733</v>
      </c>
      <c r="Q38" s="116">
        <v>54283182</v>
      </c>
      <c r="R38" s="116">
        <v>73126747928</v>
      </c>
      <c r="S38" s="116">
        <v>3969291</v>
      </c>
      <c r="T38" s="130">
        <f t="shared" ref="T38" si="54">Q38/S38</f>
        <v>13.675787942985284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2434936.4285714286</v>
      </c>
      <c r="G39" s="190">
        <f t="shared" ref="G39" si="55">F39/F38-1</f>
        <v>-0.10287630943542381</v>
      </c>
      <c r="H39" s="190">
        <f t="shared" ref="H39" si="56">F39/F27-1</f>
        <v>-8.7814347160164674E-2</v>
      </c>
      <c r="I39" s="130">
        <f t="shared" si="0"/>
        <v>12.882826581314715</v>
      </c>
      <c r="J39" s="130">
        <f t="shared" si="5"/>
        <v>-5.8970988510914757E-2</v>
      </c>
      <c r="K39" s="136"/>
      <c r="L39" s="190"/>
      <c r="M39" s="190"/>
      <c r="N39" s="191"/>
      <c r="O39" s="192"/>
      <c r="P39" s="129" t="s">
        <v>762</v>
      </c>
      <c r="Q39" s="116">
        <v>51133665</v>
      </c>
      <c r="R39" s="116">
        <v>71108548876</v>
      </c>
      <c r="S39" s="116">
        <v>3969134</v>
      </c>
      <c r="T39" s="130">
        <f t="shared" ref="T39" si="57">Q39/S39</f>
        <v>12.882826581314715</v>
      </c>
      <c r="U39" s="85"/>
    </row>
    <row r="40" spans="1:21" s="79" customFormat="1" ht="13.2" hidden="1">
      <c r="A40" s="129" t="s">
        <v>778</v>
      </c>
      <c r="B40" s="188">
        <f>SUM(F38:F40)</f>
        <v>8431762.0999999996</v>
      </c>
      <c r="C40" s="188">
        <f>AVERAGE(F38:F40)</f>
        <v>2810587.3666666667</v>
      </c>
      <c r="D40" s="190">
        <f>C40/C37-1</f>
        <v>3.6794152603527808E-2</v>
      </c>
      <c r="E40" s="287">
        <f>C40/C28-1</f>
        <v>-5.9743018040927631E-2</v>
      </c>
      <c r="F40" s="136">
        <f>Q40/21</f>
        <v>3282666.5714285714</v>
      </c>
      <c r="G40" s="190">
        <f t="shared" ref="G40" si="58">F40/F39-1</f>
        <v>0.34815288518826093</v>
      </c>
      <c r="H40" s="190">
        <f t="shared" ref="H40" si="59">F40/F28-1</f>
        <v>2.1843391679518875E-2</v>
      </c>
      <c r="I40" s="130">
        <f t="shared" si="0"/>
        <v>13.112676941776543</v>
      </c>
      <c r="J40" s="130">
        <f t="shared" si="5"/>
        <v>-0.10016274828116334</v>
      </c>
      <c r="K40" s="136">
        <f>R38+R39+R40</f>
        <v>242253978478</v>
      </c>
      <c r="L40" s="190">
        <f>U40/U37-1</f>
        <v>5.0642365276447832E-2</v>
      </c>
      <c r="M40" s="190">
        <f>U40/U28-1</f>
        <v>-2.2634803186442176E-2</v>
      </c>
      <c r="N40" s="191">
        <f>AVERAGE(T38:T40)</f>
        <v>13.223763822025512</v>
      </c>
      <c r="O40" s="192">
        <f>N40/N37-1</f>
        <v>-2.7338818993192793E-2</v>
      </c>
      <c r="P40" s="129" t="s">
        <v>778</v>
      </c>
      <c r="Q40" s="116">
        <v>68935998</v>
      </c>
      <c r="R40" s="116">
        <v>98018681674</v>
      </c>
      <c r="S40" s="116">
        <v>5257202.5</v>
      </c>
      <c r="T40" s="130">
        <f t="shared" ref="T40" si="60">Q40/S40</f>
        <v>13.112676941776543</v>
      </c>
      <c r="U40" s="85">
        <f>Q38+Q39+Q40</f>
        <v>174352845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2664448.0555555555</v>
      </c>
      <c r="G41" s="190">
        <f t="shared" ref="G41" si="61">F41/F40-1</f>
        <v>-0.18832814799219033</v>
      </c>
      <c r="H41" s="190">
        <f t="shared" ref="H41" si="62">F41/F29-1</f>
        <v>9.2182780660425401E-2</v>
      </c>
      <c r="I41" s="130">
        <f t="shared" si="0"/>
        <v>13.713840635156755</v>
      </c>
      <c r="J41" s="130">
        <f t="shared" si="5"/>
        <v>6.4774077239895256E-2</v>
      </c>
      <c r="K41" s="193"/>
      <c r="L41" s="190"/>
      <c r="M41" s="190"/>
      <c r="N41" s="193"/>
      <c r="O41" s="193"/>
      <c r="P41" s="129" t="s">
        <v>792</v>
      </c>
      <c r="Q41" s="116">
        <v>47960065</v>
      </c>
      <c r="R41" s="116">
        <v>70194226776</v>
      </c>
      <c r="S41" s="116">
        <v>3497201.57</v>
      </c>
      <c r="T41" s="130">
        <f t="shared" ref="T41" si="63">Q41/S41</f>
        <v>13.713840635156755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2731341.4</v>
      </c>
      <c r="G42" s="190">
        <f t="shared" ref="G42" si="64">F42/F41-1</f>
        <v>2.510589174555955E-2</v>
      </c>
      <c r="H42" s="190">
        <f t="shared" ref="H42" si="65">F42/F30-1</f>
        <v>-0.17624266109650333</v>
      </c>
      <c r="I42" s="130">
        <f t="shared" si="0"/>
        <v>13.446311653924999</v>
      </c>
      <c r="J42" s="130">
        <f t="shared" si="5"/>
        <v>6.3142509200075914E-3</v>
      </c>
      <c r="K42" s="193"/>
      <c r="L42" s="190"/>
      <c r="M42" s="190"/>
      <c r="N42" s="193"/>
      <c r="O42" s="193"/>
      <c r="P42" s="129" t="s">
        <v>826</v>
      </c>
      <c r="Q42" s="116">
        <v>54626828</v>
      </c>
      <c r="R42" s="116">
        <v>79142645455</v>
      </c>
      <c r="S42" s="116">
        <v>4062588.27</v>
      </c>
      <c r="T42" s="130">
        <f t="shared" ref="T42" si="66">Q42/S42</f>
        <v>13.446311653924999</v>
      </c>
      <c r="U42" s="78"/>
    </row>
    <row r="43" spans="1:21" s="79" customFormat="1" ht="13.2">
      <c r="A43" s="129" t="s">
        <v>835</v>
      </c>
      <c r="B43" s="188">
        <f>SUM(F41:F43)</f>
        <v>8631111.6555555556</v>
      </c>
      <c r="C43" s="188">
        <f>AVERAGE(F41:F43)</f>
        <v>2877037.2185185184</v>
      </c>
      <c r="D43" s="190">
        <f>C43/C40-1</f>
        <v>2.3642692143265753E-2</v>
      </c>
      <c r="E43" s="287">
        <f>C43/C31-1</f>
        <v>-4.2936766565686457E-2</v>
      </c>
      <c r="F43" s="136">
        <f>Q43/20</f>
        <v>3235322.2</v>
      </c>
      <c r="G43" s="190">
        <f t="shared" ref="G43" si="67">F43/F42-1</f>
        <v>0.184517687902362</v>
      </c>
      <c r="H43" s="190">
        <f t="shared" ref="H43" si="68">F43/F31-1</f>
        <v>-8.4993331404670247E-3</v>
      </c>
      <c r="I43" s="130">
        <f t="shared" si="0"/>
        <v>13.552840251563001</v>
      </c>
      <c r="J43" s="130">
        <f t="shared" si="5"/>
        <v>-3.4002647264213759E-2</v>
      </c>
      <c r="K43" s="136">
        <f>R41+R42+R43</f>
        <v>243218460963</v>
      </c>
      <c r="L43" s="190">
        <f>U43/U40-1</f>
        <v>-4.0489778070440963E-2</v>
      </c>
      <c r="M43" s="190">
        <f>K43/K31-1</f>
        <v>8.4826785592764242E-3</v>
      </c>
      <c r="N43" s="191">
        <f>AVERAGE(T41:T43)</f>
        <v>13.570997513548251</v>
      </c>
      <c r="O43" s="192">
        <f>N43/N40-1</f>
        <v>2.6258310129857687E-2</v>
      </c>
      <c r="P43" s="129" t="s">
        <v>835</v>
      </c>
      <c r="Q43" s="116">
        <v>64706444</v>
      </c>
      <c r="R43" s="116">
        <v>93881588732</v>
      </c>
      <c r="S43" s="116">
        <v>4774382.55</v>
      </c>
      <c r="T43" s="130">
        <f t="shared" ref="T43" si="69">Q43/S43</f>
        <v>13.552840251563001</v>
      </c>
      <c r="U43" s="85">
        <f>Q41+Q42+Q43</f>
        <v>167293337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2696296.5909090908</v>
      </c>
      <c r="G44" s="190">
        <f t="shared" ref="G44" si="70">F44/F43-1</f>
        <v>-0.16660646939303581</v>
      </c>
      <c r="H44" s="190">
        <f t="shared" ref="H44" si="71">F44/F32-1</f>
        <v>-9.2851350637173868E-2</v>
      </c>
      <c r="I44" s="130">
        <f t="shared" si="0"/>
        <v>13.18820133539417</v>
      </c>
      <c r="J44" s="130">
        <f t="shared" si="5"/>
        <v>-7.1792455308686609E-2</v>
      </c>
      <c r="K44" s="136"/>
      <c r="L44" s="190"/>
      <c r="M44" s="190"/>
      <c r="N44" s="191"/>
      <c r="O44" s="192"/>
      <c r="P44" s="129" t="s">
        <v>843</v>
      </c>
      <c r="Q44" s="116">
        <v>59318525</v>
      </c>
      <c r="R44" s="116">
        <v>85686734994</v>
      </c>
      <c r="S44" s="116">
        <v>4497848</v>
      </c>
      <c r="T44" s="130">
        <f t="shared" ref="T44" si="72">Q44/S44</f>
        <v>13.18820133539417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3367460.5</v>
      </c>
      <c r="G45" s="190">
        <f t="shared" ref="G45" si="73">F45/F44-1</f>
        <v>0.24892065337093272</v>
      </c>
      <c r="H45" s="190">
        <f t="shared" ref="H45" si="74">F45/F33-1</f>
        <v>3.6492763417024454E-2</v>
      </c>
      <c r="I45" s="130">
        <f t="shared" si="0"/>
        <v>13.97286224629414</v>
      </c>
      <c r="J45" s="130">
        <f t="shared" si="5"/>
        <v>2.2871098883872065E-2</v>
      </c>
      <c r="K45" s="136"/>
      <c r="L45" s="190"/>
      <c r="M45" s="190"/>
      <c r="N45" s="191"/>
      <c r="O45" s="192"/>
      <c r="P45" s="129" t="s">
        <v>849</v>
      </c>
      <c r="Q45" s="116">
        <v>67349210</v>
      </c>
      <c r="R45" s="116">
        <v>94715375317</v>
      </c>
      <c r="S45" s="116">
        <v>4820001</v>
      </c>
      <c r="T45" s="130">
        <f t="shared" ref="T45" si="75">Q45/S45</f>
        <v>13.97286224629414</v>
      </c>
      <c r="U45" s="85"/>
    </row>
    <row r="46" spans="1:21" s="79" customFormat="1" ht="13.2">
      <c r="A46" s="129" t="s">
        <v>888</v>
      </c>
      <c r="B46" s="188">
        <f>SUM(F44:F46)</f>
        <v>9989851.1435406692</v>
      </c>
      <c r="C46" s="188">
        <f>AVERAGE(F44:F46)</f>
        <v>3329950.3811802231</v>
      </c>
      <c r="D46" s="190">
        <f>C46/C43-1</f>
        <v>0.15742346318860778</v>
      </c>
      <c r="E46" s="287">
        <f>C46/C34-1</f>
        <v>1.6547999880665021E-2</v>
      </c>
      <c r="F46" s="136">
        <f>Q46/19</f>
        <v>3926094.0526315789</v>
      </c>
      <c r="G46" s="190">
        <f t="shared" ref="G46" si="76">F46/F45-1</f>
        <v>0.16589164227214503</v>
      </c>
      <c r="H46" s="190">
        <f t="shared" ref="H46" si="77">F46/F34-1</f>
        <v>8.8750622399886403E-2</v>
      </c>
      <c r="I46" s="130">
        <f t="shared" si="0"/>
        <v>14.218189293289399</v>
      </c>
      <c r="J46" s="130">
        <f t="shared" si="5"/>
        <v>7.143812069888078E-2</v>
      </c>
      <c r="K46" s="136">
        <f>R44+R45+R46</f>
        <v>282421186244</v>
      </c>
      <c r="L46" s="190">
        <f>U46/U43-1</f>
        <v>0.20305760892318148</v>
      </c>
      <c r="M46" s="190">
        <f>K46/K34-1</f>
        <v>3.6514953873995948E-2</v>
      </c>
      <c r="N46" s="191">
        <f>AVERAGE(T44:T46)</f>
        <v>13.793084291659236</v>
      </c>
      <c r="O46" s="192">
        <f>N46/N43-1</f>
        <v>1.6364808695106703E-2</v>
      </c>
      <c r="P46" s="129" t="s">
        <v>934</v>
      </c>
      <c r="Q46" s="116">
        <v>74595787</v>
      </c>
      <c r="R46" s="116">
        <v>102019075933</v>
      </c>
      <c r="S46" s="116">
        <v>5246504</v>
      </c>
      <c r="T46" s="130">
        <f t="shared" ref="T46" si="78">Q46/S46</f>
        <v>14.218189293289399</v>
      </c>
      <c r="U46" s="85">
        <f t="shared" ref="U46:U51" si="79">Q44+Q45+Q46</f>
        <v>201263522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2269371.0434782607</v>
      </c>
      <c r="G47" s="190">
        <f t="shared" ref="G47" si="80">F47/F46-1</f>
        <v>-0.42197741239613229</v>
      </c>
      <c r="H47" s="190">
        <f t="shared" ref="H47" si="81">F47/F35-1</f>
        <v>-2.5720855594810077E-2</v>
      </c>
      <c r="I47" s="130">
        <f t="shared" si="0"/>
        <v>14.328343696650148</v>
      </c>
      <c r="J47" s="130">
        <f t="shared" si="5"/>
        <v>5.5647708836852994E-2</v>
      </c>
      <c r="K47" s="136"/>
      <c r="L47" s="190"/>
      <c r="M47" s="190"/>
      <c r="N47" s="191"/>
      <c r="O47" s="192"/>
      <c r="P47" s="129" t="s">
        <v>1032</v>
      </c>
      <c r="Q47" s="116">
        <v>52195534</v>
      </c>
      <c r="R47" s="116">
        <v>71687346788</v>
      </c>
      <c r="S47" s="116">
        <v>3642817</v>
      </c>
      <c r="T47" s="130">
        <f t="shared" ref="T47" si="82">Q47/S47</f>
        <v>14.328343696650148</v>
      </c>
      <c r="U47" s="85">
        <f t="shared" si="79"/>
        <v>194140531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2912374</v>
      </c>
      <c r="G48" s="190">
        <f t="shared" ref="G48" si="83">F48/F47-1</f>
        <v>0.28333972021437703</v>
      </c>
      <c r="H48" s="190">
        <f t="shared" ref="H48" si="84">F48/F36-1</f>
        <v>0.10361650180558835</v>
      </c>
      <c r="I48" s="130">
        <f t="shared" si="0"/>
        <v>14.274772212567784</v>
      </c>
      <c r="J48" s="130">
        <f t="shared" si="5"/>
        <v>2.936429982941724E-2</v>
      </c>
      <c r="K48" s="136"/>
      <c r="L48" s="190"/>
      <c r="M48" s="190"/>
      <c r="N48" s="191"/>
      <c r="O48" s="192"/>
      <c r="P48" s="129" t="s">
        <v>1070</v>
      </c>
      <c r="Q48" s="116">
        <v>58247480</v>
      </c>
      <c r="R48" s="116">
        <v>80833360179</v>
      </c>
      <c r="S48" s="116">
        <v>4080449</v>
      </c>
      <c r="T48" s="130">
        <f t="shared" ref="T48" si="85">Q48/S48</f>
        <v>14.274772212567784</v>
      </c>
      <c r="U48" s="85">
        <f t="shared" si="79"/>
        <v>185038801</v>
      </c>
    </row>
    <row r="49" spans="1:26" ht="13.2">
      <c r="A49" s="129" t="s">
        <v>1158</v>
      </c>
      <c r="B49" s="188">
        <f>SUM(F47:F49)</f>
        <v>8062448.7707509883</v>
      </c>
      <c r="C49" s="188">
        <f>AVERAGE(F47:F49)</f>
        <v>2687482.9235836626</v>
      </c>
      <c r="D49" s="190">
        <f>C49/C46-1</f>
        <v>-0.19293604530192821</v>
      </c>
      <c r="E49" s="287">
        <f>C49/C37-1</f>
        <v>-8.6176955609165162E-3</v>
      </c>
      <c r="F49" s="136">
        <f>Q49/22</f>
        <v>2880703.7272727271</v>
      </c>
      <c r="G49" s="190">
        <f t="shared" ref="G49" si="86">F49/F48-1</f>
        <v>-1.087438382820094E-2</v>
      </c>
      <c r="H49" s="190">
        <f t="shared" ref="H49" si="87">F49/F37-1</f>
        <v>-8.9627631540301178E-2</v>
      </c>
      <c r="I49" s="130">
        <f t="shared" si="0"/>
        <v>13.853142721368258</v>
      </c>
      <c r="J49" s="130">
        <f t="shared" si="5"/>
        <v>3.8019397734691207E-2</v>
      </c>
      <c r="K49" s="136">
        <f>R47+R48+R49</f>
        <v>240605246737</v>
      </c>
      <c r="L49" s="190">
        <f>U49/U46-1</f>
        <v>-0.13636363771871185</v>
      </c>
      <c r="M49" s="190">
        <f>K49/K37-1</f>
        <v>6.4946185601966411E-2</v>
      </c>
      <c r="N49" s="191">
        <f>AVERAGE(T47:T49)</f>
        <v>14.152086210195398</v>
      </c>
      <c r="O49" s="192">
        <f>N49/N46-1</f>
        <v>2.6027675242531023E-2</v>
      </c>
      <c r="P49" s="129" t="s">
        <v>1168</v>
      </c>
      <c r="Q49" s="116">
        <v>63375482</v>
      </c>
      <c r="R49" s="116">
        <v>88084539770</v>
      </c>
      <c r="S49" s="116">
        <v>4574809</v>
      </c>
      <c r="T49" s="130">
        <f t="shared" ref="T49" si="88">Q49/S49</f>
        <v>13.853142721368258</v>
      </c>
      <c r="U49" s="85">
        <f t="shared" si="79"/>
        <v>173818496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2806167.611111111</v>
      </c>
      <c r="G50" s="190">
        <f t="shared" ref="G50" si="89">F50/F49-1</f>
        <v>-2.5874273517250024E-2</v>
      </c>
      <c r="H50" s="190">
        <f t="shared" ref="H50" si="90">F50/F38-1</f>
        <v>3.3899453834932203E-2</v>
      </c>
      <c r="I50" s="130">
        <f t="shared" ref="I50" si="91">T50</f>
        <v>12.879341890354564</v>
      </c>
      <c r="J50" s="130">
        <f t="shared" ref="J50" si="92">I50/I38-1</f>
        <v>-5.8237672004796015E-2</v>
      </c>
      <c r="K50" s="136"/>
      <c r="L50" s="190"/>
      <c r="M50" s="190"/>
      <c r="N50" s="191"/>
      <c r="O50" s="192"/>
      <c r="P50" s="129" t="s">
        <v>1291</v>
      </c>
      <c r="Q50" s="116">
        <v>50511017</v>
      </c>
      <c r="R50" s="116">
        <v>71476537020</v>
      </c>
      <c r="S50" s="116">
        <v>3921863.2</v>
      </c>
      <c r="T50" s="130">
        <f t="shared" ref="T50" si="93">Q50/S50</f>
        <v>12.879341890354564</v>
      </c>
      <c r="U50" s="85">
        <f t="shared" si="79"/>
        <v>172133979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2668290.9500000002</v>
      </c>
      <c r="G51" s="190">
        <f t="shared" ref="G51:G52" si="94">F51/F50-1</f>
        <v>-4.9133437562739912E-2</v>
      </c>
      <c r="H51" s="190">
        <f t="shared" ref="H51:H52" si="95">F51/F39-1</f>
        <v>9.5835981050840013E-2</v>
      </c>
      <c r="I51" s="130">
        <f t="shared" ref="I51:I52" si="96">T51</f>
        <v>12.081901424155054</v>
      </c>
      <c r="J51" s="130">
        <f t="shared" ref="J51:J52" si="97">I51/I39-1</f>
        <v>-6.2169986695413959E-2</v>
      </c>
      <c r="K51" s="136"/>
      <c r="L51" s="190"/>
      <c r="M51" s="190"/>
      <c r="N51" s="191"/>
      <c r="O51" s="192"/>
      <c r="P51" s="129" t="s">
        <v>1402</v>
      </c>
      <c r="Q51" s="116">
        <v>53365819</v>
      </c>
      <c r="R51" s="116">
        <v>77547948262</v>
      </c>
      <c r="S51" s="116">
        <v>4417005</v>
      </c>
      <c r="T51" s="130">
        <f t="shared" ref="T51:T52" si="98">Q51/S51</f>
        <v>12.081901424155054</v>
      </c>
      <c r="U51" s="85">
        <f t="shared" si="79"/>
        <v>167252318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8858615.1065656561</v>
      </c>
      <c r="C52" s="188">
        <f>AVERAGE(F50:F52)</f>
        <v>2952871.7021885519</v>
      </c>
      <c r="D52" s="190">
        <f>C52/C49-1</f>
        <v>9.8749940427901528E-2</v>
      </c>
      <c r="E52" s="287">
        <f>C52/C40-1</f>
        <v>5.0624412964124677E-2</v>
      </c>
      <c r="F52" s="136">
        <f>Q52/22</f>
        <v>3384156.5454545454</v>
      </c>
      <c r="G52" s="190">
        <f t="shared" si="94"/>
        <v>0.26828618350429334</v>
      </c>
      <c r="H52" s="190">
        <f t="shared" si="95"/>
        <v>3.0916930433725787E-2</v>
      </c>
      <c r="I52" s="130">
        <f t="shared" si="96"/>
        <v>13.409404336274106</v>
      </c>
      <c r="J52" s="130">
        <f t="shared" si="97"/>
        <v>2.2629047891220333E-2</v>
      </c>
      <c r="K52" s="136">
        <f>R50+R51+R52</f>
        <v>258541058585</v>
      </c>
      <c r="L52" s="190">
        <f>U52/U49-1</f>
        <v>2.5945363144783018E-2</v>
      </c>
      <c r="M52" s="190">
        <f>K52/K40-1</f>
        <v>6.7231424678043439E-2</v>
      </c>
      <c r="N52" s="191">
        <f>AVERAGE(T50:T52)</f>
        <v>12.790215883594575</v>
      </c>
      <c r="O52" s="192">
        <f>N52/N49-1</f>
        <v>-9.6231064902622565E-2</v>
      </c>
      <c r="P52" s="129" t="s">
        <v>1403</v>
      </c>
      <c r="Q52" s="116">
        <v>74451444</v>
      </c>
      <c r="R52" s="116">
        <v>109516573303</v>
      </c>
      <c r="S52" s="116">
        <v>5552181.2999999998</v>
      </c>
      <c r="T52" s="130">
        <f t="shared" si="98"/>
        <v>13.409404336274106</v>
      </c>
      <c r="U52" s="85">
        <f t="shared" ref="U52" si="99">Q50+Q51+Q52</f>
        <v>178328280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2357498.9047619049</v>
      </c>
      <c r="G53" s="190">
        <f t="shared" ref="G53" si="100">F53/F52-1</f>
        <v>-0.30337179350393917</v>
      </c>
      <c r="H53" s="190">
        <f t="shared" ref="H53" si="101">F53/F41-1</f>
        <v>-0.11520177702606771</v>
      </c>
      <c r="I53" s="130">
        <f t="shared" ref="I53" si="102">T53</f>
        <v>12.92063413768445</v>
      </c>
      <c r="J53" s="130">
        <f t="shared" ref="J53" si="103">I53/I41-1</f>
        <v>-5.7839850890409439E-2</v>
      </c>
      <c r="K53" s="136"/>
      <c r="L53" s="190"/>
      <c r="M53" s="190"/>
      <c r="N53" s="191"/>
      <c r="O53" s="192"/>
      <c r="P53" s="129" t="s">
        <v>1414</v>
      </c>
      <c r="Q53" s="116">
        <v>49507477</v>
      </c>
      <c r="R53" s="116">
        <v>72103525816</v>
      </c>
      <c r="S53" s="116">
        <v>3831660</v>
      </c>
      <c r="T53" s="130">
        <f t="shared" ref="T53" si="104">Q53/S53</f>
        <v>12.92063413768445</v>
      </c>
      <c r="U53" s="85">
        <f t="shared" ref="U53" si="105">Q51+Q52+Q53</f>
        <v>177324740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2717680.2941176472</v>
      </c>
      <c r="G54" s="190">
        <f t="shared" ref="G54" si="106">F54/F53-1</f>
        <v>0.15278114811769927</v>
      </c>
      <c r="H54" s="190">
        <f t="shared" ref="H54" si="107">F54/F42-1</f>
        <v>-5.0016105208791073E-3</v>
      </c>
      <c r="I54" s="130">
        <f t="shared" ref="I54" si="108">T54</f>
        <v>13.629204824507225</v>
      </c>
      <c r="J54" s="130">
        <f t="shared" ref="J54" si="109">I54/I42-1</f>
        <v>1.3601735203633947E-2</v>
      </c>
      <c r="K54" s="136"/>
      <c r="L54" s="190"/>
      <c r="M54" s="190"/>
      <c r="N54" s="191"/>
      <c r="O54" s="192"/>
      <c r="P54" s="129" t="s">
        <v>1417</v>
      </c>
      <c r="Q54" s="116">
        <v>46200565</v>
      </c>
      <c r="R54" s="116">
        <v>66954138077</v>
      </c>
      <c r="S54" s="116">
        <v>3389821.02</v>
      </c>
      <c r="T54" s="130">
        <f t="shared" ref="T54" si="110">Q54/S54</f>
        <v>13.629204824507225</v>
      </c>
      <c r="U54" s="85">
        <f t="shared" ref="U54" si="111">Q52+Q53+Q54</f>
        <v>170159486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8149564.8179271705</v>
      </c>
      <c r="C55" s="188">
        <f>AVERAGE(F53:F55)</f>
        <v>2716521.6059757234</v>
      </c>
      <c r="D55" s="190">
        <f>C55/C52-1</f>
        <v>-8.0040760334306182E-2</v>
      </c>
      <c r="E55" s="287">
        <f>C55/C43-1</f>
        <v>-5.5791983332579176E-2</v>
      </c>
      <c r="F55" s="136">
        <f>Q55/21</f>
        <v>3074385.6190476189</v>
      </c>
      <c r="G55" s="190">
        <f t="shared" ref="G55" si="112">F55/F54-1</f>
        <v>0.13125360098538885</v>
      </c>
      <c r="H55" s="190">
        <f t="shared" ref="H55" si="113">F55/F43-1</f>
        <v>-4.9743602338085946E-2</v>
      </c>
      <c r="I55" s="130">
        <f>T55</f>
        <v>14.055906990191664</v>
      </c>
      <c r="J55" s="130">
        <f t="shared" ref="J55" si="114">I55/I43-1</f>
        <v>3.7118915982990774E-2</v>
      </c>
      <c r="K55" s="136">
        <f>R53+R54+R55</f>
        <v>234381285637</v>
      </c>
      <c r="L55" s="190">
        <f>U55/U52-1</f>
        <v>-0.10126346757788496</v>
      </c>
      <c r="M55" s="190">
        <f>K55/K43-1</f>
        <v>-3.6334311511593609E-2</v>
      </c>
      <c r="N55" s="191">
        <f>AVERAGE(T53:T55)</f>
        <v>13.535248650794445</v>
      </c>
      <c r="O55" s="192">
        <f>N55/N52-1</f>
        <v>5.8250210471856745E-2</v>
      </c>
      <c r="P55" s="129" t="s">
        <v>1418</v>
      </c>
      <c r="Q55" s="116">
        <v>64562098</v>
      </c>
      <c r="R55" s="116">
        <v>95323621744</v>
      </c>
      <c r="S55" s="116">
        <v>4593236</v>
      </c>
      <c r="T55" s="130">
        <f t="shared" ref="T55" si="115">Q55/S55</f>
        <v>14.055906990191664</v>
      </c>
      <c r="U55" s="85">
        <f t="shared" ref="U55" si="116">Q53+Q54+Q55</f>
        <v>160270140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2572099.0909090908</v>
      </c>
      <c r="G56" s="190">
        <f t="shared" ref="G56" si="117">F56/F55-1</f>
        <v>-0.16337785508316494</v>
      </c>
      <c r="H56" s="190">
        <f t="shared" ref="H56" si="118">F56/F44-1</f>
        <v>-4.6062254582358575E-2</v>
      </c>
      <c r="I56" s="291">
        <f>T56</f>
        <v>14.032694243429496</v>
      </c>
      <c r="J56" s="130">
        <f t="shared" ref="J56" si="119">I56/I44-1</f>
        <v>6.403397146879275E-2</v>
      </c>
      <c r="K56" s="136"/>
      <c r="L56" s="190"/>
      <c r="M56" s="190"/>
      <c r="N56" s="191"/>
      <c r="O56" s="192"/>
      <c r="P56" s="129" t="s">
        <v>1420</v>
      </c>
      <c r="Q56" s="116">
        <v>56586180</v>
      </c>
      <c r="R56" s="116">
        <v>84443839402</v>
      </c>
      <c r="S56" s="116">
        <v>4032453</v>
      </c>
      <c r="T56" s="130">
        <f t="shared" ref="T56" si="120">Q56/S56</f>
        <v>14.032694243429496</v>
      </c>
      <c r="U56" s="85">
        <f t="shared" ref="U56" si="121">Q54+Q55+Q56</f>
        <v>167348843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2349083.6666666665</v>
      </c>
      <c r="G57" s="254">
        <f t="shared" ref="G57" si="122">F57/F56-1</f>
        <v>-8.6705611393688931E-2</v>
      </c>
      <c r="H57" s="254">
        <f t="shared" ref="H57" si="123">F57/F45-1</f>
        <v>-0.30241686081643226</v>
      </c>
      <c r="I57" s="282">
        <f>T57</f>
        <v>13.849701735471688</v>
      </c>
      <c r="J57" s="277">
        <f t="shared" ref="J57" si="124">I57/I45-1</f>
        <v>-8.8142650125327959E-3</v>
      </c>
      <c r="K57" s="204"/>
      <c r="L57" s="254"/>
      <c r="M57" s="254"/>
      <c r="N57" s="257"/>
      <c r="O57" s="258"/>
      <c r="P57" s="129" t="s">
        <v>1436</v>
      </c>
      <c r="Q57" s="116">
        <v>28189004</v>
      </c>
      <c r="R57" s="116">
        <v>41519938096</v>
      </c>
      <c r="S57" s="116">
        <v>2035350.98</v>
      </c>
      <c r="T57" s="130">
        <f t="shared" ref="T57" si="125">Q57/S57</f>
        <v>13.849701735471688</v>
      </c>
      <c r="U57" s="85">
        <f t="shared" ref="U57" si="126">Q55+Q56+Q57</f>
        <v>149337282</v>
      </c>
      <c r="V57" s="79"/>
      <c r="W57" s="79"/>
      <c r="X57" s="79"/>
      <c r="Y57" s="79"/>
      <c r="Z57" s="79"/>
    </row>
    <row r="58" spans="1:26">
      <c r="B58" s="196">
        <f>SUM(F56:F58)</f>
        <v>4921182.7575757578</v>
      </c>
      <c r="C58" s="196">
        <f>AVERAGE(F56:F58)</f>
        <v>2460591.3787878789</v>
      </c>
      <c r="D58" s="197">
        <f>C58/C55-1</f>
        <v>-9.4212476214014518E-2</v>
      </c>
      <c r="E58" s="233">
        <f>C58/C46-1</f>
        <v>-0.26107265961248949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245045324</v>
      </c>
      <c r="R66" s="212">
        <v>360345063135</v>
      </c>
      <c r="S66" s="213">
        <v>17882521</v>
      </c>
      <c r="T66" s="214">
        <v>65</v>
      </c>
      <c r="U66" s="214">
        <v>177</v>
      </c>
    </row>
    <row r="67" spans="16:21" ht="18" thickBot="1">
      <c r="P67" s="180" t="s">
        <v>976</v>
      </c>
      <c r="Q67" s="181">
        <v>49507477</v>
      </c>
      <c r="R67" s="181">
        <v>72103525816</v>
      </c>
      <c r="S67" s="182">
        <v>3831660</v>
      </c>
      <c r="T67" s="210">
        <v>28</v>
      </c>
      <c r="U67" s="210">
        <v>63</v>
      </c>
    </row>
    <row r="68" spans="16:21" ht="18" thickBot="1">
      <c r="P68" s="180" t="s">
        <v>977</v>
      </c>
      <c r="Q68" s="181">
        <v>46200565</v>
      </c>
      <c r="R68" s="181">
        <v>66954138077</v>
      </c>
      <c r="S68" s="182">
        <v>3389821.02</v>
      </c>
      <c r="T68" s="210">
        <v>22</v>
      </c>
      <c r="U68" s="210">
        <v>63</v>
      </c>
    </row>
    <row r="69" spans="16:21" ht="18" thickBot="1">
      <c r="P69" s="180" t="s">
        <v>978</v>
      </c>
      <c r="Q69" s="181">
        <v>64562098</v>
      </c>
      <c r="R69" s="181">
        <v>95323621744</v>
      </c>
      <c r="S69" s="182">
        <v>4593236</v>
      </c>
      <c r="T69" s="210">
        <v>22</v>
      </c>
      <c r="U69" s="210">
        <v>75</v>
      </c>
    </row>
    <row r="70" spans="16:21" ht="18" thickBot="1">
      <c r="P70" s="180" t="s">
        <v>979</v>
      </c>
      <c r="Q70" s="181">
        <v>56586180</v>
      </c>
      <c r="R70" s="181">
        <v>84443839402</v>
      </c>
      <c r="S70" s="182">
        <v>4032453</v>
      </c>
      <c r="T70" s="210">
        <v>29</v>
      </c>
      <c r="U70" s="210">
        <v>72</v>
      </c>
    </row>
    <row r="71" spans="16:21" ht="18" thickBot="1">
      <c r="P71" s="180" t="s">
        <v>980</v>
      </c>
      <c r="Q71" s="181">
        <v>28189004</v>
      </c>
      <c r="R71" s="181">
        <v>41519938096</v>
      </c>
      <c r="S71" s="182">
        <v>2035350.98</v>
      </c>
      <c r="T71" s="210">
        <v>20</v>
      </c>
      <c r="U71" s="210">
        <v>57</v>
      </c>
    </row>
    <row r="72" spans="16:21" ht="18" thickBot="1">
      <c r="P72" s="180" t="s">
        <v>975</v>
      </c>
      <c r="Q72" s="181">
        <v>719810536</v>
      </c>
      <c r="R72" s="181">
        <v>1023522962693</v>
      </c>
      <c r="S72" s="182">
        <v>53068049.920000002</v>
      </c>
      <c r="T72" s="210">
        <v>129</v>
      </c>
      <c r="U72" s="210">
        <v>455</v>
      </c>
    </row>
    <row r="73" spans="16:21" ht="18" thickBot="1">
      <c r="P73" s="215" t="s">
        <v>982</v>
      </c>
      <c r="Q73" s="217" t="s">
        <v>1539</v>
      </c>
      <c r="R73"/>
      <c r="S73"/>
      <c r="T73"/>
      <c r="U73"/>
    </row>
  </sheetData>
  <phoneticPr fontId="1" type="noConversion"/>
  <conditionalFormatting sqref="C29:C30">
    <cfRule type="cellIs" dxfId="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54"/>
  <dimension ref="A1:Z75"/>
  <sheetViews>
    <sheetView zoomScale="90" zoomScaleNormal="90" workbookViewId="0">
      <selection activeCell="E73" sqref="E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4011101000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332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7526965.2000000002</v>
      </c>
      <c r="G5" s="90"/>
      <c r="H5" s="90"/>
      <c r="I5" s="130">
        <f t="shared" ref="I5:I49" si="0">T5</f>
        <v>3.7394325071401133</v>
      </c>
      <c r="J5" s="130"/>
      <c r="L5" s="80"/>
      <c r="M5" s="80"/>
      <c r="P5" s="129" t="s">
        <v>0</v>
      </c>
      <c r="Q5" s="116">
        <v>150539304</v>
      </c>
      <c r="R5" s="116">
        <v>177623913035</v>
      </c>
      <c r="S5" s="116">
        <v>40257259.280000001</v>
      </c>
      <c r="T5" s="130">
        <f t="shared" ref="T5:T17" si="1">Q5/S5</f>
        <v>3.7394325071401133</v>
      </c>
      <c r="U5" s="85"/>
    </row>
    <row r="6" spans="1:21" ht="15" hidden="1" customHeight="1">
      <c r="A6" s="129" t="s">
        <v>1</v>
      </c>
      <c r="C6" s="79"/>
      <c r="F6" s="78">
        <f>Q6/18</f>
        <v>8563416.722222222</v>
      </c>
      <c r="G6" s="90">
        <f t="shared" ref="G6:G16" si="2">F6/F5-1</f>
        <v>0.13769846075842374</v>
      </c>
      <c r="H6" s="90"/>
      <c r="I6" s="130">
        <f t="shared" si="0"/>
        <v>3.9611891330293063</v>
      </c>
      <c r="J6" s="130"/>
      <c r="P6" s="129" t="s">
        <v>1</v>
      </c>
      <c r="Q6" s="116">
        <v>154141501</v>
      </c>
      <c r="R6" s="116">
        <v>183091387491</v>
      </c>
      <c r="S6" s="116">
        <v>38912936.450000003</v>
      </c>
      <c r="T6" s="130">
        <f t="shared" si="1"/>
        <v>3.9611891330293063</v>
      </c>
      <c r="U6" s="85"/>
    </row>
    <row r="7" spans="1:21" ht="15" hidden="1" customHeight="1">
      <c r="A7" s="129" t="s">
        <v>2</v>
      </c>
      <c r="B7" s="131">
        <f>F5+F6+F7</f>
        <v>24963661.513131313</v>
      </c>
      <c r="C7" s="131">
        <f>AVERAGE(F5:F7)</f>
        <v>8321220.5043771043</v>
      </c>
      <c r="F7" s="78">
        <f>Q7/22</f>
        <v>8873279.5909090918</v>
      </c>
      <c r="G7" s="90">
        <f t="shared" si="2"/>
        <v>3.6184490226053079E-2</v>
      </c>
      <c r="H7" s="90"/>
      <c r="I7" s="130">
        <f t="shared" si="0"/>
        <v>3.9888331817507949</v>
      </c>
      <c r="J7" s="130"/>
      <c r="K7" s="79">
        <f>R5+R6+R7</f>
        <v>596062360523</v>
      </c>
      <c r="N7" s="88">
        <f>AVERAGE(T5:T7)</f>
        <v>3.8964849406400717</v>
      </c>
      <c r="P7" s="129" t="s">
        <v>2</v>
      </c>
      <c r="Q7" s="116">
        <v>195212151</v>
      </c>
      <c r="R7" s="116">
        <v>235347059997</v>
      </c>
      <c r="S7" s="116">
        <v>48939662.829999998</v>
      </c>
      <c r="T7" s="130">
        <f t="shared" si="1"/>
        <v>3.9888331817507949</v>
      </c>
      <c r="U7" s="85">
        <f>Q5+Q6+Q7</f>
        <v>499892956</v>
      </c>
    </row>
    <row r="8" spans="1:21" ht="15" hidden="1" customHeight="1">
      <c r="A8" s="129" t="s">
        <v>3</v>
      </c>
      <c r="C8" s="79"/>
      <c r="F8" s="78">
        <f>Q8/21</f>
        <v>9708684.5714285709</v>
      </c>
      <c r="G8" s="90">
        <f t="shared" si="2"/>
        <v>9.4148389212864725E-2</v>
      </c>
      <c r="H8" s="90"/>
      <c r="I8" s="130">
        <f t="shared" si="0"/>
        <v>4.0742093248998659</v>
      </c>
      <c r="J8" s="130"/>
      <c r="K8" s="78"/>
      <c r="P8" s="129" t="s">
        <v>3</v>
      </c>
      <c r="Q8" s="116">
        <v>203882376</v>
      </c>
      <c r="R8" s="116">
        <v>247179441699</v>
      </c>
      <c r="S8" s="116">
        <v>50042194.630000003</v>
      </c>
      <c r="T8" s="130">
        <f t="shared" si="1"/>
        <v>4.0742093248998659</v>
      </c>
      <c r="U8" s="85"/>
    </row>
    <row r="9" spans="1:21" ht="15" hidden="1" customHeight="1">
      <c r="A9" s="129" t="s">
        <v>4</v>
      </c>
      <c r="C9" s="79"/>
      <c r="F9" s="78">
        <f>Q9/21</f>
        <v>10766958.476190476</v>
      </c>
      <c r="G9" s="90">
        <f t="shared" si="2"/>
        <v>0.10900281052247496</v>
      </c>
      <c r="H9" s="90"/>
      <c r="I9" s="130">
        <f t="shared" si="0"/>
        <v>4.1851070291836852</v>
      </c>
      <c r="J9" s="130"/>
      <c r="K9" s="78"/>
      <c r="P9" s="129" t="s">
        <v>4</v>
      </c>
      <c r="Q9" s="116">
        <v>226106128</v>
      </c>
      <c r="R9" s="116">
        <v>284018288845</v>
      </c>
      <c r="S9" s="116">
        <v>54026366.93</v>
      </c>
      <c r="T9" s="130">
        <f t="shared" si="1"/>
        <v>4.1851070291836852</v>
      </c>
      <c r="U9" s="85"/>
    </row>
    <row r="10" spans="1:21" ht="15" hidden="1" customHeight="1">
      <c r="A10" s="129" t="s">
        <v>5</v>
      </c>
      <c r="B10" s="131">
        <f>F8+F9+F10</f>
        <v>30493119.571428567</v>
      </c>
      <c r="C10" s="131">
        <f>AVERAGE(F8:F10)</f>
        <v>10164373.190476188</v>
      </c>
      <c r="D10" s="90">
        <f>C10/C7-1</f>
        <v>0.22150028173505976</v>
      </c>
      <c r="E10" s="286"/>
      <c r="F10" s="78">
        <f>Q10/21</f>
        <v>10017476.523809524</v>
      </c>
      <c r="G10" s="90">
        <f t="shared" si="2"/>
        <v>-6.9609440218267649E-2</v>
      </c>
      <c r="H10" s="90"/>
      <c r="I10" s="130">
        <f t="shared" si="0"/>
        <v>4.2820699495036401</v>
      </c>
      <c r="J10" s="130"/>
      <c r="K10" s="79">
        <f>R8+R9+R10</f>
        <v>795553957160</v>
      </c>
      <c r="L10" s="87">
        <f>U10/U7-1</f>
        <v>0.28098526557353609</v>
      </c>
      <c r="N10" s="88">
        <f>AVERAGE(T8:T10)</f>
        <v>4.1804621011957304</v>
      </c>
      <c r="O10" s="89">
        <f>N10/N7-1</f>
        <v>7.288034340741234E-2</v>
      </c>
      <c r="P10" s="129" t="s">
        <v>5</v>
      </c>
      <c r="Q10" s="116">
        <v>210367007</v>
      </c>
      <c r="R10" s="116">
        <v>264356226616</v>
      </c>
      <c r="S10" s="116">
        <v>49127410.219999999</v>
      </c>
      <c r="T10" s="130">
        <f t="shared" si="1"/>
        <v>4.2820699495036401</v>
      </c>
      <c r="U10" s="85">
        <f>Q8+Q9+Q10</f>
        <v>640355511</v>
      </c>
    </row>
    <row r="11" spans="1:21" ht="15" hidden="1" customHeight="1">
      <c r="A11" s="129" t="s">
        <v>6</v>
      </c>
      <c r="C11" s="79"/>
      <c r="F11" s="78">
        <f>Q11/21</f>
        <v>9983011.8571428563</v>
      </c>
      <c r="G11" s="90">
        <f t="shared" si="2"/>
        <v>-3.4404539491310615E-3</v>
      </c>
      <c r="H11" s="90"/>
      <c r="I11" s="130">
        <f t="shared" si="0"/>
        <v>4.2351655612094934</v>
      </c>
      <c r="J11" s="130"/>
      <c r="K11" s="78"/>
      <c r="O11" s="89"/>
      <c r="P11" s="129" t="s">
        <v>6</v>
      </c>
      <c r="Q11" s="116">
        <v>209643249</v>
      </c>
      <c r="R11" s="116">
        <v>270454677402</v>
      </c>
      <c r="S11" s="116">
        <v>49500602.979999997</v>
      </c>
      <c r="T11" s="130">
        <f t="shared" si="1"/>
        <v>4.2351655612094934</v>
      </c>
      <c r="U11" s="85"/>
    </row>
    <row r="12" spans="1:21" ht="15" hidden="1" customHeight="1">
      <c r="A12" s="129" t="s">
        <v>7</v>
      </c>
      <c r="C12" s="79"/>
      <c r="F12" s="78">
        <f>Q12/22</f>
        <v>8657648.3636363633</v>
      </c>
      <c r="G12" s="90">
        <f t="shared" si="2"/>
        <v>-0.13276188714112303</v>
      </c>
      <c r="H12" s="90"/>
      <c r="I12" s="130">
        <f t="shared" si="0"/>
        <v>4.2092431782018007</v>
      </c>
      <c r="J12" s="130"/>
      <c r="K12" s="78"/>
      <c r="O12" s="89"/>
      <c r="P12" s="129" t="s">
        <v>7</v>
      </c>
      <c r="Q12" s="116">
        <v>190468264</v>
      </c>
      <c r="R12" s="116">
        <v>247498415584</v>
      </c>
      <c r="S12" s="116">
        <v>45250002.420000002</v>
      </c>
      <c r="T12" s="130">
        <f t="shared" si="1"/>
        <v>4.2092431782018007</v>
      </c>
      <c r="U12" s="85"/>
    </row>
    <row r="13" spans="1:21" ht="15" hidden="1" customHeight="1">
      <c r="A13" s="129" t="s">
        <v>35</v>
      </c>
      <c r="B13" s="131">
        <f>F11+F12+F13</f>
        <v>26742737.420779217</v>
      </c>
      <c r="C13" s="131">
        <f>AVERAGE(F11:F13)</f>
        <v>8914245.8069264051</v>
      </c>
      <c r="D13" s="90">
        <f>C13/C10-1</f>
        <v>-0.12299109449475221</v>
      </c>
      <c r="E13" s="286"/>
      <c r="F13" s="78">
        <f>Q13/20</f>
        <v>8102077.2000000002</v>
      </c>
      <c r="G13" s="90">
        <f t="shared" si="2"/>
        <v>-6.4171139817812306E-2</v>
      </c>
      <c r="H13" s="90"/>
      <c r="I13" s="130">
        <f t="shared" si="0"/>
        <v>4.2098832225867948</v>
      </c>
      <c r="J13" s="130"/>
      <c r="K13" s="78">
        <f>R11+R12+R13</f>
        <v>739554037471</v>
      </c>
      <c r="L13" s="87">
        <f>U13/U10-1</f>
        <v>-0.12212349649006149</v>
      </c>
      <c r="N13" s="88">
        <f>AVERAGE(T11:T13)</f>
        <v>4.2180973206660299</v>
      </c>
      <c r="O13" s="89">
        <f>N13/N10-1</f>
        <v>9.0026457743834776E-3</v>
      </c>
      <c r="P13" s="129" t="s">
        <v>35</v>
      </c>
      <c r="Q13" s="116">
        <v>162041544</v>
      </c>
      <c r="R13" s="116">
        <v>221600944485</v>
      </c>
      <c r="S13" s="116">
        <v>38490745.57</v>
      </c>
      <c r="T13" s="130">
        <f t="shared" si="1"/>
        <v>4.2098832225867948</v>
      </c>
      <c r="U13" s="85">
        <f>Q11+Q12+Q13</f>
        <v>562153057</v>
      </c>
    </row>
    <row r="14" spans="1:21" ht="15" hidden="1" customHeight="1">
      <c r="A14" s="129" t="s">
        <v>36</v>
      </c>
      <c r="C14" s="79"/>
      <c r="F14" s="78">
        <f>Q14/20</f>
        <v>8400936.9499999993</v>
      </c>
      <c r="G14" s="90">
        <f t="shared" si="2"/>
        <v>3.6886806015622664E-2</v>
      </c>
      <c r="H14" s="90"/>
      <c r="I14" s="130">
        <f t="shared" si="0"/>
        <v>4.2528159323228607</v>
      </c>
      <c r="J14" s="130"/>
      <c r="O14" s="89"/>
      <c r="P14" s="129" t="s">
        <v>36</v>
      </c>
      <c r="Q14" s="116">
        <v>168018739</v>
      </c>
      <c r="R14" s="116">
        <v>239668751040</v>
      </c>
      <c r="S14" s="116">
        <v>39507644.270000003</v>
      </c>
      <c r="T14" s="130">
        <f t="shared" si="1"/>
        <v>4.2528159323228607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7388872.8181818184</v>
      </c>
      <c r="G15" s="90">
        <f t="shared" si="2"/>
        <v>-0.12047038774861663</v>
      </c>
      <c r="H15" s="90"/>
      <c r="I15" s="130">
        <f t="shared" si="0"/>
        <v>4.4737473896753288</v>
      </c>
      <c r="J15" s="130"/>
      <c r="O15" s="89"/>
      <c r="P15" s="129" t="s">
        <v>37</v>
      </c>
      <c r="Q15" s="116">
        <v>162555202</v>
      </c>
      <c r="R15" s="116">
        <v>225031171333</v>
      </c>
      <c r="S15" s="116">
        <v>36335355.539999999</v>
      </c>
      <c r="T15" s="130">
        <f t="shared" si="1"/>
        <v>4.4737473896753288</v>
      </c>
      <c r="U15" s="78"/>
    </row>
    <row r="16" spans="1:21" ht="15" hidden="1" customHeight="1">
      <c r="A16" s="129" t="s">
        <v>38</v>
      </c>
      <c r="B16" s="131">
        <f>F14+F15+F16</f>
        <v>23261269.586363636</v>
      </c>
      <c r="C16" s="131">
        <f>AVERAGE(F14:F16)</f>
        <v>7753756.5287878783</v>
      </c>
      <c r="D16" s="90">
        <f>C16/C13-1</f>
        <v>-0.13018367490346994</v>
      </c>
      <c r="E16" s="286"/>
      <c r="F16" s="78">
        <f>Q16/22</f>
        <v>7471459.8181818184</v>
      </c>
      <c r="G16" s="90">
        <f t="shared" si="2"/>
        <v>1.1177212280170545E-2</v>
      </c>
      <c r="H16" s="90"/>
      <c r="I16" s="130">
        <f t="shared" si="0"/>
        <v>4.5752580863543466</v>
      </c>
      <c r="J16" s="130"/>
      <c r="K16" s="78">
        <f>R14+R15+R16</f>
        <v>679937259457</v>
      </c>
      <c r="L16" s="87">
        <f>U16/U13-1</f>
        <v>-0.11955284982111203</v>
      </c>
      <c r="N16" s="88">
        <f>AVERAGE(T14:T16)</f>
        <v>4.4339404694508451</v>
      </c>
      <c r="O16" s="89">
        <f>N16/N13-1</f>
        <v>5.1170737035231229E-2</v>
      </c>
      <c r="P16" s="129" t="s">
        <v>38</v>
      </c>
      <c r="Q16" s="116">
        <v>164372116</v>
      </c>
      <c r="R16" s="116">
        <v>215237337084</v>
      </c>
      <c r="S16" s="116">
        <v>35926304.68</v>
      </c>
      <c r="T16" s="130">
        <f t="shared" si="1"/>
        <v>4.5752580863543466</v>
      </c>
      <c r="U16" s="85">
        <f>Q14+Q15+Q16</f>
        <v>494946057</v>
      </c>
    </row>
    <row r="17" spans="1:21" ht="15" hidden="1" customHeight="1">
      <c r="A17" s="129" t="s">
        <v>85</v>
      </c>
      <c r="C17" s="79"/>
      <c r="F17" s="78">
        <f>Q17/20</f>
        <v>9100189.5</v>
      </c>
      <c r="G17" s="90">
        <f t="shared" ref="G17:G22" si="3">F17/F16-1</f>
        <v>0.21799350079547564</v>
      </c>
      <c r="H17" s="90">
        <f t="shared" ref="H17:H22" si="4">F17/F5-1</f>
        <v>0.20901176745177463</v>
      </c>
      <c r="I17" s="130">
        <f t="shared" si="0"/>
        <v>4.7829683381311101</v>
      </c>
      <c r="J17" s="130">
        <f t="shared" ref="J17:J49" si="5">I17/I5-1</f>
        <v>0.27906261952808564</v>
      </c>
      <c r="O17" s="89"/>
      <c r="P17" s="129" t="s">
        <v>85</v>
      </c>
      <c r="Q17" s="116">
        <v>182003790</v>
      </c>
      <c r="R17" s="116">
        <v>228376106262</v>
      </c>
      <c r="S17" s="116">
        <v>38052476.439999998</v>
      </c>
      <c r="T17" s="130">
        <f t="shared" si="1"/>
        <v>4.7829683381311101</v>
      </c>
      <c r="U17" s="78"/>
    </row>
    <row r="18" spans="1:21" hidden="1">
      <c r="A18" s="129" t="s">
        <v>106</v>
      </c>
      <c r="C18" s="79"/>
      <c r="F18" s="78">
        <f>Q18/20</f>
        <v>10202051.949999999</v>
      </c>
      <c r="G18" s="90">
        <f t="shared" si="3"/>
        <v>0.12108126429674892</v>
      </c>
      <c r="H18" s="90">
        <f t="shared" si="4"/>
        <v>0.19135297054100953</v>
      </c>
      <c r="I18" s="130">
        <f t="shared" si="0"/>
        <v>4.7833718102576652</v>
      </c>
      <c r="J18" s="130">
        <f t="shared" si="5"/>
        <v>0.20755956093406658</v>
      </c>
      <c r="O18" s="89"/>
      <c r="P18" s="129" t="s">
        <v>106</v>
      </c>
      <c r="Q18" s="116">
        <v>204041039</v>
      </c>
      <c r="R18" s="116">
        <v>256510444264</v>
      </c>
      <c r="S18" s="116">
        <v>42656320.079999998</v>
      </c>
      <c r="T18" s="130">
        <f t="shared" ref="T18" si="6">Q18/S18</f>
        <v>4.7833718102576652</v>
      </c>
      <c r="U18" s="78"/>
    </row>
    <row r="19" spans="1:21" hidden="1">
      <c r="A19" s="129" t="s">
        <v>114</v>
      </c>
      <c r="B19" s="131">
        <f>SUM(F17:F19)</f>
        <v>28034549.631818183</v>
      </c>
      <c r="C19" s="131">
        <f>AVERAGE(F17:F19)</f>
        <v>9344849.877272727</v>
      </c>
      <c r="D19" s="90">
        <f>C19/C16-1</f>
        <v>0.20520290295129762</v>
      </c>
      <c r="E19" s="286">
        <f>C19/C7-1</f>
        <v>0.12301433093344616</v>
      </c>
      <c r="F19" s="78">
        <f>Q19/22</f>
        <v>8732308.1818181816</v>
      </c>
      <c r="G19" s="90">
        <f t="shared" si="3"/>
        <v>-0.14406354480304506</v>
      </c>
      <c r="H19" s="90">
        <f t="shared" si="4"/>
        <v>-1.5887182145746803E-2</v>
      </c>
      <c r="I19" s="130">
        <f t="shared" si="0"/>
        <v>4.6471583714254505</v>
      </c>
      <c r="J19" s="130">
        <f t="shared" si="5"/>
        <v>0.16504204605159778</v>
      </c>
      <c r="K19" s="78">
        <f>R17+R18+R19</f>
        <v>736056865551</v>
      </c>
      <c r="L19" s="87">
        <f>U19/U16-1</f>
        <v>0.16811842588332815</v>
      </c>
      <c r="M19" s="87">
        <f>U19/U7-1</f>
        <v>0.15655882336537674</v>
      </c>
      <c r="N19" s="88">
        <f>AVERAGE(T17:T19)</f>
        <v>4.7378328399380756</v>
      </c>
      <c r="O19" s="89">
        <f>N19/N16-1</f>
        <v>6.8537765128106942E-2</v>
      </c>
      <c r="P19" s="129" t="s">
        <v>115</v>
      </c>
      <c r="Q19" s="116">
        <v>192110780</v>
      </c>
      <c r="R19" s="116">
        <v>251170315025</v>
      </c>
      <c r="S19" s="116">
        <v>41339408.869999997</v>
      </c>
      <c r="T19" s="130">
        <f t="shared" ref="T19" si="7">Q19/S19</f>
        <v>4.6471583714254505</v>
      </c>
      <c r="U19" s="85">
        <f>Q17+Q18+Q19</f>
        <v>578155609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9715701.5999999996</v>
      </c>
      <c r="G20" s="90">
        <f t="shared" si="3"/>
        <v>0.11261551902501243</v>
      </c>
      <c r="H20" s="90">
        <f t="shared" si="4"/>
        <v>7.2275791017850644E-4</v>
      </c>
      <c r="I20" s="130">
        <f t="shared" si="0"/>
        <v>4.8256024065924947</v>
      </c>
      <c r="J20" s="130">
        <f t="shared" si="5"/>
        <v>0.18442672473906252</v>
      </c>
      <c r="O20" s="89"/>
      <c r="P20" s="129" t="s">
        <v>132</v>
      </c>
      <c r="Q20" s="116">
        <v>194314032</v>
      </c>
      <c r="R20" s="116">
        <v>254990512052</v>
      </c>
      <c r="S20" s="116">
        <v>40267310.82</v>
      </c>
      <c r="T20" s="130">
        <f t="shared" ref="T20" si="8">Q20/S20</f>
        <v>4.8256024065924947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11018231</v>
      </c>
      <c r="G21" s="90">
        <f t="shared" si="3"/>
        <v>0.1340643685475067</v>
      </c>
      <c r="H21" s="90">
        <f t="shared" si="4"/>
        <v>2.3337372793363675E-2</v>
      </c>
      <c r="I21" s="130">
        <f t="shared" si="0"/>
        <v>4.8697893564178463</v>
      </c>
      <c r="J21" s="130">
        <f t="shared" si="5"/>
        <v>0.16359971739306034</v>
      </c>
      <c r="O21" s="89"/>
      <c r="P21" s="129" t="s">
        <v>141</v>
      </c>
      <c r="Q21" s="116">
        <v>231382851</v>
      </c>
      <c r="R21" s="116">
        <v>307945218870</v>
      </c>
      <c r="S21" s="116">
        <v>47513934.189999998</v>
      </c>
      <c r="T21" s="130">
        <f t="shared" ref="T21" si="9">Q21/S21</f>
        <v>4.8697893564178463</v>
      </c>
      <c r="U21" s="78"/>
    </row>
    <row r="22" spans="1:21" hidden="1">
      <c r="A22" s="129" t="s">
        <v>156</v>
      </c>
      <c r="B22" s="131">
        <f>SUM(F20:F22)</f>
        <v>31955677.790476192</v>
      </c>
      <c r="C22" s="131">
        <f>AVERAGE(F20:F22)</f>
        <v>10651892.596825397</v>
      </c>
      <c r="D22" s="90">
        <f>C22/C19-1</f>
        <v>0.13986770646059088</v>
      </c>
      <c r="E22" s="286">
        <f>C22/C10-1</f>
        <v>4.7963548485803642E-2</v>
      </c>
      <c r="F22" s="78">
        <f>Q22/21</f>
        <v>11221745.19047619</v>
      </c>
      <c r="G22" s="90">
        <f t="shared" si="3"/>
        <v>1.8470677414204717E-2</v>
      </c>
      <c r="H22" s="90">
        <f t="shared" si="4"/>
        <v>0.1202167695431442</v>
      </c>
      <c r="I22" s="130">
        <f t="shared" si="0"/>
        <v>5.0187306467971258</v>
      </c>
      <c r="J22" s="130">
        <f t="shared" si="5"/>
        <v>0.17203378412323134</v>
      </c>
      <c r="K22" s="78">
        <f>R20+R21+R22</f>
        <v>869076583682</v>
      </c>
      <c r="L22" s="87">
        <f>U22/U19-1</f>
        <v>0.14390230191470832</v>
      </c>
      <c r="M22" s="87">
        <f>U22/U10-1</f>
        <v>3.2791192766044697E-2</v>
      </c>
      <c r="N22" s="88">
        <f>AVERAGE(T20:T22)</f>
        <v>4.9047074699358229</v>
      </c>
      <c r="O22" s="89">
        <f>N22/N19-1</f>
        <v>3.5221721752413782E-2</v>
      </c>
      <c r="P22" s="129" t="s">
        <v>156</v>
      </c>
      <c r="Q22" s="116">
        <v>235656649</v>
      </c>
      <c r="R22" s="116">
        <v>306140852760</v>
      </c>
      <c r="S22" s="116">
        <v>46955428.689999998</v>
      </c>
      <c r="T22" s="130">
        <f t="shared" ref="T22:T23" si="10">Q22/S22</f>
        <v>5.0187306467971258</v>
      </c>
      <c r="U22" s="85">
        <f>Q20+Q21+Q22</f>
        <v>661353532</v>
      </c>
    </row>
    <row r="23" spans="1:21" hidden="1">
      <c r="A23" s="129" t="s">
        <v>189</v>
      </c>
      <c r="B23" s="131"/>
      <c r="C23" s="131"/>
      <c r="F23" s="78">
        <f>Q23/21</f>
        <v>10538752.142857144</v>
      </c>
      <c r="G23" s="90">
        <f t="shared" ref="G23" si="11">F23/F22-1</f>
        <v>-6.0863353785532204E-2</v>
      </c>
      <c r="H23" s="90">
        <f t="shared" ref="H23" si="12">F23/F11-1</f>
        <v>5.5668599182986389E-2</v>
      </c>
      <c r="I23" s="130">
        <f t="shared" si="0"/>
        <v>5.2174999268293014</v>
      </c>
      <c r="J23" s="130">
        <f t="shared" si="5"/>
        <v>0.23194709897935351</v>
      </c>
      <c r="O23" s="89"/>
      <c r="P23" s="129" t="s">
        <v>189</v>
      </c>
      <c r="Q23" s="116">
        <v>221313795</v>
      </c>
      <c r="R23" s="116">
        <v>285812017582</v>
      </c>
      <c r="S23" s="116">
        <v>42417594.270000003</v>
      </c>
      <c r="T23" s="130">
        <f t="shared" si="10"/>
        <v>5.2174999268293014</v>
      </c>
      <c r="U23" s="78"/>
    </row>
    <row r="24" spans="1:21" hidden="1">
      <c r="A24" s="129" t="s">
        <v>204</v>
      </c>
      <c r="B24" s="131"/>
      <c r="C24" s="131"/>
      <c r="F24" s="78">
        <f>Q24/22</f>
        <v>8725449.8181818184</v>
      </c>
      <c r="G24" s="90">
        <f t="shared" ref="G24" si="13">F24/F23-1</f>
        <v>-0.17206043942349747</v>
      </c>
      <c r="H24" s="90">
        <f t="shared" ref="H24" si="14">F24/F12-1</f>
        <v>7.8313938956255935E-3</v>
      </c>
      <c r="I24" s="130">
        <f t="shared" si="0"/>
        <v>5.0662652506678469</v>
      </c>
      <c r="J24" s="130">
        <f t="shared" si="5"/>
        <v>0.2036047897884028</v>
      </c>
      <c r="O24" s="89"/>
      <c r="P24" s="129" t="s">
        <v>204</v>
      </c>
      <c r="Q24" s="116">
        <v>191959896</v>
      </c>
      <c r="R24" s="116">
        <v>252058787695</v>
      </c>
      <c r="S24" s="116">
        <v>37889823.469999999</v>
      </c>
      <c r="T24" s="130">
        <f t="shared" ref="T24" si="15">Q24/S24</f>
        <v>5.0662652506678469</v>
      </c>
      <c r="U24" s="78"/>
    </row>
    <row r="25" spans="1:21" s="79" customFormat="1" ht="13.2" hidden="1">
      <c r="A25" s="129" t="s">
        <v>219</v>
      </c>
      <c r="B25" s="131">
        <f>SUM(F23:F25)</f>
        <v>29259582.1189337</v>
      </c>
      <c r="C25" s="131">
        <f>AVERAGE(F23:F25)</f>
        <v>9753194.0396445673</v>
      </c>
      <c r="D25" s="90">
        <f>C25/C22-1</f>
        <v>-8.4369847800443432E-2</v>
      </c>
      <c r="E25" s="286">
        <f>C25/C13-1</f>
        <v>9.4113203841237558E-2</v>
      </c>
      <c r="F25" s="78">
        <f>Q25/19</f>
        <v>9995380.1578947362</v>
      </c>
      <c r="G25" s="90">
        <f t="shared" ref="G25" si="16">F25/F24-1</f>
        <v>0.14554325177215244</v>
      </c>
      <c r="H25" s="90">
        <f t="shared" ref="H25" si="17">F25/F13-1</f>
        <v>0.23368117967263213</v>
      </c>
      <c r="I25" s="130">
        <f t="shared" si="0"/>
        <v>5.0876606024161513</v>
      </c>
      <c r="J25" s="130">
        <f t="shared" si="5"/>
        <v>0.20850397348789151</v>
      </c>
      <c r="K25" s="78">
        <f>R23+R24+R25</f>
        <v>789933315242</v>
      </c>
      <c r="L25" s="90">
        <f>U25/U22-1</f>
        <v>-8.795238126890359E-2</v>
      </c>
      <c r="M25" s="90">
        <f>U25/U13-1</f>
        <v>7.2992322089248995E-2</v>
      </c>
      <c r="N25" s="88">
        <f>AVERAGE(T23:T25)</f>
        <v>5.1238085933044326</v>
      </c>
      <c r="O25" s="91">
        <f>N25/N22-1</f>
        <v>4.4671598604325569E-2</v>
      </c>
      <c r="P25" s="129" t="s">
        <v>219</v>
      </c>
      <c r="Q25" s="116">
        <v>189912223</v>
      </c>
      <c r="R25" s="116">
        <v>252062509965</v>
      </c>
      <c r="S25" s="116">
        <v>37328005.509999998</v>
      </c>
      <c r="T25" s="130">
        <f t="shared" ref="T25" si="18">Q25/S25</f>
        <v>5.0876606024161513</v>
      </c>
      <c r="U25" s="85">
        <f>Q23+Q24+Q25</f>
        <v>603185914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8610888.3684210535</v>
      </c>
      <c r="G26" s="90">
        <f t="shared" ref="G26" si="19">F26/F25-1</f>
        <v>-0.13851316984478657</v>
      </c>
      <c r="H26" s="90">
        <f t="shared" ref="H26" si="20">F26/F14-1</f>
        <v>2.4991428893065715E-2</v>
      </c>
      <c r="I26" s="130">
        <f t="shared" si="0"/>
        <v>4.8884029198687351</v>
      </c>
      <c r="J26" s="130">
        <f t="shared" si="5"/>
        <v>0.14945085742253617</v>
      </c>
      <c r="L26" s="90"/>
      <c r="M26" s="90"/>
      <c r="P26" s="129" t="s">
        <v>312</v>
      </c>
      <c r="Q26" s="116">
        <v>163606879</v>
      </c>
      <c r="R26" s="116">
        <v>220579663733</v>
      </c>
      <c r="S26" s="116">
        <v>33468370.280000001</v>
      </c>
      <c r="T26" s="130">
        <f t="shared" ref="T26" si="21">Q26/S26</f>
        <v>4.8884029198687351</v>
      </c>
      <c r="U26" s="78"/>
    </row>
    <row r="27" spans="1:21" s="79" customFormat="1" ht="13.2" hidden="1">
      <c r="A27" s="129" t="s">
        <v>391</v>
      </c>
      <c r="B27" s="131"/>
      <c r="C27" s="131"/>
      <c r="D27" s="132"/>
      <c r="E27" s="286"/>
      <c r="F27" s="78">
        <f>Q27/22</f>
        <v>8605858.0454545449</v>
      </c>
      <c r="G27" s="90">
        <f t="shared" ref="G27" si="22">F27/F26-1</f>
        <v>-5.8418164901041791E-4</v>
      </c>
      <c r="H27" s="90">
        <f t="shared" ref="H27" si="23">F27/F15-1</f>
        <v>0.16470512583165431</v>
      </c>
      <c r="I27" s="130">
        <f t="shared" si="0"/>
        <v>4.9487628564200499</v>
      </c>
      <c r="J27" s="130">
        <f t="shared" si="5"/>
        <v>0.10617842836655877</v>
      </c>
      <c r="L27" s="90"/>
      <c r="M27" s="90"/>
      <c r="P27" s="129" t="s">
        <v>391</v>
      </c>
      <c r="Q27" s="116">
        <v>189328877</v>
      </c>
      <c r="R27" s="116">
        <v>250016159600</v>
      </c>
      <c r="S27" s="116">
        <v>38257819.68</v>
      </c>
      <c r="T27" s="130">
        <f t="shared" ref="T27" si="24">Q27/S27</f>
        <v>4.9487628564200499</v>
      </c>
      <c r="U27" s="78"/>
    </row>
    <row r="28" spans="1:21" s="79" customFormat="1" ht="13.2" hidden="1">
      <c r="A28" s="123" t="s">
        <v>413</v>
      </c>
      <c r="B28" s="131">
        <f>SUM(F26:F28)</f>
        <v>27610973.30861244</v>
      </c>
      <c r="C28" s="131">
        <f>AVERAGE(F26:F28)</f>
        <v>9203657.7695374805</v>
      </c>
      <c r="D28" s="90">
        <f>C28/C25-1</f>
        <v>-5.6344236346918097E-2</v>
      </c>
      <c r="E28" s="286">
        <f>C28/C16-1</f>
        <v>0.18699339286273164</v>
      </c>
      <c r="F28" s="78">
        <f>Q28/19</f>
        <v>10394226.894736841</v>
      </c>
      <c r="G28" s="90">
        <f t="shared" ref="G28" si="25">F28/F27-1</f>
        <v>0.20780831380630072</v>
      </c>
      <c r="H28" s="90">
        <f t="shared" ref="H28" si="26">F28/F16-1</f>
        <v>0.39119089812173802</v>
      </c>
      <c r="I28" s="130">
        <f t="shared" si="0"/>
        <v>5.0769772682807561</v>
      </c>
      <c r="J28" s="130">
        <f t="shared" si="5"/>
        <v>0.10965920882644431</v>
      </c>
      <c r="K28" s="78">
        <f>R26+R27+R28</f>
        <v>728206247518</v>
      </c>
      <c r="L28" s="90">
        <f>U28/U25-1</f>
        <v>-8.7468632432288529E-2</v>
      </c>
      <c r="M28" s="90">
        <f>U28/U16-1</f>
        <v>0.1120930437071852</v>
      </c>
      <c r="N28" s="88">
        <f>AVERAGE(T26:T28)</f>
        <v>4.9713810148565143</v>
      </c>
      <c r="O28" s="91">
        <f>N28/N25-1</f>
        <v>-2.9748882237151442E-2</v>
      </c>
      <c r="P28" s="129" t="s">
        <v>413</v>
      </c>
      <c r="Q28" s="116">
        <v>197490311</v>
      </c>
      <c r="R28" s="116">
        <v>257610424185</v>
      </c>
      <c r="S28" s="116">
        <v>38899191.5</v>
      </c>
      <c r="T28" s="130">
        <f t="shared" ref="T28" si="27">Q28/S28</f>
        <v>5.0769772682807561</v>
      </c>
      <c r="U28" s="85">
        <f>Q26+Q27+Q28</f>
        <v>550426067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10635556.136363637</v>
      </c>
      <c r="G29" s="190">
        <f t="shared" ref="G29" si="28">F29/F28-1</f>
        <v>2.3217623020043376E-2</v>
      </c>
      <c r="H29" s="190">
        <f t="shared" ref="H29" si="29">F29/F17-1</f>
        <v>0.16871809497633383</v>
      </c>
      <c r="I29" s="130">
        <f t="shared" si="0"/>
        <v>5.1098374822955259</v>
      </c>
      <c r="J29" s="130">
        <f t="shared" si="5"/>
        <v>6.8340227460534697E-2</v>
      </c>
      <c r="K29" s="136"/>
      <c r="L29" s="190"/>
      <c r="M29" s="190"/>
      <c r="N29" s="191"/>
      <c r="O29" s="192"/>
      <c r="P29" s="129" t="s">
        <v>427</v>
      </c>
      <c r="Q29" s="116">
        <v>233982235</v>
      </c>
      <c r="R29" s="116">
        <v>307535094696</v>
      </c>
      <c r="S29" s="116">
        <v>45790543.399999999</v>
      </c>
      <c r="T29" s="130">
        <f t="shared" ref="T29" si="30">Q29/S29</f>
        <v>5.1098374822955259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10572038.789473685</v>
      </c>
      <c r="G30" s="190">
        <f t="shared" ref="G30" si="31">F30/F29-1</f>
        <v>-5.9721697742520785E-3</v>
      </c>
      <c r="H30" s="190">
        <f t="shared" ref="H30" si="32">F30/F18-1</f>
        <v>3.6265923883448403E-2</v>
      </c>
      <c r="I30" s="130">
        <f t="shared" si="0"/>
        <v>4.8892791138165093</v>
      </c>
      <c r="J30" s="130">
        <f t="shared" si="5"/>
        <v>2.2140721599715807E-2</v>
      </c>
      <c r="K30" s="136"/>
      <c r="L30" s="190"/>
      <c r="M30" s="190"/>
      <c r="N30" s="191"/>
      <c r="O30" s="192"/>
      <c r="P30" s="129" t="s">
        <v>469</v>
      </c>
      <c r="Q30" s="116">
        <v>200868737</v>
      </c>
      <c r="R30" s="116">
        <v>267632723840</v>
      </c>
      <c r="S30" s="116">
        <v>41083507.880000003</v>
      </c>
      <c r="T30" s="130">
        <f t="shared" ref="T30" si="33">Q30/S30</f>
        <v>4.8892791138165093</v>
      </c>
      <c r="U30" s="85"/>
    </row>
    <row r="31" spans="1:21" s="79" customFormat="1" ht="13.2" hidden="1">
      <c r="A31" s="129" t="s">
        <v>505</v>
      </c>
      <c r="B31" s="188">
        <f>SUM(F29:F31)</f>
        <v>31834212.425837323</v>
      </c>
      <c r="C31" s="188">
        <f>AVERAGE(F29:F31)</f>
        <v>10611404.141945774</v>
      </c>
      <c r="D31" s="190">
        <f>C31/C28-1</f>
        <v>0.15295509759909698</v>
      </c>
      <c r="E31" s="287">
        <f>C31/C19-1</f>
        <v>0.13553500391198225</v>
      </c>
      <c r="F31" s="136">
        <f>Q31/20</f>
        <v>10626617.5</v>
      </c>
      <c r="G31" s="190">
        <f t="shared" ref="G31" si="34">F31/F30-1</f>
        <v>5.1625529959895555E-3</v>
      </c>
      <c r="H31" s="190">
        <f t="shared" ref="H31" si="35">F31/F19-1</f>
        <v>0.21693111130983911</v>
      </c>
      <c r="I31" s="130">
        <f t="shared" si="0"/>
        <v>4.9242947725865047</v>
      </c>
      <c r="J31" s="130">
        <f t="shared" si="5"/>
        <v>5.9635669587917661E-2</v>
      </c>
      <c r="K31" s="136">
        <f>R29+R30+R31</f>
        <v>857360970052</v>
      </c>
      <c r="L31" s="190">
        <f>U31/U28-1</f>
        <v>0.17614946095930439</v>
      </c>
      <c r="M31" s="190">
        <f>U31/U19-1</f>
        <v>0.11973889368597312</v>
      </c>
      <c r="N31" s="191">
        <f>AVERAGE(T29:T31)</f>
        <v>4.9744704562328463</v>
      </c>
      <c r="O31" s="192">
        <f>N31/N28-1</f>
        <v>6.214453020396693E-4</v>
      </c>
      <c r="P31" s="129" t="s">
        <v>506</v>
      </c>
      <c r="Q31" s="116">
        <v>212532350</v>
      </c>
      <c r="R31" s="116">
        <v>282193151516</v>
      </c>
      <c r="S31" s="116">
        <v>43159956.869999997</v>
      </c>
      <c r="T31" s="130">
        <f t="shared" ref="T31" si="36">Q31/S31</f>
        <v>4.9242947725865047</v>
      </c>
      <c r="U31" s="85">
        <f>Q29+Q30+Q31</f>
        <v>647383322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10633512.571428571</v>
      </c>
      <c r="G32" s="190">
        <f t="shared" ref="G32" si="37">F32/F31-1</f>
        <v>6.4884912142271212E-4</v>
      </c>
      <c r="H32" s="190">
        <f t="shared" ref="H32" si="38">F32/F20-1</f>
        <v>9.4466772366554652E-2</v>
      </c>
      <c r="I32" s="130">
        <f t="shared" si="0"/>
        <v>4.8470778899864913</v>
      </c>
      <c r="J32" s="130">
        <f t="shared" si="5"/>
        <v>4.4503217597573475E-3</v>
      </c>
      <c r="K32" s="136"/>
      <c r="L32" s="190"/>
      <c r="M32" s="190"/>
      <c r="N32" s="191"/>
      <c r="O32" s="192"/>
      <c r="P32" s="129" t="s">
        <v>571</v>
      </c>
      <c r="Q32" s="116">
        <v>223303764</v>
      </c>
      <c r="R32" s="116">
        <v>303938722961</v>
      </c>
      <c r="S32" s="116">
        <v>46069770.090000004</v>
      </c>
      <c r="T32" s="130">
        <f t="shared" ref="T32" si="39">Q32/S32</f>
        <v>4.8470778899864913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12651524.238095239</v>
      </c>
      <c r="G33" s="190">
        <f t="shared" ref="G33" si="40">F33/F32-1</f>
        <v>0.18977846248932928</v>
      </c>
      <c r="H33" s="190">
        <f t="shared" ref="H33" si="41">F33/F21-1</f>
        <v>0.14823552329727319</v>
      </c>
      <c r="I33" s="130">
        <f t="shared" si="0"/>
        <v>5.3032665927994893</v>
      </c>
      <c r="J33" s="130">
        <f t="shared" si="5"/>
        <v>8.9013549592318109E-2</v>
      </c>
      <c r="K33" s="136"/>
      <c r="L33" s="190"/>
      <c r="M33" s="190"/>
      <c r="N33" s="191"/>
      <c r="O33" s="192"/>
      <c r="P33" s="129" t="s">
        <v>607</v>
      </c>
      <c r="Q33" s="116">
        <v>265682009</v>
      </c>
      <c r="R33" s="116">
        <v>363047996155</v>
      </c>
      <c r="S33" s="116">
        <v>50097803.75</v>
      </c>
      <c r="T33" s="130">
        <f t="shared" ref="T33" si="42">Q33/S33</f>
        <v>5.3032665927994893</v>
      </c>
      <c r="U33" s="85"/>
    </row>
    <row r="34" spans="1:21" s="79" customFormat="1" ht="13.2" hidden="1">
      <c r="A34" s="129" t="s">
        <v>652</v>
      </c>
      <c r="B34" s="188">
        <f>SUM(F32:F34)</f>
        <v>35959819.177944861</v>
      </c>
      <c r="C34" s="188">
        <f>AVERAGE(F32:F34)</f>
        <v>11986606.392648287</v>
      </c>
      <c r="D34" s="190">
        <f>C34/C31-1</f>
        <v>0.12959663323598081</v>
      </c>
      <c r="E34" s="287">
        <f>C34/C22-1</f>
        <v>0.12530297162596971</v>
      </c>
      <c r="F34" s="136">
        <f>Q34/19</f>
        <v>12674782.368421054</v>
      </c>
      <c r="G34" s="190">
        <f t="shared" ref="G34" si="43">F34/F33-1</f>
        <v>1.8383658670773073E-3</v>
      </c>
      <c r="H34" s="190">
        <f t="shared" ref="H34" si="44">F34/F22-1</f>
        <v>0.12948406449097094</v>
      </c>
      <c r="I34" s="130">
        <f t="shared" si="0"/>
        <v>5.2582133282114381</v>
      </c>
      <c r="J34" s="130">
        <f t="shared" si="5"/>
        <v>4.7717779308827035E-2</v>
      </c>
      <c r="K34" s="136">
        <f>R32+R33+R34</f>
        <v>998147731881</v>
      </c>
      <c r="L34" s="190">
        <f>U34/U31-1</f>
        <v>0.12731763886867631</v>
      </c>
      <c r="M34" s="190">
        <f>U34/U22-1</f>
        <v>0.10350455949481496</v>
      </c>
      <c r="N34" s="191">
        <f>AVERAGE(T32:T34)</f>
        <v>5.1361859369991398</v>
      </c>
      <c r="O34" s="192">
        <f>N34/N31-1</f>
        <v>3.2509084572744706E-2</v>
      </c>
      <c r="P34" s="129" t="s">
        <v>652</v>
      </c>
      <c r="Q34" s="116">
        <v>240820865</v>
      </c>
      <c r="R34" s="116">
        <v>331161012765</v>
      </c>
      <c r="S34" s="116">
        <v>45798991.020000003</v>
      </c>
      <c r="T34" s="130">
        <f t="shared" ref="T34" si="45">Q34/S34</f>
        <v>5.2582133282114381</v>
      </c>
      <c r="U34" s="85">
        <f>Q32+Q33+Q34</f>
        <v>729806638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11945825.652173912</v>
      </c>
      <c r="G35" s="190">
        <f t="shared" ref="G35" si="46">F35/F34-1</f>
        <v>-5.751236550327854E-2</v>
      </c>
      <c r="H35" s="190">
        <f t="shared" ref="H35" si="47">F35/F23-1</f>
        <v>0.13351424250644728</v>
      </c>
      <c r="I35" s="130">
        <f t="shared" si="0"/>
        <v>5.1391539913969266</v>
      </c>
      <c r="J35" s="130">
        <f t="shared" si="5"/>
        <v>-1.5015991668635431E-2</v>
      </c>
      <c r="K35" s="136"/>
      <c r="L35" s="190"/>
      <c r="M35" s="190"/>
      <c r="N35" s="191"/>
      <c r="O35" s="192"/>
      <c r="P35" s="129" t="s">
        <v>660</v>
      </c>
      <c r="Q35" s="116">
        <v>274753990</v>
      </c>
      <c r="R35" s="116">
        <v>380375286852</v>
      </c>
      <c r="S35" s="116">
        <v>53462883.280000001</v>
      </c>
      <c r="T35" s="130">
        <f t="shared" ref="T35" si="48">Q35/S35</f>
        <v>5.1391539913969266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9658219.0476190485</v>
      </c>
      <c r="G36" s="190">
        <f t="shared" ref="G36" si="49">F36/F35-1</f>
        <v>-0.19149840883024793</v>
      </c>
      <c r="H36" s="190">
        <f t="shared" ref="H36" si="50">F36/F24-1</f>
        <v>0.1069021367234908</v>
      </c>
      <c r="I36" s="130">
        <f t="shared" si="0"/>
        <v>5.0368418716522516</v>
      </c>
      <c r="J36" s="130">
        <f t="shared" si="5"/>
        <v>-5.8077059845448309E-3</v>
      </c>
      <c r="K36" s="136"/>
      <c r="L36" s="190"/>
      <c r="M36" s="190"/>
      <c r="N36" s="191"/>
      <c r="O36" s="192"/>
      <c r="P36" s="129" t="s">
        <v>664</v>
      </c>
      <c r="Q36" s="116">
        <v>202822600</v>
      </c>
      <c r="R36" s="116">
        <v>276686516988</v>
      </c>
      <c r="S36" s="116">
        <v>40267811.689999998</v>
      </c>
      <c r="T36" s="130">
        <f t="shared" ref="T36" si="51">Q36/S36</f>
        <v>5.0368418716522516</v>
      </c>
      <c r="U36" s="85"/>
    </row>
    <row r="37" spans="1:21" s="79" customFormat="1" ht="13.2" hidden="1">
      <c r="A37" s="129" t="s">
        <v>702</v>
      </c>
      <c r="B37" s="188">
        <f>SUM(F35:F37)</f>
        <v>30685946.755348515</v>
      </c>
      <c r="C37" s="188">
        <f>AVERAGE(F35:F37)</f>
        <v>10228648.918449504</v>
      </c>
      <c r="D37" s="190">
        <f>C37/C34-1</f>
        <v>-0.14666014855355447</v>
      </c>
      <c r="E37" s="287">
        <f>C37/C25-1</f>
        <v>4.8748633203883562E-2</v>
      </c>
      <c r="F37" s="136">
        <f>Q37/18</f>
        <v>9081902.055555556</v>
      </c>
      <c r="G37" s="190">
        <f t="shared" ref="G37" si="52">F37/F36-1</f>
        <v>-5.9671145293144545E-2</v>
      </c>
      <c r="H37" s="190">
        <f t="shared" ref="H37" si="53">F37/F25-1</f>
        <v>-9.1390030985232684E-2</v>
      </c>
      <c r="I37" s="130">
        <f t="shared" si="0"/>
        <v>4.8809867265972242</v>
      </c>
      <c r="J37" s="130">
        <f t="shared" si="5"/>
        <v>-4.0622575279643636E-2</v>
      </c>
      <c r="K37" s="136">
        <f>R35+R36+R37</f>
        <v>875236567840</v>
      </c>
      <c r="L37" s="190">
        <f>U37/U34-1</f>
        <v>-0.12161551619101607</v>
      </c>
      <c r="M37" s="190">
        <f>U37/U25-1</f>
        <v>6.2774862809545029E-2</v>
      </c>
      <c r="N37" s="191">
        <f>AVERAGE(T35:T37)</f>
        <v>5.0189941965488005</v>
      </c>
      <c r="O37" s="192">
        <f>N37/N34-1</f>
        <v>-2.2816880441600573E-2</v>
      </c>
      <c r="P37" s="129" t="s">
        <v>702</v>
      </c>
      <c r="Q37" s="116">
        <v>163474237</v>
      </c>
      <c r="R37" s="116">
        <v>218174764000</v>
      </c>
      <c r="S37" s="116">
        <v>33492047.030000001</v>
      </c>
      <c r="T37" s="130">
        <f t="shared" ref="T37" si="54">Q37/S37</f>
        <v>4.8809867265972242</v>
      </c>
      <c r="U37" s="85">
        <f>Q35+Q36+Q37</f>
        <v>641050827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9125205.5</v>
      </c>
      <c r="G38" s="190">
        <f t="shared" ref="G38" si="55">F38/F37-1</f>
        <v>4.7681030008415171E-3</v>
      </c>
      <c r="H38" s="190">
        <f t="shared" ref="H38" si="56">F38/F26-1</f>
        <v>5.9728695759791339E-2</v>
      </c>
      <c r="I38" s="130">
        <f t="shared" si="0"/>
        <v>4.6877504314067178</v>
      </c>
      <c r="J38" s="130">
        <f t="shared" si="5"/>
        <v>-4.1046634606667243E-2</v>
      </c>
      <c r="K38" s="136"/>
      <c r="L38" s="190"/>
      <c r="M38" s="190"/>
      <c r="N38" s="191"/>
      <c r="O38" s="192"/>
      <c r="P38" s="129" t="s">
        <v>728</v>
      </c>
      <c r="Q38" s="116">
        <v>182504110</v>
      </c>
      <c r="R38" s="116">
        <v>246280275347</v>
      </c>
      <c r="S38" s="116">
        <v>38932130.170000002</v>
      </c>
      <c r="T38" s="130">
        <f t="shared" ref="T38" si="57">Q38/S38</f>
        <v>4.6877504314067178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9462383.2857142854</v>
      </c>
      <c r="G39" s="190">
        <f t="shared" ref="G39" si="58">F39/F38-1</f>
        <v>3.6950158077457607E-2</v>
      </c>
      <c r="H39" s="190">
        <f t="shared" ref="H39" si="59">F39/F27-1</f>
        <v>9.9528162762589467E-2</v>
      </c>
      <c r="I39" s="130">
        <f t="shared" si="0"/>
        <v>4.8994348708779478</v>
      </c>
      <c r="J39" s="130">
        <f t="shared" si="5"/>
        <v>-9.9677408219528418E-3</v>
      </c>
      <c r="K39" s="136"/>
      <c r="L39" s="190"/>
      <c r="M39" s="190"/>
      <c r="N39" s="191"/>
      <c r="O39" s="192"/>
      <c r="P39" s="129" t="s">
        <v>762</v>
      </c>
      <c r="Q39" s="116">
        <v>198710049</v>
      </c>
      <c r="R39" s="116">
        <v>276302333920</v>
      </c>
      <c r="S39" s="116">
        <v>40557748.850000001</v>
      </c>
      <c r="T39" s="130">
        <f t="shared" ref="T39" si="60">Q39/S39</f>
        <v>4.8994348708779478</v>
      </c>
      <c r="U39" s="85"/>
    </row>
    <row r="40" spans="1:21" s="79" customFormat="1" ht="13.2" hidden="1">
      <c r="A40" s="129" t="s">
        <v>778</v>
      </c>
      <c r="B40" s="188">
        <f>SUM(F38:F40)</f>
        <v>28201750.071428567</v>
      </c>
      <c r="C40" s="188">
        <f>AVERAGE(F38:F40)</f>
        <v>9400583.3571428563</v>
      </c>
      <c r="D40" s="190">
        <f>C40/C37-1</f>
        <v>-8.095551699042669E-2</v>
      </c>
      <c r="E40" s="287">
        <f>C40/C28-1</f>
        <v>2.139644829658538E-2</v>
      </c>
      <c r="F40" s="136">
        <f>Q40/21</f>
        <v>9614161.2857142854</v>
      </c>
      <c r="G40" s="190">
        <f t="shared" ref="G40" si="61">F40/F39-1</f>
        <v>1.6040145005449702E-2</v>
      </c>
      <c r="H40" s="190">
        <f t="shared" ref="H40" si="62">F40/F28-1</f>
        <v>-7.5047968157934353E-2</v>
      </c>
      <c r="I40" s="130">
        <f t="shared" si="0"/>
        <v>4.816247288208058</v>
      </c>
      <c r="J40" s="130">
        <f t="shared" si="5"/>
        <v>-5.135535699591387E-2</v>
      </c>
      <c r="K40" s="136">
        <f>R38+R39+R40</f>
        <v>809350469787</v>
      </c>
      <c r="L40" s="190">
        <f>U40/U37-1</f>
        <v>-9.0381727251090505E-2</v>
      </c>
      <c r="M40" s="190">
        <f>U40/U28-1</f>
        <v>5.9382142234190471E-2</v>
      </c>
      <c r="N40" s="191">
        <f>AVERAGE(T38:T40)</f>
        <v>4.8011441968309079</v>
      </c>
      <c r="O40" s="192">
        <f>N40/N37-1</f>
        <v>-4.3405110902039357E-2</v>
      </c>
      <c r="P40" s="129" t="s">
        <v>778</v>
      </c>
      <c r="Q40" s="116">
        <v>201897387</v>
      </c>
      <c r="R40" s="116">
        <v>286767860520</v>
      </c>
      <c r="S40" s="116">
        <v>41920062.43</v>
      </c>
      <c r="T40" s="130">
        <f t="shared" ref="T40" si="63">Q40/S40</f>
        <v>4.816247288208058</v>
      </c>
      <c r="U40" s="85">
        <f>Q38+Q39+Q40</f>
        <v>583111546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11190818.444444444</v>
      </c>
      <c r="G41" s="190">
        <f t="shared" ref="G41" si="64">F41/F40-1</f>
        <v>0.16399320875476864</v>
      </c>
      <c r="H41" s="190">
        <f t="shared" ref="H41" si="65">F41/F29-1</f>
        <v>5.220811220038879E-2</v>
      </c>
      <c r="I41" s="130">
        <f t="shared" si="0"/>
        <v>4.8404565996494018</v>
      </c>
      <c r="J41" s="130">
        <f t="shared" si="5"/>
        <v>-5.2718092029241714E-2</v>
      </c>
      <c r="K41" s="193"/>
      <c r="L41" s="190"/>
      <c r="M41" s="190"/>
      <c r="N41" s="193"/>
      <c r="O41" s="193"/>
      <c r="P41" s="129" t="s">
        <v>792</v>
      </c>
      <c r="Q41" s="116">
        <v>201434732</v>
      </c>
      <c r="R41" s="116">
        <v>294498602216</v>
      </c>
      <c r="S41" s="116">
        <v>41614820.390000001</v>
      </c>
      <c r="T41" s="130">
        <f t="shared" ref="T41" si="66">Q41/S41</f>
        <v>4.8404565996494018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10322707.5</v>
      </c>
      <c r="G42" s="190">
        <f t="shared" ref="G42" si="67">F42/F41-1</f>
        <v>-7.7573499092500109E-2</v>
      </c>
      <c r="H42" s="190">
        <f t="shared" ref="H42" si="68">F42/F30-1</f>
        <v>-2.3584030898745612E-2</v>
      </c>
      <c r="I42" s="130">
        <f t="shared" si="0"/>
        <v>4.6888616648562778</v>
      </c>
      <c r="J42" s="130">
        <f t="shared" si="5"/>
        <v>-4.0991206330167618E-2</v>
      </c>
      <c r="K42" s="193"/>
      <c r="L42" s="190"/>
      <c r="M42" s="190"/>
      <c r="N42" s="193"/>
      <c r="O42" s="193"/>
      <c r="P42" s="129" t="s">
        <v>826</v>
      </c>
      <c r="Q42" s="116">
        <v>206454150</v>
      </c>
      <c r="R42" s="116">
        <v>298490737844</v>
      </c>
      <c r="S42" s="116">
        <v>44030761.57</v>
      </c>
      <c r="T42" s="130">
        <f t="shared" ref="T42" si="69">Q42/S42</f>
        <v>4.6888616648562778</v>
      </c>
      <c r="U42" s="78"/>
    </row>
    <row r="43" spans="1:21" s="79" customFormat="1" ht="13.2">
      <c r="A43" s="129" t="s">
        <v>835</v>
      </c>
      <c r="B43" s="188">
        <f>SUM(F41:F43)</f>
        <v>32325599.194444444</v>
      </c>
      <c r="C43" s="188">
        <f>AVERAGE(F41:F43)</f>
        <v>10775199.731481481</v>
      </c>
      <c r="D43" s="190">
        <f>C43/C40-1</f>
        <v>0.14622670978117003</v>
      </c>
      <c r="E43" s="287">
        <f>C43/C31-1</f>
        <v>1.5435807301716231E-2</v>
      </c>
      <c r="F43" s="136">
        <f>Q43/20</f>
        <v>10812073.25</v>
      </c>
      <c r="G43" s="190">
        <f t="shared" ref="G43" si="70">F43/F42-1</f>
        <v>4.7406724447050408E-2</v>
      </c>
      <c r="H43" s="190">
        <f t="shared" ref="H43" si="71">F43/F31-1</f>
        <v>1.7452002012870116E-2</v>
      </c>
      <c r="I43" s="130">
        <f t="shared" si="0"/>
        <v>4.6662531081849412</v>
      </c>
      <c r="J43" s="130">
        <f t="shared" si="5"/>
        <v>-5.2401750162902272E-2</v>
      </c>
      <c r="K43" s="136">
        <f>R41+R42+R43</f>
        <v>906534771152</v>
      </c>
      <c r="L43" s="190">
        <f>U43/U40-1</f>
        <v>7.034469010497002E-2</v>
      </c>
      <c r="M43" s="190">
        <f>K43/K31-1</f>
        <v>5.7354839813873904E-2</v>
      </c>
      <c r="N43" s="191">
        <f>AVERAGE(T41:T43)</f>
        <v>4.7318571242302072</v>
      </c>
      <c r="O43" s="192">
        <f>N43/N40-1</f>
        <v>-1.4431366724297678E-2</v>
      </c>
      <c r="P43" s="129" t="s">
        <v>835</v>
      </c>
      <c r="Q43" s="116">
        <v>216241465</v>
      </c>
      <c r="R43" s="116">
        <v>313545431092</v>
      </c>
      <c r="S43" s="116">
        <v>46341563.560000002</v>
      </c>
      <c r="T43" s="130">
        <f t="shared" ref="T43" si="72">Q43/S43</f>
        <v>4.6662531081849412</v>
      </c>
      <c r="U43" s="85">
        <f>Q41+Q42+Q43</f>
        <v>624130347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10812040.818181818</v>
      </c>
      <c r="G44" s="190">
        <f t="shared" ref="G44" si="73">F44/F43-1</f>
        <v>-2.9995929025083967E-6</v>
      </c>
      <c r="H44" s="190">
        <f t="shared" ref="H44" si="74">F44/F32-1</f>
        <v>1.6789207287245755E-2</v>
      </c>
      <c r="I44" s="130">
        <f t="shared" si="0"/>
        <v>5.0958250740657922</v>
      </c>
      <c r="J44" s="130">
        <f t="shared" si="5"/>
        <v>5.1318998729767529E-2</v>
      </c>
      <c r="K44" s="136"/>
      <c r="L44" s="190"/>
      <c r="M44" s="190"/>
      <c r="N44" s="191"/>
      <c r="O44" s="192"/>
      <c r="P44" s="129" t="s">
        <v>843</v>
      </c>
      <c r="Q44" s="116">
        <v>237864898</v>
      </c>
      <c r="R44" s="116">
        <v>344638925387</v>
      </c>
      <c r="S44" s="116">
        <v>46678387.609999999</v>
      </c>
      <c r="T44" s="130">
        <f t="shared" ref="T44" si="75">Q44/S44</f>
        <v>5.0958250740657922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12496262.85</v>
      </c>
      <c r="G45" s="190">
        <f t="shared" ref="G45" si="76">F45/F44-1</f>
        <v>0.15577281478497085</v>
      </c>
      <c r="H45" s="190">
        <f t="shared" ref="H45" si="77">F45/F33-1</f>
        <v>-1.2272148807787819E-2</v>
      </c>
      <c r="I45" s="130">
        <f t="shared" si="0"/>
        <v>5.35679783743144</v>
      </c>
      <c r="J45" s="130">
        <f t="shared" si="5"/>
        <v>1.0094013509453381E-2</v>
      </c>
      <c r="K45" s="136"/>
      <c r="L45" s="190"/>
      <c r="M45" s="190"/>
      <c r="N45" s="191"/>
      <c r="O45" s="192"/>
      <c r="P45" s="129" t="s">
        <v>849</v>
      </c>
      <c r="Q45" s="116">
        <v>249925257</v>
      </c>
      <c r="R45" s="116">
        <v>351982175131</v>
      </c>
      <c r="S45" s="116">
        <v>46655719.439999998</v>
      </c>
      <c r="T45" s="130">
        <f t="shared" ref="T45" si="78">Q45/S45</f>
        <v>5.35679783743144</v>
      </c>
      <c r="U45" s="85"/>
    </row>
    <row r="46" spans="1:21" s="79" customFormat="1" ht="13.2">
      <c r="A46" s="129" t="s">
        <v>888</v>
      </c>
      <c r="B46" s="188">
        <f>SUM(F44:F46)</f>
        <v>34988163.77344498</v>
      </c>
      <c r="C46" s="188">
        <f>AVERAGE(F44:F46)</f>
        <v>11662721.257814994</v>
      </c>
      <c r="D46" s="190">
        <f>C46/C43-1</f>
        <v>8.2367060328401687E-2</v>
      </c>
      <c r="E46" s="287">
        <f>C46/C34-1</f>
        <v>-2.7020586496603438E-2</v>
      </c>
      <c r="F46" s="136">
        <f>Q46/19</f>
        <v>11679860.105263159</v>
      </c>
      <c r="G46" s="190">
        <f t="shared" ref="G46" si="79">F46/F45-1</f>
        <v>-6.533175194348928E-2</v>
      </c>
      <c r="H46" s="190">
        <f t="shared" ref="H46" si="80">F46/F34-1</f>
        <v>-7.8496200900200264E-2</v>
      </c>
      <c r="I46" s="130">
        <f t="shared" si="0"/>
        <v>5.1214937588165732</v>
      </c>
      <c r="J46" s="130">
        <f t="shared" si="5"/>
        <v>-2.6001145419744631E-2</v>
      </c>
      <c r="K46" s="136">
        <f>R44+R45+R46</f>
        <v>1000552817822</v>
      </c>
      <c r="L46" s="190">
        <f>U46/U43-1</f>
        <v>0.13711422687799546</v>
      </c>
      <c r="M46" s="190">
        <f>K46/K34-1</f>
        <v>2.4095490719271417E-3</v>
      </c>
      <c r="N46" s="191">
        <f>AVERAGE(T44:T46)</f>
        <v>5.1913722234379351</v>
      </c>
      <c r="O46" s="192">
        <f>N46/N43-1</f>
        <v>9.7110941252792626E-2</v>
      </c>
      <c r="P46" s="129" t="s">
        <v>888</v>
      </c>
      <c r="Q46" s="116">
        <v>221917342</v>
      </c>
      <c r="R46" s="116">
        <v>303931717304</v>
      </c>
      <c r="S46" s="116">
        <v>43330589.170000002</v>
      </c>
      <c r="T46" s="130">
        <f t="shared" ref="T46" si="81">Q46/S46</f>
        <v>5.1214937588165732</v>
      </c>
      <c r="U46" s="85">
        <f t="shared" ref="U46:U51" si="82">Q44+Q45+Q46</f>
        <v>709707497</v>
      </c>
    </row>
    <row r="47" spans="1:21" s="79" customFormat="1" ht="13.2">
      <c r="A47" s="129" t="s">
        <v>995</v>
      </c>
      <c r="B47" s="188"/>
      <c r="C47" s="188"/>
      <c r="D47" s="190"/>
      <c r="E47" s="287"/>
      <c r="F47" s="136">
        <f>Q47/23</f>
        <v>9486846.3043478262</v>
      </c>
      <c r="G47" s="190">
        <f t="shared" ref="G47" si="83">F47/F46-1</f>
        <v>-0.18776027975943999</v>
      </c>
      <c r="H47" s="190">
        <f t="shared" ref="H47" si="84">F47/F35-1</f>
        <v>-0.20584423541947461</v>
      </c>
      <c r="I47" s="130">
        <f t="shared" si="0"/>
        <v>5.3166759693089185</v>
      </c>
      <c r="J47" s="130">
        <f t="shared" si="5"/>
        <v>3.4543035334058558E-2</v>
      </c>
      <c r="K47" s="136"/>
      <c r="L47" s="190"/>
      <c r="M47" s="190"/>
      <c r="N47" s="191"/>
      <c r="O47" s="192"/>
      <c r="P47" s="129" t="s">
        <v>991</v>
      </c>
      <c r="Q47" s="116">
        <v>218197465</v>
      </c>
      <c r="R47" s="116">
        <v>299419567459</v>
      </c>
      <c r="S47" s="116">
        <v>41040203.740000002</v>
      </c>
      <c r="T47" s="130">
        <f t="shared" ref="T47" si="85">Q47/S47</f>
        <v>5.3166759693089185</v>
      </c>
      <c r="U47" s="85">
        <f t="shared" si="82"/>
        <v>690040064</v>
      </c>
    </row>
    <row r="48" spans="1:21" s="79" customFormat="1" ht="13.2">
      <c r="A48" s="129" t="s">
        <v>1075</v>
      </c>
      <c r="B48" s="188"/>
      <c r="C48" s="188"/>
      <c r="D48" s="190"/>
      <c r="E48" s="287"/>
      <c r="F48" s="136">
        <f>Q48/20</f>
        <v>7643025.5499999998</v>
      </c>
      <c r="G48" s="190">
        <f t="shared" ref="G48" si="86">F48/F47-1</f>
        <v>-0.19435549973048494</v>
      </c>
      <c r="H48" s="190">
        <f t="shared" ref="H48" si="87">F48/F36-1</f>
        <v>-0.20865063089616254</v>
      </c>
      <c r="I48" s="130">
        <f t="shared" si="0"/>
        <v>5.0468993456322986</v>
      </c>
      <c r="J48" s="130">
        <f t="shared" si="5"/>
        <v>1.9967817605415217E-3</v>
      </c>
      <c r="K48" s="136"/>
      <c r="L48" s="190"/>
      <c r="M48" s="190"/>
      <c r="N48" s="191"/>
      <c r="O48" s="192"/>
      <c r="P48" s="129" t="s">
        <v>1120</v>
      </c>
      <c r="Q48" s="116">
        <v>152860511</v>
      </c>
      <c r="R48" s="116">
        <v>212175293972</v>
      </c>
      <c r="S48" s="116">
        <v>30288004.68</v>
      </c>
      <c r="T48" s="130">
        <f t="shared" ref="T48" si="88">Q48/S48</f>
        <v>5.0468993456322986</v>
      </c>
      <c r="U48" s="85">
        <f t="shared" si="82"/>
        <v>592975318</v>
      </c>
    </row>
    <row r="49" spans="1:26" ht="13.2">
      <c r="A49" s="129" t="s">
        <v>1158</v>
      </c>
      <c r="B49" s="188">
        <f>SUM(F47:F49)</f>
        <v>24738021.627075098</v>
      </c>
      <c r="C49" s="188">
        <f>AVERAGE(F47:F49)</f>
        <v>8246007.2090250328</v>
      </c>
      <c r="D49" s="190">
        <f>C49/C46-1</f>
        <v>-0.29296027687367376</v>
      </c>
      <c r="E49" s="287">
        <f>C49/C37-1</f>
        <v>-0.19383221823640495</v>
      </c>
      <c r="F49" s="136">
        <f>Q49/22</f>
        <v>7608149.7727272725</v>
      </c>
      <c r="G49" s="190">
        <f t="shared" ref="G49" si="89">F49/F48-1</f>
        <v>-4.5630852657201348E-3</v>
      </c>
      <c r="H49" s="190">
        <f t="shared" ref="H49" si="90">F49/F37-1</f>
        <v>-0.16227352748500123</v>
      </c>
      <c r="I49" s="130">
        <f t="shared" si="0"/>
        <v>4.6564673203949605</v>
      </c>
      <c r="J49" s="130">
        <f t="shared" si="5"/>
        <v>-4.5998774177939072E-2</v>
      </c>
      <c r="K49" s="136">
        <f>R47+R48+R49</f>
        <v>744260779731</v>
      </c>
      <c r="L49" s="190">
        <f>U49/U46-1</f>
        <v>-0.24132509058164842</v>
      </c>
      <c r="M49" s="190">
        <f>K49/K37-1</f>
        <v>-0.1496461561612259</v>
      </c>
      <c r="N49" s="191">
        <f>AVERAGE(T47:T49)</f>
        <v>5.0066808784453931</v>
      </c>
      <c r="O49" s="192">
        <f>N49/N46-1</f>
        <v>-3.5576594596453681E-2</v>
      </c>
      <c r="P49" s="129" t="s">
        <v>1168</v>
      </c>
      <c r="Q49" s="116">
        <v>167379295</v>
      </c>
      <c r="R49" s="116">
        <v>232665918300</v>
      </c>
      <c r="S49" s="116">
        <v>35945553.460000001</v>
      </c>
      <c r="T49" s="130">
        <f t="shared" ref="T49" si="91">Q49/S49</f>
        <v>4.6564673203949605</v>
      </c>
      <c r="U49" s="85">
        <f t="shared" si="82"/>
        <v>538437271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7839657.444444444</v>
      </c>
      <c r="G50" s="190">
        <f t="shared" ref="G50" si="92">F50/F49-1</f>
        <v>3.0428905664692696E-2</v>
      </c>
      <c r="H50" s="190">
        <f t="shared" ref="H50" si="93">F50/F38-1</f>
        <v>-0.14087880602311431</v>
      </c>
      <c r="I50" s="130">
        <f t="shared" ref="I50" si="94">T50</f>
        <v>4.7042088384702732</v>
      </c>
      <c r="J50" s="130">
        <f t="shared" ref="J50" si="95">I50/I38-1</f>
        <v>3.5109392670071848E-3</v>
      </c>
      <c r="K50" s="136"/>
      <c r="L50" s="190"/>
      <c r="M50" s="190"/>
      <c r="N50" s="191"/>
      <c r="O50" s="192"/>
      <c r="P50" s="129" t="s">
        <v>1291</v>
      </c>
      <c r="Q50" s="116">
        <v>141113834</v>
      </c>
      <c r="R50" s="116">
        <v>199540259284</v>
      </c>
      <c r="S50" s="116">
        <v>29997357.440000001</v>
      </c>
      <c r="T50" s="130">
        <f t="shared" ref="T50" si="96">Q50/S50</f>
        <v>4.7042088384702732</v>
      </c>
      <c r="U50" s="85">
        <f t="shared" si="82"/>
        <v>461353640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7704165.6500000004</v>
      </c>
      <c r="G51" s="190">
        <f t="shared" ref="G51:G52" si="97">F51/F50-1</f>
        <v>-1.7282871784207843E-2</v>
      </c>
      <c r="H51" s="190">
        <f t="shared" ref="H51:H52" si="98">F51/F39-1</f>
        <v>-0.18581128904054567</v>
      </c>
      <c r="I51" s="130">
        <f t="shared" ref="I51:I52" si="99">T51</f>
        <v>4.783215319009666</v>
      </c>
      <c r="J51" s="130">
        <f t="shared" ref="J51:J52" si="100">I51/I39-1</f>
        <v>-2.3721011694447958E-2</v>
      </c>
      <c r="K51" s="136"/>
      <c r="L51" s="190"/>
      <c r="M51" s="190"/>
      <c r="N51" s="191"/>
      <c r="O51" s="192"/>
      <c r="P51" s="129" t="s">
        <v>1402</v>
      </c>
      <c r="Q51" s="116">
        <v>154083313</v>
      </c>
      <c r="R51" s="116">
        <v>223493392450</v>
      </c>
      <c r="S51" s="116">
        <v>32213334.07</v>
      </c>
      <c r="T51" s="130">
        <f t="shared" ref="T51:T52" si="101">Q51/S51</f>
        <v>4.783215319009666</v>
      </c>
      <c r="U51" s="85">
        <f t="shared" si="82"/>
        <v>462576442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24176821.548989899</v>
      </c>
      <c r="C52" s="188">
        <f>AVERAGE(F50:F52)</f>
        <v>8058940.5163299665</v>
      </c>
      <c r="D52" s="190">
        <f>C52/C49-1</f>
        <v>-2.268572994822593E-2</v>
      </c>
      <c r="E52" s="287">
        <f>C52/C40-1</f>
        <v>-0.14271910474507599</v>
      </c>
      <c r="F52" s="136">
        <f>Q52/22</f>
        <v>8632998.4545454551</v>
      </c>
      <c r="G52" s="190">
        <f t="shared" si="97"/>
        <v>0.12056241347114005</v>
      </c>
      <c r="H52" s="190">
        <f t="shared" si="98"/>
        <v>-0.10205391838253675</v>
      </c>
      <c r="I52" s="130">
        <f t="shared" si="99"/>
        <v>5.0043002298997434</v>
      </c>
      <c r="J52" s="130">
        <f t="shared" si="100"/>
        <v>3.904553284714174E-2</v>
      </c>
      <c r="K52" s="136">
        <f>R50+R51+R52</f>
        <v>702511421649</v>
      </c>
      <c r="L52" s="190">
        <f>U52/U49-1</f>
        <v>-9.9016470202709983E-2</v>
      </c>
      <c r="M52" s="190">
        <f>K52/K40-1</f>
        <v>-0.13200591353967739</v>
      </c>
      <c r="N52" s="191">
        <f>AVERAGE(T50:T52)</f>
        <v>4.8305747957932281</v>
      </c>
      <c r="O52" s="192">
        <f>N52/N49-1</f>
        <v>-3.5174217595998813E-2</v>
      </c>
      <c r="P52" s="129" t="s">
        <v>1403</v>
      </c>
      <c r="Q52" s="116">
        <v>189925966</v>
      </c>
      <c r="R52" s="116">
        <v>279477769915</v>
      </c>
      <c r="S52" s="116">
        <v>37952552.259999998</v>
      </c>
      <c r="T52" s="130">
        <f t="shared" si="101"/>
        <v>5.0043002298997434</v>
      </c>
      <c r="U52" s="85">
        <f t="shared" ref="U52" si="102">Q50+Q51+Q52</f>
        <v>485123113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9451313</v>
      </c>
      <c r="G53" s="190">
        <f t="shared" ref="G53" si="103">F53/F52-1</f>
        <v>9.4789145366252825E-2</v>
      </c>
      <c r="H53" s="190">
        <f t="shared" ref="H53" si="104">F53/F41-1</f>
        <v>-0.15544041332455016</v>
      </c>
      <c r="I53" s="130">
        <f t="shared" ref="I53" si="105">T53</f>
        <v>5.0619041169961942</v>
      </c>
      <c r="J53" s="130">
        <f t="shared" ref="J53" si="106">I53/I41-1</f>
        <v>4.574930335349614E-2</v>
      </c>
      <c r="K53" s="136"/>
      <c r="L53" s="190"/>
      <c r="M53" s="190"/>
      <c r="N53" s="191"/>
      <c r="O53" s="192"/>
      <c r="P53" s="129" t="s">
        <v>1414</v>
      </c>
      <c r="Q53" s="116">
        <v>198477573</v>
      </c>
      <c r="R53" s="116">
        <v>289428942699</v>
      </c>
      <c r="S53" s="116">
        <v>39210061.75</v>
      </c>
      <c r="T53" s="130">
        <f t="shared" ref="T53" si="107">Q53/S53</f>
        <v>5.0619041169961942</v>
      </c>
      <c r="U53" s="85">
        <f t="shared" ref="U53" si="108">Q51+Q52+Q53</f>
        <v>542486852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9980112.1764705889</v>
      </c>
      <c r="G54" s="190">
        <f t="shared" ref="G54" si="109">F54/F53-1</f>
        <v>5.594981104430552E-2</v>
      </c>
      <c r="H54" s="190">
        <f t="shared" ref="H54" si="110">F54/F42-1</f>
        <v>-3.3188514111187506E-2</v>
      </c>
      <c r="I54" s="130">
        <f t="shared" ref="I54" si="111">T54</f>
        <v>5.0840428565887645</v>
      </c>
      <c r="J54" s="130">
        <f t="shared" ref="J54" si="112">I54/I42-1</f>
        <v>8.4280838288412152E-2</v>
      </c>
      <c r="K54" s="136"/>
      <c r="L54" s="190"/>
      <c r="M54" s="190"/>
      <c r="N54" s="191"/>
      <c r="O54" s="192"/>
      <c r="P54" s="129" t="s">
        <v>1417</v>
      </c>
      <c r="Q54" s="116">
        <v>169661907</v>
      </c>
      <c r="R54" s="116">
        <v>245706648257</v>
      </c>
      <c r="S54" s="116">
        <v>33371454.920000002</v>
      </c>
      <c r="T54" s="130">
        <f t="shared" ref="T54" si="113">Q54/S54</f>
        <v>5.0840428565887645</v>
      </c>
      <c r="U54" s="85">
        <f t="shared" ref="U54" si="114">Q52+Q53+Q54</f>
        <v>558065446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28397925.700280115</v>
      </c>
      <c r="C55" s="188">
        <f>AVERAGE(F53:F55)</f>
        <v>9465975.233426705</v>
      </c>
      <c r="D55" s="190">
        <f>C55/C52-1</f>
        <v>0.17459301433552477</v>
      </c>
      <c r="E55" s="287">
        <f>C55/C43-1</f>
        <v>-0.12150350162231016</v>
      </c>
      <c r="F55" s="136">
        <f>Q55/21</f>
        <v>8966500.5238095243</v>
      </c>
      <c r="G55" s="190">
        <f t="shared" ref="G55" si="115">F55/F54-1</f>
        <v>-0.10156315227105217</v>
      </c>
      <c r="H55" s="190">
        <f t="shared" ref="H55" si="116">F55/F43-1</f>
        <v>-0.17069554409377274</v>
      </c>
      <c r="I55" s="130">
        <f>T55</f>
        <v>5.0364760551210024</v>
      </c>
      <c r="J55" s="130">
        <f t="shared" ref="J55" si="117">I55/I43-1</f>
        <v>7.9340519760204176E-2</v>
      </c>
      <c r="K55" s="136">
        <f>R53+R54+R55</f>
        <v>812190300874</v>
      </c>
      <c r="L55" s="190">
        <f>U55/U52-1</f>
        <v>0.14699954730872622</v>
      </c>
      <c r="M55" s="190">
        <f>K55/K43-1</f>
        <v>-0.10407154064053115</v>
      </c>
      <c r="N55" s="191">
        <f>AVERAGE(T53:T55)</f>
        <v>5.0608076762353207</v>
      </c>
      <c r="O55" s="192">
        <f>N55/N52-1</f>
        <v>4.7661591047631457E-2</v>
      </c>
      <c r="P55" s="129" t="s">
        <v>1418</v>
      </c>
      <c r="Q55" s="116">
        <v>188296511</v>
      </c>
      <c r="R55" s="116">
        <v>277054709918</v>
      </c>
      <c r="S55" s="116">
        <v>37386559.359999999</v>
      </c>
      <c r="T55" s="130">
        <f t="shared" ref="T55" si="118">Q55/S55</f>
        <v>5.0364760551210024</v>
      </c>
      <c r="U55" s="85">
        <f t="shared" ref="U55" si="119">Q53+Q54+Q55</f>
        <v>556435991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9529399.0909090918</v>
      </c>
      <c r="G56" s="190">
        <f t="shared" ref="G56" si="120">F56/F55-1</f>
        <v>6.2777955079002634E-2</v>
      </c>
      <c r="H56" s="190">
        <f t="shared" ref="H56" si="121">F56/F44-1</f>
        <v>-0.1186308624654655</v>
      </c>
      <c r="I56" s="291">
        <f>T56</f>
        <v>5.067764420071776</v>
      </c>
      <c r="J56" s="130">
        <f t="shared" ref="J56" si="122">I56/I44-1</f>
        <v>-5.5065967897575119E-3</v>
      </c>
      <c r="K56" s="136"/>
      <c r="L56" s="190"/>
      <c r="M56" s="190"/>
      <c r="N56" s="191"/>
      <c r="O56" s="192"/>
      <c r="P56" s="129" t="s">
        <v>1420</v>
      </c>
      <c r="Q56" s="116">
        <v>209646780</v>
      </c>
      <c r="R56" s="116">
        <v>312999451772</v>
      </c>
      <c r="S56" s="116">
        <v>41368690.93</v>
      </c>
      <c r="T56" s="130">
        <f t="shared" ref="T56" si="123">Q56/S56</f>
        <v>5.067764420071776</v>
      </c>
      <c r="U56" s="85">
        <f t="shared" ref="U56" si="124">Q54+Q55+Q56</f>
        <v>567605198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12523408.25</v>
      </c>
      <c r="G57" s="254">
        <f t="shared" ref="G57" si="125">F57/F56-1</f>
        <v>0.31418656418190616</v>
      </c>
      <c r="H57" s="254">
        <f t="shared" ref="H57" si="126">F57/F45-1</f>
        <v>2.1722814513300825E-3</v>
      </c>
      <c r="I57" s="282">
        <f>T57</f>
        <v>5.4477418500349097</v>
      </c>
      <c r="J57" s="277">
        <f t="shared" ref="J57" si="127">I57/I45-1</f>
        <v>1.6977309087153669E-2</v>
      </c>
      <c r="K57" s="204"/>
      <c r="L57" s="254"/>
      <c r="M57" s="254"/>
      <c r="N57" s="257"/>
      <c r="O57" s="258"/>
      <c r="P57" s="129" t="s">
        <v>1436</v>
      </c>
      <c r="Q57" s="116">
        <v>150280899</v>
      </c>
      <c r="R57" s="116">
        <v>221433730936</v>
      </c>
      <c r="S57" s="116">
        <v>27585906.809999999</v>
      </c>
      <c r="T57" s="130">
        <f t="shared" ref="T57" si="128">Q57/S57</f>
        <v>5.4477418500349097</v>
      </c>
      <c r="U57" s="85">
        <f t="shared" ref="U57" si="129">Q55+Q56+Q57</f>
        <v>548224190</v>
      </c>
      <c r="V57" s="79"/>
      <c r="W57" s="79"/>
      <c r="X57" s="79"/>
      <c r="Y57" s="79"/>
      <c r="Z57" s="79"/>
    </row>
    <row r="58" spans="1:26">
      <c r="B58" s="196">
        <f>SUM(F56:F58)</f>
        <v>22052807.340909094</v>
      </c>
      <c r="C58" s="196">
        <f>AVERAGE(F56:F58)</f>
        <v>11026403.670454547</v>
      </c>
      <c r="D58" s="197">
        <f>C58/C55-1</f>
        <v>0.16484602997032805</v>
      </c>
      <c r="E58" s="233">
        <f>C58/C46-1</f>
        <v>-5.4559958460300262E-2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916363670</v>
      </c>
      <c r="R67" s="212">
        <v>1346623483582</v>
      </c>
      <c r="S67" s="213">
        <v>178922673.78</v>
      </c>
      <c r="T67" s="214">
        <v>46</v>
      </c>
      <c r="U67" s="214">
        <v>422</v>
      </c>
    </row>
    <row r="68" spans="16:21" ht="18" thickBot="1">
      <c r="P68" s="180" t="s">
        <v>976</v>
      </c>
      <c r="Q68" s="181">
        <v>198477573</v>
      </c>
      <c r="R68" s="181">
        <v>289428942699</v>
      </c>
      <c r="S68" s="182">
        <v>39210061.75</v>
      </c>
      <c r="T68" s="210">
        <v>21</v>
      </c>
      <c r="U68" s="210">
        <v>254</v>
      </c>
    </row>
    <row r="69" spans="16:21" ht="18" thickBot="1">
      <c r="P69" s="180" t="s">
        <v>977</v>
      </c>
      <c r="Q69" s="181">
        <v>169661907</v>
      </c>
      <c r="R69" s="181">
        <v>245706648257</v>
      </c>
      <c r="S69" s="182">
        <v>33371454.920000002</v>
      </c>
      <c r="T69" s="210">
        <v>24</v>
      </c>
      <c r="U69" s="210">
        <v>252</v>
      </c>
    </row>
    <row r="70" spans="16:21" ht="18" thickBot="1">
      <c r="P70" s="180" t="s">
        <v>978</v>
      </c>
      <c r="Q70" s="181">
        <v>188296511</v>
      </c>
      <c r="R70" s="181">
        <v>277054709918</v>
      </c>
      <c r="S70" s="182">
        <v>37386559.359999999</v>
      </c>
      <c r="T70" s="210">
        <v>25</v>
      </c>
      <c r="U70" s="210">
        <v>243</v>
      </c>
    </row>
    <row r="71" spans="16:21" ht="18" thickBot="1">
      <c r="P71" s="180" t="s">
        <v>979</v>
      </c>
      <c r="Q71" s="181">
        <v>209646780</v>
      </c>
      <c r="R71" s="181">
        <v>312999451772</v>
      </c>
      <c r="S71" s="182">
        <v>41368690.93</v>
      </c>
      <c r="T71" s="210">
        <v>22</v>
      </c>
      <c r="U71" s="210">
        <v>230</v>
      </c>
    </row>
    <row r="72" spans="16:21" ht="18" thickBot="1">
      <c r="P72" s="180" t="s">
        <v>980</v>
      </c>
      <c r="Q72" s="181">
        <v>150280899</v>
      </c>
      <c r="R72" s="181">
        <v>221433730936</v>
      </c>
      <c r="S72" s="182">
        <v>27585906.809999999</v>
      </c>
      <c r="T72" s="210">
        <v>27</v>
      </c>
      <c r="U72" s="210">
        <v>191</v>
      </c>
    </row>
    <row r="73" spans="16:21" ht="18" thickBot="1">
      <c r="P73" s="180" t="s">
        <v>975</v>
      </c>
      <c r="Q73" s="181">
        <v>2356563036</v>
      </c>
      <c r="R73" s="181">
        <v>3352675840104</v>
      </c>
      <c r="S73" s="182">
        <v>475984540.85000002</v>
      </c>
      <c r="T73" s="210">
        <v>75</v>
      </c>
      <c r="U73" s="210">
        <v>710</v>
      </c>
    </row>
    <row r="74" spans="16:21" ht="18" thickBot="1">
      <c r="P74" s="215" t="s">
        <v>982</v>
      </c>
      <c r="Q74" s="217">
        <v>2</v>
      </c>
      <c r="R74"/>
      <c r="S74"/>
      <c r="T74"/>
      <c r="U74"/>
    </row>
    <row r="75" spans="16:21" ht="18" thickBot="1">
      <c r="P75" s="215" t="s">
        <v>1386</v>
      </c>
      <c r="Q75" s="216">
        <v>2393121122</v>
      </c>
      <c r="R75" s="217"/>
      <c r="S75"/>
      <c r="T75"/>
      <c r="U75"/>
    </row>
  </sheetData>
  <phoneticPr fontId="1" type="noConversion"/>
  <conditionalFormatting sqref="C29:C30">
    <cfRule type="cellIs" dxfId="3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103">
    <tabColor rgb="FFFFFF00"/>
  </sheetPr>
  <dimension ref="A1:Z58"/>
  <sheetViews>
    <sheetView zoomScale="90" zoomScaleNormal="90" workbookViewId="0">
      <selection activeCell="E70" sqref="E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1046954.9</v>
      </c>
      <c r="G5" s="90"/>
      <c r="H5" s="90"/>
      <c r="I5" s="130">
        <f t="shared" ref="I5:I49" si="0">T5</f>
        <v>4.3873190156612782</v>
      </c>
      <c r="J5" s="130"/>
      <c r="L5" s="80"/>
      <c r="M5" s="80"/>
      <c r="P5" s="129" t="s">
        <v>0</v>
      </c>
      <c r="Q5" s="116">
        <f>타이어코드!Q5+'타이어코드 (2)'!Q5</f>
        <v>20939098</v>
      </c>
      <c r="R5" s="116">
        <f>타이어코드!R5+'타이어코드 (2)'!R5</f>
        <v>24711126248</v>
      </c>
      <c r="S5" s="116">
        <f>타이어코드!S5+'타이어코드 (2)'!S5</f>
        <v>4772640.8600000003</v>
      </c>
      <c r="T5" s="130">
        <f t="shared" ref="T5:T18" si="1">Q5/S5</f>
        <v>4.3873190156612782</v>
      </c>
      <c r="U5" s="85"/>
    </row>
    <row r="6" spans="1:21" ht="15" hidden="1" customHeight="1">
      <c r="A6" s="129" t="s">
        <v>1</v>
      </c>
      <c r="C6" s="79"/>
      <c r="F6" s="78">
        <f>Q6/18</f>
        <v>765971.11111111112</v>
      </c>
      <c r="G6" s="90">
        <f t="shared" ref="G6:G16" si="2">F6/F5-1</f>
        <v>-0.26838194165659757</v>
      </c>
      <c r="H6" s="90"/>
      <c r="I6" s="130">
        <f t="shared" si="0"/>
        <v>4.3331479859003954</v>
      </c>
      <c r="J6" s="130"/>
      <c r="P6" s="129" t="s">
        <v>1</v>
      </c>
      <c r="Q6" s="116">
        <f>타이어코드!Q6+'타이어코드 (2)'!Q6</f>
        <v>13787480</v>
      </c>
      <c r="R6" s="116">
        <f>타이어코드!R6+'타이어코드 (2)'!R6</f>
        <v>16392195201</v>
      </c>
      <c r="S6" s="116">
        <f>타이어코드!S6+'타이어코드 (2)'!S6</f>
        <v>3181862.25</v>
      </c>
      <c r="T6" s="130">
        <f t="shared" si="1"/>
        <v>4.3331479859003954</v>
      </c>
      <c r="U6" s="85"/>
    </row>
    <row r="7" spans="1:21" ht="15" hidden="1" customHeight="1">
      <c r="A7" s="129" t="s">
        <v>2</v>
      </c>
      <c r="B7" s="131">
        <f>F5+F6+F7</f>
        <v>2528522.692929293</v>
      </c>
      <c r="C7" s="131">
        <f>AVERAGE(F5:F7)</f>
        <v>842840.89764309768</v>
      </c>
      <c r="F7" s="78">
        <f>Q7/22</f>
        <v>715596.68181818177</v>
      </c>
      <c r="G7" s="90">
        <f t="shared" si="2"/>
        <v>-6.5765442798301654E-2</v>
      </c>
      <c r="H7" s="90"/>
      <c r="I7" s="130">
        <f t="shared" si="0"/>
        <v>4.4145855833713803</v>
      </c>
      <c r="J7" s="130"/>
      <c r="K7" s="79">
        <f>R5+R6+R7</f>
        <v>60063394930</v>
      </c>
      <c r="N7" s="88">
        <f>AVERAGE(T5:T7)</f>
        <v>4.3783508616443507</v>
      </c>
      <c r="P7" s="129" t="s">
        <v>2</v>
      </c>
      <c r="Q7" s="116">
        <f>타이어코드!Q7+'타이어코드 (2)'!Q7</f>
        <v>15743127</v>
      </c>
      <c r="R7" s="116">
        <f>타이어코드!R7+'타이어코드 (2)'!R7</f>
        <v>18960073481</v>
      </c>
      <c r="S7" s="116">
        <f>타이어코드!S7+'타이어코드 (2)'!S7</f>
        <v>3566161.9199999999</v>
      </c>
      <c r="T7" s="130">
        <f t="shared" si="1"/>
        <v>4.4145855833713803</v>
      </c>
      <c r="U7" s="85">
        <f>Q5+Q6+Q7</f>
        <v>50469705</v>
      </c>
    </row>
    <row r="8" spans="1:21" ht="15" hidden="1" customHeight="1">
      <c r="A8" s="129" t="s">
        <v>3</v>
      </c>
      <c r="C8" s="79"/>
      <c r="F8" s="78">
        <f>Q8/21</f>
        <v>784896.52380952379</v>
      </c>
      <c r="G8" s="90">
        <f t="shared" si="2"/>
        <v>9.6842039310838679E-2</v>
      </c>
      <c r="H8" s="90"/>
      <c r="I8" s="130">
        <f t="shared" si="0"/>
        <v>4.2188126974444202</v>
      </c>
      <c r="J8" s="130"/>
      <c r="K8" s="78"/>
      <c r="P8" s="129" t="s">
        <v>3</v>
      </c>
      <c r="Q8" s="116">
        <f>타이어코드!Q8+'타이어코드 (2)'!Q8</f>
        <v>16482827</v>
      </c>
      <c r="R8" s="116">
        <f>타이어코드!R8+'타이어코드 (2)'!R8</f>
        <v>19963617166</v>
      </c>
      <c r="S8" s="116">
        <f>타이어코드!S8+'타이어코드 (2)'!S8</f>
        <v>3906982.4099999997</v>
      </c>
      <c r="T8" s="130">
        <f t="shared" si="1"/>
        <v>4.2188126974444202</v>
      </c>
      <c r="U8" s="85"/>
    </row>
    <row r="9" spans="1:21" ht="15" hidden="1" customHeight="1">
      <c r="A9" s="129" t="s">
        <v>4</v>
      </c>
      <c r="C9" s="79"/>
      <c r="F9" s="78">
        <f>Q9/21</f>
        <v>861677.28571428568</v>
      </c>
      <c r="G9" s="90">
        <f t="shared" si="2"/>
        <v>9.7822782463226732E-2</v>
      </c>
      <c r="H9" s="90"/>
      <c r="I9" s="130">
        <f t="shared" si="0"/>
        <v>4.2356102439533263</v>
      </c>
      <c r="J9" s="130"/>
      <c r="K9" s="78"/>
      <c r="P9" s="129" t="s">
        <v>4</v>
      </c>
      <c r="Q9" s="116">
        <f>타이어코드!Q9+'타이어코드 (2)'!Q9</f>
        <v>18095223</v>
      </c>
      <c r="R9" s="116">
        <f>타이어코드!R9+'타이어코드 (2)'!R9</f>
        <v>22718844425</v>
      </c>
      <c r="S9" s="116">
        <f>타이어코드!S9+'타이어코드 (2)'!S9</f>
        <v>4272164.33</v>
      </c>
      <c r="T9" s="130">
        <f t="shared" si="1"/>
        <v>4.2356102439533263</v>
      </c>
      <c r="U9" s="85"/>
    </row>
    <row r="10" spans="1:21" ht="15" hidden="1" customHeight="1">
      <c r="A10" s="129" t="s">
        <v>5</v>
      </c>
      <c r="B10" s="131">
        <f>F8+F9+F10</f>
        <v>2310577.2380952379</v>
      </c>
      <c r="C10" s="131">
        <f>AVERAGE(F8:F10)</f>
        <v>770192.41269841266</v>
      </c>
      <c r="D10" s="90">
        <f>C10/C7-1</f>
        <v>-8.6194779047668035E-2</v>
      </c>
      <c r="E10" s="286"/>
      <c r="F10" s="78">
        <f>Q10/21</f>
        <v>664003.42857142852</v>
      </c>
      <c r="G10" s="90">
        <f t="shared" si="2"/>
        <v>-0.22940590453071508</v>
      </c>
      <c r="H10" s="90"/>
      <c r="I10" s="130">
        <f t="shared" si="0"/>
        <v>4.3604054774652958</v>
      </c>
      <c r="J10" s="130"/>
      <c r="K10" s="79">
        <f>R8+R9+R10</f>
        <v>60271097091</v>
      </c>
      <c r="L10" s="87">
        <f>U10/U7-1</f>
        <v>-3.8589149669093548E-2</v>
      </c>
      <c r="N10" s="88">
        <f>AVERAGE(T8:T10)</f>
        <v>4.2716094729543475</v>
      </c>
      <c r="O10" s="89">
        <f>N10/N7-1</f>
        <v>-2.4379359275449874E-2</v>
      </c>
      <c r="P10" s="129" t="s">
        <v>5</v>
      </c>
      <c r="Q10" s="116">
        <f>타이어코드!Q10+'타이어코드 (2)'!Q10</f>
        <v>13944072</v>
      </c>
      <c r="R10" s="116">
        <f>타이어코드!R10+'타이어코드 (2)'!R10</f>
        <v>17588635500</v>
      </c>
      <c r="S10" s="116">
        <f>타이어코드!S10+'타이어코드 (2)'!S10</f>
        <v>3197884.25</v>
      </c>
      <c r="T10" s="130">
        <f t="shared" si="1"/>
        <v>4.3604054774652958</v>
      </c>
      <c r="U10" s="85">
        <f>Q8+Q9+Q10</f>
        <v>48522122</v>
      </c>
    </row>
    <row r="11" spans="1:21" ht="15" hidden="1" customHeight="1">
      <c r="A11" s="129" t="s">
        <v>6</v>
      </c>
      <c r="C11" s="79"/>
      <c r="F11" s="78">
        <f>Q11/21</f>
        <v>665437.04761904757</v>
      </c>
      <c r="G11" s="90">
        <f t="shared" si="2"/>
        <v>2.1590536824538376E-3</v>
      </c>
      <c r="H11" s="90"/>
      <c r="I11" s="130">
        <f t="shared" si="0"/>
        <v>4.442409466332907</v>
      </c>
      <c r="J11" s="130"/>
      <c r="K11" s="78"/>
      <c r="O11" s="89"/>
      <c r="P11" s="129" t="s">
        <v>6</v>
      </c>
      <c r="Q11" s="116">
        <f>타이어코드!Q11+'타이어코드 (2)'!Q11</f>
        <v>13974178</v>
      </c>
      <c r="R11" s="116">
        <f>타이어코드!R11+'타이어코드 (2)'!R11</f>
        <v>18017309881</v>
      </c>
      <c r="S11" s="116">
        <f>타이어코드!S11+'타이어코드 (2)'!S11</f>
        <v>3145630.34</v>
      </c>
      <c r="T11" s="130">
        <f t="shared" si="1"/>
        <v>4.442409466332907</v>
      </c>
      <c r="U11" s="85"/>
    </row>
    <row r="12" spans="1:21" ht="15" hidden="1" customHeight="1">
      <c r="A12" s="129" t="s">
        <v>7</v>
      </c>
      <c r="C12" s="79"/>
      <c r="F12" s="78">
        <f>Q12/22</f>
        <v>733509.40909090906</v>
      </c>
      <c r="G12" s="90">
        <f t="shared" si="2"/>
        <v>0.10229722212706105</v>
      </c>
      <c r="H12" s="90"/>
      <c r="I12" s="130">
        <f t="shared" si="0"/>
        <v>4.3868133608893549</v>
      </c>
      <c r="J12" s="130"/>
      <c r="K12" s="78"/>
      <c r="O12" s="89"/>
      <c r="P12" s="129" t="s">
        <v>7</v>
      </c>
      <c r="Q12" s="116">
        <f>타이어코드!Q12+'타이어코드 (2)'!Q12</f>
        <v>16137207</v>
      </c>
      <c r="R12" s="116">
        <f>타이어코드!R12+'타이어코드 (2)'!R12</f>
        <v>20987358436</v>
      </c>
      <c r="S12" s="116">
        <f>타이어코드!S12+'타이어코드 (2)'!S12</f>
        <v>3678571.5900000003</v>
      </c>
      <c r="T12" s="130">
        <f t="shared" si="1"/>
        <v>4.3868133608893549</v>
      </c>
      <c r="U12" s="85"/>
    </row>
    <row r="13" spans="1:21" ht="15" hidden="1" customHeight="1">
      <c r="A13" s="129" t="s">
        <v>96</v>
      </c>
      <c r="B13" s="131">
        <f>F11+F12+F13</f>
        <v>1998187.2067099568</v>
      </c>
      <c r="C13" s="131">
        <f>AVERAGE(F11:F13)</f>
        <v>666062.40223665221</v>
      </c>
      <c r="D13" s="90">
        <f>C13/C10-1</f>
        <v>-0.13519999515047809</v>
      </c>
      <c r="E13" s="286"/>
      <c r="F13" s="78">
        <f>Q13/20</f>
        <v>599240.75</v>
      </c>
      <c r="G13" s="90">
        <f t="shared" si="2"/>
        <v>-0.18304967520091919</v>
      </c>
      <c r="H13" s="90"/>
      <c r="I13" s="130">
        <f t="shared" si="0"/>
        <v>4.3256079633878066</v>
      </c>
      <c r="J13" s="130"/>
      <c r="K13" s="78">
        <f>R11+R12+R13</f>
        <v>55338146147</v>
      </c>
      <c r="L13" s="87">
        <f>U13/U10-1</f>
        <v>-0.13243283135885942</v>
      </c>
      <c r="N13" s="88">
        <f>AVERAGE(T11:T13)</f>
        <v>4.3849435968700226</v>
      </c>
      <c r="O13" s="89">
        <f>N13/N10-1</f>
        <v>2.6531948820052165E-2</v>
      </c>
      <c r="P13" s="129" t="s">
        <v>96</v>
      </c>
      <c r="Q13" s="116">
        <f>타이어코드!Q13+'타이어코드 (2)'!Q13</f>
        <v>11984815</v>
      </c>
      <c r="R13" s="116">
        <f>타이어코드!R13+'타이어코드 (2)'!R13</f>
        <v>16333477830</v>
      </c>
      <c r="S13" s="116">
        <f>타이어코드!S13+'타이어코드 (2)'!S13</f>
        <v>2770666.02</v>
      </c>
      <c r="T13" s="130">
        <f t="shared" si="1"/>
        <v>4.3256079633878066</v>
      </c>
      <c r="U13" s="85">
        <f>Q11+Q12+Q13</f>
        <v>42096200</v>
      </c>
    </row>
    <row r="14" spans="1:21" ht="15" hidden="1" customHeight="1">
      <c r="A14" s="129" t="s">
        <v>97</v>
      </c>
      <c r="C14" s="79"/>
      <c r="F14" s="78">
        <f>Q14/20</f>
        <v>505119.75</v>
      </c>
      <c r="G14" s="90">
        <f t="shared" si="2"/>
        <v>-0.15706708864508967</v>
      </c>
      <c r="H14" s="90"/>
      <c r="I14" s="130">
        <f t="shared" si="0"/>
        <v>4.6487563588135794</v>
      </c>
      <c r="J14" s="130"/>
      <c r="O14" s="89"/>
      <c r="P14" s="129" t="s">
        <v>97</v>
      </c>
      <c r="Q14" s="116">
        <f>타이어코드!Q14+'타이어코드 (2)'!Q14</f>
        <v>10102395</v>
      </c>
      <c r="R14" s="116">
        <f>타이어코드!R14+'타이어코드 (2)'!R14</f>
        <v>14401427258</v>
      </c>
      <c r="S14" s="116">
        <f>타이어코드!S14+'타이어코드 (2)'!S14</f>
        <v>2173139.27</v>
      </c>
      <c r="T14" s="130">
        <f t="shared" si="1"/>
        <v>4.6487563588135794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394286.63636363635</v>
      </c>
      <c r="G15" s="90">
        <f t="shared" si="2"/>
        <v>-0.21941948149199009</v>
      </c>
      <c r="H15" s="90"/>
      <c r="I15" s="130">
        <f t="shared" si="0"/>
        <v>4.3097931187949881</v>
      </c>
      <c r="J15" s="130"/>
      <c r="O15" s="89"/>
      <c r="P15" s="129" t="s">
        <v>98</v>
      </c>
      <c r="Q15" s="116">
        <f>타이어코드!Q15+'타이어코드 (2)'!Q15</f>
        <v>8674306</v>
      </c>
      <c r="R15" s="116">
        <f>타이어코드!R15+'타이어코드 (2)'!R15</f>
        <v>12043900635</v>
      </c>
      <c r="S15" s="116">
        <f>타이어코드!S15+'타이어코드 (2)'!S15</f>
        <v>2012696.6099999999</v>
      </c>
      <c r="T15" s="130">
        <f t="shared" si="1"/>
        <v>4.3097931187949881</v>
      </c>
      <c r="U15" s="85"/>
    </row>
    <row r="16" spans="1:21" ht="15" hidden="1" customHeight="1">
      <c r="A16" s="129" t="s">
        <v>99</v>
      </c>
      <c r="B16" s="131">
        <f>F14+F15+F16</f>
        <v>1395861.0681818181</v>
      </c>
      <c r="C16" s="131">
        <f>AVERAGE(F14:F16)</f>
        <v>465287.02272727271</v>
      </c>
      <c r="D16" s="90">
        <f>C16/C13-1</f>
        <v>-0.30143629010610917</v>
      </c>
      <c r="E16" s="286"/>
      <c r="F16" s="78">
        <f>Q16/22</f>
        <v>496454.68181818182</v>
      </c>
      <c r="G16" s="90">
        <f t="shared" si="2"/>
        <v>0.25912124843186302</v>
      </c>
      <c r="H16" s="90"/>
      <c r="I16" s="130">
        <f t="shared" si="0"/>
        <v>3.9193776276926653</v>
      </c>
      <c r="J16" s="130"/>
      <c r="K16" s="78">
        <f>R14+R15+R16</f>
        <v>40720594438</v>
      </c>
      <c r="L16" s="87">
        <f>U16/U13-1</f>
        <v>-0.29450392196920383</v>
      </c>
      <c r="N16" s="88">
        <f>AVERAGE(T14:T16)</f>
        <v>4.2926423684337438</v>
      </c>
      <c r="O16" s="89">
        <f>N16/N13-1</f>
        <v>-2.1049581687245245E-2</v>
      </c>
      <c r="P16" s="129" t="s">
        <v>99</v>
      </c>
      <c r="Q16" s="116">
        <f>타이어코드!Q16+'타이어코드 (2)'!Q16</f>
        <v>10922003</v>
      </c>
      <c r="R16" s="116">
        <f>타이어코드!R16+'타이어코드 (2)'!R16</f>
        <v>14275266545</v>
      </c>
      <c r="S16" s="116">
        <f>타이어코드!S16+'타이어코드 (2)'!S16</f>
        <v>2786667.69</v>
      </c>
      <c r="T16" s="130">
        <f t="shared" si="1"/>
        <v>3.9193776276926653</v>
      </c>
      <c r="U16" s="85">
        <f>Q14+Q15+Q16</f>
        <v>29698704</v>
      </c>
    </row>
    <row r="17" spans="1:21" ht="15" hidden="1" customHeight="1">
      <c r="A17" s="129" t="s">
        <v>100</v>
      </c>
      <c r="C17" s="79"/>
      <c r="F17" s="78">
        <f>Q17/20</f>
        <v>521477.05</v>
      </c>
      <c r="G17" s="90">
        <f t="shared" ref="G17:G22" si="3">F17/F16-1</f>
        <v>5.0402119464717288E-2</v>
      </c>
      <c r="H17" s="90">
        <f t="shared" ref="H17:H22" si="4">F17/F5-1</f>
        <v>-0.50191068402277883</v>
      </c>
      <c r="I17" s="130">
        <f t="shared" si="0"/>
        <v>4.034251084487682</v>
      </c>
      <c r="J17" s="130">
        <f t="shared" ref="J17:J49" si="5">I17/I5-1</f>
        <v>-8.0474642922764517E-2</v>
      </c>
      <c r="O17" s="89"/>
      <c r="P17" s="129" t="s">
        <v>100</v>
      </c>
      <c r="Q17" s="116">
        <f>타이어코드!Q17+'타이어코드 (2)'!Q17</f>
        <v>10429541</v>
      </c>
      <c r="R17" s="116">
        <f>타이어코드!R17+'타이어코드 (2)'!R17</f>
        <v>13081537363</v>
      </c>
      <c r="S17" s="116">
        <f>타이어코드!S17+'타이어코드 (2)'!S17</f>
        <v>2585248.36</v>
      </c>
      <c r="T17" s="130">
        <f t="shared" si="1"/>
        <v>4.034251084487682</v>
      </c>
      <c r="U17" s="78"/>
    </row>
    <row r="18" spans="1:21" hidden="1">
      <c r="A18" s="129" t="s">
        <v>106</v>
      </c>
      <c r="C18" s="79"/>
      <c r="F18" s="78">
        <f>Q18/20</f>
        <v>519456.95</v>
      </c>
      <c r="G18" s="90">
        <f t="shared" si="3"/>
        <v>-3.8738042259002237E-3</v>
      </c>
      <c r="H18" s="90">
        <f t="shared" si="4"/>
        <v>-0.32183219123436624</v>
      </c>
      <c r="I18" s="130">
        <f t="shared" si="0"/>
        <v>3.8680904027464096</v>
      </c>
      <c r="J18" s="130">
        <f t="shared" si="5"/>
        <v>-0.10732557130918075</v>
      </c>
      <c r="O18" s="89"/>
      <c r="P18" s="129" t="s">
        <v>106</v>
      </c>
      <c r="Q18" s="116">
        <f>타이어코드!Q18+'타이어코드 (2)'!Q18</f>
        <v>10389139</v>
      </c>
      <c r="R18" s="116">
        <f>타이어코드!R18+'타이어코드 (2)'!R18</f>
        <v>13042701194</v>
      </c>
      <c r="S18" s="116">
        <f>타이어코드!S18+'타이어코드 (2)'!S18</f>
        <v>2685857.34</v>
      </c>
      <c r="T18" s="130">
        <f t="shared" si="1"/>
        <v>3.8680904027464096</v>
      </c>
      <c r="U18" s="78"/>
    </row>
    <row r="19" spans="1:21" hidden="1">
      <c r="A19" s="129" t="s">
        <v>114</v>
      </c>
      <c r="B19" s="131">
        <f>SUM(F17:F19)</f>
        <v>1462747.8636363638</v>
      </c>
      <c r="C19" s="131">
        <f>AVERAGE(F17:F19)</f>
        <v>487582.62121212127</v>
      </c>
      <c r="D19" s="90">
        <f>C19/C16-1</f>
        <v>4.7917946118856358E-2</v>
      </c>
      <c r="E19" s="286">
        <f>C19/C7-1</f>
        <v>-0.42150099434473709</v>
      </c>
      <c r="F19" s="78">
        <f>Q19/22</f>
        <v>421813.86363636365</v>
      </c>
      <c r="G19" s="90">
        <f t="shared" si="3"/>
        <v>-0.1879714697505469</v>
      </c>
      <c r="H19" s="90">
        <f t="shared" si="4"/>
        <v>-0.41054245449458671</v>
      </c>
      <c r="I19" s="130">
        <f t="shared" si="0"/>
        <v>3.8465686382931361</v>
      </c>
      <c r="J19" s="130">
        <f t="shared" si="5"/>
        <v>-0.12866823722204401</v>
      </c>
      <c r="K19" s="78">
        <f>R17+R18+R19</f>
        <v>38265820355</v>
      </c>
      <c r="L19" s="87">
        <f>U19/U16-1</f>
        <v>1.3464594279938957E-2</v>
      </c>
      <c r="M19" s="87">
        <f>U19/U7-1</f>
        <v>-0.40363065328002212</v>
      </c>
      <c r="N19" s="88">
        <f>AVERAGE(T17:T19)</f>
        <v>3.9163033751757426</v>
      </c>
      <c r="O19" s="89">
        <f>N19/N16-1</f>
        <v>-8.7670707447104701E-2</v>
      </c>
      <c r="P19" s="129" t="s">
        <v>115</v>
      </c>
      <c r="Q19" s="116">
        <f>타이어코드!Q19+'타이어코드 (2)'!Q19</f>
        <v>9279905</v>
      </c>
      <c r="R19" s="116">
        <f>타이어코드!R19+'타이어코드 (2)'!R19</f>
        <v>12141581798</v>
      </c>
      <c r="S19" s="116">
        <f>타이어코드!S19+'타이어코드 (2)'!S19</f>
        <v>2412515.1199999996</v>
      </c>
      <c r="T19" s="130">
        <f t="shared" ref="T19" si="6">Q19/S19</f>
        <v>3.8465686382931361</v>
      </c>
      <c r="U19" s="85">
        <f>Q17+Q18+Q19</f>
        <v>30098585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373481.65</v>
      </c>
      <c r="G20" s="90">
        <f t="shared" si="3"/>
        <v>-0.11458185186163006</v>
      </c>
      <c r="H20" s="90">
        <f t="shared" si="4"/>
        <v>-0.52416447433440871</v>
      </c>
      <c r="I20" s="130">
        <f t="shared" si="0"/>
        <v>3.7323034281327354</v>
      </c>
      <c r="J20" s="130">
        <f t="shared" si="5"/>
        <v>-0.11531900186192001</v>
      </c>
      <c r="O20" s="89"/>
      <c r="P20" s="129" t="s">
        <v>132</v>
      </c>
      <c r="Q20" s="116">
        <f>타이어코드!Q20+'타이어코드 (2)'!Q20</f>
        <v>7469633</v>
      </c>
      <c r="R20" s="116">
        <f>타이어코드!R20+'타이어코드 (2)'!R20</f>
        <v>9771729761</v>
      </c>
      <c r="S20" s="116">
        <f>타이어코드!S20+'타이어코드 (2)'!S20</f>
        <v>2001346.66</v>
      </c>
      <c r="T20" s="130">
        <f t="shared" ref="T20" si="7">Q20/S20</f>
        <v>3.7323034281327354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447969.09523809527</v>
      </c>
      <c r="G21" s="90">
        <f t="shared" si="3"/>
        <v>0.19944070943805459</v>
      </c>
      <c r="H21" s="90">
        <f t="shared" si="4"/>
        <v>-0.48011964262612283</v>
      </c>
      <c r="I21" s="130">
        <f t="shared" si="0"/>
        <v>3.7855680576583071</v>
      </c>
      <c r="J21" s="130">
        <f t="shared" si="5"/>
        <v>-0.10625202990230054</v>
      </c>
      <c r="O21" s="89"/>
      <c r="P21" s="129" t="s">
        <v>141</v>
      </c>
      <c r="Q21" s="116">
        <f>타이어코드!Q21+'타이어코드 (2)'!Q21</f>
        <v>9407351</v>
      </c>
      <c r="R21" s="116">
        <f>타이어코드!R21+'타이어코드 (2)'!R21</f>
        <v>12531163641</v>
      </c>
      <c r="S21" s="116">
        <f>타이어코드!S21+'타이어코드 (2)'!S21</f>
        <v>2485056.6300000004</v>
      </c>
      <c r="T21" s="130">
        <f t="shared" ref="T21" si="8">Q21/S21</f>
        <v>3.7855680576583071</v>
      </c>
      <c r="U21" s="78"/>
    </row>
    <row r="22" spans="1:21" hidden="1">
      <c r="A22" s="129" t="s">
        <v>156</v>
      </c>
      <c r="B22" s="131">
        <f>SUM(F20:F22)</f>
        <v>1227533.3642857145</v>
      </c>
      <c r="C22" s="131">
        <f>AVERAGE(F20:F22)</f>
        <v>409177.78809523815</v>
      </c>
      <c r="D22" s="90">
        <f>C22/C19-1</f>
        <v>-0.16080317407944145</v>
      </c>
      <c r="E22" s="286">
        <f>C22/C10-1</f>
        <v>-0.46873303170871206</v>
      </c>
      <c r="F22" s="78">
        <f>Q22/21</f>
        <v>406082.61904761905</v>
      </c>
      <c r="G22" s="90">
        <f t="shared" si="3"/>
        <v>-9.3503048839147174E-2</v>
      </c>
      <c r="H22" s="90">
        <f t="shared" si="4"/>
        <v>-0.38843294842424791</v>
      </c>
      <c r="I22" s="130">
        <f t="shared" si="0"/>
        <v>3.5449386608865749</v>
      </c>
      <c r="J22" s="130">
        <f t="shared" si="5"/>
        <v>-0.1870162811218079</v>
      </c>
      <c r="K22" s="78">
        <f>R20+R21+R22</f>
        <v>33385177116</v>
      </c>
      <c r="L22" s="87">
        <f>U22/U19-1</f>
        <v>-0.15594972321788547</v>
      </c>
      <c r="M22" s="87">
        <f>U22/U10-1</f>
        <v>-0.47643017343717986</v>
      </c>
      <c r="N22" s="88">
        <f>AVERAGE(T20:T22)</f>
        <v>3.687603382225872</v>
      </c>
      <c r="O22" s="89">
        <f>N22/N19-1</f>
        <v>-5.8396904182533516E-2</v>
      </c>
      <c r="P22" s="129" t="s">
        <v>156</v>
      </c>
      <c r="Q22" s="116">
        <f>타이어코드!Q22+'타이어코드 (2)'!Q22</f>
        <v>8527735</v>
      </c>
      <c r="R22" s="116">
        <f>타이어코드!R22+'타이어코드 (2)'!R22</f>
        <v>11082283714</v>
      </c>
      <c r="S22" s="116">
        <f>타이어코드!S22+'타이어코드 (2)'!S22</f>
        <v>2405608.6199999996</v>
      </c>
      <c r="T22" s="130">
        <f t="shared" ref="T22:T23" si="9">Q22/S22</f>
        <v>3.5449386608865749</v>
      </c>
      <c r="U22" s="85">
        <f>Q20+Q21+Q22</f>
        <v>25404719</v>
      </c>
    </row>
    <row r="23" spans="1:21" hidden="1">
      <c r="A23" s="129" t="s">
        <v>189</v>
      </c>
      <c r="B23" s="131"/>
      <c r="C23" s="131"/>
      <c r="F23" s="78">
        <f>Q23/21</f>
        <v>417062.57142857142</v>
      </c>
      <c r="G23" s="90">
        <f t="shared" ref="G23" si="10">F23/F22-1</f>
        <v>2.7038715438507444E-2</v>
      </c>
      <c r="H23" s="90">
        <f t="shared" ref="H23" si="11">F23/F11-1</f>
        <v>-0.37325014752209396</v>
      </c>
      <c r="I23" s="130">
        <f t="shared" si="0"/>
        <v>3.7197168388716739</v>
      </c>
      <c r="J23" s="130">
        <f t="shared" si="5"/>
        <v>-0.1626803276326072</v>
      </c>
      <c r="O23" s="89"/>
      <c r="P23" s="129" t="s">
        <v>189</v>
      </c>
      <c r="Q23" s="116">
        <f>타이어코드!Q23+'타이어코드 (2)'!Q23</f>
        <v>8758314</v>
      </c>
      <c r="R23" s="116">
        <f>타이어코드!R23+'타이어코드 (2)'!R23</f>
        <v>11374001599</v>
      </c>
      <c r="S23" s="116">
        <f>타이어코드!S23+'타이어코드 (2)'!S23</f>
        <v>2354564.71</v>
      </c>
      <c r="T23" s="130">
        <f t="shared" si="9"/>
        <v>3.7197168388716739</v>
      </c>
      <c r="U23" s="78"/>
    </row>
    <row r="24" spans="1:21" hidden="1">
      <c r="A24" s="129" t="s">
        <v>204</v>
      </c>
      <c r="B24" s="131"/>
      <c r="C24" s="131"/>
      <c r="F24" s="78">
        <f>Q24/22</f>
        <v>450098.90909090912</v>
      </c>
      <c r="G24" s="90">
        <f t="shared" ref="G24" si="12">F24/F23-1</f>
        <v>7.9211945462230648E-2</v>
      </c>
      <c r="H24" s="90">
        <f t="shared" ref="H24" si="13">F24/F12-1</f>
        <v>-0.38637609345904766</v>
      </c>
      <c r="I24" s="130">
        <f t="shared" si="0"/>
        <v>3.6437257570697401</v>
      </c>
      <c r="J24" s="130">
        <f t="shared" si="5"/>
        <v>-0.16939120557181986</v>
      </c>
      <c r="O24" s="89"/>
      <c r="P24" s="129" t="s">
        <v>204</v>
      </c>
      <c r="Q24" s="116">
        <f>타이어코드!Q24+'타이어코드 (2)'!Q24</f>
        <v>9902176</v>
      </c>
      <c r="R24" s="116">
        <f>타이어코드!R24+'타이어코드 (2)'!R24</f>
        <v>12942505591</v>
      </c>
      <c r="S24" s="116">
        <f>타이어코드!S24+'타이어코드 (2)'!S24</f>
        <v>2717596.4</v>
      </c>
      <c r="T24" s="130">
        <f t="shared" ref="T24" si="14">Q24/S24</f>
        <v>3.6437257570697401</v>
      </c>
      <c r="U24" s="78"/>
    </row>
    <row r="25" spans="1:21" s="79" customFormat="1" ht="13.2" hidden="1">
      <c r="A25" s="129" t="s">
        <v>219</v>
      </c>
      <c r="B25" s="131">
        <f>SUM(F23:F25)</f>
        <v>1412232.7963089542</v>
      </c>
      <c r="C25" s="131">
        <f>AVERAGE(F23:F25)</f>
        <v>470744.26543631806</v>
      </c>
      <c r="D25" s="90">
        <f>C25/C22-1</f>
        <v>0.15046387935102179</v>
      </c>
      <c r="E25" s="286">
        <f>C25/C13-1</f>
        <v>-0.29324299967157963</v>
      </c>
      <c r="F25" s="78">
        <f>Q25/19</f>
        <v>545071.31578947371</v>
      </c>
      <c r="G25" s="90">
        <f t="shared" ref="G25" si="15">F25/F24-1</f>
        <v>0.21100341453923055</v>
      </c>
      <c r="H25" s="90">
        <f t="shared" ref="H25" si="16">F25/F13-1</f>
        <v>-9.0396779942829797E-2</v>
      </c>
      <c r="I25" s="130">
        <f t="shared" si="0"/>
        <v>3.7052048716292845</v>
      </c>
      <c r="J25" s="130">
        <f t="shared" si="5"/>
        <v>-0.14342564028216365</v>
      </c>
      <c r="K25" s="78">
        <f>R23+R24+R25</f>
        <v>38059820161</v>
      </c>
      <c r="L25" s="90">
        <f>U25/U22-1</f>
        <v>0.14218326917924196</v>
      </c>
      <c r="M25" s="90">
        <f>U25/U13-1</f>
        <v>-0.31070155976073854</v>
      </c>
      <c r="N25" s="88">
        <f>AVERAGE(T23:T25)</f>
        <v>3.6895491558568998</v>
      </c>
      <c r="O25" s="91">
        <f>N25/N22-1</f>
        <v>5.2765263216936198E-4</v>
      </c>
      <c r="P25" s="129" t="s">
        <v>219</v>
      </c>
      <c r="Q25" s="116">
        <f>타이어코드!Q25+'타이어코드 (2)'!Q25</f>
        <v>10356355</v>
      </c>
      <c r="R25" s="116">
        <f>타이어코드!R25+'타이어코드 (2)'!R25</f>
        <v>13743312971</v>
      </c>
      <c r="S25" s="116">
        <f>타이어코드!S25+'타이어코드 (2)'!S25</f>
        <v>2795082.96</v>
      </c>
      <c r="T25" s="130">
        <f t="shared" ref="T25" si="17">Q25/S25</f>
        <v>3.7052048716292845</v>
      </c>
      <c r="U25" s="85">
        <f>Q23+Q24+Q25</f>
        <v>29016845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305741.15789473685</v>
      </c>
      <c r="G26" s="90">
        <f t="shared" ref="G26" si="18">F26/F25-1</f>
        <v>-0.4390804486713713</v>
      </c>
      <c r="H26" s="90">
        <f t="shared" ref="H26" si="19">F26/F14-1</f>
        <v>-0.39471549490049274</v>
      </c>
      <c r="I26" s="130">
        <f t="shared" si="0"/>
        <v>4.032276078389561</v>
      </c>
      <c r="J26" s="130">
        <f t="shared" si="5"/>
        <v>-0.13261187139980635</v>
      </c>
      <c r="L26" s="90"/>
      <c r="M26" s="90"/>
      <c r="P26" s="129" t="s">
        <v>312</v>
      </c>
      <c r="Q26" s="116">
        <f>타이어코드!Q26+'타이어코드 (2)'!Q26</f>
        <v>5809082</v>
      </c>
      <c r="R26" s="116">
        <f>타이어코드!R26+'타이어코드 (2)'!R26</f>
        <v>7828307736</v>
      </c>
      <c r="S26" s="116">
        <f>타이어코드!S26+'타이어코드 (2)'!S26</f>
        <v>1440645.9000000001</v>
      </c>
      <c r="T26" s="130">
        <f t="shared" ref="T26" si="20">Q26/S26</f>
        <v>4.032276078389561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280742.72727272729</v>
      </c>
      <c r="G27" s="90">
        <f t="shared" ref="G27" si="21">F27/F26-1</f>
        <v>-8.1763380482179682E-2</v>
      </c>
      <c r="H27" s="90">
        <f t="shared" ref="H27" si="22">F27/F15-1</f>
        <v>-0.28797300902227796</v>
      </c>
      <c r="I27" s="130">
        <f t="shared" si="0"/>
        <v>3.7990433433205273</v>
      </c>
      <c r="J27" s="130">
        <f t="shared" si="5"/>
        <v>-0.11850911665506247</v>
      </c>
      <c r="L27" s="90"/>
      <c r="M27" s="90"/>
      <c r="P27" s="129" t="s">
        <v>389</v>
      </c>
      <c r="Q27" s="116">
        <f>타이어코드!Q27+'타이어코드 (2)'!Q27</f>
        <v>6176340</v>
      </c>
      <c r="R27" s="116">
        <f>타이어코드!R27+'타이어코드 (2)'!R27</f>
        <v>8169804380</v>
      </c>
      <c r="S27" s="116">
        <f>타이어코드!S27+'타이어코드 (2)'!S27</f>
        <v>1625761.9200000002</v>
      </c>
      <c r="T27" s="130">
        <f t="shared" ref="T27" si="23">Q27/S27</f>
        <v>3.7990433433205273</v>
      </c>
      <c r="U27" s="78"/>
    </row>
    <row r="28" spans="1:21" s="79" customFormat="1" ht="13.2" hidden="1">
      <c r="A28" s="123" t="s">
        <v>413</v>
      </c>
      <c r="B28" s="131">
        <f>SUM(F26:F28)</f>
        <v>1058767.2009569379</v>
      </c>
      <c r="C28" s="131">
        <f>AVERAGE(F26:F28)</f>
        <v>352922.40031897929</v>
      </c>
      <c r="D28" s="90">
        <f>C28/C25-1</f>
        <v>-0.25028847671279308</v>
      </c>
      <c r="E28" s="286">
        <f>C28/C16-1</f>
        <v>-0.2414952855329382</v>
      </c>
      <c r="F28" s="78">
        <f>Q28/19</f>
        <v>472283.31578947371</v>
      </c>
      <c r="G28" s="90">
        <f t="shared" ref="G28" si="24">F28/F27-1</f>
        <v>0.682263759341037</v>
      </c>
      <c r="H28" s="90">
        <f t="shared" ref="H28" si="25">F28/F16-1</f>
        <v>-4.8687960681898623E-2</v>
      </c>
      <c r="I28" s="130">
        <f t="shared" si="0"/>
        <v>3.8039746841685895</v>
      </c>
      <c r="J28" s="130">
        <f t="shared" si="5"/>
        <v>-2.9444201219266941E-2</v>
      </c>
      <c r="K28" s="78">
        <f>R26+R27+R28</f>
        <v>27700095239</v>
      </c>
      <c r="L28" s="90">
        <f>U28/U25-1</f>
        <v>-0.27770214163531559</v>
      </c>
      <c r="M28" s="90">
        <f>U28/U16-1</f>
        <v>-0.29428553515331846</v>
      </c>
      <c r="N28" s="88">
        <f>AVERAGE(T26:T28)</f>
        <v>3.878431368626226</v>
      </c>
      <c r="O28" s="91">
        <f>N28/N25-1</f>
        <v>5.1193846399766541E-2</v>
      </c>
      <c r="P28" s="129" t="s">
        <v>413</v>
      </c>
      <c r="Q28" s="116">
        <f>타이어코드!Q28+'타이어코드 (2)'!Q28</f>
        <v>8973383</v>
      </c>
      <c r="R28" s="116">
        <f>타이어코드!R28+'타이어코드 (2)'!R28</f>
        <v>11701983123</v>
      </c>
      <c r="S28" s="116">
        <f>타이어코드!S28+'타이어코드 (2)'!S28</f>
        <v>2358949.19</v>
      </c>
      <c r="T28" s="130">
        <f t="shared" ref="T28" si="26">Q28/S28</f>
        <v>3.8039746841685895</v>
      </c>
      <c r="U28" s="85">
        <f>Q26+Q27+Q28</f>
        <v>20958805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372372.31818181818</v>
      </c>
      <c r="G29" s="190">
        <f t="shared" ref="G29" si="27">F29/F28-1</f>
        <v>-0.21154886117593052</v>
      </c>
      <c r="H29" s="190">
        <f t="shared" ref="H29" si="28">F29/F17-1</f>
        <v>-0.28592769675708996</v>
      </c>
      <c r="I29" s="130">
        <f t="shared" si="0"/>
        <v>3.2458095493619052</v>
      </c>
      <c r="J29" s="130">
        <f t="shared" si="5"/>
        <v>-0.19543690231811706</v>
      </c>
      <c r="K29" s="136"/>
      <c r="L29" s="190"/>
      <c r="M29" s="190"/>
      <c r="N29" s="191"/>
      <c r="O29" s="192"/>
      <c r="P29" s="129" t="s">
        <v>427</v>
      </c>
      <c r="Q29" s="116">
        <f>타이어코드!Q29+'타이어코드 (2)'!Q29</f>
        <v>8192191</v>
      </c>
      <c r="R29" s="116">
        <f>타이어코드!R29+'타이어코드 (2)'!R29</f>
        <v>10798705428</v>
      </c>
      <c r="S29" s="116">
        <f>타이어코드!S29+'타이어코드 (2)'!S29</f>
        <v>2523928.4299999997</v>
      </c>
      <c r="T29" s="130">
        <f t="shared" ref="T29" si="29">Q29/S29</f>
        <v>3.2458095493619052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366615.05263157893</v>
      </c>
      <c r="G30" s="190">
        <f t="shared" ref="G30" si="30">F30/F29-1</f>
        <v>-1.5461046026058689E-2</v>
      </c>
      <c r="H30" s="190">
        <f t="shared" ref="H30" si="31">F30/F18-1</f>
        <v>-0.29423400219868279</v>
      </c>
      <c r="I30" s="130">
        <f t="shared" si="0"/>
        <v>3.5333386672277789</v>
      </c>
      <c r="J30" s="130">
        <f t="shared" si="5"/>
        <v>-8.6541859332178839E-2</v>
      </c>
      <c r="K30" s="136"/>
      <c r="L30" s="190"/>
      <c r="M30" s="190"/>
      <c r="N30" s="191"/>
      <c r="O30" s="192"/>
      <c r="P30" s="129" t="s">
        <v>469</v>
      </c>
      <c r="Q30" s="116">
        <f>타이어코드!Q30+'타이어코드 (2)'!Q30</f>
        <v>6965686</v>
      </c>
      <c r="R30" s="116">
        <f>타이어코드!R30+'타이어코드 (2)'!R30</f>
        <v>9282983559</v>
      </c>
      <c r="S30" s="116">
        <f>타이어코드!S30+'타이어코드 (2)'!S30</f>
        <v>1971417.59</v>
      </c>
      <c r="T30" s="130">
        <f t="shared" ref="T30:T31" si="32">Q30/S30</f>
        <v>3.5333386672277789</v>
      </c>
      <c r="U30" s="85"/>
    </row>
    <row r="31" spans="1:21" s="79" customFormat="1" ht="13.2" hidden="1">
      <c r="A31" s="129" t="s">
        <v>505</v>
      </c>
      <c r="B31" s="188">
        <f>SUM(F29:F31)</f>
        <v>1115814.8208133972</v>
      </c>
      <c r="C31" s="188">
        <f>AVERAGE(F29:F31)</f>
        <v>371938.27360446571</v>
      </c>
      <c r="D31" s="190">
        <f>C31/C28-1</f>
        <v>5.388117407197579E-2</v>
      </c>
      <c r="E31" s="287">
        <f>C31/C19-1</f>
        <v>-0.23717897762673712</v>
      </c>
      <c r="F31" s="136">
        <f>Q31/20</f>
        <v>376827.45</v>
      </c>
      <c r="G31" s="190">
        <f t="shared" ref="G31" si="33">F31/F30-1</f>
        <v>2.7855913976024826E-2</v>
      </c>
      <c r="H31" s="190">
        <f t="shared" ref="H31" si="34">F31/F19-1</f>
        <v>-0.10664991721359218</v>
      </c>
      <c r="I31" s="130">
        <f t="shared" si="0"/>
        <v>3.5503126245106893</v>
      </c>
      <c r="J31" s="130">
        <f t="shared" si="5"/>
        <v>-7.7018257475812701E-2</v>
      </c>
      <c r="K31" s="136">
        <f>R29+R30+R31</f>
        <v>30098901707</v>
      </c>
      <c r="L31" s="190">
        <f>U31/U28-1</f>
        <v>8.2811066756907081E-2</v>
      </c>
      <c r="M31" s="190">
        <f>U31/U19-1</f>
        <v>-0.24599691314392358</v>
      </c>
      <c r="N31" s="191">
        <f>AVERAGE(T29:T31)</f>
        <v>3.4431536137001246</v>
      </c>
      <c r="O31" s="192">
        <f>N31/N28-1</f>
        <v>-0.11223036159597699</v>
      </c>
      <c r="P31" s="129" t="s">
        <v>505</v>
      </c>
      <c r="Q31" s="116">
        <f>타이어코드!Q31+'타이어코드 (2)'!Q31</f>
        <v>7536549</v>
      </c>
      <c r="R31" s="116">
        <f>타이어코드!R31+'타이어코드 (2)'!R31</f>
        <v>10017212720</v>
      </c>
      <c r="S31" s="116">
        <f>타이어코드!S31+'타이어코드 (2)'!S31</f>
        <v>2122784.61</v>
      </c>
      <c r="T31" s="130">
        <f t="shared" si="32"/>
        <v>3.5503126245106893</v>
      </c>
      <c r="U31" s="85">
        <f>Q29+Q30+Q31</f>
        <v>22694426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357760.04761904763</v>
      </c>
      <c r="G32" s="190">
        <f t="shared" ref="G32" si="35">F32/F31-1</f>
        <v>-5.0599823290347845E-2</v>
      </c>
      <c r="H32" s="190">
        <f t="shared" ref="H32" si="36">F32/F20-1</f>
        <v>-4.209471169722101E-2</v>
      </c>
      <c r="I32" s="130">
        <f t="shared" si="0"/>
        <v>3.7840528116091496</v>
      </c>
      <c r="J32" s="130">
        <f t="shared" si="5"/>
        <v>1.386526697865631E-2</v>
      </c>
      <c r="K32" s="136"/>
      <c r="L32" s="190"/>
      <c r="M32" s="190"/>
      <c r="N32" s="191"/>
      <c r="O32" s="192"/>
      <c r="P32" s="129" t="s">
        <v>562</v>
      </c>
      <c r="Q32" s="116">
        <f>타이어코드!Q32+'타이어코드 (2)'!Q32</f>
        <v>7512961</v>
      </c>
      <c r="R32" s="116">
        <f>타이어코드!R32+'타이어코드 (2)'!R32</f>
        <v>10226201346</v>
      </c>
      <c r="S32" s="116">
        <f>타이어코드!S32+'타이어코드 (2)'!S32</f>
        <v>1985427.0999999999</v>
      </c>
      <c r="T32" s="130">
        <f t="shared" ref="T32" si="37">Q32/S32</f>
        <v>3.7840528116091496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87"/>
      <c r="F33" s="136">
        <f>Q33/21</f>
        <v>275545.23809523811</v>
      </c>
      <c r="G33" s="190">
        <f t="shared" ref="G33" si="38">F33/F32-1</f>
        <v>-0.22980433413670054</v>
      </c>
      <c r="H33" s="190">
        <f t="shared" ref="H33" si="39">F33/F21-1</f>
        <v>-0.38490123308888979</v>
      </c>
      <c r="I33" s="130">
        <f t="shared" si="0"/>
        <v>3.8489480537517737</v>
      </c>
      <c r="J33" s="130">
        <f t="shared" si="5"/>
        <v>1.6742532462267423E-2</v>
      </c>
      <c r="K33" s="136"/>
      <c r="L33" s="190"/>
      <c r="M33" s="190"/>
      <c r="N33" s="191"/>
      <c r="O33" s="192"/>
      <c r="P33" s="129" t="s">
        <v>616</v>
      </c>
      <c r="Q33" s="116">
        <f>타이어코드!Q33+'타이어코드 (2)'!Q33</f>
        <v>5786450</v>
      </c>
      <c r="R33" s="116">
        <f>타이어코드!R33+'타이어코드 (2)'!R33</f>
        <v>7920726196</v>
      </c>
      <c r="S33" s="116">
        <f>타이어코드!S33+'타이어코드 (2)'!S33</f>
        <v>1503384.8</v>
      </c>
      <c r="T33" s="130">
        <f t="shared" ref="T33" si="40">Q33/S33</f>
        <v>3.8489480537517737</v>
      </c>
      <c r="U33" s="85"/>
    </row>
    <row r="34" spans="1:21" s="79" customFormat="1" ht="13.2" hidden="1">
      <c r="A34" s="129" t="s">
        <v>652</v>
      </c>
      <c r="B34" s="188">
        <f>SUM(F32:F34)</f>
        <v>1083614.1804511277</v>
      </c>
      <c r="C34" s="188">
        <f>AVERAGE(F32:F34)</f>
        <v>361204.72681704257</v>
      </c>
      <c r="D34" s="190">
        <f>C34/C31-1</f>
        <v>-2.8858408905875654E-2</v>
      </c>
      <c r="E34" s="287">
        <f>C34/C22-1</f>
        <v>-0.11724258421141276</v>
      </c>
      <c r="F34" s="136">
        <f>Q34/19</f>
        <v>450308.89473684208</v>
      </c>
      <c r="G34" s="190">
        <f t="shared" ref="G34" si="41">F34/F33-1</f>
        <v>0.63424669520581411</v>
      </c>
      <c r="H34" s="190">
        <f t="shared" ref="H34" si="42">F34/F22-1</f>
        <v>0.1089095509503617</v>
      </c>
      <c r="I34" s="130">
        <f t="shared" si="0"/>
        <v>3.5662936391173781</v>
      </c>
      <c r="J34" s="130">
        <f t="shared" si="5"/>
        <v>6.0240755267293444E-3</v>
      </c>
      <c r="K34" s="136">
        <f>R32+R33+R34</f>
        <v>29902421449</v>
      </c>
      <c r="L34" s="190">
        <f>U34/U31-1</f>
        <v>-3.6975863588706748E-2</v>
      </c>
      <c r="M34" s="190">
        <f>U34/U22-1</f>
        <v>-0.13971573548992999</v>
      </c>
      <c r="N34" s="191">
        <f>AVERAGE(T32:T34)</f>
        <v>3.7330981681594335</v>
      </c>
      <c r="O34" s="192">
        <f>N34/N31-1</f>
        <v>8.4209009236658749E-2</v>
      </c>
      <c r="P34" s="129" t="s">
        <v>652</v>
      </c>
      <c r="Q34" s="116">
        <f>타이어코드!Q34+'타이어코드 (2)'!Q34</f>
        <v>8555869</v>
      </c>
      <c r="R34" s="116">
        <f>타이어코드!R34+'타이어코드 (2)'!R34</f>
        <v>11755493907</v>
      </c>
      <c r="S34" s="116">
        <f>타이어코드!S34+'타이어코드 (2)'!S34</f>
        <v>2399092.69</v>
      </c>
      <c r="T34" s="130">
        <f t="shared" ref="T34" si="43">Q34/S34</f>
        <v>3.5662936391173781</v>
      </c>
      <c r="U34" s="85">
        <f>Q32+Q33+Q34</f>
        <v>21855280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360166.95652173914</v>
      </c>
      <c r="G35" s="190">
        <f t="shared" ref="G35" si="44">F35/F34-1</f>
        <v>-0.20017800951451636</v>
      </c>
      <c r="H35" s="190">
        <f t="shared" ref="H35" si="45">F35/F23-1</f>
        <v>-0.1364198535292841</v>
      </c>
      <c r="I35" s="130">
        <f t="shared" si="0"/>
        <v>3.6604704069289751</v>
      </c>
      <c r="J35" s="130">
        <f t="shared" si="5"/>
        <v>-1.5927672591516506E-2</v>
      </c>
      <c r="K35" s="136"/>
      <c r="L35" s="190"/>
      <c r="M35" s="190"/>
      <c r="N35" s="191"/>
      <c r="O35" s="192"/>
      <c r="P35" s="129" t="s">
        <v>660</v>
      </c>
      <c r="Q35" s="116">
        <f>타이어코드!Q35+'타이어코드 (2)'!Q35</f>
        <v>8283840</v>
      </c>
      <c r="R35" s="116">
        <f>타이어코드!R35+'타이어코드 (2)'!R35</f>
        <v>11463456515</v>
      </c>
      <c r="S35" s="116">
        <f>타이어코드!S35+'타이어코드 (2)'!S35</f>
        <v>2263053.4</v>
      </c>
      <c r="T35" s="130">
        <f t="shared" ref="T35" si="46">Q35/S35</f>
        <v>3.6604704069289751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403497.23809523811</v>
      </c>
      <c r="G36" s="190">
        <f t="shared" ref="G36" si="47">F36/F35-1</f>
        <v>0.12030609912679102</v>
      </c>
      <c r="H36" s="190">
        <f t="shared" ref="H36" si="48">F36/F24-1</f>
        <v>-0.10353651176314804</v>
      </c>
      <c r="I36" s="130">
        <f t="shared" si="0"/>
        <v>3.8472634622917536</v>
      </c>
      <c r="J36" s="130">
        <f t="shared" si="5"/>
        <v>5.5859776171985454E-2</v>
      </c>
      <c r="K36" s="136"/>
      <c r="L36" s="190"/>
      <c r="M36" s="190"/>
      <c r="N36" s="191"/>
      <c r="O36" s="192"/>
      <c r="P36" s="129" t="s">
        <v>664</v>
      </c>
      <c r="Q36" s="116">
        <f>타이어코드!Q36+'타이어코드 (2)'!Q36</f>
        <v>8473442</v>
      </c>
      <c r="R36" s="116">
        <f>타이어코드!R36+'타이어코드 (2)'!R36</f>
        <v>11589315314</v>
      </c>
      <c r="S36" s="116">
        <f>타이어코드!S36+'타이어코드 (2)'!S36</f>
        <v>2202459.5100000002</v>
      </c>
      <c r="T36" s="130">
        <f t="shared" ref="T36" si="49">Q36/S36</f>
        <v>3.8472634622917536</v>
      </c>
      <c r="U36" s="85"/>
    </row>
    <row r="37" spans="1:21" s="79" customFormat="1" ht="13.2" hidden="1">
      <c r="A37" s="129" t="s">
        <v>702</v>
      </c>
      <c r="B37" s="188">
        <f>SUM(F35:F37)</f>
        <v>1187434.8612836439</v>
      </c>
      <c r="C37" s="188">
        <f>AVERAGE(F35:F37)</f>
        <v>395811.62042788131</v>
      </c>
      <c r="D37" s="190">
        <f>C37/C34-1</f>
        <v>9.5809636589744285E-2</v>
      </c>
      <c r="E37" s="287">
        <f>C37/C25-1</f>
        <v>-0.15917909257797125</v>
      </c>
      <c r="F37" s="136">
        <f>Q37/18</f>
        <v>423770.66666666669</v>
      </c>
      <c r="G37" s="190">
        <f t="shared" ref="G37" si="50">F37/F36-1</f>
        <v>5.0244280895532123E-2</v>
      </c>
      <c r="H37" s="190">
        <f t="shared" ref="H37" si="51">F37/F25-1</f>
        <v>-0.22254087787965293</v>
      </c>
      <c r="I37" s="130">
        <f t="shared" si="0"/>
        <v>3.7525619671747941</v>
      </c>
      <c r="J37" s="130">
        <f t="shared" si="5"/>
        <v>1.2781235366530641E-2</v>
      </c>
      <c r="K37" s="136">
        <f>R35+R36+R37</f>
        <v>33234732425</v>
      </c>
      <c r="L37" s="190">
        <f>U37/U34-1</f>
        <v>0.11575573499859071</v>
      </c>
      <c r="M37" s="190">
        <f>U37/U25-1</f>
        <v>-0.15962076511074863</v>
      </c>
      <c r="N37" s="191">
        <f>AVERAGE(T35:T37)</f>
        <v>3.7534319454651741</v>
      </c>
      <c r="O37" s="192">
        <f>N37/N34-1</f>
        <v>5.4468905959057512E-3</v>
      </c>
      <c r="P37" s="129" t="s">
        <v>702</v>
      </c>
      <c r="Q37" s="116">
        <f>타이어코드!Q37+'타이어코드 (2)'!Q37</f>
        <v>7627872</v>
      </c>
      <c r="R37" s="116">
        <f>타이어코드!R37+'타이어코드 (2)'!R37</f>
        <v>10181960596</v>
      </c>
      <c r="S37" s="116">
        <f>타이어코드!S37+'타이어코드 (2)'!S37</f>
        <v>2032710.47</v>
      </c>
      <c r="T37" s="130">
        <f t="shared" ref="T37" si="52">Q37/S37</f>
        <v>3.7525619671747941</v>
      </c>
      <c r="U37" s="85">
        <f>Q35+Q36+Q37</f>
        <v>24385154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344194.85</v>
      </c>
      <c r="G38" s="190">
        <f t="shared" ref="G38" si="53">F38/F37-1</f>
        <v>-0.18778037963930183</v>
      </c>
      <c r="H38" s="190">
        <f t="shared" ref="H38" si="54">F38/F26-1</f>
        <v>0.12577204969735312</v>
      </c>
      <c r="I38" s="130">
        <f t="shared" si="0"/>
        <v>4.3772879325986764</v>
      </c>
      <c r="J38" s="130">
        <f t="shared" si="5"/>
        <v>8.556255759821596E-2</v>
      </c>
      <c r="K38" s="136"/>
      <c r="L38" s="190"/>
      <c r="M38" s="190"/>
      <c r="N38" s="191"/>
      <c r="O38" s="192"/>
      <c r="P38" s="129" t="s">
        <v>732</v>
      </c>
      <c r="Q38" s="116">
        <f>타이어코드!Q38+'타이어코드 (2)'!Q38</f>
        <v>6883897</v>
      </c>
      <c r="R38" s="116">
        <f>타이어코드!R38+'타이어코드 (2)'!R38</f>
        <v>9256480047</v>
      </c>
      <c r="S38" s="116">
        <f>타이어코드!S38+'타이어코드 (2)'!S38</f>
        <v>1572639.75</v>
      </c>
      <c r="T38" s="130">
        <f t="shared" ref="T38" si="55">Q38/S38</f>
        <v>4.3772879325986764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269477.61904761905</v>
      </c>
      <c r="G39" s="190">
        <f t="shared" ref="G39" si="56">F39/F38-1</f>
        <v>-0.21707829432189629</v>
      </c>
      <c r="H39" s="190">
        <f t="shared" ref="H39" si="57">F39/F27-1</f>
        <v>-4.0126091010595499E-2</v>
      </c>
      <c r="I39" s="130">
        <f t="shared" si="0"/>
        <v>3.7282185634442988</v>
      </c>
      <c r="J39" s="130">
        <f t="shared" si="5"/>
        <v>-1.8642793323417228E-2</v>
      </c>
      <c r="K39" s="136"/>
      <c r="L39" s="190"/>
      <c r="M39" s="190"/>
      <c r="N39" s="191"/>
      <c r="O39" s="192"/>
      <c r="P39" s="129" t="s">
        <v>762</v>
      </c>
      <c r="Q39" s="116">
        <f>타이어코드!Q39+'타이어코드 (2)'!Q39</f>
        <v>5659030</v>
      </c>
      <c r="R39" s="116">
        <f>타이어코드!R39+'타이어코드 (2)'!R39</f>
        <v>7863956408</v>
      </c>
      <c r="S39" s="116">
        <f>타이어코드!S39+'타이어코드 (2)'!S39</f>
        <v>1517891.16</v>
      </c>
      <c r="T39" s="130">
        <f t="shared" ref="T39" si="58">Q39/S39</f>
        <v>3.7282185634442988</v>
      </c>
      <c r="U39" s="85"/>
    </row>
    <row r="40" spans="1:21" s="79" customFormat="1" ht="13.2" hidden="1">
      <c r="A40" s="129" t="s">
        <v>778</v>
      </c>
      <c r="B40" s="188">
        <f>SUM(F38:F40)</f>
        <v>887239.75476190471</v>
      </c>
      <c r="C40" s="188">
        <f>AVERAGE(F38:F40)</f>
        <v>295746.58492063492</v>
      </c>
      <c r="D40" s="190">
        <f>C40/C37-1</f>
        <v>-0.25280974671505052</v>
      </c>
      <c r="E40" s="287">
        <f>C40/C28-1</f>
        <v>-0.16200676224197608</v>
      </c>
      <c r="F40" s="136">
        <f>Q40/21</f>
        <v>273567.28571428574</v>
      </c>
      <c r="G40" s="190">
        <f t="shared" ref="G40" si="59">F40/F39-1</f>
        <v>1.5176275792847971E-2</v>
      </c>
      <c r="H40" s="190">
        <f t="shared" ref="H40" si="60">F40/F28-1</f>
        <v>-0.42075598148753612</v>
      </c>
      <c r="I40" s="130">
        <f t="shared" si="0"/>
        <v>3.8831889076113932</v>
      </c>
      <c r="J40" s="130">
        <f t="shared" si="5"/>
        <v>2.082406693516603E-2</v>
      </c>
      <c r="K40" s="136">
        <f>R38+R39+R40</f>
        <v>25266411517</v>
      </c>
      <c r="L40" s="190">
        <f>U40/U37-1</f>
        <v>-0.25004205427613868</v>
      </c>
      <c r="M40" s="190">
        <f>U40/U28-1</f>
        <v>-0.12743880197368118</v>
      </c>
      <c r="N40" s="191">
        <f>AVERAGE(T38:T40)</f>
        <v>3.9962318012181228</v>
      </c>
      <c r="O40" s="192">
        <f>N40/N37-1</f>
        <v>6.4687427208130144E-2</v>
      </c>
      <c r="P40" s="129" t="s">
        <v>778</v>
      </c>
      <c r="Q40" s="116">
        <f>타이어코드!Q40+'타이어코드 (2)'!Q40</f>
        <v>5744913</v>
      </c>
      <c r="R40" s="116">
        <f>타이어코드!R40+'타이어코드 (2)'!R40</f>
        <v>8145975062</v>
      </c>
      <c r="S40" s="116">
        <f>타이어코드!S40+'타이어코드 (2)'!S40</f>
        <v>1479431.7599999998</v>
      </c>
      <c r="T40" s="130">
        <f t="shared" ref="T40" si="61">Q40/S40</f>
        <v>3.8831889076113932</v>
      </c>
      <c r="U40" s="85">
        <f>Q38+Q39+Q40</f>
        <v>18287840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290406</v>
      </c>
      <c r="G41" s="190">
        <f t="shared" ref="G41" si="62">F41/F40-1</f>
        <v>6.1552368155966652E-2</v>
      </c>
      <c r="H41" s="190">
        <f t="shared" ref="H41" si="63">F41/F29-1</f>
        <v>-0.22011925747336702</v>
      </c>
      <c r="I41" s="130">
        <f t="shared" si="0"/>
        <v>3.5269035676019205</v>
      </c>
      <c r="J41" s="130">
        <f t="shared" si="5"/>
        <v>8.6602129288601004E-2</v>
      </c>
      <c r="K41" s="193"/>
      <c r="L41" s="190"/>
      <c r="M41" s="190"/>
      <c r="N41" s="193"/>
      <c r="O41" s="193"/>
      <c r="P41" s="129" t="s">
        <v>797</v>
      </c>
      <c r="Q41" s="116">
        <f>타이어코드!Q41+'타이어코드 (2)'!Q41</f>
        <v>5227308</v>
      </c>
      <c r="R41" s="116">
        <f>타이어코드!R41+'타이어코드 (2)'!R41</f>
        <v>7649035218</v>
      </c>
      <c r="S41" s="116">
        <f>타이어코드!S41+'타이어코드 (2)'!S41</f>
        <v>1482123.88</v>
      </c>
      <c r="T41" s="130">
        <f t="shared" ref="T41" si="64">Q41/S41</f>
        <v>3.5269035676019205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298352.7</v>
      </c>
      <c r="G42" s="190">
        <f t="shared" ref="G42" si="65">F42/F41-1</f>
        <v>2.7364104047437054E-2</v>
      </c>
      <c r="H42" s="190">
        <f t="shared" ref="H42" si="66">F42/F30-1</f>
        <v>-0.18619626265094347</v>
      </c>
      <c r="I42" s="130">
        <f t="shared" si="0"/>
        <v>3.4733718369056721</v>
      </c>
      <c r="J42" s="130">
        <f t="shared" si="5"/>
        <v>-1.6971718810400938E-2</v>
      </c>
      <c r="K42" s="193"/>
      <c r="L42" s="190"/>
      <c r="M42" s="190"/>
      <c r="N42" s="193"/>
      <c r="O42" s="193"/>
      <c r="P42" s="129" t="s">
        <v>826</v>
      </c>
      <c r="Q42" s="116">
        <f>타이어코드!Q42+'타이어코드 (2)'!Q42</f>
        <v>5967054</v>
      </c>
      <c r="R42" s="116">
        <f>타이어코드!R42+'타이어코드 (2)'!R42</f>
        <v>8615349247</v>
      </c>
      <c r="S42" s="116">
        <f>타이어코드!S42+'타이어코드 (2)'!S42</f>
        <v>1717942.76</v>
      </c>
      <c r="T42" s="130">
        <f t="shared" ref="T42" si="67">Q42/S42</f>
        <v>3.4733718369056721</v>
      </c>
      <c r="U42" s="78"/>
    </row>
    <row r="43" spans="1:21" s="79" customFormat="1" ht="13.2">
      <c r="A43" s="129" t="s">
        <v>835</v>
      </c>
      <c r="B43" s="188">
        <f>SUM(F41:F43)</f>
        <v>905886.5</v>
      </c>
      <c r="C43" s="188">
        <f>AVERAGE(F41:F43)</f>
        <v>301962.16666666669</v>
      </c>
      <c r="D43" s="190">
        <f>C43/C40-1</f>
        <v>2.1016579946983249E-2</v>
      </c>
      <c r="E43" s="287">
        <f>C43/C31-1</f>
        <v>-0.18813903247885277</v>
      </c>
      <c r="F43" s="136">
        <f>Q43/20</f>
        <v>317127.8</v>
      </c>
      <c r="G43" s="190">
        <f t="shared" ref="G43" si="68">F43/F42-1</f>
        <v>6.2929210964070226E-2</v>
      </c>
      <c r="H43" s="190">
        <f t="shared" ref="H43" si="69">F43/F31-1</f>
        <v>-0.15842702011225573</v>
      </c>
      <c r="I43" s="130">
        <f t="shared" si="0"/>
        <v>3.4503833006077951</v>
      </c>
      <c r="J43" s="130">
        <f t="shared" si="5"/>
        <v>-2.8146626641552874E-2</v>
      </c>
      <c r="K43" s="136">
        <f>R41+R42+R43</f>
        <v>25453719095</v>
      </c>
      <c r="L43" s="190">
        <f>U43/U40-1</f>
        <v>-4.1061273501955431E-2</v>
      </c>
      <c r="M43" s="190">
        <f>K43/K31-1</f>
        <v>-0.15433063495867316</v>
      </c>
      <c r="N43" s="191">
        <f>AVERAGE(T41:T43)</f>
        <v>3.4835529017051292</v>
      </c>
      <c r="O43" s="192">
        <f>N43/N40-1</f>
        <v>-0.12829058098099311</v>
      </c>
      <c r="P43" s="129" t="s">
        <v>835</v>
      </c>
      <c r="Q43" s="116">
        <f>타이어코드!Q43+'타이어코드 (2)'!Q43</f>
        <v>6342556</v>
      </c>
      <c r="R43" s="116">
        <f>타이어코드!R43+'타이어코드 (2)'!R43</f>
        <v>9189334630</v>
      </c>
      <c r="S43" s="116">
        <f>타이어코드!S43+'타이어코드 (2)'!S43</f>
        <v>1838217.8</v>
      </c>
      <c r="T43" s="130">
        <f t="shared" ref="T43" si="70">Q43/S43</f>
        <v>3.4503833006077951</v>
      </c>
      <c r="U43" s="85">
        <f>Q41+Q42+Q43</f>
        <v>17536918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291700.86363636365</v>
      </c>
      <c r="G44" s="190">
        <f t="shared" ref="G44" si="71">F44/F43-1</f>
        <v>-8.017883125867975E-2</v>
      </c>
      <c r="H44" s="190">
        <f t="shared" ref="H44" si="72">F44/F32-1</f>
        <v>-0.18464662117058295</v>
      </c>
      <c r="I44" s="130">
        <f t="shared" si="0"/>
        <v>4.1133698655610695</v>
      </c>
      <c r="J44" s="130">
        <f t="shared" si="5"/>
        <v>8.7027605149062159E-2</v>
      </c>
      <c r="K44" s="136"/>
      <c r="L44" s="190"/>
      <c r="M44" s="190"/>
      <c r="N44" s="191"/>
      <c r="O44" s="192"/>
      <c r="P44" s="129" t="s">
        <v>843</v>
      </c>
      <c r="Q44" s="116">
        <f>타이어코드!Q44+'타이어코드 (2)'!Q44</f>
        <v>6417419</v>
      </c>
      <c r="R44" s="116">
        <f>타이어코드!R44+'타이어코드 (2)'!R44</f>
        <v>9292317003</v>
      </c>
      <c r="S44" s="116">
        <f>타이어코드!S44+'타이어코드 (2)'!S44</f>
        <v>1560136.63</v>
      </c>
      <c r="T44" s="130">
        <f t="shared" ref="T44" si="73">Q44/S44</f>
        <v>4.1133698655610695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282412.90000000002</v>
      </c>
      <c r="G45" s="190">
        <f t="shared" ref="G45" si="74">F45/F44-1</f>
        <v>-3.1840713532963916E-2</v>
      </c>
      <c r="H45" s="190">
        <f t="shared" ref="H45" si="75">F45/F33-1</f>
        <v>2.4923899800395777E-2</v>
      </c>
      <c r="I45" s="130">
        <f t="shared" si="0"/>
        <v>3.9077222743977558</v>
      </c>
      <c r="J45" s="130">
        <f t="shared" si="5"/>
        <v>1.5270203656994497E-2</v>
      </c>
      <c r="K45" s="136"/>
      <c r="L45" s="190"/>
      <c r="M45" s="190"/>
      <c r="N45" s="191"/>
      <c r="O45" s="192"/>
      <c r="P45" s="129" t="s">
        <v>855</v>
      </c>
      <c r="Q45" s="116">
        <f>타이어코드!Q45+'타이어코드 (2)'!Q45</f>
        <v>5648258</v>
      </c>
      <c r="R45" s="116">
        <f>타이어코드!R45+'타이어코드 (2)'!R45</f>
        <v>7952045760</v>
      </c>
      <c r="S45" s="116">
        <f>타이어코드!S45+'타이어코드 (2)'!S45</f>
        <v>1445409.27</v>
      </c>
      <c r="T45" s="130">
        <f t="shared" ref="T45" si="76">Q45/S45</f>
        <v>3.9077222743977558</v>
      </c>
      <c r="U45" s="85"/>
    </row>
    <row r="46" spans="1:21" s="79" customFormat="1" ht="13.2">
      <c r="A46" s="129" t="s">
        <v>896</v>
      </c>
      <c r="B46" s="188">
        <f>SUM(F44:F46)</f>
        <v>808656.39521531109</v>
      </c>
      <c r="C46" s="188">
        <f>AVERAGE(F44:F46)</f>
        <v>269552.13173843705</v>
      </c>
      <c r="D46" s="190">
        <f>C46/C43-1</f>
        <v>-0.10733144249824778</v>
      </c>
      <c r="E46" s="287">
        <f>C46/C34-1</f>
        <v>-0.25374140556313762</v>
      </c>
      <c r="F46" s="136">
        <f>Q46/19</f>
        <v>234542.63157894736</v>
      </c>
      <c r="G46" s="190">
        <f t="shared" ref="G46" si="77">F46/F45-1</f>
        <v>-0.1695045389961034</v>
      </c>
      <c r="H46" s="190">
        <f t="shared" ref="H46" si="78">F46/F34-1</f>
        <v>-0.47915167939107062</v>
      </c>
      <c r="I46" s="130">
        <f t="shared" si="0"/>
        <v>3.8152947385411684</v>
      </c>
      <c r="J46" s="130">
        <f t="shared" si="5"/>
        <v>6.9820694710213349E-2</v>
      </c>
      <c r="K46" s="136">
        <f>R44+R45+R46</f>
        <v>23353048646</v>
      </c>
      <c r="L46" s="190">
        <f>U46/U43-1</f>
        <v>-5.7873966223711548E-2</v>
      </c>
      <c r="M46" s="190">
        <f>K46/K34-1</f>
        <v>-0.21902483095458558</v>
      </c>
      <c r="N46" s="191">
        <f>AVERAGE(T44:T46)</f>
        <v>3.9454622928333314</v>
      </c>
      <c r="O46" s="192">
        <f>N46/N43-1</f>
        <v>0.13259720870095215</v>
      </c>
      <c r="P46" s="129" t="s">
        <v>888</v>
      </c>
      <c r="Q46" s="116">
        <f>타이어코드!Q46+'타이어코드 (2)'!Q46</f>
        <v>4456310</v>
      </c>
      <c r="R46" s="116">
        <f>타이어코드!R46+'타이어코드 (2)'!R46</f>
        <v>6108685883</v>
      </c>
      <c r="S46" s="116">
        <f>타이어코드!S46+'타이어코드 (2)'!S46</f>
        <v>1168011.99</v>
      </c>
      <c r="T46" s="130">
        <f t="shared" ref="T46" si="79">Q46/S46</f>
        <v>3.8152947385411684</v>
      </c>
      <c r="U46" s="85">
        <f t="shared" ref="U46:U51" si="80">Q44+Q45+Q46</f>
        <v>16521987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269314.5652173913</v>
      </c>
      <c r="G47" s="190">
        <f t="shared" ref="G47" si="81">F47/F46-1</f>
        <v>0.14825421461487975</v>
      </c>
      <c r="H47" s="190">
        <f t="shared" ref="H47" si="82">F47/F35-1</f>
        <v>-0.25225076775987954</v>
      </c>
      <c r="I47" s="130">
        <f t="shared" si="0"/>
        <v>4.0285952290676796</v>
      </c>
      <c r="J47" s="130">
        <f t="shared" si="5"/>
        <v>0.10056762689349275</v>
      </c>
      <c r="K47" s="136"/>
      <c r="L47" s="190"/>
      <c r="M47" s="190"/>
      <c r="N47" s="191"/>
      <c r="O47" s="192"/>
      <c r="P47" s="129" t="s">
        <v>991</v>
      </c>
      <c r="Q47" s="116">
        <f>타이어코드!Q47+'타이어코드 (2)'!Q47</f>
        <v>6194235</v>
      </c>
      <c r="R47" s="116">
        <f>타이어코드!R47+'타이어코드 (2)'!R47</f>
        <v>8503454922</v>
      </c>
      <c r="S47" s="116">
        <f>타이어코드!S47+'타이어코드 (2)'!S47</f>
        <v>1537566.98</v>
      </c>
      <c r="T47" s="130">
        <f t="shared" ref="T47" si="83">Q47/S47</f>
        <v>4.0285952290676796</v>
      </c>
      <c r="U47" s="85">
        <f t="shared" si="80"/>
        <v>16298803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287177.59999999998</v>
      </c>
      <c r="G48" s="190">
        <f t="shared" ref="G48" si="84">F48/F47-1</f>
        <v>6.632777090310582E-2</v>
      </c>
      <c r="H48" s="190">
        <f t="shared" ref="H48" si="85">F48/F36-1</f>
        <v>-0.28827864756730504</v>
      </c>
      <c r="I48" s="130">
        <f t="shared" si="0"/>
        <v>4.3524354908934058</v>
      </c>
      <c r="J48" s="130">
        <f t="shared" si="5"/>
        <v>0.1313068453858186</v>
      </c>
      <c r="K48" s="136"/>
      <c r="L48" s="190"/>
      <c r="M48" s="190"/>
      <c r="N48" s="191"/>
      <c r="O48" s="192"/>
      <c r="P48" s="129" t="s">
        <v>1070</v>
      </c>
      <c r="Q48" s="116">
        <f>타이어코드!Q48+'타이어코드 (2)'!Q48</f>
        <v>5743552</v>
      </c>
      <c r="R48" s="116">
        <f>타이어코드!R48+'타이어코드 (2)'!R48</f>
        <v>7968570610</v>
      </c>
      <c r="S48" s="116">
        <f>타이어코드!S48+'타이어코드 (2)'!S48</f>
        <v>1319617.95</v>
      </c>
      <c r="T48" s="130">
        <f t="shared" ref="T48" si="86">Q48/S48</f>
        <v>4.3524354908934058</v>
      </c>
      <c r="U48" s="85">
        <f t="shared" si="80"/>
        <v>16394097</v>
      </c>
    </row>
    <row r="49" spans="1:26" ht="13.2">
      <c r="A49" s="129" t="s">
        <v>1158</v>
      </c>
      <c r="B49" s="188">
        <f>SUM(F47:F49)</f>
        <v>830250.6197628458</v>
      </c>
      <c r="C49" s="188">
        <f>AVERAGE(F47:F49)</f>
        <v>276750.20658761525</v>
      </c>
      <c r="D49" s="190">
        <f>C49/C46-1</f>
        <v>2.6703832029653318E-2</v>
      </c>
      <c r="E49" s="287">
        <f>C49/C37-1</f>
        <v>-0.30080322985858265</v>
      </c>
      <c r="F49" s="136">
        <f>Q49/22</f>
        <v>273758.45454545453</v>
      </c>
      <c r="G49" s="190">
        <f t="shared" ref="G49" si="87">F49/F48-1</f>
        <v>-4.6727688561174152E-2</v>
      </c>
      <c r="H49" s="190">
        <f t="shared" ref="H49" si="88">F49/F37-1</f>
        <v>-0.35399385545297801</v>
      </c>
      <c r="I49" s="130">
        <f t="shared" si="0"/>
        <v>4.381087609655018</v>
      </c>
      <c r="J49" s="130">
        <f t="shared" si="5"/>
        <v>0.16749240864726467</v>
      </c>
      <c r="K49" s="136">
        <f>R47+R48+R49</f>
        <v>24839516023</v>
      </c>
      <c r="L49" s="190">
        <f>U49/U46-1</f>
        <v>8.7064951691343095E-2</v>
      </c>
      <c r="M49" s="190">
        <f>K49/K37-1</f>
        <v>-0.25260370069009208</v>
      </c>
      <c r="N49" s="191">
        <f>AVERAGE(T47:T49)</f>
        <v>4.2540394432053681</v>
      </c>
      <c r="O49" s="192">
        <f>N49/N46-1</f>
        <v>7.8210644905299498E-2</v>
      </c>
      <c r="P49" s="129" t="s">
        <v>1166</v>
      </c>
      <c r="Q49" s="116">
        <f>타이어코드!Q49+'타이어코드 (2)'!Q49</f>
        <v>6022686</v>
      </c>
      <c r="R49" s="116">
        <f>타이어코드!R49+'타이어코드 (2)'!R49</f>
        <v>8367490491</v>
      </c>
      <c r="S49" s="116">
        <f>타이어코드!S49+'타이어코드 (2)'!S49</f>
        <v>1374701.11</v>
      </c>
      <c r="T49" s="130">
        <f t="shared" ref="T49" si="89">Q49/S49</f>
        <v>4.381087609655018</v>
      </c>
      <c r="U49" s="85">
        <f t="shared" si="80"/>
        <v>17960473</v>
      </c>
      <c r="V49" s="79"/>
      <c r="W49" s="79"/>
      <c r="X49" s="79"/>
      <c r="Y49" s="79"/>
      <c r="Z49" s="79"/>
    </row>
    <row r="50" spans="1:26" ht="13.2">
      <c r="A50" s="129" t="s">
        <v>1300</v>
      </c>
      <c r="B50" s="188"/>
      <c r="C50" s="188"/>
      <c r="D50" s="190"/>
      <c r="E50" s="287"/>
      <c r="F50" s="136">
        <f>Q50/18</f>
        <v>274736.33333333331</v>
      </c>
      <c r="G50" s="190">
        <f t="shared" ref="G50" si="90">F50/F49-1</f>
        <v>3.5720496358822018E-3</v>
      </c>
      <c r="H50" s="190">
        <f t="shared" ref="H50" si="91">F50/F38-1</f>
        <v>-0.20179998819467138</v>
      </c>
      <c r="I50" s="130">
        <f t="shared" ref="I50" si="92">T50</f>
        <v>4.2090401402051603</v>
      </c>
      <c r="J50" s="130">
        <f t="shared" ref="J50" si="93">I50/I38-1</f>
        <v>-3.8436537642528856E-2</v>
      </c>
      <c r="K50" s="136"/>
      <c r="L50" s="190"/>
      <c r="M50" s="190"/>
      <c r="N50" s="191"/>
      <c r="O50" s="192"/>
      <c r="P50" s="129" t="s">
        <v>1291</v>
      </c>
      <c r="Q50" s="116">
        <f>타이어코드!Q50+'타이어코드 (2)'!Q50</f>
        <v>4945254</v>
      </c>
      <c r="R50" s="116">
        <f>타이어코드!R50+'타이어코드 (2)'!R50</f>
        <v>6977200261</v>
      </c>
      <c r="S50" s="116">
        <f>타이어코드!S50+'타이어코드 (2)'!S50</f>
        <v>1174912.53</v>
      </c>
      <c r="T50" s="130">
        <f t="shared" ref="T50" si="94">Q50/S50</f>
        <v>4.2090401402051603</v>
      </c>
      <c r="U50" s="85">
        <f t="shared" si="80"/>
        <v>16711492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270142.25</v>
      </c>
      <c r="G51" s="190">
        <f t="shared" ref="G51:G52" si="95">F51/F50-1</f>
        <v>-1.6721790225537436E-2</v>
      </c>
      <c r="H51" s="190">
        <f t="shared" ref="H51:H52" si="96">F51/F39-1</f>
        <v>2.4663679111083248E-3</v>
      </c>
      <c r="I51" s="130">
        <f t="shared" ref="I51:I52" si="97">T51</f>
        <v>3.6504742330441369</v>
      </c>
      <c r="J51" s="130">
        <f t="shared" ref="J51:J52" si="98">I51/I39-1</f>
        <v>-2.0852943323241835E-2</v>
      </c>
      <c r="K51" s="136"/>
      <c r="L51" s="190"/>
      <c r="M51" s="190"/>
      <c r="N51" s="191"/>
      <c r="O51" s="192"/>
      <c r="P51" s="129" t="s">
        <v>1402</v>
      </c>
      <c r="Q51" s="116">
        <f>타이어코드!Q51+'타이어코드 (2)'!Q51</f>
        <v>5402845</v>
      </c>
      <c r="R51" s="116">
        <f>타이어코드!R51+'타이어코드 (2)'!R51</f>
        <v>7848411432</v>
      </c>
      <c r="S51" s="116">
        <f>타이어코드!S51+'타이어코드 (2)'!S51</f>
        <v>1480039.21</v>
      </c>
      <c r="T51" s="130">
        <f t="shared" ref="T51:T52" si="99">Q51/S51</f>
        <v>3.6504742330441369</v>
      </c>
      <c r="U51" s="85">
        <f t="shared" si="80"/>
        <v>16370785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737279.12878787867</v>
      </c>
      <c r="C52" s="188">
        <f>AVERAGE(F50:F52)</f>
        <v>245759.70959595955</v>
      </c>
      <c r="D52" s="190">
        <f>C52/C49-1</f>
        <v>-0.11198003200711082</v>
      </c>
      <c r="E52" s="287">
        <f>C52/C40-1</f>
        <v>-0.16901928161939594</v>
      </c>
      <c r="F52" s="136">
        <f>Q52/22</f>
        <v>192400.54545454544</v>
      </c>
      <c r="G52" s="190">
        <f t="shared" si="95"/>
        <v>-0.28778062130397808</v>
      </c>
      <c r="H52" s="190">
        <f t="shared" si="96"/>
        <v>-0.29669753840563751</v>
      </c>
      <c r="I52" s="130">
        <f t="shared" si="97"/>
        <v>3.2783059731846516</v>
      </c>
      <c r="J52" s="130">
        <f t="shared" si="98"/>
        <v>-0.15576963903072494</v>
      </c>
      <c r="K52" s="136">
        <f>R50+R51+R52</f>
        <v>21053486558</v>
      </c>
      <c r="L52" s="190">
        <f>U52/U49-1</f>
        <v>-0.18816664794963922</v>
      </c>
      <c r="M52" s="190">
        <f>K52/K40-1</f>
        <v>-0.16674013862892312</v>
      </c>
      <c r="N52" s="191">
        <f>AVERAGE(T50:T52)</f>
        <v>3.7126067821446491</v>
      </c>
      <c r="O52" s="192">
        <f>N52/N49-1</f>
        <v>-0.12727495085300755</v>
      </c>
      <c r="P52" s="129" t="s">
        <v>1403</v>
      </c>
      <c r="Q52" s="116">
        <f>타이어코드!Q52+'타이어코드 (2)'!Q52</f>
        <v>4232812</v>
      </c>
      <c r="R52" s="116">
        <f>타이어코드!R52+'타이어코드 (2)'!R52</f>
        <v>6227874865</v>
      </c>
      <c r="S52" s="116">
        <f>타이어코드!S52+'타이어코드 (2)'!S52</f>
        <v>1291158.31</v>
      </c>
      <c r="T52" s="130">
        <f t="shared" si="99"/>
        <v>3.2783059731846516</v>
      </c>
      <c r="U52" s="85">
        <f t="shared" ref="U52" si="100">Q50+Q51+Q52</f>
        <v>14580911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300834</v>
      </c>
      <c r="G53" s="190">
        <f t="shared" ref="G53" si="101">F53/F52-1</f>
        <v>0.56358184582731297</v>
      </c>
      <c r="H53" s="190">
        <f t="shared" ref="H53" si="102">F53/F41-1</f>
        <v>3.5908349001053663E-2</v>
      </c>
      <c r="I53" s="130">
        <f t="shared" ref="I53" si="103">T53</f>
        <v>3.9568501793656412</v>
      </c>
      <c r="J53" s="130">
        <f t="shared" ref="J53" si="104">I53/I41-1</f>
        <v>0.12190483905293115</v>
      </c>
      <c r="K53" s="136"/>
      <c r="L53" s="190"/>
      <c r="M53" s="190"/>
      <c r="N53" s="191"/>
      <c r="O53" s="192"/>
      <c r="P53" s="129" t="s">
        <v>1414</v>
      </c>
      <c r="Q53" s="116">
        <f>타이어코드!Q53+'타이어코드 (2)'!Q53</f>
        <v>6317514</v>
      </c>
      <c r="R53" s="116">
        <f>타이어코드!R53+'타이어코드 (2)'!R53</f>
        <v>9193823376</v>
      </c>
      <c r="S53" s="116">
        <f>타이어코드!S53+'타이어코드 (2)'!S53</f>
        <v>1596601.77</v>
      </c>
      <c r="T53" s="130">
        <f t="shared" ref="T53" si="105">Q53/S53</f>
        <v>3.9568501793656412</v>
      </c>
      <c r="U53" s="85">
        <f t="shared" ref="U53" si="106">Q51+Q52+Q53</f>
        <v>15953171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312922.1176470588</v>
      </c>
      <c r="G54" s="190">
        <f t="shared" ref="G54" si="107">F54/F53-1</f>
        <v>4.0182019476052488E-2</v>
      </c>
      <c r="H54" s="190">
        <f t="shared" ref="H54" si="108">F54/F42-1</f>
        <v>4.8832866761583826E-2</v>
      </c>
      <c r="I54" s="130">
        <f t="shared" ref="I54" si="109">T54</f>
        <v>4.8002715458828247</v>
      </c>
      <c r="J54" s="130">
        <f t="shared" ref="J54" si="110">I54/I42-1</f>
        <v>0.38202063334493142</v>
      </c>
      <c r="K54" s="136"/>
      <c r="L54" s="190"/>
      <c r="M54" s="190"/>
      <c r="N54" s="191"/>
      <c r="O54" s="192"/>
      <c r="P54" s="129" t="s">
        <v>1417</v>
      </c>
      <c r="Q54" s="116">
        <f>타이어코드!Q54+'타이어코드 (2)'!Q54</f>
        <v>5319676</v>
      </c>
      <c r="R54" s="116">
        <f>타이어코드!R54+'타이어코드 (2)'!R54</f>
        <v>7702410963</v>
      </c>
      <c r="S54" s="116">
        <f>타이어코드!S54+'타이어코드 (2)'!S54</f>
        <v>1108203.1399999999</v>
      </c>
      <c r="T54" s="130">
        <f t="shared" ref="T54" si="111">Q54/S54</f>
        <v>4.8002715458828247</v>
      </c>
      <c r="U54" s="85">
        <f t="shared" ref="U54" si="112">Q52+Q53+Q54</f>
        <v>15870002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922355.49859943974</v>
      </c>
      <c r="C55" s="188">
        <f>AVERAGE(F53:F55)</f>
        <v>307451.83286647993</v>
      </c>
      <c r="D55" s="190">
        <f>C55/C52-1</f>
        <v>0.25102618884090133</v>
      </c>
      <c r="E55" s="287">
        <f>C55/C43-1</f>
        <v>1.8179980162459364E-2</v>
      </c>
      <c r="F55" s="136">
        <f>Q55/21</f>
        <v>308599.38095238095</v>
      </c>
      <c r="G55" s="190">
        <f t="shared" ref="G55" si="113">F55/F54-1</f>
        <v>-1.3814097664880953E-2</v>
      </c>
      <c r="H55" s="190">
        <f t="shared" ref="H55" si="114">F55/F43-1</f>
        <v>-2.6892688208410065E-2</v>
      </c>
      <c r="I55" s="130">
        <f>T55</f>
        <v>4.9046840189618193</v>
      </c>
      <c r="J55" s="130">
        <f t="shared" ref="J55" si="115">I55/I43-1</f>
        <v>0.42148961192162182</v>
      </c>
      <c r="K55" s="136">
        <f>R53+R54+R55</f>
        <v>26406796443</v>
      </c>
      <c r="L55" s="190">
        <f>U55/U52-1</f>
        <v>0.24256824556435475</v>
      </c>
      <c r="M55" s="190">
        <f>K55/K43-1</f>
        <v>3.7443539957475958E-2</v>
      </c>
      <c r="N55" s="191">
        <f>AVERAGE(T53:T55)</f>
        <v>4.5539352480700943</v>
      </c>
      <c r="O55" s="192">
        <f>N55/N52-1</f>
        <v>0.22661394413534897</v>
      </c>
      <c r="P55" s="129" t="s">
        <v>1418</v>
      </c>
      <c r="Q55" s="116">
        <f>타이어코드!Q55+'타이어코드 (2)'!Q55</f>
        <v>6480587</v>
      </c>
      <c r="R55" s="116">
        <f>타이어코드!R55+'타이어코드 (2)'!R55</f>
        <v>9510562104</v>
      </c>
      <c r="S55" s="116">
        <f>타이어코드!S55+'타이어코드 (2)'!S55</f>
        <v>1321305.71</v>
      </c>
      <c r="T55" s="130">
        <f t="shared" ref="T55" si="116">Q55/S55</f>
        <v>4.9046840189618193</v>
      </c>
      <c r="U55" s="85">
        <f t="shared" ref="U55" si="117">Q53+Q54+Q55</f>
        <v>18117777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374604.77272727271</v>
      </c>
      <c r="G56" s="190">
        <f t="shared" ref="G56" si="118">F56/F55-1</f>
        <v>0.21388698697706343</v>
      </c>
      <c r="H56" s="190">
        <f t="shared" ref="H56" si="119">F56/F44-1</f>
        <v>0.28420865148434271</v>
      </c>
      <c r="I56" s="291">
        <f>T56</f>
        <v>5.0874492506210256</v>
      </c>
      <c r="J56" s="130">
        <f t="shared" ref="J56" si="120">I56/I44-1</f>
        <v>0.23680812008066043</v>
      </c>
      <c r="K56" s="136"/>
      <c r="L56" s="190"/>
      <c r="M56" s="190"/>
      <c r="N56" s="191"/>
      <c r="O56" s="192"/>
      <c r="P56" s="129" t="s">
        <v>1420</v>
      </c>
      <c r="Q56" s="116">
        <f>타이어코드!Q56+'타이어코드 (2)'!Q56</f>
        <v>8241305</v>
      </c>
      <c r="R56" s="116">
        <f>타이어코드!R56+'타이어코드 (2)'!R56</f>
        <v>12307325279</v>
      </c>
      <c r="S56" s="116">
        <f>타이어코드!S56+'타이어코드 (2)'!S56</f>
        <v>1619928.69</v>
      </c>
      <c r="T56" s="130">
        <f t="shared" ref="T56" si="121">Q56/S56</f>
        <v>5.0874492506210256</v>
      </c>
      <c r="U56" s="85">
        <f t="shared" ref="U56" si="122">Q54+Q55+Q56</f>
        <v>20041568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430879.41666666669</v>
      </c>
      <c r="G57" s="254">
        <f t="shared" ref="G57" si="123">F57/F56-1</f>
        <v>0.15022404420982682</v>
      </c>
      <c r="H57" s="254">
        <f t="shared" ref="H57" si="124">F57/F45-1</f>
        <v>0.52570727706371301</v>
      </c>
      <c r="I57" s="282">
        <f>T57</f>
        <v>4.3324255624145884</v>
      </c>
      <c r="J57" s="277">
        <f t="shared" ref="J57" si="125">I57/I45-1</f>
        <v>0.10868307883581263</v>
      </c>
      <c r="K57" s="204"/>
      <c r="L57" s="254"/>
      <c r="M57" s="254"/>
      <c r="N57" s="257"/>
      <c r="O57" s="258"/>
      <c r="P57" s="129" t="s">
        <v>1436</v>
      </c>
      <c r="Q57" s="116">
        <f>타이어코드!Q57+'타이어코드 (2)'!Q57</f>
        <v>5170553</v>
      </c>
      <c r="R57" s="116">
        <f>타이어코드!R57+'타이어코드 (2)'!R57</f>
        <v>7617610233</v>
      </c>
      <c r="S57" s="116">
        <f>타이어코드!S57+'타이어코드 (2)'!S57</f>
        <v>1193454.55</v>
      </c>
      <c r="T57" s="130">
        <f t="shared" ref="T57" si="126">Q57/S57</f>
        <v>4.3324255624145884</v>
      </c>
      <c r="U57" s="85">
        <f t="shared" ref="U57" si="127">Q55+Q56+Q57</f>
        <v>19892445</v>
      </c>
      <c r="V57" s="79"/>
      <c r="W57" s="79"/>
      <c r="X57" s="79"/>
      <c r="Y57" s="79"/>
      <c r="Z57" s="79"/>
    </row>
    <row r="58" spans="1:26">
      <c r="B58" s="196">
        <f>SUM(F56:F58)</f>
        <v>805484.18939393945</v>
      </c>
      <c r="C58" s="196">
        <f>AVERAGE(F56:F58)</f>
        <v>402742.09469696973</v>
      </c>
      <c r="D58" s="197">
        <f>C58/C55-1</f>
        <v>0.3099355789883107</v>
      </c>
      <c r="E58" s="233">
        <f>C58/C46-1</f>
        <v>0.49411578420672653</v>
      </c>
    </row>
  </sheetData>
  <phoneticPr fontId="1" type="noConversion"/>
  <conditionalFormatting sqref="C29:C30">
    <cfRule type="cellIs" dxfId="3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04">
    <tabColor rgb="FFFFFF00"/>
  </sheetPr>
  <dimension ref="A1:Z71"/>
  <sheetViews>
    <sheetView zoomScale="90" zoomScaleNormal="90" workbookViewId="0">
      <selection activeCell="E71" sqref="E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88092.05</v>
      </c>
      <c r="G5" s="90"/>
      <c r="H5" s="90"/>
      <c r="I5" s="130">
        <f t="shared" ref="I5:I49" si="0">T5</f>
        <v>13.105299876247132</v>
      </c>
      <c r="J5" s="130"/>
      <c r="L5" s="80"/>
      <c r="M5" s="80"/>
      <c r="P5" s="129" t="s">
        <v>0</v>
      </c>
      <c r="Q5" s="116">
        <v>1761841</v>
      </c>
      <c r="R5" s="116">
        <v>2078756945</v>
      </c>
      <c r="S5" s="116">
        <v>134437.29</v>
      </c>
      <c r="T5" s="130">
        <f t="shared" ref="T5:T17" si="1">Q5/S5</f>
        <v>13.105299876247132</v>
      </c>
      <c r="U5" s="85"/>
    </row>
    <row r="6" spans="1:21" ht="15" hidden="1" customHeight="1">
      <c r="A6" s="129" t="s">
        <v>1</v>
      </c>
      <c r="C6" s="79"/>
      <c r="F6" s="78">
        <f>Q6/18</f>
        <v>37690.833333333336</v>
      </c>
      <c r="G6" s="90">
        <f t="shared" ref="G6:G16" si="2">F6/F5-1</f>
        <v>-0.57214262429659279</v>
      </c>
      <c r="H6" s="90"/>
      <c r="I6" s="130">
        <f t="shared" si="0"/>
        <v>14.894095796762283</v>
      </c>
      <c r="J6" s="130"/>
      <c r="P6" s="129" t="s">
        <v>1</v>
      </c>
      <c r="Q6" s="116">
        <v>678435</v>
      </c>
      <c r="R6" s="116">
        <v>808091203</v>
      </c>
      <c r="S6" s="116">
        <v>45550.6</v>
      </c>
      <c r="T6" s="130">
        <f t="shared" si="1"/>
        <v>14.894095796762283</v>
      </c>
      <c r="U6" s="85"/>
    </row>
    <row r="7" spans="1:21" ht="15" hidden="1" customHeight="1">
      <c r="A7" s="129" t="s">
        <v>2</v>
      </c>
      <c r="B7" s="131">
        <f>F5+F6+F7</f>
        <v>208040.56515151515</v>
      </c>
      <c r="C7" s="131">
        <f>AVERAGE(F5:F7)</f>
        <v>69346.855050505052</v>
      </c>
      <c r="F7" s="78">
        <f>Q7/22</f>
        <v>82257.681818181823</v>
      </c>
      <c r="G7" s="90">
        <f t="shared" si="2"/>
        <v>1.1824320277215543</v>
      </c>
      <c r="H7" s="90"/>
      <c r="I7" s="130">
        <f t="shared" si="0"/>
        <v>17.179932712597122</v>
      </c>
      <c r="J7" s="130"/>
      <c r="K7" s="79">
        <f>R5+R6+R7</f>
        <v>5069049852</v>
      </c>
      <c r="N7" s="88">
        <f>AVERAGE(T5:T7)</f>
        <v>15.059776128535512</v>
      </c>
      <c r="P7" s="129" t="s">
        <v>2</v>
      </c>
      <c r="Q7" s="116">
        <v>1809669</v>
      </c>
      <c r="R7" s="116">
        <v>2182201704</v>
      </c>
      <c r="S7" s="116">
        <v>105336.21</v>
      </c>
      <c r="T7" s="130">
        <f t="shared" si="1"/>
        <v>17.179932712597122</v>
      </c>
      <c r="U7" s="85">
        <f>Q5+Q6+Q7</f>
        <v>4249945</v>
      </c>
    </row>
    <row r="8" spans="1:21" ht="15" hidden="1" customHeight="1">
      <c r="A8" s="129" t="s">
        <v>3</v>
      </c>
      <c r="C8" s="79"/>
      <c r="F8" s="78">
        <f>Q8/21</f>
        <v>70468.666666666672</v>
      </c>
      <c r="G8" s="90">
        <f t="shared" si="2"/>
        <v>-0.1433181058709263</v>
      </c>
      <c r="H8" s="90"/>
      <c r="I8" s="130">
        <f t="shared" si="0"/>
        <v>20.515854140548328</v>
      </c>
      <c r="J8" s="130"/>
      <c r="K8" s="78"/>
      <c r="P8" s="129" t="s">
        <v>3</v>
      </c>
      <c r="Q8" s="116">
        <v>1479842</v>
      </c>
      <c r="R8" s="116">
        <v>1792840137</v>
      </c>
      <c r="S8" s="116">
        <v>72131.63</v>
      </c>
      <c r="T8" s="130">
        <f t="shared" si="1"/>
        <v>20.515854140548328</v>
      </c>
      <c r="U8" s="85"/>
    </row>
    <row r="9" spans="1:21" ht="15" hidden="1" customHeight="1">
      <c r="A9" s="129" t="s">
        <v>4</v>
      </c>
      <c r="C9" s="79"/>
      <c r="F9" s="78">
        <f>Q9/21</f>
        <v>76159.238095238092</v>
      </c>
      <c r="G9" s="90">
        <f t="shared" si="2"/>
        <v>8.0753215545983803E-2</v>
      </c>
      <c r="H9" s="90"/>
      <c r="I9" s="130">
        <f t="shared" si="0"/>
        <v>20.60729614535752</v>
      </c>
      <c r="J9" s="130"/>
      <c r="K9" s="78"/>
      <c r="P9" s="129" t="s">
        <v>4</v>
      </c>
      <c r="Q9" s="116">
        <v>1599344</v>
      </c>
      <c r="R9" s="116">
        <v>2003274533</v>
      </c>
      <c r="S9" s="116">
        <v>77610.570000000007</v>
      </c>
      <c r="T9" s="130">
        <f t="shared" si="1"/>
        <v>20.60729614535752</v>
      </c>
      <c r="U9" s="85"/>
    </row>
    <row r="10" spans="1:21" ht="15" hidden="1" customHeight="1">
      <c r="A10" s="129" t="s">
        <v>5</v>
      </c>
      <c r="B10" s="131">
        <f>F8+F9+F10</f>
        <v>196251.66666666669</v>
      </c>
      <c r="C10" s="131">
        <f>AVERAGE(F8:F10)</f>
        <v>65417.222222222226</v>
      </c>
      <c r="D10" s="90">
        <f>C10/C7-1</f>
        <v>-5.6666345221003778E-2</v>
      </c>
      <c r="E10" s="286"/>
      <c r="F10" s="78">
        <f>Q10/21</f>
        <v>49623.761904761908</v>
      </c>
      <c r="G10" s="90">
        <f t="shared" si="2"/>
        <v>-0.34842097760081625</v>
      </c>
      <c r="H10" s="90"/>
      <c r="I10" s="130">
        <f t="shared" si="0"/>
        <v>17.001148528936728</v>
      </c>
      <c r="J10" s="130"/>
      <c r="K10" s="79">
        <f>R8+R9+R10</f>
        <v>5111941155</v>
      </c>
      <c r="L10" s="87">
        <f>U10/U7-1</f>
        <v>-3.0273332949014686E-2</v>
      </c>
      <c r="N10" s="88">
        <f>AVERAGE(T8:T10)</f>
        <v>19.374766271614192</v>
      </c>
      <c r="O10" s="89">
        <f>N10/N7-1</f>
        <v>0.28652418908821398</v>
      </c>
      <c r="P10" s="129" t="s">
        <v>5</v>
      </c>
      <c r="Q10" s="116">
        <v>1042099</v>
      </c>
      <c r="R10" s="116">
        <v>1315826485</v>
      </c>
      <c r="S10" s="116">
        <v>61295.8</v>
      </c>
      <c r="T10" s="130">
        <f t="shared" si="1"/>
        <v>17.001148528936728</v>
      </c>
      <c r="U10" s="85">
        <f>Q8+Q9+Q10</f>
        <v>4121285</v>
      </c>
    </row>
    <row r="11" spans="1:21" ht="15" hidden="1" customHeight="1">
      <c r="A11" s="129" t="s">
        <v>6</v>
      </c>
      <c r="C11" s="79"/>
      <c r="F11" s="78">
        <f>Q11/21</f>
        <v>76389.761904761908</v>
      </c>
      <c r="G11" s="90">
        <f t="shared" si="2"/>
        <v>0.53937869626590174</v>
      </c>
      <c r="H11" s="90"/>
      <c r="I11" s="130">
        <f t="shared" si="0"/>
        <v>15.989517906842696</v>
      </c>
      <c r="J11" s="130"/>
      <c r="K11" s="78"/>
      <c r="O11" s="89"/>
      <c r="P11" s="129" t="s">
        <v>6</v>
      </c>
      <c r="Q11" s="116">
        <v>1604185</v>
      </c>
      <c r="R11" s="116">
        <v>2066070169</v>
      </c>
      <c r="S11" s="116">
        <v>100327.29</v>
      </c>
      <c r="T11" s="130">
        <f t="shared" si="1"/>
        <v>15.989517906842696</v>
      </c>
      <c r="U11" s="85"/>
    </row>
    <row r="12" spans="1:21" ht="15" hidden="1" customHeight="1">
      <c r="A12" s="129" t="s">
        <v>7</v>
      </c>
      <c r="C12" s="79"/>
      <c r="F12" s="78">
        <f>Q12/22</f>
        <v>59674.954545454544</v>
      </c>
      <c r="G12" s="90">
        <f t="shared" si="2"/>
        <v>-0.2188095229324889</v>
      </c>
      <c r="H12" s="90"/>
      <c r="I12" s="130">
        <f t="shared" si="0"/>
        <v>14.633273403948206</v>
      </c>
      <c r="J12" s="130"/>
      <c r="K12" s="78"/>
      <c r="O12" s="89"/>
      <c r="P12" s="129" t="s">
        <v>7</v>
      </c>
      <c r="Q12" s="116">
        <v>1312849</v>
      </c>
      <c r="R12" s="116">
        <v>1703831869</v>
      </c>
      <c r="S12" s="116">
        <v>89716.7</v>
      </c>
      <c r="T12" s="130">
        <f t="shared" si="1"/>
        <v>14.633273403948206</v>
      </c>
      <c r="U12" s="85"/>
    </row>
    <row r="13" spans="1:21" ht="15" hidden="1" customHeight="1">
      <c r="A13" s="129" t="s">
        <v>96</v>
      </c>
      <c r="B13" s="131">
        <f>F11+F12+F13</f>
        <v>201428.71645021645</v>
      </c>
      <c r="C13" s="131">
        <f>AVERAGE(F11:F13)</f>
        <v>67142.905483405484</v>
      </c>
      <c r="D13" s="90">
        <f>C13/C10-1</f>
        <v>2.63796474775575E-2</v>
      </c>
      <c r="E13" s="286"/>
      <c r="F13" s="78">
        <f>Q13/20</f>
        <v>65364</v>
      </c>
      <c r="G13" s="90">
        <f t="shared" si="2"/>
        <v>9.5333888360352281E-2</v>
      </c>
      <c r="H13" s="90"/>
      <c r="I13" s="130">
        <f t="shared" si="0"/>
        <v>24.14167667275958</v>
      </c>
      <c r="J13" s="130"/>
      <c r="K13" s="78">
        <f>R11+R12+R13</f>
        <v>5561723337</v>
      </c>
      <c r="L13" s="87">
        <f>U13/U10-1</f>
        <v>2.4999241741350042E-2</v>
      </c>
      <c r="N13" s="88">
        <f>AVERAGE(T11:T13)</f>
        <v>18.254822661183493</v>
      </c>
      <c r="O13" s="89">
        <f>N13/N10-1</f>
        <v>-5.7804238499202909E-2</v>
      </c>
      <c r="P13" s="129" t="s">
        <v>96</v>
      </c>
      <c r="Q13" s="116">
        <v>1307280</v>
      </c>
      <c r="R13" s="116">
        <v>1791821299</v>
      </c>
      <c r="S13" s="116">
        <v>54150.34</v>
      </c>
      <c r="T13" s="130">
        <f t="shared" si="1"/>
        <v>24.14167667275958</v>
      </c>
      <c r="U13" s="85">
        <f>Q11+Q12+Q13</f>
        <v>4224314</v>
      </c>
    </row>
    <row r="14" spans="1:21" ht="15" hidden="1" customHeight="1">
      <c r="A14" s="129" t="s">
        <v>97</v>
      </c>
      <c r="C14" s="79"/>
      <c r="F14" s="78">
        <f>Q14/20</f>
        <v>105577.8</v>
      </c>
      <c r="G14" s="90">
        <f t="shared" si="2"/>
        <v>0.61522856618322019</v>
      </c>
      <c r="H14" s="90"/>
      <c r="I14" s="130">
        <f t="shared" si="0"/>
        <v>21.133170270786646</v>
      </c>
      <c r="J14" s="130"/>
      <c r="O14" s="89"/>
      <c r="P14" s="129" t="s">
        <v>97</v>
      </c>
      <c r="Q14" s="116">
        <v>2111556</v>
      </c>
      <c r="R14" s="116">
        <v>3010804672</v>
      </c>
      <c r="S14" s="116">
        <v>99916.67</v>
      </c>
      <c r="T14" s="130">
        <f t="shared" si="1"/>
        <v>21.133170270786646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68692.045454545456</v>
      </c>
      <c r="G15" s="90">
        <f t="shared" si="2"/>
        <v>-0.3493703652231297</v>
      </c>
      <c r="H15" s="90"/>
      <c r="I15" s="130">
        <f t="shared" si="0"/>
        <v>22.247951019985138</v>
      </c>
      <c r="J15" s="130"/>
      <c r="O15" s="89"/>
      <c r="P15" s="129" t="s">
        <v>98</v>
      </c>
      <c r="Q15" s="116">
        <v>1511225</v>
      </c>
      <c r="R15" s="116">
        <v>2095117697</v>
      </c>
      <c r="S15" s="116">
        <v>67926.48</v>
      </c>
      <c r="T15" s="130">
        <f t="shared" si="1"/>
        <v>22.247951019985138</v>
      </c>
      <c r="U15" s="85"/>
    </row>
    <row r="16" spans="1:21" ht="15" hidden="1" customHeight="1">
      <c r="A16" s="129" t="s">
        <v>99</v>
      </c>
      <c r="B16" s="131">
        <f>F14+F15+F16</f>
        <v>238001.84545454546</v>
      </c>
      <c r="C16" s="131">
        <f>AVERAGE(F14:F16)</f>
        <v>79333.948484848486</v>
      </c>
      <c r="D16" s="90">
        <f>C16/C13-1</f>
        <v>0.18156859483026166</v>
      </c>
      <c r="E16" s="286"/>
      <c r="F16" s="78">
        <f>Q16/22</f>
        <v>63732</v>
      </c>
      <c r="G16" s="90">
        <f t="shared" si="2"/>
        <v>-7.2206984400072782E-2</v>
      </c>
      <c r="H16" s="90"/>
      <c r="I16" s="130">
        <f t="shared" si="0"/>
        <v>12.108053512245197</v>
      </c>
      <c r="J16" s="130"/>
      <c r="K16" s="78">
        <f>R14+R15+R16</f>
        <v>6943971605</v>
      </c>
      <c r="L16" s="87">
        <f>U16/U13-1</f>
        <v>0.18951503131632741</v>
      </c>
      <c r="N16" s="88">
        <f>AVERAGE(T14:T16)</f>
        <v>18.496391601005662</v>
      </c>
      <c r="O16" s="89">
        <f>N16/N13-1</f>
        <v>1.3233157303457865E-2</v>
      </c>
      <c r="P16" s="129" t="s">
        <v>99</v>
      </c>
      <c r="Q16" s="116">
        <v>1402104</v>
      </c>
      <c r="R16" s="116">
        <v>1838049236</v>
      </c>
      <c r="S16" s="116">
        <v>115799.29</v>
      </c>
      <c r="T16" s="130">
        <f t="shared" si="1"/>
        <v>12.108053512245197</v>
      </c>
      <c r="U16" s="85">
        <f>Q14+Q15+Q16</f>
        <v>5024885</v>
      </c>
    </row>
    <row r="17" spans="1:21" ht="15" hidden="1" customHeight="1">
      <c r="A17" s="129" t="s">
        <v>100</v>
      </c>
      <c r="C17" s="79"/>
      <c r="F17" s="78">
        <f>Q17/20</f>
        <v>84046.1</v>
      </c>
      <c r="G17" s="90">
        <f t="shared" ref="G17:G22" si="3">F17/F16-1</f>
        <v>0.31874254691520743</v>
      </c>
      <c r="H17" s="90">
        <f t="shared" ref="H17:H22" si="4">F17/F5-1</f>
        <v>-4.5928662121042629E-2</v>
      </c>
      <c r="I17" s="130">
        <f t="shared" si="0"/>
        <v>16.704730241864116</v>
      </c>
      <c r="J17" s="130">
        <f t="shared" ref="J17:J49" si="5">I17/I5-1</f>
        <v>0.27465455957561247</v>
      </c>
      <c r="O17" s="89"/>
      <c r="P17" s="129" t="s">
        <v>100</v>
      </c>
      <c r="Q17" s="116">
        <v>1680922</v>
      </c>
      <c r="R17" s="116">
        <v>2103661600</v>
      </c>
      <c r="S17" s="116">
        <v>100625.51</v>
      </c>
      <c r="T17" s="130">
        <f t="shared" si="1"/>
        <v>16.704730241864116</v>
      </c>
      <c r="U17" s="78"/>
    </row>
    <row r="18" spans="1:21" hidden="1">
      <c r="A18" s="129" t="s">
        <v>106</v>
      </c>
      <c r="C18" s="79"/>
      <c r="F18" s="78">
        <f>Q18/20</f>
        <v>58971.95</v>
      </c>
      <c r="G18" s="90">
        <f t="shared" si="3"/>
        <v>-0.29833805494841525</v>
      </c>
      <c r="H18" s="90">
        <f t="shared" si="4"/>
        <v>0.56462314002078284</v>
      </c>
      <c r="I18" s="130">
        <f t="shared" si="0"/>
        <v>17.124216884087957</v>
      </c>
      <c r="J18" s="130">
        <f t="shared" si="5"/>
        <v>0.14973188824329053</v>
      </c>
      <c r="O18" s="89"/>
      <c r="P18" s="129" t="s">
        <v>106</v>
      </c>
      <c r="Q18" s="116">
        <v>1179439</v>
      </c>
      <c r="R18" s="116">
        <v>1487775015</v>
      </c>
      <c r="S18" s="116">
        <v>68875.5</v>
      </c>
      <c r="T18" s="130">
        <f t="shared" ref="T18" si="6">Q18/S18</f>
        <v>17.124216884087957</v>
      </c>
      <c r="U18" s="78"/>
    </row>
    <row r="19" spans="1:21" hidden="1">
      <c r="A19" s="129" t="s">
        <v>114</v>
      </c>
      <c r="B19" s="131">
        <f>SUM(F17:F19)</f>
        <v>194874.86818181816</v>
      </c>
      <c r="C19" s="131">
        <f>AVERAGE(F17:F19)</f>
        <v>64958.289393939391</v>
      </c>
      <c r="D19" s="90">
        <f>C19/C16-1</f>
        <v>-0.18120438179948417</v>
      </c>
      <c r="E19" s="286">
        <f>C19/C7-1</f>
        <v>-6.3284278045045994E-2</v>
      </c>
      <c r="F19" s="78">
        <f>Q19/22</f>
        <v>51856.818181818184</v>
      </c>
      <c r="G19" s="90">
        <f t="shared" si="3"/>
        <v>-0.12065281575701348</v>
      </c>
      <c r="H19" s="90">
        <f t="shared" si="4"/>
        <v>-0.3695808460000144</v>
      </c>
      <c r="I19" s="130">
        <f t="shared" si="0"/>
        <v>11.575497385683782</v>
      </c>
      <c r="J19" s="130">
        <f t="shared" si="5"/>
        <v>-0.32621986480796328</v>
      </c>
      <c r="K19" s="78">
        <f>R17+R18+R19</f>
        <v>5085644134</v>
      </c>
      <c r="L19" s="87">
        <f>U19/U16-1</f>
        <v>-0.20372088117439502</v>
      </c>
      <c r="M19" s="87">
        <f>U19/U7-1</f>
        <v>-5.8526404459351866E-2</v>
      </c>
      <c r="N19" s="88">
        <f>AVERAGE(T17:T19)</f>
        <v>15.13481483721195</v>
      </c>
      <c r="O19" s="89">
        <f>N19/N16-1</f>
        <v>-0.1817423006772273</v>
      </c>
      <c r="P19" s="129" t="s">
        <v>115</v>
      </c>
      <c r="Q19" s="116">
        <v>1140850</v>
      </c>
      <c r="R19" s="116">
        <v>1494207519</v>
      </c>
      <c r="S19" s="116">
        <v>98557.32</v>
      </c>
      <c r="T19" s="130">
        <f t="shared" ref="T19" si="7">Q19/S19</f>
        <v>11.575497385683782</v>
      </c>
      <c r="U19" s="85">
        <f>Q17+Q18+Q19</f>
        <v>4001211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40692.800000000003</v>
      </c>
      <c r="G20" s="90">
        <f t="shared" si="3"/>
        <v>-0.21528544506289171</v>
      </c>
      <c r="H20" s="90">
        <f t="shared" si="4"/>
        <v>-0.42254051446032748</v>
      </c>
      <c r="I20" s="130">
        <f t="shared" si="0"/>
        <v>22.070689142255574</v>
      </c>
      <c r="J20" s="130">
        <f t="shared" si="5"/>
        <v>7.5786998243188464E-2</v>
      </c>
      <c r="O20" s="89"/>
      <c r="P20" s="129" t="s">
        <v>132</v>
      </c>
      <c r="Q20" s="116">
        <v>813856</v>
      </c>
      <c r="R20" s="116">
        <v>1061763003</v>
      </c>
      <c r="S20" s="116">
        <v>36874.97</v>
      </c>
      <c r="T20" s="130">
        <f t="shared" ref="T20" si="8">Q20/S20</f>
        <v>22.070689142255574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40556.619047619046</v>
      </c>
      <c r="G21" s="90">
        <f t="shared" si="3"/>
        <v>-3.3465613666534555E-3</v>
      </c>
      <c r="H21" s="90">
        <f t="shared" si="4"/>
        <v>-0.46747604017647237</v>
      </c>
      <c r="I21" s="130">
        <f t="shared" si="0"/>
        <v>13.575452485063542</v>
      </c>
      <c r="J21" s="130">
        <f t="shared" si="5"/>
        <v>-0.34123077625970522</v>
      </c>
      <c r="O21" s="89"/>
      <c r="P21" s="129" t="s">
        <v>141</v>
      </c>
      <c r="Q21" s="116">
        <v>851689</v>
      </c>
      <c r="R21" s="116">
        <v>1133857170</v>
      </c>
      <c r="S21" s="116">
        <v>62737.43</v>
      </c>
      <c r="T21" s="130">
        <f t="shared" ref="T21" si="9">Q21/S21</f>
        <v>13.575452485063542</v>
      </c>
      <c r="U21" s="78"/>
    </row>
    <row r="22" spans="1:21" hidden="1">
      <c r="A22" s="129" t="s">
        <v>156</v>
      </c>
      <c r="B22" s="131">
        <f>SUM(F20:F22)</f>
        <v>111105.27619047619</v>
      </c>
      <c r="C22" s="131">
        <f>AVERAGE(F20:F22)</f>
        <v>37035.092063492062</v>
      </c>
      <c r="D22" s="90">
        <f>C22/C19-1</f>
        <v>-0.42986349534402246</v>
      </c>
      <c r="E22" s="286">
        <f>C22/C10-1</f>
        <v>-0.43386327322667573</v>
      </c>
      <c r="F22" s="78">
        <f>Q22/21</f>
        <v>29855.857142857141</v>
      </c>
      <c r="G22" s="90">
        <f t="shared" si="3"/>
        <v>-0.26384748423426863</v>
      </c>
      <c r="H22" s="90">
        <f t="shared" si="4"/>
        <v>-0.39835562648078549</v>
      </c>
      <c r="I22" s="130">
        <f t="shared" si="0"/>
        <v>29.479224949807932</v>
      </c>
      <c r="J22" s="130">
        <f t="shared" si="5"/>
        <v>0.73395490896588256</v>
      </c>
      <c r="K22" s="78">
        <f>R20+R21+R22</f>
        <v>3022983870</v>
      </c>
      <c r="L22" s="87">
        <f>U22/U19-1</f>
        <v>-0.42704396244037113</v>
      </c>
      <c r="M22" s="87">
        <f>U22/U10-1</f>
        <v>-0.44373708685519198</v>
      </c>
      <c r="N22" s="88">
        <f>AVERAGE(T20:T22)</f>
        <v>21.708455525709017</v>
      </c>
      <c r="O22" s="89">
        <f>N22/N19-1</f>
        <v>0.43433902292180449</v>
      </c>
      <c r="P22" s="129" t="s">
        <v>156</v>
      </c>
      <c r="Q22" s="116">
        <v>626973</v>
      </c>
      <c r="R22" s="116">
        <v>827363697</v>
      </c>
      <c r="S22" s="116">
        <v>21268.3</v>
      </c>
      <c r="T22" s="130">
        <f t="shared" ref="T22:T23" si="10">Q22/S22</f>
        <v>29.479224949807932</v>
      </c>
      <c r="U22" s="85">
        <f>Q20+Q21+Q22</f>
        <v>2292518</v>
      </c>
    </row>
    <row r="23" spans="1:21" hidden="1">
      <c r="A23" s="129" t="s">
        <v>189</v>
      </c>
      <c r="B23" s="131"/>
      <c r="C23" s="131"/>
      <c r="F23" s="78">
        <f>Q23/21</f>
        <v>40147.333333333336</v>
      </c>
      <c r="G23" s="90">
        <f t="shared" ref="G23" si="11">F23/F22-1</f>
        <v>0.34470543388630781</v>
      </c>
      <c r="H23" s="90">
        <f t="shared" ref="H23" si="12">F23/F11-1</f>
        <v>-0.47444091548044642</v>
      </c>
      <c r="I23" s="130">
        <f t="shared" si="0"/>
        <v>19.063867236212516</v>
      </c>
      <c r="J23" s="130">
        <f t="shared" si="5"/>
        <v>0.19227279692117261</v>
      </c>
      <c r="O23" s="89"/>
      <c r="P23" s="129" t="s">
        <v>189</v>
      </c>
      <c r="Q23" s="116">
        <v>843094</v>
      </c>
      <c r="R23" s="116">
        <v>1096536066</v>
      </c>
      <c r="S23" s="116">
        <v>44224.71</v>
      </c>
      <c r="T23" s="130">
        <f t="shared" si="10"/>
        <v>19.063867236212516</v>
      </c>
      <c r="U23" s="78"/>
    </row>
    <row r="24" spans="1:21" hidden="1">
      <c r="A24" s="129" t="s">
        <v>204</v>
      </c>
      <c r="B24" s="131"/>
      <c r="C24" s="131"/>
      <c r="F24" s="78">
        <f>Q24/22</f>
        <v>43192.454545454544</v>
      </c>
      <c r="G24" s="90">
        <f t="shared" ref="G24" si="13">F24/F23-1</f>
        <v>7.5848654425894724E-2</v>
      </c>
      <c r="H24" s="90">
        <f t="shared" ref="H24" si="14">F24/F12-1</f>
        <v>-0.27620465110610593</v>
      </c>
      <c r="I24" s="130">
        <f t="shared" si="0"/>
        <v>17.868383063214242</v>
      </c>
      <c r="J24" s="130">
        <f t="shared" si="5"/>
        <v>0.22107901424114518</v>
      </c>
      <c r="O24" s="89"/>
      <c r="P24" s="129" t="s">
        <v>204</v>
      </c>
      <c r="Q24" s="116">
        <v>950234</v>
      </c>
      <c r="R24" s="116">
        <v>1243802653</v>
      </c>
      <c r="S24" s="116">
        <v>53179.63</v>
      </c>
      <c r="T24" s="130">
        <f t="shared" ref="T24" si="15">Q24/S24</f>
        <v>17.868383063214242</v>
      </c>
      <c r="U24" s="78"/>
    </row>
    <row r="25" spans="1:21" s="79" customFormat="1" ht="13.2" hidden="1">
      <c r="A25" s="129" t="s">
        <v>227</v>
      </c>
      <c r="B25" s="131">
        <f>SUM(F23:F25)</f>
        <v>170791.3668261563</v>
      </c>
      <c r="C25" s="131">
        <f>AVERAGE(F23:F25)</f>
        <v>56930.455608718767</v>
      </c>
      <c r="D25" s="90">
        <f>C25/C22-1</f>
        <v>0.53720302655434415</v>
      </c>
      <c r="E25" s="286">
        <f>C25/C13-1</f>
        <v>-0.1521002077756487</v>
      </c>
      <c r="F25" s="78">
        <f>Q25/19</f>
        <v>87451.578947368427</v>
      </c>
      <c r="G25" s="90">
        <f t="shared" ref="G25" si="16">F25/F24-1</f>
        <v>1.0246957453028469</v>
      </c>
      <c r="H25" s="90">
        <f t="shared" ref="H25" si="17">F25/F13-1</f>
        <v>0.33791657406781139</v>
      </c>
      <c r="I25" s="130">
        <f t="shared" si="0"/>
        <v>12.55846604683814</v>
      </c>
      <c r="J25" s="130">
        <f t="shared" si="5"/>
        <v>-0.47980141491131112</v>
      </c>
      <c r="K25" s="78">
        <f>R23+R24+R25</f>
        <v>4545387597</v>
      </c>
      <c r="L25" s="90">
        <f>U25/U22-1</f>
        <v>0.50703636787148465</v>
      </c>
      <c r="M25" s="90">
        <f>U25/U13-1</f>
        <v>-0.18213750208909663</v>
      </c>
      <c r="N25" s="88">
        <f>AVERAGE(T23:T25)</f>
        <v>16.496905448754966</v>
      </c>
      <c r="O25" s="91">
        <f>N25/N22-1</f>
        <v>-0.24007005338459408</v>
      </c>
      <c r="P25" s="129" t="s">
        <v>227</v>
      </c>
      <c r="Q25" s="116">
        <v>1661580</v>
      </c>
      <c r="R25" s="116">
        <v>2205048878</v>
      </c>
      <c r="S25" s="116">
        <v>132307.56</v>
      </c>
      <c r="T25" s="130">
        <f t="shared" ref="T25" si="18">Q25/S25</f>
        <v>12.55846604683814</v>
      </c>
      <c r="U25" s="85">
        <f>Q23+Q24+Q25</f>
        <v>3454908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59912.473684210527</v>
      </c>
      <c r="G26" s="90">
        <f t="shared" ref="G26" si="19">F26/F25-1</f>
        <v>-0.31490689584612241</v>
      </c>
      <c r="H26" s="90">
        <f t="shared" ref="H26" si="20">F26/F14-1</f>
        <v>-0.43252773135819722</v>
      </c>
      <c r="I26" s="130">
        <f t="shared" si="0"/>
        <v>33.952033834608891</v>
      </c>
      <c r="J26" s="130">
        <f t="shared" si="5"/>
        <v>0.6065755113676603</v>
      </c>
      <c r="L26" s="90"/>
      <c r="M26" s="90"/>
      <c r="P26" s="129" t="s">
        <v>312</v>
      </c>
      <c r="Q26" s="116">
        <v>1138337</v>
      </c>
      <c r="R26" s="116">
        <v>1530737352</v>
      </c>
      <c r="S26" s="116">
        <v>33527.800000000003</v>
      </c>
      <c r="T26" s="130">
        <f t="shared" ref="T26" si="21">Q26/S26</f>
        <v>33.952033834608891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48130.772727272728</v>
      </c>
      <c r="G27" s="90">
        <f t="shared" ref="G27" si="22">F27/F26-1</f>
        <v>-0.19664854799748943</v>
      </c>
      <c r="H27" s="90">
        <f t="shared" ref="H27" si="23">F27/F15-1</f>
        <v>-0.29932538172674483</v>
      </c>
      <c r="I27" s="130">
        <f t="shared" si="0"/>
        <v>28.320836660994708</v>
      </c>
      <c r="J27" s="130">
        <f t="shared" si="5"/>
        <v>0.27296381745691334</v>
      </c>
      <c r="L27" s="90"/>
      <c r="M27" s="90"/>
      <c r="P27" s="129" t="s">
        <v>390</v>
      </c>
      <c r="Q27" s="116">
        <v>1058877</v>
      </c>
      <c r="R27" s="116">
        <v>1392276588</v>
      </c>
      <c r="S27" s="116">
        <v>37388.620000000003</v>
      </c>
      <c r="T27" s="130">
        <f t="shared" ref="T27" si="24">Q27/S27</f>
        <v>28.320836660994708</v>
      </c>
      <c r="U27" s="78"/>
    </row>
    <row r="28" spans="1:21" s="79" customFormat="1" ht="13.2" hidden="1">
      <c r="A28" s="123" t="s">
        <v>414</v>
      </c>
      <c r="B28" s="131">
        <f>SUM(F26:F28)</f>
        <v>177001.2990430622</v>
      </c>
      <c r="C28" s="131">
        <f>AVERAGE(F26:F28)</f>
        <v>59000.433014354065</v>
      </c>
      <c r="D28" s="90">
        <f>C28/C25-1</f>
        <v>3.6359754783312992E-2</v>
      </c>
      <c r="E28" s="286">
        <f>C28/C16-1</f>
        <v>-0.25630282948009075</v>
      </c>
      <c r="F28" s="78">
        <f>Q28/19</f>
        <v>68958.052631578947</v>
      </c>
      <c r="G28" s="90">
        <f t="shared" ref="G28" si="25">F28/F27-1</f>
        <v>0.43272274106882747</v>
      </c>
      <c r="H28" s="90">
        <f t="shared" ref="H28" si="26">F28/F16-1</f>
        <v>8.2000449249653995E-2</v>
      </c>
      <c r="I28" s="130">
        <f t="shared" si="0"/>
        <v>28.759143057641733</v>
      </c>
      <c r="J28" s="130">
        <f t="shared" si="5"/>
        <v>1.375207792776671</v>
      </c>
      <c r="K28" s="78">
        <f>R26+R27+R28</f>
        <v>4629830867</v>
      </c>
      <c r="L28" s="90">
        <f>U28/U25-1</f>
        <v>1.5198378654366573E-2</v>
      </c>
      <c r="M28" s="90">
        <f>U28/U16-1</f>
        <v>-0.30199059281953722</v>
      </c>
      <c r="N28" s="88">
        <f>AVERAGE(T26:T28)</f>
        <v>30.344004517748445</v>
      </c>
      <c r="O28" s="91">
        <f>N28/N25-1</f>
        <v>0.83937554906932754</v>
      </c>
      <c r="P28" s="129" t="s">
        <v>414</v>
      </c>
      <c r="Q28" s="116">
        <v>1310203</v>
      </c>
      <c r="R28" s="116">
        <v>1706816927</v>
      </c>
      <c r="S28" s="116">
        <v>45557.79</v>
      </c>
      <c r="T28" s="130">
        <f t="shared" ref="T28" si="27">Q28/S28</f>
        <v>28.759143057641733</v>
      </c>
      <c r="U28" s="85">
        <f>Q26+Q27+Q28</f>
        <v>3507417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31129.81818181818</v>
      </c>
      <c r="G29" s="190">
        <f t="shared" ref="G29" si="28">F29/F28-1</f>
        <v>-0.54856877487340094</v>
      </c>
      <c r="H29" s="190">
        <f t="shared" ref="H29" si="29">F29/F17-1</f>
        <v>-0.62961019985676692</v>
      </c>
      <c r="I29" s="130">
        <f t="shared" si="0"/>
        <v>24.712418670928443</v>
      </c>
      <c r="J29" s="130">
        <f t="shared" si="5"/>
        <v>0.47936652152550607</v>
      </c>
      <c r="K29" s="136"/>
      <c r="L29" s="190"/>
      <c r="M29" s="190"/>
      <c r="N29" s="191"/>
      <c r="O29" s="192"/>
      <c r="P29" s="129" t="s">
        <v>427</v>
      </c>
      <c r="Q29" s="116">
        <v>684856</v>
      </c>
      <c r="R29" s="116">
        <v>907161354</v>
      </c>
      <c r="S29" s="116">
        <v>27713.03</v>
      </c>
      <c r="T29" s="130">
        <f t="shared" ref="T29" si="30">Q29/S29</f>
        <v>24.712418670928443</v>
      </c>
      <c r="U29" s="85"/>
    </row>
    <row r="30" spans="1:21" s="79" customFormat="1" ht="13.2" hidden="1">
      <c r="A30" s="129" t="s">
        <v>476</v>
      </c>
      <c r="B30" s="188"/>
      <c r="C30" s="188"/>
      <c r="D30" s="189"/>
      <c r="E30" s="287"/>
      <c r="F30" s="136">
        <f>Q30/19</f>
        <v>49835.84210526316</v>
      </c>
      <c r="G30" s="190">
        <f t="shared" ref="G30" si="31">F30/F29-1</f>
        <v>0.6009037320484738</v>
      </c>
      <c r="H30" s="190">
        <f t="shared" ref="H30" si="32">F30/F18-1</f>
        <v>-0.15492294039347243</v>
      </c>
      <c r="I30" s="130">
        <f t="shared" si="0"/>
        <v>25.016942059345954</v>
      </c>
      <c r="J30" s="130">
        <f t="shared" si="5"/>
        <v>0.46091013847132589</v>
      </c>
      <c r="K30" s="136"/>
      <c r="L30" s="190"/>
      <c r="M30" s="190"/>
      <c r="N30" s="191"/>
      <c r="O30" s="192"/>
      <c r="P30" s="129" t="s">
        <v>476</v>
      </c>
      <c r="Q30" s="116">
        <v>946881</v>
      </c>
      <c r="R30" s="116">
        <v>1262965751</v>
      </c>
      <c r="S30" s="116">
        <v>37849.589999999997</v>
      </c>
      <c r="T30" s="130">
        <f t="shared" ref="T30" si="33">Q30/S30</f>
        <v>25.016942059345954</v>
      </c>
      <c r="U30" s="85"/>
    </row>
    <row r="31" spans="1:21" s="79" customFormat="1" ht="13.2" hidden="1">
      <c r="A31" s="129" t="s">
        <v>505</v>
      </c>
      <c r="B31" s="188">
        <f>SUM(F29:F31)</f>
        <v>142472.36028708133</v>
      </c>
      <c r="C31" s="188">
        <f>AVERAGE(F29:F31)</f>
        <v>47490.786762360447</v>
      </c>
      <c r="D31" s="190">
        <f>C31/C28-1</f>
        <v>-0.19507731831719721</v>
      </c>
      <c r="E31" s="287">
        <f>C31/C19-1</f>
        <v>-0.26890336544497528</v>
      </c>
      <c r="F31" s="136">
        <f>Q31/20</f>
        <v>61506.7</v>
      </c>
      <c r="G31" s="190">
        <f t="shared" ref="G31" si="34">F31/F30-1</f>
        <v>0.23418602760008911</v>
      </c>
      <c r="H31" s="190">
        <f t="shared" ref="H31" si="35">F31/F19-1</f>
        <v>0.18608704036464019</v>
      </c>
      <c r="I31" s="130">
        <f t="shared" si="0"/>
        <v>31.590003340985156</v>
      </c>
      <c r="J31" s="130">
        <f t="shared" si="5"/>
        <v>1.7290406872757536</v>
      </c>
      <c r="K31" s="136">
        <f>R29+R30+R31</f>
        <v>3809039445</v>
      </c>
      <c r="L31" s="190">
        <f>U31/U28-1</f>
        <v>-0.18405168247744708</v>
      </c>
      <c r="M31" s="190">
        <f>U31/U19-1</f>
        <v>-0.28474879230313022</v>
      </c>
      <c r="N31" s="191">
        <f>AVERAGE(T29:T31)</f>
        <v>27.106454690419849</v>
      </c>
      <c r="O31" s="192">
        <f>N31/N28-1</f>
        <v>-0.10669487692156543</v>
      </c>
      <c r="P31" s="129" t="s">
        <v>505</v>
      </c>
      <c r="Q31" s="116">
        <v>1230134</v>
      </c>
      <c r="R31" s="116">
        <v>1638912340</v>
      </c>
      <c r="S31" s="116">
        <v>38940.61</v>
      </c>
      <c r="T31" s="130">
        <f t="shared" ref="T31" si="36">Q31/S31</f>
        <v>31.590003340985156</v>
      </c>
      <c r="U31" s="85">
        <f>Q29+Q30+Q31</f>
        <v>2861871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67721.095238095237</v>
      </c>
      <c r="G32" s="190">
        <f t="shared" ref="G32" si="37">F32/F31-1</f>
        <v>0.10103606986060454</v>
      </c>
      <c r="H32" s="190">
        <f t="shared" ref="H32" si="38">F32/F20-1</f>
        <v>0.66420337843783739</v>
      </c>
      <c r="I32" s="130">
        <f t="shared" si="0"/>
        <v>31.949869360190693</v>
      </c>
      <c r="J32" s="130">
        <f t="shared" si="5"/>
        <v>0.44761539407579587</v>
      </c>
      <c r="K32" s="136"/>
      <c r="L32" s="190"/>
      <c r="M32" s="190"/>
      <c r="N32" s="191"/>
      <c r="O32" s="192"/>
      <c r="P32" s="129" t="s">
        <v>566</v>
      </c>
      <c r="Q32" s="116">
        <v>1422143</v>
      </c>
      <c r="R32" s="116">
        <v>1954523991</v>
      </c>
      <c r="S32" s="116">
        <v>44511.7</v>
      </c>
      <c r="T32" s="130">
        <f t="shared" ref="T32" si="39">Q32/S32</f>
        <v>31.949869360190693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65652.238095238092</v>
      </c>
      <c r="G33" s="190">
        <f t="shared" ref="G33" si="40">F33/F32-1</f>
        <v>-3.0549670462112544E-2</v>
      </c>
      <c r="H33" s="190">
        <f t="shared" ref="H33" si="41">F33/F21-1</f>
        <v>0.61877985978449868</v>
      </c>
      <c r="I33" s="130">
        <f t="shared" si="0"/>
        <v>29.69690011678896</v>
      </c>
      <c r="J33" s="130">
        <f t="shared" si="5"/>
        <v>1.1875440357854092</v>
      </c>
      <c r="K33" s="136"/>
      <c r="L33" s="190"/>
      <c r="M33" s="190"/>
      <c r="N33" s="191"/>
      <c r="O33" s="192"/>
      <c r="P33" s="129" t="s">
        <v>607</v>
      </c>
      <c r="Q33" s="116">
        <v>1378697</v>
      </c>
      <c r="R33" s="116">
        <v>1894889123</v>
      </c>
      <c r="S33" s="116">
        <v>46425.62</v>
      </c>
      <c r="T33" s="130">
        <f t="shared" ref="T33" si="42">Q33/S33</f>
        <v>29.69690011678896</v>
      </c>
      <c r="U33" s="85"/>
    </row>
    <row r="34" spans="1:21" s="79" customFormat="1" ht="13.2" hidden="1">
      <c r="A34" s="129" t="s">
        <v>652</v>
      </c>
      <c r="B34" s="188">
        <f>SUM(F32:F34)</f>
        <v>190693.12280701753</v>
      </c>
      <c r="C34" s="188">
        <f>AVERAGE(F32:F34)</f>
        <v>63564.374269005843</v>
      </c>
      <c r="D34" s="190">
        <f>C34/C31-1</f>
        <v>0.33845696402285674</v>
      </c>
      <c r="E34" s="287">
        <f>C34/C22-1</f>
        <v>0.71632823701457582</v>
      </c>
      <c r="F34" s="136">
        <f>Q34/19</f>
        <v>57319.789473684214</v>
      </c>
      <c r="G34" s="190">
        <f t="shared" ref="G34" si="43">F34/F33-1</f>
        <v>-0.12691796751036044</v>
      </c>
      <c r="H34" s="190">
        <f t="shared" ref="H34" si="44">F34/F22-1</f>
        <v>0.9198842357603414</v>
      </c>
      <c r="I34" s="130">
        <f t="shared" si="0"/>
        <v>30.780779550100629</v>
      </c>
      <c r="J34" s="130">
        <f t="shared" si="5"/>
        <v>4.4151588195034064E-2</v>
      </c>
      <c r="K34" s="136">
        <f>R32+R33+R34</f>
        <v>5342534804</v>
      </c>
      <c r="L34" s="190">
        <f>U34/U31-1</f>
        <v>0.35922129264386826</v>
      </c>
      <c r="M34" s="190">
        <f>U34/U22-1</f>
        <v>0.69678754975969648</v>
      </c>
      <c r="N34" s="191">
        <f>AVERAGE(T32:T34)</f>
        <v>30.809183009026764</v>
      </c>
      <c r="O34" s="192">
        <f>N34/N31-1</f>
        <v>0.13659950594407899</v>
      </c>
      <c r="P34" s="129" t="s">
        <v>652</v>
      </c>
      <c r="Q34" s="116">
        <v>1089076</v>
      </c>
      <c r="R34" s="116">
        <v>1493121690</v>
      </c>
      <c r="S34" s="116">
        <v>35381.69</v>
      </c>
      <c r="T34" s="130">
        <f t="shared" ref="T34" si="45">Q34/S34</f>
        <v>30.780779550100629</v>
      </c>
      <c r="U34" s="85">
        <f>Q32+Q33+Q34</f>
        <v>3889916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47384.304347826088</v>
      </c>
      <c r="G35" s="190">
        <f t="shared" ref="G35" si="46">F35/F34-1</f>
        <v>-0.17333429199734851</v>
      </c>
      <c r="H35" s="190">
        <f t="shared" ref="H35" si="47">F35/F23-1</f>
        <v>0.18026031652976737</v>
      </c>
      <c r="I35" s="130">
        <f t="shared" si="0"/>
        <v>29.298007441180264</v>
      </c>
      <c r="J35" s="130">
        <f t="shared" si="5"/>
        <v>0.53683442494435862</v>
      </c>
      <c r="K35" s="136"/>
      <c r="L35" s="190"/>
      <c r="M35" s="190"/>
      <c r="N35" s="191"/>
      <c r="O35" s="192"/>
      <c r="P35" s="129" t="s">
        <v>660</v>
      </c>
      <c r="Q35" s="116">
        <v>1089839</v>
      </c>
      <c r="R35" s="116">
        <v>1507914286</v>
      </c>
      <c r="S35" s="116">
        <v>37198.400000000001</v>
      </c>
      <c r="T35" s="130">
        <f t="shared" ref="T35" si="48">Q35/S35</f>
        <v>29.298007441180264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67441.809523809527</v>
      </c>
      <c r="G36" s="190">
        <f t="shared" ref="G36" si="49">F36/F35-1</f>
        <v>0.4232942838782785</v>
      </c>
      <c r="H36" s="190">
        <f t="shared" ref="H36" si="50">F36/F24-1</f>
        <v>0.5614257220051162</v>
      </c>
      <c r="I36" s="130">
        <f t="shared" si="0"/>
        <v>30.075400963795346</v>
      </c>
      <c r="J36" s="130">
        <f t="shared" si="5"/>
        <v>0.68316298443991674</v>
      </c>
      <c r="K36" s="136"/>
      <c r="L36" s="190"/>
      <c r="M36" s="190"/>
      <c r="N36" s="191"/>
      <c r="O36" s="192"/>
      <c r="P36" s="129" t="s">
        <v>666</v>
      </c>
      <c r="Q36" s="116">
        <v>1416278</v>
      </c>
      <c r="R36" s="116">
        <v>1942378340</v>
      </c>
      <c r="S36" s="116">
        <v>47090.91</v>
      </c>
      <c r="T36" s="130">
        <f t="shared" ref="T36" si="51">Q36/S36</f>
        <v>30.075400963795346</v>
      </c>
      <c r="U36" s="85"/>
    </row>
    <row r="37" spans="1:21" s="79" customFormat="1" ht="13.2" hidden="1">
      <c r="A37" s="129" t="s">
        <v>702</v>
      </c>
      <c r="B37" s="188">
        <f>SUM(F35:F37)</f>
        <v>178641.33609385783</v>
      </c>
      <c r="C37" s="188">
        <f>AVERAGE(F35:F37)</f>
        <v>59547.112031285942</v>
      </c>
      <c r="D37" s="190">
        <f>C37/C34-1</f>
        <v>-6.3199902208094683E-2</v>
      </c>
      <c r="E37" s="287">
        <f>C37/C25-1</f>
        <v>4.5962330611779567E-2</v>
      </c>
      <c r="F37" s="136">
        <f>Q37/18</f>
        <v>63815.222222222219</v>
      </c>
      <c r="G37" s="190">
        <f t="shared" ref="G37" si="52">F37/F36-1</f>
        <v>-5.3773576468273521E-2</v>
      </c>
      <c r="H37" s="190">
        <f t="shared" ref="H37" si="53">F37/F25-1</f>
        <v>-0.27027935927116231</v>
      </c>
      <c r="I37" s="130">
        <f t="shared" si="0"/>
        <v>29.462101215778418</v>
      </c>
      <c r="J37" s="130">
        <f t="shared" si="5"/>
        <v>1.3459952119865886</v>
      </c>
      <c r="K37" s="136">
        <f>R35+R36+R37</f>
        <v>4983373002</v>
      </c>
      <c r="L37" s="190">
        <f>U37/U34-1</f>
        <v>-6.0444749963752376E-2</v>
      </c>
      <c r="M37" s="190">
        <f>U37/U25-1</f>
        <v>5.7854796712387024E-2</v>
      </c>
      <c r="N37" s="191">
        <f>AVERAGE(T35:T37)</f>
        <v>29.611836540251343</v>
      </c>
      <c r="O37" s="192">
        <f>N37/N34-1</f>
        <v>-3.8863298271317737E-2</v>
      </c>
      <c r="P37" s="129" t="s">
        <v>702</v>
      </c>
      <c r="Q37" s="116">
        <v>1148674</v>
      </c>
      <c r="R37" s="116">
        <v>1533080376</v>
      </c>
      <c r="S37" s="116">
        <v>38988.19</v>
      </c>
      <c r="T37" s="130">
        <f t="shared" ref="T37" si="54">Q37/S37</f>
        <v>29.462101215778418</v>
      </c>
      <c r="U37" s="85">
        <f>Q35+Q36+Q37</f>
        <v>3654791</v>
      </c>
    </row>
    <row r="38" spans="1:21" s="79" customFormat="1" ht="13.2" hidden="1">
      <c r="A38" s="129" t="s">
        <v>731</v>
      </c>
      <c r="B38" s="188"/>
      <c r="C38" s="188"/>
      <c r="D38" s="190"/>
      <c r="E38" s="287"/>
      <c r="F38" s="136">
        <f>Q38/20</f>
        <v>94332.3</v>
      </c>
      <c r="G38" s="190">
        <f t="shared" ref="G38" si="55">F38/F37-1</f>
        <v>0.47821000562387606</v>
      </c>
      <c r="H38" s="190">
        <f t="shared" ref="H38" si="56">F38/F26-1</f>
        <v>0.57450183908631636</v>
      </c>
      <c r="I38" s="130">
        <f t="shared" si="0"/>
        <v>33.894959806185774</v>
      </c>
      <c r="J38" s="130">
        <f t="shared" si="5"/>
        <v>-1.6810194258506383E-3</v>
      </c>
      <c r="K38" s="136"/>
      <c r="L38" s="190"/>
      <c r="M38" s="190"/>
      <c r="N38" s="191"/>
      <c r="O38" s="192"/>
      <c r="P38" s="129" t="s">
        <v>731</v>
      </c>
      <c r="Q38" s="116">
        <v>1886646</v>
      </c>
      <c r="R38" s="116">
        <v>2551136842</v>
      </c>
      <c r="S38" s="116">
        <v>55661.55</v>
      </c>
      <c r="T38" s="130">
        <f t="shared" ref="T38" si="57">Q38/S38</f>
        <v>33.894959806185774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30032.095238095237</v>
      </c>
      <c r="G39" s="190">
        <f t="shared" ref="G39" si="58">F39/F38-1</f>
        <v>-0.68163507899102171</v>
      </c>
      <c r="H39" s="190">
        <f t="shared" ref="H39" si="59">F39/F27-1</f>
        <v>-0.3760313093606763</v>
      </c>
      <c r="I39" s="130">
        <f t="shared" si="0"/>
        <v>28.524171693013528</v>
      </c>
      <c r="J39" s="130">
        <f t="shared" si="5"/>
        <v>7.1796972120836688E-3</v>
      </c>
      <c r="K39" s="136"/>
      <c r="L39" s="190"/>
      <c r="M39" s="190"/>
      <c r="N39" s="191"/>
      <c r="O39" s="192"/>
      <c r="P39" s="129" t="s">
        <v>762</v>
      </c>
      <c r="Q39" s="116">
        <v>630674</v>
      </c>
      <c r="R39" s="116">
        <v>879177663</v>
      </c>
      <c r="S39" s="116">
        <v>22110.16</v>
      </c>
      <c r="T39" s="130">
        <f t="shared" ref="T39" si="60">Q39/S39</f>
        <v>28.524171693013528</v>
      </c>
      <c r="U39" s="85"/>
    </row>
    <row r="40" spans="1:21" s="79" customFormat="1" ht="13.2" hidden="1">
      <c r="A40" s="129" t="s">
        <v>778</v>
      </c>
      <c r="B40" s="188">
        <f>SUM(F38:F40)</f>
        <v>180420.68095238096</v>
      </c>
      <c r="C40" s="188">
        <f>AVERAGE(F38:F40)</f>
        <v>60140.226984126988</v>
      </c>
      <c r="D40" s="190">
        <f>C40/C37-1</f>
        <v>9.960431876686604E-3</v>
      </c>
      <c r="E40" s="287">
        <f>C40/C28-1</f>
        <v>1.9318400078447429E-2</v>
      </c>
      <c r="F40" s="136">
        <f>Q40/21</f>
        <v>56056.285714285717</v>
      </c>
      <c r="G40" s="190">
        <f t="shared" ref="G40" si="61">F40/F39-1</f>
        <v>0.86654594925428996</v>
      </c>
      <c r="H40" s="190">
        <f t="shared" ref="H40" si="62">F40/F28-1</f>
        <v>-0.1870958709669962</v>
      </c>
      <c r="I40" s="130">
        <f t="shared" si="0"/>
        <v>28.714991786879402</v>
      </c>
      <c r="J40" s="130">
        <f t="shared" si="5"/>
        <v>-1.5352081483734903E-3</v>
      </c>
      <c r="K40" s="136">
        <f>R38+R39+R40</f>
        <v>5096726446</v>
      </c>
      <c r="L40" s="190">
        <f>U40/U37-1</f>
        <v>1.0865463989596202E-2</v>
      </c>
      <c r="M40" s="190">
        <f>U40/U28-1</f>
        <v>5.3339822439133933E-2</v>
      </c>
      <c r="N40" s="191">
        <f>AVERAGE(T38:T40)</f>
        <v>30.378041095359567</v>
      </c>
      <c r="O40" s="192">
        <f>N40/N37-1</f>
        <v>2.5874942071449247E-2</v>
      </c>
      <c r="P40" s="129" t="s">
        <v>778</v>
      </c>
      <c r="Q40" s="116">
        <v>1177182</v>
      </c>
      <c r="R40" s="116">
        <v>1666411941</v>
      </c>
      <c r="S40" s="116">
        <v>40995.379999999997</v>
      </c>
      <c r="T40" s="130">
        <f t="shared" ref="T40" si="63">Q40/S40</f>
        <v>28.714991786879402</v>
      </c>
      <c r="U40" s="85">
        <f>Q38+Q39+Q40</f>
        <v>3694502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47941.722222222219</v>
      </c>
      <c r="G41" s="190">
        <f t="shared" ref="G41" si="64">F41/F40-1</f>
        <v>-0.1447574235193313</v>
      </c>
      <c r="H41" s="190">
        <f t="shared" ref="H41" si="65">F41/F29-1</f>
        <v>0.54005789375998581</v>
      </c>
      <c r="I41" s="130">
        <f t="shared" si="0"/>
        <v>26.488049926823756</v>
      </c>
      <c r="J41" s="130">
        <f t="shared" si="5"/>
        <v>7.1851779444970232E-2</v>
      </c>
      <c r="K41" s="193"/>
      <c r="L41" s="190"/>
      <c r="M41" s="190"/>
      <c r="N41" s="193"/>
      <c r="O41" s="193"/>
      <c r="P41" s="129" t="s">
        <v>793</v>
      </c>
      <c r="Q41" s="116">
        <v>862951</v>
      </c>
      <c r="R41" s="116">
        <v>1262794659</v>
      </c>
      <c r="S41" s="116">
        <v>32578.880000000001</v>
      </c>
      <c r="T41" s="130">
        <f t="shared" ref="T41" si="66">Q41/S41</f>
        <v>26.488049926823756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60303.4</v>
      </c>
      <c r="G42" s="190">
        <f t="shared" ref="G42" si="67">F42/F41-1</f>
        <v>0.25784801222780906</v>
      </c>
      <c r="H42" s="190">
        <f t="shared" ref="H42" si="68">F42/F30-1</f>
        <v>0.21004075485726292</v>
      </c>
      <c r="I42" s="130">
        <f t="shared" si="0"/>
        <v>26.189400795973921</v>
      </c>
      <c r="J42" s="130">
        <f t="shared" si="5"/>
        <v>4.6866588803964326E-2</v>
      </c>
      <c r="K42" s="193"/>
      <c r="L42" s="190"/>
      <c r="M42" s="190"/>
      <c r="N42" s="193"/>
      <c r="O42" s="193"/>
      <c r="P42" s="129" t="s">
        <v>826</v>
      </c>
      <c r="Q42" s="116">
        <v>1206068</v>
      </c>
      <c r="R42" s="116">
        <v>1737105778</v>
      </c>
      <c r="S42" s="116">
        <v>46051.76</v>
      </c>
      <c r="T42" s="130">
        <f t="shared" ref="T42" si="69">Q42/S42</f>
        <v>26.189400795973921</v>
      </c>
      <c r="U42" s="78"/>
    </row>
    <row r="43" spans="1:21" s="79" customFormat="1" ht="13.2">
      <c r="A43" s="129" t="s">
        <v>835</v>
      </c>
      <c r="B43" s="188">
        <f>SUM(F41:F43)</f>
        <v>166589.77222222221</v>
      </c>
      <c r="C43" s="188">
        <f>AVERAGE(F41:F43)</f>
        <v>55529.924074074072</v>
      </c>
      <c r="D43" s="190">
        <f>C43/C40-1</f>
        <v>-7.6659220313048171E-2</v>
      </c>
      <c r="E43" s="287">
        <f>C43/C31-1</f>
        <v>0.16927782965442817</v>
      </c>
      <c r="F43" s="136">
        <f>Q43/20</f>
        <v>58344.65</v>
      </c>
      <c r="G43" s="190">
        <f t="shared" ref="G43" si="70">F43/F42-1</f>
        <v>-3.2481584786264173E-2</v>
      </c>
      <c r="H43" s="190">
        <f t="shared" ref="H43" si="71">F43/F31-1</f>
        <v>-5.1409846406976767E-2</v>
      </c>
      <c r="I43" s="130">
        <f t="shared" si="0"/>
        <v>22.821991699621751</v>
      </c>
      <c r="J43" s="130">
        <f t="shared" si="5"/>
        <v>-0.27755652782688078</v>
      </c>
      <c r="K43" s="136">
        <f>R41+R42+R43</f>
        <v>4688989977</v>
      </c>
      <c r="L43" s="190">
        <f>U43/U40-1</f>
        <v>-0.12412769028139647</v>
      </c>
      <c r="M43" s="190">
        <f>K43/K31-1</f>
        <v>0.23101638738739805</v>
      </c>
      <c r="N43" s="191">
        <f>AVERAGE(T41:T43)</f>
        <v>25.166480807473139</v>
      </c>
      <c r="O43" s="192">
        <f>N43/N40-1</f>
        <v>-0.17155682525831217</v>
      </c>
      <c r="P43" s="129" t="s">
        <v>835</v>
      </c>
      <c r="Q43" s="116">
        <v>1166893</v>
      </c>
      <c r="R43" s="116">
        <v>1689089540</v>
      </c>
      <c r="S43" s="116">
        <v>51130.2</v>
      </c>
      <c r="T43" s="130">
        <f t="shared" ref="T43" si="72">Q43/S43</f>
        <v>22.821991699621751</v>
      </c>
      <c r="U43" s="85">
        <f>Q41+Q42+Q43</f>
        <v>3235912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96051</v>
      </c>
      <c r="G44" s="190">
        <f t="shared" ref="G44" si="73">F44/F43-1</f>
        <v>0.64626919520470172</v>
      </c>
      <c r="H44" s="190">
        <f t="shared" ref="H44" si="74">F44/F32-1</f>
        <v>0.41833205240260662</v>
      </c>
      <c r="I44" s="130">
        <f t="shared" si="0"/>
        <v>25.943911592968561</v>
      </c>
      <c r="J44" s="130">
        <f t="shared" si="5"/>
        <v>-0.18798066744853459</v>
      </c>
      <c r="K44" s="136"/>
      <c r="L44" s="190"/>
      <c r="M44" s="190"/>
      <c r="N44" s="191"/>
      <c r="O44" s="192"/>
      <c r="P44" s="129" t="s">
        <v>843</v>
      </c>
      <c r="Q44" s="116">
        <v>2113122</v>
      </c>
      <c r="R44" s="116">
        <v>3052816954</v>
      </c>
      <c r="S44" s="116">
        <v>81449.63</v>
      </c>
      <c r="T44" s="130">
        <f t="shared" ref="T44" si="75">Q44/S44</f>
        <v>25.943911592968561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90779</v>
      </c>
      <c r="G45" s="190">
        <f t="shared" ref="G45" si="76">F45/F44-1</f>
        <v>-5.4887507678212599E-2</v>
      </c>
      <c r="H45" s="190">
        <f t="shared" ref="H45" si="77">F45/F33-1</f>
        <v>0.38272513830087407</v>
      </c>
      <c r="I45" s="130">
        <f t="shared" si="0"/>
        <v>27.205703970329331</v>
      </c>
      <c r="J45" s="130">
        <f t="shared" si="5"/>
        <v>-8.3887413725422633E-2</v>
      </c>
      <c r="K45" s="136"/>
      <c r="L45" s="190"/>
      <c r="M45" s="190"/>
      <c r="N45" s="191"/>
      <c r="O45" s="192"/>
      <c r="P45" s="129" t="s">
        <v>849</v>
      </c>
      <c r="Q45" s="116">
        <v>1815580</v>
      </c>
      <c r="R45" s="116">
        <v>2566254903</v>
      </c>
      <c r="S45" s="116">
        <v>66735.27</v>
      </c>
      <c r="T45" s="130">
        <f t="shared" ref="T45" si="78">Q45/S45</f>
        <v>27.205703970329331</v>
      </c>
      <c r="U45" s="85"/>
    </row>
    <row r="46" spans="1:21" s="79" customFormat="1" ht="13.2">
      <c r="A46" s="129" t="s">
        <v>888</v>
      </c>
      <c r="B46" s="188">
        <f>SUM(F44:F46)</f>
        <v>245375.78947368421</v>
      </c>
      <c r="C46" s="188">
        <f>AVERAGE(F44:F46)</f>
        <v>81791.929824561405</v>
      </c>
      <c r="D46" s="190">
        <f>C46/C43-1</f>
        <v>0.47293429963014466</v>
      </c>
      <c r="E46" s="287">
        <f>C46/C34-1</f>
        <v>0.28675741349102468</v>
      </c>
      <c r="F46" s="136">
        <f>Q46/19</f>
        <v>58545.789473684214</v>
      </c>
      <c r="G46" s="190">
        <f t="shared" ref="G46" si="79">F46/F45-1</f>
        <v>-0.35507342586188195</v>
      </c>
      <c r="H46" s="190">
        <f t="shared" ref="H46" si="80">F46/F34-1</f>
        <v>2.1388773602576849E-2</v>
      </c>
      <c r="I46" s="130">
        <f t="shared" si="0"/>
        <v>26.786772121355732</v>
      </c>
      <c r="J46" s="130">
        <f t="shared" si="5"/>
        <v>-0.12975653921448005</v>
      </c>
      <c r="K46" s="136">
        <f>R44+R45+R46</f>
        <v>7145311762</v>
      </c>
      <c r="L46" s="190">
        <f>U46/U43-1</f>
        <v>0.55785200586418915</v>
      </c>
      <c r="M46" s="190">
        <f>K46/K34-1</f>
        <v>0.33743850515494</v>
      </c>
      <c r="N46" s="191">
        <f>AVERAGE(T44:T46)</f>
        <v>26.645462561551209</v>
      </c>
      <c r="O46" s="192">
        <f>N46/N43-1</f>
        <v>5.8767920925951955E-2</v>
      </c>
      <c r="P46" s="129" t="s">
        <v>932</v>
      </c>
      <c r="Q46" s="116">
        <v>1112370</v>
      </c>
      <c r="R46" s="116">
        <v>1526239905</v>
      </c>
      <c r="S46" s="116">
        <v>41526.839999999997</v>
      </c>
      <c r="T46" s="130">
        <f t="shared" ref="T46" si="81">Q46/S46</f>
        <v>26.786772121355732</v>
      </c>
      <c r="U46" s="85">
        <f t="shared" ref="U46:U51" si="82">Q44+Q45+Q46</f>
        <v>5041072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89648.260869565216</v>
      </c>
      <c r="G47" s="190">
        <f t="shared" ref="G47" si="83">F47/F46-1</f>
        <v>0.53125035421823585</v>
      </c>
      <c r="H47" s="190">
        <f t="shared" ref="H47" si="84">F47/F35-1</f>
        <v>0.891940002147106</v>
      </c>
      <c r="I47" s="130">
        <f t="shared" si="0"/>
        <v>26.036229062144699</v>
      </c>
      <c r="J47" s="130">
        <f t="shared" si="5"/>
        <v>-0.11133106528094205</v>
      </c>
      <c r="K47" s="136"/>
      <c r="L47" s="190"/>
      <c r="M47" s="190"/>
      <c r="N47" s="191"/>
      <c r="O47" s="192"/>
      <c r="P47" s="129" t="s">
        <v>991</v>
      </c>
      <c r="Q47" s="116">
        <v>2061910</v>
      </c>
      <c r="R47" s="116">
        <v>2834543237</v>
      </c>
      <c r="S47" s="116">
        <v>79193.88</v>
      </c>
      <c r="T47" s="130">
        <f t="shared" ref="T47" si="85">Q47/S47</f>
        <v>26.036229062144699</v>
      </c>
      <c r="U47" s="85">
        <f t="shared" si="82"/>
        <v>4989860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108766.05</v>
      </c>
      <c r="G48" s="190">
        <f t="shared" ref="G48" si="86">F48/F47-1</f>
        <v>0.21325331852505691</v>
      </c>
      <c r="H48" s="190">
        <f t="shared" ref="H48" si="87">F48/F36-1</f>
        <v>0.61273920091959355</v>
      </c>
      <c r="I48" s="130">
        <f t="shared" si="0"/>
        <v>25.09505874492001</v>
      </c>
      <c r="J48" s="130">
        <f t="shared" si="5"/>
        <v>-0.16559520602470612</v>
      </c>
      <c r="K48" s="136"/>
      <c r="L48" s="190"/>
      <c r="M48" s="190"/>
      <c r="N48" s="191"/>
      <c r="O48" s="192"/>
      <c r="P48" s="129" t="s">
        <v>1120</v>
      </c>
      <c r="Q48" s="116">
        <v>2175321</v>
      </c>
      <c r="R48" s="116">
        <v>3017340972</v>
      </c>
      <c r="S48" s="116">
        <v>86683.24</v>
      </c>
      <c r="T48" s="130">
        <f t="shared" ref="T48" si="88">Q48/S48</f>
        <v>25.09505874492001</v>
      </c>
      <c r="U48" s="85">
        <f t="shared" si="82"/>
        <v>5349601</v>
      </c>
    </row>
    <row r="49" spans="1:26" ht="13.2">
      <c r="A49" s="129" t="s">
        <v>1158</v>
      </c>
      <c r="B49" s="188">
        <f>SUM(F47:F49)</f>
        <v>316180.58359683794</v>
      </c>
      <c r="C49" s="188">
        <f>AVERAGE(F47:F49)</f>
        <v>105393.52786561265</v>
      </c>
      <c r="D49" s="190">
        <f>C49/C46-1</f>
        <v>0.28855656165192833</v>
      </c>
      <c r="E49" s="287">
        <f>C49/C37-1</f>
        <v>0.76991837673402341</v>
      </c>
      <c r="F49" s="136">
        <f>Q49/22</f>
        <v>117766.27272727272</v>
      </c>
      <c r="G49" s="190">
        <f t="shared" ref="G49" si="89">F49/F48-1</f>
        <v>8.2748456225749889E-2</v>
      </c>
      <c r="H49" s="190">
        <f t="shared" ref="H49" si="90">F49/F37-1</f>
        <v>0.84542603827622909</v>
      </c>
      <c r="I49" s="130">
        <f t="shared" si="0"/>
        <v>16.826777696146944</v>
      </c>
      <c r="J49" s="130">
        <f t="shared" si="5"/>
        <v>-0.42886701892343748</v>
      </c>
      <c r="K49" s="136">
        <f>R47+R48+R49</f>
        <v>9448274456</v>
      </c>
      <c r="L49" s="190">
        <f>U49/U46-1</f>
        <v>0.35449146530737896</v>
      </c>
      <c r="M49" s="190">
        <f>K49/K37-1</f>
        <v>0.89595971487746962</v>
      </c>
      <c r="N49" s="191">
        <f>AVERAGE(T47:T49)</f>
        <v>22.652688501070553</v>
      </c>
      <c r="O49" s="192">
        <f>N49/N46-1</f>
        <v>-0.14984817963874031</v>
      </c>
      <c r="P49" s="129" t="s">
        <v>1158</v>
      </c>
      <c r="Q49" s="116">
        <v>2590858</v>
      </c>
      <c r="R49" s="116">
        <v>3596390247</v>
      </c>
      <c r="S49" s="116">
        <v>153972.32</v>
      </c>
      <c r="T49" s="130">
        <f t="shared" ref="T49" si="91">Q49/S49</f>
        <v>16.826777696146944</v>
      </c>
      <c r="U49" s="85">
        <f t="shared" si="82"/>
        <v>6828089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87102.666666666672</v>
      </c>
      <c r="G50" s="190">
        <f t="shared" ref="G50" si="92">F50/F49-1</f>
        <v>-0.26037680696253251</v>
      </c>
      <c r="H50" s="190">
        <f t="shared" ref="H50" si="93">F50/F38-1</f>
        <v>-7.6640062134956222E-2</v>
      </c>
      <c r="I50" s="130">
        <f t="shared" ref="I50" si="94">T50</f>
        <v>24.738231357391175</v>
      </c>
      <c r="J50" s="130">
        <f t="shared" ref="J50" si="95">I50/I38-1</f>
        <v>-0.27015014920075264</v>
      </c>
      <c r="K50" s="136"/>
      <c r="L50" s="190"/>
      <c r="M50" s="190"/>
      <c r="N50" s="191"/>
      <c r="O50" s="192"/>
      <c r="P50" s="129" t="s">
        <v>1338</v>
      </c>
      <c r="Q50" s="116">
        <v>1567848</v>
      </c>
      <c r="R50" s="116">
        <v>2204576419</v>
      </c>
      <c r="S50" s="116">
        <v>63377.53</v>
      </c>
      <c r="T50" s="130">
        <f t="shared" ref="T50" si="96">Q50/S50</f>
        <v>24.738231357391175</v>
      </c>
      <c r="U50" s="85">
        <f t="shared" si="82"/>
        <v>6334027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68372.55</v>
      </c>
      <c r="G51" s="190">
        <f t="shared" ref="G51:G52" si="97">F51/F50-1</f>
        <v>-0.215034939611493</v>
      </c>
      <c r="H51" s="190">
        <f t="shared" ref="H51:H52" si="98">F51/F39-1</f>
        <v>1.2766493465720803</v>
      </c>
      <c r="I51" s="130">
        <f t="shared" ref="I51:I52" si="99">T51</f>
        <v>22.342302216974975</v>
      </c>
      <c r="J51" s="130">
        <f t="shared" ref="J51:J52" si="100">I51/I39-1</f>
        <v>-0.21672389097113343</v>
      </c>
      <c r="K51" s="136"/>
      <c r="L51" s="190"/>
      <c r="M51" s="190"/>
      <c r="N51" s="191"/>
      <c r="O51" s="192"/>
      <c r="P51" s="129" t="s">
        <v>1402</v>
      </c>
      <c r="Q51" s="116">
        <v>1367451</v>
      </c>
      <c r="R51" s="116">
        <v>1988041018</v>
      </c>
      <c r="S51" s="116">
        <v>61204.57</v>
      </c>
      <c r="T51" s="130">
        <f t="shared" ref="T51:T52" si="101">Q51/S51</f>
        <v>22.342302216974975</v>
      </c>
      <c r="U51" s="85">
        <f t="shared" si="82"/>
        <v>5526157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196179.1712121212</v>
      </c>
      <c r="C52" s="188">
        <f>AVERAGE(F50:F52)</f>
        <v>65393.057070707066</v>
      </c>
      <c r="D52" s="190">
        <f>C52/C49-1</f>
        <v>-0.37953441359236217</v>
      </c>
      <c r="E52" s="287">
        <f>C52/C40-1</f>
        <v>8.7343037264665968E-2</v>
      </c>
      <c r="F52" s="136">
        <f>Q52/22</f>
        <v>40703.954545454544</v>
      </c>
      <c r="G52" s="190">
        <f t="shared" si="97"/>
        <v>-0.40467403153086223</v>
      </c>
      <c r="H52" s="190">
        <f t="shared" si="98"/>
        <v>-0.27387350005815125</v>
      </c>
      <c r="I52" s="130">
        <f t="shared" si="99"/>
        <v>22.150272300181484</v>
      </c>
      <c r="J52" s="130">
        <f t="shared" si="100"/>
        <v>-0.22861645009062836</v>
      </c>
      <c r="K52" s="136">
        <f>R50+R51+R52</f>
        <v>5511446433</v>
      </c>
      <c r="L52" s="190">
        <f>U52/U49-1</f>
        <v>-0.43896659812137773</v>
      </c>
      <c r="M52" s="190">
        <f>K52/K40-1</f>
        <v>8.1369873661844228E-2</v>
      </c>
      <c r="N52" s="191">
        <f>AVERAGE(T50:T52)</f>
        <v>23.076935291515877</v>
      </c>
      <c r="O52" s="192">
        <f>N52/N49-1</f>
        <v>1.8728319617570932E-2</v>
      </c>
      <c r="P52" s="129" t="s">
        <v>1403</v>
      </c>
      <c r="Q52" s="116">
        <v>895487</v>
      </c>
      <c r="R52" s="116">
        <v>1318828996</v>
      </c>
      <c r="S52" s="116">
        <v>40427.81</v>
      </c>
      <c r="T52" s="130">
        <f t="shared" si="101"/>
        <v>22.150272300181484</v>
      </c>
      <c r="U52" s="85">
        <f t="shared" ref="U52" si="102">Q50+Q51+Q52</f>
        <v>3830786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99208.047619047618</v>
      </c>
      <c r="G53" s="190">
        <f t="shared" ref="G53" si="103">F53/F52-1</f>
        <v>1.4373073507700811</v>
      </c>
      <c r="H53" s="190">
        <f t="shared" ref="H53" si="104">F53/F41-1</f>
        <v>1.0693467614532657</v>
      </c>
      <c r="I53" s="130">
        <f t="shared" ref="I53" si="105">T53</f>
        <v>24.389378463134893</v>
      </c>
      <c r="J53" s="130">
        <f t="shared" ref="J53" si="106">I53/I41-1</f>
        <v>-7.9230878433356966E-2</v>
      </c>
      <c r="K53" s="136"/>
      <c r="L53" s="190"/>
      <c r="M53" s="190"/>
      <c r="N53" s="191"/>
      <c r="O53" s="192"/>
      <c r="P53" s="129" t="s">
        <v>1414</v>
      </c>
      <c r="Q53" s="116">
        <v>2083369</v>
      </c>
      <c r="R53" s="116">
        <v>3033781837</v>
      </c>
      <c r="S53" s="116">
        <v>85421.16</v>
      </c>
      <c r="T53" s="130">
        <f t="shared" ref="T53" si="107">Q53/S53</f>
        <v>24.389378463134893</v>
      </c>
      <c r="U53" s="85">
        <f t="shared" ref="U53" si="108">Q51+Q52+Q53</f>
        <v>4346307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147968.0588235294</v>
      </c>
      <c r="G54" s="190">
        <f t="shared" ref="G54" si="109">F54/F53-1</f>
        <v>0.49149249858960053</v>
      </c>
      <c r="H54" s="190">
        <f t="shared" ref="H54" si="110">F54/F42-1</f>
        <v>1.4537266360359347</v>
      </c>
      <c r="I54" s="130">
        <f t="shared" ref="I54" si="111">T54</f>
        <v>21.743336251510954</v>
      </c>
      <c r="J54" s="130">
        <f t="shared" ref="J54" si="112">I54/I42-1</f>
        <v>-0.16976579873283915</v>
      </c>
      <c r="K54" s="136"/>
      <c r="L54" s="190"/>
      <c r="M54" s="190"/>
      <c r="N54" s="191"/>
      <c r="O54" s="192"/>
      <c r="P54" s="129" t="s">
        <v>1417</v>
      </c>
      <c r="Q54" s="116">
        <v>2515457</v>
      </c>
      <c r="R54" s="116">
        <v>3641230042</v>
      </c>
      <c r="S54" s="116">
        <v>115688.64</v>
      </c>
      <c r="T54" s="130">
        <f t="shared" ref="T54" si="113">Q54/S54</f>
        <v>21.743336251510954</v>
      </c>
      <c r="U54" s="85">
        <f t="shared" ref="U54" si="114">Q52+Q53+Q54</f>
        <v>5494313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401001.63025210088</v>
      </c>
      <c r="C55" s="188">
        <f>AVERAGE(F53:F55)</f>
        <v>133667.21008403364</v>
      </c>
      <c r="D55" s="190">
        <f>C55/C52-1</f>
        <v>1.0440581320353974</v>
      </c>
      <c r="E55" s="287">
        <f>C55/C43-1</f>
        <v>1.4071203466031834</v>
      </c>
      <c r="F55" s="136">
        <f>Q55/21</f>
        <v>153825.52380952382</v>
      </c>
      <c r="G55" s="190">
        <f t="shared" ref="G55" si="115">F55/F54-1</f>
        <v>3.9586009525070409E-2</v>
      </c>
      <c r="H55" s="190">
        <f t="shared" ref="H55" si="116">F55/F43-1</f>
        <v>1.636497499077016</v>
      </c>
      <c r="I55" s="130">
        <f>T55</f>
        <v>22.364024776208204</v>
      </c>
      <c r="J55" s="130">
        <f t="shared" ref="J55" si="117">I55/I43-1</f>
        <v>-2.0066913065310499E-2</v>
      </c>
      <c r="K55" s="136">
        <f>R53+R54+R55</f>
        <v>11402845912</v>
      </c>
      <c r="L55" s="190">
        <f>U55/U52-1</f>
        <v>1.0437482020661033</v>
      </c>
      <c r="M55" s="190">
        <f>K55/K43-1</f>
        <v>1.4318341408133062</v>
      </c>
      <c r="N55" s="191">
        <f>AVERAGE(T53:T55)</f>
        <v>22.832246496951353</v>
      </c>
      <c r="O55" s="192">
        <f>N55/N52-1</f>
        <v>-1.0603175485545679E-2</v>
      </c>
      <c r="P55" s="129" t="s">
        <v>1418</v>
      </c>
      <c r="Q55" s="116">
        <v>3230336</v>
      </c>
      <c r="R55" s="116">
        <v>4727834033</v>
      </c>
      <c r="S55" s="116">
        <v>144443.41</v>
      </c>
      <c r="T55" s="130">
        <f t="shared" ref="T55" si="118">Q55/S55</f>
        <v>22.364024776208204</v>
      </c>
      <c r="U55" s="85">
        <f t="shared" ref="U55" si="119">Q53+Q54+Q55</f>
        <v>7829162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192071.95454545456</v>
      </c>
      <c r="G56" s="190">
        <f t="shared" ref="G56" si="120">F56/F55-1</f>
        <v>0.2486351405719236</v>
      </c>
      <c r="H56" s="190">
        <f t="shared" ref="H56" si="121">F56/F44-1</f>
        <v>0.99968719269403294</v>
      </c>
      <c r="I56" s="291">
        <f>T56</f>
        <v>22.006377688059693</v>
      </c>
      <c r="J56" s="130">
        <f t="shared" ref="J56" si="122">I56/I44-1</f>
        <v>-0.15177101921577762</v>
      </c>
      <c r="K56" s="136"/>
      <c r="L56" s="190"/>
      <c r="M56" s="190"/>
      <c r="N56" s="191"/>
      <c r="O56" s="192"/>
      <c r="P56" s="129" t="s">
        <v>1420</v>
      </c>
      <c r="Q56" s="116">
        <v>4225583</v>
      </c>
      <c r="R56" s="116">
        <v>6329207607</v>
      </c>
      <c r="S56" s="116">
        <v>192016.29</v>
      </c>
      <c r="T56" s="130">
        <f t="shared" ref="T56" si="123">Q56/S56</f>
        <v>22.006377688059693</v>
      </c>
      <c r="U56" s="85">
        <f t="shared" ref="U56" si="124">Q54+Q55+Q56</f>
        <v>9971376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165967.83333333334</v>
      </c>
      <c r="G57" s="254">
        <f t="shared" ref="G57" si="125">F57/F56-1</f>
        <v>-0.13590803130992024</v>
      </c>
      <c r="H57" s="254">
        <f t="shared" ref="H57" si="126">F57/F45-1</f>
        <v>0.82826241017562818</v>
      </c>
      <c r="I57" s="282">
        <f>T57</f>
        <v>22.509059900735245</v>
      </c>
      <c r="J57" s="277">
        <f t="shared" ref="J57" si="127">I57/I45-1</f>
        <v>-0.17263453556343433</v>
      </c>
      <c r="K57" s="204"/>
      <c r="L57" s="254"/>
      <c r="M57" s="254"/>
      <c r="N57" s="257"/>
      <c r="O57" s="258"/>
      <c r="P57" s="129" t="s">
        <v>1436</v>
      </c>
      <c r="Q57" s="116">
        <v>1991614</v>
      </c>
      <c r="R57" s="116">
        <v>2933289410</v>
      </c>
      <c r="S57" s="116">
        <v>88480.55</v>
      </c>
      <c r="T57" s="130">
        <f t="shared" ref="T57" si="128">Q57/S57</f>
        <v>22.509059900735245</v>
      </c>
      <c r="U57" s="85">
        <f t="shared" ref="U57" si="129">Q55+Q56+Q57</f>
        <v>9447533</v>
      </c>
      <c r="V57" s="79"/>
      <c r="W57" s="79"/>
      <c r="X57" s="79"/>
      <c r="Y57" s="79"/>
      <c r="Z57" s="79"/>
    </row>
    <row r="58" spans="1:26">
      <c r="B58" s="196">
        <f>SUM(F56:F58)</f>
        <v>358039.7878787879</v>
      </c>
      <c r="C58" s="196">
        <f>AVERAGE(F56:F58)</f>
        <v>179019.89393939395</v>
      </c>
      <c r="D58" s="197">
        <f>C58/C55-1</f>
        <v>0.33929550730390856</v>
      </c>
      <c r="E58" s="233">
        <f>C58/C46-1</f>
        <v>1.1887231946156605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14046359</v>
      </c>
      <c r="R64" s="212">
        <v>20665342929</v>
      </c>
      <c r="S64" s="213">
        <v>626050.05000000005</v>
      </c>
      <c r="T64" s="214">
        <v>10</v>
      </c>
      <c r="U64" s="214">
        <v>23</v>
      </c>
    </row>
    <row r="65" spans="16:21" ht="18" thickBot="1">
      <c r="P65" s="180" t="s">
        <v>976</v>
      </c>
      <c r="Q65" s="181">
        <v>2083369</v>
      </c>
      <c r="R65" s="181">
        <v>3033781837</v>
      </c>
      <c r="S65" s="182">
        <v>85421.16</v>
      </c>
      <c r="T65" s="210" t="s">
        <v>1421</v>
      </c>
      <c r="U65" s="210">
        <v>7</v>
      </c>
    </row>
    <row r="66" spans="16:21" ht="18" thickBot="1">
      <c r="P66" s="180" t="s">
        <v>977</v>
      </c>
      <c r="Q66" s="181">
        <v>2515457</v>
      </c>
      <c r="R66" s="181">
        <v>3641230042</v>
      </c>
      <c r="S66" s="182">
        <v>115688.64</v>
      </c>
      <c r="T66" s="210">
        <v>6</v>
      </c>
      <c r="U66" s="210">
        <v>11</v>
      </c>
    </row>
    <row r="67" spans="16:21" ht="18" thickBot="1">
      <c r="P67" s="180" t="s">
        <v>978</v>
      </c>
      <c r="Q67" s="181">
        <v>3230336</v>
      </c>
      <c r="R67" s="181">
        <v>4727834033</v>
      </c>
      <c r="S67" s="182">
        <v>144443.41</v>
      </c>
      <c r="T67" s="210">
        <v>7</v>
      </c>
      <c r="U67" s="210">
        <v>13</v>
      </c>
    </row>
    <row r="68" spans="16:21" ht="18" thickBot="1">
      <c r="P68" s="180" t="s">
        <v>979</v>
      </c>
      <c r="Q68" s="181">
        <v>4225583</v>
      </c>
      <c r="R68" s="181">
        <v>6329207607</v>
      </c>
      <c r="S68" s="182">
        <v>192016.29</v>
      </c>
      <c r="T68" s="210">
        <v>5</v>
      </c>
      <c r="U68" s="210">
        <v>12</v>
      </c>
    </row>
    <row r="69" spans="16:21" ht="18" thickBot="1">
      <c r="P69" s="180" t="s">
        <v>980</v>
      </c>
      <c r="Q69" s="181">
        <v>1991614</v>
      </c>
      <c r="R69" s="181">
        <v>2933289410</v>
      </c>
      <c r="S69" s="182">
        <v>88480.55</v>
      </c>
      <c r="T69" s="210">
        <v>5</v>
      </c>
      <c r="U69" s="210">
        <v>9</v>
      </c>
    </row>
    <row r="70" spans="16:21" ht="18" thickBot="1">
      <c r="P70" s="180" t="s">
        <v>975</v>
      </c>
      <c r="Q70" s="181">
        <v>18935859</v>
      </c>
      <c r="R70" s="181">
        <v>26794022628</v>
      </c>
      <c r="S70" s="182">
        <v>804331.96</v>
      </c>
      <c r="T70" s="210">
        <v>23</v>
      </c>
      <c r="U70" s="210">
        <v>41</v>
      </c>
    </row>
    <row r="71" spans="16:21" ht="18" thickBot="1">
      <c r="P71" s="215" t="s">
        <v>982</v>
      </c>
      <c r="Q71" s="217">
        <v>1</v>
      </c>
      <c r="R71"/>
      <c r="S71"/>
      <c r="T71"/>
      <c r="U71"/>
    </row>
  </sheetData>
  <phoneticPr fontId="1" type="noConversion"/>
  <conditionalFormatting sqref="C29:C30">
    <cfRule type="cellIs" dxfId="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105">
    <tabColor rgb="FFFFFF00"/>
  </sheetPr>
  <dimension ref="A1:Z71"/>
  <sheetViews>
    <sheetView zoomScale="90" zoomScaleNormal="9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5902200000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4" t="s">
        <v>101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958862.85</v>
      </c>
      <c r="G5" s="90"/>
      <c r="H5" s="90"/>
      <c r="I5" s="130">
        <f t="shared" ref="I5:I49" si="0">T5</f>
        <v>4.1346302960997461</v>
      </c>
      <c r="J5" s="130"/>
      <c r="L5" s="80"/>
      <c r="M5" s="80"/>
      <c r="P5" s="129" t="s">
        <v>0</v>
      </c>
      <c r="Q5" s="116">
        <v>19177257</v>
      </c>
      <c r="R5" s="116">
        <v>22632369303</v>
      </c>
      <c r="S5" s="116">
        <v>4638203.57</v>
      </c>
      <c r="T5" s="130">
        <f t="shared" ref="T5:T17" si="1">Q5/S5</f>
        <v>4.1346302960997461</v>
      </c>
      <c r="U5" s="85"/>
    </row>
    <row r="6" spans="1:21" ht="15" hidden="1" customHeight="1">
      <c r="A6" s="129" t="s">
        <v>1</v>
      </c>
      <c r="C6" s="79"/>
      <c r="F6" s="78">
        <f>Q6/18</f>
        <v>728280.27777777775</v>
      </c>
      <c r="G6" s="90">
        <f t="shared" ref="G6:G16" si="2">F6/F5-1</f>
        <v>-0.2404750295855369</v>
      </c>
      <c r="H6" s="90"/>
      <c r="I6" s="130">
        <f t="shared" si="0"/>
        <v>4.1797647883621512</v>
      </c>
      <c r="J6" s="130"/>
      <c r="P6" s="129" t="s">
        <v>1</v>
      </c>
      <c r="Q6" s="116">
        <v>13109045</v>
      </c>
      <c r="R6" s="116">
        <v>15584103998</v>
      </c>
      <c r="S6" s="116">
        <v>3136311.65</v>
      </c>
      <c r="T6" s="130">
        <f t="shared" si="1"/>
        <v>4.1797647883621512</v>
      </c>
      <c r="U6" s="85"/>
    </row>
    <row r="7" spans="1:21" ht="15" hidden="1" customHeight="1">
      <c r="A7" s="129" t="s">
        <v>2</v>
      </c>
      <c r="B7" s="131">
        <f>F5+F6+F7</f>
        <v>2320482.1277777776</v>
      </c>
      <c r="C7" s="131">
        <f>AVERAGE(F5:F7)</f>
        <v>773494.04259259254</v>
      </c>
      <c r="F7" s="78">
        <f>Q7/22</f>
        <v>633339</v>
      </c>
      <c r="G7" s="90">
        <f t="shared" si="2"/>
        <v>-0.13036365349268386</v>
      </c>
      <c r="H7" s="90"/>
      <c r="I7" s="130">
        <f t="shared" si="0"/>
        <v>4.0260501878899877</v>
      </c>
      <c r="J7" s="130"/>
      <c r="K7" s="79">
        <f>R5+R6+R7</f>
        <v>54994345078</v>
      </c>
      <c r="N7" s="88">
        <f>AVERAGE(T5:T7)</f>
        <v>4.1134817574506277</v>
      </c>
      <c r="P7" s="129" t="s">
        <v>2</v>
      </c>
      <c r="Q7" s="116">
        <v>13933458</v>
      </c>
      <c r="R7" s="116">
        <v>16777871777</v>
      </c>
      <c r="S7" s="116">
        <v>3460825.71</v>
      </c>
      <c r="T7" s="130">
        <f t="shared" si="1"/>
        <v>4.0260501878899877</v>
      </c>
      <c r="U7" s="85">
        <f>Q5+Q6+Q7</f>
        <v>46219760</v>
      </c>
    </row>
    <row r="8" spans="1:21" ht="15" hidden="1" customHeight="1">
      <c r="A8" s="129" t="s">
        <v>3</v>
      </c>
      <c r="C8" s="79"/>
      <c r="F8" s="78">
        <f>Q8/21</f>
        <v>714427.85714285716</v>
      </c>
      <c r="G8" s="90">
        <f t="shared" si="2"/>
        <v>0.12803389202758253</v>
      </c>
      <c r="H8" s="90"/>
      <c r="I8" s="130">
        <f t="shared" si="0"/>
        <v>3.9122734783437911</v>
      </c>
      <c r="J8" s="130"/>
      <c r="K8" s="78"/>
      <c r="P8" s="129" t="s">
        <v>3</v>
      </c>
      <c r="Q8" s="116">
        <v>15002985</v>
      </c>
      <c r="R8" s="116">
        <v>18170777029</v>
      </c>
      <c r="S8" s="116">
        <v>3834850.78</v>
      </c>
      <c r="T8" s="130">
        <f t="shared" si="1"/>
        <v>3.9122734783437911</v>
      </c>
      <c r="U8" s="85"/>
    </row>
    <row r="9" spans="1:21" ht="15" hidden="1" customHeight="1">
      <c r="A9" s="129" t="s">
        <v>4</v>
      </c>
      <c r="C9" s="79"/>
      <c r="F9" s="78">
        <f>Q9/21</f>
        <v>785518.04761904757</v>
      </c>
      <c r="G9" s="90">
        <f t="shared" si="2"/>
        <v>9.9506464880155354E-2</v>
      </c>
      <c r="H9" s="90"/>
      <c r="I9" s="130">
        <f t="shared" si="0"/>
        <v>3.9326898506600618</v>
      </c>
      <c r="J9" s="130"/>
      <c r="K9" s="78"/>
      <c r="P9" s="129" t="s">
        <v>4</v>
      </c>
      <c r="Q9" s="116">
        <v>16495879</v>
      </c>
      <c r="R9" s="116">
        <v>20715569892</v>
      </c>
      <c r="S9" s="116">
        <v>4194553.76</v>
      </c>
      <c r="T9" s="130">
        <f t="shared" si="1"/>
        <v>3.9326898506600618</v>
      </c>
      <c r="U9" s="85"/>
    </row>
    <row r="10" spans="1:21" ht="15" hidden="1" customHeight="1">
      <c r="A10" s="129" t="s">
        <v>5</v>
      </c>
      <c r="B10" s="131">
        <f>F8+F9+F10</f>
        <v>2114325.5714285714</v>
      </c>
      <c r="C10" s="131">
        <f>AVERAGE(F8:F10)</f>
        <v>704775.19047619042</v>
      </c>
      <c r="D10" s="90">
        <f>C10/C7-1</f>
        <v>-8.8842122023423342E-2</v>
      </c>
      <c r="E10" s="286"/>
      <c r="F10" s="78">
        <f>Q10/21</f>
        <v>614379.66666666663</v>
      </c>
      <c r="G10" s="90">
        <f t="shared" si="2"/>
        <v>-0.2178668987569562</v>
      </c>
      <c r="H10" s="90"/>
      <c r="I10" s="130">
        <f t="shared" si="0"/>
        <v>4.1133777050030265</v>
      </c>
      <c r="J10" s="130"/>
      <c r="K10" s="79">
        <f>R8+R9+R10</f>
        <v>55159155936</v>
      </c>
      <c r="L10" s="87">
        <f>U10/U7-1</f>
        <v>-3.9353795865664343E-2</v>
      </c>
      <c r="N10" s="88">
        <f>AVERAGE(T8:T10)</f>
        <v>3.9861136780022934</v>
      </c>
      <c r="O10" s="89">
        <f>N10/N7-1</f>
        <v>-3.0963569783100664E-2</v>
      </c>
      <c r="P10" s="129" t="s">
        <v>5</v>
      </c>
      <c r="Q10" s="116">
        <v>12901973</v>
      </c>
      <c r="R10" s="116">
        <v>16272809015</v>
      </c>
      <c r="S10" s="116">
        <v>3136588.45</v>
      </c>
      <c r="T10" s="130">
        <f t="shared" si="1"/>
        <v>4.1133777050030265</v>
      </c>
      <c r="U10" s="85">
        <f>Q8+Q9+Q10</f>
        <v>44400837</v>
      </c>
    </row>
    <row r="11" spans="1:21" ht="15" hidden="1" customHeight="1">
      <c r="A11" s="129" t="s">
        <v>6</v>
      </c>
      <c r="C11" s="79"/>
      <c r="F11" s="78">
        <f>Q11/21</f>
        <v>589047.28571428568</v>
      </c>
      <c r="G11" s="90">
        <f t="shared" si="2"/>
        <v>-4.1232453361978005E-2</v>
      </c>
      <c r="H11" s="90"/>
      <c r="I11" s="130">
        <f t="shared" si="0"/>
        <v>4.0619908090920545</v>
      </c>
      <c r="J11" s="130"/>
      <c r="K11" s="78"/>
      <c r="O11" s="89"/>
      <c r="P11" s="129" t="s">
        <v>6</v>
      </c>
      <c r="Q11" s="116">
        <v>12369993</v>
      </c>
      <c r="R11" s="116">
        <v>15951239712</v>
      </c>
      <c r="S11" s="116">
        <v>3045303.05</v>
      </c>
      <c r="T11" s="130">
        <f t="shared" si="1"/>
        <v>4.0619908090920545</v>
      </c>
      <c r="U11" s="85"/>
    </row>
    <row r="12" spans="1:21" ht="15" hidden="1" customHeight="1">
      <c r="A12" s="129" t="s">
        <v>7</v>
      </c>
      <c r="C12" s="79"/>
      <c r="F12" s="78">
        <f>Q12/22</f>
        <v>673834.45454545459</v>
      </c>
      <c r="G12" s="90">
        <f t="shared" si="2"/>
        <v>0.14393949499038095</v>
      </c>
      <c r="H12" s="90"/>
      <c r="I12" s="130">
        <f t="shared" si="0"/>
        <v>4.1306651994502905</v>
      </c>
      <c r="J12" s="130"/>
      <c r="K12" s="78"/>
      <c r="O12" s="89"/>
      <c r="P12" s="129" t="s">
        <v>7</v>
      </c>
      <c r="Q12" s="116">
        <v>14824358</v>
      </c>
      <c r="R12" s="116">
        <v>19283526567</v>
      </c>
      <c r="S12" s="116">
        <v>3588854.89</v>
      </c>
      <c r="T12" s="130">
        <f t="shared" si="1"/>
        <v>4.1306651994502905</v>
      </c>
      <c r="U12" s="85"/>
    </row>
    <row r="13" spans="1:21" ht="15" hidden="1" customHeight="1">
      <c r="A13" s="129" t="s">
        <v>96</v>
      </c>
      <c r="B13" s="131">
        <f>F11+F12+F13</f>
        <v>1796758.4902597403</v>
      </c>
      <c r="C13" s="131">
        <f>AVERAGE(F11:F13)</f>
        <v>598919.49675324676</v>
      </c>
      <c r="D13" s="90">
        <f>C13/C10-1</f>
        <v>-0.15019781506698737</v>
      </c>
      <c r="E13" s="286"/>
      <c r="F13" s="78">
        <f>Q13/20</f>
        <v>533876.75</v>
      </c>
      <c r="G13" s="90">
        <f t="shared" si="2"/>
        <v>-0.20770339599192089</v>
      </c>
      <c r="H13" s="90"/>
      <c r="I13" s="130">
        <f t="shared" si="0"/>
        <v>3.9305994361129546</v>
      </c>
      <c r="J13" s="130"/>
      <c r="K13" s="78">
        <f>R11+R12+R13</f>
        <v>49776422810</v>
      </c>
      <c r="L13" s="87">
        <f>U13/U10-1</f>
        <v>-0.14704567393628187</v>
      </c>
      <c r="N13" s="88">
        <f>AVERAGE(T11:T13)</f>
        <v>4.0410851482184329</v>
      </c>
      <c r="O13" s="89">
        <f>N13/N10-1</f>
        <v>1.3790743229302294E-2</v>
      </c>
      <c r="P13" s="129" t="s">
        <v>96</v>
      </c>
      <c r="Q13" s="116">
        <v>10677535</v>
      </c>
      <c r="R13" s="116">
        <v>14541656531</v>
      </c>
      <c r="S13" s="116">
        <v>2716515.68</v>
      </c>
      <c r="T13" s="130">
        <f t="shared" si="1"/>
        <v>3.9305994361129546</v>
      </c>
      <c r="U13" s="85">
        <f>Q11+Q12+Q13</f>
        <v>37871886</v>
      </c>
    </row>
    <row r="14" spans="1:21" ht="15" hidden="1" customHeight="1">
      <c r="A14" s="129" t="s">
        <v>97</v>
      </c>
      <c r="C14" s="79"/>
      <c r="F14" s="78">
        <f>Q14/20</f>
        <v>399541.95</v>
      </c>
      <c r="G14" s="90">
        <f t="shared" si="2"/>
        <v>-0.25162137141203467</v>
      </c>
      <c r="H14" s="90"/>
      <c r="I14" s="130">
        <f t="shared" si="0"/>
        <v>3.8543082638593655</v>
      </c>
      <c r="J14" s="130"/>
      <c r="O14" s="89"/>
      <c r="P14" s="129" t="s">
        <v>97</v>
      </c>
      <c r="Q14" s="116">
        <v>7990839</v>
      </c>
      <c r="R14" s="116">
        <v>11390622586</v>
      </c>
      <c r="S14" s="116">
        <v>2073222.6</v>
      </c>
      <c r="T14" s="130">
        <f t="shared" si="1"/>
        <v>3.8543082638593655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325594.59090909088</v>
      </c>
      <c r="G15" s="90">
        <f t="shared" si="2"/>
        <v>-0.18508033784915234</v>
      </c>
      <c r="H15" s="90"/>
      <c r="I15" s="130">
        <f t="shared" si="0"/>
        <v>3.6832533004813275</v>
      </c>
      <c r="J15" s="130"/>
      <c r="O15" s="89"/>
      <c r="P15" s="129" t="s">
        <v>98</v>
      </c>
      <c r="Q15" s="116">
        <v>7163081</v>
      </c>
      <c r="R15" s="116">
        <v>9948782938</v>
      </c>
      <c r="S15" s="116">
        <v>1944770.13</v>
      </c>
      <c r="T15" s="130">
        <f t="shared" si="1"/>
        <v>3.6832533004813275</v>
      </c>
      <c r="U15" s="85"/>
    </row>
    <row r="16" spans="1:21" ht="15" hidden="1" customHeight="1">
      <c r="A16" s="129" t="s">
        <v>99</v>
      </c>
      <c r="B16" s="131">
        <f>F14+F15+F16</f>
        <v>1157859.2227272727</v>
      </c>
      <c r="C16" s="131">
        <f>AVERAGE(F14:F16)</f>
        <v>385953.07424242422</v>
      </c>
      <c r="D16" s="90">
        <f>C16/C13-1</f>
        <v>-0.35558438766030709</v>
      </c>
      <c r="E16" s="286"/>
      <c r="F16" s="78">
        <f>Q16/22</f>
        <v>432722.68181818182</v>
      </c>
      <c r="G16" s="90">
        <f t="shared" si="2"/>
        <v>0.32902294417723343</v>
      </c>
      <c r="H16" s="90"/>
      <c r="I16" s="130">
        <f t="shared" si="0"/>
        <v>3.5643459632829533</v>
      </c>
      <c r="J16" s="130"/>
      <c r="K16" s="78">
        <f>R14+R15+R16</f>
        <v>33776622833</v>
      </c>
      <c r="L16" s="87">
        <f>U16/U13-1</f>
        <v>-0.34849246747310125</v>
      </c>
      <c r="N16" s="88">
        <f>AVERAGE(T14:T16)</f>
        <v>3.7006358425412156</v>
      </c>
      <c r="O16" s="89">
        <f>N16/N13-1</f>
        <v>-8.4247001285609913E-2</v>
      </c>
      <c r="P16" s="129" t="s">
        <v>99</v>
      </c>
      <c r="Q16" s="116">
        <v>9519899</v>
      </c>
      <c r="R16" s="116">
        <v>12437217309</v>
      </c>
      <c r="S16" s="116">
        <v>2670868.4</v>
      </c>
      <c r="T16" s="130">
        <f t="shared" si="1"/>
        <v>3.5643459632829533</v>
      </c>
      <c r="U16" s="85">
        <f>Q14+Q15+Q16</f>
        <v>24673819</v>
      </c>
    </row>
    <row r="17" spans="1:21" ht="15" hidden="1" customHeight="1">
      <c r="A17" s="129" t="s">
        <v>100</v>
      </c>
      <c r="C17" s="79"/>
      <c r="F17" s="78">
        <f>Q17/20</f>
        <v>437430.95</v>
      </c>
      <c r="G17" s="90">
        <f t="shared" ref="G17:G22" si="3">F17/F16-1</f>
        <v>1.0880567115260309E-2</v>
      </c>
      <c r="H17" s="90">
        <f t="shared" ref="H17:H22" si="4">F17/F5-1</f>
        <v>-0.54380238007969539</v>
      </c>
      <c r="I17" s="130">
        <f t="shared" si="0"/>
        <v>3.5211054265237878</v>
      </c>
      <c r="J17" s="130">
        <f t="shared" ref="J17:J49" si="5">I17/I5-1</f>
        <v>-0.14838687515899662</v>
      </c>
      <c r="O17" s="89"/>
      <c r="P17" s="129" t="s">
        <v>100</v>
      </c>
      <c r="Q17" s="116">
        <v>8748619</v>
      </c>
      <c r="R17" s="116">
        <v>10977875763</v>
      </c>
      <c r="S17" s="116">
        <v>2484622.85</v>
      </c>
      <c r="T17" s="130">
        <f t="shared" si="1"/>
        <v>3.5211054265237878</v>
      </c>
      <c r="U17" s="78"/>
    </row>
    <row r="18" spans="1:21" hidden="1">
      <c r="A18" s="129" t="s">
        <v>106</v>
      </c>
      <c r="C18" s="79"/>
      <c r="F18" s="78">
        <f>Q18/20</f>
        <v>460485</v>
      </c>
      <c r="G18" s="90">
        <f t="shared" si="3"/>
        <v>5.2703289513464924E-2</v>
      </c>
      <c r="H18" s="90">
        <f t="shared" si="4"/>
        <v>-0.36770908941116609</v>
      </c>
      <c r="I18" s="130">
        <f t="shared" si="0"/>
        <v>3.5192066904063806</v>
      </c>
      <c r="J18" s="130">
        <f t="shared" si="5"/>
        <v>-0.15803714596452489</v>
      </c>
      <c r="O18" s="89"/>
      <c r="P18" s="129" t="s">
        <v>106</v>
      </c>
      <c r="Q18" s="116">
        <v>9209700</v>
      </c>
      <c r="R18" s="116">
        <v>11554926179</v>
      </c>
      <c r="S18" s="116">
        <v>2616981.84</v>
      </c>
      <c r="T18" s="130">
        <f t="shared" ref="T18" si="6">Q18/S18</f>
        <v>3.5192066904063806</v>
      </c>
      <c r="U18" s="78"/>
    </row>
    <row r="19" spans="1:21" hidden="1">
      <c r="A19" s="129" t="s">
        <v>114</v>
      </c>
      <c r="B19" s="131">
        <f>SUM(F17:F19)</f>
        <v>1267872.9954545454</v>
      </c>
      <c r="C19" s="131">
        <f>AVERAGE(F17:F19)</f>
        <v>422624.33181818179</v>
      </c>
      <c r="D19" s="90">
        <f>C19/C16-1</f>
        <v>9.5014808853999932E-2</v>
      </c>
      <c r="E19" s="286">
        <f>C19/C7-1</f>
        <v>-0.45361656516237392</v>
      </c>
      <c r="F19" s="78">
        <f>Q19/22</f>
        <v>369957.04545454547</v>
      </c>
      <c r="G19" s="90">
        <f t="shared" si="3"/>
        <v>-0.19659262417984202</v>
      </c>
      <c r="H19" s="90">
        <f t="shared" si="4"/>
        <v>-0.41586252314393168</v>
      </c>
      <c r="I19" s="130">
        <f t="shared" si="0"/>
        <v>3.517373998782519</v>
      </c>
      <c r="J19" s="130">
        <f t="shared" si="5"/>
        <v>-0.12634621163877258</v>
      </c>
      <c r="K19" s="78">
        <f>R17+R18+R19</f>
        <v>33180176221</v>
      </c>
      <c r="L19" s="87">
        <f>U19/U16-1</f>
        <v>5.7694959989776917E-2</v>
      </c>
      <c r="M19" s="87">
        <f>U19/U7-1</f>
        <v>-0.43536327319743762</v>
      </c>
      <c r="N19" s="88">
        <f>AVERAGE(T17:T19)</f>
        <v>3.5192287052375626</v>
      </c>
      <c r="O19" s="89">
        <f>N19/N16-1</f>
        <v>-4.9020531882186247E-2</v>
      </c>
      <c r="P19" s="129" t="s">
        <v>115</v>
      </c>
      <c r="Q19" s="116">
        <v>8139055</v>
      </c>
      <c r="R19" s="116">
        <v>10647374279</v>
      </c>
      <c r="S19" s="116">
        <v>2313957.7999999998</v>
      </c>
      <c r="T19" s="130">
        <f t="shared" ref="T19" si="7">Q19/S19</f>
        <v>3.517373998782519</v>
      </c>
      <c r="U19" s="85">
        <f>Q17+Q18+Q19</f>
        <v>26097374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332788.84999999998</v>
      </c>
      <c r="G20" s="90">
        <f t="shared" si="3"/>
        <v>-0.10046624577423313</v>
      </c>
      <c r="H20" s="90">
        <f t="shared" si="4"/>
        <v>-0.53418830652700122</v>
      </c>
      <c r="I20" s="130">
        <f t="shared" si="0"/>
        <v>3.3880747856437679</v>
      </c>
      <c r="J20" s="130">
        <f t="shared" si="5"/>
        <v>-0.13398825404248982</v>
      </c>
      <c r="O20" s="89"/>
      <c r="P20" s="129" t="s">
        <v>132</v>
      </c>
      <c r="Q20" s="116">
        <v>6655777</v>
      </c>
      <c r="R20" s="116">
        <v>8709966758</v>
      </c>
      <c r="S20" s="116">
        <v>1964471.69</v>
      </c>
      <c r="T20" s="130">
        <f t="shared" ref="T20" si="8">Q20/S20</f>
        <v>3.3880747856437679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407412.47619047621</v>
      </c>
      <c r="G21" s="90">
        <f t="shared" si="3"/>
        <v>0.22423715875840267</v>
      </c>
      <c r="H21" s="90">
        <f t="shared" si="4"/>
        <v>-0.48134549241055902</v>
      </c>
      <c r="I21" s="130">
        <f t="shared" si="0"/>
        <v>3.5320126265770422</v>
      </c>
      <c r="J21" s="130">
        <f t="shared" si="5"/>
        <v>-0.10188375877537614</v>
      </c>
      <c r="O21" s="89"/>
      <c r="P21" s="129" t="s">
        <v>142</v>
      </c>
      <c r="Q21" s="116">
        <v>8555662</v>
      </c>
      <c r="R21" s="116">
        <v>11397306471</v>
      </c>
      <c r="S21" s="116">
        <v>2422319.2000000002</v>
      </c>
      <c r="T21" s="130">
        <f t="shared" ref="T21" si="9">Q21/S21</f>
        <v>3.5320126265770422</v>
      </c>
      <c r="U21" s="78"/>
    </row>
    <row r="22" spans="1:21" hidden="1">
      <c r="A22" s="129" t="s">
        <v>156</v>
      </c>
      <c r="B22" s="131">
        <f>SUM(F20:F22)</f>
        <v>1116428.088095238</v>
      </c>
      <c r="C22" s="131">
        <f>AVERAGE(F20:F22)</f>
        <v>372142.69603174599</v>
      </c>
      <c r="D22" s="90">
        <f>C22/C19-1</f>
        <v>-0.11944801088299295</v>
      </c>
      <c r="E22" s="286">
        <f>C22/C10-1</f>
        <v>-0.47196964214886306</v>
      </c>
      <c r="F22" s="78">
        <f>Q22/21</f>
        <v>376226.76190476189</v>
      </c>
      <c r="G22" s="90">
        <f t="shared" si="3"/>
        <v>-7.6545800897698024E-2</v>
      </c>
      <c r="H22" s="90">
        <f t="shared" si="4"/>
        <v>-0.38763148861030783</v>
      </c>
      <c r="I22" s="130">
        <f t="shared" si="0"/>
        <v>3.313604997461101</v>
      </c>
      <c r="J22" s="130">
        <f t="shared" si="5"/>
        <v>-0.19443211027501228</v>
      </c>
      <c r="K22" s="78">
        <f>R20+R21+R22</f>
        <v>30362193246</v>
      </c>
      <c r="L22" s="87">
        <f>U22/U19-1</f>
        <v>-0.11438595316141764</v>
      </c>
      <c r="M22" s="87">
        <f>U22/U10-1</f>
        <v>-0.47946474522541094</v>
      </c>
      <c r="N22" s="88">
        <f>AVERAGE(T20:T22)</f>
        <v>3.4112308032273035</v>
      </c>
      <c r="O22" s="89">
        <f>N22/N19-1</f>
        <v>-3.0687946438243463E-2</v>
      </c>
      <c r="P22" s="129" t="s">
        <v>156</v>
      </c>
      <c r="Q22" s="116">
        <v>7900762</v>
      </c>
      <c r="R22" s="116">
        <v>10254920017</v>
      </c>
      <c r="S22" s="116">
        <v>2384340.3199999998</v>
      </c>
      <c r="T22" s="130">
        <f t="shared" ref="T22:T23" si="10">Q22/S22</f>
        <v>3.313604997461101</v>
      </c>
      <c r="U22" s="85">
        <f>Q20+Q21+Q22</f>
        <v>23112201</v>
      </c>
    </row>
    <row r="23" spans="1:21" hidden="1">
      <c r="A23" s="129" t="s">
        <v>189</v>
      </c>
      <c r="B23" s="131"/>
      <c r="C23" s="131"/>
      <c r="F23" s="78">
        <f>Q23/21</f>
        <v>376915.23809523811</v>
      </c>
      <c r="G23" s="90">
        <f t="shared" ref="G23" si="11">F23/F22-1</f>
        <v>1.8299500731702167E-3</v>
      </c>
      <c r="H23" s="90">
        <f t="shared" ref="H23" si="12">F23/F11-1</f>
        <v>-0.36012736628064379</v>
      </c>
      <c r="I23" s="130">
        <f t="shared" si="0"/>
        <v>3.4259979050702496</v>
      </c>
      <c r="J23" s="130">
        <f t="shared" si="5"/>
        <v>-0.15657172404187769</v>
      </c>
      <c r="O23" s="89"/>
      <c r="P23" s="129" t="s">
        <v>189</v>
      </c>
      <c r="Q23" s="116">
        <v>7915220</v>
      </c>
      <c r="R23" s="116">
        <v>10277465533</v>
      </c>
      <c r="S23" s="116">
        <v>2310340</v>
      </c>
      <c r="T23" s="130">
        <f t="shared" si="10"/>
        <v>3.4259979050702496</v>
      </c>
      <c r="U23" s="78"/>
    </row>
    <row r="24" spans="1:21" hidden="1">
      <c r="A24" s="129" t="s">
        <v>205</v>
      </c>
      <c r="B24" s="131"/>
      <c r="C24" s="131"/>
      <c r="F24" s="78">
        <f>Q24/22</f>
        <v>406906.45454545453</v>
      </c>
      <c r="G24" s="90">
        <f t="shared" ref="G24" si="13">F24/F23-1</f>
        <v>7.957018825181672E-2</v>
      </c>
      <c r="H24" s="90">
        <f t="shared" ref="H24" si="14">F24/F12-1</f>
        <v>-0.39613290504722032</v>
      </c>
      <c r="I24" s="130">
        <f t="shared" si="0"/>
        <v>3.3598129619939301</v>
      </c>
      <c r="J24" s="130">
        <f t="shared" si="5"/>
        <v>-0.18661697335309224</v>
      </c>
      <c r="O24" s="89"/>
      <c r="P24" s="129" t="s">
        <v>205</v>
      </c>
      <c r="Q24" s="116">
        <v>8951942</v>
      </c>
      <c r="R24" s="116">
        <v>11698702938</v>
      </c>
      <c r="S24" s="116">
        <v>2664416.77</v>
      </c>
      <c r="T24" s="130">
        <f t="shared" ref="T24" si="15">Q24/S24</f>
        <v>3.3598129619939301</v>
      </c>
      <c r="U24" s="78"/>
    </row>
    <row r="25" spans="1:21" s="79" customFormat="1" ht="13.2" hidden="1">
      <c r="A25" s="129" t="s">
        <v>219</v>
      </c>
      <c r="B25" s="131">
        <f>SUM(F23:F25)</f>
        <v>1241441.4294827981</v>
      </c>
      <c r="C25" s="131">
        <f>AVERAGE(F23:F25)</f>
        <v>413813.80982759938</v>
      </c>
      <c r="D25" s="90">
        <f>C25/C22-1</f>
        <v>0.11197617000199989</v>
      </c>
      <c r="E25" s="286">
        <f>C25/C13-1</f>
        <v>-0.30906605633830353</v>
      </c>
      <c r="F25" s="78">
        <f>Q25/19</f>
        <v>457619.73684210528</v>
      </c>
      <c r="G25" s="90">
        <f t="shared" ref="G25" si="16">F25/F24-1</f>
        <v>0.12463130464052563</v>
      </c>
      <c r="H25" s="90">
        <f t="shared" ref="H25" si="17">F25/F13-1</f>
        <v>-0.14283636280825995</v>
      </c>
      <c r="I25" s="130">
        <f t="shared" si="0"/>
        <v>3.2653054403311672</v>
      </c>
      <c r="J25" s="130">
        <f t="shared" si="5"/>
        <v>-0.16926018705170054</v>
      </c>
      <c r="K25" s="78">
        <f>R23+R24+R25</f>
        <v>33514432564</v>
      </c>
      <c r="L25" s="90">
        <f>U25/U22-1</f>
        <v>0.10599319381135541</v>
      </c>
      <c r="M25" s="90">
        <f>U25/U13-1</f>
        <v>-0.32504187935081974</v>
      </c>
      <c r="N25" s="88">
        <f>AVERAGE(T23:T25)</f>
        <v>3.3503721024651156</v>
      </c>
      <c r="O25" s="91">
        <f>N25/N22-1</f>
        <v>-1.784068691705365E-2</v>
      </c>
      <c r="P25" s="129" t="s">
        <v>219</v>
      </c>
      <c r="Q25" s="116">
        <v>8694775</v>
      </c>
      <c r="R25" s="116">
        <v>11538264093</v>
      </c>
      <c r="S25" s="116">
        <v>2662775.4</v>
      </c>
      <c r="T25" s="130">
        <f t="shared" ref="T25" si="18">Q25/S25</f>
        <v>3.2653054403311672</v>
      </c>
      <c r="U25" s="85">
        <f>Q23+Q24+Q25</f>
        <v>25561937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245828.68421052632</v>
      </c>
      <c r="G26" s="90">
        <f t="shared" ref="G26" si="19">F26/F25-1</f>
        <v>-0.46281013597246623</v>
      </c>
      <c r="H26" s="90">
        <f t="shared" ref="H26" si="20">F26/F14-1</f>
        <v>-0.38472372122495191</v>
      </c>
      <c r="I26" s="130">
        <f t="shared" si="0"/>
        <v>3.3193695681975806</v>
      </c>
      <c r="J26" s="130">
        <f t="shared" si="5"/>
        <v>-0.13878980585900114</v>
      </c>
      <c r="L26" s="90"/>
      <c r="M26" s="90"/>
      <c r="P26" s="129" t="s">
        <v>312</v>
      </c>
      <c r="Q26" s="116">
        <v>4670745</v>
      </c>
      <c r="R26" s="116">
        <v>6297570384</v>
      </c>
      <c r="S26" s="116">
        <v>1407118.1</v>
      </c>
      <c r="T26" s="130">
        <f t="shared" ref="T26" si="21">Q26/S26</f>
        <v>3.3193695681975806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86"/>
      <c r="F27" s="78">
        <f>Q27/22</f>
        <v>232611.95454545456</v>
      </c>
      <c r="G27" s="90">
        <f t="shared" ref="G27" si="22">F27/F26-1</f>
        <v>-5.3763984896705641E-2</v>
      </c>
      <c r="H27" s="90">
        <f t="shared" ref="H27" si="23">F27/F15-1</f>
        <v>-0.28557795172217082</v>
      </c>
      <c r="I27" s="130">
        <f t="shared" si="0"/>
        <v>3.2218263804862497</v>
      </c>
      <c r="J27" s="130">
        <f t="shared" si="5"/>
        <v>-0.12527699898749256</v>
      </c>
      <c r="L27" s="90"/>
      <c r="M27" s="90"/>
      <c r="P27" s="129" t="s">
        <v>389</v>
      </c>
      <c r="Q27" s="116">
        <v>5117463</v>
      </c>
      <c r="R27" s="116">
        <v>6777527792</v>
      </c>
      <c r="S27" s="116">
        <v>1588373.3</v>
      </c>
      <c r="T27" s="130">
        <f t="shared" ref="T27" si="24">Q27/S27</f>
        <v>3.2218263804862497</v>
      </c>
      <c r="U27" s="78"/>
    </row>
    <row r="28" spans="1:21" s="79" customFormat="1" ht="13.2" hidden="1">
      <c r="A28" s="123" t="s">
        <v>413</v>
      </c>
      <c r="B28" s="131">
        <f>SUM(F26:F28)</f>
        <v>881765.9019138756</v>
      </c>
      <c r="C28" s="131">
        <f>AVERAGE(F26:F28)</f>
        <v>293921.9673046252</v>
      </c>
      <c r="D28" s="90">
        <f>C28/C25-1</f>
        <v>-0.28972412151475269</v>
      </c>
      <c r="E28" s="286">
        <f>C28/C16-1</f>
        <v>-0.23845154522591672</v>
      </c>
      <c r="F28" s="78">
        <f>Q28/19</f>
        <v>403325.26315789472</v>
      </c>
      <c r="G28" s="90">
        <f t="shared" ref="G28" si="25">F28/F27-1</f>
        <v>0.7338973998392726</v>
      </c>
      <c r="H28" s="90">
        <f t="shared" ref="H28" si="26">F28/F16-1</f>
        <v>-6.7935931938596816E-2</v>
      </c>
      <c r="I28" s="130">
        <f t="shared" si="0"/>
        <v>3.3125306854689613</v>
      </c>
      <c r="J28" s="130">
        <f t="shared" si="5"/>
        <v>-7.0648382735007176E-2</v>
      </c>
      <c r="K28" s="78">
        <f>R26+R27+R28</f>
        <v>23070264372</v>
      </c>
      <c r="L28" s="90">
        <f>U28/U25-1</f>
        <v>-0.31729007860398062</v>
      </c>
      <c r="M28" s="90">
        <f>U28/U16-1</f>
        <v>-0.29271638087318386</v>
      </c>
      <c r="N28" s="88">
        <f>AVERAGE(T26:T28)</f>
        <v>3.2845755447175975</v>
      </c>
      <c r="O28" s="91">
        <f>N28/N25-1</f>
        <v>-1.9638582144086869E-2</v>
      </c>
      <c r="P28" s="129" t="s">
        <v>413</v>
      </c>
      <c r="Q28" s="116">
        <v>7663180</v>
      </c>
      <c r="R28" s="116">
        <v>9995166196</v>
      </c>
      <c r="S28" s="116">
        <v>2313391.4</v>
      </c>
      <c r="T28" s="130">
        <f t="shared" ref="T28" si="27">Q28/S28</f>
        <v>3.3125306854689613</v>
      </c>
      <c r="U28" s="85">
        <f>Q26+Q27+Q28</f>
        <v>17451388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341242.5</v>
      </c>
      <c r="G29" s="190">
        <f t="shared" ref="G29" si="28">F29/F28-1</f>
        <v>-0.15392728606140005</v>
      </c>
      <c r="H29" s="190">
        <f t="shared" ref="H29" si="29">F29/F17-1</f>
        <v>-0.21989401984473211</v>
      </c>
      <c r="I29" s="130">
        <f t="shared" si="0"/>
        <v>3.0074868538989064</v>
      </c>
      <c r="J29" s="130">
        <f t="shared" si="5"/>
        <v>-0.14586855842369695</v>
      </c>
      <c r="K29" s="136"/>
      <c r="L29" s="190"/>
      <c r="M29" s="190"/>
      <c r="N29" s="191"/>
      <c r="O29" s="192"/>
      <c r="P29" s="129" t="s">
        <v>427</v>
      </c>
      <c r="Q29" s="116">
        <v>7507335</v>
      </c>
      <c r="R29" s="116">
        <v>9891544074</v>
      </c>
      <c r="S29" s="116">
        <v>2496215.4</v>
      </c>
      <c r="T29" s="130">
        <f t="shared" ref="T29" si="30">Q29/S29</f>
        <v>3.0074868538989064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316779.21052631579</v>
      </c>
      <c r="G30" s="190">
        <f t="shared" ref="G30" si="31">F30/F29-1</f>
        <v>-7.1688870740556077E-2</v>
      </c>
      <c r="H30" s="190">
        <f t="shared" ref="H30" si="32">F30/F18-1</f>
        <v>-0.31207485471553731</v>
      </c>
      <c r="I30" s="130">
        <f t="shared" si="0"/>
        <v>3.1127971708261617</v>
      </c>
      <c r="J30" s="130">
        <f t="shared" si="5"/>
        <v>-0.11548327658279389</v>
      </c>
      <c r="K30" s="136"/>
      <c r="L30" s="190"/>
      <c r="M30" s="190"/>
      <c r="N30" s="191"/>
      <c r="O30" s="192"/>
      <c r="P30" s="129" t="s">
        <v>466</v>
      </c>
      <c r="Q30" s="116">
        <v>6018805</v>
      </c>
      <c r="R30" s="116">
        <v>8020017808</v>
      </c>
      <c r="S30" s="116">
        <v>1933568</v>
      </c>
      <c r="T30" s="130">
        <f t="shared" ref="T30" si="33">Q30/S30</f>
        <v>3.1127971708261617</v>
      </c>
      <c r="U30" s="85"/>
    </row>
    <row r="31" spans="1:21" s="79" customFormat="1" ht="13.2" hidden="1">
      <c r="A31" s="129" t="s">
        <v>505</v>
      </c>
      <c r="B31" s="188">
        <f>SUM(F29:F31)</f>
        <v>973342.46052631573</v>
      </c>
      <c r="C31" s="188">
        <f>AVERAGE(F29:F31)</f>
        <v>324447.48684210522</v>
      </c>
      <c r="D31" s="190">
        <f>C31/C28-1</f>
        <v>0.10385586289248971</v>
      </c>
      <c r="E31" s="287">
        <f>C31/C19-1</f>
        <v>-0.23230286943893586</v>
      </c>
      <c r="F31" s="136">
        <f>Q31/20</f>
        <v>315320.75</v>
      </c>
      <c r="G31" s="190">
        <f t="shared" ref="G31" si="34">F31/F30-1</f>
        <v>-4.6040285405491987E-3</v>
      </c>
      <c r="H31" s="190">
        <f t="shared" ref="H31" si="35">F31/F19-1</f>
        <v>-0.14768280838500292</v>
      </c>
      <c r="I31" s="130">
        <f t="shared" si="0"/>
        <v>3.0263373841803896</v>
      </c>
      <c r="J31" s="130">
        <f t="shared" si="5"/>
        <v>-0.13960318543666206</v>
      </c>
      <c r="K31" s="136">
        <f>R29+R30+R31</f>
        <v>26289862262</v>
      </c>
      <c r="L31" s="190">
        <f>U31/U28-1</f>
        <v>0.13644570850181093</v>
      </c>
      <c r="M31" s="190">
        <f>U31/U19-1</f>
        <v>-0.24005553202402663</v>
      </c>
      <c r="N31" s="191">
        <f>AVERAGE(T29:T31)</f>
        <v>3.0488738029684854</v>
      </c>
      <c r="O31" s="192">
        <f>N31/N28-1</f>
        <v>-7.1760182872998124E-2</v>
      </c>
      <c r="P31" s="129" t="s">
        <v>505</v>
      </c>
      <c r="Q31" s="116">
        <v>6306415</v>
      </c>
      <c r="R31" s="116">
        <v>8378300380</v>
      </c>
      <c r="S31" s="116">
        <v>2083844</v>
      </c>
      <c r="T31" s="130">
        <f t="shared" ref="T31" si="36">Q31/S31</f>
        <v>3.0263373841803896</v>
      </c>
      <c r="U31" s="85">
        <f>Q29+Q30+Q31</f>
        <v>19832555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290038.95238095237</v>
      </c>
      <c r="G32" s="190">
        <f t="shared" ref="G32" si="37">F32/F31-1</f>
        <v>-8.0178033380447156E-2</v>
      </c>
      <c r="H32" s="190">
        <f t="shared" ref="H32" si="38">F32/F20-1</f>
        <v>-0.12845952506836578</v>
      </c>
      <c r="I32" s="130">
        <f t="shared" si="0"/>
        <v>3.1381161693085646</v>
      </c>
      <c r="J32" s="130">
        <f t="shared" si="5"/>
        <v>-7.3776003231790677E-2</v>
      </c>
      <c r="K32" s="136"/>
      <c r="L32" s="190"/>
      <c r="M32" s="190"/>
      <c r="N32" s="191"/>
      <c r="O32" s="192"/>
      <c r="P32" s="129" t="s">
        <v>566</v>
      </c>
      <c r="Q32" s="116">
        <v>6090818</v>
      </c>
      <c r="R32" s="116">
        <v>8271677355</v>
      </c>
      <c r="S32" s="116">
        <v>1940915.4</v>
      </c>
      <c r="T32" s="130">
        <f t="shared" ref="T32" si="39">Q32/S32</f>
        <v>3.1381161693085646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87"/>
      <c r="F33" s="136">
        <f>Q33/21</f>
        <v>209893</v>
      </c>
      <c r="G33" s="190">
        <f t="shared" ref="G33" si="40">F33/F32-1</f>
        <v>-0.27632823702826115</v>
      </c>
      <c r="H33" s="190">
        <f t="shared" ref="H33" si="41">F33/F21-1</f>
        <v>-0.48481450061958975</v>
      </c>
      <c r="I33" s="130">
        <f t="shared" si="0"/>
        <v>3.0253098786199351</v>
      </c>
      <c r="J33" s="130">
        <f t="shared" si="5"/>
        <v>-0.14346006131018985</v>
      </c>
      <c r="K33" s="136"/>
      <c r="L33" s="190"/>
      <c r="M33" s="190"/>
      <c r="N33" s="191"/>
      <c r="O33" s="192"/>
      <c r="P33" s="129" t="s">
        <v>615</v>
      </c>
      <c r="Q33" s="116">
        <v>4407753</v>
      </c>
      <c r="R33" s="116">
        <v>6025837073</v>
      </c>
      <c r="S33" s="116">
        <v>1456959.18</v>
      </c>
      <c r="T33" s="130">
        <f t="shared" ref="T33" si="42">Q33/S33</f>
        <v>3.0253098786199351</v>
      </c>
      <c r="U33" s="85"/>
    </row>
    <row r="34" spans="1:21" s="79" customFormat="1" ht="13.2" hidden="1">
      <c r="A34" s="129" t="s">
        <v>652</v>
      </c>
      <c r="B34" s="188">
        <f>SUM(F32:F34)</f>
        <v>892921.05764411029</v>
      </c>
      <c r="C34" s="188">
        <f>AVERAGE(F32:F34)</f>
        <v>297640.35254803678</v>
      </c>
      <c r="D34" s="190">
        <f>C34/C31-1</f>
        <v>-8.2623954202839411E-2</v>
      </c>
      <c r="E34" s="287">
        <f>C34/C22-1</f>
        <v>-0.20019832252022407</v>
      </c>
      <c r="F34" s="136">
        <f>Q34/19</f>
        <v>392989.10526315792</v>
      </c>
      <c r="G34" s="190">
        <f t="shared" ref="G34" si="43">F34/F33-1</f>
        <v>0.87233068879456632</v>
      </c>
      <c r="H34" s="190">
        <f t="shared" ref="H34" si="44">F34/F22-1</f>
        <v>4.4553830443989639E-2</v>
      </c>
      <c r="I34" s="130">
        <f t="shared" si="0"/>
        <v>3.1589280584639998</v>
      </c>
      <c r="J34" s="130">
        <f t="shared" si="5"/>
        <v>-4.6679353488305098E-2</v>
      </c>
      <c r="K34" s="136">
        <f>R32+R33+R34</f>
        <v>24559886645</v>
      </c>
      <c r="L34" s="190">
        <f>U34/U31-1</f>
        <v>-9.4147778740560684E-2</v>
      </c>
      <c r="M34" s="190">
        <f>U34/U22-1</f>
        <v>-0.22268917616284145</v>
      </c>
      <c r="N34" s="191">
        <f>AVERAGE(T32:T34)</f>
        <v>3.1074513687974998</v>
      </c>
      <c r="O34" s="192">
        <f>N34/N31-1</f>
        <v>1.9212853536929364E-2</v>
      </c>
      <c r="P34" s="129" t="s">
        <v>652</v>
      </c>
      <c r="Q34" s="116">
        <v>7466793</v>
      </c>
      <c r="R34" s="116">
        <v>10262372217</v>
      </c>
      <c r="S34" s="116">
        <v>2363711</v>
      </c>
      <c r="T34" s="130">
        <f t="shared" ref="T34" si="45">Q34/S34</f>
        <v>3.1589280584639998</v>
      </c>
      <c r="U34" s="85">
        <f>Q32+Q33+Q34</f>
        <v>17965364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312782.65217391303</v>
      </c>
      <c r="G35" s="190">
        <f t="shared" ref="G35" si="46">F35/F34-1</f>
        <v>-0.2040933247641461</v>
      </c>
      <c r="H35" s="190">
        <f t="shared" ref="H35" si="47">F35/F23-1</f>
        <v>-0.17015121555027235</v>
      </c>
      <c r="I35" s="130">
        <f t="shared" si="0"/>
        <v>3.2320169103557959</v>
      </c>
      <c r="J35" s="130">
        <f t="shared" si="5"/>
        <v>-5.6620289938699275E-2</v>
      </c>
      <c r="K35" s="136"/>
      <c r="L35" s="190"/>
      <c r="M35" s="190"/>
      <c r="N35" s="191"/>
      <c r="O35" s="192"/>
      <c r="P35" s="129" t="s">
        <v>660</v>
      </c>
      <c r="Q35" s="116">
        <v>7194001</v>
      </c>
      <c r="R35" s="116">
        <v>9955542229</v>
      </c>
      <c r="S35" s="116">
        <v>2225855</v>
      </c>
      <c r="T35" s="130">
        <f t="shared" ref="T35" si="48">Q35/S35</f>
        <v>3.2320169103557959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336055.42857142858</v>
      </c>
      <c r="G36" s="190">
        <f t="shared" ref="G36" si="49">F36/F35-1</f>
        <v>7.4405585590390899E-2</v>
      </c>
      <c r="H36" s="190">
        <f t="shared" ref="H36" si="50">F36/F24-1</f>
        <v>-0.17412116515372544</v>
      </c>
      <c r="I36" s="130">
        <f t="shared" si="0"/>
        <v>3.2742260418937157</v>
      </c>
      <c r="J36" s="130">
        <f t="shared" si="5"/>
        <v>-2.547371567059542E-2</v>
      </c>
      <c r="K36" s="136"/>
      <c r="L36" s="190"/>
      <c r="M36" s="190"/>
      <c r="N36" s="191"/>
      <c r="O36" s="192"/>
      <c r="P36" s="129" t="s">
        <v>664</v>
      </c>
      <c r="Q36" s="116">
        <v>7057164</v>
      </c>
      <c r="R36" s="116">
        <v>9646936974</v>
      </c>
      <c r="S36" s="116">
        <v>2155368.6</v>
      </c>
      <c r="T36" s="130">
        <f t="shared" ref="T36" si="51">Q36/S36</f>
        <v>3.2742260418937157</v>
      </c>
      <c r="U36" s="85"/>
    </row>
    <row r="37" spans="1:21" s="79" customFormat="1" ht="13.2" hidden="1">
      <c r="A37" s="129" t="s">
        <v>702</v>
      </c>
      <c r="B37" s="188">
        <f>SUM(F35:F37)</f>
        <v>1008793.525189786</v>
      </c>
      <c r="C37" s="188">
        <f>AVERAGE(F35:F37)</f>
        <v>336264.50839659531</v>
      </c>
      <c r="D37" s="190">
        <f>C37/C34-1</f>
        <v>0.12976787427479231</v>
      </c>
      <c r="E37" s="287">
        <f>C37/C25-1</f>
        <v>-0.18740143414573862</v>
      </c>
      <c r="F37" s="136">
        <f>Q37/18</f>
        <v>359955.44444444444</v>
      </c>
      <c r="G37" s="190">
        <f t="shared" ref="G37" si="52">F37/F36-1</f>
        <v>7.1119267361978933E-2</v>
      </c>
      <c r="H37" s="190">
        <f t="shared" ref="H37" si="53">F37/F25-1</f>
        <v>-0.21341800743038852</v>
      </c>
      <c r="I37" s="130">
        <f t="shared" si="0"/>
        <v>3.2497996661801865</v>
      </c>
      <c r="J37" s="130">
        <f t="shared" si="5"/>
        <v>-4.7486443257228617E-3</v>
      </c>
      <c r="K37" s="136">
        <f>R35+R36+R37</f>
        <v>28251359423</v>
      </c>
      <c r="L37" s="190">
        <f>U37/U34-1</f>
        <v>0.15390720722385587</v>
      </c>
      <c r="M37" s="190">
        <f>U37/U25-1</f>
        <v>-0.18901439276687049</v>
      </c>
      <c r="N37" s="191">
        <f>AVERAGE(T35:T37)</f>
        <v>3.2520142061432327</v>
      </c>
      <c r="O37" s="192">
        <f>N37/N34-1</f>
        <v>4.6521351483506779E-2</v>
      </c>
      <c r="P37" s="129" t="s">
        <v>702</v>
      </c>
      <c r="Q37" s="116">
        <v>6479198</v>
      </c>
      <c r="R37" s="116">
        <v>8648880220</v>
      </c>
      <c r="S37" s="116">
        <v>1993722.28</v>
      </c>
      <c r="T37" s="130">
        <f t="shared" ref="T37" si="54">Q37/S37</f>
        <v>3.2497996661801865</v>
      </c>
      <c r="U37" s="85">
        <f>Q35+Q36+Q37</f>
        <v>20730363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249862.55</v>
      </c>
      <c r="G38" s="190">
        <f t="shared" ref="G38" si="55">F38/F37-1</f>
        <v>-0.30585144951581977</v>
      </c>
      <c r="H38" s="190">
        <f t="shared" ref="H38" si="56">F38/F26-1</f>
        <v>1.6409255910994958E-2</v>
      </c>
      <c r="I38" s="130">
        <f t="shared" si="0"/>
        <v>3.2942141159312639</v>
      </c>
      <c r="J38" s="130">
        <f t="shared" si="5"/>
        <v>-7.578382505921466E-3</v>
      </c>
      <c r="K38" s="136"/>
      <c r="L38" s="190"/>
      <c r="M38" s="190"/>
      <c r="N38" s="191"/>
      <c r="O38" s="192"/>
      <c r="P38" s="129" t="s">
        <v>728</v>
      </c>
      <c r="Q38" s="116">
        <v>4997251</v>
      </c>
      <c r="R38" s="116">
        <v>6705343205</v>
      </c>
      <c r="S38" s="116">
        <v>1516978.2</v>
      </c>
      <c r="T38" s="130">
        <f t="shared" ref="T38" si="57">Q38/S38</f>
        <v>3.2942141159312639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239445.52380952382</v>
      </c>
      <c r="G39" s="190">
        <f t="shared" ref="G39" si="58">F39/F38-1</f>
        <v>-4.1691026488267946E-2</v>
      </c>
      <c r="H39" s="190">
        <f t="shared" ref="H39" si="59">F39/F27-1</f>
        <v>2.9377549736954389E-2</v>
      </c>
      <c r="I39" s="130">
        <f t="shared" si="0"/>
        <v>3.3616926542053949</v>
      </c>
      <c r="J39" s="130">
        <f t="shared" si="5"/>
        <v>4.341210766858139E-2</v>
      </c>
      <c r="K39" s="136"/>
      <c r="L39" s="190"/>
      <c r="M39" s="190"/>
      <c r="N39" s="191"/>
      <c r="O39" s="192"/>
      <c r="P39" s="129" t="s">
        <v>762</v>
      </c>
      <c r="Q39" s="116">
        <v>5028356</v>
      </c>
      <c r="R39" s="116">
        <v>6984778745</v>
      </c>
      <c r="S39" s="116">
        <v>1495781</v>
      </c>
      <c r="T39" s="130">
        <f t="shared" ref="T39" si="60">Q39/S39</f>
        <v>3.3616926542053949</v>
      </c>
      <c r="U39" s="85"/>
    </row>
    <row r="40" spans="1:21" s="79" customFormat="1" ht="13.2" hidden="1">
      <c r="A40" s="129" t="s">
        <v>778</v>
      </c>
      <c r="B40" s="188">
        <f>SUM(F38:F40)</f>
        <v>706819.07380952383</v>
      </c>
      <c r="C40" s="188">
        <f>AVERAGE(F38:F40)</f>
        <v>235606.35793650793</v>
      </c>
      <c r="D40" s="190">
        <f>C40/C37-1</f>
        <v>-0.29934217839418742</v>
      </c>
      <c r="E40" s="287">
        <f>C40/C28-1</f>
        <v>-0.19840507296168874</v>
      </c>
      <c r="F40" s="136">
        <f>Q40/21</f>
        <v>217511</v>
      </c>
      <c r="G40" s="190">
        <f t="shared" ref="G40" si="61">F40/F39-1</f>
        <v>-9.1605486962339167E-2</v>
      </c>
      <c r="H40" s="190">
        <f t="shared" ref="H40" si="62">F40/F28-1</f>
        <v>-0.46070573834883166</v>
      </c>
      <c r="I40" s="130">
        <f t="shared" si="0"/>
        <v>3.1754835066115334</v>
      </c>
      <c r="J40" s="130">
        <f t="shared" si="5"/>
        <v>-4.1372349985650314E-2</v>
      </c>
      <c r="K40" s="136">
        <f>R38+R39+R40</f>
        <v>20169685071</v>
      </c>
      <c r="L40" s="190">
        <f>U40/U37-1</f>
        <v>-0.29604040218687921</v>
      </c>
      <c r="M40" s="190">
        <f>U40/U28-1</f>
        <v>-0.16377207360239765</v>
      </c>
      <c r="N40" s="191">
        <f>AVERAGE(T38:T40)</f>
        <v>3.2771300922493971</v>
      </c>
      <c r="O40" s="192">
        <f>N40/N37-1</f>
        <v>7.7231784715821039E-3</v>
      </c>
      <c r="P40" s="129" t="s">
        <v>778</v>
      </c>
      <c r="Q40" s="116">
        <v>4567731</v>
      </c>
      <c r="R40" s="116">
        <v>6479563121</v>
      </c>
      <c r="S40" s="116">
        <v>1438436.38</v>
      </c>
      <c r="T40" s="130">
        <f t="shared" ref="T40" si="63">Q40/S40</f>
        <v>3.1754835066115334</v>
      </c>
      <c r="U40" s="85">
        <f>Q38+Q39+Q40</f>
        <v>14593338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242464.27777777778</v>
      </c>
      <c r="G41" s="190">
        <f t="shared" ref="G41" si="64">F41/F40-1</f>
        <v>0.11472191189308956</v>
      </c>
      <c r="H41" s="190">
        <f t="shared" ref="H41" si="65">F41/F29-1</f>
        <v>-0.28946635375787666</v>
      </c>
      <c r="I41" s="130">
        <f t="shared" si="0"/>
        <v>3.0108461620715468</v>
      </c>
      <c r="J41" s="130">
        <f t="shared" si="5"/>
        <v>1.1169818309548774E-3</v>
      </c>
      <c r="K41" s="193"/>
      <c r="L41" s="190"/>
      <c r="M41" s="190"/>
      <c r="N41" s="193"/>
      <c r="O41" s="193"/>
      <c r="P41" s="129" t="s">
        <v>793</v>
      </c>
      <c r="Q41" s="116">
        <v>4364357</v>
      </c>
      <c r="R41" s="116">
        <v>6386240559</v>
      </c>
      <c r="S41" s="116">
        <v>1449545</v>
      </c>
      <c r="T41" s="130">
        <f t="shared" ref="T41" si="66">Q41/S41</f>
        <v>3.0108461620715468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238049.3</v>
      </c>
      <c r="G42" s="190">
        <f t="shared" ref="G42" si="67">F42/F41-1</f>
        <v>-1.8208776229808987E-2</v>
      </c>
      <c r="H42" s="190">
        <f t="shared" ref="H42" si="68">F42/F30-1</f>
        <v>-0.24853244124041241</v>
      </c>
      <c r="I42" s="130">
        <f t="shared" si="0"/>
        <v>2.847665308324526</v>
      </c>
      <c r="J42" s="130">
        <f t="shared" si="5"/>
        <v>-8.5174795513986989E-2</v>
      </c>
      <c r="K42" s="193"/>
      <c r="L42" s="190"/>
      <c r="M42" s="190"/>
      <c r="N42" s="193"/>
      <c r="O42" s="193"/>
      <c r="P42" s="129" t="s">
        <v>826</v>
      </c>
      <c r="Q42" s="116">
        <v>4760986</v>
      </c>
      <c r="R42" s="116">
        <v>6878243469</v>
      </c>
      <c r="S42" s="116">
        <v>1671891</v>
      </c>
      <c r="T42" s="130">
        <f t="shared" ref="T42" si="69">Q42/S42</f>
        <v>2.847665308324526</v>
      </c>
      <c r="U42" s="78"/>
    </row>
    <row r="43" spans="1:21" s="79" customFormat="1" ht="13.2">
      <c r="A43" s="129" t="s">
        <v>835</v>
      </c>
      <c r="B43" s="188">
        <f>SUM(F41:F43)</f>
        <v>739296.72777777782</v>
      </c>
      <c r="C43" s="188">
        <f>AVERAGE(F41:F43)</f>
        <v>246432.24259259261</v>
      </c>
      <c r="D43" s="190">
        <f>C43/C40-1</f>
        <v>4.5949034444147108E-2</v>
      </c>
      <c r="E43" s="287">
        <f>C43/C31-1</f>
        <v>-0.24045568979080834</v>
      </c>
      <c r="F43" s="136">
        <f>Q43/20</f>
        <v>258783.15</v>
      </c>
      <c r="G43" s="190">
        <f t="shared" ref="G43" si="70">F43/F42-1</f>
        <v>8.7098974876212543E-2</v>
      </c>
      <c r="H43" s="190">
        <f t="shared" ref="H43" si="71">F43/F31-1</f>
        <v>-0.17930186960420458</v>
      </c>
      <c r="I43" s="130">
        <f t="shared" si="0"/>
        <v>2.8961439830929385</v>
      </c>
      <c r="J43" s="130">
        <f t="shared" si="5"/>
        <v>-4.3020121209225604E-2</v>
      </c>
      <c r="K43" s="136">
        <f>R41+R42+R43</f>
        <v>20764729118</v>
      </c>
      <c r="L43" s="190">
        <f>U43/U40-1</f>
        <v>-2.0031880300449445E-2</v>
      </c>
      <c r="M43" s="190">
        <f>K43/K31-1</f>
        <v>-0.21016211834575338</v>
      </c>
      <c r="N43" s="191">
        <f>AVERAGE(T41:T43)</f>
        <v>2.9182184844963373</v>
      </c>
      <c r="O43" s="192">
        <f>N43/N40-1</f>
        <v>-0.10952009766164206</v>
      </c>
      <c r="P43" s="129" t="s">
        <v>835</v>
      </c>
      <c r="Q43" s="116">
        <v>5175663</v>
      </c>
      <c r="R43" s="116">
        <v>7500245090</v>
      </c>
      <c r="S43" s="116">
        <v>1787087.6</v>
      </c>
      <c r="T43" s="130">
        <f t="shared" ref="T43" si="72">Q43/S43</f>
        <v>2.8961439830929385</v>
      </c>
      <c r="U43" s="85">
        <f>Q41+Q42+Q43</f>
        <v>14301006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195649.86363636365</v>
      </c>
      <c r="G44" s="190">
        <f t="shared" ref="G44" si="73">F44/F43-1</f>
        <v>-0.24396212181371291</v>
      </c>
      <c r="H44" s="190">
        <f t="shared" ref="H44" si="74">F44/F32-1</f>
        <v>-0.32543590428024005</v>
      </c>
      <c r="I44" s="130">
        <f t="shared" si="0"/>
        <v>2.9108912163290812</v>
      </c>
      <c r="J44" s="130">
        <f t="shared" si="5"/>
        <v>-7.2408075647992676E-2</v>
      </c>
      <c r="K44" s="136"/>
      <c r="L44" s="190"/>
      <c r="M44" s="190"/>
      <c r="N44" s="191"/>
      <c r="O44" s="192"/>
      <c r="P44" s="129" t="s">
        <v>841</v>
      </c>
      <c r="Q44" s="116">
        <v>4304297</v>
      </c>
      <c r="R44" s="116">
        <v>6239500049</v>
      </c>
      <c r="S44" s="116">
        <v>1478687</v>
      </c>
      <c r="T44" s="130">
        <f t="shared" ref="T44" si="75">Q44/S44</f>
        <v>2.9108912163290812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191633.9</v>
      </c>
      <c r="G45" s="190">
        <f t="shared" ref="G45" si="76">F45/F44-1</f>
        <v>-2.052627873959445E-2</v>
      </c>
      <c r="H45" s="190">
        <f t="shared" ref="H45" si="77">F45/F33-1</f>
        <v>-8.6992419947306554E-2</v>
      </c>
      <c r="I45" s="130">
        <f t="shared" si="0"/>
        <v>2.7799740910469044</v>
      </c>
      <c r="J45" s="130">
        <f t="shared" si="5"/>
        <v>-8.1094432443709286E-2</v>
      </c>
      <c r="K45" s="136"/>
      <c r="L45" s="190"/>
      <c r="M45" s="190"/>
      <c r="N45" s="191"/>
      <c r="O45" s="192"/>
      <c r="P45" s="129" t="s">
        <v>853</v>
      </c>
      <c r="Q45" s="116">
        <v>3832678</v>
      </c>
      <c r="R45" s="116">
        <v>5385790857</v>
      </c>
      <c r="S45" s="116">
        <v>1378674</v>
      </c>
      <c r="T45" s="130">
        <f t="shared" ref="T45" si="78">Q45/S45</f>
        <v>2.7799740910469044</v>
      </c>
      <c r="U45" s="85"/>
    </row>
    <row r="46" spans="1:21" s="79" customFormat="1" ht="13.2">
      <c r="A46" s="129" t="s">
        <v>888</v>
      </c>
      <c r="B46" s="188">
        <f>SUM(F44:F46)</f>
        <v>563280.60574162682</v>
      </c>
      <c r="C46" s="188">
        <f>AVERAGE(F44:F46)</f>
        <v>187760.20191387561</v>
      </c>
      <c r="D46" s="190">
        <f>C46/C43-1</f>
        <v>-0.23808589355620546</v>
      </c>
      <c r="E46" s="287">
        <f>C46/C34-1</f>
        <v>-0.36917087919531133</v>
      </c>
      <c r="F46" s="136">
        <f>Q46/19</f>
        <v>175996.84210526315</v>
      </c>
      <c r="G46" s="190">
        <f t="shared" ref="G46" si="79">F46/F45-1</f>
        <v>-8.1598599698366803E-2</v>
      </c>
      <c r="H46" s="190">
        <f t="shared" ref="H46" si="80">F46/F34-1</f>
        <v>-0.55215847017588415</v>
      </c>
      <c r="I46" s="130">
        <f t="shared" si="0"/>
        <v>2.9684723318367761</v>
      </c>
      <c r="J46" s="130">
        <f t="shared" si="5"/>
        <v>-6.0291251684861491E-2</v>
      </c>
      <c r="K46" s="136">
        <f>R44+R45+R46</f>
        <v>16207736884</v>
      </c>
      <c r="L46" s="190">
        <f>U46/U43-1</f>
        <v>-0.19719528821958399</v>
      </c>
      <c r="M46" s="190">
        <f>K46/K34-1</f>
        <v>-0.34007281392320121</v>
      </c>
      <c r="N46" s="191">
        <f>AVERAGE(T44:T46)</f>
        <v>2.8864458797375874</v>
      </c>
      <c r="O46" s="192">
        <f>N46/N43-1</f>
        <v>-1.0887671683100009E-2</v>
      </c>
      <c r="P46" s="129" t="s">
        <v>932</v>
      </c>
      <c r="Q46" s="116">
        <v>3343940</v>
      </c>
      <c r="R46" s="116">
        <v>4582445978</v>
      </c>
      <c r="S46" s="116">
        <v>1126485.1499999999</v>
      </c>
      <c r="T46" s="130">
        <f t="shared" ref="T46" si="81">Q46/S46</f>
        <v>2.9684723318367761</v>
      </c>
      <c r="U46" s="85">
        <f t="shared" ref="U46:U51" si="82">Q44+Q45+Q46</f>
        <v>11480915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179666.30434782608</v>
      </c>
      <c r="G47" s="190">
        <f t="shared" ref="G47" si="83">F47/F46-1</f>
        <v>2.0849591382828603E-2</v>
      </c>
      <c r="H47" s="190">
        <f t="shared" ref="H47" si="84">F47/F35-1</f>
        <v>-0.42558737481409858</v>
      </c>
      <c r="I47" s="130">
        <f t="shared" si="0"/>
        <v>2.8335170197530384</v>
      </c>
      <c r="J47" s="130">
        <f t="shared" si="5"/>
        <v>-0.12329758836530613</v>
      </c>
      <c r="K47" s="136"/>
      <c r="L47" s="190"/>
      <c r="M47" s="190"/>
      <c r="N47" s="191"/>
      <c r="O47" s="192"/>
      <c r="P47" s="129" t="s">
        <v>991</v>
      </c>
      <c r="Q47" s="116">
        <v>4132325</v>
      </c>
      <c r="R47" s="116">
        <v>5668911685</v>
      </c>
      <c r="S47" s="116">
        <v>1458373.1</v>
      </c>
      <c r="T47" s="130">
        <f t="shared" ref="T47" si="85">Q47/S47</f>
        <v>2.8335170197530384</v>
      </c>
      <c r="U47" s="85">
        <f t="shared" si="82"/>
        <v>11308943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178411.55</v>
      </c>
      <c r="G48" s="190">
        <f t="shared" ref="G48" si="86">F48/F47-1</f>
        <v>-6.9838045168276741E-3</v>
      </c>
      <c r="H48" s="190">
        <f t="shared" ref="H48" si="87">F48/F36-1</f>
        <v>-0.46910082435380562</v>
      </c>
      <c r="I48" s="130">
        <f t="shared" si="0"/>
        <v>2.8940956654549859</v>
      </c>
      <c r="J48" s="130">
        <f t="shared" si="5"/>
        <v>-0.11609778053651842</v>
      </c>
      <c r="K48" s="136"/>
      <c r="L48" s="190"/>
      <c r="M48" s="190"/>
      <c r="N48" s="191"/>
      <c r="O48" s="192"/>
      <c r="P48" s="129" t="s">
        <v>1120</v>
      </c>
      <c r="Q48" s="116">
        <v>3568231</v>
      </c>
      <c r="R48" s="116">
        <v>4951229638</v>
      </c>
      <c r="S48" s="116">
        <v>1232934.71</v>
      </c>
      <c r="T48" s="130">
        <f t="shared" ref="T48" si="88">Q48/S48</f>
        <v>2.8940956654549859</v>
      </c>
      <c r="U48" s="85">
        <f t="shared" si="82"/>
        <v>11044496</v>
      </c>
    </row>
    <row r="49" spans="1:26" ht="13.2">
      <c r="A49" s="129" t="s">
        <v>1158</v>
      </c>
      <c r="B49" s="188">
        <f>SUM(F47:F49)</f>
        <v>514070.03616600792</v>
      </c>
      <c r="C49" s="188">
        <f>AVERAGE(F47:F49)</f>
        <v>171356.67872200263</v>
      </c>
      <c r="D49" s="190">
        <f>C49/C46-1</f>
        <v>-8.7364217894254192E-2</v>
      </c>
      <c r="E49" s="287">
        <f>C49/C37-1</f>
        <v>-0.49041104712751293</v>
      </c>
      <c r="F49" s="136">
        <f>Q49/22</f>
        <v>155992.18181818182</v>
      </c>
      <c r="G49" s="190">
        <f t="shared" ref="G49" si="89">F49/F48-1</f>
        <v>-0.1256609685965856</v>
      </c>
      <c r="H49" s="190">
        <f t="shared" ref="H49" si="90">F49/F37-1</f>
        <v>-0.56663474820073834</v>
      </c>
      <c r="I49" s="130">
        <f t="shared" si="0"/>
        <v>2.811294390787654</v>
      </c>
      <c r="J49" s="130">
        <f t="shared" si="5"/>
        <v>-0.13493301755057152</v>
      </c>
      <c r="K49" s="136">
        <f>R47+R48+R49</f>
        <v>15391241567</v>
      </c>
      <c r="L49" s="190">
        <f>U49/U46-1</f>
        <v>-3.0357423602561329E-2</v>
      </c>
      <c r="M49" s="190">
        <f>K49/K37-1</f>
        <v>-0.45520350590741199</v>
      </c>
      <c r="N49" s="191">
        <f>AVERAGE(T47:T49)</f>
        <v>2.8463023586652256</v>
      </c>
      <c r="O49" s="192">
        <f>N49/N46-1</f>
        <v>-1.390759527284513E-2</v>
      </c>
      <c r="P49" s="129" t="s">
        <v>1158</v>
      </c>
      <c r="Q49" s="116">
        <v>3431828</v>
      </c>
      <c r="R49" s="116">
        <v>4771100244</v>
      </c>
      <c r="S49" s="116">
        <v>1220728.79</v>
      </c>
      <c r="T49" s="130">
        <f t="shared" ref="T49" si="91">Q49/S49</f>
        <v>2.811294390787654</v>
      </c>
      <c r="U49" s="85">
        <f t="shared" si="82"/>
        <v>11132384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187633.66666666666</v>
      </c>
      <c r="G50" s="190">
        <f t="shared" ref="G50" si="92">F50/F49-1</f>
        <v>0.20284019673091613</v>
      </c>
      <c r="H50" s="190">
        <f t="shared" ref="H50" si="93">F50/F38-1</f>
        <v>-0.24905246237714829</v>
      </c>
      <c r="I50" s="130">
        <f t="shared" ref="I50" si="94">T50</f>
        <v>3.0385062098809303</v>
      </c>
      <c r="J50" s="130">
        <f t="shared" ref="J50" si="95">I50/I38-1</f>
        <v>-7.7623341122149747E-2</v>
      </c>
      <c r="K50" s="136"/>
      <c r="L50" s="190"/>
      <c r="M50" s="190"/>
      <c r="N50" s="191"/>
      <c r="O50" s="192"/>
      <c r="P50" s="129" t="s">
        <v>1291</v>
      </c>
      <c r="Q50" s="116">
        <v>3377406</v>
      </c>
      <c r="R50" s="116">
        <v>4772623842</v>
      </c>
      <c r="S50" s="116">
        <v>1111535</v>
      </c>
      <c r="T50" s="130">
        <f t="shared" ref="T50" si="96">Q50/S50</f>
        <v>3.0385062098809303</v>
      </c>
      <c r="U50" s="85">
        <f t="shared" si="82"/>
        <v>10377465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201769.7</v>
      </c>
      <c r="G51" s="190">
        <f t="shared" ref="G51:G52" si="97">F51/F50-1</f>
        <v>7.5338469819737464E-2</v>
      </c>
      <c r="H51" s="190">
        <f t="shared" ref="H51:H52" si="98">F51/F39-1</f>
        <v>-0.1573461186916757</v>
      </c>
      <c r="I51" s="130">
        <f t="shared" ref="I51:I52" si="99">T51</f>
        <v>2.8441608953105346</v>
      </c>
      <c r="J51" s="130">
        <f t="shared" ref="J51:J52" si="100">I51/I39-1</f>
        <v>-0.15394975452245485</v>
      </c>
      <c r="K51" s="136"/>
      <c r="L51" s="190"/>
      <c r="M51" s="190"/>
      <c r="N51" s="191"/>
      <c r="O51" s="192"/>
      <c r="P51" s="129" t="s">
        <v>1402</v>
      </c>
      <c r="Q51" s="116">
        <v>4035394</v>
      </c>
      <c r="R51" s="116">
        <v>5860370414</v>
      </c>
      <c r="S51" s="116">
        <v>1418834.64</v>
      </c>
      <c r="T51" s="130">
        <f t="shared" ref="T51:T52" si="101">Q51/S51</f>
        <v>2.8441608953105346</v>
      </c>
      <c r="U51" s="85">
        <f t="shared" si="82"/>
        <v>10844628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541099.95757575764</v>
      </c>
      <c r="C52" s="188">
        <f>AVERAGE(F50:F52)</f>
        <v>180366.65252525255</v>
      </c>
      <c r="D52" s="190">
        <f>C52/C49-1</f>
        <v>5.2580231307278513E-2</v>
      </c>
      <c r="E52" s="287">
        <f>C52/C40-1</f>
        <v>-0.23445761776149343</v>
      </c>
      <c r="F52" s="136">
        <f>Q52/22</f>
        <v>151696.59090909091</v>
      </c>
      <c r="G52" s="190">
        <f t="shared" si="97"/>
        <v>-0.24816961660204229</v>
      </c>
      <c r="H52" s="190">
        <f t="shared" si="98"/>
        <v>-0.3025796814455779</v>
      </c>
      <c r="I52" s="130">
        <f t="shared" si="99"/>
        <v>2.668300645103002</v>
      </c>
      <c r="J52" s="130">
        <f t="shared" si="100"/>
        <v>-0.15971831075568443</v>
      </c>
      <c r="K52" s="136">
        <f>R50+R51+R52</f>
        <v>15542040125</v>
      </c>
      <c r="L52" s="190">
        <f>U52/U49-1</f>
        <v>-3.4337568664537632E-2</v>
      </c>
      <c r="M52" s="190">
        <f>K52/K40-1</f>
        <v>-0.22943565701249513</v>
      </c>
      <c r="N52" s="191">
        <f>AVERAGE(T50:T52)</f>
        <v>2.8503225834314887</v>
      </c>
      <c r="O52" s="192">
        <f>N52/N49-1</f>
        <v>1.4124377032622704E-3</v>
      </c>
      <c r="P52" s="129" t="s">
        <v>1403</v>
      </c>
      <c r="Q52" s="116">
        <v>3337325</v>
      </c>
      <c r="R52" s="116">
        <v>4909045869</v>
      </c>
      <c r="S52" s="116">
        <v>1250730.5</v>
      </c>
      <c r="T52" s="130">
        <f t="shared" si="101"/>
        <v>2.668300645103002</v>
      </c>
      <c r="U52" s="85">
        <f t="shared" ref="U52" si="102">Q50+Q51+Q52</f>
        <v>10750125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201625.95238095237</v>
      </c>
      <c r="G53" s="190">
        <f t="shared" ref="G53" si="103">F53/F52-1</f>
        <v>0.32913964099419513</v>
      </c>
      <c r="H53" s="190">
        <f t="shared" ref="H53" si="104">F53/F41-1</f>
        <v>-0.16843027670350008</v>
      </c>
      <c r="I53" s="130">
        <f t="shared" ref="I53" si="105">T53</f>
        <v>2.8018788568230768</v>
      </c>
      <c r="J53" s="130">
        <f t="shared" ref="J53" si="106">I53/I41-1</f>
        <v>-6.9404843024159835E-2</v>
      </c>
      <c r="K53" s="136"/>
      <c r="L53" s="190"/>
      <c r="M53" s="190"/>
      <c r="N53" s="191"/>
      <c r="O53" s="192"/>
      <c r="P53" s="129" t="s">
        <v>1414</v>
      </c>
      <c r="Q53" s="116">
        <v>4234145</v>
      </c>
      <c r="R53" s="116">
        <v>6160041539</v>
      </c>
      <c r="S53" s="116">
        <v>1511180.61</v>
      </c>
      <c r="T53" s="130">
        <f t="shared" ref="T53" si="107">Q53/S53</f>
        <v>2.8018788568230768</v>
      </c>
      <c r="U53" s="85">
        <f t="shared" ref="U53" si="108">Q51+Q52+Q53</f>
        <v>11606864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164954.0588235294</v>
      </c>
      <c r="G54" s="190">
        <f t="shared" ref="G54" si="109">F54/F53-1</f>
        <v>-0.18188082002526662</v>
      </c>
      <c r="H54" s="190">
        <f t="shared" ref="H54" si="110">F54/F42-1</f>
        <v>-0.30705925695421321</v>
      </c>
      <c r="I54" s="130">
        <f t="shared" ref="I54" si="111">T54</f>
        <v>2.8253682943674878</v>
      </c>
      <c r="J54" s="130">
        <f t="shared" ref="J54" si="112">I54/I42-1</f>
        <v>-7.8299278682286699E-3</v>
      </c>
      <c r="K54" s="136"/>
      <c r="L54" s="190"/>
      <c r="M54" s="190"/>
      <c r="N54" s="191"/>
      <c r="O54" s="192"/>
      <c r="P54" s="129" t="s">
        <v>1417</v>
      </c>
      <c r="Q54" s="116">
        <v>2804219</v>
      </c>
      <c r="R54" s="116">
        <v>4061180921</v>
      </c>
      <c r="S54" s="116">
        <v>992514.5</v>
      </c>
      <c r="T54" s="130">
        <f t="shared" ref="T54" si="113">Q54/S54</f>
        <v>2.8253682943674878</v>
      </c>
      <c r="U54" s="85">
        <f t="shared" ref="U54" si="114">Q52+Q53+Q54</f>
        <v>10375689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521353.86834733887</v>
      </c>
      <c r="C55" s="188">
        <f>AVERAGE(F53:F55)</f>
        <v>173784.6227824463</v>
      </c>
      <c r="D55" s="190">
        <f>C55/C52-1</f>
        <v>-3.6492498201044832E-2</v>
      </c>
      <c r="E55" s="287">
        <f>C55/C43-1</f>
        <v>-0.2947975437217808</v>
      </c>
      <c r="F55" s="136">
        <f>Q55/21</f>
        <v>154773.85714285713</v>
      </c>
      <c r="G55" s="190">
        <f t="shared" ref="G55" si="115">F55/F54-1</f>
        <v>-6.1715375500782432E-2</v>
      </c>
      <c r="H55" s="190">
        <f t="shared" ref="H55" si="116">F55/F43-1</f>
        <v>-0.40191678962537891</v>
      </c>
      <c r="I55" s="130">
        <f>T55</f>
        <v>2.7617937969463378</v>
      </c>
      <c r="J55" s="130">
        <f t="shared" ref="J55" si="117">I55/I43-1</f>
        <v>-4.6389332481709511E-2</v>
      </c>
      <c r="K55" s="136">
        <f>R53+R54+R55</f>
        <v>15003950531</v>
      </c>
      <c r="L55" s="190">
        <f>U55/U52-1</f>
        <v>-4.293066359693487E-2</v>
      </c>
      <c r="M55" s="190">
        <f>K55/K43-1</f>
        <v>-0.27743095295215014</v>
      </c>
      <c r="N55" s="191">
        <f>AVERAGE(T53:T55)</f>
        <v>2.7963469827123006</v>
      </c>
      <c r="O55" s="192">
        <f>N55/N52-1</f>
        <v>-1.8936663882516469E-2</v>
      </c>
      <c r="P55" s="129" t="s">
        <v>1418</v>
      </c>
      <c r="Q55" s="116">
        <v>3250251</v>
      </c>
      <c r="R55" s="116">
        <v>4782728071</v>
      </c>
      <c r="S55" s="116">
        <v>1176862.3</v>
      </c>
      <c r="T55" s="130">
        <f t="shared" ref="T55" si="118">Q55/S55</f>
        <v>2.7617937969463378</v>
      </c>
      <c r="U55" s="85">
        <f t="shared" ref="U55" si="119">Q53+Q54+Q55</f>
        <v>10288615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182532.81818181818</v>
      </c>
      <c r="G56" s="190">
        <f t="shared" ref="G56" si="120">F56/F55-1</f>
        <v>0.17935174293252487</v>
      </c>
      <c r="H56" s="190">
        <f t="shared" ref="H56" si="121">F56/F44-1</f>
        <v>-6.7043468422369634E-2</v>
      </c>
      <c r="I56" s="291">
        <f>T56</f>
        <v>2.8123027715145552</v>
      </c>
      <c r="J56" s="130">
        <f t="shared" ref="J56" si="122">I56/I44-1</f>
        <v>-3.3868817996866141E-2</v>
      </c>
      <c r="K56" s="136"/>
      <c r="L56" s="190"/>
      <c r="M56" s="190"/>
      <c r="N56" s="191"/>
      <c r="O56" s="192"/>
      <c r="P56" s="129" t="s">
        <v>1420</v>
      </c>
      <c r="Q56" s="116">
        <v>4015722</v>
      </c>
      <c r="R56" s="116">
        <v>5978117672</v>
      </c>
      <c r="S56" s="116">
        <v>1427912.4</v>
      </c>
      <c r="T56" s="130">
        <f t="shared" ref="T56" si="123">Q56/S56</f>
        <v>2.8123027715145552</v>
      </c>
      <c r="U56" s="85">
        <f t="shared" ref="U56" si="124">Q54+Q55+Q56</f>
        <v>10070192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264911.58333333331</v>
      </c>
      <c r="G57" s="254">
        <f t="shared" ref="G57" si="125">F57/F56-1</f>
        <v>0.45130933698431641</v>
      </c>
      <c r="H57" s="254">
        <f t="shared" ref="H57" si="126">F57/F45-1</f>
        <v>0.38238371881662547</v>
      </c>
      <c r="I57" s="282">
        <f>T57</f>
        <v>2.8769355659047182</v>
      </c>
      <c r="J57" s="277">
        <f t="shared" ref="J57" si="127">I57/I45-1</f>
        <v>3.4878553426121783E-2</v>
      </c>
      <c r="K57" s="204"/>
      <c r="L57" s="254"/>
      <c r="M57" s="254"/>
      <c r="N57" s="257"/>
      <c r="O57" s="258"/>
      <c r="P57" s="129" t="s">
        <v>1436</v>
      </c>
      <c r="Q57" s="116">
        <v>3178939</v>
      </c>
      <c r="R57" s="116">
        <v>4684320823</v>
      </c>
      <c r="S57" s="116">
        <v>1104974</v>
      </c>
      <c r="T57" s="130">
        <f t="shared" ref="T57" si="128">Q57/S57</f>
        <v>2.8769355659047182</v>
      </c>
      <c r="U57" s="85">
        <f t="shared" ref="U57" si="129">Q55+Q56+Q57</f>
        <v>10444912</v>
      </c>
      <c r="V57" s="79"/>
      <c r="W57" s="79"/>
      <c r="X57" s="79"/>
      <c r="Y57" s="79"/>
      <c r="Z57" s="79"/>
    </row>
    <row r="58" spans="1:26">
      <c r="B58" s="196">
        <f>SUM(F56:F58)</f>
        <v>447444.40151515149</v>
      </c>
      <c r="C58" s="196">
        <f>AVERAGE(F56:F58)</f>
        <v>223722.20075757575</v>
      </c>
      <c r="D58" s="197">
        <f>C58/C55-1</f>
        <v>0.28735326046450149</v>
      </c>
      <c r="E58" s="233">
        <f>C58/C46-1</f>
        <v>0.19153153052208394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17483276</v>
      </c>
      <c r="R64" s="212">
        <v>25666389026</v>
      </c>
      <c r="S64" s="213">
        <v>6213443.8099999996</v>
      </c>
      <c r="T64" s="214">
        <v>13</v>
      </c>
      <c r="U64" s="214">
        <v>40</v>
      </c>
    </row>
    <row r="65" spans="16:21" ht="18" thickBot="1">
      <c r="P65" s="180" t="s">
        <v>976</v>
      </c>
      <c r="Q65" s="181">
        <v>4234145</v>
      </c>
      <c r="R65" s="181">
        <v>6160041539</v>
      </c>
      <c r="S65" s="182">
        <v>1511180.61</v>
      </c>
      <c r="T65" s="210">
        <v>7</v>
      </c>
      <c r="U65" s="210">
        <v>23</v>
      </c>
    </row>
    <row r="66" spans="16:21" ht="18" thickBot="1">
      <c r="P66" s="180" t="s">
        <v>977</v>
      </c>
      <c r="Q66" s="181">
        <v>2804219</v>
      </c>
      <c r="R66" s="181">
        <v>4061180921</v>
      </c>
      <c r="S66" s="182">
        <v>992514.5</v>
      </c>
      <c r="T66" s="210">
        <v>7</v>
      </c>
      <c r="U66" s="210">
        <v>20</v>
      </c>
    </row>
    <row r="67" spans="16:21" ht="18" thickBot="1">
      <c r="P67" s="180" t="s">
        <v>978</v>
      </c>
      <c r="Q67" s="181">
        <v>3250251</v>
      </c>
      <c r="R67" s="181">
        <v>4782728071</v>
      </c>
      <c r="S67" s="182">
        <v>1176862.3</v>
      </c>
      <c r="T67" s="210">
        <v>6</v>
      </c>
      <c r="U67" s="210">
        <v>21</v>
      </c>
    </row>
    <row r="68" spans="16:21" ht="18" thickBot="1">
      <c r="P68" s="180" t="s">
        <v>979</v>
      </c>
      <c r="Q68" s="181">
        <v>4015722</v>
      </c>
      <c r="R68" s="181">
        <v>5978117672</v>
      </c>
      <c r="S68" s="182">
        <v>1427912.4</v>
      </c>
      <c r="T68" s="210">
        <v>7</v>
      </c>
      <c r="U68" s="210">
        <v>24</v>
      </c>
    </row>
    <row r="69" spans="16:21" ht="18" thickBot="1">
      <c r="P69" s="180" t="s">
        <v>980</v>
      </c>
      <c r="Q69" s="181">
        <v>3178939</v>
      </c>
      <c r="R69" s="181">
        <v>4684320823</v>
      </c>
      <c r="S69" s="182">
        <v>1104974</v>
      </c>
      <c r="T69" s="210" t="s">
        <v>1421</v>
      </c>
      <c r="U69" s="210">
        <v>12</v>
      </c>
    </row>
    <row r="70" spans="16:21" ht="18" thickBot="1">
      <c r="P70" s="180" t="s">
        <v>975</v>
      </c>
      <c r="Q70" s="181">
        <v>47664430</v>
      </c>
      <c r="R70" s="181">
        <v>67905747694</v>
      </c>
      <c r="S70" s="182">
        <v>16585506.5</v>
      </c>
      <c r="T70" s="210">
        <v>19</v>
      </c>
      <c r="U70" s="210">
        <v>59</v>
      </c>
    </row>
    <row r="71" spans="16:21" ht="18" thickBot="1">
      <c r="P71" s="215" t="s">
        <v>982</v>
      </c>
      <c r="Q71" s="217"/>
      <c r="R71"/>
      <c r="S71"/>
      <c r="T71"/>
      <c r="U71"/>
    </row>
  </sheetData>
  <phoneticPr fontId="1" type="noConversion"/>
  <conditionalFormatting sqref="C29:C30">
    <cfRule type="cellIs" dxfId="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75">
    <tabColor rgb="FFFFFF00"/>
  </sheetPr>
  <dimension ref="A1:Z74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3907309000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5874278.5499999998</v>
      </c>
      <c r="G5" s="90"/>
      <c r="H5" s="90"/>
      <c r="I5" s="130">
        <f t="shared" ref="I5:I49" si="0">T5</f>
        <v>4.6229969886191489</v>
      </c>
      <c r="J5" s="130"/>
      <c r="L5" s="80"/>
      <c r="M5" s="80"/>
      <c r="P5" s="129" t="s">
        <v>0</v>
      </c>
      <c r="Q5" s="116">
        <v>117485571</v>
      </c>
      <c r="R5" s="116">
        <v>138626330536</v>
      </c>
      <c r="S5" s="116">
        <v>25413291.699999999</v>
      </c>
      <c r="T5" s="130">
        <f t="shared" ref="T5:T17" si="1">Q5/S5</f>
        <v>4.6229969886191489</v>
      </c>
      <c r="U5" s="85"/>
    </row>
    <row r="6" spans="1:21" ht="15" hidden="1" customHeight="1">
      <c r="A6" s="129" t="s">
        <v>1</v>
      </c>
      <c r="C6" s="79"/>
      <c r="F6" s="78">
        <f>Q6/18</f>
        <v>14810610.333333334</v>
      </c>
      <c r="G6" s="90">
        <f t="shared" ref="G6:G16" si="2">F6/F5-1</f>
        <v>1.5212645616427798</v>
      </c>
      <c r="H6" s="90"/>
      <c r="I6" s="130">
        <f t="shared" si="0"/>
        <v>9.2093471907692077</v>
      </c>
      <c r="J6" s="130"/>
      <c r="P6" s="129" t="s">
        <v>1</v>
      </c>
      <c r="Q6" s="116">
        <v>266590986</v>
      </c>
      <c r="R6" s="116">
        <v>316531082409</v>
      </c>
      <c r="S6" s="116">
        <v>28947870.079999998</v>
      </c>
      <c r="T6" s="130">
        <f t="shared" si="1"/>
        <v>9.2093471907692077</v>
      </c>
      <c r="U6" s="85"/>
    </row>
    <row r="7" spans="1:21" ht="15" hidden="1" customHeight="1">
      <c r="A7" s="129" t="s">
        <v>2</v>
      </c>
      <c r="B7" s="131">
        <f>F5+F6+F7</f>
        <v>26815995.156060606</v>
      </c>
      <c r="C7" s="131">
        <f>AVERAGE(F5:F7)</f>
        <v>8938665.0520202015</v>
      </c>
      <c r="F7" s="78">
        <f>Q7/22</f>
        <v>6131106.2727272725</v>
      </c>
      <c r="G7" s="90">
        <f t="shared" si="2"/>
        <v>-0.58603284167645908</v>
      </c>
      <c r="H7" s="90"/>
      <c r="I7" s="130">
        <f t="shared" si="0"/>
        <v>4.3801145423126053</v>
      </c>
      <c r="J7" s="130"/>
      <c r="K7" s="79">
        <f>R5+R6+R7</f>
        <v>617834897602</v>
      </c>
      <c r="N7" s="88">
        <f>AVERAGE(T5:T7)</f>
        <v>6.0708195739003203</v>
      </c>
      <c r="P7" s="129" t="s">
        <v>2</v>
      </c>
      <c r="Q7" s="116">
        <v>134884338</v>
      </c>
      <c r="R7" s="116">
        <v>162677484657</v>
      </c>
      <c r="S7" s="116">
        <v>30794705.640000001</v>
      </c>
      <c r="T7" s="130">
        <f t="shared" si="1"/>
        <v>4.3801145423126053</v>
      </c>
      <c r="U7" s="85">
        <f>Q5+Q6+Q7</f>
        <v>518960895</v>
      </c>
    </row>
    <row r="8" spans="1:21" ht="15" hidden="1" customHeight="1">
      <c r="A8" s="129" t="s">
        <v>3</v>
      </c>
      <c r="C8" s="79"/>
      <c r="F8" s="78">
        <f>Q8/21</f>
        <v>6986255.0476190476</v>
      </c>
      <c r="G8" s="90">
        <f t="shared" si="2"/>
        <v>0.13947707589015312</v>
      </c>
      <c r="H8" s="90"/>
      <c r="I8" s="130">
        <f t="shared" si="0"/>
        <v>4.4575858013667435</v>
      </c>
      <c r="J8" s="130"/>
      <c r="K8" s="78"/>
      <c r="P8" s="129" t="s">
        <v>3</v>
      </c>
      <c r="Q8" s="116">
        <v>146711356</v>
      </c>
      <c r="R8" s="116">
        <v>177643415575</v>
      </c>
      <c r="S8" s="116">
        <v>32912738.539999999</v>
      </c>
      <c r="T8" s="130">
        <f t="shared" si="1"/>
        <v>4.4575858013667435</v>
      </c>
      <c r="U8" s="85"/>
    </row>
    <row r="9" spans="1:21" ht="15" hidden="1" customHeight="1">
      <c r="A9" s="129" t="s">
        <v>4</v>
      </c>
      <c r="C9" s="79"/>
      <c r="F9" s="78">
        <f>Q9/21</f>
        <v>6289616.6190476194</v>
      </c>
      <c r="G9" s="90">
        <f t="shared" si="2"/>
        <v>-9.9715573482941466E-2</v>
      </c>
      <c r="H9" s="90"/>
      <c r="I9" s="130">
        <f t="shared" si="0"/>
        <v>4.4707931099054274</v>
      </c>
      <c r="J9" s="130"/>
      <c r="K9" s="78"/>
      <c r="P9" s="129" t="s">
        <v>4</v>
      </c>
      <c r="Q9" s="116">
        <v>132081949</v>
      </c>
      <c r="R9" s="116">
        <v>165975966229</v>
      </c>
      <c r="S9" s="116">
        <v>29543292.600000001</v>
      </c>
      <c r="T9" s="130">
        <f t="shared" si="1"/>
        <v>4.4707931099054274</v>
      </c>
      <c r="U9" s="85"/>
    </row>
    <row r="10" spans="1:21" ht="15" hidden="1" customHeight="1">
      <c r="A10" s="129" t="s">
        <v>5</v>
      </c>
      <c r="B10" s="131">
        <f>F8+F9+F10</f>
        <v>18861241.285714287</v>
      </c>
      <c r="C10" s="131">
        <f>AVERAGE(F8:F10)</f>
        <v>6287080.4285714291</v>
      </c>
      <c r="D10" s="90">
        <f>C10/C7-1</f>
        <v>-0.29664212810496748</v>
      </c>
      <c r="E10" s="286"/>
      <c r="F10" s="78">
        <f>Q10/21</f>
        <v>5585369.6190476194</v>
      </c>
      <c r="G10" s="90">
        <f t="shared" si="2"/>
        <v>-0.11196978172997729</v>
      </c>
      <c r="H10" s="90"/>
      <c r="I10" s="130">
        <f t="shared" si="0"/>
        <v>4.3704878370011579</v>
      </c>
      <c r="J10" s="130"/>
      <c r="K10" s="79">
        <f>R8+R9+R10</f>
        <v>491397855466</v>
      </c>
      <c r="L10" s="87">
        <f>U10/U7-1</f>
        <v>-0.23677088039552574</v>
      </c>
      <c r="N10" s="88">
        <f>AVERAGE(T8:T10)</f>
        <v>4.4329555827577769</v>
      </c>
      <c r="O10" s="89">
        <f>N10/N7-1</f>
        <v>-0.26979289553984631</v>
      </c>
      <c r="P10" s="129" t="s">
        <v>5</v>
      </c>
      <c r="Q10" s="116">
        <v>117292762</v>
      </c>
      <c r="R10" s="116">
        <v>147778473662</v>
      </c>
      <c r="S10" s="116">
        <v>26837453.02</v>
      </c>
      <c r="T10" s="130">
        <f t="shared" si="1"/>
        <v>4.3704878370011579</v>
      </c>
      <c r="U10" s="85">
        <f>Q8+Q9+Q10</f>
        <v>396086067</v>
      </c>
    </row>
    <row r="11" spans="1:21" ht="15" hidden="1" customHeight="1">
      <c r="A11" s="129" t="s">
        <v>6</v>
      </c>
      <c r="C11" s="79"/>
      <c r="F11" s="78">
        <f>Q11/21</f>
        <v>5187097.9047619049</v>
      </c>
      <c r="G11" s="90">
        <f t="shared" si="2"/>
        <v>-7.130624138597752E-2</v>
      </c>
      <c r="H11" s="90"/>
      <c r="I11" s="130">
        <f t="shared" si="0"/>
        <v>4.3027446164772289</v>
      </c>
      <c r="J11" s="130"/>
      <c r="K11" s="78"/>
      <c r="O11" s="89"/>
      <c r="P11" s="129" t="s">
        <v>6</v>
      </c>
      <c r="Q11" s="116">
        <v>108929056</v>
      </c>
      <c r="R11" s="116">
        <v>140540862751</v>
      </c>
      <c r="S11" s="116">
        <v>25316179.719999999</v>
      </c>
      <c r="T11" s="130">
        <f t="shared" si="1"/>
        <v>4.3027446164772289</v>
      </c>
      <c r="U11" s="85"/>
    </row>
    <row r="12" spans="1:21" ht="15" hidden="1" customHeight="1">
      <c r="A12" s="129" t="s">
        <v>7</v>
      </c>
      <c r="C12" s="79"/>
      <c r="F12" s="78">
        <f>Q12/22</f>
        <v>4120580.6818181816</v>
      </c>
      <c r="G12" s="90">
        <f t="shared" si="2"/>
        <v>-0.20560961881298401</v>
      </c>
      <c r="H12" s="90"/>
      <c r="I12" s="130">
        <f t="shared" si="0"/>
        <v>3.8787598652343993</v>
      </c>
      <c r="J12" s="130"/>
      <c r="K12" s="78"/>
      <c r="O12" s="89"/>
      <c r="P12" s="129" t="s">
        <v>7</v>
      </c>
      <c r="Q12" s="116">
        <v>90652775</v>
      </c>
      <c r="R12" s="116">
        <v>117702481423</v>
      </c>
      <c r="S12" s="116">
        <v>23371587.350000001</v>
      </c>
      <c r="T12" s="130">
        <f t="shared" si="1"/>
        <v>3.8787598652343993</v>
      </c>
      <c r="U12" s="85"/>
    </row>
    <row r="13" spans="1:21" ht="15" hidden="1" customHeight="1">
      <c r="A13" s="129" t="s">
        <v>96</v>
      </c>
      <c r="B13" s="131">
        <f>F11+F12+F13</f>
        <v>12969210.186580086</v>
      </c>
      <c r="C13" s="131">
        <f>AVERAGE(F11:F13)</f>
        <v>4323070.062193362</v>
      </c>
      <c r="D13" s="90">
        <f>C13/C10-1</f>
        <v>-0.31238829989396777</v>
      </c>
      <c r="E13" s="286"/>
      <c r="F13" s="78">
        <f>Q13/20</f>
        <v>3661531.6</v>
      </c>
      <c r="G13" s="90">
        <f t="shared" si="2"/>
        <v>-0.11140397853237249</v>
      </c>
      <c r="H13" s="90"/>
      <c r="I13" s="130">
        <f t="shared" si="0"/>
        <v>3.7234536052771499</v>
      </c>
      <c r="J13" s="130"/>
      <c r="K13" s="78">
        <f>R11+R12+R13</f>
        <v>358018373773</v>
      </c>
      <c r="L13" s="87">
        <f>U13/U10-1</f>
        <v>-0.31122933693095545</v>
      </c>
      <c r="N13" s="88">
        <f>AVERAGE(T11:T13)</f>
        <v>3.9683193623295927</v>
      </c>
      <c r="O13" s="89">
        <f>N13/N10-1</f>
        <v>-0.10481409338623027</v>
      </c>
      <c r="P13" s="129" t="s">
        <v>96</v>
      </c>
      <c r="Q13" s="116">
        <v>73230632</v>
      </c>
      <c r="R13" s="116">
        <v>99775029599</v>
      </c>
      <c r="S13" s="116">
        <v>19667394.780000001</v>
      </c>
      <c r="T13" s="130">
        <f t="shared" si="1"/>
        <v>3.7234536052771499</v>
      </c>
      <c r="U13" s="85">
        <f>Q11+Q12+Q13</f>
        <v>272812463</v>
      </c>
    </row>
    <row r="14" spans="1:21" ht="15" hidden="1" customHeight="1">
      <c r="A14" s="129" t="s">
        <v>97</v>
      </c>
      <c r="C14" s="79"/>
      <c r="F14" s="78">
        <f>Q14/20</f>
        <v>3195322.5</v>
      </c>
      <c r="G14" s="90">
        <f t="shared" si="2"/>
        <v>-0.12732625330886127</v>
      </c>
      <c r="H14" s="90"/>
      <c r="I14" s="130">
        <f t="shared" si="0"/>
        <v>3.5056060354479341</v>
      </c>
      <c r="J14" s="130"/>
      <c r="O14" s="89"/>
      <c r="P14" s="129" t="s">
        <v>97</v>
      </c>
      <c r="Q14" s="116">
        <v>63906450</v>
      </c>
      <c r="R14" s="116">
        <v>91115554301</v>
      </c>
      <c r="S14" s="116">
        <v>18229786.620000001</v>
      </c>
      <c r="T14" s="130">
        <f t="shared" si="1"/>
        <v>3.5056060354479341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3616906.8636363638</v>
      </c>
      <c r="G15" s="90">
        <f t="shared" si="2"/>
        <v>0.13193796984071682</v>
      </c>
      <c r="H15" s="90"/>
      <c r="I15" s="130">
        <f t="shared" si="0"/>
        <v>3.6575048785124666</v>
      </c>
      <c r="J15" s="130"/>
      <c r="O15" s="89"/>
      <c r="P15" s="129" t="s">
        <v>98</v>
      </c>
      <c r="Q15" s="116">
        <v>79571951</v>
      </c>
      <c r="R15" s="116">
        <v>109565505386</v>
      </c>
      <c r="S15" s="116">
        <v>21755801.739999998</v>
      </c>
      <c r="T15" s="130">
        <f t="shared" si="1"/>
        <v>3.6575048785124666</v>
      </c>
      <c r="U15" s="78"/>
    </row>
    <row r="16" spans="1:21" ht="15" hidden="1" customHeight="1">
      <c r="A16" s="129" t="s">
        <v>99</v>
      </c>
      <c r="B16" s="131">
        <f>F14+F15+F16</f>
        <v>10391667.59090909</v>
      </c>
      <c r="C16" s="131">
        <f>AVERAGE(F14:F16)</f>
        <v>3463889.1969696968</v>
      </c>
      <c r="D16" s="90">
        <f>C16/C13-1</f>
        <v>-0.19874322017990831</v>
      </c>
      <c r="E16" s="286"/>
      <c r="F16" s="78">
        <f>Q16/22</f>
        <v>3579438.2272727271</v>
      </c>
      <c r="G16" s="90">
        <f t="shared" si="2"/>
        <v>-1.0359303619437599E-2</v>
      </c>
      <c r="H16" s="90"/>
      <c r="I16" s="130">
        <f t="shared" si="0"/>
        <v>3.3633013557404516</v>
      </c>
      <c r="J16" s="130"/>
      <c r="K16" s="78">
        <f>R14+R15+R16</f>
        <v>303911536309</v>
      </c>
      <c r="L16" s="87">
        <f>U16/U13-1</f>
        <v>-0.18542562331545687</v>
      </c>
      <c r="N16" s="88">
        <f>AVERAGE(T14:T16)</f>
        <v>3.5088040899002841</v>
      </c>
      <c r="O16" s="89">
        <f>N16/N13-1</f>
        <v>-0.1157959404153277</v>
      </c>
      <c r="P16" s="129" t="s">
        <v>99</v>
      </c>
      <c r="Q16" s="116">
        <v>78747641</v>
      </c>
      <c r="R16" s="116">
        <v>103230476622</v>
      </c>
      <c r="S16" s="116">
        <v>23413792.780000001</v>
      </c>
      <c r="T16" s="130">
        <f t="shared" si="1"/>
        <v>3.3633013557404516</v>
      </c>
      <c r="U16" s="85">
        <f>Q14+Q15+Q16</f>
        <v>222226042</v>
      </c>
    </row>
    <row r="17" spans="1:21" ht="15" hidden="1" customHeight="1">
      <c r="A17" s="129" t="s">
        <v>100</v>
      </c>
      <c r="C17" s="79"/>
      <c r="F17" s="78">
        <f>Q17/20</f>
        <v>3584123.7</v>
      </c>
      <c r="G17" s="90">
        <f t="shared" ref="G17:G22" si="3">F17/F16-1</f>
        <v>1.308996672040097E-3</v>
      </c>
      <c r="H17" s="90">
        <f t="shared" ref="H17:H22" si="4">F17/F5-1</f>
        <v>-0.38986146647744513</v>
      </c>
      <c r="I17" s="130">
        <f t="shared" si="0"/>
        <v>3.0408092289423529</v>
      </c>
      <c r="J17" s="130">
        <f t="shared" ref="J17:J49" si="5">I17/I5-1</f>
        <v>-0.34224287049544078</v>
      </c>
      <c r="O17" s="89"/>
      <c r="P17" s="129" t="s">
        <v>100</v>
      </c>
      <c r="Q17" s="116">
        <v>71682474</v>
      </c>
      <c r="R17" s="116">
        <v>90063193885</v>
      </c>
      <c r="S17" s="116">
        <v>23573486.07</v>
      </c>
      <c r="T17" s="130">
        <f t="shared" si="1"/>
        <v>3.0408092289423529</v>
      </c>
      <c r="U17" s="78"/>
    </row>
    <row r="18" spans="1:21" ht="15" hidden="1" customHeight="1">
      <c r="A18" s="129" t="s">
        <v>106</v>
      </c>
      <c r="C18" s="79"/>
      <c r="F18" s="78">
        <f>Q18/20</f>
        <v>4509035.3</v>
      </c>
      <c r="G18" s="90">
        <f t="shared" si="3"/>
        <v>0.2580579459352923</v>
      </c>
      <c r="H18" s="90">
        <f t="shared" si="4"/>
        <v>-0.69555371463309723</v>
      </c>
      <c r="I18" s="130">
        <f t="shared" si="0"/>
        <v>2.9267595967962805</v>
      </c>
      <c r="J18" s="130">
        <f t="shared" si="5"/>
        <v>-0.68219684455703278</v>
      </c>
      <c r="O18" s="89"/>
      <c r="P18" s="129" t="s">
        <v>106</v>
      </c>
      <c r="Q18" s="116">
        <v>90180706</v>
      </c>
      <c r="R18" s="116">
        <v>113075107223</v>
      </c>
      <c r="S18" s="116">
        <v>30812474.690000001</v>
      </c>
      <c r="T18" s="130">
        <f t="shared" ref="T18" si="6">Q18/S18</f>
        <v>2.9267595967962805</v>
      </c>
      <c r="U18" s="78"/>
    </row>
    <row r="19" spans="1:21" hidden="1">
      <c r="A19" s="129" t="s">
        <v>114</v>
      </c>
      <c r="B19" s="131">
        <f>SUM(F17:F19)</f>
        <v>12068728.954545455</v>
      </c>
      <c r="C19" s="131">
        <f>AVERAGE(F17:F19)</f>
        <v>4022909.6515151518</v>
      </c>
      <c r="D19" s="90">
        <f>C19/C16-1</f>
        <v>0.16138520107239596</v>
      </c>
      <c r="E19" s="286">
        <f>C19/C7-1</f>
        <v>-0.54994290220037434</v>
      </c>
      <c r="F19" s="78">
        <f>Q19/22</f>
        <v>3975569.9545454546</v>
      </c>
      <c r="G19" s="90">
        <f t="shared" si="3"/>
        <v>-0.11831030585512281</v>
      </c>
      <c r="H19" s="90">
        <f t="shared" si="4"/>
        <v>-0.35157379798980071</v>
      </c>
      <c r="I19" s="130">
        <f t="shared" si="0"/>
        <v>2.8340817513570848</v>
      </c>
      <c r="J19" s="130">
        <f t="shared" si="5"/>
        <v>-0.3529662925525342</v>
      </c>
      <c r="K19" s="78">
        <f>R17+R18+R19</f>
        <v>317513625153</v>
      </c>
      <c r="L19" s="87">
        <f>U19/U16-1</f>
        <v>0.12194645036246476</v>
      </c>
      <c r="M19" s="87">
        <f>U19/U7-1</f>
        <v>-0.51956742521033306</v>
      </c>
      <c r="N19" s="88">
        <f>AVERAGE(T17:T19)</f>
        <v>2.9338835256985725</v>
      </c>
      <c r="O19" s="89">
        <f>N19/N16-1</f>
        <v>-0.1638508590025185</v>
      </c>
      <c r="P19" s="129" t="s">
        <v>115</v>
      </c>
      <c r="Q19" s="116">
        <v>87462539</v>
      </c>
      <c r="R19" s="116">
        <v>114375324045</v>
      </c>
      <c r="S19" s="116">
        <v>30860979.559999999</v>
      </c>
      <c r="T19" s="130">
        <f t="shared" ref="T19" si="7">Q19/S19</f>
        <v>2.8340817513570848</v>
      </c>
      <c r="U19" s="85">
        <f>Q17+Q18+Q19</f>
        <v>249325719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3854453.6</v>
      </c>
      <c r="G20" s="90">
        <f t="shared" si="3"/>
        <v>-3.0465154916209269E-2</v>
      </c>
      <c r="H20" s="90">
        <f t="shared" si="4"/>
        <v>-0.44828043440618193</v>
      </c>
      <c r="I20" s="130">
        <f t="shared" si="0"/>
        <v>2.7968498874293912</v>
      </c>
      <c r="J20" s="130">
        <f t="shared" si="5"/>
        <v>-0.37256398147808012</v>
      </c>
      <c r="O20" s="89"/>
      <c r="P20" s="129" t="s">
        <v>132</v>
      </c>
      <c r="Q20" s="116">
        <v>77089072</v>
      </c>
      <c r="R20" s="116">
        <v>101142690982</v>
      </c>
      <c r="S20" s="116">
        <v>27562820.710000001</v>
      </c>
      <c r="T20" s="130">
        <f t="shared" ref="T20" si="8">Q20/S20</f>
        <v>2.7968498874293912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2999837.0952380951</v>
      </c>
      <c r="G21" s="90">
        <f t="shared" si="3"/>
        <v>-0.22172182971975718</v>
      </c>
      <c r="H21" s="90">
        <f t="shared" si="4"/>
        <v>-0.52304929267813882</v>
      </c>
      <c r="I21" s="130">
        <f t="shared" si="0"/>
        <v>2.665510869419172</v>
      </c>
      <c r="J21" s="130">
        <f t="shared" si="5"/>
        <v>-0.40379462795683774</v>
      </c>
      <c r="O21" s="89"/>
      <c r="P21" s="129" t="s">
        <v>142</v>
      </c>
      <c r="Q21" s="116">
        <v>62996579</v>
      </c>
      <c r="R21" s="116">
        <v>83903431195</v>
      </c>
      <c r="S21" s="116">
        <v>23633960.649999999</v>
      </c>
      <c r="T21" s="130">
        <f t="shared" ref="T21" si="9">Q21/S21</f>
        <v>2.665510869419172</v>
      </c>
      <c r="U21" s="78"/>
    </row>
    <row r="22" spans="1:21" hidden="1">
      <c r="A22" s="129" t="s">
        <v>156</v>
      </c>
      <c r="B22" s="131">
        <f>SUM(F20:F22)</f>
        <v>9982052.219047619</v>
      </c>
      <c r="C22" s="131">
        <f>AVERAGE(F20:F22)</f>
        <v>3327350.7396825398</v>
      </c>
      <c r="D22" s="90">
        <f>C22/C19-1</f>
        <v>-0.17289946135644463</v>
      </c>
      <c r="E22" s="286">
        <f>C22/C10-1</f>
        <v>-0.47076377064280828</v>
      </c>
      <c r="F22" s="78">
        <f>Q22/21</f>
        <v>3127761.5238095238</v>
      </c>
      <c r="G22" s="90">
        <f t="shared" si="3"/>
        <v>4.2643791816060483E-2</v>
      </c>
      <c r="H22" s="90">
        <f t="shared" si="4"/>
        <v>-0.44000813963269114</v>
      </c>
      <c r="I22" s="130">
        <f t="shared" si="0"/>
        <v>2.5393825249334778</v>
      </c>
      <c r="J22" s="130">
        <f t="shared" si="5"/>
        <v>-0.41897046287723028</v>
      </c>
      <c r="K22" s="78">
        <f>R20+R21+R22</f>
        <v>270571672371</v>
      </c>
      <c r="L22" s="87">
        <f>U22/U19-1</f>
        <v>-0.1746994901877732</v>
      </c>
      <c r="M22" s="87">
        <f>U22/U10-1</f>
        <v>-0.48049512430842456</v>
      </c>
      <c r="N22" s="88">
        <f>AVERAGE(T20:T22)</f>
        <v>2.6672477605940137</v>
      </c>
      <c r="O22" s="89">
        <f>N22/N19-1</f>
        <v>-9.0881510042588154E-2</v>
      </c>
      <c r="P22" s="129" t="s">
        <v>156</v>
      </c>
      <c r="Q22" s="116">
        <v>65682992</v>
      </c>
      <c r="R22" s="116">
        <v>85525550194</v>
      </c>
      <c r="S22" s="116">
        <v>25865733.640000001</v>
      </c>
      <c r="T22" s="130">
        <f t="shared" ref="T22:T23" si="10">Q22/S22</f>
        <v>2.5393825249334778</v>
      </c>
      <c r="U22" s="85">
        <f>Q20+Q21+Q22</f>
        <v>205768643</v>
      </c>
    </row>
    <row r="23" spans="1:21" hidden="1">
      <c r="A23" s="129" t="s">
        <v>189</v>
      </c>
      <c r="B23" s="131"/>
      <c r="C23" s="131"/>
      <c r="F23" s="78">
        <f>Q23/21</f>
        <v>2571625.9047619049</v>
      </c>
      <c r="G23" s="90">
        <f t="shared" ref="G23" si="11">F23/F22-1</f>
        <v>-0.1778062728932932</v>
      </c>
      <c r="H23" s="90">
        <f t="shared" ref="H23" si="12">F23/F11-1</f>
        <v>-0.50422645726407467</v>
      </c>
      <c r="I23" s="130">
        <f t="shared" si="0"/>
        <v>2.5076416418733647</v>
      </c>
      <c r="J23" s="130">
        <f t="shared" si="5"/>
        <v>-0.41719951672929234</v>
      </c>
      <c r="O23" s="89"/>
      <c r="P23" s="129" t="s">
        <v>189</v>
      </c>
      <c r="Q23" s="116">
        <v>54004144</v>
      </c>
      <c r="R23" s="116">
        <v>69847569997</v>
      </c>
      <c r="S23" s="116">
        <v>21535829.960000001</v>
      </c>
      <c r="T23" s="130">
        <f t="shared" si="10"/>
        <v>2.5076416418733647</v>
      </c>
      <c r="U23" s="78"/>
    </row>
    <row r="24" spans="1:21" hidden="1">
      <c r="A24" s="129" t="s">
        <v>204</v>
      </c>
      <c r="B24" s="131"/>
      <c r="C24" s="131"/>
      <c r="F24" s="78">
        <f>Q24/22</f>
        <v>3137137.2272727271</v>
      </c>
      <c r="G24" s="90">
        <f t="shared" ref="G24" si="13">F24/F23-1</f>
        <v>0.21990419425456076</v>
      </c>
      <c r="H24" s="90">
        <f t="shared" ref="H24" si="14">F24/F12-1</f>
        <v>-0.23866622946732741</v>
      </c>
      <c r="I24" s="130">
        <f t="shared" si="0"/>
        <v>2.3905163893007959</v>
      </c>
      <c r="J24" s="130">
        <f t="shared" si="5"/>
        <v>-0.38369054224594712</v>
      </c>
      <c r="O24" s="89"/>
      <c r="P24" s="129" t="s">
        <v>204</v>
      </c>
      <c r="Q24" s="116">
        <v>69017019</v>
      </c>
      <c r="R24" s="116">
        <v>90234839924</v>
      </c>
      <c r="S24" s="116">
        <v>28871175.829999998</v>
      </c>
      <c r="T24" s="130">
        <f t="shared" ref="T24" si="15">Q24/S24</f>
        <v>2.3905163893007959</v>
      </c>
      <c r="U24" s="78"/>
    </row>
    <row r="25" spans="1:21" s="79" customFormat="1" ht="13.2" hidden="1">
      <c r="A25" s="129" t="s">
        <v>218</v>
      </c>
      <c r="B25" s="131">
        <f>SUM(F23:F25)</f>
        <v>8727904.500455685</v>
      </c>
      <c r="C25" s="131">
        <f>AVERAGE(F23:F25)</f>
        <v>2909301.500151895</v>
      </c>
      <c r="D25" s="90">
        <f>C25/C22-1</f>
        <v>-0.12564026826054731</v>
      </c>
      <c r="E25" s="286">
        <f>C25/C13-1</f>
        <v>-0.32702883406987271</v>
      </c>
      <c r="F25" s="78">
        <f>Q25/19</f>
        <v>3019141.3684210526</v>
      </c>
      <c r="G25" s="90">
        <f t="shared" ref="G25" si="16">F25/F24-1</f>
        <v>-3.7612590812374003E-2</v>
      </c>
      <c r="H25" s="90">
        <f t="shared" ref="H25" si="17">F25/F13-1</f>
        <v>-0.1754430390765841</v>
      </c>
      <c r="I25" s="130">
        <f t="shared" si="0"/>
        <v>2.3398692577394207</v>
      </c>
      <c r="J25" s="130">
        <f t="shared" si="5"/>
        <v>-0.37158629976665014</v>
      </c>
      <c r="K25" s="78">
        <f>R23+R24+R25</f>
        <v>236196365360</v>
      </c>
      <c r="L25" s="90">
        <f>U25/U22-1</f>
        <v>-0.12336084657952473</v>
      </c>
      <c r="M25" s="90">
        <f>U25/U13-1</f>
        <v>-0.3387954237266646</v>
      </c>
      <c r="N25" s="88">
        <f>AVERAGE(T23:T25)</f>
        <v>2.4126757629711939</v>
      </c>
      <c r="O25" s="91">
        <f>N25/N22-1</f>
        <v>-9.5443700950422761E-2</v>
      </c>
      <c r="P25" s="129" t="s">
        <v>220</v>
      </c>
      <c r="Q25" s="116">
        <v>57363686</v>
      </c>
      <c r="R25" s="116">
        <v>76113955439</v>
      </c>
      <c r="S25" s="116">
        <v>24515765.489999998</v>
      </c>
      <c r="T25" s="130">
        <f t="shared" ref="T25" si="18">Q25/S25</f>
        <v>2.3398692577394207</v>
      </c>
      <c r="U25" s="85">
        <f>Q23+Q24+Q25</f>
        <v>180384849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2856307.3684210526</v>
      </c>
      <c r="G26" s="90">
        <f t="shared" ref="G26" si="19">F26/F25-1</f>
        <v>-5.3933877261652996E-2</v>
      </c>
      <c r="H26" s="90">
        <f t="shared" ref="H26" si="20">F26/F14-1</f>
        <v>-0.10609731305023118</v>
      </c>
      <c r="I26" s="130">
        <f t="shared" si="0"/>
        <v>2.4032942422843564</v>
      </c>
      <c r="J26" s="130">
        <f t="shared" si="5"/>
        <v>-0.31444257626705285</v>
      </c>
      <c r="L26" s="90"/>
      <c r="M26" s="90"/>
      <c r="P26" s="129" t="s">
        <v>312</v>
      </c>
      <c r="Q26" s="116">
        <v>54269840</v>
      </c>
      <c r="R26" s="116">
        <v>73157572005</v>
      </c>
      <c r="S26" s="116">
        <v>22581438.030000001</v>
      </c>
      <c r="T26" s="130">
        <f t="shared" ref="T26" si="21">Q26/S26</f>
        <v>2.4032942422843564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2509169.3181818184</v>
      </c>
      <c r="G27" s="90">
        <f t="shared" ref="G27" si="22">F27/F26-1</f>
        <v>-0.12153385664202165</v>
      </c>
      <c r="H27" s="90">
        <f t="shared" ref="H27" si="23">F27/F15-1</f>
        <v>-0.30626653856960218</v>
      </c>
      <c r="I27" s="130">
        <f t="shared" si="0"/>
        <v>2.3677715392164349</v>
      </c>
      <c r="J27" s="130">
        <f t="shared" si="5"/>
        <v>-0.35262655338427751</v>
      </c>
      <c r="L27" s="90"/>
      <c r="M27" s="90"/>
      <c r="P27" s="129" t="s">
        <v>388</v>
      </c>
      <c r="Q27" s="116">
        <v>55201725</v>
      </c>
      <c r="R27" s="116">
        <v>73015179166</v>
      </c>
      <c r="S27" s="116">
        <v>23313788.550000001</v>
      </c>
      <c r="T27" s="130">
        <f t="shared" ref="T27" si="24">Q27/S27</f>
        <v>2.3677715392164349</v>
      </c>
      <c r="U27" s="78"/>
    </row>
    <row r="28" spans="1:21" s="79" customFormat="1" ht="13.2" hidden="1">
      <c r="A28" s="123" t="s">
        <v>413</v>
      </c>
      <c r="B28" s="131">
        <f>SUM(F26:F28)</f>
        <v>8313043.7918660287</v>
      </c>
      <c r="C28" s="131">
        <f>AVERAGE(F26:F28)</f>
        <v>2771014.5972886761</v>
      </c>
      <c r="D28" s="90">
        <f>C28/C25-1</f>
        <v>-4.7532681936196308E-2</v>
      </c>
      <c r="E28" s="286">
        <f>C28/C16-1</f>
        <v>-0.2000279340018053</v>
      </c>
      <c r="F28" s="78">
        <f>Q28/19</f>
        <v>2947567.1052631577</v>
      </c>
      <c r="G28" s="90">
        <f t="shared" ref="G28" si="25">F28/F27-1</f>
        <v>0.17471829577408071</v>
      </c>
      <c r="H28" s="90">
        <f t="shared" ref="H28" si="26">F28/F16-1</f>
        <v>-0.17652801414343988</v>
      </c>
      <c r="I28" s="130">
        <f t="shared" si="0"/>
        <v>2.365867684950393</v>
      </c>
      <c r="J28" s="130">
        <f t="shared" si="5"/>
        <v>-0.29656387141391538</v>
      </c>
      <c r="K28" s="78">
        <f>R26+R27+R28</f>
        <v>219171282769</v>
      </c>
      <c r="L28" s="90">
        <f>U28/U25-1</f>
        <v>-8.26538874115752E-2</v>
      </c>
      <c r="M28" s="90">
        <f>U28/U16-1</f>
        <v>-0.25537376938027812</v>
      </c>
      <c r="N28" s="88">
        <f>AVERAGE(T26:T28)</f>
        <v>2.3789778221503948</v>
      </c>
      <c r="O28" s="91">
        <f>N28/N25-1</f>
        <v>-1.3967040800915709E-2</v>
      </c>
      <c r="P28" s="129" t="s">
        <v>413</v>
      </c>
      <c r="Q28" s="116">
        <v>56003775</v>
      </c>
      <c r="R28" s="116">
        <v>72998531598</v>
      </c>
      <c r="S28" s="116">
        <v>23671558.370000001</v>
      </c>
      <c r="T28" s="130">
        <f t="shared" ref="T28" si="27">Q28/S28</f>
        <v>2.365867684950393</v>
      </c>
      <c r="U28" s="85">
        <f>Q26+Q27+Q28</f>
        <v>165475340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2950184.8181818184</v>
      </c>
      <c r="G29" s="190">
        <f t="shared" ref="G29" si="28">F29/F28-1</f>
        <v>8.8809273043732873E-4</v>
      </c>
      <c r="H29" s="190">
        <f t="shared" ref="H29" si="29">F29/F17-1</f>
        <v>-0.17687416363954789</v>
      </c>
      <c r="I29" s="130">
        <f t="shared" si="0"/>
        <v>2.446989952083364</v>
      </c>
      <c r="J29" s="130">
        <f t="shared" si="5"/>
        <v>-0.19528330524882342</v>
      </c>
      <c r="K29" s="136"/>
      <c r="L29" s="190"/>
      <c r="M29" s="190"/>
      <c r="N29" s="191"/>
      <c r="O29" s="192"/>
      <c r="P29" s="129" t="s">
        <v>436</v>
      </c>
      <c r="Q29" s="116">
        <v>64904066</v>
      </c>
      <c r="R29" s="116">
        <v>85321271843</v>
      </c>
      <c r="S29" s="116">
        <v>26524042.710000001</v>
      </c>
      <c r="T29" s="130">
        <f t="shared" ref="T29" si="30">Q29/S29</f>
        <v>2.446989952083364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3462380</v>
      </c>
      <c r="G30" s="190">
        <f t="shared" ref="G30" si="31">F30/F29-1</f>
        <v>0.17361460836675469</v>
      </c>
      <c r="H30" s="190">
        <f t="shared" ref="H30" si="32">F30/F18-1</f>
        <v>-0.23212399778728721</v>
      </c>
      <c r="I30" s="130">
        <f t="shared" si="0"/>
        <v>2.3260280710387224</v>
      </c>
      <c r="J30" s="130">
        <f t="shared" si="5"/>
        <v>-0.20525482394083094</v>
      </c>
      <c r="K30" s="136"/>
      <c r="L30" s="190"/>
      <c r="M30" s="190"/>
      <c r="N30" s="191"/>
      <c r="O30" s="192"/>
      <c r="P30" s="129" t="s">
        <v>466</v>
      </c>
      <c r="Q30" s="116">
        <v>65785220</v>
      </c>
      <c r="R30" s="116">
        <v>87651055061</v>
      </c>
      <c r="S30" s="116">
        <v>28282212.420000002</v>
      </c>
      <c r="T30" s="130">
        <f t="shared" ref="T30" si="33">Q30/S30</f>
        <v>2.3260280710387224</v>
      </c>
      <c r="U30" s="85"/>
    </row>
    <row r="31" spans="1:21" s="79" customFormat="1" ht="13.2" hidden="1">
      <c r="A31" s="129" t="s">
        <v>505</v>
      </c>
      <c r="B31" s="188">
        <f>SUM(F29:F31)</f>
        <v>9892633.8681818172</v>
      </c>
      <c r="C31" s="188">
        <f>AVERAGE(F29:F31)</f>
        <v>3297544.6227272726</v>
      </c>
      <c r="D31" s="190">
        <f>C31/C28-1</f>
        <v>0.19001344343468429</v>
      </c>
      <c r="E31" s="287">
        <f>C31/C19-1</f>
        <v>-0.18030855565316617</v>
      </c>
      <c r="F31" s="136">
        <f>Q31/20</f>
        <v>3480069.05</v>
      </c>
      <c r="G31" s="190">
        <f t="shared" ref="G31" si="34">F31/F30-1</f>
        <v>5.1089279628462325E-3</v>
      </c>
      <c r="H31" s="190">
        <f t="shared" ref="H31" si="35">F31/F19-1</f>
        <v>-0.12463644463831547</v>
      </c>
      <c r="I31" s="130">
        <f t="shared" si="0"/>
        <v>2.4288122900343252</v>
      </c>
      <c r="J31" s="130">
        <f t="shared" si="5"/>
        <v>-0.1429985077631224</v>
      </c>
      <c r="K31" s="136">
        <f>R29+R30+R31</f>
        <v>265451017744</v>
      </c>
      <c r="L31" s="190">
        <f>U31/U28-1</f>
        <v>0.21039586321442205</v>
      </c>
      <c r="M31" s="190">
        <f>U31/U19-1</f>
        <v>-0.19667065313867604</v>
      </c>
      <c r="N31" s="191">
        <f>AVERAGE(T29:T31)</f>
        <v>2.4006101043854704</v>
      </c>
      <c r="O31" s="192">
        <f>N31/N28-1</f>
        <v>9.0930995798530478E-3</v>
      </c>
      <c r="P31" s="129" t="s">
        <v>505</v>
      </c>
      <c r="Q31" s="116">
        <v>69601381</v>
      </c>
      <c r="R31" s="116">
        <v>92478690840</v>
      </c>
      <c r="S31" s="116">
        <v>28656550.07</v>
      </c>
      <c r="T31" s="130">
        <f t="shared" ref="T31" si="36">Q31/S31</f>
        <v>2.4288122900343252</v>
      </c>
      <c r="U31" s="85">
        <f>Q29+Q30+Q31</f>
        <v>200290667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2978166.5714285714</v>
      </c>
      <c r="G32" s="190">
        <f t="shared" ref="G32" si="37">F32/F31-1</f>
        <v>-0.14422198851813828</v>
      </c>
      <c r="H32" s="190">
        <f t="shared" ref="H32" si="38">F32/F20-1</f>
        <v>-0.22734403355417965</v>
      </c>
      <c r="I32" s="130">
        <f t="shared" si="0"/>
        <v>2.5014800275647056</v>
      </c>
      <c r="J32" s="130">
        <f t="shared" si="5"/>
        <v>-0.10560804896689058</v>
      </c>
      <c r="K32" s="136"/>
      <c r="L32" s="190"/>
      <c r="M32" s="190"/>
      <c r="N32" s="191"/>
      <c r="O32" s="192"/>
      <c r="P32" s="129" t="s">
        <v>562</v>
      </c>
      <c r="Q32" s="116">
        <v>62541498</v>
      </c>
      <c r="R32" s="116">
        <v>84943550165</v>
      </c>
      <c r="S32" s="116">
        <v>25001797.859999999</v>
      </c>
      <c r="T32" s="130">
        <f t="shared" ref="T32" si="39">Q32/S32</f>
        <v>2.5014800275647056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3484573.3809523811</v>
      </c>
      <c r="G33" s="190">
        <f t="shared" ref="G33" si="40">F33/F32-1</f>
        <v>0.17003978702269018</v>
      </c>
      <c r="H33" s="190">
        <f t="shared" ref="H33" si="41">F33/F21-1</f>
        <v>0.16158753636447476</v>
      </c>
      <c r="I33" s="130">
        <f t="shared" si="0"/>
        <v>2.3819796018723389</v>
      </c>
      <c r="J33" s="130">
        <f t="shared" si="5"/>
        <v>-0.10637032878001951</v>
      </c>
      <c r="K33" s="136"/>
      <c r="L33" s="190"/>
      <c r="M33" s="190"/>
      <c r="N33" s="191"/>
      <c r="O33" s="192"/>
      <c r="P33" s="129" t="s">
        <v>614</v>
      </c>
      <c r="Q33" s="116">
        <v>73176041</v>
      </c>
      <c r="R33" s="116">
        <v>100065270526</v>
      </c>
      <c r="S33" s="116">
        <v>30720683.309999999</v>
      </c>
      <c r="T33" s="130">
        <f t="shared" ref="T33" si="42">Q33/S33</f>
        <v>2.3819796018723389</v>
      </c>
      <c r="U33" s="85"/>
    </row>
    <row r="34" spans="1:21" s="79" customFormat="1" ht="13.2" hidden="1">
      <c r="A34" s="129" t="s">
        <v>652</v>
      </c>
      <c r="B34" s="188">
        <f>SUM(F32:F34)</f>
        <v>9712843.8471177947</v>
      </c>
      <c r="C34" s="188">
        <f>AVERAGE(F32:F34)</f>
        <v>3237614.6157059316</v>
      </c>
      <c r="D34" s="190">
        <f>C34/C31-1</f>
        <v>-1.8174130717835468E-2</v>
      </c>
      <c r="E34" s="287">
        <f>C34/C22-1</f>
        <v>-2.6969240995967203E-2</v>
      </c>
      <c r="F34" s="136">
        <f>Q34/19</f>
        <v>3250103.8947368423</v>
      </c>
      <c r="G34" s="190">
        <f t="shared" ref="G34" si="43">F34/F33-1</f>
        <v>-6.7287860114300435E-2</v>
      </c>
      <c r="H34" s="190">
        <f t="shared" ref="H34" si="44">F34/F22-1</f>
        <v>3.9114993261477604E-2</v>
      </c>
      <c r="I34" s="130">
        <f t="shared" si="0"/>
        <v>2.4280371538423733</v>
      </c>
      <c r="J34" s="130">
        <f t="shared" si="5"/>
        <v>-4.3847419598203818E-2</v>
      </c>
      <c r="K34" s="136">
        <f>R32+R33+R34</f>
        <v>269923031048</v>
      </c>
      <c r="L34" s="190">
        <f>U34/U31-1</f>
        <v>-1.4085299341481505E-2</v>
      </c>
      <c r="M34" s="190">
        <f>U34/U22-1</f>
        <v>-4.0332335767991667E-2</v>
      </c>
      <c r="N34" s="191">
        <f>AVERAGE(T32:T34)</f>
        <v>2.4371655944264727</v>
      </c>
      <c r="O34" s="192">
        <f>N34/N31-1</f>
        <v>1.5227583177385817E-2</v>
      </c>
      <c r="P34" s="129" t="s">
        <v>652</v>
      </c>
      <c r="Q34" s="116">
        <v>61751974</v>
      </c>
      <c r="R34" s="116">
        <v>84914210357</v>
      </c>
      <c r="S34" s="116">
        <v>25432878.530000001</v>
      </c>
      <c r="T34" s="130">
        <f t="shared" ref="T34" si="45">Q34/S34</f>
        <v>2.4280371538423733</v>
      </c>
      <c r="U34" s="85">
        <f>Q32+Q33+Q34</f>
        <v>197469513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2867261.5652173911</v>
      </c>
      <c r="G35" s="190">
        <f t="shared" ref="G35" si="46">F35/F34-1</f>
        <v>-0.11779387426334864</v>
      </c>
      <c r="H35" s="190">
        <f t="shared" ref="H35" si="47">F35/F23-1</f>
        <v>0.1149606013487634</v>
      </c>
      <c r="I35" s="130">
        <f t="shared" si="0"/>
        <v>2.3867095833139365</v>
      </c>
      <c r="J35" s="130">
        <f t="shared" si="5"/>
        <v>-4.8225414883876438E-2</v>
      </c>
      <c r="K35" s="136"/>
      <c r="L35" s="190"/>
      <c r="M35" s="190"/>
      <c r="N35" s="191"/>
      <c r="O35" s="192"/>
      <c r="P35" s="129" t="s">
        <v>660</v>
      </c>
      <c r="Q35" s="116">
        <v>65947016</v>
      </c>
      <c r="R35" s="116">
        <v>91269734274</v>
      </c>
      <c r="S35" s="116">
        <v>27630934.43</v>
      </c>
      <c r="T35" s="130">
        <f t="shared" ref="T35" si="48">Q35/S35</f>
        <v>2.3867095833139365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2796154</v>
      </c>
      <c r="G36" s="190">
        <f t="shared" ref="G36" si="49">F36/F35-1</f>
        <v>-2.4799818084263237E-2</v>
      </c>
      <c r="H36" s="190">
        <f t="shared" ref="H36" si="50">F36/F24-1</f>
        <v>-0.10869248061843984</v>
      </c>
      <c r="I36" s="130">
        <f t="shared" si="0"/>
        <v>2.4593248766104971</v>
      </c>
      <c r="J36" s="130">
        <f t="shared" si="5"/>
        <v>2.8783942924493822E-2</v>
      </c>
      <c r="K36" s="136"/>
      <c r="L36" s="190"/>
      <c r="M36" s="190"/>
      <c r="N36" s="191"/>
      <c r="O36" s="192"/>
      <c r="P36" s="129" t="s">
        <v>664</v>
      </c>
      <c r="Q36" s="116">
        <v>58719234</v>
      </c>
      <c r="R36" s="116">
        <v>80188910591</v>
      </c>
      <c r="S36" s="116">
        <v>23876159.899999999</v>
      </c>
      <c r="T36" s="130">
        <f t="shared" ref="T36" si="51">Q36/S36</f>
        <v>2.4593248766104971</v>
      </c>
      <c r="U36" s="85"/>
    </row>
    <row r="37" spans="1:21" s="79" customFormat="1" ht="13.2" hidden="1">
      <c r="A37" s="129" t="s">
        <v>702</v>
      </c>
      <c r="B37" s="188">
        <f>SUM(F35:F37)</f>
        <v>8500055.8985507246</v>
      </c>
      <c r="C37" s="188">
        <f>AVERAGE(F35:F37)</f>
        <v>2833351.9661835749</v>
      </c>
      <c r="D37" s="190">
        <f>C37/C34-1</f>
        <v>-0.12486435153870556</v>
      </c>
      <c r="E37" s="287">
        <f>C37/C25-1</f>
        <v>-2.6105762487784401E-2</v>
      </c>
      <c r="F37" s="136">
        <f>Q37/18</f>
        <v>2836640.3333333335</v>
      </c>
      <c r="G37" s="190">
        <f t="shared" ref="G37" si="52">F37/F36-1</f>
        <v>1.4479293105220004E-2</v>
      </c>
      <c r="H37" s="190">
        <f t="shared" ref="H37" si="53">F37/F25-1</f>
        <v>-6.0447992597035372E-2</v>
      </c>
      <c r="I37" s="130">
        <f t="shared" si="0"/>
        <v>2.4834446188848913</v>
      </c>
      <c r="J37" s="130">
        <f t="shared" si="5"/>
        <v>6.1360420318604003E-2</v>
      </c>
      <c r="K37" s="136">
        <f>R35+R36+R37</f>
        <v>239609758813</v>
      </c>
      <c r="L37" s="190">
        <f>U37/U34-1</f>
        <v>-0.11011186825583552</v>
      </c>
      <c r="M37" s="190">
        <f>U37/U25-1</f>
        <v>-2.5828516229763787E-2</v>
      </c>
      <c r="N37" s="191">
        <f>AVERAGE(T35:T37)</f>
        <v>2.4431596929364416</v>
      </c>
      <c r="O37" s="192">
        <f>N37/N34-1</f>
        <v>2.4594547550140788E-3</v>
      </c>
      <c r="P37" s="129" t="s">
        <v>702</v>
      </c>
      <c r="Q37" s="116">
        <v>51059526</v>
      </c>
      <c r="R37" s="116">
        <v>68151113948</v>
      </c>
      <c r="S37" s="116">
        <v>20559961.600000001</v>
      </c>
      <c r="T37" s="130">
        <f t="shared" ref="T37" si="54">Q37/S37</f>
        <v>2.4834446188848913</v>
      </c>
      <c r="U37" s="85">
        <f>Q35+Q36+Q37</f>
        <v>175725776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2898332.15</v>
      </c>
      <c r="G38" s="190">
        <f t="shared" ref="G38" si="55">F38/F37-1</f>
        <v>2.1748198367528726E-2</v>
      </c>
      <c r="H38" s="190">
        <f t="shared" ref="H38" si="56">F38/F26-1</f>
        <v>1.4712975936542305E-2</v>
      </c>
      <c r="I38" s="130">
        <f t="shared" si="0"/>
        <v>2.5853208627043576</v>
      </c>
      <c r="J38" s="130">
        <f t="shared" si="5"/>
        <v>7.5740463742376862E-2</v>
      </c>
      <c r="K38" s="136"/>
      <c r="L38" s="190"/>
      <c r="M38" s="190"/>
      <c r="N38" s="191"/>
      <c r="O38" s="192"/>
      <c r="P38" s="129" t="s">
        <v>727</v>
      </c>
      <c r="Q38" s="116">
        <v>57966643</v>
      </c>
      <c r="R38" s="116">
        <v>77927845268</v>
      </c>
      <c r="S38" s="116">
        <v>22421450.210000001</v>
      </c>
      <c r="T38" s="130">
        <f t="shared" ref="T38" si="57">Q38/S38</f>
        <v>2.5853208627043576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2715285.4761904762</v>
      </c>
      <c r="G39" s="190">
        <f t="shared" ref="G39" si="58">F39/F38-1</f>
        <v>-6.3155864937537887E-2</v>
      </c>
      <c r="H39" s="190">
        <f t="shared" ref="H39" si="59">F39/F27-1</f>
        <v>8.2145177097101119E-2</v>
      </c>
      <c r="I39" s="130">
        <f t="shared" si="0"/>
        <v>2.435175860397031</v>
      </c>
      <c r="J39" s="130">
        <f t="shared" si="5"/>
        <v>2.8467409149998568E-2</v>
      </c>
      <c r="K39" s="136"/>
      <c r="L39" s="190"/>
      <c r="M39" s="190"/>
      <c r="N39" s="191"/>
      <c r="O39" s="192"/>
      <c r="P39" s="129" t="s">
        <v>762</v>
      </c>
      <c r="Q39" s="116">
        <v>57020995</v>
      </c>
      <c r="R39" s="116">
        <v>79249817313</v>
      </c>
      <c r="S39" s="116">
        <v>23415555.289999999</v>
      </c>
      <c r="T39" s="130">
        <f t="shared" ref="T39" si="60">Q39/S39</f>
        <v>2.435175860397031</v>
      </c>
      <c r="U39" s="85"/>
    </row>
    <row r="40" spans="1:21" s="79" customFormat="1" ht="13.2" hidden="1">
      <c r="A40" s="129" t="s">
        <v>778</v>
      </c>
      <c r="B40" s="188">
        <f>SUM(F38:F40)</f>
        <v>8241296.0547619052</v>
      </c>
      <c r="C40" s="188">
        <f>AVERAGE(F38:F40)</f>
        <v>2747098.6849206351</v>
      </c>
      <c r="D40" s="190">
        <f>C40/C37-1</f>
        <v>-3.0442134366779672E-2</v>
      </c>
      <c r="E40" s="287">
        <f>C40/C28-1</f>
        <v>-8.630742108483247E-3</v>
      </c>
      <c r="F40" s="136">
        <f>Q40/21</f>
        <v>2627678.4285714286</v>
      </c>
      <c r="G40" s="190">
        <f t="shared" ref="G40" si="61">F40/F39-1</f>
        <v>-3.2264396648988614E-2</v>
      </c>
      <c r="H40" s="190">
        <f t="shared" ref="H40" si="62">F40/F28-1</f>
        <v>-0.10852634232501024</v>
      </c>
      <c r="I40" s="130">
        <f t="shared" si="0"/>
        <v>2.4566382222421659</v>
      </c>
      <c r="J40" s="130">
        <f t="shared" si="5"/>
        <v>3.8366700669347109E-2</v>
      </c>
      <c r="K40" s="136">
        <f>R38+R39+R40</f>
        <v>235516987199</v>
      </c>
      <c r="L40" s="190">
        <f>U40/U37-1</f>
        <v>-3.1622515071437207E-2</v>
      </c>
      <c r="M40" s="190">
        <f>U40/U28-1</f>
        <v>2.8364014843541119E-2</v>
      </c>
      <c r="N40" s="191">
        <f>AVERAGE(T38:T40)</f>
        <v>2.492378315114518</v>
      </c>
      <c r="O40" s="192">
        <f>N40/N37-1</f>
        <v>2.0145478955131413E-2</v>
      </c>
      <c r="P40" s="129" t="s">
        <v>778</v>
      </c>
      <c r="Q40" s="116">
        <v>55181247</v>
      </c>
      <c r="R40" s="116">
        <v>78339324618</v>
      </c>
      <c r="S40" s="116">
        <v>22462097.390000001</v>
      </c>
      <c r="T40" s="130">
        <f t="shared" ref="T40" si="63">Q40/S40</f>
        <v>2.4566382222421659</v>
      </c>
      <c r="U40" s="85">
        <f>Q38+Q39+Q40</f>
        <v>170168885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2608042.9444444445</v>
      </c>
      <c r="G41" s="190">
        <f t="shared" ref="G41" si="64">F41/F40-1</f>
        <v>-7.4725597750022743E-3</v>
      </c>
      <c r="H41" s="190">
        <f t="shared" ref="H41" si="65">F41/F29-1</f>
        <v>-0.11597303044499896</v>
      </c>
      <c r="I41" s="130">
        <f t="shared" si="0"/>
        <v>2.4372027343286469</v>
      </c>
      <c r="J41" s="130">
        <f t="shared" si="5"/>
        <v>-3.9996967484007273E-3</v>
      </c>
      <c r="K41" s="193"/>
      <c r="L41" s="190"/>
      <c r="M41" s="190"/>
      <c r="N41" s="193"/>
      <c r="O41" s="193"/>
      <c r="P41" s="129" t="s">
        <v>792</v>
      </c>
      <c r="Q41" s="116">
        <v>46944773</v>
      </c>
      <c r="R41" s="116">
        <v>68645690724</v>
      </c>
      <c r="S41" s="116">
        <v>19261743.120000001</v>
      </c>
      <c r="T41" s="130">
        <f t="shared" ref="T41" si="66">Q41/S41</f>
        <v>2.4372027343286469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2932169.1</v>
      </c>
      <c r="G42" s="190">
        <f t="shared" ref="G42" si="67">F42/F41-1</f>
        <v>0.12427945492461956</v>
      </c>
      <c r="H42" s="190">
        <f t="shared" ref="H42" si="68">F42/F30-1</f>
        <v>-0.15313480900421095</v>
      </c>
      <c r="I42" s="130">
        <f t="shared" si="0"/>
        <v>2.4484159603651103</v>
      </c>
      <c r="J42" s="130">
        <f t="shared" si="5"/>
        <v>5.261668629464733E-2</v>
      </c>
      <c r="K42" s="193"/>
      <c r="L42" s="190"/>
      <c r="M42" s="190"/>
      <c r="N42" s="193"/>
      <c r="O42" s="193"/>
      <c r="P42" s="129" t="s">
        <v>826</v>
      </c>
      <c r="Q42" s="116">
        <v>58643382</v>
      </c>
      <c r="R42" s="116">
        <v>84789511050</v>
      </c>
      <c r="S42" s="116">
        <v>23951560.09</v>
      </c>
      <c r="T42" s="130">
        <f t="shared" ref="T42" si="69">Q42/S42</f>
        <v>2.4484159603651103</v>
      </c>
      <c r="U42" s="78"/>
    </row>
    <row r="43" spans="1:21" s="79" customFormat="1" ht="13.2">
      <c r="A43" s="129" t="s">
        <v>835</v>
      </c>
      <c r="B43" s="188">
        <f>SUM(F41:F43)</f>
        <v>9201584.7944444455</v>
      </c>
      <c r="C43" s="188">
        <f>AVERAGE(F41:F43)</f>
        <v>3067194.931481482</v>
      </c>
      <c r="D43" s="190">
        <f>C43/C40-1</f>
        <v>0.1165215681249161</v>
      </c>
      <c r="E43" s="287">
        <f>C43/C31-1</f>
        <v>-6.9854912548621417E-2</v>
      </c>
      <c r="F43" s="136">
        <f>Q43/20</f>
        <v>3661372.75</v>
      </c>
      <c r="G43" s="190">
        <f t="shared" ref="G43" si="70">F43/F42-1</f>
        <v>0.24869085824552206</v>
      </c>
      <c r="H43" s="190">
        <f t="shared" ref="H43" si="71">F43/F31-1</f>
        <v>5.2097730647040041E-2</v>
      </c>
      <c r="I43" s="130">
        <f t="shared" si="0"/>
        <v>2.4335773388196396</v>
      </c>
      <c r="J43" s="130">
        <f t="shared" si="5"/>
        <v>1.9618843353461646E-3</v>
      </c>
      <c r="K43" s="136">
        <f>R41+R42+R43</f>
        <v>259584065661</v>
      </c>
      <c r="L43" s="190">
        <f>U43/U40-1</f>
        <v>5.0812608897331524E-2</v>
      </c>
      <c r="M43" s="190">
        <f>K43/K31-1</f>
        <v>-2.2101825537764852E-2</v>
      </c>
      <c r="N43" s="191">
        <f>AVERAGE(T41:T43)</f>
        <v>2.4397320111711323</v>
      </c>
      <c r="O43" s="192">
        <f>N43/N40-1</f>
        <v>-2.1122918468726493E-2</v>
      </c>
      <c r="P43" s="129" t="s">
        <v>835</v>
      </c>
      <c r="Q43" s="116">
        <v>73227455</v>
      </c>
      <c r="R43" s="116">
        <v>106148863887</v>
      </c>
      <c r="S43" s="116">
        <v>30090457.300000001</v>
      </c>
      <c r="T43" s="130">
        <f t="shared" ref="T43" si="72">Q43/S43</f>
        <v>2.4335773388196396</v>
      </c>
      <c r="U43" s="85">
        <f>Q41+Q42+Q43</f>
        <v>178815610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3200891.7727272729</v>
      </c>
      <c r="G44" s="190">
        <f t="shared" ref="G44" si="73">F44/F43-1</f>
        <v>-0.12576730333526598</v>
      </c>
      <c r="H44" s="190">
        <f t="shared" ref="H44" si="74">F44/F32-1</f>
        <v>7.4786012117470158E-2</v>
      </c>
      <c r="I44" s="130">
        <f t="shared" si="0"/>
        <v>2.551678124509881</v>
      </c>
      <c r="J44" s="130">
        <f t="shared" si="5"/>
        <v>2.0067358680470937E-2</v>
      </c>
      <c r="K44" s="136"/>
      <c r="L44" s="190"/>
      <c r="M44" s="190"/>
      <c r="N44" s="191"/>
      <c r="O44" s="192"/>
      <c r="P44" s="129" t="s">
        <v>843</v>
      </c>
      <c r="Q44" s="116">
        <v>70419619</v>
      </c>
      <c r="R44" s="116">
        <v>102139114095</v>
      </c>
      <c r="S44" s="116">
        <v>27597375.359999999</v>
      </c>
      <c r="T44" s="130">
        <f t="shared" ref="T44" si="75">Q44/S44</f>
        <v>2.551678124509881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3337530.95</v>
      </c>
      <c r="G45" s="190">
        <f t="shared" ref="G45" si="76">F45/F44-1</f>
        <v>4.2687846692269105E-2</v>
      </c>
      <c r="H45" s="190">
        <f t="shared" ref="H45" si="77">F45/F33-1</f>
        <v>-4.2198115773986689E-2</v>
      </c>
      <c r="I45" s="130">
        <f t="shared" si="0"/>
        <v>2.3834320888638563</v>
      </c>
      <c r="J45" s="130">
        <f t="shared" si="5"/>
        <v>6.0978145672430095E-4</v>
      </c>
      <c r="K45" s="136"/>
      <c r="L45" s="190"/>
      <c r="M45" s="190"/>
      <c r="N45" s="191"/>
      <c r="O45" s="192"/>
      <c r="P45" s="129" t="s">
        <v>853</v>
      </c>
      <c r="Q45" s="116">
        <v>66750619</v>
      </c>
      <c r="R45" s="116">
        <v>94139302701</v>
      </c>
      <c r="S45" s="116">
        <v>28006092.27</v>
      </c>
      <c r="T45" s="130">
        <f t="shared" ref="T45" si="78">Q45/S45</f>
        <v>2.3834320888638563</v>
      </c>
      <c r="U45" s="85"/>
    </row>
    <row r="46" spans="1:21" s="79" customFormat="1" ht="13.2">
      <c r="A46" s="129" t="s">
        <v>888</v>
      </c>
      <c r="B46" s="188">
        <f>SUM(F44:F46)</f>
        <v>9768972.0911483243</v>
      </c>
      <c r="C46" s="188">
        <f>AVERAGE(F44:F46)</f>
        <v>3256324.0303827748</v>
      </c>
      <c r="D46" s="190">
        <f>C46/C43-1</f>
        <v>6.1661910353360438E-2</v>
      </c>
      <c r="E46" s="287">
        <f>C46/C34-1</f>
        <v>5.7787652014178459E-3</v>
      </c>
      <c r="F46" s="136">
        <f>Q46/19</f>
        <v>3230549.3684210526</v>
      </c>
      <c r="G46" s="190">
        <f t="shared" ref="G46" si="79">F46/F45-1</f>
        <v>-3.2054109214761817E-2</v>
      </c>
      <c r="H46" s="190">
        <f t="shared" ref="H46" si="80">F46/F34-1</f>
        <v>-6.0165849920846837E-3</v>
      </c>
      <c r="I46" s="130">
        <f t="shared" si="0"/>
        <v>2.4582531883465522</v>
      </c>
      <c r="J46" s="130">
        <f t="shared" si="5"/>
        <v>1.2444634323804271E-2</v>
      </c>
      <c r="K46" s="136">
        <f>R44+R45+R46</f>
        <v>280338219900</v>
      </c>
      <c r="L46" s="190">
        <f>U46/U43-1</f>
        <v>0.11036545411219967</v>
      </c>
      <c r="M46" s="190">
        <f>K46/K34-1</f>
        <v>3.8585773179717675E-2</v>
      </c>
      <c r="N46" s="191">
        <f>AVERAGE(T44:T46)</f>
        <v>2.4644544672400968</v>
      </c>
      <c r="O46" s="192">
        <f>N46/N43-1</f>
        <v>1.0133267078418662E-2</v>
      </c>
      <c r="P46" s="129" t="s">
        <v>928</v>
      </c>
      <c r="Q46" s="116">
        <v>61380438</v>
      </c>
      <c r="R46" s="116">
        <v>84059803104</v>
      </c>
      <c r="S46" s="116">
        <v>24969127.789999999</v>
      </c>
      <c r="T46" s="130">
        <f t="shared" ref="T46" si="81">Q46/S46</f>
        <v>2.4582531883465522</v>
      </c>
      <c r="U46" s="85">
        <f t="shared" ref="U46:U51" si="82">Q44+Q45+Q46</f>
        <v>198550676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3261487</v>
      </c>
      <c r="G47" s="190">
        <f t="shared" ref="G47" si="83">F47/F46-1</f>
        <v>9.5765852957907516E-3</v>
      </c>
      <c r="H47" s="190">
        <f t="shared" ref="H47" si="84">F47/F35-1</f>
        <v>0.13749196779426698</v>
      </c>
      <c r="I47" s="130">
        <f t="shared" si="0"/>
        <v>2.3521536293722618</v>
      </c>
      <c r="J47" s="130">
        <f t="shared" si="5"/>
        <v>-1.4478491301691543E-2</v>
      </c>
      <c r="K47" s="136"/>
      <c r="L47" s="190"/>
      <c r="M47" s="190"/>
      <c r="N47" s="191"/>
      <c r="O47" s="192"/>
      <c r="P47" s="129" t="s">
        <v>991</v>
      </c>
      <c r="Q47" s="116">
        <v>75014201</v>
      </c>
      <c r="R47" s="116">
        <v>102843419347</v>
      </c>
      <c r="S47" s="116">
        <v>31891709.82</v>
      </c>
      <c r="T47" s="130">
        <f t="shared" ref="T47" si="85">Q47/S47</f>
        <v>2.3521536293722618</v>
      </c>
      <c r="U47" s="85">
        <f t="shared" si="82"/>
        <v>203145258</v>
      </c>
    </row>
    <row r="48" spans="1:21" s="79" customFormat="1" ht="13.2">
      <c r="A48" s="129" t="s">
        <v>1074</v>
      </c>
      <c r="B48" s="188"/>
      <c r="C48" s="188"/>
      <c r="D48" s="190"/>
      <c r="E48" s="287"/>
      <c r="F48" s="136">
        <f>Q48/20</f>
        <v>3393090.8</v>
      </c>
      <c r="G48" s="190">
        <f t="shared" ref="G48" si="86">F48/F47-1</f>
        <v>4.0350858366137832E-2</v>
      </c>
      <c r="H48" s="190">
        <f t="shared" ref="H48" si="87">F48/F36-1</f>
        <v>0.21348495111499566</v>
      </c>
      <c r="I48" s="130">
        <f t="shared" si="0"/>
        <v>2.3910515972973894</v>
      </c>
      <c r="J48" s="130">
        <f t="shared" si="5"/>
        <v>-2.7760984310134629E-2</v>
      </c>
      <c r="K48" s="136"/>
      <c r="L48" s="190"/>
      <c r="M48" s="190"/>
      <c r="N48" s="191"/>
      <c r="O48" s="192"/>
      <c r="P48" s="129" t="s">
        <v>1070</v>
      </c>
      <c r="Q48" s="116">
        <v>67861816</v>
      </c>
      <c r="R48" s="116">
        <v>94160057924</v>
      </c>
      <c r="S48" s="116">
        <v>28381577.41</v>
      </c>
      <c r="T48" s="130">
        <f t="shared" ref="T48" si="88">Q48/S48</f>
        <v>2.3910515972973894</v>
      </c>
      <c r="U48" s="85">
        <f t="shared" si="82"/>
        <v>204256455</v>
      </c>
    </row>
    <row r="49" spans="1:26" ht="13.2">
      <c r="A49" s="129" t="s">
        <v>1158</v>
      </c>
      <c r="B49" s="188">
        <f>SUM(F47:F49)</f>
        <v>9435552.709090909</v>
      </c>
      <c r="C49" s="188">
        <f>AVERAGE(F47:F49)</f>
        <v>3145184.2363636363</v>
      </c>
      <c r="D49" s="190">
        <f>C49/C46-1</f>
        <v>-3.4130446780529455E-2</v>
      </c>
      <c r="E49" s="287">
        <f>C49/C37-1</f>
        <v>0.11005772452622198</v>
      </c>
      <c r="F49" s="136">
        <f>Q49/22</f>
        <v>2780974.9090909092</v>
      </c>
      <c r="G49" s="190">
        <f t="shared" ref="G49" si="89">F49/F48-1</f>
        <v>-0.18040068096883544</v>
      </c>
      <c r="H49" s="190">
        <f t="shared" ref="H49" si="90">F49/F37-1</f>
        <v>-1.9623715981296752E-2</v>
      </c>
      <c r="I49" s="130">
        <f t="shared" si="0"/>
        <v>2.4891769269385362</v>
      </c>
      <c r="J49" s="130">
        <f t="shared" si="5"/>
        <v>2.3082085302223998E-3</v>
      </c>
      <c r="K49" s="136">
        <f>R47+R48+R49</f>
        <v>282048760669</v>
      </c>
      <c r="L49" s="190">
        <f>U49/U46-1</f>
        <v>2.7734929494775518E-2</v>
      </c>
      <c r="M49" s="190">
        <f>K49/K37-1</f>
        <v>0.17711716779081987</v>
      </c>
      <c r="N49" s="191">
        <f>AVERAGE(T47:T49)</f>
        <v>2.4107940512027293</v>
      </c>
      <c r="O49" s="192">
        <f>N49/N46-1</f>
        <v>-2.1773750235873024E-2</v>
      </c>
      <c r="P49" s="129" t="s">
        <v>1158</v>
      </c>
      <c r="Q49" s="116">
        <v>61181448</v>
      </c>
      <c r="R49" s="116">
        <v>85045283398</v>
      </c>
      <c r="S49" s="116">
        <v>24578987.27</v>
      </c>
      <c r="T49" s="130">
        <f t="shared" ref="T49" si="91">Q49/S49</f>
        <v>2.4891769269385362</v>
      </c>
      <c r="U49" s="85">
        <f t="shared" si="82"/>
        <v>204057465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3551489.111111111</v>
      </c>
      <c r="G50" s="190">
        <f t="shared" ref="G50" si="92">F50/F49-1</f>
        <v>0.27706621857731184</v>
      </c>
      <c r="H50" s="190">
        <f t="shared" ref="H50" si="93">F50/F38-1</f>
        <v>0.22535614529587678</v>
      </c>
      <c r="I50" s="130">
        <f t="shared" ref="I50" si="94">T50</f>
        <v>2.443066850949537</v>
      </c>
      <c r="J50" s="130">
        <f t="shared" ref="J50" si="95">I50/I38-1</f>
        <v>-5.5023735663517148E-2</v>
      </c>
      <c r="K50" s="136"/>
      <c r="L50" s="190"/>
      <c r="M50" s="190"/>
      <c r="N50" s="191"/>
      <c r="O50" s="192"/>
      <c r="P50" s="129" t="s">
        <v>1291</v>
      </c>
      <c r="Q50" s="116">
        <v>63926804</v>
      </c>
      <c r="R50" s="116">
        <v>90451989653</v>
      </c>
      <c r="S50" s="116">
        <v>26166620.850000001</v>
      </c>
      <c r="T50" s="130">
        <f t="shared" ref="T50" si="96">Q50/S50</f>
        <v>2.443066850949537</v>
      </c>
      <c r="U50" s="85">
        <f t="shared" si="82"/>
        <v>192970068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3164627.3</v>
      </c>
      <c r="G51" s="190">
        <f t="shared" ref="G51:G52" si="97">F51/F50-1</f>
        <v>-0.10892946564323791</v>
      </c>
      <c r="H51" s="190">
        <f t="shared" ref="H51:H52" si="98">F51/F39-1</f>
        <v>0.16548603369688641</v>
      </c>
      <c r="I51" s="130">
        <f t="shared" ref="I51:I52" si="99">T51</f>
        <v>2.4557123583139822</v>
      </c>
      <c r="J51" s="130">
        <f t="shared" ref="J51:J52" si="100">I51/I39-1</f>
        <v>8.4332709809313844E-3</v>
      </c>
      <c r="K51" s="136"/>
      <c r="L51" s="190"/>
      <c r="M51" s="190"/>
      <c r="N51" s="191"/>
      <c r="O51" s="192"/>
      <c r="P51" s="129" t="s">
        <v>1402</v>
      </c>
      <c r="Q51" s="116">
        <v>63292546</v>
      </c>
      <c r="R51" s="116">
        <v>91698249710</v>
      </c>
      <c r="S51" s="116">
        <v>25773599.170000002</v>
      </c>
      <c r="T51" s="130">
        <f t="shared" ref="T51:T52" si="101">Q51/S51</f>
        <v>2.4557123583139822</v>
      </c>
      <c r="U51" s="85">
        <f t="shared" si="82"/>
        <v>188400798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9841072.8202020191</v>
      </c>
      <c r="C52" s="188">
        <f>AVERAGE(F50:F52)</f>
        <v>3280357.6067340062</v>
      </c>
      <c r="D52" s="190">
        <f>C52/C49-1</f>
        <v>4.2977886257834275E-2</v>
      </c>
      <c r="E52" s="287">
        <f>C52/C40-1</f>
        <v>0.19411713337439762</v>
      </c>
      <c r="F52" s="136">
        <f>Q52/22</f>
        <v>3124956.4090909092</v>
      </c>
      <c r="G52" s="190">
        <f t="shared" si="97"/>
        <v>-1.2535722898266877E-2</v>
      </c>
      <c r="H52" s="190">
        <f t="shared" si="98"/>
        <v>0.18924613267454959</v>
      </c>
      <c r="I52" s="130">
        <f t="shared" si="99"/>
        <v>2.3525868573538542</v>
      </c>
      <c r="J52" s="130">
        <f t="shared" si="100"/>
        <v>-4.2355184392329548E-2</v>
      </c>
      <c r="K52" s="136">
        <f>R50+R51+R52</f>
        <v>283291233353</v>
      </c>
      <c r="L52" s="190">
        <f>U52/U49-1</f>
        <v>-3.9641156965269597E-2</v>
      </c>
      <c r="M52" s="190">
        <f>K52/K40-1</f>
        <v>0.20284840903485724</v>
      </c>
      <c r="N52" s="191">
        <f>AVERAGE(T50:T52)</f>
        <v>2.4171220222057914</v>
      </c>
      <c r="O52" s="192">
        <f>N52/N49-1</f>
        <v>2.624849269021956E-3</v>
      </c>
      <c r="P52" s="129" t="s">
        <v>1403</v>
      </c>
      <c r="Q52" s="116">
        <v>68749041</v>
      </c>
      <c r="R52" s="116">
        <v>101140993990</v>
      </c>
      <c r="S52" s="116">
        <v>29222742.949999999</v>
      </c>
      <c r="T52" s="130">
        <f t="shared" si="101"/>
        <v>2.3525868573538542</v>
      </c>
      <c r="U52" s="85">
        <f t="shared" ref="U52" si="102">Q50+Q51+Q52</f>
        <v>195968391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3025670</v>
      </c>
      <c r="G53" s="190">
        <f t="shared" ref="G53" si="103">F53/F52-1</f>
        <v>-3.1772094100919968E-2</v>
      </c>
      <c r="H53" s="190">
        <f t="shared" ref="H53" si="104">F53/F41-1</f>
        <v>0.16013043667289639</v>
      </c>
      <c r="I53" s="130">
        <f t="shared" ref="I53" si="105">T53</f>
        <v>2.3835987020967297</v>
      </c>
      <c r="J53" s="130">
        <f t="shared" ref="J53" si="106">I53/I41-1</f>
        <v>-2.199408013001547E-2</v>
      </c>
      <c r="K53" s="136"/>
      <c r="L53" s="190"/>
      <c r="M53" s="190"/>
      <c r="N53" s="191"/>
      <c r="O53" s="192"/>
      <c r="P53" s="129" t="s">
        <v>1414</v>
      </c>
      <c r="Q53" s="116">
        <v>63539070</v>
      </c>
      <c r="R53" s="116">
        <v>92533803340</v>
      </c>
      <c r="S53" s="116">
        <v>26656781.59</v>
      </c>
      <c r="T53" s="130">
        <f t="shared" ref="T53" si="107">Q53/S53</f>
        <v>2.3835987020967297</v>
      </c>
      <c r="U53" s="85">
        <f t="shared" ref="U53" si="108">Q51+Q52+Q53</f>
        <v>195580657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3844211.0588235296</v>
      </c>
      <c r="G54" s="190">
        <f t="shared" ref="G54" si="109">F54/F53-1</f>
        <v>0.27053216604042407</v>
      </c>
      <c r="H54" s="190">
        <f t="shared" ref="H54" si="110">F54/F42-1</f>
        <v>0.3110468488408562</v>
      </c>
      <c r="I54" s="130">
        <f t="shared" ref="I54" si="111">T54</f>
        <v>2.3073902683976764</v>
      </c>
      <c r="J54" s="130">
        <f t="shared" ref="J54" si="112">I54/I42-1</f>
        <v>-5.7598747210585888E-2</v>
      </c>
      <c r="K54" s="136"/>
      <c r="L54" s="190"/>
      <c r="M54" s="190"/>
      <c r="N54" s="191"/>
      <c r="O54" s="192"/>
      <c r="P54" s="129" t="s">
        <v>1417</v>
      </c>
      <c r="Q54" s="116">
        <v>65351588</v>
      </c>
      <c r="R54" s="116">
        <v>94652105015</v>
      </c>
      <c r="S54" s="116">
        <v>28322728.449999999</v>
      </c>
      <c r="T54" s="130">
        <f t="shared" ref="T54" si="113">Q54/S54</f>
        <v>2.3073902683976764</v>
      </c>
      <c r="U54" s="85">
        <f t="shared" ref="U54" si="114">Q52+Q53+Q54</f>
        <v>197639699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10346187.725490196</v>
      </c>
      <c r="C55" s="188">
        <f>AVERAGE(F53:F55)</f>
        <v>3448729.2418300654</v>
      </c>
      <c r="D55" s="190">
        <f>C55/C52-1</f>
        <v>5.1327219553874759E-2</v>
      </c>
      <c r="E55" s="287">
        <f>C55/C43-1</f>
        <v>0.1243919342825397</v>
      </c>
      <c r="F55" s="136">
        <f>Q55/21</f>
        <v>3476306.6666666665</v>
      </c>
      <c r="G55" s="190">
        <f t="shared" ref="G55" si="115">F55/F54-1</f>
        <v>-9.5703484155070129E-2</v>
      </c>
      <c r="H55" s="190">
        <f t="shared" ref="H55" si="116">F55/F43-1</f>
        <v>-5.0545545610818698E-2</v>
      </c>
      <c r="I55" s="130">
        <f>T55</f>
        <v>2.4829746629934997</v>
      </c>
      <c r="J55" s="130">
        <f t="shared" ref="J55" si="117">I55/I43-1</f>
        <v>2.0298234778032276E-2</v>
      </c>
      <c r="K55" s="136">
        <f>R53+R54+R55</f>
        <v>294841605319</v>
      </c>
      <c r="L55" s="190">
        <f>U55/U52-1</f>
        <v>3.0232972622610266E-2</v>
      </c>
      <c r="M55" s="190">
        <f>K55/K43-1</f>
        <v>0.13582320458777342</v>
      </c>
      <c r="N55" s="191">
        <f>AVERAGE(T53:T55)</f>
        <v>2.391321211162635</v>
      </c>
      <c r="O55" s="192">
        <f>N55/N52-1</f>
        <v>-1.0674186410999376E-2</v>
      </c>
      <c r="P55" s="129" t="s">
        <v>1418</v>
      </c>
      <c r="Q55" s="116">
        <v>73002440</v>
      </c>
      <c r="R55" s="116">
        <v>107655696964</v>
      </c>
      <c r="S55" s="116">
        <v>29401202.149999999</v>
      </c>
      <c r="T55" s="130">
        <f t="shared" ref="T55" si="118">Q55/S55</f>
        <v>2.4829746629934997</v>
      </c>
      <c r="U55" s="85">
        <f t="shared" ref="U55" si="119">Q53+Q54+Q55</f>
        <v>201893098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4539871.9090909092</v>
      </c>
      <c r="G56" s="190">
        <f t="shared" ref="G56" si="120">F56/F55-1</f>
        <v>0.30594689836269984</v>
      </c>
      <c r="H56" s="190">
        <f t="shared" ref="H56" si="121">F56/F44-1</f>
        <v>0.41831471709609791</v>
      </c>
      <c r="I56" s="291">
        <f>T56</f>
        <v>2.7110521324158117</v>
      </c>
      <c r="J56" s="130">
        <f t="shared" ref="J56" si="122">I56/I44-1</f>
        <v>6.2458507746365077E-2</v>
      </c>
      <c r="K56" s="136"/>
      <c r="L56" s="190"/>
      <c r="M56" s="190"/>
      <c r="N56" s="191"/>
      <c r="O56" s="192"/>
      <c r="P56" s="129" t="s">
        <v>1420</v>
      </c>
      <c r="Q56" s="116">
        <v>99877182</v>
      </c>
      <c r="R56" s="116">
        <v>149032854111</v>
      </c>
      <c r="S56" s="116">
        <v>36840745.630000003</v>
      </c>
      <c r="T56" s="130">
        <f t="shared" ref="T56" si="123">Q56/S56</f>
        <v>2.7110521324158117</v>
      </c>
      <c r="U56" s="85">
        <f t="shared" ref="U56" si="124">Q54+Q55+Q56</f>
        <v>238231210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4498600.833333333</v>
      </c>
      <c r="G57" s="254">
        <f t="shared" ref="G57" si="125">F57/F56-1</f>
        <v>-9.0908018076308883E-3</v>
      </c>
      <c r="H57" s="254">
        <f t="shared" ref="H57" si="126">F57/F45-1</f>
        <v>0.34788288130581457</v>
      </c>
      <c r="I57" s="282">
        <f>T57</f>
        <v>2.7701193936159729</v>
      </c>
      <c r="J57" s="277">
        <f t="shared" ref="J57" si="127">I57/I45-1</f>
        <v>0.16223969902848978</v>
      </c>
      <c r="K57" s="204"/>
      <c r="L57" s="254"/>
      <c r="M57" s="254"/>
      <c r="N57" s="257"/>
      <c r="O57" s="258"/>
      <c r="P57" s="129" t="s">
        <v>1436</v>
      </c>
      <c r="Q57" s="116">
        <v>53983210</v>
      </c>
      <c r="R57" s="116">
        <v>79560570582</v>
      </c>
      <c r="S57" s="116">
        <v>19487683.5</v>
      </c>
      <c r="T57" s="130">
        <f t="shared" ref="T57" si="128">Q57/S57</f>
        <v>2.7701193936159729</v>
      </c>
      <c r="U57" s="85">
        <f t="shared" ref="U57" si="129">Q55+Q56+Q57</f>
        <v>226862832</v>
      </c>
      <c r="V57" s="79"/>
      <c r="W57" s="79"/>
      <c r="X57" s="79"/>
      <c r="Y57" s="79"/>
      <c r="Z57" s="79"/>
    </row>
    <row r="58" spans="1:26">
      <c r="B58" s="196">
        <f>SUM(F56:F58)</f>
        <v>9038472.7424242422</v>
      </c>
      <c r="C58" s="196">
        <f>AVERAGE(F56:F58)</f>
        <v>4519236.3712121211</v>
      </c>
      <c r="D58" s="197">
        <f>C58/C55-1</f>
        <v>0.31040625526577781</v>
      </c>
      <c r="E58" s="233">
        <f>C58/C46-1</f>
        <v>0.38783374413783189</v>
      </c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355753490</v>
      </c>
      <c r="R67" s="212">
        <v>523435030012</v>
      </c>
      <c r="S67" s="213">
        <v>140709141.34</v>
      </c>
      <c r="T67" s="214">
        <v>254</v>
      </c>
      <c r="U67" s="214">
        <v>872</v>
      </c>
    </row>
    <row r="68" spans="16:21" ht="18" thickBot="1">
      <c r="P68" s="180" t="s">
        <v>976</v>
      </c>
      <c r="Q68" s="181">
        <v>63539070</v>
      </c>
      <c r="R68" s="181">
        <v>92533803340</v>
      </c>
      <c r="S68" s="182">
        <v>26656781.59</v>
      </c>
      <c r="T68" s="210">
        <v>126</v>
      </c>
      <c r="U68" s="210">
        <v>432</v>
      </c>
    </row>
    <row r="69" spans="16:21" ht="18" thickBot="1">
      <c r="P69" s="180" t="s">
        <v>977</v>
      </c>
      <c r="Q69" s="181">
        <v>65351588</v>
      </c>
      <c r="R69" s="181">
        <v>94652105015</v>
      </c>
      <c r="S69" s="182">
        <v>28322728.449999999</v>
      </c>
      <c r="T69" s="210">
        <v>108</v>
      </c>
      <c r="U69" s="210">
        <v>406</v>
      </c>
    </row>
    <row r="70" spans="16:21" ht="18" thickBot="1">
      <c r="P70" s="180" t="s">
        <v>978</v>
      </c>
      <c r="Q70" s="181">
        <v>73002440</v>
      </c>
      <c r="R70" s="181">
        <v>107655696964</v>
      </c>
      <c r="S70" s="182">
        <v>29401202.149999999</v>
      </c>
      <c r="T70" s="210">
        <v>132</v>
      </c>
      <c r="U70" s="210">
        <v>456</v>
      </c>
    </row>
    <row r="71" spans="16:21" ht="18" thickBot="1">
      <c r="P71" s="180" t="s">
        <v>979</v>
      </c>
      <c r="Q71" s="181">
        <v>99877182</v>
      </c>
      <c r="R71" s="181">
        <v>149032854111</v>
      </c>
      <c r="S71" s="182">
        <v>36840745.630000003</v>
      </c>
      <c r="T71" s="210">
        <v>124</v>
      </c>
      <c r="U71" s="210">
        <v>501</v>
      </c>
    </row>
    <row r="72" spans="16:21" ht="18" thickBot="1">
      <c r="P72" s="180" t="s">
        <v>980</v>
      </c>
      <c r="Q72" s="181">
        <v>53983210</v>
      </c>
      <c r="R72" s="181">
        <v>79560570582</v>
      </c>
      <c r="S72" s="182">
        <v>19487683.5</v>
      </c>
      <c r="T72" s="210">
        <v>104</v>
      </c>
      <c r="U72" s="210">
        <v>360</v>
      </c>
    </row>
    <row r="73" spans="16:21" ht="18" thickBot="1">
      <c r="P73" s="215" t="s">
        <v>975</v>
      </c>
      <c r="Q73" s="217"/>
      <c r="R73"/>
      <c r="S73"/>
      <c r="T73"/>
      <c r="U73"/>
    </row>
    <row r="74" spans="16:21" ht="18" thickBot="1">
      <c r="P74" s="215" t="s">
        <v>982</v>
      </c>
      <c r="Q74" s="217">
        <v>743</v>
      </c>
      <c r="R74"/>
      <c r="S74"/>
      <c r="T74"/>
      <c r="U74"/>
    </row>
  </sheetData>
  <phoneticPr fontId="1" type="noConversion"/>
  <conditionalFormatting sqref="C29:C30">
    <cfRule type="cellIs" dxfId="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39">
    <tabColor rgb="FFFFFF00"/>
  </sheetPr>
  <dimension ref="A1:Z72"/>
  <sheetViews>
    <sheetView zoomScale="90" zoomScaleNormal="90" workbookViewId="0">
      <selection activeCell="K65" sqref="K65: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4002510000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2653945.85</v>
      </c>
      <c r="G5" s="90"/>
      <c r="H5" s="90"/>
      <c r="I5" s="130">
        <f t="shared" ref="I5:I49" si="0">T5</f>
        <v>1.0154361107773868</v>
      </c>
      <c r="J5" s="130"/>
      <c r="L5" s="80"/>
      <c r="M5" s="80"/>
      <c r="P5" s="129" t="s">
        <v>0</v>
      </c>
      <c r="Q5" s="116">
        <v>53078917</v>
      </c>
      <c r="R5" s="116"/>
      <c r="S5" s="116">
        <v>52272040</v>
      </c>
      <c r="T5" s="130">
        <f t="shared" ref="T5:T18" si="1">Q5/S5</f>
        <v>1.0154361107773868</v>
      </c>
      <c r="U5" s="85"/>
    </row>
    <row r="6" spans="1:21" ht="15" hidden="1" customHeight="1">
      <c r="A6" s="129" t="s">
        <v>1</v>
      </c>
      <c r="C6" s="79"/>
      <c r="F6" s="78">
        <f>Q6/18</f>
        <v>2723836.277777778</v>
      </c>
      <c r="G6" s="90">
        <f t="shared" ref="G6:G16" si="2">F6/F5-1</f>
        <v>2.6334534209798477E-2</v>
      </c>
      <c r="H6" s="90"/>
      <c r="I6" s="130">
        <f t="shared" si="0"/>
        <v>0.96946881455382117</v>
      </c>
      <c r="J6" s="130"/>
      <c r="P6" s="129" t="s">
        <v>1</v>
      </c>
      <c r="Q6" s="116">
        <v>49029053</v>
      </c>
      <c r="R6" s="116"/>
      <c r="S6" s="116">
        <v>50573110</v>
      </c>
      <c r="T6" s="130">
        <f t="shared" si="1"/>
        <v>0.96946881455382117</v>
      </c>
      <c r="U6" s="85"/>
    </row>
    <row r="7" spans="1:21" ht="15" hidden="1" customHeight="1">
      <c r="A7" s="129" t="s">
        <v>2</v>
      </c>
      <c r="B7" s="131">
        <f>F5+F6+F7</f>
        <v>7797024.7186868684</v>
      </c>
      <c r="C7" s="131">
        <f>AVERAGE(F5:F7)</f>
        <v>2599008.2395622893</v>
      </c>
      <c r="F7" s="78">
        <f>Q7/22</f>
        <v>2419242.5909090908</v>
      </c>
      <c r="G7" s="90">
        <f t="shared" si="2"/>
        <v>-0.11182525519382092</v>
      </c>
      <c r="H7" s="90"/>
      <c r="I7" s="130">
        <f t="shared" si="0"/>
        <v>0.98306883691703673</v>
      </c>
      <c r="J7" s="130"/>
      <c r="K7" s="79">
        <f>R5+R6+R7</f>
        <v>0</v>
      </c>
      <c r="N7" s="88">
        <f>AVERAGE(T5:T7)</f>
        <v>0.98932458741608154</v>
      </c>
      <c r="P7" s="129" t="s">
        <v>2</v>
      </c>
      <c r="Q7" s="116">
        <v>53223337</v>
      </c>
      <c r="R7" s="116"/>
      <c r="S7" s="116">
        <v>54139990</v>
      </c>
      <c r="T7" s="130">
        <f t="shared" si="1"/>
        <v>0.98306883691703673</v>
      </c>
      <c r="U7" s="85">
        <f>Q5+Q6+Q7</f>
        <v>155331307</v>
      </c>
    </row>
    <row r="8" spans="1:21" ht="15" hidden="1" customHeight="1">
      <c r="A8" s="129" t="s">
        <v>3</v>
      </c>
      <c r="C8" s="79"/>
      <c r="F8" s="78">
        <f>Q8/21</f>
        <v>2834543.9047619049</v>
      </c>
      <c r="G8" s="90">
        <f t="shared" si="2"/>
        <v>0.17166584095923776</v>
      </c>
      <c r="H8" s="90"/>
      <c r="I8" s="130">
        <f t="shared" si="0"/>
        <v>1.0406627816697096</v>
      </c>
      <c r="J8" s="130"/>
      <c r="K8" s="78"/>
      <c r="P8" s="129" t="s">
        <v>3</v>
      </c>
      <c r="Q8" s="116">
        <v>59525422</v>
      </c>
      <c r="R8" s="116"/>
      <c r="S8" s="116">
        <v>57199530</v>
      </c>
      <c r="T8" s="130">
        <f t="shared" si="1"/>
        <v>1.0406627816697096</v>
      </c>
      <c r="U8" s="85"/>
    </row>
    <row r="9" spans="1:21" ht="15" hidden="1" customHeight="1">
      <c r="A9" s="129" t="s">
        <v>4</v>
      </c>
      <c r="C9" s="79"/>
      <c r="F9" s="78">
        <f>Q9/21</f>
        <v>2282289.5238095238</v>
      </c>
      <c r="G9" s="90">
        <f t="shared" si="2"/>
        <v>-0.19483006773139722</v>
      </c>
      <c r="H9" s="90"/>
      <c r="I9" s="130">
        <f t="shared" si="0"/>
        <v>1.0517784062318336</v>
      </c>
      <c r="J9" s="130"/>
      <c r="K9" s="78"/>
      <c r="P9" s="129" t="s">
        <v>4</v>
      </c>
      <c r="Q9" s="116">
        <v>47928080</v>
      </c>
      <c r="R9" s="116"/>
      <c r="S9" s="116">
        <v>45568610</v>
      </c>
      <c r="T9" s="130">
        <f t="shared" si="1"/>
        <v>1.0517784062318336</v>
      </c>
      <c r="U9" s="85"/>
    </row>
    <row r="10" spans="1:21" ht="15" hidden="1" customHeight="1">
      <c r="A10" s="129" t="s">
        <v>5</v>
      </c>
      <c r="B10" s="131">
        <f>F8+F9+F10</f>
        <v>6596390.1904761912</v>
      </c>
      <c r="C10" s="131">
        <f>AVERAGE(F8:F10)</f>
        <v>2198796.7301587304</v>
      </c>
      <c r="D10" s="90">
        <f>C10/C7-1</f>
        <v>-0.15398624110209069</v>
      </c>
      <c r="E10" s="286"/>
      <c r="F10" s="78">
        <f>Q10/21</f>
        <v>1479556.7619047619</v>
      </c>
      <c r="G10" s="90">
        <f t="shared" si="2"/>
        <v>-0.35172258100053244</v>
      </c>
      <c r="H10" s="90"/>
      <c r="I10" s="130">
        <f t="shared" si="0"/>
        <v>1.0255328559282202</v>
      </c>
      <c r="J10" s="130"/>
      <c r="K10" s="79">
        <f>R8+R9+R10</f>
        <v>0</v>
      </c>
      <c r="L10" s="87">
        <f>U10/U7-1</f>
        <v>-0.10820170978153165</v>
      </c>
      <c r="N10" s="88">
        <f>AVERAGE(T8:T10)</f>
        <v>1.0393246812765877</v>
      </c>
      <c r="O10" s="89">
        <f>N10/N7-1</f>
        <v>5.053962521147537E-2</v>
      </c>
      <c r="P10" s="129" t="s">
        <v>5</v>
      </c>
      <c r="Q10" s="116">
        <v>31070692</v>
      </c>
      <c r="R10" s="116"/>
      <c r="S10" s="116">
        <v>30297120</v>
      </c>
      <c r="T10" s="130">
        <f t="shared" si="1"/>
        <v>1.0255328559282202</v>
      </c>
      <c r="U10" s="85">
        <f>Q8+Q9+Q10</f>
        <v>138524194</v>
      </c>
    </row>
    <row r="11" spans="1:21" ht="15" hidden="1" customHeight="1">
      <c r="A11" s="129" t="s">
        <v>6</v>
      </c>
      <c r="C11" s="79"/>
      <c r="F11" s="78">
        <f>Q11/21</f>
        <v>1431244.7142857143</v>
      </c>
      <c r="G11" s="90">
        <f t="shared" si="2"/>
        <v>-3.2653054524823588E-2</v>
      </c>
      <c r="H11" s="90"/>
      <c r="I11" s="130">
        <f t="shared" si="0"/>
        <v>0.99215021222066191</v>
      </c>
      <c r="J11" s="130"/>
      <c r="K11" s="78"/>
      <c r="O11" s="89"/>
      <c r="P11" s="129" t="s">
        <v>6</v>
      </c>
      <c r="Q11" s="116">
        <v>30056139</v>
      </c>
      <c r="R11" s="116"/>
      <c r="S11" s="116">
        <v>30293940</v>
      </c>
      <c r="T11" s="130">
        <f t="shared" si="1"/>
        <v>0.99215021222066191</v>
      </c>
      <c r="U11" s="85"/>
    </row>
    <row r="12" spans="1:21" ht="15" hidden="1" customHeight="1">
      <c r="A12" s="129" t="s">
        <v>7</v>
      </c>
      <c r="C12" s="79"/>
      <c r="F12" s="78">
        <f>Q12/22</f>
        <v>1451691.6363636365</v>
      </c>
      <c r="G12" s="90">
        <f t="shared" si="2"/>
        <v>1.4286111853434091E-2</v>
      </c>
      <c r="H12" s="90"/>
      <c r="I12" s="130">
        <f t="shared" si="0"/>
        <v>0.93019482202720927</v>
      </c>
      <c r="J12" s="130"/>
      <c r="K12" s="78"/>
      <c r="O12" s="89"/>
      <c r="P12" s="129" t="s">
        <v>7</v>
      </c>
      <c r="Q12" s="116">
        <v>31937216</v>
      </c>
      <c r="R12" s="116"/>
      <c r="S12" s="116">
        <v>34333900</v>
      </c>
      <c r="T12" s="130">
        <f t="shared" si="1"/>
        <v>0.93019482202720927</v>
      </c>
      <c r="U12" s="85"/>
    </row>
    <row r="13" spans="1:21" ht="15" hidden="1" customHeight="1">
      <c r="A13" s="129" t="s">
        <v>96</v>
      </c>
      <c r="B13" s="131">
        <f>F11+F12+F13</f>
        <v>4383526.5006493507</v>
      </c>
      <c r="C13" s="131">
        <f>AVERAGE(F11:F13)</f>
        <v>1461175.5002164503</v>
      </c>
      <c r="D13" s="90">
        <f>C13/C10-1</f>
        <v>-0.33546585722320565</v>
      </c>
      <c r="E13" s="286"/>
      <c r="F13" s="78">
        <f>Q13/20</f>
        <v>1500590.15</v>
      </c>
      <c r="G13" s="90">
        <f t="shared" si="2"/>
        <v>3.3683815771543557E-2</v>
      </c>
      <c r="H13" s="90"/>
      <c r="I13" s="130">
        <f t="shared" si="0"/>
        <v>0.84184675102019746</v>
      </c>
      <c r="J13" s="130"/>
      <c r="K13" s="78">
        <f>R11+R12+R13</f>
        <v>0</v>
      </c>
      <c r="L13" s="87">
        <f>U13/U10-1</f>
        <v>-0.33581885341993034</v>
      </c>
      <c r="N13" s="88">
        <f>AVERAGE(T11:T13)</f>
        <v>0.92139726175602288</v>
      </c>
      <c r="O13" s="89">
        <f>N13/N10-1</f>
        <v>-0.11346542773882395</v>
      </c>
      <c r="P13" s="129" t="s">
        <v>96</v>
      </c>
      <c r="Q13" s="116">
        <v>30011803</v>
      </c>
      <c r="R13" s="116"/>
      <c r="S13" s="116">
        <v>35649960</v>
      </c>
      <c r="T13" s="130">
        <f t="shared" si="1"/>
        <v>0.84184675102019746</v>
      </c>
      <c r="U13" s="85">
        <f>Q11+Q12+Q13</f>
        <v>92005158</v>
      </c>
    </row>
    <row r="14" spans="1:21" ht="15" hidden="1" customHeight="1">
      <c r="A14" s="129" t="s">
        <v>97</v>
      </c>
      <c r="C14" s="79"/>
      <c r="F14" s="78">
        <f>Q14/20</f>
        <v>1307019.6000000001</v>
      </c>
      <c r="G14" s="90">
        <f t="shared" si="2"/>
        <v>-0.12899628189615919</v>
      </c>
      <c r="H14" s="90"/>
      <c r="I14" s="130">
        <f t="shared" si="0"/>
        <v>0.81150821849298294</v>
      </c>
      <c r="J14" s="130"/>
      <c r="O14" s="89"/>
      <c r="P14" s="129" t="s">
        <v>97</v>
      </c>
      <c r="Q14" s="116">
        <v>26140392</v>
      </c>
      <c r="R14" s="116"/>
      <c r="S14" s="116">
        <v>32212110</v>
      </c>
      <c r="T14" s="130">
        <f t="shared" si="1"/>
        <v>0.81150821849298294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1303222.8181818181</v>
      </c>
      <c r="G15" s="90">
        <f t="shared" si="2"/>
        <v>-2.9049157473858278E-3</v>
      </c>
      <c r="H15" s="90"/>
      <c r="I15" s="130">
        <f t="shared" si="0"/>
        <v>0.75595924730026631</v>
      </c>
      <c r="J15" s="130"/>
      <c r="O15" s="89"/>
      <c r="P15" s="129" t="s">
        <v>98</v>
      </c>
      <c r="Q15" s="116">
        <v>28670902</v>
      </c>
      <c r="R15" s="116"/>
      <c r="S15" s="116">
        <v>37926518</v>
      </c>
      <c r="T15" s="130">
        <f t="shared" si="1"/>
        <v>0.75595924730026631</v>
      </c>
      <c r="U15" s="85"/>
    </row>
    <row r="16" spans="1:21" ht="15" hidden="1" customHeight="1">
      <c r="A16" s="129" t="s">
        <v>99</v>
      </c>
      <c r="B16" s="131">
        <f>F14+F15+F16</f>
        <v>3744705.4636363634</v>
      </c>
      <c r="C16" s="131">
        <f>AVERAGE(F14:F16)</f>
        <v>1248235.1545454545</v>
      </c>
      <c r="D16" s="90">
        <f>C16/C13-1</f>
        <v>-0.1457322174095117</v>
      </c>
      <c r="E16" s="286"/>
      <c r="F16" s="78">
        <f>Q16/22</f>
        <v>1134463.0454545454</v>
      </c>
      <c r="G16" s="90">
        <f t="shared" si="2"/>
        <v>-0.12949418194097972</v>
      </c>
      <c r="H16" s="90"/>
      <c r="I16" s="130">
        <f t="shared" si="0"/>
        <v>0.7424203519339998</v>
      </c>
      <c r="J16" s="130"/>
      <c r="K16" s="78">
        <f>R14+R15+R16</f>
        <v>0</v>
      </c>
      <c r="L16" s="87">
        <f>U16/U13-1</f>
        <v>-0.13298903307138499</v>
      </c>
      <c r="N16" s="88">
        <f>AVERAGE(T14:T16)</f>
        <v>0.76996260590908305</v>
      </c>
      <c r="O16" s="89">
        <f>N16/N13-1</f>
        <v>-0.16435327315639259</v>
      </c>
      <c r="P16" s="129" t="s">
        <v>99</v>
      </c>
      <c r="Q16" s="116">
        <v>24958187</v>
      </c>
      <c r="R16" s="116"/>
      <c r="S16" s="116">
        <v>33617326</v>
      </c>
      <c r="T16" s="130">
        <f t="shared" si="1"/>
        <v>0.7424203519339998</v>
      </c>
      <c r="U16" s="85">
        <f>Q14+Q15+Q16</f>
        <v>79769481</v>
      </c>
    </row>
    <row r="17" spans="1:21" ht="15" hidden="1" customHeight="1">
      <c r="A17" s="129" t="s">
        <v>100</v>
      </c>
      <c r="C17" s="79"/>
      <c r="F17" s="78">
        <f>Q17/20</f>
        <v>1653745.55</v>
      </c>
      <c r="G17" s="90">
        <f t="shared" ref="G17:G22" si="3">F17/F16-1</f>
        <v>0.45773417355996271</v>
      </c>
      <c r="H17" s="90">
        <f t="shared" ref="H17:H22" si="4">F17/F5-1</f>
        <v>-0.37687291170616766</v>
      </c>
      <c r="I17" s="130">
        <f t="shared" si="0"/>
        <v>0.76423952474918089</v>
      </c>
      <c r="J17" s="130">
        <f t="shared" ref="J17:J49" si="5">I17/I5-1</f>
        <v>-0.24737803133266312</v>
      </c>
      <c r="O17" s="89"/>
      <c r="P17" s="129" t="s">
        <v>100</v>
      </c>
      <c r="Q17" s="116">
        <v>33074911</v>
      </c>
      <c r="R17" s="116">
        <v>41633919250</v>
      </c>
      <c r="S17" s="116">
        <v>43278200</v>
      </c>
      <c r="T17" s="130">
        <f t="shared" si="1"/>
        <v>0.76423952474918089</v>
      </c>
      <c r="U17" s="78"/>
    </row>
    <row r="18" spans="1:21" hidden="1">
      <c r="A18" s="129" t="s">
        <v>106</v>
      </c>
      <c r="C18" s="79"/>
      <c r="F18" s="78">
        <f>Q18/20</f>
        <v>1992910.65</v>
      </c>
      <c r="G18" s="90">
        <f t="shared" si="3"/>
        <v>0.20508904770749026</v>
      </c>
      <c r="H18" s="90">
        <f t="shared" si="4"/>
        <v>-0.26834418564029794</v>
      </c>
      <c r="I18" s="130">
        <f t="shared" si="0"/>
        <v>0.79453218146118632</v>
      </c>
      <c r="J18" s="130">
        <f t="shared" si="5"/>
        <v>-0.18044585907917621</v>
      </c>
      <c r="O18" s="89"/>
      <c r="P18" s="129" t="s">
        <v>106</v>
      </c>
      <c r="Q18" s="116">
        <v>39858213</v>
      </c>
      <c r="R18" s="116">
        <v>50039764735</v>
      </c>
      <c r="S18" s="116">
        <v>50165637</v>
      </c>
      <c r="T18" s="130">
        <f t="shared" si="1"/>
        <v>0.79453218146118632</v>
      </c>
      <c r="U18" s="78"/>
    </row>
    <row r="19" spans="1:21" hidden="1">
      <c r="A19" s="129" t="s">
        <v>114</v>
      </c>
      <c r="B19" s="131">
        <f>SUM(F17:F19)</f>
        <v>5832026.2000000002</v>
      </c>
      <c r="C19" s="131">
        <f>AVERAGE(F17:F19)</f>
        <v>1944008.7333333334</v>
      </c>
      <c r="D19" s="90">
        <f>C19/C16-1</f>
        <v>0.55740585117653185</v>
      </c>
      <c r="E19" s="286">
        <f>C19/C7-1</f>
        <v>-0.25201901873895838</v>
      </c>
      <c r="F19" s="78">
        <f>Q19/22</f>
        <v>2185370</v>
      </c>
      <c r="G19" s="90">
        <f t="shared" si="3"/>
        <v>9.6571991323344042E-2</v>
      </c>
      <c r="H19" s="90">
        <f t="shared" si="4"/>
        <v>-9.6671822738209734E-2</v>
      </c>
      <c r="I19" s="130">
        <f t="shared" si="0"/>
        <v>0.85447047706285384</v>
      </c>
      <c r="J19" s="130">
        <f t="shared" si="5"/>
        <v>-0.13081317912332069</v>
      </c>
      <c r="K19" s="78">
        <f>R17+R18+R19</f>
        <v>154504591541</v>
      </c>
      <c r="L19" s="87">
        <f>U19/U16-1</f>
        <v>0.51701205126306382</v>
      </c>
      <c r="M19" s="87">
        <f>U19/U7-1</f>
        <v>-0.22094736510521995</v>
      </c>
      <c r="N19" s="88">
        <f>AVERAGE(T17:T19)</f>
        <v>0.80441406109107361</v>
      </c>
      <c r="O19" s="89">
        <f>N19/N16-1</f>
        <v>4.4744322539292947E-2</v>
      </c>
      <c r="P19" s="129" t="s">
        <v>115</v>
      </c>
      <c r="Q19" s="116">
        <v>48078140</v>
      </c>
      <c r="R19" s="116">
        <v>62830907556</v>
      </c>
      <c r="S19" s="116">
        <v>56266590</v>
      </c>
      <c r="T19" s="130">
        <f t="shared" ref="T19" si="6">Q19/S19</f>
        <v>0.85447047706285384</v>
      </c>
      <c r="U19" s="85">
        <f>Q17+Q18+Q19</f>
        <v>121011264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1602045.3</v>
      </c>
      <c r="G20" s="90">
        <f t="shared" si="3"/>
        <v>-0.26692262637448116</v>
      </c>
      <c r="H20" s="90">
        <f t="shared" si="4"/>
        <v>-0.43481372883001146</v>
      </c>
      <c r="I20" s="130">
        <f t="shared" si="0"/>
        <v>0.85473413674238552</v>
      </c>
      <c r="J20" s="130">
        <f t="shared" si="5"/>
        <v>-0.17866368260908461</v>
      </c>
      <c r="O20" s="89"/>
      <c r="P20" s="129" t="s">
        <v>132</v>
      </c>
      <c r="Q20" s="116">
        <v>32040906</v>
      </c>
      <c r="R20" s="116">
        <v>42013226925</v>
      </c>
      <c r="S20" s="116">
        <v>37486400.299999997</v>
      </c>
      <c r="T20" s="130">
        <f t="shared" ref="T20" si="7">Q20/S20</f>
        <v>0.85473413674238552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1478511.142857143</v>
      </c>
      <c r="G21" s="90">
        <f t="shared" si="3"/>
        <v>-7.7110277183084053E-2</v>
      </c>
      <c r="H21" s="90">
        <f t="shared" si="4"/>
        <v>-0.3521807257874715</v>
      </c>
      <c r="I21" s="130">
        <f t="shared" si="0"/>
        <v>0.76631601446113329</v>
      </c>
      <c r="J21" s="130">
        <f t="shared" si="5"/>
        <v>-0.27140925320326315</v>
      </c>
      <c r="O21" s="89"/>
      <c r="P21" s="129" t="s">
        <v>141</v>
      </c>
      <c r="Q21" s="116">
        <v>31048734</v>
      </c>
      <c r="R21" s="116">
        <v>41338262447</v>
      </c>
      <c r="S21" s="116">
        <v>40516880</v>
      </c>
      <c r="T21" s="130">
        <f t="shared" ref="T21" si="8">Q21/S21</f>
        <v>0.76631601446113329</v>
      </c>
      <c r="U21" s="78"/>
    </row>
    <row r="22" spans="1:21" hidden="1">
      <c r="A22" s="129" t="s">
        <v>156</v>
      </c>
      <c r="B22" s="131">
        <f>SUM(F20:F22)</f>
        <v>4579020.9666666668</v>
      </c>
      <c r="C22" s="131">
        <f>AVERAGE(F20:F22)</f>
        <v>1526340.3222222223</v>
      </c>
      <c r="D22" s="90">
        <f>C22/C19-1</f>
        <v>-0.21484904051585585</v>
      </c>
      <c r="E22" s="286">
        <f>C22/C10-1</f>
        <v>-0.3058292741266555</v>
      </c>
      <c r="F22" s="78">
        <f>Q22/21</f>
        <v>1498464.5238095238</v>
      </c>
      <c r="G22" s="90">
        <f t="shared" si="3"/>
        <v>1.3495590512643707E-2</v>
      </c>
      <c r="H22" s="90">
        <f t="shared" si="4"/>
        <v>1.2779342024310303E-2</v>
      </c>
      <c r="I22" s="130">
        <f t="shared" si="0"/>
        <v>0.70331344611989921</v>
      </c>
      <c r="J22" s="130">
        <f t="shared" si="5"/>
        <v>-0.3141970615038725</v>
      </c>
      <c r="K22" s="78">
        <f>R20+R21+R22</f>
        <v>124331095150</v>
      </c>
      <c r="L22" s="87">
        <f>U22/U19-1</f>
        <v>-0.21860666623563241</v>
      </c>
      <c r="M22" s="87">
        <f>U22/U10-1</f>
        <v>-0.31739436794701725</v>
      </c>
      <c r="N22" s="88">
        <f>AVERAGE(T20:T22)</f>
        <v>0.77478786577447278</v>
      </c>
      <c r="O22" s="89">
        <f>N22/N19-1</f>
        <v>-3.6829534377379125E-2</v>
      </c>
      <c r="P22" s="129" t="s">
        <v>156</v>
      </c>
      <c r="Q22" s="116">
        <v>31467755</v>
      </c>
      <c r="R22" s="116">
        <v>40979605778</v>
      </c>
      <c r="S22" s="116">
        <v>44742149</v>
      </c>
      <c r="T22" s="130">
        <f t="shared" ref="T22:T23" si="9">Q22/S22</f>
        <v>0.70331344611989921</v>
      </c>
      <c r="U22" s="85">
        <f>Q20+Q21+Q22</f>
        <v>94557395</v>
      </c>
    </row>
    <row r="23" spans="1:21" hidden="1">
      <c r="A23" s="129" t="s">
        <v>189</v>
      </c>
      <c r="B23" s="131"/>
      <c r="C23" s="131"/>
      <c r="F23" s="78">
        <f>Q23/21</f>
        <v>1574470.2857142857</v>
      </c>
      <c r="G23" s="90">
        <f t="shared" ref="G23" si="10">F23/F22-1</f>
        <v>5.0722429992225315E-2</v>
      </c>
      <c r="H23" s="90">
        <f t="shared" ref="H23" si="11">F23/F11-1</f>
        <v>0.10007063781545589</v>
      </c>
      <c r="I23" s="130">
        <f t="shared" si="0"/>
        <v>0.63805432069509282</v>
      </c>
      <c r="J23" s="130">
        <f t="shared" si="5"/>
        <v>-0.35689746085224383</v>
      </c>
      <c r="O23" s="89"/>
      <c r="P23" s="129" t="s">
        <v>189</v>
      </c>
      <c r="Q23" s="116">
        <v>33063876</v>
      </c>
      <c r="R23" s="116">
        <v>42646684772</v>
      </c>
      <c r="S23" s="116">
        <v>51819845</v>
      </c>
      <c r="T23" s="130">
        <f t="shared" si="9"/>
        <v>0.63805432069509282</v>
      </c>
      <c r="U23" s="78"/>
    </row>
    <row r="24" spans="1:21" hidden="1">
      <c r="A24" s="129" t="s">
        <v>204</v>
      </c>
      <c r="B24" s="131"/>
      <c r="C24" s="131"/>
      <c r="F24" s="78">
        <f>Q24/22</f>
        <v>1631981.6818181819</v>
      </c>
      <c r="G24" s="90">
        <f t="shared" ref="G24" si="12">F24/F23-1</f>
        <v>3.6527457282437892E-2</v>
      </c>
      <c r="H24" s="90">
        <f t="shared" ref="H24" si="13">F24/F12-1</f>
        <v>0.12419307305934235</v>
      </c>
      <c r="I24" s="130">
        <f t="shared" si="0"/>
        <v>0.65386108173482749</v>
      </c>
      <c r="J24" s="130">
        <f t="shared" si="5"/>
        <v>-0.29707082188455647</v>
      </c>
      <c r="O24" s="89"/>
      <c r="P24" s="129" t="s">
        <v>204</v>
      </c>
      <c r="Q24" s="116">
        <v>35903597</v>
      </c>
      <c r="R24" s="116">
        <v>46989152922</v>
      </c>
      <c r="S24" s="116">
        <v>54910130</v>
      </c>
      <c r="T24" s="130">
        <f t="shared" ref="T24" si="14">Q24/S24</f>
        <v>0.65386108173482749</v>
      </c>
      <c r="U24" s="78"/>
    </row>
    <row r="25" spans="1:21" s="79" customFormat="1" ht="13.2" hidden="1">
      <c r="A25" s="129" t="s">
        <v>219</v>
      </c>
      <c r="B25" s="131">
        <f>SUM(F23:F25)</f>
        <v>5028754.0201640464</v>
      </c>
      <c r="C25" s="131">
        <f>AVERAGE(F23:F25)</f>
        <v>1676251.3400546822</v>
      </c>
      <c r="D25" s="90">
        <f>C25/C22-1</f>
        <v>9.8215984764264297E-2</v>
      </c>
      <c r="E25" s="286">
        <f>C25/C13-1</f>
        <v>0.14719370794704112</v>
      </c>
      <c r="F25" s="78">
        <f>Q25/19</f>
        <v>1822302.0526315789</v>
      </c>
      <c r="G25" s="90">
        <f t="shared" ref="G25" si="15">F25/F24-1</f>
        <v>0.1166191832504897</v>
      </c>
      <c r="H25" s="90">
        <f t="shared" ref="H25" si="16">F25/F13-1</f>
        <v>0.21439025348232432</v>
      </c>
      <c r="I25" s="130">
        <f t="shared" si="0"/>
        <v>0.65788451232191025</v>
      </c>
      <c r="J25" s="130">
        <f t="shared" si="5"/>
        <v>-0.21852224110308838</v>
      </c>
      <c r="K25" s="78">
        <f>R23+R24+R25</f>
        <v>135596764504</v>
      </c>
      <c r="L25" s="90">
        <f>U25/U22-1</f>
        <v>9.5537921703532591E-2</v>
      </c>
      <c r="M25" s="90">
        <f>U25/U13-1</f>
        <v>0.12592830936717703</v>
      </c>
      <c r="N25" s="88">
        <f>AVERAGE(T23:T25)</f>
        <v>0.64993330491727697</v>
      </c>
      <c r="O25" s="91">
        <f>N25/N22-1</f>
        <v>-0.16114676851887977</v>
      </c>
      <c r="P25" s="129" t="s">
        <v>219</v>
      </c>
      <c r="Q25" s="116">
        <v>34623739</v>
      </c>
      <c r="R25" s="116">
        <v>45960926810</v>
      </c>
      <c r="S25" s="116">
        <v>52628901.200000003</v>
      </c>
      <c r="T25" s="130">
        <f t="shared" ref="T25" si="17">Q25/S25</f>
        <v>0.65788451232191025</v>
      </c>
      <c r="U25" s="85">
        <f>Q23+Q24+Q25</f>
        <v>103591212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1989104.3157894737</v>
      </c>
      <c r="G26" s="90">
        <f t="shared" ref="G26" si="18">F26/F25-1</f>
        <v>9.1533817303786957E-2</v>
      </c>
      <c r="H26" s="90">
        <f t="shared" ref="H26" si="19">F26/F14-1</f>
        <v>0.52186265285499434</v>
      </c>
      <c r="I26" s="130">
        <f t="shared" si="0"/>
        <v>0.70590341970986836</v>
      </c>
      <c r="J26" s="130">
        <f t="shared" si="5"/>
        <v>-0.13013398555498146</v>
      </c>
      <c r="L26" s="90"/>
      <c r="M26" s="90"/>
      <c r="P26" s="129" t="s">
        <v>312</v>
      </c>
      <c r="Q26" s="116">
        <v>37792982</v>
      </c>
      <c r="R26" s="116">
        <v>50991503253</v>
      </c>
      <c r="S26" s="116">
        <v>53538460</v>
      </c>
      <c r="T26" s="130">
        <f t="shared" ref="T26" si="20">Q26/S26</f>
        <v>0.70590341970986836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1723626.6818181819</v>
      </c>
      <c r="G27" s="90">
        <f t="shared" ref="G27" si="21">F27/F26-1</f>
        <v>-0.13346591823462206</v>
      </c>
      <c r="H27" s="90">
        <f t="shared" ref="H27" si="22">F27/F15-1</f>
        <v>0.32258786277459994</v>
      </c>
      <c r="I27" s="130">
        <f t="shared" si="0"/>
        <v>0.71953668362829593</v>
      </c>
      <c r="J27" s="130">
        <f t="shared" si="5"/>
        <v>-4.8180591483000135E-2</v>
      </c>
      <c r="L27" s="90"/>
      <c r="M27" s="90"/>
      <c r="P27" s="129" t="s">
        <v>375</v>
      </c>
      <c r="Q27" s="116">
        <v>37919787</v>
      </c>
      <c r="R27" s="116">
        <v>50094054142</v>
      </c>
      <c r="S27" s="116">
        <v>52700283.200000003</v>
      </c>
      <c r="T27" s="130">
        <f t="shared" ref="T27" si="23">Q27/S27</f>
        <v>0.71953668362829593</v>
      </c>
      <c r="U27" s="78"/>
    </row>
    <row r="28" spans="1:21" s="79" customFormat="1" ht="13.2" hidden="1">
      <c r="A28" s="123" t="s">
        <v>413</v>
      </c>
      <c r="B28" s="131">
        <f>SUM(F26:F28)</f>
        <v>5351933.734449761</v>
      </c>
      <c r="C28" s="131">
        <f>AVERAGE(F26:F28)</f>
        <v>1783977.9114832536</v>
      </c>
      <c r="D28" s="90">
        <f>C28/C25-1</f>
        <v>6.4266359617082935E-2</v>
      </c>
      <c r="E28" s="286">
        <f>C28/C16-1</f>
        <v>0.42920018314408881</v>
      </c>
      <c r="F28" s="78">
        <f>Q28/19</f>
        <v>1639202.7368421052</v>
      </c>
      <c r="G28" s="90">
        <f t="shared" ref="G28" si="24">F28/F27-1</f>
        <v>-4.8980411980523164E-2</v>
      </c>
      <c r="H28" s="90">
        <f t="shared" ref="H28" si="25">F28/F16-1</f>
        <v>0.44491505775344642</v>
      </c>
      <c r="I28" s="130">
        <f t="shared" si="0"/>
        <v>0.72068890272655184</v>
      </c>
      <c r="J28" s="130">
        <f t="shared" si="5"/>
        <v>-2.9271084973408468E-2</v>
      </c>
      <c r="K28" s="78">
        <f>R26+R27+R28</f>
        <v>141752243130</v>
      </c>
      <c r="L28" s="90">
        <f>U28/U25-1</f>
        <v>3.1531719119185508E-2</v>
      </c>
      <c r="M28" s="90">
        <f>U28/U16-1</f>
        <v>0.33958024623477234</v>
      </c>
      <c r="N28" s="88">
        <f>AVERAGE(T26:T28)</f>
        <v>0.7153763353549053</v>
      </c>
      <c r="O28" s="91">
        <f>N28/N25-1</f>
        <v>0.10069191706671798</v>
      </c>
      <c r="P28" s="129" t="s">
        <v>413</v>
      </c>
      <c r="Q28" s="116">
        <v>31144852</v>
      </c>
      <c r="R28" s="116">
        <v>40666685735</v>
      </c>
      <c r="S28" s="116">
        <v>43215390</v>
      </c>
      <c r="T28" s="130">
        <f t="shared" ref="T28" si="26">Q28/S28</f>
        <v>0.72068890272655184</v>
      </c>
      <c r="U28" s="85">
        <f>Q26+Q27+Q28</f>
        <v>106857621</v>
      </c>
    </row>
    <row r="29" spans="1:21" s="79" customFormat="1" ht="13.2" hidden="1">
      <c r="A29" s="129" t="s">
        <v>435</v>
      </c>
      <c r="B29" s="188"/>
      <c r="C29" s="188"/>
      <c r="D29" s="189"/>
      <c r="E29" s="287"/>
      <c r="F29" s="136">
        <f>Q29/22</f>
        <v>1675952.7272727273</v>
      </c>
      <c r="G29" s="190">
        <f t="shared" ref="G29" si="27">F29/F28-1</f>
        <v>2.241942964384025E-2</v>
      </c>
      <c r="H29" s="190">
        <f t="shared" ref="H29" si="28">F29/F17-1</f>
        <v>1.3428412413703628E-2</v>
      </c>
      <c r="I29" s="130">
        <f t="shared" si="0"/>
        <v>0.71010925036217132</v>
      </c>
      <c r="J29" s="130">
        <f t="shared" si="5"/>
        <v>-7.0828938616822823E-2</v>
      </c>
      <c r="K29" s="136"/>
      <c r="L29" s="190"/>
      <c r="M29" s="190"/>
      <c r="N29" s="191"/>
      <c r="O29" s="192"/>
      <c r="P29" s="129" t="s">
        <v>435</v>
      </c>
      <c r="Q29" s="116">
        <v>36870960</v>
      </c>
      <c r="R29" s="116">
        <v>48368030967</v>
      </c>
      <c r="S29" s="116">
        <v>51922940</v>
      </c>
      <c r="T29" s="130">
        <f t="shared" ref="T29" si="29">Q29/S29</f>
        <v>0.71010925036217132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2205949.3684210526</v>
      </c>
      <c r="G30" s="190">
        <f t="shared" ref="G30" si="30">F30/F29-1</f>
        <v>0.31623603251076604</v>
      </c>
      <c r="H30" s="190">
        <f t="shared" ref="H30" si="31">F30/F18-1</f>
        <v>0.10689827886716974</v>
      </c>
      <c r="I30" s="130">
        <f t="shared" si="0"/>
        <v>0.73088567459255804</v>
      </c>
      <c r="J30" s="130">
        <f t="shared" si="5"/>
        <v>-8.0105637447660083E-2</v>
      </c>
      <c r="K30" s="136"/>
      <c r="L30" s="190"/>
      <c r="M30" s="190"/>
      <c r="N30" s="191"/>
      <c r="O30" s="192"/>
      <c r="P30" s="129" t="s">
        <v>466</v>
      </c>
      <c r="Q30" s="116">
        <v>41913038</v>
      </c>
      <c r="R30" s="116">
        <v>55847755610</v>
      </c>
      <c r="S30" s="116">
        <v>57345545.899999999</v>
      </c>
      <c r="T30" s="130">
        <f t="shared" ref="T30" si="32">Q30/S30</f>
        <v>0.73088567459255804</v>
      </c>
      <c r="U30" s="85"/>
    </row>
    <row r="31" spans="1:21" s="79" customFormat="1" ht="13.2" hidden="1">
      <c r="A31" s="129" t="s">
        <v>505</v>
      </c>
      <c r="B31" s="188">
        <f>SUM(F29:F31)</f>
        <v>5856178.6956937797</v>
      </c>
      <c r="C31" s="188">
        <f>AVERAGE(F29:F31)</f>
        <v>1952059.5652312599</v>
      </c>
      <c r="D31" s="190">
        <f>C31/C28-1</f>
        <v>9.4217340173375907E-2</v>
      </c>
      <c r="E31" s="287">
        <f>C31/C19-1</f>
        <v>4.141355828233273E-3</v>
      </c>
      <c r="F31" s="136">
        <f>Q31/20</f>
        <v>1974276.6</v>
      </c>
      <c r="G31" s="190">
        <f t="shared" ref="G31" si="33">F31/F30-1</f>
        <v>-0.10502179775181164</v>
      </c>
      <c r="H31" s="190">
        <f t="shared" ref="H31" si="34">F31/F19-1</f>
        <v>-9.6593894855333429E-2</v>
      </c>
      <c r="I31" s="130">
        <f t="shared" si="0"/>
        <v>0.78358442028532527</v>
      </c>
      <c r="J31" s="130">
        <f t="shared" si="5"/>
        <v>-8.2959047363685867E-2</v>
      </c>
      <c r="K31" s="136">
        <f>R29+R30+R31</f>
        <v>156654787166</v>
      </c>
      <c r="L31" s="190">
        <f>U31/U28-1</f>
        <v>0.10679546197271228</v>
      </c>
      <c r="M31" s="190">
        <f>U31/U19-1</f>
        <v>-2.2656849530966028E-2</v>
      </c>
      <c r="N31" s="191">
        <f>AVERAGE(T29:T31)</f>
        <v>0.74152644841335158</v>
      </c>
      <c r="O31" s="192">
        <f>N31/N28-1</f>
        <v>3.6554344568125785E-2</v>
      </c>
      <c r="P31" s="129" t="s">
        <v>506</v>
      </c>
      <c r="Q31" s="116">
        <v>39485532</v>
      </c>
      <c r="R31" s="116">
        <v>52439000589</v>
      </c>
      <c r="S31" s="116">
        <v>50390910</v>
      </c>
      <c r="T31" s="130">
        <f t="shared" ref="T31" si="35">Q31/S31</f>
        <v>0.78358442028532527</v>
      </c>
      <c r="U31" s="85">
        <f>Q29+Q30+Q31</f>
        <v>118269530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2611074.9523809524</v>
      </c>
      <c r="G32" s="190">
        <f t="shared" ref="G32" si="36">F32/F31-1</f>
        <v>0.32254768778647946</v>
      </c>
      <c r="H32" s="190">
        <f t="shared" ref="H32" si="37">F32/F20-1</f>
        <v>0.62983840243528211</v>
      </c>
      <c r="I32" s="130">
        <f t="shared" si="0"/>
        <v>0.83777970442615768</v>
      </c>
      <c r="J32" s="130">
        <f t="shared" si="5"/>
        <v>-1.9835913399745109E-2</v>
      </c>
      <c r="K32" s="136"/>
      <c r="L32" s="190"/>
      <c r="M32" s="190"/>
      <c r="N32" s="191"/>
      <c r="O32" s="192"/>
      <c r="P32" s="129" t="s">
        <v>569</v>
      </c>
      <c r="Q32" s="116">
        <v>54832574</v>
      </c>
      <c r="R32" s="116">
        <v>74742548780</v>
      </c>
      <c r="S32" s="116">
        <v>65449871.5</v>
      </c>
      <c r="T32" s="130">
        <f t="shared" ref="T32" si="38">Q32/S32</f>
        <v>0.83777970442615768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2265926.0476190476</v>
      </c>
      <c r="G33" s="190">
        <f t="shared" ref="G33" si="39">F33/F32-1</f>
        <v>-0.13218651745219911</v>
      </c>
      <c r="H33" s="190">
        <f t="shared" ref="H33" si="40">F33/F21-1</f>
        <v>0.53257285788206365</v>
      </c>
      <c r="I33" s="130">
        <f t="shared" si="0"/>
        <v>0.86063941739252292</v>
      </c>
      <c r="J33" s="130">
        <f t="shared" si="5"/>
        <v>0.12308682208307631</v>
      </c>
      <c r="K33" s="136"/>
      <c r="L33" s="190"/>
      <c r="M33" s="190"/>
      <c r="N33" s="191"/>
      <c r="O33" s="192"/>
      <c r="P33" s="129" t="s">
        <v>607</v>
      </c>
      <c r="Q33" s="116">
        <v>47584447</v>
      </c>
      <c r="R33" s="116">
        <v>65015469982</v>
      </c>
      <c r="S33" s="116">
        <v>55289644</v>
      </c>
      <c r="T33" s="130">
        <f t="shared" ref="T33" si="41">Q33/S33</f>
        <v>0.86063941739252292</v>
      </c>
      <c r="U33" s="85"/>
    </row>
    <row r="34" spans="1:21" s="79" customFormat="1" ht="13.2" hidden="1">
      <c r="A34" s="129" t="s">
        <v>652</v>
      </c>
      <c r="B34" s="188">
        <f>SUM(F32:F34)</f>
        <v>7854755.2631578948</v>
      </c>
      <c r="C34" s="188">
        <f>AVERAGE(F32:F34)</f>
        <v>2618251.7543859649</v>
      </c>
      <c r="D34" s="190">
        <f>C34/C31-1</f>
        <v>0.34127656810297258</v>
      </c>
      <c r="E34" s="287">
        <f>C34/C22-1</f>
        <v>0.71537875024752795</v>
      </c>
      <c r="F34" s="136">
        <f>Q34/19</f>
        <v>2977754.2631578948</v>
      </c>
      <c r="G34" s="190">
        <f t="shared" ref="G34" si="42">F34/F33-1</f>
        <v>0.31414450453350429</v>
      </c>
      <c r="H34" s="190">
        <f t="shared" ref="H34" si="43">F34/F22-1</f>
        <v>0.98720371142827923</v>
      </c>
      <c r="I34" s="130">
        <f t="shared" si="0"/>
        <v>0.84316226666985883</v>
      </c>
      <c r="J34" s="130">
        <f t="shared" si="5"/>
        <v>0.19884280802747312</v>
      </c>
      <c r="K34" s="136">
        <f>R32+R33+R34</f>
        <v>217591957740</v>
      </c>
      <c r="L34" s="190">
        <f>U34/U31-1</f>
        <v>0.34433908716809825</v>
      </c>
      <c r="M34" s="190">
        <f>U34/U22-1</f>
        <v>0.68145867385623293</v>
      </c>
      <c r="N34" s="191">
        <f>AVERAGE(T32:T34)</f>
        <v>0.84719379616284651</v>
      </c>
      <c r="O34" s="192">
        <f>N34/N31-1</f>
        <v>0.1424997691931178</v>
      </c>
      <c r="P34" s="129" t="s">
        <v>652</v>
      </c>
      <c r="Q34" s="116">
        <v>56577331</v>
      </c>
      <c r="R34" s="116">
        <v>77833938978</v>
      </c>
      <c r="S34" s="116">
        <v>67101355.5</v>
      </c>
      <c r="T34" s="130">
        <f t="shared" ref="T34" si="44">Q34/S34</f>
        <v>0.84316226666985883</v>
      </c>
      <c r="U34" s="85">
        <f>Q32+Q33+Q34</f>
        <v>158994352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2661900.086956522</v>
      </c>
      <c r="G35" s="190">
        <f t="shared" ref="G35" si="45">F35/F34-1</f>
        <v>-0.10607126991950333</v>
      </c>
      <c r="H35" s="190">
        <f t="shared" ref="H35" si="46">F35/F23-1</f>
        <v>0.6906639084324826</v>
      </c>
      <c r="I35" s="130">
        <f t="shared" si="0"/>
        <v>0.86728964575159306</v>
      </c>
      <c r="J35" s="130">
        <f t="shared" si="5"/>
        <v>0.35927242810106286</v>
      </c>
      <c r="K35" s="136"/>
      <c r="L35" s="190"/>
      <c r="M35" s="190"/>
      <c r="N35" s="191"/>
      <c r="O35" s="192"/>
      <c r="P35" s="129" t="s">
        <v>660</v>
      </c>
      <c r="Q35" s="116">
        <v>61223702</v>
      </c>
      <c r="R35" s="116">
        <v>84746673870</v>
      </c>
      <c r="S35" s="116">
        <v>70591990</v>
      </c>
      <c r="T35" s="130">
        <f t="shared" ref="T35" si="47">Q35/S35</f>
        <v>0.86728964575159306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3328770</v>
      </c>
      <c r="G36" s="190">
        <f t="shared" ref="G36" si="48">F36/F35-1</f>
        <v>0.25052402090941839</v>
      </c>
      <c r="H36" s="190">
        <f t="shared" ref="H36" si="49">F36/F24-1</f>
        <v>1.0397103944766313</v>
      </c>
      <c r="I36" s="130">
        <f t="shared" si="0"/>
        <v>0.88021473137713357</v>
      </c>
      <c r="J36" s="130">
        <f t="shared" si="5"/>
        <v>0.3461800311493437</v>
      </c>
      <c r="K36" s="136"/>
      <c r="L36" s="190"/>
      <c r="M36" s="190"/>
      <c r="N36" s="191"/>
      <c r="O36" s="192"/>
      <c r="P36" s="129" t="s">
        <v>666</v>
      </c>
      <c r="Q36" s="116">
        <v>69904170</v>
      </c>
      <c r="R36" s="116">
        <v>95689613028</v>
      </c>
      <c r="S36" s="116">
        <v>79417178</v>
      </c>
      <c r="T36" s="130">
        <f t="shared" ref="T36" si="50">Q36/S36</f>
        <v>0.88021473137713357</v>
      </c>
      <c r="U36" s="85"/>
    </row>
    <row r="37" spans="1:21" s="79" customFormat="1" ht="13.2" hidden="1">
      <c r="A37" s="129" t="s">
        <v>702</v>
      </c>
      <c r="B37" s="188">
        <f>SUM(F35:F37)</f>
        <v>9445029.6980676316</v>
      </c>
      <c r="C37" s="188">
        <f>AVERAGE(F35:F37)</f>
        <v>3148343.2326892107</v>
      </c>
      <c r="D37" s="190">
        <f>C37/C34-1</f>
        <v>0.20246008712312058</v>
      </c>
      <c r="E37" s="287">
        <f>C37/C25-1</f>
        <v>0.87820475215041816</v>
      </c>
      <c r="F37" s="136">
        <f>Q37/18</f>
        <v>3454359.611111111</v>
      </c>
      <c r="G37" s="190">
        <f t="shared" ref="G37" si="51">F37/F36-1</f>
        <v>3.7728533695963185E-2</v>
      </c>
      <c r="H37" s="190">
        <f t="shared" ref="H37" si="52">F37/F25-1</f>
        <v>0.89560210730305911</v>
      </c>
      <c r="I37" s="130">
        <f t="shared" si="0"/>
        <v>0.86911308905753415</v>
      </c>
      <c r="J37" s="130">
        <f t="shared" si="5"/>
        <v>0.32107242651164181</v>
      </c>
      <c r="K37" s="136">
        <f>R35+R36+R37</f>
        <v>263415841518</v>
      </c>
      <c r="L37" s="190">
        <f>U37/U34-1</f>
        <v>0.21580636398958375</v>
      </c>
      <c r="M37" s="190">
        <f>U37/U25-1</f>
        <v>0.86604965100707587</v>
      </c>
      <c r="N37" s="191">
        <f>AVERAGE(T35:T37)</f>
        <v>0.87220582206208697</v>
      </c>
      <c r="O37" s="192">
        <f>N37/N34-1</f>
        <v>2.9523381795908188E-2</v>
      </c>
      <c r="P37" s="129" t="s">
        <v>702</v>
      </c>
      <c r="Q37" s="116">
        <v>62178473</v>
      </c>
      <c r="R37" s="116">
        <v>82979554620</v>
      </c>
      <c r="S37" s="116">
        <v>71542442.269999996</v>
      </c>
      <c r="T37" s="130">
        <f t="shared" ref="T37" si="53">Q37/S37</f>
        <v>0.86911308905753415</v>
      </c>
      <c r="U37" s="85">
        <f>Q35+Q36+Q37</f>
        <v>193306345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3013858.1</v>
      </c>
      <c r="G38" s="190">
        <f t="shared" ref="G38" si="54">F38/F37-1</f>
        <v>-0.12752045551199043</v>
      </c>
      <c r="H38" s="190">
        <f t="shared" ref="H38" si="55">F38/F26-1</f>
        <v>0.5151835306353969</v>
      </c>
      <c r="I38" s="130">
        <f t="shared" si="0"/>
        <v>0.87161774233047484</v>
      </c>
      <c r="J38" s="130">
        <f t="shared" si="5"/>
        <v>0.23475495088083909</v>
      </c>
      <c r="K38" s="136"/>
      <c r="L38" s="190"/>
      <c r="M38" s="190"/>
      <c r="N38" s="191"/>
      <c r="O38" s="192"/>
      <c r="P38" s="129" t="s">
        <v>728</v>
      </c>
      <c r="Q38" s="116">
        <v>60277162</v>
      </c>
      <c r="R38" s="116">
        <v>81001478899</v>
      </c>
      <c r="S38" s="116">
        <v>69155501.400000006</v>
      </c>
      <c r="T38" s="130">
        <f t="shared" ref="T38" si="56">Q38/S38</f>
        <v>0.87161774233047484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2185699.1904761903</v>
      </c>
      <c r="G39" s="190">
        <f t="shared" ref="G39" si="57">F39/F38-1</f>
        <v>-0.27478364343822614</v>
      </c>
      <c r="H39" s="190">
        <f t="shared" ref="H39" si="58">F39/F27-1</f>
        <v>0.26808154778074522</v>
      </c>
      <c r="I39" s="130">
        <f t="shared" si="0"/>
        <v>0.87421116467779147</v>
      </c>
      <c r="J39" s="130">
        <f t="shared" si="5"/>
        <v>0.21496399637269725</v>
      </c>
      <c r="K39" s="136"/>
      <c r="L39" s="190"/>
      <c r="M39" s="190"/>
      <c r="N39" s="191"/>
      <c r="O39" s="192"/>
      <c r="P39" s="129" t="s">
        <v>762</v>
      </c>
      <c r="Q39" s="116">
        <v>45899683</v>
      </c>
      <c r="R39" s="116">
        <v>63839997002</v>
      </c>
      <c r="S39" s="116">
        <v>52504114.399999999</v>
      </c>
      <c r="T39" s="130">
        <f t="shared" ref="T39" si="59">Q39/S39</f>
        <v>0.87421116467779147</v>
      </c>
      <c r="U39" s="85"/>
    </row>
    <row r="40" spans="1:21" s="79" customFormat="1" ht="13.2" hidden="1">
      <c r="A40" s="129" t="s">
        <v>778</v>
      </c>
      <c r="B40" s="188">
        <f>SUM(F38:F40)</f>
        <v>7710413.4333333327</v>
      </c>
      <c r="C40" s="188">
        <f>AVERAGE(F38:F40)</f>
        <v>2570137.8111111107</v>
      </c>
      <c r="D40" s="190">
        <f>C40/C37-1</f>
        <v>-0.18365387089139451</v>
      </c>
      <c r="E40" s="287">
        <f>C40/C28-1</f>
        <v>0.44067804571314451</v>
      </c>
      <c r="F40" s="136">
        <f>Q40/21</f>
        <v>2510856.1428571427</v>
      </c>
      <c r="G40" s="190">
        <f t="shared" ref="G40" si="60">F40/F39-1</f>
        <v>0.14876564615925569</v>
      </c>
      <c r="H40" s="190">
        <f t="shared" ref="H40" si="61">F40/F28-1</f>
        <v>0.53175448431367456</v>
      </c>
      <c r="I40" s="130">
        <f t="shared" si="0"/>
        <v>0.82183539008393047</v>
      </c>
      <c r="J40" s="130">
        <f t="shared" si="5"/>
        <v>0.14034694717056895</v>
      </c>
      <c r="K40" s="136">
        <f>R38+R39+R40</f>
        <v>219568021005</v>
      </c>
      <c r="L40" s="190">
        <f>U40/U37-1</f>
        <v>-0.17796374454237396</v>
      </c>
      <c r="M40" s="190">
        <f>U40/U28-1</f>
        <v>0.48707057590211567</v>
      </c>
      <c r="N40" s="191">
        <f>AVERAGE(T38:T40)</f>
        <v>0.85588809903073226</v>
      </c>
      <c r="O40" s="192">
        <f>N40/N37-1</f>
        <v>-1.8708569260379448E-2</v>
      </c>
      <c r="P40" s="129" t="s">
        <v>778</v>
      </c>
      <c r="Q40" s="116">
        <v>52727979</v>
      </c>
      <c r="R40" s="116">
        <v>74726545104</v>
      </c>
      <c r="S40" s="116">
        <v>64158808</v>
      </c>
      <c r="T40" s="130">
        <f t="shared" ref="T40" si="62">Q40/S40</f>
        <v>0.82183539008393047</v>
      </c>
      <c r="U40" s="85">
        <f>Q38+Q39+Q40</f>
        <v>158904824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3202365.111111111</v>
      </c>
      <c r="G41" s="190">
        <f t="shared" ref="G41" si="63">F41/F40-1</f>
        <v>0.27540764142189733</v>
      </c>
      <c r="H41" s="190">
        <f t="shared" ref="H41" si="64">F41/F29-1</f>
        <v>0.91077293470103404</v>
      </c>
      <c r="I41" s="130">
        <f t="shared" si="0"/>
        <v>0.79020881199791626</v>
      </c>
      <c r="J41" s="130">
        <f t="shared" si="5"/>
        <v>0.11279892720013485</v>
      </c>
      <c r="K41" s="193"/>
      <c r="L41" s="190"/>
      <c r="M41" s="190"/>
      <c r="N41" s="193"/>
      <c r="O41" s="193"/>
      <c r="P41" s="129" t="s">
        <v>792</v>
      </c>
      <c r="Q41" s="116">
        <v>57642572</v>
      </c>
      <c r="R41" s="116">
        <v>84360000804</v>
      </c>
      <c r="S41" s="116">
        <v>72946000</v>
      </c>
      <c r="T41" s="130">
        <f t="shared" ref="T41" si="65">Q41/S41</f>
        <v>0.79020881199791626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2392097.7000000002</v>
      </c>
      <c r="G42" s="190">
        <f t="shared" ref="G42" si="66">F42/F41-1</f>
        <v>-0.25302155844121588</v>
      </c>
      <c r="H42" s="190">
        <f t="shared" ref="H42" si="67">F42/F30-1</f>
        <v>8.4384680012935531E-2</v>
      </c>
      <c r="I42" s="130">
        <f t="shared" si="0"/>
        <v>0.83417972498092219</v>
      </c>
      <c r="J42" s="130">
        <f t="shared" si="5"/>
        <v>0.14132723349099274</v>
      </c>
      <c r="K42" s="193"/>
      <c r="L42" s="190"/>
      <c r="M42" s="190"/>
      <c r="N42" s="193"/>
      <c r="O42" s="193"/>
      <c r="P42" s="129" t="s">
        <v>826</v>
      </c>
      <c r="Q42" s="116">
        <v>47841954</v>
      </c>
      <c r="R42" s="116">
        <v>69249031872</v>
      </c>
      <c r="S42" s="116">
        <v>57352094</v>
      </c>
      <c r="T42" s="130">
        <f t="shared" ref="T42" si="68">Q42/S42</f>
        <v>0.83417972498092219</v>
      </c>
      <c r="U42" s="78"/>
    </row>
    <row r="43" spans="1:21" s="79" customFormat="1" ht="13.2">
      <c r="A43" s="129" t="s">
        <v>835</v>
      </c>
      <c r="B43" s="188">
        <f>SUM(F41:F43)</f>
        <v>7972985.7611111114</v>
      </c>
      <c r="C43" s="188">
        <f>AVERAGE(F41:F43)</f>
        <v>2657661.9203703706</v>
      </c>
      <c r="D43" s="190">
        <f>C43/C40-1</f>
        <v>3.4054247550804329E-2</v>
      </c>
      <c r="E43" s="287">
        <f>C43/C31-1</f>
        <v>0.36146558624891045</v>
      </c>
      <c r="F43" s="136">
        <f>Q43/20</f>
        <v>2378522.9500000002</v>
      </c>
      <c r="G43" s="190">
        <f t="shared" ref="G43" si="69">F43/F42-1</f>
        <v>-5.6748309235028493E-3</v>
      </c>
      <c r="H43" s="190">
        <f t="shared" ref="H43" si="70">F43/F31-1</f>
        <v>0.20475669417345066</v>
      </c>
      <c r="I43" s="130">
        <f t="shared" si="0"/>
        <v>0.82452167587986069</v>
      </c>
      <c r="J43" s="130">
        <f t="shared" si="5"/>
        <v>5.2243580314714544E-2</v>
      </c>
      <c r="K43" s="136">
        <f>R41+R42+R43</f>
        <v>222603103804</v>
      </c>
      <c r="L43" s="190">
        <f>U43/U40-1</f>
        <v>-3.6813476474446105E-2</v>
      </c>
      <c r="M43" s="190">
        <f>K43/K31-1</f>
        <v>0.42097862332236002</v>
      </c>
      <c r="N43" s="191">
        <f>AVERAGE(T41:T43)</f>
        <v>0.81630340428623305</v>
      </c>
      <c r="O43" s="192">
        <f>N43/N40-1</f>
        <v>-4.6249848302982288E-2</v>
      </c>
      <c r="P43" s="129" t="s">
        <v>835</v>
      </c>
      <c r="Q43" s="116">
        <v>47570459</v>
      </c>
      <c r="R43" s="116">
        <v>68994071128</v>
      </c>
      <c r="S43" s="116">
        <v>57694613</v>
      </c>
      <c r="T43" s="130">
        <f t="shared" ref="T43" si="71">Q43/S43</f>
        <v>0.82452167587986069</v>
      </c>
      <c r="U43" s="85">
        <f>Q41+Q42+Q43</f>
        <v>153054985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2250116.5454545454</v>
      </c>
      <c r="G44" s="190">
        <f t="shared" ref="G44" si="72">F44/F43-1</f>
        <v>-5.3985774888341886E-2</v>
      </c>
      <c r="H44" s="190">
        <f t="shared" ref="H44" si="73">F44/F32-1</f>
        <v>-0.13824130425565184</v>
      </c>
      <c r="I44" s="130">
        <f t="shared" si="0"/>
        <v>0.7863553851863212</v>
      </c>
      <c r="J44" s="130">
        <f t="shared" si="5"/>
        <v>-6.1381672256025643E-2</v>
      </c>
      <c r="K44" s="136"/>
      <c r="L44" s="190"/>
      <c r="M44" s="190"/>
      <c r="N44" s="191"/>
      <c r="O44" s="192"/>
      <c r="P44" s="129" t="s">
        <v>843</v>
      </c>
      <c r="Q44" s="116">
        <v>49502564</v>
      </c>
      <c r="R44" s="116">
        <v>71951494652</v>
      </c>
      <c r="S44" s="116">
        <v>62951898</v>
      </c>
      <c r="T44" s="130">
        <f t="shared" ref="T44" si="74">Q44/S44</f>
        <v>0.7863553851863212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87"/>
      <c r="F45" s="136">
        <f>Q45/20</f>
        <v>2289583.1</v>
      </c>
      <c r="G45" s="190">
        <f t="shared" ref="G45" si="75">F45/F44-1</f>
        <v>1.7539782383797498E-2</v>
      </c>
      <c r="H45" s="190">
        <f t="shared" ref="H45" si="76">F45/F33-1</f>
        <v>1.0440346191267214E-2</v>
      </c>
      <c r="I45" s="130">
        <f t="shared" si="0"/>
        <v>0.71277808757793049</v>
      </c>
      <c r="J45" s="130">
        <f t="shared" si="5"/>
        <v>-0.17180404107281944</v>
      </c>
      <c r="K45" s="136"/>
      <c r="L45" s="190"/>
      <c r="M45" s="190"/>
      <c r="N45" s="191"/>
      <c r="O45" s="192"/>
      <c r="P45" s="129" t="s">
        <v>855</v>
      </c>
      <c r="Q45" s="116">
        <v>45791662</v>
      </c>
      <c r="R45" s="116">
        <v>64553575731</v>
      </c>
      <c r="S45" s="116">
        <v>64243925</v>
      </c>
      <c r="T45" s="130">
        <f t="shared" ref="T45" si="77">Q45/S45</f>
        <v>0.71277808757793049</v>
      </c>
      <c r="U45" s="85"/>
    </row>
    <row r="46" spans="1:21" s="79" customFormat="1" ht="13.2">
      <c r="A46" s="129" t="s">
        <v>893</v>
      </c>
      <c r="B46" s="188">
        <f>SUM(F44:F46)</f>
        <v>7079505.4875598084</v>
      </c>
      <c r="C46" s="188">
        <f>AVERAGE(F44:F46)</f>
        <v>2359835.162519936</v>
      </c>
      <c r="D46" s="190">
        <f>C46/C43-1</f>
        <v>-0.11206344778756872</v>
      </c>
      <c r="E46" s="287">
        <f>C46/C34-1</f>
        <v>-9.8698145215845745E-2</v>
      </c>
      <c r="F46" s="136">
        <f>Q46/19</f>
        <v>2539805.8421052634</v>
      </c>
      <c r="G46" s="190">
        <f t="shared" ref="G46" si="78">F46/F45-1</f>
        <v>0.10928746901794617</v>
      </c>
      <c r="H46" s="190">
        <f t="shared" ref="H46" si="79">F46/F34-1</f>
        <v>-0.14707339234507188</v>
      </c>
      <c r="I46" s="130">
        <f t="shared" si="0"/>
        <v>0.70443549264494587</v>
      </c>
      <c r="J46" s="130">
        <f t="shared" si="5"/>
        <v>-0.16453152555418094</v>
      </c>
      <c r="K46" s="136">
        <f>R44+R45+R46</f>
        <v>202553691009</v>
      </c>
      <c r="L46" s="190">
        <f>U46/U43-1</f>
        <v>-6.2098258348135427E-2</v>
      </c>
      <c r="M46" s="190">
        <f>K46/K34-1</f>
        <v>-6.9112235981484083E-2</v>
      </c>
      <c r="N46" s="191">
        <f>AVERAGE(T44:T46)</f>
        <v>0.73452298846973252</v>
      </c>
      <c r="O46" s="192">
        <f>N46/N43-1</f>
        <v>-0.10018384755850485</v>
      </c>
      <c r="P46" s="129" t="s">
        <v>928</v>
      </c>
      <c r="Q46" s="116">
        <v>48256311</v>
      </c>
      <c r="R46" s="116">
        <v>66048620626</v>
      </c>
      <c r="S46" s="116">
        <v>68503520.200000003</v>
      </c>
      <c r="T46" s="130">
        <f t="shared" ref="T46" si="80">Q46/S46</f>
        <v>0.70443549264494587</v>
      </c>
      <c r="U46" s="85">
        <f t="shared" ref="U46:U51" si="81">Q44+Q45+Q46</f>
        <v>143550537</v>
      </c>
    </row>
    <row r="47" spans="1:21" s="79" customFormat="1" ht="13.2">
      <c r="A47" s="129" t="s">
        <v>994</v>
      </c>
      <c r="B47" s="188"/>
      <c r="C47" s="188"/>
      <c r="D47" s="190"/>
      <c r="E47" s="287"/>
      <c r="F47" s="136">
        <f>Q47/23</f>
        <v>1965090.8260869565</v>
      </c>
      <c r="G47" s="190">
        <f t="shared" ref="G47" si="82">F47/F46-1</f>
        <v>-0.22628305144062566</v>
      </c>
      <c r="H47" s="190">
        <f t="shared" ref="H47" si="83">F47/F35-1</f>
        <v>-0.26177138063294514</v>
      </c>
      <c r="I47" s="130">
        <f t="shared" si="0"/>
        <v>0.71101280079302542</v>
      </c>
      <c r="J47" s="130">
        <f t="shared" si="5"/>
        <v>-0.18018991201392487</v>
      </c>
      <c r="K47" s="136"/>
      <c r="L47" s="190"/>
      <c r="M47" s="190"/>
      <c r="N47" s="191"/>
      <c r="O47" s="192"/>
      <c r="P47" s="129" t="s">
        <v>991</v>
      </c>
      <c r="Q47" s="116">
        <v>45197089</v>
      </c>
      <c r="R47" s="116">
        <v>61898075510</v>
      </c>
      <c r="S47" s="116">
        <v>63567194.5</v>
      </c>
      <c r="T47" s="130">
        <f t="shared" ref="T47" si="84">Q47/S47</f>
        <v>0.71101280079302542</v>
      </c>
      <c r="U47" s="85">
        <f t="shared" si="81"/>
        <v>139245062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2341600.9500000002</v>
      </c>
      <c r="G48" s="190">
        <f t="shared" ref="G48" si="85">F48/F47-1</f>
        <v>0.19159934946252855</v>
      </c>
      <c r="H48" s="190">
        <f t="shared" ref="H48" si="86">F48/F36-1</f>
        <v>-0.29655670112383847</v>
      </c>
      <c r="I48" s="130">
        <f t="shared" si="0"/>
        <v>0.70423232735353081</v>
      </c>
      <c r="J48" s="130">
        <f t="shared" si="5"/>
        <v>-0.19993121877007303</v>
      </c>
      <c r="K48" s="136"/>
      <c r="L48" s="190"/>
      <c r="M48" s="190"/>
      <c r="N48" s="191"/>
      <c r="O48" s="192"/>
      <c r="P48" s="129" t="s">
        <v>1120</v>
      </c>
      <c r="Q48" s="116">
        <v>46832019</v>
      </c>
      <c r="R48" s="116">
        <v>64967983014</v>
      </c>
      <c r="S48" s="116">
        <v>66500808.299999997</v>
      </c>
      <c r="T48" s="130">
        <f t="shared" ref="T48" si="87">Q48/S48</f>
        <v>0.70423232735353081</v>
      </c>
      <c r="U48" s="85">
        <f t="shared" si="81"/>
        <v>140285419</v>
      </c>
    </row>
    <row r="49" spans="1:26" ht="13.2">
      <c r="A49" s="129" t="s">
        <v>1207</v>
      </c>
      <c r="B49" s="188">
        <f>SUM(F47:F49)</f>
        <v>6644388.1397233196</v>
      </c>
      <c r="C49" s="188">
        <f>AVERAGE(F47:F49)</f>
        <v>2214796.0465744399</v>
      </c>
      <c r="D49" s="190">
        <f>C49/C46-1</f>
        <v>-6.1461545386338301E-2</v>
      </c>
      <c r="E49" s="287">
        <f>C49/C37-1</f>
        <v>-0.29652014317300646</v>
      </c>
      <c r="F49" s="136">
        <f>Q49/22</f>
        <v>2337696.3636363638</v>
      </c>
      <c r="G49" s="190">
        <f t="shared" ref="G49" si="88">F49/F48-1</f>
        <v>-1.6674858129163139E-3</v>
      </c>
      <c r="H49" s="190">
        <f t="shared" ref="H49" si="89">F49/F37-1</f>
        <v>-0.3232620147256664</v>
      </c>
      <c r="I49" s="130">
        <f t="shared" si="0"/>
        <v>0.69270686883342703</v>
      </c>
      <c r="J49" s="130">
        <f t="shared" si="5"/>
        <v>-0.20297268841665006</v>
      </c>
      <c r="K49" s="136">
        <f>R47+R48+R49</f>
        <v>198353340157</v>
      </c>
      <c r="L49" s="190">
        <f>U49/U46-1</f>
        <v>-6.4164859236992555E-4</v>
      </c>
      <c r="M49" s="190">
        <f>K49/K37-1</f>
        <v>-0.24699540083110028</v>
      </c>
      <c r="N49" s="191">
        <f>AVERAGE(T47:T49)</f>
        <v>0.70265066565999434</v>
      </c>
      <c r="O49" s="192">
        <f>N49/N46-1</f>
        <v>-4.3391865618990777E-2</v>
      </c>
      <c r="P49" s="129" t="s">
        <v>1165</v>
      </c>
      <c r="Q49" s="116">
        <v>51429320</v>
      </c>
      <c r="R49" s="116">
        <v>71487281633</v>
      </c>
      <c r="S49" s="116">
        <v>74243987.340000004</v>
      </c>
      <c r="T49" s="130">
        <f t="shared" ref="T49" si="90">Q49/S49</f>
        <v>0.69270686883342703</v>
      </c>
      <c r="U49" s="85">
        <f t="shared" si="81"/>
        <v>143458428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2235774.6666666665</v>
      </c>
      <c r="G50" s="190">
        <f t="shared" ref="G50" si="91">F50/F49-1</f>
        <v>-4.3599202426424011E-2</v>
      </c>
      <c r="H50" s="190">
        <f t="shared" ref="H50" si="92">F50/F38-1</f>
        <v>-0.25816856916167807</v>
      </c>
      <c r="I50" s="130">
        <f t="shared" ref="I50" si="93">T50</f>
        <v>0.69079715366321381</v>
      </c>
      <c r="J50" s="130">
        <f t="shared" ref="J50" si="94">I50/I38-1</f>
        <v>-0.2074540017781128</v>
      </c>
      <c r="K50" s="136"/>
      <c r="L50" s="190"/>
      <c r="M50" s="190"/>
      <c r="N50" s="191"/>
      <c r="O50" s="192"/>
      <c r="P50" s="129" t="s">
        <v>1291</v>
      </c>
      <c r="Q50" s="116">
        <v>40243944</v>
      </c>
      <c r="R50" s="116">
        <v>56782559766</v>
      </c>
      <c r="S50" s="116">
        <v>58257252.200000003</v>
      </c>
      <c r="T50" s="130">
        <f t="shared" ref="T50" si="95">Q50/S50</f>
        <v>0.69079715366321381</v>
      </c>
      <c r="U50" s="85">
        <f t="shared" si="81"/>
        <v>138505283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2259757.0499999998</v>
      </c>
      <c r="G51" s="190">
        <f t="shared" ref="G51:G52" si="96">F51/F50-1</f>
        <v>1.0726654922290857E-2</v>
      </c>
      <c r="H51" s="190">
        <f t="shared" ref="H51:H52" si="97">F51/F39-1</f>
        <v>3.3882914834074018E-2</v>
      </c>
      <c r="I51" s="130">
        <f t="shared" ref="I51:I52" si="98">T51</f>
        <v>0.66691955079254739</v>
      </c>
      <c r="J51" s="130">
        <f t="shared" ref="J51:J52" si="99">I51/I39-1</f>
        <v>-0.23711847006855113</v>
      </c>
      <c r="K51" s="136"/>
      <c r="L51" s="190"/>
      <c r="M51" s="190"/>
      <c r="N51" s="191"/>
      <c r="O51" s="192"/>
      <c r="P51" s="129" t="s">
        <v>1402</v>
      </c>
      <c r="Q51" s="116">
        <v>45195141</v>
      </c>
      <c r="R51" s="116">
        <v>65404034017</v>
      </c>
      <c r="S51" s="116">
        <v>67767005.700000003</v>
      </c>
      <c r="T51" s="130">
        <f t="shared" ref="T51:T52" si="100">Q51/S51</f>
        <v>0.66691955079254739</v>
      </c>
      <c r="U51" s="85">
        <f t="shared" si="81"/>
        <v>136868405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6602323.5348484851</v>
      </c>
      <c r="C52" s="188">
        <f>AVERAGE(F50:F52)</f>
        <v>2200774.5116161616</v>
      </c>
      <c r="D52" s="190">
        <f>C52/C49-1</f>
        <v>-6.3308470231220326E-3</v>
      </c>
      <c r="E52" s="287">
        <f>C52/C40-1</f>
        <v>-0.14371342186326874</v>
      </c>
      <c r="F52" s="136">
        <f>Q52/22</f>
        <v>2106791.8181818184</v>
      </c>
      <c r="G52" s="190">
        <f t="shared" si="96"/>
        <v>-6.7691007676325854E-2</v>
      </c>
      <c r="H52" s="190">
        <f t="shared" si="97"/>
        <v>-0.16092691165314366</v>
      </c>
      <c r="I52" s="130">
        <f t="shared" si="98"/>
        <v>0.61819849191371645</v>
      </c>
      <c r="J52" s="130">
        <f t="shared" si="99"/>
        <v>-0.24778307265329313</v>
      </c>
      <c r="K52" s="136">
        <f>R50+R51+R52</f>
        <v>190377833593</v>
      </c>
      <c r="L52" s="190">
        <f>U52/U49-1</f>
        <v>-8.1347071501438717E-2</v>
      </c>
      <c r="M52" s="190">
        <f>K52/K40-1</f>
        <v>-0.13294371046562958</v>
      </c>
      <c r="N52" s="191">
        <f>AVERAGE(T50:T52)</f>
        <v>0.65863839878982589</v>
      </c>
      <c r="O52" s="192">
        <f>N52/N49-1</f>
        <v>-6.263747979065537E-2</v>
      </c>
      <c r="P52" s="129" t="s">
        <v>1403</v>
      </c>
      <c r="Q52" s="116">
        <v>46349420</v>
      </c>
      <c r="R52" s="116">
        <v>68191239810</v>
      </c>
      <c r="S52" s="116">
        <v>74974980.700000003</v>
      </c>
      <c r="T52" s="130">
        <f t="shared" si="100"/>
        <v>0.61819849191371645</v>
      </c>
      <c r="U52" s="85">
        <f t="shared" ref="U52" si="101">Q50+Q51+Q52</f>
        <v>131788505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2013725.4761904762</v>
      </c>
      <c r="G53" s="190">
        <f t="shared" ref="G53" si="102">F53/F52-1</f>
        <v>-4.4174436784959248E-2</v>
      </c>
      <c r="H53" s="190">
        <f t="shared" ref="H53" si="103">F53/F41-1</f>
        <v>-0.37117555109392808</v>
      </c>
      <c r="I53" s="130">
        <f t="shared" ref="I53" si="104">T53</f>
        <v>0.63392917952797234</v>
      </c>
      <c r="J53" s="130">
        <f t="shared" ref="J53" si="105">I53/I41-1</f>
        <v>-0.19777004520465413</v>
      </c>
      <c r="K53" s="136"/>
      <c r="L53" s="190"/>
      <c r="M53" s="190"/>
      <c r="N53" s="191"/>
      <c r="O53" s="192"/>
      <c r="P53" s="129" t="s">
        <v>1414</v>
      </c>
      <c r="Q53" s="116">
        <v>42288235</v>
      </c>
      <c r="R53" s="116">
        <v>61459031346</v>
      </c>
      <c r="S53" s="116">
        <v>66708137.700000003</v>
      </c>
      <c r="T53" s="130">
        <f t="shared" ref="T53" si="106">Q53/S53</f>
        <v>0.63392917952797234</v>
      </c>
      <c r="U53" s="85">
        <f t="shared" ref="U53" si="107">Q51+Q52+Q53</f>
        <v>133832796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2699709.4705882352</v>
      </c>
      <c r="G54" s="190">
        <f t="shared" ref="G54" si="108">F54/F53-1</f>
        <v>0.34065417680243537</v>
      </c>
      <c r="H54" s="190">
        <f t="shared" ref="H54" si="109">F54/F42-1</f>
        <v>0.12859498614468579</v>
      </c>
      <c r="I54" s="130">
        <f t="shared" ref="I54" si="110">T54</f>
        <v>0.7049147521973359</v>
      </c>
      <c r="J54" s="130">
        <f t="shared" ref="J54" si="111">I54/I42-1</f>
        <v>-0.15496057853305245</v>
      </c>
      <c r="K54" s="136"/>
      <c r="L54" s="190"/>
      <c r="M54" s="190"/>
      <c r="N54" s="191"/>
      <c r="O54" s="192"/>
      <c r="P54" s="129" t="s">
        <v>1417</v>
      </c>
      <c r="Q54" s="116">
        <v>45895061</v>
      </c>
      <c r="R54" s="116">
        <v>66480045341</v>
      </c>
      <c r="S54" s="116">
        <v>65107250</v>
      </c>
      <c r="T54" s="130">
        <f t="shared" ref="T54" si="112">Q54/S54</f>
        <v>0.7049147521973359</v>
      </c>
      <c r="U54" s="85">
        <f t="shared" ref="U54" si="113">Q52+Q53+Q54</f>
        <v>134532716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7438938.9467787109</v>
      </c>
      <c r="C55" s="188">
        <f>AVERAGE(F53:F55)</f>
        <v>2479646.3155929036</v>
      </c>
      <c r="D55" s="190">
        <f>C55/C52-1</f>
        <v>0.12671530068382597</v>
      </c>
      <c r="E55" s="287">
        <f>C55/C43-1</f>
        <v>-6.6982035379676397E-2</v>
      </c>
      <c r="F55" s="136">
        <f>Q55/21</f>
        <v>2725504</v>
      </c>
      <c r="G55" s="190">
        <f t="shared" ref="G55" si="114">F55/F54-1</f>
        <v>9.5545575154589724E-3</v>
      </c>
      <c r="H55" s="190">
        <f t="shared" ref="H55" si="115">F55/F43-1</f>
        <v>0.14588089217301836</v>
      </c>
      <c r="I55" s="130">
        <f>T55</f>
        <v>0.8692518526562143</v>
      </c>
      <c r="J55" s="130">
        <f t="shared" ref="J55" si="116">I55/I43-1</f>
        <v>5.4249849439823805E-2</v>
      </c>
      <c r="K55" s="136">
        <f>R53+R54+R55</f>
        <v>212162935010</v>
      </c>
      <c r="L55" s="190">
        <f>U55/U52-1</f>
        <v>0.10342612961578102</v>
      </c>
      <c r="M55" s="190">
        <f>K55/K43-1</f>
        <v>-4.6900373874357415E-2</v>
      </c>
      <c r="N55" s="191">
        <f>AVERAGE(T53:T55)</f>
        <v>0.73603192812717422</v>
      </c>
      <c r="O55" s="192">
        <f>N55/N52-1</f>
        <v>0.11750534053214978</v>
      </c>
      <c r="P55" s="129" t="s">
        <v>1418</v>
      </c>
      <c r="Q55" s="116">
        <v>57235584</v>
      </c>
      <c r="R55" s="116">
        <v>84223858323</v>
      </c>
      <c r="S55" s="116">
        <v>65844650</v>
      </c>
      <c r="T55" s="130">
        <f t="shared" ref="T55" si="117">Q55/S55</f>
        <v>0.8692518526562143</v>
      </c>
      <c r="U55" s="85">
        <f t="shared" ref="U55" si="118">Q53+Q54+Q55</f>
        <v>145418880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3259948.1363636362</v>
      </c>
      <c r="G56" s="190">
        <f t="shared" ref="G56" si="119">F56/F55-1</f>
        <v>0.19609002091489725</v>
      </c>
      <c r="H56" s="190">
        <f t="shared" ref="H56" si="120">F56/F44-1</f>
        <v>0.44879079394756194</v>
      </c>
      <c r="I56" s="291">
        <f>T56</f>
        <v>1.5784820465939571</v>
      </c>
      <c r="J56" s="130">
        <f t="shared" ref="J56" si="121">I56/I44-1</f>
        <v>1.0073392722044465</v>
      </c>
      <c r="K56" s="136"/>
      <c r="L56" s="190"/>
      <c r="M56" s="190"/>
      <c r="N56" s="191"/>
      <c r="O56" s="192"/>
      <c r="P56" s="129" t="s">
        <v>1420</v>
      </c>
      <c r="Q56" s="116">
        <v>71718859</v>
      </c>
      <c r="R56" s="116">
        <v>107211567422</v>
      </c>
      <c r="S56" s="116">
        <v>45435334</v>
      </c>
      <c r="T56" s="130">
        <f t="shared" ref="T56" si="122">Q56/S56</f>
        <v>1.5784820465939571</v>
      </c>
      <c r="U56" s="85">
        <f t="shared" ref="U56" si="123">Q54+Q55+Q56</f>
        <v>174849504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4598748.333333333</v>
      </c>
      <c r="G57" s="254">
        <f t="shared" ref="G57" si="124">F57/F56-1</f>
        <v>0.41068144061429268</v>
      </c>
      <c r="H57" s="254">
        <f t="shared" ref="H57" si="125">F57/F45-1</f>
        <v>1.0085527069680644</v>
      </c>
      <c r="I57" s="282">
        <f>T57</f>
        <v>1.6560602946008844</v>
      </c>
      <c r="J57" s="277">
        <f t="shared" ref="J57" si="126">I57/I45-1</f>
        <v>1.323388335671615</v>
      </c>
      <c r="K57" s="204"/>
      <c r="L57" s="254"/>
      <c r="M57" s="254"/>
      <c r="N57" s="257"/>
      <c r="O57" s="258"/>
      <c r="P57" s="129" t="s">
        <v>1436</v>
      </c>
      <c r="Q57" s="116">
        <v>55184980</v>
      </c>
      <c r="R57" s="116">
        <v>81374949083</v>
      </c>
      <c r="S57" s="116">
        <v>33323050</v>
      </c>
      <c r="T57" s="130">
        <f t="shared" ref="T57" si="127">Q57/S57</f>
        <v>1.6560602946008844</v>
      </c>
      <c r="U57" s="85">
        <f t="shared" ref="U57" si="128">Q55+Q56+Q57</f>
        <v>184139423</v>
      </c>
      <c r="V57" s="79"/>
      <c r="W57" s="79"/>
      <c r="X57" s="79"/>
      <c r="Y57" s="79"/>
      <c r="Z57" s="79"/>
    </row>
    <row r="58" spans="1:26">
      <c r="B58" s="196">
        <f>SUM(F56:F58)</f>
        <v>7858696.4696969688</v>
      </c>
      <c r="C58" s="196">
        <f>AVERAGE(F56:F58)</f>
        <v>3929348.2348484844</v>
      </c>
      <c r="D58" s="197">
        <f>C58/C55-1</f>
        <v>0.58464060383907834</v>
      </c>
      <c r="E58" s="233">
        <f>C58/C46-1</f>
        <v>0.66509436644403297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272322719</v>
      </c>
      <c r="R65" s="212">
        <v>400749451515</v>
      </c>
      <c r="S65" s="213">
        <v>276418421.69999999</v>
      </c>
      <c r="T65" s="214">
        <v>16</v>
      </c>
      <c r="U65" s="214">
        <v>110</v>
      </c>
    </row>
    <row r="66" spans="16:21" ht="18" thickBot="1">
      <c r="P66" s="180" t="s">
        <v>976</v>
      </c>
      <c r="Q66" s="181">
        <v>42288235</v>
      </c>
      <c r="R66" s="181">
        <v>61459031346</v>
      </c>
      <c r="S66" s="182">
        <v>66708137.700000003</v>
      </c>
      <c r="T66" s="210">
        <v>6</v>
      </c>
      <c r="U66" s="210">
        <v>65</v>
      </c>
    </row>
    <row r="67" spans="16:21" ht="18" thickBot="1">
      <c r="P67" s="180" t="s">
        <v>977</v>
      </c>
      <c r="Q67" s="181">
        <v>45895061</v>
      </c>
      <c r="R67" s="181">
        <v>66480045341</v>
      </c>
      <c r="S67" s="182">
        <v>65107250</v>
      </c>
      <c r="T67" s="210">
        <v>10</v>
      </c>
      <c r="U67" s="210">
        <v>58</v>
      </c>
    </row>
    <row r="68" spans="16:21" ht="18" thickBot="1">
      <c r="P68" s="180" t="s">
        <v>978</v>
      </c>
      <c r="Q68" s="181">
        <v>57235584</v>
      </c>
      <c r="R68" s="181">
        <v>84223858323</v>
      </c>
      <c r="S68" s="182">
        <v>65844650</v>
      </c>
      <c r="T68" s="210">
        <v>11</v>
      </c>
      <c r="U68" s="210">
        <v>68</v>
      </c>
    </row>
    <row r="69" spans="16:21" ht="18" thickBot="1">
      <c r="P69" s="180" t="s">
        <v>979</v>
      </c>
      <c r="Q69" s="181">
        <v>71718859</v>
      </c>
      <c r="R69" s="181">
        <v>107211567422</v>
      </c>
      <c r="S69" s="182">
        <v>45435334</v>
      </c>
      <c r="T69" s="210">
        <v>9</v>
      </c>
      <c r="U69" s="210">
        <v>55</v>
      </c>
    </row>
    <row r="70" spans="16:21" ht="18" thickBot="1">
      <c r="P70" s="180" t="s">
        <v>980</v>
      </c>
      <c r="Q70" s="181">
        <v>55184980</v>
      </c>
      <c r="R70" s="181">
        <v>81374949083</v>
      </c>
      <c r="S70" s="182">
        <v>33323050</v>
      </c>
      <c r="T70" s="210">
        <v>8</v>
      </c>
      <c r="U70" s="210">
        <v>48</v>
      </c>
    </row>
    <row r="71" spans="16:21" ht="18" thickBot="1">
      <c r="P71" s="180" t="s">
        <v>975</v>
      </c>
      <c r="Q71" s="181">
        <v>571855455</v>
      </c>
      <c r="R71" s="181">
        <v>813892394103</v>
      </c>
      <c r="S71" s="182">
        <v>789003278.95000005</v>
      </c>
      <c r="T71" s="210">
        <v>23</v>
      </c>
      <c r="U71" s="210">
        <v>219</v>
      </c>
    </row>
    <row r="72" spans="16:21" ht="18" thickBot="1">
      <c r="P72" s="215" t="s">
        <v>982</v>
      </c>
      <c r="Q72" s="217" t="s">
        <v>1540</v>
      </c>
      <c r="R72"/>
      <c r="S72"/>
      <c r="T72"/>
      <c r="U72"/>
    </row>
  </sheetData>
  <phoneticPr fontId="1" type="noConversion"/>
  <conditionalFormatting sqref="C29:C30">
    <cfRule type="cellIs" dxfId="2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65"/>
  <dimension ref="A1:Z73"/>
  <sheetViews>
    <sheetView topLeftCell="B1" zoomScale="85" zoomScaleNormal="85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26374.15</v>
      </c>
      <c r="G5" s="90"/>
      <c r="H5" s="90"/>
      <c r="I5" s="130">
        <f t="shared" ref="I5:I49" si="0">T5</f>
        <v>130.58998868596242</v>
      </c>
      <c r="J5" s="130"/>
      <c r="L5" s="80"/>
      <c r="M5" s="80"/>
      <c r="P5" s="129" t="s">
        <v>0</v>
      </c>
      <c r="Q5" s="116">
        <v>527483</v>
      </c>
      <c r="R5" s="116"/>
      <c r="S5" s="116">
        <v>4039.23</v>
      </c>
      <c r="T5" s="130">
        <f t="shared" ref="T5:T23" si="1">Q5/S5</f>
        <v>130.58998868596242</v>
      </c>
      <c r="U5" s="85"/>
    </row>
    <row r="6" spans="1:21" ht="15" hidden="1" customHeight="1">
      <c r="A6" s="129" t="s">
        <v>1</v>
      </c>
      <c r="C6" s="79"/>
      <c r="F6" s="78">
        <f>Q6/18</f>
        <v>29314.833333333332</v>
      </c>
      <c r="G6" s="90">
        <f t="shared" ref="G6:G22" si="2">F6/F5-1</f>
        <v>0.11149869600852846</v>
      </c>
      <c r="H6" s="90"/>
      <c r="I6" s="130">
        <f t="shared" si="0"/>
        <v>136.45101730504669</v>
      </c>
      <c r="J6" s="130"/>
      <c r="P6" s="129" t="s">
        <v>1</v>
      </c>
      <c r="Q6" s="116">
        <v>527667</v>
      </c>
      <c r="R6" s="116"/>
      <c r="S6" s="116">
        <v>3867.08</v>
      </c>
      <c r="T6" s="130">
        <f t="shared" si="1"/>
        <v>136.45101730504669</v>
      </c>
      <c r="U6" s="85"/>
    </row>
    <row r="7" spans="1:21" ht="15" hidden="1" customHeight="1">
      <c r="A7" s="129" t="s">
        <v>2</v>
      </c>
      <c r="B7" s="131">
        <f>F5+F6+F7</f>
        <v>109485.89242424243</v>
      </c>
      <c r="C7" s="131">
        <f>AVERAGE(F5:F7)</f>
        <v>36495.297474747473</v>
      </c>
      <c r="F7" s="78">
        <f>Q7/22</f>
        <v>53796.909090909088</v>
      </c>
      <c r="G7" s="90">
        <f t="shared" si="2"/>
        <v>0.83514292846883276</v>
      </c>
      <c r="H7" s="90"/>
      <c r="I7" s="130">
        <f t="shared" si="0"/>
        <v>202.81482573133889</v>
      </c>
      <c r="J7" s="130"/>
      <c r="K7" s="79">
        <f>R5+R6+R7</f>
        <v>0</v>
      </c>
      <c r="N7" s="88">
        <f>AVERAGE(T5:T7)</f>
        <v>156.61861057411599</v>
      </c>
      <c r="P7" s="129" t="s">
        <v>2</v>
      </c>
      <c r="Q7" s="116">
        <v>1183532</v>
      </c>
      <c r="R7" s="116"/>
      <c r="S7" s="116">
        <v>5835.53</v>
      </c>
      <c r="T7" s="130">
        <f t="shared" si="1"/>
        <v>202.81482573133889</v>
      </c>
      <c r="U7" s="85">
        <f>Q5+Q6+Q7</f>
        <v>2238682</v>
      </c>
    </row>
    <row r="8" spans="1:21" ht="15" hidden="1" customHeight="1">
      <c r="A8" s="129" t="s">
        <v>3</v>
      </c>
      <c r="C8" s="79"/>
      <c r="F8" s="78">
        <f>Q8/21</f>
        <v>19755.047619047618</v>
      </c>
      <c r="G8" s="90">
        <f t="shared" si="2"/>
        <v>-0.63278470914259377</v>
      </c>
      <c r="H8" s="90"/>
      <c r="I8" s="130">
        <f t="shared" si="0"/>
        <v>191.83294105678837</v>
      </c>
      <c r="J8" s="130"/>
      <c r="K8" s="78"/>
      <c r="P8" s="129" t="s">
        <v>3</v>
      </c>
      <c r="Q8" s="116">
        <v>414856</v>
      </c>
      <c r="R8" s="116"/>
      <c r="S8" s="116">
        <v>2162.59</v>
      </c>
      <c r="T8" s="130">
        <f t="shared" si="1"/>
        <v>191.83294105678837</v>
      </c>
      <c r="U8" s="85"/>
    </row>
    <row r="9" spans="1:21" ht="15" hidden="1" customHeight="1">
      <c r="A9" s="129" t="s">
        <v>4</v>
      </c>
      <c r="C9" s="79"/>
      <c r="F9" s="78">
        <f>Q9/21</f>
        <v>52306.619047619046</v>
      </c>
      <c r="G9" s="90">
        <f t="shared" si="2"/>
        <v>1.6477597045721888</v>
      </c>
      <c r="H9" s="90"/>
      <c r="I9" s="130">
        <f t="shared" si="0"/>
        <v>483.30620039071431</v>
      </c>
      <c r="J9" s="130"/>
      <c r="K9" s="78"/>
      <c r="P9" s="129" t="s">
        <v>4</v>
      </c>
      <c r="Q9" s="116">
        <v>1098439</v>
      </c>
      <c r="R9" s="116"/>
      <c r="S9" s="116">
        <v>2272.7600000000002</v>
      </c>
      <c r="T9" s="130">
        <f t="shared" si="1"/>
        <v>483.30620039071431</v>
      </c>
      <c r="U9" s="85"/>
    </row>
    <row r="10" spans="1:21" ht="15" hidden="1" customHeight="1">
      <c r="A10" s="129" t="s">
        <v>5</v>
      </c>
      <c r="B10" s="131">
        <f>F8+F9+F10</f>
        <v>131806.14285714284</v>
      </c>
      <c r="C10" s="131">
        <f>AVERAGE(F8:F10)</f>
        <v>43935.380952380947</v>
      </c>
      <c r="D10" s="90">
        <f>C10/C7-1</f>
        <v>0.20386416860368262</v>
      </c>
      <c r="E10" s="286"/>
      <c r="F10" s="78">
        <f>Q10/21</f>
        <v>59744.476190476191</v>
      </c>
      <c r="G10" s="90">
        <f t="shared" si="2"/>
        <v>0.14219724536364797</v>
      </c>
      <c r="H10" s="90"/>
      <c r="I10" s="130">
        <f t="shared" si="0"/>
        <v>169.09680010566578</v>
      </c>
      <c r="J10" s="130"/>
      <c r="K10" s="79">
        <f>R8+R9+R10</f>
        <v>0</v>
      </c>
      <c r="L10" s="87">
        <f>U10/U7-1</f>
        <v>0.23641008414772613</v>
      </c>
      <c r="N10" s="88">
        <f>AVERAGE(T8:T10)</f>
        <v>281.41198051772284</v>
      </c>
      <c r="O10" s="89">
        <f>N10/N7-1</f>
        <v>0.79679783574986685</v>
      </c>
      <c r="P10" s="129" t="s">
        <v>5</v>
      </c>
      <c r="Q10" s="116">
        <v>1254634</v>
      </c>
      <c r="R10" s="116"/>
      <c r="S10" s="116">
        <v>7419.62</v>
      </c>
      <c r="T10" s="130">
        <f t="shared" si="1"/>
        <v>169.09680010566578</v>
      </c>
      <c r="U10" s="85">
        <f>Q8+Q9+Q10</f>
        <v>2767929</v>
      </c>
    </row>
    <row r="11" spans="1:21" ht="15" hidden="1" customHeight="1">
      <c r="A11" s="129" t="s">
        <v>6</v>
      </c>
      <c r="C11" s="79"/>
      <c r="F11" s="78">
        <f>Q11/21</f>
        <v>30149.761904761905</v>
      </c>
      <c r="G11" s="90">
        <f t="shared" si="2"/>
        <v>-0.49535482060903813</v>
      </c>
      <c r="H11" s="90"/>
      <c r="I11" s="130">
        <f t="shared" si="0"/>
        <v>198.96955488793634</v>
      </c>
      <c r="J11" s="130"/>
      <c r="K11" s="78"/>
      <c r="O11" s="89"/>
      <c r="P11" s="129" t="s">
        <v>6</v>
      </c>
      <c r="Q11" s="116">
        <v>633145</v>
      </c>
      <c r="R11" s="116"/>
      <c r="S11" s="116">
        <v>3182.12</v>
      </c>
      <c r="T11" s="130">
        <f t="shared" si="1"/>
        <v>198.96955488793634</v>
      </c>
      <c r="U11" s="85"/>
    </row>
    <row r="12" spans="1:21" ht="15" hidden="1" customHeight="1">
      <c r="A12" s="129" t="s">
        <v>7</v>
      </c>
      <c r="C12" s="79"/>
      <c r="F12" s="78">
        <f>Q12/22</f>
        <v>46679.681818181816</v>
      </c>
      <c r="G12" s="90">
        <f t="shared" si="2"/>
        <v>0.54826037982108078</v>
      </c>
      <c r="H12" s="90"/>
      <c r="I12" s="130">
        <f t="shared" si="0"/>
        <v>520.13421799027549</v>
      </c>
      <c r="J12" s="130"/>
      <c r="K12" s="78"/>
      <c r="O12" s="89"/>
      <c r="P12" s="129" t="s">
        <v>7</v>
      </c>
      <c r="Q12" s="116">
        <v>1026953</v>
      </c>
      <c r="R12" s="116"/>
      <c r="S12" s="116">
        <v>1974.4</v>
      </c>
      <c r="T12" s="130">
        <f t="shared" si="1"/>
        <v>520.13421799027549</v>
      </c>
      <c r="U12" s="85"/>
    </row>
    <row r="13" spans="1:21" ht="15" hidden="1" customHeight="1">
      <c r="A13" s="129" t="s">
        <v>96</v>
      </c>
      <c r="B13" s="131">
        <f>F11+F12+F13</f>
        <v>138727.39372294373</v>
      </c>
      <c r="C13" s="131">
        <f>AVERAGE(F11:F13)</f>
        <v>46242.464574314574</v>
      </c>
      <c r="D13" s="90">
        <f>C13/C10-1</f>
        <v>5.2510836868221222E-2</v>
      </c>
      <c r="E13" s="286"/>
      <c r="F13" s="78">
        <f>Q13/20</f>
        <v>61897.95</v>
      </c>
      <c r="G13" s="90">
        <f t="shared" si="2"/>
        <v>0.32601482248944214</v>
      </c>
      <c r="H13" s="90"/>
      <c r="I13" s="130">
        <f t="shared" si="0"/>
        <v>341.33926331143141</v>
      </c>
      <c r="J13" s="130"/>
      <c r="K13" s="78">
        <f>R11+R12+R13</f>
        <v>0</v>
      </c>
      <c r="L13" s="87">
        <f>U13/U10-1</f>
        <v>4.7012766584692001E-2</v>
      </c>
      <c r="N13" s="88">
        <f>AVERAGE(T11:T13)</f>
        <v>353.48101206321445</v>
      </c>
      <c r="O13" s="89">
        <f>N13/N10-1</f>
        <v>0.25609795081539821</v>
      </c>
      <c r="P13" s="129" t="s">
        <v>96</v>
      </c>
      <c r="Q13" s="116">
        <v>1237959</v>
      </c>
      <c r="R13" s="116"/>
      <c r="S13" s="116">
        <v>3626.77</v>
      </c>
      <c r="T13" s="130">
        <f t="shared" si="1"/>
        <v>341.33926331143141</v>
      </c>
      <c r="U13" s="85">
        <f>Q11+Q12+Q13</f>
        <v>2898057</v>
      </c>
    </row>
    <row r="14" spans="1:21" ht="15" hidden="1" customHeight="1">
      <c r="A14" s="129" t="s">
        <v>97</v>
      </c>
      <c r="C14" s="79"/>
      <c r="F14" s="78">
        <f>Q14/20</f>
        <v>39803.699999999997</v>
      </c>
      <c r="G14" s="90">
        <f t="shared" si="2"/>
        <v>-0.35694639321657662</v>
      </c>
      <c r="H14" s="90"/>
      <c r="I14" s="130">
        <f t="shared" si="0"/>
        <v>260.60116015660805</v>
      </c>
      <c r="J14" s="130"/>
      <c r="O14" s="89"/>
      <c r="P14" s="129" t="s">
        <v>97</v>
      </c>
      <c r="Q14" s="116">
        <v>796074</v>
      </c>
      <c r="R14" s="116"/>
      <c r="S14" s="116">
        <v>3054.76</v>
      </c>
      <c r="T14" s="130">
        <f t="shared" si="1"/>
        <v>260.60116015660805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48572.181818181816</v>
      </c>
      <c r="G15" s="90">
        <f t="shared" si="2"/>
        <v>0.22029313400969808</v>
      </c>
      <c r="H15" s="90"/>
      <c r="I15" s="130">
        <f t="shared" si="0"/>
        <v>314.72472322114919</v>
      </c>
      <c r="J15" s="130"/>
      <c r="O15" s="89"/>
      <c r="P15" s="129" t="s">
        <v>98</v>
      </c>
      <c r="Q15" s="116">
        <v>1068588</v>
      </c>
      <c r="R15" s="116"/>
      <c r="S15" s="116">
        <v>3395.31</v>
      </c>
      <c r="T15" s="130">
        <f t="shared" si="1"/>
        <v>314.72472322114919</v>
      </c>
      <c r="U15" s="78"/>
    </row>
    <row r="16" spans="1:21" ht="15" hidden="1" customHeight="1">
      <c r="A16" s="129" t="s">
        <v>99</v>
      </c>
      <c r="B16" s="131">
        <f>F14+F15+F16</f>
        <v>191709.56363636363</v>
      </c>
      <c r="C16" s="131">
        <f>AVERAGE(F14:F16)</f>
        <v>63903.187878787874</v>
      </c>
      <c r="D16" s="90">
        <f>C16/C13-1</f>
        <v>0.38191570166186528</v>
      </c>
      <c r="E16" s="286"/>
      <c r="F16" s="78">
        <f>Q16/22</f>
        <v>103333.68181818182</v>
      </c>
      <c r="G16" s="90">
        <f t="shared" si="2"/>
        <v>1.1274251629252809</v>
      </c>
      <c r="H16" s="90"/>
      <c r="I16" s="130">
        <f t="shared" si="0"/>
        <v>530.88031647210198</v>
      </c>
      <c r="J16" s="130"/>
      <c r="K16" s="78">
        <f>R14+R15+R16</f>
        <v>0</v>
      </c>
      <c r="L16" s="87">
        <f>U16/U13-1</f>
        <v>0.42785424855342735</v>
      </c>
      <c r="N16" s="88">
        <f>AVERAGE(T14:T16)</f>
        <v>368.73539994995309</v>
      </c>
      <c r="O16" s="89">
        <f>N16/N13-1</f>
        <v>4.3154759000210818E-2</v>
      </c>
      <c r="P16" s="129" t="s">
        <v>99</v>
      </c>
      <c r="Q16" s="116">
        <v>2273341</v>
      </c>
      <c r="R16" s="116"/>
      <c r="S16" s="116">
        <v>4282.21</v>
      </c>
      <c r="T16" s="130">
        <f t="shared" si="1"/>
        <v>530.88031647210198</v>
      </c>
      <c r="U16" s="85">
        <f>Q14+Q15+Q16</f>
        <v>4138003</v>
      </c>
    </row>
    <row r="17" spans="1:21" ht="15" hidden="1" customHeight="1">
      <c r="A17" s="129" t="s">
        <v>100</v>
      </c>
      <c r="C17" s="79"/>
      <c r="F17" s="78">
        <f>Q17/20</f>
        <v>90511.1</v>
      </c>
      <c r="G17" s="90">
        <f t="shared" si="2"/>
        <v>-0.12408908298403099</v>
      </c>
      <c r="H17" s="90">
        <f t="shared" ref="H17:H22" si="3">F17/F5-1</f>
        <v>2.4318110725843298</v>
      </c>
      <c r="I17" s="130">
        <f t="shared" si="0"/>
        <v>423.98723978339478</v>
      </c>
      <c r="J17" s="130">
        <f t="shared" ref="J17:J49" si="4">I17/I5-1</f>
        <v>2.2467055403686595</v>
      </c>
      <c r="O17" s="89"/>
      <c r="P17" s="129" t="s">
        <v>100</v>
      </c>
      <c r="Q17" s="116">
        <v>1810222</v>
      </c>
      <c r="R17" s="116">
        <v>2242862978</v>
      </c>
      <c r="S17" s="116">
        <v>4269.5200000000004</v>
      </c>
      <c r="T17" s="130">
        <f t="shared" si="1"/>
        <v>423.98723978339478</v>
      </c>
      <c r="U17" s="78"/>
    </row>
    <row r="18" spans="1:21" ht="15" hidden="1" customHeight="1">
      <c r="A18" s="129" t="s">
        <v>106</v>
      </c>
      <c r="C18" s="79"/>
      <c r="F18" s="78">
        <f>Q18/20</f>
        <v>55206.400000000001</v>
      </c>
      <c r="G18" s="90">
        <f t="shared" si="2"/>
        <v>-0.39005934078803595</v>
      </c>
      <c r="H18" s="90">
        <f t="shared" si="3"/>
        <v>0.88322407882243925</v>
      </c>
      <c r="I18" s="130">
        <f t="shared" si="0"/>
        <v>327.59456564631603</v>
      </c>
      <c r="J18" s="130">
        <f t="shared" si="4"/>
        <v>1.4008217169532222</v>
      </c>
      <c r="O18" s="89"/>
      <c r="P18" s="129" t="s">
        <v>106</v>
      </c>
      <c r="Q18" s="116">
        <v>1104128</v>
      </c>
      <c r="R18" s="116">
        <v>1379877092</v>
      </c>
      <c r="S18" s="116">
        <v>3370.41</v>
      </c>
      <c r="T18" s="130">
        <f t="shared" si="1"/>
        <v>327.59456564631603</v>
      </c>
      <c r="U18" s="78"/>
    </row>
    <row r="19" spans="1:21" hidden="1">
      <c r="A19" s="129" t="s">
        <v>114</v>
      </c>
      <c r="B19" s="131">
        <f>SUM(F17:F19)</f>
        <v>190631.5</v>
      </c>
      <c r="C19" s="131">
        <f>AVERAGE(F17:F19)</f>
        <v>63543.833333333336</v>
      </c>
      <c r="D19" s="90">
        <f>C19/C16-1</f>
        <v>-5.6234212624285407E-3</v>
      </c>
      <c r="E19" s="286">
        <f>C19/C7-1</f>
        <v>0.74115126414031307</v>
      </c>
      <c r="F19" s="78">
        <f>Q19/22</f>
        <v>44914</v>
      </c>
      <c r="G19" s="90">
        <f t="shared" si="2"/>
        <v>-0.18643490609784374</v>
      </c>
      <c r="H19" s="90">
        <f t="shared" si="3"/>
        <v>-0.16511932081261849</v>
      </c>
      <c r="I19" s="130">
        <f t="shared" si="0"/>
        <v>156.20556808822437</v>
      </c>
      <c r="J19" s="130">
        <f t="shared" si="4"/>
        <v>-0.22981188616287862</v>
      </c>
      <c r="K19" s="78">
        <f>R17+R18+R19</f>
        <v>4914365039</v>
      </c>
      <c r="L19" s="87">
        <f>U19/U16-1</f>
        <v>-5.6922385024853805E-2</v>
      </c>
      <c r="M19" s="87">
        <f>U19/U7-1</f>
        <v>0.74319443315307843</v>
      </c>
      <c r="N19" s="88">
        <f>AVERAGE(T17:T19)</f>
        <v>302.59579117264508</v>
      </c>
      <c r="O19" s="89">
        <f>N19/N16-1</f>
        <v>-0.17936875273240616</v>
      </c>
      <c r="P19" s="129" t="s">
        <v>114</v>
      </c>
      <c r="Q19" s="116">
        <v>988108</v>
      </c>
      <c r="R19" s="116">
        <v>1291624969</v>
      </c>
      <c r="S19" s="116">
        <v>6325.69</v>
      </c>
      <c r="T19" s="130">
        <f t="shared" si="1"/>
        <v>156.20556808822437</v>
      </c>
      <c r="U19" s="85">
        <f>Q17+Q18+Q19</f>
        <v>3902458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56235.5</v>
      </c>
      <c r="G20" s="90">
        <f t="shared" si="2"/>
        <v>0.25207062385893031</v>
      </c>
      <c r="H20" s="90">
        <f t="shared" si="3"/>
        <v>1.8466395568582836</v>
      </c>
      <c r="I20" s="130">
        <f t="shared" si="0"/>
        <v>249.7568406606828</v>
      </c>
      <c r="J20" s="130">
        <f t="shared" si="4"/>
        <v>0.3019497031364764</v>
      </c>
      <c r="O20" s="89"/>
      <c r="P20" s="129" t="s">
        <v>131</v>
      </c>
      <c r="Q20" s="116">
        <v>1124710</v>
      </c>
      <c r="R20" s="116">
        <v>1477247420</v>
      </c>
      <c r="S20" s="116">
        <v>4503.22</v>
      </c>
      <c r="T20" s="130">
        <f t="shared" si="1"/>
        <v>249.7568406606828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60181.190476190473</v>
      </c>
      <c r="G21" s="90">
        <f t="shared" si="2"/>
        <v>7.0163695107013702E-2</v>
      </c>
      <c r="H21" s="90">
        <f t="shared" si="3"/>
        <v>0.15054636625247286</v>
      </c>
      <c r="I21" s="130">
        <f t="shared" si="0"/>
        <v>316.58917719204197</v>
      </c>
      <c r="J21" s="130">
        <f t="shared" si="4"/>
        <v>-0.34495113669945676</v>
      </c>
      <c r="O21" s="89"/>
      <c r="P21" s="129" t="s">
        <v>141</v>
      </c>
      <c r="Q21" s="116">
        <v>1263805</v>
      </c>
      <c r="R21" s="116">
        <v>1682410790</v>
      </c>
      <c r="S21" s="116">
        <v>3991.94</v>
      </c>
      <c r="T21" s="130">
        <f t="shared" si="1"/>
        <v>316.58917719204197</v>
      </c>
      <c r="U21" s="78"/>
    </row>
    <row r="22" spans="1:21" hidden="1">
      <c r="A22" s="129" t="s">
        <v>155</v>
      </c>
      <c r="B22" s="131">
        <f>SUM(F20:F22)</f>
        <v>233510.30952380953</v>
      </c>
      <c r="C22" s="131">
        <f>AVERAGE(F20:F22)</f>
        <v>77836.769841269837</v>
      </c>
      <c r="D22" s="90">
        <f>C22/C19-1</f>
        <v>0.22493034741797402</v>
      </c>
      <c r="E22" s="286">
        <f>C22/C10-1</f>
        <v>0.77161932260545707</v>
      </c>
      <c r="F22" s="78">
        <f>Q22/21</f>
        <v>117093.61904761905</v>
      </c>
      <c r="G22" s="90">
        <f t="shared" si="2"/>
        <v>0.94568465863008955</v>
      </c>
      <c r="H22" s="90">
        <f t="shared" si="3"/>
        <v>0.95990703264856525</v>
      </c>
      <c r="I22" s="130">
        <f t="shared" si="0"/>
        <v>299.05914861219554</v>
      </c>
      <c r="J22" s="130">
        <f t="shared" si="4"/>
        <v>0.76856775778913877</v>
      </c>
      <c r="K22" s="78">
        <f>R20+R21+R22</f>
        <v>6331980113</v>
      </c>
      <c r="L22" s="87">
        <f>U22/U19-1</f>
        <v>0.24216096624230166</v>
      </c>
      <c r="M22" s="87">
        <f>U22/U10-1</f>
        <v>0.75130250812069233</v>
      </c>
      <c r="N22" s="88">
        <f>AVERAGE(T20:T22)</f>
        <v>288.46838882164008</v>
      </c>
      <c r="O22" s="89">
        <f>N22/N19-1</f>
        <v>-4.6687372273941041E-2</v>
      </c>
      <c r="P22" s="129" t="s">
        <v>155</v>
      </c>
      <c r="Q22" s="116">
        <v>2458966</v>
      </c>
      <c r="R22" s="116">
        <v>3172321903</v>
      </c>
      <c r="S22" s="116">
        <v>8222.34</v>
      </c>
      <c r="T22" s="130">
        <f t="shared" si="1"/>
        <v>299.05914861219554</v>
      </c>
      <c r="U22" s="85">
        <f>Q20+Q21+Q22</f>
        <v>4847481</v>
      </c>
    </row>
    <row r="23" spans="1:21" hidden="1">
      <c r="A23" s="129" t="s">
        <v>189</v>
      </c>
      <c r="C23" s="131"/>
      <c r="F23" s="78">
        <f>Q23/21</f>
        <v>76819.809523809527</v>
      </c>
      <c r="G23" s="90">
        <f t="shared" ref="G23" si="5">F23/F22-1</f>
        <v>-0.34394538192069346</v>
      </c>
      <c r="H23" s="90">
        <f t="shared" ref="H23" si="6">F23/F11-1</f>
        <v>1.5479408350377875</v>
      </c>
      <c r="I23" s="130">
        <f t="shared" si="0"/>
        <v>342.7524885003134</v>
      </c>
      <c r="J23" s="130">
        <f t="shared" si="4"/>
        <v>0.72263786132184138</v>
      </c>
      <c r="O23" s="89"/>
      <c r="P23" s="129" t="s">
        <v>189</v>
      </c>
      <c r="Q23" s="116">
        <v>1613216</v>
      </c>
      <c r="R23" s="116">
        <v>2052112308</v>
      </c>
      <c r="S23" s="116">
        <v>4706.6499999999996</v>
      </c>
      <c r="T23" s="130">
        <f t="shared" si="1"/>
        <v>342.7524885003134</v>
      </c>
      <c r="U23" s="78"/>
    </row>
    <row r="24" spans="1:21" hidden="1">
      <c r="A24" s="129" t="s">
        <v>204</v>
      </c>
      <c r="C24" s="131"/>
      <c r="F24" s="78">
        <f>Q24/22</f>
        <v>106737.13636363637</v>
      </c>
      <c r="G24" s="90">
        <f t="shared" ref="G24" si="7">F24/F23-1</f>
        <v>0.38944807368409662</v>
      </c>
      <c r="H24" s="90">
        <f t="shared" ref="H24" si="8">F24/F12-1</f>
        <v>1.2865866305468705</v>
      </c>
      <c r="I24" s="130">
        <f t="shared" si="0"/>
        <v>429.35449189823703</v>
      </c>
      <c r="J24" s="130">
        <f t="shared" si="4"/>
        <v>-0.17453134777942203</v>
      </c>
      <c r="O24" s="89"/>
      <c r="P24" s="129" t="s">
        <v>204</v>
      </c>
      <c r="Q24" s="116">
        <v>2348217</v>
      </c>
      <c r="R24" s="116">
        <v>3113336212</v>
      </c>
      <c r="S24" s="116">
        <v>5469.18</v>
      </c>
      <c r="T24" s="130">
        <f t="shared" ref="T24" si="9">Q24/S24</f>
        <v>429.35449189823703</v>
      </c>
      <c r="U24" s="78"/>
    </row>
    <row r="25" spans="1:21" s="79" customFormat="1" ht="13.2" hidden="1">
      <c r="A25" s="129" t="s">
        <v>219</v>
      </c>
      <c r="B25" s="131">
        <f>SUM(F23:F25)</f>
        <v>357079.89325586695</v>
      </c>
      <c r="C25" s="131">
        <f>AVERAGE(F23:F25)</f>
        <v>119026.63108528899</v>
      </c>
      <c r="D25" s="90">
        <f>C25/C22-1</f>
        <v>0.52918256150680953</v>
      </c>
      <c r="E25" s="286">
        <f>C25/C13-1</f>
        <v>1.5739681520219504</v>
      </c>
      <c r="F25" s="78">
        <f>Q25/19</f>
        <v>173522.94736842104</v>
      </c>
      <c r="G25" s="90">
        <f t="shared" ref="G25" si="10">F25/F24-1</f>
        <v>0.62570360495016542</v>
      </c>
      <c r="H25" s="90">
        <f t="shared" ref="H25" si="11">F25/F13-1</f>
        <v>1.8033714746356067</v>
      </c>
      <c r="I25" s="130">
        <f t="shared" si="0"/>
        <v>471.00162289423758</v>
      </c>
      <c r="J25" s="130">
        <f t="shared" si="4"/>
        <v>0.37986359472658937</v>
      </c>
      <c r="K25" s="78">
        <f>R23+R24+R25</f>
        <v>9545617763</v>
      </c>
      <c r="L25" s="90">
        <f>U25/U22-1</f>
        <v>0.49734862292394744</v>
      </c>
      <c r="M25" s="90">
        <f>U25/U13-1</f>
        <v>1.5045639198952951</v>
      </c>
      <c r="N25" s="88">
        <f>AVERAGE(T23:T25)</f>
        <v>414.36953443092926</v>
      </c>
      <c r="O25" s="91">
        <f>N25/N22-1</f>
        <v>0.43644694007402607</v>
      </c>
      <c r="P25" s="129" t="s">
        <v>219</v>
      </c>
      <c r="Q25" s="116">
        <v>3296936</v>
      </c>
      <c r="R25" s="116">
        <v>4380169243</v>
      </c>
      <c r="S25" s="116">
        <v>6999.84</v>
      </c>
      <c r="T25" s="130">
        <f t="shared" ref="T25" si="12">Q25/S25</f>
        <v>471.00162289423758</v>
      </c>
      <c r="U25" s="85">
        <f>Q23+Q24+Q25</f>
        <v>7258369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104340.78947368421</v>
      </c>
      <c r="G26" s="90">
        <f t="shared" ref="G26" si="13">F26/F25-1</f>
        <v>-0.39869169434893481</v>
      </c>
      <c r="H26" s="90">
        <f t="shared" ref="H26" si="14">F26/F14-1</f>
        <v>1.6213841797040027</v>
      </c>
      <c r="I26" s="130">
        <f t="shared" si="0"/>
        <v>676.52719622436757</v>
      </c>
      <c r="J26" s="130">
        <f t="shared" si="4"/>
        <v>1.596025266417882</v>
      </c>
      <c r="L26" s="90"/>
      <c r="M26" s="90"/>
      <c r="P26" s="129" t="s">
        <v>312</v>
      </c>
      <c r="Q26" s="116">
        <v>1982475</v>
      </c>
      <c r="R26" s="116">
        <v>2680721380</v>
      </c>
      <c r="S26" s="116">
        <v>2930.37</v>
      </c>
      <c r="T26" s="130">
        <f t="shared" ref="T26" si="15">Q26/S26</f>
        <v>676.52719622436757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135384.31818181818</v>
      </c>
      <c r="G27" s="90">
        <f t="shared" ref="G27" si="16">F27/F26-1</f>
        <v>0.29752054651612014</v>
      </c>
      <c r="H27" s="90">
        <f t="shared" ref="H27" si="17">F27/F15-1</f>
        <v>1.7872809726480177</v>
      </c>
      <c r="I27" s="130">
        <f t="shared" si="0"/>
        <v>420.42682754687792</v>
      </c>
      <c r="J27" s="130">
        <f t="shared" si="4"/>
        <v>0.33585573844942118</v>
      </c>
      <c r="L27" s="90"/>
      <c r="M27" s="90"/>
      <c r="P27" s="129" t="s">
        <v>375</v>
      </c>
      <c r="Q27" s="116">
        <v>2978455</v>
      </c>
      <c r="R27" s="116">
        <v>3920469116</v>
      </c>
      <c r="S27" s="116">
        <v>7084.36</v>
      </c>
      <c r="T27" s="130">
        <f t="shared" ref="T27" si="18">Q27/S27</f>
        <v>420.42682754687792</v>
      </c>
      <c r="U27" s="78"/>
    </row>
    <row r="28" spans="1:21" s="79" customFormat="1" ht="13.2" hidden="1">
      <c r="A28" s="123" t="s">
        <v>413</v>
      </c>
      <c r="B28" s="131">
        <f>SUM(F26:F28)</f>
        <v>439137.21291866025</v>
      </c>
      <c r="C28" s="131">
        <f>AVERAGE(F26:F28)</f>
        <v>146379.07097288675</v>
      </c>
      <c r="D28" s="90">
        <f>C28/C25-1</f>
        <v>0.22980100871710185</v>
      </c>
      <c r="E28" s="286">
        <f>C28/C16-1</f>
        <v>1.2906380077710655</v>
      </c>
      <c r="F28" s="78">
        <f>Q28/19</f>
        <v>199412.10526315789</v>
      </c>
      <c r="G28" s="90">
        <f t="shared" ref="G28" si="19">F28/F27-1</f>
        <v>0.47293355642085366</v>
      </c>
      <c r="H28" s="90">
        <f t="shared" ref="H28" si="20">F28/F16-1</f>
        <v>0.92978805897992145</v>
      </c>
      <c r="I28" s="130">
        <f t="shared" si="0"/>
        <v>657.21020915799068</v>
      </c>
      <c r="J28" s="130">
        <f t="shared" si="4"/>
        <v>0.2379630375550521</v>
      </c>
      <c r="K28" s="78">
        <f>R26+R27+R28</f>
        <v>11556347601</v>
      </c>
      <c r="L28" s="90">
        <f>U28/U25-1</f>
        <v>0.20547191800251552</v>
      </c>
      <c r="M28" s="90">
        <f>U28/U16-1</f>
        <v>1.1144885588531475</v>
      </c>
      <c r="N28" s="88">
        <f>AVERAGE(T26:T28)</f>
        <v>584.72141097641202</v>
      </c>
      <c r="O28" s="91">
        <f>N28/N25-1</f>
        <v>0.41111100694078284</v>
      </c>
      <c r="P28" s="129" t="s">
        <v>413</v>
      </c>
      <c r="Q28" s="116">
        <v>3788830</v>
      </c>
      <c r="R28" s="116">
        <v>4955157105</v>
      </c>
      <c r="S28" s="116">
        <v>5765.02</v>
      </c>
      <c r="T28" s="130">
        <f t="shared" ref="T28" si="21">Q28/S28</f>
        <v>657.21020915799068</v>
      </c>
      <c r="U28" s="85">
        <f>Q26+Q27+Q28</f>
        <v>8749760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47972.090909090912</v>
      </c>
      <c r="G29" s="190">
        <f t="shared" ref="G29" si="22">F29/F28-1</f>
        <v>-0.7594324033348745</v>
      </c>
      <c r="H29" s="190">
        <f t="shared" ref="H29" si="23">F29/F17-1</f>
        <v>-0.46998665457506417</v>
      </c>
      <c r="I29" s="130">
        <f t="shared" si="0"/>
        <v>353.6437111301737</v>
      </c>
      <c r="J29" s="130">
        <f t="shared" si="4"/>
        <v>-0.16590954173327943</v>
      </c>
      <c r="K29" s="136"/>
      <c r="L29" s="190"/>
      <c r="M29" s="190"/>
      <c r="N29" s="191"/>
      <c r="O29" s="192"/>
      <c r="P29" s="129" t="s">
        <v>427</v>
      </c>
      <c r="Q29" s="116">
        <v>1055386</v>
      </c>
      <c r="R29" s="116">
        <v>1396114658</v>
      </c>
      <c r="S29" s="116">
        <v>2984.32</v>
      </c>
      <c r="T29" s="130">
        <f t="shared" ref="T29" si="24">Q29/S29</f>
        <v>353.6437111301737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62943.684210526313</v>
      </c>
      <c r="G30" s="190">
        <f t="shared" ref="G30" si="25">F30/F29-1</f>
        <v>0.31208965499976205</v>
      </c>
      <c r="H30" s="190">
        <f t="shared" ref="H30" si="26">F30/F18-1</f>
        <v>0.1401519427190745</v>
      </c>
      <c r="I30" s="130">
        <f t="shared" si="0"/>
        <v>671.94251071743611</v>
      </c>
      <c r="J30" s="130">
        <f t="shared" si="4"/>
        <v>1.0511405901735613</v>
      </c>
      <c r="K30" s="136"/>
      <c r="L30" s="190"/>
      <c r="M30" s="190"/>
      <c r="N30" s="191"/>
      <c r="O30" s="192"/>
      <c r="P30" s="129" t="s">
        <v>466</v>
      </c>
      <c r="Q30" s="116">
        <v>1195930</v>
      </c>
      <c r="R30" s="116">
        <v>1594618939</v>
      </c>
      <c r="S30" s="116">
        <v>1779.81</v>
      </c>
      <c r="T30" s="130">
        <f t="shared" ref="T30" si="27">Q30/S30</f>
        <v>671.94251071743611</v>
      </c>
      <c r="U30" s="85"/>
    </row>
    <row r="31" spans="1:21" s="79" customFormat="1" ht="13.2" hidden="1">
      <c r="A31" s="129" t="s">
        <v>505</v>
      </c>
      <c r="B31" s="188">
        <f>SUM(F29:F31)</f>
        <v>195204.22511961724</v>
      </c>
      <c r="C31" s="188">
        <f>AVERAGE(F29:F31)</f>
        <v>65068.075039872412</v>
      </c>
      <c r="D31" s="190">
        <f>C31/C28-1</f>
        <v>-0.55548238824439089</v>
      </c>
      <c r="E31" s="287">
        <f>C31/C19-1</f>
        <v>2.3987248275427975E-2</v>
      </c>
      <c r="F31" s="136">
        <f>Q31/20</f>
        <v>84288.45</v>
      </c>
      <c r="G31" s="190">
        <f t="shared" ref="G31" si="28">F31/F30-1</f>
        <v>0.33910893614174742</v>
      </c>
      <c r="H31" s="190">
        <f t="shared" ref="H31" si="29">F31/F19-1</f>
        <v>0.87666317851894715</v>
      </c>
      <c r="I31" s="130">
        <f t="shared" si="0"/>
        <v>248.05530949360943</v>
      </c>
      <c r="J31" s="130">
        <f t="shared" si="4"/>
        <v>0.58800555274386013</v>
      </c>
      <c r="K31" s="136">
        <f>R29+R30+R31</f>
        <v>5230517463</v>
      </c>
      <c r="L31" s="190">
        <f>U31/U28-1</f>
        <v>-0.55003508667666312</v>
      </c>
      <c r="M31" s="190">
        <f>U31/U19-1</f>
        <v>8.8731256044267681E-3</v>
      </c>
      <c r="N31" s="191">
        <f>AVERAGE(T29:T31)</f>
        <v>424.54717711373974</v>
      </c>
      <c r="O31" s="192">
        <f>N31/N28-1</f>
        <v>-0.27393256148291412</v>
      </c>
      <c r="P31" s="129" t="s">
        <v>505</v>
      </c>
      <c r="Q31" s="116">
        <v>1685769</v>
      </c>
      <c r="R31" s="116">
        <v>2239783866</v>
      </c>
      <c r="S31" s="116">
        <v>6795.94</v>
      </c>
      <c r="T31" s="130">
        <f t="shared" ref="T31" si="30">Q31/S31</f>
        <v>248.05530949360943</v>
      </c>
      <c r="U31" s="85">
        <f>Q29+Q30+Q31</f>
        <v>3937085</v>
      </c>
    </row>
    <row r="32" spans="1:21" s="79" customFormat="1" ht="13.2" hidden="1">
      <c r="A32" s="129" t="s">
        <v>568</v>
      </c>
      <c r="B32" s="188"/>
      <c r="C32" s="188"/>
      <c r="D32" s="190"/>
      <c r="E32" s="287"/>
      <c r="F32" s="136">
        <f>Q32/21</f>
        <v>66050.190476190473</v>
      </c>
      <c r="G32" s="190">
        <f t="shared" ref="G32" si="31">F32/F31-1</f>
        <v>-0.21637910679113836</v>
      </c>
      <c r="H32" s="190">
        <f t="shared" ref="H32" si="32">F32/F20-1</f>
        <v>0.17452837578025404</v>
      </c>
      <c r="I32" s="130">
        <f t="shared" si="0"/>
        <v>370.67282381834269</v>
      </c>
      <c r="J32" s="130">
        <f t="shared" si="4"/>
        <v>0.48413482024276222</v>
      </c>
      <c r="K32" s="136"/>
      <c r="L32" s="190"/>
      <c r="M32" s="190"/>
      <c r="N32" s="191"/>
      <c r="O32" s="192"/>
      <c r="P32" s="129" t="s">
        <v>568</v>
      </c>
      <c r="Q32" s="116">
        <v>1387054</v>
      </c>
      <c r="R32" s="116">
        <v>1903792548</v>
      </c>
      <c r="S32" s="116">
        <v>3741.99</v>
      </c>
      <c r="T32" s="130">
        <f t="shared" ref="T32" si="33">Q32/S32</f>
        <v>370.67282381834269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60502.904761904763</v>
      </c>
      <c r="G33" s="190">
        <f t="shared" ref="G33" si="34">F33/F32-1</f>
        <v>-8.398591547264922E-2</v>
      </c>
      <c r="H33" s="190">
        <f t="shared" ref="H33" si="35">F33/F21-1</f>
        <v>5.3457614109773122E-3</v>
      </c>
      <c r="I33" s="130">
        <f t="shared" si="0"/>
        <v>276.934964275906</v>
      </c>
      <c r="J33" s="130">
        <f t="shared" si="4"/>
        <v>-0.12525448048428345</v>
      </c>
      <c r="K33" s="136"/>
      <c r="L33" s="190"/>
      <c r="M33" s="190"/>
      <c r="N33" s="191"/>
      <c r="O33" s="192"/>
      <c r="P33" s="129" t="s">
        <v>607</v>
      </c>
      <c r="Q33" s="116">
        <v>1270561</v>
      </c>
      <c r="R33" s="116">
        <v>1734541675</v>
      </c>
      <c r="S33" s="116">
        <v>4587.9399999999996</v>
      </c>
      <c r="T33" s="130">
        <f t="shared" ref="T33" si="36">Q33/S33</f>
        <v>276.934964275906</v>
      </c>
      <c r="U33" s="85"/>
    </row>
    <row r="34" spans="1:21" s="79" customFormat="1" ht="13.2" hidden="1">
      <c r="A34" s="129" t="s">
        <v>652</v>
      </c>
      <c r="B34" s="188">
        <f>SUM(F32:F34)</f>
        <v>271443.67418546369</v>
      </c>
      <c r="C34" s="188">
        <f>AVERAGE(F32:F34)</f>
        <v>90481.224728487898</v>
      </c>
      <c r="D34" s="190">
        <f>C34/C31-1</f>
        <v>0.39056249432679269</v>
      </c>
      <c r="E34" s="287">
        <f>C34/C22-1</f>
        <v>0.16244835073453734</v>
      </c>
      <c r="F34" s="136">
        <f>Q34/19</f>
        <v>144890.57894736843</v>
      </c>
      <c r="G34" s="190">
        <f t="shared" ref="G34" si="37">F34/F33-1</f>
        <v>1.3947706232874588</v>
      </c>
      <c r="H34" s="190">
        <f t="shared" ref="H34" si="38">F34/F22-1</f>
        <v>0.23739090247475425</v>
      </c>
      <c r="I34" s="130">
        <f t="shared" si="0"/>
        <v>1157.8570827725439</v>
      </c>
      <c r="J34" s="130">
        <f t="shared" si="4"/>
        <v>2.8716658164301574</v>
      </c>
      <c r="K34" s="136">
        <f>R32+R33+R34</f>
        <v>7427545235</v>
      </c>
      <c r="L34" s="190">
        <f>U34/U31-1</f>
        <v>0.37424922245773207</v>
      </c>
      <c r="M34" s="190">
        <f>U34/U22-1</f>
        <v>0.1161541427392907</v>
      </c>
      <c r="N34" s="191">
        <f>AVERAGE(T32:T34)</f>
        <v>601.82162362226416</v>
      </c>
      <c r="O34" s="192">
        <f>N34/N31-1</f>
        <v>0.41756124187119759</v>
      </c>
      <c r="P34" s="129" t="s">
        <v>652</v>
      </c>
      <c r="Q34" s="116">
        <v>2752921</v>
      </c>
      <c r="R34" s="116">
        <v>3789211012</v>
      </c>
      <c r="S34" s="116">
        <v>2377.6</v>
      </c>
      <c r="T34" s="130">
        <f t="shared" ref="T34" si="39">Q34/S34</f>
        <v>1157.8570827725439</v>
      </c>
      <c r="U34" s="85">
        <f>Q32+Q33+Q34</f>
        <v>5410536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105719.30434782608</v>
      </c>
      <c r="G35" s="190">
        <f t="shared" ref="G35" si="40">F35/F34-1</f>
        <v>-0.27035073559731815</v>
      </c>
      <c r="H35" s="190">
        <f t="shared" ref="H35" si="41">F35/F23-1</f>
        <v>0.37619847020135411</v>
      </c>
      <c r="I35" s="130">
        <f t="shared" si="0"/>
        <v>580.41911636578038</v>
      </c>
      <c r="J35" s="130">
        <f t="shared" si="4"/>
        <v>0.69340598781750251</v>
      </c>
      <c r="K35" s="136"/>
      <c r="L35" s="190"/>
      <c r="M35" s="190"/>
      <c r="N35" s="191"/>
      <c r="O35" s="192"/>
      <c r="P35" s="129" t="s">
        <v>660</v>
      </c>
      <c r="Q35" s="116">
        <v>2431544</v>
      </c>
      <c r="R35" s="116">
        <v>3367836634</v>
      </c>
      <c r="S35" s="116">
        <v>4189.29</v>
      </c>
      <c r="T35" s="130">
        <f t="shared" ref="T35" si="42">Q35/S35</f>
        <v>580.41911636578038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88078.190476190473</v>
      </c>
      <c r="G36" s="190">
        <f t="shared" ref="G36" si="43">F36/F35-1</f>
        <v>-0.16686747969504934</v>
      </c>
      <c r="H36" s="190">
        <f t="shared" ref="H36" si="44">F36/F24-1</f>
        <v>-0.17481212746684383</v>
      </c>
      <c r="I36" s="130">
        <f t="shared" si="0"/>
        <v>1045.6453162982643</v>
      </c>
      <c r="J36" s="130">
        <f t="shared" si="4"/>
        <v>1.4353892553337877</v>
      </c>
      <c r="K36" s="136"/>
      <c r="L36" s="190"/>
      <c r="M36" s="190"/>
      <c r="N36" s="191"/>
      <c r="O36" s="192"/>
      <c r="P36" s="129" t="s">
        <v>664</v>
      </c>
      <c r="Q36" s="116">
        <v>1849642</v>
      </c>
      <c r="R36" s="116">
        <v>2520651648</v>
      </c>
      <c r="S36" s="116">
        <v>1768.9</v>
      </c>
      <c r="T36" s="130">
        <f t="shared" ref="T36" si="45">Q36/S36</f>
        <v>1045.6453162982643</v>
      </c>
      <c r="U36" s="85"/>
    </row>
    <row r="37" spans="1:21" s="79" customFormat="1" ht="13.2" hidden="1">
      <c r="A37" s="129" t="s">
        <v>702</v>
      </c>
      <c r="B37" s="188">
        <f>SUM(F35:F37)</f>
        <v>388951.16149068321</v>
      </c>
      <c r="C37" s="188">
        <f>AVERAGE(F35:F37)</f>
        <v>129650.38716356107</v>
      </c>
      <c r="D37" s="190">
        <f>C37/C34-1</f>
        <v>0.43289823444156816</v>
      </c>
      <c r="E37" s="287">
        <f>C37/C25-1</f>
        <v>8.9255286664877476E-2</v>
      </c>
      <c r="F37" s="136">
        <f>Q37/18</f>
        <v>195153.66666666666</v>
      </c>
      <c r="G37" s="190">
        <f t="shared" ref="G37" si="46">F37/F36-1</f>
        <v>1.2156866031372555</v>
      </c>
      <c r="H37" s="190">
        <f t="shared" ref="H37" si="47">F37/F25-1</f>
        <v>0.12465624648663698</v>
      </c>
      <c r="I37" s="130">
        <f t="shared" si="0"/>
        <v>542.11192355296021</v>
      </c>
      <c r="J37" s="130">
        <f t="shared" si="4"/>
        <v>0.1509767635656114</v>
      </c>
      <c r="K37" s="136">
        <f>R35+R36+R37</f>
        <v>10571598552</v>
      </c>
      <c r="L37" s="190">
        <f>U37/U34-1</f>
        <v>0.44051384188183951</v>
      </c>
      <c r="M37" s="190">
        <f>U37/U25-1</f>
        <v>7.3788340052703294E-2</v>
      </c>
      <c r="N37" s="191">
        <f>AVERAGE(T35:T37)</f>
        <v>722.72545207233497</v>
      </c>
      <c r="O37" s="192">
        <f>N37/N34-1</f>
        <v>0.20089645121484812</v>
      </c>
      <c r="P37" s="129" t="s">
        <v>702</v>
      </c>
      <c r="Q37" s="116">
        <v>3512766</v>
      </c>
      <c r="R37" s="116">
        <v>4683110270</v>
      </c>
      <c r="S37" s="116">
        <v>6479.78</v>
      </c>
      <c r="T37" s="130">
        <f t="shared" ref="T37" si="48">Q37/S37</f>
        <v>542.11192355296021</v>
      </c>
      <c r="U37" s="85">
        <f>Q35+Q36+Q37</f>
        <v>7793952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190215.5</v>
      </c>
      <c r="G38" s="190">
        <f t="shared" ref="G38" si="49">F38/F37-1</f>
        <v>-2.5303991213761368E-2</v>
      </c>
      <c r="H38" s="190">
        <f t="shared" ref="H38" si="50">F38/F26-1</f>
        <v>0.82302147568065176</v>
      </c>
      <c r="I38" s="130">
        <f t="shared" si="0"/>
        <v>1274.2793405371367</v>
      </c>
      <c r="J38" s="130">
        <f t="shared" si="4"/>
        <v>0.88355966714829148</v>
      </c>
      <c r="K38" s="136"/>
      <c r="L38" s="190"/>
      <c r="M38" s="190"/>
      <c r="N38" s="191"/>
      <c r="O38" s="192"/>
      <c r="P38" s="129" t="s">
        <v>730</v>
      </c>
      <c r="Q38" s="116">
        <v>3804310</v>
      </c>
      <c r="R38" s="116">
        <v>5116021689</v>
      </c>
      <c r="S38" s="116">
        <v>2985.46</v>
      </c>
      <c r="T38" s="130">
        <f t="shared" ref="T38" si="51">Q38/S38</f>
        <v>1274.2793405371367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218472.04761904763</v>
      </c>
      <c r="G39" s="190">
        <f t="shared" ref="G39" si="52">F39/F38-1</f>
        <v>0.14855018449625623</v>
      </c>
      <c r="H39" s="190">
        <f t="shared" ref="H39" si="53">F39/F27-1</f>
        <v>0.61371753060531309</v>
      </c>
      <c r="I39" s="130">
        <f t="shared" si="0"/>
        <v>751.606778350431</v>
      </c>
      <c r="J39" s="130">
        <f t="shared" si="4"/>
        <v>0.78772316394730124</v>
      </c>
      <c r="K39" s="136"/>
      <c r="L39" s="190"/>
      <c r="M39" s="190"/>
      <c r="N39" s="191"/>
      <c r="O39" s="192"/>
      <c r="P39" s="129" t="s">
        <v>762</v>
      </c>
      <c r="Q39" s="116">
        <v>4587913</v>
      </c>
      <c r="R39" s="116">
        <v>6383678652</v>
      </c>
      <c r="S39" s="116">
        <v>6104.14</v>
      </c>
      <c r="T39" s="130">
        <f t="shared" ref="T39" si="54">Q39/S39</f>
        <v>751.606778350431</v>
      </c>
      <c r="U39" s="85"/>
    </row>
    <row r="40" spans="1:21" s="79" customFormat="1" ht="13.2" hidden="1">
      <c r="A40" s="129" t="s">
        <v>778</v>
      </c>
      <c r="B40" s="188">
        <f>SUM(F38:F40)</f>
        <v>576163.59523809527</v>
      </c>
      <c r="C40" s="188">
        <f>AVERAGE(F38:F40)</f>
        <v>192054.53174603175</v>
      </c>
      <c r="D40" s="190">
        <f>C40/C37-1</f>
        <v>0.48132632649792573</v>
      </c>
      <c r="E40" s="287">
        <f>C40/C28-1</f>
        <v>0.31203546018956008</v>
      </c>
      <c r="F40" s="136">
        <f>Q40/21</f>
        <v>167476.04761904763</v>
      </c>
      <c r="G40" s="190">
        <f t="shared" ref="G40" si="55">F40/F39-1</f>
        <v>-0.23342116557136106</v>
      </c>
      <c r="H40" s="190">
        <f t="shared" ref="H40" si="56">F40/F28-1</f>
        <v>-0.16015104801168034</v>
      </c>
      <c r="I40" s="130">
        <f t="shared" si="0"/>
        <v>590.12987230900887</v>
      </c>
      <c r="J40" s="130">
        <f t="shared" si="4"/>
        <v>-0.10206831226028013</v>
      </c>
      <c r="K40" s="136">
        <f>R38+R39+R40</f>
        <v>16518657975</v>
      </c>
      <c r="L40" s="190">
        <f>U40/U37-1</f>
        <v>0.52800787071821853</v>
      </c>
      <c r="M40" s="190">
        <f>U40/U28-1</f>
        <v>0.36109104706871964</v>
      </c>
      <c r="N40" s="191">
        <f>AVERAGE(T38:T40)</f>
        <v>872.00533039885886</v>
      </c>
      <c r="O40" s="192">
        <f>N40/N37-1</f>
        <v>0.20655129537569272</v>
      </c>
      <c r="P40" s="129" t="s">
        <v>778</v>
      </c>
      <c r="Q40" s="116">
        <v>3516997</v>
      </c>
      <c r="R40" s="116">
        <v>5018957634</v>
      </c>
      <c r="S40" s="116">
        <v>5959.7</v>
      </c>
      <c r="T40" s="130">
        <f t="shared" ref="T40" si="57">Q40/S40</f>
        <v>590.12987230900887</v>
      </c>
      <c r="U40" s="85">
        <f>Q38+Q39+Q40</f>
        <v>11909220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177090.05555555556</v>
      </c>
      <c r="G41" s="190">
        <f t="shared" ref="G41" si="58">F41/F40-1</f>
        <v>5.740527122049488E-2</v>
      </c>
      <c r="H41" s="190">
        <f t="shared" ref="H41" si="59">F41/F29-1</f>
        <v>2.6915225540439445</v>
      </c>
      <c r="I41" s="130">
        <f t="shared" si="0"/>
        <v>875.78982940948595</v>
      </c>
      <c r="J41" s="130">
        <f t="shared" si="4"/>
        <v>1.4764750562384918</v>
      </c>
      <c r="K41" s="193"/>
      <c r="L41" s="190"/>
      <c r="M41" s="190"/>
      <c r="N41" s="193"/>
      <c r="O41" s="193"/>
      <c r="P41" s="129" t="s">
        <v>792</v>
      </c>
      <c r="Q41" s="116">
        <v>3187621</v>
      </c>
      <c r="R41" s="116">
        <v>4664084451</v>
      </c>
      <c r="S41" s="116">
        <v>3639.71</v>
      </c>
      <c r="T41" s="130">
        <f t="shared" ref="T41" si="60">Q41/S41</f>
        <v>875.78982940948595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140780.15</v>
      </c>
      <c r="G42" s="190">
        <f t="shared" ref="G42" si="61">F42/F41-1</f>
        <v>-0.2050363892068725</v>
      </c>
      <c r="H42" s="190">
        <f t="shared" ref="H42" si="62">F42/F30-1</f>
        <v>1.23660485981621</v>
      </c>
      <c r="I42" s="130">
        <f t="shared" si="0"/>
        <v>1629.1830369800316</v>
      </c>
      <c r="J42" s="130">
        <f t="shared" si="4"/>
        <v>1.424586941583061</v>
      </c>
      <c r="K42" s="193"/>
      <c r="L42" s="190"/>
      <c r="M42" s="190"/>
      <c r="N42" s="193"/>
      <c r="O42" s="193"/>
      <c r="P42" s="129" t="s">
        <v>826</v>
      </c>
      <c r="Q42" s="116">
        <v>2815603</v>
      </c>
      <c r="R42" s="116">
        <v>4064687316</v>
      </c>
      <c r="S42" s="116">
        <v>1728.23</v>
      </c>
      <c r="T42" s="130">
        <f t="shared" ref="T42" si="63">Q42/S42</f>
        <v>1629.1830369800316</v>
      </c>
      <c r="U42" s="78"/>
    </row>
    <row r="43" spans="1:21" s="79" customFormat="1" ht="13.2">
      <c r="A43" s="129" t="s">
        <v>835</v>
      </c>
      <c r="B43" s="188">
        <f>SUM(F41:F43)</f>
        <v>450136.35555555555</v>
      </c>
      <c r="C43" s="188">
        <f>AVERAGE(F41:F43)</f>
        <v>150045.45185185186</v>
      </c>
      <c r="D43" s="190">
        <f>C43/C40-1</f>
        <v>-0.21873516606070864</v>
      </c>
      <c r="E43" s="287">
        <f>C43/C31-1</f>
        <v>1.3059764986117544</v>
      </c>
      <c r="F43" s="136">
        <f>Q43/20</f>
        <v>132266.15</v>
      </c>
      <c r="G43" s="190">
        <f t="shared" ref="G43" si="64">F43/F42-1</f>
        <v>-6.0477276093256038E-2</v>
      </c>
      <c r="H43" s="190">
        <f t="shared" ref="H43" si="65">F43/F31-1</f>
        <v>0.56920847399614072</v>
      </c>
      <c r="I43" s="130">
        <f t="shared" si="0"/>
        <v>724.45227688498915</v>
      </c>
      <c r="J43" s="130">
        <f t="shared" si="4"/>
        <v>1.9205271935679047</v>
      </c>
      <c r="K43" s="136">
        <f>R41+R42+R43</f>
        <v>12566522235</v>
      </c>
      <c r="L43" s="190">
        <f>U43/U40-1</f>
        <v>-0.27379400162227252</v>
      </c>
      <c r="M43" s="190">
        <f>K43/K31-1</f>
        <v>1.4025390076400552</v>
      </c>
      <c r="N43" s="191">
        <f>AVERAGE(T41:T43)</f>
        <v>1076.475047758169</v>
      </c>
      <c r="O43" s="192">
        <f>N43/N40-1</f>
        <v>0.23448218747216232</v>
      </c>
      <c r="P43" s="129" t="s">
        <v>835</v>
      </c>
      <c r="Q43" s="116">
        <v>2645323</v>
      </c>
      <c r="R43" s="116">
        <v>3837750468</v>
      </c>
      <c r="S43" s="116">
        <v>3651.48</v>
      </c>
      <c r="T43" s="130">
        <f t="shared" ref="T43" si="66">Q43/S43</f>
        <v>724.45227688498915</v>
      </c>
      <c r="U43" s="85">
        <f>Q41+Q42+Q43</f>
        <v>8648547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96159.5</v>
      </c>
      <c r="G44" s="190">
        <f t="shared" ref="G44" si="67">F44/F43-1</f>
        <v>-0.27298481130659658</v>
      </c>
      <c r="H44" s="190">
        <f t="shared" ref="H44" si="68">F44/F32-1</f>
        <v>0.45585499915648575</v>
      </c>
      <c r="I44" s="130">
        <f t="shared" si="0"/>
        <v>210.65015991619833</v>
      </c>
      <c r="J44" s="130">
        <f t="shared" si="4"/>
        <v>-0.43170864875858117</v>
      </c>
      <c r="K44" s="136"/>
      <c r="L44" s="190"/>
      <c r="M44" s="190"/>
      <c r="N44" s="191"/>
      <c r="O44" s="192"/>
      <c r="P44" s="129" t="s">
        <v>843</v>
      </c>
      <c r="Q44" s="116">
        <v>2115509</v>
      </c>
      <c r="R44" s="116">
        <v>3042195064</v>
      </c>
      <c r="S44" s="116">
        <v>10042.76</v>
      </c>
      <c r="T44" s="130">
        <f t="shared" ref="T44" si="69">Q44/S44</f>
        <v>210.65015991619833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159052.9</v>
      </c>
      <c r="G45" s="190">
        <f t="shared" ref="G45" si="70">F45/F44-1</f>
        <v>0.65405290168938057</v>
      </c>
      <c r="H45" s="190">
        <f t="shared" ref="H45" si="71">F45/F33-1</f>
        <v>1.6288473359405806</v>
      </c>
      <c r="I45" s="130">
        <f t="shared" si="0"/>
        <v>363.5374370449436</v>
      </c>
      <c r="J45" s="130">
        <f t="shared" si="4"/>
        <v>0.3127177277722033</v>
      </c>
      <c r="K45" s="136"/>
      <c r="L45" s="190"/>
      <c r="M45" s="190"/>
      <c r="N45" s="191"/>
      <c r="O45" s="192"/>
      <c r="P45" s="129" t="s">
        <v>854</v>
      </c>
      <c r="Q45" s="116">
        <v>3181058</v>
      </c>
      <c r="R45" s="116">
        <v>4478575719</v>
      </c>
      <c r="S45" s="116">
        <v>8750.2900000000009</v>
      </c>
      <c r="T45" s="130">
        <f t="shared" ref="T45" si="72">Q45/S45</f>
        <v>363.5374370449436</v>
      </c>
      <c r="U45" s="85"/>
    </row>
    <row r="46" spans="1:21" s="79" customFormat="1" ht="13.2">
      <c r="A46" s="129" t="s">
        <v>888</v>
      </c>
      <c r="B46" s="188">
        <f>SUM(F44:F46)</f>
        <v>497759.24210526317</v>
      </c>
      <c r="C46" s="188">
        <f>AVERAGE(F44:F46)</f>
        <v>165919.74736842106</v>
      </c>
      <c r="D46" s="190">
        <f>C46/C43-1</f>
        <v>0.10579657910752771</v>
      </c>
      <c r="E46" s="287">
        <f>C46/C34-1</f>
        <v>0.83374780642399315</v>
      </c>
      <c r="F46" s="136">
        <f>Q46/19</f>
        <v>242546.84210526315</v>
      </c>
      <c r="G46" s="190">
        <f t="shared" ref="G46" si="73">F46/F45-1</f>
        <v>0.52494448139746686</v>
      </c>
      <c r="H46" s="190">
        <f t="shared" ref="H46" si="74">F46/F34-1</f>
        <v>0.67400008935962918</v>
      </c>
      <c r="I46" s="130">
        <f t="shared" si="0"/>
        <v>868.43429346750713</v>
      </c>
      <c r="J46" s="130">
        <f t="shared" si="4"/>
        <v>-0.24996417399978255</v>
      </c>
      <c r="K46" s="136">
        <f>R44+R45+R46</f>
        <v>13835868502</v>
      </c>
      <c r="L46" s="190">
        <f>U46/U43-1</f>
        <v>0.14527411367481724</v>
      </c>
      <c r="M46" s="190">
        <f>K46/K34-1</f>
        <v>0.86277808673621625</v>
      </c>
      <c r="N46" s="191">
        <f>AVERAGE(T44:T46)</f>
        <v>480.87396347621637</v>
      </c>
      <c r="O46" s="192">
        <f>N46/N43-1</f>
        <v>-0.55328833262074362</v>
      </c>
      <c r="P46" s="129" t="s">
        <v>931</v>
      </c>
      <c r="Q46" s="116">
        <v>4608390</v>
      </c>
      <c r="R46" s="116">
        <v>6315097719</v>
      </c>
      <c r="S46" s="116">
        <v>5306.55</v>
      </c>
      <c r="T46" s="130">
        <f t="shared" ref="T46" si="75">Q46/S46</f>
        <v>868.43429346750713</v>
      </c>
      <c r="U46" s="85">
        <f t="shared" ref="U46:U51" si="76">Q44+Q45+Q46</f>
        <v>9904957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73928.34782608696</v>
      </c>
      <c r="G47" s="190">
        <f t="shared" ref="G47" si="77">F47/F46-1</f>
        <v>-0.69519970994302738</v>
      </c>
      <c r="H47" s="190">
        <f t="shared" ref="H47" si="78">F47/F35-1</f>
        <v>-0.3007109885735153</v>
      </c>
      <c r="I47" s="130">
        <f t="shared" si="0"/>
        <v>530.17704247398001</v>
      </c>
      <c r="J47" s="130">
        <f t="shared" si="4"/>
        <v>-8.6561714587184313E-2</v>
      </c>
      <c r="K47" s="136"/>
      <c r="L47" s="190"/>
      <c r="M47" s="190"/>
      <c r="N47" s="191"/>
      <c r="O47" s="192"/>
      <c r="P47" s="129" t="s">
        <v>991</v>
      </c>
      <c r="Q47" s="116">
        <v>1700352</v>
      </c>
      <c r="R47" s="116">
        <v>2341583208</v>
      </c>
      <c r="S47" s="116">
        <v>3207.14</v>
      </c>
      <c r="T47" s="130">
        <f t="shared" ref="T47" si="79">Q47/S47</f>
        <v>530.17704247398001</v>
      </c>
      <c r="U47" s="85">
        <f t="shared" si="76"/>
        <v>9489800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116807.3</v>
      </c>
      <c r="G48" s="190">
        <f t="shared" ref="G48" si="80">F48/F47-1</f>
        <v>0.58000690445272496</v>
      </c>
      <c r="H48" s="190">
        <f t="shared" ref="H48" si="81">F48/F36-1</f>
        <v>0.32617733593852227</v>
      </c>
      <c r="I48" s="130">
        <f t="shared" si="0"/>
        <v>880.41168733771258</v>
      </c>
      <c r="J48" s="130">
        <f t="shared" si="4"/>
        <v>-0.15802072307415171</v>
      </c>
      <c r="K48" s="136"/>
      <c r="L48" s="190"/>
      <c r="M48" s="190"/>
      <c r="N48" s="191"/>
      <c r="O48" s="192"/>
      <c r="P48" s="129" t="s">
        <v>1070</v>
      </c>
      <c r="Q48" s="116">
        <v>2336146</v>
      </c>
      <c r="R48" s="116">
        <v>3239038625</v>
      </c>
      <c r="S48" s="116">
        <v>2653.47</v>
      </c>
      <c r="T48" s="130">
        <f t="shared" ref="T48" si="82">Q48/S48</f>
        <v>880.41168733771258</v>
      </c>
      <c r="U48" s="85">
        <f t="shared" si="76"/>
        <v>8644888</v>
      </c>
    </row>
    <row r="49" spans="1:26" ht="13.2">
      <c r="A49" s="129" t="s">
        <v>1207</v>
      </c>
      <c r="B49" s="188">
        <f>SUM(F47:F49)</f>
        <v>313639.60237154149</v>
      </c>
      <c r="C49" s="188">
        <f>AVERAGE(F47:F49)</f>
        <v>104546.53412384716</v>
      </c>
      <c r="D49" s="190">
        <f>C49/C46-1</f>
        <v>-0.36989697861759674</v>
      </c>
      <c r="E49" s="287">
        <f>C49/C37-1</f>
        <v>-0.19362728942755891</v>
      </c>
      <c r="F49" s="136">
        <f>Q49/22</f>
        <v>122903.95454545454</v>
      </c>
      <c r="G49" s="190">
        <f t="shared" ref="G49" si="83">F49/F48-1</f>
        <v>5.2194122674306564E-2</v>
      </c>
      <c r="H49" s="190">
        <f t="shared" ref="H49" si="84">F49/F37-1</f>
        <v>-0.37021959851063746</v>
      </c>
      <c r="I49" s="130">
        <f t="shared" si="0"/>
        <v>989.30054552838681</v>
      </c>
      <c r="J49" s="130">
        <f t="shared" si="4"/>
        <v>0.82490091537663757</v>
      </c>
      <c r="K49" s="136">
        <f>R47+R48+R49</f>
        <v>9329512751</v>
      </c>
      <c r="L49" s="190">
        <f>U49/U46-1</f>
        <v>-0.31949376458676193</v>
      </c>
      <c r="M49" s="190">
        <f>K49/K37-1</f>
        <v>-0.11749271360337599</v>
      </c>
      <c r="N49" s="191">
        <f>AVERAGE(T47:T49)</f>
        <v>799.9630917800265</v>
      </c>
      <c r="O49" s="192">
        <f>N49/N46-1</f>
        <v>0.66356083410532163</v>
      </c>
      <c r="P49" s="129" t="s">
        <v>1165</v>
      </c>
      <c r="Q49" s="116">
        <v>2703887</v>
      </c>
      <c r="R49" s="116">
        <v>3748890918</v>
      </c>
      <c r="S49" s="116">
        <v>2733.13</v>
      </c>
      <c r="T49" s="130">
        <f t="shared" ref="T49" si="85">Q49/S49</f>
        <v>989.30054552838681</v>
      </c>
      <c r="U49" s="85">
        <f t="shared" si="76"/>
        <v>6740385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151898.16666666666</v>
      </c>
      <c r="G50" s="190">
        <f t="shared" ref="G50" si="86">F50/F49-1</f>
        <v>0.23590951347695621</v>
      </c>
      <c r="H50" s="190">
        <f t="shared" ref="H50" si="87">F50/F38-1</f>
        <v>-0.20144169814412261</v>
      </c>
      <c r="I50" s="130">
        <f t="shared" ref="I50" si="88">T50</f>
        <v>1413.8464720635004</v>
      </c>
      <c r="J50" s="130">
        <f t="shared" ref="J50" si="89">I50/I38-1</f>
        <v>0.10952632369252191</v>
      </c>
      <c r="K50" s="136"/>
      <c r="L50" s="190"/>
      <c r="M50" s="190"/>
      <c r="N50" s="191"/>
      <c r="O50" s="192"/>
      <c r="P50" s="129" t="s">
        <v>1291</v>
      </c>
      <c r="Q50" s="116">
        <v>2734167</v>
      </c>
      <c r="R50" s="116">
        <v>3880954146</v>
      </c>
      <c r="S50" s="116">
        <v>1933.85</v>
      </c>
      <c r="T50" s="130">
        <f t="shared" ref="T50" si="90">Q50/S50</f>
        <v>1413.8464720635004</v>
      </c>
      <c r="U50" s="85">
        <f t="shared" si="76"/>
        <v>7774200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122904.85</v>
      </c>
      <c r="G51" s="190">
        <f t="shared" ref="G51:G52" si="91">F51/F50-1</f>
        <v>-0.19087338117971575</v>
      </c>
      <c r="H51" s="190">
        <f t="shared" ref="H51:H52" si="92">F51/F39-1</f>
        <v>-0.4374344391447702</v>
      </c>
      <c r="I51" s="130">
        <f t="shared" ref="I51:I52" si="93">T51</f>
        <v>777.72620561788517</v>
      </c>
      <c r="J51" s="130">
        <f t="shared" ref="J51:J52" si="94">I51/I39-1</f>
        <v>3.475145251454359E-2</v>
      </c>
      <c r="K51" s="136"/>
      <c r="L51" s="190"/>
      <c r="M51" s="190"/>
      <c r="N51" s="191"/>
      <c r="O51" s="192"/>
      <c r="P51" s="129" t="s">
        <v>1402</v>
      </c>
      <c r="Q51" s="116">
        <v>2458097</v>
      </c>
      <c r="R51" s="116">
        <v>3567226439</v>
      </c>
      <c r="S51" s="116">
        <v>3160.62</v>
      </c>
      <c r="T51" s="130">
        <f t="shared" ref="T51:T52" si="95">Q51/S51</f>
        <v>777.72620561788517</v>
      </c>
      <c r="U51" s="85">
        <f t="shared" si="76"/>
        <v>7896151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533907.97121212119</v>
      </c>
      <c r="C52" s="188">
        <f>AVERAGE(F50:F52)</f>
        <v>177969.32373737372</v>
      </c>
      <c r="D52" s="190">
        <f>C52/C49-1</f>
        <v>0.7022976919210826</v>
      </c>
      <c r="E52" s="287">
        <f>C52/C40-1</f>
        <v>-7.3339628493036324E-2</v>
      </c>
      <c r="F52" s="136">
        <f>Q52/22</f>
        <v>259104.95454545456</v>
      </c>
      <c r="G52" s="190">
        <f t="shared" si="91"/>
        <v>1.1081751822279964</v>
      </c>
      <c r="H52" s="190">
        <f t="shared" si="92"/>
        <v>0.54711648757577702</v>
      </c>
      <c r="I52" s="130">
        <f t="shared" si="93"/>
        <v>1522.1281402204563</v>
      </c>
      <c r="J52" s="130">
        <f t="shared" si="94"/>
        <v>1.5793104393526218</v>
      </c>
      <c r="K52" s="136">
        <f>R50+R51+R52</f>
        <v>15843700765</v>
      </c>
      <c r="L52" s="190">
        <f>U52/U49-1</f>
        <v>0.61601644416453949</v>
      </c>
      <c r="M52" s="190">
        <f>K52/K40-1</f>
        <v>-4.0860293313264795E-2</v>
      </c>
      <c r="N52" s="191">
        <f>AVERAGE(T50:T52)</f>
        <v>1237.9002726339472</v>
      </c>
      <c r="O52" s="192">
        <f>N52/N49-1</f>
        <v>0.54744673267294242</v>
      </c>
      <c r="P52" s="129" t="s">
        <v>1403</v>
      </c>
      <c r="Q52" s="116">
        <v>5700309</v>
      </c>
      <c r="R52" s="116">
        <v>8395520180</v>
      </c>
      <c r="S52" s="116">
        <v>3744.96</v>
      </c>
      <c r="T52" s="130">
        <f t="shared" si="95"/>
        <v>1522.1281402204563</v>
      </c>
      <c r="U52" s="85">
        <f t="shared" ref="U52" si="96">Q50+Q51+Q52</f>
        <v>10892573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58962.333333333336</v>
      </c>
      <c r="G53" s="190">
        <f t="shared" ref="G53" si="97">F53/F52-1</f>
        <v>-0.77243841810446878</v>
      </c>
      <c r="H53" s="190">
        <f t="shared" ref="H53" si="98">F53/F41-1</f>
        <v>-0.66704887437998428</v>
      </c>
      <c r="I53" s="130">
        <f t="shared" ref="I53" si="99">T53</f>
        <v>464.53683590511247</v>
      </c>
      <c r="J53" s="130">
        <f t="shared" ref="J53" si="100">I53/I41-1</f>
        <v>-0.46957954944700242</v>
      </c>
      <c r="K53" s="136"/>
      <c r="L53" s="190"/>
      <c r="M53" s="190"/>
      <c r="N53" s="191"/>
      <c r="O53" s="192"/>
      <c r="P53" s="129" t="s">
        <v>1414</v>
      </c>
      <c r="Q53" s="116">
        <v>1238209</v>
      </c>
      <c r="R53" s="116">
        <v>1811827174</v>
      </c>
      <c r="S53" s="116">
        <v>2665.47</v>
      </c>
      <c r="T53" s="130">
        <f t="shared" ref="T53" si="101">Q53/S53</f>
        <v>464.53683590511247</v>
      </c>
      <c r="U53" s="85">
        <f t="shared" ref="U53" si="102">Q51+Q52+Q53</f>
        <v>9396615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64766.23529411765</v>
      </c>
      <c r="G54" s="190">
        <f t="shared" ref="G54" si="103">F54/F53-1</f>
        <v>9.8434061758936098E-2</v>
      </c>
      <c r="H54" s="190">
        <f t="shared" ref="H54" si="104">F54/F42-1</f>
        <v>-0.53994767519343001</v>
      </c>
      <c r="I54" s="130">
        <f t="shared" ref="I54" si="105">T54</f>
        <v>565.93472115137502</v>
      </c>
      <c r="J54" s="130">
        <f t="shared" ref="J54" si="106">I54/I42-1</f>
        <v>-0.65262667956546405</v>
      </c>
      <c r="K54" s="136"/>
      <c r="L54" s="190"/>
      <c r="M54" s="190"/>
      <c r="N54" s="191"/>
      <c r="O54" s="192"/>
      <c r="P54" s="129" t="s">
        <v>1417</v>
      </c>
      <c r="Q54" s="116">
        <v>1101026</v>
      </c>
      <c r="R54" s="116">
        <v>1595282583</v>
      </c>
      <c r="S54" s="116">
        <v>1945.5</v>
      </c>
      <c r="T54" s="130">
        <f t="shared" ref="T54" si="107">Q54/S54</f>
        <v>565.93472115137502</v>
      </c>
      <c r="U54" s="85">
        <f t="shared" ref="U54" si="108">Q52+Q53+Q54</f>
        <v>8039544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308251.04481792718</v>
      </c>
      <c r="C55" s="188">
        <f>AVERAGE(F53:F55)</f>
        <v>102750.3482726424</v>
      </c>
      <c r="D55" s="190">
        <f>C55/C52-1</f>
        <v>-0.42265135296985601</v>
      </c>
      <c r="E55" s="287">
        <f>C55/C43-1</f>
        <v>-0.31520517946726256</v>
      </c>
      <c r="F55" s="136">
        <f>Q55/21</f>
        <v>184522.47619047618</v>
      </c>
      <c r="G55" s="190">
        <f t="shared" ref="G55" si="109">F55/F54-1</f>
        <v>1.8490536056715237</v>
      </c>
      <c r="H55" s="190">
        <f t="shared" ref="H55" si="110">F55/F43-1</f>
        <v>0.39508465461855646</v>
      </c>
      <c r="I55" s="130">
        <f>T55</f>
        <v>1260.5880401048817</v>
      </c>
      <c r="J55" s="130">
        <f t="shared" ref="J55" si="111">I55/I43-1</f>
        <v>0.74005670259630785</v>
      </c>
      <c r="K55" s="136">
        <f>R53+R54+R55</f>
        <v>9145118600</v>
      </c>
      <c r="L55" s="190">
        <f>U55/U52-1</f>
        <v>-0.42950054133215354</v>
      </c>
      <c r="M55" s="190">
        <f>K55/K43-1</f>
        <v>-0.2722633653940294</v>
      </c>
      <c r="N55" s="191">
        <f>AVERAGE(T53:T55)</f>
        <v>763.68653238712307</v>
      </c>
      <c r="O55" s="192">
        <f>N55/N52-1</f>
        <v>-0.3830791144732637</v>
      </c>
      <c r="P55" s="129" t="s">
        <v>1418</v>
      </c>
      <c r="Q55" s="116">
        <v>3874972</v>
      </c>
      <c r="R55" s="116">
        <v>5738008843</v>
      </c>
      <c r="S55" s="116">
        <v>3073.94</v>
      </c>
      <c r="T55" s="130">
        <f t="shared" ref="T55" si="112">Q55/S55</f>
        <v>1260.5880401048817</v>
      </c>
      <c r="U55" s="85">
        <f t="shared" ref="U55" si="113">Q53+Q54+Q55</f>
        <v>6214207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103064.31818181818</v>
      </c>
      <c r="G56" s="190">
        <f t="shared" ref="G56" si="114">F56/F55-1</f>
        <v>-0.44145385261669456</v>
      </c>
      <c r="H56" s="190">
        <f t="shared" ref="H56" si="115">F56/F44-1</f>
        <v>7.1805886904759086E-2</v>
      </c>
      <c r="I56" s="291">
        <f>T56</f>
        <v>700.16304297479326</v>
      </c>
      <c r="J56" s="130">
        <f t="shared" ref="J56" si="116">I56/I44-1</f>
        <v>2.3238191855792318</v>
      </c>
      <c r="K56" s="136"/>
      <c r="L56" s="190"/>
      <c r="M56" s="190"/>
      <c r="N56" s="191"/>
      <c r="O56" s="192"/>
      <c r="P56" s="129" t="s">
        <v>1420</v>
      </c>
      <c r="Q56" s="116">
        <v>2267415</v>
      </c>
      <c r="R56" s="116">
        <v>3365033338</v>
      </c>
      <c r="S56" s="116">
        <v>3238.41</v>
      </c>
      <c r="T56" s="130">
        <f t="shared" ref="T56" si="117">Q56/S56</f>
        <v>700.16304297479326</v>
      </c>
      <c r="U56" s="85">
        <f t="shared" ref="U56" si="118">Q54+Q55+Q56</f>
        <v>7243413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55535.916666666664</v>
      </c>
      <c r="G57" s="254">
        <f t="shared" ref="G57" si="119">F57/F56-1</f>
        <v>-0.4611528252804773</v>
      </c>
      <c r="H57" s="254">
        <f t="shared" ref="H57" si="120">F57/F45-1</f>
        <v>-0.65083367441482265</v>
      </c>
      <c r="I57" s="282">
        <f>T57</f>
        <v>438.06678498652468</v>
      </c>
      <c r="J57" s="277">
        <f t="shared" ref="J57" si="121">I57/I45-1</f>
        <v>0.2050114798283269</v>
      </c>
      <c r="K57" s="204"/>
      <c r="L57" s="254"/>
      <c r="M57" s="254"/>
      <c r="N57" s="257"/>
      <c r="O57" s="258"/>
      <c r="P57" s="129" t="s">
        <v>1436</v>
      </c>
      <c r="Q57" s="116">
        <v>666431</v>
      </c>
      <c r="R57" s="116">
        <v>983085130</v>
      </c>
      <c r="S57" s="116">
        <v>1521.3</v>
      </c>
      <c r="T57" s="130">
        <f t="shared" ref="T57" si="122">Q57/S57</f>
        <v>438.06678498652468</v>
      </c>
      <c r="U57" s="85">
        <f t="shared" ref="U57" si="123">Q55+Q56+Q57</f>
        <v>6808818</v>
      </c>
      <c r="V57" s="79"/>
      <c r="W57" s="79"/>
      <c r="X57" s="79"/>
      <c r="Y57" s="79"/>
      <c r="Z57" s="79"/>
    </row>
    <row r="58" spans="1:26">
      <c r="B58" s="196">
        <f>SUM(F56:F58)</f>
        <v>158600.23484848483</v>
      </c>
      <c r="C58" s="196">
        <f>AVERAGE(F56:F58)</f>
        <v>79300.117424242417</v>
      </c>
      <c r="D58" s="197">
        <f>C58/C55-1</f>
        <v>-0.22822531740891117</v>
      </c>
      <c r="E58" s="233">
        <f>C58/C46-1</f>
        <v>-0.52205738809282121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9148053</v>
      </c>
      <c r="R66" s="212">
        <v>13493237068</v>
      </c>
      <c r="S66" s="213">
        <v>12444.64</v>
      </c>
      <c r="T66" s="214">
        <v>59</v>
      </c>
      <c r="U66" s="214">
        <v>167</v>
      </c>
    </row>
    <row r="67" spans="16:21" ht="18" thickBot="1">
      <c r="P67" s="180" t="s">
        <v>976</v>
      </c>
      <c r="Q67" s="181">
        <v>1238209</v>
      </c>
      <c r="R67" s="181">
        <v>1811827174</v>
      </c>
      <c r="S67" s="182">
        <v>2665.47</v>
      </c>
      <c r="T67" s="210">
        <v>25</v>
      </c>
      <c r="U67" s="210">
        <v>60</v>
      </c>
    </row>
    <row r="68" spans="16:21" ht="18" thickBot="1">
      <c r="P68" s="180" t="s">
        <v>977</v>
      </c>
      <c r="Q68" s="181">
        <v>1101026</v>
      </c>
      <c r="R68" s="181">
        <v>1595282583</v>
      </c>
      <c r="S68" s="182">
        <v>1945.5</v>
      </c>
      <c r="T68" s="210">
        <v>25</v>
      </c>
      <c r="U68" s="210">
        <v>62</v>
      </c>
    </row>
    <row r="69" spans="16:21" ht="18" thickBot="1">
      <c r="P69" s="180" t="s">
        <v>978</v>
      </c>
      <c r="Q69" s="181">
        <v>3874972</v>
      </c>
      <c r="R69" s="181">
        <v>5738008843</v>
      </c>
      <c r="S69" s="182">
        <v>3073.94</v>
      </c>
      <c r="T69" s="210">
        <v>31</v>
      </c>
      <c r="U69" s="210">
        <v>75</v>
      </c>
    </row>
    <row r="70" spans="16:21" ht="18" thickBot="1">
      <c r="P70" s="180" t="s">
        <v>979</v>
      </c>
      <c r="Q70" s="181">
        <v>2267415</v>
      </c>
      <c r="R70" s="181">
        <v>3365033338</v>
      </c>
      <c r="S70" s="182">
        <v>3238.41</v>
      </c>
      <c r="T70" s="210">
        <v>27</v>
      </c>
      <c r="U70" s="210">
        <v>62</v>
      </c>
    </row>
    <row r="71" spans="16:21" ht="18" thickBot="1">
      <c r="P71" s="180" t="s">
        <v>980</v>
      </c>
      <c r="Q71" s="181">
        <v>666431</v>
      </c>
      <c r="R71" s="181">
        <v>983085130</v>
      </c>
      <c r="S71" s="182">
        <v>1521.3</v>
      </c>
      <c r="T71" s="210">
        <v>23</v>
      </c>
      <c r="U71" s="210">
        <v>40</v>
      </c>
    </row>
    <row r="72" spans="16:21" ht="18" thickBot="1">
      <c r="P72" s="180" t="s">
        <v>975</v>
      </c>
      <c r="Q72" s="181">
        <v>36186355</v>
      </c>
      <c r="R72" s="181">
        <v>51575448253</v>
      </c>
      <c r="S72" s="182">
        <v>50552.24</v>
      </c>
      <c r="T72" s="210">
        <v>91</v>
      </c>
      <c r="U72" s="210">
        <v>398</v>
      </c>
    </row>
    <row r="73" spans="16:21" ht="18" thickBot="1">
      <c r="P73" s="215" t="s">
        <v>982</v>
      </c>
      <c r="Q73" s="217"/>
      <c r="R73"/>
      <c r="S73"/>
      <c r="T73"/>
      <c r="U73"/>
    </row>
  </sheetData>
  <phoneticPr fontId="1" type="noConversion"/>
  <conditionalFormatting sqref="C29:C30">
    <cfRule type="cellIs" dxfId="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66"/>
  <dimension ref="A1:Z73"/>
  <sheetViews>
    <sheetView zoomScale="90" zoomScaleNormal="90" workbookViewId="0">
      <selection activeCell="F69" sqref="F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288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6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2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86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96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86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96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97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97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98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99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86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99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100</v>
      </c>
      <c r="C17" s="79"/>
      <c r="F17" s="78">
        <f>Q17/20</f>
        <v>927093.65</v>
      </c>
      <c r="G17" s="90">
        <f t="shared" si="2"/>
        <v>-0.29490980033415981</v>
      </c>
      <c r="H17" s="90">
        <f t="shared" ref="H17:H26" si="3">F17/F5-1</f>
        <v>-5.5190029276978469E-2</v>
      </c>
      <c r="I17" s="130">
        <f t="shared" si="0"/>
        <v>89.63542564018077</v>
      </c>
      <c r="J17" s="130">
        <f t="shared" ref="J17:J49" si="4">I17/I5-1</f>
        <v>0.23730444735490552</v>
      </c>
      <c r="O17" s="89"/>
      <c r="P17" s="129" t="s">
        <v>100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2"/>
        <v>0.19975560182080843</v>
      </c>
      <c r="H18" s="90">
        <f t="shared" si="3"/>
        <v>-9.3189992469649652E-2</v>
      </c>
      <c r="I18" s="130">
        <f t="shared" si="0"/>
        <v>74.325374019672509</v>
      </c>
      <c r="J18" s="130">
        <f t="shared" si="4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86">
        <f>C19/C7-1</f>
        <v>1.7049925461755988E-2</v>
      </c>
      <c r="F19" s="78">
        <f>Q19/22</f>
        <v>1262481.0454545454</v>
      </c>
      <c r="G19" s="90">
        <f t="shared" si="2"/>
        <v>0.13503296136168008</v>
      </c>
      <c r="H19" s="90">
        <f t="shared" si="3"/>
        <v>0.21548189646555738</v>
      </c>
      <c r="I19" s="130">
        <f t="shared" si="0"/>
        <v>57.17206598638537</v>
      </c>
      <c r="J19" s="130">
        <f t="shared" si="4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1268907.75</v>
      </c>
      <c r="G20" s="90">
        <f t="shared" si="2"/>
        <v>5.0905354726658025E-3</v>
      </c>
      <c r="H20" s="90">
        <f t="shared" si="3"/>
        <v>5.8888172421414531E-2</v>
      </c>
      <c r="I20" s="130">
        <f t="shared" si="0"/>
        <v>75.251597455812941</v>
      </c>
      <c r="J20" s="130">
        <f t="shared" si="4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1307495.7619047619</v>
      </c>
      <c r="G21" s="90">
        <f t="shared" si="2"/>
        <v>3.0410415496920029E-2</v>
      </c>
      <c r="H21" s="90">
        <f t="shared" si="3"/>
        <v>8.0317408768999066E-2</v>
      </c>
      <c r="I21" s="130">
        <f t="shared" si="0"/>
        <v>81.772579140373608</v>
      </c>
      <c r="J21" s="130">
        <f t="shared" si="4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155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86">
        <f>C22/C10-1</f>
        <v>8.697841259225636E-2</v>
      </c>
      <c r="F22" s="78">
        <f>Q22/21</f>
        <v>1486857.6666666667</v>
      </c>
      <c r="G22" s="90">
        <f t="shared" si="2"/>
        <v>0.13717972171520465</v>
      </c>
      <c r="H22" s="90">
        <f t="shared" si="3"/>
        <v>0.11836125462724323</v>
      </c>
      <c r="I22" s="130">
        <f t="shared" si="0"/>
        <v>67.522726252899815</v>
      </c>
      <c r="J22" s="130">
        <f t="shared" si="4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155</v>
      </c>
      <c r="Q22" s="116">
        <v>31224011</v>
      </c>
      <c r="R22" s="116">
        <v>40549331486</v>
      </c>
      <c r="S22" s="116">
        <v>462422.25</v>
      </c>
      <c r="T22" s="130">
        <f t="shared" si="1"/>
        <v>67.522726252899815</v>
      </c>
      <c r="U22" s="85">
        <f>Q20+Q21+Q22</f>
        <v>84059577</v>
      </c>
    </row>
    <row r="23" spans="1:21" hidden="1">
      <c r="A23" s="129" t="s">
        <v>189</v>
      </c>
      <c r="C23" s="131"/>
      <c r="F23" s="78">
        <f>Q23/21</f>
        <v>1397786.0952380951</v>
      </c>
      <c r="G23" s="90">
        <f t="shared" si="2"/>
        <v>-5.9905916635758394E-2</v>
      </c>
      <c r="H23" s="90">
        <f t="shared" si="3"/>
        <v>0.14083656272626954</v>
      </c>
      <c r="I23" s="130">
        <f t="shared" si="0"/>
        <v>50.735439407312192</v>
      </c>
      <c r="J23" s="130">
        <f t="shared" si="4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1"/>
        <v>50.735439407312192</v>
      </c>
      <c r="U23" s="78"/>
    </row>
    <row r="24" spans="1:21" hidden="1">
      <c r="A24" s="129" t="s">
        <v>204</v>
      </c>
      <c r="C24" s="131"/>
      <c r="F24" s="78">
        <f>Q24/22</f>
        <v>1331975.4545454546</v>
      </c>
      <c r="G24" s="90">
        <f t="shared" si="2"/>
        <v>-4.7082054197592038E-2</v>
      </c>
      <c r="H24" s="90">
        <f t="shared" si="3"/>
        <v>0.15993100769161162</v>
      </c>
      <c r="I24" s="130">
        <f t="shared" si="0"/>
        <v>66.899127000986596</v>
      </c>
      <c r="J24" s="130">
        <f t="shared" si="4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si="1"/>
        <v>66.899127000986596</v>
      </c>
      <c r="U24" s="78"/>
    </row>
    <row r="25" spans="1:21" s="79" customFormat="1" ht="13.2" hidden="1">
      <c r="A25" s="129" t="s">
        <v>217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86">
        <f>C25/C13-1</f>
        <v>0.12394743609833481</v>
      </c>
      <c r="F25" s="78">
        <f>Q25/19</f>
        <v>1501191.0526315789</v>
      </c>
      <c r="G25" s="90">
        <f t="shared" si="2"/>
        <v>0.12704107835370748</v>
      </c>
      <c r="H25" s="90">
        <f t="shared" si="3"/>
        <v>7.9359381169048948E-2</v>
      </c>
      <c r="I25" s="130">
        <f t="shared" si="0"/>
        <v>63.314530592460592</v>
      </c>
      <c r="J25" s="130">
        <f t="shared" si="4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217</v>
      </c>
      <c r="Q25" s="116">
        <v>28522630</v>
      </c>
      <c r="R25" s="116">
        <v>37861420772</v>
      </c>
      <c r="S25" s="116">
        <v>450491.06</v>
      </c>
      <c r="T25" s="130">
        <f t="shared" si="1"/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1332962.8421052631</v>
      </c>
      <c r="G26" s="90">
        <f t="shared" si="2"/>
        <v>-0.11206315827116919</v>
      </c>
      <c r="H26" s="90">
        <f t="shared" si="3"/>
        <v>-7.8098033413298462E-2</v>
      </c>
      <c r="I26" s="130">
        <f t="shared" si="0"/>
        <v>68.142850143461288</v>
      </c>
      <c r="J26" s="130">
        <f t="shared" si="4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si="1"/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1340099</v>
      </c>
      <c r="G27" s="90">
        <f t="shared" ref="G27" si="5">F27/F26-1</f>
        <v>5.3536060191041734E-3</v>
      </c>
      <c r="H27" s="90">
        <f t="shared" ref="H27" si="6">F27/F15-1</f>
        <v>0.1151093223779287</v>
      </c>
      <c r="I27" s="130">
        <f t="shared" si="0"/>
        <v>59.333293981977576</v>
      </c>
      <c r="J27" s="130">
        <f t="shared" si="4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7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86">
        <f>C28/C16-1</f>
        <v>8.7542919700251076E-2</v>
      </c>
      <c r="F28" s="78">
        <f>Q28/19</f>
        <v>1636333.9473684211</v>
      </c>
      <c r="G28" s="90">
        <f t="shared" ref="G28" si="8">F28/F27-1</f>
        <v>0.22105452460483965</v>
      </c>
      <c r="H28" s="90">
        <f t="shared" ref="H28" si="9">F28/F16-1</f>
        <v>0.24449458765033349</v>
      </c>
      <c r="I28" s="130">
        <f t="shared" si="0"/>
        <v>55.793061756635012</v>
      </c>
      <c r="J28" s="130">
        <f t="shared" si="4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10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984864.63636363635</v>
      </c>
      <c r="G29" s="190">
        <f t="shared" ref="G29" si="11">F29/F28-1</f>
        <v>-0.39812735783700404</v>
      </c>
      <c r="H29" s="190">
        <f t="shared" ref="H29" si="12">F29/F17-1</f>
        <v>6.2314078371301873E-2</v>
      </c>
      <c r="I29" s="130">
        <f t="shared" si="0"/>
        <v>66.461168015422828</v>
      </c>
      <c r="J29" s="130">
        <f t="shared" si="4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13">Q29/S29</f>
        <v>66.461168015422828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1089939.6315789474</v>
      </c>
      <c r="G30" s="190">
        <f t="shared" ref="G30" si="14">F30/F29-1</f>
        <v>0.10668978389078321</v>
      </c>
      <c r="H30" s="190">
        <f t="shared" ref="H30" si="15">F30/F18-1</f>
        <v>-2.0090311699612284E-2</v>
      </c>
      <c r="I30" s="130">
        <f t="shared" si="0"/>
        <v>53.042721837089786</v>
      </c>
      <c r="J30" s="130">
        <f t="shared" si="4"/>
        <v>-0.28634436709258415</v>
      </c>
      <c r="K30" s="136"/>
      <c r="L30" s="190"/>
      <c r="M30" s="190"/>
      <c r="N30" s="191"/>
      <c r="O30" s="192"/>
      <c r="P30" s="129" t="s">
        <v>469</v>
      </c>
      <c r="Q30" s="116">
        <v>20708853</v>
      </c>
      <c r="R30" s="116">
        <v>27593912245</v>
      </c>
      <c r="S30" s="116">
        <v>390418.37</v>
      </c>
      <c r="T30" s="130">
        <f t="shared" ref="T30" si="16">Q30/S30</f>
        <v>53.042721837089786</v>
      </c>
      <c r="U30" s="85"/>
    </row>
    <row r="31" spans="1:21" s="79" customFormat="1" ht="13.2" hidden="1">
      <c r="A31" s="129" t="s">
        <v>505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87">
        <f>C31/C19-1</f>
        <v>9.326218515418816E-3</v>
      </c>
      <c r="F31" s="136">
        <f>Q31/20</f>
        <v>1257850.1000000001</v>
      </c>
      <c r="G31" s="190">
        <f t="shared" ref="G31" si="17">F31/F30-1</f>
        <v>0.15405483345697624</v>
      </c>
      <c r="H31" s="190">
        <f t="shared" ref="H31" si="18">F31/F19-1</f>
        <v>-3.6681306790455892E-3</v>
      </c>
      <c r="I31" s="130">
        <f t="shared" si="0"/>
        <v>84.919058880731313</v>
      </c>
      <c r="J31" s="130">
        <f t="shared" si="4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505</v>
      </c>
      <c r="Q31" s="116">
        <v>25157002</v>
      </c>
      <c r="R31" s="116">
        <v>33428167108</v>
      </c>
      <c r="S31" s="116">
        <v>296246.83</v>
      </c>
      <c r="T31" s="130">
        <f t="shared" ref="T31" si="19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1035728.5714285715</v>
      </c>
      <c r="G32" s="190">
        <f t="shared" ref="G32" si="20">F32/F31-1</f>
        <v>-0.17658823461669126</v>
      </c>
      <c r="H32" s="190">
        <f t="shared" ref="H32" si="21">F32/F20-1</f>
        <v>-0.1837636964321705</v>
      </c>
      <c r="I32" s="130">
        <f t="shared" si="0"/>
        <v>81.76306863127391</v>
      </c>
      <c r="J32" s="130">
        <f t="shared" si="4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22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1160523.5238095238</v>
      </c>
      <c r="G33" s="190">
        <f t="shared" ref="G33" si="23">F33/F32-1</f>
        <v>0.12049001622966116</v>
      </c>
      <c r="H33" s="190">
        <f t="shared" ref="H33" si="24">F33/F21-1</f>
        <v>-0.11240742981922081</v>
      </c>
      <c r="I33" s="130">
        <f t="shared" si="0"/>
        <v>71.299971320266266</v>
      </c>
      <c r="J33" s="130">
        <f t="shared" si="4"/>
        <v>-0.12806992185155008</v>
      </c>
      <c r="K33" s="136"/>
      <c r="L33" s="190"/>
      <c r="M33" s="190"/>
      <c r="N33" s="191"/>
      <c r="O33" s="192"/>
      <c r="P33" s="129" t="s">
        <v>609</v>
      </c>
      <c r="Q33" s="116">
        <v>24370994</v>
      </c>
      <c r="R33" s="116">
        <v>33327556563</v>
      </c>
      <c r="S33" s="116">
        <v>341809.31</v>
      </c>
      <c r="T33" s="130">
        <f t="shared" ref="T33" si="25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87">
        <f>C34/C22-1</f>
        <v>-8.4012871982816817E-2</v>
      </c>
      <c r="F34" s="136">
        <f>Q34/19</f>
        <v>1525642.8421052631</v>
      </c>
      <c r="G34" s="190">
        <f t="shared" ref="G34" si="26">F34/F33-1</f>
        <v>0.31461604250571495</v>
      </c>
      <c r="H34" s="190">
        <f t="shared" ref="H34" si="27">F34/F22-1</f>
        <v>2.6085331708681547E-2</v>
      </c>
      <c r="I34" s="130">
        <f t="shared" si="0"/>
        <v>50.342821716642639</v>
      </c>
      <c r="J34" s="130">
        <f t="shared" si="4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28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958433.52173913049</v>
      </c>
      <c r="G35" s="190">
        <f t="shared" ref="G35" si="29">F35/F34-1</f>
        <v>-0.37178381775345914</v>
      </c>
      <c r="H35" s="190">
        <f t="shared" ref="H35" si="30">F35/F23-1</f>
        <v>-0.31432032053811965</v>
      </c>
      <c r="I35" s="130">
        <f t="shared" si="0"/>
        <v>63.912969116490181</v>
      </c>
      <c r="J35" s="130">
        <f t="shared" si="4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31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1082021.4285714286</v>
      </c>
      <c r="G36" s="190">
        <f t="shared" ref="G36" si="32">F36/F35-1</f>
        <v>0.12894781331107974</v>
      </c>
      <c r="H36" s="190">
        <f t="shared" ref="H36" si="33">F36/F24-1</f>
        <v>-0.18765663069919292</v>
      </c>
      <c r="I36" s="130">
        <f t="shared" si="0"/>
        <v>67.634610434948726</v>
      </c>
      <c r="J36" s="130">
        <f t="shared" si="4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34">Q36/S36</f>
        <v>67.634610434948726</v>
      </c>
      <c r="U36" s="85"/>
    </row>
    <row r="37" spans="1:21" s="79" customFormat="1" ht="13.2" hidden="1">
      <c r="A37" s="129" t="s">
        <v>703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87">
        <f>C37/C25-1</f>
        <v>-0.23587977599533716</v>
      </c>
      <c r="F37" s="136">
        <f>Q37/18</f>
        <v>1192501.5</v>
      </c>
      <c r="G37" s="190">
        <f t="shared" ref="G37" si="35">F37/F36-1</f>
        <v>0.10210525273463023</v>
      </c>
      <c r="H37" s="190">
        <f t="shared" ref="H37" si="36">F37/F25-1</f>
        <v>-0.20562975784491122</v>
      </c>
      <c r="I37" s="130">
        <f t="shared" si="0"/>
        <v>67.025619398379547</v>
      </c>
      <c r="J37" s="130">
        <f t="shared" si="4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703</v>
      </c>
      <c r="Q37" s="116">
        <v>21465027</v>
      </c>
      <c r="R37" s="116">
        <v>28633953956</v>
      </c>
      <c r="S37" s="116">
        <v>320251.08</v>
      </c>
      <c r="T37" s="130">
        <f t="shared" ref="T37" si="37">Q37/S37</f>
        <v>67.025619398379547</v>
      </c>
      <c r="U37" s="85">
        <f>Q35+Q36+Q37</f>
        <v>66231448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1188058.8500000001</v>
      </c>
      <c r="G38" s="190">
        <f t="shared" ref="G38" si="38">F38/F37-1</f>
        <v>-3.7254879763253257E-3</v>
      </c>
      <c r="H38" s="190">
        <f t="shared" ref="H38" si="39">F38/F26-1</f>
        <v>-0.10870820065501874</v>
      </c>
      <c r="I38" s="130">
        <f t="shared" si="0"/>
        <v>45.161848073451274</v>
      </c>
      <c r="J38" s="130">
        <f t="shared" si="4"/>
        <v>-0.33724744447330957</v>
      </c>
      <c r="K38" s="136"/>
      <c r="L38" s="190"/>
      <c r="M38" s="190"/>
      <c r="N38" s="191"/>
      <c r="O38" s="192"/>
      <c r="P38" s="129" t="s">
        <v>727</v>
      </c>
      <c r="Q38" s="116">
        <v>23761177</v>
      </c>
      <c r="R38" s="116">
        <v>32018074223</v>
      </c>
      <c r="S38" s="116">
        <v>526133.85</v>
      </c>
      <c r="T38" s="130">
        <f t="shared" ref="T38" si="40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1387127.0476190476</v>
      </c>
      <c r="G39" s="190">
        <f t="shared" ref="G39" si="41">F39/F38-1</f>
        <v>0.16755752260845291</v>
      </c>
      <c r="H39" s="190">
        <f t="shared" ref="H39" si="42">F39/F27-1</f>
        <v>3.5092965235439699E-2</v>
      </c>
      <c r="I39" s="130">
        <f t="shared" si="0"/>
        <v>55.242084077551745</v>
      </c>
      <c r="J39" s="130">
        <f t="shared" si="4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43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87">
        <f>C40/C28-1</f>
        <v>1.683939825906533E-2</v>
      </c>
      <c r="F40" s="136">
        <f>Q40/21</f>
        <v>1806777.5238095238</v>
      </c>
      <c r="G40" s="190">
        <f t="shared" ref="G40" si="44">F40/F39-1</f>
        <v>0.30253211262140023</v>
      </c>
      <c r="H40" s="190">
        <f t="shared" ref="H40" si="45">F40/F28-1</f>
        <v>0.10416185321780613</v>
      </c>
      <c r="I40" s="130">
        <f t="shared" si="0"/>
        <v>64.914454619359532</v>
      </c>
      <c r="J40" s="130">
        <f t="shared" si="4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46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1085445.7777777778</v>
      </c>
      <c r="G41" s="190">
        <f t="shared" ref="G41" si="47">F41/F40-1</f>
        <v>-0.39923661686406453</v>
      </c>
      <c r="H41" s="190">
        <f t="shared" ref="H41" si="48">F41/F29-1</f>
        <v>0.10212686870909682</v>
      </c>
      <c r="I41" s="130">
        <f t="shared" si="0"/>
        <v>47.002327860921589</v>
      </c>
      <c r="J41" s="130">
        <f t="shared" si="4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49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1136328.5</v>
      </c>
      <c r="G42" s="190">
        <f t="shared" ref="G42" si="50">F42/F41-1</f>
        <v>4.6877258416716083E-2</v>
      </c>
      <c r="H42" s="190">
        <f t="shared" ref="H42" si="51">F42/F30-1</f>
        <v>4.2560952072043801E-2</v>
      </c>
      <c r="I42" s="130">
        <f t="shared" si="0"/>
        <v>51.548992963305707</v>
      </c>
      <c r="J42" s="130">
        <f t="shared" si="4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52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87">
        <f>C43/C31-1</f>
        <v>-8.3691967679279111E-3</v>
      </c>
      <c r="F43" s="136">
        <f>Q43/20</f>
        <v>1082988.45</v>
      </c>
      <c r="G43" s="190">
        <f t="shared" ref="G43" si="53">F43/F42-1</f>
        <v>-4.6940695406301969E-2</v>
      </c>
      <c r="H43" s="190">
        <f t="shared" ref="H43" si="54">F43/F31-1</f>
        <v>-0.13901628659885634</v>
      </c>
      <c r="I43" s="130">
        <f t="shared" si="0"/>
        <v>83.349966305628428</v>
      </c>
      <c r="J43" s="130">
        <f t="shared" si="4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55">Q43/S43</f>
        <v>83.349966305628428</v>
      </c>
      <c r="U43" s="85">
        <f>Q41+Q42+Q43</f>
        <v>63924363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966921.04545454541</v>
      </c>
      <c r="G44" s="190">
        <f t="shared" ref="G44" si="56">F44/F43-1</f>
        <v>-0.10717326167740249</v>
      </c>
      <c r="H44" s="190">
        <f t="shared" ref="H44" si="57">F44/F32-1</f>
        <v>-6.6433936334420518E-2</v>
      </c>
      <c r="I44" s="130">
        <f t="shared" si="0"/>
        <v>81.645433755770568</v>
      </c>
      <c r="J44" s="130">
        <f t="shared" si="4"/>
        <v>-1.4387287252370928E-3</v>
      </c>
      <c r="K44" s="136"/>
      <c r="L44" s="190"/>
      <c r="M44" s="190"/>
      <c r="N44" s="191"/>
      <c r="O44" s="192"/>
      <c r="P44" s="129" t="s">
        <v>839</v>
      </c>
      <c r="Q44" s="116">
        <v>21272263</v>
      </c>
      <c r="R44" s="116">
        <v>30815648451</v>
      </c>
      <c r="S44" s="116">
        <v>260544.43</v>
      </c>
      <c r="T44" s="130">
        <f t="shared" ref="T44" si="58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1198182.5</v>
      </c>
      <c r="G45" s="190">
        <f t="shared" ref="G45" si="59">F45/F44-1</f>
        <v>0.23917304896051728</v>
      </c>
      <c r="H45" s="190">
        <f t="shared" ref="H45" si="60">F45/F33-1</f>
        <v>3.2449989524432121E-2</v>
      </c>
      <c r="I45" s="130">
        <f t="shared" si="0"/>
        <v>73.687492327951162</v>
      </c>
      <c r="J45" s="130">
        <f t="shared" si="4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61">Q45/S45</f>
        <v>73.687492327951162</v>
      </c>
      <c r="U45" s="85"/>
    </row>
    <row r="46" spans="1:21" s="79" customFormat="1" ht="13.2">
      <c r="A46" s="129" t="s">
        <v>895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87">
        <f>C46/C34-1</f>
        <v>-1.0010512582048769E-2</v>
      </c>
      <c r="F46" s="136">
        <f>Q46/19</f>
        <v>1519533.3157894737</v>
      </c>
      <c r="G46" s="190">
        <f t="shared" ref="G46" si="62">F46/F45-1</f>
        <v>0.26819855555349359</v>
      </c>
      <c r="H46" s="190">
        <f t="shared" ref="H46" si="63">F46/F34-1</f>
        <v>-4.0045586995700599E-3</v>
      </c>
      <c r="I46" s="130">
        <f t="shared" si="0"/>
        <v>66.510824275207909</v>
      </c>
      <c r="J46" s="130">
        <f t="shared" si="4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888</v>
      </c>
      <c r="Q46" s="116">
        <v>28871133</v>
      </c>
      <c r="R46" s="116">
        <v>39547047652</v>
      </c>
      <c r="S46" s="116">
        <v>434081.72</v>
      </c>
      <c r="T46" s="130">
        <f t="shared" ref="T46" si="64">Q46/S46</f>
        <v>66.510824275207909</v>
      </c>
      <c r="U46" s="85">
        <f t="shared" ref="U46:U51" si="65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1127321.8695652173</v>
      </c>
      <c r="G47" s="190">
        <f t="shared" ref="G47" si="66">F47/F46-1</f>
        <v>-0.25811309442760255</v>
      </c>
      <c r="H47" s="190">
        <f t="shared" ref="H47" si="67">F47/F35-1</f>
        <v>0.17621289739493839</v>
      </c>
      <c r="I47" s="130">
        <f t="shared" si="0"/>
        <v>57.0907199230899</v>
      </c>
      <c r="J47" s="130">
        <f t="shared" si="4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68">Q47/S47</f>
        <v>57.0907199230899</v>
      </c>
      <c r="U47" s="85">
        <f t="shared" si="65"/>
        <v>78763186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1122695.8999999999</v>
      </c>
      <c r="G48" s="190">
        <f t="shared" ref="G48" si="69">F48/F47-1</f>
        <v>-4.1035037908042638E-3</v>
      </c>
      <c r="H48" s="190">
        <f t="shared" ref="H48" si="70">F48/F36-1</f>
        <v>3.7591188450188939E-2</v>
      </c>
      <c r="I48" s="130">
        <f t="shared" si="0"/>
        <v>56.41847839305597</v>
      </c>
      <c r="J48" s="130">
        <f t="shared" si="4"/>
        <v>-0.16583420780815294</v>
      </c>
      <c r="K48" s="136"/>
      <c r="L48" s="190"/>
      <c r="M48" s="190"/>
      <c r="N48" s="191"/>
      <c r="O48" s="192"/>
      <c r="P48" s="129" t="s">
        <v>1070</v>
      </c>
      <c r="Q48" s="116">
        <v>22453918</v>
      </c>
      <c r="R48" s="116">
        <v>31168231585</v>
      </c>
      <c r="S48" s="116">
        <v>397988.72</v>
      </c>
      <c r="T48" s="130">
        <f t="shared" ref="T48" si="71">Q48/S48</f>
        <v>56.41847839305597</v>
      </c>
      <c r="U48" s="85">
        <f t="shared" si="65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87">
        <f>C49/C37-1</f>
        <v>0.18473404965882101</v>
      </c>
      <c r="F49" s="136">
        <f>Q49/22</f>
        <v>1580175.8181818181</v>
      </c>
      <c r="G49" s="190">
        <f t="shared" ref="G49" si="72">F49/F48-1</f>
        <v>0.40748337834120374</v>
      </c>
      <c r="H49" s="190">
        <f t="shared" ref="H49" si="73">F49/F37-1</f>
        <v>0.32509335894488856</v>
      </c>
      <c r="I49" s="130">
        <f t="shared" si="0"/>
        <v>64.015404119581092</v>
      </c>
      <c r="J49" s="130">
        <f t="shared" si="4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74">Q49/S49</f>
        <v>64.015404119581092</v>
      </c>
      <c r="U49" s="85">
        <f t="shared" si="65"/>
        <v>83146189</v>
      </c>
      <c r="V49" s="79"/>
      <c r="W49" s="79"/>
      <c r="X49" s="79"/>
      <c r="Y49" s="79"/>
      <c r="Z49" s="79"/>
    </row>
    <row r="50" spans="1:26" ht="13.2">
      <c r="A50" s="129" t="s">
        <v>1299</v>
      </c>
      <c r="B50" s="188"/>
      <c r="C50" s="188"/>
      <c r="D50" s="190"/>
      <c r="E50" s="287"/>
      <c r="F50" s="136">
        <f>Q50/18</f>
        <v>1458357.2222222222</v>
      </c>
      <c r="G50" s="190">
        <f t="shared" ref="G50" si="75">F50/F49-1</f>
        <v>-7.7091798620081864E-2</v>
      </c>
      <c r="H50" s="190">
        <f t="shared" ref="H50" si="76">F50/F38-1</f>
        <v>0.22751261204124873</v>
      </c>
      <c r="I50" s="130">
        <f t="shared" ref="I50" si="77">T50</f>
        <v>63.158231828489399</v>
      </c>
      <c r="J50" s="130">
        <f t="shared" ref="J50" si="78">I50/I38-1</f>
        <v>0.3984864331895539</v>
      </c>
      <c r="K50" s="136"/>
      <c r="L50" s="190"/>
      <c r="M50" s="190"/>
      <c r="N50" s="191"/>
      <c r="O50" s="192"/>
      <c r="P50" s="129" t="s">
        <v>1293</v>
      </c>
      <c r="Q50" s="116">
        <v>26250430</v>
      </c>
      <c r="R50" s="116">
        <v>37104183919</v>
      </c>
      <c r="S50" s="116">
        <v>415629.59</v>
      </c>
      <c r="T50" s="130">
        <f t="shared" ref="T50" si="79">Q50/S50</f>
        <v>63.158231828489399</v>
      </c>
      <c r="U50" s="85">
        <f t="shared" si="65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1616649.3</v>
      </c>
      <c r="G51" s="190">
        <f t="shared" ref="G51:G52" si="80">F51/F50-1</f>
        <v>0.10854136103675249</v>
      </c>
      <c r="H51" s="190">
        <f t="shared" ref="H51:H52" si="81">F51/F39-1</f>
        <v>0.16546591948799416</v>
      </c>
      <c r="I51" s="130">
        <f t="shared" ref="I51:I52" si="82">T51</f>
        <v>53.017779271474105</v>
      </c>
      <c r="J51" s="130">
        <f t="shared" ref="J51:J52" si="83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84">Q51/S51</f>
        <v>53.017779271474105</v>
      </c>
      <c r="U51" s="85">
        <f t="shared" si="65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87">
        <f>C52/C40-1</f>
        <v>0.12401867161973334</v>
      </c>
      <c r="F52" s="136">
        <f>Q52/22</f>
        <v>1850402.1818181819</v>
      </c>
      <c r="G52" s="190">
        <f t="shared" si="80"/>
        <v>0.14459096466882571</v>
      </c>
      <c r="H52" s="190">
        <f t="shared" si="81"/>
        <v>2.4145008133971579E-2</v>
      </c>
      <c r="I52" s="130">
        <f t="shared" si="82"/>
        <v>58.51612113010232</v>
      </c>
      <c r="J52" s="130">
        <f t="shared" si="83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84"/>
        <v>58.51612113010232</v>
      </c>
      <c r="U52" s="85">
        <f t="shared" ref="U52" si="85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1220474.9523809524</v>
      </c>
      <c r="G53" s="190">
        <f t="shared" ref="G53" si="86">F53/F52-1</f>
        <v>-0.34042719773399255</v>
      </c>
      <c r="H53" s="190">
        <f t="shared" ref="H53" si="87">F53/F41-1</f>
        <v>0.12439974190108183</v>
      </c>
      <c r="I53" s="130">
        <f t="shared" ref="I53" si="88">T53</f>
        <v>64.748791864127952</v>
      </c>
      <c r="J53" s="130">
        <f t="shared" ref="J53" si="89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90">Q53/S53</f>
        <v>64.748791864127952</v>
      </c>
      <c r="U53" s="85">
        <f t="shared" ref="U53" si="91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1254030.8235294118</v>
      </c>
      <c r="G54" s="190">
        <f t="shared" ref="G54" si="92">F54/F53-1</f>
        <v>2.7494108816405571E-2</v>
      </c>
      <c r="H54" s="190">
        <f t="shared" ref="H54" si="93">F54/F42-1</f>
        <v>0.10358124743805308</v>
      </c>
      <c r="I54" s="130">
        <f t="shared" ref="I54" si="94">T54</f>
        <v>62.26884049815834</v>
      </c>
      <c r="J54" s="130">
        <f t="shared" ref="J54" si="95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96">Q54/S54</f>
        <v>62.26884049815834</v>
      </c>
      <c r="U54" s="85">
        <f t="shared" ref="U54" si="97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3772844.7282913169</v>
      </c>
      <c r="C55" s="188">
        <f>AVERAGE(F53:F55)</f>
        <v>1257614.9094304389</v>
      </c>
      <c r="D55" s="190">
        <f>C55/C52-1</f>
        <v>-0.23400372334657593</v>
      </c>
      <c r="E55" s="287">
        <f>C55/C43-1</f>
        <v>0.1416386104149423</v>
      </c>
      <c r="F55" s="136">
        <f>Q55/21</f>
        <v>1298338.9523809524</v>
      </c>
      <c r="G55" s="190">
        <f t="shared" ref="G55" si="98">F55/F54-1</f>
        <v>3.5332567605345977E-2</v>
      </c>
      <c r="H55" s="190">
        <f t="shared" ref="H55" si="99">F55/F43-1</f>
        <v>0.19884838326849419</v>
      </c>
      <c r="I55" s="130">
        <f>T55</f>
        <v>75.031509520113033</v>
      </c>
      <c r="J55" s="130">
        <f t="shared" ref="J55" si="100">I55/I43-1</f>
        <v>-9.9801561466902111E-2</v>
      </c>
      <c r="K55" s="136">
        <f>R53+R54+R55</f>
        <v>108568997865</v>
      </c>
      <c r="L55" s="190">
        <f>U55/U52-1</f>
        <v>-0.25257403738925721</v>
      </c>
      <c r="M55" s="190">
        <f>K55/K43-1</f>
        <v>0.16956151242719986</v>
      </c>
      <c r="N55" s="191">
        <f>AVERAGE(T53:T55)</f>
        <v>67.349713960799775</v>
      </c>
      <c r="O55" s="192">
        <f>N55/N52-1</f>
        <v>0.15660126934798013</v>
      </c>
      <c r="P55" s="129" t="s">
        <v>1418</v>
      </c>
      <c r="Q55" s="116">
        <v>27265118</v>
      </c>
      <c r="R55" s="116">
        <v>40214167750</v>
      </c>
      <c r="S55" s="116">
        <v>363382.24</v>
      </c>
      <c r="T55" s="130">
        <f t="shared" ref="T55" si="101">Q55/S55</f>
        <v>75.031509520113033</v>
      </c>
      <c r="U55" s="85">
        <f t="shared" ref="U55" si="102">Q53+Q54+Q55</f>
        <v>74213616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967192.81818181823</v>
      </c>
      <c r="G56" s="190">
        <f t="shared" ref="G56" si="103">F56/F55-1</f>
        <v>-0.25505368501180947</v>
      </c>
      <c r="H56" s="190">
        <f t="shared" ref="H56" si="104">F56/F44-1</f>
        <v>2.8107023686207988E-4</v>
      </c>
      <c r="I56" s="291">
        <f>T56</f>
        <v>94.978837787917229</v>
      </c>
      <c r="J56" s="130">
        <f t="shared" ref="J56" si="105">I56/I44-1</f>
        <v>0.16330863122157502</v>
      </c>
      <c r="K56" s="136"/>
      <c r="L56" s="190"/>
      <c r="M56" s="190"/>
      <c r="N56" s="191"/>
      <c r="O56" s="192"/>
      <c r="P56" s="129" t="s">
        <v>1420</v>
      </c>
      <c r="Q56" s="116">
        <v>21278242</v>
      </c>
      <c r="R56" s="116">
        <v>31760856050</v>
      </c>
      <c r="S56" s="116">
        <v>224031.4</v>
      </c>
      <c r="T56" s="130">
        <f t="shared" ref="T56" si="106">Q56/S56</f>
        <v>94.978837787917229</v>
      </c>
      <c r="U56" s="85">
        <f t="shared" ref="U56" si="107">Q54+Q55+Q56</f>
        <v>69861884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910299.91666666663</v>
      </c>
      <c r="G57" s="254">
        <f t="shared" ref="G57" si="108">F57/F56-1</f>
        <v>-5.8822708818394687E-2</v>
      </c>
      <c r="H57" s="254">
        <f t="shared" ref="H57" si="109">F57/F45-1</f>
        <v>-0.24026605574136939</v>
      </c>
      <c r="I57" s="282">
        <f>T57</f>
        <v>67.481646807838473</v>
      </c>
      <c r="J57" s="277">
        <f t="shared" ref="J57" si="110">I57/I45-1</f>
        <v>-8.4218438218702785E-2</v>
      </c>
      <c r="K57" s="204"/>
      <c r="L57" s="254"/>
      <c r="M57" s="254"/>
      <c r="N57" s="257"/>
      <c r="O57" s="258"/>
      <c r="P57" s="129" t="s">
        <v>1436</v>
      </c>
      <c r="Q57" s="116">
        <v>10923599</v>
      </c>
      <c r="R57" s="116">
        <v>16085601942</v>
      </c>
      <c r="S57" s="116">
        <v>161875.10999999999</v>
      </c>
      <c r="T57" s="130">
        <f t="shared" ref="T57" si="111">Q57/S57</f>
        <v>67.481646807838473</v>
      </c>
      <c r="U57" s="85">
        <f t="shared" ref="U57" si="112">Q55+Q56+Q57</f>
        <v>59466959</v>
      </c>
      <c r="V57" s="79"/>
      <c r="W57" s="79"/>
      <c r="X57" s="79"/>
      <c r="Y57" s="79"/>
      <c r="Z57" s="79"/>
    </row>
    <row r="58" spans="1:26">
      <c r="B58" s="196">
        <f>SUM(F56:F58)</f>
        <v>1877492.7348484849</v>
      </c>
      <c r="C58" s="196">
        <f>AVERAGE(F56:F58)</f>
        <v>938746.36742424243</v>
      </c>
      <c r="D58" s="197">
        <f>C58/C55-1</f>
        <v>-0.25355022401142557</v>
      </c>
      <c r="E58" s="233">
        <f>C58/C46-1</f>
        <v>-0.23568069030230032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106415457</v>
      </c>
      <c r="R66" s="212">
        <v>156415455857</v>
      </c>
      <c r="S66" s="213">
        <v>1487488.5</v>
      </c>
      <c r="T66" s="214">
        <v>329</v>
      </c>
      <c r="U66" s="214">
        <v>1742</v>
      </c>
    </row>
    <row r="67" spans="16:21" ht="18" thickBot="1">
      <c r="P67" s="180" t="s">
        <v>976</v>
      </c>
      <c r="Q67" s="181">
        <v>25629974</v>
      </c>
      <c r="R67" s="181">
        <v>37478392307</v>
      </c>
      <c r="S67" s="182">
        <v>395837.1</v>
      </c>
      <c r="T67" s="210">
        <v>160</v>
      </c>
      <c r="U67" s="210">
        <v>623</v>
      </c>
    </row>
    <row r="68" spans="16:21" ht="18" thickBot="1">
      <c r="P68" s="180" t="s">
        <v>977</v>
      </c>
      <c r="Q68" s="181">
        <v>21318524</v>
      </c>
      <c r="R68" s="181">
        <v>30876437808</v>
      </c>
      <c r="S68" s="182">
        <v>342362.63</v>
      </c>
      <c r="T68" s="210">
        <v>164</v>
      </c>
      <c r="U68" s="210">
        <v>578</v>
      </c>
    </row>
    <row r="69" spans="16:21" ht="18" thickBot="1">
      <c r="P69" s="180" t="s">
        <v>978</v>
      </c>
      <c r="Q69" s="181">
        <v>27265118</v>
      </c>
      <c r="R69" s="181">
        <v>40214167750</v>
      </c>
      <c r="S69" s="182">
        <v>363382.24</v>
      </c>
      <c r="T69" s="210">
        <v>178</v>
      </c>
      <c r="U69" s="210">
        <v>687</v>
      </c>
    </row>
    <row r="70" spans="16:21" ht="18" thickBot="1">
      <c r="P70" s="180" t="s">
        <v>979</v>
      </c>
      <c r="Q70" s="181">
        <v>21278242</v>
      </c>
      <c r="R70" s="181">
        <v>31760856050</v>
      </c>
      <c r="S70" s="182">
        <v>224031.4</v>
      </c>
      <c r="T70" s="210">
        <v>202</v>
      </c>
      <c r="U70" s="210">
        <v>750</v>
      </c>
    </row>
    <row r="71" spans="16:21" ht="18" thickBot="1">
      <c r="P71" s="180" t="s">
        <v>980</v>
      </c>
      <c r="Q71" s="181">
        <v>10923599</v>
      </c>
      <c r="R71" s="181">
        <v>16085601942</v>
      </c>
      <c r="S71" s="182">
        <v>161875.10999999999</v>
      </c>
      <c r="T71" s="210">
        <v>126</v>
      </c>
      <c r="U71" s="210">
        <v>431</v>
      </c>
    </row>
    <row r="72" spans="16:21" ht="18" thickBot="1">
      <c r="P72" s="180" t="s">
        <v>975</v>
      </c>
      <c r="Q72" s="181">
        <v>320513438</v>
      </c>
      <c r="R72" s="181">
        <v>455887714307</v>
      </c>
      <c r="S72" s="182">
        <v>5252471.5599999996</v>
      </c>
      <c r="T72" s="210">
        <v>527</v>
      </c>
      <c r="U72" s="210">
        <v>3967</v>
      </c>
    </row>
    <row r="73" spans="16:21" ht="18" thickBot="1">
      <c r="P73" s="215" t="s">
        <v>982</v>
      </c>
      <c r="Q73" s="217" t="s">
        <v>1541</v>
      </c>
      <c r="R73"/>
      <c r="S73"/>
      <c r="T73"/>
      <c r="U73"/>
    </row>
  </sheetData>
  <phoneticPr fontId="1" type="noConversion"/>
  <conditionalFormatting sqref="C29:C30">
    <cfRule type="cellIs" dxfId="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7"/>
  <dimension ref="A1:Z71"/>
  <sheetViews>
    <sheetView zoomScale="90" zoomScaleNormal="90" workbookViewId="0">
      <selection activeCell="F73" sqref="F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9001300000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670208.9</v>
      </c>
      <c r="G5" s="90"/>
      <c r="H5" s="90"/>
      <c r="I5" s="130">
        <f t="shared" ref="I5:I49" si="0">T5</f>
        <v>63.758055566852441</v>
      </c>
      <c r="J5" s="130"/>
      <c r="L5" s="80"/>
      <c r="M5" s="80"/>
      <c r="P5" s="129" t="s">
        <v>0</v>
      </c>
      <c r="Q5" s="116">
        <v>13404178</v>
      </c>
      <c r="R5" s="116">
        <v>15822794287</v>
      </c>
      <c r="S5" s="116">
        <v>210235.05</v>
      </c>
      <c r="T5" s="130">
        <f t="shared" ref="T5:T17" si="1">Q5/S5</f>
        <v>63.758055566852441</v>
      </c>
      <c r="U5" s="85"/>
    </row>
    <row r="6" spans="1:21" ht="15" hidden="1" customHeight="1">
      <c r="A6" s="129" t="s">
        <v>1</v>
      </c>
      <c r="C6" s="79"/>
      <c r="F6" s="78">
        <f>Q6/18</f>
        <v>808631.61111111112</v>
      </c>
      <c r="G6" s="90">
        <f t="shared" ref="G6:G16" si="2">F6/F5-1</f>
        <v>0.20653666507727819</v>
      </c>
      <c r="H6" s="90"/>
      <c r="I6" s="130">
        <f t="shared" si="0"/>
        <v>69.193260314704176</v>
      </c>
      <c r="J6" s="130"/>
      <c r="P6" s="129" t="s">
        <v>1</v>
      </c>
      <c r="Q6" s="116">
        <v>14555369</v>
      </c>
      <c r="R6" s="116">
        <v>17291422843</v>
      </c>
      <c r="S6" s="116">
        <v>210358.19</v>
      </c>
      <c r="T6" s="130">
        <f t="shared" si="1"/>
        <v>69.193260314704176</v>
      </c>
      <c r="U6" s="85"/>
    </row>
    <row r="7" spans="1:21" ht="15" hidden="1" customHeight="1">
      <c r="A7" s="129" t="s">
        <v>2</v>
      </c>
      <c r="B7" s="131">
        <f>F5+F6+F7</f>
        <v>2659337.6020202022</v>
      </c>
      <c r="C7" s="131">
        <f>AVERAGE(F5:F7)</f>
        <v>886445.8673400674</v>
      </c>
      <c r="F7" s="78">
        <f>Q7/22</f>
        <v>1180497.0909090908</v>
      </c>
      <c r="G7" s="90">
        <f t="shared" si="2"/>
        <v>0.45987007518419043</v>
      </c>
      <c r="H7" s="90"/>
      <c r="I7" s="130">
        <f t="shared" si="0"/>
        <v>65.41897998936507</v>
      </c>
      <c r="J7" s="130"/>
      <c r="K7" s="79">
        <f>R5+R6+R7</f>
        <v>64397191359</v>
      </c>
      <c r="N7" s="88">
        <f>AVERAGE(T5:T7)</f>
        <v>66.123431956973889</v>
      </c>
      <c r="P7" s="129" t="s">
        <v>2</v>
      </c>
      <c r="Q7" s="116">
        <v>25970936</v>
      </c>
      <c r="R7" s="116">
        <v>31282974229</v>
      </c>
      <c r="S7" s="116">
        <v>396993.9</v>
      </c>
      <c r="T7" s="130">
        <f t="shared" si="1"/>
        <v>65.41897998936507</v>
      </c>
      <c r="U7" s="85">
        <f>Q5+Q6+Q7</f>
        <v>53930483</v>
      </c>
    </row>
    <row r="8" spans="1:21" ht="15" hidden="1" customHeight="1">
      <c r="A8" s="129" t="s">
        <v>3</v>
      </c>
      <c r="C8" s="79"/>
      <c r="F8" s="78">
        <f>Q8/21</f>
        <v>669372.57142857148</v>
      </c>
      <c r="G8" s="90">
        <f t="shared" si="2"/>
        <v>-0.43297397631611834</v>
      </c>
      <c r="H8" s="90"/>
      <c r="I8" s="130">
        <f t="shared" si="0"/>
        <v>59.28715591814651</v>
      </c>
      <c r="J8" s="130"/>
      <c r="K8" s="78"/>
      <c r="P8" s="129" t="s">
        <v>3</v>
      </c>
      <c r="Q8" s="116">
        <v>14056824</v>
      </c>
      <c r="R8" s="116">
        <v>17042137594</v>
      </c>
      <c r="S8" s="116">
        <v>237097.29</v>
      </c>
      <c r="T8" s="130">
        <f t="shared" si="1"/>
        <v>59.28715591814651</v>
      </c>
      <c r="U8" s="85"/>
    </row>
    <row r="9" spans="1:21" ht="15" hidden="1" customHeight="1">
      <c r="A9" s="129" t="s">
        <v>4</v>
      </c>
      <c r="C9" s="79"/>
      <c r="F9" s="78">
        <f>Q9/21</f>
        <v>900359</v>
      </c>
      <c r="G9" s="90">
        <f t="shared" si="2"/>
        <v>0.3450790164264701</v>
      </c>
      <c r="H9" s="90"/>
      <c r="I9" s="130">
        <f t="shared" si="0"/>
        <v>62.152976642330053</v>
      </c>
      <c r="J9" s="130"/>
      <c r="K9" s="78"/>
      <c r="P9" s="129" t="s">
        <v>4</v>
      </c>
      <c r="Q9" s="116">
        <v>18907539</v>
      </c>
      <c r="R9" s="116">
        <v>23759685200</v>
      </c>
      <c r="S9" s="116">
        <v>304209.71000000002</v>
      </c>
      <c r="T9" s="130">
        <f t="shared" si="1"/>
        <v>62.152976642330053</v>
      </c>
      <c r="U9" s="85"/>
    </row>
    <row r="10" spans="1:21" ht="15" hidden="1" customHeight="1">
      <c r="A10" s="129" t="s">
        <v>5</v>
      </c>
      <c r="B10" s="131">
        <f>F8+F9+F10</f>
        <v>2595748.0476190476</v>
      </c>
      <c r="C10" s="131">
        <f>AVERAGE(F8:F10)</f>
        <v>865249.34920634923</v>
      </c>
      <c r="D10" s="90">
        <f>C10/C7-1</f>
        <v>-2.3911802079152333E-2</v>
      </c>
      <c r="E10" s="286"/>
      <c r="F10" s="78">
        <f>Q10/21</f>
        <v>1026016.4761904762</v>
      </c>
      <c r="G10" s="90">
        <f t="shared" si="2"/>
        <v>0.13956374756122414</v>
      </c>
      <c r="H10" s="90"/>
      <c r="I10" s="130">
        <f t="shared" si="0"/>
        <v>59.580510279823422</v>
      </c>
      <c r="J10" s="130"/>
      <c r="K10" s="79">
        <f>R8+R9+R10</f>
        <v>67998096284</v>
      </c>
      <c r="L10" s="87">
        <f>U10/U7-1</f>
        <v>1.0758776256463376E-2</v>
      </c>
      <c r="N10" s="88">
        <f>AVERAGE(T8:T10)</f>
        <v>60.340214280099993</v>
      </c>
      <c r="O10" s="89">
        <f>N10/N7-1</f>
        <v>-8.7460942448313927E-2</v>
      </c>
      <c r="P10" s="129" t="s">
        <v>5</v>
      </c>
      <c r="Q10" s="116">
        <v>21546346</v>
      </c>
      <c r="R10" s="116">
        <v>27196273490</v>
      </c>
      <c r="S10" s="116">
        <v>361634.13</v>
      </c>
      <c r="T10" s="130">
        <f t="shared" si="1"/>
        <v>59.580510279823422</v>
      </c>
      <c r="U10" s="85">
        <f>Q8+Q9+Q10</f>
        <v>54510709</v>
      </c>
    </row>
    <row r="11" spans="1:21" ht="15" hidden="1" customHeight="1">
      <c r="A11" s="129" t="s">
        <v>6</v>
      </c>
      <c r="C11" s="79"/>
      <c r="F11" s="78">
        <f>Q11/21</f>
        <v>753201.09523809527</v>
      </c>
      <c r="G11" s="90">
        <f t="shared" si="2"/>
        <v>-0.26589766079130073</v>
      </c>
      <c r="H11" s="90"/>
      <c r="I11" s="130">
        <f t="shared" si="0"/>
        <v>58.262350001979868</v>
      </c>
      <c r="J11" s="130"/>
      <c r="K11" s="78"/>
      <c r="O11" s="89"/>
      <c r="P11" s="129" t="s">
        <v>6</v>
      </c>
      <c r="Q11" s="116">
        <v>15817223</v>
      </c>
      <c r="R11" s="116">
        <v>20435077332</v>
      </c>
      <c r="S11" s="116">
        <v>271482.75</v>
      </c>
      <c r="T11" s="130">
        <f t="shared" si="1"/>
        <v>58.262350001979868</v>
      </c>
      <c r="U11" s="85"/>
    </row>
    <row r="12" spans="1:21" ht="15" hidden="1" customHeight="1">
      <c r="A12" s="129" t="s">
        <v>7</v>
      </c>
      <c r="C12" s="79"/>
      <c r="F12" s="78">
        <f>Q12/22</f>
        <v>783452.95454545459</v>
      </c>
      <c r="G12" s="90">
        <f t="shared" si="2"/>
        <v>4.0164385711356942E-2</v>
      </c>
      <c r="H12" s="90"/>
      <c r="I12" s="130">
        <f t="shared" si="0"/>
        <v>60.453713830070775</v>
      </c>
      <c r="J12" s="130"/>
      <c r="K12" s="78"/>
      <c r="O12" s="89"/>
      <c r="P12" s="129" t="s">
        <v>7</v>
      </c>
      <c r="Q12" s="116">
        <v>17235965</v>
      </c>
      <c r="R12" s="116">
        <v>22413183090</v>
      </c>
      <c r="S12" s="116">
        <v>285110.11</v>
      </c>
      <c r="T12" s="130">
        <f t="shared" si="1"/>
        <v>60.453713830070775</v>
      </c>
      <c r="U12" s="85"/>
    </row>
    <row r="13" spans="1:21" ht="15" hidden="1" customHeight="1">
      <c r="A13" s="129" t="s">
        <v>96</v>
      </c>
      <c r="B13" s="131">
        <f>F11+F12+F13</f>
        <v>2953713.9997835495</v>
      </c>
      <c r="C13" s="131">
        <f>AVERAGE(F11:F13)</f>
        <v>984571.33326118311</v>
      </c>
      <c r="D13" s="90">
        <f>C13/C10-1</f>
        <v>0.13790473713072671</v>
      </c>
      <c r="E13" s="286"/>
      <c r="F13" s="78">
        <f>Q13/20</f>
        <v>1417059.95</v>
      </c>
      <c r="G13" s="90">
        <f t="shared" si="2"/>
        <v>0.808736493721123</v>
      </c>
      <c r="H13" s="90"/>
      <c r="I13" s="130">
        <f t="shared" si="0"/>
        <v>62.529423051919665</v>
      </c>
      <c r="J13" s="130"/>
      <c r="K13" s="78">
        <f>R11+R12+R13</f>
        <v>81804630913</v>
      </c>
      <c r="L13" s="87">
        <f>U13/U10-1</f>
        <v>0.12628120467117765</v>
      </c>
      <c r="N13" s="88">
        <f>AVERAGE(T11:T13)</f>
        <v>60.415162294656774</v>
      </c>
      <c r="O13" s="89">
        <f>N13/N10-1</f>
        <v>1.2420906264745124E-3</v>
      </c>
      <c r="P13" s="129" t="s">
        <v>96</v>
      </c>
      <c r="Q13" s="116">
        <v>28341199</v>
      </c>
      <c r="R13" s="116">
        <v>38956370491</v>
      </c>
      <c r="S13" s="116">
        <v>453245.81</v>
      </c>
      <c r="T13" s="130">
        <f t="shared" si="1"/>
        <v>62.529423051919665</v>
      </c>
      <c r="U13" s="85">
        <f>Q11+Q12+Q13</f>
        <v>61394387</v>
      </c>
    </row>
    <row r="14" spans="1:21" ht="15" hidden="1" customHeight="1">
      <c r="A14" s="129" t="s">
        <v>97</v>
      </c>
      <c r="C14" s="79"/>
      <c r="F14" s="78">
        <f>Q14/20</f>
        <v>756045.55</v>
      </c>
      <c r="G14" s="90">
        <f t="shared" si="2"/>
        <v>-0.46646890274472852</v>
      </c>
      <c r="H14" s="90"/>
      <c r="I14" s="130">
        <f t="shared" si="0"/>
        <v>54.929115196125089</v>
      </c>
      <c r="J14" s="130"/>
      <c r="O14" s="89"/>
      <c r="P14" s="129" t="s">
        <v>97</v>
      </c>
      <c r="Q14" s="116">
        <v>15120911</v>
      </c>
      <c r="R14" s="116">
        <v>21565404143</v>
      </c>
      <c r="S14" s="116">
        <v>275280.44</v>
      </c>
      <c r="T14" s="130">
        <f t="shared" si="1"/>
        <v>54.929115196125089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760877.36363636365</v>
      </c>
      <c r="G15" s="90">
        <f t="shared" si="2"/>
        <v>6.390902818439459E-3</v>
      </c>
      <c r="H15" s="90"/>
      <c r="I15" s="130">
        <f t="shared" si="0"/>
        <v>61.675084831647808</v>
      </c>
      <c r="J15" s="130"/>
      <c r="O15" s="89"/>
      <c r="P15" s="129" t="s">
        <v>98</v>
      </c>
      <c r="Q15" s="116">
        <v>16739302</v>
      </c>
      <c r="R15" s="116">
        <v>23073174927</v>
      </c>
      <c r="S15" s="116">
        <v>271411.09000000003</v>
      </c>
      <c r="T15" s="130">
        <f t="shared" si="1"/>
        <v>61.675084831647808</v>
      </c>
      <c r="U15" s="85"/>
    </row>
    <row r="16" spans="1:21" ht="15" hidden="1" customHeight="1">
      <c r="A16" s="129" t="s">
        <v>99</v>
      </c>
      <c r="B16" s="131">
        <f>F14+F15+F16</f>
        <v>2923851.6863636365</v>
      </c>
      <c r="C16" s="131">
        <f>AVERAGE(F14:F16)</f>
        <v>974617.22878787888</v>
      </c>
      <c r="D16" s="90">
        <f>C16/C13-1</f>
        <v>-1.0110089677640044E-2</v>
      </c>
      <c r="E16" s="286"/>
      <c r="F16" s="78">
        <f>Q16/22</f>
        <v>1406928.7727272727</v>
      </c>
      <c r="G16" s="90">
        <f t="shared" si="2"/>
        <v>0.84908743506748374</v>
      </c>
      <c r="H16" s="90"/>
      <c r="I16" s="130">
        <f t="shared" si="0"/>
        <v>53.971728883738784</v>
      </c>
      <c r="J16" s="130"/>
      <c r="K16" s="78">
        <f>R14+R15+R16</f>
        <v>85052550548</v>
      </c>
      <c r="L16" s="87">
        <f>U16/U13-1</f>
        <v>2.3100792585485141E-2</v>
      </c>
      <c r="N16" s="88">
        <f>AVERAGE(T14:T16)</f>
        <v>56.858642970503894</v>
      </c>
      <c r="O16" s="89">
        <f>N16/N13-1</f>
        <v>-5.8867992554700543E-2</v>
      </c>
      <c r="P16" s="129" t="s">
        <v>99</v>
      </c>
      <c r="Q16" s="116">
        <v>30952433</v>
      </c>
      <c r="R16" s="116">
        <v>40413971478</v>
      </c>
      <c r="S16" s="116">
        <v>573493.44999999995</v>
      </c>
      <c r="T16" s="130">
        <f t="shared" si="1"/>
        <v>53.971728883738784</v>
      </c>
      <c r="U16" s="85">
        <f>Q14+Q15+Q16</f>
        <v>62812646</v>
      </c>
    </row>
    <row r="17" spans="1:21" ht="15" hidden="1" customHeight="1">
      <c r="A17" s="129" t="s">
        <v>100</v>
      </c>
      <c r="C17" s="79"/>
      <c r="F17" s="78">
        <f>Q17/20</f>
        <v>697893.7</v>
      </c>
      <c r="G17" s="90">
        <f t="shared" ref="G17:G22" si="3">F17/F16-1</f>
        <v>-0.50395946580354445</v>
      </c>
      <c r="H17" s="90">
        <f t="shared" ref="H17:H22" si="4">F17/F5-1</f>
        <v>4.1307717638485508E-2</v>
      </c>
      <c r="I17" s="130">
        <f t="shared" si="0"/>
        <v>66.772262002790796</v>
      </c>
      <c r="J17" s="130">
        <f t="shared" ref="J17:J49" si="5">I17/I5-1</f>
        <v>4.7275695739777746E-2</v>
      </c>
      <c r="O17" s="89"/>
      <c r="P17" s="129" t="s">
        <v>100</v>
      </c>
      <c r="Q17" s="116">
        <v>13957874</v>
      </c>
      <c r="R17" s="116">
        <v>17518296729</v>
      </c>
      <c r="S17" s="116">
        <v>209037.01</v>
      </c>
      <c r="T17" s="130">
        <f t="shared" si="1"/>
        <v>66.772262002790796</v>
      </c>
      <c r="U17" s="78"/>
    </row>
    <row r="18" spans="1:21" ht="15" hidden="1" customHeight="1">
      <c r="A18" s="129" t="s">
        <v>106</v>
      </c>
      <c r="C18" s="79"/>
      <c r="F18" s="78">
        <f>Q18/20</f>
        <v>1018354.35</v>
      </c>
      <c r="G18" s="90">
        <f t="shared" si="3"/>
        <v>0.45918260904203612</v>
      </c>
      <c r="H18" s="90">
        <f t="shared" si="4"/>
        <v>0.25935510807043083</v>
      </c>
      <c r="I18" s="130">
        <f t="shared" si="0"/>
        <v>58.462005456086089</v>
      </c>
      <c r="J18" s="130">
        <f t="shared" si="5"/>
        <v>-0.15509104224617087</v>
      </c>
      <c r="O18" s="89"/>
      <c r="P18" s="129" t="s">
        <v>106</v>
      </c>
      <c r="Q18" s="116">
        <v>20367087</v>
      </c>
      <c r="R18" s="116">
        <v>25666158621</v>
      </c>
      <c r="S18" s="116">
        <v>348381.6</v>
      </c>
      <c r="T18" s="130">
        <f t="shared" ref="T18" si="6">Q18/S18</f>
        <v>58.462005456086089</v>
      </c>
      <c r="U18" s="78"/>
    </row>
    <row r="19" spans="1:21" hidden="1">
      <c r="A19" s="129" t="s">
        <v>114</v>
      </c>
      <c r="B19" s="131">
        <f>SUM(F17:F19)</f>
        <v>2935337.0045454544</v>
      </c>
      <c r="C19" s="131">
        <f>AVERAGE(F17:F19)</f>
        <v>978445.6681818181</v>
      </c>
      <c r="D19" s="90">
        <f>C19/C16-1</f>
        <v>3.9281466414262667E-3</v>
      </c>
      <c r="E19" s="286">
        <f>C19/C7-1</f>
        <v>0.10378501861350187</v>
      </c>
      <c r="F19" s="78">
        <f>Q19/22</f>
        <v>1219088.9545454546</v>
      </c>
      <c r="G19" s="90">
        <f t="shared" si="3"/>
        <v>0.19711665644228327</v>
      </c>
      <c r="H19" s="90">
        <f t="shared" si="4"/>
        <v>3.269119757562855E-2</v>
      </c>
      <c r="I19" s="130">
        <f t="shared" si="0"/>
        <v>66.265047619369994</v>
      </c>
      <c r="J19" s="130">
        <f t="shared" si="5"/>
        <v>1.2933060560443854E-2</v>
      </c>
      <c r="K19" s="78">
        <f>R17+R18+R19</f>
        <v>78213070692</v>
      </c>
      <c r="L19" s="87">
        <f>U19/U16-1</f>
        <v>-2.6550831818166087E-2</v>
      </c>
      <c r="M19" s="87">
        <f>U19/U7-1</f>
        <v>0.13377286088834017</v>
      </c>
      <c r="N19" s="88">
        <f>AVERAGE(T17:T19)</f>
        <v>63.833105026082286</v>
      </c>
      <c r="O19" s="89">
        <f>N19/N16-1</f>
        <v>0.12266318172940704</v>
      </c>
      <c r="P19" s="129" t="s">
        <v>115</v>
      </c>
      <c r="Q19" s="116">
        <v>26819957</v>
      </c>
      <c r="R19" s="116">
        <v>35028615342</v>
      </c>
      <c r="S19" s="116">
        <v>404737.61</v>
      </c>
      <c r="T19" s="130">
        <f t="shared" ref="T19" si="7">Q19/S19</f>
        <v>66.265047619369994</v>
      </c>
      <c r="U19" s="85">
        <f>Q17+Q18+Q19</f>
        <v>61144918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720558.7</v>
      </c>
      <c r="G20" s="90">
        <f t="shared" si="3"/>
        <v>-0.40893673319461332</v>
      </c>
      <c r="H20" s="90">
        <f t="shared" si="4"/>
        <v>7.6468816853650479E-2</v>
      </c>
      <c r="I20" s="130">
        <f t="shared" si="0"/>
        <v>53.591408431476772</v>
      </c>
      <c r="J20" s="130">
        <f t="shared" si="5"/>
        <v>-9.6070513055702023E-2</v>
      </c>
      <c r="O20" s="89"/>
      <c r="P20" s="129" t="s">
        <v>132</v>
      </c>
      <c r="Q20" s="116">
        <v>14411174</v>
      </c>
      <c r="R20" s="116">
        <v>18892817125</v>
      </c>
      <c r="S20" s="116">
        <v>268908.28999999998</v>
      </c>
      <c r="T20" s="130">
        <f t="shared" ref="T20" si="8">Q20/S20</f>
        <v>53.591408431476772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731241.14285714284</v>
      </c>
      <c r="G21" s="90">
        <f t="shared" si="3"/>
        <v>1.4825222229837509E-2</v>
      </c>
      <c r="H21" s="90">
        <f t="shared" si="4"/>
        <v>-0.18783380534082206</v>
      </c>
      <c r="I21" s="130">
        <f t="shared" si="0"/>
        <v>59.726041569633971</v>
      </c>
      <c r="J21" s="130">
        <f t="shared" si="5"/>
        <v>-3.9047768969494356E-2</v>
      </c>
      <c r="O21" s="89"/>
      <c r="P21" s="129" t="s">
        <v>141</v>
      </c>
      <c r="Q21" s="116">
        <v>15356064</v>
      </c>
      <c r="R21" s="116">
        <v>20430371176</v>
      </c>
      <c r="S21" s="116">
        <v>257108.35</v>
      </c>
      <c r="T21" s="130">
        <f t="shared" ref="T21" si="9">Q21/S21</f>
        <v>59.726041569633971</v>
      </c>
      <c r="U21" s="78"/>
    </row>
    <row r="22" spans="1:21" hidden="1">
      <c r="A22" s="129" t="s">
        <v>156</v>
      </c>
      <c r="B22" s="131">
        <f>SUM(F20:F22)</f>
        <v>2696441.0333333332</v>
      </c>
      <c r="C22" s="131">
        <f>AVERAGE(F20:F22)</f>
        <v>898813.67777777778</v>
      </c>
      <c r="D22" s="90">
        <f>C22/C19-1</f>
        <v>-8.13862159071288E-2</v>
      </c>
      <c r="E22" s="286">
        <f>C22/C10-1</f>
        <v>3.8791509756367359E-2</v>
      </c>
      <c r="F22" s="122">
        <f>Q22/21</f>
        <v>1244641.1904761905</v>
      </c>
      <c r="G22" s="90">
        <f t="shared" si="3"/>
        <v>0.70209403920171232</v>
      </c>
      <c r="H22" s="90">
        <f t="shared" si="4"/>
        <v>0.21308109504971284</v>
      </c>
      <c r="I22" s="130">
        <f t="shared" si="0"/>
        <v>60.015100290160049</v>
      </c>
      <c r="J22" s="130">
        <f t="shared" si="5"/>
        <v>7.2941639521975077E-3</v>
      </c>
      <c r="K22" s="78">
        <f>R20+R21+R22</f>
        <v>73123849280</v>
      </c>
      <c r="L22" s="87">
        <f>U22/U19-1</f>
        <v>-8.5701562311360058E-2</v>
      </c>
      <c r="M22" s="87">
        <f>U22/U10-1</f>
        <v>2.5572846612580191E-2</v>
      </c>
      <c r="N22" s="88">
        <f>AVERAGE(T20:T22)</f>
        <v>57.777516763756928</v>
      </c>
      <c r="O22" s="89">
        <f>N22/N19-1</f>
        <v>-9.4865951763603462E-2</v>
      </c>
      <c r="P22" s="129" t="s">
        <v>156</v>
      </c>
      <c r="Q22" s="116">
        <v>26137465</v>
      </c>
      <c r="R22" s="116">
        <v>33800660979</v>
      </c>
      <c r="S22" s="116">
        <v>435514.81</v>
      </c>
      <c r="T22" s="130">
        <f t="shared" ref="T22:T23" si="10">Q22/S22</f>
        <v>60.015100290160049</v>
      </c>
      <c r="U22" s="85">
        <f>Q20+Q21+Q22</f>
        <v>55904703</v>
      </c>
    </row>
    <row r="23" spans="1:21" hidden="1">
      <c r="A23" s="129" t="s">
        <v>189</v>
      </c>
      <c r="B23" s="131"/>
      <c r="C23" s="131"/>
      <c r="F23" s="122">
        <f>Q23/21</f>
        <v>696770.80952380947</v>
      </c>
      <c r="G23" s="90">
        <f t="shared" ref="G23" si="11">F23/F22-1</f>
        <v>-0.44018339192419775</v>
      </c>
      <c r="H23" s="90">
        <f t="shared" ref="H23" si="12">F23/F11-1</f>
        <v>-7.4920610274003319E-2</v>
      </c>
      <c r="I23" s="130">
        <f t="shared" si="0"/>
        <v>68.689450943017306</v>
      </c>
      <c r="J23" s="130">
        <f t="shared" si="5"/>
        <v>0.17896808042729306</v>
      </c>
      <c r="O23" s="89"/>
      <c r="P23" s="129" t="s">
        <v>191</v>
      </c>
      <c r="Q23" s="116">
        <v>14632187</v>
      </c>
      <c r="R23" s="116">
        <v>18835355808</v>
      </c>
      <c r="S23" s="116">
        <v>213019.42</v>
      </c>
      <c r="T23" s="130">
        <f t="shared" si="10"/>
        <v>68.689450943017306</v>
      </c>
      <c r="U23" s="78"/>
    </row>
    <row r="24" spans="1:21" hidden="1">
      <c r="A24" s="129" t="s">
        <v>204</v>
      </c>
      <c r="B24" s="131"/>
      <c r="C24" s="131"/>
      <c r="F24" s="122">
        <f>Q24/22</f>
        <v>810274.27272727271</v>
      </c>
      <c r="G24" s="90">
        <f t="shared" ref="G24" si="13">F24/F23-1</f>
        <v>0.16289928001007148</v>
      </c>
      <c r="H24" s="90">
        <f t="shared" ref="H24" si="14">F24/F12-1</f>
        <v>3.4234752739402685E-2</v>
      </c>
      <c r="I24" s="130">
        <f t="shared" si="0"/>
        <v>62.419800898512868</v>
      </c>
      <c r="J24" s="130">
        <f t="shared" si="5"/>
        <v>3.2522188363291571E-2</v>
      </c>
      <c r="O24" s="89"/>
      <c r="P24" s="129" t="s">
        <v>204</v>
      </c>
      <c r="Q24" s="116">
        <v>17826034</v>
      </c>
      <c r="R24" s="116">
        <v>23460828797</v>
      </c>
      <c r="S24" s="116">
        <v>285583</v>
      </c>
      <c r="T24" s="130">
        <f t="shared" ref="T24" si="15">Q24/S24</f>
        <v>62.419800898512868</v>
      </c>
      <c r="U24" s="78"/>
    </row>
    <row r="25" spans="1:21" s="79" customFormat="1" ht="13.2" hidden="1">
      <c r="A25" s="129" t="s">
        <v>219</v>
      </c>
      <c r="B25" s="131">
        <f>SUM(F23:F25)</f>
        <v>2770604.1875142399</v>
      </c>
      <c r="C25" s="131">
        <f>AVERAGE(F23:F25)</f>
        <v>923534.72917141335</v>
      </c>
      <c r="D25" s="90">
        <f>C25/C22-1</f>
        <v>2.7504089006250787E-2</v>
      </c>
      <c r="E25" s="286">
        <f>C25/C13-1</f>
        <v>-6.1993074577541218E-2</v>
      </c>
      <c r="F25" s="122">
        <f>Q25/19</f>
        <v>1263559.105263158</v>
      </c>
      <c r="G25" s="90">
        <f t="shared" ref="G25" si="16">F25/F24-1</f>
        <v>0.55942147960614652</v>
      </c>
      <c r="H25" s="90">
        <f t="shared" ref="H25" si="17">F25/F13-1</f>
        <v>-0.10832346559285788</v>
      </c>
      <c r="I25" s="130">
        <f t="shared" si="0"/>
        <v>69.071032104235371</v>
      </c>
      <c r="J25" s="130">
        <f t="shared" si="5"/>
        <v>0.10461649465219036</v>
      </c>
      <c r="K25" s="78">
        <f>R23+R24+R25</f>
        <v>74178390211</v>
      </c>
      <c r="L25" s="90">
        <f>U25/U22-1</f>
        <v>1.0037456061612549E-2</v>
      </c>
      <c r="M25" s="90">
        <f>U25/U13-1</f>
        <v>-8.027676862381572E-2</v>
      </c>
      <c r="N25" s="88">
        <f>AVERAGE(T23:T25)</f>
        <v>66.726761315255189</v>
      </c>
      <c r="O25" s="91">
        <f>N25/N22-1</f>
        <v>0.15489147081364352</v>
      </c>
      <c r="P25" s="129" t="s">
        <v>219</v>
      </c>
      <c r="Q25" s="116">
        <v>24007623</v>
      </c>
      <c r="R25" s="116">
        <v>31882205606</v>
      </c>
      <c r="S25" s="116">
        <v>347578.75</v>
      </c>
      <c r="T25" s="130">
        <f t="shared" ref="T25" si="18">Q25/S25</f>
        <v>69.071032104235371</v>
      </c>
      <c r="U25" s="85">
        <f>Q23+Q24+Q25</f>
        <v>56465844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122">
        <f>Q26/19</f>
        <v>679877.89473684214</v>
      </c>
      <c r="G26" s="90">
        <f t="shared" ref="G26" si="19">F26/F25-1</f>
        <v>-0.46193423647147414</v>
      </c>
      <c r="H26" s="90">
        <f t="shared" ref="H26" si="20">F26/F14-1</f>
        <v>-0.10074479674294479</v>
      </c>
      <c r="I26" s="130">
        <f t="shared" si="0"/>
        <v>82.464175903419402</v>
      </c>
      <c r="J26" s="130">
        <f t="shared" si="5"/>
        <v>0.50128352894416817</v>
      </c>
      <c r="L26" s="90"/>
      <c r="M26" s="90"/>
      <c r="P26" s="129" t="s">
        <v>312</v>
      </c>
      <c r="Q26" s="116">
        <v>12917680</v>
      </c>
      <c r="R26" s="116">
        <v>17437286247</v>
      </c>
      <c r="S26" s="116">
        <v>156645.96</v>
      </c>
      <c r="T26" s="130">
        <f t="shared" ref="T26" si="21">Q26/S26</f>
        <v>82.464175903419402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122">
        <f>Q27/22</f>
        <v>676855.63636363635</v>
      </c>
      <c r="G27" s="90">
        <f t="shared" ref="G27" si="22">F27/F26-1</f>
        <v>-4.4452958341520965E-3</v>
      </c>
      <c r="H27" s="90">
        <f t="shared" ref="H27" si="23">F27/F15-1</f>
        <v>-0.11042742403476569</v>
      </c>
      <c r="I27" s="130">
        <f t="shared" si="0"/>
        <v>59.156434606577648</v>
      </c>
      <c r="J27" s="130">
        <f t="shared" si="5"/>
        <v>-4.0837401877033885E-2</v>
      </c>
      <c r="L27" s="90"/>
      <c r="M27" s="90"/>
      <c r="P27" s="129" t="s">
        <v>377</v>
      </c>
      <c r="Q27" s="116">
        <v>14890824</v>
      </c>
      <c r="R27" s="116">
        <v>19707825233</v>
      </c>
      <c r="S27" s="116">
        <v>251719.43</v>
      </c>
      <c r="T27" s="130">
        <f t="shared" ref="T27" si="24">Q27/S27</f>
        <v>59.156434606577648</v>
      </c>
      <c r="U27" s="78"/>
    </row>
    <row r="28" spans="1:21" s="79" customFormat="1" ht="13.2" hidden="1">
      <c r="A28" s="123" t="s">
        <v>413</v>
      </c>
      <c r="B28" s="131">
        <f>SUM(F26:F28)</f>
        <v>2754470.3205741625</v>
      </c>
      <c r="C28" s="131">
        <f>AVERAGE(F26:F28)</f>
        <v>918156.7735247208</v>
      </c>
      <c r="D28" s="90">
        <f>C28/C25-1</f>
        <v>-5.8232305476130231E-3</v>
      </c>
      <c r="E28" s="286">
        <f>C28/C16-1</f>
        <v>-5.7930902097203196E-2</v>
      </c>
      <c r="F28" s="122">
        <f>Q28/19</f>
        <v>1397736.7894736843</v>
      </c>
      <c r="G28" s="90">
        <f t="shared" ref="G28" si="25">F28/F27-1</f>
        <v>1.065044175421122</v>
      </c>
      <c r="H28" s="90">
        <f t="shared" ref="H28" si="26">F28/F16-1</f>
        <v>-6.5333678802873552E-3</v>
      </c>
      <c r="I28" s="130">
        <f t="shared" si="0"/>
        <v>57.559174472621109</v>
      </c>
      <c r="J28" s="130">
        <f t="shared" si="5"/>
        <v>6.6468976686110848E-2</v>
      </c>
      <c r="K28" s="78">
        <f>R26+R27+R28</f>
        <v>71761658653</v>
      </c>
      <c r="L28" s="90">
        <f>U28/U25-1</f>
        <v>-3.7196663526361196E-2</v>
      </c>
      <c r="M28" s="90">
        <f>U28/U16-1</f>
        <v>-0.13448156602095696</v>
      </c>
      <c r="N28" s="88">
        <f>AVERAGE(T26:T28)</f>
        <v>66.393261660872724</v>
      </c>
      <c r="O28" s="91">
        <f>N28/N25-1</f>
        <v>-4.9979895293706944E-3</v>
      </c>
      <c r="P28" s="129" t="s">
        <v>413</v>
      </c>
      <c r="Q28" s="116">
        <v>26556999</v>
      </c>
      <c r="R28" s="116">
        <v>34616547173</v>
      </c>
      <c r="S28" s="116">
        <v>461386.03</v>
      </c>
      <c r="T28" s="130">
        <f t="shared" ref="T28" si="27">Q28/S28</f>
        <v>57.559174472621109</v>
      </c>
      <c r="U28" s="85">
        <f>Q26+Q27+Q28</f>
        <v>54365503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200">
        <f>Q29/22</f>
        <v>666567.54545454541</v>
      </c>
      <c r="G29" s="190">
        <f t="shared" ref="G29" si="28">F29/F28-1</f>
        <v>-0.52310939336043338</v>
      </c>
      <c r="H29" s="190">
        <f t="shared" ref="H29" si="29">F29/F17-1</f>
        <v>-4.4886713471485096E-2</v>
      </c>
      <c r="I29" s="130">
        <f t="shared" si="0"/>
        <v>60.477212241379718</v>
      </c>
      <c r="J29" s="130">
        <f t="shared" si="5"/>
        <v>-9.4276419168605852E-2</v>
      </c>
      <c r="K29" s="136"/>
      <c r="L29" s="190"/>
      <c r="M29" s="190"/>
      <c r="N29" s="191"/>
      <c r="O29" s="192"/>
      <c r="P29" s="129" t="s">
        <v>427</v>
      </c>
      <c r="Q29" s="116">
        <v>14664486</v>
      </c>
      <c r="R29" s="116">
        <v>19370914206</v>
      </c>
      <c r="S29" s="116">
        <v>242479.53</v>
      </c>
      <c r="T29" s="130">
        <f t="shared" ref="T29" si="30">Q29/S29</f>
        <v>60.477212241379718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200">
        <f>Q30/19</f>
        <v>958987.57894736843</v>
      </c>
      <c r="G30" s="190">
        <f t="shared" ref="G30" si="31">F30/F29-1</f>
        <v>0.43869527625053517</v>
      </c>
      <c r="H30" s="190">
        <f t="shared" ref="H30" si="32">F30/F18-1</f>
        <v>-5.8296771700962036E-2</v>
      </c>
      <c r="I30" s="130">
        <f t="shared" si="0"/>
        <v>67.479587539983299</v>
      </c>
      <c r="J30" s="130">
        <f t="shared" si="5"/>
        <v>0.15424688245891249</v>
      </c>
      <c r="K30" s="136"/>
      <c r="L30" s="190"/>
      <c r="M30" s="190"/>
      <c r="N30" s="191"/>
      <c r="O30" s="192"/>
      <c r="P30" s="129" t="s">
        <v>466</v>
      </c>
      <c r="Q30" s="116">
        <v>18220764</v>
      </c>
      <c r="R30" s="116">
        <v>24277593533</v>
      </c>
      <c r="S30" s="116">
        <v>270018.90000000002</v>
      </c>
      <c r="T30" s="130">
        <f t="shared" ref="T30" si="33">Q30/S30</f>
        <v>67.479587539983299</v>
      </c>
      <c r="U30" s="85"/>
    </row>
    <row r="31" spans="1:21" s="79" customFormat="1" ht="13.2" hidden="1">
      <c r="A31" s="129" t="s">
        <v>505</v>
      </c>
      <c r="B31" s="188">
        <f>SUM(F29:F31)</f>
        <v>2664723.5244019139</v>
      </c>
      <c r="C31" s="188">
        <f>AVERAGE(F29:F31)</f>
        <v>888241.17480063799</v>
      </c>
      <c r="D31" s="190">
        <f>C31/C28-1</f>
        <v>-3.2582233869755783E-2</v>
      </c>
      <c r="E31" s="287">
        <f>C31/C19-1</f>
        <v>-9.2191622196867828E-2</v>
      </c>
      <c r="F31" s="200">
        <f>Q31/20</f>
        <v>1039168.4</v>
      </c>
      <c r="G31" s="190">
        <f t="shared" ref="G31" si="34">F31/F30-1</f>
        <v>8.360986399911674E-2</v>
      </c>
      <c r="H31" s="190">
        <f t="shared" ref="H31" si="35">F31/F19-1</f>
        <v>-0.14758607554814496</v>
      </c>
      <c r="I31" s="130">
        <f t="shared" si="0"/>
        <v>67.831864941814558</v>
      </c>
      <c r="J31" s="130">
        <f t="shared" si="5"/>
        <v>2.3644702278710295E-2</v>
      </c>
      <c r="K31" s="136">
        <f>R29+R30+R31</f>
        <v>71225262034</v>
      </c>
      <c r="L31" s="190">
        <f>U31/U28-1</f>
        <v>-1.2818514711433804E-2</v>
      </c>
      <c r="M31" s="190">
        <f>U31/U19-1</f>
        <v>-0.12227181333369352</v>
      </c>
      <c r="N31" s="191">
        <f>AVERAGE(T29:T31)</f>
        <v>65.262888241059201</v>
      </c>
      <c r="O31" s="192">
        <f>N31/N28-1</f>
        <v>-1.7025423838752052E-2</v>
      </c>
      <c r="P31" s="129" t="s">
        <v>505</v>
      </c>
      <c r="Q31" s="116">
        <v>20783368</v>
      </c>
      <c r="R31" s="116">
        <v>27576754295</v>
      </c>
      <c r="S31" s="116">
        <v>306395.34999999998</v>
      </c>
      <c r="T31" s="130">
        <f t="shared" ref="T31" si="36">Q31/S31</f>
        <v>67.831864941814558</v>
      </c>
      <c r="U31" s="85">
        <f>Q29+Q30+Q31</f>
        <v>53668618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200">
        <f>Q32/21</f>
        <v>720329.90476190473</v>
      </c>
      <c r="G32" s="190">
        <f t="shared" ref="G32" si="37">F32/F31-1</f>
        <v>-0.30682081483433798</v>
      </c>
      <c r="H32" s="190">
        <f t="shared" ref="H32" si="38">F32/F20-1</f>
        <v>-3.1752477361690623E-4</v>
      </c>
      <c r="I32" s="130">
        <f t="shared" si="0"/>
        <v>55.350131405503753</v>
      </c>
      <c r="J32" s="130">
        <f t="shared" si="5"/>
        <v>3.2817256077076751E-2</v>
      </c>
      <c r="K32" s="136"/>
      <c r="L32" s="190"/>
      <c r="M32" s="190"/>
      <c r="N32" s="191"/>
      <c r="O32" s="192"/>
      <c r="P32" s="129" t="s">
        <v>562</v>
      </c>
      <c r="Q32" s="116">
        <v>15126928</v>
      </c>
      <c r="R32" s="116">
        <v>20615330000</v>
      </c>
      <c r="S32" s="116">
        <v>273295.25</v>
      </c>
      <c r="T32" s="130">
        <f t="shared" ref="T32" si="39">Q32/S32</f>
        <v>55.350131405503753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200">
        <f>Q33/21</f>
        <v>826142.38095238095</v>
      </c>
      <c r="G33" s="190">
        <f t="shared" ref="G33" si="40">F33/F32-1</f>
        <v>0.14689446528733408</v>
      </c>
      <c r="H33" s="190">
        <f t="shared" ref="H33" si="41">F33/F21-1</f>
        <v>0.12978104285056391</v>
      </c>
      <c r="I33" s="130">
        <f t="shared" si="0"/>
        <v>62.26453394454466</v>
      </c>
      <c r="J33" s="130">
        <f t="shared" si="5"/>
        <v>4.2502270503748107E-2</v>
      </c>
      <c r="K33" s="136"/>
      <c r="L33" s="190"/>
      <c r="M33" s="190"/>
      <c r="N33" s="191"/>
      <c r="O33" s="192"/>
      <c r="P33" s="129" t="s">
        <v>613</v>
      </c>
      <c r="Q33" s="116">
        <v>17348990</v>
      </c>
      <c r="R33" s="116">
        <v>23715737012</v>
      </c>
      <c r="S33" s="116">
        <v>278633.58</v>
      </c>
      <c r="T33" s="130">
        <f t="shared" ref="T33" si="42">Q33/S33</f>
        <v>62.26453394454466</v>
      </c>
      <c r="U33" s="85"/>
    </row>
    <row r="34" spans="1:21" s="79" customFormat="1" ht="13.2" hidden="1">
      <c r="A34" s="129" t="s">
        <v>652</v>
      </c>
      <c r="B34" s="188">
        <f>SUM(F32:F34)</f>
        <v>2511897.07518797</v>
      </c>
      <c r="C34" s="188">
        <f>AVERAGE(F32:F34)</f>
        <v>837299.02506265661</v>
      </c>
      <c r="D34" s="190">
        <f>C34/C31-1</f>
        <v>-5.7351709404166229E-2</v>
      </c>
      <c r="E34" s="287">
        <f>C34/C22-1</f>
        <v>-6.8439827114346596E-2</v>
      </c>
      <c r="F34" s="200">
        <f>Q34/19</f>
        <v>965424.78947368416</v>
      </c>
      <c r="G34" s="190">
        <f t="shared" ref="G34" si="43">F34/F33-1</f>
        <v>0.16859370942904262</v>
      </c>
      <c r="H34" s="190">
        <f t="shared" ref="H34" si="44">F34/F22-1</f>
        <v>-0.22433485500803674</v>
      </c>
      <c r="I34" s="130">
        <f t="shared" si="0"/>
        <v>56.949064485694308</v>
      </c>
      <c r="J34" s="130">
        <f t="shared" si="5"/>
        <v>-5.1087739412949751E-2</v>
      </c>
      <c r="K34" s="136">
        <f>R32+R33+R34</f>
        <v>69561880360</v>
      </c>
      <c r="L34" s="190">
        <f>U34/U31-1</f>
        <v>-5.3096746407742423E-2</v>
      </c>
      <c r="M34" s="190">
        <f>U34/U22-1</f>
        <v>-9.0971129924435901E-2</v>
      </c>
      <c r="N34" s="191">
        <f>AVERAGE(T32:T34)</f>
        <v>58.187909945247576</v>
      </c>
      <c r="O34" s="192">
        <f>N34/N31-1</f>
        <v>-0.10840737341686491</v>
      </c>
      <c r="P34" s="129" t="s">
        <v>652</v>
      </c>
      <c r="Q34" s="116">
        <v>18343071</v>
      </c>
      <c r="R34" s="116">
        <v>25230813348</v>
      </c>
      <c r="S34" s="116">
        <v>322096.09000000003</v>
      </c>
      <c r="T34" s="130">
        <f t="shared" ref="T34" si="45">Q34/S34</f>
        <v>56.949064485694308</v>
      </c>
      <c r="U34" s="85">
        <f>Q32+Q33+Q34</f>
        <v>50818989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200">
        <f>Q35/23</f>
        <v>884717.73913043481</v>
      </c>
      <c r="G35" s="190">
        <f t="shared" ref="G35" si="46">F35/F34-1</f>
        <v>-8.3597449768456844E-2</v>
      </c>
      <c r="H35" s="190">
        <f t="shared" ref="H35" si="47">F35/F23-1</f>
        <v>0.2697399590190539</v>
      </c>
      <c r="I35" s="130">
        <f t="shared" si="0"/>
        <v>63.148388708910538</v>
      </c>
      <c r="J35" s="130">
        <f t="shared" si="5"/>
        <v>-8.0668314537897023E-2</v>
      </c>
      <c r="K35" s="136"/>
      <c r="L35" s="190"/>
      <c r="M35" s="190"/>
      <c r="N35" s="191"/>
      <c r="O35" s="192"/>
      <c r="P35" s="129" t="s">
        <v>660</v>
      </c>
      <c r="Q35" s="116">
        <v>20348508</v>
      </c>
      <c r="R35" s="116">
        <v>28159086561</v>
      </c>
      <c r="S35" s="116">
        <v>322233.21000000002</v>
      </c>
      <c r="T35" s="130">
        <f t="shared" ref="T35" si="48">Q35/S35</f>
        <v>63.148388708910538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200">
        <f>Q36/21</f>
        <v>803504.52380952379</v>
      </c>
      <c r="G36" s="190">
        <f t="shared" ref="G36" si="49">F36/F35-1</f>
        <v>-9.1795622184238423E-2</v>
      </c>
      <c r="H36" s="190">
        <f t="shared" ref="H36" si="50">F36/F24-1</f>
        <v>-8.3548856795895299E-3</v>
      </c>
      <c r="I36" s="130">
        <f t="shared" si="0"/>
        <v>67.77932700188903</v>
      </c>
      <c r="J36" s="130">
        <f t="shared" si="5"/>
        <v>8.5862595301931632E-2</v>
      </c>
      <c r="K36" s="136"/>
      <c r="L36" s="190"/>
      <c r="M36" s="190"/>
      <c r="N36" s="191"/>
      <c r="O36" s="192"/>
      <c r="P36" s="129" t="s">
        <v>664</v>
      </c>
      <c r="Q36" s="116">
        <v>16873595</v>
      </c>
      <c r="R36" s="116">
        <v>23057934946</v>
      </c>
      <c r="S36" s="116">
        <v>248948.99</v>
      </c>
      <c r="T36" s="130">
        <f t="shared" ref="T36" si="51">Q36/S36</f>
        <v>67.77932700188903</v>
      </c>
      <c r="U36" s="85"/>
    </row>
    <row r="37" spans="1:21" s="79" customFormat="1" ht="13.2" hidden="1">
      <c r="A37" s="129" t="s">
        <v>702</v>
      </c>
      <c r="B37" s="188">
        <f>SUM(F35:F37)</f>
        <v>2793128.8184955139</v>
      </c>
      <c r="C37" s="188">
        <f>AVERAGE(F35:F37)</f>
        <v>931042.93949850462</v>
      </c>
      <c r="D37" s="190">
        <f>C37/C34-1</f>
        <v>0.11195989918754901</v>
      </c>
      <c r="E37" s="287">
        <f>C37/C25-1</f>
        <v>8.1298624620511628E-3</v>
      </c>
      <c r="F37" s="200">
        <f>Q37/18</f>
        <v>1104906.5555555555</v>
      </c>
      <c r="G37" s="190">
        <f t="shared" ref="G37" si="52">F37/F36-1</f>
        <v>0.37510931527434832</v>
      </c>
      <c r="H37" s="190">
        <f t="shared" ref="H37" si="53">F37/F25-1</f>
        <v>-0.12556005417297855</v>
      </c>
      <c r="I37" s="130">
        <f t="shared" si="0"/>
        <v>63.550923277450977</v>
      </c>
      <c r="J37" s="130">
        <f t="shared" si="5"/>
        <v>-7.991930420923743E-2</v>
      </c>
      <c r="K37" s="136">
        <f>R35+R36+R37</f>
        <v>77739835010</v>
      </c>
      <c r="L37" s="190">
        <f>U37/U34-1</f>
        <v>0.12380080996888787</v>
      </c>
      <c r="M37" s="190">
        <f>U37/U25-1</f>
        <v>1.1415343406538048E-2</v>
      </c>
      <c r="N37" s="191">
        <f>AVERAGE(T35:T37)</f>
        <v>64.826212996083513</v>
      </c>
      <c r="O37" s="192">
        <f>N37/N34-1</f>
        <v>0.11408388885392706</v>
      </c>
      <c r="P37" s="129" t="s">
        <v>702</v>
      </c>
      <c r="Q37" s="116">
        <v>19888318</v>
      </c>
      <c r="R37" s="116">
        <v>26522813503</v>
      </c>
      <c r="S37" s="116">
        <v>312950.89</v>
      </c>
      <c r="T37" s="130">
        <f t="shared" ref="T37" si="54">Q37/S37</f>
        <v>63.550923277450977</v>
      </c>
      <c r="U37" s="85">
        <f>Q35+Q36+Q37</f>
        <v>57110421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200">
        <f>Q38/20</f>
        <v>889562.75</v>
      </c>
      <c r="G38" s="190">
        <f t="shared" ref="G38" si="55">F38/F37-1</f>
        <v>-0.19489775354557382</v>
      </c>
      <c r="H38" s="190">
        <f t="shared" ref="H38" si="56">F38/F26-1</f>
        <v>0.30841546237404849</v>
      </c>
      <c r="I38" s="130">
        <f t="shared" si="0"/>
        <v>69.268387814716277</v>
      </c>
      <c r="J38" s="130">
        <f t="shared" si="5"/>
        <v>-0.1600184315690949</v>
      </c>
      <c r="K38" s="136"/>
      <c r="L38" s="190"/>
      <c r="M38" s="190"/>
      <c r="N38" s="191"/>
      <c r="O38" s="192"/>
      <c r="P38" s="129" t="s">
        <v>727</v>
      </c>
      <c r="Q38" s="116">
        <v>17791255</v>
      </c>
      <c r="R38" s="116">
        <v>23998721255</v>
      </c>
      <c r="S38" s="116">
        <v>256845.23</v>
      </c>
      <c r="T38" s="130">
        <f t="shared" ref="T38" si="57">Q38/S38</f>
        <v>69.268387814716277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200">
        <f>Q39/21</f>
        <v>724172.28571428568</v>
      </c>
      <c r="G39" s="190">
        <f t="shared" ref="G39" si="58">F39/F38-1</f>
        <v>-0.1859233250107587</v>
      </c>
      <c r="H39" s="190">
        <f t="shared" ref="H39" si="59">F39/F27-1</f>
        <v>6.9906560289362485E-2</v>
      </c>
      <c r="I39" s="130">
        <f t="shared" si="0"/>
        <v>64.514546809135069</v>
      </c>
      <c r="J39" s="130">
        <f t="shared" si="5"/>
        <v>9.0575306611897277E-2</v>
      </c>
      <c r="K39" s="136"/>
      <c r="L39" s="190"/>
      <c r="M39" s="190"/>
      <c r="N39" s="191"/>
      <c r="O39" s="192"/>
      <c r="P39" s="129" t="s">
        <v>762</v>
      </c>
      <c r="Q39" s="116">
        <v>15207618</v>
      </c>
      <c r="R39" s="116">
        <v>21150044631</v>
      </c>
      <c r="S39" s="116">
        <v>235723.86</v>
      </c>
      <c r="T39" s="130">
        <f t="shared" ref="T39" si="60">Q39/S39</f>
        <v>64.514546809135069</v>
      </c>
      <c r="U39" s="85"/>
    </row>
    <row r="40" spans="1:21" s="79" customFormat="1" ht="13.2" hidden="1">
      <c r="A40" s="129" t="s">
        <v>778</v>
      </c>
      <c r="B40" s="188">
        <f>SUM(F38:F40)</f>
        <v>2453844.1785714286</v>
      </c>
      <c r="C40" s="188">
        <f>AVERAGE(F38:F40)</f>
        <v>817948.05952380958</v>
      </c>
      <c r="D40" s="190">
        <f>C40/C37-1</f>
        <v>-0.12147117514860517</v>
      </c>
      <c r="E40" s="287">
        <f>C40/C28-1</f>
        <v>-0.10914118034136921</v>
      </c>
      <c r="F40" s="200">
        <f>Q40/21</f>
        <v>840109.14285714284</v>
      </c>
      <c r="G40" s="190">
        <f t="shared" ref="G40" si="61">F40/F39-1</f>
        <v>0.16009568362382587</v>
      </c>
      <c r="H40" s="190">
        <f t="shared" ref="H40" si="62">F40/F28-1</f>
        <v>-0.39895039668127741</v>
      </c>
      <c r="I40" s="130">
        <f t="shared" si="0"/>
        <v>61.350840950246969</v>
      </c>
      <c r="J40" s="130">
        <f t="shared" si="5"/>
        <v>6.58742331238511E-2</v>
      </c>
      <c r="K40" s="136">
        <f>R38+R39+R40</f>
        <v>70239993035</v>
      </c>
      <c r="L40" s="190">
        <f>U40/U37-1</f>
        <v>-0.11327627929760842</v>
      </c>
      <c r="M40" s="190">
        <f>U40/U28-1</f>
        <v>-6.8505537417726137E-2</v>
      </c>
      <c r="N40" s="191">
        <f>AVERAGE(T38:T40)</f>
        <v>65.044591858032774</v>
      </c>
      <c r="O40" s="192">
        <f>N40/N37-1</f>
        <v>3.3686814616558092E-3</v>
      </c>
      <c r="P40" s="129" t="s">
        <v>778</v>
      </c>
      <c r="Q40" s="116">
        <v>17642292</v>
      </c>
      <c r="R40" s="116">
        <v>25091227149</v>
      </c>
      <c r="S40" s="116">
        <v>287563.98</v>
      </c>
      <c r="T40" s="130">
        <f t="shared" ref="T40" si="63">Q40/S40</f>
        <v>61.350840950246969</v>
      </c>
      <c r="U40" s="85">
        <f>Q38+Q39+Q40</f>
        <v>50641165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200">
        <f>Q41/18</f>
        <v>687895.27777777775</v>
      </c>
      <c r="G41" s="190">
        <f t="shared" ref="G41" si="64">F41/F40-1</f>
        <v>-0.18118344071545056</v>
      </c>
      <c r="H41" s="190">
        <f t="shared" ref="H41" si="65">F41/F29-1</f>
        <v>3.1996355761198192E-2</v>
      </c>
      <c r="I41" s="130">
        <f t="shared" si="0"/>
        <v>59.274890327870587</v>
      </c>
      <c r="J41" s="130">
        <f t="shared" si="5"/>
        <v>-1.9880577641548047E-2</v>
      </c>
      <c r="K41" s="193"/>
      <c r="L41" s="190"/>
      <c r="M41" s="190"/>
      <c r="N41" s="193"/>
      <c r="O41" s="193"/>
      <c r="P41" s="129" t="s">
        <v>792</v>
      </c>
      <c r="Q41" s="116">
        <v>12382115</v>
      </c>
      <c r="R41" s="116">
        <v>18114342188</v>
      </c>
      <c r="S41" s="116">
        <v>208893.09</v>
      </c>
      <c r="T41" s="130">
        <f t="shared" ref="T41" si="66">Q41/S41</f>
        <v>59.274890327870587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200">
        <f>Q42/20</f>
        <v>926686.9</v>
      </c>
      <c r="G42" s="190">
        <f t="shared" ref="G42" si="67">F42/F41-1</f>
        <v>0.34713368435037162</v>
      </c>
      <c r="H42" s="190">
        <f t="shared" ref="H42" si="68">F42/F30-1</f>
        <v>-3.3682061849876321E-2</v>
      </c>
      <c r="I42" s="130">
        <f t="shared" si="0"/>
        <v>59.329151124982587</v>
      </c>
      <c r="J42" s="130">
        <f t="shared" si="5"/>
        <v>-0.12078373197185566</v>
      </c>
      <c r="K42" s="193"/>
      <c r="L42" s="190"/>
      <c r="M42" s="190"/>
      <c r="N42" s="193"/>
      <c r="O42" s="193"/>
      <c r="P42" s="129" t="s">
        <v>826</v>
      </c>
      <c r="Q42" s="116">
        <v>18533738</v>
      </c>
      <c r="R42" s="116">
        <v>26804416867</v>
      </c>
      <c r="S42" s="116">
        <v>312388.39</v>
      </c>
      <c r="T42" s="130">
        <f t="shared" ref="T42" si="69">Q42/S42</f>
        <v>59.329151124982587</v>
      </c>
      <c r="U42" s="78"/>
    </row>
    <row r="43" spans="1:21" s="79" customFormat="1" ht="13.2">
      <c r="A43" s="129" t="s">
        <v>835</v>
      </c>
      <c r="B43" s="188">
        <f>SUM(F41:F43)</f>
        <v>2584745.9277777779</v>
      </c>
      <c r="C43" s="188">
        <f>AVERAGE(F41:F43)</f>
        <v>861581.975925926</v>
      </c>
      <c r="D43" s="190">
        <f>C43/C40-1</f>
        <v>5.3345583370561611E-2</v>
      </c>
      <c r="E43" s="287">
        <f>C43/C31-1</f>
        <v>-3.0013468899024565E-2</v>
      </c>
      <c r="F43" s="200">
        <f>Q43/20</f>
        <v>970163.75</v>
      </c>
      <c r="G43" s="190">
        <f t="shared" ref="G43" si="70">F43/F42-1</f>
        <v>4.6916439630257045E-2</v>
      </c>
      <c r="H43" s="190">
        <f t="shared" ref="H43" si="71">F43/F31-1</f>
        <v>-6.6403722438057255E-2</v>
      </c>
      <c r="I43" s="130">
        <f t="shared" si="0"/>
        <v>64.023774680422676</v>
      </c>
      <c r="J43" s="130">
        <f t="shared" si="5"/>
        <v>-5.614013804070439E-2</v>
      </c>
      <c r="K43" s="136">
        <f>R41+R42+R43</f>
        <v>73047357040</v>
      </c>
      <c r="L43" s="190">
        <f>U43/U40-1</f>
        <v>-6.3591941457112888E-3</v>
      </c>
      <c r="M43" s="190">
        <f>K43/K31-1</f>
        <v>2.5582145350763419E-2</v>
      </c>
      <c r="N43" s="191">
        <f>AVERAGE(T41:T43)</f>
        <v>60.875938711091955</v>
      </c>
      <c r="O43" s="192">
        <f>N43/N40-1</f>
        <v>-6.4089158342931607E-2</v>
      </c>
      <c r="P43" s="129" t="s">
        <v>835</v>
      </c>
      <c r="Q43" s="116">
        <v>19403275</v>
      </c>
      <c r="R43" s="116">
        <v>28128597985</v>
      </c>
      <c r="S43" s="116">
        <v>303063.59000000003</v>
      </c>
      <c r="T43" s="130">
        <f t="shared" ref="T43:T47" si="72">Q43/S43</f>
        <v>64.023774680422676</v>
      </c>
      <c r="U43" s="85">
        <f>Q41+Q42+Q43</f>
        <v>50319128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200">
        <f>Q44/22</f>
        <v>756434.81818181823</v>
      </c>
      <c r="G44" s="190">
        <f t="shared" ref="G44" si="73">F44/F43-1</f>
        <v>-0.22030191482436012</v>
      </c>
      <c r="H44" s="190">
        <f t="shared" ref="H44" si="74">F44/F32-1</f>
        <v>5.0122746787595096E-2</v>
      </c>
      <c r="I44" s="130">
        <f t="shared" si="0"/>
        <v>56.446330967423499</v>
      </c>
      <c r="J44" s="130">
        <f t="shared" si="5"/>
        <v>1.9804823115754155E-2</v>
      </c>
      <c r="K44" s="136"/>
      <c r="L44" s="190"/>
      <c r="M44" s="190"/>
      <c r="N44" s="191"/>
      <c r="O44" s="192"/>
      <c r="P44" s="129" t="s">
        <v>843</v>
      </c>
      <c r="Q44" s="116">
        <v>16641566</v>
      </c>
      <c r="R44" s="116">
        <v>24152437647</v>
      </c>
      <c r="S44" s="116">
        <v>294821.03999999998</v>
      </c>
      <c r="T44" s="130">
        <f t="shared" si="72"/>
        <v>56.446330967423499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200">
        <f>Q45/20</f>
        <v>747186.05</v>
      </c>
      <c r="G45" s="190">
        <f t="shared" ref="G45" si="75">F45/F44-1</f>
        <v>-1.2226788031847513E-2</v>
      </c>
      <c r="H45" s="190">
        <f t="shared" ref="H45" si="76">F45/F33-1</f>
        <v>-9.5572304209063375E-2</v>
      </c>
      <c r="I45" s="130">
        <f t="shared" si="0"/>
        <v>64.606200261775854</v>
      </c>
      <c r="J45" s="130">
        <f t="shared" si="5"/>
        <v>3.7608348908815037E-2</v>
      </c>
      <c r="K45" s="136"/>
      <c r="L45" s="190"/>
      <c r="M45" s="190"/>
      <c r="N45" s="191"/>
      <c r="O45" s="192"/>
      <c r="P45" s="129" t="s">
        <v>849</v>
      </c>
      <c r="Q45" s="116">
        <v>14943721</v>
      </c>
      <c r="R45" s="116">
        <v>20999521427</v>
      </c>
      <c r="S45" s="116">
        <v>231304.75</v>
      </c>
      <c r="T45" s="130">
        <f t="shared" si="72"/>
        <v>64.606200261775854</v>
      </c>
      <c r="U45" s="85"/>
    </row>
    <row r="46" spans="1:21" s="79" customFormat="1" ht="13.2">
      <c r="A46" s="129" t="s">
        <v>893</v>
      </c>
      <c r="B46" s="188">
        <f>SUM(F44:F46)</f>
        <v>2600941.1839712919</v>
      </c>
      <c r="C46" s="188">
        <f>AVERAGE(F44:F46)</f>
        <v>866980.39465709729</v>
      </c>
      <c r="D46" s="190">
        <f>C46/C43-1</f>
        <v>6.2657052747299158E-3</v>
      </c>
      <c r="E46" s="287">
        <f>C46/C34-1</f>
        <v>3.5448947993483637E-2</v>
      </c>
      <c r="F46" s="200">
        <f>Q46/19</f>
        <v>1097320.3157894737</v>
      </c>
      <c r="G46" s="190">
        <f t="shared" ref="G46" si="77">F46/F45-1</f>
        <v>0.46860385815483796</v>
      </c>
      <c r="H46" s="190">
        <f t="shared" ref="H46" si="78">F46/F34-1</f>
        <v>0.13661916262549512</v>
      </c>
      <c r="I46" s="130">
        <f t="shared" si="0"/>
        <v>72.805761636127883</v>
      </c>
      <c r="J46" s="130">
        <f t="shared" si="5"/>
        <v>0.27843648168121882</v>
      </c>
      <c r="K46" s="136">
        <f>R44+R45+R46</f>
        <v>73688825395</v>
      </c>
      <c r="L46" s="190">
        <f>U46/U43-1</f>
        <v>4.2036598885417886E-2</v>
      </c>
      <c r="M46" s="190">
        <f>K46/K34-1</f>
        <v>5.9327680816591455E-2</v>
      </c>
      <c r="N46" s="191">
        <f>AVERAGE(T44:T46)</f>
        <v>64.619430955109081</v>
      </c>
      <c r="O46" s="192">
        <f>N46/N43-1</f>
        <v>6.1493790868395015E-2</v>
      </c>
      <c r="P46" s="129" t="s">
        <v>888</v>
      </c>
      <c r="Q46" s="116">
        <v>20849086</v>
      </c>
      <c r="R46" s="116">
        <v>28536866321</v>
      </c>
      <c r="S46" s="116">
        <v>286365.88</v>
      </c>
      <c r="T46" s="130">
        <f t="shared" si="72"/>
        <v>72.805761636127883</v>
      </c>
      <c r="U46" s="85">
        <f t="shared" ref="U46:U51" si="79">Q44+Q45+Q46</f>
        <v>52434373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200">
        <f>Q47/23</f>
        <v>738711.13043478259</v>
      </c>
      <c r="G47" s="190">
        <f t="shared" ref="G47" si="80">F47/F46-1</f>
        <v>-0.32680447103240551</v>
      </c>
      <c r="H47" s="190">
        <f t="shared" ref="H47" si="81">F47/F35-1</f>
        <v>-0.16503185393248487</v>
      </c>
      <c r="I47" s="130">
        <f t="shared" si="0"/>
        <v>73.192254879471164</v>
      </c>
      <c r="J47" s="130">
        <f t="shared" si="5"/>
        <v>0.15905182025877074</v>
      </c>
      <c r="K47" s="136"/>
      <c r="L47" s="190"/>
      <c r="M47" s="190"/>
      <c r="N47" s="191"/>
      <c r="O47" s="192"/>
      <c r="P47" s="129" t="s">
        <v>1031</v>
      </c>
      <c r="Q47" s="116">
        <v>16990356</v>
      </c>
      <c r="R47" s="116">
        <v>23311259535</v>
      </c>
      <c r="S47" s="116">
        <v>232133.25</v>
      </c>
      <c r="T47" s="130">
        <f t="shared" si="72"/>
        <v>73.192254879471164</v>
      </c>
      <c r="U47" s="85">
        <f t="shared" si="79"/>
        <v>52783163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200">
        <f>Q48/20</f>
        <v>843755.35</v>
      </c>
      <c r="G48" s="190">
        <f t="shared" ref="G48" si="82">F48/F47-1</f>
        <v>0.14219931883710979</v>
      </c>
      <c r="H48" s="190">
        <f t="shared" ref="H48" si="83">F48/F36-1</f>
        <v>5.0094087833683298E-2</v>
      </c>
      <c r="I48" s="130">
        <f t="shared" si="0"/>
        <v>68.625596815239433</v>
      </c>
      <c r="J48" s="130">
        <f t="shared" si="5"/>
        <v>1.2485662675978171E-2</v>
      </c>
      <c r="K48" s="136"/>
      <c r="L48" s="190"/>
      <c r="M48" s="190"/>
      <c r="N48" s="191"/>
      <c r="O48" s="192"/>
      <c r="P48" s="129" t="s">
        <v>1120</v>
      </c>
      <c r="Q48" s="116">
        <v>16875107</v>
      </c>
      <c r="R48" s="116">
        <v>23425208290</v>
      </c>
      <c r="S48" s="116">
        <v>245901.06</v>
      </c>
      <c r="T48" s="130">
        <f t="shared" ref="T48" si="84">Q48/S48</f>
        <v>68.625596815239433</v>
      </c>
      <c r="U48" s="85">
        <f t="shared" si="79"/>
        <v>54714549</v>
      </c>
    </row>
    <row r="49" spans="1:26" ht="13.2">
      <c r="A49" s="129" t="s">
        <v>1212</v>
      </c>
      <c r="B49" s="188">
        <f>SUM(F47:F49)</f>
        <v>2959036.616798419</v>
      </c>
      <c r="C49" s="188">
        <f>AVERAGE(F47:F49)</f>
        <v>986345.53893280635</v>
      </c>
      <c r="D49" s="190">
        <f>C49/C46-1</f>
        <v>0.1376791736137466</v>
      </c>
      <c r="E49" s="287">
        <f>C49/C37-1</f>
        <v>5.9398548754464375E-2</v>
      </c>
      <c r="F49" s="200">
        <f>Q49/22</f>
        <v>1376570.1363636365</v>
      </c>
      <c r="G49" s="190">
        <f t="shared" ref="G49" si="85">F49/F48-1</f>
        <v>0.63148018719364152</v>
      </c>
      <c r="H49" s="190">
        <f t="shared" ref="H49" si="86">F49/F37-1</f>
        <v>0.24587018643534653</v>
      </c>
      <c r="I49" s="130">
        <f t="shared" si="0"/>
        <v>86.652024823854958</v>
      </c>
      <c r="J49" s="130">
        <f t="shared" si="5"/>
        <v>0.36350536475369633</v>
      </c>
      <c r="K49" s="136">
        <f>R47+R48+R49</f>
        <v>88849620119</v>
      </c>
      <c r="L49" s="190">
        <f>U49/U46-1</f>
        <v>0.22343421556695264</v>
      </c>
      <c r="M49" s="190">
        <f>K49/K37-1</f>
        <v>0.1429098107498028</v>
      </c>
      <c r="N49" s="191">
        <f>AVERAGE(T47:T49)</f>
        <v>76.156625506188519</v>
      </c>
      <c r="O49" s="192">
        <f>N49/N46-1</f>
        <v>0.17854063987493629</v>
      </c>
      <c r="P49" s="129" t="s">
        <v>1164</v>
      </c>
      <c r="Q49" s="116">
        <v>30284543</v>
      </c>
      <c r="R49" s="116">
        <v>42113152294</v>
      </c>
      <c r="S49" s="116">
        <v>349496.08</v>
      </c>
      <c r="T49" s="130">
        <f t="shared" ref="T49" si="87">Q49/S49</f>
        <v>86.652024823854958</v>
      </c>
      <c r="U49" s="85">
        <f t="shared" si="79"/>
        <v>64150006</v>
      </c>
      <c r="V49" s="79"/>
      <c r="W49" s="79"/>
      <c r="X49" s="79"/>
      <c r="Y49" s="79"/>
      <c r="Z49" s="79"/>
    </row>
    <row r="50" spans="1:26" ht="13.2">
      <c r="A50" s="129" t="s">
        <v>1298</v>
      </c>
      <c r="B50" s="188"/>
      <c r="C50" s="188"/>
      <c r="D50" s="190"/>
      <c r="E50" s="287"/>
      <c r="F50" s="136">
        <f>Q50/18</f>
        <v>811066.11111111112</v>
      </c>
      <c r="G50" s="190">
        <f t="shared" ref="G50" si="88">F50/F49-1</f>
        <v>-0.41080654760270141</v>
      </c>
      <c r="H50" s="190">
        <f t="shared" ref="H50" si="89">F50/F38-1</f>
        <v>-8.8241823175362111E-2</v>
      </c>
      <c r="I50" s="130">
        <f t="shared" ref="I50" si="90">T50</f>
        <v>69.735141745494829</v>
      </c>
      <c r="J50" s="130">
        <f t="shared" ref="J50" si="91">I50/I38-1</f>
        <v>6.738339746365396E-3</v>
      </c>
      <c r="K50" s="136"/>
      <c r="L50" s="190"/>
      <c r="M50" s="190"/>
      <c r="N50" s="191"/>
      <c r="O50" s="192"/>
      <c r="P50" s="129" t="s">
        <v>1293</v>
      </c>
      <c r="Q50" s="116">
        <v>14599190</v>
      </c>
      <c r="R50" s="116">
        <v>20638944317</v>
      </c>
      <c r="S50" s="116">
        <v>209351.98</v>
      </c>
      <c r="T50" s="130">
        <f t="shared" ref="T50" si="92">Q50/S50</f>
        <v>69.735141745494829</v>
      </c>
      <c r="U50" s="85">
        <f t="shared" si="79"/>
        <v>61758840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876930.1</v>
      </c>
      <c r="G51" s="190">
        <f t="shared" ref="G51:G52" si="93">F51/F50-1</f>
        <v>8.1206683384489109E-2</v>
      </c>
      <c r="H51" s="190">
        <f t="shared" ref="H51:H52" si="94">F51/F39-1</f>
        <v>0.2109412598343805</v>
      </c>
      <c r="I51" s="130">
        <f t="shared" ref="I51:I52" si="95">T51</f>
        <v>62.925207752257265</v>
      </c>
      <c r="J51" s="130">
        <f t="shared" ref="J51:J52" si="96">I51/I39-1</f>
        <v>-2.4635359550456593E-2</v>
      </c>
      <c r="K51" s="136"/>
      <c r="L51" s="190"/>
      <c r="M51" s="190"/>
      <c r="N51" s="191"/>
      <c r="O51" s="192"/>
      <c r="P51" s="129" t="s">
        <v>1402</v>
      </c>
      <c r="Q51" s="116">
        <v>17538602</v>
      </c>
      <c r="R51" s="116">
        <v>25459906028</v>
      </c>
      <c r="S51" s="116">
        <v>278721.40000000002</v>
      </c>
      <c r="T51" s="130">
        <f t="shared" ref="T51:T52" si="97">Q51/S51</f>
        <v>62.925207752257265</v>
      </c>
      <c r="U51" s="85">
        <f t="shared" si="79"/>
        <v>62422335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2847019.4383838382</v>
      </c>
      <c r="C52" s="188">
        <f>AVERAGE(F50:F52)</f>
        <v>949006.47946127935</v>
      </c>
      <c r="D52" s="190">
        <f>C52/C49-1</f>
        <v>-3.7855962234012441E-2</v>
      </c>
      <c r="E52" s="287">
        <f>C52/C40-1</f>
        <v>0.16022829128510785</v>
      </c>
      <c r="F52" s="136">
        <f>Q52/22</f>
        <v>1159023.2272727273</v>
      </c>
      <c r="G52" s="190">
        <f t="shared" si="93"/>
        <v>0.32168256885323854</v>
      </c>
      <c r="H52" s="190">
        <f t="shared" si="94"/>
        <v>0.3796103007889946</v>
      </c>
      <c r="I52" s="130">
        <f t="shared" si="95"/>
        <v>64.956769637055913</v>
      </c>
      <c r="J52" s="130">
        <f t="shared" si="96"/>
        <v>5.8775538052252774E-2</v>
      </c>
      <c r="K52" s="136">
        <f>R50+R51+R52</f>
        <v>83645536164</v>
      </c>
      <c r="L52" s="190">
        <f>U52/U49-1</f>
        <v>-0.10153861871813386</v>
      </c>
      <c r="M52" s="190">
        <f>K52/K40-1</f>
        <v>0.19085342338118005</v>
      </c>
      <c r="N52" s="191">
        <f>AVERAGE(T50:T52)</f>
        <v>65.872373044935998</v>
      </c>
      <c r="O52" s="192">
        <f>N52/N49-1</f>
        <v>-0.13504081086703112</v>
      </c>
      <c r="P52" s="129" t="s">
        <v>1403</v>
      </c>
      <c r="Q52" s="116">
        <v>25498511</v>
      </c>
      <c r="R52" s="116">
        <v>37546685819</v>
      </c>
      <c r="S52" s="116">
        <v>392545.86</v>
      </c>
      <c r="T52" s="130">
        <f t="shared" si="97"/>
        <v>64.956769637055913</v>
      </c>
      <c r="U52" s="85">
        <f t="shared" ref="U52" si="98">Q50+Q51+Q52</f>
        <v>57636303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736965.14285714284</v>
      </c>
      <c r="G53" s="190">
        <f t="shared" ref="G53" si="99">F53/F52-1</f>
        <v>-0.36414980691001364</v>
      </c>
      <c r="H53" s="190">
        <f t="shared" ref="H53" si="100">F53/F41-1</f>
        <v>7.1333336140761983E-2</v>
      </c>
      <c r="I53" s="130">
        <f t="shared" ref="I53" si="101">T53</f>
        <v>77.251889009586634</v>
      </c>
      <c r="J53" s="130">
        <f t="shared" ref="J53" si="102">I53/I41-1</f>
        <v>0.30328185480021719</v>
      </c>
      <c r="K53" s="136"/>
      <c r="L53" s="190"/>
      <c r="M53" s="190"/>
      <c r="N53" s="191"/>
      <c r="O53" s="192"/>
      <c r="P53" s="129" t="s">
        <v>1414</v>
      </c>
      <c r="Q53" s="116">
        <v>15476268</v>
      </c>
      <c r="R53" s="116">
        <v>22593924018</v>
      </c>
      <c r="S53" s="116">
        <v>200335.14</v>
      </c>
      <c r="T53" s="130">
        <f t="shared" ref="T53" si="103">Q53/S53</f>
        <v>77.251889009586634</v>
      </c>
      <c r="U53" s="85">
        <f t="shared" ref="U53" si="104">Q51+Q52+Q53</f>
        <v>58513381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867078.5294117647</v>
      </c>
      <c r="G54" s="190">
        <f t="shared" ref="G54" si="105">F54/F53-1</f>
        <v>0.17655297243799728</v>
      </c>
      <c r="H54" s="190">
        <f t="shared" ref="H54" si="106">F54/F42-1</f>
        <v>-6.4324175283189344E-2</v>
      </c>
      <c r="I54" s="130">
        <f t="shared" ref="I54" si="107">T54</f>
        <v>65.276181276072506</v>
      </c>
      <c r="J54" s="130">
        <f t="shared" ref="J54" si="108">I54/I42-1</f>
        <v>0.10023791067837684</v>
      </c>
      <c r="K54" s="136"/>
      <c r="L54" s="190"/>
      <c r="M54" s="190"/>
      <c r="N54" s="191"/>
      <c r="O54" s="192"/>
      <c r="P54" s="129" t="s">
        <v>1417</v>
      </c>
      <c r="Q54" s="116">
        <v>14740335</v>
      </c>
      <c r="R54" s="116">
        <v>21340260737</v>
      </c>
      <c r="S54" s="116">
        <v>225814.91</v>
      </c>
      <c r="T54" s="130">
        <f t="shared" ref="T54" si="109">Q54/S54</f>
        <v>65.276181276072506</v>
      </c>
      <c r="U54" s="85">
        <f t="shared" ref="U54" si="110">Q52+Q53+Q54</f>
        <v>55715114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2714600.0056022406</v>
      </c>
      <c r="C55" s="188">
        <f>AVERAGE(F53:F55)</f>
        <v>904866.66853408015</v>
      </c>
      <c r="D55" s="190">
        <f>C55/C52-1</f>
        <v>-4.6511601219262455E-2</v>
      </c>
      <c r="E55" s="287">
        <f>C55/C43-1</f>
        <v>5.0238623622130607E-2</v>
      </c>
      <c r="F55" s="136">
        <f>Q55/21</f>
        <v>1110556.3333333333</v>
      </c>
      <c r="G55" s="190">
        <f t="shared" ref="G55" si="111">F55/F54-1</f>
        <v>0.28080248289246246</v>
      </c>
      <c r="H55" s="190">
        <f t="shared" ref="H55" si="112">F55/F43-1</f>
        <v>0.14471019282397757</v>
      </c>
      <c r="I55" s="130">
        <f>T55</f>
        <v>67.210264906626406</v>
      </c>
      <c r="J55" s="130">
        <f t="shared" ref="J55" si="113">I55/I43-1</f>
        <v>4.9770421099181172E-2</v>
      </c>
      <c r="K55" s="136">
        <f>R53+R54+R55</f>
        <v>78336303106</v>
      </c>
      <c r="L55" s="190">
        <f>U55/U52-1</f>
        <v>-7.1101316127094361E-2</v>
      </c>
      <c r="M55" s="190">
        <f>K55/K43-1</f>
        <v>7.240434534960416E-2</v>
      </c>
      <c r="N55" s="191">
        <f>AVERAGE(T53:T55)</f>
        <v>69.912778397428511</v>
      </c>
      <c r="O55" s="192">
        <f>N55/N52-1</f>
        <v>6.1336872587484992E-2</v>
      </c>
      <c r="P55" s="129" t="s">
        <v>1418</v>
      </c>
      <c r="Q55" s="116">
        <v>23321683</v>
      </c>
      <c r="R55" s="116">
        <v>34402118351</v>
      </c>
      <c r="S55" s="116">
        <v>346995.85</v>
      </c>
      <c r="T55" s="130">
        <f t="shared" ref="T55" si="114">Q55/S55</f>
        <v>67.210264906626406</v>
      </c>
      <c r="U55" s="85">
        <f t="shared" ref="U55" si="115">Q53+Q54+Q55</f>
        <v>53538286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762733.09090909094</v>
      </c>
      <c r="G56" s="190">
        <f t="shared" ref="G56" si="116">F56/F55-1</f>
        <v>-0.31319729759250603</v>
      </c>
      <c r="H56" s="190">
        <f t="shared" ref="H56" si="117">F56/F44-1</f>
        <v>8.3262596801285671E-3</v>
      </c>
      <c r="I56" s="291">
        <f>T56</f>
        <v>59.3029608597436</v>
      </c>
      <c r="J56" s="130">
        <f t="shared" ref="J56" si="118">I56/I44-1</f>
        <v>5.0607893256493952E-2</v>
      </c>
      <c r="K56" s="136"/>
      <c r="L56" s="190"/>
      <c r="M56" s="190"/>
      <c r="N56" s="191"/>
      <c r="O56" s="192"/>
      <c r="P56" s="129" t="s">
        <v>1420</v>
      </c>
      <c r="Q56" s="116">
        <v>16780128</v>
      </c>
      <c r="R56" s="116">
        <v>25054787479</v>
      </c>
      <c r="S56" s="116">
        <v>282955.99</v>
      </c>
      <c r="T56" s="130">
        <f t="shared" ref="T56" si="119">Q56/S56</f>
        <v>59.3029608597436</v>
      </c>
      <c r="U56" s="85">
        <f t="shared" ref="U56" si="120">Q54+Q55+Q56</f>
        <v>54842146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834262.83333333337</v>
      </c>
      <c r="G57" s="254">
        <f t="shared" ref="G57" si="121">F57/F56-1</f>
        <v>9.3780830118419534E-2</v>
      </c>
      <c r="H57" s="254">
        <f t="shared" ref="H57" si="122">F57/F45-1</f>
        <v>0.11653962668780204</v>
      </c>
      <c r="I57" s="282">
        <f>T57</f>
        <v>68.335069726842079</v>
      </c>
      <c r="J57" s="277">
        <f t="shared" ref="J57" si="123">I57/I45-1</f>
        <v>5.7716897913162146E-2</v>
      </c>
      <c r="K57" s="204"/>
      <c r="L57" s="254"/>
      <c r="M57" s="254"/>
      <c r="N57" s="257"/>
      <c r="O57" s="258"/>
      <c r="P57" s="129" t="s">
        <v>1436</v>
      </c>
      <c r="Q57" s="116">
        <v>10011154</v>
      </c>
      <c r="R57" s="116">
        <v>14747006152</v>
      </c>
      <c r="S57" s="116">
        <v>146500.97</v>
      </c>
      <c r="T57" s="130">
        <f t="shared" ref="T57" si="124">Q57/S57</f>
        <v>68.335069726842079</v>
      </c>
      <c r="U57" s="85">
        <f t="shared" ref="U57" si="125">Q55+Q56+Q57</f>
        <v>50112965</v>
      </c>
      <c r="V57" s="79"/>
      <c r="W57" s="79"/>
      <c r="X57" s="79"/>
      <c r="Y57" s="79"/>
      <c r="Z57" s="79"/>
    </row>
    <row r="58" spans="1:26">
      <c r="B58" s="196">
        <f>SUM(F56:F58)</f>
        <v>1596995.9242424243</v>
      </c>
      <c r="C58" s="196">
        <f>AVERAGE(F56:F58)</f>
        <v>798497.96212121216</v>
      </c>
      <c r="D58" s="197">
        <f>C58/C55-1</f>
        <v>-0.11755180084728889</v>
      </c>
      <c r="E58" s="233">
        <f>C58/C46-1</f>
        <v>-7.898959764017599E-2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80329568</v>
      </c>
      <c r="R65" s="212">
        <v>118138096737</v>
      </c>
      <c r="S65" s="213">
        <v>1202602.8700000001</v>
      </c>
      <c r="T65" s="214">
        <v>145</v>
      </c>
      <c r="U65" s="214">
        <v>524</v>
      </c>
    </row>
    <row r="66" spans="16:21" ht="18" thickBot="1">
      <c r="P66" s="180" t="s">
        <v>976</v>
      </c>
      <c r="Q66" s="181">
        <v>15476268</v>
      </c>
      <c r="R66" s="181">
        <v>22593924018</v>
      </c>
      <c r="S66" s="182">
        <v>200335.14</v>
      </c>
      <c r="T66" s="210">
        <v>98</v>
      </c>
      <c r="U66" s="210">
        <v>248</v>
      </c>
    </row>
    <row r="67" spans="16:21" ht="18" thickBot="1">
      <c r="P67" s="180" t="s">
        <v>977</v>
      </c>
      <c r="Q67" s="181">
        <v>14740335</v>
      </c>
      <c r="R67" s="181">
        <v>21340260737</v>
      </c>
      <c r="S67" s="182">
        <v>225814.91</v>
      </c>
      <c r="T67" s="210">
        <v>97</v>
      </c>
      <c r="U67" s="210">
        <v>229</v>
      </c>
    </row>
    <row r="68" spans="16:21" ht="18" thickBot="1">
      <c r="P68" s="180" t="s">
        <v>978</v>
      </c>
      <c r="Q68" s="181">
        <v>23321683</v>
      </c>
      <c r="R68" s="181">
        <v>34402118351</v>
      </c>
      <c r="S68" s="182">
        <v>346995.85</v>
      </c>
      <c r="T68" s="210">
        <v>92</v>
      </c>
      <c r="U68" s="210">
        <v>248</v>
      </c>
    </row>
    <row r="69" spans="16:21" ht="18" thickBot="1">
      <c r="P69" s="180" t="s">
        <v>979</v>
      </c>
      <c r="Q69" s="181">
        <v>16780128</v>
      </c>
      <c r="R69" s="181">
        <v>25054787479</v>
      </c>
      <c r="S69" s="182">
        <v>282955.99</v>
      </c>
      <c r="T69" s="210">
        <v>97</v>
      </c>
      <c r="U69" s="210">
        <v>243</v>
      </c>
    </row>
    <row r="70" spans="16:21" ht="18" thickBot="1">
      <c r="P70" s="180" t="s">
        <v>980</v>
      </c>
      <c r="Q70" s="181">
        <v>10011154</v>
      </c>
      <c r="R70" s="181">
        <v>14747006152</v>
      </c>
      <c r="S70" s="182">
        <v>146500.97</v>
      </c>
      <c r="T70" s="210">
        <v>69</v>
      </c>
      <c r="U70" s="210">
        <v>179</v>
      </c>
    </row>
    <row r="71" spans="16:21" ht="18" thickBot="1">
      <c r="P71" s="215" t="s">
        <v>975</v>
      </c>
      <c r="Q71" s="217" t="s">
        <v>1542</v>
      </c>
      <c r="R71"/>
      <c r="S71"/>
      <c r="T71"/>
      <c r="U71"/>
    </row>
  </sheetData>
  <phoneticPr fontId="1" type="noConversion"/>
  <conditionalFormatting sqref="C29:C30">
    <cfRule type="cellIs" dxfId="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15"/>
  <dimension ref="A1:Z75"/>
  <sheetViews>
    <sheetView zoomScale="90" zoomScaleNormal="9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 t="s">
        <v>1400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329</v>
      </c>
      <c r="C4" s="84" t="s">
        <v>353</v>
      </c>
      <c r="D4" s="118" t="s">
        <v>89</v>
      </c>
      <c r="E4" s="285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517794.85</v>
      </c>
      <c r="G5" s="90"/>
      <c r="H5" s="90"/>
      <c r="I5" s="130">
        <f t="shared" ref="I5:I49" si="0">T5</f>
        <v>112.77250632092047</v>
      </c>
      <c r="J5" s="130"/>
      <c r="L5" s="80"/>
      <c r="M5" s="80"/>
      <c r="P5" s="129" t="s">
        <v>0</v>
      </c>
      <c r="Q5" s="116">
        <v>10355897</v>
      </c>
      <c r="R5" s="116">
        <v>12442508362</v>
      </c>
      <c r="S5" s="116">
        <v>91829.98</v>
      </c>
      <c r="T5" s="130">
        <f t="shared" ref="T5:T17" si="1">Q5/S5</f>
        <v>112.77250632092047</v>
      </c>
      <c r="U5" s="85"/>
    </row>
    <row r="6" spans="1:21" ht="15" hidden="1" customHeight="1">
      <c r="A6" s="129" t="s">
        <v>1</v>
      </c>
      <c r="C6" s="79"/>
      <c r="F6" s="78">
        <f>Q6/18</f>
        <v>274572.61111111112</v>
      </c>
      <c r="G6" s="90">
        <f t="shared" ref="G6:G16" si="2">F6/F5-1</f>
        <v>-0.46972703357109258</v>
      </c>
      <c r="H6" s="90"/>
      <c r="I6" s="130">
        <f t="shared" si="0"/>
        <v>109.53646038803021</v>
      </c>
      <c r="J6" s="130"/>
      <c r="P6" s="129" t="s">
        <v>1</v>
      </c>
      <c r="Q6" s="116">
        <v>4942307</v>
      </c>
      <c r="R6" s="116">
        <v>5982327176</v>
      </c>
      <c r="S6" s="116">
        <v>45120.2</v>
      </c>
      <c r="T6" s="130">
        <f t="shared" si="1"/>
        <v>109.53646038803021</v>
      </c>
      <c r="U6" s="85"/>
    </row>
    <row r="7" spans="1:21" ht="15" hidden="1" customHeight="1">
      <c r="A7" s="129" t="s">
        <v>2</v>
      </c>
      <c r="B7" s="131">
        <f>F5+F6+F7</f>
        <v>1247395.7338383838</v>
      </c>
      <c r="C7" s="131">
        <f>AVERAGE(F5:F7)</f>
        <v>415798.57794612792</v>
      </c>
      <c r="F7" s="78">
        <f>Q7/22</f>
        <v>455028.27272727271</v>
      </c>
      <c r="G7" s="90">
        <f t="shared" si="2"/>
        <v>0.65722382464118656</v>
      </c>
      <c r="H7" s="90"/>
      <c r="I7" s="130">
        <f t="shared" si="0"/>
        <v>119.82391646888769</v>
      </c>
      <c r="J7" s="130"/>
      <c r="K7" s="79">
        <f>R5+R6+R7</f>
        <v>30722088442</v>
      </c>
      <c r="N7" s="88">
        <f>AVERAGE(T5:T7)</f>
        <v>114.0442943926128</v>
      </c>
      <c r="P7" s="129" t="s">
        <v>2</v>
      </c>
      <c r="Q7" s="116">
        <v>10010622</v>
      </c>
      <c r="R7" s="116">
        <v>12297252904</v>
      </c>
      <c r="S7" s="116">
        <v>83544.44</v>
      </c>
      <c r="T7" s="130">
        <f t="shared" si="1"/>
        <v>119.82391646888769</v>
      </c>
      <c r="U7" s="85">
        <f>Q5+Q6+Q7</f>
        <v>25308826</v>
      </c>
    </row>
    <row r="8" spans="1:21" ht="15" hidden="1" customHeight="1">
      <c r="A8" s="129" t="s">
        <v>3</v>
      </c>
      <c r="C8" s="79"/>
      <c r="F8" s="78">
        <f>Q8/21</f>
        <v>638141.19047619053</v>
      </c>
      <c r="G8" s="90">
        <f t="shared" si="2"/>
        <v>0.40242096749594514</v>
      </c>
      <c r="H8" s="90"/>
      <c r="I8" s="130">
        <f t="shared" si="0"/>
        <v>116.57554421200606</v>
      </c>
      <c r="J8" s="130"/>
      <c r="K8" s="78"/>
      <c r="P8" s="129" t="s">
        <v>3</v>
      </c>
      <c r="Q8" s="116">
        <v>13400965</v>
      </c>
      <c r="R8" s="116">
        <v>16570864295</v>
      </c>
      <c r="S8" s="116">
        <v>114955.2</v>
      </c>
      <c r="T8" s="130">
        <f t="shared" si="1"/>
        <v>116.57554421200606</v>
      </c>
      <c r="U8" s="85"/>
    </row>
    <row r="9" spans="1:21" ht="15" hidden="1" customHeight="1">
      <c r="A9" s="129" t="s">
        <v>4</v>
      </c>
      <c r="C9" s="79"/>
      <c r="F9" s="78">
        <f>Q9/21</f>
        <v>787426.42857142852</v>
      </c>
      <c r="G9" s="90">
        <f t="shared" si="2"/>
        <v>0.23393763061092976</v>
      </c>
      <c r="H9" s="90"/>
      <c r="I9" s="130">
        <f t="shared" si="0"/>
        <v>115.77766203403058</v>
      </c>
      <c r="J9" s="130"/>
      <c r="K9" s="78"/>
      <c r="P9" s="129" t="s">
        <v>4</v>
      </c>
      <c r="Q9" s="116">
        <v>16535955</v>
      </c>
      <c r="R9" s="116">
        <v>21185513801</v>
      </c>
      <c r="S9" s="116">
        <v>142825.09</v>
      </c>
      <c r="T9" s="130">
        <f t="shared" si="1"/>
        <v>115.77766203403058</v>
      </c>
      <c r="U9" s="85"/>
    </row>
    <row r="10" spans="1:21" ht="15" hidden="1" customHeight="1">
      <c r="A10" s="129" t="s">
        <v>5</v>
      </c>
      <c r="B10" s="131">
        <f>F8+F9+F10</f>
        <v>1940095.9523809522</v>
      </c>
      <c r="C10" s="131">
        <f>AVERAGE(F8:F10)</f>
        <v>646698.65079365077</v>
      </c>
      <c r="D10" s="90">
        <f>C10/C7-1</f>
        <v>0.55531712972197544</v>
      </c>
      <c r="E10" s="286"/>
      <c r="F10" s="78">
        <f>Q10/21</f>
        <v>514528.33333333331</v>
      </c>
      <c r="G10" s="90">
        <f t="shared" si="2"/>
        <v>-0.34656964172918947</v>
      </c>
      <c r="H10" s="90"/>
      <c r="I10" s="130">
        <f t="shared" si="0"/>
        <v>118.40090599730107</v>
      </c>
      <c r="J10" s="130"/>
      <c r="K10" s="79">
        <f>R8+R9+R10</f>
        <v>51581251412</v>
      </c>
      <c r="L10" s="87">
        <f>U10/U7-1</f>
        <v>0.6097947411705309</v>
      </c>
      <c r="N10" s="88">
        <f>AVERAGE(T8:T10)</f>
        <v>116.91803741444591</v>
      </c>
      <c r="O10" s="89">
        <f>N10/N7-1</f>
        <v>2.519848131937108E-2</v>
      </c>
      <c r="P10" s="129" t="s">
        <v>5</v>
      </c>
      <c r="Q10" s="116">
        <v>10805095</v>
      </c>
      <c r="R10" s="116">
        <v>13824873316</v>
      </c>
      <c r="S10" s="116">
        <v>91258.55</v>
      </c>
      <c r="T10" s="130">
        <f t="shared" si="1"/>
        <v>118.40090599730107</v>
      </c>
      <c r="U10" s="85">
        <f>Q8+Q9+Q10</f>
        <v>40742015</v>
      </c>
    </row>
    <row r="11" spans="1:21" ht="15" hidden="1" customHeight="1">
      <c r="A11" s="129" t="s">
        <v>6</v>
      </c>
      <c r="C11" s="79"/>
      <c r="F11" s="78">
        <f>Q11/21</f>
        <v>453365.52380952379</v>
      </c>
      <c r="G11" s="90">
        <f t="shared" si="2"/>
        <v>-0.11887160640420102</v>
      </c>
      <c r="H11" s="90"/>
      <c r="I11" s="130">
        <f t="shared" si="0"/>
        <v>105.7995600739922</v>
      </c>
      <c r="J11" s="130"/>
      <c r="K11" s="78"/>
      <c r="O11" s="89"/>
      <c r="P11" s="129" t="s">
        <v>6</v>
      </c>
      <c r="Q11" s="116">
        <v>9520676</v>
      </c>
      <c r="R11" s="116">
        <v>12534866262</v>
      </c>
      <c r="S11" s="116">
        <v>89987.86</v>
      </c>
      <c r="T11" s="130">
        <f t="shared" si="1"/>
        <v>105.7995600739922</v>
      </c>
      <c r="U11" s="85"/>
    </row>
    <row r="12" spans="1:21" ht="15" hidden="1" customHeight="1">
      <c r="A12" s="129" t="s">
        <v>7</v>
      </c>
      <c r="C12" s="79"/>
      <c r="F12" s="78">
        <f>Q12/22</f>
        <v>725441.54545454541</v>
      </c>
      <c r="G12" s="90">
        <f t="shared" si="2"/>
        <v>0.60012508088138428</v>
      </c>
      <c r="H12" s="90"/>
      <c r="I12" s="130">
        <f t="shared" si="0"/>
        <v>125.09665771169658</v>
      </c>
      <c r="J12" s="130"/>
      <c r="K12" s="78"/>
      <c r="O12" s="89"/>
      <c r="P12" s="129" t="s">
        <v>7</v>
      </c>
      <c r="Q12" s="116">
        <v>15959714</v>
      </c>
      <c r="R12" s="116">
        <v>21131052449</v>
      </c>
      <c r="S12" s="116">
        <v>127579.06</v>
      </c>
      <c r="T12" s="130">
        <f t="shared" si="1"/>
        <v>125.09665771169658</v>
      </c>
      <c r="U12" s="85"/>
    </row>
    <row r="13" spans="1:21" ht="15" hidden="1" customHeight="1">
      <c r="A13" s="129" t="s">
        <v>96</v>
      </c>
      <c r="B13" s="131">
        <f>F11+F12+F13</f>
        <v>1920005.5192640692</v>
      </c>
      <c r="C13" s="131">
        <f>AVERAGE(F11:F13)</f>
        <v>640001.83975468972</v>
      </c>
      <c r="D13" s="90">
        <f>C13/C10-1</f>
        <v>-1.0355381182166501E-2</v>
      </c>
      <c r="E13" s="286"/>
      <c r="F13" s="78">
        <f>Q13/20</f>
        <v>741198.45</v>
      </c>
      <c r="G13" s="90">
        <f t="shared" si="2"/>
        <v>2.1720433085455015E-2</v>
      </c>
      <c r="H13" s="90"/>
      <c r="I13" s="130">
        <f t="shared" si="0"/>
        <v>136.62024726620692</v>
      </c>
      <c r="J13" s="130"/>
      <c r="K13" s="78">
        <f>R11+R12+R13</f>
        <v>54098577379</v>
      </c>
      <c r="L13" s="87">
        <f>U13/U10-1</f>
        <v>-1.0742129470032391E-2</v>
      </c>
      <c r="N13" s="88">
        <f>AVERAGE(T11:T13)</f>
        <v>122.50548835063189</v>
      </c>
      <c r="O13" s="89">
        <f>N13/N10-1</f>
        <v>4.7789469099449811E-2</v>
      </c>
      <c r="P13" s="129" t="s">
        <v>96</v>
      </c>
      <c r="Q13" s="116">
        <v>14823969</v>
      </c>
      <c r="R13" s="116">
        <v>20432658668</v>
      </c>
      <c r="S13" s="116">
        <v>108504.92</v>
      </c>
      <c r="T13" s="130">
        <f t="shared" si="1"/>
        <v>136.62024726620692</v>
      </c>
      <c r="U13" s="85">
        <f>Q11+Q12+Q13</f>
        <v>40304359</v>
      </c>
    </row>
    <row r="14" spans="1:21" ht="15" hidden="1" customHeight="1">
      <c r="A14" s="129" t="s">
        <v>97</v>
      </c>
      <c r="C14" s="79"/>
      <c r="F14" s="78">
        <f>Q14/20</f>
        <v>1501937.5</v>
      </c>
      <c r="G14" s="90">
        <f t="shared" si="2"/>
        <v>1.0263635197833993</v>
      </c>
      <c r="H14" s="90"/>
      <c r="I14" s="130">
        <f t="shared" si="0"/>
        <v>148.81346050973406</v>
      </c>
      <c r="J14" s="130"/>
      <c r="O14" s="89"/>
      <c r="P14" s="129" t="s">
        <v>97</v>
      </c>
      <c r="Q14" s="116">
        <v>30038750</v>
      </c>
      <c r="R14" s="116">
        <v>42845201381</v>
      </c>
      <c r="S14" s="116">
        <v>201855.06</v>
      </c>
      <c r="T14" s="130">
        <f t="shared" si="1"/>
        <v>148.81346050973406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987187.72727272729</v>
      </c>
      <c r="G15" s="90">
        <f t="shared" si="2"/>
        <v>-0.34272383020416808</v>
      </c>
      <c r="H15" s="90"/>
      <c r="I15" s="130">
        <f t="shared" si="0"/>
        <v>155.99202447245807</v>
      </c>
      <c r="J15" s="130"/>
      <c r="O15" s="89"/>
      <c r="P15" s="129" t="s">
        <v>98</v>
      </c>
      <c r="Q15" s="116">
        <v>21718130</v>
      </c>
      <c r="R15" s="116">
        <v>29789897563</v>
      </c>
      <c r="S15" s="116">
        <v>139225.9</v>
      </c>
      <c r="T15" s="130">
        <f t="shared" si="1"/>
        <v>155.99202447245807</v>
      </c>
      <c r="U15" s="85"/>
    </row>
    <row r="16" spans="1:21" ht="15" hidden="1" customHeight="1">
      <c r="A16" s="129" t="s">
        <v>99</v>
      </c>
      <c r="B16" s="131">
        <f>F14+F15+F16</f>
        <v>3713026.9545454551</v>
      </c>
      <c r="C16" s="131">
        <f>AVERAGE(F14:F16)</f>
        <v>1237675.6515151516</v>
      </c>
      <c r="D16" s="90">
        <f>C16/C13-1</f>
        <v>0.93386264637856042</v>
      </c>
      <c r="E16" s="286"/>
      <c r="F16" s="78">
        <f>Q16/22</f>
        <v>1223901.7272727273</v>
      </c>
      <c r="G16" s="90">
        <f t="shared" si="2"/>
        <v>0.23978620627098191</v>
      </c>
      <c r="H16" s="90"/>
      <c r="I16" s="130">
        <f t="shared" si="0"/>
        <v>145.65982659311322</v>
      </c>
      <c r="J16" s="130"/>
      <c r="K16" s="78">
        <f>R14+R15+R16</f>
        <v>108065267657</v>
      </c>
      <c r="L16" s="87">
        <f>U16/U13-1</f>
        <v>0.95221360548123335</v>
      </c>
      <c r="N16" s="88">
        <f>AVERAGE(T14:T16)</f>
        <v>150.15510385843513</v>
      </c>
      <c r="O16" s="89">
        <f>N16/N13-1</f>
        <v>0.2257010349500852</v>
      </c>
      <c r="P16" s="129" t="s">
        <v>99</v>
      </c>
      <c r="Q16" s="116">
        <v>26925838</v>
      </c>
      <c r="R16" s="116">
        <v>35430168713</v>
      </c>
      <c r="S16" s="116">
        <v>184854.25</v>
      </c>
      <c r="T16" s="130">
        <f t="shared" si="1"/>
        <v>145.65982659311322</v>
      </c>
      <c r="U16" s="85">
        <f>Q14+Q15+Q16</f>
        <v>78682718</v>
      </c>
    </row>
    <row r="17" spans="1:21" ht="15" hidden="1" customHeight="1">
      <c r="A17" s="129" t="s">
        <v>100</v>
      </c>
      <c r="C17" s="79"/>
      <c r="F17" s="78">
        <f>Q17/20</f>
        <v>2095896.75</v>
      </c>
      <c r="G17" s="90">
        <f t="shared" ref="G17:G22" si="3">F17/F16-1</f>
        <v>0.71247143728637141</v>
      </c>
      <c r="H17" s="90">
        <f t="shared" ref="H17:H22" si="4">F17/F5-1</f>
        <v>3.0477357972950099</v>
      </c>
      <c r="I17" s="130">
        <f t="shared" si="0"/>
        <v>157.21195687334568</v>
      </c>
      <c r="J17" s="130">
        <f t="shared" ref="J17:J49" si="5">I17/I5-1</f>
        <v>0.39406280841149699</v>
      </c>
      <c r="O17" s="89"/>
      <c r="P17" s="129" t="s">
        <v>100</v>
      </c>
      <c r="Q17" s="116">
        <v>41917935</v>
      </c>
      <c r="R17" s="116">
        <v>52734515709</v>
      </c>
      <c r="S17" s="116">
        <v>266633.25</v>
      </c>
      <c r="T17" s="130">
        <f t="shared" si="1"/>
        <v>157.21195687334568</v>
      </c>
      <c r="U17" s="78"/>
    </row>
    <row r="18" spans="1:21" ht="15" hidden="1" customHeight="1">
      <c r="A18" s="129" t="s">
        <v>106</v>
      </c>
      <c r="C18" s="79"/>
      <c r="F18" s="78">
        <f>Q18/20</f>
        <v>1098917.5</v>
      </c>
      <c r="G18" s="90">
        <f t="shared" si="3"/>
        <v>-0.4756814714274451</v>
      </c>
      <c r="H18" s="90">
        <f t="shared" si="4"/>
        <v>3.0022837512926657</v>
      </c>
      <c r="I18" s="130">
        <f t="shared" si="0"/>
        <v>158.73614872570371</v>
      </c>
      <c r="J18" s="130">
        <f t="shared" si="5"/>
        <v>0.4491626638599131</v>
      </c>
      <c r="O18" s="89"/>
      <c r="P18" s="129" t="s">
        <v>106</v>
      </c>
      <c r="Q18" s="116">
        <v>21978350</v>
      </c>
      <c r="R18" s="116">
        <v>27592670774</v>
      </c>
      <c r="S18" s="116">
        <v>138458.38</v>
      </c>
      <c r="T18" s="130">
        <f t="shared" ref="T18" si="6">Q18/S18</f>
        <v>158.73614872570371</v>
      </c>
      <c r="U18" s="78"/>
    </row>
    <row r="19" spans="1:21" hidden="1">
      <c r="A19" s="129" t="s">
        <v>114</v>
      </c>
      <c r="B19" s="131">
        <f>SUM(F17:F19)</f>
        <v>3877565.7045454546</v>
      </c>
      <c r="C19" s="131">
        <f>AVERAGE(F17:F19)</f>
        <v>1292521.9015151516</v>
      </c>
      <c r="D19" s="90">
        <f>C19/C16-1</f>
        <v>4.4313912076122453E-2</v>
      </c>
      <c r="E19" s="286">
        <f>C19/C7-1</f>
        <v>2.1085289129647156</v>
      </c>
      <c r="F19" s="78">
        <f>Q19/22</f>
        <v>682751.45454545459</v>
      </c>
      <c r="G19" s="90">
        <f t="shared" si="3"/>
        <v>-0.3787054491848072</v>
      </c>
      <c r="H19" s="90">
        <f t="shared" si="4"/>
        <v>0.5004594120125605</v>
      </c>
      <c r="I19" s="130">
        <f t="shared" si="0"/>
        <v>130.21589151510531</v>
      </c>
      <c r="J19" s="130">
        <f t="shared" si="5"/>
        <v>8.6727052098283686E-2</v>
      </c>
      <c r="K19" s="78">
        <f>R17+R18+R19</f>
        <v>99929952006</v>
      </c>
      <c r="L19" s="87">
        <f>U19/U16-1</f>
        <v>2.9752276732484262E-3</v>
      </c>
      <c r="M19" s="87">
        <f>U19/U7-1</f>
        <v>2.1181539989251181</v>
      </c>
      <c r="N19" s="88">
        <f>AVERAGE(T17:T19)</f>
        <v>148.72133237138493</v>
      </c>
      <c r="O19" s="89">
        <f>N19/N16-1</f>
        <v>-9.5486030791330778E-3</v>
      </c>
      <c r="P19" s="129" t="s">
        <v>115</v>
      </c>
      <c r="Q19" s="116">
        <v>15020532</v>
      </c>
      <c r="R19" s="116">
        <v>19602765523</v>
      </c>
      <c r="S19" s="116">
        <v>115350.99</v>
      </c>
      <c r="T19" s="130">
        <f t="shared" ref="T19" si="7">Q19/S19</f>
        <v>130.21589151510531</v>
      </c>
      <c r="U19" s="85">
        <f>Q17+Q18+Q19</f>
        <v>78916817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713553.3</v>
      </c>
      <c r="G20" s="90">
        <f t="shared" si="3"/>
        <v>4.5114287563183586E-2</v>
      </c>
      <c r="H20" s="90">
        <f t="shared" si="4"/>
        <v>0.11817464637807795</v>
      </c>
      <c r="I20" s="130">
        <f t="shared" si="0"/>
        <v>139.08713416334959</v>
      </c>
      <c r="J20" s="130">
        <f t="shared" si="5"/>
        <v>0.19310731168797801</v>
      </c>
      <c r="O20" s="89"/>
      <c r="P20" s="129" t="s">
        <v>132</v>
      </c>
      <c r="Q20" s="116">
        <v>14271066</v>
      </c>
      <c r="R20" s="116">
        <v>18648059545</v>
      </c>
      <c r="S20" s="116">
        <v>102605.22</v>
      </c>
      <c r="T20" s="130">
        <f t="shared" ref="T20" si="8">Q20/S20</f>
        <v>139.08713416334959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381153.66666666669</v>
      </c>
      <c r="G21" s="90">
        <f t="shared" si="3"/>
        <v>-0.46583714676021171</v>
      </c>
      <c r="H21" s="90">
        <f t="shared" si="4"/>
        <v>-0.51595012202198176</v>
      </c>
      <c r="I21" s="130">
        <f t="shared" si="0"/>
        <v>110.46127175351883</v>
      </c>
      <c r="J21" s="130">
        <f t="shared" si="5"/>
        <v>-4.5918963875338115E-2</v>
      </c>
      <c r="O21" s="89"/>
      <c r="P21" s="129" t="s">
        <v>142</v>
      </c>
      <c r="Q21" s="116">
        <v>8004227</v>
      </c>
      <c r="R21" s="116">
        <v>10663134655</v>
      </c>
      <c r="S21" s="116">
        <v>72461.84</v>
      </c>
      <c r="T21" s="130">
        <f t="shared" ref="T21" si="9">Q21/S21</f>
        <v>110.46127175351883</v>
      </c>
      <c r="U21" s="78"/>
    </row>
    <row r="22" spans="1:21" hidden="1">
      <c r="A22" s="129" t="s">
        <v>156</v>
      </c>
      <c r="B22" s="131">
        <f>SUM(F20:F22)</f>
        <v>1709966.1571428573</v>
      </c>
      <c r="C22" s="131">
        <f>AVERAGE(F20:F22)</f>
        <v>569988.71904761915</v>
      </c>
      <c r="D22" s="90">
        <f>C22/C19-1</f>
        <v>-0.55901039790547991</v>
      </c>
      <c r="E22" s="286">
        <f>C22/C10-1</f>
        <v>-0.11861773896062811</v>
      </c>
      <c r="F22" s="78">
        <f>Q22/21</f>
        <v>615259.19047619053</v>
      </c>
      <c r="G22" s="90">
        <f t="shared" si="3"/>
        <v>0.61420247076950729</v>
      </c>
      <c r="H22" s="90">
        <f t="shared" si="4"/>
        <v>0.19577319773680868</v>
      </c>
      <c r="I22" s="130">
        <f t="shared" si="0"/>
        <v>109.57437750403214</v>
      </c>
      <c r="J22" s="130">
        <f t="shared" si="5"/>
        <v>-7.4547812104327371E-2</v>
      </c>
      <c r="K22" s="78">
        <f>R20+R21+R22</f>
        <v>46095029760</v>
      </c>
      <c r="L22" s="87">
        <f>U22/U19-1</f>
        <v>-0.55401475454845062</v>
      </c>
      <c r="M22" s="87">
        <f>U22/U10-1</f>
        <v>-0.13613168126318742</v>
      </c>
      <c r="N22" s="88">
        <f>AVERAGE(T20:T22)</f>
        <v>119.70759447363353</v>
      </c>
      <c r="O22" s="89">
        <f>N22/N19-1</f>
        <v>-0.19508793684888914</v>
      </c>
      <c r="P22" s="129" t="s">
        <v>156</v>
      </c>
      <c r="Q22" s="116">
        <v>12920443</v>
      </c>
      <c r="R22" s="116">
        <v>16783835560</v>
      </c>
      <c r="S22" s="116">
        <v>117914.82</v>
      </c>
      <c r="T22" s="130">
        <f t="shared" ref="T22:T23" si="10">Q22/S22</f>
        <v>109.57437750403214</v>
      </c>
      <c r="U22" s="85">
        <f>Q20+Q21+Q22</f>
        <v>35195736</v>
      </c>
    </row>
    <row r="23" spans="1:21" hidden="1">
      <c r="A23" s="129" t="s">
        <v>189</v>
      </c>
      <c r="B23" s="131"/>
      <c r="C23" s="131"/>
      <c r="F23" s="78">
        <f>Q23/21</f>
        <v>467714.33333333331</v>
      </c>
      <c r="G23" s="90">
        <f t="shared" ref="G23" si="11">F23/F22-1</f>
        <v>-0.23980926969764127</v>
      </c>
      <c r="H23" s="90">
        <f t="shared" ref="H23" si="12">F23/F11-1</f>
        <v>3.1649538331101734E-2</v>
      </c>
      <c r="I23" s="130">
        <f t="shared" si="0"/>
        <v>100.02613184974491</v>
      </c>
      <c r="J23" s="130">
        <f t="shared" si="5"/>
        <v>-5.456949178436632E-2</v>
      </c>
      <c r="O23" s="89"/>
      <c r="P23" s="129" t="s">
        <v>189</v>
      </c>
      <c r="Q23" s="116">
        <v>9822001</v>
      </c>
      <c r="R23" s="116">
        <v>12659405883</v>
      </c>
      <c r="S23" s="116">
        <v>98194.35</v>
      </c>
      <c r="T23" s="130">
        <f t="shared" si="10"/>
        <v>100.02613184974491</v>
      </c>
      <c r="U23" s="78"/>
    </row>
    <row r="24" spans="1:21" hidden="1">
      <c r="A24" s="129" t="s">
        <v>204</v>
      </c>
      <c r="B24" s="131"/>
      <c r="C24" s="131"/>
      <c r="F24" s="78">
        <f>Q24/22</f>
        <v>488074.09090909088</v>
      </c>
      <c r="G24" s="90">
        <f t="shared" ref="G24" si="13">F24/F23-1</f>
        <v>4.3530326365361693E-2</v>
      </c>
      <c r="H24" s="90">
        <f t="shared" ref="H24" si="14">F24/F12-1</f>
        <v>-0.32720410904606434</v>
      </c>
      <c r="I24" s="130">
        <f t="shared" si="0"/>
        <v>120.44731487906506</v>
      </c>
      <c r="J24" s="130">
        <f t="shared" si="5"/>
        <v>-3.7166003614154119E-2</v>
      </c>
      <c r="O24" s="89"/>
      <c r="P24" s="129" t="s">
        <v>204</v>
      </c>
      <c r="Q24" s="116">
        <v>10737630</v>
      </c>
      <c r="R24" s="116">
        <v>14013584960</v>
      </c>
      <c r="S24" s="116">
        <v>89147.94</v>
      </c>
      <c r="T24" s="130">
        <f t="shared" ref="T24" si="15">Q24/S24</f>
        <v>120.44731487906506</v>
      </c>
      <c r="U24" s="78"/>
    </row>
    <row r="25" spans="1:21" s="79" customFormat="1" ht="13.2" hidden="1">
      <c r="A25" s="129" t="s">
        <v>218</v>
      </c>
      <c r="B25" s="131">
        <f>SUM(F23:F25)</f>
        <v>1486234.0031897926</v>
      </c>
      <c r="C25" s="131">
        <f>AVERAGE(F23:F25)</f>
        <v>495411.33439659752</v>
      </c>
      <c r="D25" s="90">
        <f>C25/C22-1</f>
        <v>-0.13084010640707278</v>
      </c>
      <c r="E25" s="286">
        <f>C25/C13-1</f>
        <v>-0.22592201518282073</v>
      </c>
      <c r="F25" s="78">
        <f>Q25/19</f>
        <v>530445.57894736843</v>
      </c>
      <c r="G25" s="90">
        <f t="shared" ref="G25" si="16">F25/F24-1</f>
        <v>8.6813639214808669E-2</v>
      </c>
      <c r="H25" s="90">
        <f t="shared" ref="H25" si="17">F25/F13-1</f>
        <v>-0.28434067968252164</v>
      </c>
      <c r="I25" s="130">
        <f t="shared" si="0"/>
        <v>128.22250703486375</v>
      </c>
      <c r="J25" s="130">
        <f t="shared" si="5"/>
        <v>-6.1467757520450306E-2</v>
      </c>
      <c r="K25" s="78">
        <f>R23+R24+R25</f>
        <v>40042700085</v>
      </c>
      <c r="L25" s="90">
        <f>U25/U22-1</f>
        <v>-0.12949406712222189</v>
      </c>
      <c r="M25" s="90">
        <f>U25/U13-1</f>
        <v>-0.2398316767672698</v>
      </c>
      <c r="N25" s="88">
        <f>AVERAGE(T23:T25)</f>
        <v>116.23198458789125</v>
      </c>
      <c r="O25" s="91">
        <f>N25/N22-1</f>
        <v>-2.9034163630343612E-2</v>
      </c>
      <c r="P25" s="129" t="s">
        <v>220</v>
      </c>
      <c r="Q25" s="116">
        <v>10078466</v>
      </c>
      <c r="R25" s="116">
        <v>13369709242</v>
      </c>
      <c r="S25" s="116">
        <v>78601.38</v>
      </c>
      <c r="T25" s="130">
        <f t="shared" ref="T25" si="18">Q25/S25</f>
        <v>128.22250703486375</v>
      </c>
      <c r="U25" s="85">
        <f>Q23+Q24+Q25</f>
        <v>30638097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514735.73684210528</v>
      </c>
      <c r="G26" s="90">
        <f t="shared" ref="G26" si="19">F26/F25-1</f>
        <v>-2.9616312641229325E-2</v>
      </c>
      <c r="H26" s="90">
        <f t="shared" ref="H26" si="20">F26/F14-1</f>
        <v>-0.65728551498174503</v>
      </c>
      <c r="I26" s="130">
        <f t="shared" si="0"/>
        <v>127.61958685614606</v>
      </c>
      <c r="J26" s="130">
        <f t="shared" si="5"/>
        <v>-0.14241906330913989</v>
      </c>
      <c r="L26" s="90"/>
      <c r="M26" s="90"/>
      <c r="P26" s="129" t="s">
        <v>312</v>
      </c>
      <c r="Q26" s="116">
        <v>9779979</v>
      </c>
      <c r="R26" s="116">
        <v>13176834392</v>
      </c>
      <c r="S26" s="116">
        <v>76633.84</v>
      </c>
      <c r="T26" s="130">
        <f t="shared" ref="T26" si="21">Q26/S26</f>
        <v>127.61958685614606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419260.04545454547</v>
      </c>
      <c r="G27" s="90">
        <f t="shared" ref="G27" si="22">F27/F26-1</f>
        <v>-0.18548487030121807</v>
      </c>
      <c r="H27" s="90">
        <f t="shared" ref="H27" si="23">F27/F15-1</f>
        <v>-0.5752985639187167</v>
      </c>
      <c r="I27" s="130">
        <f t="shared" si="0"/>
        <v>108.66846937998898</v>
      </c>
      <c r="J27" s="130">
        <f t="shared" si="5"/>
        <v>-0.30337163231588504</v>
      </c>
      <c r="L27" s="90"/>
      <c r="M27" s="90"/>
      <c r="P27" s="129" t="s">
        <v>375</v>
      </c>
      <c r="Q27" s="116">
        <v>9223721</v>
      </c>
      <c r="R27" s="116">
        <v>12296398101</v>
      </c>
      <c r="S27" s="116">
        <v>84879.46</v>
      </c>
      <c r="T27" s="130">
        <f t="shared" ref="T27" si="24">Q27/S27</f>
        <v>108.66846937998898</v>
      </c>
      <c r="U27" s="78"/>
    </row>
    <row r="28" spans="1:21" s="79" customFormat="1" ht="13.2" hidden="1">
      <c r="A28" s="123" t="s">
        <v>413</v>
      </c>
      <c r="B28" s="131">
        <f>SUM(F26:F28)</f>
        <v>1394831.8349282297</v>
      </c>
      <c r="C28" s="131">
        <f>AVERAGE(F26:F28)</f>
        <v>464943.94497607654</v>
      </c>
      <c r="D28" s="90">
        <f>C28/C25-1</f>
        <v>-6.1499177158773954E-2</v>
      </c>
      <c r="E28" s="286">
        <f>C28/C16-1</f>
        <v>-0.62434104249615296</v>
      </c>
      <c r="F28" s="78">
        <f>Q28/19</f>
        <v>460836.05263157893</v>
      </c>
      <c r="G28" s="90">
        <f t="shared" ref="G28" si="25">F28/F27-1</f>
        <v>9.9165202188437496E-2</v>
      </c>
      <c r="H28" s="90">
        <f t="shared" ref="H28" si="26">F28/F16-1</f>
        <v>-0.6234697260714881</v>
      </c>
      <c r="I28" s="130">
        <f t="shared" si="0"/>
        <v>111.23382365701116</v>
      </c>
      <c r="J28" s="130">
        <f t="shared" si="5"/>
        <v>-0.2363452143346827</v>
      </c>
      <c r="K28" s="78">
        <f>R26+R27+R28</f>
        <v>36886347306</v>
      </c>
      <c r="L28" s="90">
        <f>U28/U25-1</f>
        <v>-9.395204930645662E-2</v>
      </c>
      <c r="M28" s="90">
        <f>U28/U16-1</f>
        <v>-0.64719590647593028</v>
      </c>
      <c r="N28" s="88">
        <f>AVERAGE(T26:T28)</f>
        <v>115.84062663104874</v>
      </c>
      <c r="O28" s="91">
        <f>N28/N25-1</f>
        <v>-3.36704185366965E-3</v>
      </c>
      <c r="P28" s="129" t="s">
        <v>413</v>
      </c>
      <c r="Q28" s="116">
        <v>8755885</v>
      </c>
      <c r="R28" s="116">
        <v>11413114813</v>
      </c>
      <c r="S28" s="116">
        <v>78716.03</v>
      </c>
      <c r="T28" s="130">
        <f t="shared" ref="T28" si="27">Q28/S28</f>
        <v>111.23382365701116</v>
      </c>
      <c r="U28" s="85">
        <f>Q26+Q27+Q28</f>
        <v>27759585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594841.45454545459</v>
      </c>
      <c r="G29" s="190">
        <f t="shared" ref="G29" si="28">F29/F28-1</f>
        <v>0.29078758302143504</v>
      </c>
      <c r="H29" s="190">
        <f t="shared" ref="H29" si="29">F29/F17-1</f>
        <v>-0.71618761537492026</v>
      </c>
      <c r="I29" s="130">
        <f t="shared" si="0"/>
        <v>119.8362759500037</v>
      </c>
      <c r="J29" s="130">
        <f t="shared" si="5"/>
        <v>-0.23774070157687099</v>
      </c>
      <c r="K29" s="136"/>
      <c r="L29" s="190"/>
      <c r="M29" s="190"/>
      <c r="N29" s="191"/>
      <c r="O29" s="192"/>
      <c r="P29" s="129" t="s">
        <v>427</v>
      </c>
      <c r="Q29" s="116">
        <v>13086512</v>
      </c>
      <c r="R29" s="116">
        <v>17203013557</v>
      </c>
      <c r="S29" s="116">
        <v>109203.26</v>
      </c>
      <c r="T29" s="130">
        <f t="shared" ref="T29" si="30">Q29/S29</f>
        <v>119.8362759500037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455018</v>
      </c>
      <c r="G30" s="190">
        <f t="shared" ref="G30" si="31">F30/F29-1</f>
        <v>-0.23506003738811387</v>
      </c>
      <c r="H30" s="190">
        <f t="shared" ref="H30" si="32">F30/F18-1</f>
        <v>-0.58593979984848721</v>
      </c>
      <c r="I30" s="130">
        <f t="shared" si="0"/>
        <v>120.40500720173121</v>
      </c>
      <c r="J30" s="130">
        <f t="shared" si="5"/>
        <v>-0.24147707898727444</v>
      </c>
      <c r="K30" s="136"/>
      <c r="L30" s="190"/>
      <c r="M30" s="190"/>
      <c r="N30" s="191"/>
      <c r="O30" s="192"/>
      <c r="P30" s="129" t="s">
        <v>475</v>
      </c>
      <c r="Q30" s="116">
        <v>8645342</v>
      </c>
      <c r="R30" s="116">
        <v>11508947890</v>
      </c>
      <c r="S30" s="116">
        <v>71802.179999999993</v>
      </c>
      <c r="T30" s="130">
        <f t="shared" ref="T30" si="33">Q30/S30</f>
        <v>120.40500720173121</v>
      </c>
      <c r="U30" s="85"/>
    </row>
    <row r="31" spans="1:21" s="79" customFormat="1" ht="13.2" hidden="1">
      <c r="A31" s="129" t="s">
        <v>505</v>
      </c>
      <c r="B31" s="188">
        <f>SUM(F29:F31)</f>
        <v>1764047.5045454546</v>
      </c>
      <c r="C31" s="188">
        <f>AVERAGE(F29:F31)</f>
        <v>588015.83484848484</v>
      </c>
      <c r="D31" s="190">
        <f>C31/C28-1</f>
        <v>0.26470264039838365</v>
      </c>
      <c r="E31" s="287">
        <f>C31/C19-1</f>
        <v>-0.54506315586669241</v>
      </c>
      <c r="F31" s="136">
        <f>Q31/20</f>
        <v>714188.05</v>
      </c>
      <c r="G31" s="190">
        <f t="shared" ref="G31" si="34">F31/F30-1</f>
        <v>0.5695819725813045</v>
      </c>
      <c r="H31" s="190">
        <f t="shared" ref="H31" si="35">F31/F19-1</f>
        <v>4.6043981664564138E-2</v>
      </c>
      <c r="I31" s="130">
        <f t="shared" si="0"/>
        <v>124.91625031592517</v>
      </c>
      <c r="J31" s="130">
        <f t="shared" si="5"/>
        <v>-4.0698881968376122E-2</v>
      </c>
      <c r="K31" s="136">
        <f>R29+R30+R31</f>
        <v>47729962387</v>
      </c>
      <c r="L31" s="190">
        <f>U31/U28-1</f>
        <v>0.29741186692812582</v>
      </c>
      <c r="M31" s="190">
        <f>U31/U19-1</f>
        <v>-0.5436256001049814</v>
      </c>
      <c r="N31" s="191">
        <f>AVERAGE(T29:T31)</f>
        <v>121.71917782255336</v>
      </c>
      <c r="O31" s="192">
        <f>N31/N28-1</f>
        <v>5.0746887015966857E-2</v>
      </c>
      <c r="P31" s="129" t="s">
        <v>505</v>
      </c>
      <c r="Q31" s="116">
        <v>14283761</v>
      </c>
      <c r="R31" s="116">
        <v>19018000940</v>
      </c>
      <c r="S31" s="116">
        <v>114346.7</v>
      </c>
      <c r="T31" s="130">
        <f t="shared" ref="T31" si="36">Q31/S31</f>
        <v>124.91625031592517</v>
      </c>
      <c r="U31" s="85">
        <f>Q29+Q30+Q31</f>
        <v>36015615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755341.19047619053</v>
      </c>
      <c r="G32" s="190">
        <f t="shared" ref="G32" si="37">F32/F31-1</f>
        <v>5.7622275360376785E-2</v>
      </c>
      <c r="H32" s="190">
        <f t="shared" ref="H32" si="38">F32/F20-1</f>
        <v>5.8563096094139677E-2</v>
      </c>
      <c r="I32" s="130">
        <f t="shared" si="0"/>
        <v>114.13606760077572</v>
      </c>
      <c r="J32" s="130">
        <f t="shared" si="5"/>
        <v>-0.17939162175324086</v>
      </c>
      <c r="K32" s="136"/>
      <c r="L32" s="190"/>
      <c r="M32" s="190"/>
      <c r="N32" s="191"/>
      <c r="O32" s="192"/>
      <c r="P32" s="129" t="s">
        <v>562</v>
      </c>
      <c r="Q32" s="116">
        <v>15862165</v>
      </c>
      <c r="R32" s="116">
        <v>21673891818</v>
      </c>
      <c r="S32" s="116">
        <v>138975.92000000001</v>
      </c>
      <c r="T32" s="130">
        <f t="shared" ref="T32" si="39">Q32/S32</f>
        <v>114.13606760077572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674632.66666666663</v>
      </c>
      <c r="G33" s="190">
        <f t="shared" ref="G33" si="40">F33/F32-1</f>
        <v>-0.10685042048169346</v>
      </c>
      <c r="H33" s="190">
        <f t="shared" ref="H33" si="41">F33/F21-1</f>
        <v>0.76997553917448847</v>
      </c>
      <c r="I33" s="130">
        <f t="shared" si="0"/>
        <v>114.61736275197795</v>
      </c>
      <c r="J33" s="130">
        <f t="shared" si="5"/>
        <v>3.7624870078745376E-2</v>
      </c>
      <c r="K33" s="136"/>
      <c r="L33" s="190"/>
      <c r="M33" s="190"/>
      <c r="N33" s="191"/>
      <c r="O33" s="192"/>
      <c r="P33" s="129" t="s">
        <v>607</v>
      </c>
      <c r="Q33" s="116">
        <v>14167286</v>
      </c>
      <c r="R33" s="116">
        <v>19367075630</v>
      </c>
      <c r="S33" s="116">
        <v>123605.06</v>
      </c>
      <c r="T33" s="130">
        <f t="shared" ref="T33" si="42">Q33/S33</f>
        <v>114.61736275197795</v>
      </c>
      <c r="U33" s="85"/>
    </row>
    <row r="34" spans="1:21" s="79" customFormat="1" ht="13.2" hidden="1">
      <c r="A34" s="129" t="s">
        <v>652</v>
      </c>
      <c r="B34" s="188">
        <f>SUM(F32:F34)</f>
        <v>2308106.4887218047</v>
      </c>
      <c r="C34" s="188">
        <f>AVERAGE(F32:F34)</f>
        <v>769368.8295739349</v>
      </c>
      <c r="D34" s="190">
        <f>C34/C31-1</f>
        <v>0.30841515479286308</v>
      </c>
      <c r="E34" s="287">
        <f>C34/C22-1</f>
        <v>0.34979659046490497</v>
      </c>
      <c r="F34" s="136">
        <f>Q34/19</f>
        <v>878132.63157894742</v>
      </c>
      <c r="G34" s="190">
        <f t="shared" ref="G34" si="43">F34/F33-1</f>
        <v>0.30164558428183752</v>
      </c>
      <c r="H34" s="190">
        <f t="shared" ref="H34" si="44">F34/F22-1</f>
        <v>0.42725642326334268</v>
      </c>
      <c r="I34" s="130">
        <f t="shared" si="0"/>
        <v>113.30427381619434</v>
      </c>
      <c r="J34" s="130">
        <f t="shared" si="5"/>
        <v>3.4039858561139891E-2</v>
      </c>
      <c r="K34" s="136">
        <f>R32+R33+R34</f>
        <v>63983211456</v>
      </c>
      <c r="L34" s="190">
        <f>U34/U31-1</f>
        <v>0.29704771111086115</v>
      </c>
      <c r="M34" s="190">
        <f>U34/U22-1</f>
        <v>0.32726222858359888</v>
      </c>
      <c r="N34" s="191">
        <f>AVERAGE(T32:T34)</f>
        <v>114.01923472298267</v>
      </c>
      <c r="O34" s="192">
        <f>N34/N31-1</f>
        <v>-6.3259900677245295E-2</v>
      </c>
      <c r="P34" s="129" t="s">
        <v>652</v>
      </c>
      <c r="Q34" s="116">
        <v>16684520</v>
      </c>
      <c r="R34" s="116">
        <v>22942244008</v>
      </c>
      <c r="S34" s="116">
        <v>147254.10999999999</v>
      </c>
      <c r="T34" s="130">
        <f t="shared" ref="T34" si="45">Q34/S34</f>
        <v>113.30427381619434</v>
      </c>
      <c r="U34" s="85">
        <f>Q32+Q33+Q34</f>
        <v>46713971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505424.04347826086</v>
      </c>
      <c r="G35" s="190">
        <f t="shared" ref="G35" si="46">F35/F34-1</f>
        <v>-0.42443313765772372</v>
      </c>
      <c r="H35" s="190">
        <f t="shared" ref="H35" si="47">F35/F23-1</f>
        <v>8.0625517452449724E-2</v>
      </c>
      <c r="I35" s="130">
        <f t="shared" si="0"/>
        <v>113.74939980627454</v>
      </c>
      <c r="J35" s="130">
        <f t="shared" si="5"/>
        <v>0.1371968274964801</v>
      </c>
      <c r="K35" s="136"/>
      <c r="L35" s="190"/>
      <c r="M35" s="190"/>
      <c r="N35" s="191"/>
      <c r="O35" s="192"/>
      <c r="P35" s="129" t="s">
        <v>660</v>
      </c>
      <c r="Q35" s="116">
        <v>11624753</v>
      </c>
      <c r="R35" s="116">
        <v>16094844463</v>
      </c>
      <c r="S35" s="116">
        <v>102196.17</v>
      </c>
      <c r="T35" s="130">
        <f t="shared" ref="T35" si="48">Q35/S35</f>
        <v>113.74939980627454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616208.33333333337</v>
      </c>
      <c r="G36" s="190">
        <f t="shared" ref="G36" si="49">F36/F35-1</f>
        <v>0.21919077907863227</v>
      </c>
      <c r="H36" s="190">
        <f t="shared" ref="H36" si="50">F36/F24-1</f>
        <v>0.2625303100715275</v>
      </c>
      <c r="I36" s="130">
        <f t="shared" si="0"/>
        <v>104.86703464150493</v>
      </c>
      <c r="J36" s="130">
        <f t="shared" si="5"/>
        <v>-0.1293534874829172</v>
      </c>
      <c r="K36" s="136"/>
      <c r="L36" s="190"/>
      <c r="M36" s="190"/>
      <c r="N36" s="191"/>
      <c r="O36" s="192"/>
      <c r="P36" s="129" t="s">
        <v>664</v>
      </c>
      <c r="Q36" s="116">
        <v>12940375</v>
      </c>
      <c r="R36" s="116">
        <v>17681472944</v>
      </c>
      <c r="S36" s="116">
        <v>123397.93</v>
      </c>
      <c r="T36" s="130">
        <f t="shared" ref="T36" si="51">Q36/S36</f>
        <v>104.86703464150493</v>
      </c>
      <c r="U36" s="85"/>
    </row>
    <row r="37" spans="1:21" s="79" customFormat="1" ht="13.2" hidden="1">
      <c r="A37" s="129" t="s">
        <v>703</v>
      </c>
      <c r="B37" s="188">
        <f>SUM(F35:F37)</f>
        <v>1850724.9879227052</v>
      </c>
      <c r="C37" s="188">
        <f>AVERAGE(F35:F37)</f>
        <v>616908.32930756838</v>
      </c>
      <c r="D37" s="190">
        <f>C37/C34-1</f>
        <v>-0.19816308434382102</v>
      </c>
      <c r="E37" s="287">
        <f>C37/C25-1</f>
        <v>0.24524468149068923</v>
      </c>
      <c r="F37" s="136">
        <f>Q37/18</f>
        <v>729092.61111111112</v>
      </c>
      <c r="G37" s="190">
        <f t="shared" ref="G37" si="52">F37/F36-1</f>
        <v>0.18319174160975504</v>
      </c>
      <c r="H37" s="190">
        <f t="shared" ref="H37" si="53">F37/F25-1</f>
        <v>0.37449088096453487</v>
      </c>
      <c r="I37" s="130">
        <f t="shared" si="0"/>
        <v>117.44628043185604</v>
      </c>
      <c r="J37" s="130">
        <f t="shared" si="5"/>
        <v>-8.4043175041630169E-2</v>
      </c>
      <c r="K37" s="136">
        <f>R35+R36+R37</f>
        <v>51301969416</v>
      </c>
      <c r="L37" s="190">
        <f>U37/U34-1</f>
        <v>-0.19320078783283057</v>
      </c>
      <c r="M37" s="190">
        <f>U37/U25-1</f>
        <v>0.23012845739080978</v>
      </c>
      <c r="N37" s="191">
        <f>AVERAGE(T35:T37)</f>
        <v>112.02090495987851</v>
      </c>
      <c r="O37" s="192">
        <f>N37/N34-1</f>
        <v>-1.7526251320307829E-2</v>
      </c>
      <c r="P37" s="129" t="s">
        <v>705</v>
      </c>
      <c r="Q37" s="116">
        <v>13123667</v>
      </c>
      <c r="R37" s="116">
        <v>17525652009</v>
      </c>
      <c r="S37" s="116">
        <v>111741.87</v>
      </c>
      <c r="T37" s="130">
        <f t="shared" ref="T37" si="54">Q37/S37</f>
        <v>117.44628043185604</v>
      </c>
      <c r="U37" s="85">
        <f>Q35+Q36+Q37</f>
        <v>37688795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419365.7</v>
      </c>
      <c r="G38" s="190">
        <f t="shared" ref="G38" si="55">F38/F37-1</f>
        <v>-0.42481147990115875</v>
      </c>
      <c r="H38" s="190">
        <f t="shared" ref="H38" si="56">F38/F26-1</f>
        <v>-0.1852796105185911</v>
      </c>
      <c r="I38" s="130">
        <f t="shared" si="0"/>
        <v>115.13477622313594</v>
      </c>
      <c r="J38" s="130">
        <f t="shared" si="5"/>
        <v>-9.7828326674361588E-2</v>
      </c>
      <c r="K38" s="136"/>
      <c r="L38" s="190"/>
      <c r="M38" s="190"/>
      <c r="N38" s="191"/>
      <c r="O38" s="192"/>
      <c r="P38" s="129" t="s">
        <v>728</v>
      </c>
      <c r="Q38" s="116">
        <v>8387314</v>
      </c>
      <c r="R38" s="116">
        <v>11320869203</v>
      </c>
      <c r="S38" s="116">
        <v>72847.789999999994</v>
      </c>
      <c r="T38" s="130">
        <f t="shared" ref="T38" si="57">Q38/S38</f>
        <v>115.13477622313594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521470.38095238095</v>
      </c>
      <c r="G39" s="190">
        <f t="shared" ref="G39" si="58">F39/F38-1</f>
        <v>0.24347408706143803</v>
      </c>
      <c r="H39" s="190">
        <f t="shared" ref="H39" si="59">F39/F27-1</f>
        <v>0.24378744553877763</v>
      </c>
      <c r="I39" s="130">
        <f t="shared" si="0"/>
        <v>105.2073258778223</v>
      </c>
      <c r="J39" s="130">
        <f t="shared" si="5"/>
        <v>-3.1850485443609577E-2</v>
      </c>
      <c r="K39" s="136"/>
      <c r="L39" s="190"/>
      <c r="M39" s="190"/>
      <c r="N39" s="191"/>
      <c r="O39" s="192"/>
      <c r="P39" s="129" t="s">
        <v>762</v>
      </c>
      <c r="Q39" s="116">
        <v>10950878</v>
      </c>
      <c r="R39" s="116">
        <v>15173528263</v>
      </c>
      <c r="S39" s="116">
        <v>104088.55</v>
      </c>
      <c r="T39" s="130">
        <f t="shared" ref="T39" si="60">Q39/S39</f>
        <v>105.2073258778223</v>
      </c>
      <c r="U39" s="85"/>
    </row>
    <row r="40" spans="1:21" s="79" customFormat="1" ht="13.2" hidden="1">
      <c r="A40" s="129" t="s">
        <v>778</v>
      </c>
      <c r="B40" s="188">
        <f>SUM(F38:F40)</f>
        <v>1514080.3190476191</v>
      </c>
      <c r="C40" s="188">
        <f>AVERAGE(F38:F40)</f>
        <v>504693.43968253973</v>
      </c>
      <c r="D40" s="190">
        <f>C40/C37-1</f>
        <v>-0.1818988078033914</v>
      </c>
      <c r="E40" s="287">
        <f>C40/C28-1</f>
        <v>8.5493090373525593E-2</v>
      </c>
      <c r="F40" s="136">
        <f>Q40/21</f>
        <v>573244.23809523811</v>
      </c>
      <c r="G40" s="190">
        <f t="shared" ref="G40" si="61">F40/F39-1</f>
        <v>9.9284367883561542E-2</v>
      </c>
      <c r="H40" s="190">
        <f t="shared" ref="H40" si="62">F40/F28-1</f>
        <v>0.24392229041490654</v>
      </c>
      <c r="I40" s="130">
        <f t="shared" si="0"/>
        <v>125.15609515504094</v>
      </c>
      <c r="J40" s="130">
        <f t="shared" si="5"/>
        <v>0.12516221271830985</v>
      </c>
      <c r="K40" s="136">
        <f>R38+R39+R40</f>
        <v>43521388522</v>
      </c>
      <c r="L40" s="190">
        <f>U40/U37-1</f>
        <v>-0.16748940898747222</v>
      </c>
      <c r="M40" s="190">
        <f>U40/U28-1</f>
        <v>0.1302878267092249</v>
      </c>
      <c r="N40" s="191">
        <f>AVERAGE(T38:T40)</f>
        <v>115.16606575199972</v>
      </c>
      <c r="O40" s="192">
        <f>N40/N37-1</f>
        <v>2.8076552258238685E-2</v>
      </c>
      <c r="P40" s="129" t="s">
        <v>778</v>
      </c>
      <c r="Q40" s="116">
        <v>12038129</v>
      </c>
      <c r="R40" s="116">
        <v>17026991056</v>
      </c>
      <c r="S40" s="116">
        <v>96184.92</v>
      </c>
      <c r="T40" s="130">
        <f t="shared" ref="T40" si="63">Q40/S40</f>
        <v>125.15609515504094</v>
      </c>
      <c r="U40" s="85">
        <f>Q38+Q39+Q40</f>
        <v>31376321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811975.88888888888</v>
      </c>
      <c r="G41" s="190">
        <f t="shared" ref="G41" si="64">F41/F40-1</f>
        <v>0.41645713105970761</v>
      </c>
      <c r="H41" s="190">
        <f t="shared" ref="H41" si="65">F41/F29-1</f>
        <v>0.36502908915343935</v>
      </c>
      <c r="I41" s="130">
        <f t="shared" si="0"/>
        <v>103.66150308394327</v>
      </c>
      <c r="J41" s="130">
        <f t="shared" si="5"/>
        <v>-0.13497392786812412</v>
      </c>
      <c r="K41" s="193"/>
      <c r="L41" s="190"/>
      <c r="M41" s="190"/>
      <c r="N41" s="193"/>
      <c r="O41" s="193"/>
      <c r="P41" s="129" t="s">
        <v>792</v>
      </c>
      <c r="Q41" s="116">
        <v>14615566</v>
      </c>
      <c r="R41" s="116">
        <v>21395947683</v>
      </c>
      <c r="S41" s="116">
        <v>140993.19</v>
      </c>
      <c r="T41" s="130">
        <f t="shared" ref="T41" si="66">Q41/S41</f>
        <v>103.66150308394327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279155.05</v>
      </c>
      <c r="G42" s="190">
        <f t="shared" ref="G42" si="67">F42/F41-1</f>
        <v>-0.65620278407281663</v>
      </c>
      <c r="H42" s="190">
        <f t="shared" ref="H42" si="68">F42/F30-1</f>
        <v>-0.38649668804311044</v>
      </c>
      <c r="I42" s="130">
        <f t="shared" si="0"/>
        <v>135.79175277640832</v>
      </c>
      <c r="J42" s="130">
        <f t="shared" si="5"/>
        <v>0.12779157555214926</v>
      </c>
      <c r="K42" s="193"/>
      <c r="L42" s="190"/>
      <c r="M42" s="190"/>
      <c r="N42" s="193"/>
      <c r="O42" s="193"/>
      <c r="P42" s="129" t="s">
        <v>826</v>
      </c>
      <c r="Q42" s="116">
        <v>5583101</v>
      </c>
      <c r="R42" s="116">
        <v>8077337588</v>
      </c>
      <c r="S42" s="116">
        <v>41115.17</v>
      </c>
      <c r="T42" s="130">
        <f t="shared" ref="T42" si="69">Q42/S42</f>
        <v>135.79175277640832</v>
      </c>
      <c r="U42" s="78"/>
    </row>
    <row r="43" spans="1:21" s="79" customFormat="1" ht="13.2">
      <c r="A43" s="129" t="s">
        <v>835</v>
      </c>
      <c r="B43" s="188">
        <f>SUM(F41:F43)</f>
        <v>1572854.5888888887</v>
      </c>
      <c r="C43" s="188">
        <f>AVERAGE(F41:F43)</f>
        <v>524284.86296296288</v>
      </c>
      <c r="D43" s="190">
        <f>C43/C40-1</f>
        <v>3.8818462337744108E-2</v>
      </c>
      <c r="E43" s="287">
        <f>C43/C31-1</f>
        <v>-0.1083830878499108</v>
      </c>
      <c r="F43" s="136">
        <f>Q43/20</f>
        <v>481723.65</v>
      </c>
      <c r="G43" s="190">
        <f t="shared" ref="G43" si="70">F43/F42-1</f>
        <v>0.72564906133705986</v>
      </c>
      <c r="H43" s="190">
        <f t="shared" ref="H43" si="71">F43/F31-1</f>
        <v>-0.32549466488552981</v>
      </c>
      <c r="I43" s="130">
        <f t="shared" si="0"/>
        <v>117.08227171718474</v>
      </c>
      <c r="J43" s="130">
        <f t="shared" si="5"/>
        <v>-6.2713846908849291E-2</v>
      </c>
      <c r="K43" s="136">
        <f>R41+R42+R43</f>
        <v>43446527051</v>
      </c>
      <c r="L43" s="190">
        <f>U43/U40-1</f>
        <v>-4.9182981012974691E-2</v>
      </c>
      <c r="M43" s="190">
        <f>K43/K31-1</f>
        <v>-8.9743111491884631E-2</v>
      </c>
      <c r="N43" s="191">
        <f>AVERAGE(T41:T43)</f>
        <v>118.84517585917877</v>
      </c>
      <c r="O43" s="192">
        <f>N43/N40-1</f>
        <v>3.1946129991986538E-2</v>
      </c>
      <c r="P43" s="129" t="s">
        <v>835</v>
      </c>
      <c r="Q43" s="116">
        <v>9634473</v>
      </c>
      <c r="R43" s="116">
        <v>13973241780</v>
      </c>
      <c r="S43" s="116">
        <v>82288.06</v>
      </c>
      <c r="T43" s="130">
        <f t="shared" ref="T43" si="72">Q43/S43</f>
        <v>117.08227171718474</v>
      </c>
      <c r="U43" s="85">
        <f>Q41+Q42+Q43</f>
        <v>29833140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520806.68181818182</v>
      </c>
      <c r="G44" s="190">
        <f t="shared" ref="G44" si="73">F44/F43-1</f>
        <v>8.1131644290625582E-2</v>
      </c>
      <c r="H44" s="190">
        <f t="shared" ref="H44" si="74">F44/F32-1</f>
        <v>-0.31050141527453423</v>
      </c>
      <c r="I44" s="130">
        <f t="shared" si="0"/>
        <v>132.73383995267906</v>
      </c>
      <c r="J44" s="130">
        <f t="shared" si="5"/>
        <v>0.16294386816404516</v>
      </c>
      <c r="K44" s="136"/>
      <c r="L44" s="190"/>
      <c r="M44" s="190"/>
      <c r="N44" s="191"/>
      <c r="O44" s="192"/>
      <c r="P44" s="129" t="s">
        <v>843</v>
      </c>
      <c r="Q44" s="116">
        <v>11457747</v>
      </c>
      <c r="R44" s="116">
        <v>16594873245</v>
      </c>
      <c r="S44" s="116">
        <v>86321.22</v>
      </c>
      <c r="T44" s="130">
        <f t="shared" ref="T44" si="75">Q44/S44</f>
        <v>132.73383995267906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612078.4</v>
      </c>
      <c r="G45" s="190">
        <f t="shared" ref="G45" si="76">F45/F44-1</f>
        <v>0.17525066664502198</v>
      </c>
      <c r="H45" s="190">
        <f t="shared" ref="H45" si="77">F45/F33-1</f>
        <v>-9.2723447525517533E-2</v>
      </c>
      <c r="I45" s="130">
        <f t="shared" si="0"/>
        <v>118.04487946596548</v>
      </c>
      <c r="J45" s="130">
        <f t="shared" si="5"/>
        <v>2.9903992132539026E-2</v>
      </c>
      <c r="K45" s="136"/>
      <c r="L45" s="190"/>
      <c r="M45" s="190"/>
      <c r="N45" s="191"/>
      <c r="O45" s="192"/>
      <c r="P45" s="129" t="s">
        <v>849</v>
      </c>
      <c r="Q45" s="116">
        <v>12241568</v>
      </c>
      <c r="R45" s="116">
        <v>17247854298</v>
      </c>
      <c r="S45" s="116">
        <v>103702.66</v>
      </c>
      <c r="T45" s="130">
        <f t="shared" ref="T45" si="78">Q45/S45</f>
        <v>118.04487946596548</v>
      </c>
      <c r="U45" s="85"/>
    </row>
    <row r="46" spans="1:21" s="79" customFormat="1" ht="13.2">
      <c r="A46" s="129" t="s">
        <v>895</v>
      </c>
      <c r="B46" s="188">
        <f>SUM(F44:F46)</f>
        <v>1693925.7133971292</v>
      </c>
      <c r="C46" s="188">
        <f>AVERAGE(F44:F46)</f>
        <v>564641.9044657097</v>
      </c>
      <c r="D46" s="190">
        <f>C46/C43-1</f>
        <v>7.6975408511074539E-2</v>
      </c>
      <c r="E46" s="287">
        <f>C46/C34-1</f>
        <v>-0.26609724392083822</v>
      </c>
      <c r="F46" s="136">
        <f>Q46/19</f>
        <v>561040.63157894742</v>
      </c>
      <c r="G46" s="190">
        <f t="shared" ref="G46" si="79">F46/F45-1</f>
        <v>-8.3384364521036147E-2</v>
      </c>
      <c r="H46" s="190">
        <f t="shared" ref="H46" si="80">F46/F34-1</f>
        <v>-0.3610980717455462</v>
      </c>
      <c r="I46" s="130">
        <f t="shared" si="0"/>
        <v>128.26713055598975</v>
      </c>
      <c r="J46" s="130">
        <f t="shared" si="5"/>
        <v>0.1320590674634976</v>
      </c>
      <c r="K46" s="136">
        <f>R44+R45+R46</f>
        <v>48442623085</v>
      </c>
      <c r="L46" s="190">
        <f>U46/U43-1</f>
        <v>0.15170870381059443</v>
      </c>
      <c r="M46" s="190">
        <f>K46/K34-1</f>
        <v>-0.24288540723978758</v>
      </c>
      <c r="N46" s="191">
        <f>AVERAGE(T44:T46)</f>
        <v>126.34861665821143</v>
      </c>
      <c r="O46" s="192">
        <f>N46/N43-1</f>
        <v>6.3136267372969179E-2</v>
      </c>
      <c r="P46" s="129" t="s">
        <v>888</v>
      </c>
      <c r="Q46" s="116">
        <v>10659772</v>
      </c>
      <c r="R46" s="116">
        <v>14599895542</v>
      </c>
      <c r="S46" s="116">
        <v>83106.03</v>
      </c>
      <c r="T46" s="130">
        <f t="shared" ref="T46" si="81">Q46/S46</f>
        <v>128.26713055598975</v>
      </c>
      <c r="U46" s="85">
        <f t="shared" ref="U46:U51" si="82">Q44+Q45+Q46</f>
        <v>34359087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528162.21739130432</v>
      </c>
      <c r="G47" s="190">
        <f t="shared" ref="G47" si="83">F47/F46-1</f>
        <v>-5.8602554497902859E-2</v>
      </c>
      <c r="H47" s="190">
        <f t="shared" ref="H47" si="84">F47/F35-1</f>
        <v>4.4988310719376035E-2</v>
      </c>
      <c r="I47" s="130">
        <f t="shared" si="0"/>
        <v>130.92401442955128</v>
      </c>
      <c r="J47" s="130">
        <f t="shared" si="5"/>
        <v>0.15098641973079996</v>
      </c>
      <c r="K47" s="136"/>
      <c r="L47" s="190"/>
      <c r="M47" s="190"/>
      <c r="N47" s="191"/>
      <c r="O47" s="192"/>
      <c r="P47" s="129" t="s">
        <v>991</v>
      </c>
      <c r="Q47" s="116">
        <v>12147731</v>
      </c>
      <c r="R47" s="116">
        <v>16669402100</v>
      </c>
      <c r="S47" s="116">
        <v>92784.59</v>
      </c>
      <c r="T47" s="130">
        <f t="shared" ref="T47" si="85">Q47/S47</f>
        <v>130.92401442955128</v>
      </c>
      <c r="U47" s="85">
        <f t="shared" si="82"/>
        <v>35049071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602270.5</v>
      </c>
      <c r="G48" s="190">
        <f t="shared" ref="G48" si="86">F48/F47-1</f>
        <v>0.14031348735002447</v>
      </c>
      <c r="H48" s="190">
        <f t="shared" ref="H48" si="87">F48/F36-1</f>
        <v>-2.2618703090134584E-2</v>
      </c>
      <c r="I48" s="130">
        <f t="shared" si="0"/>
        <v>135.48821056479619</v>
      </c>
      <c r="J48" s="130">
        <f t="shared" si="5"/>
        <v>0.29200001724061164</v>
      </c>
      <c r="K48" s="136"/>
      <c r="L48" s="190"/>
      <c r="M48" s="190"/>
      <c r="N48" s="191"/>
      <c r="O48" s="192"/>
      <c r="P48" s="129" t="s">
        <v>1070</v>
      </c>
      <c r="Q48" s="116">
        <v>12045410</v>
      </c>
      <c r="R48" s="116">
        <v>16715194179</v>
      </c>
      <c r="S48" s="116">
        <v>88903.75</v>
      </c>
      <c r="T48" s="130">
        <f t="shared" ref="T48" si="88">Q48/S48</f>
        <v>135.48821056479619</v>
      </c>
      <c r="U48" s="85">
        <f t="shared" si="82"/>
        <v>34852913</v>
      </c>
    </row>
    <row r="49" spans="1:26" ht="13.2">
      <c r="A49" s="129" t="s">
        <v>1211</v>
      </c>
      <c r="B49" s="188">
        <f>SUM(F47:F49)</f>
        <v>1812875.6264822134</v>
      </c>
      <c r="C49" s="188">
        <f>AVERAGE(F47:F49)</f>
        <v>604291.87549407117</v>
      </c>
      <c r="D49" s="190">
        <f>C49/C46-1</f>
        <v>7.0221446043541746E-2</v>
      </c>
      <c r="E49" s="287">
        <f>C49/C37-1</f>
        <v>-2.0451099805473882E-2</v>
      </c>
      <c r="F49" s="136">
        <f>Q49/22</f>
        <v>682442.90909090906</v>
      </c>
      <c r="G49" s="190">
        <f t="shared" ref="G49" si="89">F49/F48-1</f>
        <v>0.13311694511172156</v>
      </c>
      <c r="H49" s="190">
        <f t="shared" ref="H49" si="90">F49/F37-1</f>
        <v>-6.3983232458095562E-2</v>
      </c>
      <c r="I49" s="130">
        <f t="shared" si="0"/>
        <v>130.4111722256817</v>
      </c>
      <c r="J49" s="130">
        <f t="shared" si="5"/>
        <v>0.11038997357901059</v>
      </c>
      <c r="K49" s="136">
        <f>R47+R48+R49</f>
        <v>54249304985</v>
      </c>
      <c r="L49" s="190">
        <f>U49/U46-1</f>
        <v>0.14109216580754902</v>
      </c>
      <c r="M49" s="190">
        <f>K49/K37-1</f>
        <v>5.7450729524640698E-2</v>
      </c>
      <c r="N49" s="191">
        <f>AVERAGE(T47:T49)</f>
        <v>132.27446574000973</v>
      </c>
      <c r="O49" s="192">
        <f>N49/N46-1</f>
        <v>4.6900783233966514E-2</v>
      </c>
      <c r="P49" s="129" t="s">
        <v>1158</v>
      </c>
      <c r="Q49" s="116">
        <v>15013744</v>
      </c>
      <c r="R49" s="116">
        <v>20864708706</v>
      </c>
      <c r="S49" s="116">
        <v>115126.21</v>
      </c>
      <c r="T49" s="130">
        <f t="shared" ref="T49" si="91">Q49/S49</f>
        <v>130.4111722256817</v>
      </c>
      <c r="U49" s="85">
        <f t="shared" si="82"/>
        <v>39206885</v>
      </c>
      <c r="V49" s="79"/>
      <c r="W49" s="79"/>
      <c r="X49" s="79"/>
      <c r="Y49" s="79"/>
      <c r="Z49" s="79"/>
    </row>
    <row r="50" spans="1:26" ht="13.2">
      <c r="A50" s="129" t="s">
        <v>1297</v>
      </c>
      <c r="B50" s="188"/>
      <c r="C50" s="188"/>
      <c r="D50" s="190"/>
      <c r="E50" s="287"/>
      <c r="F50" s="136">
        <f>Q50/18</f>
        <v>733991.88888888888</v>
      </c>
      <c r="G50" s="190">
        <f t="shared" ref="G50" si="92">F50/F49-1</f>
        <v>7.5535959288739463E-2</v>
      </c>
      <c r="H50" s="190">
        <f t="shared" ref="H50" si="93">F50/F38-1</f>
        <v>0.75024301913315483</v>
      </c>
      <c r="I50" s="130">
        <f t="shared" ref="I50" si="94">T50</f>
        <v>122.84313403708263</v>
      </c>
      <c r="J50" s="130">
        <f t="shared" ref="J50" si="95">I50/I38-1</f>
        <v>6.6950734320337491E-2</v>
      </c>
      <c r="K50" s="136"/>
      <c r="L50" s="190"/>
      <c r="M50" s="190"/>
      <c r="N50" s="191"/>
      <c r="O50" s="192"/>
      <c r="P50" s="129" t="s">
        <v>1291</v>
      </c>
      <c r="Q50" s="116">
        <v>13211854</v>
      </c>
      <c r="R50" s="116">
        <v>18645415105</v>
      </c>
      <c r="S50" s="116">
        <v>107550.61</v>
      </c>
      <c r="T50" s="130">
        <f t="shared" ref="T50" si="96">Q50/S50</f>
        <v>122.84313403708263</v>
      </c>
      <c r="U50" s="85">
        <f t="shared" si="82"/>
        <v>40271008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667927.4</v>
      </c>
      <c r="G51" s="190">
        <f t="shared" ref="G51:G52" si="97">F51/F50-1</f>
        <v>-9.000711028141839E-2</v>
      </c>
      <c r="H51" s="190">
        <f t="shared" ref="H51:H52" si="98">F51/F39-1</f>
        <v>0.28085395527189694</v>
      </c>
      <c r="I51" s="130">
        <f t="shared" ref="I51:I52" si="99">T51</f>
        <v>102.65525624760865</v>
      </c>
      <c r="J51" s="130">
        <f t="shared" ref="J51:J52" si="100">I51/I39-1</f>
        <v>-2.4257527780692567E-2</v>
      </c>
      <c r="K51" s="136"/>
      <c r="L51" s="190"/>
      <c r="M51" s="190"/>
      <c r="N51" s="191"/>
      <c r="O51" s="192"/>
      <c r="P51" s="129" t="s">
        <v>1402</v>
      </c>
      <c r="Q51" s="116">
        <v>13358548</v>
      </c>
      <c r="R51" s="116">
        <v>19380128115</v>
      </c>
      <c r="S51" s="116">
        <v>130130.19</v>
      </c>
      <c r="T51" s="130">
        <f t="shared" ref="T51:T52" si="101">Q51/S51</f>
        <v>102.65525624760865</v>
      </c>
      <c r="U51" s="85">
        <f t="shared" si="82"/>
        <v>41584146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2065869.1525252527</v>
      </c>
      <c r="C52" s="188">
        <f>AVERAGE(F50:F52)</f>
        <v>688623.05084175093</v>
      </c>
      <c r="D52" s="190">
        <f>C52/C49-1</f>
        <v>0.13955371364000269</v>
      </c>
      <c r="E52" s="287">
        <f>C52/C40-1</f>
        <v>0.36443828410947021</v>
      </c>
      <c r="F52" s="136">
        <f>Q52/22</f>
        <v>663949.86363636365</v>
      </c>
      <c r="G52" s="190">
        <f t="shared" si="97"/>
        <v>-5.9550429637058588E-3</v>
      </c>
      <c r="H52" s="190">
        <f t="shared" si="98"/>
        <v>0.15823207546319162</v>
      </c>
      <c r="I52" s="130">
        <f t="shared" si="99"/>
        <v>111.62488059484781</v>
      </c>
      <c r="J52" s="130">
        <f t="shared" si="100"/>
        <v>-0.10811470702590176</v>
      </c>
      <c r="K52" s="136">
        <f>R50+R51+R52</f>
        <v>59507357085</v>
      </c>
      <c r="L52" s="190">
        <f>U52/U49-1</f>
        <v>5.0256836267405625E-2</v>
      </c>
      <c r="M52" s="190">
        <f>K52/K40-1</f>
        <v>0.36731292603219945</v>
      </c>
      <c r="N52" s="191">
        <f>AVERAGE(T50:T52)</f>
        <v>112.37442362651302</v>
      </c>
      <c r="O52" s="192">
        <f>N52/N49-1</f>
        <v>-0.15044507647160688</v>
      </c>
      <c r="P52" s="129" t="s">
        <v>1403</v>
      </c>
      <c r="Q52" s="116">
        <v>14606897</v>
      </c>
      <c r="R52" s="116">
        <v>21481813865</v>
      </c>
      <c r="S52" s="116">
        <v>130857</v>
      </c>
      <c r="T52" s="130">
        <f t="shared" si="101"/>
        <v>111.62488059484781</v>
      </c>
      <c r="U52" s="85">
        <f t="shared" ref="U52" si="102">Q50+Q51+Q52</f>
        <v>41177299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748748.90476190473</v>
      </c>
      <c r="G53" s="190">
        <f t="shared" ref="G53" si="103">F53/F52-1</f>
        <v>0.12771904291252989</v>
      </c>
      <c r="H53" s="190">
        <f t="shared" ref="H53" si="104">F53/F41-1</f>
        <v>-7.7868056172830658E-2</v>
      </c>
      <c r="I53" s="130">
        <f t="shared" ref="I53" si="105">T53</f>
        <v>122.30979889318756</v>
      </c>
      <c r="J53" s="130">
        <f t="shared" ref="J53" si="106">I53/I41-1</f>
        <v>0.17989605836742717</v>
      </c>
      <c r="K53" s="136"/>
      <c r="L53" s="190"/>
      <c r="M53" s="190"/>
      <c r="N53" s="191"/>
      <c r="O53" s="192"/>
      <c r="P53" s="129" t="s">
        <v>1414</v>
      </c>
      <c r="Q53" s="116">
        <v>15723727</v>
      </c>
      <c r="R53" s="116">
        <v>22989627328</v>
      </c>
      <c r="S53" s="116">
        <v>128556.56</v>
      </c>
      <c r="T53" s="130">
        <f t="shared" ref="T53" si="107">Q53/S53</f>
        <v>122.30979889318756</v>
      </c>
      <c r="U53" s="85">
        <f t="shared" ref="U53" si="108">Q51+Q52+Q53</f>
        <v>43689172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549967.76470588241</v>
      </c>
      <c r="G54" s="190">
        <f t="shared" ref="G54" si="109">F54/F53-1</f>
        <v>-0.26548438173573408</v>
      </c>
      <c r="H54" s="190">
        <f t="shared" ref="H54" si="110">F54/F42-1</f>
        <v>0.97011576436063907</v>
      </c>
      <c r="I54" s="130">
        <f t="shared" ref="I54" si="111">T54</f>
        <v>97.982572542269651</v>
      </c>
      <c r="J54" s="130">
        <f t="shared" ref="J54" si="112">I54/I42-1</f>
        <v>-0.2784350261417895</v>
      </c>
      <c r="K54" s="136"/>
      <c r="L54" s="190"/>
      <c r="M54" s="190"/>
      <c r="N54" s="191"/>
      <c r="O54" s="192"/>
      <c r="P54" s="129" t="s">
        <v>1417</v>
      </c>
      <c r="Q54" s="116">
        <v>9349452</v>
      </c>
      <c r="R54" s="116">
        <v>13547121779</v>
      </c>
      <c r="S54" s="116">
        <v>95419.54</v>
      </c>
      <c r="T54" s="130">
        <f t="shared" ref="T54" si="113">Q54/S54</f>
        <v>97.982572542269651</v>
      </c>
      <c r="U54" s="85">
        <f t="shared" ref="U54" si="114">Q52+Q53+Q54</f>
        <v>39680076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1801615.0980392159</v>
      </c>
      <c r="C55" s="188">
        <f>AVERAGE(F53:F55)</f>
        <v>600538.36601307197</v>
      </c>
      <c r="D55" s="190">
        <f>C55/C52-1</f>
        <v>-0.12791422639861827</v>
      </c>
      <c r="E55" s="287">
        <f>C55/C43-1</f>
        <v>0.14544288503613712</v>
      </c>
      <c r="F55" s="136">
        <f>Q55/21</f>
        <v>502898.42857142858</v>
      </c>
      <c r="G55" s="190">
        <f t="shared" ref="G55" si="115">F55/F54-1</f>
        <v>-8.5585627295130751E-2</v>
      </c>
      <c r="H55" s="190">
        <f t="shared" ref="H55" si="116">F55/F43-1</f>
        <v>4.395627777757749E-2</v>
      </c>
      <c r="I55" s="130">
        <f>T55</f>
        <v>94.006751551829694</v>
      </c>
      <c r="J55" s="130">
        <f t="shared" ref="J55" si="117">I55/I43-1</f>
        <v>-0.19708808026115654</v>
      </c>
      <c r="K55" s="136">
        <f>R53+R54+R55</f>
        <v>52149096143</v>
      </c>
      <c r="L55" s="190">
        <f>U55/U52-1</f>
        <v>-0.13461915022643911</v>
      </c>
      <c r="M55" s="190">
        <f>K55/K43-1</f>
        <v>0.20030528750397991</v>
      </c>
      <c r="N55" s="191">
        <f>AVERAGE(T53:T55)</f>
        <v>104.76637432909563</v>
      </c>
      <c r="O55" s="192">
        <f>N55/N52-1</f>
        <v>-6.770267692498666E-2</v>
      </c>
      <c r="P55" s="129" t="s">
        <v>1418</v>
      </c>
      <c r="Q55" s="116">
        <v>10560867</v>
      </c>
      <c r="R55" s="116">
        <v>15612347036</v>
      </c>
      <c r="S55" s="116">
        <v>112341.58</v>
      </c>
      <c r="T55" s="130">
        <f t="shared" ref="T55" si="118">Q55/S55</f>
        <v>94.006751551829694</v>
      </c>
      <c r="U55" s="85">
        <f t="shared" ref="U55" si="119">Q53+Q54+Q55</f>
        <v>35634046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625703.22727272729</v>
      </c>
      <c r="G56" s="190">
        <f t="shared" ref="G56" si="120">F56/F55-1</f>
        <v>0.24419403944082174</v>
      </c>
      <c r="H56" s="190">
        <f t="shared" ref="H56" si="121">F56/F44-1</f>
        <v>0.20141167369117152</v>
      </c>
      <c r="I56" s="291">
        <f>T56</f>
        <v>97.90284557881894</v>
      </c>
      <c r="J56" s="130">
        <f t="shared" ref="J56" si="122">I56/I44-1</f>
        <v>-0.26241231615296989</v>
      </c>
      <c r="K56" s="136"/>
      <c r="L56" s="190"/>
      <c r="M56" s="190"/>
      <c r="N56" s="191"/>
      <c r="O56" s="192"/>
      <c r="P56" s="129" t="s">
        <v>1420</v>
      </c>
      <c r="Q56" s="116">
        <v>13765471</v>
      </c>
      <c r="R56" s="116">
        <v>20497793795</v>
      </c>
      <c r="S56" s="116">
        <v>140603.38</v>
      </c>
      <c r="T56" s="130">
        <f t="shared" ref="T56" si="123">Q56/S56</f>
        <v>97.90284557881894</v>
      </c>
      <c r="U56" s="85">
        <f t="shared" ref="U56" si="124">Q54+Q55+Q56</f>
        <v>33675790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451984.75</v>
      </c>
      <c r="G57" s="254">
        <f t="shared" ref="G57" si="125">F57/F56-1</f>
        <v>-0.27763717638139662</v>
      </c>
      <c r="H57" s="254">
        <f t="shared" ref="H57" si="126">F57/F45-1</f>
        <v>-0.26155742466978094</v>
      </c>
      <c r="I57" s="282">
        <f>T57</f>
        <v>99.618282334790436</v>
      </c>
      <c r="J57" s="277">
        <f t="shared" ref="J57" si="127">I57/I45-1</f>
        <v>-0.15609823326972661</v>
      </c>
      <c r="K57" s="204"/>
      <c r="L57" s="254"/>
      <c r="M57" s="254"/>
      <c r="N57" s="257"/>
      <c r="O57" s="258"/>
      <c r="P57" s="129" t="s">
        <v>1436</v>
      </c>
      <c r="Q57" s="116">
        <v>5423817</v>
      </c>
      <c r="R57" s="116">
        <v>8000125524</v>
      </c>
      <c r="S57" s="116">
        <v>54446</v>
      </c>
      <c r="T57" s="130">
        <f t="shared" ref="T57" si="128">Q57/S57</f>
        <v>99.618282334790436</v>
      </c>
      <c r="U57" s="85">
        <f t="shared" ref="U57" si="129">Q55+Q56+Q57</f>
        <v>29750155</v>
      </c>
      <c r="V57" s="79"/>
      <c r="W57" s="79"/>
      <c r="X57" s="79"/>
      <c r="Y57" s="79"/>
      <c r="Z57" s="79"/>
    </row>
    <row r="58" spans="1:26">
      <c r="B58" s="196">
        <f>SUM(F56:F58)</f>
        <v>1077687.9772727273</v>
      </c>
      <c r="C58" s="196">
        <f>AVERAGE(F56:F58)</f>
        <v>538843.98863636365</v>
      </c>
      <c r="D58" s="197">
        <f>C58/C55-1</f>
        <v>-0.10273178346005196</v>
      </c>
      <c r="E58" s="233">
        <f>C58/C46-1</f>
        <v>-4.5688985577075125E-2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54823334</v>
      </c>
      <c r="R67" s="212">
        <v>80647015462</v>
      </c>
      <c r="S67" s="213">
        <v>531367.07999999996</v>
      </c>
      <c r="T67" s="214">
        <v>82</v>
      </c>
      <c r="U67" s="214">
        <v>187</v>
      </c>
    </row>
    <row r="68" spans="16:21" ht="18" thickBot="1">
      <c r="P68" s="180" t="s">
        <v>976</v>
      </c>
      <c r="Q68" s="181">
        <v>15723727</v>
      </c>
      <c r="R68" s="181">
        <v>22989627328</v>
      </c>
      <c r="S68" s="182">
        <v>128556.56</v>
      </c>
      <c r="T68" s="210">
        <v>38</v>
      </c>
      <c r="U68" s="210">
        <v>81</v>
      </c>
    </row>
    <row r="69" spans="16:21" ht="18" thickBot="1">
      <c r="P69" s="180" t="s">
        <v>977</v>
      </c>
      <c r="Q69" s="181">
        <v>9349452</v>
      </c>
      <c r="R69" s="181">
        <v>13547121779</v>
      </c>
      <c r="S69" s="182">
        <v>95419.54</v>
      </c>
      <c r="T69" s="210">
        <v>38</v>
      </c>
      <c r="U69" s="210">
        <v>86</v>
      </c>
    </row>
    <row r="70" spans="16:21" ht="18" thickBot="1">
      <c r="P70" s="180" t="s">
        <v>978</v>
      </c>
      <c r="Q70" s="181">
        <v>10560867</v>
      </c>
      <c r="R70" s="181">
        <v>15612347036</v>
      </c>
      <c r="S70" s="182">
        <v>112341.58</v>
      </c>
      <c r="T70" s="210">
        <v>41</v>
      </c>
      <c r="U70" s="210">
        <v>95</v>
      </c>
    </row>
    <row r="71" spans="16:21" ht="18" thickBot="1">
      <c r="P71" s="180" t="s">
        <v>979</v>
      </c>
      <c r="Q71" s="181">
        <v>13765471</v>
      </c>
      <c r="R71" s="181">
        <v>20497793795</v>
      </c>
      <c r="S71" s="182">
        <v>140603.38</v>
      </c>
      <c r="T71" s="210">
        <v>42</v>
      </c>
      <c r="U71" s="210">
        <v>81</v>
      </c>
    </row>
    <row r="72" spans="16:21" ht="18" thickBot="1">
      <c r="P72" s="180" t="s">
        <v>980</v>
      </c>
      <c r="Q72" s="181">
        <v>5423817</v>
      </c>
      <c r="R72" s="181">
        <v>8000125524</v>
      </c>
      <c r="S72" s="182">
        <v>54446</v>
      </c>
      <c r="T72" s="210">
        <v>25</v>
      </c>
      <c r="U72" s="210">
        <v>27</v>
      </c>
    </row>
    <row r="73" spans="16:21" ht="18" thickBot="1">
      <c r="P73" s="180" t="s">
        <v>975</v>
      </c>
      <c r="Q73" s="181">
        <v>144576411</v>
      </c>
      <c r="R73" s="181">
        <v>205645812204</v>
      </c>
      <c r="S73" s="182">
        <v>1203177.48</v>
      </c>
      <c r="T73" s="210">
        <v>133</v>
      </c>
      <c r="U73" s="210">
        <v>434</v>
      </c>
    </row>
    <row r="74" spans="16:21" ht="18" thickBot="1">
      <c r="P74" s="215" t="s">
        <v>982</v>
      </c>
      <c r="Q74" s="216">
        <v>151794702</v>
      </c>
      <c r="R74" s="216">
        <v>206536531781</v>
      </c>
      <c r="S74" s="272">
        <v>1315644.23</v>
      </c>
      <c r="T74" s="217">
        <v>123</v>
      </c>
      <c r="U74" s="217">
        <v>407</v>
      </c>
    </row>
    <row r="75" spans="16:21" ht="18" thickBot="1">
      <c r="P75" s="180" t="s">
        <v>1386</v>
      </c>
      <c r="Q75" s="181">
        <v>172510239</v>
      </c>
      <c r="R75" s="210"/>
      <c r="S75"/>
      <c r="T75"/>
      <c r="U75"/>
    </row>
  </sheetData>
  <phoneticPr fontId="1" type="noConversion"/>
  <conditionalFormatting sqref="C29:C30">
    <cfRule type="cellIs" dxfId="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83"/>
  <dimension ref="A1:Z70"/>
  <sheetViews>
    <sheetView zoomScale="90" zoomScaleNormal="9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2106909099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1952863.7</v>
      </c>
      <c r="G5" s="90"/>
      <c r="H5" s="90"/>
      <c r="I5" s="130">
        <f t="shared" ref="I5:I49" si="0">T5</f>
        <v>3.9156130974842478</v>
      </c>
      <c r="J5" s="130"/>
      <c r="L5" s="80"/>
      <c r="M5" s="80"/>
      <c r="P5" s="129" t="s">
        <v>0</v>
      </c>
      <c r="Q5" s="116">
        <v>39057274</v>
      </c>
      <c r="R5" s="116">
        <v>46078537842</v>
      </c>
      <c r="S5" s="116">
        <v>9974753.1300000008</v>
      </c>
      <c r="T5" s="130">
        <f t="shared" ref="T5:T17" si="1">Q5/S5</f>
        <v>3.9156130974842478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16" si="2">F6/F5-1</f>
        <v>0.10847299105752573</v>
      </c>
      <c r="H6" s="90"/>
      <c r="I6" s="130">
        <f t="shared" si="0"/>
        <v>4.0200572324038308</v>
      </c>
      <c r="J6" s="130"/>
      <c r="P6" s="129" t="s">
        <v>1</v>
      </c>
      <c r="Q6" s="116">
        <v>38964540</v>
      </c>
      <c r="R6" s="116">
        <v>46306020465</v>
      </c>
      <c r="S6" s="116">
        <v>9692533.6500000004</v>
      </c>
      <c r="T6" s="130">
        <f t="shared" si="1"/>
        <v>4.0200572324038308</v>
      </c>
      <c r="U6" s="85"/>
    </row>
    <row r="7" spans="1:21" ht="15" hidden="1" customHeight="1">
      <c r="A7" s="129" t="s">
        <v>2</v>
      </c>
      <c r="B7" s="131">
        <f>F5+F6+F7</f>
        <v>6371762.4575757571</v>
      </c>
      <c r="C7" s="131">
        <f>AVERAGE(F5:F7)</f>
        <v>2123920.8191919192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4.0769281036026834</v>
      </c>
      <c r="J7" s="130"/>
      <c r="K7" s="79">
        <f>R5+R6+R7</f>
        <v>152150422971</v>
      </c>
      <c r="N7" s="88">
        <f>AVERAGE(T5:T7)</f>
        <v>4.0041994778302543</v>
      </c>
      <c r="P7" s="129" t="s">
        <v>2</v>
      </c>
      <c r="Q7" s="116">
        <v>49592446</v>
      </c>
      <c r="R7" s="116">
        <v>59765864664</v>
      </c>
      <c r="S7" s="116">
        <v>12164169.869999999</v>
      </c>
      <c r="T7" s="130">
        <f t="shared" si="1"/>
        <v>4.0769281036026834</v>
      </c>
      <c r="U7" s="85">
        <f>Q5+Q6+Q7</f>
        <v>127614260</v>
      </c>
    </row>
    <row r="8" spans="1:21" ht="15" hidden="1" customHeight="1">
      <c r="A8" s="129" t="s">
        <v>3</v>
      </c>
      <c r="C8" s="79"/>
      <c r="F8" s="78">
        <f>Q8/21</f>
        <v>2217561.5714285714</v>
      </c>
      <c r="G8" s="90">
        <f t="shared" si="2"/>
        <v>-1.625431882451267E-2</v>
      </c>
      <c r="H8" s="90"/>
      <c r="I8" s="130">
        <f t="shared" si="0"/>
        <v>4.0679062311972665</v>
      </c>
      <c r="J8" s="130"/>
      <c r="K8" s="78"/>
      <c r="P8" s="129" t="s">
        <v>3</v>
      </c>
      <c r="Q8" s="116">
        <v>46568793</v>
      </c>
      <c r="R8" s="116">
        <v>56478945866</v>
      </c>
      <c r="S8" s="116">
        <v>11447853.109999999</v>
      </c>
      <c r="T8" s="130">
        <f t="shared" si="1"/>
        <v>4.0679062311972665</v>
      </c>
      <c r="U8" s="85"/>
    </row>
    <row r="9" spans="1:21" ht="15" hidden="1" customHeight="1">
      <c r="A9" s="129" t="s">
        <v>4</v>
      </c>
      <c r="C9" s="79"/>
      <c r="F9" s="78">
        <f>Q9/21</f>
        <v>2088214.4761904762</v>
      </c>
      <c r="G9" s="90">
        <f t="shared" si="2"/>
        <v>-5.8328524855690289E-2</v>
      </c>
      <c r="H9" s="90"/>
      <c r="I9" s="130">
        <f t="shared" si="0"/>
        <v>3.8931614845860736</v>
      </c>
      <c r="J9" s="130"/>
      <c r="K9" s="78"/>
      <c r="P9" s="129" t="s">
        <v>4</v>
      </c>
      <c r="Q9" s="116">
        <v>43852504</v>
      </c>
      <c r="R9" s="116">
        <v>55148435017</v>
      </c>
      <c r="S9" s="116">
        <v>11263982.800000001</v>
      </c>
      <c r="T9" s="130">
        <f t="shared" si="1"/>
        <v>3.8931614845860736</v>
      </c>
      <c r="U9" s="85"/>
    </row>
    <row r="10" spans="1:21" ht="15" hidden="1" customHeight="1">
      <c r="A10" s="129" t="s">
        <v>5</v>
      </c>
      <c r="B10" s="131">
        <f>F8+F9+F10</f>
        <v>6421893.3809523806</v>
      </c>
      <c r="C10" s="131">
        <f>AVERAGE(F8:F10)</f>
        <v>2140631.1269841269</v>
      </c>
      <c r="D10" s="90">
        <f>C10/C7-1</f>
        <v>7.8676698496535913E-3</v>
      </c>
      <c r="E10" s="286"/>
      <c r="F10" s="78">
        <f>Q10/21</f>
        <v>2116117.3333333335</v>
      </c>
      <c r="G10" s="90">
        <f t="shared" si="2"/>
        <v>1.3362064797941775E-2</v>
      </c>
      <c r="H10" s="90"/>
      <c r="I10" s="130">
        <f t="shared" si="0"/>
        <v>4.1018610486842046</v>
      </c>
      <c r="J10" s="130"/>
      <c r="K10" s="79">
        <f>R8+R9+R10</f>
        <v>167562912184</v>
      </c>
      <c r="L10" s="87">
        <f>U10/U7-1</f>
        <v>5.6776578103418851E-2</v>
      </c>
      <c r="N10" s="88">
        <f>AVERAGE(T8:T10)</f>
        <v>4.0209762548225152</v>
      </c>
      <c r="O10" s="89">
        <f>N10/N7-1</f>
        <v>4.1897955097260908E-3</v>
      </c>
      <c r="P10" s="129" t="s">
        <v>5</v>
      </c>
      <c r="Q10" s="116">
        <v>44438464</v>
      </c>
      <c r="R10" s="116">
        <v>55935531301</v>
      </c>
      <c r="S10" s="116">
        <v>10833732.17</v>
      </c>
      <c r="T10" s="130">
        <f t="shared" si="1"/>
        <v>4.1018610486842046</v>
      </c>
      <c r="U10" s="85">
        <f>Q8+Q9+Q10</f>
        <v>134859761</v>
      </c>
    </row>
    <row r="11" spans="1:21" ht="15" hidden="1" customHeight="1">
      <c r="A11" s="129" t="s">
        <v>6</v>
      </c>
      <c r="C11" s="79"/>
      <c r="F11" s="78">
        <f>Q11/21</f>
        <v>2062430.5238095238</v>
      </c>
      <c r="G11" s="90">
        <f t="shared" si="2"/>
        <v>-2.5370431345241862E-2</v>
      </c>
      <c r="H11" s="90"/>
      <c r="I11" s="130">
        <f t="shared" si="0"/>
        <v>3.8603041917714811</v>
      </c>
      <c r="J11" s="130"/>
      <c r="K11" s="78"/>
      <c r="O11" s="89"/>
      <c r="P11" s="129" t="s">
        <v>6</v>
      </c>
      <c r="Q11" s="116">
        <v>43311041</v>
      </c>
      <c r="R11" s="116">
        <v>55932871805</v>
      </c>
      <c r="S11" s="116">
        <v>11219592.77</v>
      </c>
      <c r="T11" s="130">
        <f t="shared" si="1"/>
        <v>3.8603041917714811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-6.4907608452752119E-2</v>
      </c>
      <c r="H12" s="90"/>
      <c r="I12" s="130">
        <f t="shared" si="0"/>
        <v>3.635416851323741</v>
      </c>
      <c r="J12" s="130"/>
      <c r="K12" s="78"/>
      <c r="O12" s="89"/>
      <c r="P12" s="129" t="s">
        <v>7</v>
      </c>
      <c r="Q12" s="116">
        <v>42428388</v>
      </c>
      <c r="R12" s="116">
        <v>55135676312</v>
      </c>
      <c r="S12" s="116">
        <v>11670845.390000001</v>
      </c>
      <c r="T12" s="130">
        <f t="shared" si="1"/>
        <v>3.635416851323741</v>
      </c>
      <c r="U12" s="85"/>
    </row>
    <row r="13" spans="1:21" ht="15" hidden="1" customHeight="1">
      <c r="A13" s="129" t="s">
        <v>96</v>
      </c>
      <c r="B13" s="131">
        <f>F11+F12+F13</f>
        <v>6220433.8147186153</v>
      </c>
      <c r="C13" s="131">
        <f>AVERAGE(F11:F13)</f>
        <v>2073477.9382395383</v>
      </c>
      <c r="D13" s="90">
        <f>C13/C10-1</f>
        <v>-3.1370742907582905E-2</v>
      </c>
      <c r="E13" s="286"/>
      <c r="F13" s="78">
        <f>Q13/20</f>
        <v>2229440.2000000002</v>
      </c>
      <c r="G13" s="90">
        <f t="shared" si="2"/>
        <v>0.15601102733386907</v>
      </c>
      <c r="H13" s="90"/>
      <c r="I13" s="130">
        <f t="shared" si="0"/>
        <v>4.0840730349155185</v>
      </c>
      <c r="J13" s="130"/>
      <c r="K13" s="78">
        <f>R11+R12+R13</f>
        <v>171798084987</v>
      </c>
      <c r="L13" s="87">
        <f>U13/U10-1</f>
        <v>-3.3601779851886282E-2</v>
      </c>
      <c r="N13" s="88">
        <f>AVERAGE(T11:T13)</f>
        <v>3.8599313593369136</v>
      </c>
      <c r="O13" s="89">
        <f>N13/N10-1</f>
        <v>-4.0051192864532403E-2</v>
      </c>
      <c r="P13" s="129" t="s">
        <v>96</v>
      </c>
      <c r="Q13" s="116">
        <v>44588804</v>
      </c>
      <c r="R13" s="116">
        <v>60729536870</v>
      </c>
      <c r="S13" s="116">
        <v>10917729.34</v>
      </c>
      <c r="T13" s="130">
        <f t="shared" si="1"/>
        <v>4.0840730349155185</v>
      </c>
      <c r="U13" s="85">
        <f>Q11+Q12+Q13</f>
        <v>130328233</v>
      </c>
    </row>
    <row r="14" spans="1:21" ht="15" hidden="1" customHeight="1">
      <c r="A14" s="129" t="s">
        <v>97</v>
      </c>
      <c r="C14" s="79"/>
      <c r="F14" s="78">
        <f>Q14/20</f>
        <v>1875096.1</v>
      </c>
      <c r="G14" s="90">
        <f t="shared" si="2"/>
        <v>-0.15893859812880384</v>
      </c>
      <c r="H14" s="90"/>
      <c r="I14" s="130">
        <f t="shared" si="0"/>
        <v>3.5217739494194116</v>
      </c>
      <c r="J14" s="130"/>
      <c r="O14" s="89"/>
      <c r="P14" s="129" t="s">
        <v>97</v>
      </c>
      <c r="Q14" s="116">
        <v>37501922</v>
      </c>
      <c r="R14" s="116">
        <v>53476089330</v>
      </c>
      <c r="S14" s="116">
        <v>10648588.619999999</v>
      </c>
      <c r="T14" s="130">
        <f t="shared" si="1"/>
        <v>3.5217739494194116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1940209</v>
      </c>
      <c r="G15" s="90">
        <f t="shared" si="2"/>
        <v>3.4725100222863237E-2</v>
      </c>
      <c r="H15" s="90"/>
      <c r="I15" s="130">
        <f t="shared" si="0"/>
        <v>3.6117445823756804</v>
      </c>
      <c r="J15" s="130"/>
      <c r="O15" s="89"/>
      <c r="P15" s="129" t="s">
        <v>98</v>
      </c>
      <c r="Q15" s="116">
        <v>42684598</v>
      </c>
      <c r="R15" s="116">
        <v>59211929718</v>
      </c>
      <c r="S15" s="116">
        <v>11818277.02</v>
      </c>
      <c r="T15" s="130">
        <f t="shared" si="1"/>
        <v>3.6117445823756804</v>
      </c>
      <c r="U15" s="78"/>
    </row>
    <row r="16" spans="1:21" ht="15" hidden="1" customHeight="1">
      <c r="A16" s="129" t="s">
        <v>99</v>
      </c>
      <c r="B16" s="131">
        <f>F14+F15+F16</f>
        <v>6068144.1454545455</v>
      </c>
      <c r="C16" s="131">
        <f>AVERAGE(F14:F16)</f>
        <v>2022714.7151515151</v>
      </c>
      <c r="D16" s="90">
        <f>C16/C13-1</f>
        <v>-2.4482162144982E-2</v>
      </c>
      <c r="E16" s="286"/>
      <c r="F16" s="78">
        <f>Q16/22</f>
        <v>2252839.0454545454</v>
      </c>
      <c r="G16" s="90">
        <f t="shared" si="2"/>
        <v>0.16113214888424165</v>
      </c>
      <c r="H16" s="90"/>
      <c r="I16" s="130">
        <f t="shared" si="0"/>
        <v>3.9295702546582141</v>
      </c>
      <c r="J16" s="130"/>
      <c r="K16" s="78">
        <f>R14+R15+R16</f>
        <v>177646020259</v>
      </c>
      <c r="L16" s="87">
        <f>U16/U13-1</f>
        <v>-4.4445780217092778E-3</v>
      </c>
      <c r="N16" s="88">
        <f>AVERAGE(T14:T16)</f>
        <v>3.687696262151102</v>
      </c>
      <c r="O16" s="89">
        <f>N16/N13-1</f>
        <v>-4.4621284979378339E-2</v>
      </c>
      <c r="P16" s="129" t="s">
        <v>99</v>
      </c>
      <c r="Q16" s="116">
        <v>49562459</v>
      </c>
      <c r="R16" s="116">
        <v>64958001211</v>
      </c>
      <c r="S16" s="116">
        <v>12612691.92</v>
      </c>
      <c r="T16" s="130">
        <f t="shared" si="1"/>
        <v>3.9295702546582141</v>
      </c>
      <c r="U16" s="85">
        <f>Q14+Q15+Q16</f>
        <v>129748979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ref="G17:G22" si="3">F17/F16-1</f>
        <v>8.5184312586266131E-3</v>
      </c>
      <c r="H17" s="90">
        <f t="shared" ref="H17:H22" si="4">F17/F5-1</f>
        <v>0.1634348572304356</v>
      </c>
      <c r="I17" s="130">
        <f t="shared" si="0"/>
        <v>4.1540985421314094</v>
      </c>
      <c r="J17" s="130">
        <f t="shared" ref="J17:J49" si="5">I17/I5-1</f>
        <v>6.09062843314081E-2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idden="1">
      <c r="A18" s="129" t="s">
        <v>106</v>
      </c>
      <c r="C18" s="79"/>
      <c r="F18" s="78">
        <f>Q18/20</f>
        <v>2361309.7000000002</v>
      </c>
      <c r="G18" s="90">
        <f t="shared" si="3"/>
        <v>3.9295260973041035E-2</v>
      </c>
      <c r="H18" s="90">
        <f t="shared" si="4"/>
        <v>9.0827059680417266E-2</v>
      </c>
      <c r="I18" s="130">
        <f t="shared" si="0"/>
        <v>4.3934165504868004</v>
      </c>
      <c r="J18" s="130">
        <f t="shared" si="5"/>
        <v>9.2874130018222534E-2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ref="T18" si="6">Q18/S18</f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0.20870212413723221</v>
      </c>
      <c r="E19" s="286">
        <f>C19/C7-1</f>
        <v>0.15110674119078515</v>
      </c>
      <c r="F19" s="78">
        <f>Q19/22</f>
        <v>2701239.3181818184</v>
      </c>
      <c r="G19" s="90">
        <f t="shared" si="3"/>
        <v>0.14395808316961478</v>
      </c>
      <c r="H19" s="90">
        <f t="shared" si="4"/>
        <v>0.19831284385529213</v>
      </c>
      <c r="I19" s="130">
        <f t="shared" si="0"/>
        <v>4.3078228447632068</v>
      </c>
      <c r="J19" s="130">
        <f t="shared" si="5"/>
        <v>5.6634489324569381E-2</v>
      </c>
      <c r="K19" s="78">
        <f>R17+R18+R19</f>
        <v>193958257502</v>
      </c>
      <c r="L19" s="87">
        <f>U19/U16-1</f>
        <v>0.17221772511982536</v>
      </c>
      <c r="M19" s="87">
        <f>U19/U7-1</f>
        <v>0.19182646986316421</v>
      </c>
      <c r="N19" s="88">
        <f>AVERAGE(T17:T19)</f>
        <v>4.2851126457938049</v>
      </c>
      <c r="O19" s="89">
        <f>N19/N16-1</f>
        <v>0.16200260031562874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ref="T19" si="7">Q19/S19</f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2305259.1</v>
      </c>
      <c r="G20" s="90">
        <f t="shared" si="3"/>
        <v>-0.14659205332771075</v>
      </c>
      <c r="H20" s="90">
        <f t="shared" si="4"/>
        <v>3.9546829139419648E-2</v>
      </c>
      <c r="I20" s="130">
        <f t="shared" si="0"/>
        <v>4.7348210206516335</v>
      </c>
      <c r="J20" s="130">
        <f t="shared" si="5"/>
        <v>0.16394546765599372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ref="T20" si="8">Q20/S20</f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86"/>
      <c r="F21" s="78">
        <f>Q21/21</f>
        <v>2455737.1904761903</v>
      </c>
      <c r="G21" s="90">
        <f t="shared" si="3"/>
        <v>6.5275998900162779E-2</v>
      </c>
      <c r="H21" s="90">
        <f t="shared" si="4"/>
        <v>0.17599854731214437</v>
      </c>
      <c r="I21" s="130">
        <f t="shared" si="0"/>
        <v>4.0055284973940815</v>
      </c>
      <c r="J21" s="130">
        <f t="shared" si="5"/>
        <v>2.8862664251892767E-2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ref="T21" si="9">Q21/S21</f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86">
        <f>C22/C10-1</f>
        <v>0.18474837056844562</v>
      </c>
      <c r="F22" s="78">
        <f>Q22/21</f>
        <v>2847331.4285714286</v>
      </c>
      <c r="G22" s="90">
        <f t="shared" si="3"/>
        <v>0.15946097148095251</v>
      </c>
      <c r="H22" s="90">
        <f t="shared" si="4"/>
        <v>0.34554515655626616</v>
      </c>
      <c r="I22" s="130">
        <f t="shared" si="0"/>
        <v>4.5414740812776317</v>
      </c>
      <c r="J22" s="130">
        <f t="shared" si="5"/>
        <v>0.107174043044302</v>
      </c>
      <c r="K22" s="78">
        <f>R20+R21+R22</f>
        <v>206994199564</v>
      </c>
      <c r="L22" s="87">
        <f>U22/U19-1</f>
        <v>3.5343722479405537E-2</v>
      </c>
      <c r="M22" s="87">
        <f>U22/U10-1</f>
        <v>0.16765462012052645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ref="T22:T23" si="10">Q22/S22</f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ref="G23" si="11">F23/F22-1</f>
        <v>-0.20320127651689235</v>
      </c>
      <c r="H23" s="90">
        <f t="shared" ref="H23" si="12">F23/F11-1</f>
        <v>0.10003707830527553</v>
      </c>
      <c r="I23" s="130">
        <f t="shared" si="0"/>
        <v>4.2462707937185931</v>
      </c>
      <c r="J23" s="130">
        <f t="shared" si="5"/>
        <v>9.9983468341647175E-2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0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ref="G24" si="13">F24/F23-1</f>
        <v>3.2548718623236494E-2</v>
      </c>
      <c r="H24" s="90">
        <f t="shared" ref="H24" si="14">F24/F12-1</f>
        <v>0.21468411668150122</v>
      </c>
      <c r="I24" s="130">
        <f t="shared" si="0"/>
        <v>4.4279622363872795</v>
      </c>
      <c r="J24" s="130">
        <f t="shared" si="5"/>
        <v>0.21800674241110873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ref="T24" si="15">Q24/S24</f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86">
        <f>C25/C13-1</f>
        <v>0.19226322419832664</v>
      </c>
      <c r="F25" s="78">
        <f>Q25/19</f>
        <v>2805049.4736842103</v>
      </c>
      <c r="G25" s="90">
        <f t="shared" ref="G25" si="16">F25/F24-1</f>
        <v>0.19741121624181424</v>
      </c>
      <c r="H25" s="90">
        <f t="shared" ref="H25" si="17">F25/F13-1</f>
        <v>0.25818556321188169</v>
      </c>
      <c r="I25" s="130">
        <f t="shared" si="0"/>
        <v>4.712401763861676</v>
      </c>
      <c r="J25" s="130">
        <f t="shared" si="5"/>
        <v>0.15384855353331228</v>
      </c>
      <c r="K25" s="78">
        <f>R23+R24+R25</f>
        <v>199940020967</v>
      </c>
      <c r="L25" s="90">
        <f>U25/U22-1</f>
        <v>-3.1706705743494434E-2</v>
      </c>
      <c r="M25" s="90">
        <f>U25/U13-1</f>
        <v>0.16994435119825502</v>
      </c>
      <c r="N25" s="88">
        <f>AVERAGE(T23:T25)</f>
        <v>4.4622115979891825</v>
      </c>
      <c r="O25" s="91">
        <f>N25/N22-1</f>
        <v>7.8913256045309854E-3</v>
      </c>
      <c r="P25" s="129" t="s">
        <v>221</v>
      </c>
      <c r="Q25" s="116">
        <v>53295940</v>
      </c>
      <c r="R25" s="116">
        <v>70730255697</v>
      </c>
      <c r="S25" s="116">
        <v>11309719.050000001</v>
      </c>
      <c r="T25" s="130">
        <f t="shared" ref="T25" si="18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2625538.5789473685</v>
      </c>
      <c r="G26" s="90">
        <f t="shared" ref="G26" si="19">F26/F25-1</f>
        <v>-6.3995625182706073E-2</v>
      </c>
      <c r="H26" s="90">
        <f t="shared" ref="H26" si="20">F26/F14-1</f>
        <v>0.400215476394713</v>
      </c>
      <c r="I26" s="130">
        <f t="shared" si="0"/>
        <v>4.8143691527818699</v>
      </c>
      <c r="J26" s="130">
        <f t="shared" si="5"/>
        <v>0.36702957711852902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21">Q26/S26</f>
        <v>4.8143691527818699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2810255.8636363638</v>
      </c>
      <c r="G27" s="90">
        <f t="shared" ref="G27" si="22">F27/F26-1</f>
        <v>7.0354054657636E-2</v>
      </c>
      <c r="H27" s="90">
        <f t="shared" ref="H27" si="23">F27/F15-1</f>
        <v>0.44842945457750361</v>
      </c>
      <c r="I27" s="130">
        <f t="shared" si="0"/>
        <v>5.042220182156659</v>
      </c>
      <c r="J27" s="130">
        <f t="shared" si="5"/>
        <v>0.39606222620539278</v>
      </c>
      <c r="L27" s="90"/>
      <c r="M27" s="90"/>
      <c r="P27" s="129" t="s">
        <v>375</v>
      </c>
      <c r="Q27" s="116">
        <v>61825629</v>
      </c>
      <c r="R27" s="116">
        <v>81720053763</v>
      </c>
      <c r="S27" s="116">
        <v>12261588.5</v>
      </c>
      <c r="T27" s="130">
        <f t="shared" ref="T27" si="24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86">
        <f>C28/C16-1</f>
        <v>0.40573631673996724</v>
      </c>
      <c r="F28" s="78">
        <f>Q28/19</f>
        <v>3094416.1578947366</v>
      </c>
      <c r="G28" s="90">
        <f t="shared" ref="G28" si="25">F28/F27-1</f>
        <v>0.10111545284374235</v>
      </c>
      <c r="H28" s="90">
        <f t="shared" ref="H28" si="26">F28/F16-1</f>
        <v>0.37356291126887409</v>
      </c>
      <c r="I28" s="130">
        <f t="shared" si="0"/>
        <v>5.4274792195455319</v>
      </c>
      <c r="J28" s="130">
        <f t="shared" si="5"/>
        <v>0.38118900231180697</v>
      </c>
      <c r="K28" s="78">
        <f>R26+R27+R28</f>
        <v>225689659524</v>
      </c>
      <c r="L28" s="90">
        <f>U28/U25-1</f>
        <v>0.1182343239409962</v>
      </c>
      <c r="M28" s="90">
        <f>U28/U16-1</f>
        <v>0.31411260662020313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27">Q28/S28</f>
        <v>5.4274792195455319</v>
      </c>
      <c r="U28" s="85">
        <f>Q26+Q27+Q28</f>
        <v>170504769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2482207.2272727271</v>
      </c>
      <c r="G29" s="190">
        <f t="shared" ref="G29" si="28">F29/F28-1</f>
        <v>-0.19784311462441473</v>
      </c>
      <c r="H29" s="190">
        <f t="shared" ref="H29" si="29">F29/F17-1</f>
        <v>9.250650520665582E-2</v>
      </c>
      <c r="I29" s="130">
        <f t="shared" si="0"/>
        <v>4.3592448589554333</v>
      </c>
      <c r="J29" s="130">
        <f t="shared" si="5"/>
        <v>4.9384075688961859E-2</v>
      </c>
      <c r="K29" s="136"/>
      <c r="L29" s="190"/>
      <c r="M29" s="190"/>
      <c r="N29" s="191"/>
      <c r="O29" s="192"/>
      <c r="P29" s="129" t="s">
        <v>430</v>
      </c>
      <c r="Q29" s="116">
        <v>54608559</v>
      </c>
      <c r="R29" s="116">
        <v>71838656093</v>
      </c>
      <c r="S29" s="116">
        <v>12527068.51</v>
      </c>
      <c r="T29" s="130">
        <f t="shared" ref="T29" si="30">Q29/S29</f>
        <v>4.3592448589554333</v>
      </c>
      <c r="U29" s="85"/>
    </row>
    <row r="30" spans="1:21" s="79" customFormat="1" ht="13.2" hidden="1">
      <c r="A30" s="129" t="s">
        <v>472</v>
      </c>
      <c r="B30" s="188"/>
      <c r="C30" s="188"/>
      <c r="D30" s="189"/>
      <c r="E30" s="287"/>
      <c r="F30" s="136">
        <f>Q30/19</f>
        <v>2681666.1052631577</v>
      </c>
      <c r="G30" s="190">
        <f t="shared" ref="G30" si="31">F30/F29-1</f>
        <v>8.0355449697719905E-2</v>
      </c>
      <c r="H30" s="190">
        <f t="shared" ref="H30" si="32">F30/F18-1</f>
        <v>0.13566894900027626</v>
      </c>
      <c r="I30" s="130">
        <f t="shared" si="0"/>
        <v>4.564663960585305</v>
      </c>
      <c r="J30" s="130">
        <f t="shared" si="5"/>
        <v>3.8978186595926223E-2</v>
      </c>
      <c r="K30" s="136"/>
      <c r="L30" s="190"/>
      <c r="M30" s="190"/>
      <c r="N30" s="191"/>
      <c r="O30" s="192"/>
      <c r="P30" s="129" t="s">
        <v>472</v>
      </c>
      <c r="Q30" s="116">
        <v>50951656</v>
      </c>
      <c r="R30" s="116">
        <v>67892075294</v>
      </c>
      <c r="S30" s="116">
        <v>11162192.1</v>
      </c>
      <c r="T30" s="130">
        <f t="shared" ref="T30" si="33">Q30/S30</f>
        <v>4.564663960585305</v>
      </c>
      <c r="U30" s="85"/>
    </row>
    <row r="31" spans="1:21" s="79" customFormat="1" ht="13.2" hidden="1">
      <c r="A31" s="129" t="s">
        <v>505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87">
        <f>C31/C19-1</f>
        <v>0.10983531506139022</v>
      </c>
      <c r="F31" s="136">
        <f>Q31/20</f>
        <v>2976301.15</v>
      </c>
      <c r="G31" s="190">
        <f t="shared" ref="G31" si="34">F31/F30-1</f>
        <v>0.10987014533933892</v>
      </c>
      <c r="H31" s="190">
        <f t="shared" ref="H31" si="35">F31/F19-1</f>
        <v>0.10182801278167508</v>
      </c>
      <c r="I31" s="130">
        <f t="shared" si="0"/>
        <v>5.8798928445407288</v>
      </c>
      <c r="J31" s="130">
        <f t="shared" si="5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505</v>
      </c>
      <c r="Q31" s="116">
        <v>59526023</v>
      </c>
      <c r="R31" s="116">
        <v>79117609530</v>
      </c>
      <c r="S31" s="116">
        <v>10123657.789999999</v>
      </c>
      <c r="T31" s="130">
        <f t="shared" ref="T31" si="36">Q31/S31</f>
        <v>5.8798928445407288</v>
      </c>
      <c r="U31" s="85">
        <f>Q29+Q30+Q31</f>
        <v>165086238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2601283.3809523811</v>
      </c>
      <c r="G32" s="190">
        <f t="shared" ref="G32" si="37">F32/F31-1</f>
        <v>-0.12600128486582041</v>
      </c>
      <c r="H32" s="190">
        <f t="shared" ref="H32" si="38">F32/F20-1</f>
        <v>0.12841258535857469</v>
      </c>
      <c r="I32" s="130">
        <f t="shared" si="0"/>
        <v>4.5621950184989881</v>
      </c>
      <c r="J32" s="130">
        <f t="shared" si="5"/>
        <v>-3.6458823131795493E-2</v>
      </c>
      <c r="K32" s="136"/>
      <c r="L32" s="190"/>
      <c r="M32" s="190"/>
      <c r="N32" s="191"/>
      <c r="O32" s="192"/>
      <c r="P32" s="129" t="s">
        <v>566</v>
      </c>
      <c r="Q32" s="116">
        <v>54626951</v>
      </c>
      <c r="R32" s="116">
        <v>74335518992</v>
      </c>
      <c r="S32" s="116">
        <v>11973830.75</v>
      </c>
      <c r="T32" s="130">
        <f t="shared" ref="T32" si="39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3136317.4285714286</v>
      </c>
      <c r="G33" s="190">
        <f t="shared" ref="G33" si="40">F33/F32-1</f>
        <v>0.20568080030679359</v>
      </c>
      <c r="H33" s="190">
        <f t="shared" ref="H33" si="41">F33/F21-1</f>
        <v>0.27713887330234521</v>
      </c>
      <c r="I33" s="130">
        <f t="shared" si="0"/>
        <v>5.285296559900722</v>
      </c>
      <c r="J33" s="130">
        <f t="shared" si="5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42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87">
        <f>C34/C22-1</f>
        <v>0.1406527887658835</v>
      </c>
      <c r="F34" s="136">
        <f>Q34/19</f>
        <v>2940859.4210526315</v>
      </c>
      <c r="G34" s="190">
        <f t="shared" ref="G34" si="43">F34/F33-1</f>
        <v>-6.2320862594519633E-2</v>
      </c>
      <c r="H34" s="190">
        <f t="shared" ref="H34" si="44">F34/F22-1</f>
        <v>3.2847596013130032E-2</v>
      </c>
      <c r="I34" s="130">
        <f t="shared" si="0"/>
        <v>4.6905448506446046</v>
      </c>
      <c r="J34" s="130">
        <f t="shared" si="5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45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2600237.3043478262</v>
      </c>
      <c r="G35" s="190">
        <f t="shared" ref="G35" si="46">F35/F34-1</f>
        <v>-0.11582400514162805</v>
      </c>
      <c r="H35" s="190">
        <f t="shared" ref="H35" si="47">F35/F23-1</f>
        <v>0.14611008254376001</v>
      </c>
      <c r="I35" s="130">
        <f t="shared" si="0"/>
        <v>5.4225670455408199</v>
      </c>
      <c r="J35" s="130">
        <f t="shared" si="5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48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2164204.1904761903</v>
      </c>
      <c r="G36" s="190">
        <f t="shared" ref="G36" si="49">F36/F35-1</f>
        <v>-0.16768973860291525</v>
      </c>
      <c r="H36" s="190">
        <f t="shared" ref="H36" si="50">F36/F24-1</f>
        <v>-7.6150921320445875E-2</v>
      </c>
      <c r="I36" s="130">
        <f t="shared" si="0"/>
        <v>4.2921355434744779</v>
      </c>
      <c r="J36" s="130">
        <f t="shared" si="5"/>
        <v>-3.067476316681983E-2</v>
      </c>
      <c r="K36" s="136"/>
      <c r="L36" s="190"/>
      <c r="M36" s="190"/>
      <c r="N36" s="191"/>
      <c r="O36" s="192"/>
      <c r="P36" s="129" t="s">
        <v>666</v>
      </c>
      <c r="Q36" s="116">
        <v>45448288</v>
      </c>
      <c r="R36" s="116">
        <v>62085577154</v>
      </c>
      <c r="S36" s="116">
        <v>10588735.5</v>
      </c>
      <c r="T36" s="130">
        <f t="shared" ref="T36" si="51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87">
        <f>C37/C25-1</f>
        <v>3.9197418627336056E-2</v>
      </c>
      <c r="F37" s="136">
        <f>Q37/18</f>
        <v>2942656.5</v>
      </c>
      <c r="G37" s="190">
        <f t="shared" ref="G37" si="52">F37/F36-1</f>
        <v>0.35969448398144288</v>
      </c>
      <c r="H37" s="190">
        <f t="shared" ref="H37" si="53">F37/F25-1</f>
        <v>4.9056898142710414E-2</v>
      </c>
      <c r="I37" s="130">
        <f t="shared" si="0"/>
        <v>4.7955621471203074</v>
      </c>
      <c r="J37" s="130">
        <f t="shared" si="5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54">Q37/S37</f>
        <v>4.7955621471203074</v>
      </c>
      <c r="U37" s="85">
        <f>Q35+Q36+Q37</f>
        <v>158221563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3068586.25</v>
      </c>
      <c r="G38" s="190">
        <f t="shared" ref="G38" si="55">F38/F37-1</f>
        <v>4.2794580339227561E-2</v>
      </c>
      <c r="H38" s="190">
        <f t="shared" ref="H38" si="56">F38/F26-1</f>
        <v>0.16874544316551554</v>
      </c>
      <c r="I38" s="130">
        <f t="shared" si="0"/>
        <v>6.0136459696194988</v>
      </c>
      <c r="J38" s="130">
        <f t="shared" si="5"/>
        <v>0.24910362682609311</v>
      </c>
      <c r="K38" s="136"/>
      <c r="L38" s="190"/>
      <c r="M38" s="190"/>
      <c r="N38" s="191"/>
      <c r="O38" s="192"/>
      <c r="P38" s="129" t="s">
        <v>727</v>
      </c>
      <c r="Q38" s="116">
        <v>61371725</v>
      </c>
      <c r="R38" s="116">
        <v>82540223909</v>
      </c>
      <c r="S38" s="116">
        <v>10205410.380000001</v>
      </c>
      <c r="T38" s="130">
        <f t="shared" ref="T38" si="57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2650452.2857142859</v>
      </c>
      <c r="G39" s="190">
        <f t="shared" ref="G39" si="58">F39/F38-1</f>
        <v>-0.13626273802332067</v>
      </c>
      <c r="H39" s="190">
        <f t="shared" ref="H39" si="59">F39/F27-1</f>
        <v>-5.6864422912473955E-2</v>
      </c>
      <c r="I39" s="130">
        <f t="shared" si="0"/>
        <v>4.1288563171295101</v>
      </c>
      <c r="J39" s="130">
        <f t="shared" si="5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60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87">
        <f>C40/C28-1</f>
        <v>2.8905307893971166E-2</v>
      </c>
      <c r="F40" s="136">
        <f>Q40/21</f>
        <v>3057740.4285714286</v>
      </c>
      <c r="G40" s="190">
        <f t="shared" ref="G40" si="61">F40/F39-1</f>
        <v>0.15366741180454047</v>
      </c>
      <c r="H40" s="190">
        <f t="shared" ref="H40" si="62">F40/F28-1</f>
        <v>-1.1852229128825442E-2</v>
      </c>
      <c r="I40" s="130">
        <f t="shared" si="0"/>
        <v>6.0294137380775226</v>
      </c>
      <c r="J40" s="130">
        <f t="shared" si="5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63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2648965.0555555555</v>
      </c>
      <c r="G41" s="190">
        <f t="shared" ref="G41" si="64">F41/F40-1</f>
        <v>-0.13368543948213818</v>
      </c>
      <c r="H41" s="190">
        <f t="shared" ref="H41" si="65">F41/F29-1</f>
        <v>6.718126772439148E-2</v>
      </c>
      <c r="I41" s="130">
        <f t="shared" si="0"/>
        <v>4.4258075758305608</v>
      </c>
      <c r="J41" s="130">
        <f t="shared" si="5"/>
        <v>1.5269322790708584E-2</v>
      </c>
      <c r="K41" s="193"/>
      <c r="L41" s="190"/>
      <c r="M41" s="190"/>
      <c r="N41" s="193"/>
      <c r="O41" s="193"/>
      <c r="P41" s="129" t="s">
        <v>793</v>
      </c>
      <c r="Q41" s="116">
        <v>47681371</v>
      </c>
      <c r="R41" s="116">
        <v>69736619142</v>
      </c>
      <c r="S41" s="116">
        <v>10773484.880000001</v>
      </c>
      <c r="T41" s="130">
        <f t="shared" ref="T41" si="66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2596634.5499999998</v>
      </c>
      <c r="G42" s="190">
        <f t="shared" ref="G42" si="67">F42/F41-1</f>
        <v>-1.9755075834543501E-2</v>
      </c>
      <c r="H42" s="190">
        <f t="shared" ref="H42" si="68">F42/F30-1</f>
        <v>-3.1708479700836456E-2</v>
      </c>
      <c r="I42" s="130">
        <f t="shared" si="0"/>
        <v>4.9594673793138906</v>
      </c>
      <c r="J42" s="130">
        <f t="shared" si="5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69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87">
        <f>C43/C31-1</f>
        <v>2.6280968974147001E-2</v>
      </c>
      <c r="F43" s="136">
        <f>Q43/20</f>
        <v>3108506.55</v>
      </c>
      <c r="G43" s="190">
        <f t="shared" ref="G43" si="70">F43/F42-1</f>
        <v>0.19712901070348932</v>
      </c>
      <c r="H43" s="190">
        <f t="shared" ref="H43" si="71">F43/F31-1</f>
        <v>4.4419362603814516E-2</v>
      </c>
      <c r="I43" s="130">
        <f t="shared" si="0"/>
        <v>5.0968583999234864</v>
      </c>
      <c r="J43" s="130">
        <f t="shared" si="5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72">Q43/S43</f>
        <v>5.0968583999234864</v>
      </c>
      <c r="U43" s="85">
        <f>Q41+Q42+Q43</f>
        <v>161784193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2854493.0454545454</v>
      </c>
      <c r="G44" s="190">
        <f t="shared" ref="G44" si="73">F44/F43-1</f>
        <v>-8.1715608591995559E-2</v>
      </c>
      <c r="H44" s="190">
        <f t="shared" ref="H44" si="74">F44/F32-1</f>
        <v>9.7340284551950429E-2</v>
      </c>
      <c r="I44" s="130">
        <f t="shared" si="0"/>
        <v>5.3052878649120965</v>
      </c>
      <c r="J44" s="130">
        <f t="shared" si="5"/>
        <v>0.1628805527602355</v>
      </c>
      <c r="K44" s="136"/>
      <c r="L44" s="190"/>
      <c r="M44" s="190"/>
      <c r="N44" s="191"/>
      <c r="O44" s="192"/>
      <c r="P44" s="129" t="s">
        <v>844</v>
      </c>
      <c r="Q44" s="116">
        <v>62798847</v>
      </c>
      <c r="R44" s="116">
        <v>91101401648</v>
      </c>
      <c r="S44" s="116">
        <v>11837029.130000001</v>
      </c>
      <c r="T44" s="130">
        <f t="shared" ref="T44" si="75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3417571.65</v>
      </c>
      <c r="G45" s="190">
        <f t="shared" ref="G45" si="76">F45/F44-1</f>
        <v>0.19726045766413502</v>
      </c>
      <c r="H45" s="190">
        <f t="shared" ref="H45" si="77">F45/F33-1</f>
        <v>8.9676580204026246E-2</v>
      </c>
      <c r="I45" s="130">
        <f t="shared" si="0"/>
        <v>6.2506189331870647</v>
      </c>
      <c r="J45" s="130">
        <f t="shared" si="5"/>
        <v>0.18264299123916627</v>
      </c>
      <c r="K45" s="136"/>
      <c r="L45" s="190"/>
      <c r="M45" s="190"/>
      <c r="N45" s="191"/>
      <c r="O45" s="192"/>
      <c r="P45" s="129" t="s">
        <v>853</v>
      </c>
      <c r="Q45" s="116">
        <v>68351433</v>
      </c>
      <c r="R45" s="116">
        <v>96114823146</v>
      </c>
      <c r="S45" s="116">
        <v>10935146.380000001</v>
      </c>
      <c r="T45" s="130">
        <f t="shared" ref="T45" si="78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87">
        <f>C46/C34-1</f>
        <v>0.10524036323465458</v>
      </c>
      <c r="F46" s="136">
        <f>Q46/19</f>
        <v>3319719.8421052634</v>
      </c>
      <c r="G46" s="190">
        <f t="shared" ref="G46" si="79">F46/F45-1</f>
        <v>-2.8631969689570824E-2</v>
      </c>
      <c r="H46" s="190">
        <f t="shared" ref="H46" si="80">F46/F34-1</f>
        <v>0.12882643024025442</v>
      </c>
      <c r="I46" s="130">
        <f t="shared" si="0"/>
        <v>6.0916603317501306</v>
      </c>
      <c r="J46" s="130">
        <f t="shared" si="5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888</v>
      </c>
      <c r="Q46" s="116">
        <v>63074677</v>
      </c>
      <c r="R46" s="116">
        <v>86391288433</v>
      </c>
      <c r="S46" s="116">
        <v>10354266.91</v>
      </c>
      <c r="T46" s="130">
        <f t="shared" ref="T46" si="81">Q46/S46</f>
        <v>6.0916603317501306</v>
      </c>
      <c r="U46" s="85">
        <f t="shared" ref="U46:U51" si="82">Q44+Q45+Q46</f>
        <v>194224957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2880682.5217391304</v>
      </c>
      <c r="G47" s="190">
        <f t="shared" ref="G47" si="83">F47/F46-1</f>
        <v>-0.13225131675199109</v>
      </c>
      <c r="H47" s="190">
        <f t="shared" ref="H47" si="84">F47/F35-1</f>
        <v>0.10785370124579585</v>
      </c>
      <c r="I47" s="130">
        <f t="shared" si="0"/>
        <v>5.3184608894187386</v>
      </c>
      <c r="J47" s="130">
        <f t="shared" si="5"/>
        <v>-1.9198684912101083E-2</v>
      </c>
      <c r="K47" s="136"/>
      <c r="L47" s="190"/>
      <c r="M47" s="190"/>
      <c r="N47" s="191"/>
      <c r="O47" s="192"/>
      <c r="P47" s="129" t="s">
        <v>1028</v>
      </c>
      <c r="Q47" s="116">
        <v>66255698</v>
      </c>
      <c r="R47" s="116">
        <v>90864814024</v>
      </c>
      <c r="S47" s="116">
        <v>12457682.66</v>
      </c>
      <c r="T47" s="130">
        <f t="shared" ref="T47" si="85">Q47/S47</f>
        <v>5.3184608894187386</v>
      </c>
      <c r="U47" s="85">
        <f t="shared" si="82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2868491.05</v>
      </c>
      <c r="G48" s="190">
        <f t="shared" ref="G48" si="86">F48/F47-1</f>
        <v>-4.2321469468180606E-3</v>
      </c>
      <c r="H48" s="190">
        <f t="shared" ref="H48" si="87">F48/F36-1</f>
        <v>0.32542532845241601</v>
      </c>
      <c r="I48" s="130">
        <f t="shared" si="0"/>
        <v>4.8211717933177489</v>
      </c>
      <c r="J48" s="130">
        <f t="shared" si="5"/>
        <v>0.12325711629670888</v>
      </c>
      <c r="K48" s="136"/>
      <c r="L48" s="190"/>
      <c r="M48" s="190"/>
      <c r="N48" s="191"/>
      <c r="O48" s="192"/>
      <c r="P48" s="129" t="s">
        <v>1070</v>
      </c>
      <c r="Q48" s="116">
        <v>57369821</v>
      </c>
      <c r="R48" s="116">
        <v>79601595837</v>
      </c>
      <c r="S48" s="116">
        <v>11899559.58</v>
      </c>
      <c r="T48" s="130">
        <f t="shared" ref="T48" si="88">Q48/S48</f>
        <v>4.8211717933177489</v>
      </c>
      <c r="U48" s="85">
        <f t="shared" si="82"/>
        <v>186700196</v>
      </c>
    </row>
    <row r="49" spans="1:26" ht="13.2">
      <c r="A49" s="129" t="s">
        <v>1210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87">
        <f>C49/C37-1</f>
        <v>0.15385119198887587</v>
      </c>
      <c r="F49" s="136">
        <f>Q49/22</f>
        <v>3143670.6363636362</v>
      </c>
      <c r="G49" s="190">
        <f t="shared" ref="G49" si="89">F49/F48-1</f>
        <v>9.5931826722498004E-2</v>
      </c>
      <c r="H49" s="190">
        <f t="shared" ref="H49" si="90">F49/F37-1</f>
        <v>6.8310431871214439E-2</v>
      </c>
      <c r="I49" s="130">
        <f t="shared" si="0"/>
        <v>5.5138076971530419</v>
      </c>
      <c r="J49" s="130">
        <f t="shared" si="5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1163</v>
      </c>
      <c r="Q49" s="116">
        <v>69160754</v>
      </c>
      <c r="R49" s="116">
        <v>96120044459</v>
      </c>
      <c r="S49" s="116">
        <v>12543192.98</v>
      </c>
      <c r="T49" s="130">
        <f t="shared" ref="T49" si="91">Q49/S49</f>
        <v>5.5138076971530419</v>
      </c>
      <c r="U49" s="85">
        <f t="shared" si="82"/>
        <v>192786273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3143235.888888889</v>
      </c>
      <c r="G50" s="190">
        <f t="shared" ref="G50" si="92">F50/F49-1</f>
        <v>-1.3829294637879297E-4</v>
      </c>
      <c r="H50" s="190">
        <f t="shared" ref="H50" si="93">F50/F38-1</f>
        <v>2.4327046009832376E-2</v>
      </c>
      <c r="I50" s="130">
        <f t="shared" ref="I50" si="94">T50</f>
        <v>5.9702709887550212</v>
      </c>
      <c r="J50" s="130">
        <f t="shared" ref="J50" si="95">I50/I38-1</f>
        <v>-7.2127592950441688E-3</v>
      </c>
      <c r="K50" s="136"/>
      <c r="L50" s="190"/>
      <c r="M50" s="190"/>
      <c r="N50" s="191"/>
      <c r="O50" s="192"/>
      <c r="P50" s="129" t="s">
        <v>1337</v>
      </c>
      <c r="Q50" s="116">
        <v>56578246</v>
      </c>
      <c r="R50" s="116">
        <v>79967214377</v>
      </c>
      <c r="S50" s="116">
        <v>9476662.9700000007</v>
      </c>
      <c r="T50" s="130">
        <f t="shared" ref="T50" si="96">Q50/S50</f>
        <v>5.9702709887550212</v>
      </c>
      <c r="U50" s="85">
        <f t="shared" si="82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3204893.85</v>
      </c>
      <c r="G51" s="190">
        <f t="shared" ref="G51:G52" si="97">F51/F50-1</f>
        <v>1.9616078236147416E-2</v>
      </c>
      <c r="H51" s="190">
        <f t="shared" ref="H51:H52" si="98">F51/F39-1</f>
        <v>0.20918752896405923</v>
      </c>
      <c r="I51" s="130">
        <f t="shared" ref="I51:I52" si="99">T51</f>
        <v>5.347881845885408</v>
      </c>
      <c r="J51" s="130">
        <f t="shared" ref="J51:J52" si="100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101">Q51/S51</f>
        <v>5.347881845885408</v>
      </c>
      <c r="U51" s="85">
        <f t="shared" si="82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87">
        <f>C52/C40-1</f>
        <v>0.11317846439500778</v>
      </c>
      <c r="F52" s="136">
        <f>Q52/22</f>
        <v>3421991.5909090908</v>
      </c>
      <c r="G52" s="190">
        <f t="shared" si="97"/>
        <v>6.7739448190800688E-2</v>
      </c>
      <c r="H52" s="190">
        <f t="shared" si="98"/>
        <v>0.11912429156317872</v>
      </c>
      <c r="I52" s="130">
        <f t="shared" si="99"/>
        <v>6.6454151445725342</v>
      </c>
      <c r="J52" s="130">
        <f t="shared" si="100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101"/>
        <v>6.6454151445725342</v>
      </c>
      <c r="U52" s="85">
        <f t="shared" ref="U52" si="102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3137742.9047619049</v>
      </c>
      <c r="G53" s="190">
        <f t="shared" ref="G53" si="103">F53/F52-1</f>
        <v>-8.3065278974479351E-2</v>
      </c>
      <c r="H53" s="190">
        <f t="shared" ref="H53" si="104">F53/F41-1</f>
        <v>0.18451653342170649</v>
      </c>
      <c r="I53" s="130">
        <f t="shared" ref="I53" si="105">T53</f>
        <v>5.355278776042808</v>
      </c>
      <c r="J53" s="130">
        <f t="shared" ref="J53" si="106">I53/I41-1</f>
        <v>0.21001166098772828</v>
      </c>
      <c r="K53" s="136"/>
      <c r="L53" s="190"/>
      <c r="M53" s="190"/>
      <c r="N53" s="191"/>
      <c r="O53" s="192"/>
      <c r="P53" s="129" t="s">
        <v>1414</v>
      </c>
      <c r="Q53" s="116">
        <v>65892601</v>
      </c>
      <c r="R53" s="116">
        <v>96060616028</v>
      </c>
      <c r="S53" s="116">
        <v>12304233.59</v>
      </c>
      <c r="T53" s="130">
        <f t="shared" ref="T53" si="107">Q53/S53</f>
        <v>5.355278776042808</v>
      </c>
      <c r="U53" s="85">
        <f t="shared" ref="U53" si="108">Q51+Q52+Q53</f>
        <v>205274293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3380829.7647058824</v>
      </c>
      <c r="G54" s="190">
        <f t="shared" ref="G54" si="109">F54/F53-1</f>
        <v>7.7471885786137396E-2</v>
      </c>
      <c r="H54" s="190">
        <f t="shared" ref="H54" si="110">F54/F42-1</f>
        <v>0.30200445985203528</v>
      </c>
      <c r="I54" s="130">
        <f t="shared" ref="I54" si="111">T54</f>
        <v>5.8026395018966248</v>
      </c>
      <c r="J54" s="130">
        <f t="shared" ref="J54" si="112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83237945572</v>
      </c>
      <c r="S54" s="116">
        <v>9904821.0700000003</v>
      </c>
      <c r="T54" s="130">
        <f t="shared" ref="T54" si="113">Q54/S54</f>
        <v>5.8026395018966248</v>
      </c>
      <c r="U54" s="85">
        <f t="shared" ref="U54" si="114">Q52+Q53+Q54</f>
        <v>198650522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9836130.1932773106</v>
      </c>
      <c r="C55" s="188">
        <f>AVERAGE(F53:F55)</f>
        <v>3278710.0644257702</v>
      </c>
      <c r="D55" s="190">
        <f>C55/C52-1</f>
        <v>6.7561969039229286E-3</v>
      </c>
      <c r="E55" s="287">
        <f>C55/C43-1</f>
        <v>0.17740067101448043</v>
      </c>
      <c r="F55" s="136">
        <f>Q55/21</f>
        <v>3317557.5238095238</v>
      </c>
      <c r="G55" s="190">
        <f t="shared" ref="G55" si="115">F55/F54-1</f>
        <v>-1.8715003505023531E-2</v>
      </c>
      <c r="H55" s="190">
        <f t="shared" ref="H55" si="116">F55/F43-1</f>
        <v>6.7251257298950762E-2</v>
      </c>
      <c r="I55" s="130">
        <f>T55</f>
        <v>5.8823929876258996</v>
      </c>
      <c r="J55" s="130">
        <f t="shared" ref="J55" si="117">I55/I43-1</f>
        <v>0.15412132848623106</v>
      </c>
      <c r="K55" s="136">
        <f>R53+R54+R55</f>
        <v>281792034836</v>
      </c>
      <c r="L55" s="190">
        <f>U55/U52-1</f>
        <v>-1.4924086167040884E-2</v>
      </c>
      <c r="M55" s="190">
        <f>K55/K43-1</f>
        <v>0.19930192641053046</v>
      </c>
      <c r="N55" s="191">
        <f>AVERAGE(T53:T55)</f>
        <v>5.6801037551884441</v>
      </c>
      <c r="O55" s="192">
        <f>N55/N52-1</f>
        <v>-5.1396065342698249E-2</v>
      </c>
      <c r="P55" s="129" t="s">
        <v>1418</v>
      </c>
      <c r="Q55" s="116">
        <v>69668708</v>
      </c>
      <c r="R55" s="116">
        <v>102493473236</v>
      </c>
      <c r="S55" s="116">
        <v>11843599.73</v>
      </c>
      <c r="T55" s="130">
        <f t="shared" ref="T55" si="118">Q55/S55</f>
        <v>5.8823929876258996</v>
      </c>
      <c r="U55" s="85">
        <f t="shared" ref="U55" si="119">Q53+Q54+Q55</f>
        <v>193035415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3500955.2272727271</v>
      </c>
      <c r="G56" s="190">
        <f t="shared" ref="G56" si="120">F56/F55-1</f>
        <v>5.5280941520076343E-2</v>
      </c>
      <c r="H56" s="190">
        <f t="shared" ref="H56" si="121">F56/F44-1</f>
        <v>0.22647180130552402</v>
      </c>
      <c r="I56" s="291">
        <f>T56</f>
        <v>5.7247557376769622</v>
      </c>
      <c r="J56" s="130">
        <f t="shared" ref="J56" si="122">I56/I44-1</f>
        <v>7.9065996689666074E-2</v>
      </c>
      <c r="K56" s="136"/>
      <c r="L56" s="190"/>
      <c r="M56" s="190"/>
      <c r="N56" s="191"/>
      <c r="O56" s="192"/>
      <c r="P56" s="129" t="s">
        <v>1420</v>
      </c>
      <c r="Q56" s="116">
        <v>77021015</v>
      </c>
      <c r="R56" s="116">
        <v>114994901662</v>
      </c>
      <c r="S56" s="116">
        <v>13454026.43</v>
      </c>
      <c r="T56" s="130">
        <f t="shared" ref="T56" si="123">Q56/S56</f>
        <v>5.7247557376769622</v>
      </c>
      <c r="U56" s="85">
        <f t="shared" ref="U56" si="124">Q54+Q55+Q56</f>
        <v>204163829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3369100.25</v>
      </c>
      <c r="G57" s="254">
        <f t="shared" ref="G57" si="125">F57/F56-1</f>
        <v>-3.7662571702021808E-2</v>
      </c>
      <c r="H57" s="254">
        <f t="shared" ref="H57" si="126">F57/F45-1</f>
        <v>-1.4182994524781889E-2</v>
      </c>
      <c r="I57" s="282">
        <f>T57</f>
        <v>6.5759363658019421</v>
      </c>
      <c r="J57" s="277">
        <f t="shared" ref="J57" si="127">I57/I45-1</f>
        <v>5.2045635175044014E-2</v>
      </c>
      <c r="K57" s="204"/>
      <c r="L57" s="254"/>
      <c r="M57" s="254"/>
      <c r="N57" s="257"/>
      <c r="O57" s="258"/>
      <c r="P57" s="129" t="s">
        <v>1436</v>
      </c>
      <c r="Q57" s="116">
        <v>40429203</v>
      </c>
      <c r="R57" s="116">
        <v>59510992216</v>
      </c>
      <c r="S57" s="116">
        <v>6148052.6500000004</v>
      </c>
      <c r="T57" s="130">
        <f t="shared" ref="T57" si="128">Q57/S57</f>
        <v>6.5759363658019421</v>
      </c>
      <c r="U57" s="85">
        <f t="shared" ref="U57" si="129">Q55+Q56+Q57</f>
        <v>187118926</v>
      </c>
      <c r="V57" s="79"/>
      <c r="W57" s="79"/>
      <c r="X57" s="79"/>
      <c r="Y57" s="79"/>
      <c r="Z57" s="79"/>
    </row>
    <row r="58" spans="1:26">
      <c r="B58" s="196">
        <f>SUM(F56:F58)</f>
        <v>6870055.4772727266</v>
      </c>
      <c r="C58" s="196">
        <f>AVERAGE(F56:F58)</f>
        <v>3435027.7386363633</v>
      </c>
      <c r="D58" s="197">
        <f>C58/C55-1</f>
        <v>4.7676577415810772E-2</v>
      </c>
      <c r="E58" s="233">
        <f>C58/C46-1</f>
        <v>7.4365586044611742E-2</v>
      </c>
    </row>
    <row r="61" spans="1:26">
      <c r="P61" s="266"/>
      <c r="Q61" s="266"/>
      <c r="R61" s="266"/>
      <c r="S61" s="266"/>
      <c r="T61" s="266"/>
      <c r="U61" s="266"/>
    </row>
    <row r="62" spans="1:26">
      <c r="P62" s="266" t="s">
        <v>971</v>
      </c>
      <c r="Q62" s="266" t="s">
        <v>9</v>
      </c>
      <c r="R62" s="266" t="s">
        <v>10</v>
      </c>
      <c r="S62" s="266" t="s">
        <v>972</v>
      </c>
      <c r="T62" s="266" t="s">
        <v>973</v>
      </c>
      <c r="U62" s="266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310485633</v>
      </c>
      <c r="R64" s="212">
        <v>456297928714</v>
      </c>
      <c r="S64" s="213">
        <v>53654733.479999997</v>
      </c>
      <c r="T64" s="214">
        <v>1605</v>
      </c>
      <c r="U64" s="214">
        <v>3312</v>
      </c>
    </row>
    <row r="65" spans="16:21" ht="18" thickBot="1">
      <c r="P65" s="180" t="s">
        <v>976</v>
      </c>
      <c r="Q65" s="181">
        <v>65892601</v>
      </c>
      <c r="R65" s="181">
        <v>96060616028</v>
      </c>
      <c r="S65" s="182">
        <v>12304233.59</v>
      </c>
      <c r="T65" s="210">
        <v>742</v>
      </c>
      <c r="U65" s="210">
        <v>1329</v>
      </c>
    </row>
    <row r="66" spans="16:21" ht="18" thickBot="1">
      <c r="P66" s="180" t="s">
        <v>977</v>
      </c>
      <c r="Q66" s="181">
        <v>57474106</v>
      </c>
      <c r="R66" s="181">
        <v>83237945572</v>
      </c>
      <c r="S66" s="182">
        <v>9904821.0700000003</v>
      </c>
      <c r="T66" s="210">
        <v>665</v>
      </c>
      <c r="U66" s="210">
        <v>1214</v>
      </c>
    </row>
    <row r="67" spans="16:21" ht="18" thickBot="1">
      <c r="P67" s="180" t="s">
        <v>978</v>
      </c>
      <c r="Q67" s="181">
        <v>69668708</v>
      </c>
      <c r="R67" s="181">
        <v>102493473236</v>
      </c>
      <c r="S67" s="182">
        <v>11843599.73</v>
      </c>
      <c r="T67" s="210">
        <v>795</v>
      </c>
      <c r="U67" s="210">
        <v>1368</v>
      </c>
    </row>
    <row r="68" spans="16:21" ht="18" thickBot="1">
      <c r="P68" s="180" t="s">
        <v>979</v>
      </c>
      <c r="Q68" s="181">
        <v>77021015</v>
      </c>
      <c r="R68" s="181">
        <v>114994901662</v>
      </c>
      <c r="S68" s="182">
        <v>13454026.43</v>
      </c>
      <c r="T68" s="210">
        <v>843</v>
      </c>
      <c r="U68" s="210">
        <v>1321</v>
      </c>
    </row>
    <row r="69" spans="16:21" ht="18" thickBot="1">
      <c r="P69" s="180" t="s">
        <v>980</v>
      </c>
      <c r="Q69" s="181">
        <v>40429203</v>
      </c>
      <c r="R69" s="181">
        <v>59510992216</v>
      </c>
      <c r="S69" s="182">
        <v>6148052.6500000004</v>
      </c>
      <c r="T69" s="210">
        <v>598</v>
      </c>
      <c r="U69" s="210">
        <v>859</v>
      </c>
    </row>
    <row r="70" spans="16:21" ht="18" thickBot="1">
      <c r="P70" s="215" t="s">
        <v>975</v>
      </c>
      <c r="Q70" s="216">
        <v>741086</v>
      </c>
      <c r="R70"/>
      <c r="S70"/>
      <c r="T70"/>
      <c r="U70"/>
    </row>
  </sheetData>
  <phoneticPr fontId="1" type="noConversion"/>
  <conditionalFormatting sqref="C29:C30">
    <cfRule type="cellIs" dxfId="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171"/>
  <dimension ref="A1:Z74"/>
  <sheetViews>
    <sheetView zoomScale="90" zoomScaleNormal="90" workbookViewId="0">
      <selection activeCell="N66" sqref="N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7105102000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286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94517.15</v>
      </c>
      <c r="G5" s="90"/>
      <c r="H5" s="90"/>
      <c r="I5" s="130">
        <f t="shared" ref="I5:I49" si="0">T5</f>
        <v>681.89764012437865</v>
      </c>
      <c r="J5" s="130"/>
      <c r="L5" s="80"/>
      <c r="M5" s="80"/>
      <c r="P5" s="129" t="s">
        <v>0</v>
      </c>
      <c r="Q5" s="116">
        <v>1890343</v>
      </c>
      <c r="R5" s="116"/>
      <c r="S5" s="116">
        <v>2772.18</v>
      </c>
      <c r="T5" s="130">
        <f t="shared" ref="T5:T11" si="1">Q5/S5</f>
        <v>681.89764012437865</v>
      </c>
      <c r="U5" s="85"/>
    </row>
    <row r="6" spans="1:21" ht="15" hidden="1" customHeight="1">
      <c r="A6" s="129" t="s">
        <v>1</v>
      </c>
      <c r="C6" s="79"/>
      <c r="F6" s="78">
        <f>Q6/18</f>
        <v>63994.166666666664</v>
      </c>
      <c r="G6" s="90">
        <f t="shared" ref="G6:G22" si="2">F6/F5-1</f>
        <v>-0.32293592573763952</v>
      </c>
      <c r="H6" s="90"/>
      <c r="I6" s="130">
        <f t="shared" si="0"/>
        <v>406.87188725230476</v>
      </c>
      <c r="J6" s="130"/>
      <c r="P6" s="129" t="s">
        <v>1</v>
      </c>
      <c r="Q6" s="116">
        <v>1151895</v>
      </c>
      <c r="R6" s="116"/>
      <c r="S6" s="116">
        <v>2831.1</v>
      </c>
      <c r="T6" s="130">
        <f t="shared" si="1"/>
        <v>406.87188725230476</v>
      </c>
      <c r="U6" s="85"/>
    </row>
    <row r="7" spans="1:21" ht="15" hidden="1" customHeight="1">
      <c r="A7" s="129" t="s">
        <v>2</v>
      </c>
      <c r="B7" s="131">
        <f>F5+F6+F7</f>
        <v>220291.953030303</v>
      </c>
      <c r="C7" s="131">
        <f>AVERAGE(F5:F7)</f>
        <v>73430.651010101006</v>
      </c>
      <c r="F7" s="78">
        <f>Q7/22</f>
        <v>61780.63636363636</v>
      </c>
      <c r="G7" s="90">
        <f t="shared" si="2"/>
        <v>-3.4589563679454649E-2</v>
      </c>
      <c r="H7" s="90"/>
      <c r="I7" s="130">
        <f t="shared" si="0"/>
        <v>413.77301108428748</v>
      </c>
      <c r="J7" s="130"/>
      <c r="K7" s="79">
        <f>R5+R6+R7</f>
        <v>0</v>
      </c>
      <c r="N7" s="88">
        <f>AVERAGE(T5:T7)</f>
        <v>500.84751282032363</v>
      </c>
      <c r="P7" s="129" t="s">
        <v>2</v>
      </c>
      <c r="Q7" s="116">
        <v>1359174</v>
      </c>
      <c r="R7" s="116"/>
      <c r="S7" s="116">
        <v>3284.83</v>
      </c>
      <c r="T7" s="130">
        <f t="shared" si="1"/>
        <v>413.77301108428748</v>
      </c>
      <c r="U7" s="85">
        <f>Q5+Q6+Q7</f>
        <v>4401412</v>
      </c>
    </row>
    <row r="8" spans="1:21" ht="15" hidden="1" customHeight="1">
      <c r="A8" s="129" t="s">
        <v>3</v>
      </c>
      <c r="C8" s="79"/>
      <c r="F8" s="78">
        <f>Q8/21</f>
        <v>60979.333333333336</v>
      </c>
      <c r="G8" s="90">
        <f t="shared" si="2"/>
        <v>-1.2970132349990893E-2</v>
      </c>
      <c r="H8" s="90"/>
      <c r="I8" s="130">
        <f t="shared" si="0"/>
        <v>239.22800869060006</v>
      </c>
      <c r="J8" s="130"/>
      <c r="K8" s="78"/>
      <c r="P8" s="129" t="s">
        <v>3</v>
      </c>
      <c r="Q8" s="116">
        <v>1280566</v>
      </c>
      <c r="R8" s="116"/>
      <c r="S8" s="116">
        <v>5352.91</v>
      </c>
      <c r="T8" s="130">
        <f t="shared" si="1"/>
        <v>239.22800869060006</v>
      </c>
      <c r="U8" s="85"/>
    </row>
    <row r="9" spans="1:21" ht="15" hidden="1" customHeight="1">
      <c r="A9" s="129" t="s">
        <v>4</v>
      </c>
      <c r="C9" s="79"/>
      <c r="F9" s="78">
        <f>Q9/21</f>
        <v>84283.428571428565</v>
      </c>
      <c r="G9" s="90">
        <f t="shared" si="2"/>
        <v>0.38216382443388297</v>
      </c>
      <c r="H9" s="90"/>
      <c r="I9" s="130">
        <f t="shared" si="0"/>
        <v>544.28911453752619</v>
      </c>
      <c r="J9" s="130"/>
      <c r="K9" s="78"/>
      <c r="P9" s="129" t="s">
        <v>4</v>
      </c>
      <c r="Q9" s="116">
        <v>1769952</v>
      </c>
      <c r="R9" s="116"/>
      <c r="S9" s="116">
        <v>3251.86</v>
      </c>
      <c r="T9" s="130">
        <f t="shared" si="1"/>
        <v>544.28911453752619</v>
      </c>
      <c r="U9" s="85"/>
    </row>
    <row r="10" spans="1:21" ht="15" hidden="1" customHeight="1">
      <c r="A10" s="129" t="s">
        <v>5</v>
      </c>
      <c r="B10" s="131">
        <f>F8+F9+F10</f>
        <v>223725.42857142858</v>
      </c>
      <c r="C10" s="131">
        <f>AVERAGE(F8:F10)</f>
        <v>74575.142857142855</v>
      </c>
      <c r="D10" s="90">
        <f>C10/C7-1</f>
        <v>1.558602342888693E-2</v>
      </c>
      <c r="E10" s="286"/>
      <c r="F10" s="78">
        <f>Q10/21</f>
        <v>78462.666666666672</v>
      </c>
      <c r="G10" s="90">
        <f t="shared" si="2"/>
        <v>-6.906175986693408E-2</v>
      </c>
      <c r="H10" s="90"/>
      <c r="I10" s="130">
        <f t="shared" si="0"/>
        <v>485.79254144542296</v>
      </c>
      <c r="J10" s="130"/>
      <c r="K10" s="79">
        <f>R8+R9+R10</f>
        <v>0</v>
      </c>
      <c r="L10" s="87">
        <f>U10/U7-1</f>
        <v>6.7437904018074146E-2</v>
      </c>
      <c r="N10" s="88">
        <f>AVERAGE(T8:T10)</f>
        <v>423.10322155784974</v>
      </c>
      <c r="O10" s="89">
        <f>N10/N7-1</f>
        <v>-0.1552254713708926</v>
      </c>
      <c r="P10" s="129" t="s">
        <v>5</v>
      </c>
      <c r="Q10" s="116">
        <v>1647716</v>
      </c>
      <c r="R10" s="116"/>
      <c r="S10" s="116">
        <v>3391.81</v>
      </c>
      <c r="T10" s="130">
        <f t="shared" si="1"/>
        <v>485.79254144542296</v>
      </c>
      <c r="U10" s="85">
        <f>Q8+Q9+Q10</f>
        <v>4698234</v>
      </c>
    </row>
    <row r="11" spans="1:21" ht="15" hidden="1" customHeight="1">
      <c r="A11" s="129" t="s">
        <v>6</v>
      </c>
      <c r="C11" s="79"/>
      <c r="F11" s="78">
        <f>Q11/21</f>
        <v>83888.857142857145</v>
      </c>
      <c r="G11" s="90">
        <f t="shared" si="2"/>
        <v>6.9156335193686358E-2</v>
      </c>
      <c r="H11" s="90"/>
      <c r="I11" s="130">
        <f t="shared" si="0"/>
        <v>499.71662227365948</v>
      </c>
      <c r="J11" s="130"/>
      <c r="K11" s="78"/>
      <c r="O11" s="89"/>
      <c r="P11" s="129" t="s">
        <v>6</v>
      </c>
      <c r="Q11" s="116">
        <v>1761666</v>
      </c>
      <c r="R11" s="116"/>
      <c r="S11" s="116">
        <v>3525.33</v>
      </c>
      <c r="T11" s="130">
        <f t="shared" si="1"/>
        <v>499.71662227365948</v>
      </c>
      <c r="U11" s="85"/>
    </row>
    <row r="12" spans="1:21" ht="15" hidden="1" customHeight="1">
      <c r="A12" s="129" t="s">
        <v>7</v>
      </c>
      <c r="C12" s="79"/>
      <c r="F12" s="78">
        <f>Q12/22</f>
        <v>61545.045454545456</v>
      </c>
      <c r="G12" s="90">
        <f t="shared" si="2"/>
        <v>-0.26635017390047</v>
      </c>
      <c r="H12" s="90"/>
      <c r="I12" s="130">
        <f t="shared" si="0"/>
        <v>434.36825305166576</v>
      </c>
      <c r="J12" s="130"/>
      <c r="K12" s="78"/>
      <c r="O12" s="89"/>
      <c r="P12" s="129" t="s">
        <v>7</v>
      </c>
      <c r="Q12" s="116">
        <v>1353991</v>
      </c>
      <c r="R12" s="116"/>
      <c r="S12" s="116">
        <v>3117.15</v>
      </c>
      <c r="T12" s="130">
        <f>Q12/S12</f>
        <v>434.36825305166576</v>
      </c>
      <c r="U12" s="85"/>
    </row>
    <row r="13" spans="1:21" ht="15" hidden="1" customHeight="1">
      <c r="A13" s="129" t="s">
        <v>96</v>
      </c>
      <c r="B13" s="131">
        <f>F11+F12+F13</f>
        <v>232934.95259740262</v>
      </c>
      <c r="C13" s="131">
        <f>AVERAGE(F11:F13)</f>
        <v>77644.984199134211</v>
      </c>
      <c r="D13" s="90">
        <f>C13/C10-1</f>
        <v>4.1164404443341018E-2</v>
      </c>
      <c r="E13" s="286"/>
      <c r="F13" s="78">
        <f>Q13/20</f>
        <v>87501.05</v>
      </c>
      <c r="G13" s="90">
        <f t="shared" si="2"/>
        <v>0.42173995248122043</v>
      </c>
      <c r="H13" s="90"/>
      <c r="I13" s="130">
        <f t="shared" si="0"/>
        <v>591.95125086254711</v>
      </c>
      <c r="J13" s="130"/>
      <c r="K13" s="78">
        <f>R11+R12+R13</f>
        <v>0</v>
      </c>
      <c r="L13" s="87">
        <f>U13/U10-1</f>
        <v>3.5639774434393923E-2</v>
      </c>
      <c r="N13" s="88">
        <f>AVERAGE(T11:T13)</f>
        <v>508.6787087292908</v>
      </c>
      <c r="O13" s="89">
        <f>N13/N10-1</f>
        <v>0.20225676102478118</v>
      </c>
      <c r="P13" s="129" t="s">
        <v>96</v>
      </c>
      <c r="Q13" s="116">
        <v>1750021</v>
      </c>
      <c r="R13" s="116"/>
      <c r="S13" s="116">
        <v>2956.36</v>
      </c>
      <c r="T13" s="130">
        <f>Q13/S13</f>
        <v>591.95125086254711</v>
      </c>
      <c r="U13" s="85">
        <f>Q11+Q12+Q13</f>
        <v>4865678</v>
      </c>
    </row>
    <row r="14" spans="1:21" ht="15" hidden="1" customHeight="1">
      <c r="A14" s="129" t="s">
        <v>97</v>
      </c>
      <c r="C14" s="79"/>
      <c r="F14" s="78">
        <f>Q14/20</f>
        <v>106831.75</v>
      </c>
      <c r="G14" s="90">
        <f t="shared" si="2"/>
        <v>0.22091963467866949</v>
      </c>
      <c r="H14" s="90"/>
      <c r="I14" s="130">
        <f t="shared" si="0"/>
        <v>724.60236714484358</v>
      </c>
      <c r="J14" s="130"/>
      <c r="O14" s="89"/>
      <c r="P14" s="129" t="s">
        <v>97</v>
      </c>
      <c r="Q14" s="116">
        <v>2136635</v>
      </c>
      <c r="R14" s="116"/>
      <c r="S14" s="116">
        <v>2948.7</v>
      </c>
      <c r="T14" s="130">
        <f>Q14/S14</f>
        <v>724.60236714484358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47194.818181818184</v>
      </c>
      <c r="G15" s="90">
        <f t="shared" si="2"/>
        <v>-0.55823228411199688</v>
      </c>
      <c r="H15" s="90"/>
      <c r="I15" s="130">
        <f t="shared" si="0"/>
        <v>193.29283617266461</v>
      </c>
      <c r="J15" s="130"/>
      <c r="O15" s="89"/>
      <c r="P15" s="129" t="s">
        <v>98</v>
      </c>
      <c r="Q15" s="116">
        <v>1038286</v>
      </c>
      <c r="R15" s="116"/>
      <c r="S15" s="116">
        <v>5371.57</v>
      </c>
      <c r="T15" s="130">
        <f t="shared" ref="T15:T23" si="3">Q15/S15</f>
        <v>193.29283617266461</v>
      </c>
      <c r="U15" s="85"/>
    </row>
    <row r="16" spans="1:21" ht="15" hidden="1" customHeight="1">
      <c r="A16" s="129" t="s">
        <v>99</v>
      </c>
      <c r="B16" s="131">
        <f>F14+F15+F16</f>
        <v>213383.38636363635</v>
      </c>
      <c r="C16" s="131">
        <f>AVERAGE(F14:F16)</f>
        <v>71127.795454545456</v>
      </c>
      <c r="D16" s="90">
        <f>C16/C13-1</f>
        <v>-8.3935734056874489E-2</v>
      </c>
      <c r="E16" s="286"/>
      <c r="F16" s="78">
        <f>Q16/22</f>
        <v>59356.818181818184</v>
      </c>
      <c r="G16" s="90">
        <f t="shared" si="2"/>
        <v>0.25769778269185939</v>
      </c>
      <c r="H16" s="90"/>
      <c r="I16" s="130">
        <f t="shared" si="0"/>
        <v>370.31943010764883</v>
      </c>
      <c r="J16" s="130"/>
      <c r="K16" s="78">
        <f>R14+R15+R16</f>
        <v>0</v>
      </c>
      <c r="L16" s="87">
        <f>U16/U13-1</f>
        <v>-7.9106550001870279E-2</v>
      </c>
      <c r="N16" s="88">
        <f>AVERAGE(T14:T16)</f>
        <v>429.40487780838566</v>
      </c>
      <c r="O16" s="89">
        <f>N16/N13-1</f>
        <v>-0.15584263614833771</v>
      </c>
      <c r="P16" s="129" t="s">
        <v>99</v>
      </c>
      <c r="Q16" s="116">
        <v>1305850</v>
      </c>
      <c r="R16" s="116"/>
      <c r="S16" s="116">
        <v>3526.28</v>
      </c>
      <c r="T16" s="130">
        <f t="shared" si="3"/>
        <v>370.31943010764883</v>
      </c>
      <c r="U16" s="85">
        <f>Q14+Q15+Q16</f>
        <v>4480771</v>
      </c>
    </row>
    <row r="17" spans="1:21" ht="15" hidden="1" customHeight="1">
      <c r="A17" s="129" t="s">
        <v>100</v>
      </c>
      <c r="C17" s="79"/>
      <c r="F17" s="78">
        <f>Q17/20</f>
        <v>44922.15</v>
      </c>
      <c r="G17" s="90">
        <f t="shared" si="2"/>
        <v>-0.24318466898954705</v>
      </c>
      <c r="H17" s="90">
        <f t="shared" ref="H17:H22" si="4">F17/F5-1</f>
        <v>-0.52471958792663553</v>
      </c>
      <c r="I17" s="130">
        <f t="shared" si="0"/>
        <v>371.321882310153</v>
      </c>
      <c r="J17" s="130">
        <f t="shared" ref="J17:J49" si="5">I17/I5-1</f>
        <v>-0.45545803290590126</v>
      </c>
      <c r="O17" s="89"/>
      <c r="P17" s="129" t="s">
        <v>100</v>
      </c>
      <c r="Q17" s="116">
        <v>898443</v>
      </c>
      <c r="R17" s="116">
        <v>1126283447</v>
      </c>
      <c r="S17" s="116">
        <v>2419.58</v>
      </c>
      <c r="T17" s="130">
        <f t="shared" si="3"/>
        <v>371.321882310153</v>
      </c>
      <c r="U17" s="78"/>
    </row>
    <row r="18" spans="1:21" ht="15" hidden="1" customHeight="1">
      <c r="A18" s="129" t="s">
        <v>106</v>
      </c>
      <c r="C18" s="79"/>
      <c r="F18" s="78">
        <f>Q18/20</f>
        <v>49225.45</v>
      </c>
      <c r="G18" s="90">
        <f t="shared" si="2"/>
        <v>9.5794613570365561E-2</v>
      </c>
      <c r="H18" s="90">
        <f t="shared" si="4"/>
        <v>-0.23078223275558973</v>
      </c>
      <c r="I18" s="130">
        <f t="shared" si="0"/>
        <v>530.54670870045538</v>
      </c>
      <c r="J18" s="130">
        <f t="shared" si="5"/>
        <v>0.30396502025085548</v>
      </c>
      <c r="O18" s="89"/>
      <c r="P18" s="129" t="s">
        <v>106</v>
      </c>
      <c r="Q18" s="116">
        <v>984509</v>
      </c>
      <c r="R18" s="116">
        <v>1232683958</v>
      </c>
      <c r="S18" s="116">
        <v>1855.65</v>
      </c>
      <c r="T18" s="130">
        <f t="shared" si="3"/>
        <v>530.54670870045538</v>
      </c>
      <c r="U18" s="78"/>
    </row>
    <row r="19" spans="1:21" hidden="1">
      <c r="A19" s="129" t="s">
        <v>114</v>
      </c>
      <c r="B19" s="131">
        <f>SUM(F17:F19)</f>
        <v>158279.19090909092</v>
      </c>
      <c r="C19" s="131">
        <f>AVERAGE(F17:F19)</f>
        <v>52759.730303030308</v>
      </c>
      <c r="D19" s="90">
        <f>C19/C16-1</f>
        <v>-0.25824032692329602</v>
      </c>
      <c r="E19" s="286">
        <f>C19/C7-1</f>
        <v>-0.28150262080922095</v>
      </c>
      <c r="F19" s="78">
        <f>Q19/22</f>
        <v>64131.590909090912</v>
      </c>
      <c r="G19" s="90">
        <f t="shared" si="2"/>
        <v>0.30281370529047313</v>
      </c>
      <c r="H19" s="90">
        <f t="shared" si="4"/>
        <v>3.8053258817487778E-2</v>
      </c>
      <c r="I19" s="130">
        <f t="shared" si="0"/>
        <v>162.89456669822431</v>
      </c>
      <c r="J19" s="130">
        <f t="shared" si="5"/>
        <v>-0.60631901469029859</v>
      </c>
      <c r="K19" s="78">
        <f>R17+R18+R19</f>
        <v>4202793013</v>
      </c>
      <c r="L19" s="87">
        <f>U19/U16-1</f>
        <v>-0.26489280527837733</v>
      </c>
      <c r="M19" s="87">
        <f>U19/U7-1</f>
        <v>-0.25163856507866111</v>
      </c>
      <c r="N19" s="88">
        <f>AVERAGE(T17:T19)</f>
        <v>354.92105256961094</v>
      </c>
      <c r="O19" s="89">
        <f>N19/N16-1</f>
        <v>-0.17345826535303543</v>
      </c>
      <c r="P19" s="129" t="s">
        <v>114</v>
      </c>
      <c r="Q19" s="116">
        <v>1410895</v>
      </c>
      <c r="R19" s="116">
        <v>1843825608</v>
      </c>
      <c r="S19" s="116">
        <v>8661.4</v>
      </c>
      <c r="T19" s="130">
        <f t="shared" si="3"/>
        <v>162.89456669822431</v>
      </c>
      <c r="U19" s="85">
        <f>Q17+Q18+Q19</f>
        <v>3293847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56647.1</v>
      </c>
      <c r="G20" s="90">
        <f t="shared" si="2"/>
        <v>-0.11670521193993888</v>
      </c>
      <c r="H20" s="90">
        <f t="shared" si="4"/>
        <v>-7.1044288228798935E-2</v>
      </c>
      <c r="I20" s="130">
        <f t="shared" si="0"/>
        <v>408.55153313836286</v>
      </c>
      <c r="J20" s="130">
        <f t="shared" si="5"/>
        <v>0.70779138853575208</v>
      </c>
      <c r="O20" s="89"/>
      <c r="P20" s="129" t="s">
        <v>131</v>
      </c>
      <c r="Q20" s="116">
        <v>1132942</v>
      </c>
      <c r="R20" s="116">
        <v>1487033734</v>
      </c>
      <c r="S20" s="116">
        <v>2773.07</v>
      </c>
      <c r="T20" s="130">
        <f t="shared" si="3"/>
        <v>408.55153313836286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52652.809523809527</v>
      </c>
      <c r="G21" s="90">
        <f t="shared" si="2"/>
        <v>-7.0511826310446168E-2</v>
      </c>
      <c r="H21" s="90">
        <f t="shared" si="4"/>
        <v>-0.37528870839435191</v>
      </c>
      <c r="I21" s="130">
        <f t="shared" si="0"/>
        <v>340.54088182030972</v>
      </c>
      <c r="J21" s="130">
        <f t="shared" si="5"/>
        <v>-0.37433824648567171</v>
      </c>
      <c r="O21" s="89"/>
      <c r="P21" s="129" t="s">
        <v>141</v>
      </c>
      <c r="Q21" s="116">
        <v>1105709</v>
      </c>
      <c r="R21" s="116">
        <v>1472205781</v>
      </c>
      <c r="S21" s="116">
        <v>3246.92</v>
      </c>
      <c r="T21" s="130">
        <f t="shared" si="3"/>
        <v>340.54088182030972</v>
      </c>
      <c r="U21" s="78"/>
    </row>
    <row r="22" spans="1:21" hidden="1">
      <c r="A22" s="129" t="s">
        <v>155</v>
      </c>
      <c r="B22" s="131">
        <f>SUM(F20:F22)</f>
        <v>170889.0523809524</v>
      </c>
      <c r="C22" s="131">
        <f>AVERAGE(F20:F22)</f>
        <v>56963.017460317467</v>
      </c>
      <c r="D22" s="90">
        <f>C22/C19-1</f>
        <v>7.9668473154528963E-2</v>
      </c>
      <c r="E22" s="286">
        <f>C22/C10-1</f>
        <v>-0.2361661637117265</v>
      </c>
      <c r="F22" s="78">
        <f>Q22/21</f>
        <v>61589.142857142855</v>
      </c>
      <c r="G22" s="90">
        <f t="shared" si="2"/>
        <v>0.1697218707634649</v>
      </c>
      <c r="H22" s="90">
        <f t="shared" si="4"/>
        <v>-0.21505162297386204</v>
      </c>
      <c r="I22" s="130">
        <f t="shared" si="0"/>
        <v>517.3984702531443</v>
      </c>
      <c r="J22" s="130">
        <f t="shared" si="5"/>
        <v>6.5060547684987702E-2</v>
      </c>
      <c r="K22" s="78">
        <f>R20+R21+R22</f>
        <v>4633982371</v>
      </c>
      <c r="L22" s="87">
        <f>U22/U19-1</f>
        <v>7.2309369560881187E-2</v>
      </c>
      <c r="M22" s="87">
        <f>U22/U10-1</f>
        <v>-0.24822326857282973</v>
      </c>
      <c r="N22" s="88">
        <f>AVERAGE(T20:T22)</f>
        <v>422.16362840393896</v>
      </c>
      <c r="O22" s="89">
        <f>N22/N19-1</f>
        <v>0.18945783956036166</v>
      </c>
      <c r="P22" s="129" t="s">
        <v>155</v>
      </c>
      <c r="Q22" s="116">
        <v>1293372</v>
      </c>
      <c r="R22" s="116">
        <v>1674742856</v>
      </c>
      <c r="S22" s="116">
        <v>2499.7600000000002</v>
      </c>
      <c r="T22" s="130">
        <f t="shared" si="3"/>
        <v>517.3984702531443</v>
      </c>
      <c r="U22" s="85">
        <f>Q20+Q21+Q22</f>
        <v>3532023</v>
      </c>
    </row>
    <row r="23" spans="1:21" hidden="1">
      <c r="A23" s="129" t="s">
        <v>189</v>
      </c>
      <c r="B23" s="131"/>
      <c r="C23" s="131"/>
      <c r="F23" s="78">
        <f>Q23/21</f>
        <v>67780.333333333328</v>
      </c>
      <c r="G23" s="90">
        <f t="shared" ref="G23" si="6">F23/F22-1</f>
        <v>0.10052405649728002</v>
      </c>
      <c r="H23" s="90">
        <f t="shared" ref="H23" si="7">F23/F11-1</f>
        <v>-0.19202221079364656</v>
      </c>
      <c r="I23" s="130">
        <f t="shared" si="0"/>
        <v>512.46318684879429</v>
      </c>
      <c r="J23" s="130">
        <f t="shared" si="5"/>
        <v>2.5507585713557601E-2</v>
      </c>
      <c r="O23" s="89"/>
      <c r="P23" s="129" t="s">
        <v>189</v>
      </c>
      <c r="Q23" s="116">
        <v>1423387</v>
      </c>
      <c r="R23" s="116">
        <v>1835161706</v>
      </c>
      <c r="S23" s="116">
        <v>2777.54</v>
      </c>
      <c r="T23" s="130">
        <f t="shared" si="3"/>
        <v>512.46318684879429</v>
      </c>
      <c r="U23" s="78"/>
    </row>
    <row r="24" spans="1:21" hidden="1">
      <c r="A24" s="129" t="s">
        <v>205</v>
      </c>
      <c r="B24" s="131"/>
      <c r="C24" s="131"/>
      <c r="F24" s="78">
        <f>Q24/22</f>
        <v>59226.045454545456</v>
      </c>
      <c r="G24" s="90">
        <f t="shared" ref="G24" si="8">F24/F23-1</f>
        <v>-0.1262060461803749</v>
      </c>
      <c r="H24" s="90">
        <f t="shared" ref="H24" si="9">F24/F12-1</f>
        <v>-3.7679718698277909E-2</v>
      </c>
      <c r="I24" s="130">
        <f t="shared" si="0"/>
        <v>560.75374094620008</v>
      </c>
      <c r="J24" s="130">
        <f t="shared" si="5"/>
        <v>0.29096391600124938</v>
      </c>
      <c r="O24" s="89"/>
      <c r="P24" s="129" t="s">
        <v>205</v>
      </c>
      <c r="Q24" s="116">
        <v>1302973</v>
      </c>
      <c r="R24" s="116">
        <v>1719685320</v>
      </c>
      <c r="S24" s="116">
        <v>2323.61</v>
      </c>
      <c r="T24" s="130">
        <f t="shared" ref="T24" si="10">Q24/S24</f>
        <v>560.75374094620008</v>
      </c>
      <c r="U24" s="78"/>
    </row>
    <row r="25" spans="1:21" s="79" customFormat="1" ht="13.2" hidden="1">
      <c r="A25" s="129" t="s">
        <v>219</v>
      </c>
      <c r="B25" s="131">
        <f>SUM(F23:F25)</f>
        <v>196695.6419457735</v>
      </c>
      <c r="C25" s="131">
        <f>AVERAGE(F23:F25)</f>
        <v>65565.213981924506</v>
      </c>
      <c r="D25" s="90">
        <f>C25/C22-1</f>
        <v>0.1510137086329677</v>
      </c>
      <c r="E25" s="286">
        <f>C25/C13-1</f>
        <v>-0.1555769550577667</v>
      </c>
      <c r="F25" s="78">
        <f>Q25/19</f>
        <v>69689.263157894733</v>
      </c>
      <c r="G25" s="90">
        <f t="shared" ref="G25" si="11">F25/F24-1</f>
        <v>0.17666581692305527</v>
      </c>
      <c r="H25" s="90">
        <f t="shared" ref="H25" si="12">F25/F13-1</f>
        <v>-0.20356083546546322</v>
      </c>
      <c r="I25" s="130">
        <f t="shared" si="0"/>
        <v>290.83944147060953</v>
      </c>
      <c r="J25" s="130">
        <f t="shared" si="5"/>
        <v>-0.50867670091613104</v>
      </c>
      <c r="K25" s="78">
        <f>R23+R24+R25</f>
        <v>5312185094</v>
      </c>
      <c r="L25" s="90">
        <f>U25/U22-1</f>
        <v>0.14678075425896142</v>
      </c>
      <c r="M25" s="90">
        <f>U25/U13-1</f>
        <v>-0.16754540682716779</v>
      </c>
      <c r="N25" s="88">
        <f>AVERAGE(T23:T25)</f>
        <v>454.68545642186791</v>
      </c>
      <c r="O25" s="91">
        <f>N25/N22-1</f>
        <v>7.7036072815849232E-2</v>
      </c>
      <c r="P25" s="129" t="s">
        <v>219</v>
      </c>
      <c r="Q25" s="116">
        <v>1324096</v>
      </c>
      <c r="R25" s="116">
        <v>1757338068</v>
      </c>
      <c r="S25" s="116">
        <v>4552.67</v>
      </c>
      <c r="T25" s="130">
        <f t="shared" ref="T25" si="13">Q25/S25</f>
        <v>290.83944147060953</v>
      </c>
      <c r="U25" s="85">
        <f>Q23+Q24+Q25</f>
        <v>4050456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72777.473684210519</v>
      </c>
      <c r="G26" s="90">
        <f t="shared" ref="G26" si="14">F26/F25-1</f>
        <v>4.4314007443569059E-2</v>
      </c>
      <c r="H26" s="90">
        <f t="shared" ref="H26" si="15">F26/F14-1</f>
        <v>-0.31876550104055656</v>
      </c>
      <c r="I26" s="130">
        <f t="shared" si="0"/>
        <v>343.86022500074603</v>
      </c>
      <c r="J26" s="130">
        <f t="shared" si="5"/>
        <v>-0.52544976308087266</v>
      </c>
      <c r="L26" s="90"/>
      <c r="M26" s="90"/>
      <c r="P26" s="129" t="s">
        <v>312</v>
      </c>
      <c r="Q26" s="116">
        <v>1382772</v>
      </c>
      <c r="R26" s="116">
        <v>1865967397</v>
      </c>
      <c r="S26" s="116">
        <v>4021.32</v>
      </c>
      <c r="T26" s="130">
        <f t="shared" ref="T26" si="16">Q26/S26</f>
        <v>343.86022500074603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69048.681818181823</v>
      </c>
      <c r="G27" s="90">
        <f t="shared" ref="G27" si="17">F27/F26-1</f>
        <v>-5.1235522164568836E-2</v>
      </c>
      <c r="H27" s="90">
        <f t="shared" ref="H27" si="18">F27/F15-1</f>
        <v>0.4630564218336759</v>
      </c>
      <c r="I27" s="130">
        <f t="shared" si="0"/>
        <v>392.78463272862666</v>
      </c>
      <c r="J27" s="130">
        <f t="shared" si="5"/>
        <v>1.0320703058946274</v>
      </c>
      <c r="L27" s="90"/>
      <c r="M27" s="90"/>
      <c r="P27" s="129" t="s">
        <v>383</v>
      </c>
      <c r="Q27" s="116">
        <v>1519071</v>
      </c>
      <c r="R27" s="116">
        <v>2003159246</v>
      </c>
      <c r="S27" s="116">
        <v>3867.44</v>
      </c>
      <c r="T27" s="130">
        <f t="shared" ref="T27" si="19">Q27/S27</f>
        <v>392.78463272862666</v>
      </c>
      <c r="U27" s="78"/>
    </row>
    <row r="28" spans="1:21" s="79" customFormat="1" ht="13.2" hidden="1">
      <c r="A28" s="123" t="s">
        <v>413</v>
      </c>
      <c r="B28" s="131">
        <f>SUM(F26:F28)</f>
        <v>198487.73444976076</v>
      </c>
      <c r="C28" s="131">
        <f>AVERAGE(F26:F28)</f>
        <v>66162.578149920257</v>
      </c>
      <c r="D28" s="90">
        <f>C28/C25-1</f>
        <v>9.1109924259598074E-3</v>
      </c>
      <c r="E28" s="286">
        <f>C28/C16-1</f>
        <v>-6.9806989980425338E-2</v>
      </c>
      <c r="F28" s="78">
        <f>Q28/19</f>
        <v>56661.57894736842</v>
      </c>
      <c r="G28" s="90">
        <f t="shared" ref="G28" si="20">F28/F27-1</f>
        <v>-0.17939665964125107</v>
      </c>
      <c r="H28" s="90">
        <f t="shared" ref="H28" si="21">F28/F16-1</f>
        <v>-4.5407407556683266E-2</v>
      </c>
      <c r="I28" s="130">
        <f t="shared" si="0"/>
        <v>359.94610354004789</v>
      </c>
      <c r="J28" s="130">
        <f t="shared" si="5"/>
        <v>-2.8011834444078398E-2</v>
      </c>
      <c r="K28" s="78">
        <f>R26+R27+R28</f>
        <v>5274291640</v>
      </c>
      <c r="L28" s="90">
        <f>U28/U25-1</f>
        <v>-1.7786392445690025E-2</v>
      </c>
      <c r="M28" s="90">
        <f>U28/U16-1</f>
        <v>-0.11211418749139379</v>
      </c>
      <c r="N28" s="88">
        <f>AVERAGE(T26:T28)</f>
        <v>365.53032042314021</v>
      </c>
      <c r="O28" s="91">
        <f>N28/N25-1</f>
        <v>-0.19608090546887313</v>
      </c>
      <c r="P28" s="129" t="s">
        <v>413</v>
      </c>
      <c r="Q28" s="116">
        <v>1076570</v>
      </c>
      <c r="R28" s="116">
        <v>1405164997</v>
      </c>
      <c r="S28" s="116">
        <v>2990.92</v>
      </c>
      <c r="T28" s="130">
        <f t="shared" ref="T28" si="22">Q28/S28</f>
        <v>359.94610354004789</v>
      </c>
      <c r="U28" s="85">
        <f>Q26+Q27+Q28</f>
        <v>3978413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63218.272727272728</v>
      </c>
      <c r="G29" s="190">
        <f t="shared" ref="G29" si="23">F29/F28-1</f>
        <v>0.1157167502514298</v>
      </c>
      <c r="H29" s="190">
        <f t="shared" ref="H29" si="24">F29/F17-1</f>
        <v>0.40728510828784303</v>
      </c>
      <c r="I29" s="130">
        <f t="shared" si="0"/>
        <v>238.2052762016007</v>
      </c>
      <c r="J29" s="130">
        <f t="shared" si="5"/>
        <v>-0.35849383634591281</v>
      </c>
      <c r="K29" s="136"/>
      <c r="L29" s="190"/>
      <c r="M29" s="190"/>
      <c r="N29" s="191"/>
      <c r="O29" s="192"/>
      <c r="P29" s="129" t="s">
        <v>430</v>
      </c>
      <c r="Q29" s="116">
        <v>1390802</v>
      </c>
      <c r="R29" s="116">
        <v>1830766321</v>
      </c>
      <c r="S29" s="116">
        <v>5838.67</v>
      </c>
      <c r="T29" s="130">
        <f t="shared" ref="T29" si="25">Q29/S29</f>
        <v>238.2052762016007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64298.315789473687</v>
      </c>
      <c r="G30" s="190">
        <f t="shared" ref="G30" si="26">F30/F29-1</f>
        <v>1.708434943897208E-2</v>
      </c>
      <c r="H30" s="190">
        <f t="shared" ref="H30" si="27">F30/F18-1</f>
        <v>0.30620067037424126</v>
      </c>
      <c r="I30" s="130">
        <f t="shared" si="0"/>
        <v>616.94172305827692</v>
      </c>
      <c r="J30" s="130">
        <f t="shared" si="5"/>
        <v>0.16284148585040015</v>
      </c>
      <c r="K30" s="136"/>
      <c r="L30" s="190"/>
      <c r="M30" s="190"/>
      <c r="N30" s="191"/>
      <c r="O30" s="192"/>
      <c r="P30" s="129" t="s">
        <v>466</v>
      </c>
      <c r="Q30" s="116">
        <v>1221668</v>
      </c>
      <c r="R30" s="116">
        <v>1628144698</v>
      </c>
      <c r="S30" s="116">
        <v>1980.2</v>
      </c>
      <c r="T30" s="130">
        <f t="shared" ref="T30" si="28">Q30/S30</f>
        <v>616.94172305827692</v>
      </c>
      <c r="U30" s="85"/>
    </row>
    <row r="31" spans="1:21" s="79" customFormat="1" ht="13.2" hidden="1">
      <c r="A31" s="129" t="s">
        <v>505</v>
      </c>
      <c r="B31" s="188">
        <f>SUM(F29:F31)</f>
        <v>192144.08851674641</v>
      </c>
      <c r="C31" s="188">
        <f>AVERAGE(F29:F31)</f>
        <v>64048.029505582141</v>
      </c>
      <c r="D31" s="190">
        <f>C31/C28-1</f>
        <v>-3.1959888859631191E-2</v>
      </c>
      <c r="E31" s="287">
        <f>C31/C19-1</f>
        <v>0.21395672680122613</v>
      </c>
      <c r="F31" s="136">
        <f>Q31/20</f>
        <v>64627.5</v>
      </c>
      <c r="G31" s="190">
        <f t="shared" ref="G31" si="29">F31/F30-1</f>
        <v>5.1196397057138299E-3</v>
      </c>
      <c r="H31" s="190">
        <f t="shared" ref="H31" si="30">F31/F19-1</f>
        <v>7.7326803199386784E-3</v>
      </c>
      <c r="I31" s="130">
        <f t="shared" si="0"/>
        <v>324.8486402123184</v>
      </c>
      <c r="J31" s="130">
        <f t="shared" si="5"/>
        <v>0.99422636860643387</v>
      </c>
      <c r="K31" s="136">
        <f>R29+R30+R31</f>
        <v>5174921880</v>
      </c>
      <c r="L31" s="190">
        <f>U31/U28-1</f>
        <v>-1.8447808208951644E-2</v>
      </c>
      <c r="M31" s="190">
        <f>U31/U19-1</f>
        <v>0.18554990562706775</v>
      </c>
      <c r="N31" s="191">
        <f>AVERAGE(T29:T31)</f>
        <v>393.33187982406531</v>
      </c>
      <c r="O31" s="192">
        <f>N31/N28-1</f>
        <v>7.6058148524428493E-2</v>
      </c>
      <c r="P31" s="129" t="s">
        <v>505</v>
      </c>
      <c r="Q31" s="116">
        <v>1292550</v>
      </c>
      <c r="R31" s="116">
        <v>1716010861</v>
      </c>
      <c r="S31" s="116">
        <v>3978.93</v>
      </c>
      <c r="T31" s="130">
        <f t="shared" ref="T31" si="31">Q31/S31</f>
        <v>324.8486402123184</v>
      </c>
      <c r="U31" s="85">
        <f>Q29+Q30+Q31</f>
        <v>3905020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61957.809523809527</v>
      </c>
      <c r="G32" s="190">
        <f t="shared" ref="G32" si="32">F32/F31-1</f>
        <v>-4.1308892904575845E-2</v>
      </c>
      <c r="H32" s="190">
        <f t="shared" ref="H32" si="33">F32/F20-1</f>
        <v>9.3750774952460647E-2</v>
      </c>
      <c r="I32" s="130">
        <f t="shared" si="0"/>
        <v>313.62951571264318</v>
      </c>
      <c r="J32" s="130">
        <f t="shared" si="5"/>
        <v>-0.23233792979935464</v>
      </c>
      <c r="K32" s="136"/>
      <c r="L32" s="190"/>
      <c r="M32" s="190"/>
      <c r="N32" s="191"/>
      <c r="O32" s="192"/>
      <c r="P32" s="129" t="s">
        <v>562</v>
      </c>
      <c r="Q32" s="116">
        <v>1301114</v>
      </c>
      <c r="R32" s="116">
        <v>1769769182</v>
      </c>
      <c r="S32" s="116">
        <v>4148.57</v>
      </c>
      <c r="T32" s="130">
        <f t="shared" ref="T32" si="34">Q32/S32</f>
        <v>313.62951571264318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59573.285714285717</v>
      </c>
      <c r="G33" s="190">
        <f t="shared" ref="G33" si="35">F33/F32-1</f>
        <v>-3.8486251012593842E-2</v>
      </c>
      <c r="H33" s="190">
        <f t="shared" ref="H33" si="36">F33/F21-1</f>
        <v>0.13143602882856165</v>
      </c>
      <c r="I33" s="130">
        <f t="shared" si="0"/>
        <v>403.19419109068525</v>
      </c>
      <c r="J33" s="130">
        <f t="shared" si="5"/>
        <v>0.18398175553981</v>
      </c>
      <c r="K33" s="136"/>
      <c r="L33" s="190"/>
      <c r="M33" s="190"/>
      <c r="N33" s="191"/>
      <c r="O33" s="192"/>
      <c r="P33" s="129" t="s">
        <v>607</v>
      </c>
      <c r="Q33" s="116">
        <v>1251039</v>
      </c>
      <c r="R33" s="116">
        <v>1710579060</v>
      </c>
      <c r="S33" s="116">
        <v>3102.82</v>
      </c>
      <c r="T33" s="130">
        <f t="shared" ref="T33" si="37">Q33/S33</f>
        <v>403.19419109068525</v>
      </c>
      <c r="U33" s="85"/>
    </row>
    <row r="34" spans="1:21" s="79" customFormat="1" ht="13.2" hidden="1">
      <c r="A34" s="129" t="s">
        <v>654</v>
      </c>
      <c r="B34" s="188">
        <f>SUM(F32:F34)</f>
        <v>200769.41102756892</v>
      </c>
      <c r="C34" s="188">
        <f>AVERAGE(F32:F34)</f>
        <v>66923.137009189639</v>
      </c>
      <c r="D34" s="190">
        <f>C34/C31-1</f>
        <v>4.4889866648542442E-2</v>
      </c>
      <c r="E34" s="287">
        <f>C34/C22-1</f>
        <v>0.17485238656485769</v>
      </c>
      <c r="F34" s="136">
        <f>Q34/19</f>
        <v>79238.31578947368</v>
      </c>
      <c r="G34" s="190">
        <f t="shared" ref="G34" si="38">F34/F33-1</f>
        <v>0.33009812769941393</v>
      </c>
      <c r="H34" s="190">
        <f t="shared" ref="H34" si="39">F34/F22-1</f>
        <v>0.28656305500578894</v>
      </c>
      <c r="I34" s="130">
        <f t="shared" si="0"/>
        <v>307.49032919541355</v>
      </c>
      <c r="J34" s="130">
        <f t="shared" si="5"/>
        <v>-0.40569919148587796</v>
      </c>
      <c r="K34" s="136">
        <f>R32+R33+R34</f>
        <v>5552209253</v>
      </c>
      <c r="L34" s="190">
        <f>U34/U31-1</f>
        <v>3.9093525769394288E-2</v>
      </c>
      <c r="M34" s="190">
        <f>U34/U22-1</f>
        <v>0.14882632417739061</v>
      </c>
      <c r="N34" s="191">
        <f>AVERAGE(T32:T34)</f>
        <v>341.43801199958062</v>
      </c>
      <c r="O34" s="192">
        <f>N34/N31-1</f>
        <v>-0.13193404980978518</v>
      </c>
      <c r="P34" s="129" t="s">
        <v>654</v>
      </c>
      <c r="Q34" s="116">
        <v>1505528</v>
      </c>
      <c r="R34" s="116">
        <v>2071861011</v>
      </c>
      <c r="S34" s="116">
        <v>4896.18</v>
      </c>
      <c r="T34" s="130">
        <f t="shared" ref="T34" si="40">Q34/S34</f>
        <v>307.49032919541355</v>
      </c>
      <c r="U34" s="85">
        <f>Q32+Q33+Q34</f>
        <v>4057681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72508.217391304352</v>
      </c>
      <c r="G35" s="190">
        <f t="shared" ref="G35" si="41">F35/F34-1</f>
        <v>-8.4934899626720517E-2</v>
      </c>
      <c r="H35" s="190">
        <f t="shared" ref="H35" si="42">F35/F23-1</f>
        <v>6.975303639656083E-2</v>
      </c>
      <c r="I35" s="130">
        <f t="shared" si="0"/>
        <v>277.31542530459672</v>
      </c>
      <c r="J35" s="130">
        <f t="shared" si="5"/>
        <v>-0.45885786058146549</v>
      </c>
      <c r="K35" s="136"/>
      <c r="L35" s="190"/>
      <c r="M35" s="190"/>
      <c r="N35" s="191"/>
      <c r="O35" s="192"/>
      <c r="P35" s="129" t="s">
        <v>660</v>
      </c>
      <c r="Q35" s="116">
        <v>1667689</v>
      </c>
      <c r="R35" s="116">
        <v>2307616314</v>
      </c>
      <c r="S35" s="116">
        <v>6013.69</v>
      </c>
      <c r="T35" s="130">
        <f t="shared" ref="T35" si="43">Q35/S35</f>
        <v>277.31542530459672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67441.952380952382</v>
      </c>
      <c r="G36" s="190">
        <f t="shared" ref="G36" si="44">F36/F35-1</f>
        <v>-6.9871597904702432E-2</v>
      </c>
      <c r="H36" s="190">
        <f t="shared" ref="H36" si="45">F36/F24-1</f>
        <v>0.13872118024007585</v>
      </c>
      <c r="I36" s="130">
        <f t="shared" si="0"/>
        <v>309.51075970252651</v>
      </c>
      <c r="J36" s="130">
        <f t="shared" si="5"/>
        <v>-0.44804512729550983</v>
      </c>
      <c r="K36" s="136"/>
      <c r="L36" s="190"/>
      <c r="M36" s="190"/>
      <c r="N36" s="191"/>
      <c r="O36" s="192"/>
      <c r="P36" s="129" t="s">
        <v>672</v>
      </c>
      <c r="Q36" s="116">
        <v>1416281</v>
      </c>
      <c r="R36" s="116">
        <v>1931381780</v>
      </c>
      <c r="S36" s="116">
        <v>4575.87</v>
      </c>
      <c r="T36" s="130">
        <f t="shared" ref="T36" si="46">Q36/S36</f>
        <v>309.51075970252651</v>
      </c>
      <c r="U36" s="85"/>
    </row>
    <row r="37" spans="1:21" s="79" customFormat="1" ht="13.2" hidden="1">
      <c r="A37" s="129" t="s">
        <v>702</v>
      </c>
      <c r="B37" s="188">
        <f>SUM(F35:F37)</f>
        <v>226334.44755003453</v>
      </c>
      <c r="C37" s="188">
        <f>AVERAGE(F35:F37)</f>
        <v>75444.81585001151</v>
      </c>
      <c r="D37" s="190">
        <f>C37/C34-1</f>
        <v>0.12733531662826425</v>
      </c>
      <c r="E37" s="287">
        <f>C37/C25-1</f>
        <v>0.15068359070422144</v>
      </c>
      <c r="F37" s="136">
        <f>Q37/18</f>
        <v>86384.277777777781</v>
      </c>
      <c r="G37" s="190">
        <f t="shared" ref="G37" si="47">F37/F36-1</f>
        <v>0.28086857998754011</v>
      </c>
      <c r="H37" s="190">
        <f t="shared" ref="H37" si="48">F37/F25-1</f>
        <v>0.23956365533751178</v>
      </c>
      <c r="I37" s="130">
        <f t="shared" si="0"/>
        <v>259.09281016564495</v>
      </c>
      <c r="J37" s="130">
        <f t="shared" si="5"/>
        <v>-0.1091551790377534</v>
      </c>
      <c r="K37" s="136">
        <f>R35+R36+R37</f>
        <v>6315267515</v>
      </c>
      <c r="L37" s="190">
        <f>U37/U34-1</f>
        <v>0.14323600105577539</v>
      </c>
      <c r="M37" s="190">
        <f>U37/U25-1</f>
        <v>0.14527524802145741</v>
      </c>
      <c r="N37" s="191">
        <f>AVERAGE(T35:T37)</f>
        <v>281.97299839092278</v>
      </c>
      <c r="O37" s="192">
        <f>N37/N34-1</f>
        <v>-0.17416049625057817</v>
      </c>
      <c r="P37" s="129" t="s">
        <v>702</v>
      </c>
      <c r="Q37" s="116">
        <v>1554917</v>
      </c>
      <c r="R37" s="116">
        <v>2076269421</v>
      </c>
      <c r="S37" s="116">
        <v>6001.39</v>
      </c>
      <c r="T37" s="130">
        <f t="shared" ref="T37" si="49">Q37/S37</f>
        <v>259.09281016564495</v>
      </c>
      <c r="U37" s="85">
        <f>Q35+Q36+Q37</f>
        <v>4638887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87001</v>
      </c>
      <c r="G38" s="190">
        <f t="shared" ref="G38" si="50">F38/F37-1</f>
        <v>7.1392878205074339E-3</v>
      </c>
      <c r="H38" s="190">
        <f t="shared" ref="H38" si="51">F38/F26-1</f>
        <v>0.19543858278877502</v>
      </c>
      <c r="I38" s="130">
        <f t="shared" si="0"/>
        <v>269.05722812388859</v>
      </c>
      <c r="J38" s="130">
        <f t="shared" si="5"/>
        <v>-0.21753896332934453</v>
      </c>
      <c r="K38" s="136"/>
      <c r="L38" s="190"/>
      <c r="M38" s="190"/>
      <c r="N38" s="191"/>
      <c r="O38" s="192"/>
      <c r="P38" s="129" t="s">
        <v>727</v>
      </c>
      <c r="Q38" s="116">
        <v>1740020</v>
      </c>
      <c r="R38" s="116">
        <v>2346145178</v>
      </c>
      <c r="S38" s="116">
        <v>6467.1</v>
      </c>
      <c r="T38" s="130">
        <f t="shared" ref="T38" si="52">Q38/S38</f>
        <v>269.05722812388859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82988.904761904763</v>
      </c>
      <c r="G39" s="190">
        <f t="shared" ref="G39" si="53">F39/F38-1</f>
        <v>-4.6115507156184843E-2</v>
      </c>
      <c r="H39" s="190">
        <f t="shared" ref="H39" si="54">F39/F27-1</f>
        <v>0.2018897765554768</v>
      </c>
      <c r="I39" s="130">
        <f t="shared" si="0"/>
        <v>250.42058465146221</v>
      </c>
      <c r="J39" s="130">
        <f t="shared" si="5"/>
        <v>-0.36244811078320172</v>
      </c>
      <c r="K39" s="136"/>
      <c r="L39" s="190"/>
      <c r="M39" s="190"/>
      <c r="N39" s="191"/>
      <c r="O39" s="192"/>
      <c r="P39" s="129" t="s">
        <v>762</v>
      </c>
      <c r="Q39" s="116">
        <v>1742767</v>
      </c>
      <c r="R39" s="116">
        <v>2421314998</v>
      </c>
      <c r="S39" s="116">
        <v>6959.36</v>
      </c>
      <c r="T39" s="130">
        <f t="shared" ref="T39" si="55">Q39/S39</f>
        <v>250.42058465146221</v>
      </c>
      <c r="U39" s="85"/>
    </row>
    <row r="40" spans="1:21" s="79" customFormat="1" ht="13.2" hidden="1">
      <c r="A40" s="129" t="s">
        <v>778</v>
      </c>
      <c r="B40" s="188">
        <f>SUM(F38:F40)</f>
        <v>227635.38095238095</v>
      </c>
      <c r="C40" s="188">
        <f>AVERAGE(F38:F40)</f>
        <v>75878.460317460311</v>
      </c>
      <c r="D40" s="190">
        <f>C40/C37-1</f>
        <v>5.7478365155123612E-3</v>
      </c>
      <c r="E40" s="287">
        <f>C40/C28-1</f>
        <v>0.14684860292965718</v>
      </c>
      <c r="F40" s="136">
        <f>Q40/21</f>
        <v>57645.476190476191</v>
      </c>
      <c r="G40" s="190">
        <f t="shared" ref="G40" si="56">F40/F39-1</f>
        <v>-0.30538333581023736</v>
      </c>
      <c r="H40" s="190">
        <f t="shared" ref="H40" si="57">F40/F28-1</f>
        <v>1.7364451562878136E-2</v>
      </c>
      <c r="I40" s="130">
        <f t="shared" si="0"/>
        <v>246.78108525741123</v>
      </c>
      <c r="J40" s="130">
        <f t="shared" si="5"/>
        <v>-0.3143943417352365</v>
      </c>
      <c r="K40" s="136">
        <f>R38+R39+R40</f>
        <v>6480232359</v>
      </c>
      <c r="L40" s="190">
        <f>U40/U37-1</f>
        <v>1.1738807175083243E-2</v>
      </c>
      <c r="M40" s="190">
        <f>U40/U28-1</f>
        <v>0.17970205707652775</v>
      </c>
      <c r="N40" s="191">
        <f>AVERAGE(T38:T40)</f>
        <v>255.41963267758737</v>
      </c>
      <c r="O40" s="192">
        <f>N40/N37-1</f>
        <v>-9.4169888127097368E-2</v>
      </c>
      <c r="P40" s="129" t="s">
        <v>778</v>
      </c>
      <c r="Q40" s="116">
        <v>1210555</v>
      </c>
      <c r="R40" s="116">
        <v>1712772183</v>
      </c>
      <c r="S40" s="116">
        <v>4905.38</v>
      </c>
      <c r="T40" s="130">
        <f t="shared" ref="T40" si="58">Q40/S40</f>
        <v>246.78108525741123</v>
      </c>
      <c r="U40" s="85">
        <f>Q38+Q39+Q40</f>
        <v>4693342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73783.222222222219</v>
      </c>
      <c r="G41" s="190">
        <f t="shared" ref="G41" si="59">F41/F40-1</f>
        <v>0.27994817803954919</v>
      </c>
      <c r="H41" s="190">
        <f t="shared" ref="H41" si="60">F41/F29-1</f>
        <v>0.16711860414989976</v>
      </c>
      <c r="I41" s="130">
        <f t="shared" si="0"/>
        <v>385.74644271013352</v>
      </c>
      <c r="J41" s="130">
        <f t="shared" si="5"/>
        <v>0.61938664357570339</v>
      </c>
      <c r="K41" s="193"/>
      <c r="L41" s="190"/>
      <c r="M41" s="190"/>
      <c r="N41" s="193"/>
      <c r="O41" s="193"/>
      <c r="P41" s="129" t="s">
        <v>796</v>
      </c>
      <c r="Q41" s="116">
        <v>1328098</v>
      </c>
      <c r="R41" s="116">
        <v>1942442862</v>
      </c>
      <c r="S41" s="116">
        <v>3442.93</v>
      </c>
      <c r="T41" s="130">
        <f t="shared" ref="T41" si="61">Q41/S41</f>
        <v>385.74644271013352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74340.5</v>
      </c>
      <c r="G42" s="190">
        <f t="shared" ref="G42" si="62">F42/F41-1</f>
        <v>7.5529064873225416E-3</v>
      </c>
      <c r="H42" s="190">
        <f t="shared" ref="H42" si="63">F42/F30-1</f>
        <v>0.15618113922931598</v>
      </c>
      <c r="I42" s="130">
        <f t="shared" si="0"/>
        <v>303.1472623547786</v>
      </c>
      <c r="J42" s="130">
        <f t="shared" si="5"/>
        <v>-0.50862901466279498</v>
      </c>
      <c r="K42" s="193"/>
      <c r="L42" s="190"/>
      <c r="M42" s="190"/>
      <c r="N42" s="193"/>
      <c r="O42" s="193"/>
      <c r="P42" s="129" t="s">
        <v>826</v>
      </c>
      <c r="Q42" s="116">
        <v>1486810</v>
      </c>
      <c r="R42" s="116">
        <v>2149991179</v>
      </c>
      <c r="S42" s="116">
        <v>4904.58</v>
      </c>
      <c r="T42" s="130">
        <f t="shared" ref="T42" si="64">Q42/S42</f>
        <v>303.1472623547786</v>
      </c>
      <c r="U42" s="78"/>
    </row>
    <row r="43" spans="1:21" s="79" customFormat="1" ht="13.2">
      <c r="A43" s="129" t="s">
        <v>835</v>
      </c>
      <c r="B43" s="188">
        <f>SUM(F41:F43)</f>
        <v>212231.12222222221</v>
      </c>
      <c r="C43" s="188">
        <f>AVERAGE(F41:F43)</f>
        <v>70743.707407407404</v>
      </c>
      <c r="D43" s="190">
        <f>C43/C40-1</f>
        <v>-6.7670757795692316E-2</v>
      </c>
      <c r="E43" s="287">
        <f>C43/C31-1</f>
        <v>0.10454151288513414</v>
      </c>
      <c r="F43" s="136">
        <f>Q43/20</f>
        <v>64107.4</v>
      </c>
      <c r="G43" s="190">
        <f t="shared" ref="G43" si="65">F43/F42-1</f>
        <v>-0.13765175106435923</v>
      </c>
      <c r="H43" s="190">
        <f t="shared" ref="H43" si="66">F43/F31-1</f>
        <v>-8.0476577308421504E-3</v>
      </c>
      <c r="I43" s="130">
        <f t="shared" si="0"/>
        <v>244.9731840736134</v>
      </c>
      <c r="J43" s="130">
        <f t="shared" si="5"/>
        <v>-0.24588514850023402</v>
      </c>
      <c r="K43" s="136">
        <f>R41+R42+R43</f>
        <v>5950730700</v>
      </c>
      <c r="L43" s="190">
        <f>U43/U40-1</f>
        <v>-0.12704933925548145</v>
      </c>
      <c r="M43" s="190">
        <f>K43/K31-1</f>
        <v>0.14991701092113874</v>
      </c>
      <c r="N43" s="191">
        <f>AVERAGE(T41:T43)</f>
        <v>311.28896304617518</v>
      </c>
      <c r="O43" s="192">
        <f>N43/N40-1</f>
        <v>0.21873545812788353</v>
      </c>
      <c r="P43" s="129" t="s">
        <v>835</v>
      </c>
      <c r="Q43" s="116">
        <v>1282148</v>
      </c>
      <c r="R43" s="116">
        <v>1858296659</v>
      </c>
      <c r="S43" s="116">
        <v>5233.83</v>
      </c>
      <c r="T43" s="130">
        <f t="shared" ref="T43" si="67">Q43/S43</f>
        <v>244.9731840736134</v>
      </c>
      <c r="U43" s="85">
        <f>Q41+Q42+Q43</f>
        <v>4097056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59722.36363636364</v>
      </c>
      <c r="G44" s="190">
        <f t="shared" ref="G44" si="68">F44/F43-1</f>
        <v>-6.8401407070577847E-2</v>
      </c>
      <c r="H44" s="190">
        <f t="shared" ref="H44" si="69">F44/F32-1</f>
        <v>-3.6080131054130216E-2</v>
      </c>
      <c r="I44" s="130">
        <f t="shared" si="0"/>
        <v>201.67028649051042</v>
      </c>
      <c r="J44" s="130">
        <f t="shared" si="5"/>
        <v>-0.35697924976140694</v>
      </c>
      <c r="K44" s="136"/>
      <c r="L44" s="190"/>
      <c r="M44" s="190"/>
      <c r="N44" s="191"/>
      <c r="O44" s="192"/>
      <c r="P44" s="129" t="s">
        <v>843</v>
      </c>
      <c r="Q44" s="116">
        <v>1313892</v>
      </c>
      <c r="R44" s="116">
        <v>1906846563</v>
      </c>
      <c r="S44" s="116">
        <v>6515.05</v>
      </c>
      <c r="T44" s="130">
        <f t="shared" ref="T44" si="70">Q44/S44</f>
        <v>201.67028649051042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80307.399999999994</v>
      </c>
      <c r="G45" s="190">
        <f t="shared" ref="G45" si="71">F45/F44-1</f>
        <v>0.34467886249402513</v>
      </c>
      <c r="H45" s="190">
        <f t="shared" ref="H45" si="72">F45/F33-1</f>
        <v>0.34804382597185213</v>
      </c>
      <c r="I45" s="130">
        <f t="shared" si="0"/>
        <v>413.68272480013189</v>
      </c>
      <c r="J45" s="130">
        <f t="shared" si="5"/>
        <v>2.601360322447599E-2</v>
      </c>
      <c r="K45" s="136"/>
      <c r="L45" s="190"/>
      <c r="M45" s="190"/>
      <c r="N45" s="191"/>
      <c r="O45" s="192"/>
      <c r="P45" s="129" t="s">
        <v>849</v>
      </c>
      <c r="Q45" s="116">
        <v>1606148</v>
      </c>
      <c r="R45" s="116">
        <v>2255219576</v>
      </c>
      <c r="S45" s="116">
        <v>3882.56</v>
      </c>
      <c r="T45" s="130">
        <f t="shared" ref="T45" si="73">Q45/S45</f>
        <v>413.68272480013189</v>
      </c>
      <c r="U45" s="85"/>
    </row>
    <row r="46" spans="1:21" s="79" customFormat="1" ht="13.2">
      <c r="A46" s="129" t="s">
        <v>895</v>
      </c>
      <c r="B46" s="188">
        <f>SUM(F44:F46)</f>
        <v>223903.8162679426</v>
      </c>
      <c r="C46" s="188">
        <f>AVERAGE(F44:F46)</f>
        <v>74634.605422647539</v>
      </c>
      <c r="D46" s="190">
        <f>C46/C43-1</f>
        <v>5.4999916711075958E-2</v>
      </c>
      <c r="E46" s="287">
        <f>C46/C34-1</f>
        <v>0.11522873490522412</v>
      </c>
      <c r="F46" s="136">
        <f>Q46/19</f>
        <v>83874.052631578947</v>
      </c>
      <c r="G46" s="190">
        <f t="shared" ref="G46" si="74">F46/F45-1</f>
        <v>4.4412502852526181E-2</v>
      </c>
      <c r="H46" s="190">
        <f t="shared" ref="H46" si="75">F46/F34-1</f>
        <v>5.8503727595899946E-2</v>
      </c>
      <c r="I46" s="130">
        <f t="shared" si="0"/>
        <v>463.60015825638698</v>
      </c>
      <c r="J46" s="130">
        <f t="shared" si="5"/>
        <v>0.50769020758946826</v>
      </c>
      <c r="K46" s="136">
        <f>R44+R45+R46</f>
        <v>6346414700</v>
      </c>
      <c r="L46" s="190">
        <f>U46/U43-1</f>
        <v>0.10168057258675489</v>
      </c>
      <c r="M46" s="190">
        <f>K46/K34-1</f>
        <v>0.14304314027265286</v>
      </c>
      <c r="N46" s="191">
        <f>AVERAGE(T44:T46)</f>
        <v>359.65105651567643</v>
      </c>
      <c r="O46" s="192">
        <f>N46/N43-1</f>
        <v>0.15536077153601946</v>
      </c>
      <c r="P46" s="129" t="s">
        <v>928</v>
      </c>
      <c r="Q46" s="116">
        <v>1593607</v>
      </c>
      <c r="R46" s="116">
        <v>2184348561</v>
      </c>
      <c r="S46" s="116">
        <v>3437.46</v>
      </c>
      <c r="T46" s="130">
        <f t="shared" ref="T46" si="76">Q46/S46</f>
        <v>463.60015825638698</v>
      </c>
      <c r="U46" s="85">
        <f t="shared" ref="U46:U51" si="77">Q44+Q45+Q46</f>
        <v>4513647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75261.782608695648</v>
      </c>
      <c r="G47" s="190">
        <f t="shared" ref="G47" si="78">F47/F46-1</f>
        <v>-0.10268098121731561</v>
      </c>
      <c r="H47" s="190">
        <f t="shared" ref="H47" si="79">F47/F35-1</f>
        <v>3.7975905579517466E-2</v>
      </c>
      <c r="I47" s="130">
        <f t="shared" si="0"/>
        <v>537.04378203298552</v>
      </c>
      <c r="J47" s="130">
        <f t="shared" si="5"/>
        <v>0.93658099416254714</v>
      </c>
      <c r="K47" s="136"/>
      <c r="L47" s="190"/>
      <c r="M47" s="190"/>
      <c r="N47" s="191"/>
      <c r="O47" s="192"/>
      <c r="P47" s="129" t="s">
        <v>1029</v>
      </c>
      <c r="Q47" s="116">
        <v>1731021</v>
      </c>
      <c r="R47" s="116">
        <v>2372589676</v>
      </c>
      <c r="S47" s="116">
        <v>3223.24</v>
      </c>
      <c r="T47" s="130">
        <f t="shared" ref="T47" si="80">Q47/S47</f>
        <v>537.04378203298552</v>
      </c>
      <c r="U47" s="85">
        <f t="shared" si="77"/>
        <v>4930776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92399.2</v>
      </c>
      <c r="G48" s="190">
        <f t="shared" ref="G48" si="81">F48/F47-1</f>
        <v>0.22770411219736797</v>
      </c>
      <c r="H48" s="190">
        <f t="shared" ref="H48" si="82">F48/F36-1</f>
        <v>0.3700552362137175</v>
      </c>
      <c r="I48" s="130">
        <f t="shared" si="0"/>
        <v>497.55099403364426</v>
      </c>
      <c r="J48" s="130">
        <f t="shared" si="5"/>
        <v>0.60754021770307709</v>
      </c>
      <c r="K48" s="136"/>
      <c r="L48" s="190"/>
      <c r="M48" s="190"/>
      <c r="N48" s="191"/>
      <c r="O48" s="192"/>
      <c r="P48" s="129" t="s">
        <v>1070</v>
      </c>
      <c r="Q48" s="116">
        <v>1847984</v>
      </c>
      <c r="R48" s="116">
        <v>2565556426</v>
      </c>
      <c r="S48" s="116">
        <v>3714.16</v>
      </c>
      <c r="T48" s="130">
        <f t="shared" ref="T48" si="83">Q48/S48</f>
        <v>497.55099403364426</v>
      </c>
      <c r="U48" s="85">
        <f t="shared" si="77"/>
        <v>5172612</v>
      </c>
    </row>
    <row r="49" spans="1:26" ht="13.2">
      <c r="A49" s="129" t="s">
        <v>1210</v>
      </c>
      <c r="B49" s="188">
        <f>SUM(F47:F49)</f>
        <v>245596.07351778654</v>
      </c>
      <c r="C49" s="188">
        <f>AVERAGE(F47:F49)</f>
        <v>81865.357839262186</v>
      </c>
      <c r="D49" s="190">
        <f>C49/C46-1</f>
        <v>9.6882034488796398E-2</v>
      </c>
      <c r="E49" s="287">
        <f>C49/C37-1</f>
        <v>8.5102494013837404E-2</v>
      </c>
      <c r="F49" s="136">
        <f>Q49/22</f>
        <v>77935.090909090912</v>
      </c>
      <c r="G49" s="190">
        <f t="shared" ref="G49" si="84">F49/F48-1</f>
        <v>-0.15653933249323682</v>
      </c>
      <c r="H49" s="190">
        <f t="shared" ref="H49" si="85">F49/F37-1</f>
        <v>-9.7809313060673753E-2</v>
      </c>
      <c r="I49" s="130">
        <f t="shared" si="0"/>
        <v>410.7989218328841</v>
      </c>
      <c r="J49" s="130">
        <f t="shared" si="5"/>
        <v>0.58552806451961903</v>
      </c>
      <c r="K49" s="136">
        <f>R47+R48+R49</f>
        <v>7321872837</v>
      </c>
      <c r="L49" s="190">
        <f>U49/U46-1</f>
        <v>0.17279375192610313</v>
      </c>
      <c r="M49" s="190">
        <f>K49/K37-1</f>
        <v>0.15939234871826335</v>
      </c>
      <c r="N49" s="191">
        <f>AVERAGE(T47:T49)</f>
        <v>481.79789929983798</v>
      </c>
      <c r="O49" s="192">
        <f>N49/N46-1</f>
        <v>0.33962598071455252</v>
      </c>
      <c r="P49" s="129" t="s">
        <v>1162</v>
      </c>
      <c r="Q49" s="116">
        <v>1714572</v>
      </c>
      <c r="R49" s="116">
        <v>2383726735</v>
      </c>
      <c r="S49" s="116">
        <v>4173.75</v>
      </c>
      <c r="T49" s="130">
        <f t="shared" ref="T49" si="86">Q49/S49</f>
        <v>410.7989218328841</v>
      </c>
      <c r="U49" s="85">
        <f t="shared" si="77"/>
        <v>5293577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96812</v>
      </c>
      <c r="G50" s="190">
        <f t="shared" ref="G50" si="87">F50/F49-1</f>
        <v>0.24221321705941778</v>
      </c>
      <c r="H50" s="190">
        <f t="shared" ref="H50" si="88">F50/F38-1</f>
        <v>0.11276881874920974</v>
      </c>
      <c r="I50" s="130">
        <f t="shared" ref="I50" si="89">T50</f>
        <v>350.58040582135976</v>
      </c>
      <c r="J50" s="130">
        <f t="shared" ref="J50" si="90">I50/I38-1</f>
        <v>0.30299567964007079</v>
      </c>
      <c r="K50" s="136"/>
      <c r="L50" s="190"/>
      <c r="M50" s="190"/>
      <c r="N50" s="191"/>
      <c r="O50" s="192"/>
      <c r="P50" s="129" t="s">
        <v>1293</v>
      </c>
      <c r="Q50" s="116">
        <v>1742616</v>
      </c>
      <c r="R50" s="116">
        <v>2465132540</v>
      </c>
      <c r="S50" s="116">
        <v>4970.66</v>
      </c>
      <c r="T50" s="130">
        <f t="shared" ref="T50" si="91">Q50/S50</f>
        <v>350.58040582135976</v>
      </c>
      <c r="U50" s="85">
        <f t="shared" si="77"/>
        <v>5305172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112334.85</v>
      </c>
      <c r="G51" s="190">
        <f t="shared" ref="G51:G52" si="92">F51/F50-1</f>
        <v>0.16034014378382855</v>
      </c>
      <c r="H51" s="190">
        <f t="shared" ref="H51:H52" si="93">F51/F39-1</f>
        <v>0.3536128753872434</v>
      </c>
      <c r="I51" s="130">
        <f t="shared" ref="I51:I52" si="94">T51</f>
        <v>500.08725440222946</v>
      </c>
      <c r="J51" s="130">
        <f t="shared" ref="J51:J52" si="95">I51/I39-1</f>
        <v>0.99698940523701651</v>
      </c>
      <c r="K51" s="136"/>
      <c r="L51" s="190"/>
      <c r="M51" s="190"/>
      <c r="N51" s="191"/>
      <c r="O51" s="192"/>
      <c r="P51" s="129" t="s">
        <v>1402</v>
      </c>
      <c r="Q51" s="116">
        <v>2246697</v>
      </c>
      <c r="R51" s="116">
        <v>3251066354</v>
      </c>
      <c r="S51" s="116">
        <v>4492.6099999999997</v>
      </c>
      <c r="T51" s="130">
        <f t="shared" ref="T51:T52" si="96">Q51/S51</f>
        <v>500.08725440222946</v>
      </c>
      <c r="U51" s="85">
        <f t="shared" si="77"/>
        <v>5703885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289036.34999999998</v>
      </c>
      <c r="C52" s="188">
        <f>AVERAGE(F50:F52)</f>
        <v>96345.45</v>
      </c>
      <c r="D52" s="190">
        <f>C52/C49-1</f>
        <v>0.17687691769659919</v>
      </c>
      <c r="E52" s="287">
        <f>C52/C40-1</f>
        <v>0.26973385591787036</v>
      </c>
      <c r="F52" s="136">
        <f>Q52/22</f>
        <v>79889.5</v>
      </c>
      <c r="G52" s="190">
        <f t="shared" si="92"/>
        <v>-0.28882710930757471</v>
      </c>
      <c r="H52" s="190">
        <f t="shared" si="93"/>
        <v>0.38587631293084579</v>
      </c>
      <c r="I52" s="130">
        <f t="shared" si="94"/>
        <v>333.4817735410864</v>
      </c>
      <c r="J52" s="130">
        <f t="shared" si="95"/>
        <v>0.35132631090117705</v>
      </c>
      <c r="K52" s="136">
        <f>R50+R51+R52</f>
        <v>8300375427</v>
      </c>
      <c r="L52" s="190">
        <f>U52/U49-1</f>
        <v>8.5633022812362958E-2</v>
      </c>
      <c r="M52" s="190">
        <f>K52/K40-1</f>
        <v>0.28087620430340188</v>
      </c>
      <c r="N52" s="191">
        <f>AVERAGE(T50:T52)</f>
        <v>394.71647792155858</v>
      </c>
      <c r="O52" s="192">
        <f>N52/N49-1</f>
        <v>-0.18074263400655866</v>
      </c>
      <c r="P52" s="129" t="s">
        <v>1403</v>
      </c>
      <c r="Q52" s="116">
        <v>1757569</v>
      </c>
      <c r="R52" s="116">
        <v>2584176533</v>
      </c>
      <c r="S52" s="116">
        <v>5270.36</v>
      </c>
      <c r="T52" s="130">
        <f t="shared" si="96"/>
        <v>333.4817735410864</v>
      </c>
      <c r="U52" s="85">
        <f t="shared" ref="U52" si="97">Q50+Q51+Q52</f>
        <v>5746882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89318.238095238092</v>
      </c>
      <c r="G53" s="190">
        <f t="shared" ref="G53" si="98">F53/F52-1</f>
        <v>0.11802224441557518</v>
      </c>
      <c r="H53" s="190">
        <f t="shared" ref="H53" si="99">F53/F41-1</f>
        <v>0.2105494366487155</v>
      </c>
      <c r="I53" s="130">
        <f t="shared" ref="I53" si="100">T53</f>
        <v>401.89991943501661</v>
      </c>
      <c r="J53" s="130">
        <f t="shared" ref="J53" si="101">I53/I41-1</f>
        <v>4.1875892908807666E-2</v>
      </c>
      <c r="K53" s="136"/>
      <c r="L53" s="190"/>
      <c r="M53" s="190"/>
      <c r="N53" s="191"/>
      <c r="O53" s="192"/>
      <c r="P53" s="129" t="s">
        <v>1414</v>
      </c>
      <c r="Q53" s="116">
        <v>1875683</v>
      </c>
      <c r="R53" s="116">
        <v>2727287384</v>
      </c>
      <c r="S53" s="116">
        <v>4667.04</v>
      </c>
      <c r="T53" s="130">
        <f t="shared" ref="T53" si="102">Q53/S53</f>
        <v>401.89991943501661</v>
      </c>
      <c r="U53" s="85">
        <f t="shared" ref="U53" si="103">Q51+Q52+Q53</f>
        <v>5879949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98214.705882352937</v>
      </c>
      <c r="G54" s="190">
        <f t="shared" ref="G54" si="104">F54/F53-1</f>
        <v>9.9604156741523786E-2</v>
      </c>
      <c r="H54" s="190">
        <f t="shared" ref="H54" si="105">F54/F42-1</f>
        <v>0.32114669503639259</v>
      </c>
      <c r="I54" s="130">
        <f t="shared" ref="I54" si="106">T54</f>
        <v>364.00480499859378</v>
      </c>
      <c r="J54" s="130">
        <f t="shared" ref="J54" si="107">I54/I42-1</f>
        <v>0.20075240716702414</v>
      </c>
      <c r="K54" s="136"/>
      <c r="L54" s="190"/>
      <c r="M54" s="190"/>
      <c r="N54" s="191"/>
      <c r="O54" s="192"/>
      <c r="P54" s="129" t="s">
        <v>1417</v>
      </c>
      <c r="Q54" s="116">
        <v>1669650</v>
      </c>
      <c r="R54" s="116">
        <v>2415990968</v>
      </c>
      <c r="S54" s="116">
        <v>4586.8900000000003</v>
      </c>
      <c r="T54" s="130">
        <f t="shared" ref="T54" si="108">Q54/S54</f>
        <v>364.00480499859378</v>
      </c>
      <c r="U54" s="85">
        <f t="shared" ref="U54" si="109">Q52+Q53+Q54</f>
        <v>5302902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275878.37254901958</v>
      </c>
      <c r="C55" s="188">
        <f>AVERAGE(F53:F55)</f>
        <v>91959.457516339855</v>
      </c>
      <c r="D55" s="190">
        <f>C55/C52-1</f>
        <v>-4.5523607847180569E-2</v>
      </c>
      <c r="E55" s="287">
        <f>C55/C43-1</f>
        <v>0.29989593260574576</v>
      </c>
      <c r="F55" s="136">
        <f>Q55/21</f>
        <v>88345.428571428565</v>
      </c>
      <c r="G55" s="190">
        <f t="shared" ref="G55" si="110">F55/F54-1</f>
        <v>-0.10048675727590473</v>
      </c>
      <c r="H55" s="190">
        <f t="shared" ref="H55" si="111">F55/F43-1</f>
        <v>0.37808472300278217</v>
      </c>
      <c r="I55" s="130">
        <f>T55</f>
        <v>227.46186091048304</v>
      </c>
      <c r="J55" s="130">
        <f t="shared" ref="J55" si="112">I55/I43-1</f>
        <v>-7.1482612390212807E-2</v>
      </c>
      <c r="K55" s="136">
        <f>R53+R54+R55</f>
        <v>7862824327</v>
      </c>
      <c r="L55" s="190">
        <f>U55/U52-1</f>
        <v>-6.0257892888700315E-2</v>
      </c>
      <c r="M55" s="190">
        <f>K55/K43-1</f>
        <v>0.32132081308939076</v>
      </c>
      <c r="N55" s="191">
        <f>AVERAGE(T53:T55)</f>
        <v>331.12219511469783</v>
      </c>
      <c r="O55" s="192">
        <f>N55/N52-1</f>
        <v>-0.16111382818808684</v>
      </c>
      <c r="P55" s="129" t="s">
        <v>1418</v>
      </c>
      <c r="Q55" s="116">
        <v>1855254</v>
      </c>
      <c r="R55" s="116">
        <v>2719545975</v>
      </c>
      <c r="S55" s="116">
        <v>8156.33</v>
      </c>
      <c r="T55" s="130">
        <f t="shared" ref="T55" si="113">Q55/S55</f>
        <v>227.46186091048304</v>
      </c>
      <c r="U55" s="85">
        <f t="shared" ref="U55" si="114">Q53+Q54+Q55</f>
        <v>5400587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99068.227272727279</v>
      </c>
      <c r="G56" s="190">
        <f t="shared" ref="G56" si="115">F56/F55-1</f>
        <v>0.12137355463309762</v>
      </c>
      <c r="H56" s="190">
        <f t="shared" ref="H56" si="116">F56/F44-1</f>
        <v>0.6588129009081416</v>
      </c>
      <c r="I56" s="291">
        <f>T56</f>
        <v>450.41249044204267</v>
      </c>
      <c r="J56" s="130">
        <f t="shared" ref="J56" si="117">I56/I44-1</f>
        <v>1.2334102771418278</v>
      </c>
      <c r="K56" s="136"/>
      <c r="L56" s="190"/>
      <c r="M56" s="190"/>
      <c r="N56" s="191"/>
      <c r="O56" s="192"/>
      <c r="P56" s="129" t="s">
        <v>1420</v>
      </c>
      <c r="Q56" s="116">
        <v>2179501</v>
      </c>
      <c r="R56" s="116">
        <v>3254048932</v>
      </c>
      <c r="S56" s="116">
        <v>4838.8999999999996</v>
      </c>
      <c r="T56" s="130">
        <f t="shared" ref="T56" si="118">Q56/S56</f>
        <v>450.41249044204267</v>
      </c>
      <c r="U56" s="85">
        <f t="shared" ref="U56" si="119">Q54+Q55+Q56</f>
        <v>5704405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94458.25</v>
      </c>
      <c r="G57" s="254">
        <f t="shared" ref="G57" si="120">F57/F56-1</f>
        <v>-4.6533357864942504E-2</v>
      </c>
      <c r="H57" s="254">
        <f t="shared" ref="H57" si="121">F57/F45-1</f>
        <v>0.17620854367094441</v>
      </c>
      <c r="I57" s="282">
        <f>T57</f>
        <v>512.87690943314271</v>
      </c>
      <c r="J57" s="277">
        <f t="shared" ref="J57" si="122">I57/I45-1</f>
        <v>0.23978324132567019</v>
      </c>
      <c r="K57" s="204"/>
      <c r="L57" s="254"/>
      <c r="M57" s="254"/>
      <c r="N57" s="257"/>
      <c r="O57" s="258"/>
      <c r="P57" s="129" t="s">
        <v>1436</v>
      </c>
      <c r="Q57" s="116">
        <v>1133499</v>
      </c>
      <c r="R57" s="116">
        <v>1667920652</v>
      </c>
      <c r="S57" s="116">
        <v>2210.08</v>
      </c>
      <c r="T57" s="130">
        <f t="shared" ref="T57" si="123">Q57/S57</f>
        <v>512.87690943314271</v>
      </c>
      <c r="U57" s="85">
        <f t="shared" ref="U57" si="124">Q55+Q56+Q57</f>
        <v>5168254</v>
      </c>
      <c r="V57" s="79"/>
      <c r="W57" s="79"/>
      <c r="X57" s="79"/>
      <c r="Y57" s="79"/>
      <c r="Z57" s="79"/>
    </row>
    <row r="58" spans="1:26">
      <c r="B58" s="196">
        <f>SUM(F56:F58)</f>
        <v>193526.47727272729</v>
      </c>
      <c r="C58" s="196">
        <f>AVERAGE(F56:F58)</f>
        <v>96763.238636363647</v>
      </c>
      <c r="D58" s="197">
        <f>C58/C55-1</f>
        <v>5.2238032386937805E-2</v>
      </c>
      <c r="E58" s="233">
        <f>C58/C46-1</f>
        <v>0.29649293499180573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8713587</v>
      </c>
      <c r="R66" s="212">
        <v>12784793911</v>
      </c>
      <c r="S66" s="213">
        <v>24459.26</v>
      </c>
      <c r="T66" s="214">
        <v>20</v>
      </c>
      <c r="U66" s="214">
        <v>56</v>
      </c>
    </row>
    <row r="67" spans="16:21" ht="18" thickBot="1">
      <c r="P67" s="180" t="s">
        <v>976</v>
      </c>
      <c r="Q67" s="181">
        <v>1875683</v>
      </c>
      <c r="R67" s="181">
        <v>2727287384</v>
      </c>
      <c r="S67" s="182">
        <v>4667.04</v>
      </c>
      <c r="T67" s="210">
        <v>13</v>
      </c>
      <c r="U67" s="210">
        <v>27</v>
      </c>
    </row>
    <row r="68" spans="16:21" ht="18" thickBot="1">
      <c r="P68" s="180" t="s">
        <v>977</v>
      </c>
      <c r="Q68" s="181">
        <v>1669650</v>
      </c>
      <c r="R68" s="181">
        <v>2415990968</v>
      </c>
      <c r="S68" s="182">
        <v>4586.8900000000003</v>
      </c>
      <c r="T68" s="210">
        <v>12</v>
      </c>
      <c r="U68" s="210">
        <v>31</v>
      </c>
    </row>
    <row r="69" spans="16:21" ht="18" thickBot="1">
      <c r="P69" s="180" t="s">
        <v>978</v>
      </c>
      <c r="Q69" s="181">
        <v>1855254</v>
      </c>
      <c r="R69" s="181">
        <v>2719545975</v>
      </c>
      <c r="S69" s="182">
        <v>8156.33</v>
      </c>
      <c r="T69" s="210">
        <v>13</v>
      </c>
      <c r="U69" s="210">
        <v>31</v>
      </c>
    </row>
    <row r="70" spans="16:21" ht="18" thickBot="1">
      <c r="P70" s="180" t="s">
        <v>979</v>
      </c>
      <c r="Q70" s="181">
        <v>2179501</v>
      </c>
      <c r="R70" s="181">
        <v>3254048932</v>
      </c>
      <c r="S70" s="182">
        <v>4838.8999999999996</v>
      </c>
      <c r="T70" s="210">
        <v>11</v>
      </c>
      <c r="U70" s="210">
        <v>34</v>
      </c>
    </row>
    <row r="71" spans="16:21" ht="18" thickBot="1">
      <c r="P71" s="180" t="s">
        <v>980</v>
      </c>
      <c r="Q71" s="181">
        <v>1133499</v>
      </c>
      <c r="R71" s="181">
        <v>1667920652</v>
      </c>
      <c r="S71" s="182">
        <v>2210.08</v>
      </c>
      <c r="T71" s="210">
        <v>10</v>
      </c>
      <c r="U71" s="210">
        <v>27</v>
      </c>
    </row>
    <row r="72" spans="16:21" ht="18" thickBot="1">
      <c r="P72" s="180" t="s">
        <v>975</v>
      </c>
      <c r="Q72" s="181">
        <v>19651162</v>
      </c>
      <c r="R72" s="181">
        <v>27919393664</v>
      </c>
      <c r="S72" s="182">
        <v>53261.25</v>
      </c>
      <c r="T72" s="210">
        <v>34</v>
      </c>
      <c r="U72" s="210">
        <v>119</v>
      </c>
    </row>
    <row r="73" spans="16:21" ht="18" thickBot="1">
      <c r="P73" s="180" t="s">
        <v>982</v>
      </c>
      <c r="Q73" s="181">
        <v>17294930</v>
      </c>
      <c r="R73" s="181">
        <v>23522631007</v>
      </c>
      <c r="S73" s="182">
        <v>58868.14</v>
      </c>
      <c r="T73" s="210">
        <v>31</v>
      </c>
      <c r="U73" s="210">
        <v>112</v>
      </c>
    </row>
    <row r="74" spans="16:21" ht="18" thickBot="1">
      <c r="P74" s="215" t="s">
        <v>1386</v>
      </c>
      <c r="Q74" s="216">
        <v>14854739</v>
      </c>
      <c r="R74" s="217"/>
      <c r="S74"/>
      <c r="T74"/>
      <c r="U74"/>
    </row>
  </sheetData>
  <phoneticPr fontId="1" type="noConversion"/>
  <conditionalFormatting sqref="C29:C30">
    <cfRule type="cellIs" dxfId="2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168"/>
  <dimension ref="A1:Z73"/>
  <sheetViews>
    <sheetView zoomScale="90" zoomScaleNormal="90" workbookViewId="0">
      <selection activeCell="K68" sqref="K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287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364828.45</v>
      </c>
      <c r="G5" s="90"/>
      <c r="H5" s="90"/>
      <c r="I5" s="130">
        <f t="shared" ref="I5:I49" si="0">T5</f>
        <v>7.12523092331329</v>
      </c>
      <c r="J5" s="130"/>
      <c r="L5" s="80"/>
      <c r="M5" s="80"/>
      <c r="P5" s="129" t="s">
        <v>0</v>
      </c>
      <c r="Q5" s="116">
        <v>7296569</v>
      </c>
      <c r="R5" s="116"/>
      <c r="S5" s="116">
        <v>1024046.67</v>
      </c>
      <c r="T5" s="130">
        <f t="shared" ref="T5:T23" si="1">Q5/S5</f>
        <v>7.12523092331329</v>
      </c>
      <c r="U5" s="85"/>
    </row>
    <row r="6" spans="1:21" ht="15" hidden="1" customHeight="1">
      <c r="A6" s="129" t="s">
        <v>1</v>
      </c>
      <c r="C6" s="79"/>
      <c r="F6" s="78">
        <f>Q6/18</f>
        <v>467040.55555555556</v>
      </c>
      <c r="G6" s="90">
        <f t="shared" ref="G6:G22" si="2">F6/F5-1</f>
        <v>0.28016484338202119</v>
      </c>
      <c r="H6" s="90"/>
      <c r="I6" s="130">
        <f t="shared" si="0"/>
        <v>6.3666140425298181</v>
      </c>
      <c r="J6" s="130"/>
      <c r="P6" s="129" t="s">
        <v>1</v>
      </c>
      <c r="Q6" s="116">
        <v>8406730</v>
      </c>
      <c r="R6" s="116"/>
      <c r="S6" s="116">
        <v>1320439.71</v>
      </c>
      <c r="T6" s="130">
        <f t="shared" si="1"/>
        <v>6.3666140425298181</v>
      </c>
      <c r="U6" s="85"/>
    </row>
    <row r="7" spans="1:21" ht="15" hidden="1" customHeight="1">
      <c r="A7" s="129" t="s">
        <v>2</v>
      </c>
      <c r="B7" s="131">
        <f>F5+F6+F7</f>
        <v>1497141.4146464646</v>
      </c>
      <c r="C7" s="131">
        <f>AVERAGE(F5:F7)</f>
        <v>499047.13821548823</v>
      </c>
      <c r="F7" s="78">
        <f>Q7/22</f>
        <v>665272.40909090906</v>
      </c>
      <c r="G7" s="90">
        <f t="shared" si="2"/>
        <v>0.42444248401416051</v>
      </c>
      <c r="H7" s="90"/>
      <c r="I7" s="130">
        <f t="shared" si="0"/>
        <v>5.4234159095366685</v>
      </c>
      <c r="J7" s="130"/>
      <c r="K7" s="79">
        <f>R5+R6+R7</f>
        <v>0</v>
      </c>
      <c r="N7" s="88">
        <f>AVERAGE(T5:T7)</f>
        <v>6.305086958459925</v>
      </c>
      <c r="P7" s="129" t="s">
        <v>2</v>
      </c>
      <c r="Q7" s="116">
        <v>14635993</v>
      </c>
      <c r="R7" s="116"/>
      <c r="S7" s="116">
        <v>2698666.9</v>
      </c>
      <c r="T7" s="130">
        <f t="shared" si="1"/>
        <v>5.4234159095366685</v>
      </c>
      <c r="U7" s="85">
        <f>Q5+Q6+Q7</f>
        <v>30339292</v>
      </c>
    </row>
    <row r="8" spans="1:21" ht="15" hidden="1" customHeight="1">
      <c r="A8" s="129" t="s">
        <v>3</v>
      </c>
      <c r="C8" s="79"/>
      <c r="F8" s="78">
        <f>Q8/21</f>
        <v>218740.19047619047</v>
      </c>
      <c r="G8" s="90">
        <f t="shared" si="2"/>
        <v>-0.67120207078015204</v>
      </c>
      <c r="H8" s="90"/>
      <c r="I8" s="130">
        <f t="shared" si="0"/>
        <v>7.9803140125762004</v>
      </c>
      <c r="J8" s="130"/>
      <c r="K8" s="78"/>
      <c r="P8" s="129" t="s">
        <v>3</v>
      </c>
      <c r="Q8" s="116">
        <v>4593544</v>
      </c>
      <c r="R8" s="116"/>
      <c r="S8" s="116">
        <v>575609.43000000005</v>
      </c>
      <c r="T8" s="130">
        <f t="shared" si="1"/>
        <v>7.9803140125762004</v>
      </c>
      <c r="U8" s="85"/>
    </row>
    <row r="9" spans="1:21" ht="15" hidden="1" customHeight="1">
      <c r="A9" s="129" t="s">
        <v>4</v>
      </c>
      <c r="C9" s="79"/>
      <c r="F9" s="78">
        <f>Q9/21</f>
        <v>555301</v>
      </c>
      <c r="G9" s="90">
        <f t="shared" si="2"/>
        <v>1.5386326984132515</v>
      </c>
      <c r="H9" s="90"/>
      <c r="I9" s="130">
        <f t="shared" si="0"/>
        <v>4.9293352679106626</v>
      </c>
      <c r="J9" s="130"/>
      <c r="K9" s="78"/>
      <c r="P9" s="129" t="s">
        <v>4</v>
      </c>
      <c r="Q9" s="116">
        <v>11661321</v>
      </c>
      <c r="R9" s="116"/>
      <c r="S9" s="116">
        <v>2365698.4900000002</v>
      </c>
      <c r="T9" s="130">
        <f t="shared" si="1"/>
        <v>4.9293352679106626</v>
      </c>
      <c r="U9" s="85"/>
    </row>
    <row r="10" spans="1:21" ht="15" hidden="1" customHeight="1">
      <c r="A10" s="129" t="s">
        <v>5</v>
      </c>
      <c r="B10" s="131">
        <f>F8+F9+F10</f>
        <v>1281532.7619047619</v>
      </c>
      <c r="C10" s="131">
        <f>AVERAGE(F8:F10)</f>
        <v>427177.58730158728</v>
      </c>
      <c r="D10" s="90">
        <f>C10/C7-1</f>
        <v>-0.14401355184781706</v>
      </c>
      <c r="E10" s="286"/>
      <c r="F10" s="78">
        <f>Q10/21</f>
        <v>507491.57142857142</v>
      </c>
      <c r="G10" s="90">
        <f t="shared" si="2"/>
        <v>-8.6096420808585927E-2</v>
      </c>
      <c r="H10" s="90"/>
      <c r="I10" s="130">
        <f t="shared" si="0"/>
        <v>5.2933209339173528</v>
      </c>
      <c r="J10" s="130"/>
      <c r="K10" s="79">
        <f>R8+R9+R10</f>
        <v>0</v>
      </c>
      <c r="L10" s="87">
        <f>U10/U7-1</f>
        <v>-0.11295926088189534</v>
      </c>
      <c r="N10" s="88">
        <f>AVERAGE(T8:T10)</f>
        <v>6.0676567381347395</v>
      </c>
      <c r="O10" s="89">
        <f>N10/N7-1</f>
        <v>-3.765693033093076E-2</v>
      </c>
      <c r="P10" s="129" t="s">
        <v>5</v>
      </c>
      <c r="Q10" s="116">
        <v>10657323</v>
      </c>
      <c r="R10" s="116"/>
      <c r="S10" s="116">
        <v>2013352.89</v>
      </c>
      <c r="T10" s="130">
        <f t="shared" si="1"/>
        <v>5.2933209339173528</v>
      </c>
      <c r="U10" s="85">
        <f>Q8+Q9+Q10</f>
        <v>26912188</v>
      </c>
    </row>
    <row r="11" spans="1:21" ht="15" hidden="1" customHeight="1">
      <c r="A11" s="129" t="s">
        <v>6</v>
      </c>
      <c r="C11" s="79"/>
      <c r="F11" s="78">
        <f>Q11/21</f>
        <v>335650.76190476189</v>
      </c>
      <c r="G11" s="90">
        <f t="shared" si="2"/>
        <v>-0.33860820395515834</v>
      </c>
      <c r="H11" s="90"/>
      <c r="I11" s="130">
        <f t="shared" si="0"/>
        <v>5.6545770695770079</v>
      </c>
      <c r="J11" s="130"/>
      <c r="K11" s="78"/>
      <c r="O11" s="89"/>
      <c r="P11" s="129" t="s">
        <v>6</v>
      </c>
      <c r="Q11" s="116">
        <v>7048666</v>
      </c>
      <c r="R11" s="116"/>
      <c r="S11" s="116">
        <v>1246541.68</v>
      </c>
      <c r="T11" s="130">
        <f t="shared" si="1"/>
        <v>5.6545770695770079</v>
      </c>
      <c r="U11" s="85"/>
    </row>
    <row r="12" spans="1:21" ht="15" hidden="1" customHeight="1">
      <c r="A12" s="129" t="s">
        <v>7</v>
      </c>
      <c r="C12" s="79"/>
      <c r="F12" s="78">
        <f>Q12/22</f>
        <v>175831.45454545456</v>
      </c>
      <c r="G12" s="90">
        <f t="shared" si="2"/>
        <v>-0.47614760786586485</v>
      </c>
      <c r="H12" s="90"/>
      <c r="I12" s="130">
        <f t="shared" si="0"/>
        <v>8.1424898894348914</v>
      </c>
      <c r="J12" s="130"/>
      <c r="K12" s="78"/>
      <c r="O12" s="89"/>
      <c r="P12" s="129" t="s">
        <v>7</v>
      </c>
      <c r="Q12" s="116">
        <v>3868292</v>
      </c>
      <c r="R12" s="116"/>
      <c r="S12" s="116">
        <v>475074.83</v>
      </c>
      <c r="T12" s="130">
        <f t="shared" si="1"/>
        <v>8.1424898894348914</v>
      </c>
      <c r="U12" s="85"/>
    </row>
    <row r="13" spans="1:21" ht="15" hidden="1" customHeight="1">
      <c r="A13" s="129" t="s">
        <v>96</v>
      </c>
      <c r="B13" s="131">
        <f>F11+F12+F13</f>
        <v>924290.76645021653</v>
      </c>
      <c r="C13" s="131">
        <f>AVERAGE(F11:F13)</f>
        <v>308096.92215007218</v>
      </c>
      <c r="D13" s="90">
        <f>C13/C10-1</f>
        <v>-0.2787615003486692</v>
      </c>
      <c r="E13" s="286"/>
      <c r="F13" s="78">
        <f>Q13/20</f>
        <v>412808.55</v>
      </c>
      <c r="G13" s="90">
        <f t="shared" si="2"/>
        <v>1.3477514365513255</v>
      </c>
      <c r="H13" s="90"/>
      <c r="I13" s="130">
        <f t="shared" si="0"/>
        <v>5.3619626158798184</v>
      </c>
      <c r="J13" s="130"/>
      <c r="K13" s="78">
        <f>R11+R12+R13</f>
        <v>0</v>
      </c>
      <c r="L13" s="87">
        <f>U13/U10-1</f>
        <v>-0.28756706812541588</v>
      </c>
      <c r="N13" s="88">
        <f>AVERAGE(T11:T13)</f>
        <v>6.3863431916305728</v>
      </c>
      <c r="O13" s="89">
        <f>N13/N10-1</f>
        <v>5.2522162549656803E-2</v>
      </c>
      <c r="P13" s="129" t="s">
        <v>96</v>
      </c>
      <c r="Q13" s="116">
        <v>8256171</v>
      </c>
      <c r="R13" s="116"/>
      <c r="S13" s="116">
        <v>1539766.61</v>
      </c>
      <c r="T13" s="130">
        <f t="shared" si="1"/>
        <v>5.3619626158798184</v>
      </c>
      <c r="U13" s="85">
        <f>Q11+Q12+Q13</f>
        <v>19173129</v>
      </c>
    </row>
    <row r="14" spans="1:21" ht="15" hidden="1" customHeight="1">
      <c r="A14" s="129" t="s">
        <v>97</v>
      </c>
      <c r="C14" s="79"/>
      <c r="F14" s="78">
        <f>Q14/20</f>
        <v>275170.84999999998</v>
      </c>
      <c r="G14" s="90">
        <f t="shared" si="2"/>
        <v>-0.33341775503438587</v>
      </c>
      <c r="H14" s="90"/>
      <c r="I14" s="130">
        <f t="shared" si="0"/>
        <v>6.4986857896897909</v>
      </c>
      <c r="J14" s="130"/>
      <c r="O14" s="89"/>
      <c r="P14" s="129" t="s">
        <v>97</v>
      </c>
      <c r="Q14" s="116">
        <v>5503417</v>
      </c>
      <c r="R14" s="116"/>
      <c r="S14" s="116">
        <v>846850.76</v>
      </c>
      <c r="T14" s="130">
        <f t="shared" si="1"/>
        <v>6.4986857896897909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179622.13636363635</v>
      </c>
      <c r="G15" s="90">
        <f t="shared" si="2"/>
        <v>-0.34723414066702063</v>
      </c>
      <c r="H15" s="90"/>
      <c r="I15" s="130">
        <f t="shared" si="0"/>
        <v>7.3353918236461837</v>
      </c>
      <c r="J15" s="130"/>
      <c r="O15" s="89"/>
      <c r="P15" s="129" t="s">
        <v>98</v>
      </c>
      <c r="Q15" s="116">
        <v>3951687</v>
      </c>
      <c r="R15" s="116"/>
      <c r="S15" s="116">
        <v>538715.18999999994</v>
      </c>
      <c r="T15" s="130">
        <f t="shared" si="1"/>
        <v>7.3353918236461837</v>
      </c>
      <c r="U15" s="78"/>
    </row>
    <row r="16" spans="1:21" ht="15" hidden="1" customHeight="1">
      <c r="A16" s="129" t="s">
        <v>99</v>
      </c>
      <c r="B16" s="131">
        <f>F14+F15+F16</f>
        <v>618334.98636363633</v>
      </c>
      <c r="C16" s="131">
        <f>AVERAGE(F14:F16)</f>
        <v>206111.66212121211</v>
      </c>
      <c r="D16" s="90">
        <f>C16/C13-1</f>
        <v>-0.33101680898708763</v>
      </c>
      <c r="E16" s="286"/>
      <c r="F16" s="78">
        <f>Q16/22</f>
        <v>163542</v>
      </c>
      <c r="G16" s="90">
        <f t="shared" si="2"/>
        <v>-8.9522019329972169E-2</v>
      </c>
      <c r="H16" s="90"/>
      <c r="I16" s="130">
        <f t="shared" si="0"/>
        <v>6.360083990943318</v>
      </c>
      <c r="J16" s="130"/>
      <c r="K16" s="78">
        <f>R14+R15+R16</f>
        <v>0</v>
      </c>
      <c r="L16" s="87">
        <f>U16/U13-1</f>
        <v>-0.31920199358174661</v>
      </c>
      <c r="N16" s="88">
        <f>AVERAGE(T14:T16)</f>
        <v>6.7313872014264318</v>
      </c>
      <c r="O16" s="89">
        <f>N16/N13-1</f>
        <v>5.4028416488491438E-2</v>
      </c>
      <c r="P16" s="129" t="s">
        <v>99</v>
      </c>
      <c r="Q16" s="116">
        <v>3597924</v>
      </c>
      <c r="R16" s="116"/>
      <c r="S16" s="116">
        <v>565703.85</v>
      </c>
      <c r="T16" s="130">
        <f t="shared" si="1"/>
        <v>6.360083990943318</v>
      </c>
      <c r="U16" s="85">
        <f>Q14+Q15+Q16</f>
        <v>13053028</v>
      </c>
    </row>
    <row r="17" spans="1:21" ht="15" hidden="1" customHeight="1">
      <c r="A17" s="129" t="s">
        <v>100</v>
      </c>
      <c r="C17" s="79"/>
      <c r="F17" s="78">
        <f>Q17/20</f>
        <v>469481.45</v>
      </c>
      <c r="G17" s="90">
        <f t="shared" si="2"/>
        <v>1.8707087476000051</v>
      </c>
      <c r="H17" s="90">
        <f t="shared" ref="H17:H22" si="3">F17/F5-1</f>
        <v>0.286855369969091</v>
      </c>
      <c r="I17" s="130">
        <f t="shared" si="0"/>
        <v>4.8665379061503371</v>
      </c>
      <c r="J17" s="130">
        <f t="shared" ref="J17:J49" si="4">I17/I5-1</f>
        <v>-0.31699927223027358</v>
      </c>
      <c r="O17" s="89"/>
      <c r="P17" s="129" t="s">
        <v>100</v>
      </c>
      <c r="Q17" s="116">
        <v>9389629</v>
      </c>
      <c r="R17" s="116">
        <v>11888134670</v>
      </c>
      <c r="S17" s="116">
        <v>1929426.87</v>
      </c>
      <c r="T17" s="130">
        <f t="shared" si="1"/>
        <v>4.8665379061503371</v>
      </c>
      <c r="U17" s="78"/>
    </row>
    <row r="18" spans="1:21" ht="15" hidden="1" customHeight="1">
      <c r="A18" s="129" t="s">
        <v>106</v>
      </c>
      <c r="C18" s="79"/>
      <c r="F18" s="78">
        <f>Q18/20</f>
        <v>264774.3</v>
      </c>
      <c r="G18" s="90">
        <f t="shared" si="2"/>
        <v>-0.43602819664120918</v>
      </c>
      <c r="H18" s="90">
        <f t="shared" si="3"/>
        <v>-0.43308071033564777</v>
      </c>
      <c r="I18" s="130">
        <f t="shared" si="0"/>
        <v>6.6499514328105738</v>
      </c>
      <c r="J18" s="130">
        <f t="shared" si="4"/>
        <v>4.4503622865784687E-2</v>
      </c>
      <c r="O18" s="89"/>
      <c r="P18" s="129" t="s">
        <v>106</v>
      </c>
      <c r="Q18" s="116">
        <v>5295486</v>
      </c>
      <c r="R18" s="116">
        <v>6639326207</v>
      </c>
      <c r="S18" s="116">
        <v>796319.5</v>
      </c>
      <c r="T18" s="130">
        <f t="shared" si="1"/>
        <v>6.6499514328105738</v>
      </c>
      <c r="U18" s="78"/>
    </row>
    <row r="19" spans="1:21" hidden="1">
      <c r="A19" s="129" t="s">
        <v>114</v>
      </c>
      <c r="B19" s="131">
        <f>SUM(F17:F19)</f>
        <v>1146333.3863636362</v>
      </c>
      <c r="C19" s="131">
        <f>AVERAGE(F17:F19)</f>
        <v>382111.12878787873</v>
      </c>
      <c r="D19" s="90">
        <f>C19/C16-1</f>
        <v>0.85390348539891536</v>
      </c>
      <c r="E19" s="286">
        <f>C19/C7-1</f>
        <v>-0.23431856526770944</v>
      </c>
      <c r="F19" s="78">
        <f>Q19/22</f>
        <v>412077.63636363635</v>
      </c>
      <c r="G19" s="90">
        <f t="shared" si="2"/>
        <v>0.55633547653090343</v>
      </c>
      <c r="H19" s="90">
        <f t="shared" si="3"/>
        <v>-0.38058811588663644</v>
      </c>
      <c r="I19" s="130">
        <f t="shared" si="0"/>
        <v>6.018738850891471</v>
      </c>
      <c r="J19" s="130">
        <f t="shared" si="4"/>
        <v>0.10976900007022738</v>
      </c>
      <c r="K19" s="78">
        <f>R17+R18+R19</f>
        <v>30346406540</v>
      </c>
      <c r="L19" s="87">
        <f>U19/U16-1</f>
        <v>0.81956424210535661</v>
      </c>
      <c r="M19" s="87">
        <f>U19/U7-1</f>
        <v>-0.21715961598576528</v>
      </c>
      <c r="N19" s="88">
        <f>AVERAGE(T17:T19)</f>
        <v>5.8450760632841279</v>
      </c>
      <c r="O19" s="89">
        <f>N19/N16-1</f>
        <v>-0.13166842310816529</v>
      </c>
      <c r="P19" s="129" t="s">
        <v>114</v>
      </c>
      <c r="Q19" s="116">
        <v>9065708</v>
      </c>
      <c r="R19" s="116">
        <v>11818945663</v>
      </c>
      <c r="S19" s="116">
        <v>1506247.11</v>
      </c>
      <c r="T19" s="130">
        <f t="shared" si="1"/>
        <v>6.018738850891471</v>
      </c>
      <c r="U19" s="85">
        <f>Q17+Q18+Q19</f>
        <v>23750823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264083.40000000002</v>
      </c>
      <c r="G20" s="90">
        <f t="shared" si="2"/>
        <v>-0.35914163571118762</v>
      </c>
      <c r="H20" s="90">
        <f t="shared" si="3"/>
        <v>0.2072925392681555</v>
      </c>
      <c r="I20" s="130">
        <f t="shared" si="0"/>
        <v>5.9056216084288291</v>
      </c>
      <c r="J20" s="130">
        <f t="shared" si="4"/>
        <v>-0.25997628675737039</v>
      </c>
      <c r="O20" s="89"/>
      <c r="P20" s="129" t="s">
        <v>131</v>
      </c>
      <c r="Q20" s="116">
        <v>5281668</v>
      </c>
      <c r="R20" s="116">
        <v>6924503669</v>
      </c>
      <c r="S20" s="116">
        <v>894345.82</v>
      </c>
      <c r="T20" s="130">
        <f t="shared" si="1"/>
        <v>5.9056216084288291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380700.28571428574</v>
      </c>
      <c r="G21" s="90">
        <f t="shared" si="2"/>
        <v>0.44159112505475817</v>
      </c>
      <c r="H21" s="90">
        <f t="shared" si="3"/>
        <v>-0.31442535541213545</v>
      </c>
      <c r="I21" s="130">
        <f t="shared" si="0"/>
        <v>4.4704771164244796</v>
      </c>
      <c r="J21" s="130">
        <f t="shared" si="4"/>
        <v>-9.3087227089885816E-2</v>
      </c>
      <c r="O21" s="89"/>
      <c r="P21" s="129" t="s">
        <v>141</v>
      </c>
      <c r="Q21" s="116">
        <v>7994706</v>
      </c>
      <c r="R21" s="116">
        <v>10685704127</v>
      </c>
      <c r="S21" s="116">
        <v>1788333.95</v>
      </c>
      <c r="T21" s="130">
        <f t="shared" si="1"/>
        <v>4.4704771164244796</v>
      </c>
      <c r="U21" s="78"/>
    </row>
    <row r="22" spans="1:21" hidden="1">
      <c r="A22" s="129" t="s">
        <v>155</v>
      </c>
      <c r="B22" s="131">
        <f>SUM(F20:F22)</f>
        <v>994582.35238095256</v>
      </c>
      <c r="C22" s="131">
        <f>AVERAGE(F20:F22)</f>
        <v>331527.45079365087</v>
      </c>
      <c r="D22" s="90">
        <f>C22/C19-1</f>
        <v>-0.1323794942970854</v>
      </c>
      <c r="E22" s="286">
        <f>C22/C10-1</f>
        <v>-0.22391187962866466</v>
      </c>
      <c r="F22" s="78">
        <f>Q22/21</f>
        <v>349798.66666666669</v>
      </c>
      <c r="G22" s="90">
        <f t="shared" si="2"/>
        <v>-8.1170464554919275E-2</v>
      </c>
      <c r="H22" s="90">
        <f t="shared" si="3"/>
        <v>-0.31073009610387148</v>
      </c>
      <c r="I22" s="130">
        <f t="shared" si="0"/>
        <v>4.7040060561507211</v>
      </c>
      <c r="J22" s="130">
        <f t="shared" si="4"/>
        <v>-0.11133178681658096</v>
      </c>
      <c r="K22" s="78">
        <f>R20+R21+R22</f>
        <v>27120231459</v>
      </c>
      <c r="L22" s="87">
        <f>U22/U19-1</f>
        <v>-0.13172920365749008</v>
      </c>
      <c r="M22" s="87">
        <f>U22/U10-1</f>
        <v>-0.23372466036577921</v>
      </c>
      <c r="N22" s="88">
        <f>AVERAGE(T20:T22)</f>
        <v>5.0267015936680099</v>
      </c>
      <c r="O22" s="89">
        <f>N22/N19-1</f>
        <v>-0.14001091872127047</v>
      </c>
      <c r="P22" s="129" t="s">
        <v>155</v>
      </c>
      <c r="Q22" s="116">
        <v>7345772</v>
      </c>
      <c r="R22" s="116">
        <v>9510023663</v>
      </c>
      <c r="S22" s="116">
        <v>1561599.18</v>
      </c>
      <c r="T22" s="130">
        <f t="shared" si="1"/>
        <v>4.7040060561507211</v>
      </c>
      <c r="U22" s="85">
        <f>Q20+Q21+Q22</f>
        <v>20622146</v>
      </c>
    </row>
    <row r="23" spans="1:21" hidden="1">
      <c r="A23" s="129" t="s">
        <v>189</v>
      </c>
      <c r="C23" s="131"/>
      <c r="F23" s="78">
        <f>Q23/21</f>
        <v>304869.04761904763</v>
      </c>
      <c r="G23" s="90">
        <f t="shared" ref="G23" si="5">F23/F22-1</f>
        <v>-0.12844422614804818</v>
      </c>
      <c r="H23" s="90">
        <f t="shared" ref="H23" si="6">F23/F11-1</f>
        <v>-9.1707565658523116E-2</v>
      </c>
      <c r="I23" s="130">
        <f t="shared" si="0"/>
        <v>4.7871126925994565</v>
      </c>
      <c r="J23" s="130">
        <f t="shared" si="4"/>
        <v>-0.15340924109863485</v>
      </c>
      <c r="O23" s="89"/>
      <c r="P23" s="129" t="s">
        <v>189</v>
      </c>
      <c r="Q23" s="116">
        <v>6402250</v>
      </c>
      <c r="R23" s="116">
        <v>8229122398</v>
      </c>
      <c r="S23" s="116">
        <v>1337392.79</v>
      </c>
      <c r="T23" s="130">
        <f t="shared" si="1"/>
        <v>4.7871126925994565</v>
      </c>
      <c r="U23" s="78"/>
    </row>
    <row r="24" spans="1:21" hidden="1">
      <c r="A24" s="129" t="s">
        <v>205</v>
      </c>
      <c r="C24" s="131"/>
      <c r="F24" s="78">
        <f>Q24/22</f>
        <v>179403.09090909091</v>
      </c>
      <c r="G24" s="90">
        <f t="shared" ref="G24" si="7">F24/F23-1</f>
        <v>-0.41154048825164447</v>
      </c>
      <c r="H24" s="90">
        <f t="shared" ref="H24" si="8">F24/F12-1</f>
        <v>2.0312840912733554E-2</v>
      </c>
      <c r="I24" s="130">
        <f t="shared" si="0"/>
        <v>6.1989209967193144</v>
      </c>
      <c r="J24" s="130">
        <f t="shared" si="4"/>
        <v>-0.23869466454449173</v>
      </c>
      <c r="O24" s="89"/>
      <c r="P24" s="129" t="s">
        <v>205</v>
      </c>
      <c r="Q24" s="116">
        <v>3946868</v>
      </c>
      <c r="R24" s="116">
        <v>5194040794</v>
      </c>
      <c r="S24" s="116">
        <v>636702.42000000004</v>
      </c>
      <c r="T24" s="130">
        <f t="shared" ref="T24" si="9">Q24/S24</f>
        <v>6.1989209967193144</v>
      </c>
      <c r="U24" s="78"/>
    </row>
    <row r="25" spans="1:21" s="79" customFormat="1" ht="13.2" hidden="1">
      <c r="A25" s="129" t="s">
        <v>219</v>
      </c>
      <c r="B25" s="131">
        <f>SUM(F23:F25)</f>
        <v>742079.92800182267</v>
      </c>
      <c r="C25" s="131">
        <f>AVERAGE(F23:F25)</f>
        <v>247359.97600060757</v>
      </c>
      <c r="D25" s="90">
        <f>C25/C22-1</f>
        <v>-0.25387784508206768</v>
      </c>
      <c r="E25" s="286">
        <f>C25/C13-1</f>
        <v>-0.19713584194742462</v>
      </c>
      <c r="F25" s="78">
        <f>Q25/19</f>
        <v>257807.78947368421</v>
      </c>
      <c r="G25" s="90">
        <f t="shared" ref="G25" si="10">F25/F24-1</f>
        <v>0.43703092386698827</v>
      </c>
      <c r="H25" s="90">
        <f t="shared" ref="H25" si="11">F25/F13-1</f>
        <v>-0.37547856149373793</v>
      </c>
      <c r="I25" s="130">
        <f t="shared" si="0"/>
        <v>5.5440419410365012</v>
      </c>
      <c r="J25" s="130">
        <f t="shared" si="4"/>
        <v>3.3957589450072323E-2</v>
      </c>
      <c r="K25" s="78">
        <f>R23+R24+R25</f>
        <v>19922512667</v>
      </c>
      <c r="L25" s="90">
        <f>U25/U22-1</f>
        <v>-0.26062660985912911</v>
      </c>
      <c r="M25" s="90">
        <f>U25/U13-1</f>
        <v>-0.20474816604008661</v>
      </c>
      <c r="N25" s="88">
        <f>AVERAGE(T23:T25)</f>
        <v>5.5100252101184237</v>
      </c>
      <c r="O25" s="91">
        <f>N25/N22-1</f>
        <v>9.61512449951758E-2</v>
      </c>
      <c r="P25" s="129" t="s">
        <v>219</v>
      </c>
      <c r="Q25" s="116">
        <v>4898348</v>
      </c>
      <c r="R25" s="116">
        <v>6499349475</v>
      </c>
      <c r="S25" s="116">
        <v>883533.72</v>
      </c>
      <c r="T25" s="130">
        <f t="shared" ref="T25" si="12">Q25/S25</f>
        <v>5.5440419410365012</v>
      </c>
      <c r="U25" s="85">
        <f>Q23+Q24+Q25</f>
        <v>15247466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218601.10526315789</v>
      </c>
      <c r="G26" s="90">
        <f t="shared" ref="G26" si="13">F26/F25-1</f>
        <v>-0.1520771901057254</v>
      </c>
      <c r="H26" s="90">
        <f t="shared" ref="H26" si="14">F26/F14-1</f>
        <v>-0.20558044115807361</v>
      </c>
      <c r="I26" s="130">
        <f t="shared" si="0"/>
        <v>5.5127497654299269</v>
      </c>
      <c r="J26" s="130">
        <f t="shared" si="4"/>
        <v>-0.15171313957416721</v>
      </c>
      <c r="L26" s="90"/>
      <c r="M26" s="90"/>
      <c r="P26" s="129" t="s">
        <v>312</v>
      </c>
      <c r="Q26" s="116">
        <v>4153421</v>
      </c>
      <c r="R26" s="116">
        <v>5598716046</v>
      </c>
      <c r="S26" s="116">
        <v>753420.92</v>
      </c>
      <c r="T26" s="130">
        <f t="shared" ref="T26" si="15">Q26/S26</f>
        <v>5.5127497654299269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243113.22727272726</v>
      </c>
      <c r="G27" s="90">
        <f t="shared" ref="G27" si="16">F27/F26-1</f>
        <v>0.11213173867561665</v>
      </c>
      <c r="H27" s="90">
        <f t="shared" ref="H27" si="17">F27/F15-1</f>
        <v>0.35347030268338564</v>
      </c>
      <c r="I27" s="130">
        <f t="shared" si="0"/>
        <v>5.3630935775620507</v>
      </c>
      <c r="J27" s="130">
        <f t="shared" si="4"/>
        <v>-0.26887428695032789</v>
      </c>
      <c r="L27" s="90"/>
      <c r="M27" s="90"/>
      <c r="P27" s="129" t="s">
        <v>385</v>
      </c>
      <c r="Q27" s="116">
        <v>5348491</v>
      </c>
      <c r="R27" s="116">
        <v>7064872700</v>
      </c>
      <c r="S27" s="116">
        <v>997277.21</v>
      </c>
      <c r="T27" s="130">
        <f t="shared" ref="T27" si="18">Q27/S27</f>
        <v>5.3630935775620507</v>
      </c>
      <c r="U27" s="78"/>
    </row>
    <row r="28" spans="1:21" s="79" customFormat="1" ht="13.2" hidden="1">
      <c r="A28" s="123" t="s">
        <v>413</v>
      </c>
      <c r="B28" s="131">
        <f>SUM(F26:F28)</f>
        <v>642693.38516746415</v>
      </c>
      <c r="C28" s="131">
        <f>AVERAGE(F26:F28)</f>
        <v>214231.12838915471</v>
      </c>
      <c r="D28" s="90">
        <f>C28/C25-1</f>
        <v>-0.13392970094471346</v>
      </c>
      <c r="E28" s="286">
        <f>C28/C16-1</f>
        <v>3.9393531566242146E-2</v>
      </c>
      <c r="F28" s="78">
        <f>Q28/19</f>
        <v>180979.05263157896</v>
      </c>
      <c r="G28" s="90">
        <f t="shared" ref="G28" si="19">F28/F27-1</f>
        <v>-0.2555771042907734</v>
      </c>
      <c r="H28" s="90">
        <f t="shared" ref="H28" si="20">F28/F16-1</f>
        <v>0.10662125100328335</v>
      </c>
      <c r="I28" s="130">
        <f t="shared" si="0"/>
        <v>7.0773854408843642</v>
      </c>
      <c r="J28" s="130">
        <f t="shared" si="4"/>
        <v>0.11278175743629726</v>
      </c>
      <c r="K28" s="78">
        <f>R26+R27+R28</f>
        <v>17153361009</v>
      </c>
      <c r="L28" s="90">
        <f>U28/U25-1</f>
        <v>-0.1513006817001592</v>
      </c>
      <c r="M28" s="90">
        <f>U28/U16-1</f>
        <v>-8.619762403022535E-3</v>
      </c>
      <c r="N28" s="88">
        <f>AVERAGE(T26:T28)</f>
        <v>5.984409594625447</v>
      </c>
      <c r="O28" s="91">
        <f>N28/N25-1</f>
        <v>8.6094775689207426E-2</v>
      </c>
      <c r="P28" s="129" t="s">
        <v>413</v>
      </c>
      <c r="Q28" s="116">
        <v>3438602</v>
      </c>
      <c r="R28" s="116">
        <v>4489772263</v>
      </c>
      <c r="S28" s="116">
        <v>485857.67</v>
      </c>
      <c r="T28" s="130">
        <f t="shared" ref="T28" si="21">Q28/S28</f>
        <v>7.0773854408843642</v>
      </c>
      <c r="U28" s="85">
        <f>Q26+Q27+Q28</f>
        <v>12940514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216085.77272727274</v>
      </c>
      <c r="G29" s="190">
        <f t="shared" ref="G29" si="22">F29/F28-1</f>
        <v>0.19398222935314458</v>
      </c>
      <c r="H29" s="190">
        <f t="shared" ref="H29" si="23">F29/F17-1</f>
        <v>-0.53973522760638848</v>
      </c>
      <c r="I29" s="130">
        <f t="shared" si="0"/>
        <v>5.8317788198326266</v>
      </c>
      <c r="J29" s="130">
        <f t="shared" si="4"/>
        <v>0.19834242171676442</v>
      </c>
      <c r="K29" s="136"/>
      <c r="L29" s="190"/>
      <c r="M29" s="190"/>
      <c r="N29" s="191"/>
      <c r="O29" s="192"/>
      <c r="P29" s="129" t="s">
        <v>430</v>
      </c>
      <c r="Q29" s="116">
        <v>4753887</v>
      </c>
      <c r="R29" s="116">
        <v>6263342208</v>
      </c>
      <c r="S29" s="116">
        <v>815169.29</v>
      </c>
      <c r="T29" s="130">
        <f t="shared" ref="T29" si="24">Q29/S29</f>
        <v>5.8317788198326266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324975</v>
      </c>
      <c r="G30" s="190">
        <f t="shared" ref="G30" si="25">F30/F29-1</f>
        <v>0.50391668964786063</v>
      </c>
      <c r="H30" s="190">
        <f t="shared" ref="H30" si="26">F30/F18-1</f>
        <v>0.22736610010865865</v>
      </c>
      <c r="I30" s="130">
        <f t="shared" si="0"/>
        <v>5.3263215549197085</v>
      </c>
      <c r="J30" s="130">
        <f t="shared" si="4"/>
        <v>-0.19904354058288798</v>
      </c>
      <c r="K30" s="136"/>
      <c r="L30" s="190"/>
      <c r="M30" s="190"/>
      <c r="N30" s="191"/>
      <c r="O30" s="192"/>
      <c r="P30" s="129" t="s">
        <v>466</v>
      </c>
      <c r="Q30" s="116">
        <v>6174525</v>
      </c>
      <c r="R30" s="116">
        <v>8228412207</v>
      </c>
      <c r="S30" s="116">
        <v>1159247.51</v>
      </c>
      <c r="T30" s="130">
        <f t="shared" ref="T30" si="27">Q30/S30</f>
        <v>5.3263215549197085</v>
      </c>
      <c r="U30" s="85"/>
    </row>
    <row r="31" spans="1:21" s="79" customFormat="1" ht="13.2" hidden="1">
      <c r="A31" s="129" t="s">
        <v>505</v>
      </c>
      <c r="B31" s="188">
        <f>SUM(F29:F31)</f>
        <v>810735.72272727266</v>
      </c>
      <c r="C31" s="188">
        <f>AVERAGE(F29:F31)</f>
        <v>270245.24090909091</v>
      </c>
      <c r="D31" s="190">
        <f>C31/C28-1</f>
        <v>0.26146579603588482</v>
      </c>
      <c r="E31" s="287">
        <f>C31/C19-1</f>
        <v>-0.29275747145508524</v>
      </c>
      <c r="F31" s="136">
        <f>Q31/20</f>
        <v>269674.95</v>
      </c>
      <c r="G31" s="190">
        <f t="shared" ref="G31" si="28">F31/F30-1</f>
        <v>-0.17016708977613659</v>
      </c>
      <c r="H31" s="190">
        <f t="shared" ref="H31" si="29">F31/F19-1</f>
        <v>-0.34557246935374486</v>
      </c>
      <c r="I31" s="130">
        <f t="shared" si="0"/>
        <v>5.9168511722251385</v>
      </c>
      <c r="J31" s="130">
        <f t="shared" si="4"/>
        <v>-1.6928409952733148E-2</v>
      </c>
      <c r="K31" s="136">
        <f>R29+R30+R31</f>
        <v>21659707700</v>
      </c>
      <c r="L31" s="190">
        <f>U31/U28-1</f>
        <v>0.26130314452733483</v>
      </c>
      <c r="M31" s="190">
        <f>U31/U19-1</f>
        <v>-0.31278545589767559</v>
      </c>
      <c r="N31" s="191">
        <f>AVERAGE(T29:T31)</f>
        <v>5.6916505156591581</v>
      </c>
      <c r="O31" s="192">
        <f>N31/N28-1</f>
        <v>-4.8920294364412031E-2</v>
      </c>
      <c r="P31" s="129" t="s">
        <v>505</v>
      </c>
      <c r="Q31" s="116">
        <v>5393499</v>
      </c>
      <c r="R31" s="116">
        <v>7167953285</v>
      </c>
      <c r="S31" s="116">
        <v>911548.87</v>
      </c>
      <c r="T31" s="130">
        <f t="shared" ref="T31" si="30">Q31/S31</f>
        <v>5.9168511722251385</v>
      </c>
      <c r="U31" s="85">
        <f>Q29+Q30+Q31</f>
        <v>16321911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283803.76190476189</v>
      </c>
      <c r="G32" s="190">
        <f t="shared" ref="G32" si="31">F32/F31-1</f>
        <v>5.2392007135857011E-2</v>
      </c>
      <c r="H32" s="190">
        <f t="shared" ref="H32" si="32">F32/F20-1</f>
        <v>7.467475011591751E-2</v>
      </c>
      <c r="I32" s="130">
        <f t="shared" si="0"/>
        <v>5.8082369118006483</v>
      </c>
      <c r="J32" s="130">
        <f t="shared" si="4"/>
        <v>-1.6490168704542119E-2</v>
      </c>
      <c r="K32" s="136"/>
      <c r="L32" s="190"/>
      <c r="M32" s="190"/>
      <c r="N32" s="191"/>
      <c r="O32" s="192"/>
      <c r="P32" s="129" t="s">
        <v>566</v>
      </c>
      <c r="Q32" s="116">
        <v>5959879</v>
      </c>
      <c r="R32" s="116">
        <v>8126278381</v>
      </c>
      <c r="S32" s="116">
        <v>1026108.11</v>
      </c>
      <c r="T32" s="130">
        <f t="shared" ref="T32" si="33">Q32/S32</f>
        <v>5.8082369118006483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284082.42857142858</v>
      </c>
      <c r="G33" s="190">
        <f t="shared" ref="G33" si="34">F33/F32-1</f>
        <v>9.8189912916013533E-4</v>
      </c>
      <c r="H33" s="190">
        <f t="shared" ref="H33" si="35">F33/F21-1</f>
        <v>-0.25378982041365872</v>
      </c>
      <c r="I33" s="130">
        <f t="shared" si="0"/>
        <v>7.0714826970760614</v>
      </c>
      <c r="J33" s="130">
        <f t="shared" si="4"/>
        <v>0.58181834128968424</v>
      </c>
      <c r="K33" s="136"/>
      <c r="L33" s="190"/>
      <c r="M33" s="190"/>
      <c r="N33" s="191"/>
      <c r="O33" s="192"/>
      <c r="P33" s="129" t="s">
        <v>607</v>
      </c>
      <c r="Q33" s="116">
        <v>5965731</v>
      </c>
      <c r="R33" s="116">
        <v>8154965333</v>
      </c>
      <c r="S33" s="116">
        <v>843632.27</v>
      </c>
      <c r="T33" s="130">
        <f t="shared" ref="T33" si="36">Q33/S33</f>
        <v>7.0714826970760614</v>
      </c>
      <c r="U33" s="85"/>
    </row>
    <row r="34" spans="1:21" s="79" customFormat="1" ht="13.2" hidden="1">
      <c r="A34" s="129" t="s">
        <v>652</v>
      </c>
      <c r="B34" s="188">
        <f>SUM(F32:F34)</f>
        <v>836890.6115288221</v>
      </c>
      <c r="C34" s="188">
        <f>AVERAGE(F32:F34)</f>
        <v>278963.53717627405</v>
      </c>
      <c r="D34" s="190">
        <f>C34/C31-1</f>
        <v>3.2260683806513146E-2</v>
      </c>
      <c r="E34" s="287">
        <f>C34/C22-1</f>
        <v>-0.15855071274352373</v>
      </c>
      <c r="F34" s="136">
        <f>Q34/19</f>
        <v>269004.42105263157</v>
      </c>
      <c r="G34" s="190">
        <f t="shared" ref="G34" si="37">F34/F33-1</f>
        <v>-5.3076170865688943E-2</v>
      </c>
      <c r="H34" s="190">
        <f t="shared" ref="H34" si="38">F34/F22-1</f>
        <v>-0.23097356654885792</v>
      </c>
      <c r="I34" s="130">
        <f t="shared" si="0"/>
        <v>6.8175710528689741</v>
      </c>
      <c r="J34" s="130">
        <f t="shared" si="4"/>
        <v>0.44931170825230171</v>
      </c>
      <c r="K34" s="136">
        <f>R32+R33+R34</f>
        <v>23305439746</v>
      </c>
      <c r="L34" s="190">
        <f>U34/U31-1</f>
        <v>4.3792849991646232E-2</v>
      </c>
      <c r="M34" s="190">
        <f>U34/U22-1</f>
        <v>-0.17386415555393697</v>
      </c>
      <c r="N34" s="191">
        <f>AVERAGE(T32:T34)</f>
        <v>6.5657635539152279</v>
      </c>
      <c r="O34" s="192">
        <f>N34/N31-1</f>
        <v>0.15357812920016189</v>
      </c>
      <c r="P34" s="129" t="s">
        <v>652</v>
      </c>
      <c r="Q34" s="116">
        <v>5111084</v>
      </c>
      <c r="R34" s="116">
        <v>7024196032</v>
      </c>
      <c r="S34" s="116">
        <v>749692.81</v>
      </c>
      <c r="T34" s="130">
        <f t="shared" ref="T34" si="39">Q34/S34</f>
        <v>6.8175710528689741</v>
      </c>
      <c r="U34" s="85">
        <f>Q32+Q33+Q34</f>
        <v>17036694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260420.95652173914</v>
      </c>
      <c r="G35" s="190">
        <f t="shared" ref="G35" si="40">F35/F34-1</f>
        <v>-3.1908265660857138E-2</v>
      </c>
      <c r="H35" s="190">
        <f t="shared" ref="H35" si="41">F35/F23-1</f>
        <v>-0.14579404319473288</v>
      </c>
      <c r="I35" s="130">
        <f t="shared" si="0"/>
        <v>5.4798583881841543</v>
      </c>
      <c r="J35" s="130">
        <f t="shared" si="4"/>
        <v>0.14471054685126483</v>
      </c>
      <c r="K35" s="136"/>
      <c r="L35" s="190"/>
      <c r="M35" s="190"/>
      <c r="N35" s="191"/>
      <c r="O35" s="192"/>
      <c r="P35" s="129" t="s">
        <v>660</v>
      </c>
      <c r="Q35" s="116">
        <v>5989682</v>
      </c>
      <c r="R35" s="116">
        <v>8288903359</v>
      </c>
      <c r="S35" s="116">
        <v>1093035.9099999999</v>
      </c>
      <c r="T35" s="130">
        <f t="shared" ref="T35" si="42">Q35/S35</f>
        <v>5.4798583881841543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226464.85714285713</v>
      </c>
      <c r="G36" s="190">
        <f t="shared" ref="G36" si="43">F36/F35-1</f>
        <v>-0.13038927370673203</v>
      </c>
      <c r="H36" s="190">
        <f t="shared" ref="H36" si="44">F36/F24-1</f>
        <v>0.26232416618515164</v>
      </c>
      <c r="I36" s="130">
        <f t="shared" si="0"/>
        <v>5.6639325153209841</v>
      </c>
      <c r="J36" s="130">
        <f t="shared" si="4"/>
        <v>-8.6303484377598161E-2</v>
      </c>
      <c r="K36" s="136"/>
      <c r="L36" s="190"/>
      <c r="M36" s="190"/>
      <c r="N36" s="191"/>
      <c r="O36" s="192"/>
      <c r="P36" s="129" t="s">
        <v>671</v>
      </c>
      <c r="Q36" s="116">
        <v>4755762</v>
      </c>
      <c r="R36" s="116">
        <v>6480222968</v>
      </c>
      <c r="S36" s="116">
        <v>839657.25</v>
      </c>
      <c r="T36" s="130">
        <f t="shared" ref="T36" si="45">Q36/S36</f>
        <v>5.6639325153209841</v>
      </c>
      <c r="U36" s="85"/>
    </row>
    <row r="37" spans="1:21" s="79" customFormat="1" ht="13.2" hidden="1">
      <c r="A37" s="129" t="s">
        <v>702</v>
      </c>
      <c r="B37" s="188">
        <f>SUM(F35:F37)</f>
        <v>818708.09144237405</v>
      </c>
      <c r="C37" s="188">
        <f>AVERAGE(F35:F37)</f>
        <v>272902.69714745804</v>
      </c>
      <c r="D37" s="190">
        <f>C37/C34-1</f>
        <v>-2.1726280395513609E-2</v>
      </c>
      <c r="E37" s="287">
        <f>C37/C25-1</f>
        <v>0.10326133418927785</v>
      </c>
      <c r="F37" s="136">
        <f>Q37/18</f>
        <v>331822.27777777775</v>
      </c>
      <c r="G37" s="190">
        <f t="shared" ref="G37" si="46">F37/F36-1</f>
        <v>0.46522635769690179</v>
      </c>
      <c r="H37" s="190">
        <f t="shared" ref="H37" si="47">F37/F25-1</f>
        <v>0.28709174557989292</v>
      </c>
      <c r="I37" s="130">
        <f t="shared" si="0"/>
        <v>5.1890329605184755</v>
      </c>
      <c r="J37" s="130">
        <f t="shared" si="4"/>
        <v>-6.4034324468269399E-2</v>
      </c>
      <c r="K37" s="136">
        <f>R35+R36+R37</f>
        <v>22741600492</v>
      </c>
      <c r="L37" s="190">
        <f>U37/U34-1</f>
        <v>-1.8691948097441902E-2</v>
      </c>
      <c r="M37" s="190">
        <f>U37/U25-1</f>
        <v>9.6460552855143211E-2</v>
      </c>
      <c r="N37" s="191">
        <f>AVERAGE(T35:T37)</f>
        <v>5.4442746213412043</v>
      </c>
      <c r="O37" s="192">
        <f>N37/N34-1</f>
        <v>-0.17080860791967889</v>
      </c>
      <c r="P37" s="129" t="s">
        <v>702</v>
      </c>
      <c r="Q37" s="116">
        <v>5972801</v>
      </c>
      <c r="R37" s="116">
        <v>7972474165</v>
      </c>
      <c r="S37" s="116">
        <v>1151043.18</v>
      </c>
      <c r="T37" s="130">
        <f t="shared" ref="T37" si="48">Q37/S37</f>
        <v>5.1890329605184755</v>
      </c>
      <c r="U37" s="85">
        <f>Q35+Q36+Q37</f>
        <v>16718245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249866.85</v>
      </c>
      <c r="G38" s="190">
        <f t="shared" ref="G38" si="49">F38/F37-1</f>
        <v>-0.24698591163509376</v>
      </c>
      <c r="H38" s="190">
        <f t="shared" ref="H38" si="50">F38/F26-1</f>
        <v>0.14302647143162228</v>
      </c>
      <c r="I38" s="130">
        <f t="shared" si="0"/>
        <v>5.9193265011673617</v>
      </c>
      <c r="J38" s="130">
        <f t="shared" si="4"/>
        <v>7.3752075286828589E-2</v>
      </c>
      <c r="K38" s="136"/>
      <c r="L38" s="190"/>
      <c r="M38" s="190"/>
      <c r="N38" s="191"/>
      <c r="O38" s="192"/>
      <c r="P38" s="129" t="s">
        <v>727</v>
      </c>
      <c r="Q38" s="116">
        <v>4997337</v>
      </c>
      <c r="R38" s="116">
        <v>6722665310</v>
      </c>
      <c r="S38" s="116">
        <v>844240.81</v>
      </c>
      <c r="T38" s="130">
        <f t="shared" ref="T38" si="51">Q38/S38</f>
        <v>5.9193265011673617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321977.38095238095</v>
      </c>
      <c r="G39" s="190">
        <f t="shared" ref="G39" si="52">F39/F38-1</f>
        <v>0.28859582994855426</v>
      </c>
      <c r="H39" s="190">
        <f t="shared" ref="H39" si="53">F39/F27-1</f>
        <v>0.32439268963009971</v>
      </c>
      <c r="I39" s="130">
        <f t="shared" si="0"/>
        <v>4.6012022475450998</v>
      </c>
      <c r="J39" s="130">
        <f t="shared" si="4"/>
        <v>-0.14206191240155286</v>
      </c>
      <c r="K39" s="136"/>
      <c r="L39" s="190"/>
      <c r="M39" s="190"/>
      <c r="N39" s="191"/>
      <c r="O39" s="192"/>
      <c r="P39" s="129" t="s">
        <v>762</v>
      </c>
      <c r="Q39" s="116">
        <v>6761525</v>
      </c>
      <c r="R39" s="116">
        <v>9413116678</v>
      </c>
      <c r="S39" s="116">
        <v>1469512.67</v>
      </c>
      <c r="T39" s="130">
        <f t="shared" ref="T39" si="54">Q39/S39</f>
        <v>4.6012022475450998</v>
      </c>
      <c r="U39" s="85"/>
    </row>
    <row r="40" spans="1:21" s="79" customFormat="1" ht="13.2" hidden="1">
      <c r="A40" s="129" t="s">
        <v>778</v>
      </c>
      <c r="B40" s="188">
        <f>SUM(F38:F40)</f>
        <v>794784.5166666666</v>
      </c>
      <c r="C40" s="188">
        <f>AVERAGE(F38:F40)</f>
        <v>264928.1722222222</v>
      </c>
      <c r="D40" s="190">
        <f>C40/C37-1</f>
        <v>-2.9221129027269921E-2</v>
      </c>
      <c r="E40" s="287">
        <f>C40/C28-1</f>
        <v>0.23664648650393794</v>
      </c>
      <c r="F40" s="136">
        <f>Q40/21</f>
        <v>222940.28571428571</v>
      </c>
      <c r="G40" s="190">
        <f t="shared" ref="G40" si="55">F40/F39-1</f>
        <v>-0.30759022557780979</v>
      </c>
      <c r="H40" s="190">
        <f t="shared" ref="H40" si="56">F40/F28-1</f>
        <v>0.23185685013020652</v>
      </c>
      <c r="I40" s="130">
        <f t="shared" si="0"/>
        <v>6.2015287213515746</v>
      </c>
      <c r="J40" s="130">
        <f t="shared" si="4"/>
        <v>-0.12375427717602816</v>
      </c>
      <c r="K40" s="136">
        <f>R38+R39+R40</f>
        <v>22775163772</v>
      </c>
      <c r="L40" s="190">
        <f>U40/U37-1</f>
        <v>-1.6606826852938239E-2</v>
      </c>
      <c r="M40" s="190">
        <f>U40/U28-1</f>
        <v>0.27047565498557469</v>
      </c>
      <c r="N40" s="191">
        <f>AVERAGE(T38:T40)</f>
        <v>5.5740191566880126</v>
      </c>
      <c r="O40" s="192">
        <f>N40/N37-1</f>
        <v>2.3831372289380592E-2</v>
      </c>
      <c r="P40" s="129" t="s">
        <v>778</v>
      </c>
      <c r="Q40" s="116">
        <v>4681746</v>
      </c>
      <c r="R40" s="116">
        <v>6639381784</v>
      </c>
      <c r="S40" s="116">
        <v>754934.18</v>
      </c>
      <c r="T40" s="130">
        <f t="shared" ref="T40" si="57">Q40/S40</f>
        <v>6.2015287213515746</v>
      </c>
      <c r="U40" s="85">
        <f>Q38+Q39+Q40</f>
        <v>16440608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382155.77777777775</v>
      </c>
      <c r="G41" s="190">
        <f t="shared" ref="G41" si="58">F41/F40-1</f>
        <v>0.71416205264731003</v>
      </c>
      <c r="H41" s="190">
        <f t="shared" ref="H41" si="59">F41/F29-1</f>
        <v>0.76853743286517129</v>
      </c>
      <c r="I41" s="130">
        <f t="shared" si="0"/>
        <v>4.8636682510133848</v>
      </c>
      <c r="J41" s="130">
        <f t="shared" si="4"/>
        <v>-0.16600605042271244</v>
      </c>
      <c r="K41" s="193"/>
      <c r="L41" s="190"/>
      <c r="M41" s="190"/>
      <c r="N41" s="193"/>
      <c r="O41" s="193"/>
      <c r="P41" s="129" t="s">
        <v>792</v>
      </c>
      <c r="Q41" s="116">
        <v>6878804</v>
      </c>
      <c r="R41" s="116">
        <v>10055499948</v>
      </c>
      <c r="S41" s="116">
        <v>1414324.26</v>
      </c>
      <c r="T41" s="130">
        <f t="shared" ref="T41" si="60">Q41/S41</f>
        <v>4.8636682510133848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231608.5</v>
      </c>
      <c r="G42" s="190">
        <f t="shared" ref="G42" si="61">F42/F41-1</f>
        <v>-0.3939421736685621</v>
      </c>
      <c r="H42" s="190">
        <f t="shared" ref="H42" si="62">F42/F30-1</f>
        <v>-0.2873036387414416</v>
      </c>
      <c r="I42" s="130">
        <f t="shared" si="0"/>
        <v>6.2734202649580402</v>
      </c>
      <c r="J42" s="130">
        <f t="shared" si="4"/>
        <v>0.1778147827300316</v>
      </c>
      <c r="K42" s="193"/>
      <c r="L42" s="190"/>
      <c r="M42" s="190"/>
      <c r="N42" s="193"/>
      <c r="O42" s="193"/>
      <c r="P42" s="129" t="s">
        <v>826</v>
      </c>
      <c r="Q42" s="116">
        <v>4632170</v>
      </c>
      <c r="R42" s="116">
        <v>6694952610</v>
      </c>
      <c r="S42" s="116">
        <v>738380.31</v>
      </c>
      <c r="T42" s="130">
        <f t="shared" ref="T42" si="63">Q42/S42</f>
        <v>6.2734202649580402</v>
      </c>
      <c r="U42" s="78"/>
    </row>
    <row r="43" spans="1:21" s="79" customFormat="1" ht="13.2">
      <c r="A43" s="129" t="s">
        <v>835</v>
      </c>
      <c r="B43" s="188">
        <f>SUM(F41:F43)</f>
        <v>940672.42777777778</v>
      </c>
      <c r="C43" s="188">
        <f>AVERAGE(F41:F43)</f>
        <v>313557.47592592594</v>
      </c>
      <c r="D43" s="190">
        <f>C43/C40-1</f>
        <v>0.18355655910732449</v>
      </c>
      <c r="E43" s="287">
        <f>C43/C31-1</f>
        <v>0.16027011195880791</v>
      </c>
      <c r="F43" s="136">
        <f>Q43/20</f>
        <v>326908.15000000002</v>
      </c>
      <c r="G43" s="190">
        <f t="shared" ref="G43" si="64">F43/F42-1</f>
        <v>0.41146870689115489</v>
      </c>
      <c r="H43" s="190">
        <f t="shared" ref="H43" si="65">F43/F31-1</f>
        <v>0.21223031653477653</v>
      </c>
      <c r="I43" s="130">
        <f t="shared" si="0"/>
        <v>5.3490410139971214</v>
      </c>
      <c r="J43" s="130">
        <f t="shared" si="4"/>
        <v>-9.5964921492943667E-2</v>
      </c>
      <c r="K43" s="136">
        <f>R41+R42+R43</f>
        <v>26225137437</v>
      </c>
      <c r="L43" s="190">
        <f>U43/U40-1</f>
        <v>9.7838778225233458E-2</v>
      </c>
      <c r="M43" s="190">
        <f>K43/K31-1</f>
        <v>0.21077984062545774</v>
      </c>
      <c r="N43" s="191">
        <f>AVERAGE(T41:T43)</f>
        <v>5.4953765099895149</v>
      </c>
      <c r="O43" s="192">
        <f>N43/N40-1</f>
        <v>-1.4108786584297595E-2</v>
      </c>
      <c r="P43" s="129" t="s">
        <v>835</v>
      </c>
      <c r="Q43" s="116">
        <v>6538163</v>
      </c>
      <c r="R43" s="116">
        <v>9474684879</v>
      </c>
      <c r="S43" s="116">
        <v>1222305.6399999999</v>
      </c>
      <c r="T43" s="130">
        <f t="shared" ref="T43" si="66">Q43/S43</f>
        <v>5.3490410139971214</v>
      </c>
      <c r="U43" s="85">
        <f>Q41+Q42+Q43</f>
        <v>18049137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338836.18181818182</v>
      </c>
      <c r="G44" s="190">
        <f t="shared" ref="G44" si="67">F44/F43-1</f>
        <v>3.6487410357257222E-2</v>
      </c>
      <c r="H44" s="190">
        <f t="shared" ref="H44" si="68">F44/F32-1</f>
        <v>0.19391011431302863</v>
      </c>
      <c r="I44" s="130">
        <f t="shared" si="0"/>
        <v>4.7626356668906151</v>
      </c>
      <c r="J44" s="130">
        <f t="shared" si="4"/>
        <v>-0.18002041941258895</v>
      </c>
      <c r="K44" s="136"/>
      <c r="L44" s="190"/>
      <c r="M44" s="190"/>
      <c r="N44" s="191"/>
      <c r="O44" s="192"/>
      <c r="P44" s="129" t="s">
        <v>843</v>
      </c>
      <c r="Q44" s="116">
        <v>7454396</v>
      </c>
      <c r="R44" s="116">
        <v>10866728814</v>
      </c>
      <c r="S44" s="116">
        <v>1565182.92</v>
      </c>
      <c r="T44" s="130">
        <f t="shared" ref="T44" si="69">Q44/S44</f>
        <v>4.7626356668906151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262665.75</v>
      </c>
      <c r="G45" s="190">
        <f t="shared" ref="G45" si="70">F45/F44-1</f>
        <v>-0.22480017160344046</v>
      </c>
      <c r="H45" s="190">
        <f t="shared" ref="H45" si="71">F45/F33-1</f>
        <v>-7.5388959039554448E-2</v>
      </c>
      <c r="I45" s="130">
        <f t="shared" si="0"/>
        <v>5.9874387579470847</v>
      </c>
      <c r="J45" s="130">
        <f t="shared" si="4"/>
        <v>-0.15329796954423869</v>
      </c>
      <c r="K45" s="136"/>
      <c r="L45" s="190"/>
      <c r="M45" s="190"/>
      <c r="N45" s="191"/>
      <c r="O45" s="192"/>
      <c r="P45" s="129" t="s">
        <v>848</v>
      </c>
      <c r="Q45" s="116">
        <v>5253315</v>
      </c>
      <c r="R45" s="116">
        <v>7423768285</v>
      </c>
      <c r="S45" s="116">
        <v>877389.35</v>
      </c>
      <c r="T45" s="130">
        <f t="shared" ref="T45" si="72">Q45/S45</f>
        <v>5.9874387579470847</v>
      </c>
      <c r="U45" s="85"/>
    </row>
    <row r="46" spans="1:21" s="79" customFormat="1" ht="13.2">
      <c r="A46" s="129" t="s">
        <v>894</v>
      </c>
      <c r="B46" s="188">
        <f>SUM(F44:F46)</f>
        <v>945932.14234449761</v>
      </c>
      <c r="C46" s="188">
        <f>AVERAGE(F44:F46)</f>
        <v>315310.71411483252</v>
      </c>
      <c r="D46" s="190">
        <f>C46/C43-1</f>
        <v>5.5914411982342926E-3</v>
      </c>
      <c r="E46" s="287">
        <f>C46/C34-1</f>
        <v>0.13029364807484156</v>
      </c>
      <c r="F46" s="136">
        <f>Q46/19</f>
        <v>344430.21052631579</v>
      </c>
      <c r="G46" s="190">
        <f t="shared" ref="G46" si="73">F46/F45-1</f>
        <v>0.31128710357675415</v>
      </c>
      <c r="H46" s="190">
        <f t="shared" ref="H46" si="74">F46/F34-1</f>
        <v>0.28038866119202899</v>
      </c>
      <c r="I46" s="130">
        <f t="shared" si="0"/>
        <v>4.7584662672686138</v>
      </c>
      <c r="J46" s="130">
        <f t="shared" si="4"/>
        <v>-0.30202909065888606</v>
      </c>
      <c r="K46" s="136">
        <f>R44+R45+R46</f>
        <v>27246161027</v>
      </c>
      <c r="L46" s="190">
        <f>U46/U43-1</f>
        <v>6.6637424271310142E-2</v>
      </c>
      <c r="M46" s="190">
        <f>K46/K34-1</f>
        <v>0.16909019198731756</v>
      </c>
      <c r="N46" s="191">
        <f>AVERAGE(T44:T46)</f>
        <v>5.1695135640354373</v>
      </c>
      <c r="O46" s="192">
        <f>N46/N43-1</f>
        <v>-5.9297656013509337E-2</v>
      </c>
      <c r="P46" s="129" t="s">
        <v>930</v>
      </c>
      <c r="Q46" s="116">
        <v>6544174</v>
      </c>
      <c r="R46" s="116">
        <v>8955663928</v>
      </c>
      <c r="S46" s="116">
        <v>1375269.6</v>
      </c>
      <c r="T46" s="130">
        <f t="shared" ref="T46" si="75">Q46/S46</f>
        <v>4.7584662672686138</v>
      </c>
      <c r="U46" s="85">
        <f t="shared" ref="U46:U51" si="76">Q44+Q45+Q46</f>
        <v>19251885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273259.34782608697</v>
      </c>
      <c r="G47" s="190">
        <f t="shared" ref="G47" si="77">F47/F46-1</f>
        <v>-0.20663362424415177</v>
      </c>
      <c r="H47" s="190">
        <f t="shared" ref="H47" si="78">F47/F35-1</f>
        <v>4.9298610510541296E-2</v>
      </c>
      <c r="I47" s="130">
        <f t="shared" si="0"/>
        <v>5.4193870567536457</v>
      </c>
      <c r="J47" s="130">
        <f t="shared" si="4"/>
        <v>-1.103519966152755E-2</v>
      </c>
      <c r="K47" s="136"/>
      <c r="L47" s="190"/>
      <c r="M47" s="190"/>
      <c r="N47" s="191"/>
      <c r="O47" s="192"/>
      <c r="P47" s="129" t="s">
        <v>991</v>
      </c>
      <c r="Q47" s="116">
        <v>6284965</v>
      </c>
      <c r="R47" s="116">
        <v>8604890029</v>
      </c>
      <c r="S47" s="116">
        <v>1159718.79</v>
      </c>
      <c r="T47" s="130">
        <f t="shared" ref="T47" si="79">Q47/S47</f>
        <v>5.4193870567536457</v>
      </c>
      <c r="U47" s="85">
        <f t="shared" si="76"/>
        <v>18082454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308557.59999999998</v>
      </c>
      <c r="G48" s="190">
        <f t="shared" ref="G48" si="80">F48/F47-1</f>
        <v>0.12917491187301744</v>
      </c>
      <c r="H48" s="190">
        <f t="shared" ref="H48" si="81">F48/F36-1</f>
        <v>0.36249660937616301</v>
      </c>
      <c r="I48" s="130">
        <f t="shared" si="0"/>
        <v>6.134298606205582</v>
      </c>
      <c r="J48" s="130">
        <f t="shared" si="4"/>
        <v>8.3045850142503319E-2</v>
      </c>
      <c r="K48" s="136"/>
      <c r="L48" s="190"/>
      <c r="M48" s="190"/>
      <c r="N48" s="191"/>
      <c r="O48" s="192"/>
      <c r="P48" s="129" t="s">
        <v>1070</v>
      </c>
      <c r="Q48" s="116">
        <v>6171152</v>
      </c>
      <c r="R48" s="116">
        <v>8565172467</v>
      </c>
      <c r="S48" s="116">
        <v>1006007.76</v>
      </c>
      <c r="T48" s="130">
        <f t="shared" ref="T48" si="82">Q48/S48</f>
        <v>6.134298606205582</v>
      </c>
      <c r="U48" s="85">
        <f t="shared" si="76"/>
        <v>19000291</v>
      </c>
    </row>
    <row r="49" spans="1:26" ht="13.2">
      <c r="A49" s="129" t="s">
        <v>1158</v>
      </c>
      <c r="B49" s="188">
        <f>SUM(F47:F49)</f>
        <v>905677.26600790513</v>
      </c>
      <c r="C49" s="188">
        <f>AVERAGE(F47:F49)</f>
        <v>301892.42200263502</v>
      </c>
      <c r="D49" s="190">
        <f>C49/C46-1</f>
        <v>-4.2555775974395527E-2</v>
      </c>
      <c r="E49" s="287">
        <f>C49/C37-1</f>
        <v>0.1062273299538441</v>
      </c>
      <c r="F49" s="136">
        <f>Q49/22</f>
        <v>323860.31818181818</v>
      </c>
      <c r="G49" s="190">
        <f t="shared" ref="G49" si="83">F49/F48-1</f>
        <v>4.9594364818167591E-2</v>
      </c>
      <c r="H49" s="190">
        <f t="shared" ref="H49" si="84">F49/F37-1</f>
        <v>-2.3994650537875306E-2</v>
      </c>
      <c r="I49" s="130">
        <f t="shared" si="0"/>
        <v>4.8957595196975019</v>
      </c>
      <c r="J49" s="130">
        <f t="shared" si="4"/>
        <v>-5.6517937552601372E-2</v>
      </c>
      <c r="K49" s="136">
        <f>R47+R48+R49</f>
        <v>27070929814</v>
      </c>
      <c r="L49" s="190">
        <f>U49/U46-1</f>
        <v>1.7097494608969477E-2</v>
      </c>
      <c r="M49" s="190">
        <f>K49/K37-1</f>
        <v>0.19037047649847527</v>
      </c>
      <c r="N49" s="191">
        <f>AVERAGE(T47:T49)</f>
        <v>5.4831483942189108</v>
      </c>
      <c r="O49" s="192">
        <f>N49/N46-1</f>
        <v>6.0670085550301511E-2</v>
      </c>
      <c r="P49" s="129" t="s">
        <v>1158</v>
      </c>
      <c r="Q49" s="116">
        <v>7124927</v>
      </c>
      <c r="R49" s="116">
        <v>9900867318</v>
      </c>
      <c r="S49" s="116">
        <v>1455326.18</v>
      </c>
      <c r="T49" s="130">
        <f t="shared" ref="T49" si="85">Q49/S49</f>
        <v>4.8957595196975019</v>
      </c>
      <c r="U49" s="85">
        <f t="shared" si="76"/>
        <v>19581044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329872.27777777775</v>
      </c>
      <c r="G50" s="190">
        <f t="shared" ref="G50" si="86">F50/F49-1</f>
        <v>1.8563433858495682E-2</v>
      </c>
      <c r="H50" s="190">
        <f t="shared" ref="H50" si="87">F50/F38-1</f>
        <v>0.32019224550106484</v>
      </c>
      <c r="I50" s="130">
        <f t="shared" ref="I50" si="88">T50</f>
        <v>5.4762896949659101</v>
      </c>
      <c r="J50" s="130">
        <f t="shared" ref="J50" si="89">I50/I38-1</f>
        <v>-7.4845813305631892E-2</v>
      </c>
      <c r="K50" s="136"/>
      <c r="L50" s="190"/>
      <c r="M50" s="190"/>
      <c r="N50" s="191"/>
      <c r="O50" s="192"/>
      <c r="P50" s="129" t="s">
        <v>1293</v>
      </c>
      <c r="Q50" s="116">
        <v>5937701</v>
      </c>
      <c r="R50" s="116">
        <v>8423521087</v>
      </c>
      <c r="S50" s="116">
        <v>1084256.19</v>
      </c>
      <c r="T50" s="130">
        <f t="shared" ref="T50" si="90">Q50/S50</f>
        <v>5.4762896949659101</v>
      </c>
      <c r="U50" s="85">
        <f t="shared" si="76"/>
        <v>19233780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274151.09999999998</v>
      </c>
      <c r="G51" s="190">
        <f t="shared" ref="G51:G52" si="91">F51/F50-1</f>
        <v>-0.16891743117411939</v>
      </c>
      <c r="H51" s="190">
        <f t="shared" ref="H51:H52" si="92">F51/F39-1</f>
        <v>-0.14853925704630244</v>
      </c>
      <c r="I51" s="130">
        <f t="shared" ref="I51:I52" si="93">T51</f>
        <v>5.7362724635420177</v>
      </c>
      <c r="J51" s="130">
        <f t="shared" ref="J51:J52" si="94">I51/I39-1</f>
        <v>0.24668992035777548</v>
      </c>
      <c r="K51" s="136"/>
      <c r="L51" s="190"/>
      <c r="M51" s="190"/>
      <c r="N51" s="191"/>
      <c r="O51" s="192"/>
      <c r="P51" s="129" t="s">
        <v>1402</v>
      </c>
      <c r="Q51" s="116">
        <v>5483022</v>
      </c>
      <c r="R51" s="116">
        <v>7956621054</v>
      </c>
      <c r="S51" s="116">
        <v>955851.04</v>
      </c>
      <c r="T51" s="130">
        <f t="shared" ref="T51:T52" si="95">Q51/S51</f>
        <v>5.7362724635420177</v>
      </c>
      <c r="U51" s="85">
        <f t="shared" si="76"/>
        <v>18545650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867656.3323232322</v>
      </c>
      <c r="C52" s="188">
        <f>AVERAGE(F50:F52)</f>
        <v>289218.7774410774</v>
      </c>
      <c r="D52" s="190">
        <f>C52/C49-1</f>
        <v>-4.198066475960438E-2</v>
      </c>
      <c r="E52" s="287">
        <f>C52/C40-1</f>
        <v>9.1687512940225258E-2</v>
      </c>
      <c r="F52" s="136">
        <f>Q52/22</f>
        <v>263632.95454545453</v>
      </c>
      <c r="G52" s="190">
        <f t="shared" si="91"/>
        <v>-3.8366234731669668E-2</v>
      </c>
      <c r="H52" s="190">
        <f t="shared" si="92"/>
        <v>0.18252721216711576</v>
      </c>
      <c r="I52" s="130">
        <f t="shared" si="93"/>
        <v>5.854666364696568</v>
      </c>
      <c r="J52" s="130">
        <f t="shared" si="94"/>
        <v>-5.5931750418372728E-2</v>
      </c>
      <c r="K52" s="136">
        <f>R50+R51+R52</f>
        <v>24908010913</v>
      </c>
      <c r="L52" s="190">
        <f>U52/U49-1</f>
        <v>-0.12054495153578126</v>
      </c>
      <c r="M52" s="190">
        <f>K52/K40-1</f>
        <v>9.3647938708662171E-2</v>
      </c>
      <c r="N52" s="191">
        <f>AVERAGE(T50:T52)</f>
        <v>5.6890761744014995</v>
      </c>
      <c r="O52" s="192">
        <f>N52/N49-1</f>
        <v>3.7556484956654757E-2</v>
      </c>
      <c r="P52" s="129" t="s">
        <v>1403</v>
      </c>
      <c r="Q52" s="116">
        <v>5799925</v>
      </c>
      <c r="R52" s="116">
        <v>8527868772</v>
      </c>
      <c r="S52" s="116">
        <v>990649.96</v>
      </c>
      <c r="T52" s="130">
        <f t="shared" si="95"/>
        <v>5.854666364696568</v>
      </c>
      <c r="U52" s="85">
        <f t="shared" ref="U52" si="96">Q50+Q51+Q52</f>
        <v>17220648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314648.04761904763</v>
      </c>
      <c r="G53" s="190">
        <f t="shared" ref="G53" si="97">F53/F52-1</f>
        <v>0.19350802771053899</v>
      </c>
      <c r="H53" s="190">
        <f t="shared" ref="H53" si="98">F53/F41-1</f>
        <v>-0.17664976976479374</v>
      </c>
      <c r="I53" s="130">
        <f t="shared" ref="I53" si="99">T53</f>
        <v>5.76699497309618</v>
      </c>
      <c r="J53" s="130">
        <f t="shared" ref="J53" si="100">I53/I41-1</f>
        <v>0.18572951020961992</v>
      </c>
      <c r="K53" s="136"/>
      <c r="L53" s="190"/>
      <c r="M53" s="190"/>
      <c r="N53" s="191"/>
      <c r="O53" s="192"/>
      <c r="P53" s="129" t="s">
        <v>1414</v>
      </c>
      <c r="Q53" s="116">
        <v>6607609</v>
      </c>
      <c r="R53" s="116">
        <v>9626375858</v>
      </c>
      <c r="S53" s="116">
        <v>1145762.92</v>
      </c>
      <c r="T53" s="130">
        <f t="shared" ref="T53" si="101">Q53/S53</f>
        <v>5.76699497309618</v>
      </c>
      <c r="U53" s="85">
        <f t="shared" ref="U53" si="102">Q51+Q52+Q53</f>
        <v>17890556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241382.35294117648</v>
      </c>
      <c r="G54" s="190">
        <f t="shared" ref="G54" si="103">F54/F53-1</f>
        <v>-0.23284967198199746</v>
      </c>
      <c r="H54" s="190">
        <f t="shared" ref="H54" si="104">F54/F42-1</f>
        <v>4.2199888782909367E-2</v>
      </c>
      <c r="I54" s="130">
        <f t="shared" ref="I54" si="105">T54</f>
        <v>6.2851638336279843</v>
      </c>
      <c r="J54" s="130">
        <f t="shared" ref="J54" si="106">I54/I42-1</f>
        <v>1.8719563131361916E-3</v>
      </c>
      <c r="K54" s="136"/>
      <c r="L54" s="190"/>
      <c r="M54" s="190"/>
      <c r="N54" s="191"/>
      <c r="O54" s="192"/>
      <c r="P54" s="129" t="s">
        <v>1417</v>
      </c>
      <c r="Q54" s="116">
        <v>4103500</v>
      </c>
      <c r="R54" s="116">
        <v>5945950916</v>
      </c>
      <c r="S54" s="116">
        <v>652886.72</v>
      </c>
      <c r="T54" s="130">
        <f t="shared" ref="T54" si="107">Q54/S54</f>
        <v>6.2851638336279843</v>
      </c>
      <c r="U54" s="85">
        <f t="shared" ref="U54" si="108">Q52+Q53+Q54</f>
        <v>16511034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883085.21008403366</v>
      </c>
      <c r="C55" s="188">
        <f>AVERAGE(F53:F55)</f>
        <v>294361.73669467791</v>
      </c>
      <c r="D55" s="190">
        <f>C55/C52-1</f>
        <v>1.7782245326890322E-2</v>
      </c>
      <c r="E55" s="287">
        <f>C55/C43-1</f>
        <v>-6.1219204468219379E-2</v>
      </c>
      <c r="F55" s="136">
        <f>Q55/21</f>
        <v>327054.80952380953</v>
      </c>
      <c r="G55" s="190">
        <f t="shared" ref="G55" si="109">F55/F54-1</f>
        <v>0.3549242748640824</v>
      </c>
      <c r="H55" s="190">
        <f t="shared" ref="H55" si="110">F55/F43-1</f>
        <v>4.4862608598017495E-4</v>
      </c>
      <c r="I55" s="130">
        <f>T55</f>
        <v>5.4442864991353543</v>
      </c>
      <c r="J55" s="130">
        <f t="shared" ref="J55" si="111">I55/I43-1</f>
        <v>1.7806086154321665E-2</v>
      </c>
      <c r="K55" s="136">
        <f>R53+R54+R55</f>
        <v>25657349039</v>
      </c>
      <c r="L55" s="190">
        <f>U55/U52-1</f>
        <v>2.082453575498433E-2</v>
      </c>
      <c r="M55" s="190">
        <f>K55/K43-1</f>
        <v>-2.1650540416193631E-2</v>
      </c>
      <c r="N55" s="191">
        <f>AVERAGE(T53:T55)</f>
        <v>5.8321484352865065</v>
      </c>
      <c r="O55" s="192">
        <f>N55/N52-1</f>
        <v>2.5148592934784997E-2</v>
      </c>
      <c r="P55" s="129" t="s">
        <v>1418</v>
      </c>
      <c r="Q55" s="116">
        <v>6868151</v>
      </c>
      <c r="R55" s="116">
        <v>10085022265</v>
      </c>
      <c r="S55" s="116">
        <v>1261533.72</v>
      </c>
      <c r="T55" s="130">
        <f t="shared" ref="T55" si="112">Q55/S55</f>
        <v>5.4442864991353543</v>
      </c>
      <c r="U55" s="85">
        <f t="shared" ref="U55" si="113">Q53+Q54+Q55</f>
        <v>17579260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237898.22727272726</v>
      </c>
      <c r="G56" s="190">
        <f t="shared" ref="G56" si="114">F56/F55-1</f>
        <v>-0.27260440652407436</v>
      </c>
      <c r="H56" s="190">
        <f t="shared" ref="H56" si="115">F56/F44-1</f>
        <v>-0.29789603342779214</v>
      </c>
      <c r="I56" s="291">
        <f>T56</f>
        <v>5.4436902174988768</v>
      </c>
      <c r="J56" s="130">
        <f t="shared" ref="J56" si="116">I56/I44-1</f>
        <v>0.14299950662673777</v>
      </c>
      <c r="K56" s="136"/>
      <c r="L56" s="190"/>
      <c r="M56" s="190"/>
      <c r="N56" s="191"/>
      <c r="O56" s="192"/>
      <c r="P56" s="129" t="s">
        <v>1420</v>
      </c>
      <c r="Q56" s="116">
        <v>5233761</v>
      </c>
      <c r="R56" s="116">
        <v>7820723048</v>
      </c>
      <c r="S56" s="116">
        <v>961436.23</v>
      </c>
      <c r="T56" s="130">
        <f t="shared" ref="T56" si="117">Q56/S56</f>
        <v>5.4436902174988768</v>
      </c>
      <c r="U56" s="85">
        <f t="shared" ref="U56" si="118">Q54+Q55+Q56</f>
        <v>16205412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187837.08333333334</v>
      </c>
      <c r="G57" s="254">
        <f t="shared" ref="G57" si="119">F57/F56-1</f>
        <v>-0.21043092465755819</v>
      </c>
      <c r="H57" s="254">
        <f t="shared" ref="H57" si="120">F57/F45-1</f>
        <v>-0.28488170485366537</v>
      </c>
      <c r="I57" s="282">
        <f>T57</f>
        <v>7.0202287247012469</v>
      </c>
      <c r="J57" s="277">
        <f t="shared" ref="J57" si="121">I57/I45-1</f>
        <v>0.1724927817229609</v>
      </c>
      <c r="K57" s="204"/>
      <c r="L57" s="254"/>
      <c r="M57" s="254"/>
      <c r="N57" s="257"/>
      <c r="O57" s="258"/>
      <c r="P57" s="129" t="s">
        <v>1436</v>
      </c>
      <c r="Q57" s="116">
        <v>2254045</v>
      </c>
      <c r="R57" s="116">
        <v>3322476123</v>
      </c>
      <c r="S57" s="116">
        <v>321078.57</v>
      </c>
      <c r="T57" s="130">
        <f t="shared" ref="T57" si="122">Q57/S57</f>
        <v>7.0202287247012469</v>
      </c>
      <c r="U57" s="85">
        <f t="shared" ref="U57" si="123">Q55+Q56+Q57</f>
        <v>14355957</v>
      </c>
      <c r="V57" s="79"/>
      <c r="W57" s="79"/>
      <c r="X57" s="79"/>
      <c r="Y57" s="79"/>
      <c r="Z57" s="79"/>
    </row>
    <row r="58" spans="1:26">
      <c r="B58" s="196">
        <f>SUM(F56:F58)</f>
        <v>425735.31060606061</v>
      </c>
      <c r="C58" s="196">
        <f>AVERAGE(F56:F58)</f>
        <v>212867.6553030303</v>
      </c>
      <c r="D58" s="197">
        <f>C58/C55-1</f>
        <v>-0.27685011750075406</v>
      </c>
      <c r="E58" s="233">
        <f>C58/C46-1</f>
        <v>-0.32489558465968793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25067066</v>
      </c>
      <c r="R66" s="212">
        <v>36800548210</v>
      </c>
      <c r="S66" s="213">
        <v>4342698.18</v>
      </c>
      <c r="T66" s="214">
        <v>231</v>
      </c>
      <c r="U66" s="214">
        <v>548</v>
      </c>
    </row>
    <row r="67" spans="16:21" ht="18" thickBot="1">
      <c r="P67" s="180" t="s">
        <v>976</v>
      </c>
      <c r="Q67" s="181">
        <v>6607609</v>
      </c>
      <c r="R67" s="181">
        <v>9626375858</v>
      </c>
      <c r="S67" s="182">
        <v>1145762.92</v>
      </c>
      <c r="T67" s="210">
        <v>113</v>
      </c>
      <c r="U67" s="210">
        <v>249</v>
      </c>
    </row>
    <row r="68" spans="16:21" ht="18" thickBot="1">
      <c r="P68" s="180" t="s">
        <v>977</v>
      </c>
      <c r="Q68" s="181">
        <v>4103500</v>
      </c>
      <c r="R68" s="181">
        <v>5945950916</v>
      </c>
      <c r="S68" s="182">
        <v>652886.72</v>
      </c>
      <c r="T68" s="210">
        <v>114</v>
      </c>
      <c r="U68" s="210">
        <v>214</v>
      </c>
    </row>
    <row r="69" spans="16:21" ht="18" thickBot="1">
      <c r="P69" s="180" t="s">
        <v>978</v>
      </c>
      <c r="Q69" s="181">
        <v>6868151</v>
      </c>
      <c r="R69" s="181">
        <v>10085022265</v>
      </c>
      <c r="S69" s="182">
        <v>1261533.72</v>
      </c>
      <c r="T69" s="210">
        <v>114</v>
      </c>
      <c r="U69" s="210">
        <v>243</v>
      </c>
    </row>
    <row r="70" spans="16:21" ht="18" thickBot="1">
      <c r="P70" s="180" t="s">
        <v>979</v>
      </c>
      <c r="Q70" s="181">
        <v>5233761</v>
      </c>
      <c r="R70" s="181">
        <v>7820723048</v>
      </c>
      <c r="S70" s="182">
        <v>961436.23</v>
      </c>
      <c r="T70" s="210">
        <v>123</v>
      </c>
      <c r="U70" s="210">
        <v>259</v>
      </c>
    </row>
    <row r="71" spans="16:21" ht="18" thickBot="1">
      <c r="P71" s="180" t="s">
        <v>980</v>
      </c>
      <c r="Q71" s="181">
        <v>2254045</v>
      </c>
      <c r="R71" s="181">
        <v>3322476123</v>
      </c>
      <c r="S71" s="182">
        <v>321078.57</v>
      </c>
      <c r="T71" s="210">
        <v>91</v>
      </c>
      <c r="U71" s="210">
        <v>179</v>
      </c>
    </row>
    <row r="72" spans="16:21" ht="18" thickBot="1">
      <c r="P72" s="180" t="s">
        <v>975</v>
      </c>
      <c r="Q72" s="181">
        <v>74255608</v>
      </c>
      <c r="R72" s="181">
        <v>105671053235</v>
      </c>
      <c r="S72" s="182">
        <v>13848891.49</v>
      </c>
      <c r="T72" s="210">
        <v>398</v>
      </c>
      <c r="U72" s="210">
        <v>1107</v>
      </c>
    </row>
    <row r="73" spans="16:21" ht="18" thickBot="1">
      <c r="P73" s="215" t="s">
        <v>982</v>
      </c>
      <c r="Q73" s="217">
        <v>6</v>
      </c>
      <c r="R73"/>
      <c r="S73"/>
      <c r="T73"/>
      <c r="U73"/>
    </row>
  </sheetData>
  <phoneticPr fontId="1" type="noConversion"/>
  <conditionalFormatting sqref="C29:C30">
    <cfRule type="cellIs" dxfId="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36"/>
  <dimension ref="A1:Y49"/>
  <sheetViews>
    <sheetView zoomScaleNormal="100" workbookViewId="0">
      <selection activeCell="J2" sqref="J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40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8512201010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265</v>
      </c>
      <c r="F4" s="84" t="s">
        <v>73</v>
      </c>
      <c r="G4" s="172" t="s">
        <v>282</v>
      </c>
      <c r="H4" s="172" t="s">
        <v>265</v>
      </c>
      <c r="I4" s="84" t="s">
        <v>45</v>
      </c>
      <c r="J4" s="84" t="s">
        <v>64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960168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19203360</v>
      </c>
      <c r="Q5" s="116">
        <v>22658586591</v>
      </c>
      <c r="R5" s="116">
        <v>366017.12</v>
      </c>
      <c r="S5" s="130">
        <f t="shared" ref="S5:S17" si="1">P5/R5</f>
        <v>52.465742586029855</v>
      </c>
      <c r="T5" s="85"/>
    </row>
    <row r="6" spans="1:20" ht="15" hidden="1" customHeight="1">
      <c r="A6" s="129" t="s">
        <v>1</v>
      </c>
      <c r="C6" s="79"/>
      <c r="F6" s="78">
        <f>P6/18</f>
        <v>931099.77777777775</v>
      </c>
      <c r="G6" s="90">
        <f t="shared" ref="G6:G16" si="2">F6/F5-1</f>
        <v>-3.0274100180616603E-2</v>
      </c>
      <c r="H6" s="90"/>
      <c r="I6" s="130" t="e">
        <f t="shared" si="0"/>
        <v>#DIV/0!</v>
      </c>
      <c r="O6" s="129" t="s">
        <v>1</v>
      </c>
      <c r="P6" s="116">
        <v>16759796</v>
      </c>
      <c r="Q6" s="116">
        <v>19902498648</v>
      </c>
      <c r="R6" s="116">
        <v>276659.78000000003</v>
      </c>
      <c r="S6" s="130">
        <f t="shared" si="1"/>
        <v>60.579083811893433</v>
      </c>
      <c r="T6" s="85"/>
    </row>
    <row r="7" spans="1:20" ht="15" hidden="1" customHeight="1">
      <c r="A7" s="129" t="s">
        <v>2</v>
      </c>
      <c r="B7" s="131">
        <f>F5+F6+F7</f>
        <v>2666748.777777778</v>
      </c>
      <c r="C7" s="131">
        <f>AVERAGE(F5:F7)</f>
        <v>888916.25925925933</v>
      </c>
      <c r="F7" s="78">
        <f>P7/22</f>
        <v>775481</v>
      </c>
      <c r="G7" s="90">
        <f t="shared" si="2"/>
        <v>-0.16713437323461455</v>
      </c>
      <c r="H7" s="90"/>
      <c r="I7" s="130" t="e">
        <f t="shared" si="0"/>
        <v>#DIV/0!</v>
      </c>
      <c r="J7" s="79">
        <f>Q5+Q6+Q7</f>
        <v>63115428374</v>
      </c>
      <c r="M7" s="88">
        <f>AVERAGE(S5:S7)</f>
        <v>57.140574257982308</v>
      </c>
      <c r="O7" s="129" t="s">
        <v>2</v>
      </c>
      <c r="P7" s="116">
        <v>17060582</v>
      </c>
      <c r="Q7" s="116">
        <v>20554343135</v>
      </c>
      <c r="R7" s="116">
        <v>292248.87</v>
      </c>
      <c r="S7" s="130">
        <f t="shared" si="1"/>
        <v>58.37689637602363</v>
      </c>
      <c r="T7" s="85">
        <f>P5+P6+P7</f>
        <v>53023738</v>
      </c>
    </row>
    <row r="8" spans="1:20" ht="15" hidden="1" customHeight="1">
      <c r="A8" s="129" t="s">
        <v>3</v>
      </c>
      <c r="C8" s="79"/>
      <c r="F8" s="78">
        <f>P8/21</f>
        <v>862693.38095238095</v>
      </c>
      <c r="G8" s="90">
        <f t="shared" si="2"/>
        <v>0.11246230526909229</v>
      </c>
      <c r="H8" s="90"/>
      <c r="I8" s="130" t="e">
        <f t="shared" si="0"/>
        <v>#DIV/0!</v>
      </c>
      <c r="J8" s="78"/>
      <c r="O8" s="129" t="s">
        <v>3</v>
      </c>
      <c r="P8" s="116">
        <v>18116561</v>
      </c>
      <c r="Q8" s="116">
        <v>21952404023</v>
      </c>
      <c r="R8" s="116">
        <v>321752.90000000002</v>
      </c>
      <c r="S8" s="130">
        <f t="shared" si="1"/>
        <v>56.305820398199984</v>
      </c>
      <c r="T8" s="85"/>
    </row>
    <row r="9" spans="1:20" ht="15" hidden="1" customHeight="1">
      <c r="A9" s="129" t="s">
        <v>4</v>
      </c>
      <c r="C9" s="79"/>
      <c r="F9" s="78">
        <f>P9/21</f>
        <v>792491</v>
      </c>
      <c r="G9" s="90">
        <f t="shared" si="2"/>
        <v>-8.1375819616095968E-2</v>
      </c>
      <c r="H9" s="90"/>
      <c r="I9" s="130" t="e">
        <f t="shared" si="0"/>
        <v>#DIV/0!</v>
      </c>
      <c r="J9" s="78"/>
      <c r="O9" s="129" t="s">
        <v>4</v>
      </c>
      <c r="P9" s="116">
        <v>16642311</v>
      </c>
      <c r="Q9" s="116">
        <v>20944792717</v>
      </c>
      <c r="R9" s="116">
        <v>311748.56</v>
      </c>
      <c r="S9" s="130">
        <f t="shared" si="1"/>
        <v>53.383762221708416</v>
      </c>
      <c r="T9" s="85"/>
    </row>
    <row r="10" spans="1:20" ht="15" hidden="1" customHeight="1">
      <c r="A10" s="129" t="s">
        <v>5</v>
      </c>
      <c r="B10" s="131">
        <f>F8+F9+F10</f>
        <v>2550423.6190476194</v>
      </c>
      <c r="C10" s="131">
        <f>AVERAGE(F8:F10)</f>
        <v>850141.20634920651</v>
      </c>
      <c r="D10" s="90">
        <f>C10/C7-1</f>
        <v>-4.3620591373100037E-2</v>
      </c>
      <c r="E10" s="90"/>
      <c r="F10" s="78">
        <f>P10/21</f>
        <v>895239.23809523811</v>
      </c>
      <c r="G10" s="90">
        <f t="shared" si="2"/>
        <v>0.12965224601318903</v>
      </c>
      <c r="H10" s="90"/>
      <c r="I10" s="130" t="e">
        <f t="shared" si="0"/>
        <v>#DIV/0!</v>
      </c>
      <c r="J10" s="79">
        <f>Q8+Q9+Q10</f>
        <v>66599535531</v>
      </c>
      <c r="K10" s="87">
        <f>T10/T7-1</f>
        <v>1.0092800322753614E-2</v>
      </c>
      <c r="M10" s="88">
        <f>AVERAGE(S8:S10)</f>
        <v>54.447557580477024</v>
      </c>
      <c r="N10" s="89">
        <f>M10/M7-1</f>
        <v>-4.7129674709719627E-2</v>
      </c>
      <c r="O10" s="129" t="s">
        <v>5</v>
      </c>
      <c r="P10" s="116">
        <v>18800024</v>
      </c>
      <c r="Q10" s="116">
        <v>23702338791</v>
      </c>
      <c r="R10" s="116">
        <v>350399.65</v>
      </c>
      <c r="S10" s="130">
        <f t="shared" si="1"/>
        <v>53.653090121522666</v>
      </c>
      <c r="T10" s="85">
        <f>P8+P9+P10</f>
        <v>53558896</v>
      </c>
    </row>
    <row r="11" spans="1:20" ht="15" hidden="1" customHeight="1">
      <c r="A11" s="129" t="s">
        <v>6</v>
      </c>
      <c r="C11" s="79"/>
      <c r="F11" s="78">
        <f>P11/21</f>
        <v>1108716.0952380951</v>
      </c>
      <c r="G11" s="90">
        <f t="shared" si="2"/>
        <v>0.23845788707503757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23283038</v>
      </c>
      <c r="Q11" s="116">
        <v>30049851375</v>
      </c>
      <c r="R11" s="116">
        <v>362350.33</v>
      </c>
      <c r="S11" s="130">
        <f t="shared" si="1"/>
        <v>64.255600374366978</v>
      </c>
      <c r="T11" s="85"/>
    </row>
    <row r="12" spans="1:20" ht="15" hidden="1" customHeight="1">
      <c r="A12" s="129" t="s">
        <v>7</v>
      </c>
      <c r="C12" s="79"/>
      <c r="F12" s="78">
        <f>P12/22</f>
        <v>705264.45454545459</v>
      </c>
      <c r="G12" s="90">
        <f t="shared" si="2"/>
        <v>-0.36389084854585785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15515818</v>
      </c>
      <c r="Q12" s="116">
        <v>20208086106</v>
      </c>
      <c r="R12" s="116">
        <v>278545.25</v>
      </c>
      <c r="S12" s="130">
        <f t="shared" si="1"/>
        <v>55.703042862874163</v>
      </c>
      <c r="T12" s="85"/>
    </row>
    <row r="13" spans="1:20" ht="15" hidden="1" customHeight="1">
      <c r="A13" s="129" t="s">
        <v>96</v>
      </c>
      <c r="B13" s="131">
        <f>F11+F12+F13</f>
        <v>2779169.2497835495</v>
      </c>
      <c r="C13" s="131">
        <f>AVERAGE(F11:F13)</f>
        <v>926389.74992784986</v>
      </c>
      <c r="D13" s="90">
        <f>C13/C10-1</f>
        <v>8.9689269275724515E-2</v>
      </c>
      <c r="E13" s="90"/>
      <c r="F13" s="78">
        <f>P13/20</f>
        <v>965188.7</v>
      </c>
      <c r="G13" s="90">
        <f t="shared" si="2"/>
        <v>0.36854862566704494</v>
      </c>
      <c r="H13" s="90"/>
      <c r="I13" s="130" t="e">
        <f t="shared" si="0"/>
        <v>#DIV/0!</v>
      </c>
      <c r="J13" s="78">
        <f>Q11+Q12+Q13</f>
        <v>76616455277</v>
      </c>
      <c r="K13" s="87">
        <f>T13/T10-1</f>
        <v>8.4836214697181278E-2</v>
      </c>
      <c r="M13" s="88">
        <f>AVERAGE(S11:S13)</f>
        <v>62.589993453952381</v>
      </c>
      <c r="N13" s="89">
        <f>M13/M10-1</f>
        <v>0.14954639354465638</v>
      </c>
      <c r="O13" s="129" t="s">
        <v>96</v>
      </c>
      <c r="P13" s="116">
        <v>19303774</v>
      </c>
      <c r="Q13" s="116">
        <v>26358517796</v>
      </c>
      <c r="R13" s="116">
        <v>284668.83</v>
      </c>
      <c r="S13" s="130">
        <f t="shared" si="1"/>
        <v>67.811337124615989</v>
      </c>
      <c r="T13" s="85">
        <f>P11+P12+P13</f>
        <v>58102630</v>
      </c>
    </row>
    <row r="14" spans="1:20" ht="15" hidden="1" customHeight="1">
      <c r="A14" s="129" t="s">
        <v>97</v>
      </c>
      <c r="C14" s="79"/>
      <c r="F14" s="78">
        <f>P14/20</f>
        <v>881092.25</v>
      </c>
      <c r="G14" s="90">
        <f t="shared" si="2"/>
        <v>-8.7129542647981673E-2</v>
      </c>
      <c r="H14" s="90"/>
      <c r="I14" s="130" t="e">
        <f t="shared" si="0"/>
        <v>#DIV/0!</v>
      </c>
      <c r="N14" s="89"/>
      <c r="O14" s="129" t="s">
        <v>97</v>
      </c>
      <c r="P14" s="116">
        <v>17621845</v>
      </c>
      <c r="Q14" s="116">
        <v>25141369519</v>
      </c>
      <c r="R14" s="116">
        <v>266136.63</v>
      </c>
      <c r="S14" s="130">
        <f t="shared" si="1"/>
        <v>66.213527239748998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829249.63636363635</v>
      </c>
      <c r="G15" s="90">
        <f t="shared" si="2"/>
        <v>-5.8839030347121568E-2</v>
      </c>
      <c r="H15" s="90"/>
      <c r="I15" s="130" t="e">
        <f t="shared" si="0"/>
        <v>#DIV/0!</v>
      </c>
      <c r="N15" s="89"/>
      <c r="O15" s="129" t="s">
        <v>98</v>
      </c>
      <c r="P15" s="116">
        <v>18243492</v>
      </c>
      <c r="Q15" s="116">
        <v>25260107404</v>
      </c>
      <c r="R15" s="116">
        <v>250942.1</v>
      </c>
      <c r="S15" s="130">
        <f t="shared" si="1"/>
        <v>72.700005300027371</v>
      </c>
      <c r="T15" s="85"/>
    </row>
    <row r="16" spans="1:20" ht="15" hidden="1" customHeight="1">
      <c r="A16" s="129" t="s">
        <v>99</v>
      </c>
      <c r="B16" s="131">
        <f>F14+F15+F16</f>
        <v>2483362.3863636362</v>
      </c>
      <c r="C16" s="131">
        <f>AVERAGE(F14:F16)</f>
        <v>827787.46212121204</v>
      </c>
      <c r="D16" s="90">
        <f>C16/C13-1</f>
        <v>-0.10643715327627201</v>
      </c>
      <c r="E16" s="90"/>
      <c r="F16" s="78">
        <f>P16/22</f>
        <v>773020.5</v>
      </c>
      <c r="G16" s="90">
        <f t="shared" si="2"/>
        <v>-6.7807248743826043E-2</v>
      </c>
      <c r="H16" s="90"/>
      <c r="I16" s="130" t="e">
        <f t="shared" si="0"/>
        <v>#DIV/0!</v>
      </c>
      <c r="J16" s="78">
        <f>Q14+Q15+Q16</f>
        <v>72671274604</v>
      </c>
      <c r="K16" s="87">
        <f>T16/T13-1</f>
        <v>-9.0027628697702644E-2</v>
      </c>
      <c r="M16" s="88">
        <f>AVERAGE(S14:S16)</f>
        <v>66.360772085262795</v>
      </c>
      <c r="N16" s="89">
        <f>M16/M13-1</f>
        <v>6.0245710587661039E-2</v>
      </c>
      <c r="O16" s="129" t="s">
        <v>99</v>
      </c>
      <c r="P16" s="116">
        <v>17006451</v>
      </c>
      <c r="Q16" s="116">
        <v>22269797681</v>
      </c>
      <c r="R16" s="116">
        <v>282645.75</v>
      </c>
      <c r="S16" s="130">
        <f t="shared" si="1"/>
        <v>60.168783716012001</v>
      </c>
      <c r="T16" s="85">
        <f>P14+P15+P16</f>
        <v>52871788</v>
      </c>
    </row>
    <row r="17" spans="1:20" ht="15" hidden="1" customHeight="1">
      <c r="A17" s="129" t="s">
        <v>100</v>
      </c>
      <c r="C17" s="79"/>
      <c r="F17" s="78">
        <f>P17/20</f>
        <v>831093.95</v>
      </c>
      <c r="G17" s="90">
        <f t="shared" ref="G17:G22" si="3">F17/F16-1</f>
        <v>7.5125368602773079E-2</v>
      </c>
      <c r="H17" s="90">
        <f t="shared" ref="H17:H22" si="4">F17/F5-1</f>
        <v>-0.134428610409845</v>
      </c>
      <c r="I17" s="130">
        <f t="shared" si="0"/>
        <v>-6182418.664197797</v>
      </c>
      <c r="N17" s="89"/>
      <c r="O17" s="129" t="s">
        <v>100</v>
      </c>
      <c r="P17" s="116">
        <v>16621879</v>
      </c>
      <c r="Q17" s="116">
        <v>20846313721</v>
      </c>
      <c r="R17" s="116">
        <v>236384.15</v>
      </c>
      <c r="S17" s="130">
        <f t="shared" si="1"/>
        <v>70.317231506427149</v>
      </c>
      <c r="T17" s="78"/>
    </row>
    <row r="18" spans="1:20" hidden="1">
      <c r="A18" s="129" t="s">
        <v>106</v>
      </c>
      <c r="C18" s="79"/>
      <c r="F18" s="78">
        <f>P18/20</f>
        <v>946364.15</v>
      </c>
      <c r="G18" s="90">
        <f t="shared" si="3"/>
        <v>0.1386969547786987</v>
      </c>
      <c r="H18" s="90">
        <f t="shared" si="4"/>
        <v>1.6393916727864832E-2</v>
      </c>
      <c r="I18" s="130">
        <f t="shared" si="0"/>
        <v>57726543.675280452</v>
      </c>
      <c r="N18" s="89"/>
      <c r="O18" s="129" t="s">
        <v>106</v>
      </c>
      <c r="P18" s="116">
        <v>18927283</v>
      </c>
      <c r="Q18" s="116">
        <v>23776106781</v>
      </c>
      <c r="R18" s="116">
        <v>242490.75</v>
      </c>
      <c r="S18" s="130">
        <f t="shared" ref="S18" si="5">P18/R18</f>
        <v>78.053628849760244</v>
      </c>
      <c r="T18" s="78"/>
    </row>
    <row r="19" spans="1:20" hidden="1">
      <c r="A19" s="129" t="s">
        <v>114</v>
      </c>
      <c r="B19" s="131">
        <f>SUM(F17:F19)</f>
        <v>2422014.8272727272</v>
      </c>
      <c r="C19" s="131">
        <f>AVERAGE(F17:F19)</f>
        <v>807338.27575757576</v>
      </c>
      <c r="D19" s="90">
        <f>C19/C16-1</f>
        <v>-2.4703426059673683E-2</v>
      </c>
      <c r="E19" s="90">
        <f>C19/C7-1</f>
        <v>-9.1772405614071184E-2</v>
      </c>
      <c r="F19" s="78">
        <f>P19/22</f>
        <v>644556.72727272729</v>
      </c>
      <c r="G19" s="90">
        <f t="shared" si="3"/>
        <v>-0.31891256946628077</v>
      </c>
      <c r="H19" s="90">
        <f t="shared" si="4"/>
        <v>-0.16882976207962896</v>
      </c>
      <c r="I19" s="130">
        <f t="shared" si="0"/>
        <v>-3817790.8878928619</v>
      </c>
      <c r="J19" s="78">
        <f>Q17+Q18+Q19</f>
        <v>63161905341</v>
      </c>
      <c r="K19" s="87">
        <f>T19/T16-1</f>
        <v>-5.9433927220316485E-2</v>
      </c>
      <c r="L19" s="87">
        <f>T19/T7-1</f>
        <v>-6.2129305180257166E-2</v>
      </c>
      <c r="M19" s="88">
        <f>AVERAGE(S17:S19)</f>
        <v>71.734082023141141</v>
      </c>
      <c r="N19" s="89">
        <f>M19/M16-1</f>
        <v>8.097117874057469E-2</v>
      </c>
      <c r="O19" s="129" t="s">
        <v>115</v>
      </c>
      <c r="P19" s="116">
        <v>14180248</v>
      </c>
      <c r="Q19" s="116">
        <v>18539484839</v>
      </c>
      <c r="R19" s="116">
        <v>212179.47</v>
      </c>
      <c r="S19" s="130">
        <f t="shared" ref="S19" si="6">P19/R19</f>
        <v>66.83138571323606</v>
      </c>
      <c r="T19" s="85">
        <f>P17+P18+P19</f>
        <v>49729410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720918</v>
      </c>
      <c r="G20" s="90">
        <f t="shared" si="3"/>
        <v>0.11847098865971883</v>
      </c>
      <c r="H20" s="90">
        <f t="shared" si="4"/>
        <v>-0.16434040654846138</v>
      </c>
      <c r="I20" s="130">
        <f t="shared" si="0"/>
        <v>-4386736.1359326607</v>
      </c>
      <c r="N20" s="89"/>
      <c r="O20" s="129" t="s">
        <v>132</v>
      </c>
      <c r="P20" s="116">
        <v>14418360</v>
      </c>
      <c r="Q20" s="116">
        <v>18915980887</v>
      </c>
      <c r="R20" s="116">
        <v>225145.66</v>
      </c>
      <c r="S20" s="130">
        <f t="shared" ref="S20" si="7">P20/R20</f>
        <v>64.0401418352901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685710.61904761905</v>
      </c>
      <c r="G21" s="90">
        <f t="shared" si="3"/>
        <v>-4.8836873198312314E-2</v>
      </c>
      <c r="H21" s="90">
        <f t="shared" si="4"/>
        <v>-0.13474018121641884</v>
      </c>
      <c r="I21" s="130">
        <f t="shared" si="0"/>
        <v>-5089132.379495875</v>
      </c>
      <c r="N21" s="89"/>
      <c r="O21" s="129" t="s">
        <v>141</v>
      </c>
      <c r="P21" s="116">
        <v>14399923</v>
      </c>
      <c r="Q21" s="116">
        <v>19179877933</v>
      </c>
      <c r="R21" s="116">
        <v>214732.87</v>
      </c>
      <c r="S21" s="130">
        <f t="shared" ref="S21" si="8">P21/R21</f>
        <v>67.059705391168109</v>
      </c>
      <c r="T21" s="78"/>
    </row>
    <row r="22" spans="1:20" hidden="1">
      <c r="A22" s="129" t="s">
        <v>156</v>
      </c>
      <c r="B22" s="131">
        <f>SUM(F20:F22)</f>
        <v>2153105.6666666665</v>
      </c>
      <c r="C22" s="131">
        <f>AVERAGE(F20:F22)</f>
        <v>717701.88888888888</v>
      </c>
      <c r="D22" s="90">
        <f>C22/C19-1</f>
        <v>-0.11102704970178146</v>
      </c>
      <c r="E22" s="90">
        <f>C22/C10-1</f>
        <v>-0.15578508190310736</v>
      </c>
      <c r="F22" s="78">
        <f>P22/21</f>
        <v>746477.04761904757</v>
      </c>
      <c r="G22" s="90">
        <f t="shared" si="3"/>
        <v>8.8618182194446282E-2</v>
      </c>
      <c r="H22" s="90">
        <f t="shared" si="4"/>
        <v>-0.16617031978257057</v>
      </c>
      <c r="I22" s="130">
        <f t="shared" si="0"/>
        <v>-4492240.5432919236</v>
      </c>
      <c r="J22" s="78">
        <f>Q20+Q21+Q22</f>
        <v>58430461942</v>
      </c>
      <c r="K22" s="87">
        <f>T22/T19-1</f>
        <v>-0.10527189041655627</v>
      </c>
      <c r="L22" s="87">
        <f>T22/T10-1</f>
        <v>-0.16924536682010771</v>
      </c>
      <c r="M22" s="88">
        <f>AVERAGE(S20:S22)</f>
        <v>62.210090126117684</v>
      </c>
      <c r="N22" s="89">
        <f>M22/M19-1</f>
        <v>-0.13276801805243776</v>
      </c>
      <c r="O22" s="129" t="s">
        <v>156</v>
      </c>
      <c r="P22" s="116">
        <v>15676018</v>
      </c>
      <c r="Q22" s="116">
        <v>20334603122</v>
      </c>
      <c r="R22" s="116">
        <v>282296.03000000003</v>
      </c>
      <c r="S22" s="130">
        <f t="shared" ref="S22:S23" si="9">P22/R22</f>
        <v>55.53042315189483</v>
      </c>
      <c r="T22" s="85">
        <f>P20+P21+P22</f>
        <v>44494301</v>
      </c>
    </row>
    <row r="23" spans="1:20" hidden="1">
      <c r="A23" s="129" t="s">
        <v>189</v>
      </c>
      <c r="B23" s="131"/>
      <c r="C23" s="131"/>
      <c r="F23" s="78">
        <f>P23/21</f>
        <v>815151.71428571432</v>
      </c>
      <c r="G23" s="90">
        <f t="shared" ref="G23" si="10">F23/F22-1</f>
        <v>9.1998363359878876E-2</v>
      </c>
      <c r="H23" s="90">
        <f t="shared" ref="H23" si="11">F23/F11-1</f>
        <v>-0.26477867707813718</v>
      </c>
      <c r="I23" s="130">
        <f t="shared" si="0"/>
        <v>-3078615.4054435431</v>
      </c>
      <c r="N23" s="89"/>
      <c r="O23" s="129" t="s">
        <v>189</v>
      </c>
      <c r="P23" s="116">
        <v>17118186</v>
      </c>
      <c r="Q23" s="116">
        <v>22092836687</v>
      </c>
      <c r="R23" s="116">
        <v>291013.24</v>
      </c>
      <c r="S23" s="130">
        <f t="shared" si="9"/>
        <v>58.822705111286346</v>
      </c>
      <c r="T23" s="78"/>
    </row>
    <row r="24" spans="1:20" hidden="1">
      <c r="A24" s="129" t="s">
        <v>204</v>
      </c>
      <c r="B24" s="131"/>
      <c r="C24" s="131"/>
      <c r="F24" s="78">
        <f>P24/22</f>
        <v>782591.86363636365</v>
      </c>
      <c r="G24" s="90">
        <f t="shared" ref="G24" si="12">F24/F23-1</f>
        <v>-3.9943301447733059E-2</v>
      </c>
      <c r="H24" s="90">
        <f t="shared" ref="H24" si="13">F24/F12-1</f>
        <v>0.10964313966559791</v>
      </c>
      <c r="I24" s="130">
        <f t="shared" si="0"/>
        <v>7137627.269915848</v>
      </c>
      <c r="N24" s="89"/>
      <c r="O24" s="129" t="s">
        <v>204</v>
      </c>
      <c r="P24" s="116">
        <v>17217021</v>
      </c>
      <c r="Q24" s="116">
        <v>22668350684</v>
      </c>
      <c r="R24" s="116">
        <v>285412.81</v>
      </c>
      <c r="S24" s="130">
        <f t="shared" ref="S24" si="14">P24/R24</f>
        <v>60.323224455132198</v>
      </c>
      <c r="T24" s="78"/>
    </row>
    <row r="25" spans="1:20" s="79" customFormat="1" ht="13.2" hidden="1">
      <c r="A25" s="129" t="s">
        <v>218</v>
      </c>
      <c r="B25" s="131">
        <f>SUM(F23:F25)</f>
        <v>2660997.1042378675</v>
      </c>
      <c r="C25" s="131">
        <f>AVERAGE(F23:F25)</f>
        <v>886999.03474595584</v>
      </c>
      <c r="D25" s="90">
        <f>C25/C22-1</f>
        <v>0.23588783654891099</v>
      </c>
      <c r="E25" s="90">
        <f>C25/C13-1</f>
        <v>-4.2520672519273717E-2</v>
      </c>
      <c r="F25" s="78">
        <f>P25/19</f>
        <v>1063253.5263157894</v>
      </c>
      <c r="G25" s="90">
        <f t="shared" ref="G25" si="15">F25/F24-1</f>
        <v>0.35863094892823599</v>
      </c>
      <c r="H25" s="90">
        <f t="shared" ref="H25" si="16">F25/F13-1</f>
        <v>0.10160171406460683</v>
      </c>
      <c r="I25" s="130">
        <f t="shared" si="0"/>
        <v>10464917.212318724</v>
      </c>
      <c r="J25" s="78">
        <f>Q23+Q24+Q25</f>
        <v>71564092679</v>
      </c>
      <c r="K25" s="90">
        <f>T25/T22-1</f>
        <v>0.22570807438912244</v>
      </c>
      <c r="L25" s="90">
        <f>T25/T13-1</f>
        <v>-6.1367377001695145E-2</v>
      </c>
      <c r="M25" s="88">
        <f>AVERAGE(S23:S25)</f>
        <v>61.274873813023753</v>
      </c>
      <c r="N25" s="91">
        <f>M25/M22-1</f>
        <v>-1.503319334850628E-2</v>
      </c>
      <c r="O25" s="129" t="s">
        <v>221</v>
      </c>
      <c r="P25" s="116">
        <v>20201817</v>
      </c>
      <c r="Q25" s="116">
        <v>26802905308</v>
      </c>
      <c r="R25" s="116">
        <v>312341.15000000002</v>
      </c>
      <c r="S25" s="130">
        <f t="shared" ref="S25" si="17">P25/R25</f>
        <v>64.678691872652706</v>
      </c>
      <c r="T25" s="85">
        <f>P23+P24+P25</f>
        <v>54537024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1230235.4736842106</v>
      </c>
      <c r="G26" s="90">
        <f t="shared" ref="G26" si="18">F26/F25-1</f>
        <v>0.15704810116832557</v>
      </c>
      <c r="H26" s="90">
        <f t="shared" ref="H26" si="19">F26/F14-1</f>
        <v>0.3962618258011128</v>
      </c>
      <c r="I26" s="130">
        <f t="shared" si="0"/>
        <v>3104602.5470585609</v>
      </c>
      <c r="K26" s="90"/>
      <c r="L26" s="90"/>
      <c r="O26" s="129" t="s">
        <v>312</v>
      </c>
      <c r="P26" s="116">
        <v>23374474</v>
      </c>
      <c r="Q26" s="116">
        <v>31523991936</v>
      </c>
      <c r="R26" s="116">
        <v>302225.18</v>
      </c>
      <c r="S26" s="130">
        <f t="shared" ref="S26" si="20">P26/R26</f>
        <v>77.341252638181899</v>
      </c>
      <c r="T26" s="78"/>
    </row>
    <row r="27" spans="1:20" s="79" customFormat="1" ht="13.2" hidden="1">
      <c r="A27" s="129" t="s">
        <v>374</v>
      </c>
      <c r="B27" s="131"/>
      <c r="C27" s="131"/>
      <c r="D27" s="132"/>
      <c r="E27" s="132"/>
      <c r="F27" s="78">
        <f>P27/22</f>
        <v>578560.86363636365</v>
      </c>
      <c r="G27" s="90">
        <f t="shared" ref="G27" si="21">F27/F26-1</f>
        <v>-0.52971534636069628</v>
      </c>
      <c r="H27" s="90">
        <f t="shared" ref="H27" si="22">F27/F15-1</f>
        <v>-0.30230796823327466</v>
      </c>
      <c r="I27" s="130">
        <f t="shared" si="0"/>
        <v>-1913812.8148508465</v>
      </c>
      <c r="K27" s="90"/>
      <c r="L27" s="90"/>
      <c r="O27" s="129" t="s">
        <v>374</v>
      </c>
      <c r="P27" s="116">
        <v>12728339</v>
      </c>
      <c r="Q27" s="116">
        <v>16819142206</v>
      </c>
      <c r="R27" s="116">
        <v>277108.52</v>
      </c>
      <c r="S27" s="130">
        <f t="shared" ref="S27" si="23">P27/R27</f>
        <v>45.932687309650383</v>
      </c>
      <c r="T27" s="78"/>
    </row>
    <row r="28" spans="1:20" s="79" customFormat="1" ht="13.2" hidden="1">
      <c r="A28" s="123" t="s">
        <v>413</v>
      </c>
      <c r="B28" s="131">
        <f>SUM(F26:F28)</f>
        <v>2740196.0741626793</v>
      </c>
      <c r="C28" s="131">
        <f>AVERAGE(F26:F28)</f>
        <v>913398.69138755975</v>
      </c>
      <c r="D28" s="90">
        <f>C28/C25-1</f>
        <v>2.9762892187549017E-2</v>
      </c>
      <c r="E28" s="90">
        <f>C28/C16-1</f>
        <v>0.10342175157735323</v>
      </c>
      <c r="F28" s="78">
        <f>P28/19</f>
        <v>931399.73684210528</v>
      </c>
      <c r="G28" s="90">
        <f t="shared" ref="G28" si="24">F28/F27-1</f>
        <v>0.60985610223975928</v>
      </c>
      <c r="H28" s="90">
        <f t="shared" ref="H28" si="25">F28/F16-1</f>
        <v>0.20488361801802846</v>
      </c>
      <c r="I28" s="130">
        <f t="shared" si="0"/>
        <v>4545994.1885648854</v>
      </c>
      <c r="J28" s="78">
        <f>Q26+Q27+Q28</f>
        <v>71420069735</v>
      </c>
      <c r="K28" s="90">
        <f>T28/T25-1</f>
        <v>-1.352505043179475E-2</v>
      </c>
      <c r="L28" s="90">
        <f>T28/T16-1</f>
        <v>1.7544706451009473E-2</v>
      </c>
      <c r="M28" s="88">
        <f>AVERAGE(S26:S28)</f>
        <v>60.126136319339395</v>
      </c>
      <c r="N28" s="91">
        <f>M28/M25-1</f>
        <v>-1.8747284526275054E-2</v>
      </c>
      <c r="O28" s="129" t="s">
        <v>413</v>
      </c>
      <c r="P28" s="116">
        <v>17696595</v>
      </c>
      <c r="Q28" s="116">
        <v>23076935593</v>
      </c>
      <c r="R28" s="116">
        <v>309898.59999999998</v>
      </c>
      <c r="S28" s="130">
        <f t="shared" ref="S28" si="26">P28/R28</f>
        <v>57.104469010185916</v>
      </c>
      <c r="T28" s="85">
        <f>P26+P27+P28</f>
        <v>53799408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781506.36363636365</v>
      </c>
      <c r="G29" s="190">
        <f t="shared" ref="G29" si="27">F29/F28-1</f>
        <v>-0.16093345024334293</v>
      </c>
      <c r="H29" s="190">
        <f t="shared" ref="H29" si="28">F29/F17-1</f>
        <v>-5.9665440187160912E-2</v>
      </c>
      <c r="I29" s="130">
        <f>S29</f>
        <v>51.357612633947497</v>
      </c>
      <c r="J29" s="136"/>
      <c r="K29" s="190"/>
      <c r="L29" s="190"/>
      <c r="M29" s="191"/>
      <c r="N29" s="192"/>
      <c r="O29" s="129" t="s">
        <v>427</v>
      </c>
      <c r="P29" s="116">
        <v>17193140</v>
      </c>
      <c r="Q29" s="116">
        <v>22667901359</v>
      </c>
      <c r="R29" s="116">
        <v>334772.96000000002</v>
      </c>
      <c r="S29" s="130">
        <f t="shared" ref="S29" si="29">P29/R29</f>
        <v>51.357612633947497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982867.15789473685</v>
      </c>
      <c r="G30" s="190">
        <f t="shared" ref="G30" si="30">F30/F29-1</f>
        <v>0.25765726758952767</v>
      </c>
      <c r="H30" s="190">
        <f t="shared" ref="H30" si="31">F30/F18-1</f>
        <v>3.8571841393967521E-2</v>
      </c>
      <c r="I30" s="130">
        <f t="shared" ref="I30:I45" si="32">S30</f>
        <v>62.443265733661747</v>
      </c>
      <c r="J30" s="136"/>
      <c r="K30" s="190"/>
      <c r="L30" s="190"/>
      <c r="M30" s="191"/>
      <c r="N30" s="192"/>
      <c r="O30" s="129" t="s">
        <v>466</v>
      </c>
      <c r="P30" s="116">
        <v>18674476</v>
      </c>
      <c r="Q30" s="116">
        <v>24888249397</v>
      </c>
      <c r="R30" s="116">
        <v>299063.09000000003</v>
      </c>
      <c r="S30" s="130">
        <f t="shared" ref="S30" si="33">P30/R30</f>
        <v>62.443265733661747</v>
      </c>
      <c r="T30" s="85"/>
    </row>
    <row r="31" spans="1:20" s="79" customFormat="1" ht="13.2">
      <c r="A31" s="129" t="s">
        <v>505</v>
      </c>
      <c r="B31" s="188">
        <f>SUM(F29:F31)</f>
        <v>2538888.9215311003</v>
      </c>
      <c r="C31" s="188">
        <f>AVERAGE(F29:F31)</f>
        <v>846296.30717703339</v>
      </c>
      <c r="D31" s="190">
        <f>C31/C28-1</f>
        <v>-7.3464506620422254E-2</v>
      </c>
      <c r="E31" s="190">
        <f>C31/C19-1</f>
        <v>4.8254904529208442E-2</v>
      </c>
      <c r="F31" s="136">
        <f>P31/20</f>
        <v>774515.4</v>
      </c>
      <c r="G31" s="190">
        <f t="shared" ref="G31" si="34">F31/F30-1</f>
        <v>-0.21198364012998272</v>
      </c>
      <c r="H31" s="190">
        <f t="shared" ref="H31" si="35">F31/F19-1</f>
        <v>0.20162487990336975</v>
      </c>
      <c r="I31" s="130">
        <f t="shared" si="32"/>
        <v>52.837004187104355</v>
      </c>
      <c r="J31" s="136">
        <f>Q29+Q30+Q31</f>
        <v>68141036067</v>
      </c>
      <c r="K31" s="190">
        <f>T31/T28-1</f>
        <v>-4.5381242856798676E-2</v>
      </c>
      <c r="L31" s="190">
        <f>T31/T19-1</f>
        <v>3.274750293639106E-2</v>
      </c>
      <c r="M31" s="191">
        <f>AVERAGE(S29:S31)</f>
        <v>55.545960851571202</v>
      </c>
      <c r="N31" s="192">
        <f>M31/M28-1</f>
        <v>-7.6176114883586665E-2</v>
      </c>
      <c r="O31" s="129" t="s">
        <v>505</v>
      </c>
      <c r="P31" s="116">
        <v>15490308</v>
      </c>
      <c r="Q31" s="116">
        <v>20584885311</v>
      </c>
      <c r="R31" s="116">
        <v>293171.58</v>
      </c>
      <c r="S31" s="130">
        <f t="shared" ref="S31" si="36">P31/R31</f>
        <v>52.837004187104355</v>
      </c>
      <c r="T31" s="85">
        <f>P29+P30+P31</f>
        <v>51357924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829596.28571428568</v>
      </c>
      <c r="G32" s="190">
        <f t="shared" ref="G32" si="37">F32/F31-1</f>
        <v>7.1116579107769473E-2</v>
      </c>
      <c r="H32" s="190">
        <f t="shared" ref="H32" si="38">F32/F20-1</f>
        <v>0.15074985742384794</v>
      </c>
      <c r="I32" s="130">
        <f t="shared" si="32"/>
        <v>47.647803112628502</v>
      </c>
      <c r="J32" s="136"/>
      <c r="K32" s="190"/>
      <c r="L32" s="190"/>
      <c r="M32" s="191"/>
      <c r="N32" s="192"/>
      <c r="O32" s="129" t="s">
        <v>567</v>
      </c>
      <c r="P32" s="116">
        <v>17421522</v>
      </c>
      <c r="Q32" s="116">
        <v>23776620750</v>
      </c>
      <c r="R32" s="116">
        <v>365631.17</v>
      </c>
      <c r="S32" s="130">
        <f t="shared" ref="S32" si="39">P32/R32</f>
        <v>47.647803112628502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678524.04761904757</v>
      </c>
      <c r="G33" s="190">
        <f t="shared" ref="G33" si="40">F33/F32-1</f>
        <v>-0.1821033202495167</v>
      </c>
      <c r="H33" s="190">
        <f t="shared" ref="H33" si="41">F33/F21-1</f>
        <v>-1.0480472708083277E-2</v>
      </c>
      <c r="I33" s="130">
        <f t="shared" si="32"/>
        <v>41.048607912817154</v>
      </c>
      <c r="J33" s="136"/>
      <c r="K33" s="190"/>
      <c r="L33" s="190"/>
      <c r="M33" s="191"/>
      <c r="N33" s="192"/>
      <c r="O33" s="129" t="s">
        <v>607</v>
      </c>
      <c r="P33" s="116">
        <v>14249005</v>
      </c>
      <c r="Q33" s="116">
        <v>19488536073</v>
      </c>
      <c r="R33" s="116">
        <v>347125.17</v>
      </c>
      <c r="S33" s="130">
        <f t="shared" ref="S33" si="42">P33/R33</f>
        <v>41.048607912817154</v>
      </c>
      <c r="T33" s="85"/>
    </row>
    <row r="34" spans="1:20" s="79" customFormat="1" ht="13.2">
      <c r="A34" s="129" t="s">
        <v>652</v>
      </c>
      <c r="B34" s="188">
        <f>SUM(F32:F34)</f>
        <v>2403967.4385964912</v>
      </c>
      <c r="C34" s="188">
        <f>AVERAGE(F32:F34)</f>
        <v>801322.47953216371</v>
      </c>
      <c r="D34" s="190">
        <f>C34/C31-1</f>
        <v>-5.3141940078750394E-2</v>
      </c>
      <c r="E34" s="190">
        <f>C34/C22-1</f>
        <v>0.11651159337581252</v>
      </c>
      <c r="F34" s="136">
        <f>P34/19</f>
        <v>895847.10526315786</v>
      </c>
      <c r="G34" s="190">
        <f t="shared" ref="G34" si="43">F34/F33-1</f>
        <v>0.320287922597144</v>
      </c>
      <c r="H34" s="190">
        <f t="shared" ref="H34" si="44">F34/F22-1</f>
        <v>0.20010000055666666</v>
      </c>
      <c r="I34" s="130">
        <f t="shared" si="32"/>
        <v>44.498977020737307</v>
      </c>
      <c r="J34" s="136">
        <f>Q32+Q33+Q34</f>
        <v>66662937263</v>
      </c>
      <c r="K34" s="190">
        <f>T34/T31-1</f>
        <v>-5.1916078227772555E-2</v>
      </c>
      <c r="L34" s="190">
        <f>T34/T22-1</f>
        <v>9.4333901323677471E-2</v>
      </c>
      <c r="M34" s="191">
        <f>AVERAGE(S32:S34)</f>
        <v>44.398462682060988</v>
      </c>
      <c r="N34" s="192">
        <f>M34/M31-1</f>
        <v>-0.20068962708734728</v>
      </c>
      <c r="O34" s="129" t="s">
        <v>652</v>
      </c>
      <c r="P34" s="116">
        <v>17021095</v>
      </c>
      <c r="Q34" s="116">
        <v>23397780440</v>
      </c>
      <c r="R34" s="116">
        <v>382505.31</v>
      </c>
      <c r="S34" s="130">
        <f t="shared" ref="S34" si="45">P34/R34</f>
        <v>44.498977020737307</v>
      </c>
      <c r="T34" s="85">
        <f>P32+P33+P34</f>
        <v>48691622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885100.39130434778</v>
      </c>
      <c r="G35" s="190">
        <f t="shared" ref="G35" si="46">F35/F34-1</f>
        <v>-1.1996147440419769E-2</v>
      </c>
      <c r="H35" s="190">
        <f t="shared" ref="H35" si="47">F35/F23-1</f>
        <v>8.581062370693382E-2</v>
      </c>
      <c r="I35" s="130">
        <f t="shared" si="32"/>
        <v>50.182540936408223</v>
      </c>
      <c r="J35" s="136"/>
      <c r="K35" s="190"/>
      <c r="L35" s="190"/>
      <c r="M35" s="191"/>
      <c r="N35" s="192"/>
      <c r="O35" s="129" t="s">
        <v>660</v>
      </c>
      <c r="P35" s="116">
        <v>20357309</v>
      </c>
      <c r="Q35" s="116">
        <v>28172751316</v>
      </c>
      <c r="R35" s="116">
        <v>405665.17</v>
      </c>
      <c r="S35" s="130">
        <f t="shared" ref="S35" si="48">P35/R35</f>
        <v>50.182540936408223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704224.04761904757</v>
      </c>
      <c r="G36" s="190">
        <f t="shared" ref="G36" si="49">F36/F35-1</f>
        <v>-0.20435686783365647</v>
      </c>
      <c r="H36" s="190">
        <f t="shared" ref="H36" si="50">F36/F24-1</f>
        <v>-0.10013880754289339</v>
      </c>
      <c r="I36" s="130">
        <f t="shared" si="32"/>
        <v>50.145288266392384</v>
      </c>
      <c r="J36" s="136"/>
      <c r="K36" s="190"/>
      <c r="L36" s="190"/>
      <c r="M36" s="191"/>
      <c r="N36" s="192"/>
      <c r="O36" s="129" t="s">
        <v>670</v>
      </c>
      <c r="P36" s="116">
        <v>14788705</v>
      </c>
      <c r="Q36" s="116">
        <v>20212693532</v>
      </c>
      <c r="R36" s="116">
        <v>294917.14</v>
      </c>
      <c r="S36" s="130">
        <f t="shared" ref="S36" si="51">P36/R36</f>
        <v>50.145288266392384</v>
      </c>
      <c r="T36" s="85"/>
    </row>
    <row r="37" spans="1:20" s="79" customFormat="1" ht="13.2">
      <c r="A37" s="129" t="s">
        <v>702</v>
      </c>
      <c r="B37" s="188">
        <f>SUM(F35:F37)</f>
        <v>2606398.3833678397</v>
      </c>
      <c r="C37" s="188">
        <f>AVERAGE(F35:F37)</f>
        <v>868799.46112261328</v>
      </c>
      <c r="D37" s="190">
        <f>C37/C34-1</f>
        <v>8.420702440526151E-2</v>
      </c>
      <c r="E37" s="190">
        <f>C37/C25-1</f>
        <v>-2.0518143662416777E-2</v>
      </c>
      <c r="F37" s="136">
        <f>P37/18</f>
        <v>1017073.9444444445</v>
      </c>
      <c r="G37" s="190">
        <f t="shared" ref="G37" si="52">F37/F36-1</f>
        <v>0.44424767640799767</v>
      </c>
      <c r="H37" s="190">
        <f t="shared" ref="H37" si="53">F37/F25-1</f>
        <v>-4.3432333614127572E-2</v>
      </c>
      <c r="I37" s="130">
        <f t="shared" si="32"/>
        <v>55.289288033801746</v>
      </c>
      <c r="J37" s="136">
        <f>Q35+Q36+Q37</f>
        <v>72800141443</v>
      </c>
      <c r="K37" s="190">
        <f>T37/T34-1</f>
        <v>9.7793476668327051E-2</v>
      </c>
      <c r="L37" s="190">
        <f>T37/T25-1</f>
        <v>-1.9870519520830521E-2</v>
      </c>
      <c r="M37" s="191">
        <f>AVERAGE(S35:S37)</f>
        <v>51.872372412200782</v>
      </c>
      <c r="N37" s="192">
        <f>M37/M34-1</f>
        <v>0.16833712877990248</v>
      </c>
      <c r="O37" s="129" t="s">
        <v>702</v>
      </c>
      <c r="P37" s="116">
        <v>18307331</v>
      </c>
      <c r="Q37" s="116">
        <v>24414696595</v>
      </c>
      <c r="R37" s="116">
        <v>331118.95</v>
      </c>
      <c r="S37" s="130">
        <f t="shared" ref="S37" si="54">P37/R37</f>
        <v>55.289288033801746</v>
      </c>
      <c r="T37" s="85">
        <f>P35+P36+P37</f>
        <v>53453345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747701.95</v>
      </c>
      <c r="G38" s="190">
        <f t="shared" ref="G38" si="55">F38/F37-1</f>
        <v>-0.2648499609254894</v>
      </c>
      <c r="H38" s="190">
        <f t="shared" ref="H38" si="56">F38/F26-1</f>
        <v>-0.3922285887588316</v>
      </c>
      <c r="I38" s="130">
        <f t="shared" si="32"/>
        <v>47.930738244587609</v>
      </c>
      <c r="J38" s="136"/>
      <c r="K38" s="190"/>
      <c r="L38" s="190"/>
      <c r="M38" s="191"/>
      <c r="N38" s="192"/>
      <c r="O38" s="129" t="s">
        <v>727</v>
      </c>
      <c r="P38" s="116">
        <v>14954039</v>
      </c>
      <c r="Q38" s="116">
        <v>20102806340</v>
      </c>
      <c r="R38" s="116">
        <v>311992.67</v>
      </c>
      <c r="S38" s="130">
        <f t="shared" ref="S38" si="57">P38/R38</f>
        <v>47.930738244587609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601677.47619047621</v>
      </c>
      <c r="G39" s="190">
        <f t="shared" ref="G39" si="58">F39/F38-1</f>
        <v>-0.19529770359636445</v>
      </c>
      <c r="H39" s="190">
        <f t="shared" ref="H39" si="59">F39/F27-1</f>
        <v>3.9955368582693884E-2</v>
      </c>
      <c r="I39" s="130">
        <f t="shared" si="32"/>
        <v>46.990658491864608</v>
      </c>
      <c r="J39" s="136"/>
      <c r="K39" s="190"/>
      <c r="L39" s="190"/>
      <c r="M39" s="191"/>
      <c r="N39" s="192"/>
      <c r="O39" s="129" t="s">
        <v>762</v>
      </c>
      <c r="P39" s="116">
        <v>12635227</v>
      </c>
      <c r="Q39" s="116">
        <v>17556754993</v>
      </c>
      <c r="R39" s="116">
        <v>268888.06</v>
      </c>
      <c r="S39" s="130">
        <f t="shared" ref="S39" si="60">P39/R39</f>
        <v>46.990658491864608</v>
      </c>
      <c r="T39" s="85"/>
    </row>
    <row r="40" spans="1:20" s="79" customFormat="1" ht="13.2">
      <c r="A40" s="129" t="s">
        <v>778</v>
      </c>
      <c r="B40" s="188">
        <f>SUM(F38:F40)</f>
        <v>2071419.8547619046</v>
      </c>
      <c r="C40" s="188">
        <f>AVERAGE(F38:F40)</f>
        <v>690473.28492063482</v>
      </c>
      <c r="D40" s="190">
        <f>C40/C37-1</f>
        <v>-0.20525585498356036</v>
      </c>
      <c r="E40" s="190">
        <f>C40/C28-1</f>
        <v>-0.24406144717404299</v>
      </c>
      <c r="F40" s="136">
        <f>P40/21</f>
        <v>722040.42857142852</v>
      </c>
      <c r="G40" s="190">
        <f t="shared" ref="G40" si="61">F40/F39-1</f>
        <v>0.20004563432061784</v>
      </c>
      <c r="H40" s="190">
        <f t="shared" ref="H40" si="62">F40/F28-1</f>
        <v>-0.22477922205615586</v>
      </c>
      <c r="I40" s="130">
        <f t="shared" si="32"/>
        <v>43.586696838554658</v>
      </c>
      <c r="J40" s="136">
        <f>Q38+Q39+Q40</f>
        <v>59240952035</v>
      </c>
      <c r="K40" s="190">
        <f>T40/T37-1</f>
        <v>-0.20019757416490958</v>
      </c>
      <c r="L40" s="190">
        <f>T40/T28-1</f>
        <v>-0.2053422781157741</v>
      </c>
      <c r="M40" s="191">
        <f>AVERAGE(S38:S40)</f>
        <v>46.169364525002287</v>
      </c>
      <c r="N40" s="192">
        <f>M40/M37-1</f>
        <v>-0.10994307030879324</v>
      </c>
      <c r="O40" s="129" t="s">
        <v>778</v>
      </c>
      <c r="P40" s="116">
        <v>15162849</v>
      </c>
      <c r="Q40" s="116">
        <v>21581390702</v>
      </c>
      <c r="R40" s="116">
        <v>347877.91</v>
      </c>
      <c r="S40" s="130">
        <f t="shared" ref="S40" si="63">P40/R40</f>
        <v>43.586696838554658</v>
      </c>
      <c r="T40" s="85">
        <f>P38+P39+P40</f>
        <v>42752115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990193.77777777775</v>
      </c>
      <c r="G41" s="190">
        <f t="shared" ref="G41" si="64">F41/F40-1</f>
        <v>0.37138273508714192</v>
      </c>
      <c r="H41" s="190">
        <f t="shared" ref="H41" si="65">F41/F29-1</f>
        <v>0.26703226467713925</v>
      </c>
      <c r="I41" s="130">
        <f t="shared" si="32"/>
        <v>46.830844882768709</v>
      </c>
      <c r="J41" s="193"/>
      <c r="K41" s="190"/>
      <c r="L41" s="190"/>
      <c r="M41" s="193"/>
      <c r="N41" s="193"/>
      <c r="O41" s="129" t="s">
        <v>792</v>
      </c>
      <c r="P41" s="116">
        <v>17823488</v>
      </c>
      <c r="Q41" s="116">
        <v>26076583462</v>
      </c>
      <c r="R41" s="116">
        <v>380592.92</v>
      </c>
      <c r="S41" s="130">
        <f t="shared" ref="S41" si="66">P41/R41</f>
        <v>46.830844882768709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828049.95</v>
      </c>
      <c r="G42" s="190">
        <f t="shared" ref="G42" si="67">F42/F41-1</f>
        <v>-0.16374959267232092</v>
      </c>
      <c r="H42" s="190">
        <f t="shared" ref="H42" si="68">F42/F30-1</f>
        <v>-0.15751590298972784</v>
      </c>
      <c r="I42" s="130">
        <f t="shared" si="32"/>
        <v>46.570517472128202</v>
      </c>
      <c r="J42" s="193"/>
      <c r="K42" s="190"/>
      <c r="L42" s="190"/>
      <c r="M42" s="193"/>
      <c r="N42" s="193"/>
      <c r="O42" s="129" t="s">
        <v>826</v>
      </c>
      <c r="P42" s="116">
        <v>16560999</v>
      </c>
      <c r="Q42" s="116">
        <v>23927019823</v>
      </c>
      <c r="R42" s="116">
        <v>355611.23</v>
      </c>
      <c r="S42" s="130">
        <f t="shared" ref="S42" si="69">P42/R42</f>
        <v>46.570517472128202</v>
      </c>
      <c r="T42" s="78"/>
    </row>
    <row r="43" spans="1:20" s="79" customFormat="1" ht="13.2">
      <c r="A43" s="129" t="s">
        <v>835</v>
      </c>
      <c r="B43" s="188">
        <f>SUM(F41:F43)</f>
        <v>2635269.4277777774</v>
      </c>
      <c r="C43" s="188">
        <f>AVERAGE(F41:F43)</f>
        <v>878423.14259259251</v>
      </c>
      <c r="D43" s="190">
        <f>C43/C40-1</f>
        <v>0.27220438759417198</v>
      </c>
      <c r="E43" s="190">
        <f>C43/C31-1</f>
        <v>3.7961686873860589E-2</v>
      </c>
      <c r="F43" s="136">
        <f>P43/20</f>
        <v>817025.7</v>
      </c>
      <c r="G43" s="190">
        <f t="shared" ref="G43" si="70">F43/F42-1</f>
        <v>-1.331350844233492E-2</v>
      </c>
      <c r="H43" s="190">
        <f t="shared" ref="H43" si="71">F43/F31-1</f>
        <v>5.4886319884665857E-2</v>
      </c>
      <c r="I43" s="130">
        <f t="shared" si="32"/>
        <v>45.195131448145311</v>
      </c>
      <c r="J43" s="136">
        <f>Q41+Q42+Q43</f>
        <v>73701933797</v>
      </c>
      <c r="K43" s="190">
        <f>T43/T40-1</f>
        <v>0.18649103091157015</v>
      </c>
      <c r="L43" s="190">
        <f>T43/T31-1</f>
        <v>-1.2323765267459041E-2</v>
      </c>
      <c r="M43" s="191">
        <f>AVERAGE(S41:S43)</f>
        <v>46.198831267680738</v>
      </c>
      <c r="N43" s="192">
        <f>M43/M40-1</f>
        <v>6.382314979123116E-4</v>
      </c>
      <c r="O43" s="129" t="s">
        <v>835</v>
      </c>
      <c r="P43" s="116">
        <v>16340514</v>
      </c>
      <c r="Q43" s="116">
        <v>23698330512</v>
      </c>
      <c r="R43" s="116">
        <v>361554.74</v>
      </c>
      <c r="S43" s="130">
        <f t="shared" ref="S43" si="72">P43/R43</f>
        <v>45.195131448145311</v>
      </c>
      <c r="T43" s="85">
        <f>P41+P42+P43</f>
        <v>50725001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719207.13636363635</v>
      </c>
      <c r="G44" s="190">
        <f t="shared" ref="G44" si="73">F44/F43-1</f>
        <v>-0.11972519791771985</v>
      </c>
      <c r="H44" s="190">
        <f t="shared" ref="H44" si="74">F44/F32-1</f>
        <v>-0.1330636976702515</v>
      </c>
      <c r="I44" s="130">
        <f t="shared" si="32"/>
        <v>45.091001849059268</v>
      </c>
      <c r="J44" s="136"/>
      <c r="K44" s="190"/>
      <c r="L44" s="190"/>
      <c r="M44" s="191"/>
      <c r="N44" s="192"/>
      <c r="O44" s="129" t="s">
        <v>843</v>
      </c>
      <c r="P44" s="116">
        <v>15822557</v>
      </c>
      <c r="Q44" s="116">
        <v>22915475207</v>
      </c>
      <c r="R44" s="116">
        <v>350902.76</v>
      </c>
      <c r="S44" s="130">
        <f t="shared" ref="S44" si="75">P44/R44</f>
        <v>45.091001849059268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638947.4</v>
      </c>
      <c r="G45" s="190">
        <f t="shared" ref="G45" si="76">F45/F44-1</f>
        <v>-0.11159474413648818</v>
      </c>
      <c r="H45" s="190">
        <f t="shared" ref="H45" si="77">F45/F33-1</f>
        <v>-5.8327553397587995E-2</v>
      </c>
      <c r="I45" s="130">
        <f t="shared" si="32"/>
        <v>44.326761887556991</v>
      </c>
      <c r="J45" s="136"/>
      <c r="K45" s="190"/>
      <c r="L45" s="190"/>
      <c r="M45" s="191"/>
      <c r="N45" s="192"/>
      <c r="O45" s="129" t="s">
        <v>849</v>
      </c>
      <c r="P45" s="116">
        <v>12778948</v>
      </c>
      <c r="Q45" s="116">
        <v>17951421916</v>
      </c>
      <c r="R45" s="116">
        <v>288289.68</v>
      </c>
      <c r="S45" s="130">
        <f t="shared" ref="S45" si="78">P45/R45</f>
        <v>44.326761887556991</v>
      </c>
      <c r="T45" s="85"/>
    </row>
    <row r="46" spans="1:20" s="183" customFormat="1" ht="13.2">
      <c r="A46" s="144" t="s">
        <v>888</v>
      </c>
      <c r="B46" s="196">
        <f>SUM(F44:F46)</f>
        <v>2197025.2205741629</v>
      </c>
      <c r="C46" s="196">
        <f>AVERAGE(F44:F46)</f>
        <v>732341.74019138759</v>
      </c>
      <c r="D46" s="197">
        <f>C46/C43-1</f>
        <v>-0.16629958310303372</v>
      </c>
      <c r="E46" s="197">
        <f>C46/C34-1</f>
        <v>-8.6083619395089461E-2</v>
      </c>
      <c r="F46" s="147">
        <f>P46/19</f>
        <v>838870.68421052629</v>
      </c>
      <c r="G46" s="197">
        <f t="shared" ref="G46" si="79">F46/F45-1</f>
        <v>0.31289474565594322</v>
      </c>
      <c r="H46" s="197">
        <f t="shared" ref="H46" si="80">F46/F34-1</f>
        <v>-6.3600608538992298E-2</v>
      </c>
      <c r="I46" s="146">
        <f t="shared" ref="I46" si="81">S46</f>
        <v>45.350386523614944</v>
      </c>
      <c r="J46" s="147">
        <f>Q44+Q45+Q46</f>
        <v>62679602749</v>
      </c>
      <c r="K46" s="197">
        <f>T46/T43-1</f>
        <v>-0.12193105723152176</v>
      </c>
      <c r="L46" s="197">
        <f>T46/T34-1</f>
        <v>-8.5262594045439677E-2</v>
      </c>
      <c r="M46" s="198">
        <f>AVERAGE(S44:S46)</f>
        <v>44.922716753410405</v>
      </c>
      <c r="N46" s="199">
        <f>M46/M43-1</f>
        <v>-2.7622225048863136E-2</v>
      </c>
      <c r="O46" s="144" t="s">
        <v>928</v>
      </c>
      <c r="P46" s="145">
        <v>15938543</v>
      </c>
      <c r="Q46" s="145">
        <v>21812705626</v>
      </c>
      <c r="R46" s="145">
        <v>351453.3</v>
      </c>
      <c r="S46" s="146">
        <f t="shared" ref="S46" si="82">P46/R46</f>
        <v>45.350386523614944</v>
      </c>
      <c r="T46" s="187">
        <f>P44+P45+P46</f>
        <v>44540048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708491.08695652173</v>
      </c>
      <c r="G47" s="197">
        <f t="shared" ref="G47" si="83">F47/F46-1</f>
        <v>-0.15542276027527024</v>
      </c>
      <c r="H47" s="197">
        <f t="shared" ref="H47" si="84">F47/F35-1</f>
        <v>-0.19953590133155608</v>
      </c>
      <c r="I47" s="146">
        <f t="shared" ref="I47" si="85">S47</f>
        <v>45.898336138681614</v>
      </c>
      <c r="J47" s="147"/>
      <c r="K47" s="197"/>
      <c r="L47" s="197"/>
      <c r="M47" s="198"/>
      <c r="N47" s="199"/>
      <c r="O47" s="144" t="s">
        <v>991</v>
      </c>
      <c r="P47" s="145">
        <v>16295295</v>
      </c>
      <c r="Q47" s="145">
        <v>22337880031</v>
      </c>
      <c r="R47" s="145">
        <v>355030.19</v>
      </c>
      <c r="S47" s="146">
        <f t="shared" ref="S47" si="86">P47/R47</f>
        <v>45.898336138681614</v>
      </c>
      <c r="T47" s="187">
        <f>P45+P46+P47</f>
        <v>45012786</v>
      </c>
    </row>
    <row r="48" spans="1:20" s="183" customFormat="1" ht="13.2">
      <c r="A48" s="144" t="s">
        <v>1073</v>
      </c>
      <c r="B48" s="196"/>
      <c r="C48" s="196"/>
      <c r="D48" s="197"/>
      <c r="E48" s="197"/>
      <c r="F48" s="147">
        <f>P48/20</f>
        <v>397312.1</v>
      </c>
      <c r="G48" s="197">
        <f t="shared" ref="G48" si="87">F48/F47-1</f>
        <v>-0.43921369327772219</v>
      </c>
      <c r="H48" s="197">
        <f t="shared" ref="H48" si="88">F48/F36-1</f>
        <v>-0.43581577291588414</v>
      </c>
      <c r="I48" s="146">
        <f t="shared" ref="I48" si="89">S48</f>
        <v>46.12971785506479</v>
      </c>
      <c r="J48" s="147"/>
      <c r="K48" s="197"/>
      <c r="L48" s="197"/>
      <c r="M48" s="198"/>
      <c r="N48" s="199"/>
      <c r="O48" s="144" t="s">
        <v>1070</v>
      </c>
      <c r="P48" s="145">
        <v>7946242</v>
      </c>
      <c r="Q48" s="145">
        <v>11017583525</v>
      </c>
      <c r="R48" s="145">
        <v>172258.63</v>
      </c>
      <c r="S48" s="146">
        <f t="shared" ref="S48" si="90">P48/R48</f>
        <v>46.12971785506479</v>
      </c>
      <c r="T48" s="187">
        <f>P46+P47+P48</f>
        <v>40180080</v>
      </c>
    </row>
    <row r="49" spans="3:5">
      <c r="C49" s="196">
        <f>AVERAGE(F47:F49)</f>
        <v>552901.59347826079</v>
      </c>
      <c r="D49" s="197">
        <f>C49/C46-1</f>
        <v>-0.24502242172654609</v>
      </c>
      <c r="E49" s="197">
        <f>C49/C37-1</f>
        <v>-0.36360274353320521</v>
      </c>
    </row>
  </sheetData>
  <phoneticPr fontId="1" type="noConversion"/>
  <conditionalFormatting sqref="C29:C30">
    <cfRule type="cellIs" dxfId="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60"/>
  <dimension ref="A1:Z73"/>
  <sheetViews>
    <sheetView zoomScale="90" zoomScaleNormal="9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8528591090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1046191.05</v>
      </c>
      <c r="G5" s="90"/>
      <c r="H5" s="90"/>
      <c r="I5" s="130">
        <f t="shared" ref="I5:I49" si="0">T5</f>
        <v>76.498215599144743</v>
      </c>
      <c r="J5" s="130"/>
      <c r="L5" s="80"/>
      <c r="M5" s="80"/>
      <c r="P5" s="129" t="s">
        <v>0</v>
      </c>
      <c r="Q5" s="116">
        <v>20923821</v>
      </c>
      <c r="R5" s="116">
        <v>24684556576</v>
      </c>
      <c r="S5" s="116">
        <v>273520.38</v>
      </c>
      <c r="T5" s="130">
        <f t="shared" ref="T5:T17" si="1">Q5/S5</f>
        <v>76.498215599144743</v>
      </c>
      <c r="U5" s="85"/>
    </row>
    <row r="6" spans="1:21" ht="15" hidden="1" customHeight="1">
      <c r="A6" s="129" t="s">
        <v>1</v>
      </c>
      <c r="C6" s="79"/>
      <c r="F6" s="78">
        <f>Q6/18</f>
        <v>1018592.7777777778</v>
      </c>
      <c r="G6" s="90">
        <f t="shared" ref="G6:G16" si="2">F6/F5-1</f>
        <v>-2.6379763258558064E-2</v>
      </c>
      <c r="H6" s="90"/>
      <c r="I6" s="130">
        <f t="shared" si="0"/>
        <v>75.83125329583406</v>
      </c>
      <c r="J6" s="130"/>
      <c r="P6" s="129" t="s">
        <v>1</v>
      </c>
      <c r="Q6" s="116">
        <v>18334670</v>
      </c>
      <c r="R6" s="116">
        <v>21783955331</v>
      </c>
      <c r="S6" s="116">
        <v>241782.5</v>
      </c>
      <c r="T6" s="130">
        <f t="shared" si="1"/>
        <v>75.83125329583406</v>
      </c>
      <c r="U6" s="85"/>
    </row>
    <row r="7" spans="1:21" ht="15" hidden="1" customHeight="1">
      <c r="A7" s="129" t="s">
        <v>2</v>
      </c>
      <c r="B7" s="131">
        <f>F5+F6+F7</f>
        <v>3118116.1459595961</v>
      </c>
      <c r="C7" s="131">
        <f>AVERAGE(F5:F7)</f>
        <v>1039372.0486531988</v>
      </c>
      <c r="F7" s="78">
        <f>Q7/22</f>
        <v>1053332.3181818181</v>
      </c>
      <c r="G7" s="90">
        <f t="shared" si="2"/>
        <v>3.4105425801103983E-2</v>
      </c>
      <c r="H7" s="90"/>
      <c r="I7" s="130">
        <f t="shared" si="0"/>
        <v>72.3542410856044</v>
      </c>
      <c r="J7" s="130"/>
      <c r="K7" s="79">
        <f>R5+R6+R7</f>
        <v>74385957036</v>
      </c>
      <c r="N7" s="88">
        <f>AVERAGE(T5:T7)</f>
        <v>74.894569993527725</v>
      </c>
      <c r="P7" s="129" t="s">
        <v>2</v>
      </c>
      <c r="Q7" s="116">
        <v>23173311</v>
      </c>
      <c r="R7" s="116">
        <v>27917445129</v>
      </c>
      <c r="S7" s="116">
        <v>320275.78000000003</v>
      </c>
      <c r="T7" s="130">
        <f t="shared" si="1"/>
        <v>72.3542410856044</v>
      </c>
      <c r="U7" s="85">
        <f>Q5+Q6+Q7</f>
        <v>62431802</v>
      </c>
    </row>
    <row r="8" spans="1:21" ht="15" hidden="1" customHeight="1">
      <c r="A8" s="129" t="s">
        <v>3</v>
      </c>
      <c r="C8" s="79"/>
      <c r="F8" s="78">
        <f>Q8/21</f>
        <v>1039454.5238095238</v>
      </c>
      <c r="G8" s="90">
        <f t="shared" si="2"/>
        <v>-1.3175133937074257E-2</v>
      </c>
      <c r="H8" s="90"/>
      <c r="I8" s="130">
        <f t="shared" si="0"/>
        <v>75.912916273426859</v>
      </c>
      <c r="J8" s="130"/>
      <c r="K8" s="78"/>
      <c r="P8" s="129" t="s">
        <v>3</v>
      </c>
      <c r="Q8" s="116">
        <v>21828545</v>
      </c>
      <c r="R8" s="116">
        <v>26457053231</v>
      </c>
      <c r="S8" s="116">
        <v>287547.18</v>
      </c>
      <c r="T8" s="130">
        <f t="shared" si="1"/>
        <v>75.912916273426859</v>
      </c>
      <c r="U8" s="85"/>
    </row>
    <row r="9" spans="1:21" ht="15" hidden="1" customHeight="1">
      <c r="A9" s="129" t="s">
        <v>4</v>
      </c>
      <c r="C9" s="79"/>
      <c r="F9" s="78">
        <f>Q9/21</f>
        <v>988569.38095238095</v>
      </c>
      <c r="G9" s="90">
        <f t="shared" si="2"/>
        <v>-4.8953698013312397E-2</v>
      </c>
      <c r="H9" s="90"/>
      <c r="I9" s="130">
        <f t="shared" si="0"/>
        <v>70.187091924691259</v>
      </c>
      <c r="J9" s="130"/>
      <c r="K9" s="78"/>
      <c r="P9" s="129" t="s">
        <v>4</v>
      </c>
      <c r="Q9" s="116">
        <v>20759957</v>
      </c>
      <c r="R9" s="116">
        <v>26054888038</v>
      </c>
      <c r="S9" s="116">
        <v>295780.27</v>
      </c>
      <c r="T9" s="130">
        <f t="shared" si="1"/>
        <v>70.187091924691259</v>
      </c>
      <c r="U9" s="85"/>
    </row>
    <row r="10" spans="1:21" ht="15" hidden="1" customHeight="1">
      <c r="A10" s="129" t="s">
        <v>5</v>
      </c>
      <c r="B10" s="131">
        <f>F8+F9+F10</f>
        <v>3662921</v>
      </c>
      <c r="C10" s="131">
        <f>AVERAGE(F8:F10)</f>
        <v>1220973.6666666667</v>
      </c>
      <c r="D10" s="90">
        <f>C10/C7-1</f>
        <v>0.17472243769570706</v>
      </c>
      <c r="E10" s="286"/>
      <c r="F10" s="78">
        <f>Q10/21</f>
        <v>1634897.0952380951</v>
      </c>
      <c r="G10" s="90">
        <f t="shared" si="2"/>
        <v>0.65380106519488446</v>
      </c>
      <c r="H10" s="90"/>
      <c r="I10" s="130">
        <f t="shared" si="0"/>
        <v>59.087436702245725</v>
      </c>
      <c r="J10" s="130"/>
      <c r="K10" s="79">
        <f>R8+R9+R10</f>
        <v>95717493594</v>
      </c>
      <c r="L10" s="87">
        <f>U10/U7-1</f>
        <v>0.2320858686731484</v>
      </c>
      <c r="N10" s="88">
        <f>AVERAGE(T8:T10)</f>
        <v>68.395814966787952</v>
      </c>
      <c r="O10" s="89">
        <f>N10/N7-1</f>
        <v>-8.6772045387287555E-2</v>
      </c>
      <c r="P10" s="129" t="s">
        <v>5</v>
      </c>
      <c r="Q10" s="116">
        <v>34332839</v>
      </c>
      <c r="R10" s="116">
        <v>43205552325</v>
      </c>
      <c r="S10" s="116">
        <v>581051.42000000004</v>
      </c>
      <c r="T10" s="130">
        <f t="shared" si="1"/>
        <v>59.087436702245725</v>
      </c>
      <c r="U10" s="85">
        <f>Q8+Q9+Q10</f>
        <v>76921341</v>
      </c>
    </row>
    <row r="11" spans="1:21" ht="15" hidden="1" customHeight="1">
      <c r="A11" s="129" t="s">
        <v>6</v>
      </c>
      <c r="C11" s="79"/>
      <c r="F11" s="78">
        <f>Q11/21</f>
        <v>1697481.6666666667</v>
      </c>
      <c r="G11" s="90">
        <f t="shared" si="2"/>
        <v>3.8280434659073936E-2</v>
      </c>
      <c r="H11" s="90"/>
      <c r="I11" s="130">
        <f t="shared" si="0"/>
        <v>63.262342980671974</v>
      </c>
      <c r="J11" s="130"/>
      <c r="K11" s="78"/>
      <c r="O11" s="89"/>
      <c r="P11" s="129" t="s">
        <v>6</v>
      </c>
      <c r="Q11" s="116">
        <v>35647115</v>
      </c>
      <c r="R11" s="116">
        <v>45946761247</v>
      </c>
      <c r="S11" s="116">
        <v>563480.79</v>
      </c>
      <c r="T11" s="130">
        <f t="shared" si="1"/>
        <v>63.262342980671974</v>
      </c>
      <c r="U11" s="85"/>
    </row>
    <row r="12" spans="1:21" ht="15" hidden="1" customHeight="1">
      <c r="A12" s="129" t="s">
        <v>7</v>
      </c>
      <c r="C12" s="79"/>
      <c r="F12" s="78">
        <f>Q12/22</f>
        <v>1743219.4090909092</v>
      </c>
      <c r="G12" s="90">
        <f t="shared" si="2"/>
        <v>2.6944469164169149E-2</v>
      </c>
      <c r="H12" s="90"/>
      <c r="I12" s="130">
        <f t="shared" si="0"/>
        <v>59.022483172067943</v>
      </c>
      <c r="J12" s="130"/>
      <c r="K12" s="78"/>
      <c r="O12" s="89"/>
      <c r="P12" s="129" t="s">
        <v>7</v>
      </c>
      <c r="Q12" s="116">
        <v>38350827</v>
      </c>
      <c r="R12" s="116">
        <v>49862903610</v>
      </c>
      <c r="S12" s="116">
        <v>649766.41</v>
      </c>
      <c r="T12" s="130">
        <f t="shared" si="1"/>
        <v>59.022483172067943</v>
      </c>
      <c r="U12" s="85"/>
    </row>
    <row r="13" spans="1:21" ht="15" hidden="1" customHeight="1">
      <c r="A13" s="129" t="s">
        <v>96</v>
      </c>
      <c r="B13" s="131">
        <f>F11+F12+F13</f>
        <v>5228184.5757575762</v>
      </c>
      <c r="C13" s="131">
        <f>AVERAGE(F11:F13)</f>
        <v>1742728.191919192</v>
      </c>
      <c r="D13" s="90">
        <f>C13/C10-1</f>
        <v>0.4273265996611928</v>
      </c>
      <c r="E13" s="286"/>
      <c r="F13" s="78">
        <f>Q13/20</f>
        <v>1787483.5</v>
      </c>
      <c r="G13" s="90">
        <f t="shared" si="2"/>
        <v>2.5392151256607765E-2</v>
      </c>
      <c r="H13" s="90"/>
      <c r="I13" s="130">
        <f t="shared" si="0"/>
        <v>64.497520169237276</v>
      </c>
      <c r="J13" s="130"/>
      <c r="K13" s="78">
        <f>R11+R12+R13</f>
        <v>144707508248</v>
      </c>
      <c r="L13" s="87">
        <f>U13/U10-1</f>
        <v>0.42675115349328085</v>
      </c>
      <c r="N13" s="88">
        <f>AVERAGE(T11:T13)</f>
        <v>62.260782107325731</v>
      </c>
      <c r="O13" s="89">
        <f>N13/N10-1</f>
        <v>-8.9698951060694365E-2</v>
      </c>
      <c r="P13" s="129" t="s">
        <v>96</v>
      </c>
      <c r="Q13" s="116">
        <v>35749670</v>
      </c>
      <c r="R13" s="116">
        <v>48897843391</v>
      </c>
      <c r="S13" s="116">
        <v>554279.76</v>
      </c>
      <c r="T13" s="130">
        <f t="shared" si="1"/>
        <v>64.497520169237276</v>
      </c>
      <c r="U13" s="85">
        <f>Q11+Q12+Q13</f>
        <v>109747612</v>
      </c>
    </row>
    <row r="14" spans="1:21" ht="15" hidden="1" customHeight="1">
      <c r="A14" s="129" t="s">
        <v>97</v>
      </c>
      <c r="C14" s="79"/>
      <c r="F14" s="78">
        <f>Q14/20</f>
        <v>2095034.6</v>
      </c>
      <c r="G14" s="90">
        <f t="shared" si="2"/>
        <v>0.1720581476696148</v>
      </c>
      <c r="H14" s="90"/>
      <c r="I14" s="130">
        <f t="shared" si="0"/>
        <v>67.367159942624056</v>
      </c>
      <c r="J14" s="130"/>
      <c r="O14" s="89"/>
      <c r="P14" s="129" t="s">
        <v>97</v>
      </c>
      <c r="Q14" s="116">
        <v>41900692</v>
      </c>
      <c r="R14" s="116">
        <v>59771591200</v>
      </c>
      <c r="S14" s="116">
        <v>621975.04000000004</v>
      </c>
      <c r="T14" s="130">
        <f t="shared" si="1"/>
        <v>67.367159942624056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1568443.8636363635</v>
      </c>
      <c r="G15" s="90">
        <f t="shared" si="2"/>
        <v>-0.25135180887400932</v>
      </c>
      <c r="H15" s="90"/>
      <c r="I15" s="130">
        <f t="shared" si="0"/>
        <v>68.968056675155381</v>
      </c>
      <c r="J15" s="130"/>
      <c r="O15" s="89"/>
      <c r="P15" s="129" t="s">
        <v>98</v>
      </c>
      <c r="Q15" s="116">
        <v>34505765</v>
      </c>
      <c r="R15" s="116">
        <v>48035641937</v>
      </c>
      <c r="S15" s="116">
        <v>500315.17</v>
      </c>
      <c r="T15" s="130">
        <f t="shared" si="1"/>
        <v>68.968056675155381</v>
      </c>
      <c r="U15" s="78"/>
    </row>
    <row r="16" spans="1:21" ht="15" hidden="1" customHeight="1">
      <c r="A16" s="129" t="s">
        <v>99</v>
      </c>
      <c r="B16" s="131">
        <f>F14+F15+F16</f>
        <v>5214517.6909090914</v>
      </c>
      <c r="C16" s="131">
        <f>AVERAGE(F14:F16)</f>
        <v>1738172.5636363637</v>
      </c>
      <c r="D16" s="90">
        <f>C16/C13-1</f>
        <v>-2.6140784913861737E-3</v>
      </c>
      <c r="E16" s="286"/>
      <c r="F16" s="78">
        <f>Q16/22</f>
        <v>1551039.2272727273</v>
      </c>
      <c r="G16" s="90">
        <f t="shared" si="2"/>
        <v>-1.1096754411907606E-2</v>
      </c>
      <c r="H16" s="90"/>
      <c r="I16" s="130">
        <f t="shared" si="0"/>
        <v>71.919118687866941</v>
      </c>
      <c r="J16" s="130"/>
      <c r="K16" s="78">
        <f>R14+R15+R16</f>
        <v>152548881998</v>
      </c>
      <c r="L16" s="87">
        <f>U16/U13-1</f>
        <v>7.1227791270755958E-3</v>
      </c>
      <c r="N16" s="88">
        <f>AVERAGE(T14:T16)</f>
        <v>69.418111768548798</v>
      </c>
      <c r="O16" s="89">
        <f>N16/N13-1</f>
        <v>0.11495727196110694</v>
      </c>
      <c r="P16" s="129" t="s">
        <v>99</v>
      </c>
      <c r="Q16" s="116">
        <v>34122863</v>
      </c>
      <c r="R16" s="116">
        <v>44741648861</v>
      </c>
      <c r="S16" s="116">
        <v>474461.64</v>
      </c>
      <c r="T16" s="130">
        <f t="shared" si="1"/>
        <v>71.919118687866941</v>
      </c>
      <c r="U16" s="85">
        <f>Q14+Q15+Q16</f>
        <v>110529320</v>
      </c>
    </row>
    <row r="17" spans="1:21" ht="15" hidden="1" customHeight="1">
      <c r="A17" s="129" t="s">
        <v>100</v>
      </c>
      <c r="C17" s="79"/>
      <c r="F17" s="78">
        <f>Q17/20</f>
        <v>1572952.25</v>
      </c>
      <c r="G17" s="90">
        <f t="shared" ref="G17:G22" si="3">F17/F16-1</f>
        <v>1.4127961654331278E-2</v>
      </c>
      <c r="H17" s="90">
        <f t="shared" ref="H17:H22" si="4">F17/F5-1</f>
        <v>0.50350382943918315</v>
      </c>
      <c r="I17" s="130">
        <f t="shared" si="0"/>
        <v>74.34346945698671</v>
      </c>
      <c r="J17" s="130">
        <f t="shared" ref="J17:J49" si="5">I17/I5-1</f>
        <v>-2.8167273253130953E-2</v>
      </c>
      <c r="O17" s="89"/>
      <c r="P17" s="129" t="s">
        <v>100</v>
      </c>
      <c r="Q17" s="116">
        <v>31459045</v>
      </c>
      <c r="R17" s="116">
        <v>39580073951</v>
      </c>
      <c r="S17" s="116">
        <v>423158.15</v>
      </c>
      <c r="T17" s="130">
        <f t="shared" si="1"/>
        <v>74.34346945698671</v>
      </c>
      <c r="U17" s="78"/>
    </row>
    <row r="18" spans="1:21" hidden="1">
      <c r="A18" s="129" t="s">
        <v>106</v>
      </c>
      <c r="C18" s="79"/>
      <c r="F18" s="78">
        <f>Q18/20</f>
        <v>1597107.95</v>
      </c>
      <c r="G18" s="90">
        <f t="shared" si="3"/>
        <v>1.5356918813015374E-2</v>
      </c>
      <c r="H18" s="90">
        <f t="shared" si="4"/>
        <v>0.5679553054404578</v>
      </c>
      <c r="I18" s="130">
        <f t="shared" si="0"/>
        <v>72.158522145159949</v>
      </c>
      <c r="J18" s="130">
        <f t="shared" si="5"/>
        <v>-4.8432948039853652E-2</v>
      </c>
      <c r="O18" s="89"/>
      <c r="P18" s="129" t="s">
        <v>106</v>
      </c>
      <c r="Q18" s="116">
        <v>31942159</v>
      </c>
      <c r="R18" s="116">
        <v>39961272447</v>
      </c>
      <c r="S18" s="116">
        <v>442666.48</v>
      </c>
      <c r="T18" s="130">
        <f t="shared" ref="T18" si="6">Q18/S18</f>
        <v>72.158522145159949</v>
      </c>
      <c r="U18" s="78"/>
    </row>
    <row r="19" spans="1:21" hidden="1">
      <c r="A19" s="129" t="s">
        <v>114</v>
      </c>
      <c r="B19" s="131">
        <f>SUM(F17:F19)</f>
        <v>4575749.7454545461</v>
      </c>
      <c r="C19" s="131">
        <f>AVERAGE(F17:F19)</f>
        <v>1525249.9151515153</v>
      </c>
      <c r="D19" s="90">
        <f>C19/C16-1</f>
        <v>-0.12249799182159515</v>
      </c>
      <c r="E19" s="286">
        <f>C19/C7-1</f>
        <v>0.46747251585984939</v>
      </c>
      <c r="F19" s="78">
        <f>Q19/22</f>
        <v>1405689.5454545454</v>
      </c>
      <c r="G19" s="90">
        <f t="shared" si="3"/>
        <v>-0.11985314113892842</v>
      </c>
      <c r="H19" s="90">
        <f t="shared" si="4"/>
        <v>0.33451667739668278</v>
      </c>
      <c r="I19" s="130">
        <f t="shared" si="0"/>
        <v>65.982102295784756</v>
      </c>
      <c r="J19" s="130">
        <f t="shared" si="5"/>
        <v>-8.8068628655514236E-2</v>
      </c>
      <c r="K19" s="78">
        <f>R17+R18+R19</f>
        <v>119974580173</v>
      </c>
      <c r="L19" s="87">
        <f>U19/U16-1</f>
        <v>-0.14659409828993786</v>
      </c>
      <c r="M19" s="87">
        <f>U19/U7-1</f>
        <v>0.51087059764829479</v>
      </c>
      <c r="N19" s="88">
        <f>AVERAGE(T17:T19)</f>
        <v>70.828031299310467</v>
      </c>
      <c r="O19" s="89">
        <f>N19/N16-1</f>
        <v>2.0310542808519072E-2</v>
      </c>
      <c r="P19" s="129" t="s">
        <v>115</v>
      </c>
      <c r="Q19" s="116">
        <v>30925170</v>
      </c>
      <c r="R19" s="116">
        <v>40433233775</v>
      </c>
      <c r="S19" s="116">
        <v>468690.28</v>
      </c>
      <c r="T19" s="130">
        <f t="shared" ref="T19" si="7">Q19/S19</f>
        <v>65.982102295784756</v>
      </c>
      <c r="U19" s="85">
        <f>Q17+Q18+Q19</f>
        <v>94326374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1756188.85</v>
      </c>
      <c r="G20" s="90">
        <f t="shared" si="3"/>
        <v>0.24934332454760977</v>
      </c>
      <c r="H20" s="90">
        <f t="shared" si="4"/>
        <v>0.68952927691699117</v>
      </c>
      <c r="I20" s="130">
        <f t="shared" si="0"/>
        <v>69.4751267616588</v>
      </c>
      <c r="J20" s="130">
        <f t="shared" si="5"/>
        <v>-8.4804929487626524E-2</v>
      </c>
      <c r="O20" s="89"/>
      <c r="P20" s="129" t="s">
        <v>132</v>
      </c>
      <c r="Q20" s="116">
        <v>35123777</v>
      </c>
      <c r="R20" s="116">
        <v>46051628401</v>
      </c>
      <c r="S20" s="116">
        <v>505559.02</v>
      </c>
      <c r="T20" s="130">
        <f t="shared" ref="T20" si="8">Q20/S20</f>
        <v>69.4751267616588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1555391.7142857143</v>
      </c>
      <c r="G21" s="90">
        <f t="shared" si="3"/>
        <v>-0.11433686970184653</v>
      </c>
      <c r="H21" s="90">
        <f t="shared" si="4"/>
        <v>0.57337638030753157</v>
      </c>
      <c r="I21" s="130">
        <f t="shared" si="0"/>
        <v>73.726336854776292</v>
      </c>
      <c r="J21" s="130">
        <f t="shared" si="5"/>
        <v>5.0425866538003072E-2</v>
      </c>
      <c r="O21" s="89"/>
      <c r="P21" s="129" t="s">
        <v>141</v>
      </c>
      <c r="Q21" s="116">
        <v>32663226</v>
      </c>
      <c r="R21" s="116">
        <v>43464542165</v>
      </c>
      <c r="S21" s="116">
        <v>443033.35</v>
      </c>
      <c r="T21" s="130">
        <f t="shared" ref="T21" si="9">Q21/S21</f>
        <v>73.726336854776292</v>
      </c>
      <c r="U21" s="78"/>
    </row>
    <row r="22" spans="1:21" hidden="1">
      <c r="A22" s="129" t="s">
        <v>156</v>
      </c>
      <c r="B22" s="131">
        <f>SUM(F20:F22)</f>
        <v>5227330.7071428569</v>
      </c>
      <c r="C22" s="131">
        <f>AVERAGE(F20:F22)</f>
        <v>1742443.5690476189</v>
      </c>
      <c r="D22" s="90">
        <f>C22/C19-1</f>
        <v>0.14239873199699749</v>
      </c>
      <c r="E22" s="286">
        <f>C22/C10-1</f>
        <v>0.4270934882687496</v>
      </c>
      <c r="F22" s="78">
        <f>Q22/21</f>
        <v>1915750.142857143</v>
      </c>
      <c r="G22" s="90">
        <f t="shared" si="3"/>
        <v>0.23168339220381973</v>
      </c>
      <c r="H22" s="90">
        <f t="shared" si="4"/>
        <v>0.17178637630287441</v>
      </c>
      <c r="I22" s="130">
        <f t="shared" si="0"/>
        <v>69.516958969380866</v>
      </c>
      <c r="J22" s="130">
        <f t="shared" si="5"/>
        <v>0.17650997994195849</v>
      </c>
      <c r="K22" s="78">
        <f>R20+R21+R22</f>
        <v>141759260751</v>
      </c>
      <c r="L22" s="87">
        <f>U22/U19-1</f>
        <v>0.14514903329157969</v>
      </c>
      <c r="M22" s="87">
        <f>U22/U10-1</f>
        <v>0.40426251799224344</v>
      </c>
      <c r="N22" s="88">
        <f>AVERAGE(T20:T22)</f>
        <v>70.906140861938653</v>
      </c>
      <c r="O22" s="89">
        <f>N22/N19-1</f>
        <v>1.1028057845925421E-3</v>
      </c>
      <c r="P22" s="129" t="s">
        <v>156</v>
      </c>
      <c r="Q22" s="116">
        <v>40230753</v>
      </c>
      <c r="R22" s="116">
        <v>52243090185</v>
      </c>
      <c r="S22" s="116">
        <v>578718.54</v>
      </c>
      <c r="T22" s="130">
        <f t="shared" ref="T22:T23" si="10">Q22/S22</f>
        <v>69.516958969380866</v>
      </c>
      <c r="U22" s="85">
        <f>Q20+Q21+Q22</f>
        <v>108017756</v>
      </c>
    </row>
    <row r="23" spans="1:21" hidden="1">
      <c r="A23" s="129" t="s">
        <v>189</v>
      </c>
      <c r="B23" s="131"/>
      <c r="C23" s="131"/>
      <c r="F23" s="78">
        <f>Q23/21</f>
        <v>1777679.0476190476</v>
      </c>
      <c r="G23" s="90">
        <f t="shared" ref="G23" si="11">F23/F22-1</f>
        <v>-7.207155680133559E-2</v>
      </c>
      <c r="H23" s="90">
        <f t="shared" ref="H23" si="12">F23/F11-1</f>
        <v>4.7244917295551137E-2</v>
      </c>
      <c r="I23" s="130">
        <f t="shared" si="0"/>
        <v>77.014021463225689</v>
      </c>
      <c r="J23" s="130">
        <f t="shared" si="5"/>
        <v>0.21737542169051749</v>
      </c>
      <c r="O23" s="89"/>
      <c r="P23" s="129" t="s">
        <v>189</v>
      </c>
      <c r="Q23" s="116">
        <v>37331260</v>
      </c>
      <c r="R23" s="116">
        <v>48345300244</v>
      </c>
      <c r="S23" s="116">
        <v>484733.29</v>
      </c>
      <c r="T23" s="130">
        <f t="shared" si="10"/>
        <v>77.014021463225689</v>
      </c>
      <c r="U23" s="78"/>
    </row>
    <row r="24" spans="1:21" hidden="1">
      <c r="A24" s="129" t="s">
        <v>204</v>
      </c>
      <c r="B24" s="131"/>
      <c r="C24" s="131"/>
      <c r="F24" s="78">
        <f>Q24/22</f>
        <v>1835261.4545454546</v>
      </c>
      <c r="G24" s="90">
        <f t="shared" ref="G24" si="13">F24/F23-1</f>
        <v>3.2391902803563299E-2</v>
      </c>
      <c r="H24" s="90">
        <f t="shared" ref="H24" si="14">F24/F12-1</f>
        <v>5.2800034794556083E-2</v>
      </c>
      <c r="I24" s="130">
        <f t="shared" si="0"/>
        <v>68.826633193197807</v>
      </c>
      <c r="J24" s="130">
        <f t="shared" si="5"/>
        <v>0.16610873508232227</v>
      </c>
      <c r="O24" s="89"/>
      <c r="P24" s="129" t="s">
        <v>204</v>
      </c>
      <c r="Q24" s="116">
        <v>40375752</v>
      </c>
      <c r="R24" s="116">
        <v>52945303393</v>
      </c>
      <c r="S24" s="116">
        <v>586629.77</v>
      </c>
      <c r="T24" s="130">
        <f t="shared" ref="T24" si="15">Q24/S24</f>
        <v>68.826633193197807</v>
      </c>
      <c r="U24" s="78"/>
    </row>
    <row r="25" spans="1:21" s="79" customFormat="1" ht="13.2" hidden="1">
      <c r="A25" s="129" t="s">
        <v>229</v>
      </c>
      <c r="B25" s="131">
        <f>SUM(F23:F25)</f>
        <v>5760786.6600592388</v>
      </c>
      <c r="C25" s="131">
        <f>AVERAGE(F23:F25)</f>
        <v>1920262.2200197463</v>
      </c>
      <c r="D25" s="90">
        <f>C25/C22-1</f>
        <v>0.10205131123375155</v>
      </c>
      <c r="E25" s="286">
        <f>C25/C13-1</f>
        <v>0.10187132389534814</v>
      </c>
      <c r="F25" s="78">
        <f>Q25/19</f>
        <v>2147846.1578947366</v>
      </c>
      <c r="G25" s="90">
        <f t="shared" ref="G25" si="16">F25/F24-1</f>
        <v>0.17032161961179582</v>
      </c>
      <c r="H25" s="90">
        <f t="shared" ref="H25" si="17">F25/F13-1</f>
        <v>0.20160334788809897</v>
      </c>
      <c r="I25" s="130">
        <f t="shared" si="0"/>
        <v>68.701462817021664</v>
      </c>
      <c r="J25" s="130">
        <f t="shared" si="5"/>
        <v>6.5179911363313137E-2</v>
      </c>
      <c r="K25" s="78">
        <f>R23+R24+R25</f>
        <v>155433890262</v>
      </c>
      <c r="L25" s="90">
        <f>U25/U22-1</f>
        <v>9.7190808148245544E-2</v>
      </c>
      <c r="M25" s="90">
        <f>U25/U13-1</f>
        <v>7.9896745270411795E-2</v>
      </c>
      <c r="N25" s="88">
        <f>AVERAGE(T23:T25)</f>
        <v>71.514039157815048</v>
      </c>
      <c r="O25" s="91">
        <f>N25/N22-1</f>
        <v>8.5732813616248293E-3</v>
      </c>
      <c r="P25" s="129" t="s">
        <v>229</v>
      </c>
      <c r="Q25" s="116">
        <v>40809077</v>
      </c>
      <c r="R25" s="116">
        <v>54143286625</v>
      </c>
      <c r="S25" s="116">
        <v>594005.93999999994</v>
      </c>
      <c r="T25" s="130">
        <f t="shared" ref="T25" si="18">Q25/S25</f>
        <v>68.701462817021664</v>
      </c>
      <c r="U25" s="85">
        <f>Q23+Q24+Q25</f>
        <v>118516089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1364274.5263157894</v>
      </c>
      <c r="G26" s="90">
        <f t="shared" ref="G26" si="19">F26/F25-1</f>
        <v>-0.36481739099367516</v>
      </c>
      <c r="H26" s="90">
        <f t="shared" ref="H26" si="20">F26/F14-1</f>
        <v>-0.34880573031309869</v>
      </c>
      <c r="I26" s="130">
        <f t="shared" si="0"/>
        <v>64.446137291678681</v>
      </c>
      <c r="J26" s="130">
        <f t="shared" si="5"/>
        <v>-4.33597416520628E-2</v>
      </c>
      <c r="L26" s="90"/>
      <c r="M26" s="90"/>
      <c r="P26" s="129" t="s">
        <v>312</v>
      </c>
      <c r="Q26" s="116">
        <v>25921216</v>
      </c>
      <c r="R26" s="116">
        <v>34945453739</v>
      </c>
      <c r="S26" s="116">
        <v>402215.2</v>
      </c>
      <c r="T26" s="130">
        <f t="shared" ref="T26" si="21">Q26/S26</f>
        <v>64.446137291678681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1432282.8636363635</v>
      </c>
      <c r="G27" s="90">
        <f t="shared" ref="G27" si="22">F27/F26-1</f>
        <v>4.9849451857926219E-2</v>
      </c>
      <c r="H27" s="90">
        <f t="shared" ref="H27" si="23">F27/F15-1</f>
        <v>-8.6812797803497488E-2</v>
      </c>
      <c r="I27" s="130">
        <f t="shared" si="0"/>
        <v>73.39676545469068</v>
      </c>
      <c r="J27" s="130">
        <f t="shared" si="5"/>
        <v>6.4213912832064235E-2</v>
      </c>
      <c r="L27" s="90"/>
      <c r="M27" s="90"/>
      <c r="P27" s="129" t="s">
        <v>374</v>
      </c>
      <c r="Q27" s="116">
        <v>31510223</v>
      </c>
      <c r="R27" s="116">
        <v>41698320540</v>
      </c>
      <c r="S27" s="116">
        <v>429313.51</v>
      </c>
      <c r="T27" s="130">
        <f t="shared" ref="T27" si="24">Q27/S27</f>
        <v>73.39676545469068</v>
      </c>
      <c r="U27" s="78"/>
    </row>
    <row r="28" spans="1:21" s="79" customFormat="1" ht="13.2" hidden="1">
      <c r="A28" s="123" t="s">
        <v>413</v>
      </c>
      <c r="B28" s="131">
        <f>SUM(F26:F28)</f>
        <v>5184192.0215311004</v>
      </c>
      <c r="C28" s="131">
        <f>AVERAGE(F26:F28)</f>
        <v>1728064.0071770335</v>
      </c>
      <c r="D28" s="90">
        <f>C28/C25-1</f>
        <v>-0.10008956633054855</v>
      </c>
      <c r="E28" s="286">
        <f>C28/C16-1</f>
        <v>-5.8156230691978061E-3</v>
      </c>
      <c r="F28" s="78">
        <f>Q28/19</f>
        <v>2387634.6315789474</v>
      </c>
      <c r="G28" s="90">
        <f t="shared" ref="G28" si="25">F28/F27-1</f>
        <v>0.66701333388649298</v>
      </c>
      <c r="H28" s="90">
        <f t="shared" ref="H28" si="26">F28/F16-1</f>
        <v>0.5393773346256685</v>
      </c>
      <c r="I28" s="130">
        <f t="shared" si="0"/>
        <v>70.695692095369949</v>
      </c>
      <c r="J28" s="130">
        <f t="shared" si="5"/>
        <v>-1.7011145503697422E-2</v>
      </c>
      <c r="K28" s="78">
        <f>R26+R27+R28</f>
        <v>135822889244</v>
      </c>
      <c r="L28" s="90">
        <f>U28/U25-1</f>
        <v>-0.13263677642956984</v>
      </c>
      <c r="M28" s="90">
        <f>U28/U16-1</f>
        <v>-6.9961735040078077E-2</v>
      </c>
      <c r="N28" s="88">
        <f>AVERAGE(T26:T28)</f>
        <v>69.512864947246442</v>
      </c>
      <c r="O28" s="91">
        <f>N28/N25-1</f>
        <v>-2.7982955992074121E-2</v>
      </c>
      <c r="P28" s="129" t="s">
        <v>413</v>
      </c>
      <c r="Q28" s="116">
        <v>45365058</v>
      </c>
      <c r="R28" s="116">
        <v>59179114965</v>
      </c>
      <c r="S28" s="116">
        <v>641694.80000000005</v>
      </c>
      <c r="T28" s="130">
        <f t="shared" ref="T28" si="27">Q28/S28</f>
        <v>70.695692095369949</v>
      </c>
      <c r="U28" s="85">
        <f>Q26+Q27+Q28</f>
        <v>102796497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1541126.1818181819</v>
      </c>
      <c r="G29" s="190">
        <f t="shared" ref="G29" si="28">F29/F28-1</f>
        <v>-0.35453852049422141</v>
      </c>
      <c r="H29" s="190">
        <f t="shared" ref="H29" si="29">F29/F17-1</f>
        <v>-2.0233333962819344E-2</v>
      </c>
      <c r="I29" s="130">
        <f t="shared" si="0"/>
        <v>73.445162355822703</v>
      </c>
      <c r="J29" s="130">
        <f t="shared" si="5"/>
        <v>-1.2083201224335482E-2</v>
      </c>
      <c r="K29" s="136"/>
      <c r="L29" s="190"/>
      <c r="M29" s="190"/>
      <c r="N29" s="191"/>
      <c r="O29" s="192"/>
      <c r="P29" s="129" t="s">
        <v>430</v>
      </c>
      <c r="Q29" s="116">
        <v>33904776</v>
      </c>
      <c r="R29" s="116">
        <v>44733492349</v>
      </c>
      <c r="S29" s="116">
        <v>461633.89</v>
      </c>
      <c r="T29" s="130">
        <f t="shared" ref="T29" si="30">Q29/S29</f>
        <v>73.445162355822703</v>
      </c>
      <c r="U29" s="85"/>
    </row>
    <row r="30" spans="1:21" s="79" customFormat="1" ht="13.2" hidden="1">
      <c r="A30" s="129" t="s">
        <v>471</v>
      </c>
      <c r="B30" s="188"/>
      <c r="C30" s="188"/>
      <c r="D30" s="189"/>
      <c r="E30" s="287"/>
      <c r="F30" s="136">
        <f>Q30/19</f>
        <v>2041458.3157894737</v>
      </c>
      <c r="G30" s="190">
        <f t="shared" ref="G30" si="31">F30/F29-1</f>
        <v>0.32465358117595056</v>
      </c>
      <c r="H30" s="190">
        <f t="shared" ref="H30" si="32">F30/F18-1</f>
        <v>0.27822187334893278</v>
      </c>
      <c r="I30" s="130">
        <f t="shared" si="0"/>
        <v>69.623122790728587</v>
      </c>
      <c r="J30" s="130">
        <f t="shared" si="5"/>
        <v>-3.5136519971001423E-2</v>
      </c>
      <c r="K30" s="136"/>
      <c r="L30" s="190"/>
      <c r="M30" s="190"/>
      <c r="N30" s="191"/>
      <c r="O30" s="192"/>
      <c r="P30" s="129" t="s">
        <v>471</v>
      </c>
      <c r="Q30" s="116">
        <v>38787708</v>
      </c>
      <c r="R30" s="116">
        <v>51709910161</v>
      </c>
      <c r="S30" s="116">
        <v>557109.56999999995</v>
      </c>
      <c r="T30" s="130">
        <f t="shared" ref="T30" si="33">Q30/S30</f>
        <v>69.623122790728587</v>
      </c>
      <c r="U30" s="85"/>
    </row>
    <row r="31" spans="1:21" s="79" customFormat="1" ht="13.2" hidden="1">
      <c r="A31" s="129" t="s">
        <v>505</v>
      </c>
      <c r="B31" s="188">
        <f>SUM(F29:F31)</f>
        <v>5251796.947607656</v>
      </c>
      <c r="C31" s="188">
        <f>AVERAGE(F29:F31)</f>
        <v>1750598.9825358854</v>
      </c>
      <c r="D31" s="190">
        <f>C31/C28-1</f>
        <v>1.3040590664037399E-2</v>
      </c>
      <c r="E31" s="287">
        <f>C31/C19-1</f>
        <v>0.1477456678710809</v>
      </c>
      <c r="F31" s="136">
        <f>Q31/20</f>
        <v>1669212.45</v>
      </c>
      <c r="G31" s="190">
        <f t="shared" ref="G31" si="34">F31/F30-1</f>
        <v>-0.18234311369983502</v>
      </c>
      <c r="H31" s="190">
        <f t="shared" ref="H31" si="35">F31/F19-1</f>
        <v>0.18746878028479719</v>
      </c>
      <c r="I31" s="130">
        <f t="shared" si="0"/>
        <v>64.361717325307069</v>
      </c>
      <c r="J31" s="130">
        <f t="shared" si="5"/>
        <v>-2.4557946990137136E-2</v>
      </c>
      <c r="K31" s="136">
        <f>R29+R30+R31</f>
        <v>140819429907</v>
      </c>
      <c r="L31" s="190">
        <f>U31/U28-1</f>
        <v>3.190999786695059E-2</v>
      </c>
      <c r="M31" s="190">
        <f>U31/U19-1</f>
        <v>0.12457129964520841</v>
      </c>
      <c r="N31" s="191">
        <f>AVERAGE(T29:T31)</f>
        <v>69.14333415728612</v>
      </c>
      <c r="O31" s="192">
        <f>N31/N28-1</f>
        <v>-5.3160057529029192E-3</v>
      </c>
      <c r="P31" s="129" t="s">
        <v>505</v>
      </c>
      <c r="Q31" s="116">
        <v>33384249</v>
      </c>
      <c r="R31" s="116">
        <v>44376027397</v>
      </c>
      <c r="S31" s="116">
        <v>518697.3</v>
      </c>
      <c r="T31" s="130">
        <f t="shared" ref="T31" si="36">Q31/S31</f>
        <v>64.361717325307069</v>
      </c>
      <c r="U31" s="85">
        <f>Q29+Q30+Q31</f>
        <v>106076733</v>
      </c>
    </row>
    <row r="32" spans="1:21" s="79" customFormat="1" ht="13.2" hidden="1">
      <c r="A32" s="129" t="s">
        <v>566</v>
      </c>
      <c r="B32" s="188"/>
      <c r="C32" s="188"/>
      <c r="D32" s="190"/>
      <c r="E32" s="287"/>
      <c r="F32" s="136">
        <f>Q32/21</f>
        <v>1783146.3333333333</v>
      </c>
      <c r="G32" s="190">
        <f t="shared" ref="G32" si="37">F32/F31-1</f>
        <v>6.8256070899383348E-2</v>
      </c>
      <c r="H32" s="190">
        <f t="shared" ref="H32" si="38">F32/F20-1</f>
        <v>1.5349991166003107E-2</v>
      </c>
      <c r="I32" s="130">
        <f t="shared" si="0"/>
        <v>68.418987297180834</v>
      </c>
      <c r="J32" s="130">
        <f t="shared" si="5"/>
        <v>-1.5201691795412642E-2</v>
      </c>
      <c r="K32" s="136"/>
      <c r="L32" s="190"/>
      <c r="M32" s="190"/>
      <c r="N32" s="191"/>
      <c r="O32" s="192"/>
      <c r="P32" s="129" t="s">
        <v>566</v>
      </c>
      <c r="Q32" s="116">
        <v>37446073</v>
      </c>
      <c r="R32" s="116">
        <v>50906635865</v>
      </c>
      <c r="S32" s="116">
        <v>547305.28</v>
      </c>
      <c r="T32" s="130">
        <f t="shared" ref="T32" si="39">Q32/S32</f>
        <v>68.418987297180834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1838357.9047619049</v>
      </c>
      <c r="G33" s="190">
        <f t="shared" ref="G33" si="40">F33/F32-1</f>
        <v>3.0963006454642228E-2</v>
      </c>
      <c r="H33" s="190">
        <f t="shared" ref="H33" si="41">F33/F21-1</f>
        <v>0.18192599836893031</v>
      </c>
      <c r="I33" s="130">
        <f t="shared" si="0"/>
        <v>64.054062399354294</v>
      </c>
      <c r="J33" s="130">
        <f t="shared" si="5"/>
        <v>-0.13119157777327428</v>
      </c>
      <c r="K33" s="136"/>
      <c r="L33" s="190"/>
      <c r="M33" s="190"/>
      <c r="N33" s="191"/>
      <c r="O33" s="192"/>
      <c r="P33" s="129" t="s">
        <v>612</v>
      </c>
      <c r="Q33" s="116">
        <v>38605516</v>
      </c>
      <c r="R33" s="116">
        <v>52776391696</v>
      </c>
      <c r="S33" s="116">
        <v>602702.06999999995</v>
      </c>
      <c r="T33" s="130">
        <f t="shared" ref="T33" si="42">Q33/S33</f>
        <v>64.054062399354294</v>
      </c>
      <c r="U33" s="85"/>
    </row>
    <row r="34" spans="1:21" s="79" customFormat="1" ht="13.2" hidden="1">
      <c r="A34" s="129" t="s">
        <v>652</v>
      </c>
      <c r="B34" s="188">
        <f>SUM(F32:F34)</f>
        <v>5445366.7644110275</v>
      </c>
      <c r="C34" s="188">
        <f>AVERAGE(F32:F34)</f>
        <v>1815122.2548036759</v>
      </c>
      <c r="D34" s="190">
        <f>C34/C31-1</f>
        <v>3.6857825756486662E-2</v>
      </c>
      <c r="E34" s="287">
        <f>C34/C22-1</f>
        <v>4.1710783090543213E-2</v>
      </c>
      <c r="F34" s="136">
        <f>Q34/19</f>
        <v>1823862.5263157894</v>
      </c>
      <c r="G34" s="190">
        <f t="shared" ref="G34" si="43">F34/F33-1</f>
        <v>-7.8849599463565179E-3</v>
      </c>
      <c r="H34" s="190">
        <f t="shared" ref="H34" si="44">F34/F22-1</f>
        <v>-4.7964301025347988E-2</v>
      </c>
      <c r="I34" s="130">
        <f t="shared" si="0"/>
        <v>64.545745011008577</v>
      </c>
      <c r="J34" s="130">
        <f t="shared" si="5"/>
        <v>-7.1510808759081224E-2</v>
      </c>
      <c r="K34" s="136">
        <f>R32+R33+R34</f>
        <v>151359641429</v>
      </c>
      <c r="L34" s="190">
        <f>U34/U31-1</f>
        <v>4.3631094860359321E-2</v>
      </c>
      <c r="M34" s="190">
        <f>U34/U22-1</f>
        <v>2.4877585866531104E-2</v>
      </c>
      <c r="N34" s="191">
        <f>AVERAGE(T32:T34)</f>
        <v>65.67293156918123</v>
      </c>
      <c r="O34" s="192">
        <f>N34/N31-1</f>
        <v>-5.0191426699361608E-2</v>
      </c>
      <c r="P34" s="129" t="s">
        <v>652</v>
      </c>
      <c r="Q34" s="116">
        <v>34653388</v>
      </c>
      <c r="R34" s="116">
        <v>47676613868</v>
      </c>
      <c r="S34" s="116">
        <v>536881.06000000006</v>
      </c>
      <c r="T34" s="130">
        <f t="shared" ref="T34" si="45">Q34/S34</f>
        <v>64.545745011008577</v>
      </c>
      <c r="U34" s="85">
        <f>Q32+Q33+Q34</f>
        <v>110704977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1452349.3478260869</v>
      </c>
      <c r="G35" s="190">
        <f t="shared" ref="G35" si="46">F35/F34-1</f>
        <v>-0.2036958230838597</v>
      </c>
      <c r="H35" s="190">
        <f t="shared" ref="H35" si="47">F35/F23-1</f>
        <v>-0.1830081196201836</v>
      </c>
      <c r="I35" s="130">
        <f t="shared" si="0"/>
        <v>61.785816115623184</v>
      </c>
      <c r="J35" s="130">
        <f t="shared" si="5"/>
        <v>-0.19773289406623173</v>
      </c>
      <c r="K35" s="136"/>
      <c r="L35" s="190"/>
      <c r="M35" s="190"/>
      <c r="N35" s="191"/>
      <c r="O35" s="192"/>
      <c r="P35" s="129" t="s">
        <v>660</v>
      </c>
      <c r="Q35" s="116">
        <v>33404035</v>
      </c>
      <c r="R35" s="116">
        <v>46233956475</v>
      </c>
      <c r="S35" s="116">
        <v>540642.44999999995</v>
      </c>
      <c r="T35" s="130">
        <f t="shared" ref="T35" si="48">Q35/S35</f>
        <v>61.785816115623184</v>
      </c>
      <c r="U35" s="85"/>
    </row>
    <row r="36" spans="1:21" s="79" customFormat="1" ht="13.2" hidden="1">
      <c r="A36" s="129" t="s">
        <v>669</v>
      </c>
      <c r="B36" s="188"/>
      <c r="C36" s="188"/>
      <c r="D36" s="190"/>
      <c r="E36" s="287"/>
      <c r="F36" s="136">
        <f>Q36/21</f>
        <v>1490640.3809523811</v>
      </c>
      <c r="G36" s="190">
        <f t="shared" ref="G36" si="49">F36/F35-1</f>
        <v>2.6364891603806617E-2</v>
      </c>
      <c r="H36" s="190">
        <f t="shared" ref="H36" si="50">F36/F24-1</f>
        <v>-0.1877776448361288</v>
      </c>
      <c r="I36" s="130">
        <f t="shared" si="0"/>
        <v>65.641619668005319</v>
      </c>
      <c r="J36" s="130">
        <f t="shared" si="5"/>
        <v>-4.6275887362557611E-2</v>
      </c>
      <c r="K36" s="136"/>
      <c r="L36" s="190"/>
      <c r="M36" s="190"/>
      <c r="N36" s="191"/>
      <c r="O36" s="192"/>
      <c r="P36" s="129" t="s">
        <v>669</v>
      </c>
      <c r="Q36" s="116">
        <v>31303448</v>
      </c>
      <c r="R36" s="116">
        <v>42762385706</v>
      </c>
      <c r="S36" s="116">
        <v>476884.15</v>
      </c>
      <c r="T36" s="130">
        <f t="shared" ref="T36" si="51">Q36/S36</f>
        <v>65.641619668005319</v>
      </c>
      <c r="U36" s="85"/>
    </row>
    <row r="37" spans="1:21" s="79" customFormat="1" ht="13.2" hidden="1">
      <c r="A37" s="129" t="s">
        <v>702</v>
      </c>
      <c r="B37" s="188">
        <f>SUM(F35:F37)</f>
        <v>4629846.5065562455</v>
      </c>
      <c r="C37" s="188">
        <f>AVERAGE(F35:F37)</f>
        <v>1543282.1688520818</v>
      </c>
      <c r="D37" s="190">
        <f>C37/C34-1</f>
        <v>-0.14976406422882871</v>
      </c>
      <c r="E37" s="287">
        <f>C37/C25-1</f>
        <v>-0.1963169650672959</v>
      </c>
      <c r="F37" s="136">
        <f>Q37/18</f>
        <v>1686856.7777777778</v>
      </c>
      <c r="G37" s="190">
        <f t="shared" ref="G37" si="52">F37/F36-1</f>
        <v>0.13163228323388942</v>
      </c>
      <c r="H37" s="190">
        <f t="shared" ref="H37" si="53">F37/F25-1</f>
        <v>-0.21462867739503688</v>
      </c>
      <c r="I37" s="130">
        <f t="shared" si="0"/>
        <v>65.469456679413227</v>
      </c>
      <c r="J37" s="130">
        <f t="shared" si="5"/>
        <v>-4.7044211361503496E-2</v>
      </c>
      <c r="K37" s="136">
        <f>R35+R36+R37</f>
        <v>129517924276</v>
      </c>
      <c r="L37" s="190">
        <f>U37/U34-1</f>
        <v>-0.14122284673795649</v>
      </c>
      <c r="M37" s="190">
        <f>U37/U25-1</f>
        <v>-0.19782279518184231</v>
      </c>
      <c r="N37" s="191">
        <f>AVERAGE(T35:T37)</f>
        <v>64.298964154347246</v>
      </c>
      <c r="O37" s="192">
        <f>N37/N34-1</f>
        <v>-2.0921365652553758E-2</v>
      </c>
      <c r="P37" s="129" t="s">
        <v>702</v>
      </c>
      <c r="Q37" s="116">
        <v>30363422</v>
      </c>
      <c r="R37" s="116">
        <v>40521582095</v>
      </c>
      <c r="S37" s="116">
        <v>463779.96</v>
      </c>
      <c r="T37" s="130">
        <f t="shared" ref="T37" si="54">Q37/S37</f>
        <v>65.469456679413227</v>
      </c>
      <c r="U37" s="85">
        <f>Q35+Q36+Q37</f>
        <v>95070905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1714422.7</v>
      </c>
      <c r="G38" s="190">
        <f t="shared" ref="G38" si="55">F38/F37-1</f>
        <v>1.6341590219969282E-2</v>
      </c>
      <c r="H38" s="190">
        <f t="shared" ref="H38" si="56">F38/F26-1</f>
        <v>0.25665521632935739</v>
      </c>
      <c r="I38" s="130">
        <f t="shared" si="0"/>
        <v>72.525577576254705</v>
      </c>
      <c r="J38" s="130">
        <f t="shared" si="5"/>
        <v>0.12536733191640392</v>
      </c>
      <c r="K38" s="136"/>
      <c r="L38" s="190"/>
      <c r="M38" s="190"/>
      <c r="N38" s="191"/>
      <c r="O38" s="192"/>
      <c r="P38" s="129" t="s">
        <v>727</v>
      </c>
      <c r="Q38" s="116">
        <v>34288454</v>
      </c>
      <c r="R38" s="116">
        <v>46155965134</v>
      </c>
      <c r="S38" s="116">
        <v>472777.4</v>
      </c>
      <c r="T38" s="130">
        <f t="shared" ref="T38" si="57">Q38/S38</f>
        <v>72.525577576254705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1915277.9047619049</v>
      </c>
      <c r="G39" s="190">
        <f t="shared" ref="G39" si="58">F39/F38-1</f>
        <v>0.11715617435647863</v>
      </c>
      <c r="H39" s="190">
        <f t="shared" ref="H39" si="59">F39/F27-1</f>
        <v>0.33722042858160384</v>
      </c>
      <c r="I39" s="130">
        <f t="shared" si="0"/>
        <v>72.140611936612501</v>
      </c>
      <c r="J39" s="130">
        <f t="shared" si="5"/>
        <v>-1.7114562342037121E-2</v>
      </c>
      <c r="K39" s="136"/>
      <c r="L39" s="190"/>
      <c r="M39" s="190"/>
      <c r="N39" s="191"/>
      <c r="O39" s="192"/>
      <c r="P39" s="129" t="s">
        <v>762</v>
      </c>
      <c r="Q39" s="116">
        <v>40220836</v>
      </c>
      <c r="R39" s="116">
        <v>55912549838</v>
      </c>
      <c r="S39" s="116">
        <v>557533.89</v>
      </c>
      <c r="T39" s="130">
        <f t="shared" ref="T39" si="60">Q39/S39</f>
        <v>72.140611936612501</v>
      </c>
      <c r="U39" s="85"/>
    </row>
    <row r="40" spans="1:21" s="79" customFormat="1" ht="13.2" hidden="1">
      <c r="A40" s="129" t="s">
        <v>778</v>
      </c>
      <c r="B40" s="188">
        <f>SUM(F38:F40)</f>
        <v>5481062.3666666672</v>
      </c>
      <c r="C40" s="188">
        <f>AVERAGE(F38:F40)</f>
        <v>1827020.7888888891</v>
      </c>
      <c r="D40" s="190">
        <f>C40/C37-1</f>
        <v>0.18385401306609839</v>
      </c>
      <c r="E40" s="287">
        <f>C40/C28-1</f>
        <v>5.7264534936707356E-2</v>
      </c>
      <c r="F40" s="136">
        <f>Q40/21</f>
        <v>1851361.7619047619</v>
      </c>
      <c r="G40" s="190">
        <f t="shared" ref="G40" si="61">F40/F39-1</f>
        <v>-3.3371732999284309E-2</v>
      </c>
      <c r="H40" s="190">
        <f t="shared" ref="H40" si="62">F40/F28-1</f>
        <v>-0.2246042432880726</v>
      </c>
      <c r="I40" s="130">
        <f t="shared" si="0"/>
        <v>68.751410931366607</v>
      </c>
      <c r="J40" s="130">
        <f t="shared" si="5"/>
        <v>-2.7502116555849887E-2</v>
      </c>
      <c r="K40" s="136">
        <f>R38+R39+R40</f>
        <v>157272156519</v>
      </c>
      <c r="L40" s="190">
        <f>U40/U37-1</f>
        <v>0.19266653662337596</v>
      </c>
      <c r="M40" s="190">
        <f>U40/U28-1</f>
        <v>0.10303259652904329</v>
      </c>
      <c r="N40" s="191">
        <f>AVERAGE(T38:T40)</f>
        <v>71.139200148077933</v>
      </c>
      <c r="O40" s="192">
        <f>N40/N37-1</f>
        <v>0.10638174477136153</v>
      </c>
      <c r="P40" s="129" t="s">
        <v>778</v>
      </c>
      <c r="Q40" s="116">
        <v>38878597</v>
      </c>
      <c r="R40" s="116">
        <v>55203641547</v>
      </c>
      <c r="S40" s="116">
        <v>565495.26</v>
      </c>
      <c r="T40" s="130">
        <f t="shared" ref="T40" si="63">Q40/S40</f>
        <v>68.751410931366607</v>
      </c>
      <c r="U40" s="85">
        <f>Q38+Q39+Q40</f>
        <v>113387887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1690987.6666666667</v>
      </c>
      <c r="G41" s="190">
        <f t="shared" ref="G41" si="64">F41/F40-1</f>
        <v>-8.6624936594291158E-2</v>
      </c>
      <c r="H41" s="190">
        <f t="shared" ref="H41" si="65">F41/F29-1</f>
        <v>9.7241541034415624E-2</v>
      </c>
      <c r="I41" s="130">
        <f t="shared" si="0"/>
        <v>67.513692649957051</v>
      </c>
      <c r="J41" s="130">
        <f t="shared" si="5"/>
        <v>-8.0760522757499342E-2</v>
      </c>
      <c r="K41" s="193"/>
      <c r="L41" s="190"/>
      <c r="M41" s="190"/>
      <c r="N41" s="193"/>
      <c r="O41" s="193"/>
      <c r="P41" s="129" t="s">
        <v>793</v>
      </c>
      <c r="Q41" s="116">
        <v>30437778</v>
      </c>
      <c r="R41" s="116">
        <v>44508178095</v>
      </c>
      <c r="S41" s="116">
        <v>450838.59</v>
      </c>
      <c r="T41" s="130">
        <f t="shared" ref="T41" si="66">Q41/S41</f>
        <v>67.513692649957051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2122216.75</v>
      </c>
      <c r="G42" s="190">
        <f t="shared" ref="G42" si="67">F42/F41-1</f>
        <v>0.25501610202952385</v>
      </c>
      <c r="H42" s="190">
        <f t="shared" ref="H42" si="68">F42/F30-1</f>
        <v>3.9559188441864013E-2</v>
      </c>
      <c r="I42" s="130">
        <f t="shared" si="0"/>
        <v>73.326096374476066</v>
      </c>
      <c r="J42" s="130">
        <f t="shared" si="5"/>
        <v>5.3185973787440943E-2</v>
      </c>
      <c r="K42" s="193"/>
      <c r="L42" s="190"/>
      <c r="M42" s="190"/>
      <c r="N42" s="193"/>
      <c r="O42" s="193"/>
      <c r="P42" s="129" t="s">
        <v>826</v>
      </c>
      <c r="Q42" s="116">
        <v>42444335</v>
      </c>
      <c r="R42" s="116">
        <v>61337505629</v>
      </c>
      <c r="S42" s="116">
        <v>578843.51</v>
      </c>
      <c r="T42" s="130">
        <f t="shared" ref="T42" si="69">Q42/S42</f>
        <v>73.326096374476066</v>
      </c>
      <c r="U42" s="78"/>
    </row>
    <row r="43" spans="1:21" s="79" customFormat="1" ht="13.2">
      <c r="A43" s="129" t="s">
        <v>835</v>
      </c>
      <c r="B43" s="188">
        <f>SUM(F41:F43)</f>
        <v>6367019.4666666668</v>
      </c>
      <c r="C43" s="188">
        <f>AVERAGE(F41:F43)</f>
        <v>2122339.8222222221</v>
      </c>
      <c r="D43" s="190">
        <f>C43/C40-1</f>
        <v>0.1616396677746248</v>
      </c>
      <c r="E43" s="287">
        <f>C43/C31-1</f>
        <v>0.21235065448732282</v>
      </c>
      <c r="F43" s="136">
        <f>Q43/20</f>
        <v>2553815.0499999998</v>
      </c>
      <c r="G43" s="190">
        <f t="shared" ref="G43" si="70">F43/F42-1</f>
        <v>0.20337145110177834</v>
      </c>
      <c r="H43" s="190">
        <f t="shared" ref="H43" si="71">F43/F31-1</f>
        <v>0.52995207410536627</v>
      </c>
      <c r="I43" s="130">
        <f t="shared" si="0"/>
        <v>73.739515901111901</v>
      </c>
      <c r="J43" s="130">
        <f t="shared" si="5"/>
        <v>0.14570460462398938</v>
      </c>
      <c r="K43" s="136">
        <f>R41+R42+R43</f>
        <v>180050131912</v>
      </c>
      <c r="L43" s="190">
        <f>U43/U40-1</f>
        <v>9.3224481729692998E-2</v>
      </c>
      <c r="M43" s="190">
        <f>K43/K31-1</f>
        <v>0.27858870065664054</v>
      </c>
      <c r="N43" s="191">
        <f>AVERAGE(T41:T43)</f>
        <v>71.526434975181672</v>
      </c>
      <c r="O43" s="192">
        <f>N43/N40-1</f>
        <v>5.4433396256592381E-3</v>
      </c>
      <c r="P43" s="129" t="s">
        <v>835</v>
      </c>
      <c r="Q43" s="116">
        <v>51076301</v>
      </c>
      <c r="R43" s="116">
        <v>74204448188</v>
      </c>
      <c r="S43" s="116">
        <v>692658.48</v>
      </c>
      <c r="T43" s="130">
        <f t="shared" ref="T43" si="72">Q43/S43</f>
        <v>73.739515901111901</v>
      </c>
      <c r="U43" s="85">
        <f>Q41+Q42+Q43</f>
        <v>123958414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2103068.1363636362</v>
      </c>
      <c r="G44" s="190">
        <f t="shared" ref="G44" si="73">F44/F43-1</f>
        <v>-0.17649943508491883</v>
      </c>
      <c r="H44" s="190">
        <f t="shared" ref="H44" si="74">F44/F32-1</f>
        <v>0.17941421690964399</v>
      </c>
      <c r="I44" s="130">
        <f t="shared" si="0"/>
        <v>79.588540268301671</v>
      </c>
      <c r="J44" s="130">
        <f t="shared" si="5"/>
        <v>0.16325224053091292</v>
      </c>
      <c r="K44" s="136"/>
      <c r="L44" s="190"/>
      <c r="M44" s="190"/>
      <c r="N44" s="191"/>
      <c r="O44" s="192"/>
      <c r="P44" s="129" t="s">
        <v>839</v>
      </c>
      <c r="Q44" s="116">
        <v>46267499</v>
      </c>
      <c r="R44" s="116">
        <v>67242464101</v>
      </c>
      <c r="S44" s="116">
        <v>581333.68000000005</v>
      </c>
      <c r="T44" s="130">
        <f t="shared" ref="T44" si="75">Q44/S44</f>
        <v>79.588540268301671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1872911.2</v>
      </c>
      <c r="G45" s="190">
        <f t="shared" ref="G45" si="76">F45/F44-1</f>
        <v>-0.10943864936377912</v>
      </c>
      <c r="H45" s="190">
        <f t="shared" ref="H45" si="77">F45/F33-1</f>
        <v>1.8795738930156958E-2</v>
      </c>
      <c r="I45" s="130">
        <f t="shared" si="0"/>
        <v>79.306597965462771</v>
      </c>
      <c r="J45" s="130">
        <f t="shared" si="5"/>
        <v>0.23811972254022451</v>
      </c>
      <c r="K45" s="136"/>
      <c r="L45" s="190"/>
      <c r="M45" s="190"/>
      <c r="N45" s="191"/>
      <c r="O45" s="192"/>
      <c r="P45" s="129" t="s">
        <v>853</v>
      </c>
      <c r="Q45" s="116">
        <v>37458224</v>
      </c>
      <c r="R45" s="116">
        <v>52699600801</v>
      </c>
      <c r="S45" s="116">
        <v>472321.66</v>
      </c>
      <c r="T45" s="130">
        <f t="shared" ref="T45" si="78">Q45/S45</f>
        <v>79.306597965462771</v>
      </c>
      <c r="U45" s="85"/>
    </row>
    <row r="46" spans="1:21" s="79" customFormat="1" ht="13.2">
      <c r="A46" s="129" t="s">
        <v>893</v>
      </c>
      <c r="B46" s="188">
        <f>SUM(F44:F46)</f>
        <v>6084519.5995215308</v>
      </c>
      <c r="C46" s="188">
        <f>AVERAGE(F44:F46)</f>
        <v>2028173.1998405103</v>
      </c>
      <c r="D46" s="190">
        <f>C46/C43-1</f>
        <v>-4.4369248221104107E-2</v>
      </c>
      <c r="E46" s="287">
        <f>C46/C34-1</f>
        <v>0.11737553460820638</v>
      </c>
      <c r="F46" s="136">
        <f>Q46/19</f>
        <v>2108540.2631578948</v>
      </c>
      <c r="G46" s="190">
        <f t="shared" ref="G46" si="79">F46/F45-1</f>
        <v>0.12580898825202969</v>
      </c>
      <c r="H46" s="190">
        <f t="shared" ref="H46" si="80">F46/F34-1</f>
        <v>0.15608508466762339</v>
      </c>
      <c r="I46" s="130">
        <f t="shared" si="0"/>
        <v>83.623340605745256</v>
      </c>
      <c r="J46" s="130">
        <f t="shared" si="5"/>
        <v>0.29556705235152081</v>
      </c>
      <c r="K46" s="136">
        <f>R44+R45+R46</f>
        <v>174803414379</v>
      </c>
      <c r="L46" s="190">
        <f>U46/U43-1</f>
        <v>-1.3748643153823625E-3</v>
      </c>
      <c r="M46" s="190">
        <f>K46/K34-1</f>
        <v>0.15488787320493902</v>
      </c>
      <c r="N46" s="191">
        <f>AVERAGE(T44:T46)</f>
        <v>80.839492946503228</v>
      </c>
      <c r="O46" s="192">
        <f>N46/N43-1</f>
        <v>0.13020441987012221</v>
      </c>
      <c r="P46" s="129" t="s">
        <v>888</v>
      </c>
      <c r="Q46" s="116">
        <v>40062265</v>
      </c>
      <c r="R46" s="116">
        <v>54861349477</v>
      </c>
      <c r="S46" s="116">
        <v>479079.94</v>
      </c>
      <c r="T46" s="130">
        <f t="shared" ref="T46" si="81">Q46/S46</f>
        <v>83.623340605745256</v>
      </c>
      <c r="U46" s="85">
        <f t="shared" ref="U46:U51" si="82">Q44+Q45+Q46</f>
        <v>123787988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1774784.8695652173</v>
      </c>
      <c r="G47" s="190">
        <f t="shared" ref="G47" si="83">F47/F46-1</f>
        <v>-0.15828741780478151</v>
      </c>
      <c r="H47" s="190">
        <f t="shared" ref="H47" si="84">F47/F35-1</f>
        <v>0.2220096165029164</v>
      </c>
      <c r="I47" s="130">
        <f t="shared" si="0"/>
        <v>82.127960511027609</v>
      </c>
      <c r="J47" s="130">
        <f t="shared" si="5"/>
        <v>0.32923647649708232</v>
      </c>
      <c r="K47" s="136"/>
      <c r="L47" s="190"/>
      <c r="M47" s="190"/>
      <c r="N47" s="191"/>
      <c r="O47" s="192"/>
      <c r="P47" s="129" t="s">
        <v>991</v>
      </c>
      <c r="Q47" s="116">
        <v>40820052</v>
      </c>
      <c r="R47" s="116">
        <v>55923489561</v>
      </c>
      <c r="S47" s="116">
        <v>497029.9</v>
      </c>
      <c r="T47" s="130">
        <f t="shared" ref="T47" si="85">Q47/S47</f>
        <v>82.127960511027609</v>
      </c>
      <c r="U47" s="85">
        <f t="shared" si="82"/>
        <v>118340541</v>
      </c>
    </row>
    <row r="48" spans="1:21" s="79" customFormat="1" ht="13.2">
      <c r="A48" s="129" t="s">
        <v>1072</v>
      </c>
      <c r="B48" s="188"/>
      <c r="C48" s="188"/>
      <c r="D48" s="190"/>
      <c r="E48" s="287"/>
      <c r="F48" s="136">
        <f>Q48/20</f>
        <v>1431067.1</v>
      </c>
      <c r="G48" s="190">
        <f t="shared" ref="G48" si="86">F48/F47-1</f>
        <v>-0.19366728636210451</v>
      </c>
      <c r="H48" s="190">
        <f t="shared" ref="H48" si="87">F48/F36-1</f>
        <v>-3.9964891407489711E-2</v>
      </c>
      <c r="I48" s="130">
        <f t="shared" si="0"/>
        <v>69.98751556580676</v>
      </c>
      <c r="J48" s="130">
        <f t="shared" si="5"/>
        <v>6.620640867458194E-2</v>
      </c>
      <c r="K48" s="136"/>
      <c r="L48" s="190"/>
      <c r="M48" s="190"/>
      <c r="N48" s="191"/>
      <c r="O48" s="192"/>
      <c r="P48" s="129" t="s">
        <v>1121</v>
      </c>
      <c r="Q48" s="116">
        <v>28621342</v>
      </c>
      <c r="R48" s="116">
        <v>39699700715</v>
      </c>
      <c r="S48" s="116">
        <v>408949.25</v>
      </c>
      <c r="T48" s="130">
        <f t="shared" ref="T48" si="88">Q48/S48</f>
        <v>69.98751556580676</v>
      </c>
      <c r="U48" s="85">
        <f t="shared" si="82"/>
        <v>109503659</v>
      </c>
    </row>
    <row r="49" spans="1:26" ht="13.2">
      <c r="A49" s="129" t="s">
        <v>1158</v>
      </c>
      <c r="B49" s="188">
        <f>SUM(F47:F49)</f>
        <v>4817485.4695652174</v>
      </c>
      <c r="C49" s="188">
        <f>AVERAGE(F47:F49)</f>
        <v>1605828.4898550725</v>
      </c>
      <c r="D49" s="190">
        <f>C49/C46-1</f>
        <v>-0.20823897585208684</v>
      </c>
      <c r="E49" s="287">
        <f>C49/C37-1</f>
        <v>4.0528117453410228E-2</v>
      </c>
      <c r="F49" s="136">
        <f>Q49/22</f>
        <v>1611633.5</v>
      </c>
      <c r="G49" s="190">
        <f t="shared" ref="G49" si="89">F49/F48-1</f>
        <v>0.12617605421856171</v>
      </c>
      <c r="H49" s="190">
        <f t="shared" ref="H49" si="90">F49/F37-1</f>
        <v>-4.4593754946329778E-2</v>
      </c>
      <c r="I49" s="130">
        <f t="shared" si="0"/>
        <v>72.418463366774574</v>
      </c>
      <c r="J49" s="130">
        <f t="shared" si="5"/>
        <v>0.10614119987872828</v>
      </c>
      <c r="K49" s="136">
        <f>R47+R48+R49</f>
        <v>144900212242</v>
      </c>
      <c r="L49" s="190">
        <f>U49/U46-1</f>
        <v>-0.15260492803227399</v>
      </c>
      <c r="M49" s="190">
        <f>K49/K37-1</f>
        <v>0.11876570792796737</v>
      </c>
      <c r="N49" s="191">
        <f>AVERAGE(T47:T49)</f>
        <v>74.844646481202986</v>
      </c>
      <c r="O49" s="192">
        <f>N49/N46-1</f>
        <v>-7.415739815769784E-2</v>
      </c>
      <c r="P49" s="129" t="s">
        <v>1158</v>
      </c>
      <c r="Q49" s="116">
        <v>35455937</v>
      </c>
      <c r="R49" s="116">
        <v>49277021966</v>
      </c>
      <c r="S49" s="116">
        <v>489598.03</v>
      </c>
      <c r="T49" s="130">
        <f t="shared" ref="T49" si="91">Q49/S49</f>
        <v>72.418463366774574</v>
      </c>
      <c r="U49" s="85">
        <f t="shared" si="82"/>
        <v>104897331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1588797</v>
      </c>
      <c r="G50" s="190">
        <f t="shared" ref="G50" si="92">F50/F49-1</f>
        <v>-1.4169784879750846E-2</v>
      </c>
      <c r="H50" s="190">
        <f t="shared" ref="H50" si="93">F50/F38-1</f>
        <v>-7.3275802986043082E-2</v>
      </c>
      <c r="I50" s="130">
        <f t="shared" ref="I50" si="94">T50</f>
        <v>75.323018136118932</v>
      </c>
      <c r="J50" s="130">
        <f t="shared" ref="J50" si="95">I50/I38-1</f>
        <v>3.8571779134374262E-2</v>
      </c>
      <c r="K50" s="136"/>
      <c r="L50" s="190"/>
      <c r="M50" s="190"/>
      <c r="N50" s="191"/>
      <c r="O50" s="192"/>
      <c r="P50" s="129" t="s">
        <v>1291</v>
      </c>
      <c r="Q50" s="116">
        <v>28598346</v>
      </c>
      <c r="R50" s="116">
        <v>40437535841</v>
      </c>
      <c r="S50" s="116">
        <v>379676.05</v>
      </c>
      <c r="T50" s="130">
        <f t="shared" ref="T50" si="96">Q50/S50</f>
        <v>75.323018136118932</v>
      </c>
      <c r="U50" s="85">
        <f t="shared" si="82"/>
        <v>92675625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1797529.85</v>
      </c>
      <c r="G51" s="190">
        <f t="shared" ref="G51:G52" si="97">F51/F50-1</f>
        <v>0.13137792304492013</v>
      </c>
      <c r="H51" s="190">
        <f t="shared" ref="H51:H52" si="98">F51/F39-1</f>
        <v>-6.1478313131034912E-2</v>
      </c>
      <c r="I51" s="130">
        <f t="shared" ref="I51:I52" si="99">T51</f>
        <v>79.016481157585631</v>
      </c>
      <c r="J51" s="130">
        <f t="shared" ref="J51:J52" si="100">I51/I39-1</f>
        <v>9.5312044580585509E-2</v>
      </c>
      <c r="K51" s="136"/>
      <c r="L51" s="190"/>
      <c r="M51" s="190"/>
      <c r="N51" s="191"/>
      <c r="O51" s="192"/>
      <c r="P51" s="129" t="s">
        <v>1402</v>
      </c>
      <c r="Q51" s="116">
        <v>35950597</v>
      </c>
      <c r="R51" s="116">
        <v>52155384543</v>
      </c>
      <c r="S51" s="116">
        <v>454975.93</v>
      </c>
      <c r="T51" s="130">
        <f t="shared" ref="T51:T52" si="101">Q51/S51</f>
        <v>79.016481157585631</v>
      </c>
      <c r="U51" s="85">
        <f t="shared" si="82"/>
        <v>100004880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5173031.4409090914</v>
      </c>
      <c r="C52" s="188">
        <f>AVERAGE(F50:F52)</f>
        <v>1724343.8136363637</v>
      </c>
      <c r="D52" s="190">
        <f>C52/C49-1</f>
        <v>7.380322651517246E-2</v>
      </c>
      <c r="E52" s="287">
        <f>C52/C40-1</f>
        <v>-5.61991280432933E-2</v>
      </c>
      <c r="F52" s="136">
        <f>Q52/22</f>
        <v>1786704.5909090908</v>
      </c>
      <c r="G52" s="190">
        <f t="shared" si="97"/>
        <v>-6.0222972602703706E-3</v>
      </c>
      <c r="H52" s="190">
        <f t="shared" si="98"/>
        <v>-3.4924114954793528E-2</v>
      </c>
      <c r="I52" s="130">
        <f t="shared" si="99"/>
        <v>84.095937935776661</v>
      </c>
      <c r="J52" s="130">
        <f t="shared" si="100"/>
        <v>0.22318853964652807</v>
      </c>
      <c r="K52" s="136">
        <f>R50+R51+R52</f>
        <v>150412346688</v>
      </c>
      <c r="L52" s="190">
        <f>U52/U49-1</f>
        <v>-9.9229121473071169E-3</v>
      </c>
      <c r="M52" s="190">
        <f>K52/K40-1</f>
        <v>-4.3617446233537693E-2</v>
      </c>
      <c r="N52" s="191">
        <f>AVERAGE(T50:T52)</f>
        <v>79.478479076493741</v>
      </c>
      <c r="O52" s="192">
        <f>N52/N49-1</f>
        <v>6.191267930505262E-2</v>
      </c>
      <c r="P52" s="129" t="s">
        <v>1403</v>
      </c>
      <c r="Q52" s="116">
        <v>39307501</v>
      </c>
      <c r="R52" s="116">
        <v>57819426304</v>
      </c>
      <c r="S52" s="116">
        <v>467412.6</v>
      </c>
      <c r="T52" s="130">
        <f t="shared" si="101"/>
        <v>84.095937935776661</v>
      </c>
      <c r="U52" s="85">
        <f t="shared" ref="U52" si="102">Q50+Q51+Q52</f>
        <v>103856444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1432042</v>
      </c>
      <c r="G53" s="190">
        <f t="shared" ref="G53" si="103">F53/F52-1</f>
        <v>-0.19850096804678574</v>
      </c>
      <c r="H53" s="190">
        <f t="shared" ref="H53" si="104">F53/F41-1</f>
        <v>-0.15313279438466243</v>
      </c>
      <c r="I53" s="130">
        <f t="shared" ref="I53" si="105">T53</f>
        <v>76.334035985903895</v>
      </c>
      <c r="J53" s="130">
        <f t="shared" ref="J53" si="106">I53/I41-1</f>
        <v>0.13064525120375636</v>
      </c>
      <c r="K53" s="136"/>
      <c r="L53" s="190"/>
      <c r="M53" s="190"/>
      <c r="N53" s="191"/>
      <c r="O53" s="192"/>
      <c r="P53" s="129" t="s">
        <v>1414</v>
      </c>
      <c r="Q53" s="116">
        <v>30072882</v>
      </c>
      <c r="R53" s="116">
        <v>43838951814</v>
      </c>
      <c r="S53" s="116">
        <v>393964.26</v>
      </c>
      <c r="T53" s="130">
        <f t="shared" ref="T53" si="107">Q53/S53</f>
        <v>76.334035985903895</v>
      </c>
      <c r="U53" s="85">
        <f t="shared" ref="U53" si="108">Q51+Q52+Q53</f>
        <v>105330980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1807156.3529411764</v>
      </c>
      <c r="G54" s="190">
        <f t="shared" ref="G54" si="109">F54/F53-1</f>
        <v>0.26194368108000776</v>
      </c>
      <c r="H54" s="190">
        <f t="shared" ref="H54" si="110">F54/F42-1</f>
        <v>-0.1484581615232391</v>
      </c>
      <c r="I54" s="130">
        <f t="shared" ref="I54" si="111">T54</f>
        <v>81.346236148353441</v>
      </c>
      <c r="J54" s="130">
        <f t="shared" ref="J54" si="112">I54/I42-1</f>
        <v>0.10937633626258458</v>
      </c>
      <c r="K54" s="136"/>
      <c r="L54" s="190"/>
      <c r="M54" s="190"/>
      <c r="N54" s="191"/>
      <c r="O54" s="192"/>
      <c r="P54" s="129" t="s">
        <v>1417</v>
      </c>
      <c r="Q54" s="116">
        <v>30721658</v>
      </c>
      <c r="R54" s="116">
        <v>44471234851</v>
      </c>
      <c r="S54" s="116">
        <v>377665.39</v>
      </c>
      <c r="T54" s="130">
        <f t="shared" ref="T54" si="113">Q54/S54</f>
        <v>81.346236148353441</v>
      </c>
      <c r="U54" s="85">
        <f t="shared" ref="U54" si="114">Q52+Q53+Q54</f>
        <v>100102041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5154566.3529411759</v>
      </c>
      <c r="C55" s="188">
        <f>AVERAGE(F53:F55)</f>
        <v>1718188.7843137253</v>
      </c>
      <c r="D55" s="190">
        <f>C55/C52-1</f>
        <v>-3.5694907674233001E-3</v>
      </c>
      <c r="E55" s="287">
        <f>C55/C43-1</f>
        <v>-0.19042710958762743</v>
      </c>
      <c r="F55" s="136">
        <f>Q55/21</f>
        <v>1915368</v>
      </c>
      <c r="G55" s="190">
        <f t="shared" ref="G55" si="115">F55/F54-1</f>
        <v>5.9879515617288659E-2</v>
      </c>
      <c r="H55" s="190">
        <f t="shared" ref="H55" si="116">F55/F43-1</f>
        <v>-0.24999737157943358</v>
      </c>
      <c r="I55" s="130">
        <f>T55</f>
        <v>80.569328119210155</v>
      </c>
      <c r="J55" s="130">
        <f t="shared" ref="J55" si="117">I55/I43-1</f>
        <v>9.2620790015184751E-2</v>
      </c>
      <c r="K55" s="136">
        <f>R53+R54+R55</f>
        <v>147339462460</v>
      </c>
      <c r="L55" s="190">
        <f>U55/U52-1</f>
        <v>-2.7337504449892358E-2</v>
      </c>
      <c r="M55" s="190">
        <f>K55/K43-1</f>
        <v>-0.1816753428872101</v>
      </c>
      <c r="N55" s="191">
        <f>AVERAGE(T53:T55)</f>
        <v>79.416533417822492</v>
      </c>
      <c r="O55" s="192">
        <f>N55/N52-1</f>
        <v>-7.7940166182133286E-4</v>
      </c>
      <c r="P55" s="129" t="s">
        <v>1418</v>
      </c>
      <c r="Q55" s="116">
        <v>40222728</v>
      </c>
      <c r="R55" s="116">
        <v>59029275795</v>
      </c>
      <c r="S55" s="116">
        <v>499231.27</v>
      </c>
      <c r="T55" s="130">
        <f t="shared" ref="T55" si="118">Q55/S55</f>
        <v>80.569328119210155</v>
      </c>
      <c r="U55" s="85">
        <f t="shared" ref="U55" si="119">Q53+Q54+Q55</f>
        <v>101017268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2188618.1363636362</v>
      </c>
      <c r="G56" s="190">
        <f t="shared" ref="G56" si="120">F56/F55-1</f>
        <v>0.14266195131360471</v>
      </c>
      <c r="H56" s="190">
        <f t="shared" ref="H56" si="121">F56/F44-1</f>
        <v>4.0678663007049476E-2</v>
      </c>
      <c r="I56" s="291">
        <f>T56</f>
        <v>75.698708831822259</v>
      </c>
      <c r="J56" s="130">
        <f t="shared" ref="J56" si="122">I56/I44-1</f>
        <v>-4.8874265357378932E-2</v>
      </c>
      <c r="K56" s="136"/>
      <c r="L56" s="190"/>
      <c r="M56" s="190"/>
      <c r="N56" s="191"/>
      <c r="O56" s="192"/>
      <c r="P56" s="129" t="s">
        <v>1420</v>
      </c>
      <c r="Q56" s="116">
        <v>48149599</v>
      </c>
      <c r="R56" s="116">
        <v>71948764502</v>
      </c>
      <c r="S56" s="116">
        <v>636068.96</v>
      </c>
      <c r="T56" s="130">
        <f t="shared" ref="T56" si="123">Q56/S56</f>
        <v>75.698708831822259</v>
      </c>
      <c r="U56" s="85">
        <f t="shared" ref="U56" si="124">Q54+Q55+Q56</f>
        <v>119093985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1382000.8333333333</v>
      </c>
      <c r="G57" s="254">
        <f t="shared" ref="G57" si="125">F57/F56-1</f>
        <v>-0.36855095442574026</v>
      </c>
      <c r="H57" s="254">
        <f t="shared" ref="H57" si="126">F57/F45-1</f>
        <v>-0.26211086071067691</v>
      </c>
      <c r="I57" s="282">
        <f>T57</f>
        <v>71.891900725945632</v>
      </c>
      <c r="J57" s="277">
        <f t="shared" ref="J57" si="127">I57/I45-1</f>
        <v>-9.3494077790931884E-2</v>
      </c>
      <c r="K57" s="204"/>
      <c r="L57" s="254"/>
      <c r="M57" s="254"/>
      <c r="N57" s="257"/>
      <c r="O57" s="258"/>
      <c r="P57" s="129" t="s">
        <v>1436</v>
      </c>
      <c r="Q57" s="116">
        <v>16584010</v>
      </c>
      <c r="R57" s="116">
        <v>24410010499</v>
      </c>
      <c r="S57" s="116">
        <v>230679.81</v>
      </c>
      <c r="T57" s="130">
        <f t="shared" ref="T57" si="128">Q57/S57</f>
        <v>71.891900725945632</v>
      </c>
      <c r="U57" s="85">
        <f t="shared" ref="U57" si="129">Q55+Q56+Q57</f>
        <v>104956337</v>
      </c>
      <c r="V57" s="79"/>
      <c r="W57" s="79"/>
      <c r="X57" s="79"/>
      <c r="Y57" s="79"/>
      <c r="Z57" s="79"/>
    </row>
    <row r="58" spans="1:26">
      <c r="B58" s="196">
        <f>SUM(F56:F58)</f>
        <v>3570618.9696969697</v>
      </c>
      <c r="C58" s="196">
        <f>AVERAGE(F56:F58)</f>
        <v>1785309.4848484849</v>
      </c>
      <c r="D58" s="197">
        <f>C58/C55-1</f>
        <v>3.9064799600335487E-2</v>
      </c>
      <c r="E58" s="233">
        <f>C58/C46-1</f>
        <v>-0.11974505678860337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165750877</v>
      </c>
      <c r="R65" s="212">
        <v>243698237461</v>
      </c>
      <c r="S65" s="213">
        <v>2137609.7000000002</v>
      </c>
      <c r="T65" s="214">
        <v>173</v>
      </c>
      <c r="U65" s="214">
        <v>497</v>
      </c>
    </row>
    <row r="66" spans="16:21" ht="18" thickBot="1">
      <c r="P66" s="180" t="s">
        <v>976</v>
      </c>
      <c r="Q66" s="181">
        <v>30072882</v>
      </c>
      <c r="R66" s="181">
        <v>43838951814</v>
      </c>
      <c r="S66" s="182">
        <v>393964.26</v>
      </c>
      <c r="T66" s="210">
        <v>84</v>
      </c>
      <c r="U66" s="210">
        <v>182</v>
      </c>
    </row>
    <row r="67" spans="16:21" ht="18" thickBot="1">
      <c r="P67" s="180" t="s">
        <v>977</v>
      </c>
      <c r="Q67" s="181">
        <v>30721658</v>
      </c>
      <c r="R67" s="181">
        <v>44471234851</v>
      </c>
      <c r="S67" s="182">
        <v>377665.39</v>
      </c>
      <c r="T67" s="210">
        <v>73</v>
      </c>
      <c r="U67" s="210">
        <v>189</v>
      </c>
    </row>
    <row r="68" spans="16:21" ht="18" thickBot="1">
      <c r="P68" s="180" t="s">
        <v>978</v>
      </c>
      <c r="Q68" s="181">
        <v>40222728</v>
      </c>
      <c r="R68" s="181">
        <v>59029275795</v>
      </c>
      <c r="S68" s="182">
        <v>499231.27</v>
      </c>
      <c r="T68" s="210">
        <v>71</v>
      </c>
      <c r="U68" s="210">
        <v>200</v>
      </c>
    </row>
    <row r="69" spans="16:21" ht="18" thickBot="1">
      <c r="P69" s="180" t="s">
        <v>979</v>
      </c>
      <c r="Q69" s="181">
        <v>48149599</v>
      </c>
      <c r="R69" s="181">
        <v>71948764502</v>
      </c>
      <c r="S69" s="182">
        <v>636068.96</v>
      </c>
      <c r="T69" s="210">
        <v>87</v>
      </c>
      <c r="U69" s="210">
        <v>253</v>
      </c>
    </row>
    <row r="70" spans="16:21" ht="18" thickBot="1">
      <c r="P70" s="180" t="s">
        <v>980</v>
      </c>
      <c r="Q70" s="181">
        <v>16584010</v>
      </c>
      <c r="R70" s="181">
        <v>24410010499</v>
      </c>
      <c r="S70" s="182">
        <v>230679.81</v>
      </c>
      <c r="T70" s="210">
        <v>63</v>
      </c>
      <c r="U70" s="210">
        <v>135</v>
      </c>
    </row>
    <row r="71" spans="16:21" ht="18" thickBot="1">
      <c r="P71" s="215" t="s">
        <v>975</v>
      </c>
      <c r="Q71" s="217"/>
      <c r="R71"/>
      <c r="S71"/>
      <c r="T71"/>
      <c r="U71"/>
    </row>
    <row r="72" spans="16:21" ht="18" thickBot="1">
      <c r="P72" s="180" t="s">
        <v>975</v>
      </c>
      <c r="Q72" s="181">
        <v>456566623</v>
      </c>
      <c r="R72" s="181">
        <v>650258047254</v>
      </c>
      <c r="S72" s="182">
        <v>5954590.6500000004</v>
      </c>
      <c r="T72" s="210">
        <v>305</v>
      </c>
      <c r="U72" s="210">
        <v>1110</v>
      </c>
    </row>
    <row r="73" spans="16:21" ht="18" thickBot="1">
      <c r="P73" s="215" t="s">
        <v>982</v>
      </c>
      <c r="Q73" s="217">
        <v>425</v>
      </c>
      <c r="R73"/>
      <c r="S73"/>
      <c r="T73"/>
      <c r="U73"/>
    </row>
  </sheetData>
  <phoneticPr fontId="1" type="noConversion"/>
  <conditionalFormatting sqref="C29:C30">
    <cfRule type="cellIs" dxfId="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170"/>
  <dimension ref="A1:Z74"/>
  <sheetViews>
    <sheetView zoomScale="90" zoomScaleNormal="90" workbookViewId="0">
      <selection activeCell="I68" sqref="I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8523499090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264</v>
      </c>
      <c r="F4" s="84" t="s">
        <v>73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32245.1</v>
      </c>
      <c r="G5" s="90"/>
      <c r="H5" s="90"/>
      <c r="I5" s="130">
        <f t="shared" ref="I5:I49" si="0">T5</f>
        <v>30.073955867107944</v>
      </c>
      <c r="J5" s="130"/>
      <c r="L5" s="80"/>
      <c r="M5" s="80"/>
      <c r="P5" s="129" t="s">
        <v>0</v>
      </c>
      <c r="Q5" s="116">
        <v>644902</v>
      </c>
      <c r="R5" s="116"/>
      <c r="S5" s="116">
        <v>21443.87</v>
      </c>
      <c r="T5" s="130">
        <f t="shared" ref="T5:T11" si="1">Q5/S5</f>
        <v>30.073955867107944</v>
      </c>
      <c r="U5" s="85"/>
    </row>
    <row r="6" spans="1:21" ht="15" hidden="1" customHeight="1">
      <c r="A6" s="129" t="s">
        <v>1</v>
      </c>
      <c r="C6" s="79"/>
      <c r="F6" s="78">
        <f>Q6/18</f>
        <v>86397.722222222219</v>
      </c>
      <c r="G6" s="90">
        <f t="shared" ref="G6:G22" si="2">F6/F5-1</f>
        <v>1.6794062422576523</v>
      </c>
      <c r="H6" s="90"/>
      <c r="I6" s="130">
        <f t="shared" si="0"/>
        <v>103.00246319611452</v>
      </c>
      <c r="J6" s="130"/>
      <c r="P6" s="129" t="s">
        <v>1</v>
      </c>
      <c r="Q6" s="116">
        <v>1555159</v>
      </c>
      <c r="R6" s="116"/>
      <c r="S6" s="116">
        <v>15098.27</v>
      </c>
      <c r="T6" s="130">
        <f t="shared" si="1"/>
        <v>103.00246319611452</v>
      </c>
      <c r="U6" s="85"/>
    </row>
    <row r="7" spans="1:21" ht="15" hidden="1" customHeight="1">
      <c r="A7" s="129" t="s">
        <v>2</v>
      </c>
      <c r="B7" s="131">
        <f>F5+F6+F7</f>
        <v>227209.8676767677</v>
      </c>
      <c r="C7" s="131">
        <f>AVERAGE(F5:F7)</f>
        <v>75736.622558922565</v>
      </c>
      <c r="F7" s="78">
        <f>Q7/22</f>
        <v>108567.04545454546</v>
      </c>
      <c r="G7" s="90">
        <f t="shared" si="2"/>
        <v>0.25659615395070112</v>
      </c>
      <c r="H7" s="90"/>
      <c r="I7" s="130">
        <f t="shared" si="0"/>
        <v>85.854847893164333</v>
      </c>
      <c r="J7" s="130"/>
      <c r="K7" s="79">
        <f>R5+R6+R7</f>
        <v>0</v>
      </c>
      <c r="N7" s="88">
        <f>AVERAGE(T5:T7)</f>
        <v>72.97708898546226</v>
      </c>
      <c r="P7" s="129" t="s">
        <v>2</v>
      </c>
      <c r="Q7" s="116">
        <v>2388475</v>
      </c>
      <c r="R7" s="116"/>
      <c r="S7" s="116">
        <v>27819.919999999998</v>
      </c>
      <c r="T7" s="130">
        <f t="shared" si="1"/>
        <v>85.854847893164333</v>
      </c>
      <c r="U7" s="85">
        <f>Q5+Q6+Q7</f>
        <v>4588536</v>
      </c>
    </row>
    <row r="8" spans="1:21" ht="15" hidden="1" customHeight="1">
      <c r="A8" s="129" t="s">
        <v>3</v>
      </c>
      <c r="C8" s="79"/>
      <c r="F8" s="78">
        <f>Q8/21</f>
        <v>56310.047619047618</v>
      </c>
      <c r="G8" s="90">
        <f t="shared" si="2"/>
        <v>-0.48133388558848322</v>
      </c>
      <c r="H8" s="90"/>
      <c r="I8" s="130">
        <f t="shared" si="0"/>
        <v>26.532051878934194</v>
      </c>
      <c r="J8" s="130"/>
      <c r="K8" s="78"/>
      <c r="P8" s="129" t="s">
        <v>3</v>
      </c>
      <c r="Q8" s="116">
        <v>1182511</v>
      </c>
      <c r="R8" s="116"/>
      <c r="S8" s="116">
        <v>44569.15</v>
      </c>
      <c r="T8" s="130">
        <f t="shared" si="1"/>
        <v>26.532051878934194</v>
      </c>
      <c r="U8" s="85"/>
    </row>
    <row r="9" spans="1:21" ht="15" hidden="1" customHeight="1">
      <c r="A9" s="129" t="s">
        <v>4</v>
      </c>
      <c r="C9" s="79"/>
      <c r="F9" s="78">
        <f>Q9/21</f>
        <v>278248.76190476189</v>
      </c>
      <c r="G9" s="90">
        <f t="shared" si="2"/>
        <v>3.9413696785907275</v>
      </c>
      <c r="H9" s="90"/>
      <c r="I9" s="130">
        <f t="shared" si="0"/>
        <v>84.130328331828522</v>
      </c>
      <c r="J9" s="130"/>
      <c r="K9" s="78"/>
      <c r="P9" s="129" t="s">
        <v>4</v>
      </c>
      <c r="Q9" s="116">
        <v>5843224</v>
      </c>
      <c r="R9" s="116"/>
      <c r="S9" s="116">
        <v>69454.429999999993</v>
      </c>
      <c r="T9" s="130">
        <f t="shared" si="1"/>
        <v>84.130328331828522</v>
      </c>
      <c r="U9" s="85"/>
    </row>
    <row r="10" spans="1:21" ht="15" hidden="1" customHeight="1">
      <c r="A10" s="129" t="s">
        <v>5</v>
      </c>
      <c r="B10" s="131">
        <f>F8+F9+F10</f>
        <v>601230.47619047621</v>
      </c>
      <c r="C10" s="131">
        <f>AVERAGE(F8:F10)</f>
        <v>200410.15873015873</v>
      </c>
      <c r="D10" s="90">
        <f>C10/C7-1</f>
        <v>1.6461459721714027</v>
      </c>
      <c r="E10" s="286"/>
      <c r="F10" s="78">
        <f>Q10/21</f>
        <v>266671.66666666669</v>
      </c>
      <c r="G10" s="90">
        <f t="shared" si="2"/>
        <v>-4.1606996411569952E-2</v>
      </c>
      <c r="H10" s="90"/>
      <c r="I10" s="130">
        <f t="shared" si="0"/>
        <v>67.658673226213139</v>
      </c>
      <c r="J10" s="130"/>
      <c r="K10" s="79">
        <f>R8+R9+R10</f>
        <v>0</v>
      </c>
      <c r="L10" s="87">
        <f>U10/U7-1</f>
        <v>1.7516053050471871</v>
      </c>
      <c r="N10" s="88">
        <f>AVERAGE(T8:T10)</f>
        <v>59.440351145658617</v>
      </c>
      <c r="O10" s="89">
        <f>N10/N7-1</f>
        <v>-0.18549298181104878</v>
      </c>
      <c r="P10" s="129" t="s">
        <v>5</v>
      </c>
      <c r="Q10" s="116">
        <v>5600105</v>
      </c>
      <c r="R10" s="116"/>
      <c r="S10" s="116">
        <v>82769.95</v>
      </c>
      <c r="T10" s="130">
        <f t="shared" si="1"/>
        <v>67.658673226213139</v>
      </c>
      <c r="U10" s="85">
        <f>Q8+Q9+Q10</f>
        <v>12625840</v>
      </c>
    </row>
    <row r="11" spans="1:21" ht="15" hidden="1" customHeight="1">
      <c r="A11" s="129" t="s">
        <v>6</v>
      </c>
      <c r="C11" s="79"/>
      <c r="F11" s="78">
        <f>Q11/21</f>
        <v>137299.14285714287</v>
      </c>
      <c r="G11" s="90">
        <f t="shared" si="2"/>
        <v>-0.48513786795069025</v>
      </c>
      <c r="H11" s="90"/>
      <c r="I11" s="130">
        <f t="shared" si="0"/>
        <v>55.610627129314175</v>
      </c>
      <c r="J11" s="130"/>
      <c r="K11" s="78"/>
      <c r="O11" s="89"/>
      <c r="P11" s="129" t="s">
        <v>6</v>
      </c>
      <c r="Q11" s="116">
        <v>2883282</v>
      </c>
      <c r="R11" s="116"/>
      <c r="S11" s="116">
        <v>51847.68</v>
      </c>
      <c r="T11" s="130">
        <f t="shared" si="1"/>
        <v>55.610627129314175</v>
      </c>
      <c r="U11" s="85"/>
    </row>
    <row r="12" spans="1:21" ht="15" hidden="1" customHeight="1">
      <c r="A12" s="129" t="s">
        <v>7</v>
      </c>
      <c r="C12" s="79"/>
      <c r="F12" s="78">
        <f>Q12/22</f>
        <v>133936.86363636365</v>
      </c>
      <c r="G12" s="90">
        <f t="shared" si="2"/>
        <v>-2.448871238968775E-2</v>
      </c>
      <c r="H12" s="90"/>
      <c r="I12" s="130">
        <f t="shared" si="0"/>
        <v>30.301819017595783</v>
      </c>
      <c r="J12" s="130"/>
      <c r="K12" s="78"/>
      <c r="O12" s="89"/>
      <c r="P12" s="129" t="s">
        <v>7</v>
      </c>
      <c r="Q12" s="116">
        <v>2946611</v>
      </c>
      <c r="R12" s="116"/>
      <c r="S12" s="116">
        <v>97242.05</v>
      </c>
      <c r="T12" s="130">
        <f>Q12/S12</f>
        <v>30.301819017595783</v>
      </c>
      <c r="U12" s="85"/>
    </row>
    <row r="13" spans="1:21" ht="15" hidden="1" customHeight="1">
      <c r="A13" s="129" t="s">
        <v>96</v>
      </c>
      <c r="B13" s="131">
        <f>F11+F12+F13</f>
        <v>446119.9564935065</v>
      </c>
      <c r="C13" s="131">
        <f>AVERAGE(F11:F13)</f>
        <v>148706.65216450216</v>
      </c>
      <c r="D13" s="90">
        <f>C13/C10-1</f>
        <v>-0.25798845174945695</v>
      </c>
      <c r="E13" s="286"/>
      <c r="F13" s="78">
        <f>Q13/20</f>
        <v>174883.95</v>
      </c>
      <c r="G13" s="90">
        <f t="shared" si="2"/>
        <v>0.3057193161907017</v>
      </c>
      <c r="H13" s="90"/>
      <c r="I13" s="130">
        <f t="shared" si="0"/>
        <v>48.038884577017804</v>
      </c>
      <c r="J13" s="130"/>
      <c r="K13" s="78">
        <f>R11+R12+R13</f>
        <v>0</v>
      </c>
      <c r="L13" s="87">
        <f>U13/U10-1</f>
        <v>-0.26123156954309579</v>
      </c>
      <c r="N13" s="88">
        <f>AVERAGE(T11:T13)</f>
        <v>44.650443574642587</v>
      </c>
      <c r="O13" s="89">
        <f>N13/N10-1</f>
        <v>-0.24881931694470227</v>
      </c>
      <c r="P13" s="129" t="s">
        <v>96</v>
      </c>
      <c r="Q13" s="116">
        <v>3497679</v>
      </c>
      <c r="R13" s="116"/>
      <c r="S13" s="116">
        <v>72809.33</v>
      </c>
      <c r="T13" s="130">
        <f>Q13/S13</f>
        <v>48.038884577017804</v>
      </c>
      <c r="U13" s="85">
        <f>Q11+Q12+Q13</f>
        <v>9327572</v>
      </c>
    </row>
    <row r="14" spans="1:21" ht="15" hidden="1" customHeight="1">
      <c r="A14" s="129" t="s">
        <v>97</v>
      </c>
      <c r="C14" s="79"/>
      <c r="F14" s="78">
        <f>Q14/20</f>
        <v>239075.55</v>
      </c>
      <c r="G14" s="90">
        <f t="shared" si="2"/>
        <v>0.36705255113462365</v>
      </c>
      <c r="H14" s="90"/>
      <c r="I14" s="130">
        <f t="shared" si="0"/>
        <v>45.974895831981208</v>
      </c>
      <c r="J14" s="130"/>
      <c r="O14" s="89"/>
      <c r="P14" s="129" t="s">
        <v>97</v>
      </c>
      <c r="Q14" s="116">
        <v>4781511</v>
      </c>
      <c r="R14" s="116"/>
      <c r="S14" s="116">
        <v>104002.65</v>
      </c>
      <c r="T14" s="130">
        <f>Q14/S14</f>
        <v>45.974895831981208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207256.27272727274</v>
      </c>
      <c r="G15" s="90">
        <f t="shared" si="2"/>
        <v>-0.13309297949007026</v>
      </c>
      <c r="H15" s="90"/>
      <c r="I15" s="130">
        <f t="shared" si="0"/>
        <v>49.523547818455718</v>
      </c>
      <c r="J15" s="130"/>
      <c r="O15" s="89"/>
      <c r="P15" s="129" t="s">
        <v>98</v>
      </c>
      <c r="Q15" s="116">
        <v>4559638</v>
      </c>
      <c r="R15" s="116"/>
      <c r="S15" s="116">
        <v>92070.1</v>
      </c>
      <c r="T15" s="130">
        <f t="shared" ref="T15:T23" si="3">Q15/S15</f>
        <v>49.523547818455718</v>
      </c>
      <c r="U15" s="85"/>
    </row>
    <row r="16" spans="1:21" ht="15" hidden="1" customHeight="1">
      <c r="A16" s="129" t="s">
        <v>99</v>
      </c>
      <c r="B16" s="131">
        <f>F14+F15+F16</f>
        <v>669316.73181818181</v>
      </c>
      <c r="C16" s="131">
        <f>AVERAGE(F14:F16)</f>
        <v>223105.57727272727</v>
      </c>
      <c r="D16" s="90">
        <f>C16/C13-1</f>
        <v>0.50030663743222181</v>
      </c>
      <c r="E16" s="286"/>
      <c r="F16" s="78">
        <f>Q16/22</f>
        <v>222984.90909090909</v>
      </c>
      <c r="G16" s="90">
        <f t="shared" si="2"/>
        <v>7.5889796514547747E-2</v>
      </c>
      <c r="H16" s="90"/>
      <c r="I16" s="130">
        <f t="shared" si="0"/>
        <v>59.755727972932938</v>
      </c>
      <c r="J16" s="130"/>
      <c r="K16" s="78">
        <f>R14+R15+R16</f>
        <v>0</v>
      </c>
      <c r="L16" s="87">
        <f>U16/U13-1</f>
        <v>0.52738751306342091</v>
      </c>
      <c r="N16" s="88">
        <f>AVERAGE(T14:T16)</f>
        <v>51.751390541123293</v>
      </c>
      <c r="O16" s="89">
        <f>N16/N13-1</f>
        <v>0.15903418640421751</v>
      </c>
      <c r="P16" s="129" t="s">
        <v>99</v>
      </c>
      <c r="Q16" s="116">
        <v>4905668</v>
      </c>
      <c r="R16" s="116"/>
      <c r="S16" s="116">
        <v>82095.360000000001</v>
      </c>
      <c r="T16" s="130">
        <f t="shared" si="3"/>
        <v>59.755727972932938</v>
      </c>
      <c r="U16" s="85">
        <f>Q14+Q15+Q16</f>
        <v>14246817</v>
      </c>
    </row>
    <row r="17" spans="1:21" ht="15" hidden="1" customHeight="1">
      <c r="A17" s="129" t="s">
        <v>100</v>
      </c>
      <c r="C17" s="79"/>
      <c r="F17" s="78">
        <f>Q17/20</f>
        <v>117161.60000000001</v>
      </c>
      <c r="G17" s="90">
        <f t="shared" si="2"/>
        <v>-0.47457610258174832</v>
      </c>
      <c r="H17" s="90">
        <f t="shared" ref="H17:H22" si="4">F17/F5-1</f>
        <v>2.6334698915494141</v>
      </c>
      <c r="I17" s="130">
        <f t="shared" si="0"/>
        <v>23.886899643668841</v>
      </c>
      <c r="J17" s="130">
        <f t="shared" ref="J17:J49" si="5">I17/I5-1</f>
        <v>-0.2057280475764055</v>
      </c>
      <c r="O17" s="89"/>
      <c r="P17" s="129" t="s">
        <v>100</v>
      </c>
      <c r="Q17" s="116">
        <v>2343232</v>
      </c>
      <c r="R17" s="116">
        <v>2965041501</v>
      </c>
      <c r="S17" s="116">
        <v>98096.95</v>
      </c>
      <c r="T17" s="130">
        <f t="shared" si="3"/>
        <v>23.886899643668841</v>
      </c>
      <c r="U17" s="78"/>
    </row>
    <row r="18" spans="1:21" ht="15" hidden="1" customHeight="1">
      <c r="A18" s="129" t="s">
        <v>106</v>
      </c>
      <c r="C18" s="79"/>
      <c r="F18" s="78">
        <f>Q18/20</f>
        <v>55313.45</v>
      </c>
      <c r="G18" s="90">
        <f t="shared" si="2"/>
        <v>-0.5278875501870921</v>
      </c>
      <c r="H18" s="90">
        <f t="shared" si="4"/>
        <v>-0.35978115420995538</v>
      </c>
      <c r="I18" s="130">
        <f t="shared" si="0"/>
        <v>27.039653077126889</v>
      </c>
      <c r="J18" s="130">
        <f t="shared" si="5"/>
        <v>-0.73748537425125493</v>
      </c>
      <c r="O18" s="89"/>
      <c r="P18" s="129" t="s">
        <v>106</v>
      </c>
      <c r="Q18" s="116">
        <v>1106269</v>
      </c>
      <c r="R18" s="116">
        <v>1379872228</v>
      </c>
      <c r="S18" s="116">
        <v>40912.839999999997</v>
      </c>
      <c r="T18" s="130">
        <f t="shared" si="3"/>
        <v>27.039653077126889</v>
      </c>
      <c r="U18" s="78"/>
    </row>
    <row r="19" spans="1:21" hidden="1">
      <c r="A19" s="129" t="s">
        <v>114</v>
      </c>
      <c r="B19" s="131">
        <f>SUM(F17:F19)</f>
        <v>231347.82272727272</v>
      </c>
      <c r="C19" s="131">
        <f>AVERAGE(F17:F19)</f>
        <v>77115.940909090903</v>
      </c>
      <c r="D19" s="90">
        <f>C19/C16-1</f>
        <v>-0.65435224949655413</v>
      </c>
      <c r="E19" s="286">
        <f>C19/C7-1</f>
        <v>1.8212039348536324E-2</v>
      </c>
      <c r="F19" s="78">
        <f>Q19/22</f>
        <v>58872.772727272728</v>
      </c>
      <c r="G19" s="90">
        <f t="shared" si="2"/>
        <v>6.4348232252241289E-2</v>
      </c>
      <c r="H19" s="90">
        <f t="shared" si="4"/>
        <v>-0.45772888558599101</v>
      </c>
      <c r="I19" s="130">
        <f t="shared" si="0"/>
        <v>20.062880787049227</v>
      </c>
      <c r="J19" s="130">
        <f t="shared" si="5"/>
        <v>-0.76631627357822607</v>
      </c>
      <c r="K19" s="78">
        <f>R17+R18+R19</f>
        <v>6037120350</v>
      </c>
      <c r="L19" s="87">
        <f>U19/U16-1</f>
        <v>-0.66696406642971551</v>
      </c>
      <c r="M19" s="87">
        <f>U19/U7-1</f>
        <v>3.403394895452494E-2</v>
      </c>
      <c r="N19" s="88">
        <f>AVERAGE(T17:T19)</f>
        <v>23.663144502614983</v>
      </c>
      <c r="O19" s="89">
        <f>N19/N16-1</f>
        <v>-0.54275345541079711</v>
      </c>
      <c r="P19" s="129" t="s">
        <v>114</v>
      </c>
      <c r="Q19" s="116">
        <v>1295201</v>
      </c>
      <c r="R19" s="116">
        <v>1692206621</v>
      </c>
      <c r="S19" s="116">
        <v>64557.08</v>
      </c>
      <c r="T19" s="130">
        <f t="shared" si="3"/>
        <v>20.062880787049227</v>
      </c>
      <c r="U19" s="85">
        <f>Q17+Q18+Q19</f>
        <v>4744702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82082.55</v>
      </c>
      <c r="G20" s="90">
        <f t="shared" si="2"/>
        <v>0.39423618419071649</v>
      </c>
      <c r="H20" s="90">
        <f t="shared" si="4"/>
        <v>0.45768923079785306</v>
      </c>
      <c r="I20" s="130">
        <f t="shared" si="0"/>
        <v>23.486225590663942</v>
      </c>
      <c r="J20" s="130">
        <f t="shared" si="5"/>
        <v>-0.11479799233652799</v>
      </c>
      <c r="O20" s="89"/>
      <c r="P20" s="129" t="s">
        <v>131</v>
      </c>
      <c r="Q20" s="116">
        <v>1641651</v>
      </c>
      <c r="R20" s="116">
        <v>2157053969</v>
      </c>
      <c r="S20" s="116">
        <v>69898.460000000006</v>
      </c>
      <c r="T20" s="130">
        <f t="shared" si="3"/>
        <v>23.486225590663942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118945.09523809524</v>
      </c>
      <c r="G21" s="90">
        <f t="shared" si="2"/>
        <v>0.44909113128302214</v>
      </c>
      <c r="H21" s="90">
        <f t="shared" si="4"/>
        <v>-0.5725224636262447</v>
      </c>
      <c r="I21" s="130">
        <f t="shared" si="0"/>
        <v>31.607869854659427</v>
      </c>
      <c r="J21" s="130">
        <f t="shared" si="5"/>
        <v>-0.62429874598859247</v>
      </c>
      <c r="O21" s="89"/>
      <c r="P21" s="129" t="s">
        <v>141</v>
      </c>
      <c r="Q21" s="116">
        <v>2497847</v>
      </c>
      <c r="R21" s="116">
        <v>3324252732</v>
      </c>
      <c r="S21" s="116">
        <v>79026.11</v>
      </c>
      <c r="T21" s="130">
        <f t="shared" si="3"/>
        <v>31.607869854659427</v>
      </c>
      <c r="U21" s="78"/>
    </row>
    <row r="22" spans="1:21" hidden="1">
      <c r="A22" s="129" t="s">
        <v>155</v>
      </c>
      <c r="B22" s="131">
        <f>SUM(F20:F22)</f>
        <v>296847.50238095241</v>
      </c>
      <c r="C22" s="131">
        <f>AVERAGE(F20:F22)</f>
        <v>98949.167460317476</v>
      </c>
      <c r="D22" s="90">
        <f>C22/C19-1</f>
        <v>0.28312209244733122</v>
      </c>
      <c r="E22" s="286">
        <f>C22/C10-1</f>
        <v>-0.50626670779924332</v>
      </c>
      <c r="F22" s="78">
        <f>Q22/21</f>
        <v>95819.857142857145</v>
      </c>
      <c r="G22" s="90">
        <f t="shared" si="2"/>
        <v>-0.19441943401657502</v>
      </c>
      <c r="H22" s="90">
        <f t="shared" si="4"/>
        <v>-0.64068227292166846</v>
      </c>
      <c r="I22" s="130">
        <f t="shared" si="0"/>
        <v>34.81927423139377</v>
      </c>
      <c r="J22" s="130">
        <f t="shared" si="5"/>
        <v>-0.4853686516290765</v>
      </c>
      <c r="K22" s="78">
        <f>R20+R21+R22</f>
        <v>8109102887</v>
      </c>
      <c r="L22" s="87">
        <f>U22/U19-1</f>
        <v>0.29654401899213068</v>
      </c>
      <c r="M22" s="87">
        <f>U22/U10-1</f>
        <v>-0.5127678633659225</v>
      </c>
      <c r="N22" s="88">
        <f>AVERAGE(T20:T22)</f>
        <v>29.971123225572381</v>
      </c>
      <c r="O22" s="89">
        <f>N22/N19-1</f>
        <v>0.26657398479987782</v>
      </c>
      <c r="P22" s="129" t="s">
        <v>155</v>
      </c>
      <c r="Q22" s="116">
        <v>2012217</v>
      </c>
      <c r="R22" s="116">
        <v>2627796186</v>
      </c>
      <c r="S22" s="116">
        <v>57790.32</v>
      </c>
      <c r="T22" s="130">
        <f t="shared" si="3"/>
        <v>34.81927423139377</v>
      </c>
      <c r="U22" s="85">
        <f>Q20+Q21+Q22</f>
        <v>6151715</v>
      </c>
    </row>
    <row r="23" spans="1:21" hidden="1">
      <c r="A23" s="129" t="s">
        <v>189</v>
      </c>
      <c r="B23" s="131"/>
      <c r="C23" s="131"/>
      <c r="F23" s="78">
        <f>Q23/21</f>
        <v>73310.095238095237</v>
      </c>
      <c r="G23" s="90">
        <f t="shared" ref="G23" si="6">F23/F22-1</f>
        <v>-0.23491750641208187</v>
      </c>
      <c r="H23" s="90">
        <f t="shared" ref="H23" si="7">F23/F11-1</f>
        <v>-0.46605569625170207</v>
      </c>
      <c r="I23" s="130">
        <f t="shared" si="0"/>
        <v>17.8374422083543</v>
      </c>
      <c r="J23" s="130">
        <f t="shared" si="5"/>
        <v>-0.67924400192653822</v>
      </c>
      <c r="O23" s="89"/>
      <c r="P23" s="129" t="s">
        <v>191</v>
      </c>
      <c r="Q23" s="116">
        <v>1539512</v>
      </c>
      <c r="R23" s="116">
        <v>1991874721</v>
      </c>
      <c r="S23" s="116">
        <v>86307.89</v>
      </c>
      <c r="T23" s="130">
        <f t="shared" si="3"/>
        <v>17.8374422083543</v>
      </c>
      <c r="U23" s="78"/>
    </row>
    <row r="24" spans="1:21" hidden="1">
      <c r="A24" s="129" t="s">
        <v>204</v>
      </c>
      <c r="B24" s="131"/>
      <c r="C24" s="131"/>
      <c r="F24" s="78">
        <f>Q24/22</f>
        <v>75576.636363636368</v>
      </c>
      <c r="G24" s="90">
        <f t="shared" ref="G24" si="8">F24/F23-1</f>
        <v>3.0917176115784484E-2</v>
      </c>
      <c r="H24" s="90">
        <f t="shared" ref="H24" si="9">F24/F12-1</f>
        <v>-0.43572938538544792</v>
      </c>
      <c r="I24" s="130">
        <f t="shared" si="0"/>
        <v>27.738450584202347</v>
      </c>
      <c r="J24" s="130">
        <f t="shared" si="5"/>
        <v>-8.45945397504001E-2</v>
      </c>
      <c r="O24" s="89"/>
      <c r="P24" s="129" t="s">
        <v>204</v>
      </c>
      <c r="Q24" s="116">
        <v>1662686</v>
      </c>
      <c r="R24" s="116">
        <v>2188783947</v>
      </c>
      <c r="S24" s="116">
        <v>59941.56</v>
      </c>
      <c r="T24" s="130">
        <f t="shared" ref="T24" si="10">Q24/S24</f>
        <v>27.738450584202347</v>
      </c>
      <c r="U24" s="78"/>
    </row>
    <row r="25" spans="1:21" s="79" customFormat="1" ht="13.2" hidden="1">
      <c r="A25" s="129" t="s">
        <v>218</v>
      </c>
      <c r="B25" s="131">
        <f>SUM(F23:F25)</f>
        <v>369251.41581225791</v>
      </c>
      <c r="C25" s="131">
        <f>AVERAGE(F23:F25)</f>
        <v>123083.80527075264</v>
      </c>
      <c r="D25" s="90">
        <f>C25/C22-1</f>
        <v>0.24390945805697761</v>
      </c>
      <c r="E25" s="286">
        <f>C25/C13-1</f>
        <v>-0.17230464488841446</v>
      </c>
      <c r="F25" s="78">
        <f>Q25/19</f>
        <v>220364.68421052632</v>
      </c>
      <c r="G25" s="90">
        <f t="shared" ref="G25" si="11">F25/F24-1</f>
        <v>1.9157778754566879</v>
      </c>
      <c r="H25" s="90">
        <f t="shared" ref="H25" si="12">F25/F13-1</f>
        <v>0.26006236827637008</v>
      </c>
      <c r="I25" s="130">
        <f t="shared" si="0"/>
        <v>92.942261831692846</v>
      </c>
      <c r="J25" s="130">
        <f t="shared" si="5"/>
        <v>0.93472980586558396</v>
      </c>
      <c r="K25" s="78">
        <f>R23+R24+R25</f>
        <v>9732922737</v>
      </c>
      <c r="L25" s="90">
        <f>U25/U22-1</f>
        <v>0.20114911045131323</v>
      </c>
      <c r="M25" s="90">
        <f>U25/U13-1</f>
        <v>-0.20781881930260093</v>
      </c>
      <c r="N25" s="88">
        <f>AVERAGE(T23:T25)</f>
        <v>46.172718208083161</v>
      </c>
      <c r="O25" s="91">
        <f>N25/N22-1</f>
        <v>0.54057350005111027</v>
      </c>
      <c r="P25" s="129" t="s">
        <v>220</v>
      </c>
      <c r="Q25" s="116">
        <v>4186929</v>
      </c>
      <c r="R25" s="116">
        <v>5552264069</v>
      </c>
      <c r="S25" s="116">
        <v>45048.71</v>
      </c>
      <c r="T25" s="130">
        <f t="shared" ref="T25" si="13">Q25/S25</f>
        <v>92.942261831692846</v>
      </c>
      <c r="U25" s="85">
        <f>Q23+Q24+Q25</f>
        <v>7389127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101534.05263157895</v>
      </c>
      <c r="G26" s="90">
        <f t="shared" ref="G26" si="14">F26/F25-1</f>
        <v>-0.53924535142583019</v>
      </c>
      <c r="H26" s="90">
        <f t="shared" ref="H26" si="15">F26/F14-1</f>
        <v>-0.57530557753990763</v>
      </c>
      <c r="I26" s="130">
        <f t="shared" si="0"/>
        <v>30.100048118960554</v>
      </c>
      <c r="J26" s="130">
        <f t="shared" si="5"/>
        <v>-0.34529382667959718</v>
      </c>
      <c r="L26" s="90"/>
      <c r="M26" s="90"/>
      <c r="P26" s="129" t="s">
        <v>312</v>
      </c>
      <c r="Q26" s="116">
        <v>1929147</v>
      </c>
      <c r="R26" s="116">
        <v>2605515896</v>
      </c>
      <c r="S26" s="116">
        <v>64091.16</v>
      </c>
      <c r="T26" s="130">
        <f t="shared" ref="T26" si="16">Q26/S26</f>
        <v>30.100048118960554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78842.181818181823</v>
      </c>
      <c r="G27" s="90">
        <f t="shared" ref="G27" si="17">F27/F26-1</f>
        <v>-0.22349025007142809</v>
      </c>
      <c r="H27" s="90">
        <f t="shared" ref="H27" si="18">F27/F15-1</f>
        <v>-0.61959085348442133</v>
      </c>
      <c r="I27" s="130">
        <f t="shared" si="0"/>
        <v>26.376229204439163</v>
      </c>
      <c r="J27" s="130">
        <f t="shared" si="5"/>
        <v>-0.46740024965235527</v>
      </c>
      <c r="L27" s="90"/>
      <c r="M27" s="90"/>
      <c r="P27" s="129" t="s">
        <v>384</v>
      </c>
      <c r="Q27" s="116">
        <v>1734528</v>
      </c>
      <c r="R27" s="116">
        <v>2299175737</v>
      </c>
      <c r="S27" s="116">
        <v>65761.03</v>
      </c>
      <c r="T27" s="130">
        <f t="shared" ref="T27" si="19">Q27/S27</f>
        <v>26.376229204439163</v>
      </c>
      <c r="U27" s="78"/>
    </row>
    <row r="28" spans="1:21" s="79" customFormat="1" ht="13.2" hidden="1">
      <c r="A28" s="123" t="s">
        <v>413</v>
      </c>
      <c r="B28" s="131">
        <f>SUM(F26:F28)</f>
        <v>552942.49760765547</v>
      </c>
      <c r="C28" s="131">
        <f>AVERAGE(F26:F28)</f>
        <v>184314.1658692185</v>
      </c>
      <c r="D28" s="90">
        <f>C28/C25-1</f>
        <v>0.4974688624858068</v>
      </c>
      <c r="E28" s="286">
        <f>C28/C16-1</f>
        <v>-0.17387020027782463</v>
      </c>
      <c r="F28" s="78">
        <f>Q28/19</f>
        <v>372566.26315789472</v>
      </c>
      <c r="G28" s="90">
        <f t="shared" ref="G28" si="20">F28/F27-1</f>
        <v>3.7254687093397649</v>
      </c>
      <c r="H28" s="90">
        <f t="shared" ref="H28" si="21">F28/F16-1</f>
        <v>0.67081379935896268</v>
      </c>
      <c r="I28" s="130">
        <f t="shared" si="0"/>
        <v>112.56152414669209</v>
      </c>
      <c r="J28" s="130">
        <f t="shared" si="5"/>
        <v>0.88369429952686995</v>
      </c>
      <c r="K28" s="78">
        <f>R26+R27+R28</f>
        <v>14100580272</v>
      </c>
      <c r="L28" s="90">
        <f>U28/U25-1</f>
        <v>0.45381639806705176</v>
      </c>
      <c r="M28" s="90">
        <f>U28/U16-1</f>
        <v>-0.24597655743033686</v>
      </c>
      <c r="N28" s="88">
        <f>AVERAGE(T26:T28)</f>
        <v>56.345933823363936</v>
      </c>
      <c r="O28" s="91">
        <f>N28/N25-1</f>
        <v>0.22032958010905701</v>
      </c>
      <c r="P28" s="129" t="s">
        <v>413</v>
      </c>
      <c r="Q28" s="116">
        <v>7078759</v>
      </c>
      <c r="R28" s="116">
        <v>9195888639</v>
      </c>
      <c r="S28" s="116">
        <v>62887.91</v>
      </c>
      <c r="T28" s="130">
        <f t="shared" ref="T28" si="22">Q28/S28</f>
        <v>112.56152414669209</v>
      </c>
      <c r="U28" s="85">
        <f>Q26+Q27+Q28</f>
        <v>10742434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74926.909090909088</v>
      </c>
      <c r="G29" s="190">
        <f t="shared" ref="G29" si="23">F29/F28-1</f>
        <v>-0.79888971036769685</v>
      </c>
      <c r="H29" s="190">
        <f t="shared" ref="H29" si="24">F29/F17-1</f>
        <v>-0.36048236716715132</v>
      </c>
      <c r="I29" s="130">
        <f t="shared" si="0"/>
        <v>26.117021428293025</v>
      </c>
      <c r="J29" s="130">
        <f t="shared" si="5"/>
        <v>9.3361709468029463E-2</v>
      </c>
      <c r="K29" s="136"/>
      <c r="L29" s="190"/>
      <c r="M29" s="190"/>
      <c r="N29" s="191"/>
      <c r="O29" s="192"/>
      <c r="P29" s="129" t="s">
        <v>432</v>
      </c>
      <c r="Q29" s="116">
        <v>1648392</v>
      </c>
      <c r="R29" s="116">
        <v>2164333827</v>
      </c>
      <c r="S29" s="116">
        <v>63115.62</v>
      </c>
      <c r="T29" s="130">
        <f t="shared" ref="T29" si="25">Q29/S29</f>
        <v>26.117021428293025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108486.36842105263</v>
      </c>
      <c r="G30" s="190">
        <f t="shared" ref="G30" si="26">F30/F29-1</f>
        <v>0.44789595270006033</v>
      </c>
      <c r="H30" s="190">
        <f t="shared" ref="H30" si="27">F30/F18-1</f>
        <v>0.96130178864367766</v>
      </c>
      <c r="I30" s="130">
        <f t="shared" si="0"/>
        <v>34.74044037503154</v>
      </c>
      <c r="J30" s="130">
        <f t="shared" si="5"/>
        <v>0.28479608358654662</v>
      </c>
      <c r="K30" s="136"/>
      <c r="L30" s="190"/>
      <c r="M30" s="190"/>
      <c r="N30" s="191"/>
      <c r="O30" s="192"/>
      <c r="P30" s="129" t="s">
        <v>466</v>
      </c>
      <c r="Q30" s="116">
        <v>2061241</v>
      </c>
      <c r="R30" s="116">
        <v>2745994397</v>
      </c>
      <c r="S30" s="116">
        <v>59332.61</v>
      </c>
      <c r="T30" s="130">
        <f t="shared" ref="T30" si="28">Q30/S30</f>
        <v>34.74044037503154</v>
      </c>
      <c r="U30" s="85"/>
    </row>
    <row r="31" spans="1:21" s="79" customFormat="1" ht="13.2" hidden="1">
      <c r="A31" s="129" t="s">
        <v>505</v>
      </c>
      <c r="B31" s="188">
        <f>SUM(F29:F31)</f>
        <v>273638.97751196171</v>
      </c>
      <c r="C31" s="188">
        <f>AVERAGE(F29:F31)</f>
        <v>91212.992503987232</v>
      </c>
      <c r="D31" s="190">
        <f>C31/C28-1</f>
        <v>-0.50512218052350844</v>
      </c>
      <c r="E31" s="287">
        <f>C31/C19-1</f>
        <v>0.18280334038217627</v>
      </c>
      <c r="F31" s="136">
        <f>Q31/20</f>
        <v>90225.7</v>
      </c>
      <c r="G31" s="190">
        <f t="shared" ref="G31" si="29">F31/F30-1</f>
        <v>-0.16832223888424491</v>
      </c>
      <c r="H31" s="190">
        <f t="shared" ref="H31" si="30">F31/F19-1</f>
        <v>0.53255394336477502</v>
      </c>
      <c r="I31" s="130">
        <f t="shared" si="0"/>
        <v>23.52223625970537</v>
      </c>
      <c r="J31" s="130">
        <f t="shared" si="5"/>
        <v>0.17242566057059894</v>
      </c>
      <c r="K31" s="136">
        <f>R29+R30+R31</f>
        <v>7304748404</v>
      </c>
      <c r="L31" s="190">
        <f>U31/U28-1</f>
        <v>-0.48669482167635381</v>
      </c>
      <c r="M31" s="190">
        <f>U31/U19-1</f>
        <v>0.16216929956823423</v>
      </c>
      <c r="N31" s="191">
        <f>AVERAGE(T29:T31)</f>
        <v>28.126566021009978</v>
      </c>
      <c r="O31" s="192">
        <f>N31/N28-1</f>
        <v>-0.50082350025145472</v>
      </c>
      <c r="P31" s="129" t="s">
        <v>505</v>
      </c>
      <c r="Q31" s="116">
        <v>1804514</v>
      </c>
      <c r="R31" s="116">
        <v>2394420180</v>
      </c>
      <c r="S31" s="116">
        <v>76715.240000000005</v>
      </c>
      <c r="T31" s="130">
        <f t="shared" ref="T31" si="31">Q31/S31</f>
        <v>23.52223625970537</v>
      </c>
      <c r="U31" s="85">
        <f>Q29+Q30+Q31</f>
        <v>5514147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75929.71428571429</v>
      </c>
      <c r="G32" s="190">
        <f t="shared" ref="G32" si="32">F32/F31-1</f>
        <v>-0.15844693600920479</v>
      </c>
      <c r="H32" s="190">
        <f t="shared" ref="H32" si="33">F32/F20-1</f>
        <v>-7.4959119986960809E-2</v>
      </c>
      <c r="I32" s="130">
        <f t="shared" si="0"/>
        <v>22.744070369907586</v>
      </c>
      <c r="J32" s="130">
        <f t="shared" si="5"/>
        <v>-3.1599595170854977E-2</v>
      </c>
      <c r="K32" s="136"/>
      <c r="L32" s="190"/>
      <c r="M32" s="190"/>
      <c r="N32" s="191"/>
      <c r="O32" s="192"/>
      <c r="P32" s="129" t="s">
        <v>562</v>
      </c>
      <c r="Q32" s="116">
        <v>1594524</v>
      </c>
      <c r="R32" s="116">
        <v>2172908696</v>
      </c>
      <c r="S32" s="116">
        <v>70107.240000000005</v>
      </c>
      <c r="T32" s="130">
        <f t="shared" ref="T32" si="34">Q32/S32</f>
        <v>22.744070369907586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195995.19047619047</v>
      </c>
      <c r="G33" s="190">
        <f t="shared" ref="G33" si="35">F33/F32-1</f>
        <v>1.5812712759419112</v>
      </c>
      <c r="H33" s="190">
        <f t="shared" ref="H33" si="36">F33/F21-1</f>
        <v>0.64777866698801012</v>
      </c>
      <c r="I33" s="130">
        <f t="shared" si="0"/>
        <v>31.066385120013841</v>
      </c>
      <c r="J33" s="130">
        <f t="shared" si="5"/>
        <v>-1.7131326379647316E-2</v>
      </c>
      <c r="K33" s="136"/>
      <c r="L33" s="190"/>
      <c r="M33" s="190"/>
      <c r="N33" s="191"/>
      <c r="O33" s="192"/>
      <c r="P33" s="129" t="s">
        <v>609</v>
      </c>
      <c r="Q33" s="116">
        <v>4115899</v>
      </c>
      <c r="R33" s="116">
        <v>5639207254</v>
      </c>
      <c r="S33" s="116">
        <v>132487.22</v>
      </c>
      <c r="T33" s="130">
        <f t="shared" ref="T33" si="37">Q33/S33</f>
        <v>31.066385120013841</v>
      </c>
      <c r="U33" s="85"/>
    </row>
    <row r="34" spans="1:21" s="79" customFormat="1" ht="13.2" hidden="1">
      <c r="A34" s="129" t="s">
        <v>652</v>
      </c>
      <c r="B34" s="188">
        <f>SUM(F32:F34)</f>
        <v>367486.16791979945</v>
      </c>
      <c r="C34" s="188">
        <f>AVERAGE(F32:F34)</f>
        <v>122495.38930659981</v>
      </c>
      <c r="D34" s="190">
        <f>C34/C31-1</f>
        <v>0.34295987823494678</v>
      </c>
      <c r="E34" s="287">
        <f>C34/C22-1</f>
        <v>0.23796280909311651</v>
      </c>
      <c r="F34" s="136">
        <f>Q34/19</f>
        <v>95561.263157894733</v>
      </c>
      <c r="G34" s="190">
        <f t="shared" ref="G34" si="38">F34/F33-1</f>
        <v>-0.51243057074146148</v>
      </c>
      <c r="H34" s="190">
        <f t="shared" ref="H34" si="39">F34/F22-1</f>
        <v>-2.6987515184548894E-3</v>
      </c>
      <c r="I34" s="130">
        <f t="shared" si="0"/>
        <v>32.343249608905587</v>
      </c>
      <c r="J34" s="130">
        <f t="shared" si="5"/>
        <v>-7.1110747628844839E-2</v>
      </c>
      <c r="K34" s="136">
        <f>R32+R33+R34</f>
        <v>10309673451</v>
      </c>
      <c r="L34" s="190">
        <f>U34/U31-1</f>
        <v>0.36486876392667811</v>
      </c>
      <c r="M34" s="190">
        <f>U34/U22-1</f>
        <v>0.22341282065245216</v>
      </c>
      <c r="N34" s="191">
        <f>AVERAGE(T32:T34)</f>
        <v>28.717901699609001</v>
      </c>
      <c r="O34" s="192">
        <f>N34/N31-1</f>
        <v>2.1024097934931207E-2</v>
      </c>
      <c r="P34" s="129" t="s">
        <v>652</v>
      </c>
      <c r="Q34" s="116">
        <v>1815664</v>
      </c>
      <c r="R34" s="116">
        <v>2497557501</v>
      </c>
      <c r="S34" s="116">
        <v>56137.34</v>
      </c>
      <c r="T34" s="130">
        <f t="shared" ref="T34" si="40">Q34/S34</f>
        <v>32.343249608905587</v>
      </c>
      <c r="U34" s="85">
        <f>Q32+Q33+Q34</f>
        <v>7526087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82507.043478260865</v>
      </c>
      <c r="G35" s="190">
        <f t="shared" ref="G35" si="41">F35/F34-1</f>
        <v>-0.13660576731875695</v>
      </c>
      <c r="H35" s="190">
        <f t="shared" ref="H35" si="42">F35/F23-1</f>
        <v>0.1254526843853625</v>
      </c>
      <c r="I35" s="130">
        <f t="shared" si="0"/>
        <v>39.189059142238669</v>
      </c>
      <c r="J35" s="130">
        <f t="shared" si="5"/>
        <v>1.1970111344710723</v>
      </c>
      <c r="K35" s="136"/>
      <c r="L35" s="190"/>
      <c r="M35" s="190"/>
      <c r="N35" s="191"/>
      <c r="O35" s="192"/>
      <c r="P35" s="129" t="s">
        <v>660</v>
      </c>
      <c r="Q35" s="116">
        <v>1897662</v>
      </c>
      <c r="R35" s="116">
        <v>2627438111</v>
      </c>
      <c r="S35" s="116">
        <v>48423.26</v>
      </c>
      <c r="T35" s="130">
        <f t="shared" ref="T35" si="43">Q35/S35</f>
        <v>39.189059142238669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217436.76190476189</v>
      </c>
      <c r="G36" s="190">
        <f t="shared" ref="G36" si="44">F36/F35-1</f>
        <v>1.6353721178004954</v>
      </c>
      <c r="H36" s="190">
        <f t="shared" ref="H36" si="45">F36/F24-1</f>
        <v>1.877036771768549</v>
      </c>
      <c r="I36" s="130">
        <f t="shared" si="0"/>
        <v>95.925726117368669</v>
      </c>
      <c r="J36" s="130">
        <f t="shared" si="5"/>
        <v>2.4582222185113851</v>
      </c>
      <c r="K36" s="136"/>
      <c r="L36" s="190"/>
      <c r="M36" s="190"/>
      <c r="N36" s="191"/>
      <c r="O36" s="192"/>
      <c r="P36" s="129" t="s">
        <v>664</v>
      </c>
      <c r="Q36" s="116">
        <v>4566172</v>
      </c>
      <c r="R36" s="116">
        <v>6192824787</v>
      </c>
      <c r="S36" s="116">
        <v>47601.120000000003</v>
      </c>
      <c r="T36" s="130">
        <f t="shared" ref="T36" si="46">Q36/S36</f>
        <v>95.925726117368669</v>
      </c>
      <c r="U36" s="85"/>
    </row>
    <row r="37" spans="1:21" s="79" customFormat="1" ht="13.2" hidden="1">
      <c r="A37" s="129" t="s">
        <v>702</v>
      </c>
      <c r="B37" s="188">
        <f>SUM(F35:F37)</f>
        <v>526996.19427191163</v>
      </c>
      <c r="C37" s="188">
        <f>AVERAGE(F35:F37)</f>
        <v>175665.3980906372</v>
      </c>
      <c r="D37" s="190">
        <f>C37/C34-1</f>
        <v>0.43405722521486534</v>
      </c>
      <c r="E37" s="287">
        <f>C37/C25-1</f>
        <v>0.42720155347991251</v>
      </c>
      <c r="F37" s="136">
        <f>Q37/18</f>
        <v>227052.38888888888</v>
      </c>
      <c r="G37" s="190">
        <f t="shared" ref="G37" si="47">F37/F36-1</f>
        <v>4.4222636963011208E-2</v>
      </c>
      <c r="H37" s="190">
        <f t="shared" ref="H37" si="48">F37/F25-1</f>
        <v>3.0348350518694778E-2</v>
      </c>
      <c r="I37" s="130">
        <f t="shared" si="0"/>
        <v>37.620549446260497</v>
      </c>
      <c r="J37" s="130">
        <f t="shared" si="5"/>
        <v>-0.59522666325479845</v>
      </c>
      <c r="K37" s="136">
        <f>R35+R36+R37</f>
        <v>14282484574</v>
      </c>
      <c r="L37" s="190">
        <f>U37/U34-1</f>
        <v>0.40189410513059443</v>
      </c>
      <c r="M37" s="190">
        <f>U37/U25-1</f>
        <v>0.42787869257085442</v>
      </c>
      <c r="N37" s="191">
        <f>AVERAGE(T35:T37)</f>
        <v>57.578444901955947</v>
      </c>
      <c r="O37" s="192">
        <f>N37/N34-1</f>
        <v>1.0049669890310922</v>
      </c>
      <c r="P37" s="129" t="s">
        <v>702</v>
      </c>
      <c r="Q37" s="116">
        <v>4086943</v>
      </c>
      <c r="R37" s="116">
        <v>5462221676</v>
      </c>
      <c r="S37" s="116">
        <v>108635.92</v>
      </c>
      <c r="T37" s="130">
        <f t="shared" ref="T37" si="49">Q37/S37</f>
        <v>37.620549446260497</v>
      </c>
      <c r="U37" s="85">
        <f>Q35+Q36+Q37</f>
        <v>10550777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210814.5</v>
      </c>
      <c r="G38" s="190">
        <f t="shared" ref="G38" si="50">F38/F37-1</f>
        <v>-7.1516045122234306E-2</v>
      </c>
      <c r="H38" s="190">
        <f t="shared" ref="H38" si="51">F38/F26-1</f>
        <v>1.0762935639430276</v>
      </c>
      <c r="I38" s="130">
        <f t="shared" si="0"/>
        <v>44.486956437329461</v>
      </c>
      <c r="J38" s="130">
        <f t="shared" si="5"/>
        <v>0.47796961192584742</v>
      </c>
      <c r="K38" s="136"/>
      <c r="L38" s="190"/>
      <c r="M38" s="190"/>
      <c r="N38" s="191"/>
      <c r="O38" s="192"/>
      <c r="P38" s="129" t="s">
        <v>728</v>
      </c>
      <c r="Q38" s="116">
        <v>4216290</v>
      </c>
      <c r="R38" s="116">
        <v>5718340420</v>
      </c>
      <c r="S38" s="116">
        <v>94775.87</v>
      </c>
      <c r="T38" s="130">
        <f t="shared" ref="T38" si="52">Q38/S38</f>
        <v>44.486956437329461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146894.95238095237</v>
      </c>
      <c r="G39" s="190">
        <f t="shared" ref="G39" si="53">F39/F38-1</f>
        <v>-0.30320280445153269</v>
      </c>
      <c r="H39" s="190">
        <f t="shared" ref="H39" si="54">F39/F27-1</f>
        <v>0.86315179252277963</v>
      </c>
      <c r="I39" s="130">
        <f t="shared" si="0"/>
        <v>46.18645120932738</v>
      </c>
      <c r="J39" s="130">
        <f t="shared" si="5"/>
        <v>0.75106346139705682</v>
      </c>
      <c r="K39" s="136"/>
      <c r="L39" s="190"/>
      <c r="M39" s="190"/>
      <c r="N39" s="191"/>
      <c r="O39" s="192"/>
      <c r="P39" s="129" t="s">
        <v>762</v>
      </c>
      <c r="Q39" s="116">
        <v>3084794</v>
      </c>
      <c r="R39" s="116">
        <v>4291846890</v>
      </c>
      <c r="S39" s="116">
        <v>66790.02</v>
      </c>
      <c r="T39" s="130">
        <f t="shared" ref="T39" si="55">Q39/S39</f>
        <v>46.18645120932738</v>
      </c>
      <c r="U39" s="85"/>
    </row>
    <row r="40" spans="1:21" s="79" customFormat="1" ht="13.2" hidden="1">
      <c r="A40" s="129" t="s">
        <v>778</v>
      </c>
      <c r="B40" s="188">
        <f>SUM(F38:F40)</f>
        <v>627956.30952380947</v>
      </c>
      <c r="C40" s="188">
        <f>AVERAGE(F38:F40)</f>
        <v>209318.76984126982</v>
      </c>
      <c r="D40" s="190">
        <f>C40/C37-1</f>
        <v>0.19157655472518642</v>
      </c>
      <c r="E40" s="287">
        <f>C40/C28-1</f>
        <v>0.13566295273144391</v>
      </c>
      <c r="F40" s="136">
        <f>Q40/21</f>
        <v>270246.85714285716</v>
      </c>
      <c r="G40" s="190">
        <f t="shared" ref="G40" si="56">F40/F39-1</f>
        <v>0.83972868204489526</v>
      </c>
      <c r="H40" s="190">
        <f t="shared" ref="H40" si="57">F40/F28-1</f>
        <v>-0.27463411514443614</v>
      </c>
      <c r="I40" s="130">
        <f t="shared" si="0"/>
        <v>120.78048693282632</v>
      </c>
      <c r="J40" s="130">
        <f t="shared" si="5"/>
        <v>7.3017515074006445E-2</v>
      </c>
      <c r="K40" s="136">
        <f>R38+R39+R40</f>
        <v>18085001204</v>
      </c>
      <c r="L40" s="190">
        <f>U40/U37-1</f>
        <v>0.22988742914384419</v>
      </c>
      <c r="M40" s="190">
        <f>U40/U28-1</f>
        <v>0.20794486612624286</v>
      </c>
      <c r="N40" s="191">
        <f>AVERAGE(T38:T40)</f>
        <v>70.484631526494397</v>
      </c>
      <c r="O40" s="192">
        <f>N40/N37-1</f>
        <v>0.22414962138201178</v>
      </c>
      <c r="P40" s="129" t="s">
        <v>778</v>
      </c>
      <c r="Q40" s="116">
        <v>5675184</v>
      </c>
      <c r="R40" s="116">
        <v>8074813894</v>
      </c>
      <c r="S40" s="116">
        <v>46987.59</v>
      </c>
      <c r="T40" s="130">
        <f t="shared" ref="T40" si="58">Q40/S40</f>
        <v>120.78048693282632</v>
      </c>
      <c r="U40" s="85">
        <f>Q38+Q39+Q40</f>
        <v>12976268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91971.444444444438</v>
      </c>
      <c r="G41" s="190">
        <f t="shared" ref="G41" si="59">F41/F40-1</f>
        <v>-0.65967617378866783</v>
      </c>
      <c r="H41" s="190">
        <f t="shared" ref="H41" si="60">F41/F29-1</f>
        <v>0.22748216308849933</v>
      </c>
      <c r="I41" s="130">
        <f t="shared" si="0"/>
        <v>31.650420396846673</v>
      </c>
      <c r="J41" s="130">
        <f t="shared" si="5"/>
        <v>0.2118694501111531</v>
      </c>
      <c r="K41" s="193"/>
      <c r="L41" s="190"/>
      <c r="M41" s="190"/>
      <c r="N41" s="193"/>
      <c r="O41" s="193"/>
      <c r="P41" s="129" t="s">
        <v>792</v>
      </c>
      <c r="Q41" s="116">
        <v>1655486</v>
      </c>
      <c r="R41" s="116">
        <v>2422988580</v>
      </c>
      <c r="S41" s="116">
        <v>52305.34</v>
      </c>
      <c r="T41" s="130">
        <f t="shared" ref="T41" si="61">Q41/S41</f>
        <v>31.650420396846673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256606.45</v>
      </c>
      <c r="G42" s="190">
        <f t="shared" ref="G42" si="62">F42/F41-1</f>
        <v>1.7900665423929896</v>
      </c>
      <c r="H42" s="190">
        <f t="shared" ref="H42" si="63">F42/F30-1</f>
        <v>1.3653335781696563</v>
      </c>
      <c r="I42" s="130">
        <f t="shared" si="0"/>
        <v>96.400222173259451</v>
      </c>
      <c r="J42" s="130">
        <f t="shared" si="5"/>
        <v>1.7748704717785815</v>
      </c>
      <c r="K42" s="193"/>
      <c r="L42" s="190"/>
      <c r="M42" s="190"/>
      <c r="N42" s="193"/>
      <c r="O42" s="193"/>
      <c r="P42" s="129" t="s">
        <v>826</v>
      </c>
      <c r="Q42" s="116">
        <v>5132129</v>
      </c>
      <c r="R42" s="116">
        <v>7437846069</v>
      </c>
      <c r="S42" s="116">
        <v>53237.73</v>
      </c>
      <c r="T42" s="130">
        <f t="shared" ref="T42" si="64">Q42/S42</f>
        <v>96.400222173259451</v>
      </c>
      <c r="U42" s="78"/>
    </row>
    <row r="43" spans="1:21" s="79" customFormat="1" ht="13.2">
      <c r="A43" s="129" t="s">
        <v>835</v>
      </c>
      <c r="B43" s="188">
        <f>SUM(F41:F43)</f>
        <v>421392.04444444447</v>
      </c>
      <c r="C43" s="188">
        <f>AVERAGE(F41:F43)</f>
        <v>140464.01481481481</v>
      </c>
      <c r="D43" s="190">
        <f>C43/C40-1</f>
        <v>-0.32894687408429168</v>
      </c>
      <c r="E43" s="287">
        <f>C43/C31-1</f>
        <v>0.53995621631068236</v>
      </c>
      <c r="F43" s="136">
        <f>Q43/20</f>
        <v>72814.149999999994</v>
      </c>
      <c r="G43" s="190">
        <f t="shared" ref="G43" si="65">F43/F42-1</f>
        <v>-0.71624193390306445</v>
      </c>
      <c r="H43" s="190">
        <f t="shared" ref="H43" si="66">F43/F31-1</f>
        <v>-0.19297772142527025</v>
      </c>
      <c r="I43" s="130">
        <f t="shared" si="0"/>
        <v>43.112183574844906</v>
      </c>
      <c r="J43" s="130">
        <f t="shared" si="5"/>
        <v>0.83282673887167702</v>
      </c>
      <c r="K43" s="136">
        <f>R41+R42+R43</f>
        <v>11972278612</v>
      </c>
      <c r="L43" s="190">
        <f>U43/U40-1</f>
        <v>-0.36469422487266756</v>
      </c>
      <c r="M43" s="190">
        <f>K43/K31-1</f>
        <v>0.63897206992702338</v>
      </c>
      <c r="N43" s="191">
        <f>AVERAGE(T41:T43)</f>
        <v>57.054275381650349</v>
      </c>
      <c r="O43" s="192">
        <f>N43/N40-1</f>
        <v>-0.19054304256092658</v>
      </c>
      <c r="P43" s="129" t="s">
        <v>835</v>
      </c>
      <c r="Q43" s="116">
        <v>1456283</v>
      </c>
      <c r="R43" s="116">
        <v>2111443963</v>
      </c>
      <c r="S43" s="116">
        <v>33778.92</v>
      </c>
      <c r="T43" s="130">
        <f t="shared" ref="T43" si="67">Q43/S43</f>
        <v>43.112183574844906</v>
      </c>
      <c r="U43" s="85">
        <f>Q41+Q42+Q43</f>
        <v>8243898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99109.272727272721</v>
      </c>
      <c r="G44" s="190">
        <f t="shared" ref="G44" si="68">F44/F43-1</f>
        <v>0.3611265492664919</v>
      </c>
      <c r="H44" s="190">
        <f t="shared" ref="H44" si="69">F44/F32-1</f>
        <v>0.30527651341260897</v>
      </c>
      <c r="I44" s="130">
        <f t="shared" si="0"/>
        <v>31.063178205781355</v>
      </c>
      <c r="J44" s="130">
        <f t="shared" si="5"/>
        <v>0.36577040523409043</v>
      </c>
      <c r="K44" s="136"/>
      <c r="L44" s="190"/>
      <c r="M44" s="190"/>
      <c r="N44" s="191"/>
      <c r="O44" s="192"/>
      <c r="P44" s="129" t="s">
        <v>839</v>
      </c>
      <c r="Q44" s="116">
        <v>2180404</v>
      </c>
      <c r="R44" s="116">
        <v>3170814539</v>
      </c>
      <c r="S44" s="116">
        <v>70192.56</v>
      </c>
      <c r="T44" s="130">
        <f t="shared" ref="T44" si="70">Q44/S44</f>
        <v>31.063178205781355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80314.25</v>
      </c>
      <c r="G45" s="190">
        <f t="shared" ref="G45" si="71">F45/F44-1</f>
        <v>-0.18963939710255528</v>
      </c>
      <c r="H45" s="190">
        <f t="shared" ref="H45" si="72">F45/F33-1</f>
        <v>-0.59022336310973622</v>
      </c>
      <c r="I45" s="130">
        <f t="shared" si="0"/>
        <v>66.169849204001778</v>
      </c>
      <c r="J45" s="130">
        <f t="shared" si="5"/>
        <v>1.129950071383532</v>
      </c>
      <c r="K45" s="136"/>
      <c r="L45" s="190"/>
      <c r="M45" s="190"/>
      <c r="N45" s="191"/>
      <c r="O45" s="192"/>
      <c r="P45" s="129" t="s">
        <v>853</v>
      </c>
      <c r="Q45" s="116">
        <v>1606285</v>
      </c>
      <c r="R45" s="116">
        <v>2255684018</v>
      </c>
      <c r="S45" s="116">
        <v>24275.18</v>
      </c>
      <c r="T45" s="130">
        <f t="shared" ref="T45" si="73">Q45/S45</f>
        <v>66.169849204001778</v>
      </c>
      <c r="U45" s="85"/>
    </row>
    <row r="46" spans="1:21" s="79" customFormat="1" ht="13.2">
      <c r="A46" s="129" t="s">
        <v>888</v>
      </c>
      <c r="B46" s="188">
        <f>SUM(F44:F46)</f>
        <v>492688.0490430622</v>
      </c>
      <c r="C46" s="188">
        <f>AVERAGE(F44:F46)</f>
        <v>164229.34968102074</v>
      </c>
      <c r="D46" s="190">
        <f>C46/C43-1</f>
        <v>0.16919162461316306</v>
      </c>
      <c r="E46" s="287">
        <f>C46/C34-1</f>
        <v>0.34069821411778145</v>
      </c>
      <c r="F46" s="136">
        <f>Q46/19</f>
        <v>313264.5263157895</v>
      </c>
      <c r="G46" s="190">
        <f t="shared" ref="G46" si="74">F46/F45-1</f>
        <v>2.9004849863603219</v>
      </c>
      <c r="H46" s="190">
        <f t="shared" ref="H46" si="75">F46/F34-1</f>
        <v>2.2781538875034153</v>
      </c>
      <c r="I46" s="130">
        <f t="shared" si="0"/>
        <v>57.507075310364876</v>
      </c>
      <c r="J46" s="130">
        <f t="shared" si="5"/>
        <v>0.77802403919643637</v>
      </c>
      <c r="K46" s="136">
        <f>R44+R45+R46</f>
        <v>13592440559</v>
      </c>
      <c r="L46" s="190">
        <f>U46/U43-1</f>
        <v>0.18132405325733036</v>
      </c>
      <c r="M46" s="190">
        <f>K46/K34-1</f>
        <v>0.31841620625545453</v>
      </c>
      <c r="N46" s="191">
        <f>AVERAGE(T44:T46)</f>
        <v>51.580034240049336</v>
      </c>
      <c r="O46" s="192">
        <f>N46/N43-1</f>
        <v>-9.5947956660258016E-2</v>
      </c>
      <c r="P46" s="129" t="s">
        <v>929</v>
      </c>
      <c r="Q46" s="116">
        <v>5952026</v>
      </c>
      <c r="R46" s="116">
        <v>8165942002</v>
      </c>
      <c r="S46" s="116">
        <v>103500.76</v>
      </c>
      <c r="T46" s="130">
        <f t="shared" ref="T46" si="76">Q46/S46</f>
        <v>57.507075310364876</v>
      </c>
      <c r="U46" s="85">
        <f t="shared" ref="U46:U51" si="77">Q44+Q45+Q46</f>
        <v>9738715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121380.21739130435</v>
      </c>
      <c r="G47" s="190">
        <f t="shared" ref="G47" si="78">F47/F46-1</f>
        <v>-0.61253124054989305</v>
      </c>
      <c r="H47" s="190">
        <f t="shared" ref="H47" si="79">F47/F35-1</f>
        <v>0.47114976218104188</v>
      </c>
      <c r="I47" s="130">
        <f t="shared" si="0"/>
        <v>54.325445759396857</v>
      </c>
      <c r="J47" s="130">
        <f t="shared" si="5"/>
        <v>0.38624011263500635</v>
      </c>
      <c r="K47" s="136"/>
      <c r="L47" s="190"/>
      <c r="M47" s="190"/>
      <c r="N47" s="191"/>
      <c r="O47" s="192"/>
      <c r="P47" s="129" t="s">
        <v>991</v>
      </c>
      <c r="Q47" s="116">
        <v>2791745</v>
      </c>
      <c r="R47" s="116">
        <v>3817179046</v>
      </c>
      <c r="S47" s="116">
        <v>51389.27</v>
      </c>
      <c r="T47" s="130">
        <f t="shared" ref="T47" si="80">Q47/S47</f>
        <v>54.325445759396857</v>
      </c>
      <c r="U47" s="85">
        <f t="shared" si="77"/>
        <v>10350056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347341.7</v>
      </c>
      <c r="G48" s="190">
        <f t="shared" ref="G48" si="81">F48/F47-1</f>
        <v>1.8616005759838381</v>
      </c>
      <c r="H48" s="190">
        <f t="shared" ref="H48" si="82">F48/F36-1</f>
        <v>0.59743778815165105</v>
      </c>
      <c r="I48" s="130">
        <f t="shared" si="0"/>
        <v>39.217379218368286</v>
      </c>
      <c r="J48" s="130">
        <f t="shared" si="5"/>
        <v>-0.59116932646009501</v>
      </c>
      <c r="K48" s="136"/>
      <c r="L48" s="190"/>
      <c r="M48" s="190"/>
      <c r="N48" s="191"/>
      <c r="O48" s="192"/>
      <c r="P48" s="129" t="s">
        <v>1070</v>
      </c>
      <c r="Q48" s="116">
        <v>6946834</v>
      </c>
      <c r="R48" s="116">
        <v>9645647540</v>
      </c>
      <c r="S48" s="116">
        <v>177136.62</v>
      </c>
      <c r="T48" s="130">
        <f t="shared" ref="T48" si="83">Q48/S48</f>
        <v>39.217379218368286</v>
      </c>
      <c r="U48" s="85">
        <f t="shared" si="77"/>
        <v>15690605</v>
      </c>
    </row>
    <row r="49" spans="1:26" ht="13.2">
      <c r="A49" s="129" t="s">
        <v>1158</v>
      </c>
      <c r="B49" s="188">
        <f>SUM(F47:F49)</f>
        <v>655497.37193675898</v>
      </c>
      <c r="C49" s="188">
        <f>AVERAGE(F47:F49)</f>
        <v>218499.12397891967</v>
      </c>
      <c r="D49" s="190">
        <f>C49/C46-1</f>
        <v>0.33045113071022914</v>
      </c>
      <c r="E49" s="287">
        <f>C49/C37-1</f>
        <v>0.24383701260382407</v>
      </c>
      <c r="F49" s="136">
        <f>Q49/22</f>
        <v>186775.45454545456</v>
      </c>
      <c r="G49" s="190">
        <f t="shared" ref="G49" si="84">F49/F48-1</f>
        <v>-0.46227172105896142</v>
      </c>
      <c r="H49" s="190">
        <f t="shared" ref="H49" si="85">F49/F37-1</f>
        <v>-0.17739048921940381</v>
      </c>
      <c r="I49" s="130">
        <f t="shared" si="0"/>
        <v>55.003078735309082</v>
      </c>
      <c r="J49" s="130">
        <f t="shared" si="5"/>
        <v>0.46204878835910823</v>
      </c>
      <c r="K49" s="136">
        <f>R47+R48+R49</f>
        <v>19173067980</v>
      </c>
      <c r="L49" s="190">
        <f>U49/U46-1</f>
        <v>0.42191644380187743</v>
      </c>
      <c r="M49" s="190">
        <f>K49/K37-1</f>
        <v>0.34241825227683953</v>
      </c>
      <c r="N49" s="191">
        <f>AVERAGE(T47:T49)</f>
        <v>49.515301237691411</v>
      </c>
      <c r="O49" s="192">
        <f>N49/N46-1</f>
        <v>-4.0029694295060425E-2</v>
      </c>
      <c r="P49" s="129" t="s">
        <v>1161</v>
      </c>
      <c r="Q49" s="116">
        <v>4109060</v>
      </c>
      <c r="R49" s="116">
        <v>5710241394</v>
      </c>
      <c r="S49" s="116">
        <v>74706</v>
      </c>
      <c r="T49" s="130">
        <f t="shared" ref="T49" si="86">Q49/S49</f>
        <v>55.003078735309082</v>
      </c>
      <c r="U49" s="85">
        <f t="shared" si="77"/>
        <v>13847639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167807.88888888888</v>
      </c>
      <c r="G50" s="190">
        <f t="shared" ref="G50" si="87">F50/F49-1</f>
        <v>-0.10155277470867907</v>
      </c>
      <c r="H50" s="190">
        <f t="shared" ref="H50" si="88">F50/F38-1</f>
        <v>-0.20400214933560601</v>
      </c>
      <c r="I50" s="130">
        <f t="shared" ref="I50" si="89">T50</f>
        <v>94.219133720061549</v>
      </c>
      <c r="J50" s="130">
        <f t="shared" ref="J50" si="90">I50/I38-1</f>
        <v>1.1179046908455468</v>
      </c>
      <c r="K50" s="136"/>
      <c r="L50" s="190"/>
      <c r="M50" s="190"/>
      <c r="N50" s="191"/>
      <c r="O50" s="192"/>
      <c r="P50" s="129" t="s">
        <v>1336</v>
      </c>
      <c r="Q50" s="116">
        <v>3020542</v>
      </c>
      <c r="R50" s="116">
        <v>4279263332</v>
      </c>
      <c r="S50" s="116">
        <v>32058.69</v>
      </c>
      <c r="T50" s="130">
        <f t="shared" ref="T50" si="91">Q50/S50</f>
        <v>94.219133720061549</v>
      </c>
      <c r="U50" s="85">
        <f t="shared" si="77"/>
        <v>14076436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554268</v>
      </c>
      <c r="G51" s="190">
        <f t="shared" ref="G51:G52" si="92">F51/F50-1</f>
        <v>2.3029913174522987</v>
      </c>
      <c r="H51" s="190">
        <f t="shared" ref="H51:H52" si="93">F51/F39-1</f>
        <v>2.77322699668114</v>
      </c>
      <c r="I51" s="130">
        <f t="shared" ref="I51:I52" si="94">T51</f>
        <v>160.77095617977105</v>
      </c>
      <c r="J51" s="130">
        <f t="shared" ref="J51:J52" si="95">I51/I39-1</f>
        <v>2.4809116520150236</v>
      </c>
      <c r="K51" s="136"/>
      <c r="L51" s="190"/>
      <c r="M51" s="190"/>
      <c r="N51" s="191"/>
      <c r="O51" s="192"/>
      <c r="P51" s="129" t="s">
        <v>1402</v>
      </c>
      <c r="Q51" s="116">
        <v>11085360</v>
      </c>
      <c r="R51" s="116">
        <v>15932097803</v>
      </c>
      <c r="S51" s="116">
        <v>68951.259999999995</v>
      </c>
      <c r="T51" s="130">
        <f t="shared" ref="T51:T52" si="96">Q51/S51</f>
        <v>160.77095617977105</v>
      </c>
      <c r="U51" s="85">
        <f t="shared" si="77"/>
        <v>18214962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889194.43434343429</v>
      </c>
      <c r="C52" s="188">
        <f>AVERAGE(F50:F52)</f>
        <v>296398.14478114474</v>
      </c>
      <c r="D52" s="190">
        <f>C52/C49-1</f>
        <v>0.35651868704856038</v>
      </c>
      <c r="E52" s="287">
        <f>C52/C40-1</f>
        <v>0.41601321757197773</v>
      </c>
      <c r="F52" s="136">
        <f>Q52/22</f>
        <v>167118.54545454544</v>
      </c>
      <c r="G52" s="190">
        <f t="shared" si="92"/>
        <v>-0.69848783358493471</v>
      </c>
      <c r="H52" s="190">
        <f t="shared" si="93"/>
        <v>-0.38160781138629973</v>
      </c>
      <c r="I52" s="130">
        <f t="shared" si="94"/>
        <v>99.980148683640181</v>
      </c>
      <c r="J52" s="130">
        <f t="shared" si="95"/>
        <v>-0.17221604894468201</v>
      </c>
      <c r="K52" s="136">
        <f>R50+R51+R52</f>
        <v>25621267188</v>
      </c>
      <c r="L52" s="190">
        <f>U52/U49-1</f>
        <v>0.28415464903439491</v>
      </c>
      <c r="M52" s="190">
        <f>K52/K40-1</f>
        <v>0.41671360145296243</v>
      </c>
      <c r="N52" s="191">
        <f>AVERAGE(T50:T52)</f>
        <v>118.32341286115759</v>
      </c>
      <c r="O52" s="192">
        <f>N52/N49-1</f>
        <v>1.3896333033128947</v>
      </c>
      <c r="P52" s="129" t="s">
        <v>1403</v>
      </c>
      <c r="Q52" s="116">
        <v>3676608</v>
      </c>
      <c r="R52" s="116">
        <v>5409906053</v>
      </c>
      <c r="S52" s="116">
        <v>36773.379999999997</v>
      </c>
      <c r="T52" s="130">
        <f t="shared" si="96"/>
        <v>99.980148683640181</v>
      </c>
      <c r="U52" s="85">
        <f t="shared" ref="U52" si="97">Q50+Q51+Q52</f>
        <v>17782510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74019.761904761908</v>
      </c>
      <c r="G53" s="190">
        <f t="shared" ref="G53" si="98">F53/F52-1</f>
        <v>-0.55708229925388775</v>
      </c>
      <c r="H53" s="190">
        <f t="shared" ref="H53" si="99">F53/F41-1</f>
        <v>-0.19518756770778223</v>
      </c>
      <c r="I53" s="130">
        <f t="shared" ref="I53" si="100">T53</f>
        <v>54.230602036209667</v>
      </c>
      <c r="J53" s="130">
        <f t="shared" ref="J53" si="101">I53/I41-1</f>
        <v>0.71342438287526355</v>
      </c>
      <c r="K53" s="136"/>
      <c r="L53" s="190"/>
      <c r="M53" s="190"/>
      <c r="N53" s="191"/>
      <c r="O53" s="192"/>
      <c r="P53" s="129" t="s">
        <v>1414</v>
      </c>
      <c r="Q53" s="116">
        <v>1554415</v>
      </c>
      <c r="R53" s="116">
        <v>2272279130</v>
      </c>
      <c r="S53" s="116">
        <v>28663.06</v>
      </c>
      <c r="T53" s="130">
        <f t="shared" ref="T53" si="102">Q53/S53</f>
        <v>54.230602036209667</v>
      </c>
      <c r="U53" s="85">
        <f t="shared" ref="U53" si="103">Q51+Q52+Q53</f>
        <v>16316383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96528.588235294112</v>
      </c>
      <c r="G54" s="190">
        <f t="shared" ref="G54" si="104">F54/F53-1</f>
        <v>0.30409212014885112</v>
      </c>
      <c r="H54" s="190">
        <f t="shared" ref="H54" si="105">F54/F42-1</f>
        <v>-0.62382633704143409</v>
      </c>
      <c r="I54" s="130">
        <f t="shared" ref="I54" si="106">T54</f>
        <v>24.074167259234635</v>
      </c>
      <c r="J54" s="130">
        <f t="shared" ref="J54" si="107">I54/I42-1</f>
        <v>-0.75026855004580484</v>
      </c>
      <c r="K54" s="136"/>
      <c r="L54" s="190"/>
      <c r="M54" s="190"/>
      <c r="N54" s="191"/>
      <c r="O54" s="192"/>
      <c r="P54" s="129" t="s">
        <v>1417</v>
      </c>
      <c r="Q54" s="116">
        <v>1640986</v>
      </c>
      <c r="R54" s="116">
        <v>2376794970</v>
      </c>
      <c r="S54" s="116">
        <v>68163.77</v>
      </c>
      <c r="T54" s="130">
        <f t="shared" ref="T54" si="108">Q54/S54</f>
        <v>24.074167259234635</v>
      </c>
      <c r="U54" s="85">
        <f t="shared" ref="U54" si="109">Q52+Q53+Q54</f>
        <v>6872009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340092.54061624652</v>
      </c>
      <c r="C55" s="188">
        <f>AVERAGE(F53:F55)</f>
        <v>113364.18020541551</v>
      </c>
      <c r="D55" s="190">
        <f>C55/C52-1</f>
        <v>-0.61752736242960737</v>
      </c>
      <c r="E55" s="287">
        <f>C55/C43-1</f>
        <v>-0.19293079900305588</v>
      </c>
      <c r="F55" s="136">
        <f>Q55/21</f>
        <v>169544.19047619047</v>
      </c>
      <c r="G55" s="190">
        <f t="shared" ref="G55" si="110">F55/F54-1</f>
        <v>0.75641427659665483</v>
      </c>
      <c r="H55" s="190">
        <f t="shared" ref="H55" si="111">F55/F43-1</f>
        <v>1.3284511386343243</v>
      </c>
      <c r="I55" s="130">
        <f>T55</f>
        <v>93.63965951873422</v>
      </c>
      <c r="J55" s="130">
        <f t="shared" ref="J55" si="112">I55/I43-1</f>
        <v>1.171999925639839</v>
      </c>
      <c r="K55" s="136">
        <f>R53+R54+R55</f>
        <v>9855290067</v>
      </c>
      <c r="L55" s="190">
        <f>U55/U52-1</f>
        <v>-0.62008574717517373</v>
      </c>
      <c r="M55" s="190">
        <f>K55/K43-1</f>
        <v>-0.17682419642975145</v>
      </c>
      <c r="N55" s="191">
        <f>AVERAGE(T53:T55)</f>
        <v>57.314809604726179</v>
      </c>
      <c r="O55" s="192">
        <f>N55/N52-1</f>
        <v>-0.51560888738072319</v>
      </c>
      <c r="P55" s="129" t="s">
        <v>1418</v>
      </c>
      <c r="Q55" s="116">
        <v>3560428</v>
      </c>
      <c r="R55" s="116">
        <v>5206215967</v>
      </c>
      <c r="S55" s="116">
        <v>38022.65</v>
      </c>
      <c r="T55" s="130">
        <f t="shared" ref="T55" si="113">Q55/S55</f>
        <v>93.63965951873422</v>
      </c>
      <c r="U55" s="85">
        <f t="shared" ref="U55" si="114">Q53+Q54+Q55</f>
        <v>6755829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86633.454545454544</v>
      </c>
      <c r="G56" s="190">
        <f t="shared" ref="G56" si="115">F56/F55-1</f>
        <v>-0.489021391401667</v>
      </c>
      <c r="H56" s="190">
        <f t="shared" ref="H56" si="116">F56/F44-1</f>
        <v>-0.125879424180106</v>
      </c>
      <c r="I56" s="291">
        <f>T56</f>
        <v>46.876415747266151</v>
      </c>
      <c r="J56" s="130">
        <f t="shared" ref="J56" si="117">I56/I44-1</f>
        <v>0.50906695498858201</v>
      </c>
      <c r="K56" s="136"/>
      <c r="L56" s="190"/>
      <c r="M56" s="190"/>
      <c r="N56" s="191"/>
      <c r="O56" s="192"/>
      <c r="P56" s="129" t="s">
        <v>1420</v>
      </c>
      <c r="Q56" s="116">
        <v>1905936</v>
      </c>
      <c r="R56" s="116">
        <v>2842736754</v>
      </c>
      <c r="S56" s="116">
        <v>40658.74</v>
      </c>
      <c r="T56" s="130">
        <f t="shared" ref="T56" si="118">Q56/S56</f>
        <v>46.876415747266151</v>
      </c>
      <c r="U56" s="85">
        <f t="shared" ref="U56" si="119">Q54+Q55+Q56</f>
        <v>7107350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136220.16666666666</v>
      </c>
      <c r="G57" s="254">
        <f t="shared" ref="G57" si="120">F57/F56-1</f>
        <v>0.57237371384278712</v>
      </c>
      <c r="H57" s="254">
        <f t="shared" ref="H57" si="121">F57/F45-1</f>
        <v>0.6960896312505771</v>
      </c>
      <c r="I57" s="282">
        <f>T57</f>
        <v>61.207783590774362</v>
      </c>
      <c r="J57" s="277">
        <f t="shared" ref="J57" si="122">I57/I45-1</f>
        <v>-7.4989828039797368E-2</v>
      </c>
      <c r="K57" s="204"/>
      <c r="L57" s="254"/>
      <c r="M57" s="254"/>
      <c r="N57" s="257"/>
      <c r="O57" s="258"/>
      <c r="P57" s="129" t="s">
        <v>1436</v>
      </c>
      <c r="Q57" s="116">
        <v>1634642</v>
      </c>
      <c r="R57" s="116">
        <v>2409511560</v>
      </c>
      <c r="S57" s="116">
        <v>26706.44</v>
      </c>
      <c r="T57" s="130">
        <f t="shared" ref="T57" si="123">Q57/S57</f>
        <v>61.207783590774362</v>
      </c>
      <c r="U57" s="85">
        <f t="shared" ref="U57" si="124">Q55+Q56+Q57</f>
        <v>7101006</v>
      </c>
      <c r="V57" s="79"/>
      <c r="W57" s="79"/>
      <c r="X57" s="79"/>
      <c r="Y57" s="79"/>
      <c r="Z57" s="79"/>
    </row>
    <row r="58" spans="1:26">
      <c r="B58" s="196">
        <f>SUM(F56:F58)</f>
        <v>222853.62121212122</v>
      </c>
      <c r="C58" s="196">
        <f>AVERAGE(F56:F58)</f>
        <v>111426.81060606061</v>
      </c>
      <c r="D58" s="197">
        <f>C58/C55-1</f>
        <v>-1.7089786172708177E-2</v>
      </c>
      <c r="E58" s="233">
        <f>C58/C46-1</f>
        <v>-0.32151706852348505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10296407</v>
      </c>
      <c r="R66" s="212">
        <v>15107538381</v>
      </c>
      <c r="S66" s="213">
        <v>202214.68</v>
      </c>
      <c r="T66" s="214">
        <v>154</v>
      </c>
      <c r="U66" s="214">
        <v>912</v>
      </c>
    </row>
    <row r="67" spans="16:21" ht="18" thickBot="1">
      <c r="P67" s="180" t="s">
        <v>976</v>
      </c>
      <c r="Q67" s="181">
        <v>1554415</v>
      </c>
      <c r="R67" s="181">
        <v>2272279130</v>
      </c>
      <c r="S67" s="182">
        <v>28663.06</v>
      </c>
      <c r="T67" s="210">
        <v>66</v>
      </c>
      <c r="U67" s="210">
        <v>263</v>
      </c>
    </row>
    <row r="68" spans="16:21" ht="18" thickBot="1">
      <c r="P68" s="180" t="s">
        <v>977</v>
      </c>
      <c r="Q68" s="181">
        <v>1640986</v>
      </c>
      <c r="R68" s="181">
        <v>2376794970</v>
      </c>
      <c r="S68" s="182">
        <v>68163.77</v>
      </c>
      <c r="T68" s="210">
        <v>66</v>
      </c>
      <c r="U68" s="210">
        <v>216</v>
      </c>
    </row>
    <row r="69" spans="16:21" ht="18" thickBot="1">
      <c r="P69" s="180" t="s">
        <v>978</v>
      </c>
      <c r="Q69" s="181">
        <v>3560428</v>
      </c>
      <c r="R69" s="181">
        <v>5206215967</v>
      </c>
      <c r="S69" s="182">
        <v>38022.65</v>
      </c>
      <c r="T69" s="210">
        <v>85</v>
      </c>
      <c r="U69" s="210">
        <v>382</v>
      </c>
    </row>
    <row r="70" spans="16:21" ht="18" thickBot="1">
      <c r="P70" s="180" t="s">
        <v>979</v>
      </c>
      <c r="Q70" s="181">
        <v>1905936</v>
      </c>
      <c r="R70" s="181">
        <v>2842736754</v>
      </c>
      <c r="S70" s="182">
        <v>40658.74</v>
      </c>
      <c r="T70" s="210">
        <v>73</v>
      </c>
      <c r="U70" s="210">
        <v>369</v>
      </c>
    </row>
    <row r="71" spans="16:21" ht="18" thickBot="1">
      <c r="P71" s="180" t="s">
        <v>980</v>
      </c>
      <c r="Q71" s="181">
        <v>1634642</v>
      </c>
      <c r="R71" s="181">
        <v>2409511560</v>
      </c>
      <c r="S71" s="182">
        <v>26706.44</v>
      </c>
      <c r="T71" s="210">
        <v>53</v>
      </c>
      <c r="U71" s="210">
        <v>141</v>
      </c>
    </row>
    <row r="72" spans="16:21" ht="18" thickBot="1">
      <c r="P72" s="180" t="s">
        <v>975</v>
      </c>
      <c r="Q72" s="181">
        <v>42203940</v>
      </c>
      <c r="R72" s="181">
        <v>59750954859</v>
      </c>
      <c r="S72" s="182">
        <v>778305.77</v>
      </c>
      <c r="T72" s="210">
        <v>274</v>
      </c>
      <c r="U72" s="210">
        <v>1853</v>
      </c>
    </row>
    <row r="73" spans="16:21" ht="18" thickBot="1">
      <c r="P73" s="180" t="s">
        <v>982</v>
      </c>
      <c r="Q73" s="181">
        <v>36572359</v>
      </c>
      <c r="R73" s="181">
        <v>49989077176</v>
      </c>
      <c r="S73" s="182">
        <v>871108.85</v>
      </c>
      <c r="T73" s="210">
        <v>234</v>
      </c>
      <c r="U73" s="210">
        <v>561</v>
      </c>
    </row>
    <row r="74" spans="16:21" ht="18" thickBot="1">
      <c r="P74" s="215" t="s">
        <v>1386</v>
      </c>
      <c r="Q74" s="217">
        <v>2</v>
      </c>
      <c r="R74"/>
      <c r="S74"/>
      <c r="T74"/>
      <c r="U74"/>
    </row>
  </sheetData>
  <phoneticPr fontId="1" type="noConversion"/>
  <conditionalFormatting sqref="C29:C30">
    <cfRule type="cellIs" dxfId="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169"/>
  <dimension ref="A1:Z74"/>
  <sheetViews>
    <sheetView zoomScale="90" zoomScaleNormal="90" workbookViewId="0">
      <selection activeCell="K64" sqref="K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8536410000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327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503372.05</v>
      </c>
      <c r="G5" s="90"/>
      <c r="H5" s="90"/>
      <c r="I5" s="130">
        <f t="shared" ref="I5:I49" si="0">T5</f>
        <v>49.441872027822562</v>
      </c>
      <c r="J5" s="130"/>
      <c r="L5" s="80"/>
      <c r="M5" s="80"/>
      <c r="P5" s="129" t="s">
        <v>0</v>
      </c>
      <c r="Q5" s="116">
        <v>10067441</v>
      </c>
      <c r="R5" s="116"/>
      <c r="S5" s="116">
        <v>203621.76000000001</v>
      </c>
      <c r="T5" s="130">
        <f t="shared" ref="T5:T23" si="1">Q5/S5</f>
        <v>49.441872027822562</v>
      </c>
      <c r="U5" s="85"/>
    </row>
    <row r="6" spans="1:21" ht="15" hidden="1" customHeight="1">
      <c r="A6" s="129" t="s">
        <v>1</v>
      </c>
      <c r="C6" s="79"/>
      <c r="F6" s="78">
        <f>Q6/18</f>
        <v>594599.38888888888</v>
      </c>
      <c r="G6" s="90">
        <f t="shared" ref="G6:G22" si="2">F6/F5-1</f>
        <v>0.18123242815903051</v>
      </c>
      <c r="H6" s="90"/>
      <c r="I6" s="130">
        <f t="shared" si="0"/>
        <v>46.766261001517719</v>
      </c>
      <c r="J6" s="130"/>
      <c r="P6" s="129" t="s">
        <v>1</v>
      </c>
      <c r="Q6" s="116">
        <v>10702789</v>
      </c>
      <c r="R6" s="116"/>
      <c r="S6" s="116">
        <v>228857.06</v>
      </c>
      <c r="T6" s="130">
        <f t="shared" si="1"/>
        <v>46.766261001517719</v>
      </c>
      <c r="U6" s="85"/>
    </row>
    <row r="7" spans="1:21" ht="15" hidden="1" customHeight="1">
      <c r="A7" s="129" t="s">
        <v>2</v>
      </c>
      <c r="B7" s="131">
        <f>F5+F6+F7</f>
        <v>1728553.847979798</v>
      </c>
      <c r="C7" s="131">
        <f>AVERAGE(F5:F7)</f>
        <v>576184.61599326599</v>
      </c>
      <c r="F7" s="78">
        <f>Q7/22</f>
        <v>630582.40909090906</v>
      </c>
      <c r="G7" s="90">
        <f t="shared" si="2"/>
        <v>6.0516409660730908E-2</v>
      </c>
      <c r="H7" s="90"/>
      <c r="I7" s="130">
        <f t="shared" si="0"/>
        <v>51.941444844540861</v>
      </c>
      <c r="J7" s="130"/>
      <c r="K7" s="79">
        <f>R5+R6+R7</f>
        <v>0</v>
      </c>
      <c r="N7" s="88">
        <f>AVERAGE(T5:T7)</f>
        <v>49.383192624627043</v>
      </c>
      <c r="P7" s="129" t="s">
        <v>2</v>
      </c>
      <c r="Q7" s="116">
        <v>13872813</v>
      </c>
      <c r="R7" s="116"/>
      <c r="S7" s="116">
        <v>267085.62</v>
      </c>
      <c r="T7" s="130">
        <f t="shared" si="1"/>
        <v>51.941444844540861</v>
      </c>
      <c r="U7" s="85">
        <f>Q5+Q6+Q7</f>
        <v>34643043</v>
      </c>
    </row>
    <row r="8" spans="1:21" ht="15" hidden="1" customHeight="1">
      <c r="A8" s="129" t="s">
        <v>3</v>
      </c>
      <c r="C8" s="79"/>
      <c r="F8" s="78">
        <f>Q8/21</f>
        <v>473198.42857142858</v>
      </c>
      <c r="G8" s="90">
        <f t="shared" si="2"/>
        <v>-0.24958511092368729</v>
      </c>
      <c r="H8" s="90"/>
      <c r="I8" s="130">
        <f t="shared" si="0"/>
        <v>51.552066193047906</v>
      </c>
      <c r="J8" s="130"/>
      <c r="K8" s="78"/>
      <c r="P8" s="129" t="s">
        <v>3</v>
      </c>
      <c r="Q8" s="116">
        <v>9937167</v>
      </c>
      <c r="R8" s="116"/>
      <c r="S8" s="116">
        <v>192759.82</v>
      </c>
      <c r="T8" s="130">
        <f t="shared" si="1"/>
        <v>51.552066193047906</v>
      </c>
      <c r="U8" s="85"/>
    </row>
    <row r="9" spans="1:21" ht="15" hidden="1" customHeight="1">
      <c r="A9" s="129" t="s">
        <v>4</v>
      </c>
      <c r="C9" s="79"/>
      <c r="F9" s="78">
        <f>Q9/21</f>
        <v>578922.76190476189</v>
      </c>
      <c r="G9" s="90">
        <f t="shared" si="2"/>
        <v>0.22342494596296913</v>
      </c>
      <c r="H9" s="90"/>
      <c r="I9" s="130">
        <f t="shared" si="0"/>
        <v>47.487426105679106</v>
      </c>
      <c r="J9" s="130"/>
      <c r="K9" s="78"/>
      <c r="P9" s="129" t="s">
        <v>4</v>
      </c>
      <c r="Q9" s="116">
        <v>12157378</v>
      </c>
      <c r="R9" s="116"/>
      <c r="S9" s="116">
        <v>256012.57</v>
      </c>
      <c r="T9" s="130">
        <f t="shared" si="1"/>
        <v>47.487426105679106</v>
      </c>
      <c r="U9" s="85"/>
    </row>
    <row r="10" spans="1:21" ht="15" hidden="1" customHeight="1">
      <c r="A10" s="129" t="s">
        <v>5</v>
      </c>
      <c r="B10" s="131">
        <f>F8+F9+F10</f>
        <v>1565607.9523809524</v>
      </c>
      <c r="C10" s="131">
        <f>AVERAGE(F8:F10)</f>
        <v>521869.31746031746</v>
      </c>
      <c r="D10" s="90">
        <f>C10/C7-1</f>
        <v>-9.4267179347223951E-2</v>
      </c>
      <c r="E10" s="286"/>
      <c r="F10" s="78">
        <f>Q10/21</f>
        <v>513486.76190476189</v>
      </c>
      <c r="G10" s="90">
        <f t="shared" si="2"/>
        <v>-0.11303062222791793</v>
      </c>
      <c r="H10" s="90"/>
      <c r="I10" s="130">
        <f t="shared" si="0"/>
        <v>52.288963725647982</v>
      </c>
      <c r="J10" s="130"/>
      <c r="K10" s="79">
        <f>R8+R9+R10</f>
        <v>0</v>
      </c>
      <c r="L10" s="87">
        <f>U10/U7-1</f>
        <v>-5.0956147241453364E-2</v>
      </c>
      <c r="N10" s="88">
        <f>AVERAGE(T8:T10)</f>
        <v>50.44281867479166</v>
      </c>
      <c r="O10" s="89">
        <f>N10/N7-1</f>
        <v>2.1457220439736968E-2</v>
      </c>
      <c r="P10" s="129" t="s">
        <v>5</v>
      </c>
      <c r="Q10" s="116">
        <v>10783222</v>
      </c>
      <c r="R10" s="116"/>
      <c r="S10" s="116">
        <v>206223.67</v>
      </c>
      <c r="T10" s="130">
        <f t="shared" si="1"/>
        <v>52.288963725647982</v>
      </c>
      <c r="U10" s="85">
        <f>Q8+Q9+Q10</f>
        <v>32877767</v>
      </c>
    </row>
    <row r="11" spans="1:21" ht="15" hidden="1" customHeight="1">
      <c r="A11" s="129" t="s">
        <v>6</v>
      </c>
      <c r="C11" s="79"/>
      <c r="F11" s="78">
        <f>Q11/21</f>
        <v>545006.57142857148</v>
      </c>
      <c r="G11" s="90">
        <f t="shared" si="2"/>
        <v>6.1383879512079131E-2</v>
      </c>
      <c r="H11" s="90"/>
      <c r="I11" s="130">
        <f t="shared" si="0"/>
        <v>53.489056817732525</v>
      </c>
      <c r="J11" s="130"/>
      <c r="K11" s="78"/>
      <c r="O11" s="89"/>
      <c r="P11" s="129" t="s">
        <v>6</v>
      </c>
      <c r="Q11" s="116">
        <v>11445138</v>
      </c>
      <c r="R11" s="116"/>
      <c r="S11" s="116">
        <v>213971.58</v>
      </c>
      <c r="T11" s="130">
        <f t="shared" si="1"/>
        <v>53.489056817732525</v>
      </c>
      <c r="U11" s="85"/>
    </row>
    <row r="12" spans="1:21" ht="15" hidden="1" customHeight="1">
      <c r="A12" s="129" t="s">
        <v>7</v>
      </c>
      <c r="C12" s="79"/>
      <c r="F12" s="78">
        <f>Q12/22</f>
        <v>398215.72727272729</v>
      </c>
      <c r="G12" s="90">
        <f t="shared" si="2"/>
        <v>-0.26933775086615186</v>
      </c>
      <c r="H12" s="90"/>
      <c r="I12" s="130">
        <f t="shared" si="0"/>
        <v>53.425763417201388</v>
      </c>
      <c r="J12" s="130"/>
      <c r="K12" s="78"/>
      <c r="O12" s="89"/>
      <c r="P12" s="129" t="s">
        <v>7</v>
      </c>
      <c r="Q12" s="116">
        <v>8760746</v>
      </c>
      <c r="R12" s="116"/>
      <c r="S12" s="116">
        <v>163979.79999999999</v>
      </c>
      <c r="T12" s="130">
        <f t="shared" si="1"/>
        <v>53.425763417201388</v>
      </c>
      <c r="U12" s="85"/>
    </row>
    <row r="13" spans="1:21" ht="15" hidden="1" customHeight="1">
      <c r="A13" s="129" t="s">
        <v>96</v>
      </c>
      <c r="B13" s="131">
        <f>F11+F12+F13</f>
        <v>1479478.9987012986</v>
      </c>
      <c r="C13" s="131">
        <f>AVERAGE(F11:F13)</f>
        <v>493159.66623376618</v>
      </c>
      <c r="D13" s="90">
        <f>C13/C10-1</f>
        <v>-5.5013104365412957E-2</v>
      </c>
      <c r="E13" s="286"/>
      <c r="F13" s="78">
        <f>Q13/20</f>
        <v>536256.69999999995</v>
      </c>
      <c r="G13" s="90">
        <f t="shared" si="2"/>
        <v>0.34664872146732684</v>
      </c>
      <c r="H13" s="90"/>
      <c r="I13" s="130">
        <f t="shared" si="0"/>
        <v>50.129943603700099</v>
      </c>
      <c r="J13" s="130"/>
      <c r="K13" s="78">
        <f>R11+R12+R13</f>
        <v>0</v>
      </c>
      <c r="L13" s="87">
        <f>U13/U10-1</f>
        <v>-5.9211715929491149E-2</v>
      </c>
      <c r="N13" s="88">
        <f>AVERAGE(T11:T13)</f>
        <v>52.348254612878009</v>
      </c>
      <c r="O13" s="89">
        <f>N13/N10-1</f>
        <v>3.7774176545740445E-2</v>
      </c>
      <c r="P13" s="129" t="s">
        <v>96</v>
      </c>
      <c r="Q13" s="116">
        <v>10725134</v>
      </c>
      <c r="R13" s="116"/>
      <c r="S13" s="116">
        <v>213946.66</v>
      </c>
      <c r="T13" s="130">
        <f t="shared" si="1"/>
        <v>50.129943603700099</v>
      </c>
      <c r="U13" s="85">
        <f>Q11+Q12+Q13</f>
        <v>30931018</v>
      </c>
    </row>
    <row r="14" spans="1:21" ht="15" hidden="1" customHeight="1">
      <c r="A14" s="129" t="s">
        <v>97</v>
      </c>
      <c r="C14" s="79"/>
      <c r="F14" s="78">
        <f>Q14/20</f>
        <v>496754.25</v>
      </c>
      <c r="G14" s="90">
        <f t="shared" si="2"/>
        <v>-7.366332206199E-2</v>
      </c>
      <c r="H14" s="90"/>
      <c r="I14" s="130">
        <f t="shared" si="0"/>
        <v>53.121802894185805</v>
      </c>
      <c r="J14" s="130"/>
      <c r="O14" s="89"/>
      <c r="P14" s="129" t="s">
        <v>97</v>
      </c>
      <c r="Q14" s="116">
        <v>9935085</v>
      </c>
      <c r="R14" s="116"/>
      <c r="S14" s="116">
        <v>187024.62</v>
      </c>
      <c r="T14" s="130">
        <f t="shared" si="1"/>
        <v>53.121802894185805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508285.63636363635</v>
      </c>
      <c r="G15" s="90">
        <f t="shared" si="2"/>
        <v>2.3213462921829686E-2</v>
      </c>
      <c r="H15" s="90"/>
      <c r="I15" s="130">
        <f t="shared" si="0"/>
        <v>49.497405170413131</v>
      </c>
      <c r="J15" s="130"/>
      <c r="O15" s="89"/>
      <c r="P15" s="129" t="s">
        <v>98</v>
      </c>
      <c r="Q15" s="116">
        <v>11182284</v>
      </c>
      <c r="R15" s="116"/>
      <c r="S15" s="116">
        <v>225916.57</v>
      </c>
      <c r="T15" s="130">
        <f t="shared" si="1"/>
        <v>49.497405170413131</v>
      </c>
      <c r="U15" s="78"/>
    </row>
    <row r="16" spans="1:21" ht="15" hidden="1" customHeight="1">
      <c r="A16" s="129" t="s">
        <v>99</v>
      </c>
      <c r="B16" s="131">
        <f>F14+F15+F16</f>
        <v>1526238.1136363638</v>
      </c>
      <c r="C16" s="131">
        <f>AVERAGE(F14:F16)</f>
        <v>508746.0378787879</v>
      </c>
      <c r="D16" s="90">
        <f>C16/C13-1</f>
        <v>3.1605122462779578E-2</v>
      </c>
      <c r="E16" s="286"/>
      <c r="F16" s="78">
        <f>Q16/22</f>
        <v>521198.22727272729</v>
      </c>
      <c r="G16" s="90">
        <f t="shared" si="2"/>
        <v>2.5404201860729003E-2</v>
      </c>
      <c r="H16" s="90"/>
      <c r="I16" s="130">
        <f t="shared" si="0"/>
        <v>47.702281404396487</v>
      </c>
      <c r="J16" s="130"/>
      <c r="K16" s="78">
        <f>R14+R15+R16</f>
        <v>0</v>
      </c>
      <c r="L16" s="87">
        <f>U16/U13-1</f>
        <v>5.3432189008457476E-2</v>
      </c>
      <c r="N16" s="88">
        <f>AVERAGE(T14:T16)</f>
        <v>50.107163156331808</v>
      </c>
      <c r="O16" s="89">
        <f>N16/N13-1</f>
        <v>-4.2811197300069659E-2</v>
      </c>
      <c r="P16" s="129" t="s">
        <v>99</v>
      </c>
      <c r="Q16" s="116">
        <v>11466361</v>
      </c>
      <c r="R16" s="116"/>
      <c r="S16" s="116">
        <v>240373.43</v>
      </c>
      <c r="T16" s="130">
        <f t="shared" si="1"/>
        <v>47.702281404396487</v>
      </c>
      <c r="U16" s="85">
        <f>Q14+Q15+Q16</f>
        <v>32583730</v>
      </c>
    </row>
    <row r="17" spans="1:21" ht="15" hidden="1" customHeight="1">
      <c r="A17" s="129" t="s">
        <v>100</v>
      </c>
      <c r="C17" s="79"/>
      <c r="F17" s="78">
        <f>Q17/20</f>
        <v>459298.7</v>
      </c>
      <c r="G17" s="90">
        <f t="shared" si="2"/>
        <v>-0.11876388681640149</v>
      </c>
      <c r="H17" s="90">
        <f t="shared" ref="H17:H22" si="3">F17/F5-1</f>
        <v>-8.7556212149641599E-2</v>
      </c>
      <c r="I17" s="130">
        <f t="shared" si="0"/>
        <v>47.896567731418479</v>
      </c>
      <c r="J17" s="130">
        <f t="shared" ref="J17:J49" si="4">I17/I5-1</f>
        <v>-3.1254971404288456E-2</v>
      </c>
      <c r="O17" s="89"/>
      <c r="P17" s="129" t="s">
        <v>100</v>
      </c>
      <c r="Q17" s="116">
        <v>9185974</v>
      </c>
      <c r="R17" s="116">
        <v>11525225783</v>
      </c>
      <c r="S17" s="116">
        <v>191787.73</v>
      </c>
      <c r="T17" s="130">
        <f t="shared" si="1"/>
        <v>47.896567731418479</v>
      </c>
      <c r="U17" s="78"/>
    </row>
    <row r="18" spans="1:21" ht="15" hidden="1" customHeight="1">
      <c r="A18" s="129" t="s">
        <v>106</v>
      </c>
      <c r="C18" s="79"/>
      <c r="F18" s="78">
        <f>Q18/20</f>
        <v>514414.55</v>
      </c>
      <c r="G18" s="90">
        <f t="shared" si="2"/>
        <v>0.12000001306339425</v>
      </c>
      <c r="H18" s="90">
        <f t="shared" si="3"/>
        <v>-0.1348552325940463</v>
      </c>
      <c r="I18" s="130">
        <f t="shared" si="0"/>
        <v>50.548860690484396</v>
      </c>
      <c r="J18" s="130">
        <f t="shared" si="4"/>
        <v>8.0883089816479403E-2</v>
      </c>
      <c r="O18" s="89"/>
      <c r="P18" s="129" t="s">
        <v>106</v>
      </c>
      <c r="Q18" s="116">
        <v>10288291</v>
      </c>
      <c r="R18" s="116">
        <v>12861045188</v>
      </c>
      <c r="S18" s="116">
        <v>203531.61</v>
      </c>
      <c r="T18" s="130">
        <f t="shared" si="1"/>
        <v>50.548860690484396</v>
      </c>
      <c r="U18" s="78"/>
    </row>
    <row r="19" spans="1:21" hidden="1">
      <c r="A19" s="129" t="s">
        <v>114</v>
      </c>
      <c r="B19" s="131">
        <f>SUM(F17:F19)</f>
        <v>1475089.6590909092</v>
      </c>
      <c r="C19" s="131">
        <f>AVERAGE(F17:F19)</f>
        <v>491696.55303030304</v>
      </c>
      <c r="D19" s="90">
        <f>C19/C16-1</f>
        <v>-3.3512761926505652E-2</v>
      </c>
      <c r="E19" s="286">
        <f>C19/C7-1</f>
        <v>-0.14663366674120015</v>
      </c>
      <c r="F19" s="78">
        <f>Q19/22</f>
        <v>501376.40909090912</v>
      </c>
      <c r="G19" s="90">
        <f t="shared" si="2"/>
        <v>-2.5345591233939424E-2</v>
      </c>
      <c r="H19" s="90">
        <f t="shared" si="3"/>
        <v>-0.20489946775754841</v>
      </c>
      <c r="I19" s="130">
        <f t="shared" si="0"/>
        <v>48.176868633979907</v>
      </c>
      <c r="J19" s="130">
        <f t="shared" si="4"/>
        <v>-7.2477310206295109E-2</v>
      </c>
      <c r="K19" s="78">
        <f>R17+R18+R19</f>
        <v>38808873310</v>
      </c>
      <c r="L19" s="87">
        <f>U19/U16-1</f>
        <v>-6.3810496833849317E-2</v>
      </c>
      <c r="M19" s="87">
        <f>U19/U7-1</f>
        <v>-0.11946112816937016</v>
      </c>
      <c r="N19" s="88">
        <f>AVERAGE(T17:T19)</f>
        <v>48.874099018627589</v>
      </c>
      <c r="O19" s="89">
        <f>N19/N16-1</f>
        <v>-2.4608540177321947E-2</v>
      </c>
      <c r="P19" s="129" t="s">
        <v>114</v>
      </c>
      <c r="Q19" s="116">
        <v>11030281</v>
      </c>
      <c r="R19" s="116">
        <v>14422602339</v>
      </c>
      <c r="S19" s="116">
        <v>228953.88</v>
      </c>
      <c r="T19" s="130">
        <f t="shared" si="1"/>
        <v>48.176868633979907</v>
      </c>
      <c r="U19" s="85">
        <f>Q17+Q18+Q19</f>
        <v>30504546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518884.55</v>
      </c>
      <c r="G20" s="90">
        <f t="shared" si="2"/>
        <v>3.4920152986129604E-2</v>
      </c>
      <c r="H20" s="90">
        <f t="shared" si="3"/>
        <v>9.6547491855576206E-2</v>
      </c>
      <c r="I20" s="130">
        <f t="shared" si="0"/>
        <v>54.84631107145232</v>
      </c>
      <c r="J20" s="130">
        <f t="shared" si="4"/>
        <v>6.3901316119288065E-2</v>
      </c>
      <c r="O20" s="89"/>
      <c r="P20" s="129" t="s">
        <v>131</v>
      </c>
      <c r="Q20" s="116">
        <v>10377691</v>
      </c>
      <c r="R20" s="116">
        <v>13609124627</v>
      </c>
      <c r="S20" s="116">
        <v>189214.02</v>
      </c>
      <c r="T20" s="130">
        <f t="shared" si="1"/>
        <v>54.84631107145232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521993.19047619047</v>
      </c>
      <c r="G21" s="90">
        <f t="shared" si="2"/>
        <v>5.9910060459316128E-3</v>
      </c>
      <c r="H21" s="90">
        <f t="shared" si="3"/>
        <v>-9.8337075642461746E-2</v>
      </c>
      <c r="I21" s="130">
        <f t="shared" si="0"/>
        <v>49.524529848541604</v>
      </c>
      <c r="J21" s="130">
        <f t="shared" si="4"/>
        <v>4.2897750202950613E-2</v>
      </c>
      <c r="O21" s="89"/>
      <c r="P21" s="129" t="s">
        <v>141</v>
      </c>
      <c r="Q21" s="116">
        <v>10961857</v>
      </c>
      <c r="R21" s="116">
        <v>14606262571</v>
      </c>
      <c r="S21" s="116">
        <v>221341.97</v>
      </c>
      <c r="T21" s="130">
        <f t="shared" si="1"/>
        <v>49.524529848541604</v>
      </c>
      <c r="U21" s="78"/>
    </row>
    <row r="22" spans="1:21" hidden="1">
      <c r="A22" s="129" t="s">
        <v>155</v>
      </c>
      <c r="B22" s="131">
        <f>SUM(F20:F22)</f>
        <v>1568270.169047619</v>
      </c>
      <c r="C22" s="131">
        <f>AVERAGE(F20:F22)</f>
        <v>522756.72301587299</v>
      </c>
      <c r="D22" s="90">
        <f>C22/C19-1</f>
        <v>6.3169387286015288E-2</v>
      </c>
      <c r="E22" s="286">
        <f>C22/C10-1</f>
        <v>1.700436346543821E-3</v>
      </c>
      <c r="F22" s="78">
        <f>Q22/21</f>
        <v>527392.42857142852</v>
      </c>
      <c r="G22" s="90">
        <f t="shared" si="2"/>
        <v>1.0343502930205917E-2</v>
      </c>
      <c r="H22" s="90">
        <f t="shared" si="3"/>
        <v>2.708086692456102E-2</v>
      </c>
      <c r="I22" s="130">
        <f t="shared" si="0"/>
        <v>48.625310075647484</v>
      </c>
      <c r="J22" s="130">
        <f t="shared" si="4"/>
        <v>-7.0065524136663226E-2</v>
      </c>
      <c r="K22" s="78">
        <f>R20+R21+R22</f>
        <v>42606888397</v>
      </c>
      <c r="L22" s="87">
        <f>U22/U19-1</f>
        <v>6.2621584336970626E-2</v>
      </c>
      <c r="M22" s="87">
        <f>U22/U10-1</f>
        <v>-1.4081795761859417E-2</v>
      </c>
      <c r="N22" s="88">
        <f>AVERAGE(T20:T22)</f>
        <v>50.998716998547138</v>
      </c>
      <c r="O22" s="89">
        <f>N22/N19-1</f>
        <v>4.3471245968335515E-2</v>
      </c>
      <c r="P22" s="129" t="s">
        <v>155</v>
      </c>
      <c r="Q22" s="116">
        <v>11075241</v>
      </c>
      <c r="R22" s="116">
        <v>14391501199</v>
      </c>
      <c r="S22" s="116">
        <v>227767</v>
      </c>
      <c r="T22" s="130">
        <f t="shared" si="1"/>
        <v>48.625310075647484</v>
      </c>
      <c r="U22" s="85">
        <f>Q20+Q21+Q22</f>
        <v>32414789</v>
      </c>
    </row>
    <row r="23" spans="1:21" hidden="1">
      <c r="A23" s="129" t="s">
        <v>189</v>
      </c>
      <c r="C23" s="131"/>
      <c r="F23" s="78">
        <f>Q23/21</f>
        <v>516140.33333333331</v>
      </c>
      <c r="G23" s="90">
        <f t="shared" ref="G23" si="5">F23/F22-1</f>
        <v>-2.1335337082055261E-2</v>
      </c>
      <c r="H23" s="90">
        <f t="shared" ref="H23" si="6">F23/F11-1</f>
        <v>-5.2964935853110795E-2</v>
      </c>
      <c r="I23" s="130">
        <f t="shared" si="0"/>
        <v>54.607282094769566</v>
      </c>
      <c r="J23" s="130">
        <f t="shared" si="4"/>
        <v>2.0905683210071579E-2</v>
      </c>
      <c r="O23" s="89"/>
      <c r="P23" s="129" t="s">
        <v>189</v>
      </c>
      <c r="Q23" s="116">
        <v>10838947</v>
      </c>
      <c r="R23" s="116">
        <v>13995124853</v>
      </c>
      <c r="S23" s="116">
        <v>198489.04</v>
      </c>
      <c r="T23" s="130">
        <f t="shared" si="1"/>
        <v>54.607282094769566</v>
      </c>
      <c r="U23" s="78"/>
    </row>
    <row r="24" spans="1:21" hidden="1">
      <c r="A24" s="129" t="s">
        <v>204</v>
      </c>
      <c r="C24" s="131"/>
      <c r="F24" s="78">
        <f>Q24/22</f>
        <v>494152.68181818182</v>
      </c>
      <c r="G24" s="90">
        <f t="shared" ref="G24" si="7">F24/F23-1</f>
        <v>-4.2600142044995848E-2</v>
      </c>
      <c r="H24" s="90">
        <f t="shared" ref="H24" si="8">F24/F12-1</f>
        <v>0.24091704062644892</v>
      </c>
      <c r="I24" s="130">
        <f t="shared" si="0"/>
        <v>45.516839816285682</v>
      </c>
      <c r="J24" s="130">
        <f t="shared" si="4"/>
        <v>-0.14803576205650038</v>
      </c>
      <c r="O24" s="89"/>
      <c r="P24" s="129" t="s">
        <v>204</v>
      </c>
      <c r="Q24" s="116">
        <v>10871359</v>
      </c>
      <c r="R24" s="116">
        <v>14334553150</v>
      </c>
      <c r="S24" s="116">
        <v>238842.57</v>
      </c>
      <c r="T24" s="130">
        <f t="shared" ref="T24" si="9">Q24/S24</f>
        <v>45.516839816285682</v>
      </c>
      <c r="U24" s="78"/>
    </row>
    <row r="25" spans="1:21" s="79" customFormat="1" ht="13.2" hidden="1">
      <c r="A25" s="129" t="s">
        <v>218</v>
      </c>
      <c r="B25" s="131">
        <f>SUM(F23:F25)</f>
        <v>1515673.2256778309</v>
      </c>
      <c r="C25" s="131">
        <f>AVERAGE(F23:F25)</f>
        <v>505224.40855927696</v>
      </c>
      <c r="D25" s="90">
        <f>C25/C22-1</f>
        <v>-3.3538190299015391E-2</v>
      </c>
      <c r="E25" s="286">
        <f>C25/C13-1</f>
        <v>2.4464170838723653E-2</v>
      </c>
      <c r="F25" s="78">
        <f>Q25/19</f>
        <v>505380.21052631579</v>
      </c>
      <c r="G25" s="90">
        <f t="shared" ref="G25" si="10">F25/F24-1</f>
        <v>2.2720768542272118E-2</v>
      </c>
      <c r="H25" s="90">
        <f t="shared" ref="H25" si="11">F25/F13-1</f>
        <v>-5.7577815761899465E-2</v>
      </c>
      <c r="I25" s="130">
        <f t="shared" si="0"/>
        <v>42.194943650279313</v>
      </c>
      <c r="J25" s="130">
        <f t="shared" si="4"/>
        <v>-0.15828862717561687</v>
      </c>
      <c r="K25" s="78">
        <f>R23+R24+R25</f>
        <v>41073852224</v>
      </c>
      <c r="L25" s="90">
        <f>U25/U22-1</f>
        <v>-3.4004817986012514E-2</v>
      </c>
      <c r="M25" s="90">
        <f>U25/U13-1</f>
        <v>1.2334285279585799E-2</v>
      </c>
      <c r="N25" s="88">
        <f>AVERAGE(T23:T25)</f>
        <v>47.439688520444861</v>
      </c>
      <c r="O25" s="91">
        <f>N25/N22-1</f>
        <v>-6.9786627734255924E-2</v>
      </c>
      <c r="P25" s="129" t="s">
        <v>218</v>
      </c>
      <c r="Q25" s="116">
        <v>9602224</v>
      </c>
      <c r="R25" s="116">
        <v>12744174221</v>
      </c>
      <c r="S25" s="116">
        <v>227568.12</v>
      </c>
      <c r="T25" s="130">
        <f t="shared" ref="T25" si="12">Q25/S25</f>
        <v>42.194943650279313</v>
      </c>
      <c r="U25" s="85">
        <f>Q23+Q24+Q25</f>
        <v>31312530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545664.10526315786</v>
      </c>
      <c r="G26" s="90">
        <f t="shared" ref="G26" si="13">F26/F25-1</f>
        <v>7.971007549917597E-2</v>
      </c>
      <c r="H26" s="90">
        <f t="shared" ref="H26" si="14">F26/F14-1</f>
        <v>9.8458856191281363E-2</v>
      </c>
      <c r="I26" s="130">
        <f t="shared" si="0"/>
        <v>42.818039630530471</v>
      </c>
      <c r="J26" s="130">
        <f t="shared" si="4"/>
        <v>-0.19396486380892553</v>
      </c>
      <c r="L26" s="90"/>
      <c r="M26" s="90"/>
      <c r="P26" s="129" t="s">
        <v>313</v>
      </c>
      <c r="Q26" s="116">
        <v>10367618</v>
      </c>
      <c r="R26" s="116">
        <v>13982565689</v>
      </c>
      <c r="S26" s="116">
        <v>242132.01</v>
      </c>
      <c r="T26" s="130">
        <f t="shared" ref="T26" si="15">Q26/S26</f>
        <v>42.818039630530471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467138.54545454547</v>
      </c>
      <c r="G27" s="90">
        <f t="shared" ref="G27" si="16">F27/F26-1</f>
        <v>-0.14390823778071637</v>
      </c>
      <c r="H27" s="90">
        <f t="shared" ref="H27" si="17">F27/F15-1</f>
        <v>-8.0952692669941095E-2</v>
      </c>
      <c r="I27" s="130">
        <f t="shared" si="0"/>
        <v>48.280093703439846</v>
      </c>
      <c r="J27" s="130">
        <f t="shared" si="4"/>
        <v>-2.4593440055741156E-2</v>
      </c>
      <c r="L27" s="90"/>
      <c r="M27" s="90"/>
      <c r="P27" s="129" t="s">
        <v>375</v>
      </c>
      <c r="Q27" s="116">
        <v>10277048</v>
      </c>
      <c r="R27" s="116">
        <v>13572690336</v>
      </c>
      <c r="S27" s="116">
        <v>212863.05</v>
      </c>
      <c r="T27" s="130">
        <f t="shared" ref="T27" si="18">Q27/S27</f>
        <v>48.280093703439846</v>
      </c>
      <c r="U27" s="78"/>
    </row>
    <row r="28" spans="1:21" s="79" customFormat="1" ht="13.2" hidden="1">
      <c r="A28" s="123" t="s">
        <v>413</v>
      </c>
      <c r="B28" s="131">
        <f>SUM(F26:F28)</f>
        <v>1491852.3875598088</v>
      </c>
      <c r="C28" s="131">
        <f>AVERAGE(F26:F28)</f>
        <v>497284.12918660295</v>
      </c>
      <c r="D28" s="90">
        <f>C28/C25-1</f>
        <v>-1.5716341566546443E-2</v>
      </c>
      <c r="E28" s="286">
        <f>C28/C16-1</f>
        <v>-2.2529725715359383E-2</v>
      </c>
      <c r="F28" s="78">
        <f>Q28/19</f>
        <v>479049.73684210528</v>
      </c>
      <c r="G28" s="90">
        <f t="shared" ref="G28" si="19">F28/F27-1</f>
        <v>2.549819856113511E-2</v>
      </c>
      <c r="H28" s="90">
        <f t="shared" ref="H28" si="20">F28/F16-1</f>
        <v>-8.0868445487952467E-2</v>
      </c>
      <c r="I28" s="130">
        <f t="shared" si="0"/>
        <v>49.571637358025988</v>
      </c>
      <c r="J28" s="130">
        <f t="shared" si="4"/>
        <v>3.918797798751017E-2</v>
      </c>
      <c r="K28" s="78">
        <f>R26+R27+R28</f>
        <v>39441705790</v>
      </c>
      <c r="L28" s="90">
        <f>U28/U25-1</f>
        <v>-5.00093413084155E-2</v>
      </c>
      <c r="M28" s="90">
        <f>U28/U16-1</f>
        <v>-8.7071645879707504E-2</v>
      </c>
      <c r="N28" s="88">
        <f>AVERAGE(T26:T28)</f>
        <v>46.889923563998764</v>
      </c>
      <c r="O28" s="91">
        <f>N28/N25-1</f>
        <v>-1.1588713450535582E-2</v>
      </c>
      <c r="P28" s="129" t="s">
        <v>413</v>
      </c>
      <c r="Q28" s="116">
        <v>9101945</v>
      </c>
      <c r="R28" s="116">
        <v>11886449765</v>
      </c>
      <c r="S28" s="116">
        <v>183611.95</v>
      </c>
      <c r="T28" s="130">
        <f t="shared" ref="T28" si="21">Q28/S28</f>
        <v>49.571637358025988</v>
      </c>
      <c r="U28" s="85">
        <f>Q26+Q27+Q28</f>
        <v>29746611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478309.18181818182</v>
      </c>
      <c r="G29" s="190">
        <f t="shared" ref="G29" si="22">F29/F28-1</f>
        <v>-1.545883374877044E-3</v>
      </c>
      <c r="H29" s="190">
        <f t="shared" ref="H29" si="23">F29/F17-1</f>
        <v>4.1390236502262701E-2</v>
      </c>
      <c r="I29" s="130">
        <f t="shared" si="0"/>
        <v>50.498065316155127</v>
      </c>
      <c r="J29" s="130">
        <f t="shared" si="4"/>
        <v>5.4314906223022597E-2</v>
      </c>
      <c r="K29" s="136"/>
      <c r="L29" s="190"/>
      <c r="M29" s="190"/>
      <c r="N29" s="191"/>
      <c r="O29" s="192"/>
      <c r="P29" s="129" t="s">
        <v>430</v>
      </c>
      <c r="Q29" s="116">
        <v>10522802</v>
      </c>
      <c r="R29" s="116">
        <v>13842930743</v>
      </c>
      <c r="S29" s="116">
        <v>208380.3</v>
      </c>
      <c r="T29" s="130">
        <f t="shared" ref="T29" si="24">Q29/S29</f>
        <v>50.498065316155127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87"/>
      <c r="F30" s="136">
        <f>Q30/19</f>
        <v>540568.21052631584</v>
      </c>
      <c r="G30" s="190">
        <f t="shared" ref="G30" si="25">F30/F29-1</f>
        <v>0.13016482031867072</v>
      </c>
      <c r="H30" s="190">
        <f t="shared" ref="H30" si="26">F30/F18-1</f>
        <v>5.0841603384499612E-2</v>
      </c>
      <c r="I30" s="130">
        <f t="shared" si="0"/>
        <v>50.008839728539755</v>
      </c>
      <c r="J30" s="130">
        <f t="shared" si="4"/>
        <v>-1.0683148038711399E-2</v>
      </c>
      <c r="K30" s="136"/>
      <c r="L30" s="190"/>
      <c r="M30" s="190"/>
      <c r="N30" s="191"/>
      <c r="O30" s="192"/>
      <c r="P30" s="129" t="s">
        <v>470</v>
      </c>
      <c r="Q30" s="116">
        <v>10270796</v>
      </c>
      <c r="R30" s="116">
        <v>13686838935</v>
      </c>
      <c r="S30" s="116">
        <v>205379.61</v>
      </c>
      <c r="T30" s="130">
        <f t="shared" ref="T30" si="27">Q30/S30</f>
        <v>50.008839728539755</v>
      </c>
      <c r="U30" s="85"/>
    </row>
    <row r="31" spans="1:21" s="79" customFormat="1" ht="13.2" hidden="1">
      <c r="A31" s="129" t="s">
        <v>505</v>
      </c>
      <c r="B31" s="188">
        <f>SUM(F29:F31)</f>
        <v>1567886.3923444976</v>
      </c>
      <c r="C31" s="188">
        <f>AVERAGE(F29:F31)</f>
        <v>522628.79744816589</v>
      </c>
      <c r="D31" s="190">
        <f>C31/C28-1</f>
        <v>5.0966171598958221E-2</v>
      </c>
      <c r="E31" s="287">
        <f>C31/C19-1</f>
        <v>6.2909215505434934E-2</v>
      </c>
      <c r="F31" s="136">
        <f>Q31/20</f>
        <v>549009</v>
      </c>
      <c r="G31" s="190">
        <f t="shared" ref="G31" si="28">F31/F30-1</f>
        <v>1.5614661220026083E-2</v>
      </c>
      <c r="H31" s="190">
        <f t="shared" ref="H31" si="29">F31/F19-1</f>
        <v>9.5003654032023155E-2</v>
      </c>
      <c r="I31" s="130">
        <f t="shared" si="0"/>
        <v>48.081519697926893</v>
      </c>
      <c r="J31" s="130">
        <f t="shared" si="4"/>
        <v>-1.9791434926462736E-3</v>
      </c>
      <c r="K31" s="136">
        <f>R29+R30+R31</f>
        <v>42106157811</v>
      </c>
      <c r="L31" s="190">
        <f>U31/U28-1</f>
        <v>6.8147830352842442E-2</v>
      </c>
      <c r="M31" s="190">
        <f>U31/U19-1</f>
        <v>4.1607962301750012E-2</v>
      </c>
      <c r="N31" s="191">
        <f>AVERAGE(T29:T31)</f>
        <v>49.529474914207263</v>
      </c>
      <c r="O31" s="192">
        <f>N31/N28-1</f>
        <v>5.6292506994724434E-2</v>
      </c>
      <c r="P31" s="129" t="s">
        <v>505</v>
      </c>
      <c r="Q31" s="116">
        <v>10980180</v>
      </c>
      <c r="R31" s="116">
        <v>14576388133</v>
      </c>
      <c r="S31" s="116">
        <v>228365.91</v>
      </c>
      <c r="T31" s="130">
        <f t="shared" ref="T31" si="30">Q31/S31</f>
        <v>48.081519697926893</v>
      </c>
      <c r="U31" s="85">
        <f>Q29+Q30+Q31</f>
        <v>31773778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549692.19047619053</v>
      </c>
      <c r="G32" s="190">
        <f t="shared" ref="G32" si="31">F32/F31-1</f>
        <v>1.2444066967765011E-3</v>
      </c>
      <c r="H32" s="190">
        <f t="shared" ref="H32" si="32">F32/F20-1</f>
        <v>5.9372822868190234E-2</v>
      </c>
      <c r="I32" s="130">
        <f t="shared" si="0"/>
        <v>47.023150748618363</v>
      </c>
      <c r="J32" s="130">
        <f t="shared" si="4"/>
        <v>-0.14263785786143668</v>
      </c>
      <c r="K32" s="136"/>
      <c r="L32" s="190"/>
      <c r="M32" s="190"/>
      <c r="N32" s="191"/>
      <c r="O32" s="192"/>
      <c r="P32" s="129" t="s">
        <v>562</v>
      </c>
      <c r="Q32" s="116">
        <v>11543536</v>
      </c>
      <c r="R32" s="116">
        <v>15704302409</v>
      </c>
      <c r="S32" s="116">
        <v>245486.23</v>
      </c>
      <c r="T32" s="130">
        <f t="shared" ref="T32" si="33">Q32/S32</f>
        <v>47.023150748618363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593170.42857142852</v>
      </c>
      <c r="G33" s="190">
        <f t="shared" ref="G33" si="34">F33/F32-1</f>
        <v>7.9095608139481577E-2</v>
      </c>
      <c r="H33" s="190">
        <f t="shared" ref="H33" si="35">F33/F21-1</f>
        <v>0.13635664103262779</v>
      </c>
      <c r="I33" s="130">
        <f t="shared" si="0"/>
        <v>50.267126528695684</v>
      </c>
      <c r="J33" s="130">
        <f t="shared" si="4"/>
        <v>1.4994522561347479E-2</v>
      </c>
      <c r="K33" s="136"/>
      <c r="L33" s="190"/>
      <c r="M33" s="190"/>
      <c r="N33" s="191"/>
      <c r="O33" s="192"/>
      <c r="P33" s="129" t="s">
        <v>607</v>
      </c>
      <c r="Q33" s="116">
        <v>12456579</v>
      </c>
      <c r="R33" s="116">
        <v>17031975509</v>
      </c>
      <c r="S33" s="116">
        <v>247807.66</v>
      </c>
      <c r="T33" s="130">
        <f t="shared" ref="T33" si="36">Q33/S33</f>
        <v>50.267126528695684</v>
      </c>
      <c r="U33" s="85"/>
    </row>
    <row r="34" spans="1:21" s="79" customFormat="1" ht="13.2" hidden="1">
      <c r="A34" s="129" t="s">
        <v>652</v>
      </c>
      <c r="B34" s="188">
        <f>SUM(F32:F34)</f>
        <v>1718387.9348370926</v>
      </c>
      <c r="C34" s="188">
        <f>AVERAGE(F32:F34)</f>
        <v>572795.97827903088</v>
      </c>
      <c r="D34" s="190">
        <f>C34/C31-1</f>
        <v>9.5990081441772457E-2</v>
      </c>
      <c r="E34" s="287">
        <f>C34/C22-1</f>
        <v>9.5721877997996474E-2</v>
      </c>
      <c r="F34" s="136">
        <f>Q34/19</f>
        <v>575525.31578947371</v>
      </c>
      <c r="G34" s="190">
        <f t="shared" ref="G34" si="37">F34/F33-1</f>
        <v>-2.9747121454538283E-2</v>
      </c>
      <c r="H34" s="190">
        <f t="shared" ref="H34" si="38">F34/F22-1</f>
        <v>9.1265791108197991E-2</v>
      </c>
      <c r="I34" s="130">
        <f t="shared" si="0"/>
        <v>51.343974897330654</v>
      </c>
      <c r="J34" s="130">
        <f t="shared" si="4"/>
        <v>5.5910488127554947E-2</v>
      </c>
      <c r="K34" s="136">
        <f>R32+R33+R34</f>
        <v>47766238091</v>
      </c>
      <c r="L34" s="190">
        <f>U34/U31-1</f>
        <v>9.9494558059793903E-2</v>
      </c>
      <c r="M34" s="190">
        <f>U34/U22-1</f>
        <v>7.7751763246091121E-2</v>
      </c>
      <c r="N34" s="191">
        <f>AVERAGE(T32:T34)</f>
        <v>49.544750724881567</v>
      </c>
      <c r="O34" s="192">
        <f>N34/N31-1</f>
        <v>3.0841858712937764E-4</v>
      </c>
      <c r="P34" s="129" t="s">
        <v>652</v>
      </c>
      <c r="Q34" s="116">
        <v>10934981</v>
      </c>
      <c r="R34" s="116">
        <v>15029960173</v>
      </c>
      <c r="S34" s="116">
        <v>212974.96</v>
      </c>
      <c r="T34" s="130">
        <f t="shared" ref="T34" si="39">Q34/S34</f>
        <v>51.343974897330654</v>
      </c>
      <c r="U34" s="85">
        <f>Q32+Q33+Q34</f>
        <v>34935096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598611.43478260865</v>
      </c>
      <c r="G35" s="190">
        <f t="shared" ref="G35" si="40">F35/F34-1</f>
        <v>4.0113125104612735E-2</v>
      </c>
      <c r="H35" s="190">
        <f t="shared" ref="H35" si="41">F35/F23-1</f>
        <v>0.15978426044843497</v>
      </c>
      <c r="I35" s="130">
        <f t="shared" si="0"/>
        <v>51.704171923245937</v>
      </c>
      <c r="J35" s="130">
        <f t="shared" si="4"/>
        <v>-5.3163425465588166E-2</v>
      </c>
      <c r="K35" s="136"/>
      <c r="L35" s="190"/>
      <c r="M35" s="190"/>
      <c r="N35" s="191"/>
      <c r="O35" s="192"/>
      <c r="P35" s="129" t="s">
        <v>660</v>
      </c>
      <c r="Q35" s="116">
        <v>13768063</v>
      </c>
      <c r="R35" s="116">
        <v>19051983238</v>
      </c>
      <c r="S35" s="116">
        <v>266285.34000000003</v>
      </c>
      <c r="T35" s="130">
        <f t="shared" ref="T35" si="42">Q35/S35</f>
        <v>51.704171923245937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558009</v>
      </c>
      <c r="G36" s="190">
        <f t="shared" ref="G36" si="43">F36/F35-1</f>
        <v>-6.7827696604816468E-2</v>
      </c>
      <c r="H36" s="190">
        <f t="shared" ref="H36" si="44">F36/F24-1</f>
        <v>0.12922386244442841</v>
      </c>
      <c r="I36" s="130">
        <f t="shared" si="0"/>
        <v>55.374142034793472</v>
      </c>
      <c r="J36" s="130">
        <f t="shared" si="4"/>
        <v>0.21656385325285488</v>
      </c>
      <c r="K36" s="136"/>
      <c r="L36" s="190"/>
      <c r="M36" s="190"/>
      <c r="N36" s="191"/>
      <c r="O36" s="192"/>
      <c r="P36" s="129" t="s">
        <v>666</v>
      </c>
      <c r="Q36" s="116">
        <v>11718189</v>
      </c>
      <c r="R36" s="116">
        <v>15968282384</v>
      </c>
      <c r="S36" s="116">
        <v>211618.43</v>
      </c>
      <c r="T36" s="130">
        <f t="shared" ref="T36" si="45">Q36/S36</f>
        <v>55.374142034793472</v>
      </c>
      <c r="U36" s="85"/>
    </row>
    <row r="37" spans="1:21" s="79" customFormat="1" ht="13.2" hidden="1">
      <c r="A37" s="129" t="s">
        <v>702</v>
      </c>
      <c r="B37" s="188">
        <f>SUM(F35:F37)</f>
        <v>1798615.3236714974</v>
      </c>
      <c r="C37" s="188">
        <f>AVERAGE(F35:F37)</f>
        <v>599538.44122383243</v>
      </c>
      <c r="D37" s="190">
        <f>C37/C34-1</f>
        <v>4.6687588528727897E-2</v>
      </c>
      <c r="E37" s="287">
        <f>C37/C25-1</f>
        <v>0.18667750620661039</v>
      </c>
      <c r="F37" s="136">
        <f>Q37/18</f>
        <v>641994.88888888888</v>
      </c>
      <c r="G37" s="190">
        <f t="shared" ref="G37" si="46">F37/F36-1</f>
        <v>0.15050991809968806</v>
      </c>
      <c r="H37" s="190">
        <f t="shared" ref="H37" si="47">F37/F25-1</f>
        <v>0.27032059332180625</v>
      </c>
      <c r="I37" s="130">
        <f t="shared" si="0"/>
        <v>52.989795072854442</v>
      </c>
      <c r="J37" s="130">
        <f t="shared" si="4"/>
        <v>0.25583281997115948</v>
      </c>
      <c r="K37" s="136">
        <f>R35+R36+R37</f>
        <v>50441087456</v>
      </c>
      <c r="L37" s="190">
        <f>U37/U34-1</f>
        <v>6.031367424895584E-2</v>
      </c>
      <c r="M37" s="190">
        <f>U37/U25-1</f>
        <v>0.18298202029666721</v>
      </c>
      <c r="N37" s="191">
        <f>AVERAGE(T35:T37)</f>
        <v>53.356036343631281</v>
      </c>
      <c r="O37" s="192">
        <f>N37/N34-1</f>
        <v>7.6926123615264741E-2</v>
      </c>
      <c r="P37" s="129" t="s">
        <v>702</v>
      </c>
      <c r="Q37" s="116">
        <v>11555908</v>
      </c>
      <c r="R37" s="116">
        <v>15420821834</v>
      </c>
      <c r="S37" s="116">
        <v>218077.99</v>
      </c>
      <c r="T37" s="130">
        <f t="shared" ref="T37" si="48">Q37/S37</f>
        <v>52.989795072854442</v>
      </c>
      <c r="U37" s="85">
        <f>Q35+Q36+Q37</f>
        <v>37042160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553407.80000000005</v>
      </c>
      <c r="G38" s="190">
        <f t="shared" ref="G38" si="49">F38/F37-1</f>
        <v>-0.13798721831291827</v>
      </c>
      <c r="H38" s="190">
        <f t="shared" ref="H38" si="50">F38/F26-1</f>
        <v>1.4191321478087104E-2</v>
      </c>
      <c r="I38" s="130">
        <f t="shared" si="0"/>
        <v>51.740751634616338</v>
      </c>
      <c r="J38" s="130">
        <f t="shared" si="4"/>
        <v>0.20838674729339357</v>
      </c>
      <c r="K38" s="136"/>
      <c r="L38" s="190"/>
      <c r="M38" s="190"/>
      <c r="N38" s="191"/>
      <c r="O38" s="192"/>
      <c r="P38" s="129" t="s">
        <v>727</v>
      </c>
      <c r="Q38" s="116">
        <v>11068156</v>
      </c>
      <c r="R38" s="116">
        <v>14913111264</v>
      </c>
      <c r="S38" s="116">
        <v>213915.64</v>
      </c>
      <c r="T38" s="130">
        <f t="shared" ref="T38" si="51">Q38/S38</f>
        <v>51.740751634616338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450420.85714285716</v>
      </c>
      <c r="G39" s="190">
        <f t="shared" ref="G39" si="52">F39/F38-1</f>
        <v>-0.18609593658987622</v>
      </c>
      <c r="H39" s="190">
        <f t="shared" ref="H39" si="53">F39/F27-1</f>
        <v>-3.5787430676313181E-2</v>
      </c>
      <c r="I39" s="130">
        <f t="shared" si="0"/>
        <v>51.707876055098723</v>
      </c>
      <c r="J39" s="130">
        <f t="shared" si="4"/>
        <v>7.0997839662739759E-2</v>
      </c>
      <c r="K39" s="136"/>
      <c r="L39" s="190"/>
      <c r="M39" s="190"/>
      <c r="N39" s="191"/>
      <c r="O39" s="192"/>
      <c r="P39" s="129" t="s">
        <v>762</v>
      </c>
      <c r="Q39" s="116">
        <v>9458838</v>
      </c>
      <c r="R39" s="116">
        <v>13148724702</v>
      </c>
      <c r="S39" s="116">
        <v>182928.38</v>
      </c>
      <c r="T39" s="130">
        <f t="shared" ref="T39" si="54">Q39/S39</f>
        <v>51.707876055098723</v>
      </c>
      <c r="U39" s="85"/>
    </row>
    <row r="40" spans="1:21" s="79" customFormat="1" ht="13.2" hidden="1">
      <c r="A40" s="129" t="s">
        <v>778</v>
      </c>
      <c r="B40" s="188">
        <f>SUM(F38:F40)</f>
        <v>1560579.3714285716</v>
      </c>
      <c r="C40" s="188">
        <f>AVERAGE(F38:F40)</f>
        <v>520193.12380952388</v>
      </c>
      <c r="D40" s="190">
        <f>C40/C37-1</f>
        <v>-0.13234400325080353</v>
      </c>
      <c r="E40" s="287">
        <f>C40/C28-1</f>
        <v>4.6068219913618869E-2</v>
      </c>
      <c r="F40" s="136">
        <f>Q40/21</f>
        <v>556750.71428571432</v>
      </c>
      <c r="G40" s="190">
        <f t="shared" ref="G40" si="55">F40/F39-1</f>
        <v>0.23606779183658722</v>
      </c>
      <c r="H40" s="190">
        <f t="shared" ref="H40" si="56">F40/F28-1</f>
        <v>0.16219814242214947</v>
      </c>
      <c r="I40" s="130">
        <f t="shared" si="0"/>
        <v>53.065068558432934</v>
      </c>
      <c r="J40" s="130">
        <f t="shared" si="4"/>
        <v>7.0472378694615312E-2</v>
      </c>
      <c r="K40" s="136">
        <f>R38+R39+R40</f>
        <v>44662266815</v>
      </c>
      <c r="L40" s="190">
        <f>U40/U37-1</f>
        <v>-0.13021381582499514</v>
      </c>
      <c r="M40" s="190">
        <f>U40/U28-1</f>
        <v>8.3106878965136577E-2</v>
      </c>
      <c r="N40" s="191">
        <f>AVERAGE(T38:T40)</f>
        <v>52.171232082715996</v>
      </c>
      <c r="O40" s="192">
        <f>N40/N37-1</f>
        <v>-2.220562736865872E-2</v>
      </c>
      <c r="P40" s="129" t="s">
        <v>778</v>
      </c>
      <c r="Q40" s="116">
        <v>11691765</v>
      </c>
      <c r="R40" s="116">
        <v>16600430849</v>
      </c>
      <c r="S40" s="116">
        <v>220328.84</v>
      </c>
      <c r="T40" s="130">
        <f t="shared" ref="T40" si="57">Q40/S40</f>
        <v>53.065068558432934</v>
      </c>
      <c r="U40" s="85">
        <f>Q38+Q39+Q40</f>
        <v>32218759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562174.88888888888</v>
      </c>
      <c r="G41" s="190">
        <f t="shared" ref="G41" si="58">F41/F40-1</f>
        <v>9.7425552657504078E-3</v>
      </c>
      <c r="H41" s="190">
        <f t="shared" ref="H41" si="59">F41/F29-1</f>
        <v>0.17533785730792562</v>
      </c>
      <c r="I41" s="130">
        <f t="shared" si="0"/>
        <v>52.920304045423251</v>
      </c>
      <c r="J41" s="130">
        <f t="shared" si="4"/>
        <v>4.7966960993517826E-2</v>
      </c>
      <c r="K41" s="193"/>
      <c r="L41" s="190"/>
      <c r="M41" s="190"/>
      <c r="N41" s="193"/>
      <c r="O41" s="193"/>
      <c r="P41" s="129" t="s">
        <v>792</v>
      </c>
      <c r="Q41" s="116">
        <v>10119148</v>
      </c>
      <c r="R41" s="116">
        <v>14785506502</v>
      </c>
      <c r="S41" s="116">
        <v>191214.85</v>
      </c>
      <c r="T41" s="130">
        <f t="shared" ref="T41" si="60">Q41/S41</f>
        <v>52.920304045423251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516010.7</v>
      </c>
      <c r="G42" s="190">
        <f t="shared" ref="G42" si="61">F42/F41-1</f>
        <v>-8.2117130809827077E-2</v>
      </c>
      <c r="H42" s="190">
        <f t="shared" ref="H42" si="62">F42/F30-1</f>
        <v>-4.5429068983553034E-2</v>
      </c>
      <c r="I42" s="130">
        <f t="shared" si="0"/>
        <v>50.487603764672961</v>
      </c>
      <c r="J42" s="130">
        <f t="shared" si="4"/>
        <v>9.5735881642535769E-3</v>
      </c>
      <c r="K42" s="193"/>
      <c r="L42" s="190"/>
      <c r="M42" s="190"/>
      <c r="N42" s="193"/>
      <c r="O42" s="193"/>
      <c r="P42" s="129" t="s">
        <v>826</v>
      </c>
      <c r="Q42" s="116">
        <v>10320214</v>
      </c>
      <c r="R42" s="116">
        <v>14930633642</v>
      </c>
      <c r="S42" s="116">
        <v>204410.85</v>
      </c>
      <c r="T42" s="130">
        <f t="shared" ref="T42" si="63">Q42/S42</f>
        <v>50.487603764672961</v>
      </c>
      <c r="U42" s="78"/>
    </row>
    <row r="43" spans="1:21" s="79" customFormat="1" ht="13.2">
      <c r="A43" s="129" t="s">
        <v>835</v>
      </c>
      <c r="B43" s="188">
        <f>SUM(F41:F43)</f>
        <v>1664193.8388888889</v>
      </c>
      <c r="C43" s="188">
        <f>AVERAGE(F41:F43)</f>
        <v>554731.27962962969</v>
      </c>
      <c r="D43" s="190">
        <f>C43/C40-1</f>
        <v>6.6394871902905939E-2</v>
      </c>
      <c r="E43" s="287">
        <f>C43/C31-1</f>
        <v>6.1425015877828004E-2</v>
      </c>
      <c r="F43" s="136">
        <f>Q43/20</f>
        <v>586008.25</v>
      </c>
      <c r="G43" s="190">
        <f t="shared" ref="G43" si="64">F43/F42-1</f>
        <v>0.13565135374130799</v>
      </c>
      <c r="H43" s="190">
        <f t="shared" ref="H43" si="65">F43/F31-1</f>
        <v>6.7392793196468626E-2</v>
      </c>
      <c r="I43" s="130">
        <f t="shared" si="0"/>
        <v>50.97111878769423</v>
      </c>
      <c r="J43" s="130">
        <f t="shared" si="4"/>
        <v>6.0097915122510726E-2</v>
      </c>
      <c r="K43" s="136">
        <f>R41+R42+R43</f>
        <v>46685276717</v>
      </c>
      <c r="L43" s="190">
        <f>U43/U40-1</f>
        <v>-1.8384320761702933E-3</v>
      </c>
      <c r="M43" s="190">
        <f>K43/K31-1</f>
        <v>0.10875176325881086</v>
      </c>
      <c r="N43" s="191">
        <f>AVERAGE(T41:T43)</f>
        <v>51.459675532596812</v>
      </c>
      <c r="O43" s="192">
        <f>N43/N40-1</f>
        <v>-1.3638868044960728E-2</v>
      </c>
      <c r="P43" s="129" t="s">
        <v>835</v>
      </c>
      <c r="Q43" s="116">
        <v>11720165</v>
      </c>
      <c r="R43" s="116">
        <v>16969136573</v>
      </c>
      <c r="S43" s="116">
        <v>229937.37</v>
      </c>
      <c r="T43" s="130">
        <f t="shared" ref="T43" si="66">Q43/S43</f>
        <v>50.97111878769423</v>
      </c>
      <c r="U43" s="85">
        <f>Q41+Q42+Q43</f>
        <v>32159527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573648.81818181823</v>
      </c>
      <c r="G44" s="190">
        <f t="shared" ref="G44" si="67">F44/F43-1</f>
        <v>-2.1090883649132475E-2</v>
      </c>
      <c r="H44" s="190">
        <f t="shared" ref="H44" si="68">F44/F32-1</f>
        <v>4.3581895687610839E-2</v>
      </c>
      <c r="I44" s="130">
        <f t="shared" si="0"/>
        <v>50.425539157977305</v>
      </c>
      <c r="J44" s="130">
        <f t="shared" si="4"/>
        <v>7.2355602616843262E-2</v>
      </c>
      <c r="K44" s="136"/>
      <c r="L44" s="190"/>
      <c r="M44" s="190"/>
      <c r="N44" s="191"/>
      <c r="O44" s="192"/>
      <c r="P44" s="129" t="s">
        <v>843</v>
      </c>
      <c r="Q44" s="116">
        <v>12620274</v>
      </c>
      <c r="R44" s="116">
        <v>18314266407</v>
      </c>
      <c r="S44" s="116">
        <v>250275.44</v>
      </c>
      <c r="T44" s="130">
        <f t="shared" ref="T44" si="69">Q44/S44</f>
        <v>50.425539157977305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557834.15</v>
      </c>
      <c r="G45" s="190">
        <f t="shared" ref="G45" si="70">F45/F44-1</f>
        <v>-2.756855358290955E-2</v>
      </c>
      <c r="H45" s="190">
        <f t="shared" ref="H45" si="71">F45/F33-1</f>
        <v>-5.957188165386329E-2</v>
      </c>
      <c r="I45" s="130">
        <f t="shared" si="0"/>
        <v>52.233290607282044</v>
      </c>
      <c r="J45" s="130">
        <f t="shared" si="4"/>
        <v>3.9114312163118115E-2</v>
      </c>
      <c r="K45" s="136"/>
      <c r="L45" s="190"/>
      <c r="M45" s="190"/>
      <c r="N45" s="191"/>
      <c r="O45" s="192"/>
      <c r="P45" s="129" t="s">
        <v>849</v>
      </c>
      <c r="Q45" s="116">
        <v>11156683</v>
      </c>
      <c r="R45" s="116">
        <v>15689874837</v>
      </c>
      <c r="S45" s="116">
        <v>213593.34</v>
      </c>
      <c r="T45" s="130">
        <f t="shared" ref="T45" si="72">Q45/S45</f>
        <v>52.233290607282044</v>
      </c>
      <c r="U45" s="85"/>
    </row>
    <row r="46" spans="1:21" s="79" customFormat="1" ht="13.2">
      <c r="A46" s="129" t="s">
        <v>893</v>
      </c>
      <c r="B46" s="188">
        <f>SUM(F44:F46)</f>
        <v>1783320.2313397131</v>
      </c>
      <c r="C46" s="188">
        <f>AVERAGE(F44:F46)</f>
        <v>594440.0771132377</v>
      </c>
      <c r="D46" s="190">
        <f>C46/C43-1</f>
        <v>7.1582041506871308E-2</v>
      </c>
      <c r="E46" s="287">
        <f>C46/C34-1</f>
        <v>3.7786750701771066E-2</v>
      </c>
      <c r="F46" s="136">
        <f>Q46/19</f>
        <v>651837.26315789472</v>
      </c>
      <c r="G46" s="190">
        <f t="shared" ref="G46" si="73">F46/F45-1</f>
        <v>0.16851444673635463</v>
      </c>
      <c r="H46" s="190">
        <f t="shared" ref="H46" si="74">F46/F34-1</f>
        <v>0.13259529211802001</v>
      </c>
      <c r="I46" s="130">
        <f t="shared" si="0"/>
        <v>49.373029623758775</v>
      </c>
      <c r="J46" s="130">
        <f t="shared" si="4"/>
        <v>-3.8387080032526777E-2</v>
      </c>
      <c r="K46" s="136">
        <f>R44+R45+R46</f>
        <v>50964640549</v>
      </c>
      <c r="L46" s="190">
        <f>U46/U43-1</f>
        <v>0.12445263887121216</v>
      </c>
      <c r="M46" s="190">
        <f>K46/K34-1</f>
        <v>6.6959479871675942E-2</v>
      </c>
      <c r="N46" s="191">
        <f>AVERAGE(T44:T46)</f>
        <v>50.677286463006048</v>
      </c>
      <c r="O46" s="192">
        <f>N46/N43-1</f>
        <v>-1.5203925432743293E-2</v>
      </c>
      <c r="P46" s="129" t="s">
        <v>928</v>
      </c>
      <c r="Q46" s="116">
        <v>12384908</v>
      </c>
      <c r="R46" s="116">
        <v>16960499305</v>
      </c>
      <c r="S46" s="116">
        <v>250843.59</v>
      </c>
      <c r="T46" s="130">
        <f t="shared" ref="T46" si="75">Q46/S46</f>
        <v>49.373029623758775</v>
      </c>
      <c r="U46" s="85">
        <f t="shared" ref="U46:U51" si="76">Q44+Q45+Q46</f>
        <v>36161865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486464.08695652173</v>
      </c>
      <c r="G47" s="190">
        <f t="shared" ref="G47" si="77">F47/F46-1</f>
        <v>-0.25370316419194128</v>
      </c>
      <c r="H47" s="190">
        <f t="shared" ref="H47" si="78">F47/F35-1</f>
        <v>-0.18734581618343837</v>
      </c>
      <c r="I47" s="130">
        <f t="shared" si="0"/>
        <v>48.055115570787841</v>
      </c>
      <c r="J47" s="130">
        <f t="shared" si="4"/>
        <v>-7.0575665690479794E-2</v>
      </c>
      <c r="K47" s="136"/>
      <c r="L47" s="190"/>
      <c r="M47" s="190"/>
      <c r="N47" s="191"/>
      <c r="O47" s="192"/>
      <c r="P47" s="129" t="s">
        <v>1029</v>
      </c>
      <c r="Q47" s="116">
        <v>11188674</v>
      </c>
      <c r="R47" s="116">
        <v>15339674479</v>
      </c>
      <c r="S47" s="116">
        <v>232830.03</v>
      </c>
      <c r="T47" s="130">
        <f t="shared" ref="T47" si="79">Q47/S47</f>
        <v>48.055115570787841</v>
      </c>
      <c r="U47" s="85">
        <f t="shared" si="76"/>
        <v>34730265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503394.35</v>
      </c>
      <c r="G48" s="190">
        <f t="shared" ref="G48" si="80">F48/F47-1</f>
        <v>3.4802698693339407E-2</v>
      </c>
      <c r="H48" s="190">
        <f t="shared" ref="H48" si="81">F48/F36-1</f>
        <v>-9.7874138230745422E-2</v>
      </c>
      <c r="I48" s="130">
        <f t="shared" si="0"/>
        <v>48.542748932281384</v>
      </c>
      <c r="J48" s="130">
        <f t="shared" si="4"/>
        <v>-0.12336792682439557</v>
      </c>
      <c r="K48" s="136"/>
      <c r="L48" s="190"/>
      <c r="M48" s="190"/>
      <c r="N48" s="191"/>
      <c r="O48" s="192"/>
      <c r="P48" s="129" t="s">
        <v>1120</v>
      </c>
      <c r="Q48" s="116">
        <v>10067887</v>
      </c>
      <c r="R48" s="116">
        <v>13970248997</v>
      </c>
      <c r="S48" s="116">
        <v>207402.49</v>
      </c>
      <c r="T48" s="130">
        <f t="shared" ref="T48" si="82">Q48/S48</f>
        <v>48.542748932281384</v>
      </c>
      <c r="U48" s="85">
        <f t="shared" si="76"/>
        <v>33641469</v>
      </c>
    </row>
    <row r="49" spans="1:26" ht="13.2">
      <c r="A49" s="129" t="s">
        <v>1209</v>
      </c>
      <c r="B49" s="188">
        <f>SUM(F47:F49)</f>
        <v>1544678.8915019762</v>
      </c>
      <c r="C49" s="188">
        <f>AVERAGE(F47:F49)</f>
        <v>514892.96383399208</v>
      </c>
      <c r="D49" s="190">
        <f>C49/C46-1</f>
        <v>-0.13381855689399003</v>
      </c>
      <c r="E49" s="287">
        <f>C49/C37-1</f>
        <v>-0.14118440381746711</v>
      </c>
      <c r="F49" s="136">
        <f>Q49/22</f>
        <v>554820.45454545459</v>
      </c>
      <c r="G49" s="190">
        <f t="shared" ref="G49" si="83">F49/F48-1</f>
        <v>0.10215868442991982</v>
      </c>
      <c r="H49" s="190">
        <f t="shared" ref="H49" si="84">F49/F37-1</f>
        <v>-0.13578680430666434</v>
      </c>
      <c r="I49" s="130">
        <f t="shared" si="0"/>
        <v>47.186917764781171</v>
      </c>
      <c r="J49" s="130">
        <f t="shared" si="4"/>
        <v>-0.10950933665803064</v>
      </c>
      <c r="K49" s="136">
        <f>R47+R48+R49</f>
        <v>46279529520</v>
      </c>
      <c r="L49" s="190">
        <f>U49/U46-1</f>
        <v>-7.4643661216035162E-2</v>
      </c>
      <c r="M49" s="190">
        <f>K49/K37-1</f>
        <v>-8.2503334997092281E-2</v>
      </c>
      <c r="N49" s="191">
        <f>AVERAGE(T47:T49)</f>
        <v>47.928260755950134</v>
      </c>
      <c r="O49" s="192">
        <f>N49/N46-1</f>
        <v>-5.4245716353867435E-2</v>
      </c>
      <c r="P49" s="129" t="s">
        <v>1158</v>
      </c>
      <c r="Q49" s="116">
        <v>12206050</v>
      </c>
      <c r="R49" s="116">
        <v>16969606044</v>
      </c>
      <c r="S49" s="116">
        <v>258674.45</v>
      </c>
      <c r="T49" s="130">
        <f t="shared" ref="T49" si="85">Q49/S49</f>
        <v>47.186917764781171</v>
      </c>
      <c r="U49" s="85">
        <f t="shared" si="76"/>
        <v>33462611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568759.83333333337</v>
      </c>
      <c r="G50" s="190">
        <f t="shared" ref="G50" si="86">F50/F49-1</f>
        <v>2.5124125604379266E-2</v>
      </c>
      <c r="H50" s="190">
        <f t="shared" ref="H50" si="87">F50/F38-1</f>
        <v>2.7740905229982848E-2</v>
      </c>
      <c r="I50" s="130">
        <f t="shared" ref="I50" si="88">T50</f>
        <v>54.384476380971293</v>
      </c>
      <c r="J50" s="130">
        <f t="shared" ref="J50" si="89">I50/I38-1</f>
        <v>5.1095599944594117E-2</v>
      </c>
      <c r="K50" s="136"/>
      <c r="L50" s="190"/>
      <c r="M50" s="190"/>
      <c r="N50" s="191"/>
      <c r="O50" s="192"/>
      <c r="P50" s="129" t="s">
        <v>1334</v>
      </c>
      <c r="Q50" s="116">
        <v>10237677</v>
      </c>
      <c r="R50" s="116">
        <v>14469488520</v>
      </c>
      <c r="S50" s="116">
        <v>188246.31</v>
      </c>
      <c r="T50" s="130">
        <f t="shared" ref="T50" si="90">Q50/S50</f>
        <v>54.384476380971293</v>
      </c>
      <c r="U50" s="85">
        <f t="shared" si="76"/>
        <v>32511614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475968.15</v>
      </c>
      <c r="G51" s="190">
        <f t="shared" ref="G51:G52" si="91">F51/F50-1</f>
        <v>-0.16314739173740289</v>
      </c>
      <c r="H51" s="190">
        <f t="shared" ref="H51:H52" si="92">F51/F39-1</f>
        <v>5.6718716400471214E-2</v>
      </c>
      <c r="I51" s="130">
        <f t="shared" ref="I51:I52" si="93">T51</f>
        <v>57.987192013800893</v>
      </c>
      <c r="J51" s="130">
        <f t="shared" ref="J51:J52" si="94">I51/I39-1</f>
        <v>0.12143828827954706</v>
      </c>
      <c r="K51" s="136"/>
      <c r="L51" s="190"/>
      <c r="M51" s="190"/>
      <c r="N51" s="191"/>
      <c r="O51" s="192"/>
      <c r="P51" s="129" t="s">
        <v>1402</v>
      </c>
      <c r="Q51" s="116">
        <v>9519363</v>
      </c>
      <c r="R51" s="116">
        <v>13781661297</v>
      </c>
      <c r="S51" s="116">
        <v>164163.20000000001</v>
      </c>
      <c r="T51" s="130">
        <f t="shared" ref="T51:T52" si="95">Q51/S51</f>
        <v>57.987192013800893</v>
      </c>
      <c r="U51" s="85">
        <f t="shared" si="76"/>
        <v>31963090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1522356.3015151515</v>
      </c>
      <c r="C52" s="188">
        <f>AVERAGE(F50:F52)</f>
        <v>507452.1005050505</v>
      </c>
      <c r="D52" s="190">
        <f>C52/C49-1</f>
        <v>-1.4451281822799533E-2</v>
      </c>
      <c r="E52" s="287">
        <f>C52/C40-1</f>
        <v>-2.4492871438144381E-2</v>
      </c>
      <c r="F52" s="136">
        <f>Q52/22</f>
        <v>477628.31818181818</v>
      </c>
      <c r="G52" s="190">
        <f t="shared" si="91"/>
        <v>3.4879816681392395E-3</v>
      </c>
      <c r="H52" s="190">
        <f t="shared" si="92"/>
        <v>-0.1421145839128497</v>
      </c>
      <c r="I52" s="130">
        <f t="shared" si="93"/>
        <v>49.055852672354185</v>
      </c>
      <c r="J52" s="130">
        <f t="shared" si="94"/>
        <v>-7.5552825898339782E-2</v>
      </c>
      <c r="K52" s="136">
        <f>R50+R51+R52</f>
        <v>43708846686</v>
      </c>
      <c r="L52" s="190">
        <f>U52/U49-1</f>
        <v>-9.5561819727695507E-2</v>
      </c>
      <c r="M52" s="190">
        <f>K52/K40-1</f>
        <v>-2.13473295690354E-2</v>
      </c>
      <c r="N52" s="191">
        <f>AVERAGE(T50:T52)</f>
        <v>53.809173689042126</v>
      </c>
      <c r="O52" s="192">
        <f>N52/N49-1</f>
        <v>0.12270240647866393</v>
      </c>
      <c r="P52" s="129" t="s">
        <v>1403</v>
      </c>
      <c r="Q52" s="116">
        <v>10507823</v>
      </c>
      <c r="R52" s="116">
        <v>15457696869</v>
      </c>
      <c r="S52" s="116">
        <v>214201.21</v>
      </c>
      <c r="T52" s="130">
        <f t="shared" si="95"/>
        <v>49.055852672354185</v>
      </c>
      <c r="U52" s="85">
        <f t="shared" ref="U52" si="96">Q50+Q51+Q52</f>
        <v>30264863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499636.76190476189</v>
      </c>
      <c r="G53" s="190">
        <f t="shared" ref="G53" si="97">F53/F52-1</f>
        <v>4.6078598954775174E-2</v>
      </c>
      <c r="H53" s="190">
        <f t="shared" ref="H53" si="98">F53/F41-1</f>
        <v>-0.11124318823227863</v>
      </c>
      <c r="I53" s="130">
        <f t="shared" ref="I53" si="99">T53</f>
        <v>53.430520608799128</v>
      </c>
      <c r="J53" s="130">
        <f t="shared" ref="J53" si="100">I53/I41-1</f>
        <v>9.6412250945863143E-3</v>
      </c>
      <c r="K53" s="136"/>
      <c r="L53" s="190"/>
      <c r="M53" s="190"/>
      <c r="N53" s="191"/>
      <c r="O53" s="192"/>
      <c r="P53" s="129" t="s">
        <v>1414</v>
      </c>
      <c r="Q53" s="116">
        <v>10492372</v>
      </c>
      <c r="R53" s="116">
        <v>15282839558</v>
      </c>
      <c r="S53" s="116">
        <v>196374.13</v>
      </c>
      <c r="T53" s="130">
        <f t="shared" ref="T53" si="101">Q53/S53</f>
        <v>53.430520608799128</v>
      </c>
      <c r="U53" s="85">
        <f t="shared" ref="U53" si="102">Q51+Q52+Q53</f>
        <v>30519558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635145.23529411759</v>
      </c>
      <c r="G54" s="190">
        <f t="shared" ref="G54" si="103">F54/F53-1</f>
        <v>0.27121397727572649</v>
      </c>
      <c r="H54" s="190">
        <f t="shared" ref="H54" si="104">F54/F42-1</f>
        <v>0.23087609480601379</v>
      </c>
      <c r="I54" s="130">
        <f t="shared" ref="I54" si="105">T54</f>
        <v>53.100583835157217</v>
      </c>
      <c r="J54" s="130">
        <f t="shared" ref="J54" si="106">I54/I42-1</f>
        <v>5.1754883885231973E-2</v>
      </c>
      <c r="K54" s="136"/>
      <c r="L54" s="190"/>
      <c r="M54" s="190"/>
      <c r="N54" s="191"/>
      <c r="O54" s="192"/>
      <c r="P54" s="129" t="s">
        <v>1417</v>
      </c>
      <c r="Q54" s="116">
        <v>10797469</v>
      </c>
      <c r="R54" s="116">
        <v>15637691315</v>
      </c>
      <c r="S54" s="116">
        <v>203339.93</v>
      </c>
      <c r="T54" s="130">
        <f t="shared" ref="T54" si="107">Q54/S54</f>
        <v>53.100583835157217</v>
      </c>
      <c r="U54" s="85">
        <f t="shared" ref="U54" si="108">Q52+Q53+Q54</f>
        <v>31797664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1741885.4733893557</v>
      </c>
      <c r="C55" s="188">
        <f>AVERAGE(F53:F55)</f>
        <v>580628.49112978519</v>
      </c>
      <c r="D55" s="190">
        <f>C55/C52-1</f>
        <v>0.14420354266324775</v>
      </c>
      <c r="E55" s="287">
        <f>C55/C43-1</f>
        <v>4.6684245960397108E-2</v>
      </c>
      <c r="F55" s="136">
        <f>Q55/21</f>
        <v>607103.47619047621</v>
      </c>
      <c r="G55" s="190">
        <f t="shared" ref="G55" si="109">F55/F54-1</f>
        <v>-4.4150152666509457E-2</v>
      </c>
      <c r="H55" s="190">
        <f t="shared" ref="H55" si="110">F55/F43-1</f>
        <v>3.5998172705719034E-2</v>
      </c>
      <c r="I55" s="130">
        <f>T55</f>
        <v>54.577182192934423</v>
      </c>
      <c r="J55" s="130">
        <f t="shared" ref="J55" si="111">I55/I43-1</f>
        <v>7.0747189604768668E-2</v>
      </c>
      <c r="K55" s="136">
        <f>R53+R54+R55</f>
        <v>49684615495</v>
      </c>
      <c r="L55" s="190">
        <f>U55/U52-1</f>
        <v>0.12470405037022636</v>
      </c>
      <c r="M55" s="190">
        <f>K55/K43-1</f>
        <v>6.4245924816545452E-2</v>
      </c>
      <c r="N55" s="191">
        <f>AVERAGE(T53:T55)</f>
        <v>53.702762212296925</v>
      </c>
      <c r="O55" s="192">
        <f>N55/N52-1</f>
        <v>-1.9775712847802662E-3</v>
      </c>
      <c r="P55" s="129" t="s">
        <v>1418</v>
      </c>
      <c r="Q55" s="116">
        <v>12749173</v>
      </c>
      <c r="R55" s="116">
        <v>18764084622</v>
      </c>
      <c r="S55" s="116">
        <v>233598.96</v>
      </c>
      <c r="T55" s="130">
        <f t="shared" ref="T55" si="112">Q55/S55</f>
        <v>54.577182192934423</v>
      </c>
      <c r="U55" s="85">
        <f t="shared" ref="U55" si="113">Q53+Q54+Q55</f>
        <v>34039014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643358.18181818177</v>
      </c>
      <c r="G56" s="190">
        <f t="shared" ref="G56" si="114">F56/F55-1</f>
        <v>5.9717506239959084E-2</v>
      </c>
      <c r="H56" s="190">
        <f t="shared" ref="H56" si="115">F56/F44-1</f>
        <v>0.12151923167436762</v>
      </c>
      <c r="I56" s="291">
        <f>T56</f>
        <v>53.557295591706051</v>
      </c>
      <c r="J56" s="130">
        <f t="shared" ref="J56" si="116">I56/I44-1</f>
        <v>6.2106553266933151E-2</v>
      </c>
      <c r="K56" s="136"/>
      <c r="L56" s="190"/>
      <c r="M56" s="190"/>
      <c r="N56" s="191"/>
      <c r="O56" s="192"/>
      <c r="P56" s="129" t="s">
        <v>1420</v>
      </c>
      <c r="Q56" s="116">
        <v>14153880</v>
      </c>
      <c r="R56" s="116">
        <v>21121611492</v>
      </c>
      <c r="S56" s="116">
        <v>264275.48</v>
      </c>
      <c r="T56" s="130">
        <f t="shared" ref="T56" si="117">Q56/S56</f>
        <v>53.557295591706051</v>
      </c>
      <c r="U56" s="85">
        <f t="shared" ref="U56" si="118">Q54+Q55+Q56</f>
        <v>37700522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639554.83333333337</v>
      </c>
      <c r="G57" s="254">
        <f t="shared" ref="G57" si="119">F57/F56-1</f>
        <v>-5.9117123125718152E-3</v>
      </c>
      <c r="H57" s="254">
        <f t="shared" ref="H57" si="120">F57/F45-1</f>
        <v>0.1464963794943952</v>
      </c>
      <c r="I57" s="282">
        <f>T57</f>
        <v>44.751082222684431</v>
      </c>
      <c r="J57" s="277">
        <f t="shared" ref="J57" si="121">I57/I45-1</f>
        <v>-0.14324597010080942</v>
      </c>
      <c r="K57" s="204"/>
      <c r="L57" s="254"/>
      <c r="M57" s="254"/>
      <c r="N57" s="257"/>
      <c r="O57" s="258"/>
      <c r="P57" s="129" t="s">
        <v>1436</v>
      </c>
      <c r="Q57" s="116">
        <v>7674658</v>
      </c>
      <c r="R57" s="116">
        <v>11301747546</v>
      </c>
      <c r="S57" s="116">
        <v>171496.59</v>
      </c>
      <c r="T57" s="130">
        <f t="shared" ref="T57" si="122">Q57/S57</f>
        <v>44.751082222684431</v>
      </c>
      <c r="U57" s="85">
        <f t="shared" ref="U57" si="123">Q55+Q56+Q57</f>
        <v>34577711</v>
      </c>
      <c r="V57" s="79"/>
      <c r="W57" s="79"/>
      <c r="X57" s="79"/>
      <c r="Y57" s="79"/>
      <c r="Z57" s="79"/>
    </row>
    <row r="58" spans="1:26">
      <c r="B58" s="196">
        <f>SUM(F56:F58)</f>
        <v>1282913.0151515151</v>
      </c>
      <c r="C58" s="196">
        <f>AVERAGE(F56:F58)</f>
        <v>641456.50757575757</v>
      </c>
      <c r="D58" s="197">
        <f>C58/C55-1</f>
        <v>0.10476236935534011</v>
      </c>
      <c r="E58" s="233">
        <f>C58/C46-1</f>
        <v>7.9093641685204608E-2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55867552</v>
      </c>
      <c r="R67" s="212">
        <v>82107974533</v>
      </c>
      <c r="S67" s="213">
        <v>1069085.1200000001</v>
      </c>
      <c r="T67" s="214">
        <v>319</v>
      </c>
      <c r="U67" s="214">
        <v>790</v>
      </c>
    </row>
    <row r="68" spans="16:21" ht="18" thickBot="1">
      <c r="P68" s="180" t="s">
        <v>976</v>
      </c>
      <c r="Q68" s="181">
        <v>10492372</v>
      </c>
      <c r="R68" s="181">
        <v>15282839558</v>
      </c>
      <c r="S68" s="182">
        <v>196374.13</v>
      </c>
      <c r="T68" s="210">
        <v>151</v>
      </c>
      <c r="U68" s="210">
        <v>399</v>
      </c>
    </row>
    <row r="69" spans="16:21" ht="18" thickBot="1">
      <c r="P69" s="180" t="s">
        <v>977</v>
      </c>
      <c r="Q69" s="181">
        <v>10797469</v>
      </c>
      <c r="R69" s="181">
        <v>15637691315</v>
      </c>
      <c r="S69" s="182">
        <v>203339.93</v>
      </c>
      <c r="T69" s="210">
        <v>133</v>
      </c>
      <c r="U69" s="210">
        <v>344</v>
      </c>
    </row>
    <row r="70" spans="16:21" ht="18" thickBot="1">
      <c r="P70" s="180" t="s">
        <v>978</v>
      </c>
      <c r="Q70" s="181">
        <v>12749173</v>
      </c>
      <c r="R70" s="181">
        <v>18764084622</v>
      </c>
      <c r="S70" s="182">
        <v>233598.96</v>
      </c>
      <c r="T70" s="210">
        <v>154</v>
      </c>
      <c r="U70" s="210">
        <v>423</v>
      </c>
    </row>
    <row r="71" spans="16:21" ht="18" thickBot="1">
      <c r="P71" s="180" t="s">
        <v>979</v>
      </c>
      <c r="Q71" s="181">
        <v>14153880</v>
      </c>
      <c r="R71" s="181">
        <v>21121611492</v>
      </c>
      <c r="S71" s="182">
        <v>264275.48</v>
      </c>
      <c r="T71" s="210">
        <v>155</v>
      </c>
      <c r="U71" s="210">
        <v>413</v>
      </c>
    </row>
    <row r="72" spans="16:21" ht="18" thickBot="1">
      <c r="P72" s="180" t="s">
        <v>980</v>
      </c>
      <c r="Q72" s="181">
        <v>7674658</v>
      </c>
      <c r="R72" s="181">
        <v>11301747546</v>
      </c>
      <c r="S72" s="182">
        <v>171496.59</v>
      </c>
      <c r="T72" s="210">
        <v>123</v>
      </c>
      <c r="U72" s="210">
        <v>317</v>
      </c>
    </row>
    <row r="73" spans="16:21" ht="18" thickBot="1">
      <c r="P73" s="180" t="s">
        <v>975</v>
      </c>
      <c r="Q73" s="181">
        <v>132023229</v>
      </c>
      <c r="R73" s="181">
        <v>187603377516</v>
      </c>
      <c r="S73" s="182">
        <v>2605024.48</v>
      </c>
      <c r="T73" s="210">
        <v>505</v>
      </c>
      <c r="U73" s="210">
        <v>1370</v>
      </c>
    </row>
    <row r="74" spans="16:21" ht="18" thickBot="1">
      <c r="P74" s="215" t="s">
        <v>982</v>
      </c>
      <c r="Q74" s="217">
        <v>13</v>
      </c>
      <c r="R74"/>
      <c r="S74"/>
      <c r="T74"/>
      <c r="U74"/>
    </row>
  </sheetData>
  <phoneticPr fontId="1" type="noConversion"/>
  <conditionalFormatting sqref="C29:C30">
    <cfRule type="cellIs" dxfId="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16">
    <tabColor rgb="FF92D050"/>
  </sheetPr>
  <dimension ref="A1:Z58"/>
  <sheetViews>
    <sheetView zoomScale="90" zoomScaleNormal="90" workbookViewId="0">
      <selection activeCell="F2" sqref="F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37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988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679142.2</v>
      </c>
      <c r="G5" s="90"/>
      <c r="H5" s="90"/>
      <c r="I5" s="130">
        <f t="shared" ref="I5:I49" si="0">T5</f>
        <v>141.99511756155738</v>
      </c>
      <c r="J5" s="130"/>
      <c r="L5" s="80"/>
      <c r="M5" s="80"/>
      <c r="P5" s="129" t="s">
        <v>0</v>
      </c>
      <c r="Q5" s="116">
        <f>결핵진단장비!Q5+결핵진단키트!Q5</f>
        <v>13582844</v>
      </c>
      <c r="R5" s="116"/>
      <c r="S5" s="116">
        <f>결핵진단장비!S5+결핵진단키트!S5</f>
        <v>95657.12</v>
      </c>
      <c r="T5" s="130">
        <f t="shared" ref="T5:T20" si="1">Q5/S5</f>
        <v>141.99511756155738</v>
      </c>
      <c r="U5" s="78">
        <f>S5/20</f>
        <v>4782.8559999999998</v>
      </c>
    </row>
    <row r="6" spans="1:21" ht="15" hidden="1" customHeight="1">
      <c r="A6" s="129" t="s">
        <v>1</v>
      </c>
      <c r="C6" s="79"/>
      <c r="F6" s="78">
        <f>Q6/18</f>
        <v>797396.4444444445</v>
      </c>
      <c r="G6" s="90">
        <f t="shared" ref="G6:G16" si="2">F6/F5-1</f>
        <v>0.17412295163582026</v>
      </c>
      <c r="H6" s="90"/>
      <c r="I6" s="130">
        <f t="shared" si="0"/>
        <v>208.44371296121889</v>
      </c>
      <c r="J6" s="130"/>
      <c r="P6" s="129" t="s">
        <v>1</v>
      </c>
      <c r="Q6" s="116">
        <f>결핵진단장비!Q6+결핵진단키트!Q6</f>
        <v>14353136</v>
      </c>
      <c r="R6" s="116"/>
      <c r="S6" s="116">
        <f>결핵진단장비!S6+결핵진단키트!S6</f>
        <v>68858.570000000007</v>
      </c>
      <c r="T6" s="130">
        <f t="shared" si="1"/>
        <v>208.44371296121889</v>
      </c>
      <c r="U6" s="78">
        <f>S6/18</f>
        <v>3825.4761111111115</v>
      </c>
    </row>
    <row r="7" spans="1:21" ht="15" hidden="1" customHeight="1">
      <c r="A7" s="129" t="s">
        <v>2</v>
      </c>
      <c r="B7" s="131">
        <f>F5+F6+F7</f>
        <v>2007681.3717171717</v>
      </c>
      <c r="C7" s="131">
        <f>AVERAGE(F5:F7)</f>
        <v>669227.12390572391</v>
      </c>
      <c r="F7" s="78">
        <f>Q7/22</f>
        <v>531142.72727272729</v>
      </c>
      <c r="G7" s="90">
        <f t="shared" si="2"/>
        <v>-0.33390381788975654</v>
      </c>
      <c r="H7" s="90"/>
      <c r="I7" s="130">
        <f t="shared" si="0"/>
        <v>165.81094486699595</v>
      </c>
      <c r="J7" s="130"/>
      <c r="K7" s="79">
        <f>Q5+Q6+Q7</f>
        <v>39621120</v>
      </c>
      <c r="L7" s="102">
        <f>R5+R6+R7</f>
        <v>0</v>
      </c>
      <c r="M7" s="102">
        <f>S5+S6+S7</f>
        <v>234988.36</v>
      </c>
      <c r="N7" s="88">
        <f>AVERAGE(T5:T7)</f>
        <v>172.08325846325738</v>
      </c>
      <c r="P7" s="129" t="s">
        <v>2</v>
      </c>
      <c r="Q7" s="116">
        <f>결핵진단장비!Q7+결핵진단키트!Q7</f>
        <v>11685140</v>
      </c>
      <c r="R7" s="116"/>
      <c r="S7" s="116">
        <f>결핵진단장비!S7+결핵진단키트!S7</f>
        <v>70472.67</v>
      </c>
      <c r="T7" s="130">
        <f t="shared" si="1"/>
        <v>165.81094486699595</v>
      </c>
      <c r="U7" s="78">
        <f>S7/22</f>
        <v>3203.3031818181817</v>
      </c>
    </row>
    <row r="8" spans="1:21" ht="15" hidden="1" customHeight="1">
      <c r="A8" s="129" t="s">
        <v>3</v>
      </c>
      <c r="C8" s="79"/>
      <c r="F8" s="78">
        <f>Q8/21</f>
        <v>340145.71428571426</v>
      </c>
      <c r="G8" s="90">
        <f t="shared" si="2"/>
        <v>-0.35959640070331089</v>
      </c>
      <c r="H8" s="90"/>
      <c r="I8" s="130">
        <f t="shared" si="0"/>
        <v>370.30608705930291</v>
      </c>
      <c r="J8" s="130"/>
      <c r="L8" s="90"/>
      <c r="P8" s="129" t="s">
        <v>3</v>
      </c>
      <c r="Q8" s="116">
        <f>결핵진단장비!Q8+결핵진단키트!Q8</f>
        <v>7143060</v>
      </c>
      <c r="R8" s="116"/>
      <c r="S8" s="116">
        <f>결핵진단장비!S8+결핵진단키트!S8</f>
        <v>19289.61</v>
      </c>
      <c r="T8" s="130">
        <f t="shared" si="1"/>
        <v>370.30608705930291</v>
      </c>
      <c r="U8" s="78">
        <f>S8/21</f>
        <v>918.55285714285719</v>
      </c>
    </row>
    <row r="9" spans="1:21" ht="15" hidden="1" customHeight="1">
      <c r="A9" s="129" t="s">
        <v>4</v>
      </c>
      <c r="C9" s="79"/>
      <c r="F9" s="78">
        <f>Q9/21</f>
        <v>336963.04761904763</v>
      </c>
      <c r="G9" s="90">
        <f t="shared" si="2"/>
        <v>-9.3567742676107235E-3</v>
      </c>
      <c r="H9" s="90"/>
      <c r="I9" s="130">
        <f t="shared" si="0"/>
        <v>316.8203632573439</v>
      </c>
      <c r="J9" s="130"/>
      <c r="L9" s="90"/>
      <c r="P9" s="129" t="s">
        <v>4</v>
      </c>
      <c r="Q9" s="116">
        <f>결핵진단장비!Q9+결핵진단키트!Q9</f>
        <v>7076224</v>
      </c>
      <c r="R9" s="116"/>
      <c r="S9" s="116">
        <f>결핵진단장비!S9+결핵진단키트!S9</f>
        <v>22335.13</v>
      </c>
      <c r="T9" s="130">
        <f t="shared" si="1"/>
        <v>316.8203632573439</v>
      </c>
      <c r="U9" s="78">
        <f>S9/21</f>
        <v>1063.577619047619</v>
      </c>
    </row>
    <row r="10" spans="1:21" ht="15" hidden="1" customHeight="1">
      <c r="A10" s="129" t="s">
        <v>5</v>
      </c>
      <c r="B10" s="131">
        <f>F8+F9+F10</f>
        <v>1182531.5714285714</v>
      </c>
      <c r="C10" s="131">
        <f>AVERAGE(F8:F10)</f>
        <v>394177.19047619047</v>
      </c>
      <c r="D10" s="90">
        <f>C10/C7-1</f>
        <v>-0.41099639211318129</v>
      </c>
      <c r="E10" s="286"/>
      <c r="F10" s="78">
        <f>Q10/21</f>
        <v>505422.80952380953</v>
      </c>
      <c r="G10" s="90">
        <f t="shared" si="2"/>
        <v>0.49993541753341897</v>
      </c>
      <c r="H10" s="90"/>
      <c r="I10" s="130">
        <f t="shared" si="0"/>
        <v>132.29774536594257</v>
      </c>
      <c r="J10" s="130"/>
      <c r="K10" s="79">
        <f>Q8+Q9+Q10</f>
        <v>24833163</v>
      </c>
      <c r="L10" s="102">
        <f>U10/U7-1</f>
        <v>0.19262621003764058</v>
      </c>
      <c r="M10" s="102">
        <f>S8+S9+S10</f>
        <v>121851.95</v>
      </c>
      <c r="N10" s="88">
        <f>AVERAGE(T8:T10)</f>
        <v>273.14139856086314</v>
      </c>
      <c r="O10" s="89">
        <f>N10/N7-1</f>
        <v>0.58726305510528998</v>
      </c>
      <c r="P10" s="129" t="s">
        <v>5</v>
      </c>
      <c r="Q10" s="116">
        <f>결핵진단장비!Q10+결핵진단키트!Q10</f>
        <v>10613879</v>
      </c>
      <c r="R10" s="116"/>
      <c r="S10" s="116">
        <f>결핵진단장비!S10+결핵진단키트!S10</f>
        <v>80227.209999999992</v>
      </c>
      <c r="T10" s="130">
        <f t="shared" si="1"/>
        <v>132.29774536594257</v>
      </c>
      <c r="U10" s="78">
        <f>S10/21</f>
        <v>3820.3433333333328</v>
      </c>
    </row>
    <row r="11" spans="1:21" ht="15" hidden="1" customHeight="1">
      <c r="A11" s="129" t="s">
        <v>6</v>
      </c>
      <c r="C11" s="79"/>
      <c r="F11" s="78">
        <f>Q11/21</f>
        <v>187926.09523809524</v>
      </c>
      <c r="G11" s="90">
        <f t="shared" si="2"/>
        <v>-0.62818042301028676</v>
      </c>
      <c r="H11" s="90"/>
      <c r="I11" s="130">
        <f t="shared" si="0"/>
        <v>192.78237506716818</v>
      </c>
      <c r="J11" s="130"/>
      <c r="L11" s="90"/>
      <c r="O11" s="89"/>
      <c r="P11" s="129" t="s">
        <v>6</v>
      </c>
      <c r="Q11" s="116">
        <f>결핵진단장비!Q11+결핵진단키트!Q11</f>
        <v>3946448</v>
      </c>
      <c r="R11" s="116"/>
      <c r="S11" s="116">
        <f>결핵진단장비!S11+결핵진단키트!S11</f>
        <v>20471</v>
      </c>
      <c r="T11" s="130">
        <f t="shared" si="1"/>
        <v>192.78237506716818</v>
      </c>
      <c r="U11" s="78">
        <f>S11/21</f>
        <v>974.80952380952385</v>
      </c>
    </row>
    <row r="12" spans="1:21" ht="15" hidden="1" customHeight="1">
      <c r="A12" s="129" t="s">
        <v>7</v>
      </c>
      <c r="C12" s="79"/>
      <c r="F12" s="78">
        <f>Q12/22</f>
        <v>241221.45454545456</v>
      </c>
      <c r="G12" s="90">
        <f t="shared" si="2"/>
        <v>0.28359743887529887</v>
      </c>
      <c r="H12" s="90"/>
      <c r="I12" s="130">
        <f t="shared" si="0"/>
        <v>126.4778327177708</v>
      </c>
      <c r="J12" s="130"/>
      <c r="L12" s="90"/>
      <c r="O12" s="89"/>
      <c r="P12" s="129" t="s">
        <v>7</v>
      </c>
      <c r="Q12" s="116">
        <f>결핵진단장비!Q12+결핵진단키트!Q12</f>
        <v>5306872</v>
      </c>
      <c r="R12" s="116"/>
      <c r="S12" s="116">
        <f>결핵진단장비!S12+결핵진단키트!S12</f>
        <v>41958.909999999996</v>
      </c>
      <c r="T12" s="130">
        <f t="shared" si="1"/>
        <v>126.4778327177708</v>
      </c>
      <c r="U12" s="78">
        <f>S12/22</f>
        <v>1907.2231818181817</v>
      </c>
    </row>
    <row r="13" spans="1:21" ht="15" hidden="1" customHeight="1">
      <c r="A13" s="129" t="s">
        <v>96</v>
      </c>
      <c r="B13" s="131">
        <f>F11+F12+F13</f>
        <v>677855.04978354974</v>
      </c>
      <c r="C13" s="131">
        <f>AVERAGE(F11:F13)</f>
        <v>225951.68326118324</v>
      </c>
      <c r="D13" s="90">
        <f>C13/C10-1</f>
        <v>-0.42677636169606969</v>
      </c>
      <c r="E13" s="286"/>
      <c r="F13" s="78">
        <f>Q13/20</f>
        <v>248707.5</v>
      </c>
      <c r="G13" s="90">
        <f t="shared" si="2"/>
        <v>3.1033912255656437E-2</v>
      </c>
      <c r="H13" s="90"/>
      <c r="I13" s="130">
        <f t="shared" si="0"/>
        <v>251.95647879404927</v>
      </c>
      <c r="J13" s="130"/>
      <c r="K13" s="79">
        <f>Q11+Q12+Q13</f>
        <v>14227470</v>
      </c>
      <c r="L13" s="102">
        <f>U13/U10-1</f>
        <v>-0.74161877248379948</v>
      </c>
      <c r="M13" s="102">
        <f>S11+S12+S13</f>
        <v>82172.009999999995</v>
      </c>
      <c r="N13" s="88">
        <f>AVERAGE(T11:T13)</f>
        <v>190.40556219299609</v>
      </c>
      <c r="O13" s="89">
        <f>N13/N10-1</f>
        <v>-0.30290478412935018</v>
      </c>
      <c r="P13" s="129" t="s">
        <v>96</v>
      </c>
      <c r="Q13" s="116">
        <f>결핵진단장비!Q13+결핵진단키트!Q13</f>
        <v>4974150</v>
      </c>
      <c r="R13" s="116"/>
      <c r="S13" s="116">
        <f>결핵진단장비!S13+결핵진단키트!S13</f>
        <v>19742.099999999999</v>
      </c>
      <c r="T13" s="130">
        <f t="shared" si="1"/>
        <v>251.95647879404927</v>
      </c>
      <c r="U13" s="78">
        <f>S13/20</f>
        <v>987.1049999999999</v>
      </c>
    </row>
    <row r="14" spans="1:21" ht="15" hidden="1" customHeight="1">
      <c r="A14" s="129" t="s">
        <v>97</v>
      </c>
      <c r="C14" s="79"/>
      <c r="F14" s="78">
        <f>Q14/20</f>
        <v>138801.60000000001</v>
      </c>
      <c r="G14" s="90">
        <f t="shared" si="2"/>
        <v>-0.4419082657338439</v>
      </c>
      <c r="H14" s="90"/>
      <c r="I14" s="130">
        <f t="shared" si="0"/>
        <v>225.64357666956846</v>
      </c>
      <c r="J14" s="130"/>
      <c r="L14" s="90"/>
      <c r="O14" s="89"/>
      <c r="P14" s="129" t="s">
        <v>97</v>
      </c>
      <c r="Q14" s="116">
        <f>결핵진단장비!Q14+결핵진단키트!Q14</f>
        <v>2776032</v>
      </c>
      <c r="R14" s="116"/>
      <c r="S14" s="116">
        <f>결핵진단장비!S14+결핵진단키트!S14</f>
        <v>12302.73</v>
      </c>
      <c r="T14" s="130">
        <f t="shared" si="1"/>
        <v>225.64357666956846</v>
      </c>
      <c r="U14" s="78">
        <f>S14/20</f>
        <v>615.13649999999996</v>
      </c>
    </row>
    <row r="15" spans="1:21" ht="15" hidden="1" customHeight="1">
      <c r="A15" s="129" t="s">
        <v>98</v>
      </c>
      <c r="B15" s="131"/>
      <c r="C15" s="131"/>
      <c r="F15" s="78">
        <f>Q15/22</f>
        <v>377432.09090909088</v>
      </c>
      <c r="G15" s="90">
        <f t="shared" si="2"/>
        <v>1.7192200299498772</v>
      </c>
      <c r="H15" s="90"/>
      <c r="I15" s="130">
        <f t="shared" si="0"/>
        <v>341.68163121536276</v>
      </c>
      <c r="J15" s="130"/>
      <c r="L15" s="90"/>
      <c r="O15" s="89"/>
      <c r="P15" s="129" t="s">
        <v>98</v>
      </c>
      <c r="Q15" s="116">
        <f>결핵진단장비!Q15+결핵진단키트!Q15</f>
        <v>8303506</v>
      </c>
      <c r="R15" s="116"/>
      <c r="S15" s="116">
        <f>결핵진단장비!S15+결핵진단키트!S15</f>
        <v>24301.88</v>
      </c>
      <c r="T15" s="130">
        <f t="shared" si="1"/>
        <v>341.68163121536276</v>
      </c>
      <c r="U15" s="78">
        <f>S15/22</f>
        <v>1104.6309090909092</v>
      </c>
    </row>
    <row r="16" spans="1:21" ht="15" hidden="1" customHeight="1">
      <c r="A16" s="129" t="s">
        <v>99</v>
      </c>
      <c r="B16" s="131">
        <f>F14+F15+F16</f>
        <v>680128.3727272728</v>
      </c>
      <c r="C16" s="131">
        <f>AVERAGE(F14:F16)</f>
        <v>226709.45757575761</v>
      </c>
      <c r="D16" s="90">
        <f>C16/C13-1</f>
        <v>3.3537006834263305E-3</v>
      </c>
      <c r="E16" s="286"/>
      <c r="F16" s="78">
        <f>Q16/22</f>
        <v>163894.68181818182</v>
      </c>
      <c r="G16" s="90">
        <f t="shared" si="2"/>
        <v>-0.56576378700756036</v>
      </c>
      <c r="H16" s="90"/>
      <c r="I16" s="130">
        <f t="shared" si="0"/>
        <v>208.46050580688129</v>
      </c>
      <c r="J16" s="130"/>
      <c r="K16" s="79">
        <f>Q14+Q15+Q16</f>
        <v>14685221</v>
      </c>
      <c r="L16" s="102">
        <f>U16/U13-1</f>
        <v>-0.20351477760264047</v>
      </c>
      <c r="N16" s="88">
        <f>AVERAGE(T14:T16)</f>
        <v>258.59523789727081</v>
      </c>
      <c r="O16" s="89">
        <f>N16/N13-1</f>
        <v>0.35812859098704952</v>
      </c>
      <c r="P16" s="129" t="s">
        <v>99</v>
      </c>
      <c r="Q16" s="116">
        <f>결핵진단장비!Q16+결핵진단키트!Q16</f>
        <v>3605683</v>
      </c>
      <c r="R16" s="116"/>
      <c r="S16" s="116">
        <f>결핵진단장비!S16+결핵진단키트!S16</f>
        <v>17296.72</v>
      </c>
      <c r="T16" s="130">
        <f t="shared" si="1"/>
        <v>208.46050580688129</v>
      </c>
      <c r="U16" s="78">
        <f>S16/22</f>
        <v>786.21454545454549</v>
      </c>
    </row>
    <row r="17" spans="1:21" ht="15" hidden="1" customHeight="1">
      <c r="A17" s="129" t="s">
        <v>100</v>
      </c>
      <c r="C17" s="79"/>
      <c r="F17" s="78">
        <f>Q17/20</f>
        <v>214482.35</v>
      </c>
      <c r="G17" s="90">
        <f t="shared" ref="G17:G22" si="3">F17/F16-1</f>
        <v>0.30865960762496325</v>
      </c>
      <c r="H17" s="90">
        <f t="shared" ref="H17:H22" si="4">F17/F5-1</f>
        <v>-0.6841863898311723</v>
      </c>
      <c r="I17" s="130">
        <f t="shared" si="0"/>
        <v>260.22732029339556</v>
      </c>
      <c r="J17" s="130">
        <f t="shared" ref="J17:J49" si="5">I17/I5-1</f>
        <v>0.83264977530359419</v>
      </c>
      <c r="L17" s="90"/>
      <c r="O17" s="89"/>
      <c r="P17" s="129" t="s">
        <v>100</v>
      </c>
      <c r="Q17" s="116">
        <f>결핵진단장비!Q17+결핵진단키트!Q17</f>
        <v>4289647</v>
      </c>
      <c r="R17" s="116">
        <f>결핵진단장비!R17+결핵진단키트!R17</f>
        <v>5391999382</v>
      </c>
      <c r="S17" s="116">
        <f>결핵진단장비!S17+결핵진단키트!S17</f>
        <v>16484.23</v>
      </c>
      <c r="T17" s="130">
        <f t="shared" si="1"/>
        <v>260.22732029339556</v>
      </c>
      <c r="U17" s="78">
        <f>S17/20</f>
        <v>824.2115</v>
      </c>
    </row>
    <row r="18" spans="1:21" ht="15" hidden="1" customHeight="1">
      <c r="A18" s="129" t="s">
        <v>106</v>
      </c>
      <c r="C18" s="79"/>
      <c r="F18" s="78">
        <f>Q18/20</f>
        <v>199712.4</v>
      </c>
      <c r="G18" s="90">
        <f t="shared" si="3"/>
        <v>-6.8863242126916302E-2</v>
      </c>
      <c r="H18" s="90">
        <f t="shared" si="4"/>
        <v>-0.74954440618412588</v>
      </c>
      <c r="I18" s="130">
        <f t="shared" si="0"/>
        <v>150.39439365716953</v>
      </c>
      <c r="J18" s="130">
        <f t="shared" si="5"/>
        <v>-0.27848918290401725</v>
      </c>
      <c r="O18" s="89"/>
      <c r="P18" s="129" t="s">
        <v>106</v>
      </c>
      <c r="Q18" s="116">
        <f>결핵진단장비!Q18+결핵진단키트!Q18</f>
        <v>3994248</v>
      </c>
      <c r="R18" s="116">
        <f>결핵진단장비!R18+결핵진단키트!R18</f>
        <v>5023490801</v>
      </c>
      <c r="S18" s="116">
        <f>결핵진단장비!S18+결핵진단키트!S18</f>
        <v>26558.489999999998</v>
      </c>
      <c r="T18" s="130">
        <f t="shared" si="1"/>
        <v>150.39439365716953</v>
      </c>
      <c r="U18" s="78">
        <f>S18/20</f>
        <v>1327.9244999999999</v>
      </c>
    </row>
    <row r="19" spans="1:21" hidden="1">
      <c r="A19" s="129" t="s">
        <v>114</v>
      </c>
      <c r="B19" s="131">
        <f>SUM(F17:F19)</f>
        <v>599145.79545454541</v>
      </c>
      <c r="C19" s="131">
        <f>AVERAGE(F17:F19)</f>
        <v>199715.26515151514</v>
      </c>
      <c r="D19" s="90">
        <f>C19/C16-1</f>
        <v>-0.11906954704446793</v>
      </c>
      <c r="E19" s="286">
        <f>C19/C7-1</f>
        <v>-0.70157326561131783</v>
      </c>
      <c r="F19" s="78">
        <f>Q19/22</f>
        <v>184951.04545454544</v>
      </c>
      <c r="G19" s="90">
        <f t="shared" si="3"/>
        <v>-7.3913059707131579E-2</v>
      </c>
      <c r="H19" s="90">
        <f t="shared" si="4"/>
        <v>-0.6517865425660283</v>
      </c>
      <c r="I19" s="130">
        <f t="shared" si="0"/>
        <v>224.51162693175249</v>
      </c>
      <c r="J19" s="130">
        <f t="shared" si="5"/>
        <v>0.35402175719970019</v>
      </c>
      <c r="K19" s="79">
        <f>Q17+Q18+Q19</f>
        <v>12352818</v>
      </c>
      <c r="L19" s="102">
        <f>U19/U16-1</f>
        <v>4.7796345203021007E-2</v>
      </c>
      <c r="M19" s="87">
        <f>U19/U7-1</f>
        <v>-0.74283023475625376</v>
      </c>
      <c r="N19" s="88">
        <f>AVERAGE(T17:T19)</f>
        <v>211.7111136274392</v>
      </c>
      <c r="O19" s="89">
        <f>N19/N16-1</f>
        <v>-0.18130312317838093</v>
      </c>
      <c r="P19" s="129" t="s">
        <v>115</v>
      </c>
      <c r="Q19" s="116">
        <f>결핵진단장비!Q19+결핵진단키트!Q19</f>
        <v>4068923</v>
      </c>
      <c r="R19" s="116">
        <f>결핵진단장비!R19+결핵진단키트!R19</f>
        <v>5321004853</v>
      </c>
      <c r="S19" s="116">
        <f>결핵진단장비!S19+결핵진단키트!S19</f>
        <v>18123.439999999999</v>
      </c>
      <c r="T19" s="130">
        <f t="shared" si="1"/>
        <v>224.51162693175249</v>
      </c>
      <c r="U19" s="78">
        <f>S19/22</f>
        <v>823.79272727272723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464139.65</v>
      </c>
      <c r="G20" s="90">
        <f t="shared" si="3"/>
        <v>1.5095270419223961</v>
      </c>
      <c r="H20" s="90">
        <f t="shared" si="4"/>
        <v>0.36453181829636061</v>
      </c>
      <c r="I20" s="130">
        <f t="shared" si="0"/>
        <v>187.40861783920292</v>
      </c>
      <c r="J20" s="130">
        <f t="shared" si="5"/>
        <v>-0.49390889216144529</v>
      </c>
      <c r="O20" s="89"/>
      <c r="P20" s="129" t="s">
        <v>132</v>
      </c>
      <c r="Q20" s="116">
        <f>결핵진단장비!Q20+결핵진단키트!Q20</f>
        <v>9282793</v>
      </c>
      <c r="R20" s="116">
        <f>결핵진단장비!R20+결핵진단키트!R20</f>
        <v>12186721184</v>
      </c>
      <c r="S20" s="116">
        <f>결핵진단장비!S20+결핵진단키트!S20</f>
        <v>49532.37</v>
      </c>
      <c r="T20" s="130">
        <f t="shared" si="1"/>
        <v>187.40861783920292</v>
      </c>
      <c r="U20" s="78">
        <f>S20/20</f>
        <v>2476.6185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274681.66666666669</v>
      </c>
      <c r="G21" s="90">
        <f t="shared" si="3"/>
        <v>-0.40819176584748429</v>
      </c>
      <c r="H21" s="90">
        <f t="shared" si="4"/>
        <v>-0.18483148639726499</v>
      </c>
      <c r="I21" s="130">
        <f t="shared" si="0"/>
        <v>167.40536149660579</v>
      </c>
      <c r="J21" s="130">
        <f t="shared" si="5"/>
        <v>-0.47160794913732451</v>
      </c>
      <c r="O21" s="89"/>
      <c r="P21" s="129" t="s">
        <v>141</v>
      </c>
      <c r="Q21" s="116">
        <f>결핵진단장비!Q21+결핵진단키트!Q21</f>
        <v>5768315</v>
      </c>
      <c r="R21" s="116">
        <f>결핵진단장비!R21+결핵진단키트!R21</f>
        <v>7680401864</v>
      </c>
      <c r="S21" s="116">
        <f>결핵진단장비!S21+결핵진단키트!S21</f>
        <v>34457.17</v>
      </c>
      <c r="T21" s="130">
        <f t="shared" ref="T21" si="6">Q21/S21</f>
        <v>167.40536149660579</v>
      </c>
      <c r="U21" s="78">
        <f>S21/20</f>
        <v>1722.8584999999998</v>
      </c>
    </row>
    <row r="22" spans="1:21" hidden="1">
      <c r="A22" s="129" t="s">
        <v>156</v>
      </c>
      <c r="B22" s="131">
        <f>SUM(F20:F22)</f>
        <v>917627.41190476192</v>
      </c>
      <c r="C22" s="131">
        <f>AVERAGE(F20:F22)</f>
        <v>305875.80396825395</v>
      </c>
      <c r="D22" s="90">
        <f>C22/C19-1</f>
        <v>0.53155946159748746</v>
      </c>
      <c r="E22" s="286">
        <f>C22/C10-1</f>
        <v>-0.22401444995146214</v>
      </c>
      <c r="F22" s="78">
        <f>Q22/21</f>
        <v>178806.09523809524</v>
      </c>
      <c r="G22" s="90">
        <f t="shared" si="3"/>
        <v>-0.34904248467706778</v>
      </c>
      <c r="H22" s="90">
        <f t="shared" si="4"/>
        <v>-0.64622472142371323</v>
      </c>
      <c r="I22" s="130">
        <f t="shared" si="0"/>
        <v>194.01362203251637</v>
      </c>
      <c r="J22" s="130">
        <f t="shared" si="5"/>
        <v>0.46649227842745478</v>
      </c>
      <c r="K22" s="79">
        <f>Q20+Q21+Q22</f>
        <v>18806036</v>
      </c>
      <c r="L22" s="102">
        <f>U22/U19-1</f>
        <v>6.7895498867764914E-2</v>
      </c>
      <c r="M22" s="87">
        <f>U22/U10-1</f>
        <v>-0.76972631287383098</v>
      </c>
      <c r="N22" s="88">
        <f>AVERAGE(T20:T22)</f>
        <v>182.94253378944168</v>
      </c>
      <c r="O22" s="89">
        <f>N22/N19-1</f>
        <v>-0.13588601630343944</v>
      </c>
      <c r="P22" s="129" t="s">
        <v>156</v>
      </c>
      <c r="Q22" s="116">
        <f>결핵진단장비!Q22+결핵진단키트!Q22</f>
        <v>3754928</v>
      </c>
      <c r="R22" s="116">
        <f>결핵진단장비!R22+결핵진단키트!R22</f>
        <v>4896254979</v>
      </c>
      <c r="S22" s="116">
        <f>결핵진단장비!S22+결핵진단키트!S22</f>
        <v>19353.940000000002</v>
      </c>
      <c r="T22" s="130">
        <f t="shared" ref="T22:T23" si="7">Q22/S22</f>
        <v>194.01362203251637</v>
      </c>
      <c r="U22" s="78">
        <f>S22/22</f>
        <v>879.72454545454559</v>
      </c>
    </row>
    <row r="23" spans="1:21" hidden="1">
      <c r="A23" s="129" t="s">
        <v>189</v>
      </c>
      <c r="B23" s="131"/>
      <c r="C23" s="131"/>
      <c r="F23" s="78">
        <f>Q23/21</f>
        <v>546731.71428571432</v>
      </c>
      <c r="G23" s="90">
        <f t="shared" ref="G23" si="8">F23/F22-1</f>
        <v>2.0576794015757427</v>
      </c>
      <c r="H23" s="90">
        <f t="shared" ref="H23" si="9">F23/F11-1</f>
        <v>1.9092910891008827</v>
      </c>
      <c r="I23" s="130">
        <f t="shared" si="0"/>
        <v>233.84647157881358</v>
      </c>
      <c r="J23" s="130">
        <f t="shared" si="5"/>
        <v>0.21300752466265682</v>
      </c>
      <c r="O23" s="89"/>
      <c r="P23" s="129" t="s">
        <v>189</v>
      </c>
      <c r="Q23" s="116">
        <f>결핵진단장비!Q23+결핵진단키트!Q23</f>
        <v>11481366</v>
      </c>
      <c r="R23" s="116">
        <f>결핵진단장비!R23+결핵진단키트!R23</f>
        <v>14923826287</v>
      </c>
      <c r="S23" s="116">
        <f>결핵진단장비!S23+결핵진단키트!S23</f>
        <v>49097.880000000005</v>
      </c>
      <c r="T23" s="130">
        <f t="shared" si="7"/>
        <v>233.84647157881358</v>
      </c>
      <c r="U23" s="78">
        <f>S23/21</f>
        <v>2337.994285714286</v>
      </c>
    </row>
    <row r="24" spans="1:21" hidden="1">
      <c r="A24" s="129" t="s">
        <v>205</v>
      </c>
      <c r="B24" s="131"/>
      <c r="C24" s="131"/>
      <c r="F24" s="78">
        <f>Q24/22</f>
        <v>191729.54545454544</v>
      </c>
      <c r="G24" s="90">
        <f t="shared" ref="G24" si="10">F24/F23-1</f>
        <v>-0.64931694934684137</v>
      </c>
      <c r="H24" s="90">
        <f t="shared" ref="H24" si="11">F24/F12-1</f>
        <v>-0.20517208630620831</v>
      </c>
      <c r="I24" s="130">
        <f t="shared" si="0"/>
        <v>174.90111652596926</v>
      </c>
      <c r="J24" s="130">
        <f t="shared" si="5"/>
        <v>0.38285984798816641</v>
      </c>
      <c r="O24" s="89"/>
      <c r="P24" s="129" t="s">
        <v>205</v>
      </c>
      <c r="Q24" s="116">
        <f>결핵진단장비!Q24+결핵진단키트!Q24</f>
        <v>4218050</v>
      </c>
      <c r="R24" s="116">
        <f>결핵진단장비!R24+결핵진단키트!R24</f>
        <v>5549454570</v>
      </c>
      <c r="S24" s="116">
        <f>결핵진단장비!S24+결핵진단키트!S24</f>
        <v>24116.77</v>
      </c>
      <c r="T24" s="130">
        <f t="shared" ref="T24" si="12">Q24/S24</f>
        <v>174.90111652596926</v>
      </c>
      <c r="U24" s="78">
        <f>S24/8</f>
        <v>3014.5962500000001</v>
      </c>
    </row>
    <row r="25" spans="1:21" s="79" customFormat="1" ht="13.2" hidden="1">
      <c r="A25" s="129" t="s">
        <v>219</v>
      </c>
      <c r="B25" s="131">
        <f>SUM(F23:F25)</f>
        <v>1131775.1544771018</v>
      </c>
      <c r="C25" s="131">
        <f>AVERAGE(F23:F25)</f>
        <v>377258.3848257006</v>
      </c>
      <c r="D25" s="90">
        <f>C25/C22-1</f>
        <v>0.23337112622630096</v>
      </c>
      <c r="E25" s="286">
        <f>C25/C13-1</f>
        <v>0.66964184280768624</v>
      </c>
      <c r="F25" s="78">
        <f>Q25/19</f>
        <v>393313.89473684208</v>
      </c>
      <c r="G25" s="90">
        <f t="shared" ref="G25" si="13">F25/F24-1</f>
        <v>1.0513995055085945</v>
      </c>
      <c r="H25" s="90">
        <f t="shared" ref="H25" si="14">F25/F13-1</f>
        <v>0.58143158021709063</v>
      </c>
      <c r="I25" s="130">
        <f t="shared" si="0"/>
        <v>515.49592492058514</v>
      </c>
      <c r="J25" s="130">
        <f t="shared" si="5"/>
        <v>1.0459720956092364</v>
      </c>
      <c r="K25" s="79">
        <f>Q23+Q24+Q25</f>
        <v>23172380</v>
      </c>
      <c r="L25" s="102">
        <f>U25/U22-1</f>
        <v>-0.25097163678300149</v>
      </c>
      <c r="M25" s="90">
        <f>U25/U13-1</f>
        <v>-0.33245334957918726</v>
      </c>
      <c r="N25" s="88">
        <f>AVERAGE(T23:T25)</f>
        <v>308.08117100845601</v>
      </c>
      <c r="O25" s="91">
        <f>N25/N22-1</f>
        <v>0.68403249166234392</v>
      </c>
      <c r="P25" s="129" t="s">
        <v>219</v>
      </c>
      <c r="Q25" s="116">
        <f>결핵진단장비!Q25+결핵진단키트!Q25</f>
        <v>7472964</v>
      </c>
      <c r="R25" s="116">
        <f>결핵진단장비!R25+결핵진단키트!R25</f>
        <v>9930692596</v>
      </c>
      <c r="S25" s="116">
        <f>결핵진단장비!S25+결핵진단키트!S25</f>
        <v>14496.65</v>
      </c>
      <c r="T25" s="130">
        <f t="shared" ref="T25" si="15">Q25/S25</f>
        <v>515.49592492058514</v>
      </c>
      <c r="U25" s="78">
        <f>S25/22</f>
        <v>658.93863636363631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231814.68421052632</v>
      </c>
      <c r="G26" s="90">
        <f t="shared" ref="G26" si="16">F26/F25-1</f>
        <v>-0.41061150568904115</v>
      </c>
      <c r="H26" s="90">
        <f t="shared" ref="H26" si="17">F26/F14-1</f>
        <v>0.67011536041750452</v>
      </c>
      <c r="I26" s="130">
        <f t="shared" si="0"/>
        <v>165.7440473726555</v>
      </c>
      <c r="J26" s="130">
        <f t="shared" si="5"/>
        <v>-0.26546082180140929</v>
      </c>
      <c r="L26" s="90"/>
      <c r="M26" s="90"/>
      <c r="P26" s="129" t="s">
        <v>312</v>
      </c>
      <c r="Q26" s="116">
        <f>결핵진단장비!Q26+결핵진단키트!Q26</f>
        <v>4404479</v>
      </c>
      <c r="R26" s="116">
        <f>결핵진단장비!R26+결핵진단키트!R26</f>
        <v>5947652524</v>
      </c>
      <c r="S26" s="116">
        <f>결핵진단장비!S26+결핵진단키트!S26</f>
        <v>26573.98</v>
      </c>
      <c r="T26" s="130">
        <f t="shared" ref="T26" si="18">Q26/S26</f>
        <v>165.7440473726555</v>
      </c>
      <c r="U26" s="78">
        <f>S26/8</f>
        <v>3321.7474999999999</v>
      </c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191659.90909090909</v>
      </c>
      <c r="G27" s="90">
        <f t="shared" ref="G27" si="19">F27/F26-1</f>
        <v>-0.17321929047061579</v>
      </c>
      <c r="H27" s="90">
        <f t="shared" ref="H27" si="20">F27/F15-1</f>
        <v>-0.49220028262760329</v>
      </c>
      <c r="I27" s="130">
        <f t="shared" si="0"/>
        <v>109.92896947734101</v>
      </c>
      <c r="J27" s="130">
        <f t="shared" si="5"/>
        <v>-0.67827076601594505</v>
      </c>
      <c r="L27" s="90"/>
      <c r="M27" s="90"/>
      <c r="P27" s="129" t="s">
        <v>374</v>
      </c>
      <c r="Q27" s="116">
        <f>결핵진단장비!Q27+결핵진단키트!Q27</f>
        <v>4216518</v>
      </c>
      <c r="R27" s="116">
        <f>결핵진단장비!R27+결핵진단키트!R27</f>
        <v>5589416342</v>
      </c>
      <c r="S27" s="116">
        <f>결핵진단장비!S27+결핵진단키트!S27</f>
        <v>38356.75</v>
      </c>
      <c r="T27" s="130">
        <f t="shared" ref="T27" si="21">Q27/S27</f>
        <v>109.92896947734101</v>
      </c>
      <c r="U27" s="78">
        <f>S27/8</f>
        <v>4794.59375</v>
      </c>
    </row>
    <row r="28" spans="1:21" s="79" customFormat="1" ht="13.2" hidden="1">
      <c r="A28" s="123" t="s">
        <v>413</v>
      </c>
      <c r="B28" s="131">
        <f>SUM(F26:F28)</f>
        <v>1147694.1196172249</v>
      </c>
      <c r="C28" s="131">
        <f>AVERAGE(F26:F28)</f>
        <v>382564.70653907495</v>
      </c>
      <c r="D28" s="90">
        <f>C28/C25-1</f>
        <v>1.406548383497408E-2</v>
      </c>
      <c r="E28" s="286">
        <f>C28/C16-1</f>
        <v>0.68746690424785872</v>
      </c>
      <c r="F28" s="78">
        <f>Q28/19</f>
        <v>724219.52631578944</v>
      </c>
      <c r="G28" s="90">
        <f t="shared" ref="G28" si="22">F28/F27-1</f>
        <v>2.7786698832893322</v>
      </c>
      <c r="H28" s="90">
        <f t="shared" ref="H28" si="23">F28/F16-1</f>
        <v>3.4188104109394439</v>
      </c>
      <c r="I28" s="130">
        <f t="shared" si="0"/>
        <v>315.05122495247963</v>
      </c>
      <c r="J28" s="130">
        <f t="shared" si="5"/>
        <v>0.51132332588861917</v>
      </c>
      <c r="K28" s="79">
        <f>Q26+Q27+Q28</f>
        <v>22381168</v>
      </c>
      <c r="L28" s="102">
        <f>U28/U25-1</f>
        <v>2.0128326199501263</v>
      </c>
      <c r="M28" s="90">
        <f>U28/U16-1</f>
        <v>1.5251018690248781</v>
      </c>
      <c r="N28" s="88">
        <f>AVERAGE(T26:T28)</f>
        <v>196.9080806008254</v>
      </c>
      <c r="O28" s="91">
        <f>N28/N25-1</f>
        <v>-0.36085649130624475</v>
      </c>
      <c r="P28" s="129" t="s">
        <v>413</v>
      </c>
      <c r="Q28" s="116">
        <f>결핵진단장비!Q28+결핵진단키트!Q28</f>
        <v>13760171</v>
      </c>
      <c r="R28" s="116">
        <f>결핵진단장비!R28+결핵진단키트!R28</f>
        <v>17924045829</v>
      </c>
      <c r="S28" s="116">
        <f>결핵진단장비!S28+결핵진단키트!S28</f>
        <v>43675.979999999996</v>
      </c>
      <c r="T28" s="130">
        <f t="shared" ref="T28" si="24">Q28/S28</f>
        <v>315.05122495247963</v>
      </c>
      <c r="U28" s="78">
        <f>S28/22</f>
        <v>1985.2718181818179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121839.04545454546</v>
      </c>
      <c r="G29" s="190">
        <f t="shared" ref="G29" si="25">F29/F28-1</f>
        <v>-0.83176503666732315</v>
      </c>
      <c r="H29" s="190">
        <f t="shared" ref="H29" si="26">F29/F17-1</f>
        <v>-0.43193905953312495</v>
      </c>
      <c r="I29" s="130">
        <f t="shared" si="0"/>
        <v>135.1098411168646</v>
      </c>
      <c r="J29" s="130">
        <f t="shared" si="5"/>
        <v>-0.4808007054580824</v>
      </c>
      <c r="K29" s="193"/>
      <c r="L29" s="190"/>
      <c r="M29" s="190"/>
      <c r="N29" s="191"/>
      <c r="O29" s="192"/>
      <c r="P29" s="129" t="s">
        <v>431</v>
      </c>
      <c r="Q29" s="116">
        <f>결핵진단장비!Q29+결핵진단키트!Q29</f>
        <v>2680459</v>
      </c>
      <c r="R29" s="116">
        <f>결핵진단장비!R29+결핵진단키트!R29</f>
        <v>3515715028</v>
      </c>
      <c r="S29" s="116">
        <f>결핵진단장비!S29+결핵진단키트!S29</f>
        <v>19839.11</v>
      </c>
      <c r="T29" s="130">
        <f t="shared" ref="T29" si="27">Q29/S29</f>
        <v>135.1098411168646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300875.89473684208</v>
      </c>
      <c r="G30" s="190">
        <f t="shared" ref="G30" si="28">F30/F29-1</f>
        <v>1.4694538078032626</v>
      </c>
      <c r="H30" s="190">
        <f t="shared" ref="H30" si="29">F30/F18-1</f>
        <v>0.50654588666924072</v>
      </c>
      <c r="I30" s="130">
        <f t="shared" si="0"/>
        <v>158.22218753312646</v>
      </c>
      <c r="J30" s="130">
        <f t="shared" si="5"/>
        <v>5.2048442003767237E-2</v>
      </c>
      <c r="K30" s="193"/>
      <c r="L30" s="190"/>
      <c r="M30" s="190"/>
      <c r="N30" s="191"/>
      <c r="O30" s="192"/>
      <c r="P30" s="129" t="s">
        <v>466</v>
      </c>
      <c r="Q30" s="116">
        <f>결핵진단장비!Q30+결핵진단키트!Q30</f>
        <v>5716642</v>
      </c>
      <c r="R30" s="116">
        <f>결핵진단장비!R30+결핵진단키트!R30</f>
        <v>7615925327</v>
      </c>
      <c r="S30" s="116">
        <f>결핵진단장비!S30+결핵진단키트!S30</f>
        <v>36130.47</v>
      </c>
      <c r="T30" s="130">
        <f t="shared" ref="T30" si="30">Q30/S30</f>
        <v>158.22218753312646</v>
      </c>
      <c r="U30" s="78"/>
    </row>
    <row r="31" spans="1:21" s="79" customFormat="1" ht="13.2" hidden="1">
      <c r="A31" s="129" t="s">
        <v>466</v>
      </c>
      <c r="B31" s="188">
        <f>SUM(F29:F31)</f>
        <v>693960.69019138755</v>
      </c>
      <c r="C31" s="188">
        <f>AVERAGE(F29:F31)</f>
        <v>231320.23006379584</v>
      </c>
      <c r="D31" s="190">
        <f>C31/C28-1</f>
        <v>-0.39534351677009982</v>
      </c>
      <c r="E31" s="287">
        <f>C31/C19-1</f>
        <v>0.15825012118279203</v>
      </c>
      <c r="F31" s="136">
        <f>Q31/20</f>
        <v>271245.75</v>
      </c>
      <c r="G31" s="190">
        <f t="shared" ref="G31" si="31">F31/F30-1</f>
        <v>-9.847962317738268E-2</v>
      </c>
      <c r="H31" s="190">
        <f t="shared" ref="H31" si="32">F31/F19-1</f>
        <v>0.46658132876930836</v>
      </c>
      <c r="I31" s="130">
        <f t="shared" si="0"/>
        <v>193.46043556204435</v>
      </c>
      <c r="J31" s="130">
        <f t="shared" si="5"/>
        <v>-0.13830549354643062</v>
      </c>
      <c r="K31" s="193">
        <f>Q29+Q30+Q31</f>
        <v>13822016</v>
      </c>
      <c r="L31" s="190">
        <f>U31/U28-1</f>
        <v>-0.35796586590615698</v>
      </c>
      <c r="M31" s="190">
        <f>U31/U19-1</f>
        <v>0.54724875630674985</v>
      </c>
      <c r="N31" s="191">
        <f>AVERAGE(T29:T31)</f>
        <v>162.26415473734514</v>
      </c>
      <c r="O31" s="192">
        <f>N31/N28-1</f>
        <v>-0.17593958438765589</v>
      </c>
      <c r="P31" s="129" t="s">
        <v>466</v>
      </c>
      <c r="Q31" s="116">
        <f>결핵진단장비!Q31+결핵진단키트!Q31</f>
        <v>5424915</v>
      </c>
      <c r="R31" s="116">
        <f>결핵진단장비!R31+결핵진단키트!R31</f>
        <v>7215080126</v>
      </c>
      <c r="S31" s="116">
        <f>결핵진단장비!S31+결핵진단키트!S31</f>
        <v>28041.47</v>
      </c>
      <c r="T31" s="130">
        <f t="shared" ref="T31" si="33">Q31/S31</f>
        <v>193.46043556204435</v>
      </c>
      <c r="U31" s="78">
        <f>S31/22</f>
        <v>1274.6122727272727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204830.71428571429</v>
      </c>
      <c r="G32" s="190">
        <f t="shared" ref="G32" si="34">F32/F31-1</f>
        <v>-0.24485189432197818</v>
      </c>
      <c r="H32" s="190">
        <f t="shared" ref="H32" si="35">F32/F20-1</f>
        <v>-0.55868731687604312</v>
      </c>
      <c r="I32" s="130">
        <f t="shared" si="0"/>
        <v>251.73669228446286</v>
      </c>
      <c r="J32" s="130">
        <f t="shared" si="5"/>
        <v>0.34325035415635785</v>
      </c>
      <c r="K32" s="193"/>
      <c r="L32" s="190"/>
      <c r="M32" s="190"/>
      <c r="N32" s="191"/>
      <c r="O32" s="192"/>
      <c r="P32" s="129" t="s">
        <v>565</v>
      </c>
      <c r="Q32" s="116">
        <f>결핵진단장비!Q32+결핵진단키트!Q32</f>
        <v>4301445</v>
      </c>
      <c r="R32" s="116">
        <f>결핵진단장비!R32+결핵진단키트!R32</f>
        <v>5860664019</v>
      </c>
      <c r="S32" s="116">
        <f>결핵진단장비!S32+결핵진단키트!S32</f>
        <v>17087.080000000002</v>
      </c>
      <c r="T32" s="130">
        <f t="shared" ref="T32" si="36">Q32/S32</f>
        <v>251.73669228446286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300751.76190476189</v>
      </c>
      <c r="G33" s="190">
        <f t="shared" ref="G33" si="37">F33/F32-1</f>
        <v>0.46829425925473878</v>
      </c>
      <c r="H33" s="190">
        <f t="shared" ref="H33" si="38">F33/F21-1</f>
        <v>9.491021208099748E-2</v>
      </c>
      <c r="I33" s="130">
        <f t="shared" si="0"/>
        <v>286.4836484260785</v>
      </c>
      <c r="J33" s="130">
        <f t="shared" si="5"/>
        <v>0.71131704423867603</v>
      </c>
      <c r="K33" s="193"/>
      <c r="L33" s="190"/>
      <c r="M33" s="190"/>
      <c r="N33" s="191"/>
      <c r="O33" s="192"/>
      <c r="P33" s="129" t="s">
        <v>610</v>
      </c>
      <c r="Q33" s="116">
        <f>결핵진단장비!Q33+결핵진단키트!Q33</f>
        <v>6315787</v>
      </c>
      <c r="R33" s="116">
        <f>결핵진단장비!R33+결핵진단키트!R33</f>
        <v>8645977191</v>
      </c>
      <c r="S33" s="116">
        <f>결핵진단장비!S33+결핵진단키트!S33</f>
        <v>22045.89</v>
      </c>
      <c r="T33" s="130">
        <f t="shared" ref="T33" si="39">Q33/S33</f>
        <v>286.4836484260785</v>
      </c>
      <c r="U33" s="78"/>
    </row>
    <row r="34" spans="1:21" s="79" customFormat="1" ht="13.2" hidden="1">
      <c r="A34" s="129" t="s">
        <v>652</v>
      </c>
      <c r="B34" s="188">
        <f>SUM(F32:F34)</f>
        <v>916129.52882205509</v>
      </c>
      <c r="C34" s="188">
        <f>AVERAGE(F32:F34)</f>
        <v>305376.50960735168</v>
      </c>
      <c r="D34" s="190">
        <f>C34/C31-1</f>
        <v>0.32014614339235203</v>
      </c>
      <c r="E34" s="287">
        <f>C34/C22-1</f>
        <v>-1.6323434362075506E-3</v>
      </c>
      <c r="F34" s="136">
        <f>Q34/19</f>
        <v>410547.05263157893</v>
      </c>
      <c r="G34" s="190">
        <f t="shared" ref="G34" si="40">F34/F33-1</f>
        <v>0.36506948465221489</v>
      </c>
      <c r="H34" s="190">
        <f t="shared" ref="H34" si="41">F34/F22-1</f>
        <v>1.2960461839116908</v>
      </c>
      <c r="I34" s="130">
        <f t="shared" si="0"/>
        <v>248.11115836294348</v>
      </c>
      <c r="J34" s="130">
        <f t="shared" si="5"/>
        <v>0.2788337012818638</v>
      </c>
      <c r="K34" s="193">
        <f>Q32+Q33+Q34</f>
        <v>18417626</v>
      </c>
      <c r="L34" s="190">
        <f>U34/U31-1</f>
        <v>0.12116483194354655</v>
      </c>
      <c r="M34" s="190">
        <f>U34/U22-1</f>
        <v>0.62442944434053205</v>
      </c>
      <c r="N34" s="191">
        <f>AVERAGE(T32:T34)</f>
        <v>262.11049969116158</v>
      </c>
      <c r="O34" s="192">
        <f>N34/N31-1</f>
        <v>0.61533211149089828</v>
      </c>
      <c r="P34" s="129" t="s">
        <v>652</v>
      </c>
      <c r="Q34" s="116">
        <f>결핵진단장비!Q34+결핵진단키트!Q34</f>
        <v>7800394</v>
      </c>
      <c r="R34" s="116">
        <f>결핵진단장비!R34+결핵진단키트!R34</f>
        <v>10749584006</v>
      </c>
      <c r="S34" s="116">
        <f>결핵진단장비!S34+결핵진단키트!S34</f>
        <v>31439.11</v>
      </c>
      <c r="T34" s="130">
        <f t="shared" ref="T34" si="42">Q34/S34</f>
        <v>248.11115836294348</v>
      </c>
      <c r="U34" s="78">
        <f>S34/22</f>
        <v>1429.0504545454546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239769.5652173913</v>
      </c>
      <c r="G35" s="190">
        <f t="shared" ref="G35" si="43">F35/F34-1</f>
        <v>-0.41597543160891171</v>
      </c>
      <c r="H35" s="190">
        <f t="shared" ref="H35" si="44">F35/F23-1</f>
        <v>-0.56144931974425194</v>
      </c>
      <c r="I35" s="130">
        <f t="shared" si="0"/>
        <v>169.11313962513412</v>
      </c>
      <c r="J35" s="130">
        <f t="shared" si="5"/>
        <v>-0.27681979341673446</v>
      </c>
      <c r="K35" s="193"/>
      <c r="L35" s="190"/>
      <c r="M35" s="190"/>
      <c r="N35" s="191"/>
      <c r="O35" s="192"/>
      <c r="P35" s="129" t="s">
        <v>660</v>
      </c>
      <c r="Q35" s="116">
        <f>결핵진단장비!Q35+결핵진단키트!Q35</f>
        <v>5514700</v>
      </c>
      <c r="R35" s="116">
        <f>결핵진단장비!R35+결핵진단키트!R35</f>
        <v>7639645110</v>
      </c>
      <c r="S35" s="116">
        <f>결핵진단장비!S35+결핵진단키트!S35</f>
        <v>32609.530000000002</v>
      </c>
      <c r="T35" s="130">
        <f t="shared" ref="T35" si="45">Q35/S35</f>
        <v>169.11313962513412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278819.52380952379</v>
      </c>
      <c r="G36" s="190">
        <f t="shared" ref="G36" si="46">F36/F35-1</f>
        <v>0.16286453435709047</v>
      </c>
      <c r="H36" s="190">
        <f t="shared" ref="H36" si="47">F36/F24-1</f>
        <v>0.45423347845794226</v>
      </c>
      <c r="I36" s="130">
        <f t="shared" si="0"/>
        <v>146.59178194134137</v>
      </c>
      <c r="J36" s="130">
        <f t="shared" si="5"/>
        <v>-0.16185908441827779</v>
      </c>
      <c r="K36" s="193"/>
      <c r="L36" s="190"/>
      <c r="M36" s="190"/>
      <c r="N36" s="191"/>
      <c r="O36" s="192"/>
      <c r="P36" s="129" t="s">
        <v>664</v>
      </c>
      <c r="Q36" s="116">
        <f>결핵진단장비!Q36+결핵진단키트!Q36</f>
        <v>5855210</v>
      </c>
      <c r="R36" s="116">
        <f>결핵진단장비!R36+결핵진단키트!R36</f>
        <v>7998066652</v>
      </c>
      <c r="S36" s="116">
        <f>결핵진단장비!S36+결핵진단키트!S36</f>
        <v>39942.28</v>
      </c>
      <c r="T36" s="130">
        <f t="shared" ref="T36" si="48">Q36/S36</f>
        <v>146.59178194134137</v>
      </c>
      <c r="U36" s="78"/>
    </row>
    <row r="37" spans="1:21" s="79" customFormat="1" ht="13.2" hidden="1">
      <c r="A37" s="129" t="s">
        <v>702</v>
      </c>
      <c r="B37" s="188">
        <f>SUM(F35:F37)</f>
        <v>880283.08902691514</v>
      </c>
      <c r="C37" s="188">
        <f>AVERAGE(F35:F37)</f>
        <v>293427.69634230505</v>
      </c>
      <c r="D37" s="190">
        <f>C37/C34-1</f>
        <v>-3.9128134906022183E-2</v>
      </c>
      <c r="E37" s="287">
        <f>C37/C25-1</f>
        <v>-0.22221027246916369</v>
      </c>
      <c r="F37" s="136">
        <f>Q37/18</f>
        <v>361694</v>
      </c>
      <c r="G37" s="190">
        <f t="shared" ref="G37" si="49">F37/F36-1</f>
        <v>0.29723340409652277</v>
      </c>
      <c r="H37" s="190">
        <f t="shared" ref="H37" si="50">F37/F25-1</f>
        <v>-8.0393535951732042E-2</v>
      </c>
      <c r="I37" s="130">
        <f t="shared" si="0"/>
        <v>61.585633602063517</v>
      </c>
      <c r="J37" s="130">
        <f t="shared" si="5"/>
        <v>-0.88053128914345713</v>
      </c>
      <c r="K37" s="193">
        <f>Q35+Q36+Q37</f>
        <v>17880402</v>
      </c>
      <c r="L37" s="190">
        <f>U37/U34-1</f>
        <v>2.3625143968770108</v>
      </c>
      <c r="M37" s="190">
        <f>U37/U25-1</f>
        <v>6.2923371951450857</v>
      </c>
      <c r="N37" s="191">
        <f>AVERAGE(T35:T37)</f>
        <v>125.76351838951301</v>
      </c>
      <c r="O37" s="192">
        <f>N37/N34-1</f>
        <v>-0.52018893353109807</v>
      </c>
      <c r="P37" s="129" t="s">
        <v>702</v>
      </c>
      <c r="Q37" s="116">
        <f>결핵진단장비!Q37+결핵진단키트!Q37</f>
        <v>6510492</v>
      </c>
      <c r="R37" s="116">
        <f>결핵진단장비!R37+결핵진단키트!R37</f>
        <v>8703921693</v>
      </c>
      <c r="S37" s="116">
        <f>결핵진단장비!S37+결핵진단키트!S37</f>
        <v>105714.46</v>
      </c>
      <c r="T37" s="130">
        <f t="shared" ref="T37" si="51">Q37/S37</f>
        <v>61.585633602063517</v>
      </c>
      <c r="U37" s="78">
        <f>S37/22</f>
        <v>4805.2027272727273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215916.35</v>
      </c>
      <c r="G38" s="190">
        <f t="shared" ref="G38" si="52">F38/F37-1</f>
        <v>-0.40304138304754844</v>
      </c>
      <c r="H38" s="190">
        <f t="shared" ref="H38" si="53">F38/F26-1</f>
        <v>-6.8582084282840294E-2</v>
      </c>
      <c r="I38" s="130">
        <f t="shared" si="0"/>
        <v>184.72450840822134</v>
      </c>
      <c r="J38" s="130">
        <f t="shared" si="5"/>
        <v>0.11451669810434018</v>
      </c>
      <c r="K38" s="193"/>
      <c r="L38" s="190"/>
      <c r="M38" s="190"/>
      <c r="N38" s="191"/>
      <c r="O38" s="192"/>
      <c r="P38" s="129" t="s">
        <v>727</v>
      </c>
      <c r="Q38" s="116">
        <f>결핵진단장비!Q38+결핵진단키트!Q38</f>
        <v>4318327</v>
      </c>
      <c r="R38" s="116">
        <f>결핵진단장비!R38+결핵진단키트!R38</f>
        <v>5807161043</v>
      </c>
      <c r="S38" s="116">
        <f>결핵진단장비!S38+결핵진단키트!S38</f>
        <v>23377.120000000003</v>
      </c>
      <c r="T38" s="130">
        <f t="shared" ref="T38" si="54">Q38/S38</f>
        <v>184.72450840822134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249804.71428571429</v>
      </c>
      <c r="G39" s="190">
        <f t="shared" ref="G39" si="55">F39/F38-1</f>
        <v>0.15695135771660773</v>
      </c>
      <c r="H39" s="190">
        <f t="shared" ref="H39" si="56">F39/F27-1</f>
        <v>0.30337489707993992</v>
      </c>
      <c r="I39" s="130">
        <f t="shared" si="0"/>
        <v>218.6197518372164</v>
      </c>
      <c r="J39" s="130">
        <f t="shared" si="5"/>
        <v>0.98873648026218564</v>
      </c>
      <c r="K39" s="193"/>
      <c r="L39" s="190"/>
      <c r="M39" s="190"/>
      <c r="N39" s="191"/>
      <c r="O39" s="192"/>
      <c r="P39" s="129" t="s">
        <v>762</v>
      </c>
      <c r="Q39" s="116">
        <f>결핵진단장비!Q39+결핵진단키트!Q39</f>
        <v>5245899</v>
      </c>
      <c r="R39" s="116">
        <f>결핵진단장비!R39+결핵진단키트!R39</f>
        <v>7280371729</v>
      </c>
      <c r="S39" s="116">
        <f>결핵진단장비!S39+결핵진단키트!S39</f>
        <v>23995.54</v>
      </c>
      <c r="T39" s="130">
        <f t="shared" ref="T39" si="57">Q39/S39</f>
        <v>218.6197518372164</v>
      </c>
      <c r="U39" s="78"/>
    </row>
    <row r="40" spans="1:21" s="79" customFormat="1" ht="13.2" hidden="1">
      <c r="A40" s="129" t="s">
        <v>778</v>
      </c>
      <c r="B40" s="188">
        <f>SUM(F38:F40)</f>
        <v>865687.0642857143</v>
      </c>
      <c r="C40" s="188">
        <f>AVERAGE(F38:F40)</f>
        <v>288562.35476190475</v>
      </c>
      <c r="D40" s="190">
        <f>C40/C37-1</f>
        <v>-1.6581057756472006E-2</v>
      </c>
      <c r="E40" s="287">
        <f>C40/C28-1</f>
        <v>-0.24571621524519505</v>
      </c>
      <c r="F40" s="136">
        <f>Q40/21</f>
        <v>399966</v>
      </c>
      <c r="G40" s="190">
        <f t="shared" ref="G40" si="58">F40/F39-1</f>
        <v>0.60111469931083317</v>
      </c>
      <c r="H40" s="190">
        <f t="shared" ref="H40" si="59">F40/F28-1</f>
        <v>-0.44772822954017066</v>
      </c>
      <c r="I40" s="130">
        <f t="shared" si="0"/>
        <v>269.732566328541</v>
      </c>
      <c r="J40" s="130">
        <f t="shared" si="5"/>
        <v>-0.14384536556166139</v>
      </c>
      <c r="K40" s="193">
        <f>Q38+Q39+Q40</f>
        <v>17963512</v>
      </c>
      <c r="L40" s="190">
        <f>U40/U37-1</f>
        <v>-0.70543944508632028</v>
      </c>
      <c r="M40" s="190">
        <f>U40/U28-1</f>
        <v>-0.28703809279150683</v>
      </c>
      <c r="N40" s="191">
        <f>AVERAGE(T38:T40)</f>
        <v>224.35894219132624</v>
      </c>
      <c r="O40" s="192">
        <f>N40/N37-1</f>
        <v>0.78397475726183852</v>
      </c>
      <c r="P40" s="129" t="s">
        <v>778</v>
      </c>
      <c r="Q40" s="116">
        <f>결핵진단장비!Q40+결핵진단키트!Q40</f>
        <v>8399286</v>
      </c>
      <c r="R40" s="116">
        <f>결핵진단장비!R40+결핵진단키트!R40</f>
        <v>11910819671</v>
      </c>
      <c r="S40" s="116">
        <f>결핵진단장비!S40+결핵진단키트!S40</f>
        <v>31139.309999999998</v>
      </c>
      <c r="T40" s="130">
        <f t="shared" ref="T40" si="60">Q40/S40</f>
        <v>269.732566328541</v>
      </c>
      <c r="U40" s="78">
        <f>S40/22</f>
        <v>1415.4231818181818</v>
      </c>
    </row>
    <row r="41" spans="1:21" s="79" customFormat="1" ht="13.2">
      <c r="A41" s="129" t="s">
        <v>795</v>
      </c>
      <c r="B41" s="193"/>
      <c r="C41" s="194"/>
      <c r="D41" s="195"/>
      <c r="E41" s="288"/>
      <c r="F41" s="136">
        <f>Q41/18</f>
        <v>184880.55555555556</v>
      </c>
      <c r="G41" s="190">
        <f t="shared" ref="G41" si="61">F41/F40-1</f>
        <v>-0.53775932065336662</v>
      </c>
      <c r="H41" s="190">
        <f t="shared" ref="H41" si="62">F41/F29-1</f>
        <v>0.51741631646752384</v>
      </c>
      <c r="I41" s="130">
        <f t="shared" si="0"/>
        <v>154.32648385944898</v>
      </c>
      <c r="J41" s="130">
        <f t="shared" si="5"/>
        <v>0.14222977825843763</v>
      </c>
      <c r="K41" s="193"/>
      <c r="L41" s="190"/>
      <c r="M41" s="190"/>
      <c r="N41" s="193"/>
      <c r="O41" s="193"/>
      <c r="P41" s="129" t="s">
        <v>795</v>
      </c>
      <c r="Q41" s="116">
        <f>결핵진단장비!Q41+결핵진단키트!Q41</f>
        <v>3327850</v>
      </c>
      <c r="R41" s="116">
        <f>결핵진단장비!R41+결핵진단키트!R41</f>
        <v>4875632547</v>
      </c>
      <c r="S41" s="116">
        <f>결핵진단장비!S41+결핵진단키트!S41</f>
        <v>21563.7</v>
      </c>
      <c r="T41" s="130">
        <f t="shared" ref="T41" si="63">Q41/S41</f>
        <v>154.32648385944898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289876.95</v>
      </c>
      <c r="G42" s="190">
        <f t="shared" ref="G42" si="64">F42/F41-1</f>
        <v>0.56791474976336076</v>
      </c>
      <c r="H42" s="190">
        <f t="shared" ref="H42" si="65">F42/F30-1</f>
        <v>-3.6556417211362713E-2</v>
      </c>
      <c r="I42" s="130">
        <f t="shared" si="0"/>
        <v>420.11730596290818</v>
      </c>
      <c r="J42" s="130">
        <f t="shared" si="5"/>
        <v>1.6552363642106109</v>
      </c>
      <c r="K42" s="193"/>
      <c r="L42" s="190"/>
      <c r="M42" s="190"/>
      <c r="N42" s="193"/>
      <c r="O42" s="193"/>
      <c r="P42" s="129" t="s">
        <v>826</v>
      </c>
      <c r="Q42" s="116">
        <f>결핵진단장비!Q42+결핵진단키트!Q42</f>
        <v>5797539</v>
      </c>
      <c r="R42" s="116">
        <f>결핵진단장비!R42+결핵진단키트!R42</f>
        <v>8361411360</v>
      </c>
      <c r="S42" s="116">
        <f>결핵진단장비!S42+결핵진단키트!S42</f>
        <v>13799.81</v>
      </c>
      <c r="T42" s="130">
        <f t="shared" ref="T42" si="66">Q42/S42</f>
        <v>420.11730596290818</v>
      </c>
      <c r="U42" s="78"/>
    </row>
    <row r="43" spans="1:21" s="79" customFormat="1" ht="13.2">
      <c r="A43" s="129" t="s">
        <v>835</v>
      </c>
      <c r="B43" s="188">
        <f>SUM(F41:F43)</f>
        <v>642094.20555555564</v>
      </c>
      <c r="C43" s="188">
        <f>AVERAGE(F41:F43)</f>
        <v>214031.40185185187</v>
      </c>
      <c r="D43" s="190">
        <f>C43/C40-1</f>
        <v>-0.25828370083668395</v>
      </c>
      <c r="E43" s="287">
        <f>C43/C31-1</f>
        <v>-7.4739802079463069E-2</v>
      </c>
      <c r="F43" s="136">
        <f>Q43/20</f>
        <v>167336.70000000001</v>
      </c>
      <c r="G43" s="190">
        <f t="shared" ref="G43" si="67">F43/F42-1</f>
        <v>-0.42273195574880995</v>
      </c>
      <c r="H43" s="190">
        <f t="shared" ref="H43" si="68">F43/F31-1</f>
        <v>-0.3830808408979679</v>
      </c>
      <c r="I43" s="130">
        <f t="shared" si="0"/>
        <v>105.04510832872724</v>
      </c>
      <c r="J43" s="130">
        <f t="shared" si="5"/>
        <v>-0.45702020145075917</v>
      </c>
      <c r="K43" s="193">
        <f>Q41+Q42+Q43</f>
        <v>12472123</v>
      </c>
      <c r="L43" s="190">
        <f>U43/U40-1</f>
        <v>2.3143094692849697E-2</v>
      </c>
      <c r="M43" s="190">
        <f>K43/K31-1</f>
        <v>-9.7662526219040702E-2</v>
      </c>
      <c r="N43" s="191">
        <f>AVERAGE(T41:T43)</f>
        <v>226.4962993836948</v>
      </c>
      <c r="O43" s="192">
        <f>N43/N40-1</f>
        <v>9.5265077089992101E-3</v>
      </c>
      <c r="P43" s="129" t="s">
        <v>835</v>
      </c>
      <c r="Q43" s="116">
        <f>결핵진단장비!Q43+결핵진단키트!Q43</f>
        <v>3346734</v>
      </c>
      <c r="R43" s="116">
        <f>결핵진단장비!R43+결핵진단키트!R43</f>
        <v>4851730017</v>
      </c>
      <c r="S43" s="116">
        <f>결핵진단장비!S43+결핵진단키트!S43</f>
        <v>31859.97</v>
      </c>
      <c r="T43" s="130">
        <f t="shared" ref="T43" si="69">Q43/S43</f>
        <v>105.04510832872724</v>
      </c>
      <c r="U43" s="78">
        <f>S43/22</f>
        <v>1448.1804545454545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138264.63636363635</v>
      </c>
      <c r="G44" s="190">
        <f t="shared" ref="G44" si="70">F44/F43-1</f>
        <v>-0.17373393664607739</v>
      </c>
      <c r="H44" s="190">
        <f t="shared" ref="H44" si="71">F44/F32-1</f>
        <v>-0.32498093928055261</v>
      </c>
      <c r="I44" s="130">
        <f t="shared" si="0"/>
        <v>65.244012299709311</v>
      </c>
      <c r="J44" s="130">
        <f t="shared" si="5"/>
        <v>-0.74082438397187067</v>
      </c>
      <c r="K44" s="193"/>
      <c r="L44" s="190"/>
      <c r="M44" s="190"/>
      <c r="N44" s="191"/>
      <c r="O44" s="192"/>
      <c r="P44" s="129" t="s">
        <v>839</v>
      </c>
      <c r="Q44" s="116">
        <f>결핵진단장비!Q44+결핵진단키트!Q44</f>
        <v>3041822</v>
      </c>
      <c r="R44" s="116">
        <f>결핵진단장비!R44+결핵진단키트!R44</f>
        <v>4432474533</v>
      </c>
      <c r="S44" s="116">
        <f>결핵진단장비!S44+결핵진단키트!S44</f>
        <v>46622.240000000005</v>
      </c>
      <c r="T44" s="130">
        <f t="shared" ref="T44" si="72">Q44/S44</f>
        <v>65.244012299709311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273238</v>
      </c>
      <c r="G45" s="190">
        <f t="shared" ref="G45" si="73">F45/F44-1</f>
        <v>0.97619584577927321</v>
      </c>
      <c r="H45" s="190">
        <f t="shared" ref="H45" si="74">F45/F33-1</f>
        <v>-9.148329416429013E-2</v>
      </c>
      <c r="I45" s="130">
        <f t="shared" si="0"/>
        <v>310.22240488838878</v>
      </c>
      <c r="J45" s="130">
        <f t="shared" si="5"/>
        <v>8.2862517957759119E-2</v>
      </c>
      <c r="K45" s="193"/>
      <c r="L45" s="190"/>
      <c r="M45" s="190"/>
      <c r="N45" s="191"/>
      <c r="O45" s="192"/>
      <c r="P45" s="129" t="s">
        <v>849</v>
      </c>
      <c r="Q45" s="116">
        <f>결핵진단장비!Q45+결핵진단키트!Q45</f>
        <v>5464760</v>
      </c>
      <c r="R45" s="116">
        <f>결핵진단장비!R45+결핵진단키트!R45</f>
        <v>7701689234</v>
      </c>
      <c r="S45" s="116">
        <f>결핵진단장비!S45+결핵진단키트!S45</f>
        <v>17615.620000000003</v>
      </c>
      <c r="T45" s="130">
        <f t="shared" ref="T45" si="75">Q45/S45</f>
        <v>310.22240488838878</v>
      </c>
      <c r="U45" s="78"/>
    </row>
    <row r="46" spans="1:21" s="79" customFormat="1" ht="13.2">
      <c r="A46" s="129" t="s">
        <v>892</v>
      </c>
      <c r="B46" s="188">
        <f>SUM(F44:F46)</f>
        <v>565002.26794258365</v>
      </c>
      <c r="C46" s="188">
        <f>AVERAGE(F44:F46)</f>
        <v>188334.08931419454</v>
      </c>
      <c r="D46" s="190">
        <f>C46/C43-1</f>
        <v>-0.12006328190778515</v>
      </c>
      <c r="E46" s="287">
        <f>C46/C34-1</f>
        <v>-0.38327250659734258</v>
      </c>
      <c r="F46" s="136">
        <f>Q46/19</f>
        <v>153499.63157894736</v>
      </c>
      <c r="G46" s="190">
        <f t="shared" ref="G46" si="76">F46/F45-1</f>
        <v>-0.43822004414119797</v>
      </c>
      <c r="H46" s="190">
        <f t="shared" ref="H46" si="77">F46/F34-1</f>
        <v>-0.62610952728798064</v>
      </c>
      <c r="I46" s="130">
        <f t="shared" si="0"/>
        <v>302.78858941602618</v>
      </c>
      <c r="J46" s="130">
        <f t="shared" si="5"/>
        <v>0.22037473612169878</v>
      </c>
      <c r="K46" s="193">
        <f>Q44+Q45+Q46</f>
        <v>11423075</v>
      </c>
      <c r="L46" s="190">
        <f>U46/U43-1</f>
        <v>-0.69767360107369836</v>
      </c>
      <c r="M46" s="190">
        <f>K46/K34-1</f>
        <v>-0.3797748417738529</v>
      </c>
      <c r="N46" s="191">
        <f>AVERAGE(T44:T46)</f>
        <v>226.08500220137475</v>
      </c>
      <c r="O46" s="192">
        <f>N46/N43-1</f>
        <v>-1.8159112684807965E-3</v>
      </c>
      <c r="P46" s="129" t="s">
        <v>888</v>
      </c>
      <c r="Q46" s="116">
        <f>결핵진단장비!Q46+결핵진단키트!Q46</f>
        <v>2916493</v>
      </c>
      <c r="R46" s="116">
        <f>결핵진단장비!R46+결핵진단키트!R46</f>
        <v>3991939291</v>
      </c>
      <c r="S46" s="116">
        <f>결핵진단장비!S46+결핵진단키트!S46</f>
        <v>9632.11</v>
      </c>
      <c r="T46" s="130">
        <f t="shared" ref="T46" si="78">Q46/S46</f>
        <v>302.78858941602618</v>
      </c>
      <c r="U46" s="78">
        <f t="shared" ref="U46:U51" si="79">S46/22</f>
        <v>437.82318181818187</v>
      </c>
    </row>
    <row r="47" spans="1:21" s="79" customFormat="1" ht="13.2">
      <c r="A47" s="129" t="s">
        <v>993</v>
      </c>
      <c r="B47" s="188"/>
      <c r="C47" s="188"/>
      <c r="D47" s="190"/>
      <c r="E47" s="287"/>
      <c r="F47" s="136">
        <f>Q47/23</f>
        <v>211324.47826086957</v>
      </c>
      <c r="G47" s="190">
        <f t="shared" ref="G47" si="80">F47/F46-1</f>
        <v>0.37671000306070401</v>
      </c>
      <c r="H47" s="190">
        <f t="shared" ref="H47" si="81">F47/F35-1</f>
        <v>-0.11863510254410936</v>
      </c>
      <c r="I47" s="130">
        <f t="shared" si="0"/>
        <v>150.16399064499487</v>
      </c>
      <c r="J47" s="130">
        <f t="shared" si="5"/>
        <v>-0.11205012822861093</v>
      </c>
      <c r="K47" s="193"/>
      <c r="L47" s="190"/>
      <c r="M47" s="190"/>
      <c r="N47" s="191"/>
      <c r="O47" s="192"/>
      <c r="P47" s="129" t="s">
        <v>991</v>
      </c>
      <c r="Q47" s="116">
        <f>결핵진단장비!Q47+결핵진단키트!Q47</f>
        <v>4860463</v>
      </c>
      <c r="R47" s="116">
        <f>결핵진단장비!R47+결핵진단키트!R47</f>
        <v>6634986079</v>
      </c>
      <c r="S47" s="116">
        <f>결핵진단장비!S47+결핵진단키트!S47</f>
        <v>32367.699999999997</v>
      </c>
      <c r="T47" s="130">
        <f t="shared" ref="T47" si="82">Q47/S47</f>
        <v>150.16399064499487</v>
      </c>
      <c r="U47" s="78">
        <f t="shared" si="79"/>
        <v>1471.2590909090907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169837.9</v>
      </c>
      <c r="G48" s="190">
        <f t="shared" ref="G48" si="83">F48/F47-1</f>
        <v>-0.19631695581264585</v>
      </c>
      <c r="H48" s="190">
        <f t="shared" ref="H48" si="84">F48/F36-1</f>
        <v>-0.3908679791160351</v>
      </c>
      <c r="I48" s="130">
        <f t="shared" si="0"/>
        <v>145.04128014347171</v>
      </c>
      <c r="J48" s="130">
        <f t="shared" si="5"/>
        <v>-1.0577003549149144E-2</v>
      </c>
      <c r="K48" s="193"/>
      <c r="L48" s="190"/>
      <c r="M48" s="190"/>
      <c r="N48" s="191"/>
      <c r="O48" s="192"/>
      <c r="P48" s="129" t="s">
        <v>1070</v>
      </c>
      <c r="Q48" s="116">
        <f>결핵진단장비!Q48+결핵진단키트!Q48</f>
        <v>3396758</v>
      </c>
      <c r="R48" s="116">
        <f>결핵진단장비!R48+결핵진단키트!R48</f>
        <v>4710563538</v>
      </c>
      <c r="S48" s="116">
        <f>결핵진단장비!S48+결핵진단키트!S48</f>
        <v>23419.25</v>
      </c>
      <c r="T48" s="130">
        <f t="shared" ref="T48" si="85">Q48/S48</f>
        <v>145.04128014347171</v>
      </c>
      <c r="U48" s="78">
        <f t="shared" si="79"/>
        <v>1064.5113636363637</v>
      </c>
    </row>
    <row r="49" spans="1:26" ht="13.2">
      <c r="A49" s="129" t="s">
        <v>1208</v>
      </c>
      <c r="B49" s="188">
        <f>SUM(F47:F49)</f>
        <v>640281.74189723318</v>
      </c>
      <c r="C49" s="188">
        <f>AVERAGE(F47:F49)</f>
        <v>213427.24729907772</v>
      </c>
      <c r="D49" s="190">
        <f>C49/C46-1</f>
        <v>0.13323747217648263</v>
      </c>
      <c r="E49" s="287">
        <f>C49/C37-1</f>
        <v>-0.27264109707592465</v>
      </c>
      <c r="F49" s="136">
        <f>Q49/22</f>
        <v>259119.36363636365</v>
      </c>
      <c r="G49" s="190">
        <f t="shared" ref="G49" si="86">F49/F48-1</f>
        <v>0.52568633759816663</v>
      </c>
      <c r="H49" s="190">
        <f t="shared" ref="H49" si="87">F49/F37-1</f>
        <v>-0.28359507308287213</v>
      </c>
      <c r="I49" s="130">
        <f t="shared" si="0"/>
        <v>363.51373325230628</v>
      </c>
      <c r="J49" s="130">
        <f t="shared" si="5"/>
        <v>4.9025735709915015</v>
      </c>
      <c r="K49" s="193">
        <f>Q47+Q48+Q49</f>
        <v>13957847</v>
      </c>
      <c r="L49" s="190">
        <f>U49/U46-1</f>
        <v>0.62809706284500488</v>
      </c>
      <c r="M49" s="190">
        <f>K49/K37-1</f>
        <v>-0.21937733838422646</v>
      </c>
      <c r="N49" s="191">
        <f>AVERAGE(T47:T49)</f>
        <v>219.57300134692431</v>
      </c>
      <c r="O49" s="192">
        <f>N49/N46-1</f>
        <v>-2.8803329681507006E-2</v>
      </c>
      <c r="P49" s="129" t="s">
        <v>1158</v>
      </c>
      <c r="Q49" s="116">
        <f>결핵진단장비!Q49+결핵진단키트!Q49</f>
        <v>5700626</v>
      </c>
      <c r="R49" s="116">
        <f>결핵진단장비!R49+결핵진단키트!R49</f>
        <v>7928166914</v>
      </c>
      <c r="S49" s="116">
        <f>결핵진단장비!S49+결핵진단키트!S49</f>
        <v>15682.01</v>
      </c>
      <c r="T49" s="130">
        <f t="shared" ref="T49" si="88">Q49/S49</f>
        <v>363.51373325230628</v>
      </c>
      <c r="U49" s="78">
        <f t="shared" si="79"/>
        <v>712.81863636363641</v>
      </c>
      <c r="V49" s="79"/>
      <c r="W49" s="79"/>
      <c r="X49" s="79"/>
      <c r="Y49" s="79"/>
      <c r="Z49" s="79"/>
    </row>
    <row r="50" spans="1:26" ht="13.2">
      <c r="A50" s="129" t="s">
        <v>1296</v>
      </c>
      <c r="B50" s="188"/>
      <c r="C50" s="188"/>
      <c r="D50" s="190"/>
      <c r="E50" s="287"/>
      <c r="F50" s="136">
        <f>Q50/18</f>
        <v>161965.94444444444</v>
      </c>
      <c r="G50" s="190">
        <f t="shared" ref="G50" si="89">F50/F49-1</f>
        <v>-0.37493693187769594</v>
      </c>
      <c r="H50" s="190">
        <f t="shared" ref="H50" si="90">F50/F38-1</f>
        <v>-0.24986716177610246</v>
      </c>
      <c r="I50" s="130">
        <f t="shared" ref="I50" si="91">T50</f>
        <v>327.96918961302526</v>
      </c>
      <c r="J50" s="130">
        <f t="shared" ref="J50" si="92">I50/I38-1</f>
        <v>0.77545033108572992</v>
      </c>
      <c r="K50" s="193"/>
      <c r="L50" s="190"/>
      <c r="M50" s="190"/>
      <c r="N50" s="191"/>
      <c r="O50" s="192"/>
      <c r="P50" s="129" t="s">
        <v>1293</v>
      </c>
      <c r="Q50" s="116">
        <f>결핵진단장비!Q50+결핵진단키트!Q50</f>
        <v>2915387</v>
      </c>
      <c r="R50" s="116">
        <f>결핵진단장비!R50+결핵진단키트!R50</f>
        <v>4125968800</v>
      </c>
      <c r="S50" s="116">
        <f>결핵진단장비!S50+결핵진단키트!S50</f>
        <v>8889.2099999999991</v>
      </c>
      <c r="T50" s="130">
        <f t="shared" ref="T50" si="93">Q50/S50</f>
        <v>327.96918961302526</v>
      </c>
      <c r="U50" s="78">
        <f t="shared" si="79"/>
        <v>404.05499999999995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267113.09999999998</v>
      </c>
      <c r="G51" s="190">
        <f t="shared" ref="G51:G52" si="94">F51/F50-1</f>
        <v>0.64919298878673737</v>
      </c>
      <c r="H51" s="190">
        <f t="shared" ref="H51:H52" si="95">F51/F39-1</f>
        <v>6.9287666422856997E-2</v>
      </c>
      <c r="I51" s="130">
        <f t="shared" ref="I51:I52" si="96">T51</f>
        <v>301.39411921014016</v>
      </c>
      <c r="J51" s="130">
        <f t="shared" ref="J51:J52" si="97">I51/I39-1</f>
        <v>0.37862254749313462</v>
      </c>
      <c r="K51" s="193"/>
      <c r="L51" s="190"/>
      <c r="M51" s="190"/>
      <c r="N51" s="191"/>
      <c r="O51" s="192"/>
      <c r="P51" s="129" t="s">
        <v>1402</v>
      </c>
      <c r="Q51" s="116">
        <f>결핵진단장비!Q51+결핵진단키트!Q51</f>
        <v>5342262</v>
      </c>
      <c r="R51" s="116">
        <f>결핵진단장비!R51+결핵진단키트!R51</f>
        <v>7741015586</v>
      </c>
      <c r="S51" s="116">
        <f>결핵진단장비!S51+결핵진단키트!S51</f>
        <v>17725.169999999998</v>
      </c>
      <c r="T51" s="130">
        <f t="shared" ref="T51:T52" si="98">Q51/S51</f>
        <v>301.39411921014016</v>
      </c>
      <c r="U51" s="78">
        <f t="shared" si="79"/>
        <v>805.6895454545454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800268.22626262624</v>
      </c>
      <c r="C52" s="188">
        <f>AVERAGE(F50:F52)</f>
        <v>266756.07542087539</v>
      </c>
      <c r="D52" s="190">
        <f>C52/C49-1</f>
        <v>0.24986888411238084</v>
      </c>
      <c r="E52" s="287">
        <f>C52/C40-1</f>
        <v>-7.5568690722051746E-2</v>
      </c>
      <c r="F52" s="136">
        <f>Q52/22</f>
        <v>371189.18181818182</v>
      </c>
      <c r="G52" s="190">
        <f t="shared" si="94"/>
        <v>0.38963301245121218</v>
      </c>
      <c r="H52" s="190">
        <f t="shared" si="95"/>
        <v>-7.1948161048234538E-2</v>
      </c>
      <c r="I52" s="130">
        <f t="shared" si="96"/>
        <v>552.22141976110106</v>
      </c>
      <c r="J52" s="130">
        <f t="shared" si="97"/>
        <v>1.0472923506332625</v>
      </c>
      <c r="K52" s="193">
        <f>Q50+Q51+Q52</f>
        <v>16423811</v>
      </c>
      <c r="L52" s="190">
        <f>U52/U49-1</f>
        <v>-5.7018838784059112E-2</v>
      </c>
      <c r="M52" s="190">
        <f>K52/K40-1</f>
        <v>-8.5712693598000267E-2</v>
      </c>
      <c r="N52" s="191">
        <f>AVERAGE(T50:T52)</f>
        <v>393.86157619475551</v>
      </c>
      <c r="O52" s="192">
        <f>N52/N49-1</f>
        <v>0.79376140863719424</v>
      </c>
      <c r="P52" s="129" t="s">
        <v>1403</v>
      </c>
      <c r="Q52" s="116">
        <f>결핵진단장비!Q52+결핵진단키트!Q52</f>
        <v>8166162</v>
      </c>
      <c r="R52" s="116">
        <f>결핵진단장비!R52+결핵진단키트!R52</f>
        <v>12014258758</v>
      </c>
      <c r="S52" s="116">
        <f>결핵진단장비!S52+결핵진단키트!S52</f>
        <v>14787.84</v>
      </c>
      <c r="T52" s="130">
        <f t="shared" si="98"/>
        <v>552.22141976110106</v>
      </c>
      <c r="U52" s="78">
        <f t="shared" ref="U52" si="99">S52/22</f>
        <v>672.17454545454541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220035.85714285713</v>
      </c>
      <c r="G53" s="190">
        <f t="shared" ref="G53" si="100">F53/F52-1</f>
        <v>-0.40721371225027658</v>
      </c>
      <c r="H53" s="190">
        <f t="shared" ref="H53" si="101">F53/F41-1</f>
        <v>0.19015142766994542</v>
      </c>
      <c r="I53" s="130">
        <f t="shared" ref="I53" si="102">T53</f>
        <v>240.61659671523341</v>
      </c>
      <c r="J53" s="130">
        <f t="shared" ref="J53" si="103">I53/I41-1</f>
        <v>0.55914001730495033</v>
      </c>
      <c r="K53" s="193"/>
      <c r="L53" s="190"/>
      <c r="M53" s="190"/>
      <c r="N53" s="191"/>
      <c r="O53" s="192"/>
      <c r="P53" s="129" t="s">
        <v>1414</v>
      </c>
      <c r="Q53" s="116">
        <f>결핵진단장비!Q53+결핵진단키트!Q53</f>
        <v>4620753</v>
      </c>
      <c r="R53" s="116">
        <f>결핵진단장비!R53+결핵진단키트!R53</f>
        <v>6763401695</v>
      </c>
      <c r="S53" s="116">
        <f>결핵진단장비!S53+결핵진단키트!S53</f>
        <v>19203.800000000003</v>
      </c>
      <c r="T53" s="130">
        <f t="shared" ref="T53" si="104">Q53/S53</f>
        <v>240.61659671523341</v>
      </c>
      <c r="U53" s="78">
        <f t="shared" ref="U53" si="105">S53/22</f>
        <v>872.90000000000009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192142.35294117648</v>
      </c>
      <c r="G54" s="190">
        <f t="shared" ref="G54" si="106">F54/F53-1</f>
        <v>-0.12676799392551252</v>
      </c>
      <c r="H54" s="190">
        <f t="shared" ref="H54" si="107">F54/F42-1</f>
        <v>-0.3371589119411651</v>
      </c>
      <c r="I54" s="130">
        <f t="shared" ref="I54" si="108">T54</f>
        <v>388.83823028738897</v>
      </c>
      <c r="J54" s="130">
        <f t="shared" ref="J54" si="109">I54/I42-1</f>
        <v>-7.4453194932847633E-2</v>
      </c>
      <c r="K54" s="193"/>
      <c r="L54" s="190"/>
      <c r="M54" s="190"/>
      <c r="N54" s="191"/>
      <c r="O54" s="192"/>
      <c r="P54" s="129" t="s">
        <v>1417</v>
      </c>
      <c r="Q54" s="116">
        <f>결핵진단장비!Q54+결핵진단키트!Q54</f>
        <v>3266420</v>
      </c>
      <c r="R54" s="116">
        <f>결핵진단장비!R54+결핵진단키트!R54</f>
        <v>4729411440</v>
      </c>
      <c r="S54" s="116">
        <f>결핵진단장비!S54+결핵진단키트!S54</f>
        <v>8400.4600000000009</v>
      </c>
      <c r="T54" s="130">
        <f t="shared" ref="T54" si="110">Q54/S54</f>
        <v>388.83823028738897</v>
      </c>
      <c r="U54" s="78">
        <f t="shared" ref="U54" si="111">S54/22</f>
        <v>381.83909090909094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683968.30532212881</v>
      </c>
      <c r="C55" s="188">
        <f>AVERAGE(F53:F55)</f>
        <v>227989.43510737628</v>
      </c>
      <c r="D55" s="190">
        <f>C55/C52-1</f>
        <v>-0.14532617580437446</v>
      </c>
      <c r="E55" s="287">
        <f>C55/C43-1</f>
        <v>6.5214884987698563E-2</v>
      </c>
      <c r="F55" s="136">
        <f>Q55/21</f>
        <v>271790.09523809527</v>
      </c>
      <c r="G55" s="190">
        <f t="shared" ref="G55" si="112">F55/F54-1</f>
        <v>0.41452465361087043</v>
      </c>
      <c r="H55" s="190">
        <f t="shared" ref="H55" si="113">F55/F43-1</f>
        <v>0.62421091869324097</v>
      </c>
      <c r="I55" s="130">
        <f>T55</f>
        <v>515.3051514336222</v>
      </c>
      <c r="J55" s="130">
        <f t="shared" ref="J55" si="114">I55/I43-1</f>
        <v>3.9055606646720831</v>
      </c>
      <c r="K55" s="193">
        <f>Q53+Q54+Q55</f>
        <v>13594765</v>
      </c>
      <c r="L55" s="190">
        <f>U55/U52-1</f>
        <v>-0.25099676490954725</v>
      </c>
      <c r="M55" s="190">
        <f>K55/K43-1</f>
        <v>9.0012101388031507E-2</v>
      </c>
      <c r="N55" s="191">
        <f>AVERAGE(T53:T55)</f>
        <v>381.58665947874823</v>
      </c>
      <c r="O55" s="192">
        <f>N55/N52-1</f>
        <v>-3.1165560333658027E-2</v>
      </c>
      <c r="P55" s="129" t="s">
        <v>1418</v>
      </c>
      <c r="Q55" s="116">
        <f>결핵진단장비!Q55+결핵진단키트!Q55</f>
        <v>5707592</v>
      </c>
      <c r="R55" s="116">
        <f>결핵진단장비!R55+결핵진단키트!R55</f>
        <v>8444107183</v>
      </c>
      <c r="S55" s="116">
        <f>결핵진단장비!S55+결핵진단키트!S55</f>
        <v>11076.14</v>
      </c>
      <c r="T55" s="130">
        <f t="shared" ref="T55" si="115">Q55/S55</f>
        <v>515.3051514336222</v>
      </c>
      <c r="U55" s="78">
        <f t="shared" ref="U55" si="116">S55/22</f>
        <v>503.46090909090907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388300.90909090912</v>
      </c>
      <c r="G56" s="190">
        <f t="shared" ref="G56" si="117">F56/F55-1</f>
        <v>0.4286793959535109</v>
      </c>
      <c r="H56" s="190">
        <f t="shared" ref="H56" si="118">F56/F44-1</f>
        <v>1.8083891825359935</v>
      </c>
      <c r="I56" s="291">
        <f>T56</f>
        <v>531.85017133521933</v>
      </c>
      <c r="J56" s="130">
        <f t="shared" ref="J56" si="119">I56/I44-1</f>
        <v>7.1517085260188527</v>
      </c>
      <c r="K56" s="193"/>
      <c r="L56" s="190"/>
      <c r="M56" s="190"/>
      <c r="N56" s="191"/>
      <c r="O56" s="192"/>
      <c r="P56" s="129" t="s">
        <v>1420</v>
      </c>
      <c r="Q56" s="116">
        <f>결핵진단장비!Q56+결핵진단키트!Q56</f>
        <v>8542620</v>
      </c>
      <c r="R56" s="116">
        <f>결핵진단장비!R56+결핵진단키트!R56</f>
        <v>12799204372</v>
      </c>
      <c r="S56" s="116">
        <f>결핵진단장비!S56+결핵진단키트!S56</f>
        <v>16062.08</v>
      </c>
      <c r="T56" s="130">
        <f t="shared" ref="T56" si="120">Q56/S56</f>
        <v>531.85017133521933</v>
      </c>
      <c r="U56" s="78">
        <f t="shared" ref="U56" si="121">S56/22</f>
        <v>730.09454545454548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329145.41666666669</v>
      </c>
      <c r="G57" s="254">
        <f t="shared" ref="G57" si="122">F57/F56-1</f>
        <v>-0.15234446028657878</v>
      </c>
      <c r="H57" s="254">
        <f t="shared" ref="H57" si="123">F57/F45-1</f>
        <v>0.20461069348577676</v>
      </c>
      <c r="I57" s="282">
        <f>T57</f>
        <v>576.94200993280742</v>
      </c>
      <c r="J57" s="277">
        <f t="shared" ref="J57" si="124">I57/I45-1</f>
        <v>0.85976899424907272</v>
      </c>
      <c r="K57" s="259"/>
      <c r="L57" s="254"/>
      <c r="M57" s="254"/>
      <c r="N57" s="257"/>
      <c r="O57" s="258"/>
      <c r="P57" s="129" t="s">
        <v>1436</v>
      </c>
      <c r="Q57" s="116">
        <f>결핵진단장비!Q57+결핵진단키트!Q57</f>
        <v>3949745</v>
      </c>
      <c r="R57" s="116">
        <f>결핵진단장비!R57+결핵진단키트!R57</f>
        <v>5817734932</v>
      </c>
      <c r="S57" s="116">
        <f>결핵진단장비!S57+결핵진단키트!S57</f>
        <v>6846</v>
      </c>
      <c r="T57" s="130">
        <f t="shared" ref="T57" si="125">Q57/S57</f>
        <v>576.94200993280742</v>
      </c>
      <c r="U57" s="78">
        <f t="shared" ref="U57" si="126">S57/22</f>
        <v>311.18181818181819</v>
      </c>
      <c r="V57" s="79"/>
      <c r="W57" s="79"/>
      <c r="X57" s="79"/>
      <c r="Y57" s="79"/>
      <c r="Z57" s="79"/>
    </row>
    <row r="58" spans="1:26">
      <c r="B58" s="196">
        <f>SUM(F56:F58)</f>
        <v>717446.3257575758</v>
      </c>
      <c r="C58" s="196">
        <f>AVERAGE(F56:F58)</f>
        <v>358723.1628787879</v>
      </c>
      <c r="D58" s="197">
        <f>C58/C55-1</f>
        <v>0.57342011356727962</v>
      </c>
      <c r="E58" s="233">
        <f>C58/C46-1</f>
        <v>0.90471711300409452</v>
      </c>
    </row>
  </sheetData>
  <phoneticPr fontId="1" type="noConversion"/>
  <conditionalFormatting sqref="C29:C30">
    <cfRule type="cellIs" dxfId="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17">
    <tabColor rgb="FF92D050"/>
  </sheetPr>
  <dimension ref="A1:Z72"/>
  <sheetViews>
    <sheetView zoomScale="90" zoomScaleNormal="90" workbookViewId="0">
      <selection activeCell="Q53" sqref="Q53:S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9027892090</v>
      </c>
      <c r="M2" s="80" t="s">
        <v>1422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L5" s="80"/>
      <c r="M5" s="80"/>
      <c r="P5" s="129" t="s">
        <v>0</v>
      </c>
      <c r="Q5" s="116">
        <v>3887498</v>
      </c>
      <c r="R5" s="116"/>
      <c r="S5" s="116">
        <v>26267.17</v>
      </c>
      <c r="T5" s="130">
        <f t="shared" ref="T5:T20" si="1">Q5/S5</f>
        <v>147.998356884278</v>
      </c>
      <c r="U5" s="78">
        <f>S5/20</f>
        <v>1313.3584999999998</v>
      </c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16" si="2">F6/F5-1</f>
        <v>-0.32614184696115023</v>
      </c>
      <c r="H6" s="90"/>
      <c r="I6" s="130">
        <f t="shared" si="0"/>
        <v>124.9105288058834</v>
      </c>
      <c r="J6" s="130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78">
        <f>S6/18</f>
        <v>1048.5994444444445</v>
      </c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79">
        <f>Q5+Q6+Q7</f>
        <v>13396111</v>
      </c>
      <c r="L7" s="102">
        <f>R5+R6+R7</f>
        <v>0</v>
      </c>
      <c r="M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78">
        <f>S7/22</f>
        <v>1537.5636363636365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L8" s="90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78">
        <f>S8/21</f>
        <v>681.04095238095238</v>
      </c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L9" s="90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78">
        <f>S9/21</f>
        <v>930.52380952380952</v>
      </c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86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79">
        <f>Q8+Q9+Q10</f>
        <v>12264484</v>
      </c>
      <c r="L10" s="102">
        <f>U10/U7-1</f>
        <v>-0.37934090363908501</v>
      </c>
      <c r="M10" s="102">
        <f>S8+S9+S10</f>
        <v>53883.22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78">
        <f>S10/21</f>
        <v>954.30285714285719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L11" s="90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78">
        <f>S11/21</f>
        <v>874.587619047619</v>
      </c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L12" s="90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78">
        <f>S12/22</f>
        <v>1497.0418181818181</v>
      </c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86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9">
        <f>Q11+Q12+Q13</f>
        <v>10948186</v>
      </c>
      <c r="L13" s="102">
        <f>U13/U10-1</f>
        <v>-2.7401528715053081E-2</v>
      </c>
      <c r="M13" s="102">
        <f>S11+S12+S13</f>
        <v>69864.329999999987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78">
        <f>S13/20</f>
        <v>928.15350000000001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L14" s="90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78">
        <f>S14/20</f>
        <v>336.48750000000001</v>
      </c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L15" s="90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>
        <f>S15/22</f>
        <v>963.96681818181821</v>
      </c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86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9">
        <f>Q14+Q15+Q16</f>
        <v>11036704</v>
      </c>
      <c r="L16" s="102">
        <f>U16/U13-1</f>
        <v>-0.42934057194791009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78">
        <f>S16/22</f>
        <v>529.65954545454542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ref="G17:G22" si="3">F17/F16-1</f>
        <v>0.41223574052385081</v>
      </c>
      <c r="H17" s="90">
        <f t="shared" ref="H17:H22" si="4">F17/F5-1</f>
        <v>7.31318704215278E-4</v>
      </c>
      <c r="I17" s="130">
        <f t="shared" si="0"/>
        <v>326.1262945408393</v>
      </c>
      <c r="J17" s="130">
        <f t="shared" ref="J17:J49" si="5">I17/I5-1</f>
        <v>1.203580508639309</v>
      </c>
      <c r="L17" s="90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>
        <f>S17/20</f>
        <v>596.447</v>
      </c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3"/>
        <v>-0.10006989104554065</v>
      </c>
      <c r="H18" s="90">
        <f t="shared" si="4"/>
        <v>0.33646560572771311</v>
      </c>
      <c r="I18" s="130">
        <f t="shared" si="0"/>
        <v>162.64895401182807</v>
      </c>
      <c r="J18" s="130">
        <f t="shared" si="5"/>
        <v>0.30212365255928009</v>
      </c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>
        <f>S18/20</f>
        <v>1076.2549999999999</v>
      </c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86">
        <f>C19/C7-1</f>
        <v>-0.16680889423308409</v>
      </c>
      <c r="F19" s="78">
        <f>Q19/22</f>
        <v>172338.13636363635</v>
      </c>
      <c r="G19" s="90">
        <f t="shared" si="3"/>
        <v>-1.5501779538700133E-2</v>
      </c>
      <c r="H19" s="90">
        <f t="shared" si="4"/>
        <v>-0.46979947987352177</v>
      </c>
      <c r="I19" s="130">
        <f t="shared" si="0"/>
        <v>242.08797292197829</v>
      </c>
      <c r="J19" s="130">
        <f t="shared" si="5"/>
        <v>0.14515710105324509</v>
      </c>
      <c r="K19" s="79">
        <f>Q17+Q18+Q19</f>
        <v>11182815</v>
      </c>
      <c r="L19" s="102">
        <f>U19/U16-1</f>
        <v>0.34403746488953879</v>
      </c>
      <c r="M19" s="87">
        <f>U19/U7-1</f>
        <v>-0.53700630276943451</v>
      </c>
      <c r="N19" s="88">
        <f>AVERAGE(T17:T19)</f>
        <v>243.62107382488185</v>
      </c>
      <c r="O19" s="89">
        <f>N19/N16-1</f>
        <v>-0.1051929559132494</v>
      </c>
      <c r="P19" s="129" t="s">
        <v>115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78">
        <f>S19/22</f>
        <v>711.88227272727272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436033.75</v>
      </c>
      <c r="G20" s="90">
        <f t="shared" si="3"/>
        <v>1.5301059835065263</v>
      </c>
      <c r="H20" s="90">
        <f t="shared" si="4"/>
        <v>1.5526808601389144</v>
      </c>
      <c r="I20" s="130">
        <f t="shared" si="0"/>
        <v>180.1936063495973</v>
      </c>
      <c r="J20" s="130">
        <f t="shared" si="5"/>
        <v>-0.28156245348755704</v>
      </c>
      <c r="O20" s="89"/>
      <c r="P20" s="129" t="s">
        <v>132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>
        <f>S20/20</f>
        <v>2419.8069999999998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262479.80952380953</v>
      </c>
      <c r="G21" s="90">
        <f t="shared" si="3"/>
        <v>-0.39802868579826789</v>
      </c>
      <c r="H21" s="90">
        <f t="shared" si="4"/>
        <v>4.1134246479090031E-2</v>
      </c>
      <c r="I21" s="130">
        <f t="shared" si="0"/>
        <v>170.11461900807137</v>
      </c>
      <c r="J21" s="130">
        <f t="shared" si="5"/>
        <v>-0.3721152186461848</v>
      </c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ref="T21" si="6">Q21/S21</f>
        <v>170.11461900807137</v>
      </c>
      <c r="U21" s="78">
        <f>S21/20</f>
        <v>1620.1065000000001</v>
      </c>
    </row>
    <row r="22" spans="1:21" hidden="1">
      <c r="A22" s="129" t="s">
        <v>156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86">
        <f>C22/C10-1</f>
        <v>0.49020005652092635</v>
      </c>
      <c r="F22" s="78">
        <f>Q22/21</f>
        <v>171797.61904761905</v>
      </c>
      <c r="G22" s="90">
        <f t="shared" si="3"/>
        <v>-0.34548253688809805</v>
      </c>
      <c r="H22" s="90">
        <f t="shared" si="4"/>
        <v>6.640674649506817E-2</v>
      </c>
      <c r="I22" s="130">
        <f t="shared" si="0"/>
        <v>198.93588394749668</v>
      </c>
      <c r="J22" s="130">
        <f t="shared" si="5"/>
        <v>0.17843354188805338</v>
      </c>
      <c r="K22" s="79">
        <f>Q20+Q21+Q22</f>
        <v>17840501</v>
      </c>
      <c r="L22" s="102">
        <f>U22/U19-1</f>
        <v>0.15795704218202578</v>
      </c>
      <c r="M22" s="87">
        <f>U22/U10-1</f>
        <v>-0.13619760777296874</v>
      </c>
      <c r="N22" s="88">
        <f>AVERAGE(T20:T22)</f>
        <v>183.08136976838844</v>
      </c>
      <c r="O22" s="89">
        <f>N22/N19-1</f>
        <v>-0.24849945493635817</v>
      </c>
      <c r="P22" s="129" t="s">
        <v>156</v>
      </c>
      <c r="Q22" s="116">
        <v>3607750</v>
      </c>
      <c r="R22" s="116">
        <v>4705169016</v>
      </c>
      <c r="S22" s="116">
        <v>18135.240000000002</v>
      </c>
      <c r="T22" s="130">
        <f t="shared" ref="T22:T23" si="7">Q22/S22</f>
        <v>198.93588394749668</v>
      </c>
      <c r="U22" s="78">
        <f>S22/22</f>
        <v>824.32909090909095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ref="G23" si="8">F23/F22-1</f>
        <v>2.0837131175940686</v>
      </c>
      <c r="H23" s="90">
        <f t="shared" ref="H23" si="9">F23/F11-1</f>
        <v>2.726679000423073</v>
      </c>
      <c r="I23" s="130">
        <f t="shared" si="0"/>
        <v>239.79388349464338</v>
      </c>
      <c r="J23" s="130">
        <f t="shared" si="5"/>
        <v>0.4752726923139825</v>
      </c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7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ref="G24" si="10">F24/F23-1</f>
        <v>-0.65526760929091088</v>
      </c>
      <c r="H24" s="90">
        <f t="shared" ref="H24" si="11">F24/F12-1</f>
        <v>3.6398149693442683E-2</v>
      </c>
      <c r="I24" s="130">
        <f t="shared" si="0"/>
        <v>179.47022855277012</v>
      </c>
      <c r="J24" s="130">
        <f t="shared" si="5"/>
        <v>0.52468376833125974</v>
      </c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ref="T24" si="12">Q24/S24</f>
        <v>179.47022855277012</v>
      </c>
      <c r="U24" s="78"/>
    </row>
    <row r="25" spans="1:21" s="79" customFormat="1" ht="13.2" hidden="1">
      <c r="A25" s="129" t="s">
        <v>219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86">
        <f>C25/C13-1</f>
        <v>1.0058143314049728</v>
      </c>
      <c r="F25" s="78">
        <f>Q25/19</f>
        <v>335993.57894736843</v>
      </c>
      <c r="G25" s="90">
        <f t="shared" ref="G25" si="13">F25/F24-1</f>
        <v>0.83974562065027114</v>
      </c>
      <c r="H25" s="90">
        <f t="shared" ref="H25" si="14">F25/F13-1</f>
        <v>0.64456050702068679</v>
      </c>
      <c r="I25" s="130">
        <f t="shared" si="0"/>
        <v>478.43895814628343</v>
      </c>
      <c r="J25" s="130">
        <f t="shared" si="5"/>
        <v>1.1735279117589621</v>
      </c>
      <c r="K25" s="79">
        <f>Q23+Q24+Q25</f>
        <v>21527014</v>
      </c>
      <c r="L25" s="102">
        <f>U25/U22-1</f>
        <v>-0.26424243627324484</v>
      </c>
      <c r="M25" s="90">
        <f>U25/U13-1</f>
        <v>-0.34654519577164378</v>
      </c>
      <c r="N25" s="88">
        <f>AVERAGE(T23:T25)</f>
        <v>299.23435673123231</v>
      </c>
      <c r="O25" s="91">
        <f>N25/N22-1</f>
        <v>0.63443367891438673</v>
      </c>
      <c r="P25" s="129" t="s">
        <v>219</v>
      </c>
      <c r="Q25" s="116">
        <v>6383878</v>
      </c>
      <c r="R25" s="116">
        <v>8483565403</v>
      </c>
      <c r="S25" s="116">
        <v>13343.14</v>
      </c>
      <c r="T25" s="130">
        <f t="shared" ref="T25" si="15">Q25/S25</f>
        <v>478.43895814628343</v>
      </c>
      <c r="U25" s="78">
        <f>S25/22</f>
        <v>606.50636363636363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178877.21052631579</v>
      </c>
      <c r="G26" s="90">
        <f t="shared" ref="G26" si="16">F26/F25-1</f>
        <v>-0.4676171756415145</v>
      </c>
      <c r="H26" s="90">
        <f t="shared" ref="H26" si="17">F26/F14-1</f>
        <v>1.0251541761680176</v>
      </c>
      <c r="I26" s="130">
        <f t="shared" si="0"/>
        <v>156.02253665442785</v>
      </c>
      <c r="J26" s="130">
        <f t="shared" si="5"/>
        <v>-0.40562662332986377</v>
      </c>
      <c r="L26" s="90"/>
      <c r="M26" s="90"/>
      <c r="P26" s="129" t="s">
        <v>313</v>
      </c>
      <c r="Q26" s="116">
        <v>3398667</v>
      </c>
      <c r="R26" s="116">
        <v>4587528834</v>
      </c>
      <c r="S26" s="116">
        <v>21783.18</v>
      </c>
      <c r="T26" s="130">
        <f t="shared" ref="T26" si="18">Q26/S26</f>
        <v>156.02253665442785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86"/>
      <c r="F27" s="78">
        <f>Q27/22</f>
        <v>137682.18181818182</v>
      </c>
      <c r="G27" s="90">
        <f t="shared" ref="G27" si="19">F27/F26-1</f>
        <v>-0.23029780365494623</v>
      </c>
      <c r="H27" s="90">
        <f t="shared" ref="H27" si="20">F27/F15-1</f>
        <v>-0.514577150378281</v>
      </c>
      <c r="I27" s="130">
        <f t="shared" si="0"/>
        <v>135.00430996444166</v>
      </c>
      <c r="J27" s="130">
        <f t="shared" si="5"/>
        <v>-0.5411695899206026</v>
      </c>
      <c r="L27" s="90"/>
      <c r="M27" s="90"/>
      <c r="P27" s="129" t="s">
        <v>387</v>
      </c>
      <c r="Q27" s="116">
        <v>3029008</v>
      </c>
      <c r="R27" s="116">
        <v>4007383281</v>
      </c>
      <c r="S27" s="116">
        <v>22436.38</v>
      </c>
      <c r="T27" s="130">
        <f t="shared" ref="T27" si="21">Q27/S27</f>
        <v>135.00430996444166</v>
      </c>
      <c r="U27" s="78"/>
    </row>
    <row r="28" spans="1:21" s="79" customFormat="1" ht="13.2" hidden="1">
      <c r="A28" s="123" t="s">
        <v>414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86">
        <f>C28/C16-1</f>
        <v>0.85919298706280078</v>
      </c>
      <c r="F28" s="78">
        <f>Q28/19</f>
        <v>631067.84210526315</v>
      </c>
      <c r="G28" s="90">
        <f t="shared" ref="G28" si="22">F28/F27-1</f>
        <v>3.5835113430917938</v>
      </c>
      <c r="H28" s="90">
        <f t="shared" ref="H28" si="23">F28/F16-1</f>
        <v>3.5816886556541698</v>
      </c>
      <c r="I28" s="130">
        <f t="shared" si="0"/>
        <v>453.26421756158044</v>
      </c>
      <c r="J28" s="130">
        <f t="shared" si="5"/>
        <v>0.74300150774169715</v>
      </c>
      <c r="K28" s="79">
        <f>Q26+Q27+Q28</f>
        <v>18417964</v>
      </c>
      <c r="L28" s="102">
        <f>U28/U25-1</f>
        <v>0.98253184782592418</v>
      </c>
      <c r="M28" s="90">
        <f>U28/U16-1</f>
        <v>1.2701718342228414</v>
      </c>
      <c r="N28" s="88">
        <f>AVERAGE(T26:T28)</f>
        <v>248.09702139348329</v>
      </c>
      <c r="O28" s="91">
        <f>N28/N25-1</f>
        <v>-0.17089393041748813</v>
      </c>
      <c r="P28" s="129" t="s">
        <v>414</v>
      </c>
      <c r="Q28" s="116">
        <v>11990289</v>
      </c>
      <c r="R28" s="116">
        <v>15617479938</v>
      </c>
      <c r="S28" s="116">
        <v>26453.200000000001</v>
      </c>
      <c r="T28" s="130">
        <f t="shared" ref="T28" si="24">Q28/S28</f>
        <v>453.26421756158044</v>
      </c>
      <c r="U28" s="78">
        <f>S28/22</f>
        <v>1202.4181818181819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104104.54545454546</v>
      </c>
      <c r="G29" s="190">
        <f t="shared" ref="G29" si="25">F29/F28-1</f>
        <v>-0.83503430454125305</v>
      </c>
      <c r="H29" s="190">
        <f t="shared" ref="H29" si="26">F29/F17-1</f>
        <v>-0.46480503660452666</v>
      </c>
      <c r="I29" s="130">
        <f t="shared" si="0"/>
        <v>161.61446521086867</v>
      </c>
      <c r="J29" s="130">
        <f t="shared" si="5"/>
        <v>-0.50444208910413257</v>
      </c>
      <c r="K29" s="193"/>
      <c r="L29" s="190"/>
      <c r="M29" s="190"/>
      <c r="N29" s="191"/>
      <c r="O29" s="192"/>
      <c r="P29" s="129" t="s">
        <v>430</v>
      </c>
      <c r="Q29" s="116">
        <v>2290300</v>
      </c>
      <c r="R29" s="116">
        <v>3003484974</v>
      </c>
      <c r="S29" s="116">
        <v>14171.38</v>
      </c>
      <c r="T29" s="130">
        <f t="shared" ref="T29" si="27">Q29/S29</f>
        <v>161.61446521086867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256186.10526315789</v>
      </c>
      <c r="G30" s="190">
        <f t="shared" ref="G30" si="28">F30/F29-1</f>
        <v>1.4608541744703634</v>
      </c>
      <c r="H30" s="190">
        <f t="shared" ref="H30" si="29">F30/F18-1</f>
        <v>0.46348782724627369</v>
      </c>
      <c r="I30" s="130">
        <f t="shared" si="0"/>
        <v>191.48676026861057</v>
      </c>
      <c r="J30" s="130">
        <f t="shared" si="5"/>
        <v>0.17730090200694049</v>
      </c>
      <c r="K30" s="193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30">Q30/S30</f>
        <v>191.48676026861057</v>
      </c>
      <c r="U30" s="78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87">
        <f>C31/C19-1</f>
        <v>4.4757157966680561E-2</v>
      </c>
      <c r="F31" s="136">
        <f>Q31/20</f>
        <v>205870.5</v>
      </c>
      <c r="G31" s="190">
        <f t="shared" ref="G31" si="31">F31/F30-1</f>
        <v>-0.19640255357125247</v>
      </c>
      <c r="H31" s="190">
        <f t="shared" ref="H31" si="32">F31/F19-1</f>
        <v>0.19457308953144192</v>
      </c>
      <c r="I31" s="130">
        <f t="shared" si="0"/>
        <v>268.12845180192119</v>
      </c>
      <c r="J31" s="130">
        <f t="shared" si="5"/>
        <v>0.10756618168856913</v>
      </c>
      <c r="K31" s="193">
        <f>Q29+Q30+Q31</f>
        <v>11275246</v>
      </c>
      <c r="L31" s="190">
        <f>U31/U28-1</f>
        <v>-0.41949896420848898</v>
      </c>
      <c r="M31" s="190">
        <f>U31/U19-1</f>
        <v>-1.9493774826149113E-2</v>
      </c>
      <c r="N31" s="191">
        <f>AVERAGE(T29:T31)</f>
        <v>207.07655909380014</v>
      </c>
      <c r="O31" s="192">
        <f>N31/N28-1</f>
        <v>-0.16534040622206603</v>
      </c>
      <c r="P31" s="129" t="s">
        <v>505</v>
      </c>
      <c r="Q31" s="116">
        <v>4117410</v>
      </c>
      <c r="R31" s="116">
        <v>5475266368</v>
      </c>
      <c r="S31" s="116">
        <v>15356.11</v>
      </c>
      <c r="T31" s="130">
        <f t="shared" ref="T31" si="33">Q31/S31</f>
        <v>268.12845180192119</v>
      </c>
      <c r="U31" s="78">
        <f>S31/22</f>
        <v>698.005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171017.61904761905</v>
      </c>
      <c r="G32" s="190">
        <f t="shared" ref="G32" si="34">F32/F31-1</f>
        <v>-0.16929516833339864</v>
      </c>
      <c r="H32" s="190">
        <f t="shared" ref="H32" si="35">F32/F20-1</f>
        <v>-0.60778811491629026</v>
      </c>
      <c r="I32" s="130">
        <f t="shared" si="0"/>
        <v>380.48163949397235</v>
      </c>
      <c r="J32" s="130">
        <f t="shared" si="5"/>
        <v>1.1115157590874349</v>
      </c>
      <c r="K32" s="193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36">Q32/S32</f>
        <v>380.48163949397235</v>
      </c>
      <c r="U32" s="78"/>
    </row>
    <row r="33" spans="1:21" s="79" customFormat="1" ht="13.2" hidden="1">
      <c r="A33" s="129" t="s">
        <v>611</v>
      </c>
      <c r="B33" s="188"/>
      <c r="C33" s="188"/>
      <c r="D33" s="190"/>
      <c r="E33" s="287"/>
      <c r="F33" s="136">
        <f>Q33/21</f>
        <v>217021</v>
      </c>
      <c r="G33" s="190">
        <f t="shared" ref="G33" si="37">F33/F32-1</f>
        <v>0.26899790330709439</v>
      </c>
      <c r="H33" s="190">
        <f t="shared" ref="H33" si="38">F33/F21-1</f>
        <v>-0.17318973831275186</v>
      </c>
      <c r="I33" s="130">
        <f t="shared" si="0"/>
        <v>312.6704702158226</v>
      </c>
      <c r="J33" s="130">
        <f t="shared" si="5"/>
        <v>0.83799882713776319</v>
      </c>
      <c r="K33" s="193"/>
      <c r="L33" s="190"/>
      <c r="M33" s="190"/>
      <c r="N33" s="191"/>
      <c r="O33" s="192"/>
      <c r="P33" s="129" t="s">
        <v>611</v>
      </c>
      <c r="Q33" s="116">
        <v>4557441</v>
      </c>
      <c r="R33" s="116">
        <v>6229322971</v>
      </c>
      <c r="S33" s="116">
        <v>14575.86</v>
      </c>
      <c r="T33" s="130">
        <f t="shared" ref="T33" si="39">Q33/S33</f>
        <v>312.6704702158226</v>
      </c>
      <c r="U33" s="78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87">
        <f>C34/C22-1</f>
        <v>-9.1603027094331213E-2</v>
      </c>
      <c r="F34" s="136">
        <f>Q34/19</f>
        <v>402549.42105263157</v>
      </c>
      <c r="G34" s="190">
        <f t="shared" ref="G34" si="40">F34/F33-1</f>
        <v>0.85488695127490688</v>
      </c>
      <c r="H34" s="190">
        <f t="shared" ref="H34" si="41">F34/F22-1</f>
        <v>1.34316065195905</v>
      </c>
      <c r="I34" s="130">
        <f t="shared" si="0"/>
        <v>261.83985344930585</v>
      </c>
      <c r="J34" s="130">
        <f t="shared" si="5"/>
        <v>0.31620222683611399</v>
      </c>
      <c r="K34" s="193">
        <f>Q32+Q33+Q34</f>
        <v>15797250</v>
      </c>
      <c r="L34" s="190">
        <f>U34/U31-1</f>
        <v>0.90219853856217469</v>
      </c>
      <c r="M34" s="190">
        <f>U34/U22-1</f>
        <v>0.61069663263348017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42">Q34/S34</f>
        <v>261.83985344930585</v>
      </c>
      <c r="U34" s="78">
        <f>S34/22</f>
        <v>1327.7440909090908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205610.34782608695</v>
      </c>
      <c r="G35" s="190">
        <f t="shared" ref="G35" si="43">F35/F34-1</f>
        <v>-0.48922955276290336</v>
      </c>
      <c r="H35" s="190">
        <f t="shared" ref="H35" si="44">F35/F23-1</f>
        <v>-0.6118908703533178</v>
      </c>
      <c r="I35" s="130">
        <f t="shared" si="0"/>
        <v>171.99266209332552</v>
      </c>
      <c r="J35" s="130">
        <f t="shared" si="5"/>
        <v>-0.28274791839230728</v>
      </c>
      <c r="K35" s="193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45">Q35/S35</f>
        <v>171.99266209332552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242542.09523809524</v>
      </c>
      <c r="G36" s="190">
        <f t="shared" ref="G36" si="46">F36/F35-1</f>
        <v>0.17962008139418439</v>
      </c>
      <c r="H36" s="190">
        <f t="shared" ref="H36" si="47">F36/F24-1</f>
        <v>0.3280484672819417</v>
      </c>
      <c r="I36" s="130">
        <f t="shared" si="0"/>
        <v>145.78362738304486</v>
      </c>
      <c r="J36" s="130">
        <f t="shared" si="5"/>
        <v>-0.18770021881272803</v>
      </c>
      <c r="K36" s="193"/>
      <c r="L36" s="190"/>
      <c r="M36" s="190"/>
      <c r="N36" s="191"/>
      <c r="O36" s="192"/>
      <c r="P36" s="129" t="s">
        <v>664</v>
      </c>
      <c r="Q36" s="116">
        <v>5093384</v>
      </c>
      <c r="R36" s="116">
        <v>6951868766</v>
      </c>
      <c r="S36" s="116">
        <v>34937.97</v>
      </c>
      <c r="T36" s="130">
        <f t="shared" ref="T36" si="48">Q36/S36</f>
        <v>145.78362738304486</v>
      </c>
      <c r="U36" s="78"/>
    </row>
    <row r="37" spans="1:21" s="79" customFormat="1" ht="13.2" hidden="1">
      <c r="A37" s="129" t="s">
        <v>703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87">
        <f>C37/C25-1</f>
        <v>-0.25075147368233675</v>
      </c>
      <c r="F37" s="136">
        <f>Q37/18</f>
        <v>337358.66666666669</v>
      </c>
      <c r="G37" s="190">
        <f t="shared" ref="G37" si="49">F37/F36-1</f>
        <v>0.39092831013722917</v>
      </c>
      <c r="H37" s="190">
        <f t="shared" ref="H37" si="50">F37/F25-1</f>
        <v>4.06283871130797E-3</v>
      </c>
      <c r="I37" s="130">
        <f t="shared" si="0"/>
        <v>59.279897052842806</v>
      </c>
      <c r="J37" s="130">
        <f t="shared" si="5"/>
        <v>-0.87609726163913704</v>
      </c>
      <c r="K37" s="193">
        <f>Q35+Q36+Q37</f>
        <v>15894878</v>
      </c>
      <c r="L37" s="190">
        <f>U37/U34-1</f>
        <v>2.5068717034395664</v>
      </c>
      <c r="M37" s="190">
        <f>U37/U25-1</f>
        <v>6.6771299709063987</v>
      </c>
      <c r="N37" s="191">
        <f>AVERAGE(T35:T37)</f>
        <v>125.68539550973772</v>
      </c>
      <c r="O37" s="192">
        <f>N37/N34-1</f>
        <v>-0.60517344535349149</v>
      </c>
      <c r="P37" s="129" t="s">
        <v>703</v>
      </c>
      <c r="Q37" s="116">
        <v>6072456</v>
      </c>
      <c r="R37" s="116">
        <v>8118205125</v>
      </c>
      <c r="S37" s="116">
        <v>102437.02</v>
      </c>
      <c r="T37" s="130">
        <f t="shared" ref="T37" si="51">Q37/S37</f>
        <v>59.279897052842806</v>
      </c>
      <c r="U37" s="78">
        <f>S37/22</f>
        <v>4656.2281818181818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166623.95000000001</v>
      </c>
      <c r="G38" s="190">
        <f t="shared" ref="G38" si="52">F38/F37-1</f>
        <v>-0.50609257605160085</v>
      </c>
      <c r="H38" s="190">
        <f t="shared" ref="H38" si="53">F38/F26-1</f>
        <v>-6.8500959346708523E-2</v>
      </c>
      <c r="I38" s="130">
        <f t="shared" si="0"/>
        <v>281.03924032485219</v>
      </c>
      <c r="J38" s="130">
        <f t="shared" si="5"/>
        <v>0.80127336954738859</v>
      </c>
      <c r="K38" s="193"/>
      <c r="L38" s="190"/>
      <c r="M38" s="190"/>
      <c r="N38" s="191"/>
      <c r="O38" s="192"/>
      <c r="P38" s="129" t="s">
        <v>728</v>
      </c>
      <c r="Q38" s="116">
        <v>3332479</v>
      </c>
      <c r="R38" s="116">
        <v>4480752288</v>
      </c>
      <c r="S38" s="116">
        <v>11857.7</v>
      </c>
      <c r="T38" s="130">
        <f t="shared" ref="T38" si="54">Q38/S38</f>
        <v>281.03924032485219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161770.71428571429</v>
      </c>
      <c r="G39" s="190">
        <f t="shared" ref="G39" si="55">F39/F38-1</f>
        <v>-2.9126879504931424E-2</v>
      </c>
      <c r="H39" s="190">
        <f t="shared" ref="H39" si="56">F39/F27-1</f>
        <v>0.17495751555813466</v>
      </c>
      <c r="I39" s="130">
        <f t="shared" si="0"/>
        <v>172.06355621871802</v>
      </c>
      <c r="J39" s="130">
        <f t="shared" si="5"/>
        <v>0.27450417148931971</v>
      </c>
      <c r="K39" s="193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57">Q39/S39</f>
        <v>172.06355621871802</v>
      </c>
      <c r="U39" s="78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87">
        <f>C40/C28-1</f>
        <v>-0.27602856872676018</v>
      </c>
      <c r="F40" s="136">
        <f>Q40/21</f>
        <v>357660.38095238095</v>
      </c>
      <c r="G40" s="190">
        <f t="shared" ref="G40" si="58">F40/F39-1</f>
        <v>1.2109093263981796</v>
      </c>
      <c r="H40" s="190">
        <f t="shared" ref="H40" si="59">F40/F28-1</f>
        <v>-0.43324575094935258</v>
      </c>
      <c r="I40" s="130">
        <f t="shared" si="0"/>
        <v>261.79968399445511</v>
      </c>
      <c r="J40" s="130">
        <f t="shared" si="5"/>
        <v>-0.42241263737328427</v>
      </c>
      <c r="K40" s="193">
        <f>Q38+Q39+Q40</f>
        <v>14240532</v>
      </c>
      <c r="L40" s="190">
        <f>U40/U37-1</f>
        <v>-0.71993162237636354</v>
      </c>
      <c r="M40" s="190">
        <f>U40/U28-1</f>
        <v>8.4533062162611694E-2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60">Q40/S40</f>
        <v>261.79968399445511</v>
      </c>
      <c r="U40" s="78">
        <f>S40/22</f>
        <v>1304.0622727272728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140395.27777777778</v>
      </c>
      <c r="G41" s="190">
        <f t="shared" ref="G41" si="61">F41/F40-1</f>
        <v>-0.60746203590139869</v>
      </c>
      <c r="H41" s="190">
        <f t="shared" ref="H41" si="62">F41/F29-1</f>
        <v>0.34859892202380083</v>
      </c>
      <c r="I41" s="130">
        <f t="shared" si="0"/>
        <v>157.49160384219647</v>
      </c>
      <c r="J41" s="130">
        <f t="shared" si="5"/>
        <v>-2.5510472489531422E-2</v>
      </c>
      <c r="K41" s="193"/>
      <c r="L41" s="190"/>
      <c r="M41" s="190"/>
      <c r="N41" s="193"/>
      <c r="O41" s="193"/>
      <c r="P41" s="129" t="s">
        <v>794</v>
      </c>
      <c r="Q41" s="116">
        <v>2527115</v>
      </c>
      <c r="R41" s="116">
        <v>3701355688</v>
      </c>
      <c r="S41" s="116">
        <v>16046.03</v>
      </c>
      <c r="T41" s="130">
        <f t="shared" ref="T41" si="63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158980.04999999999</v>
      </c>
      <c r="G42" s="190">
        <f t="shared" ref="G42" si="64">F42/F41-1</f>
        <v>0.13237462481921081</v>
      </c>
      <c r="H42" s="190">
        <f t="shared" ref="H42" si="65">F42/F30-1</f>
        <v>-0.37943531388365703</v>
      </c>
      <c r="I42" s="130">
        <f t="shared" si="0"/>
        <v>240.30104884164894</v>
      </c>
      <c r="J42" s="130">
        <f t="shared" si="5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66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87">
        <f>C43/C31-1</f>
        <v>-0.19243853592181637</v>
      </c>
      <c r="F43" s="136">
        <f>Q43/20</f>
        <v>157834.6</v>
      </c>
      <c r="G43" s="190">
        <f t="shared" ref="G43" si="67">F43/F42-1</f>
        <v>-7.2049920729045924E-3</v>
      </c>
      <c r="H43" s="190">
        <f t="shared" ref="H43" si="68">F43/F31-1</f>
        <v>-0.23333066175095507</v>
      </c>
      <c r="I43" s="130">
        <f t="shared" si="0"/>
        <v>102.77028258887876</v>
      </c>
      <c r="J43" s="130">
        <f t="shared" si="5"/>
        <v>-0.61671250515107623</v>
      </c>
      <c r="K43" s="193">
        <f>Q41+Q42+Q43</f>
        <v>8863408</v>
      </c>
      <c r="L43" s="190">
        <f>U43/U40-1</f>
        <v>7.0640449755432044E-2</v>
      </c>
      <c r="M43" s="190">
        <f>K43/K31-1</f>
        <v>-0.21390557687167089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69">Q43/S43</f>
        <v>102.77028258887876</v>
      </c>
      <c r="U43" s="78">
        <f>S43/22</f>
        <v>1396.1818181818182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129859.54545454546</v>
      </c>
      <c r="G44" s="190">
        <f t="shared" ref="G44" si="70">F44/F43-1</f>
        <v>-0.17724285134852913</v>
      </c>
      <c r="H44" s="190">
        <f t="shared" ref="H44" si="71">F44/F32-1</f>
        <v>-0.24066569177070185</v>
      </c>
      <c r="I44" s="130">
        <f t="shared" si="0"/>
        <v>66.671053979584528</v>
      </c>
      <c r="J44" s="130">
        <f t="shared" si="5"/>
        <v>-0.82477195465133413</v>
      </c>
      <c r="K44" s="193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72">Q44/S44</f>
        <v>66.671053979584528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257913.65</v>
      </c>
      <c r="G45" s="190">
        <f t="shared" ref="G45" si="73">F45/F44-1</f>
        <v>0.98609697190321</v>
      </c>
      <c r="H45" s="190">
        <f t="shared" ref="H45" si="74">F45/F33-1</f>
        <v>0.1884271568189253</v>
      </c>
      <c r="I45" s="130">
        <f t="shared" si="0"/>
        <v>323.58447127665443</v>
      </c>
      <c r="J45" s="130">
        <f t="shared" si="5"/>
        <v>3.4905762137685592E-2</v>
      </c>
      <c r="K45" s="193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75">Q45/S45</f>
        <v>323.58447127665443</v>
      </c>
      <c r="U45" s="78"/>
    </row>
    <row r="46" spans="1:21" s="79" customFormat="1" ht="13.2">
      <c r="A46" s="129" t="s">
        <v>890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87">
        <f>C46/C34-1</f>
        <v>-0.32261682393791269</v>
      </c>
      <c r="F46" s="136">
        <f>Q46/19</f>
        <v>147757.84210526315</v>
      </c>
      <c r="G46" s="190">
        <f t="shared" ref="G46" si="76">F46/F45-1</f>
        <v>-0.42710344293424118</v>
      </c>
      <c r="H46" s="190">
        <f t="shared" ref="H46" si="77">F46/F34-1</f>
        <v>-0.63294484011704877</v>
      </c>
      <c r="I46" s="130">
        <f t="shared" si="0"/>
        <v>317.81563652583031</v>
      </c>
      <c r="J46" s="130">
        <f t="shared" si="5"/>
        <v>0.21377869846448649</v>
      </c>
      <c r="K46" s="193">
        <f>Q44+Q45+Q46</f>
        <v>10822582</v>
      </c>
      <c r="L46" s="190">
        <f>U46/U43-1</f>
        <v>-0.71241633025133488</v>
      </c>
      <c r="M46" s="190">
        <f>K46/K34-1</f>
        <v>-0.3149072148633465</v>
      </c>
      <c r="N46" s="191">
        <f>AVERAGE(T44:T46)</f>
        <v>236.0237205940231</v>
      </c>
      <c r="O46" s="192">
        <f>N46/N43-1</f>
        <v>0.41454972369515808</v>
      </c>
      <c r="P46" s="129" t="s">
        <v>928</v>
      </c>
      <c r="Q46" s="116">
        <v>2807399</v>
      </c>
      <c r="R46" s="116">
        <v>3842266996</v>
      </c>
      <c r="S46" s="116">
        <v>8833.42</v>
      </c>
      <c r="T46" s="130">
        <f t="shared" ref="T46" si="78">Q46/S46</f>
        <v>317.81563652583031</v>
      </c>
      <c r="U46" s="78">
        <f t="shared" ref="U46:U51" si="79">S46/22</f>
        <v>401.51909090909089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201947.47826086957</v>
      </c>
      <c r="G47" s="190">
        <f t="shared" ref="G47" si="80">F47/F46-1</f>
        <v>0.36674626120352749</v>
      </c>
      <c r="H47" s="190">
        <f t="shared" ref="H47" si="81">F47/F35-1</f>
        <v>-1.781461684173391E-2</v>
      </c>
      <c r="I47" s="130">
        <f t="shared" si="0"/>
        <v>149.60021618118768</v>
      </c>
      <c r="J47" s="130">
        <f t="shared" si="5"/>
        <v>-0.13019419340103822</v>
      </c>
      <c r="K47" s="193"/>
      <c r="L47" s="190"/>
      <c r="M47" s="190"/>
      <c r="N47" s="191"/>
      <c r="O47" s="192"/>
      <c r="P47" s="129" t="s">
        <v>1029</v>
      </c>
      <c r="Q47" s="116">
        <v>4644792</v>
      </c>
      <c r="R47" s="116">
        <v>6339096954</v>
      </c>
      <c r="S47" s="116">
        <v>31048.03</v>
      </c>
      <c r="T47" s="130">
        <f t="shared" ref="T47" si="82">Q47/S47</f>
        <v>149.60021618118768</v>
      </c>
      <c r="U47" s="78">
        <f t="shared" si="79"/>
        <v>1411.2740909090908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137132.25</v>
      </c>
      <c r="G48" s="190">
        <f t="shared" ref="G48" si="83">F48/F47-1</f>
        <v>-0.32095091663953956</v>
      </c>
      <c r="H48" s="190">
        <f t="shared" ref="H48" si="84">F48/F36-1</f>
        <v>-0.43460433181554736</v>
      </c>
      <c r="I48" s="130">
        <f t="shared" si="0"/>
        <v>120.49920279218249</v>
      </c>
      <c r="J48" s="130">
        <f t="shared" si="5"/>
        <v>-0.17343802623615501</v>
      </c>
      <c r="K48" s="193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85">Q48/S48</f>
        <v>120.49920279218249</v>
      </c>
      <c r="U48" s="78">
        <f t="shared" si="79"/>
        <v>1034.5768181818182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87">
        <f>C49/C37-1</f>
        <v>-0.25345549703418502</v>
      </c>
      <c r="F49" s="136">
        <f>Q49/22</f>
        <v>247339.27272727274</v>
      </c>
      <c r="G49" s="190">
        <f t="shared" ref="G49" si="86">F49/F48-1</f>
        <v>0.80365503174689201</v>
      </c>
      <c r="H49" s="190">
        <f t="shared" ref="H49" si="87">F49/F37-1</f>
        <v>-0.26683587182996316</v>
      </c>
      <c r="I49" s="130">
        <f t="shared" si="0"/>
        <v>376.22822058742184</v>
      </c>
      <c r="J49" s="130">
        <f t="shared" si="5"/>
        <v>5.3466409236852677</v>
      </c>
      <c r="K49" s="193">
        <f>Q47+Q48+Q49</f>
        <v>12828901</v>
      </c>
      <c r="L49" s="190">
        <f>U49/U46-1</f>
        <v>0.63732733188278168</v>
      </c>
      <c r="M49" s="190">
        <f>K49/K37-1</f>
        <v>-0.19289087969092933</v>
      </c>
      <c r="N49" s="191">
        <f>AVERAGE(T47:T49)</f>
        <v>215.44254652026402</v>
      </c>
      <c r="O49" s="192">
        <f>N49/N46-1</f>
        <v>-8.719960020103279E-2</v>
      </c>
      <c r="P49" s="129" t="s">
        <v>1158</v>
      </c>
      <c r="Q49" s="116">
        <v>5441464</v>
      </c>
      <c r="R49" s="116">
        <v>7567011965</v>
      </c>
      <c r="S49" s="116">
        <v>14463.2</v>
      </c>
      <c r="T49" s="130">
        <f t="shared" ref="T49" si="88">Q49/S49</f>
        <v>376.22822058742184</v>
      </c>
      <c r="U49" s="78">
        <f t="shared" si="79"/>
        <v>657.41818181818189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150355.94444444444</v>
      </c>
      <c r="G50" s="190">
        <f t="shared" ref="G50" si="89">F50/F49-1</f>
        <v>-0.39210646660939452</v>
      </c>
      <c r="H50" s="190">
        <f t="shared" ref="H50" si="90">F50/F38-1</f>
        <v>-9.7633056685761943E-2</v>
      </c>
      <c r="I50" s="130">
        <f t="shared" ref="I50" si="91">T50</f>
        <v>448.60722271673205</v>
      </c>
      <c r="J50" s="130">
        <f t="shared" ref="J50" si="92">I50/I38-1</f>
        <v>0.59624407679934177</v>
      </c>
      <c r="K50" s="193"/>
      <c r="L50" s="190"/>
      <c r="M50" s="190"/>
      <c r="N50" s="191"/>
      <c r="O50" s="192"/>
      <c r="P50" s="129" t="s">
        <v>1293</v>
      </c>
      <c r="Q50" s="116">
        <v>2706407</v>
      </c>
      <c r="R50" s="116">
        <v>3830153629</v>
      </c>
      <c r="S50" s="116">
        <v>6032.91</v>
      </c>
      <c r="T50" s="130">
        <f t="shared" ref="T50" si="93">Q50/S50</f>
        <v>448.60722271673205</v>
      </c>
      <c r="U50" s="78">
        <f t="shared" si="79"/>
        <v>274.22318181818179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258331.9</v>
      </c>
      <c r="G51" s="190">
        <f t="shared" ref="G51:G52" si="94">F51/F50-1</f>
        <v>0.7181355945354857</v>
      </c>
      <c r="H51" s="190">
        <f t="shared" ref="H51:H52" si="95">F51/F39-1</f>
        <v>0.59690152287850085</v>
      </c>
      <c r="I51" s="130">
        <f t="shared" ref="I51:I52" si="96">T51</f>
        <v>303.13440760852029</v>
      </c>
      <c r="J51" s="130">
        <f t="shared" ref="J51:J52" si="97">I51/I39-1</f>
        <v>0.7617583541234727</v>
      </c>
      <c r="K51" s="193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98">Q51/S51</f>
        <v>303.13440760852029</v>
      </c>
      <c r="U51" s="78">
        <f t="shared" si="79"/>
        <v>774.72954545454547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87">
        <f>C52/C40-1</f>
        <v>9.8904108808301583E-2</v>
      </c>
      <c r="F52" s="136">
        <f>Q52/22</f>
        <v>345220.86363636365</v>
      </c>
      <c r="G52" s="190">
        <f t="shared" si="94"/>
        <v>0.33634624154571569</v>
      </c>
      <c r="H52" s="190">
        <f t="shared" si="95"/>
        <v>-3.4780249584517198E-2</v>
      </c>
      <c r="I52" s="130">
        <f t="shared" si="96"/>
        <v>581.98108660453136</v>
      </c>
      <c r="J52" s="130">
        <f t="shared" si="97"/>
        <v>1.2230014861929996</v>
      </c>
      <c r="K52" s="193">
        <f>Q50+Q51+Q52</f>
        <v>15467904</v>
      </c>
      <c r="L52" s="190">
        <f>U52/U49-1</f>
        <v>-9.7709358924719325E-2</v>
      </c>
      <c r="M52" s="190">
        <f>K52/K40-1</f>
        <v>8.618863396395593E-2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98"/>
        <v>581.98108660453136</v>
      </c>
      <c r="U52" s="78">
        <f t="shared" ref="U52" si="99">S52/22</f>
        <v>593.18227272727279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216439.57142857142</v>
      </c>
      <c r="G53" s="190">
        <f t="shared" ref="G53" si="100">F53/F52-1</f>
        <v>-0.37304029325250532</v>
      </c>
      <c r="H53" s="190">
        <f t="shared" ref="H53" si="101">F53/F41-1</f>
        <v>0.54164424084946083</v>
      </c>
      <c r="I53" s="130">
        <f t="shared" ref="I53" si="102">T53</f>
        <v>242.63917144936036</v>
      </c>
      <c r="J53" s="130">
        <f t="shared" ref="J53" si="103">I53/I41-1</f>
        <v>0.54064829825772875</v>
      </c>
      <c r="K53" s="193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104">Q53/S53</f>
        <v>242.63917144936036</v>
      </c>
      <c r="U53" s="78">
        <f t="shared" ref="U53" si="105">S53/22</f>
        <v>851.47590909090911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188485.64705882352</v>
      </c>
      <c r="G54" s="190">
        <f t="shared" ref="G54" si="106">F54/F53-1</f>
        <v>-0.1291534823564976</v>
      </c>
      <c r="H54" s="190">
        <f t="shared" ref="H54" si="107">F54/F42-1</f>
        <v>0.18559307950163273</v>
      </c>
      <c r="I54" s="130">
        <f t="shared" ref="I54" si="108">T54</f>
        <v>431.84741532208068</v>
      </c>
      <c r="J54" s="130">
        <f t="shared" ref="J54" si="109">I54/I42-1</f>
        <v>0.79710998933947619</v>
      </c>
      <c r="K54" s="193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110">Q54/S54</f>
        <v>431.84741532208068</v>
      </c>
      <c r="U54" s="78">
        <f t="shared" ref="U54" si="111">S54/22</f>
        <v>337.26727272727271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87">
        <f>C55/C43-1</f>
        <v>0.46615411818705521</v>
      </c>
      <c r="F55" s="136">
        <f>Q55/21</f>
        <v>265415</v>
      </c>
      <c r="G55" s="190">
        <f t="shared" ref="G55" si="112">F55/F54-1</f>
        <v>0.40814435550717554</v>
      </c>
      <c r="H55" s="190">
        <f t="shared" ref="H55" si="113">F55/F43-1</f>
        <v>0.68160213286567073</v>
      </c>
      <c r="I55" s="130">
        <f>T55</f>
        <v>559.14903478157066</v>
      </c>
      <c r="J55" s="130">
        <f t="shared" ref="J55" si="114">I55/I43-1</f>
        <v>4.440765761230657</v>
      </c>
      <c r="K55" s="193">
        <f>Q53+Q54+Q55</f>
        <v>13323202</v>
      </c>
      <c r="L55" s="190">
        <f>U55/U52-1</f>
        <v>-0.23615307574476974</v>
      </c>
      <c r="M55" s="190">
        <f>K55/K43-1</f>
        <v>0.503169209856976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15">Q55/S55</f>
        <v>559.14903478157066</v>
      </c>
      <c r="U55" s="78">
        <f t="shared" ref="U55" si="116">S55/22</f>
        <v>453.10045454545451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379859.45454545453</v>
      </c>
      <c r="G56" s="190">
        <f t="shared" ref="G56" si="117">F56/F55-1</f>
        <v>0.43119060544978449</v>
      </c>
      <c r="H56" s="190">
        <f t="shared" ref="H56" si="118">F56/F44-1</f>
        <v>1.9251562002303184</v>
      </c>
      <c r="I56" s="291">
        <f>T56</f>
        <v>592.28609214448625</v>
      </c>
      <c r="J56" s="130">
        <f t="shared" ref="J56" si="119">I56/I44-1</f>
        <v>7.8837067481466736</v>
      </c>
      <c r="K56" s="193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20">Q56/S56</f>
        <v>592.28609214448625</v>
      </c>
      <c r="U56" s="78">
        <f t="shared" ref="U56" si="121">S56/22</f>
        <v>641.34454545454548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321789.25</v>
      </c>
      <c r="G57" s="254">
        <f t="shared" ref="G57" si="122">F57/F56-1</f>
        <v>-0.15287286876916673</v>
      </c>
      <c r="H57" s="254">
        <f t="shared" ref="H57" si="123">F57/F45-1</f>
        <v>0.24766273518287996</v>
      </c>
      <c r="I57" s="282">
        <f>T57</f>
        <v>627.42747117939052</v>
      </c>
      <c r="J57" s="277">
        <f t="shared" ref="J57" si="124">I57/I45-1</f>
        <v>0.93899128936555187</v>
      </c>
      <c r="K57" s="259"/>
      <c r="L57" s="254"/>
      <c r="M57" s="254"/>
      <c r="N57" s="257"/>
      <c r="O57" s="258"/>
      <c r="P57" s="129" t="s">
        <v>1436</v>
      </c>
      <c r="Q57" s="116">
        <v>3861471</v>
      </c>
      <c r="R57" s="116">
        <v>5687542464</v>
      </c>
      <c r="S57" s="116">
        <v>6154.45</v>
      </c>
      <c r="T57" s="130">
        <f t="shared" ref="T57" si="125">Q57/S57</f>
        <v>627.42747117939052</v>
      </c>
      <c r="U57" s="78">
        <f t="shared" ref="U57" si="126">S57/22</f>
        <v>279.74772727272727</v>
      </c>
      <c r="V57" s="79"/>
      <c r="W57" s="79"/>
      <c r="X57" s="79"/>
      <c r="Y57" s="79"/>
      <c r="Z57" s="79"/>
    </row>
    <row r="58" spans="1:26">
      <c r="B58" s="196">
        <f>SUM(F56:F58)</f>
        <v>701648.70454545459</v>
      </c>
      <c r="C58" s="196">
        <f>AVERAGE(F56:F58)</f>
        <v>350824.35227272729</v>
      </c>
      <c r="D58" s="197">
        <f>C58/C55-1</f>
        <v>0.5700580508104669</v>
      </c>
      <c r="E58" s="233">
        <f>C58/C46-1</f>
        <v>0.96528862568612683</v>
      </c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25541581</v>
      </c>
      <c r="R65" s="212">
        <v>37749227753</v>
      </c>
      <c r="S65" s="213">
        <v>56384.61</v>
      </c>
      <c r="T65" s="214">
        <v>244</v>
      </c>
      <c r="U65" s="214">
        <v>416</v>
      </c>
    </row>
    <row r="66" spans="16:21" ht="18" thickBot="1">
      <c r="P66" s="180" t="s">
        <v>976</v>
      </c>
      <c r="Q66" s="181">
        <v>4545231</v>
      </c>
      <c r="R66" s="181">
        <v>6653497387</v>
      </c>
      <c r="S66" s="182">
        <v>18732.47</v>
      </c>
      <c r="T66" s="210">
        <v>92</v>
      </c>
      <c r="U66" s="210">
        <v>140</v>
      </c>
    </row>
    <row r="67" spans="16:21" ht="18" thickBot="1">
      <c r="P67" s="180" t="s">
        <v>977</v>
      </c>
      <c r="Q67" s="181">
        <v>3204256</v>
      </c>
      <c r="R67" s="181">
        <v>4639326675</v>
      </c>
      <c r="S67" s="182">
        <v>7419.88</v>
      </c>
      <c r="T67" s="210">
        <v>71</v>
      </c>
      <c r="U67" s="210">
        <v>119</v>
      </c>
    </row>
    <row r="68" spans="16:21" ht="18" thickBot="1">
      <c r="P68" s="180" t="s">
        <v>978</v>
      </c>
      <c r="Q68" s="181">
        <v>5573715</v>
      </c>
      <c r="R68" s="181">
        <v>8247669327</v>
      </c>
      <c r="S68" s="182">
        <v>9968.2099999999991</v>
      </c>
      <c r="T68" s="210">
        <v>73</v>
      </c>
      <c r="U68" s="210">
        <v>133</v>
      </c>
    </row>
    <row r="69" spans="16:21" ht="18" thickBot="1">
      <c r="P69" s="180" t="s">
        <v>979</v>
      </c>
      <c r="Q69" s="181">
        <v>8356908</v>
      </c>
      <c r="R69" s="181">
        <v>12521191900</v>
      </c>
      <c r="S69" s="182">
        <v>14109.58</v>
      </c>
      <c r="T69" s="210">
        <v>93</v>
      </c>
      <c r="U69" s="210">
        <v>153</v>
      </c>
    </row>
    <row r="70" spans="16:21" ht="18" thickBot="1">
      <c r="P70" s="180" t="s">
        <v>980</v>
      </c>
      <c r="Q70" s="181">
        <v>3861471</v>
      </c>
      <c r="R70" s="181">
        <v>5687542464</v>
      </c>
      <c r="S70" s="182">
        <v>6154.45</v>
      </c>
      <c r="T70" s="210">
        <v>59</v>
      </c>
      <c r="U70" s="210">
        <v>99</v>
      </c>
    </row>
    <row r="71" spans="16:21" ht="18" thickBot="1">
      <c r="P71" s="180" t="s">
        <v>975</v>
      </c>
      <c r="Q71" s="181">
        <v>48252446</v>
      </c>
      <c r="R71" s="181">
        <v>68757039179</v>
      </c>
      <c r="S71" s="182">
        <v>232145.54</v>
      </c>
      <c r="T71" s="210">
        <v>485</v>
      </c>
      <c r="U71" s="210">
        <v>1000</v>
      </c>
    </row>
    <row r="72" spans="16:21" ht="18" thickBot="1">
      <c r="P72" s="215" t="s">
        <v>982</v>
      </c>
      <c r="Q72" s="217" t="s">
        <v>1543</v>
      </c>
      <c r="R72"/>
      <c r="S72"/>
      <c r="T72"/>
      <c r="U72"/>
    </row>
  </sheetData>
  <phoneticPr fontId="1" type="noConversion"/>
  <conditionalFormatting sqref="C29:C30">
    <cfRule type="cellIs" dxfId="1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18">
    <tabColor rgb="FF92D050"/>
  </sheetPr>
  <dimension ref="A1:Z75"/>
  <sheetViews>
    <sheetView zoomScale="90" zoomScaleNormal="90" workbookViewId="0">
      <selection activeCell="L67" sqref="L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720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484767.3</v>
      </c>
      <c r="G5" s="90"/>
      <c r="H5" s="90"/>
      <c r="I5" s="130">
        <f t="shared" ref="I5:I49" si="0">T5</f>
        <v>139.72262553871275</v>
      </c>
      <c r="J5" s="130"/>
      <c r="L5" s="80"/>
      <c r="M5" s="80"/>
      <c r="P5" s="129" t="s">
        <v>0</v>
      </c>
      <c r="Q5" s="116">
        <v>9695346</v>
      </c>
      <c r="R5" s="116"/>
      <c r="S5" s="116">
        <v>69389.95</v>
      </c>
      <c r="T5" s="130">
        <f t="shared" ref="T5:T20" si="1">Q5/S5</f>
        <v>139.72262553871275</v>
      </c>
      <c r="U5" s="78">
        <f>S5/20</f>
        <v>3469.4974999999999</v>
      </c>
    </row>
    <row r="6" spans="1:21" ht="15" hidden="1" customHeight="1">
      <c r="A6" s="129" t="s">
        <v>1</v>
      </c>
      <c r="C6" s="79"/>
      <c r="F6" s="78">
        <f>Q6/18</f>
        <v>666415.33333333337</v>
      </c>
      <c r="G6" s="90">
        <f t="shared" ref="G6:G16" si="2">F6/F5-1</f>
        <v>0.37471181190095404</v>
      </c>
      <c r="H6" s="90"/>
      <c r="I6" s="130">
        <f t="shared" si="0"/>
        <v>239.98737190344548</v>
      </c>
      <c r="J6" s="130"/>
      <c r="P6" s="129" t="s">
        <v>1</v>
      </c>
      <c r="Q6" s="116">
        <v>11995476</v>
      </c>
      <c r="R6" s="116"/>
      <c r="S6" s="116">
        <v>49983.78</v>
      </c>
      <c r="T6" s="130">
        <f t="shared" si="1"/>
        <v>239.98737190344548</v>
      </c>
      <c r="U6" s="78">
        <f>S6/18</f>
        <v>2776.8766666666666</v>
      </c>
    </row>
    <row r="7" spans="1:21" ht="15" hidden="1" customHeight="1">
      <c r="A7" s="129" t="s">
        <v>2</v>
      </c>
      <c r="B7" s="131">
        <f>F5+F6+F7</f>
        <v>1357282.0424242425</v>
      </c>
      <c r="C7" s="131">
        <f>AVERAGE(F5:F7)</f>
        <v>452427.34747474751</v>
      </c>
      <c r="F7" s="78">
        <f>Q7/22</f>
        <v>206099.40909090909</v>
      </c>
      <c r="G7" s="90">
        <f t="shared" si="2"/>
        <v>-0.69073429319216983</v>
      </c>
      <c r="H7" s="90"/>
      <c r="I7" s="130">
        <f t="shared" si="0"/>
        <v>123.7284722292337</v>
      </c>
      <c r="J7" s="130"/>
      <c r="K7" s="79">
        <f>Q5+Q6+Q7</f>
        <v>26225009</v>
      </c>
      <c r="L7" s="102">
        <f>R5+R6+R7</f>
        <v>0</v>
      </c>
      <c r="M7" s="102">
        <f>S5+S6+S7</f>
        <v>156020</v>
      </c>
      <c r="N7" s="88">
        <f>AVERAGE(T5:T7)</f>
        <v>167.81282322379732</v>
      </c>
      <c r="P7" s="129" t="s">
        <v>2</v>
      </c>
      <c r="Q7" s="116">
        <v>4534187</v>
      </c>
      <c r="R7" s="116"/>
      <c r="S7" s="116">
        <v>36646.269999999997</v>
      </c>
      <c r="T7" s="130">
        <f t="shared" si="1"/>
        <v>123.7284722292337</v>
      </c>
      <c r="U7" s="78">
        <f>S7/22</f>
        <v>1665.7395454545454</v>
      </c>
    </row>
    <row r="8" spans="1:21" ht="15" hidden="1" customHeight="1">
      <c r="A8" s="129" t="s">
        <v>3</v>
      </c>
      <c r="C8" s="79"/>
      <c r="F8" s="78">
        <f>Q8/21</f>
        <v>169331.66666666666</v>
      </c>
      <c r="G8" s="90">
        <f t="shared" si="2"/>
        <v>-0.17839809724065936</v>
      </c>
      <c r="H8" s="90"/>
      <c r="I8" s="130">
        <f t="shared" si="0"/>
        <v>712.93970227056286</v>
      </c>
      <c r="J8" s="130"/>
      <c r="L8" s="90"/>
      <c r="P8" s="129" t="s">
        <v>3</v>
      </c>
      <c r="Q8" s="116">
        <v>3555965</v>
      </c>
      <c r="R8" s="116"/>
      <c r="S8" s="116">
        <v>4987.75</v>
      </c>
      <c r="T8" s="130">
        <f t="shared" si="1"/>
        <v>712.93970227056286</v>
      </c>
      <c r="U8" s="78">
        <f>S8/21</f>
        <v>237.51190476190476</v>
      </c>
    </row>
    <row r="9" spans="1:21" ht="15" hidden="1" customHeight="1">
      <c r="A9" s="129" t="s">
        <v>4</v>
      </c>
      <c r="C9" s="79"/>
      <c r="F9" s="78">
        <f>Q9/21</f>
        <v>84853.571428571435</v>
      </c>
      <c r="G9" s="90">
        <f t="shared" si="2"/>
        <v>-0.4988912995487863</v>
      </c>
      <c r="H9" s="90"/>
      <c r="I9" s="130">
        <f t="shared" si="0"/>
        <v>637.7387594707476</v>
      </c>
      <c r="J9" s="130"/>
      <c r="L9" s="90"/>
      <c r="P9" s="129" t="s">
        <v>4</v>
      </c>
      <c r="Q9" s="116">
        <v>1781925</v>
      </c>
      <c r="R9" s="116"/>
      <c r="S9" s="116">
        <v>2794.13</v>
      </c>
      <c r="T9" s="130">
        <f t="shared" si="1"/>
        <v>637.7387594707476</v>
      </c>
      <c r="U9" s="78">
        <f>S9/21</f>
        <v>133.05380952380952</v>
      </c>
    </row>
    <row r="10" spans="1:21" ht="15" hidden="1" customHeight="1">
      <c r="A10" s="129" t="s">
        <v>5</v>
      </c>
      <c r="B10" s="131">
        <f>F8+F9+F10</f>
        <v>598508.52380952379</v>
      </c>
      <c r="C10" s="131">
        <f>AVERAGE(F8:F10)</f>
        <v>199502.84126984127</v>
      </c>
      <c r="D10" s="90">
        <f>C10/C7-1</f>
        <v>-0.55903894319523506</v>
      </c>
      <c r="E10" s="286"/>
      <c r="F10" s="78">
        <f>Q10/21</f>
        <v>344323.28571428574</v>
      </c>
      <c r="G10" s="90">
        <f t="shared" si="2"/>
        <v>3.0578526032240418</v>
      </c>
      <c r="H10" s="90"/>
      <c r="I10" s="130">
        <f t="shared" si="0"/>
        <v>120.13901707765069</v>
      </c>
      <c r="J10" s="130"/>
      <c r="K10" s="79">
        <f>Q8+Q9+Q10</f>
        <v>12568679</v>
      </c>
      <c r="L10" s="102">
        <f>U10/U7-1</f>
        <v>0.72058139822116885</v>
      </c>
      <c r="M10" s="102">
        <f>S8+S9+S10</f>
        <v>67968.73</v>
      </c>
      <c r="N10" s="88">
        <f>AVERAGE(T8:T10)</f>
        <v>490.27249293965377</v>
      </c>
      <c r="O10" s="89">
        <f>N10/N7-1</f>
        <v>1.9215436789703495</v>
      </c>
      <c r="P10" s="129" t="s">
        <v>5</v>
      </c>
      <c r="Q10" s="116">
        <v>7230789</v>
      </c>
      <c r="R10" s="116"/>
      <c r="S10" s="116">
        <v>60186.85</v>
      </c>
      <c r="T10" s="130">
        <f t="shared" si="1"/>
        <v>120.13901707765069</v>
      </c>
      <c r="U10" s="78">
        <f>S10/21</f>
        <v>2866.0404761904761</v>
      </c>
    </row>
    <row r="11" spans="1:21" ht="15" hidden="1" customHeight="1">
      <c r="A11" s="129" t="s">
        <v>6</v>
      </c>
      <c r="C11" s="79"/>
      <c r="F11" s="78">
        <f>Q11/21</f>
        <v>45768.809523809527</v>
      </c>
      <c r="G11" s="90">
        <f t="shared" si="2"/>
        <v>-0.8670760549090839</v>
      </c>
      <c r="H11" s="90"/>
      <c r="I11" s="130">
        <f t="shared" si="0"/>
        <v>456.67471230507545</v>
      </c>
      <c r="J11" s="130"/>
      <c r="L11" s="90"/>
      <c r="O11" s="89"/>
      <c r="P11" s="129" t="s">
        <v>6</v>
      </c>
      <c r="Q11" s="116">
        <v>961145</v>
      </c>
      <c r="R11" s="116"/>
      <c r="S11" s="116">
        <v>2104.66</v>
      </c>
      <c r="T11" s="130">
        <f t="shared" si="1"/>
        <v>456.67471230507545</v>
      </c>
      <c r="U11" s="78">
        <f>S11/21</f>
        <v>100.22190476190475</v>
      </c>
    </row>
    <row r="12" spans="1:21" ht="15" hidden="1" customHeight="1">
      <c r="A12" s="129" t="s">
        <v>7</v>
      </c>
      <c r="C12" s="79"/>
      <c r="F12" s="78">
        <f>Q12/22</f>
        <v>65004.954545454544</v>
      </c>
      <c r="G12" s="90">
        <f t="shared" si="2"/>
        <v>0.42028938969098872</v>
      </c>
      <c r="H12" s="90"/>
      <c r="I12" s="130">
        <f t="shared" si="0"/>
        <v>158.47856657642572</v>
      </c>
      <c r="J12" s="130"/>
      <c r="L12" s="90"/>
      <c r="O12" s="89"/>
      <c r="P12" s="129" t="s">
        <v>7</v>
      </c>
      <c r="Q12" s="116">
        <v>1430109</v>
      </c>
      <c r="R12" s="116"/>
      <c r="S12" s="116">
        <v>9023.99</v>
      </c>
      <c r="T12" s="130">
        <f t="shared" si="1"/>
        <v>158.47856657642572</v>
      </c>
      <c r="U12" s="78">
        <f>S12/22</f>
        <v>410.18136363636364</v>
      </c>
    </row>
    <row r="13" spans="1:21" ht="15" hidden="1" customHeight="1">
      <c r="A13" s="129" t="s">
        <v>96</v>
      </c>
      <c r="B13" s="131">
        <f>F11+F12+F13</f>
        <v>155175.26406926406</v>
      </c>
      <c r="C13" s="131">
        <f>AVERAGE(F11:F13)</f>
        <v>51725.088023088021</v>
      </c>
      <c r="D13" s="90">
        <f>C13/C10-1</f>
        <v>-0.74073006833458432</v>
      </c>
      <c r="E13" s="286"/>
      <c r="F13" s="78">
        <f>Q13/20</f>
        <v>44401.5</v>
      </c>
      <c r="G13" s="90">
        <f t="shared" si="2"/>
        <v>-0.31695206449298619</v>
      </c>
      <c r="H13" s="90"/>
      <c r="I13" s="130">
        <f t="shared" si="0"/>
        <v>753.18694180809655</v>
      </c>
      <c r="J13" s="130"/>
      <c r="K13" s="79">
        <f>Q11+Q12+Q13</f>
        <v>3279284</v>
      </c>
      <c r="L13" s="102">
        <f>U13/U10-1</f>
        <v>-0.97943103020011846</v>
      </c>
      <c r="M13" s="102">
        <f>S11+S12+S13</f>
        <v>12307.68</v>
      </c>
      <c r="N13" s="88">
        <f>AVERAGE(T11:T13)</f>
        <v>456.11340689653252</v>
      </c>
      <c r="O13" s="89">
        <f>N13/N10-1</f>
        <v>-6.967367440564487E-2</v>
      </c>
      <c r="P13" s="129" t="s">
        <v>96</v>
      </c>
      <c r="Q13" s="116">
        <v>888030</v>
      </c>
      <c r="R13" s="116"/>
      <c r="S13" s="116">
        <v>1179.03</v>
      </c>
      <c r="T13" s="130">
        <f t="shared" si="1"/>
        <v>753.18694180809655</v>
      </c>
      <c r="U13" s="78">
        <f>S13/20</f>
        <v>58.951499999999996</v>
      </c>
    </row>
    <row r="14" spans="1:21" ht="15" hidden="1" customHeight="1">
      <c r="A14" s="129" t="s">
        <v>97</v>
      </c>
      <c r="C14" s="79"/>
      <c r="F14" s="78">
        <f>Q14/20</f>
        <v>50473.9</v>
      </c>
      <c r="G14" s="90">
        <f t="shared" si="2"/>
        <v>0.13676114545679763</v>
      </c>
      <c r="H14" s="90"/>
      <c r="I14" s="130">
        <f t="shared" si="0"/>
        <v>181.13791903075196</v>
      </c>
      <c r="J14" s="130"/>
      <c r="L14" s="90"/>
      <c r="O14" s="89"/>
      <c r="P14" s="129" t="s">
        <v>97</v>
      </c>
      <c r="Q14" s="116">
        <v>1009478</v>
      </c>
      <c r="R14" s="116"/>
      <c r="S14" s="116">
        <v>5572.98</v>
      </c>
      <c r="T14" s="130">
        <f t="shared" si="1"/>
        <v>181.13791903075196</v>
      </c>
      <c r="U14" s="78">
        <f>S14/20</f>
        <v>278.649</v>
      </c>
    </row>
    <row r="15" spans="1:21" ht="15" hidden="1" customHeight="1">
      <c r="A15" s="129" t="s">
        <v>98</v>
      </c>
      <c r="B15" s="131"/>
      <c r="C15" s="131"/>
      <c r="F15" s="78">
        <f>Q15/22</f>
        <v>93798.590909090912</v>
      </c>
      <c r="G15" s="90">
        <f t="shared" si="2"/>
        <v>0.85835829823118304</v>
      </c>
      <c r="H15" s="90"/>
      <c r="I15" s="130">
        <f t="shared" si="0"/>
        <v>666.82683763058992</v>
      </c>
      <c r="J15" s="130"/>
      <c r="L15" s="90"/>
      <c r="O15" s="89"/>
      <c r="P15" s="129" t="s">
        <v>98</v>
      </c>
      <c r="Q15" s="116">
        <v>2063569</v>
      </c>
      <c r="R15" s="116"/>
      <c r="S15" s="116">
        <v>3094.61</v>
      </c>
      <c r="T15" s="130">
        <f t="shared" si="1"/>
        <v>666.82683763058992</v>
      </c>
      <c r="U15" s="78">
        <f>S15/22</f>
        <v>140.6640909090909</v>
      </c>
    </row>
    <row r="16" spans="1:21" ht="15" hidden="1" customHeight="1">
      <c r="A16" s="129" t="s">
        <v>99</v>
      </c>
      <c r="B16" s="131">
        <f>F14+F15+F16</f>
        <v>170430.21818181817</v>
      </c>
      <c r="C16" s="131">
        <f>AVERAGE(F14:F16)</f>
        <v>56810.072727272724</v>
      </c>
      <c r="D16" s="90">
        <f>C16/C13-1</f>
        <v>9.8307898517542736E-2</v>
      </c>
      <c r="E16" s="286"/>
      <c r="F16" s="78">
        <f>Q16/22</f>
        <v>26157.727272727272</v>
      </c>
      <c r="G16" s="90">
        <f t="shared" si="2"/>
        <v>-0.72112878222148136</v>
      </c>
      <c r="H16" s="90"/>
      <c r="I16" s="130">
        <f t="shared" si="0"/>
        <v>101.95758130898744</v>
      </c>
      <c r="J16" s="130"/>
      <c r="K16" s="79">
        <f>Q14+Q15+Q16</f>
        <v>3648517</v>
      </c>
      <c r="L16" s="102">
        <f>U16/U13-1</f>
        <v>3.3519672951494028</v>
      </c>
      <c r="N16" s="88">
        <f>AVERAGE(T14:T16)</f>
        <v>316.6407793234431</v>
      </c>
      <c r="O16" s="89">
        <f>N16/N13-1</f>
        <v>-0.3057849768593367</v>
      </c>
      <c r="P16" s="129" t="s">
        <v>99</v>
      </c>
      <c r="Q16" s="116">
        <v>575470</v>
      </c>
      <c r="R16" s="116"/>
      <c r="S16" s="116">
        <v>5644.21</v>
      </c>
      <c r="T16" s="130">
        <f t="shared" si="1"/>
        <v>101.95758130898744</v>
      </c>
      <c r="U16" s="78">
        <f>S16/22</f>
        <v>256.55500000000001</v>
      </c>
    </row>
    <row r="17" spans="1:21" ht="15" hidden="1" customHeight="1">
      <c r="A17" s="129" t="s">
        <v>100</v>
      </c>
      <c r="C17" s="79"/>
      <c r="F17" s="78">
        <f>Q17/20</f>
        <v>19965.3</v>
      </c>
      <c r="G17" s="90">
        <f t="shared" ref="G17:G22" si="3">F17/F16-1</f>
        <v>-0.23673414774010815</v>
      </c>
      <c r="H17" s="90">
        <f t="shared" ref="H17:H22" si="4">F17/F5-1</f>
        <v>-0.95881467252432251</v>
      </c>
      <c r="I17" s="130">
        <f t="shared" si="0"/>
        <v>87.657646384752667</v>
      </c>
      <c r="J17" s="130">
        <f t="shared" ref="J17:J49" si="5">I17/I5-1</f>
        <v>-0.37263098194167921</v>
      </c>
      <c r="L17" s="90"/>
      <c r="O17" s="89"/>
      <c r="P17" s="129" t="s">
        <v>100</v>
      </c>
      <c r="Q17" s="116">
        <v>399306</v>
      </c>
      <c r="R17" s="116">
        <v>504568776</v>
      </c>
      <c r="S17" s="116">
        <v>4555.29</v>
      </c>
      <c r="T17" s="130">
        <f t="shared" si="1"/>
        <v>87.657646384752667</v>
      </c>
      <c r="U17" s="78">
        <f>S17/20</f>
        <v>227.7645</v>
      </c>
    </row>
    <row r="18" spans="1:21" ht="15" hidden="1" customHeight="1">
      <c r="A18" s="129" t="s">
        <v>106</v>
      </c>
      <c r="C18" s="79"/>
      <c r="F18" s="78">
        <f>Q18/20</f>
        <v>24660.65</v>
      </c>
      <c r="G18" s="90">
        <f t="shared" si="3"/>
        <v>0.23517552954375853</v>
      </c>
      <c r="H18" s="90">
        <f t="shared" si="4"/>
        <v>-0.96299507414295193</v>
      </c>
      <c r="I18" s="130">
        <f t="shared" si="0"/>
        <v>97.988234569544574</v>
      </c>
      <c r="J18" s="130">
        <f t="shared" si="5"/>
        <v>-0.59169420543940809</v>
      </c>
      <c r="O18" s="89"/>
      <c r="P18" s="129" t="s">
        <v>106</v>
      </c>
      <c r="Q18" s="116">
        <v>493213</v>
      </c>
      <c r="R18" s="116">
        <v>610637397</v>
      </c>
      <c r="S18" s="116">
        <v>5033.3900000000003</v>
      </c>
      <c r="T18" s="130">
        <f t="shared" si="1"/>
        <v>97.988234569544574</v>
      </c>
      <c r="U18" s="78">
        <f>S18/20</f>
        <v>251.66950000000003</v>
      </c>
    </row>
    <row r="19" spans="1:21" hidden="1">
      <c r="A19" s="129" t="s">
        <v>114</v>
      </c>
      <c r="B19" s="131">
        <f>SUM(F17:F19)</f>
        <v>57238.859090909085</v>
      </c>
      <c r="C19" s="131">
        <f>AVERAGE(F17:F19)</f>
        <v>19079.619696969694</v>
      </c>
      <c r="D19" s="90">
        <f>C19/C16-1</f>
        <v>-0.6641507609299333</v>
      </c>
      <c r="E19" s="286">
        <f>C19/C7-1</f>
        <v>-0.95782832358949155</v>
      </c>
      <c r="F19" s="78">
        <f>Q19/22</f>
        <v>12612.90909090909</v>
      </c>
      <c r="G19" s="90">
        <f t="shared" si="3"/>
        <v>-0.48854109316222039</v>
      </c>
      <c r="H19" s="90">
        <f t="shared" si="4"/>
        <v>-0.93880181827524978</v>
      </c>
      <c r="I19" s="130">
        <f t="shared" si="0"/>
        <v>112.70536914659853</v>
      </c>
      <c r="J19" s="130">
        <f t="shared" si="5"/>
        <v>-8.9091078908761556E-2</v>
      </c>
      <c r="K19" s="79">
        <f>Q17+Q18+Q19</f>
        <v>1170003</v>
      </c>
      <c r="L19" s="102">
        <f>U19/U16-1</f>
        <v>-0.56379546473288555</v>
      </c>
      <c r="M19" s="87">
        <f>U19/U7-1</f>
        <v>-0.9328163548432078</v>
      </c>
      <c r="N19" s="88">
        <f>AVERAGE(T17:T19)</f>
        <v>99.450416700298589</v>
      </c>
      <c r="O19" s="89">
        <f>N19/N16-1</f>
        <v>-0.68592037667166139</v>
      </c>
      <c r="P19" s="129" t="s">
        <v>115</v>
      </c>
      <c r="Q19" s="116">
        <v>277484</v>
      </c>
      <c r="R19" s="116">
        <v>362567492</v>
      </c>
      <c r="S19" s="116">
        <v>2462.0300000000002</v>
      </c>
      <c r="T19" s="130">
        <f t="shared" si="1"/>
        <v>112.70536914659853</v>
      </c>
      <c r="U19" s="78">
        <f>S19/22</f>
        <v>111.91045454545456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28105.9</v>
      </c>
      <c r="G20" s="90">
        <f t="shared" si="3"/>
        <v>1.2283439765896413</v>
      </c>
      <c r="H20" s="90">
        <f t="shared" si="4"/>
        <v>-0.83401864191576691</v>
      </c>
      <c r="I20" s="130">
        <f t="shared" si="0"/>
        <v>494.7220193094708</v>
      </c>
      <c r="J20" s="130">
        <f t="shared" si="5"/>
        <v>-0.30608154135071264</v>
      </c>
      <c r="O20" s="89"/>
      <c r="P20" s="129" t="s">
        <v>132</v>
      </c>
      <c r="Q20" s="116">
        <v>562118</v>
      </c>
      <c r="R20" s="116">
        <v>731522644</v>
      </c>
      <c r="S20" s="116">
        <v>1136.23</v>
      </c>
      <c r="T20" s="130">
        <f t="shared" si="1"/>
        <v>494.7220193094708</v>
      </c>
      <c r="U20" s="78">
        <f>S20/20</f>
        <v>56.811500000000002</v>
      </c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12201.857142857143</v>
      </c>
      <c r="G21" s="90">
        <f t="shared" si="3"/>
        <v>-0.5658613621034323</v>
      </c>
      <c r="H21" s="90">
        <f t="shared" si="4"/>
        <v>-0.85620101856138731</v>
      </c>
      <c r="I21" s="130">
        <f t="shared" si="0"/>
        <v>124.6880839302398</v>
      </c>
      <c r="J21" s="130">
        <f t="shared" si="5"/>
        <v>-0.80448407427248569</v>
      </c>
      <c r="O21" s="89"/>
      <c r="P21" s="129" t="s">
        <v>141</v>
      </c>
      <c r="Q21" s="116">
        <v>256239</v>
      </c>
      <c r="R21" s="116">
        <v>340743608</v>
      </c>
      <c r="S21" s="116">
        <v>2055.04</v>
      </c>
      <c r="T21" s="130">
        <f t="shared" ref="T21" si="6">Q21/S21</f>
        <v>124.6880839302398</v>
      </c>
      <c r="U21" s="78">
        <f>S21/20</f>
        <v>102.752</v>
      </c>
    </row>
    <row r="22" spans="1:21" hidden="1">
      <c r="A22" s="129" t="s">
        <v>156</v>
      </c>
      <c r="B22" s="131">
        <f>SUM(F20:F22)</f>
        <v>47316.233333333337</v>
      </c>
      <c r="C22" s="131">
        <f>AVERAGE(F20:F22)</f>
        <v>15772.077777777778</v>
      </c>
      <c r="D22" s="90">
        <f>C22/C19-1</f>
        <v>-0.17335470893674221</v>
      </c>
      <c r="E22" s="286">
        <f>C22/C10-1</f>
        <v>-0.92094309195103163</v>
      </c>
      <c r="F22" s="78">
        <f>Q22/21</f>
        <v>7008.4761904761908</v>
      </c>
      <c r="G22" s="90">
        <f t="shared" si="3"/>
        <v>-0.42562217304937966</v>
      </c>
      <c r="H22" s="90">
        <f t="shared" si="4"/>
        <v>-0.97964565139433613</v>
      </c>
      <c r="I22" s="130">
        <f t="shared" si="0"/>
        <v>120.76639041601706</v>
      </c>
      <c r="J22" s="130">
        <f t="shared" si="5"/>
        <v>5.2220615219522593E-3</v>
      </c>
      <c r="K22" s="79">
        <f>Q20+Q21+Q22</f>
        <v>965535</v>
      </c>
      <c r="L22" s="102">
        <f>U22/U19-1</f>
        <v>-0.50500196991913182</v>
      </c>
      <c r="M22" s="87">
        <f>U22/U10-1</f>
        <v>-0.98067178220068763</v>
      </c>
      <c r="N22" s="88">
        <f>AVERAGE(T20:T22)</f>
        <v>246.72549788524256</v>
      </c>
      <c r="O22" s="89">
        <f>N22/N19-1</f>
        <v>1.4808895334120988</v>
      </c>
      <c r="P22" s="129" t="s">
        <v>156</v>
      </c>
      <c r="Q22" s="116">
        <v>147178</v>
      </c>
      <c r="R22" s="116">
        <v>191085963</v>
      </c>
      <c r="S22" s="116">
        <v>1218.7</v>
      </c>
      <c r="T22" s="130">
        <f t="shared" ref="T22:T23" si="7">Q22/S22</f>
        <v>120.76639041601706</v>
      </c>
      <c r="U22" s="78">
        <f>S22/22</f>
        <v>55.395454545454548</v>
      </c>
    </row>
    <row r="23" spans="1:21" hidden="1">
      <c r="A23" s="129" t="s">
        <v>189</v>
      </c>
      <c r="B23" s="131"/>
      <c r="C23" s="131"/>
      <c r="F23" s="78">
        <f>Q23/21</f>
        <v>16957.142857142859</v>
      </c>
      <c r="G23" s="90">
        <f t="shared" ref="G23" si="8">F23/F22-1</f>
        <v>1.4195192216227972</v>
      </c>
      <c r="H23" s="90">
        <f t="shared" ref="H23" si="9">F23/F11-1</f>
        <v>-0.62950439319769647</v>
      </c>
      <c r="I23" s="130">
        <f t="shared" si="0"/>
        <v>131.75420681081559</v>
      </c>
      <c r="J23" s="130">
        <f t="shared" si="5"/>
        <v>-0.71149222135426893</v>
      </c>
      <c r="O23" s="89"/>
      <c r="P23" s="129" t="s">
        <v>189</v>
      </c>
      <c r="Q23" s="116">
        <v>356100</v>
      </c>
      <c r="R23" s="116">
        <v>458651916</v>
      </c>
      <c r="S23" s="116">
        <v>2702.76</v>
      </c>
      <c r="T23" s="130">
        <f t="shared" si="7"/>
        <v>131.75420681081559</v>
      </c>
      <c r="U23" s="78"/>
    </row>
    <row r="24" spans="1:21" hidden="1">
      <c r="A24" s="129" t="s">
        <v>205</v>
      </c>
      <c r="B24" s="131"/>
      <c r="C24" s="131"/>
      <c r="F24" s="78">
        <f>Q24/22</f>
        <v>9099.0909090909099</v>
      </c>
      <c r="G24" s="90">
        <f t="shared" ref="G24" si="10">F24/F23-1</f>
        <v>-0.46340660182277704</v>
      </c>
      <c r="H24" s="90">
        <f t="shared" ref="H24" si="11">F24/F12-1</f>
        <v>-0.86002465546332485</v>
      </c>
      <c r="I24" s="130">
        <f t="shared" si="0"/>
        <v>115.75246620176016</v>
      </c>
      <c r="J24" s="130">
        <f t="shared" si="5"/>
        <v>-0.26960175939035302</v>
      </c>
      <c r="O24" s="89"/>
      <c r="P24" s="129" t="s">
        <v>205</v>
      </c>
      <c r="Q24" s="116">
        <v>200180</v>
      </c>
      <c r="R24" s="116">
        <v>261908054</v>
      </c>
      <c r="S24" s="116">
        <v>1729.38</v>
      </c>
      <c r="T24" s="130">
        <f t="shared" ref="T24" si="12">Q24/S24</f>
        <v>115.75246620176016</v>
      </c>
      <c r="U24" s="78"/>
    </row>
    <row r="25" spans="1:21" s="79" customFormat="1" ht="13.2" hidden="1">
      <c r="A25" s="129" t="s">
        <v>218</v>
      </c>
      <c r="B25" s="131">
        <f>SUM(F23:F25)</f>
        <v>83376.549555707461</v>
      </c>
      <c r="C25" s="131">
        <f>AVERAGE(F23:F25)</f>
        <v>27792.183185235819</v>
      </c>
      <c r="D25" s="90">
        <f>C25/C22-1</f>
        <v>0.76211299340622607</v>
      </c>
      <c r="E25" s="286">
        <f>C25/C13-1</f>
        <v>-0.46269432788919573</v>
      </c>
      <c r="F25" s="78">
        <f>Q25/19</f>
        <v>57320.315789473687</v>
      </c>
      <c r="G25" s="90">
        <f t="shared" ref="G25" si="13">F25/F24-1</f>
        <v>5.2995651282267007</v>
      </c>
      <c r="H25" s="90">
        <f t="shared" ref="H25" si="14">F25/F13-1</f>
        <v>0.2909544900391583</v>
      </c>
      <c r="I25" s="130">
        <f t="shared" si="0"/>
        <v>944.14959558217959</v>
      </c>
      <c r="J25" s="130">
        <f t="shared" si="5"/>
        <v>0.25353951744789827</v>
      </c>
      <c r="K25" s="79">
        <f>Q23+Q24+Q25</f>
        <v>1645366</v>
      </c>
      <c r="L25" s="102">
        <f>U25/U22-1</f>
        <v>-5.3491425289242778E-2</v>
      </c>
      <c r="M25" s="90">
        <f>U25/U13-1</f>
        <v>-0.11058628317731134</v>
      </c>
      <c r="N25" s="88">
        <f>AVERAGE(T23:T25)</f>
        <v>397.21875619825181</v>
      </c>
      <c r="O25" s="91">
        <f>N25/N22-1</f>
        <v>0.60996232494384084</v>
      </c>
      <c r="P25" s="129" t="s">
        <v>220</v>
      </c>
      <c r="Q25" s="116">
        <v>1089086</v>
      </c>
      <c r="R25" s="116">
        <v>1447127193</v>
      </c>
      <c r="S25" s="116">
        <v>1153.51</v>
      </c>
      <c r="T25" s="130">
        <f t="shared" ref="T25" si="15">Q25/S25</f>
        <v>944.14959558217959</v>
      </c>
      <c r="U25" s="78">
        <f>S25/22</f>
        <v>52.432272727272725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52937.473684210527</v>
      </c>
      <c r="G26" s="90">
        <f t="shared" ref="G26" si="16">F26/F25-1</f>
        <v>-7.6462281215624928E-2</v>
      </c>
      <c r="H26" s="90">
        <f t="shared" ref="H26" si="17">F26/F14-1</f>
        <v>4.8808863278060999E-2</v>
      </c>
      <c r="I26" s="130">
        <f t="shared" si="0"/>
        <v>209.94656424814227</v>
      </c>
      <c r="J26" s="130">
        <f t="shared" si="5"/>
        <v>0.1590425978808967</v>
      </c>
      <c r="L26" s="90"/>
      <c r="M26" s="90"/>
      <c r="P26" s="129" t="s">
        <v>312</v>
      </c>
      <c r="Q26" s="116">
        <v>1005812</v>
      </c>
      <c r="R26" s="116">
        <v>1360123690</v>
      </c>
      <c r="S26" s="116">
        <v>4790.8</v>
      </c>
      <c r="T26" s="130">
        <f t="shared" ref="T26" si="18">Q26/S26</f>
        <v>209.94656424814227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53977.727272727272</v>
      </c>
      <c r="G27" s="90">
        <f t="shared" ref="G27" si="19">F27/F26-1</f>
        <v>1.965060884322134E-2</v>
      </c>
      <c r="H27" s="90">
        <f t="shared" ref="H27" si="20">F27/F15-1</f>
        <v>-0.42453584057523641</v>
      </c>
      <c r="I27" s="130">
        <f t="shared" si="0"/>
        <v>74.590603107842341</v>
      </c>
      <c r="J27" s="130">
        <f t="shared" si="5"/>
        <v>-0.88814097019117844</v>
      </c>
      <c r="L27" s="90"/>
      <c r="M27" s="90"/>
      <c r="P27" s="129" t="s">
        <v>386</v>
      </c>
      <c r="Q27" s="116">
        <v>1187510</v>
      </c>
      <c r="R27" s="116">
        <v>1582033061</v>
      </c>
      <c r="S27" s="116">
        <v>15920.37</v>
      </c>
      <c r="T27" s="130">
        <f t="shared" ref="T27" si="21">Q27/S27</f>
        <v>74.590603107842341</v>
      </c>
      <c r="U27" s="78"/>
    </row>
    <row r="28" spans="1:21" s="79" customFormat="1" ht="13.2" hidden="1">
      <c r="A28" s="123" t="s">
        <v>413</v>
      </c>
      <c r="B28" s="131">
        <f>SUM(F26:F28)</f>
        <v>200066.88516746412</v>
      </c>
      <c r="C28" s="131">
        <f>AVERAGE(F26:F28)</f>
        <v>66688.961722488035</v>
      </c>
      <c r="D28" s="90">
        <f>C28/C25-1</f>
        <v>1.3995582239079205</v>
      </c>
      <c r="E28" s="286">
        <f>C28/C16-1</f>
        <v>0.17389326436247932</v>
      </c>
      <c r="F28" s="78">
        <f>Q28/19</f>
        <v>93151.68421052632</v>
      </c>
      <c r="G28" s="90">
        <f t="shared" ref="G28" si="22">F28/F27-1</f>
        <v>0.72574298543303128</v>
      </c>
      <c r="H28" s="90">
        <f t="shared" ref="H28" si="23">F28/F16-1</f>
        <v>2.5611535833867607</v>
      </c>
      <c r="I28" s="130">
        <f t="shared" si="0"/>
        <v>102.76401370742703</v>
      </c>
      <c r="J28" s="130">
        <f t="shared" si="5"/>
        <v>7.9094893002182864E-3</v>
      </c>
      <c r="K28" s="79">
        <f>Q26+Q27+Q28</f>
        <v>3963204</v>
      </c>
      <c r="L28" s="102">
        <f>U28/U25-1</f>
        <v>13.930759161168952</v>
      </c>
      <c r="M28" s="90">
        <f>U28/U16-1</f>
        <v>2.0514066627570551</v>
      </c>
      <c r="N28" s="88">
        <f>AVERAGE(T26:T28)</f>
        <v>129.10039368780386</v>
      </c>
      <c r="O28" s="91">
        <f>N28/N25-1</f>
        <v>-0.6749891799586375</v>
      </c>
      <c r="P28" s="129" t="s">
        <v>413</v>
      </c>
      <c r="Q28" s="116">
        <v>1769882</v>
      </c>
      <c r="R28" s="116">
        <v>2306565891</v>
      </c>
      <c r="S28" s="116">
        <v>17222.78</v>
      </c>
      <c r="T28" s="130">
        <f t="shared" ref="T28" si="24">Q28/S28</f>
        <v>102.76401370742703</v>
      </c>
      <c r="U28" s="78">
        <f>S28/22</f>
        <v>782.85363636363627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17734.5</v>
      </c>
      <c r="G29" s="190">
        <f t="shared" ref="G29" si="25">F29/F28-1</f>
        <v>-0.80961696881487022</v>
      </c>
      <c r="H29" s="190">
        <f t="shared" ref="H29" si="26">F29/F17-1</f>
        <v>-0.11173385824405335</v>
      </c>
      <c r="I29" s="130">
        <f t="shared" si="0"/>
        <v>68.838670861173696</v>
      </c>
      <c r="J29" s="130">
        <f t="shared" si="5"/>
        <v>-0.21468720984108447</v>
      </c>
      <c r="K29" s="193"/>
      <c r="L29" s="190"/>
      <c r="M29" s="190"/>
      <c r="N29" s="191"/>
      <c r="O29" s="192"/>
      <c r="P29" s="129" t="s">
        <v>427</v>
      </c>
      <c r="Q29" s="116">
        <v>390159</v>
      </c>
      <c r="R29" s="116">
        <v>512230054</v>
      </c>
      <c r="S29" s="116">
        <v>5667.73</v>
      </c>
      <c r="T29" s="130">
        <f t="shared" ref="T29" si="27">Q29/S29</f>
        <v>68.838670861173696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44689.789473684214</v>
      </c>
      <c r="G30" s="190">
        <f t="shared" ref="G30" si="28">F30/F29-1</f>
        <v>1.5199351249645727</v>
      </c>
      <c r="H30" s="190">
        <f t="shared" ref="H30" si="29">F30/F18-1</f>
        <v>0.81219024939262385</v>
      </c>
      <c r="I30" s="130">
        <f t="shared" si="0"/>
        <v>79.275906400753627</v>
      </c>
      <c r="J30" s="130">
        <f t="shared" si="5"/>
        <v>-0.19096505055931345</v>
      </c>
      <c r="K30" s="193"/>
      <c r="L30" s="190"/>
      <c r="M30" s="190"/>
      <c r="N30" s="191"/>
      <c r="O30" s="192"/>
      <c r="P30" s="129" t="s">
        <v>466</v>
      </c>
      <c r="Q30" s="116">
        <v>849106</v>
      </c>
      <c r="R30" s="116">
        <v>1132268970</v>
      </c>
      <c r="S30" s="116">
        <v>10710.77</v>
      </c>
      <c r="T30" s="130">
        <f t="shared" ref="T30" si="30">Q30/S30</f>
        <v>79.275906400753627</v>
      </c>
      <c r="U30" s="78"/>
    </row>
    <row r="31" spans="1:21" s="79" customFormat="1" ht="13.2" hidden="1">
      <c r="A31" s="129" t="s">
        <v>505</v>
      </c>
      <c r="B31" s="188">
        <f>SUM(F29:F31)</f>
        <v>127799.53947368421</v>
      </c>
      <c r="C31" s="188">
        <f>AVERAGE(F29:F31)</f>
        <v>42599.846491228069</v>
      </c>
      <c r="D31" s="190">
        <f>C31/C28-1</f>
        <v>-0.36121592852954754</v>
      </c>
      <c r="E31" s="287">
        <f>C31/C19-1</f>
        <v>1.2327408600284606</v>
      </c>
      <c r="F31" s="136">
        <f>Q31/20</f>
        <v>65375.25</v>
      </c>
      <c r="G31" s="190">
        <f t="shared" ref="G31" si="31">F31/F30-1</f>
        <v>0.4628677102740999</v>
      </c>
      <c r="H31" s="190">
        <f t="shared" ref="H31" si="32">F31/F19-1</f>
        <v>4.1832015539634719</v>
      </c>
      <c r="I31" s="130">
        <f t="shared" si="0"/>
        <v>103.07196642428752</v>
      </c>
      <c r="J31" s="130">
        <f t="shared" si="5"/>
        <v>-8.5474212943489891E-2</v>
      </c>
      <c r="K31" s="193">
        <f>Q29+Q30+Q31</f>
        <v>2546770</v>
      </c>
      <c r="L31" s="190">
        <f>U31/U28-1</f>
        <v>-0.26345456424572566</v>
      </c>
      <c r="M31" s="190">
        <f>U31/U19-1</f>
        <v>4.1523986303984923</v>
      </c>
      <c r="N31" s="191">
        <f>AVERAGE(T29:T31)</f>
        <v>83.72884789540494</v>
      </c>
      <c r="O31" s="192">
        <f>N31/N28-1</f>
        <v>-0.35144389956020083</v>
      </c>
      <c r="P31" s="129" t="s">
        <v>505</v>
      </c>
      <c r="Q31" s="116">
        <v>1307505</v>
      </c>
      <c r="R31" s="116">
        <v>1739813758</v>
      </c>
      <c r="S31" s="116">
        <v>12685.36</v>
      </c>
      <c r="T31" s="130">
        <f t="shared" ref="T31" si="33">Q31/S31</f>
        <v>103.07196642428752</v>
      </c>
      <c r="U31" s="78">
        <f>S31/22</f>
        <v>576.60727272727274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33813.095238095237</v>
      </c>
      <c r="G32" s="190">
        <f t="shared" ref="G32" si="34">F32/F31-1</f>
        <v>-0.48278445989735819</v>
      </c>
      <c r="H32" s="190">
        <f t="shared" ref="H32" si="35">F32/F20-1</f>
        <v>0.20306039792695607</v>
      </c>
      <c r="I32" s="130">
        <f t="shared" si="0"/>
        <v>92.843684746609284</v>
      </c>
      <c r="J32" s="130">
        <f t="shared" si="5"/>
        <v>-0.81233161023194445</v>
      </c>
      <c r="K32" s="193"/>
      <c r="L32" s="190"/>
      <c r="M32" s="190"/>
      <c r="N32" s="191"/>
      <c r="O32" s="192"/>
      <c r="P32" s="129" t="s">
        <v>562</v>
      </c>
      <c r="Q32" s="116">
        <v>710075</v>
      </c>
      <c r="R32" s="116">
        <v>969345843</v>
      </c>
      <c r="S32" s="116">
        <v>7648.07</v>
      </c>
      <c r="T32" s="130">
        <f t="shared" ref="T32" si="36">Q32/S32</f>
        <v>92.843684746609284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83730.761904761908</v>
      </c>
      <c r="G33" s="190">
        <f t="shared" ref="G33" si="37">F33/F32-1</f>
        <v>1.4762820828785692</v>
      </c>
      <c r="H33" s="190">
        <f t="shared" ref="H33" si="38">F33/F21-1</f>
        <v>5.8621326183758136</v>
      </c>
      <c r="I33" s="130">
        <f t="shared" si="0"/>
        <v>235.38673874134375</v>
      </c>
      <c r="J33" s="130">
        <f t="shared" si="5"/>
        <v>0.88780460266786498</v>
      </c>
      <c r="K33" s="193"/>
      <c r="L33" s="190"/>
      <c r="M33" s="190"/>
      <c r="N33" s="191"/>
      <c r="O33" s="192"/>
      <c r="P33" s="129" t="s">
        <v>609</v>
      </c>
      <c r="Q33" s="116">
        <v>1758346</v>
      </c>
      <c r="R33" s="116">
        <v>2416654220</v>
      </c>
      <c r="S33" s="116">
        <v>7470.03</v>
      </c>
      <c r="T33" s="130">
        <f t="shared" ref="T33" si="39">Q33/S33</f>
        <v>235.38673874134375</v>
      </c>
      <c r="U33" s="78"/>
    </row>
    <row r="34" spans="1:21" s="79" customFormat="1" ht="13.2" hidden="1">
      <c r="A34" s="129" t="s">
        <v>652</v>
      </c>
      <c r="B34" s="188">
        <f>SUM(F32:F34)</f>
        <v>125541.48872180452</v>
      </c>
      <c r="C34" s="188">
        <f>AVERAGE(F32:F34)</f>
        <v>41847.162907268175</v>
      </c>
      <c r="D34" s="190">
        <f>C34/C31-1</f>
        <v>-1.7668692400449881E-2</v>
      </c>
      <c r="E34" s="287">
        <f>C34/C22-1</f>
        <v>1.6532435039236959</v>
      </c>
      <c r="F34" s="136">
        <f>Q34/19</f>
        <v>7997.6315789473683</v>
      </c>
      <c r="G34" s="190">
        <f t="shared" ref="G34" si="40">F34/F33-1</f>
        <v>-0.90448395073671806</v>
      </c>
      <c r="H34" s="190">
        <f t="shared" ref="H34" si="41">F34/F22-1</f>
        <v>0.14113701203912754</v>
      </c>
      <c r="I34" s="130">
        <f t="shared" si="0"/>
        <v>68.179778709046374</v>
      </c>
      <c r="J34" s="130">
        <f t="shared" si="5"/>
        <v>-0.43544078386229723</v>
      </c>
      <c r="K34" s="193">
        <f>Q32+Q33+Q34</f>
        <v>2620376</v>
      </c>
      <c r="L34" s="190">
        <f>U34/U31-1</f>
        <v>-0.82430612927027691</v>
      </c>
      <c r="M34" s="190">
        <f>U34/U22-1</f>
        <v>0.82878477065725753</v>
      </c>
      <c r="N34" s="191">
        <f>AVERAGE(T32:T34)</f>
        <v>132.13673406566647</v>
      </c>
      <c r="O34" s="192">
        <f>N34/N31-1</f>
        <v>0.5781506301237207</v>
      </c>
      <c r="P34" s="129" t="s">
        <v>652</v>
      </c>
      <c r="Q34" s="116">
        <v>151955</v>
      </c>
      <c r="R34" s="116">
        <v>208939912</v>
      </c>
      <c r="S34" s="116">
        <v>2228.7399999999998</v>
      </c>
      <c r="T34" s="130">
        <f t="shared" ref="T34" si="42">Q34/S34</f>
        <v>68.179778709046374</v>
      </c>
      <c r="U34" s="78">
        <f>S34/22</f>
        <v>101.30636363636363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34159.217391304344</v>
      </c>
      <c r="G35" s="190">
        <f t="shared" ref="G35" si="43">F35/F34-1</f>
        <v>3.2711666640438457</v>
      </c>
      <c r="H35" s="190">
        <f t="shared" ref="H35" si="44">F35/F23-1</f>
        <v>1.0144441595545945</v>
      </c>
      <c r="I35" s="130">
        <f t="shared" si="0"/>
        <v>153.63114617858994</v>
      </c>
      <c r="J35" s="130">
        <f t="shared" si="5"/>
        <v>0.16604357384343116</v>
      </c>
      <c r="K35" s="193"/>
      <c r="L35" s="190"/>
      <c r="M35" s="190"/>
      <c r="N35" s="191"/>
      <c r="O35" s="192"/>
      <c r="P35" s="129" t="s">
        <v>660</v>
      </c>
      <c r="Q35" s="116">
        <v>785662</v>
      </c>
      <c r="R35" s="116">
        <v>1088264558</v>
      </c>
      <c r="S35" s="116">
        <v>5113.95</v>
      </c>
      <c r="T35" s="130">
        <f t="shared" ref="T35" si="45">Q35/S35</f>
        <v>153.63114617858994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36277.428571428572</v>
      </c>
      <c r="G36" s="190">
        <f t="shared" ref="G36" si="46">F36/F35-1</f>
        <v>6.2009944661772121E-2</v>
      </c>
      <c r="H36" s="190">
        <f t="shared" ref="H36" si="47">F36/F24-1</f>
        <v>2.9869289068409857</v>
      </c>
      <c r="I36" s="130">
        <f t="shared" si="0"/>
        <v>152.23397431414119</v>
      </c>
      <c r="J36" s="130">
        <f t="shared" si="5"/>
        <v>0.31516830102602422</v>
      </c>
      <c r="K36" s="193"/>
      <c r="L36" s="190"/>
      <c r="M36" s="190"/>
      <c r="N36" s="191"/>
      <c r="O36" s="192"/>
      <c r="P36" s="129" t="s">
        <v>664</v>
      </c>
      <c r="Q36" s="116">
        <v>761826</v>
      </c>
      <c r="R36" s="116">
        <v>1046197886</v>
      </c>
      <c r="S36" s="116">
        <v>5004.3100000000004</v>
      </c>
      <c r="T36" s="130">
        <f t="shared" ref="T36" si="48">Q36/S36</f>
        <v>152.23397431414119</v>
      </c>
      <c r="U36" s="78"/>
    </row>
    <row r="37" spans="1:21" s="79" customFormat="1" ht="13.2" hidden="1">
      <c r="A37" s="129" t="s">
        <v>702</v>
      </c>
      <c r="B37" s="188">
        <f>SUM(F35:F37)</f>
        <v>94771.979296066245</v>
      </c>
      <c r="C37" s="188">
        <f>AVERAGE(F35:F37)</f>
        <v>31590.659765355416</v>
      </c>
      <c r="D37" s="190">
        <f>C37/C34-1</f>
        <v>-0.24509434880067749</v>
      </c>
      <c r="E37" s="287">
        <f>C37/C25-1</f>
        <v>0.13667427833224277</v>
      </c>
      <c r="F37" s="136">
        <f>Q37/18</f>
        <v>24335.333333333332</v>
      </c>
      <c r="G37" s="190">
        <f t="shared" ref="G37" si="49">F37/F36-1</f>
        <v>-0.32918802981258188</v>
      </c>
      <c r="H37" s="190">
        <f t="shared" ref="H37" si="50">F37/F25-1</f>
        <v>-0.57545011749913844</v>
      </c>
      <c r="I37" s="130">
        <f t="shared" si="0"/>
        <v>133.65187463386056</v>
      </c>
      <c r="J37" s="130">
        <f t="shared" si="5"/>
        <v>-0.85844205700109588</v>
      </c>
      <c r="K37" s="193">
        <f>Q35+Q36+Q37</f>
        <v>1985524</v>
      </c>
      <c r="L37" s="190">
        <f>U37/U34-1</f>
        <v>0.47053492107648265</v>
      </c>
      <c r="M37" s="190">
        <f>U37/U25-1</f>
        <v>1.8412757583375958</v>
      </c>
      <c r="N37" s="191">
        <f>AVERAGE(T35:T37)</f>
        <v>146.50566504219725</v>
      </c>
      <c r="O37" s="192">
        <f>N37/N34-1</f>
        <v>0.10874289483642019</v>
      </c>
      <c r="P37" s="129" t="s">
        <v>702</v>
      </c>
      <c r="Q37" s="116">
        <v>438036</v>
      </c>
      <c r="R37" s="116">
        <v>585716568</v>
      </c>
      <c r="S37" s="116">
        <v>3277.44</v>
      </c>
      <c r="T37" s="130">
        <f t="shared" ref="T37" si="51">Q37/S37</f>
        <v>133.65187463386056</v>
      </c>
      <c r="U37" s="78">
        <f>S37/22</f>
        <v>148.97454545454545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49292.4</v>
      </c>
      <c r="G38" s="190">
        <f t="shared" ref="G38" si="52">F38/F37-1</f>
        <v>1.0255485850478046</v>
      </c>
      <c r="H38" s="190">
        <f t="shared" ref="H38" si="53">F38/F26-1</f>
        <v>-6.8856207720727092E-2</v>
      </c>
      <c r="I38" s="130">
        <f t="shared" si="0"/>
        <v>85.581392118700421</v>
      </c>
      <c r="J38" s="130">
        <f t="shared" si="5"/>
        <v>-0.59236583639659302</v>
      </c>
      <c r="K38" s="193"/>
      <c r="L38" s="190"/>
      <c r="M38" s="190"/>
      <c r="N38" s="191"/>
      <c r="O38" s="192"/>
      <c r="P38" s="129" t="s">
        <v>730</v>
      </c>
      <c r="Q38" s="116">
        <v>985848</v>
      </c>
      <c r="R38" s="116">
        <v>1326408755</v>
      </c>
      <c r="S38" s="116">
        <v>11519.42</v>
      </c>
      <c r="T38" s="130">
        <f t="shared" ref="T38" si="54">Q38/S38</f>
        <v>85.581392118700421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88034</v>
      </c>
      <c r="G39" s="190">
        <f t="shared" ref="G39" si="55">F39/F38-1</f>
        <v>0.78595483279369627</v>
      </c>
      <c r="H39" s="190">
        <f t="shared" ref="H39" si="56">F39/F27-1</f>
        <v>0.63093195004673652</v>
      </c>
      <c r="I39" s="130">
        <f t="shared" si="0"/>
        <v>434.81146631042202</v>
      </c>
      <c r="J39" s="130">
        <f t="shared" si="5"/>
        <v>4.829306215446147</v>
      </c>
      <c r="K39" s="193"/>
      <c r="L39" s="190"/>
      <c r="M39" s="190"/>
      <c r="N39" s="191"/>
      <c r="O39" s="192"/>
      <c r="P39" s="129" t="s">
        <v>762</v>
      </c>
      <c r="Q39" s="116">
        <v>1848714</v>
      </c>
      <c r="R39" s="116">
        <v>2564685746</v>
      </c>
      <c r="S39" s="116">
        <v>4251.76</v>
      </c>
      <c r="T39" s="130">
        <f t="shared" ref="T39" si="57">Q39/S39</f>
        <v>434.81146631042202</v>
      </c>
      <c r="U39" s="78"/>
    </row>
    <row r="40" spans="1:21" s="79" customFormat="1" ht="13.2" hidden="1">
      <c r="A40" s="129" t="s">
        <v>777</v>
      </c>
      <c r="B40" s="188">
        <f>SUM(F38:F40)</f>
        <v>179632.01904761905</v>
      </c>
      <c r="C40" s="188">
        <f>AVERAGE(F38:F40)</f>
        <v>59877.339682539685</v>
      </c>
      <c r="D40" s="190">
        <f>C40/C37-1</f>
        <v>0.89541276210398979</v>
      </c>
      <c r="E40" s="287">
        <f>C40/C28-1</f>
        <v>-0.10214017228658423</v>
      </c>
      <c r="F40" s="136">
        <f>Q40/21</f>
        <v>42305.619047619046</v>
      </c>
      <c r="G40" s="190">
        <f t="shared" ref="G40" si="58">F40/F39-1</f>
        <v>-0.51943999991345335</v>
      </c>
      <c r="H40" s="190">
        <f t="shared" ref="H40" si="59">F40/F28-1</f>
        <v>-0.54584160870342657</v>
      </c>
      <c r="I40" s="130">
        <f t="shared" si="0"/>
        <v>362.62847253402123</v>
      </c>
      <c r="J40" s="130">
        <f t="shared" si="5"/>
        <v>2.5287496026229377</v>
      </c>
      <c r="K40" s="193">
        <f>Q38+Q39+Q40</f>
        <v>3722980</v>
      </c>
      <c r="L40" s="190">
        <f>U40/U37-1</f>
        <v>-0.25248364577231008</v>
      </c>
      <c r="M40" s="190">
        <f>U40/U28-1</f>
        <v>-0.85775002641849918</v>
      </c>
      <c r="N40" s="191">
        <f>AVERAGE(T38:T40)</f>
        <v>294.34044365438126</v>
      </c>
      <c r="O40" s="192">
        <f>N40/N37-1</f>
        <v>1.009072096765705</v>
      </c>
      <c r="P40" s="129" t="s">
        <v>780</v>
      </c>
      <c r="Q40" s="116">
        <v>888418</v>
      </c>
      <c r="R40" s="116">
        <v>1266436440</v>
      </c>
      <c r="S40" s="116">
        <v>2449.94</v>
      </c>
      <c r="T40" s="130">
        <f t="shared" ref="T40" si="60">Q40/S40</f>
        <v>362.62847253402123</v>
      </c>
      <c r="U40" s="78">
        <f>S40/22</f>
        <v>111.36090909090909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44485.277777777781</v>
      </c>
      <c r="G41" s="190">
        <f t="shared" ref="G41" si="61">F41/F40-1</f>
        <v>5.1521731137069926E-2</v>
      </c>
      <c r="H41" s="190">
        <f t="shared" ref="H41" si="62">F41/F29-1</f>
        <v>1.5084032692084794</v>
      </c>
      <c r="I41" s="130">
        <f t="shared" si="0"/>
        <v>14</v>
      </c>
      <c r="J41" s="130">
        <f t="shared" si="5"/>
        <v>-0.79662593968100182</v>
      </c>
      <c r="K41" s="193"/>
      <c r="L41" s="190"/>
      <c r="M41" s="190"/>
      <c r="N41" s="193"/>
      <c r="O41" s="193"/>
      <c r="P41" s="129" t="s">
        <v>792</v>
      </c>
      <c r="Q41" s="116">
        <v>800735</v>
      </c>
      <c r="R41" s="116">
        <v>1174276859</v>
      </c>
      <c r="S41" s="116">
        <v>5517.67</v>
      </c>
      <c r="T41" s="130">
        <v>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130896.9</v>
      </c>
      <c r="G42" s="190">
        <f t="shared" ref="G42" si="63">F42/F41-1</f>
        <v>1.9424768493946183</v>
      </c>
      <c r="H42" s="190">
        <f t="shared" ref="H42" si="64">F42/F30-1</f>
        <v>1.9290113366293489</v>
      </c>
      <c r="I42" s="130">
        <f t="shared" si="0"/>
        <v>14</v>
      </c>
      <c r="J42" s="130">
        <f t="shared" si="5"/>
        <v>-0.82340157765932642</v>
      </c>
      <c r="K42" s="193"/>
      <c r="L42" s="190"/>
      <c r="M42" s="190"/>
      <c r="N42" s="193"/>
      <c r="O42" s="193"/>
      <c r="P42" s="129" t="s">
        <v>826</v>
      </c>
      <c r="Q42" s="116">
        <v>2617938</v>
      </c>
      <c r="R42" s="116">
        <v>3752911177</v>
      </c>
      <c r="S42" s="116">
        <v>568.07000000000005</v>
      </c>
      <c r="T42" s="130">
        <v>14</v>
      </c>
      <c r="U42" s="78"/>
    </row>
    <row r="43" spans="1:21" s="79" customFormat="1" ht="13.2">
      <c r="A43" s="129" t="s">
        <v>835</v>
      </c>
      <c r="B43" s="188">
        <f>SUM(F41:F43)</f>
        <v>184884.27777777778</v>
      </c>
      <c r="C43" s="188">
        <f>AVERAGE(F41:F43)</f>
        <v>61628.092592592591</v>
      </c>
      <c r="D43" s="190">
        <f>C43/C40-1</f>
        <v>2.9238989563249218E-2</v>
      </c>
      <c r="E43" s="287">
        <f>C43/C31-1</f>
        <v>0.44667405328051402</v>
      </c>
      <c r="F43" s="136">
        <f>Q43/20</f>
        <v>9502.1</v>
      </c>
      <c r="G43" s="190">
        <f t="shared" ref="G43" si="65">F43/F42-1</f>
        <v>-0.92740775373595552</v>
      </c>
      <c r="H43" s="190">
        <f t="shared" ref="H43" si="66">F43/F31-1</f>
        <v>-0.85465294587783602</v>
      </c>
      <c r="I43" s="130">
        <f t="shared" si="0"/>
        <v>14</v>
      </c>
      <c r="J43" s="130">
        <f t="shared" si="5"/>
        <v>-0.86417257295383187</v>
      </c>
      <c r="K43" s="193">
        <f>Q41+Q42+Q43</f>
        <v>3608715</v>
      </c>
      <c r="L43" s="190">
        <f>U43/U40-1</f>
        <v>-0.53306203417226539</v>
      </c>
      <c r="M43" s="190">
        <f>K43/K31-1</f>
        <v>0.41697719071608352</v>
      </c>
      <c r="N43" s="191">
        <f>AVERAGE(T41:T43)</f>
        <v>14</v>
      </c>
      <c r="O43" s="192">
        <f>N43/N40-1</f>
        <v>-0.95243603010791478</v>
      </c>
      <c r="P43" s="129" t="s">
        <v>835</v>
      </c>
      <c r="Q43" s="116">
        <v>190042</v>
      </c>
      <c r="R43" s="116">
        <v>275903045</v>
      </c>
      <c r="S43" s="116">
        <v>1143.97</v>
      </c>
      <c r="T43" s="130">
        <v>14</v>
      </c>
      <c r="U43" s="78">
        <f>S43/22</f>
        <v>51.998636363636365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8405.0909090909099</v>
      </c>
      <c r="G44" s="190">
        <f t="shared" ref="G44" si="67">F44/F43-1</f>
        <v>-0.11544912081635539</v>
      </c>
      <c r="H44" s="190">
        <f t="shared" ref="H44" si="68">F44/F32-1</f>
        <v>-0.75142497751517923</v>
      </c>
      <c r="I44" s="130">
        <f t="shared" si="0"/>
        <v>13</v>
      </c>
      <c r="J44" s="130">
        <f t="shared" si="5"/>
        <v>-0.85997970636904553</v>
      </c>
      <c r="K44" s="193"/>
      <c r="L44" s="190"/>
      <c r="M44" s="190"/>
      <c r="N44" s="191"/>
      <c r="O44" s="192"/>
      <c r="P44" s="129" t="s">
        <v>843</v>
      </c>
      <c r="Q44" s="116">
        <v>184912</v>
      </c>
      <c r="R44" s="116">
        <v>266873233</v>
      </c>
      <c r="S44" s="116">
        <v>3771.41</v>
      </c>
      <c r="T44" s="130">
        <v>13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15324.35</v>
      </c>
      <c r="G45" s="190">
        <f t="shared" ref="G45" si="69">F45/F44-1</f>
        <v>0.82322239768105887</v>
      </c>
      <c r="H45" s="190">
        <f t="shared" ref="H45" si="70">F45/F33-1</f>
        <v>-0.81698064544748306</v>
      </c>
      <c r="I45" s="130">
        <f t="shared" si="0"/>
        <v>14</v>
      </c>
      <c r="J45" s="130">
        <f t="shared" si="5"/>
        <v>-0.9405234123431907</v>
      </c>
      <c r="K45" s="193"/>
      <c r="L45" s="190"/>
      <c r="M45" s="190"/>
      <c r="N45" s="191"/>
      <c r="O45" s="192"/>
      <c r="P45" s="129" t="s">
        <v>849</v>
      </c>
      <c r="Q45" s="116">
        <v>306487</v>
      </c>
      <c r="R45" s="116">
        <v>431915607</v>
      </c>
      <c r="S45" s="116">
        <v>1674.58</v>
      </c>
      <c r="T45" s="130">
        <v>14</v>
      </c>
      <c r="U45" s="78"/>
    </row>
    <row r="46" spans="1:21" s="79" customFormat="1" ht="13.2">
      <c r="A46" s="129" t="s">
        <v>891</v>
      </c>
      <c r="B46" s="188">
        <f>SUM(F44:F46)</f>
        <v>29471.23038277512</v>
      </c>
      <c r="C46" s="188">
        <f>AVERAGE(F44:F46)</f>
        <v>9823.7434609250395</v>
      </c>
      <c r="D46" s="190">
        <f>C46/C43-1</f>
        <v>-0.84059634092738733</v>
      </c>
      <c r="E46" s="287">
        <f>C46/C34-1</f>
        <v>-0.76524708538320496</v>
      </c>
      <c r="F46" s="136">
        <f>Q46/19</f>
        <v>5741.7894736842109</v>
      </c>
      <c r="G46" s="190">
        <f t="shared" ref="G46" si="71">F46/F45-1</f>
        <v>-0.62531595312791666</v>
      </c>
      <c r="H46" s="190">
        <f t="shared" ref="H46" si="72">F46/F34-1</f>
        <v>-0.28206376887894435</v>
      </c>
      <c r="I46" s="130">
        <f t="shared" si="0"/>
        <v>15</v>
      </c>
      <c r="J46" s="130">
        <f t="shared" si="5"/>
        <v>-0.77999341910434006</v>
      </c>
      <c r="K46" s="193">
        <f>Q44+Q45+Q46</f>
        <v>600493</v>
      </c>
      <c r="L46" s="190">
        <f>U46/U43-1</f>
        <v>-0.30182609683820383</v>
      </c>
      <c r="M46" s="190">
        <f>K46/K34-1</f>
        <v>-0.77083708597544787</v>
      </c>
      <c r="N46" s="191">
        <f>AVERAGE(T44:T46)</f>
        <v>14</v>
      </c>
      <c r="O46" s="192">
        <f>N46/N43-1</f>
        <v>0</v>
      </c>
      <c r="P46" s="129" t="s">
        <v>888</v>
      </c>
      <c r="Q46" s="116">
        <v>109094</v>
      </c>
      <c r="R46" s="116">
        <v>149672295</v>
      </c>
      <c r="S46" s="116">
        <v>798.69</v>
      </c>
      <c r="T46" s="130">
        <v>15</v>
      </c>
      <c r="U46" s="78">
        <f t="shared" ref="U46:U51" si="73">S46/22</f>
        <v>36.30409090909091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9377</v>
      </c>
      <c r="G47" s="190">
        <f t="shared" ref="G47" si="74">F47/F46-1</f>
        <v>0.63311456175408365</v>
      </c>
      <c r="H47" s="190">
        <f t="shared" ref="H47" si="75">F47/F35-1</f>
        <v>-0.72549136906201395</v>
      </c>
      <c r="I47" s="130">
        <f t="shared" si="0"/>
        <v>15</v>
      </c>
      <c r="J47" s="130">
        <f t="shared" si="5"/>
        <v>-0.90236354819247977</v>
      </c>
      <c r="K47" s="193"/>
      <c r="L47" s="190"/>
      <c r="M47" s="190"/>
      <c r="N47" s="191"/>
      <c r="O47" s="192"/>
      <c r="P47" s="129" t="s">
        <v>991</v>
      </c>
      <c r="Q47" s="116">
        <v>215671</v>
      </c>
      <c r="R47" s="116">
        <v>295889125</v>
      </c>
      <c r="S47" s="116">
        <v>1319.67</v>
      </c>
      <c r="T47" s="130">
        <v>15</v>
      </c>
      <c r="U47" s="78">
        <f t="shared" si="73"/>
        <v>59.985000000000007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32705.65</v>
      </c>
      <c r="G48" s="190">
        <f t="shared" ref="G48" si="76">F48/F47-1</f>
        <v>2.487858590167431</v>
      </c>
      <c r="H48" s="190">
        <f t="shared" ref="H48" si="77">F48/F36-1</f>
        <v>-9.8457324900961596E-2</v>
      </c>
      <c r="I48" s="130">
        <f t="shared" si="0"/>
        <v>15</v>
      </c>
      <c r="J48" s="130">
        <f t="shared" si="5"/>
        <v>-0.9014674610737885</v>
      </c>
      <c r="K48" s="193"/>
      <c r="L48" s="190"/>
      <c r="M48" s="190"/>
      <c r="N48" s="191"/>
      <c r="O48" s="192"/>
      <c r="P48" s="129" t="s">
        <v>1070</v>
      </c>
      <c r="Q48" s="116">
        <v>654113</v>
      </c>
      <c r="R48" s="116">
        <v>905496930</v>
      </c>
      <c r="S48" s="116">
        <v>658.56</v>
      </c>
      <c r="T48" s="130">
        <v>15</v>
      </c>
      <c r="U48" s="78">
        <f t="shared" si="73"/>
        <v>29.934545454545454</v>
      </c>
    </row>
    <row r="49" spans="1:26" ht="13.2">
      <c r="A49" s="129" t="s">
        <v>1205</v>
      </c>
      <c r="B49" s="188">
        <f>SUM(F47:F49)</f>
        <v>53862.740909090913</v>
      </c>
      <c r="C49" s="188">
        <f>AVERAGE(F47:F49)</f>
        <v>17954.246969696971</v>
      </c>
      <c r="D49" s="190">
        <f>C49/C46-1</f>
        <v>0.8276380120380642</v>
      </c>
      <c r="E49" s="287">
        <f>C49/C37-1</f>
        <v>-0.43165963917642247</v>
      </c>
      <c r="F49" s="136">
        <f>Q49/22</f>
        <v>11780.09090909091</v>
      </c>
      <c r="G49" s="190">
        <f t="shared" ref="G49" si="78">F49/F48-1</f>
        <v>-0.63981480542074809</v>
      </c>
      <c r="H49" s="190">
        <f t="shared" ref="H49" si="79">F49/F37-1</f>
        <v>-0.51592646183501722</v>
      </c>
      <c r="I49" s="130">
        <f t="shared" si="0"/>
        <v>15</v>
      </c>
      <c r="J49" s="130">
        <f t="shared" si="5"/>
        <v>-0.88776812864696053</v>
      </c>
      <c r="K49" s="193">
        <f>Q47+Q48+Q49</f>
        <v>1128946</v>
      </c>
      <c r="L49" s="190">
        <f>U49/U46-1</f>
        <v>0.52601134357510415</v>
      </c>
      <c r="M49" s="190">
        <f>K49/K37-1</f>
        <v>-0.43141155684846921</v>
      </c>
      <c r="N49" s="191">
        <f>AVERAGE(T47:T49)</f>
        <v>15</v>
      </c>
      <c r="O49" s="192">
        <f>N49/N46-1</f>
        <v>7.1428571428571397E-2</v>
      </c>
      <c r="P49" s="129" t="s">
        <v>1158</v>
      </c>
      <c r="Q49" s="116">
        <v>259162</v>
      </c>
      <c r="R49" s="116">
        <v>361154949</v>
      </c>
      <c r="S49" s="116">
        <v>1218.81</v>
      </c>
      <c r="T49" s="130">
        <v>15</v>
      </c>
      <c r="U49" s="78">
        <f t="shared" si="73"/>
        <v>55.400454545454544</v>
      </c>
      <c r="V49" s="79"/>
      <c r="W49" s="79"/>
      <c r="X49" s="79"/>
      <c r="Y49" s="79"/>
      <c r="Z49" s="79"/>
    </row>
    <row r="50" spans="1:26" ht="13.2">
      <c r="A50" s="129" t="s">
        <v>1295</v>
      </c>
      <c r="B50" s="188"/>
      <c r="C50" s="188"/>
      <c r="D50" s="190"/>
      <c r="E50" s="287"/>
      <c r="F50" s="136">
        <f>Q50/18</f>
        <v>11610</v>
      </c>
      <c r="G50" s="190">
        <f t="shared" ref="G50" si="80">F50/F49-1</f>
        <v>-1.4438845201071193E-2</v>
      </c>
      <c r="H50" s="190">
        <f t="shared" ref="H50" si="81">F50/F38-1</f>
        <v>-0.76446673320836478</v>
      </c>
      <c r="I50" s="130">
        <f t="shared" ref="I50" si="82">T50</f>
        <v>15</v>
      </c>
      <c r="J50" s="130">
        <f t="shared" ref="J50" si="83">I50/I38-1</f>
        <v>-0.82472825425420548</v>
      </c>
      <c r="K50" s="193"/>
      <c r="L50" s="190"/>
      <c r="M50" s="190"/>
      <c r="N50" s="191"/>
      <c r="O50" s="192"/>
      <c r="P50" s="129" t="s">
        <v>1291</v>
      </c>
      <c r="Q50" s="116">
        <v>208980</v>
      </c>
      <c r="R50" s="116">
        <v>295815171</v>
      </c>
      <c r="S50" s="116">
        <v>2856.3</v>
      </c>
      <c r="T50" s="130">
        <v>15</v>
      </c>
      <c r="U50" s="78">
        <f t="shared" si="73"/>
        <v>129.83181818181819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8781.2000000000007</v>
      </c>
      <c r="G51" s="190">
        <f t="shared" ref="G51:G52" si="84">F51/F50-1</f>
        <v>-0.24365202411714038</v>
      </c>
      <c r="H51" s="190">
        <f t="shared" ref="H51:H52" si="85">F51/F39-1</f>
        <v>-0.9002521752959084</v>
      </c>
      <c r="I51" s="130">
        <f t="shared" ref="I51:I52" si="86">T51</f>
        <v>15</v>
      </c>
      <c r="J51" s="130">
        <f t="shared" ref="J51:J52" si="87">I51/I39-1</f>
        <v>-0.96550228969975882</v>
      </c>
      <c r="K51" s="193"/>
      <c r="L51" s="190"/>
      <c r="M51" s="190"/>
      <c r="N51" s="191"/>
      <c r="O51" s="192"/>
      <c r="P51" s="129" t="s">
        <v>1402</v>
      </c>
      <c r="Q51" s="116">
        <v>175624</v>
      </c>
      <c r="R51" s="116">
        <v>255121808</v>
      </c>
      <c r="S51" s="116">
        <v>681.12</v>
      </c>
      <c r="T51" s="130">
        <v>15</v>
      </c>
      <c r="U51" s="78">
        <f t="shared" si="73"/>
        <v>30.96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46359.518181818181</v>
      </c>
      <c r="C52" s="188">
        <f>AVERAGE(F50:F52)</f>
        <v>15453.172727272728</v>
      </c>
      <c r="D52" s="190">
        <f>C52/C49-1</f>
        <v>-0.13930265338588332</v>
      </c>
      <c r="E52" s="287">
        <f>C52/C40-1</f>
        <v>-0.74191951731317651</v>
      </c>
      <c r="F52" s="136">
        <f>Q52/22</f>
        <v>25968.31818181818</v>
      </c>
      <c r="G52" s="190">
        <f t="shared" si="84"/>
        <v>1.9572630371496125</v>
      </c>
      <c r="H52" s="190">
        <f t="shared" si="85"/>
        <v>-0.38617330826459861</v>
      </c>
      <c r="I52" s="130">
        <f t="shared" si="86"/>
        <v>15</v>
      </c>
      <c r="J52" s="130">
        <f t="shared" si="87"/>
        <v>-0.95863534957643814</v>
      </c>
      <c r="K52" s="193">
        <f>Q50+Q51+Q52</f>
        <v>955907</v>
      </c>
      <c r="L52" s="190">
        <f>U52/U49-1</f>
        <v>0.42584159959304557</v>
      </c>
      <c r="M52" s="190">
        <f>K52/K40-1</f>
        <v>-0.74324143562415057</v>
      </c>
      <c r="N52" s="191">
        <f>AVERAGE(T50:T52)</f>
        <v>15</v>
      </c>
      <c r="O52" s="192">
        <f>N52/N49-1</f>
        <v>0</v>
      </c>
      <c r="P52" s="129" t="s">
        <v>1403</v>
      </c>
      <c r="Q52" s="116">
        <v>571303</v>
      </c>
      <c r="R52" s="116">
        <v>839983665</v>
      </c>
      <c r="S52" s="116">
        <v>1737.83</v>
      </c>
      <c r="T52" s="130">
        <v>15</v>
      </c>
      <c r="U52" s="78">
        <f t="shared" ref="U52" si="88">S52/22</f>
        <v>78.99227272727272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3596.2857142857142</v>
      </c>
      <c r="G53" s="190">
        <f t="shared" ref="G53" si="89">F53/F52-1</f>
        <v>-0.86151256738668325</v>
      </c>
      <c r="H53" s="190">
        <f t="shared" ref="H53" si="90">F53/F41-1</f>
        <v>-0.91915784515833221</v>
      </c>
      <c r="I53" s="130">
        <f t="shared" ref="I53" si="91">T53</f>
        <v>15</v>
      </c>
      <c r="J53" s="130">
        <f t="shared" ref="J53" si="92">I53/I41-1</f>
        <v>7.1428571428571397E-2</v>
      </c>
      <c r="K53" s="193"/>
      <c r="L53" s="190"/>
      <c r="M53" s="190"/>
      <c r="N53" s="191"/>
      <c r="O53" s="192"/>
      <c r="P53" s="129" t="s">
        <v>1414</v>
      </c>
      <c r="Q53" s="116">
        <v>75522</v>
      </c>
      <c r="R53" s="116">
        <v>109904308</v>
      </c>
      <c r="S53" s="116">
        <v>471.33</v>
      </c>
      <c r="T53" s="130">
        <v>15</v>
      </c>
      <c r="U53" s="78">
        <f t="shared" ref="U53" si="93">S53/22</f>
        <v>21.424090909090907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3656.705882352941</v>
      </c>
      <c r="G54" s="190">
        <f t="shared" ref="G54" si="94">F54/F53-1</f>
        <v>1.68007140887656E-2</v>
      </c>
      <c r="H54" s="190">
        <f t="shared" ref="H54" si="95">F54/F42-1</f>
        <v>-0.97206422854664287</v>
      </c>
      <c r="I54" s="130">
        <f t="shared" ref="I54" si="96">T54</f>
        <v>15</v>
      </c>
      <c r="J54" s="130">
        <f t="shared" ref="J54" si="97">I54/I42-1</f>
        <v>7.1428571428571397E-2</v>
      </c>
      <c r="K54" s="193"/>
      <c r="L54" s="190"/>
      <c r="M54" s="190"/>
      <c r="N54" s="191"/>
      <c r="O54" s="192"/>
      <c r="P54" s="129" t="s">
        <v>1417</v>
      </c>
      <c r="Q54" s="116">
        <v>62164</v>
      </c>
      <c r="R54" s="116">
        <v>90084765</v>
      </c>
      <c r="S54" s="116">
        <v>980.58</v>
      </c>
      <c r="T54" s="130">
        <v>15</v>
      </c>
      <c r="U54" s="78">
        <f t="shared" ref="U54" si="98">S54/22</f>
        <v>44.57181818181818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13628.086834733895</v>
      </c>
      <c r="C55" s="188">
        <f>AVERAGE(F53:F55)</f>
        <v>4542.6956115779649</v>
      </c>
      <c r="D55" s="190">
        <f>C55/C52-1</f>
        <v>-0.70603476116197605</v>
      </c>
      <c r="E55" s="287">
        <f>C55/C43-1</f>
        <v>-0.92628855736930638</v>
      </c>
      <c r="F55" s="136">
        <f>Q55/21</f>
        <v>6375.0952380952385</v>
      </c>
      <c r="G55" s="190">
        <f t="shared" ref="G55" si="99">F55/F54-1</f>
        <v>0.74339841463900425</v>
      </c>
      <c r="H55" s="190">
        <f t="shared" ref="H55" si="100">F55/F43-1</f>
        <v>-0.32908565074086382</v>
      </c>
      <c r="I55" s="130">
        <f>T55</f>
        <v>15</v>
      </c>
      <c r="J55" s="130">
        <f t="shared" ref="J55" si="101">I55/I43-1</f>
        <v>7.1428571428571397E-2</v>
      </c>
      <c r="K55" s="193">
        <f>Q53+Q54+Q55</f>
        <v>271563</v>
      </c>
      <c r="L55" s="190">
        <f>U55/U52-1</f>
        <v>-0.36246353210613225</v>
      </c>
      <c r="M55" s="190">
        <f>K55/K43-1</f>
        <v>-0.9247480058691252</v>
      </c>
      <c r="N55" s="191">
        <f>AVERAGE(T53:T55)</f>
        <v>15</v>
      </c>
      <c r="O55" s="192">
        <f>N55/N52-1</f>
        <v>0</v>
      </c>
      <c r="P55" s="129" t="s">
        <v>1418</v>
      </c>
      <c r="Q55" s="116">
        <v>133877</v>
      </c>
      <c r="R55" s="116">
        <v>196437856</v>
      </c>
      <c r="S55" s="116">
        <v>1107.93</v>
      </c>
      <c r="T55" s="130">
        <v>15</v>
      </c>
      <c r="U55" s="78">
        <f t="shared" ref="U55" si="102">S55/22</f>
        <v>50.360454545454552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8441.454545454546</v>
      </c>
      <c r="G56" s="190">
        <f t="shared" ref="G56" si="103">F56/F55-1</f>
        <v>0.32412995103375075</v>
      </c>
      <c r="H56" s="190">
        <f t="shared" ref="H56" si="104">F56/F44-1</f>
        <v>4.3263822791381745E-3</v>
      </c>
      <c r="I56" s="291">
        <f>T56</f>
        <v>15</v>
      </c>
      <c r="J56" s="130">
        <f t="shared" ref="J56" si="105">I56/I44-1</f>
        <v>0.15384615384615374</v>
      </c>
      <c r="K56" s="193"/>
      <c r="L56" s="190"/>
      <c r="M56" s="190"/>
      <c r="N56" s="191"/>
      <c r="O56" s="192"/>
      <c r="P56" s="129" t="s">
        <v>1420</v>
      </c>
      <c r="Q56" s="116">
        <v>185712</v>
      </c>
      <c r="R56" s="116">
        <v>278012472</v>
      </c>
      <c r="S56" s="116">
        <v>1952.5</v>
      </c>
      <c r="T56" s="130">
        <v>15</v>
      </c>
      <c r="U56" s="78">
        <f t="shared" ref="U56" si="106">S56/22</f>
        <v>88.75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7356.166666666667</v>
      </c>
      <c r="G57" s="254">
        <f t="shared" ref="G57" si="107">F57/F56-1</f>
        <v>-0.12856645415123058</v>
      </c>
      <c r="H57" s="254">
        <f t="shared" ref="H57" si="108">F57/F45-1</f>
        <v>-0.5199687643086548</v>
      </c>
      <c r="I57" s="282">
        <f>T57</f>
        <v>15</v>
      </c>
      <c r="J57" s="277">
        <f t="shared" ref="J57" si="109">I57/I45-1</f>
        <v>7.1428571428571397E-2</v>
      </c>
      <c r="K57" s="259"/>
      <c r="L57" s="254"/>
      <c r="M57" s="254"/>
      <c r="N57" s="257"/>
      <c r="O57" s="258"/>
      <c r="P57" s="129" t="s">
        <v>1436</v>
      </c>
      <c r="Q57" s="116">
        <v>88274</v>
      </c>
      <c r="R57" s="116">
        <v>130192468</v>
      </c>
      <c r="S57" s="116">
        <v>691.55</v>
      </c>
      <c r="T57" s="130">
        <v>15</v>
      </c>
      <c r="U57" s="78">
        <f t="shared" ref="U57" si="110">S57/22</f>
        <v>31.434090909090909</v>
      </c>
      <c r="V57" s="79"/>
      <c r="W57" s="79"/>
      <c r="X57" s="79"/>
      <c r="Y57" s="79"/>
      <c r="Z57" s="79"/>
    </row>
    <row r="58" spans="1:26">
      <c r="B58" s="196">
        <f>SUM(F56:F58)</f>
        <v>15797.621212121212</v>
      </c>
      <c r="C58" s="196">
        <f>AVERAGE(F56:F58)</f>
        <v>7898.810606060606</v>
      </c>
      <c r="D58" s="197">
        <f>C58/C55-1</f>
        <v>0.73879372105164021</v>
      </c>
      <c r="E58" s="233">
        <f>C58/C46-1</f>
        <v>-0.19594697912471493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545549</v>
      </c>
      <c r="R67" s="212">
        <v>804631869</v>
      </c>
      <c r="S67" s="213">
        <v>5203.8999999999996</v>
      </c>
      <c r="T67" s="214">
        <v>30</v>
      </c>
      <c r="U67" s="214">
        <v>77</v>
      </c>
    </row>
    <row r="68" spans="16:21" ht="18" thickBot="1">
      <c r="P68" s="180" t="s">
        <v>976</v>
      </c>
      <c r="Q68" s="181">
        <v>75522</v>
      </c>
      <c r="R68" s="181">
        <v>109904308</v>
      </c>
      <c r="S68" s="210">
        <v>471.33</v>
      </c>
      <c r="T68" s="210">
        <v>15</v>
      </c>
      <c r="U68" s="210">
        <v>23</v>
      </c>
    </row>
    <row r="69" spans="16:21" ht="18" thickBot="1">
      <c r="P69" s="180" t="s">
        <v>977</v>
      </c>
      <c r="Q69" s="181">
        <v>62164</v>
      </c>
      <c r="R69" s="181">
        <v>90084765</v>
      </c>
      <c r="S69" s="210">
        <v>980.58</v>
      </c>
      <c r="T69" s="210">
        <v>8</v>
      </c>
      <c r="U69" s="210">
        <v>14</v>
      </c>
    </row>
    <row r="70" spans="16:21" ht="18" thickBot="1">
      <c r="P70" s="180" t="s">
        <v>978</v>
      </c>
      <c r="Q70" s="181">
        <v>133877</v>
      </c>
      <c r="R70" s="181">
        <v>196437856</v>
      </c>
      <c r="S70" s="182">
        <v>1107.93</v>
      </c>
      <c r="T70" s="210">
        <v>20</v>
      </c>
      <c r="U70" s="210">
        <v>28</v>
      </c>
    </row>
    <row r="71" spans="16:21" ht="18" thickBot="1">
      <c r="P71" s="180" t="s">
        <v>979</v>
      </c>
      <c r="Q71" s="181">
        <v>185712</v>
      </c>
      <c r="R71" s="181">
        <v>278012472</v>
      </c>
      <c r="S71" s="182">
        <v>1952.5</v>
      </c>
      <c r="T71" s="210">
        <v>16</v>
      </c>
      <c r="U71" s="210">
        <v>34</v>
      </c>
    </row>
    <row r="72" spans="16:21" ht="18" thickBot="1">
      <c r="P72" s="180" t="s">
        <v>980</v>
      </c>
      <c r="Q72" s="181">
        <v>88274</v>
      </c>
      <c r="R72" s="181">
        <v>130192468</v>
      </c>
      <c r="S72" s="210">
        <v>691.55</v>
      </c>
      <c r="T72" s="210">
        <v>14</v>
      </c>
      <c r="U72" s="210">
        <v>17</v>
      </c>
    </row>
    <row r="73" spans="16:21" ht="18" thickBot="1">
      <c r="P73" s="180" t="s">
        <v>975</v>
      </c>
      <c r="Q73" s="181">
        <v>6294061</v>
      </c>
      <c r="R73" s="181">
        <v>9005013864</v>
      </c>
      <c r="S73" s="182">
        <v>21946.71</v>
      </c>
      <c r="T73" s="210">
        <v>31</v>
      </c>
      <c r="U73" s="210">
        <v>180</v>
      </c>
    </row>
    <row r="74" spans="16:21" ht="18" thickBot="1">
      <c r="P74" s="180" t="s">
        <v>982</v>
      </c>
      <c r="Q74" s="181">
        <v>10875467</v>
      </c>
      <c r="R74" s="181">
        <v>14856705448</v>
      </c>
      <c r="S74" s="182">
        <v>78027.509999999995</v>
      </c>
      <c r="T74" s="210">
        <v>49</v>
      </c>
      <c r="U74" s="210">
        <v>209</v>
      </c>
    </row>
    <row r="75" spans="16:21" ht="18" thickBot="1">
      <c r="P75" s="215" t="s">
        <v>1386</v>
      </c>
      <c r="Q75" s="217"/>
      <c r="R75"/>
      <c r="S75"/>
      <c r="T75"/>
      <c r="U75"/>
    </row>
  </sheetData>
  <phoneticPr fontId="1" type="noConversion"/>
  <conditionalFormatting sqref="C29:C30">
    <cfRule type="cellIs" dxfId="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188"/>
  <dimension ref="A1:Z74"/>
  <sheetViews>
    <sheetView zoomScale="85" zoomScaleNormal="85" workbookViewId="0">
      <selection activeCell="O74" sqref="O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316</v>
      </c>
      <c r="L1" s="80" t="s">
        <v>648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5603940000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398296.8</v>
      </c>
      <c r="G5" s="90"/>
      <c r="H5" s="90"/>
      <c r="I5" s="130">
        <f t="shared" ref="I5:I49" si="0">T5</f>
        <v>8.4798879308764565</v>
      </c>
      <c r="J5" s="130"/>
      <c r="L5" s="80"/>
      <c r="M5" s="80"/>
      <c r="P5" s="129" t="s">
        <v>0</v>
      </c>
      <c r="Q5" s="116">
        <v>7965936</v>
      </c>
      <c r="R5" s="116"/>
      <c r="S5" s="116">
        <v>939391.66</v>
      </c>
      <c r="T5" s="130">
        <f t="shared" ref="T5:T26" si="1">Q5/S5</f>
        <v>8.4798879308764565</v>
      </c>
      <c r="U5" s="85"/>
    </row>
    <row r="6" spans="1:21" ht="15" hidden="1" customHeight="1">
      <c r="A6" s="129" t="s">
        <v>1</v>
      </c>
      <c r="C6" s="79"/>
      <c r="F6" s="78">
        <f>Q6/18</f>
        <v>419129.5</v>
      </c>
      <c r="G6" s="90">
        <f t="shared" ref="G6:G26" si="2">F6/F5-1</f>
        <v>5.2304462400903029E-2</v>
      </c>
      <c r="H6" s="90"/>
      <c r="I6" s="130">
        <f t="shared" si="0"/>
        <v>8.5479010883547701</v>
      </c>
      <c r="J6" s="130"/>
      <c r="P6" s="129" t="s">
        <v>1</v>
      </c>
      <c r="Q6" s="116">
        <v>7544331</v>
      </c>
      <c r="R6" s="116"/>
      <c r="S6" s="116">
        <v>882594.56</v>
      </c>
      <c r="T6" s="130">
        <f t="shared" si="1"/>
        <v>8.5479010883547701</v>
      </c>
      <c r="U6" s="85"/>
    </row>
    <row r="7" spans="1:21" ht="15" hidden="1" customHeight="1">
      <c r="A7" s="129" t="s">
        <v>2</v>
      </c>
      <c r="B7" s="131">
        <f>F5+F6+F7</f>
        <v>1173241.5727272728</v>
      </c>
      <c r="C7" s="131">
        <f>AVERAGE(F5:F7)</f>
        <v>391080.52424242423</v>
      </c>
      <c r="F7" s="78">
        <f>Q7/22</f>
        <v>355815.27272727271</v>
      </c>
      <c r="G7" s="90">
        <f t="shared" si="2"/>
        <v>-0.15106125260266168</v>
      </c>
      <c r="H7" s="90"/>
      <c r="I7" s="130">
        <f t="shared" si="0"/>
        <v>9.6305249883471298</v>
      </c>
      <c r="J7" s="130"/>
      <c r="K7" s="79">
        <f>R5+R6+R7</f>
        <v>0</v>
      </c>
      <c r="N7" s="88">
        <f>AVERAGE(T5:T7)</f>
        <v>8.8861046691927861</v>
      </c>
      <c r="P7" s="129" t="s">
        <v>2</v>
      </c>
      <c r="Q7" s="116">
        <v>7827936</v>
      </c>
      <c r="R7" s="116"/>
      <c r="S7" s="116">
        <v>812825.47</v>
      </c>
      <c r="T7" s="130">
        <f t="shared" si="1"/>
        <v>9.6305249883471298</v>
      </c>
      <c r="U7" s="85">
        <f>Q5+Q6+Q7</f>
        <v>23338203</v>
      </c>
    </row>
    <row r="8" spans="1:21" ht="15" hidden="1" customHeight="1">
      <c r="A8" s="129" t="s">
        <v>3</v>
      </c>
      <c r="C8" s="79"/>
      <c r="F8" s="78">
        <f>Q8/21</f>
        <v>371795.61904761905</v>
      </c>
      <c r="G8" s="90">
        <f t="shared" si="2"/>
        <v>4.4911917911390598E-2</v>
      </c>
      <c r="H8" s="90"/>
      <c r="I8" s="130">
        <f t="shared" si="0"/>
        <v>9.3247612387281169</v>
      </c>
      <c r="J8" s="130"/>
      <c r="K8" s="78"/>
      <c r="P8" s="129" t="s">
        <v>3</v>
      </c>
      <c r="Q8" s="116">
        <v>7807708</v>
      </c>
      <c r="R8" s="116"/>
      <c r="S8" s="116">
        <v>837309.16</v>
      </c>
      <c r="T8" s="130">
        <f t="shared" si="1"/>
        <v>9.3247612387281169</v>
      </c>
      <c r="U8" s="85"/>
    </row>
    <row r="9" spans="1:21" ht="15" hidden="1" customHeight="1">
      <c r="A9" s="129" t="s">
        <v>4</v>
      </c>
      <c r="C9" s="79"/>
      <c r="F9" s="78">
        <f>Q9/21</f>
        <v>421855.42857142858</v>
      </c>
      <c r="G9" s="90">
        <f t="shared" si="2"/>
        <v>0.13464335500251812</v>
      </c>
      <c r="H9" s="90"/>
      <c r="I9" s="130">
        <f t="shared" si="0"/>
        <v>10.832823493189276</v>
      </c>
      <c r="J9" s="130"/>
      <c r="K9" s="78"/>
      <c r="P9" s="129" t="s">
        <v>4</v>
      </c>
      <c r="Q9" s="116">
        <v>8858964</v>
      </c>
      <c r="R9" s="116"/>
      <c r="S9" s="116">
        <v>817789.01</v>
      </c>
      <c r="T9" s="130">
        <f t="shared" si="1"/>
        <v>10.832823493189276</v>
      </c>
      <c r="U9" s="85"/>
    </row>
    <row r="10" spans="1:21" ht="15" hidden="1" customHeight="1">
      <c r="A10" s="129" t="s">
        <v>5</v>
      </c>
      <c r="B10" s="131">
        <f>F8+F9+F10</f>
        <v>1163967.4285714286</v>
      </c>
      <c r="C10" s="131">
        <f>AVERAGE(F8:F10)</f>
        <v>387989.1428571429</v>
      </c>
      <c r="D10" s="90">
        <f>C10/C7-1</f>
        <v>-7.9047183218079464E-3</v>
      </c>
      <c r="E10" s="286"/>
      <c r="F10" s="78">
        <f>Q10/21</f>
        <v>370316.38095238095</v>
      </c>
      <c r="G10" s="90">
        <f t="shared" si="2"/>
        <v>-0.12217229915371597</v>
      </c>
      <c r="H10" s="90"/>
      <c r="I10" s="130">
        <f t="shared" si="0"/>
        <v>9.7579088384890511</v>
      </c>
      <c r="J10" s="130"/>
      <c r="K10" s="79">
        <f>R8+R9+R10</f>
        <v>0</v>
      </c>
      <c r="L10" s="87">
        <f>U10/U7-1</f>
        <v>4.7352103330320583E-2</v>
      </c>
      <c r="N10" s="88">
        <f>AVERAGE(T8:T10)</f>
        <v>9.9718311901354806</v>
      </c>
      <c r="O10" s="89">
        <f>N10/N7-1</f>
        <v>0.12218250418620391</v>
      </c>
      <c r="P10" s="129" t="s">
        <v>5</v>
      </c>
      <c r="Q10" s="116">
        <v>7776644</v>
      </c>
      <c r="R10" s="116"/>
      <c r="S10" s="116">
        <v>796958.05</v>
      </c>
      <c r="T10" s="130">
        <f t="shared" si="1"/>
        <v>9.7579088384890511</v>
      </c>
      <c r="U10" s="85">
        <f>Q8+Q9+Q10</f>
        <v>24443316</v>
      </c>
    </row>
    <row r="11" spans="1:21" ht="15" hidden="1" customHeight="1">
      <c r="A11" s="129" t="s">
        <v>6</v>
      </c>
      <c r="C11" s="79"/>
      <c r="F11" s="78">
        <f>Q11/21</f>
        <v>418396.95238095237</v>
      </c>
      <c r="G11" s="90">
        <f t="shared" si="2"/>
        <v>0.12983646930475401</v>
      </c>
      <c r="H11" s="90"/>
      <c r="I11" s="130">
        <f t="shared" si="0"/>
        <v>10.203153791983208</v>
      </c>
      <c r="J11" s="130"/>
      <c r="K11" s="78"/>
      <c r="O11" s="89"/>
      <c r="P11" s="129" t="s">
        <v>6</v>
      </c>
      <c r="Q11" s="116">
        <v>8786336</v>
      </c>
      <c r="R11" s="116"/>
      <c r="S11" s="116">
        <v>861139.23</v>
      </c>
      <c r="T11" s="130">
        <f t="shared" si="1"/>
        <v>10.203153791983208</v>
      </c>
      <c r="U11" s="85"/>
    </row>
    <row r="12" spans="1:21" ht="15" hidden="1" customHeight="1">
      <c r="A12" s="129" t="s">
        <v>7</v>
      </c>
      <c r="C12" s="79"/>
      <c r="F12" s="78">
        <f>Q12/22</f>
        <v>287557.09090909088</v>
      </c>
      <c r="G12" s="90">
        <f t="shared" si="2"/>
        <v>-0.31271705189843535</v>
      </c>
      <c r="H12" s="90"/>
      <c r="I12" s="130">
        <f t="shared" si="0"/>
        <v>10.001708094870915</v>
      </c>
      <c r="J12" s="130"/>
      <c r="K12" s="78"/>
      <c r="O12" s="89"/>
      <c r="P12" s="129" t="s">
        <v>7</v>
      </c>
      <c r="Q12" s="116">
        <v>6326256</v>
      </c>
      <c r="R12" s="116"/>
      <c r="S12" s="116">
        <v>632517.56000000006</v>
      </c>
      <c r="T12" s="130">
        <f t="shared" si="1"/>
        <v>10.001708094870915</v>
      </c>
      <c r="U12" s="85"/>
    </row>
    <row r="13" spans="1:21" ht="15" hidden="1" customHeight="1">
      <c r="A13" s="129" t="s">
        <v>96</v>
      </c>
      <c r="B13" s="131">
        <f>F11+F12+F13</f>
        <v>1005375.3932900432</v>
      </c>
      <c r="C13" s="131">
        <f>AVERAGE(F11:F13)</f>
        <v>335125.13109668106</v>
      </c>
      <c r="D13" s="90">
        <f>C13/C10-1</f>
        <v>-0.13625126561834311</v>
      </c>
      <c r="E13" s="286"/>
      <c r="F13" s="78">
        <f>Q13/20</f>
        <v>299421.34999999998</v>
      </c>
      <c r="G13" s="90">
        <f t="shared" si="2"/>
        <v>4.1258795091441147E-2</v>
      </c>
      <c r="H13" s="90"/>
      <c r="I13" s="130">
        <f t="shared" si="0"/>
        <v>8.0540655020244216</v>
      </c>
      <c r="J13" s="130"/>
      <c r="K13" s="78">
        <f>R11+R12+R13</f>
        <v>0</v>
      </c>
      <c r="L13" s="87">
        <f>U13/U10-1</f>
        <v>-0.13673664407889663</v>
      </c>
      <c r="N13" s="88">
        <f>AVERAGE(T11:T13)</f>
        <v>9.4196424629595157</v>
      </c>
      <c r="O13" s="89">
        <f>N13/N10-1</f>
        <v>-5.5374857099688146E-2</v>
      </c>
      <c r="P13" s="129" t="s">
        <v>96</v>
      </c>
      <c r="Q13" s="116">
        <v>5988427</v>
      </c>
      <c r="R13" s="116"/>
      <c r="S13" s="116">
        <v>743528.47</v>
      </c>
      <c r="T13" s="130">
        <f t="shared" si="1"/>
        <v>8.0540655020244216</v>
      </c>
      <c r="U13" s="85">
        <f>Q11+Q12+Q13</f>
        <v>21101019</v>
      </c>
    </row>
    <row r="14" spans="1:21" ht="15" hidden="1" customHeight="1">
      <c r="A14" s="129" t="s">
        <v>97</v>
      </c>
      <c r="C14" s="79"/>
      <c r="F14" s="78">
        <f>Q14/20</f>
        <v>314896.40000000002</v>
      </c>
      <c r="G14" s="90">
        <f t="shared" si="2"/>
        <v>5.168318825628182E-2</v>
      </c>
      <c r="H14" s="90"/>
      <c r="I14" s="130">
        <f t="shared" si="0"/>
        <v>8.5172870175154642</v>
      </c>
      <c r="J14" s="130"/>
      <c r="O14" s="89"/>
      <c r="P14" s="129" t="s">
        <v>97</v>
      </c>
      <c r="Q14" s="116">
        <v>6297928</v>
      </c>
      <c r="R14" s="116"/>
      <c r="S14" s="116">
        <v>739428.88</v>
      </c>
      <c r="T14" s="130">
        <f t="shared" si="1"/>
        <v>8.5172870175154642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272814.77272727271</v>
      </c>
      <c r="G15" s="90">
        <f t="shared" si="2"/>
        <v>-0.13363641906584933</v>
      </c>
      <c r="H15" s="90"/>
      <c r="I15" s="130">
        <f t="shared" si="0"/>
        <v>8.5496381785516107</v>
      </c>
      <c r="J15" s="130"/>
      <c r="O15" s="89"/>
      <c r="P15" s="129" t="s">
        <v>98</v>
      </c>
      <c r="Q15" s="116">
        <v>6001925</v>
      </c>
      <c r="R15" s="116"/>
      <c r="S15" s="116">
        <v>702009.24</v>
      </c>
      <c r="T15" s="130">
        <f t="shared" si="1"/>
        <v>8.5496381785516107</v>
      </c>
      <c r="U15" s="78"/>
    </row>
    <row r="16" spans="1:21" ht="15" hidden="1" customHeight="1">
      <c r="A16" s="129" t="s">
        <v>99</v>
      </c>
      <c r="B16" s="131">
        <f>F14+F15+F16</f>
        <v>898978.80909090908</v>
      </c>
      <c r="C16" s="131">
        <f>AVERAGE(F14:F16)</f>
        <v>299659.60303030303</v>
      </c>
      <c r="D16" s="90">
        <f>C16/C13-1</f>
        <v>-0.10582771859072093</v>
      </c>
      <c r="E16" s="286"/>
      <c r="F16" s="78">
        <f>Q16/22</f>
        <v>311267.63636363635</v>
      </c>
      <c r="G16" s="90">
        <f t="shared" si="2"/>
        <v>0.14094861232021394</v>
      </c>
      <c r="H16" s="90"/>
      <c r="I16" s="130">
        <f t="shared" si="0"/>
        <v>9.2783825867057903</v>
      </c>
      <c r="J16" s="130"/>
      <c r="K16" s="78">
        <f>R14+R15+R16</f>
        <v>0</v>
      </c>
      <c r="L16" s="87">
        <f>U16/U13-1</f>
        <v>-9.256794660011447E-2</v>
      </c>
      <c r="N16" s="88">
        <f>AVERAGE(T14:T16)</f>
        <v>8.7817692609242872</v>
      </c>
      <c r="O16" s="89">
        <f>N16/N13-1</f>
        <v>-6.7717347504803072E-2</v>
      </c>
      <c r="P16" s="129" t="s">
        <v>99</v>
      </c>
      <c r="Q16" s="116">
        <v>6847888</v>
      </c>
      <c r="R16" s="116"/>
      <c r="S16" s="116">
        <v>738047.6</v>
      </c>
      <c r="T16" s="130">
        <f t="shared" si="1"/>
        <v>9.2783825867057903</v>
      </c>
      <c r="U16" s="85">
        <f>Q14+Q15+Q16</f>
        <v>19147741</v>
      </c>
    </row>
    <row r="17" spans="1:21" ht="15" hidden="1" customHeight="1">
      <c r="A17" s="129" t="s">
        <v>100</v>
      </c>
      <c r="C17" s="79"/>
      <c r="F17" s="78">
        <f>Q17/20</f>
        <v>311853.3</v>
      </c>
      <c r="G17" s="90">
        <f t="shared" si="2"/>
        <v>1.8815436233770022E-3</v>
      </c>
      <c r="H17" s="90">
        <f t="shared" ref="H17:H26" si="3">F17/F5-1</f>
        <v>-0.21703287598594823</v>
      </c>
      <c r="I17" s="130">
        <f t="shared" si="0"/>
        <v>9.8491224212117636</v>
      </c>
      <c r="J17" s="130">
        <f t="shared" ref="J17:J49" si="4">I17/I5-1</f>
        <v>0.16146846532602543</v>
      </c>
      <c r="O17" s="89"/>
      <c r="P17" s="129" t="s">
        <v>100</v>
      </c>
      <c r="Q17" s="116">
        <v>6237066</v>
      </c>
      <c r="R17" s="116">
        <v>7847531205</v>
      </c>
      <c r="S17" s="116">
        <v>633261.09</v>
      </c>
      <c r="T17" s="130">
        <f t="shared" si="1"/>
        <v>9.8491224212117636</v>
      </c>
      <c r="U17" s="78"/>
    </row>
    <row r="18" spans="1:21" hidden="1">
      <c r="A18" s="129" t="s">
        <v>106</v>
      </c>
      <c r="C18" s="79"/>
      <c r="F18" s="78">
        <f>Q18/20</f>
        <v>326357.34999999998</v>
      </c>
      <c r="G18" s="90">
        <f t="shared" si="2"/>
        <v>4.6509208015435455E-2</v>
      </c>
      <c r="H18" s="90">
        <f t="shared" si="3"/>
        <v>-0.22134483494958013</v>
      </c>
      <c r="I18" s="130">
        <f t="shared" si="0"/>
        <v>11.892400956085963</v>
      </c>
      <c r="J18" s="130">
        <f t="shared" si="4"/>
        <v>0.39126562569699952</v>
      </c>
      <c r="O18" s="89"/>
      <c r="P18" s="129" t="s">
        <v>106</v>
      </c>
      <c r="Q18" s="116">
        <v>6527147</v>
      </c>
      <c r="R18" s="116">
        <v>8163469967</v>
      </c>
      <c r="S18" s="116">
        <v>548850.23</v>
      </c>
      <c r="T18" s="130">
        <f t="shared" si="1"/>
        <v>11.892400956085963</v>
      </c>
      <c r="U18" s="78"/>
    </row>
    <row r="19" spans="1:21" hidden="1">
      <c r="A19" s="129" t="s">
        <v>114</v>
      </c>
      <c r="B19" s="131">
        <f>SUM(F17:F19)</f>
        <v>974107.46818181803</v>
      </c>
      <c r="C19" s="131">
        <f>AVERAGE(F17:F19)</f>
        <v>324702.48939393932</v>
      </c>
      <c r="D19" s="90">
        <f>C19/C16-1</f>
        <v>8.3571112390160351E-2</v>
      </c>
      <c r="E19" s="286">
        <f>C19/C7-1</f>
        <v>-0.16972984010663306</v>
      </c>
      <c r="F19" s="78">
        <f>Q19/22</f>
        <v>335896.81818181818</v>
      </c>
      <c r="G19" s="90">
        <f t="shared" si="2"/>
        <v>2.9230131271191562E-2</v>
      </c>
      <c r="H19" s="90">
        <f t="shared" si="3"/>
        <v>-5.5979762736946159E-2</v>
      </c>
      <c r="I19" s="130">
        <f t="shared" si="0"/>
        <v>10.807810064474671</v>
      </c>
      <c r="J19" s="130">
        <f t="shared" si="4"/>
        <v>0.12224516083516201</v>
      </c>
      <c r="K19" s="78">
        <f>R17+R18+R19</f>
        <v>25675476911</v>
      </c>
      <c r="L19" s="87">
        <f>U19/U16-1</f>
        <v>5.2549384285070389E-2</v>
      </c>
      <c r="M19" s="87">
        <f>U19/U7-1</f>
        <v>-0.13643981072578726</v>
      </c>
      <c r="N19" s="88">
        <f>AVERAGE(T17:T19)</f>
        <v>10.849777813924133</v>
      </c>
      <c r="O19" s="89">
        <f>N19/N16-1</f>
        <v>0.23548882822528028</v>
      </c>
      <c r="P19" s="129" t="s">
        <v>115</v>
      </c>
      <c r="Q19" s="116">
        <v>7389730</v>
      </c>
      <c r="R19" s="116">
        <v>9664475739</v>
      </c>
      <c r="S19" s="116">
        <v>683739.81</v>
      </c>
      <c r="T19" s="130">
        <f t="shared" si="1"/>
        <v>10.807810064474671</v>
      </c>
      <c r="U19" s="85">
        <f>Q17+Q18+Q19</f>
        <v>20153943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307291.7</v>
      </c>
      <c r="G20" s="90">
        <f t="shared" si="2"/>
        <v>-8.5160432113216555E-2</v>
      </c>
      <c r="H20" s="90">
        <f t="shared" si="3"/>
        <v>-0.1734929508121974</v>
      </c>
      <c r="I20" s="130">
        <f t="shared" si="0"/>
        <v>10.935115524182232</v>
      </c>
      <c r="J20" s="130">
        <f t="shared" si="4"/>
        <v>0.17269657037071373</v>
      </c>
      <c r="O20" s="89"/>
      <c r="P20" s="129" t="s">
        <v>131</v>
      </c>
      <c r="Q20" s="116">
        <v>6145834</v>
      </c>
      <c r="R20" s="116">
        <v>8058579468</v>
      </c>
      <c r="S20" s="116">
        <v>562027.35</v>
      </c>
      <c r="T20" s="130">
        <f t="shared" si="1"/>
        <v>10.935115524182232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364835.38095238095</v>
      </c>
      <c r="G21" s="90">
        <f t="shared" si="2"/>
        <v>0.1872607719387831</v>
      </c>
      <c r="H21" s="90">
        <f t="shared" si="3"/>
        <v>-0.13516490190049313</v>
      </c>
      <c r="I21" s="130">
        <f t="shared" si="0"/>
        <v>12.757253106660512</v>
      </c>
      <c r="J21" s="130">
        <f t="shared" si="4"/>
        <v>0.17764801712878908</v>
      </c>
      <c r="O21" s="89"/>
      <c r="P21" s="129" t="s">
        <v>141</v>
      </c>
      <c r="Q21" s="116">
        <v>7661543</v>
      </c>
      <c r="R21" s="116">
        <v>10210597127</v>
      </c>
      <c r="S21" s="116">
        <v>600563.68999999994</v>
      </c>
      <c r="T21" s="130">
        <f t="shared" si="1"/>
        <v>12.757253106660512</v>
      </c>
      <c r="U21" s="78"/>
    </row>
    <row r="22" spans="1:21" hidden="1">
      <c r="A22" s="129" t="s">
        <v>156</v>
      </c>
      <c r="B22" s="131">
        <f>SUM(F20:F22)</f>
        <v>989545.74761904776</v>
      </c>
      <c r="C22" s="131">
        <f>AVERAGE(F20:F22)</f>
        <v>329848.58253968257</v>
      </c>
      <c r="D22" s="90">
        <f>C22/C19-1</f>
        <v>1.584864087537019E-2</v>
      </c>
      <c r="E22" s="286">
        <f>C22/C10-1</f>
        <v>-0.14985099812153146</v>
      </c>
      <c r="F22" s="78">
        <f>Q22/21</f>
        <v>317418.66666666669</v>
      </c>
      <c r="G22" s="90">
        <f t="shared" si="2"/>
        <v>-0.1299674230112654</v>
      </c>
      <c r="H22" s="90">
        <f t="shared" si="3"/>
        <v>-0.14284465124030354</v>
      </c>
      <c r="I22" s="130">
        <f t="shared" si="0"/>
        <v>11.252599987096078</v>
      </c>
      <c r="J22" s="130">
        <f t="shared" si="4"/>
        <v>0.15317740443642736</v>
      </c>
      <c r="K22" s="78">
        <f>R20+R21+R22</f>
        <v>26951808416</v>
      </c>
      <c r="L22" s="87">
        <f>U22/U19-1</f>
        <v>1.5839381901596061E-2</v>
      </c>
      <c r="M22" s="87">
        <f>U22/U10-1</f>
        <v>-0.16242260256341656</v>
      </c>
      <c r="N22" s="88">
        <f>AVERAGE(T20:T22)</f>
        <v>11.648322872646274</v>
      </c>
      <c r="O22" s="89">
        <f>N22/N19-1</f>
        <v>7.360013010564348E-2</v>
      </c>
      <c r="P22" s="129" t="s">
        <v>156</v>
      </c>
      <c r="Q22" s="116">
        <v>6665792</v>
      </c>
      <c r="R22" s="116">
        <v>8682631821</v>
      </c>
      <c r="S22" s="116">
        <v>592377.93999999994</v>
      </c>
      <c r="T22" s="130">
        <f t="shared" si="1"/>
        <v>11.252599987096078</v>
      </c>
      <c r="U22" s="85">
        <f>Q20+Q21+Q22</f>
        <v>20473169</v>
      </c>
    </row>
    <row r="23" spans="1:21" hidden="1">
      <c r="A23" s="129" t="s">
        <v>189</v>
      </c>
      <c r="B23" s="131"/>
      <c r="C23" s="131"/>
      <c r="F23" s="78">
        <f>Q23/21</f>
        <v>274512.76190476189</v>
      </c>
      <c r="G23" s="90">
        <f t="shared" si="2"/>
        <v>-0.13517133447908369</v>
      </c>
      <c r="H23" s="90">
        <f t="shared" si="3"/>
        <v>-0.34389397355166018</v>
      </c>
      <c r="I23" s="130">
        <f t="shared" si="0"/>
        <v>10.482662669286812</v>
      </c>
      <c r="J23" s="130">
        <f t="shared" si="4"/>
        <v>2.7394360900765635E-2</v>
      </c>
      <c r="O23" s="89"/>
      <c r="P23" s="129" t="s">
        <v>189</v>
      </c>
      <c r="Q23" s="116">
        <v>5764768</v>
      </c>
      <c r="R23" s="116">
        <v>7447166406</v>
      </c>
      <c r="S23" s="116">
        <v>549933.56000000006</v>
      </c>
      <c r="T23" s="130">
        <f t="shared" si="1"/>
        <v>10.482662669286812</v>
      </c>
      <c r="U23" s="78"/>
    </row>
    <row r="24" spans="1:21" hidden="1">
      <c r="A24" s="129" t="s">
        <v>204</v>
      </c>
      <c r="B24" s="131"/>
      <c r="C24" s="131"/>
      <c r="F24" s="78">
        <f>Q24/22</f>
        <v>292645.59090909088</v>
      </c>
      <c r="G24" s="90">
        <f t="shared" si="2"/>
        <v>6.605459388667656E-2</v>
      </c>
      <c r="H24" s="90">
        <f t="shared" si="3"/>
        <v>1.7695616491017807E-2</v>
      </c>
      <c r="I24" s="130">
        <f t="shared" si="0"/>
        <v>10.328452066360025</v>
      </c>
      <c r="J24" s="130">
        <f t="shared" si="4"/>
        <v>3.2668817005034434E-2</v>
      </c>
      <c r="O24" s="89"/>
      <c r="P24" s="129" t="s">
        <v>204</v>
      </c>
      <c r="Q24" s="116">
        <v>6438203</v>
      </c>
      <c r="R24" s="116">
        <v>8428184889</v>
      </c>
      <c r="S24" s="116">
        <v>623346.36</v>
      </c>
      <c r="T24" s="130">
        <f t="shared" si="1"/>
        <v>10.328452066360025</v>
      </c>
      <c r="U24" s="78"/>
    </row>
    <row r="25" spans="1:21" s="79" customFormat="1" ht="13.2" hidden="1">
      <c r="A25" s="129" t="s">
        <v>229</v>
      </c>
      <c r="B25" s="131">
        <f>SUM(F23:F25)</f>
        <v>886860.56334016845</v>
      </c>
      <c r="C25" s="131">
        <f>AVERAGE(F23:F25)</f>
        <v>295620.18778005615</v>
      </c>
      <c r="D25" s="90">
        <f>C25/C22-1</f>
        <v>-0.10377002228138588</v>
      </c>
      <c r="E25" s="286">
        <f>C25/C13-1</f>
        <v>-0.11788117228733896</v>
      </c>
      <c r="F25" s="78">
        <f>Q25/19</f>
        <v>319702.21052631579</v>
      </c>
      <c r="G25" s="90">
        <f t="shared" si="2"/>
        <v>9.245524435606467E-2</v>
      </c>
      <c r="H25" s="90">
        <f t="shared" si="3"/>
        <v>6.7733515082728069E-2</v>
      </c>
      <c r="I25" s="130">
        <f t="shared" si="0"/>
        <v>9.694940974955454</v>
      </c>
      <c r="J25" s="130">
        <f t="shared" si="4"/>
        <v>0.2037325711491409</v>
      </c>
      <c r="K25" s="78">
        <f>R23+R24+R25</f>
        <v>23935691457</v>
      </c>
      <c r="L25" s="90">
        <f>U25/U22-1</f>
        <v>-0.10725530571256459</v>
      </c>
      <c r="M25" s="90">
        <f>U25/U13-1</f>
        <v>-0.13381846630250416</v>
      </c>
      <c r="N25" s="88">
        <f>AVERAGE(T23:T25)</f>
        <v>10.168685236867431</v>
      </c>
      <c r="O25" s="91">
        <f>N25/N22-1</f>
        <v>-0.12702580894743842</v>
      </c>
      <c r="P25" s="129" t="s">
        <v>229</v>
      </c>
      <c r="Q25" s="116">
        <v>6074342</v>
      </c>
      <c r="R25" s="116">
        <v>8060340162</v>
      </c>
      <c r="S25" s="116">
        <v>626547.6</v>
      </c>
      <c r="T25" s="130">
        <f t="shared" si="1"/>
        <v>9.694940974955454</v>
      </c>
      <c r="U25" s="85">
        <f>Q23+Q24+Q25</f>
        <v>18277313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291766.89473684208</v>
      </c>
      <c r="G26" s="90">
        <f t="shared" si="2"/>
        <v>-8.7379176213654208E-2</v>
      </c>
      <c r="H26" s="90">
        <f t="shared" si="3"/>
        <v>-7.3451158105198866E-2</v>
      </c>
      <c r="I26" s="130">
        <f t="shared" si="0"/>
        <v>8.0773659979083767</v>
      </c>
      <c r="J26" s="130">
        <f t="shared" si="4"/>
        <v>-5.1650369266928231E-2</v>
      </c>
      <c r="L26" s="90"/>
      <c r="M26" s="90"/>
      <c r="P26" s="129" t="s">
        <v>312</v>
      </c>
      <c r="Q26" s="116">
        <v>5543571</v>
      </c>
      <c r="R26" s="116">
        <v>7476380974</v>
      </c>
      <c r="S26" s="116">
        <v>686309.25</v>
      </c>
      <c r="T26" s="130">
        <f t="shared" si="1"/>
        <v>8.0773659979083767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273509.18181818182</v>
      </c>
      <c r="G27" s="90">
        <f t="shared" ref="G27" si="5">F27/F26-1</f>
        <v>-6.2576369176933988E-2</v>
      </c>
      <c r="H27" s="90">
        <f t="shared" ref="H27" si="6">F27/F15-1</f>
        <v>2.5453500335310686E-3</v>
      </c>
      <c r="I27" s="130">
        <f t="shared" si="0"/>
        <v>11.456437497311864</v>
      </c>
      <c r="J27" s="130">
        <f t="shared" si="4"/>
        <v>0.33999091634690592</v>
      </c>
      <c r="L27" s="90"/>
      <c r="M27" s="90"/>
      <c r="P27" s="129" t="s">
        <v>378</v>
      </c>
      <c r="Q27" s="116">
        <v>6017202</v>
      </c>
      <c r="R27" s="116">
        <v>7965907802</v>
      </c>
      <c r="S27" s="116">
        <v>525224.53</v>
      </c>
      <c r="T27" s="130">
        <f t="shared" ref="T27" si="7">Q27/S27</f>
        <v>11.456437497311864</v>
      </c>
      <c r="U27" s="78"/>
    </row>
    <row r="28" spans="1:21" s="79" customFormat="1" ht="13.2" hidden="1">
      <c r="A28" s="123" t="s">
        <v>413</v>
      </c>
      <c r="B28" s="131">
        <f>SUM(F26:F28)</f>
        <v>859577.97129186592</v>
      </c>
      <c r="C28" s="131">
        <f>AVERAGE(F26:F28)</f>
        <v>286525.99043062195</v>
      </c>
      <c r="D28" s="90">
        <f>C28/C25-1</f>
        <v>-3.0763113364234651E-2</v>
      </c>
      <c r="E28" s="286">
        <f>C28/C16-1</f>
        <v>-4.3828438891554411E-2</v>
      </c>
      <c r="F28" s="78">
        <f>Q28/19</f>
        <v>294301.89473684208</v>
      </c>
      <c r="G28" s="90">
        <f t="shared" ref="G28" si="8">F28/F27-1</f>
        <v>7.6021992316449571E-2</v>
      </c>
      <c r="H28" s="90">
        <f t="shared" ref="H28" si="9">F28/F16-1</f>
        <v>-5.4505318397361946E-2</v>
      </c>
      <c r="I28" s="130">
        <f t="shared" si="0"/>
        <v>9.642771393671639</v>
      </c>
      <c r="J28" s="130">
        <f t="shared" si="4"/>
        <v>3.9272880112526387E-2</v>
      </c>
      <c r="K28" s="78">
        <f>R26+R27+R28</f>
        <v>22743768965</v>
      </c>
      <c r="L28" s="90">
        <f>U28/U25-1</f>
        <v>-6.1540993470976857E-2</v>
      </c>
      <c r="M28" s="90">
        <f>U28/U16-1</f>
        <v>-0.10420195259587017</v>
      </c>
      <c r="N28" s="88">
        <f>AVERAGE(T26:T28)</f>
        <v>9.7255249629639593</v>
      </c>
      <c r="O28" s="91">
        <f>N28/N25-1</f>
        <v>-4.3580882245893071E-2</v>
      </c>
      <c r="P28" s="129" t="s">
        <v>413</v>
      </c>
      <c r="Q28" s="116">
        <v>5591736</v>
      </c>
      <c r="R28" s="116">
        <v>7301480189</v>
      </c>
      <c r="S28" s="116">
        <v>579888.89</v>
      </c>
      <c r="T28" s="130">
        <f t="shared" ref="T28" si="10">Q28/S28</f>
        <v>9.642771393671639</v>
      </c>
      <c r="U28" s="85">
        <f>Q26+Q27+Q28</f>
        <v>17152509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306384.90909090912</v>
      </c>
      <c r="G29" s="190">
        <f t="shared" ref="G29" si="11">F29/F28-1</f>
        <v>4.1056529265200314E-2</v>
      </c>
      <c r="H29" s="190">
        <f t="shared" ref="H29" si="12">F29/F17-1</f>
        <v>-1.753513882678448E-2</v>
      </c>
      <c r="I29" s="130">
        <f t="shared" si="0"/>
        <v>9.2281664829649745</v>
      </c>
      <c r="J29" s="130">
        <f t="shared" si="4"/>
        <v>-6.3046829117430314E-2</v>
      </c>
      <c r="K29" s="136"/>
      <c r="L29" s="190"/>
      <c r="M29" s="190"/>
      <c r="N29" s="191"/>
      <c r="O29" s="192"/>
      <c r="P29" s="129" t="s">
        <v>430</v>
      </c>
      <c r="Q29" s="116">
        <v>6740468</v>
      </c>
      <c r="R29" s="116">
        <v>8853251658</v>
      </c>
      <c r="S29" s="116">
        <v>730423.32</v>
      </c>
      <c r="T29" s="130">
        <f t="shared" ref="T29" si="13">Q29/S29</f>
        <v>9.2281664829649745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313300.05263157893</v>
      </c>
      <c r="G30" s="190">
        <f t="shared" ref="G30" si="14">F30/F29-1</f>
        <v>2.2570117964321845E-2</v>
      </c>
      <c r="H30" s="190">
        <f t="shared" ref="H30" si="15">F30/F18-1</f>
        <v>-4.0009202698885304E-2</v>
      </c>
      <c r="I30" s="130">
        <f t="shared" si="0"/>
        <v>9.7858763099767661</v>
      </c>
      <c r="J30" s="130">
        <f t="shared" si="4"/>
        <v>-0.17713198990580437</v>
      </c>
      <c r="K30" s="136"/>
      <c r="L30" s="190"/>
      <c r="M30" s="190"/>
      <c r="N30" s="191"/>
      <c r="O30" s="192"/>
      <c r="P30" s="129" t="s">
        <v>466</v>
      </c>
      <c r="Q30" s="116">
        <v>5952701</v>
      </c>
      <c r="R30" s="116">
        <v>7929953735</v>
      </c>
      <c r="S30" s="116">
        <v>608295.14</v>
      </c>
      <c r="T30" s="130">
        <f t="shared" ref="T30" si="16">Q30/S30</f>
        <v>9.7858763099767661</v>
      </c>
      <c r="U30" s="85"/>
    </row>
    <row r="31" spans="1:21" s="79" customFormat="1" ht="13.2" hidden="1">
      <c r="A31" s="129" t="s">
        <v>505</v>
      </c>
      <c r="B31" s="188">
        <f>SUM(F29:F31)</f>
        <v>915117.96172248805</v>
      </c>
      <c r="C31" s="188">
        <f>AVERAGE(F29:F31)</f>
        <v>305039.3205741627</v>
      </c>
      <c r="D31" s="190">
        <f>C31/C28-1</f>
        <v>6.4613091872457895E-2</v>
      </c>
      <c r="E31" s="287">
        <f>C31/C19-1</f>
        <v>-6.0557493280935848E-2</v>
      </c>
      <c r="F31" s="136">
        <f>Q31/20</f>
        <v>295433</v>
      </c>
      <c r="G31" s="190">
        <f t="shared" ref="G31" si="17">F31/F30-1</f>
        <v>-5.7028565688080013E-2</v>
      </c>
      <c r="H31" s="190">
        <f t="shared" ref="H31" si="18">F31/F19-1</f>
        <v>-0.12046502375594237</v>
      </c>
      <c r="I31" s="130">
        <f t="shared" si="0"/>
        <v>11.358474434311002</v>
      </c>
      <c r="J31" s="130">
        <f t="shared" si="4"/>
        <v>5.095059651782452E-2</v>
      </c>
      <c r="K31" s="136">
        <f>R29+R30+R31</f>
        <v>24630923316</v>
      </c>
      <c r="L31" s="190">
        <f>U31/U28-1</f>
        <v>8.4496093253762394E-2</v>
      </c>
      <c r="M31" s="190">
        <f>U31/U19-1</f>
        <v>-7.7012920002800467E-2</v>
      </c>
      <c r="N31" s="191">
        <f>AVERAGE(T29:T31)</f>
        <v>10.124172409084247</v>
      </c>
      <c r="O31" s="192">
        <f>N31/N28-1</f>
        <v>4.0989812646452295E-2</v>
      </c>
      <c r="P31" s="129" t="s">
        <v>506</v>
      </c>
      <c r="Q31" s="116">
        <v>5908660</v>
      </c>
      <c r="R31" s="116">
        <v>7847717923</v>
      </c>
      <c r="S31" s="116">
        <v>520198.38</v>
      </c>
      <c r="T31" s="130">
        <f t="shared" ref="T31" si="19">Q31/S31</f>
        <v>11.358474434311002</v>
      </c>
      <c r="U31" s="85">
        <f>Q29+Q30+Q31</f>
        <v>18601829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317751.09523809527</v>
      </c>
      <c r="G32" s="190">
        <f t="shared" ref="G32" si="20">F32/F31-1</f>
        <v>7.5543677375564888E-2</v>
      </c>
      <c r="H32" s="190">
        <f t="shared" ref="H32" si="21">F32/F20-1</f>
        <v>3.4037350302970282E-2</v>
      </c>
      <c r="I32" s="130">
        <f t="shared" si="0"/>
        <v>11.691286074004415</v>
      </c>
      <c r="J32" s="130">
        <f t="shared" si="4"/>
        <v>6.9150668609761379E-2</v>
      </c>
      <c r="K32" s="136"/>
      <c r="L32" s="190"/>
      <c r="M32" s="190"/>
      <c r="N32" s="191"/>
      <c r="O32" s="192"/>
      <c r="P32" s="129" t="s">
        <v>562</v>
      </c>
      <c r="Q32" s="116">
        <v>6672773</v>
      </c>
      <c r="R32" s="116">
        <v>9064976215</v>
      </c>
      <c r="S32" s="116">
        <v>570747.56000000006</v>
      </c>
      <c r="T32" s="130">
        <f t="shared" ref="T32" si="22">Q32/S32</f>
        <v>11.691286074004415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310590.61904761905</v>
      </c>
      <c r="G33" s="190">
        <f t="shared" ref="G33" si="23">F33/F32-1</f>
        <v>-2.2534859195719736E-2</v>
      </c>
      <c r="H33" s="190">
        <f t="shared" ref="H33" si="24">F33/F21-1</f>
        <v>-0.14868284365172912</v>
      </c>
      <c r="I33" s="130">
        <f t="shared" si="0"/>
        <v>11.09521043304489</v>
      </c>
      <c r="J33" s="130">
        <f t="shared" si="4"/>
        <v>-0.13028217436149137</v>
      </c>
      <c r="K33" s="136"/>
      <c r="L33" s="190"/>
      <c r="M33" s="190"/>
      <c r="N33" s="191"/>
      <c r="O33" s="192"/>
      <c r="P33" s="129" t="s">
        <v>607</v>
      </c>
      <c r="Q33" s="116">
        <v>6522403</v>
      </c>
      <c r="R33" s="116">
        <v>8912444754</v>
      </c>
      <c r="S33" s="116">
        <v>587857.53</v>
      </c>
      <c r="T33" s="130">
        <f t="shared" ref="T33" si="25">Q33/S33</f>
        <v>11.09521043304489</v>
      </c>
      <c r="U33" s="85"/>
    </row>
    <row r="34" spans="1:21" s="79" customFormat="1" ht="13.2" hidden="1">
      <c r="A34" s="129" t="s">
        <v>652</v>
      </c>
      <c r="B34" s="188">
        <f>SUM(F32:F34)</f>
        <v>928038.97744360904</v>
      </c>
      <c r="C34" s="188">
        <f>AVERAGE(F32:F34)</f>
        <v>309346.32581453637</v>
      </c>
      <c r="D34" s="190">
        <f>C34/C31-1</f>
        <v>1.4119508371139622E-2</v>
      </c>
      <c r="E34" s="287">
        <f>C34/C22-1</f>
        <v>-6.2156570652170839E-2</v>
      </c>
      <c r="F34" s="136">
        <f>Q34/19</f>
        <v>299697.26315789472</v>
      </c>
      <c r="G34" s="190">
        <f t="shared" ref="G34" si="26">F34/F33-1</f>
        <v>-3.5073035763691807E-2</v>
      </c>
      <c r="H34" s="190">
        <f t="shared" ref="H34" si="27">F34/F22-1</f>
        <v>-5.582974591529577E-2</v>
      </c>
      <c r="I34" s="130">
        <f t="shared" si="0"/>
        <v>10.665543842719488</v>
      </c>
      <c r="J34" s="130">
        <f t="shared" si="4"/>
        <v>-5.2170711217833787E-2</v>
      </c>
      <c r="K34" s="136">
        <f>R32+R33+R34</f>
        <v>25807604012</v>
      </c>
      <c r="L34" s="190">
        <f>U34/U31-1</f>
        <v>1.546057648417265E-2</v>
      </c>
      <c r="M34" s="190">
        <f>U34/U22-1</f>
        <v>-7.735710089629988E-2</v>
      </c>
      <c r="N34" s="191">
        <f>AVERAGE(T32:T34)</f>
        <v>11.150680116589598</v>
      </c>
      <c r="O34" s="192">
        <f>N34/N31-1</f>
        <v>0.10139176478111755</v>
      </c>
      <c r="P34" s="129" t="s">
        <v>652</v>
      </c>
      <c r="Q34" s="116">
        <v>5694248</v>
      </c>
      <c r="R34" s="116">
        <v>7830183043</v>
      </c>
      <c r="S34" s="116">
        <v>533891.94999999995</v>
      </c>
      <c r="T34" s="130">
        <f t="shared" ref="T34" si="28">Q34/S34</f>
        <v>10.665543842719488</v>
      </c>
      <c r="U34" s="85">
        <f>Q32+Q33+Q34</f>
        <v>18889424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305135.60869565216</v>
      </c>
      <c r="G35" s="190">
        <f t="shared" ref="G35" si="29">F35/F34-1</f>
        <v>1.814613013296773E-2</v>
      </c>
      <c r="H35" s="190">
        <f t="shared" ref="H35" si="30">F35/F23-1</f>
        <v>0.11155345412143136</v>
      </c>
      <c r="I35" s="130">
        <f t="shared" si="0"/>
        <v>11.121456767599122</v>
      </c>
      <c r="J35" s="130">
        <f t="shared" si="4"/>
        <v>6.0938152687476599E-2</v>
      </c>
      <c r="K35" s="136"/>
      <c r="L35" s="190"/>
      <c r="M35" s="190"/>
      <c r="N35" s="191"/>
      <c r="O35" s="192"/>
      <c r="P35" s="129" t="s">
        <v>660</v>
      </c>
      <c r="Q35" s="116">
        <v>7018119</v>
      </c>
      <c r="R35" s="116">
        <v>9708594245</v>
      </c>
      <c r="S35" s="116">
        <v>631043.14</v>
      </c>
      <c r="T35" s="130">
        <f t="shared" ref="T35" si="31">Q35/S35</f>
        <v>11.121456767599122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315448</v>
      </c>
      <c r="G36" s="190">
        <f t="shared" ref="G36" si="32">F36/F35-1</f>
        <v>3.3796092656736221E-2</v>
      </c>
      <c r="H36" s="190">
        <f t="shared" ref="H36" si="33">F36/F24-1</f>
        <v>7.7918170644821316E-2</v>
      </c>
      <c r="I36" s="130">
        <f t="shared" si="0"/>
        <v>11.897246021833981</v>
      </c>
      <c r="J36" s="130">
        <f t="shared" si="4"/>
        <v>0.15189052003092973</v>
      </c>
      <c r="K36" s="136"/>
      <c r="L36" s="190"/>
      <c r="M36" s="190"/>
      <c r="N36" s="191"/>
      <c r="O36" s="192"/>
      <c r="P36" s="129" t="s">
        <v>668</v>
      </c>
      <c r="Q36" s="116">
        <v>6624408</v>
      </c>
      <c r="R36" s="116">
        <v>9043687765</v>
      </c>
      <c r="S36" s="116">
        <v>556801.80000000005</v>
      </c>
      <c r="T36" s="130">
        <f t="shared" ref="T36" si="34">Q36/S36</f>
        <v>11.897246021833981</v>
      </c>
      <c r="U36" s="85"/>
    </row>
    <row r="37" spans="1:21" s="79" customFormat="1" ht="13.2" hidden="1">
      <c r="A37" s="129" t="s">
        <v>704</v>
      </c>
      <c r="B37" s="188">
        <f>SUM(F35:F37)</f>
        <v>930551.71980676323</v>
      </c>
      <c r="C37" s="188">
        <f>AVERAGE(F35:F37)</f>
        <v>310183.90660225443</v>
      </c>
      <c r="D37" s="190">
        <f>C37/C34-1</f>
        <v>2.707582789330587E-3</v>
      </c>
      <c r="E37" s="287">
        <f>C37/C25-1</f>
        <v>4.9264967090250966E-2</v>
      </c>
      <c r="F37" s="136">
        <f>Q37/18</f>
        <v>309968.11111111112</v>
      </c>
      <c r="G37" s="190">
        <f t="shared" ref="G37" si="35">F37/F36-1</f>
        <v>-1.7371766151279666E-2</v>
      </c>
      <c r="H37" s="190">
        <f t="shared" ref="H37" si="36">F37/F25-1</f>
        <v>-3.0447394777720516E-2</v>
      </c>
      <c r="I37" s="130">
        <f t="shared" si="0"/>
        <v>9.608395887899885</v>
      </c>
      <c r="J37" s="130">
        <f t="shared" si="4"/>
        <v>-8.926829702123773E-3</v>
      </c>
      <c r="K37" s="136">
        <f>R35+R36+R37</f>
        <v>26197372174</v>
      </c>
      <c r="L37" s="190">
        <f>U37/U34-1</f>
        <v>1.7603977760253464E-2</v>
      </c>
      <c r="M37" s="190">
        <f>U37/U25-1</f>
        <v>5.1683745854765428E-2</v>
      </c>
      <c r="N37" s="191">
        <f>AVERAGE(T35:T37)</f>
        <v>10.875699559110997</v>
      </c>
      <c r="O37" s="192">
        <f>N37/N34-1</f>
        <v>-2.4660429193865463E-2</v>
      </c>
      <c r="P37" s="129" t="s">
        <v>704</v>
      </c>
      <c r="Q37" s="116">
        <v>5579426</v>
      </c>
      <c r="R37" s="116">
        <v>7445090164</v>
      </c>
      <c r="S37" s="116">
        <v>580682.36</v>
      </c>
      <c r="T37" s="130">
        <f t="shared" ref="T37" si="37">Q37/S37</f>
        <v>9.608395887899885</v>
      </c>
      <c r="U37" s="85">
        <f>Q35+Q36+Q37</f>
        <v>19221953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315175.09999999998</v>
      </c>
      <c r="G38" s="190">
        <f t="shared" ref="G38" si="38">F38/F37-1</f>
        <v>1.6798466365536502E-2</v>
      </c>
      <c r="H38" s="190">
        <f t="shared" ref="H38" si="39">F38/F26-1</f>
        <v>8.0229133892214977E-2</v>
      </c>
      <c r="I38" s="130">
        <f t="shared" si="0"/>
        <v>10.840414124153115</v>
      </c>
      <c r="J38" s="130">
        <f t="shared" si="4"/>
        <v>0.34207291423469322</v>
      </c>
      <c r="K38" s="136"/>
      <c r="L38" s="190"/>
      <c r="M38" s="190"/>
      <c r="N38" s="191"/>
      <c r="O38" s="192"/>
      <c r="P38" s="129" t="s">
        <v>727</v>
      </c>
      <c r="Q38" s="116">
        <v>6303502</v>
      </c>
      <c r="R38" s="116">
        <v>8483020966</v>
      </c>
      <c r="S38" s="116">
        <v>581481.66</v>
      </c>
      <c r="T38" s="130">
        <f t="shared" ref="T38" si="40">Q38/S38</f>
        <v>10.840414124153115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323631.47619047621</v>
      </c>
      <c r="G39" s="190">
        <f t="shared" ref="G39" si="41">F39/F38-1</f>
        <v>2.683072422433197E-2</v>
      </c>
      <c r="H39" s="190">
        <f t="shared" ref="H39" si="42">F39/F27-1</f>
        <v>0.18325635007607799</v>
      </c>
      <c r="I39" s="130">
        <f t="shared" si="0"/>
        <v>10.319490921831171</v>
      </c>
      <c r="J39" s="130">
        <f t="shared" si="4"/>
        <v>-9.9240848278312144E-2</v>
      </c>
      <c r="K39" s="136"/>
      <c r="L39" s="190"/>
      <c r="M39" s="190"/>
      <c r="N39" s="191"/>
      <c r="O39" s="192"/>
      <c r="P39" s="129" t="s">
        <v>762</v>
      </c>
      <c r="Q39" s="116">
        <v>6796261</v>
      </c>
      <c r="R39" s="116">
        <v>9453620097</v>
      </c>
      <c r="S39" s="116">
        <v>658584.91</v>
      </c>
      <c r="T39" s="130">
        <f t="shared" ref="T39" si="43">Q39/S39</f>
        <v>10.319490921831171</v>
      </c>
      <c r="U39" s="85"/>
    </row>
    <row r="40" spans="1:21" s="79" customFormat="1" ht="13.2" hidden="1">
      <c r="A40" s="129" t="s">
        <v>778</v>
      </c>
      <c r="B40" s="188">
        <f>SUM(F38:F40)</f>
        <v>959478.8142857143</v>
      </c>
      <c r="C40" s="188">
        <f>AVERAGE(F38:F40)</f>
        <v>319826.27142857143</v>
      </c>
      <c r="D40" s="190">
        <f>C40/C37-1</f>
        <v>3.1085961009193586E-2</v>
      </c>
      <c r="E40" s="287">
        <f>C40/C28-1</f>
        <v>0.116220804080992</v>
      </c>
      <c r="F40" s="136">
        <f>Q40/21</f>
        <v>320672.23809523811</v>
      </c>
      <c r="G40" s="190">
        <f t="shared" ref="G40" si="44">F40/F39-1</f>
        <v>-9.1438513029443724E-3</v>
      </c>
      <c r="H40" s="190">
        <f t="shared" ref="H40" si="45">F40/F28-1</f>
        <v>8.9603036303846251E-2</v>
      </c>
      <c r="I40" s="130">
        <f t="shared" si="0"/>
        <v>9.3900171517521862</v>
      </c>
      <c r="J40" s="130">
        <f t="shared" si="4"/>
        <v>-2.6211784102372349E-2</v>
      </c>
      <c r="K40" s="136">
        <f>R38+R39+R40</f>
        <v>27501305008</v>
      </c>
      <c r="L40" s="190">
        <f>U40/U37-1</f>
        <v>3.1834798472350823E-2</v>
      </c>
      <c r="M40" s="190">
        <f>U40/U28-1</f>
        <v>0.1563252932850816</v>
      </c>
      <c r="N40" s="191">
        <f>AVERAGE(T38:T40)</f>
        <v>10.183307399245491</v>
      </c>
      <c r="O40" s="192">
        <f>N40/N37-1</f>
        <v>-6.366414924412489E-2</v>
      </c>
      <c r="P40" s="129" t="s">
        <v>778</v>
      </c>
      <c r="Q40" s="116">
        <v>6734117</v>
      </c>
      <c r="R40" s="116">
        <v>9564663945</v>
      </c>
      <c r="S40" s="116">
        <v>717157.05</v>
      </c>
      <c r="T40" s="130">
        <f t="shared" ref="T40" si="46">Q40/S40</f>
        <v>9.3900171517521862</v>
      </c>
      <c r="U40" s="85">
        <f>Q38+Q39+Q40</f>
        <v>19833880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284923.77777777775</v>
      </c>
      <c r="G41" s="190">
        <f t="shared" ref="G41" si="47">F41/F40-1</f>
        <v>-0.11147974807486527</v>
      </c>
      <c r="H41" s="190">
        <f t="shared" ref="H41" si="48">F41/F29-1</f>
        <v>-7.0046306708805628E-2</v>
      </c>
      <c r="I41" s="130">
        <f t="shared" si="0"/>
        <v>9.5818832809828862</v>
      </c>
      <c r="J41" s="130">
        <f t="shared" si="4"/>
        <v>3.8330127514589751E-2</v>
      </c>
      <c r="K41" s="193"/>
      <c r="L41" s="190"/>
      <c r="M41" s="190"/>
      <c r="N41" s="193"/>
      <c r="O41" s="193"/>
      <c r="P41" s="129" t="s">
        <v>792</v>
      </c>
      <c r="Q41" s="116">
        <v>5128628</v>
      </c>
      <c r="R41" s="116">
        <v>7501807111</v>
      </c>
      <c r="S41" s="116">
        <v>535242.17000000004</v>
      </c>
      <c r="T41" s="130">
        <f t="shared" ref="T41" si="49">Q41/S41</f>
        <v>9.5818832809828862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321206.3</v>
      </c>
      <c r="G42" s="190">
        <f t="shared" ref="G42" si="50">F42/F41-1</f>
        <v>0.12734115244856925</v>
      </c>
      <c r="H42" s="190">
        <f t="shared" ref="H42" si="51">F42/F30-1</f>
        <v>2.5235384743833134E-2</v>
      </c>
      <c r="I42" s="130">
        <f t="shared" si="0"/>
        <v>9.5554072526468712</v>
      </c>
      <c r="J42" s="130">
        <f t="shared" si="4"/>
        <v>-2.3551192558496803E-2</v>
      </c>
      <c r="K42" s="193"/>
      <c r="L42" s="190"/>
      <c r="M42" s="190"/>
      <c r="N42" s="193"/>
      <c r="O42" s="193"/>
      <c r="P42" s="129" t="s">
        <v>826</v>
      </c>
      <c r="Q42" s="116">
        <v>6424126</v>
      </c>
      <c r="R42" s="116">
        <v>9291016810</v>
      </c>
      <c r="S42" s="116">
        <v>672302.69</v>
      </c>
      <c r="T42" s="130">
        <f t="shared" ref="T42" si="52">Q42/S42</f>
        <v>9.5554072526468712</v>
      </c>
      <c r="U42" s="78"/>
    </row>
    <row r="43" spans="1:21" s="79" customFormat="1" ht="13.2">
      <c r="A43" s="129" t="s">
        <v>835</v>
      </c>
      <c r="B43" s="188">
        <f>SUM(F41:F43)</f>
        <v>870587.52777777775</v>
      </c>
      <c r="C43" s="188">
        <f>AVERAGE(F41:F43)</f>
        <v>290195.84259259258</v>
      </c>
      <c r="D43" s="190">
        <f>C43/C40-1</f>
        <v>-9.2645387458723416E-2</v>
      </c>
      <c r="E43" s="287">
        <f>C43/C31-1</f>
        <v>-4.866086756825605E-2</v>
      </c>
      <c r="F43" s="136">
        <f>Q43/20</f>
        <v>264457.45</v>
      </c>
      <c r="G43" s="190">
        <f t="shared" ref="G43" si="53">F43/F42-1</f>
        <v>-0.17667414991549035</v>
      </c>
      <c r="H43" s="190">
        <f t="shared" ref="H43" si="54">F43/F31-1</f>
        <v>-0.10484796891342529</v>
      </c>
      <c r="I43" s="130">
        <f t="shared" si="0"/>
        <v>10.448372694511207</v>
      </c>
      <c r="J43" s="130">
        <f t="shared" si="4"/>
        <v>-8.0125350025053943E-2</v>
      </c>
      <c r="K43" s="136">
        <f>R41+R42+R43</f>
        <v>24456352477</v>
      </c>
      <c r="L43" s="190">
        <f>U43/U40-1</f>
        <v>-0.15085182526061469</v>
      </c>
      <c r="M43" s="190">
        <f>K43/K31-1</f>
        <v>-7.0874663024346196E-3</v>
      </c>
      <c r="N43" s="191">
        <f>AVERAGE(T41:T43)</f>
        <v>9.8618877427136553</v>
      </c>
      <c r="O43" s="192">
        <f>N43/N40-1</f>
        <v>-3.1563385443480807E-2</v>
      </c>
      <c r="P43" s="129" t="s">
        <v>835</v>
      </c>
      <c r="Q43" s="116">
        <v>5289149</v>
      </c>
      <c r="R43" s="116">
        <v>7663528556</v>
      </c>
      <c r="S43" s="116">
        <v>506217.49</v>
      </c>
      <c r="T43" s="130">
        <f t="shared" ref="T43" si="55">Q43/S43</f>
        <v>10.448372694511207</v>
      </c>
      <c r="U43" s="85">
        <f>Q41+Q42+Q43</f>
        <v>16841903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311773.27272727271</v>
      </c>
      <c r="G44" s="190">
        <f t="shared" ref="G44" si="56">F44/F43-1</f>
        <v>0.17891658082339035</v>
      </c>
      <c r="H44" s="190">
        <f t="shared" ref="H44" si="57">F44/F32-1</f>
        <v>-1.8812909224886543E-2</v>
      </c>
      <c r="I44" s="130">
        <f t="shared" si="0"/>
        <v>9.8565402405807845</v>
      </c>
      <c r="J44" s="130">
        <f t="shared" si="4"/>
        <v>-0.15693276358220243</v>
      </c>
      <c r="K44" s="136"/>
      <c r="L44" s="190"/>
      <c r="M44" s="190"/>
      <c r="N44" s="191"/>
      <c r="O44" s="192"/>
      <c r="P44" s="129" t="s">
        <v>839</v>
      </c>
      <c r="Q44" s="116">
        <v>6859012</v>
      </c>
      <c r="R44" s="116">
        <v>9917493110</v>
      </c>
      <c r="S44" s="116">
        <v>695884.34</v>
      </c>
      <c r="T44" s="130">
        <f t="shared" ref="T44" si="58">Q44/S44</f>
        <v>9.8565402405807845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264409.34999999998</v>
      </c>
      <c r="G45" s="190">
        <f t="shared" ref="G45" si="59">F45/F44-1</f>
        <v>-0.15191784181161949</v>
      </c>
      <c r="H45" s="190">
        <f t="shared" ref="H45" si="60">F45/F33-1</f>
        <v>-0.1486885508301159</v>
      </c>
      <c r="I45" s="130">
        <f t="shared" si="0"/>
        <v>8.9754703367121635</v>
      </c>
      <c r="J45" s="130">
        <f t="shared" si="4"/>
        <v>-0.19105001289741208</v>
      </c>
      <c r="K45" s="136"/>
      <c r="L45" s="190"/>
      <c r="M45" s="190"/>
      <c r="N45" s="191"/>
      <c r="O45" s="192"/>
      <c r="P45" s="129" t="s">
        <v>849</v>
      </c>
      <c r="Q45" s="116">
        <v>5288187</v>
      </c>
      <c r="R45" s="116">
        <v>7446769176</v>
      </c>
      <c r="S45" s="116">
        <v>589182.16</v>
      </c>
      <c r="T45" s="130">
        <f t="shared" ref="T45" si="61">Q45/S45</f>
        <v>8.9754703367121635</v>
      </c>
      <c r="U45" s="85"/>
    </row>
    <row r="46" spans="1:21" s="79" customFormat="1" ht="13.2">
      <c r="A46" s="129" t="s">
        <v>888</v>
      </c>
      <c r="B46" s="188">
        <f>SUM(F44:F46)</f>
        <v>870687.93851674639</v>
      </c>
      <c r="C46" s="188">
        <f>AVERAGE(F44:F46)</f>
        <v>290229.31283891544</v>
      </c>
      <c r="D46" s="190">
        <f>C46/C43-1</f>
        <v>1.1533675335884119E-4</v>
      </c>
      <c r="E46" s="287">
        <f>C46/C34-1</f>
        <v>-6.1798092882739519E-2</v>
      </c>
      <c r="F46" s="136">
        <f>Q46/19</f>
        <v>294505.31578947371</v>
      </c>
      <c r="G46" s="190">
        <f t="shared" ref="G46" si="62">F46/F45-1</f>
        <v>0.11382337950406729</v>
      </c>
      <c r="H46" s="190">
        <f t="shared" ref="H46" si="63">F46/F34-1</f>
        <v>-1.7323973244579349E-2</v>
      </c>
      <c r="I46" s="130">
        <f t="shared" si="0"/>
        <v>9.372186081441896</v>
      </c>
      <c r="J46" s="130">
        <f t="shared" si="4"/>
        <v>-0.12126505505487783</v>
      </c>
      <c r="K46" s="136">
        <f>R44+R45+R46</f>
        <v>25029105800</v>
      </c>
      <c r="L46" s="190">
        <f>U46/U43-1</f>
        <v>5.3491401773303249E-2</v>
      </c>
      <c r="M46" s="190">
        <f>K46/K34-1</f>
        <v>-3.0165458662416489E-2</v>
      </c>
      <c r="N46" s="191">
        <f>AVERAGE(T44:T46)</f>
        <v>9.401398886244948</v>
      </c>
      <c r="O46" s="192">
        <f>N46/N43-1</f>
        <v>-4.6693784038348451E-2</v>
      </c>
      <c r="P46" s="129" t="s">
        <v>888</v>
      </c>
      <c r="Q46" s="116">
        <v>5595601</v>
      </c>
      <c r="R46" s="116">
        <v>7664843514</v>
      </c>
      <c r="S46" s="116">
        <v>597043.31000000006</v>
      </c>
      <c r="T46" s="130">
        <f t="shared" ref="T46" si="64">Q46/S46</f>
        <v>9.372186081441896</v>
      </c>
      <c r="U46" s="85">
        <f t="shared" ref="U46:U51" si="65">Q44+Q45+Q46</f>
        <v>17742800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251850.39130434784</v>
      </c>
      <c r="G47" s="190">
        <f t="shared" ref="G47" si="66">F47/F46-1</f>
        <v>-0.14483583894158847</v>
      </c>
      <c r="H47" s="190">
        <f t="shared" ref="H47" si="67">F47/F35-1</f>
        <v>-0.17462798792667944</v>
      </c>
      <c r="I47" s="130">
        <f t="shared" si="0"/>
        <v>9.1645364577210024</v>
      </c>
      <c r="J47" s="130">
        <f t="shared" si="4"/>
        <v>-0.17595899087423017</v>
      </c>
      <c r="K47" s="136"/>
      <c r="L47" s="190"/>
      <c r="M47" s="190"/>
      <c r="N47" s="191"/>
      <c r="O47" s="192"/>
      <c r="P47" s="129" t="s">
        <v>1028</v>
      </c>
      <c r="Q47" s="116">
        <v>5792559</v>
      </c>
      <c r="R47" s="116">
        <v>7947215075</v>
      </c>
      <c r="S47" s="116">
        <v>632062.41</v>
      </c>
      <c r="T47" s="130">
        <f t="shared" ref="T47" si="68">Q47/S47</f>
        <v>9.1645364577210024</v>
      </c>
      <c r="U47" s="85">
        <f t="shared" si="65"/>
        <v>16676347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251959.5</v>
      </c>
      <c r="G48" s="190">
        <f t="shared" ref="G48" si="69">F48/F47-1</f>
        <v>4.3322821571600834E-4</v>
      </c>
      <c r="H48" s="190">
        <f t="shared" ref="H48" si="70">F48/F36-1</f>
        <v>-0.20126455073419391</v>
      </c>
      <c r="I48" s="130">
        <f t="shared" si="0"/>
        <v>9.8841859908881791</v>
      </c>
      <c r="J48" s="130">
        <f t="shared" si="4"/>
        <v>-0.16920386678155663</v>
      </c>
      <c r="K48" s="136"/>
      <c r="L48" s="190"/>
      <c r="M48" s="190"/>
      <c r="N48" s="191"/>
      <c r="O48" s="192"/>
      <c r="P48" s="129" t="s">
        <v>1070</v>
      </c>
      <c r="Q48" s="116">
        <v>5039190</v>
      </c>
      <c r="R48" s="116">
        <v>6993597031</v>
      </c>
      <c r="S48" s="116">
        <v>509823.47</v>
      </c>
      <c r="T48" s="130">
        <f t="shared" ref="T48" si="71">Q48/S48</f>
        <v>9.8841859908881791</v>
      </c>
      <c r="U48" s="85">
        <f t="shared" si="65"/>
        <v>16427350</v>
      </c>
    </row>
    <row r="49" spans="1:26" ht="13.2">
      <c r="A49" s="129" t="s">
        <v>1207</v>
      </c>
      <c r="B49" s="188">
        <f>SUM(F47:F49)</f>
        <v>786810.57312252966</v>
      </c>
      <c r="C49" s="188">
        <f>AVERAGE(F47:F49)</f>
        <v>262270.1910408432</v>
      </c>
      <c r="D49" s="190">
        <f>C49/C46-1</f>
        <v>-9.6334589792417935E-2</v>
      </c>
      <c r="E49" s="287">
        <f>C49/C37-1</f>
        <v>-0.15446873464924948</v>
      </c>
      <c r="F49" s="136">
        <f>Q49/22</f>
        <v>283000.68181818182</v>
      </c>
      <c r="G49" s="190">
        <f t="shared" ref="G49" si="72">F49/F48-1</f>
        <v>0.12319909278349028</v>
      </c>
      <c r="H49" s="190">
        <f t="shared" ref="H49" si="73">F49/F37-1</f>
        <v>-8.7000656926488062E-2</v>
      </c>
      <c r="I49" s="130">
        <f t="shared" si="0"/>
        <v>9.3800541869328793</v>
      </c>
      <c r="J49" s="130">
        <f t="shared" si="4"/>
        <v>-2.3764809821643862E-2</v>
      </c>
      <c r="K49" s="136">
        <f>R47+R48+R49</f>
        <v>23595261978</v>
      </c>
      <c r="L49" s="190">
        <f>U49/U46-1</f>
        <v>-3.8609238677097202E-2</v>
      </c>
      <c r="M49" s="190">
        <f>K49/K37-1</f>
        <v>-9.9327145437224651E-2</v>
      </c>
      <c r="N49" s="191">
        <f>AVERAGE(T47:T49)</f>
        <v>9.476258878514022</v>
      </c>
      <c r="O49" s="192">
        <f>N49/N46-1</f>
        <v>7.9626439825462025E-3</v>
      </c>
      <c r="P49" s="129" t="s">
        <v>1158</v>
      </c>
      <c r="Q49" s="116">
        <v>6226015</v>
      </c>
      <c r="R49" s="116">
        <v>8654449872</v>
      </c>
      <c r="S49" s="116">
        <v>663750.43000000005</v>
      </c>
      <c r="T49" s="130">
        <f t="shared" ref="T49" si="74">Q49/S49</f>
        <v>9.3800541869328793</v>
      </c>
      <c r="U49" s="85">
        <f t="shared" si="65"/>
        <v>17057764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289147.61111111112</v>
      </c>
      <c r="G50" s="190">
        <f t="shared" ref="G50" si="75">F50/F49-1</f>
        <v>2.1720545877972341E-2</v>
      </c>
      <c r="H50" s="190">
        <f t="shared" ref="H50" si="76">F50/F38-1</f>
        <v>-8.2581044279477878E-2</v>
      </c>
      <c r="I50" s="130">
        <f t="shared" ref="I50" si="77">T50</f>
        <v>9.5015584769463945</v>
      </c>
      <c r="J50" s="130">
        <f t="shared" ref="J50" si="78">I50/I38-1</f>
        <v>-0.12350595022229527</v>
      </c>
      <c r="K50" s="136"/>
      <c r="L50" s="190"/>
      <c r="M50" s="190"/>
      <c r="N50" s="191"/>
      <c r="O50" s="192"/>
      <c r="P50" s="129" t="s">
        <v>1335</v>
      </c>
      <c r="Q50" s="116">
        <v>5204657</v>
      </c>
      <c r="R50" s="116">
        <v>7347747981</v>
      </c>
      <c r="S50" s="116">
        <v>547768.77</v>
      </c>
      <c r="T50" s="130">
        <f t="shared" ref="T50" si="79">Q50/S50</f>
        <v>9.5015584769463945</v>
      </c>
      <c r="U50" s="85">
        <f t="shared" si="65"/>
        <v>16469862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291597.09999999998</v>
      </c>
      <c r="G51" s="190">
        <f t="shared" ref="G51:G52" si="80">F51/F50-1</f>
        <v>8.4714131978340657E-3</v>
      </c>
      <c r="H51" s="190">
        <f t="shared" ref="H51:H52" si="81">F51/F39-1</f>
        <v>-9.8984117884819423E-2</v>
      </c>
      <c r="I51" s="130">
        <f t="shared" ref="I51:I52" si="82">T51</f>
        <v>10.548497289034559</v>
      </c>
      <c r="J51" s="130">
        <f t="shared" ref="J51:J52" si="83">I51/I39-1</f>
        <v>2.2191634155025897E-2</v>
      </c>
      <c r="K51" s="136"/>
      <c r="L51" s="190"/>
      <c r="M51" s="190"/>
      <c r="N51" s="191"/>
      <c r="O51" s="192"/>
      <c r="P51" s="129" t="s">
        <v>1402</v>
      </c>
      <c r="Q51" s="116">
        <v>5831942</v>
      </c>
      <c r="R51" s="116">
        <v>8460323493</v>
      </c>
      <c r="S51" s="116">
        <v>552869.46</v>
      </c>
      <c r="T51" s="130">
        <f t="shared" ref="T51:T52" si="84">Q51/S51</f>
        <v>10.548497289034559</v>
      </c>
      <c r="U51" s="85">
        <f t="shared" si="65"/>
        <v>17262614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875159.02929292922</v>
      </c>
      <c r="C52" s="188">
        <f>AVERAGE(F50:F52)</f>
        <v>291719.67643097643</v>
      </c>
      <c r="D52" s="190">
        <f>C52/C49-1</f>
        <v>0.11228681869357793</v>
      </c>
      <c r="E52" s="287">
        <f>C52/C40-1</f>
        <v>-8.7880820021604134E-2</v>
      </c>
      <c r="F52" s="136">
        <f>Q52/22</f>
        <v>294414.31818181818</v>
      </c>
      <c r="G52" s="190">
        <f t="shared" si="80"/>
        <v>9.6613381333978676E-3</v>
      </c>
      <c r="H52" s="190">
        <f t="shared" si="81"/>
        <v>-8.1883982440729586E-2</v>
      </c>
      <c r="I52" s="130">
        <f t="shared" si="82"/>
        <v>10.140613223948375</v>
      </c>
      <c r="J52" s="130">
        <f t="shared" si="83"/>
        <v>7.9935537929888278E-2</v>
      </c>
      <c r="K52" s="136">
        <f>R50+R51+R52</f>
        <v>25336415761</v>
      </c>
      <c r="L52" s="190">
        <f>U52/U49-1</f>
        <v>2.6729763643112969E-2</v>
      </c>
      <c r="M52" s="190">
        <f>K52/K40-1</f>
        <v>-7.871950972400199E-2</v>
      </c>
      <c r="N52" s="191">
        <f>AVERAGE(T50:T52)</f>
        <v>10.063556329976443</v>
      </c>
      <c r="O52" s="192">
        <f>N52/N49-1</f>
        <v>6.1975665607239661E-2</v>
      </c>
      <c r="P52" s="129" t="s">
        <v>1403</v>
      </c>
      <c r="Q52" s="116">
        <v>6477115</v>
      </c>
      <c r="R52" s="116">
        <v>9528344287</v>
      </c>
      <c r="S52" s="116">
        <v>638730.11</v>
      </c>
      <c r="T52" s="130">
        <f t="shared" si="84"/>
        <v>10.140613223948375</v>
      </c>
      <c r="U52" s="85">
        <f t="shared" ref="U52" si="85">Q50+Q51+Q52</f>
        <v>17513714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222878.14285714287</v>
      </c>
      <c r="G53" s="190">
        <f t="shared" ref="G53" si="86">F53/F52-1</f>
        <v>-0.24297790870516534</v>
      </c>
      <c r="H53" s="190">
        <f t="shared" ref="H53" si="87">F53/F41-1</f>
        <v>-0.21776222189861072</v>
      </c>
      <c r="I53" s="130">
        <f t="shared" ref="I53" si="88">T53</f>
        <v>9.6534986582591795</v>
      </c>
      <c r="J53" s="130">
        <f t="shared" ref="J53" si="89">I53/I41-1</f>
        <v>7.4740398287285181E-3</v>
      </c>
      <c r="K53" s="136"/>
      <c r="L53" s="190"/>
      <c r="M53" s="190"/>
      <c r="N53" s="191"/>
      <c r="O53" s="192"/>
      <c r="P53" s="129" t="s">
        <v>1414</v>
      </c>
      <c r="Q53" s="116">
        <v>4680441</v>
      </c>
      <c r="R53" s="116">
        <v>6824513568</v>
      </c>
      <c r="S53" s="116">
        <v>484844.01</v>
      </c>
      <c r="T53" s="130">
        <f t="shared" ref="T53" si="90">Q53/S53</f>
        <v>9.6534986582591795</v>
      </c>
      <c r="U53" s="85">
        <f t="shared" ref="U53" si="91">Q51+Q52+Q53</f>
        <v>16989498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369435.64705882355</v>
      </c>
      <c r="G54" s="190">
        <f t="shared" ref="G54" si="92">F54/F53-1</f>
        <v>0.6575678634204114</v>
      </c>
      <c r="H54" s="190">
        <f t="shared" ref="H54" si="93">F54/F42-1</f>
        <v>0.15015068838569978</v>
      </c>
      <c r="I54" s="130">
        <f t="shared" ref="I54" si="94">T54</f>
        <v>10.537894360444939</v>
      </c>
      <c r="J54" s="130">
        <f t="shared" ref="J54" si="95">I54/I42-1</f>
        <v>0.10282001403194174</v>
      </c>
      <c r="K54" s="136"/>
      <c r="L54" s="190"/>
      <c r="M54" s="190"/>
      <c r="N54" s="191"/>
      <c r="O54" s="192"/>
      <c r="P54" s="129" t="s">
        <v>1417</v>
      </c>
      <c r="Q54" s="116">
        <v>6280406</v>
      </c>
      <c r="R54" s="116">
        <v>9095691663</v>
      </c>
      <c r="S54" s="116">
        <v>595983.01</v>
      </c>
      <c r="T54" s="130">
        <f t="shared" ref="T54" si="96">Q54/S54</f>
        <v>10.537894360444939</v>
      </c>
      <c r="U54" s="85">
        <f t="shared" ref="U54" si="97">Q52+Q53+Q54</f>
        <v>17437962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885060.26610644266</v>
      </c>
      <c r="C55" s="188">
        <f>AVERAGE(F53:F55)</f>
        <v>295020.08870214754</v>
      </c>
      <c r="D55" s="190">
        <f>C55/C52-1</f>
        <v>1.1313642986135797E-2</v>
      </c>
      <c r="E55" s="287">
        <f>C55/C43-1</f>
        <v>1.6624104833671716E-2</v>
      </c>
      <c r="F55" s="136">
        <f>Q55/21</f>
        <v>292746.47619047621</v>
      </c>
      <c r="G55" s="190">
        <f t="shared" ref="G55" si="98">F55/F54-1</f>
        <v>-0.20758465372491919</v>
      </c>
      <c r="H55" s="190">
        <f t="shared" ref="H55" si="99">F55/F43-1</f>
        <v>0.10697004826476331</v>
      </c>
      <c r="I55" s="130">
        <f>T55</f>
        <v>9.5932224961251364</v>
      </c>
      <c r="J55" s="130">
        <f t="shared" ref="J55" si="100">I55/I43-1</f>
        <v>-8.1845300066229698E-2</v>
      </c>
      <c r="K55" s="136">
        <f>R53+R54+R55</f>
        <v>24955185502</v>
      </c>
      <c r="L55" s="190">
        <f>U55/U52-1</f>
        <v>-2.3135641018232955E-2</v>
      </c>
      <c r="M55" s="190">
        <f>K55/K43-1</f>
        <v>2.0396869298850984E-2</v>
      </c>
      <c r="N55" s="191">
        <f>AVERAGE(T53:T55)</f>
        <v>9.9282051716097524</v>
      </c>
      <c r="O55" s="192">
        <f>N55/N52-1</f>
        <v>-1.3449634893334728E-2</v>
      </c>
      <c r="P55" s="129" t="s">
        <v>1418</v>
      </c>
      <c r="Q55" s="116">
        <v>6147676</v>
      </c>
      <c r="R55" s="116">
        <v>9034980271</v>
      </c>
      <c r="S55" s="116">
        <v>640835.34</v>
      </c>
      <c r="T55" s="130">
        <f t="shared" ref="T55" si="101">Q55/S55</f>
        <v>9.5932224961251364</v>
      </c>
      <c r="U55" s="85">
        <f t="shared" ref="U55" si="102">Q53+Q54+Q55</f>
        <v>17108523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336619.09090909088</v>
      </c>
      <c r="G56" s="190">
        <f t="shared" ref="G56" si="103">F56/F55-1</f>
        <v>0.14986556043143917</v>
      </c>
      <c r="H56" s="190">
        <f t="shared" ref="H56" si="104">F56/F44-1</f>
        <v>7.969194397093915E-2</v>
      </c>
      <c r="I56" s="291">
        <f>T56</f>
        <v>9.1949605107336314</v>
      </c>
      <c r="J56" s="130">
        <f t="shared" ref="J56" si="105">I56/I44-1</f>
        <v>-6.7120887623766223E-2</v>
      </c>
      <c r="K56" s="136"/>
      <c r="L56" s="190"/>
      <c r="M56" s="190"/>
      <c r="N56" s="191"/>
      <c r="O56" s="192"/>
      <c r="P56" s="129" t="s">
        <v>1420</v>
      </c>
      <c r="Q56" s="116">
        <v>7405620</v>
      </c>
      <c r="R56" s="116">
        <v>11042651405</v>
      </c>
      <c r="S56" s="116">
        <v>805399.87</v>
      </c>
      <c r="T56" s="130">
        <f t="shared" ref="T56" si="106">Q56/S56</f>
        <v>9.1949605107336314</v>
      </c>
      <c r="U56" s="85">
        <f t="shared" ref="U56" si="107">Q54+Q55+Q56</f>
        <v>19833702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286709.41666666669</v>
      </c>
      <c r="G57" s="254">
        <f t="shared" ref="G57" si="108">F57/F56-1</f>
        <v>-0.1482675094500302</v>
      </c>
      <c r="H57" s="254">
        <f t="shared" ref="H57" si="109">F57/F45-1</f>
        <v>8.4339175852392145E-2</v>
      </c>
      <c r="I57" s="282">
        <f>T57</f>
        <v>11.453189737075306</v>
      </c>
      <c r="J57" s="277">
        <f t="shared" ref="J57" si="110">I57/I45-1</f>
        <v>0.27605454727298051</v>
      </c>
      <c r="K57" s="204"/>
      <c r="L57" s="254"/>
      <c r="M57" s="254"/>
      <c r="N57" s="257"/>
      <c r="O57" s="258"/>
      <c r="P57" s="129" t="s">
        <v>1436</v>
      </c>
      <c r="Q57" s="116">
        <v>3440513</v>
      </c>
      <c r="R57" s="116">
        <v>5064208366</v>
      </c>
      <c r="S57" s="116">
        <v>300397.8</v>
      </c>
      <c r="T57" s="130">
        <f t="shared" ref="T57" si="111">Q57/S57</f>
        <v>11.453189737075306</v>
      </c>
      <c r="U57" s="85">
        <f t="shared" ref="U57" si="112">Q55+Q56+Q57</f>
        <v>16993809</v>
      </c>
      <c r="V57" s="79"/>
      <c r="W57" s="79"/>
      <c r="X57" s="79"/>
      <c r="Y57" s="79"/>
      <c r="Z57" s="79"/>
    </row>
    <row r="58" spans="1:26">
      <c r="B58" s="196">
        <f>SUM(F56:F58)</f>
        <v>623328.50757575757</v>
      </c>
      <c r="C58" s="196">
        <f>AVERAGE(F56:F58)</f>
        <v>311664.25378787878</v>
      </c>
      <c r="D58" s="197">
        <f>C58/C55-1</f>
        <v>5.6417056746719485E-2</v>
      </c>
      <c r="E58" s="233">
        <f>C58/C46-1</f>
        <v>7.3855189675001043E-2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27954656</v>
      </c>
      <c r="R67" s="212">
        <v>41062045273</v>
      </c>
      <c r="S67" s="213">
        <v>2827460.06</v>
      </c>
      <c r="T67" s="214">
        <v>184</v>
      </c>
      <c r="U67" s="214">
        <v>330</v>
      </c>
    </row>
    <row r="68" spans="16:21" ht="18" thickBot="1">
      <c r="P68" s="180" t="s">
        <v>976</v>
      </c>
      <c r="Q68" s="181">
        <v>4680441</v>
      </c>
      <c r="R68" s="181">
        <v>6824513568</v>
      </c>
      <c r="S68" s="182">
        <v>484844.01</v>
      </c>
      <c r="T68" s="210">
        <v>109</v>
      </c>
      <c r="U68" s="210">
        <v>172</v>
      </c>
    </row>
    <row r="69" spans="16:21" ht="18" thickBot="1">
      <c r="P69" s="180" t="s">
        <v>977</v>
      </c>
      <c r="Q69" s="181">
        <v>6280406</v>
      </c>
      <c r="R69" s="181">
        <v>9095691663</v>
      </c>
      <c r="S69" s="182">
        <v>595983.01</v>
      </c>
      <c r="T69" s="210">
        <v>101</v>
      </c>
      <c r="U69" s="210">
        <v>165</v>
      </c>
    </row>
    <row r="70" spans="16:21" ht="18" thickBot="1">
      <c r="P70" s="180" t="s">
        <v>978</v>
      </c>
      <c r="Q70" s="181">
        <v>6147676</v>
      </c>
      <c r="R70" s="181">
        <v>9034980271</v>
      </c>
      <c r="S70" s="182">
        <v>640835.34</v>
      </c>
      <c r="T70" s="210">
        <v>113</v>
      </c>
      <c r="U70" s="210">
        <v>173</v>
      </c>
    </row>
    <row r="71" spans="16:21" ht="18" thickBot="1">
      <c r="P71" s="180" t="s">
        <v>979</v>
      </c>
      <c r="Q71" s="181">
        <v>7405620</v>
      </c>
      <c r="R71" s="181">
        <v>11042651405</v>
      </c>
      <c r="S71" s="182">
        <v>805399.87</v>
      </c>
      <c r="T71" s="210">
        <v>113</v>
      </c>
      <c r="U71" s="210">
        <v>200</v>
      </c>
    </row>
    <row r="72" spans="16:21" ht="18" thickBot="1">
      <c r="P72" s="180" t="s">
        <v>980</v>
      </c>
      <c r="Q72" s="181">
        <v>3440513</v>
      </c>
      <c r="R72" s="181">
        <v>5064208366</v>
      </c>
      <c r="S72" s="182">
        <v>300397.8</v>
      </c>
      <c r="T72" s="210">
        <v>89</v>
      </c>
      <c r="U72" s="210">
        <v>140</v>
      </c>
    </row>
    <row r="73" spans="16:21" ht="18" thickBot="1">
      <c r="P73" s="180" t="s">
        <v>975</v>
      </c>
      <c r="Q73" s="181">
        <v>69154576</v>
      </c>
      <c r="R73" s="181">
        <v>98414184249</v>
      </c>
      <c r="S73" s="182">
        <v>7124985.5599999996</v>
      </c>
      <c r="T73" s="210">
        <v>241</v>
      </c>
      <c r="U73" s="210">
        <v>510</v>
      </c>
    </row>
    <row r="74" spans="16:21" ht="18" thickBot="1">
      <c r="P74" s="215" t="s">
        <v>982</v>
      </c>
      <c r="Q74" s="216">
        <v>76539</v>
      </c>
      <c r="R74"/>
      <c r="S74"/>
      <c r="T74"/>
      <c r="U74"/>
    </row>
  </sheetData>
  <phoneticPr fontId="1" type="noConversion"/>
  <conditionalFormatting sqref="C29:C30">
    <cfRule type="cellIs" dxfId="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39"/>
  <dimension ref="A1:Z73"/>
  <sheetViews>
    <sheetView topLeftCell="A2" zoomScale="90" zoomScaleNormal="90" workbookViewId="0">
      <selection activeCell="L65" sqref="L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7225999000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1344956.15</v>
      </c>
      <c r="G5" s="90"/>
      <c r="H5" s="90"/>
      <c r="I5" s="130">
        <f t="shared" ref="I5:I49" si="0">T5</f>
        <v>1.2816269264397917</v>
      </c>
      <c r="J5" s="130"/>
      <c r="L5" s="80"/>
      <c r="M5" s="80"/>
      <c r="P5" s="129" t="s">
        <v>0</v>
      </c>
      <c r="Q5" s="116">
        <v>26899123</v>
      </c>
      <c r="R5" s="116">
        <v>31731418602</v>
      </c>
      <c r="S5" s="116">
        <v>20988263</v>
      </c>
      <c r="T5" s="130">
        <f t="shared" ref="T5:T17" si="1">Q5/S5</f>
        <v>1.2816269264397917</v>
      </c>
      <c r="U5" s="85"/>
    </row>
    <row r="6" spans="1:21" ht="15" hidden="1" customHeight="1">
      <c r="A6" s="129" t="s">
        <v>1</v>
      </c>
      <c r="C6" s="79"/>
      <c r="F6" s="78">
        <f>Q6/18</f>
        <v>1101059.0555555555</v>
      </c>
      <c r="G6" s="90">
        <f t="shared" ref="G6:G16" si="2">F6/F5-1</f>
        <v>-0.18134204185351654</v>
      </c>
      <c r="H6" s="90"/>
      <c r="I6" s="130">
        <f t="shared" si="0"/>
        <v>1.1123748119270851</v>
      </c>
      <c r="J6" s="130"/>
      <c r="P6" s="129" t="s">
        <v>1</v>
      </c>
      <c r="Q6" s="116">
        <v>19819063</v>
      </c>
      <c r="R6" s="116">
        <v>23544297647</v>
      </c>
      <c r="S6" s="116">
        <v>17816893</v>
      </c>
      <c r="T6" s="130">
        <f t="shared" si="1"/>
        <v>1.1123748119270851</v>
      </c>
      <c r="U6" s="85"/>
    </row>
    <row r="7" spans="1:21" ht="15" hidden="1" customHeight="1">
      <c r="A7" s="129" t="s">
        <v>2</v>
      </c>
      <c r="B7" s="131">
        <f>F5+F6+F7</f>
        <v>3200842.16010101</v>
      </c>
      <c r="C7" s="131">
        <f>AVERAGE(F5:F7)</f>
        <v>1066947.3867003366</v>
      </c>
      <c r="F7" s="78">
        <f>Q7/22</f>
        <v>754826.95454545459</v>
      </c>
      <c r="G7" s="90">
        <f t="shared" si="2"/>
        <v>-0.31445370642304415</v>
      </c>
      <c r="H7" s="90"/>
      <c r="I7" s="130">
        <f t="shared" si="0"/>
        <v>1.1511966906148752</v>
      </c>
      <c r="J7" s="130"/>
      <c r="K7" s="79">
        <f>R5+R6+R7</f>
        <v>75285376740</v>
      </c>
      <c r="N7" s="88">
        <f>AVERAGE(T5:T7)</f>
        <v>1.1817328096605839</v>
      </c>
      <c r="P7" s="129" t="s">
        <v>2</v>
      </c>
      <c r="Q7" s="116">
        <v>16606193</v>
      </c>
      <c r="R7" s="116">
        <v>20009660491</v>
      </c>
      <c r="S7" s="116">
        <v>14425157</v>
      </c>
      <c r="T7" s="130">
        <f t="shared" si="1"/>
        <v>1.1511966906148752</v>
      </c>
      <c r="U7" s="85">
        <f>Q5+Q6+Q7</f>
        <v>63324379</v>
      </c>
    </row>
    <row r="8" spans="1:21" ht="15" hidden="1" customHeight="1">
      <c r="A8" s="129" t="s">
        <v>3</v>
      </c>
      <c r="C8" s="79"/>
      <c r="F8" s="78">
        <f>Q8/21</f>
        <v>1245873.8095238095</v>
      </c>
      <c r="G8" s="90">
        <f t="shared" si="2"/>
        <v>0.65054228922449631</v>
      </c>
      <c r="H8" s="90"/>
      <c r="I8" s="130">
        <f t="shared" si="0"/>
        <v>1.1214132764331828</v>
      </c>
      <c r="J8" s="130"/>
      <c r="K8" s="78"/>
      <c r="P8" s="129" t="s">
        <v>3</v>
      </c>
      <c r="Q8" s="116">
        <v>26163350</v>
      </c>
      <c r="R8" s="116">
        <v>31690736877</v>
      </c>
      <c r="S8" s="116">
        <v>23330694</v>
      </c>
      <c r="T8" s="130">
        <f t="shared" si="1"/>
        <v>1.1214132764331828</v>
      </c>
      <c r="U8" s="85"/>
    </row>
    <row r="9" spans="1:21" ht="15" hidden="1" customHeight="1">
      <c r="A9" s="129" t="s">
        <v>4</v>
      </c>
      <c r="C9" s="79"/>
      <c r="F9" s="78">
        <f>Q9/21</f>
        <v>443674.95238095237</v>
      </c>
      <c r="G9" s="90">
        <f t="shared" si="2"/>
        <v>-0.64388451784652956</v>
      </c>
      <c r="H9" s="90"/>
      <c r="I9" s="130">
        <f t="shared" si="0"/>
        <v>1.1185944943175692</v>
      </c>
      <c r="J9" s="130"/>
      <c r="K9" s="78"/>
      <c r="P9" s="129" t="s">
        <v>4</v>
      </c>
      <c r="Q9" s="116">
        <v>9317174</v>
      </c>
      <c r="R9" s="116">
        <v>11727637397</v>
      </c>
      <c r="S9" s="116">
        <v>8329358</v>
      </c>
      <c r="T9" s="130">
        <f t="shared" si="1"/>
        <v>1.1185944943175692</v>
      </c>
      <c r="U9" s="85"/>
    </row>
    <row r="10" spans="1:21" ht="15" hidden="1" customHeight="1">
      <c r="A10" s="129" t="s">
        <v>5</v>
      </c>
      <c r="B10" s="131">
        <f>F8+F9+F10</f>
        <v>2783240.1904761903</v>
      </c>
      <c r="C10" s="131">
        <f>AVERAGE(F8:F10)</f>
        <v>927746.73015873006</v>
      </c>
      <c r="D10" s="90">
        <f>C10/C7-1</f>
        <v>-0.13046628004038829</v>
      </c>
      <c r="E10" s="286"/>
      <c r="F10" s="78">
        <f>Q10/21</f>
        <v>1093691.4285714286</v>
      </c>
      <c r="G10" s="90">
        <f t="shared" si="2"/>
        <v>1.465073637135037</v>
      </c>
      <c r="H10" s="90"/>
      <c r="I10" s="130">
        <f t="shared" si="0"/>
        <v>1.2142025332998092</v>
      </c>
      <c r="J10" s="130"/>
      <c r="K10" s="79">
        <f>R8+R9+R10</f>
        <v>72440512924</v>
      </c>
      <c r="L10" s="87">
        <f>U10/U7-1</f>
        <v>-7.7005650541002502E-2</v>
      </c>
      <c r="N10" s="88">
        <f>AVERAGE(T8:T10)</f>
        <v>1.1514034346835205</v>
      </c>
      <c r="O10" s="89">
        <f>N10/N7-1</f>
        <v>-2.5665171288401956E-2</v>
      </c>
      <c r="P10" s="129" t="s">
        <v>5</v>
      </c>
      <c r="Q10" s="116">
        <v>22967520</v>
      </c>
      <c r="R10" s="116">
        <v>29022138650</v>
      </c>
      <c r="S10" s="116">
        <v>18915724</v>
      </c>
      <c r="T10" s="130">
        <f t="shared" si="1"/>
        <v>1.2142025332998092</v>
      </c>
      <c r="U10" s="85">
        <f>Q8+Q9+Q10</f>
        <v>58448044</v>
      </c>
    </row>
    <row r="11" spans="1:21" ht="15" hidden="1" customHeight="1">
      <c r="A11" s="129" t="s">
        <v>6</v>
      </c>
      <c r="C11" s="79"/>
      <c r="F11" s="78">
        <f>Q11/21</f>
        <v>546718.23809523811</v>
      </c>
      <c r="G11" s="90">
        <f t="shared" si="2"/>
        <v>-0.50011655590155146</v>
      </c>
      <c r="H11" s="90"/>
      <c r="I11" s="130">
        <f t="shared" si="0"/>
        <v>1.1107078994007946</v>
      </c>
      <c r="J11" s="130"/>
      <c r="K11" s="78"/>
      <c r="O11" s="89"/>
      <c r="P11" s="129" t="s">
        <v>6</v>
      </c>
      <c r="Q11" s="116">
        <v>11481083</v>
      </c>
      <c r="R11" s="116">
        <v>14872579345</v>
      </c>
      <c r="S11" s="116">
        <v>10336725.800000001</v>
      </c>
      <c r="T11" s="130">
        <f t="shared" si="1"/>
        <v>1.1107078994007946</v>
      </c>
      <c r="U11" s="85"/>
    </row>
    <row r="12" spans="1:21" ht="15" hidden="1" customHeight="1">
      <c r="A12" s="129" t="s">
        <v>7</v>
      </c>
      <c r="C12" s="79"/>
      <c r="F12" s="78">
        <f>Q12/22</f>
        <v>1180608.4090909092</v>
      </c>
      <c r="G12" s="90">
        <f t="shared" si="2"/>
        <v>1.1594458110710542</v>
      </c>
      <c r="H12" s="90"/>
      <c r="I12" s="130">
        <f t="shared" si="0"/>
        <v>1.0814715356272615</v>
      </c>
      <c r="J12" s="130"/>
      <c r="K12" s="78"/>
      <c r="O12" s="89"/>
      <c r="P12" s="129" t="s">
        <v>7</v>
      </c>
      <c r="Q12" s="116">
        <v>25973385</v>
      </c>
      <c r="R12" s="116">
        <v>33870798979</v>
      </c>
      <c r="S12" s="116">
        <v>24016707</v>
      </c>
      <c r="T12" s="130">
        <f t="shared" si="1"/>
        <v>1.0814715356272615</v>
      </c>
      <c r="U12" s="85"/>
    </row>
    <row r="13" spans="1:21" ht="15" hidden="1" customHeight="1">
      <c r="A13" s="129" t="s">
        <v>96</v>
      </c>
      <c r="B13" s="131">
        <f>F11+F12+F13</f>
        <v>2354624.1971861473</v>
      </c>
      <c r="C13" s="131">
        <f>AVERAGE(F11:F13)</f>
        <v>784874.73239538248</v>
      </c>
      <c r="D13" s="90">
        <f>C13/C10-1</f>
        <v>-0.15399892354123768</v>
      </c>
      <c r="E13" s="286"/>
      <c r="F13" s="78">
        <f>Q13/20</f>
        <v>627297.55000000005</v>
      </c>
      <c r="G13" s="90">
        <f t="shared" si="2"/>
        <v>-0.46866586315183789</v>
      </c>
      <c r="H13" s="90"/>
      <c r="I13" s="130">
        <f t="shared" si="0"/>
        <v>1.0299170480915512</v>
      </c>
      <c r="J13" s="130"/>
      <c r="K13" s="78">
        <f>R11+R12+R13</f>
        <v>65999527803</v>
      </c>
      <c r="L13" s="87">
        <f>U13/U10-1</f>
        <v>-0.14453221052187815</v>
      </c>
      <c r="N13" s="88">
        <f>AVERAGE(T11:T13)</f>
        <v>1.0740321610398691</v>
      </c>
      <c r="O13" s="89">
        <f>N13/N10-1</f>
        <v>-6.7197362204254651E-2</v>
      </c>
      <c r="P13" s="129" t="s">
        <v>96</v>
      </c>
      <c r="Q13" s="116">
        <v>12545951</v>
      </c>
      <c r="R13" s="116">
        <v>17256149479</v>
      </c>
      <c r="S13" s="116">
        <v>12181516</v>
      </c>
      <c r="T13" s="130">
        <f t="shared" si="1"/>
        <v>1.0299170480915512</v>
      </c>
      <c r="U13" s="85">
        <f>Q11+Q12+Q13</f>
        <v>50000419</v>
      </c>
    </row>
    <row r="14" spans="1:21" ht="15" hidden="1" customHeight="1">
      <c r="A14" s="129" t="s">
        <v>97</v>
      </c>
      <c r="C14" s="79"/>
      <c r="F14" s="78">
        <f>Q14/20</f>
        <v>1081189.1000000001</v>
      </c>
      <c r="G14" s="90">
        <f t="shared" si="2"/>
        <v>0.72356659132496226</v>
      </c>
      <c r="H14" s="90"/>
      <c r="I14" s="130">
        <f t="shared" si="0"/>
        <v>1.040050271373226</v>
      </c>
      <c r="J14" s="130"/>
      <c r="O14" s="89"/>
      <c r="P14" s="129" t="s">
        <v>97</v>
      </c>
      <c r="Q14" s="116">
        <v>21623782</v>
      </c>
      <c r="R14" s="116">
        <v>30862295055</v>
      </c>
      <c r="S14" s="116">
        <v>20791093.079999998</v>
      </c>
      <c r="T14" s="130">
        <f t="shared" si="1"/>
        <v>1.040050271373226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439972.27272727271</v>
      </c>
      <c r="G15" s="90">
        <f t="shared" si="2"/>
        <v>-0.59306630752449063</v>
      </c>
      <c r="H15" s="90"/>
      <c r="I15" s="130">
        <f t="shared" si="0"/>
        <v>1.0360845831409551</v>
      </c>
      <c r="J15" s="130"/>
      <c r="O15" s="89"/>
      <c r="P15" s="129" t="s">
        <v>98</v>
      </c>
      <c r="Q15" s="116">
        <v>9679390</v>
      </c>
      <c r="R15" s="116">
        <v>13393398499</v>
      </c>
      <c r="S15" s="116">
        <v>9342277.8000000007</v>
      </c>
      <c r="T15" s="130">
        <f t="shared" si="1"/>
        <v>1.0360845831409551</v>
      </c>
      <c r="U15" s="85"/>
    </row>
    <row r="16" spans="1:21" ht="15" hidden="1" customHeight="1">
      <c r="A16" s="129" t="s">
        <v>99</v>
      </c>
      <c r="B16" s="131">
        <f>F14+F15+F16</f>
        <v>2498602.5545454547</v>
      </c>
      <c r="C16" s="131">
        <f>AVERAGE(F14:F16)</f>
        <v>832867.51818181819</v>
      </c>
      <c r="D16" s="90">
        <f>C16/C13-1</f>
        <v>6.1147064372890636E-2</v>
      </c>
      <c r="E16" s="286"/>
      <c r="F16" s="78">
        <f>Q16/22</f>
        <v>977441.18181818177</v>
      </c>
      <c r="G16" s="90">
        <f t="shared" si="2"/>
        <v>1.2215972287509853</v>
      </c>
      <c r="H16" s="90"/>
      <c r="I16" s="130">
        <f t="shared" si="0"/>
        <v>1.0204629730691659</v>
      </c>
      <c r="J16" s="130"/>
      <c r="K16" s="78">
        <f>R14+R15+R16</f>
        <v>72415738935</v>
      </c>
      <c r="L16" s="87">
        <f>U16/U13-1</f>
        <v>5.6128709641413144E-2</v>
      </c>
      <c r="N16" s="88">
        <f>AVERAGE(T14:T16)</f>
        <v>1.0321992758611156</v>
      </c>
      <c r="O16" s="89">
        <f>N16/N13-1</f>
        <v>-3.8949378516050404E-2</v>
      </c>
      <c r="P16" s="129" t="s">
        <v>99</v>
      </c>
      <c r="Q16" s="116">
        <v>21503706</v>
      </c>
      <c r="R16" s="116">
        <v>28160045381</v>
      </c>
      <c r="S16" s="116">
        <v>21072500</v>
      </c>
      <c r="T16" s="130">
        <f t="shared" si="1"/>
        <v>1.0204629730691659</v>
      </c>
      <c r="U16" s="85">
        <f>Q14+Q15+Q16</f>
        <v>52806878</v>
      </c>
    </row>
    <row r="17" spans="1:21" ht="15" hidden="1" customHeight="1">
      <c r="A17" s="129" t="s">
        <v>100</v>
      </c>
      <c r="C17" s="79"/>
      <c r="F17" s="78">
        <f>Q17/20</f>
        <v>876454.15</v>
      </c>
      <c r="G17" s="90">
        <f t="shared" ref="G17:G22" si="3">F17/F16-1</f>
        <v>-0.10331775834360823</v>
      </c>
      <c r="H17" s="90">
        <f t="shared" ref="H17:H22" si="4">F17/F5-1</f>
        <v>-0.34833998119566945</v>
      </c>
      <c r="I17" s="130">
        <f t="shared" si="0"/>
        <v>0.95648376863624418</v>
      </c>
      <c r="J17" s="130">
        <f t="shared" ref="J17:J49" si="5">I17/I5-1</f>
        <v>-0.25369563567672293</v>
      </c>
      <c r="O17" s="89"/>
      <c r="P17" s="129" t="s">
        <v>100</v>
      </c>
      <c r="Q17" s="116">
        <v>17529083</v>
      </c>
      <c r="R17" s="116">
        <v>21816278512</v>
      </c>
      <c r="S17" s="116">
        <v>18326587</v>
      </c>
      <c r="T17" s="130">
        <f t="shared" si="1"/>
        <v>0.95648376863624418</v>
      </c>
      <c r="U17" s="78"/>
    </row>
    <row r="18" spans="1:21" ht="15" hidden="1" customHeight="1">
      <c r="A18" s="129" t="s">
        <v>106</v>
      </c>
      <c r="C18" s="79"/>
      <c r="F18" s="78">
        <f>Q18/20</f>
        <v>1073295.6000000001</v>
      </c>
      <c r="G18" s="90">
        <f t="shared" si="3"/>
        <v>0.2245884168612815</v>
      </c>
      <c r="H18" s="90">
        <f t="shared" si="4"/>
        <v>-2.5215228388950406E-2</v>
      </c>
      <c r="I18" s="130">
        <f t="shared" si="0"/>
        <v>0.93630459192352933</v>
      </c>
      <c r="J18" s="130">
        <f t="shared" si="5"/>
        <v>-0.15828317768048938</v>
      </c>
      <c r="O18" s="89"/>
      <c r="P18" s="129" t="s">
        <v>106</v>
      </c>
      <c r="Q18" s="116">
        <v>21465912</v>
      </c>
      <c r="R18" s="116">
        <v>27001498796</v>
      </c>
      <c r="S18" s="116">
        <v>22926206.050000001</v>
      </c>
      <c r="T18" s="130">
        <f t="shared" ref="T18" si="6">Q18/S18</f>
        <v>0.93630459192352933</v>
      </c>
      <c r="U18" s="78"/>
    </row>
    <row r="19" spans="1:21" hidden="1">
      <c r="A19" s="129" t="s">
        <v>114</v>
      </c>
      <c r="B19" s="131">
        <f>SUM(F17:F19)</f>
        <v>2782487.75</v>
      </c>
      <c r="C19" s="131">
        <f>AVERAGE(F17:F19)</f>
        <v>927495.91666666663</v>
      </c>
      <c r="D19" s="90">
        <f>C19/C16-1</f>
        <v>0.11361758793454424</v>
      </c>
      <c r="E19" s="286">
        <f>C19/C7-1</f>
        <v>-0.13070135582312115</v>
      </c>
      <c r="F19" s="78">
        <f>Q19/22</f>
        <v>832738</v>
      </c>
      <c r="G19" s="90">
        <f t="shared" si="3"/>
        <v>-0.22412986692575654</v>
      </c>
      <c r="H19" s="90">
        <f t="shared" si="4"/>
        <v>0.10321709497173726</v>
      </c>
      <c r="I19" s="130">
        <f t="shared" si="0"/>
        <v>0.94218182833099429</v>
      </c>
      <c r="J19" s="130">
        <f t="shared" si="5"/>
        <v>-0.18156311948068771</v>
      </c>
      <c r="K19" s="78">
        <f>R17+R18+R19</f>
        <v>72768279150</v>
      </c>
      <c r="L19" s="87">
        <f>U19/U16-1</f>
        <v>8.5374352181925905E-2</v>
      </c>
      <c r="M19" s="87">
        <f>U19/U7-1</f>
        <v>-9.4894700822885314E-2</v>
      </c>
      <c r="N19" s="88">
        <f>AVERAGE(T17:T19)</f>
        <v>0.94499006296358923</v>
      </c>
      <c r="O19" s="89">
        <f>N19/N16-1</f>
        <v>-8.4488736755576332E-2</v>
      </c>
      <c r="P19" s="129" t="s">
        <v>115</v>
      </c>
      <c r="Q19" s="116">
        <v>18320236</v>
      </c>
      <c r="R19" s="116">
        <v>23950501842</v>
      </c>
      <c r="S19" s="116">
        <v>19444480.300000001</v>
      </c>
      <c r="T19" s="130">
        <f t="shared" ref="T19" si="7">Q19/S19</f>
        <v>0.94218182833099429</v>
      </c>
      <c r="U19" s="85">
        <f>Q17+Q18+Q19</f>
        <v>57315231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1189088.7</v>
      </c>
      <c r="G20" s="90">
        <f t="shared" si="3"/>
        <v>0.42792655072783981</v>
      </c>
      <c r="H20" s="90">
        <f t="shared" si="4"/>
        <v>-4.557854020987373E-2</v>
      </c>
      <c r="I20" s="130">
        <f t="shared" si="0"/>
        <v>1.010218438343859</v>
      </c>
      <c r="J20" s="130">
        <f t="shared" si="5"/>
        <v>-9.9155985064663277E-2</v>
      </c>
      <c r="O20" s="89"/>
      <c r="P20" s="129" t="s">
        <v>132</v>
      </c>
      <c r="Q20" s="116">
        <v>23781774</v>
      </c>
      <c r="R20" s="116">
        <v>31266866778</v>
      </c>
      <c r="S20" s="116">
        <v>23541219.5</v>
      </c>
      <c r="T20" s="130">
        <f t="shared" ref="T20" si="8">Q20/S20</f>
        <v>1.010218438343859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928292.33333333337</v>
      </c>
      <c r="G21" s="90">
        <f t="shared" si="3"/>
        <v>-0.2193245690306086</v>
      </c>
      <c r="H21" s="90">
        <f t="shared" si="4"/>
        <v>1.0922802343285638</v>
      </c>
      <c r="I21" s="130">
        <f t="shared" si="0"/>
        <v>1.1319124393526232</v>
      </c>
      <c r="J21" s="130">
        <f t="shared" si="5"/>
        <v>1.1905963334084779E-2</v>
      </c>
      <c r="O21" s="89"/>
      <c r="P21" s="129" t="s">
        <v>141</v>
      </c>
      <c r="Q21" s="116">
        <v>19494139</v>
      </c>
      <c r="R21" s="116">
        <v>25994637694</v>
      </c>
      <c r="S21" s="116">
        <v>17222303</v>
      </c>
      <c r="T21" s="130">
        <f t="shared" ref="T21" si="9">Q21/S21</f>
        <v>1.1319124393526232</v>
      </c>
      <c r="U21" s="78"/>
    </row>
    <row r="22" spans="1:21" hidden="1">
      <c r="A22" s="129" t="s">
        <v>156</v>
      </c>
      <c r="B22" s="131">
        <f>SUM(F20:F22)</f>
        <v>2922711.9380952381</v>
      </c>
      <c r="C22" s="131">
        <f>AVERAGE(F20:F22)</f>
        <v>974237.31269841269</v>
      </c>
      <c r="D22" s="90">
        <f>C22/C19-1</f>
        <v>5.0395258018741673E-2</v>
      </c>
      <c r="E22" s="286">
        <f>C22/C10-1</f>
        <v>5.0111286872149385E-2</v>
      </c>
      <c r="F22" s="78">
        <f>Q22/21</f>
        <v>805330.90476190473</v>
      </c>
      <c r="G22" s="90">
        <f t="shared" si="3"/>
        <v>-0.1324598126647194</v>
      </c>
      <c r="H22" s="90">
        <f t="shared" si="4"/>
        <v>-0.26365802663935856</v>
      </c>
      <c r="I22" s="130">
        <f t="shared" si="0"/>
        <v>0.95557657343174962</v>
      </c>
      <c r="J22" s="130">
        <f t="shared" si="5"/>
        <v>-0.21300067556703084</v>
      </c>
      <c r="K22" s="78">
        <f>R20+R21+R22</f>
        <v>79147097919</v>
      </c>
      <c r="L22" s="87">
        <f>U22/U19-1</f>
        <v>5.0119853830825623E-2</v>
      </c>
      <c r="M22" s="87">
        <f>U22/U10-1</f>
        <v>2.9766915724331211E-2</v>
      </c>
      <c r="N22" s="88">
        <f>AVERAGE(T20:T22)</f>
        <v>1.0325691503760774</v>
      </c>
      <c r="O22" s="89">
        <f>N22/N19-1</f>
        <v>9.2677257512984834E-2</v>
      </c>
      <c r="P22" s="129" t="s">
        <v>156</v>
      </c>
      <c r="Q22" s="116">
        <v>16911949</v>
      </c>
      <c r="R22" s="116">
        <v>21885593447</v>
      </c>
      <c r="S22" s="116">
        <v>17698162</v>
      </c>
      <c r="T22" s="130">
        <f t="shared" ref="T22:T23" si="10">Q22/S22</f>
        <v>0.95557657343174962</v>
      </c>
      <c r="U22" s="85">
        <f>Q20+Q21+Q22</f>
        <v>60187862</v>
      </c>
    </row>
    <row r="23" spans="1:21" hidden="1">
      <c r="A23" s="129" t="s">
        <v>189</v>
      </c>
      <c r="B23" s="131"/>
      <c r="C23" s="131"/>
      <c r="F23" s="78">
        <f>Q23/21</f>
        <v>1081159.4285714286</v>
      </c>
      <c r="G23" s="90">
        <f t="shared" ref="G23" si="11">F23/F22-1</f>
        <v>0.34250333891144069</v>
      </c>
      <c r="H23" s="90">
        <f t="shared" ref="H23" si="12">F23/F11-1</f>
        <v>0.97754410450651741</v>
      </c>
      <c r="I23" s="130">
        <f t="shared" si="0"/>
        <v>0.96789283720584507</v>
      </c>
      <c r="J23" s="130">
        <f t="shared" si="5"/>
        <v>-0.12858021651956875</v>
      </c>
      <c r="O23" s="89"/>
      <c r="P23" s="129" t="s">
        <v>189</v>
      </c>
      <c r="Q23" s="116">
        <v>22704348</v>
      </c>
      <c r="R23" s="116">
        <v>29063487053</v>
      </c>
      <c r="S23" s="116">
        <v>23457501.829999998</v>
      </c>
      <c r="T23" s="130">
        <f t="shared" si="10"/>
        <v>0.96789283720584507</v>
      </c>
      <c r="U23" s="78"/>
    </row>
    <row r="24" spans="1:21" hidden="1">
      <c r="A24" s="129" t="s">
        <v>204</v>
      </c>
      <c r="B24" s="131"/>
      <c r="C24" s="131"/>
      <c r="F24" s="78">
        <f>Q24/22</f>
        <v>1014687.9545454546</v>
      </c>
      <c r="G24" s="90">
        <f t="shared" ref="G24" si="13">F24/F23-1</f>
        <v>-6.148165781045356E-2</v>
      </c>
      <c r="H24" s="90">
        <f t="shared" ref="H24" si="14">F24/F12-1</f>
        <v>-0.14053809312879317</v>
      </c>
      <c r="I24" s="130">
        <f t="shared" si="0"/>
        <v>0.98643182215063241</v>
      </c>
      <c r="J24" s="130">
        <f t="shared" si="5"/>
        <v>-8.7879995307972081E-2</v>
      </c>
      <c r="O24" s="89"/>
      <c r="P24" s="129" t="s">
        <v>204</v>
      </c>
      <c r="Q24" s="116">
        <v>22323135</v>
      </c>
      <c r="R24" s="116">
        <v>29440306227</v>
      </c>
      <c r="S24" s="116">
        <v>22630185.379999999</v>
      </c>
      <c r="T24" s="130">
        <f t="shared" ref="T24" si="15">Q24/S24</f>
        <v>0.98643182215063241</v>
      </c>
      <c r="U24" s="78"/>
    </row>
    <row r="25" spans="1:21" s="79" customFormat="1" ht="13.2" hidden="1">
      <c r="A25" s="129" t="s">
        <v>218</v>
      </c>
      <c r="B25" s="131">
        <f>SUM(F23:F25)</f>
        <v>3123274.4357484621</v>
      </c>
      <c r="C25" s="131">
        <f>AVERAGE(F23:F25)</f>
        <v>1041091.4785828207</v>
      </c>
      <c r="D25" s="90">
        <f>C25/C22-1</f>
        <v>6.8622054414275491E-2</v>
      </c>
      <c r="E25" s="286">
        <f>C25/C13-1</f>
        <v>0.32644285210390556</v>
      </c>
      <c r="F25" s="78">
        <f>Q25/19</f>
        <v>1027427.052631579</v>
      </c>
      <c r="G25" s="90">
        <f t="shared" ref="G25" si="16">F25/F24-1</f>
        <v>1.2554695292338547E-2</v>
      </c>
      <c r="H25" s="90">
        <f t="shared" ref="H25" si="17">F25/F13-1</f>
        <v>0.63786237110535327</v>
      </c>
      <c r="I25" s="130">
        <f t="shared" si="0"/>
        <v>0.94113547840031408</v>
      </c>
      <c r="J25" s="130">
        <f t="shared" si="5"/>
        <v>-8.6202641130905033E-2</v>
      </c>
      <c r="K25" s="78">
        <f>R23+R24+R25</f>
        <v>84428445916</v>
      </c>
      <c r="L25" s="90">
        <f>U25/U22-1</f>
        <v>7.245206683035188E-2</v>
      </c>
      <c r="M25" s="90">
        <f>U25/U13-1</f>
        <v>0.29096112174579969</v>
      </c>
      <c r="N25" s="88">
        <f>AVERAGE(T23:T25)</f>
        <v>0.96515337925226385</v>
      </c>
      <c r="O25" s="91">
        <f>N25/N22-1</f>
        <v>-6.5289352387934207E-2</v>
      </c>
      <c r="P25" s="129" t="s">
        <v>240</v>
      </c>
      <c r="Q25" s="116">
        <v>19521114</v>
      </c>
      <c r="R25" s="116">
        <v>25924652636</v>
      </c>
      <c r="S25" s="116">
        <v>20742087.030000001</v>
      </c>
      <c r="T25" s="130">
        <f t="shared" ref="T25" si="18">Q25/S25</f>
        <v>0.94113547840031408</v>
      </c>
      <c r="U25" s="85">
        <f>Q23+Q24+Q25</f>
        <v>64548597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1187421.5263157894</v>
      </c>
      <c r="G26" s="90">
        <f t="shared" ref="G26" si="19">F26/F25-1</f>
        <v>0.15572343873408045</v>
      </c>
      <c r="H26" s="90">
        <f t="shared" ref="H26" si="20">F26/F14-1</f>
        <v>9.8255176930464261E-2</v>
      </c>
      <c r="I26" s="130">
        <f t="shared" si="0"/>
        <v>0.92009938586520568</v>
      </c>
      <c r="J26" s="130">
        <f t="shared" si="5"/>
        <v>-0.11533181501856027</v>
      </c>
      <c r="L26" s="90"/>
      <c r="M26" s="90"/>
      <c r="P26" s="129" t="s">
        <v>312</v>
      </c>
      <c r="Q26" s="116">
        <v>22561009</v>
      </c>
      <c r="R26" s="116">
        <v>30419086633</v>
      </c>
      <c r="S26" s="116">
        <v>24520187</v>
      </c>
      <c r="T26" s="130">
        <f t="shared" ref="T26" si="21">Q26/S26</f>
        <v>0.92009938586520568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979725.40909090906</v>
      </c>
      <c r="G27" s="90">
        <f t="shared" ref="G27" si="22">F27/F26-1</f>
        <v>-0.17491355228273375</v>
      </c>
      <c r="H27" s="90">
        <f t="shared" ref="H27" si="23">F27/F15-1</f>
        <v>1.2267889815370596</v>
      </c>
      <c r="I27" s="130">
        <f t="shared" si="0"/>
        <v>0.90528237871869022</v>
      </c>
      <c r="J27" s="130">
        <f t="shared" si="5"/>
        <v>-0.12624664679955933</v>
      </c>
      <c r="L27" s="90"/>
      <c r="M27" s="90"/>
      <c r="P27" s="129" t="s">
        <v>375</v>
      </c>
      <c r="Q27" s="116">
        <v>21553959</v>
      </c>
      <c r="R27" s="116">
        <v>28254731726</v>
      </c>
      <c r="S27" s="116">
        <v>23809100.350000001</v>
      </c>
      <c r="T27" s="130">
        <f t="shared" ref="T27" si="24">Q27/S27</f>
        <v>0.90528237871869022</v>
      </c>
      <c r="U27" s="78"/>
    </row>
    <row r="28" spans="1:21" s="79" customFormat="1" ht="13.2" hidden="1">
      <c r="A28" s="123" t="s">
        <v>413</v>
      </c>
      <c r="B28" s="131">
        <f>SUM(F26:F28)</f>
        <v>3241391.8827751195</v>
      </c>
      <c r="C28" s="131">
        <f>AVERAGE(F26:F28)</f>
        <v>1080463.9609250398</v>
      </c>
      <c r="D28" s="90">
        <f>C28/C25-1</f>
        <v>3.7818465670101054E-2</v>
      </c>
      <c r="E28" s="286">
        <f>C28/C16-1</f>
        <v>0.29728190539082888</v>
      </c>
      <c r="F28" s="78">
        <f>Q28/19</f>
        <v>1074244.9473684211</v>
      </c>
      <c r="G28" s="90">
        <f t="shared" ref="G28" si="25">F28/F27-1</f>
        <v>9.6475540391687042E-2</v>
      </c>
      <c r="H28" s="90">
        <f t="shared" ref="H28" si="26">F28/F16-1</f>
        <v>9.9037944534084765E-2</v>
      </c>
      <c r="I28" s="130">
        <f t="shared" si="0"/>
        <v>0.88632118256035486</v>
      </c>
      <c r="J28" s="130">
        <f t="shared" si="5"/>
        <v>-0.13145189394316126</v>
      </c>
      <c r="K28" s="78">
        <f>R26+R27+R28</f>
        <v>58673818359</v>
      </c>
      <c r="L28" s="90">
        <f>U28/U25-1</f>
        <v>-3.5593337528316837E-4</v>
      </c>
      <c r="M28" s="90">
        <f>U28/U16-1</f>
        <v>0.22191700103914491</v>
      </c>
      <c r="N28" s="88">
        <f>AVERAGE(T26:T28)</f>
        <v>0.90390098238141692</v>
      </c>
      <c r="O28" s="91">
        <f>N28/N25-1</f>
        <v>-6.3463899300959969E-2</v>
      </c>
      <c r="P28" s="129" t="s">
        <v>413</v>
      </c>
      <c r="Q28" s="116">
        <v>20410654</v>
      </c>
      <c r="R28" s="116"/>
      <c r="S28" s="116">
        <v>23028507.5</v>
      </c>
      <c r="T28" s="130">
        <f t="shared" ref="T28" si="27">Q28/S28</f>
        <v>0.88632118256035486</v>
      </c>
      <c r="U28" s="85">
        <f>Q26+Q27+Q28</f>
        <v>64525622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935777.77272727271</v>
      </c>
      <c r="G29" s="190">
        <f t="shared" ref="G29" si="28">F29/F28-1</f>
        <v>-0.12889720820223693</v>
      </c>
      <c r="H29" s="190">
        <f t="shared" ref="H29" si="29">F29/F17-1</f>
        <v>6.7685939677817331E-2</v>
      </c>
      <c r="I29" s="130">
        <f t="shared" si="0"/>
        <v>1.0228334016725649</v>
      </c>
      <c r="J29" s="130">
        <f t="shared" si="5"/>
        <v>6.9368279119803589E-2</v>
      </c>
      <c r="K29" s="136"/>
      <c r="L29" s="190"/>
      <c r="M29" s="190"/>
      <c r="N29" s="191"/>
      <c r="O29" s="192"/>
      <c r="P29" s="129" t="s">
        <v>427</v>
      </c>
      <c r="Q29" s="116">
        <v>20587111</v>
      </c>
      <c r="R29" s="116">
        <v>27255953328</v>
      </c>
      <c r="S29" s="116">
        <v>20127531</v>
      </c>
      <c r="T29" s="130">
        <f t="shared" ref="T29" si="30">Q29/S29</f>
        <v>1.0228334016725649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87"/>
      <c r="F30" s="136">
        <f>Q30/19</f>
        <v>794445.68421052629</v>
      </c>
      <c r="G30" s="190">
        <f t="shared" ref="G30" si="31">F30/F29-1</f>
        <v>-0.15103167935357331</v>
      </c>
      <c r="H30" s="190">
        <f t="shared" ref="H30" si="32">F30/F18-1</f>
        <v>-0.25980719178339484</v>
      </c>
      <c r="I30" s="130">
        <f t="shared" si="0"/>
        <v>0.95617289317424004</v>
      </c>
      <c r="J30" s="130">
        <f t="shared" si="5"/>
        <v>2.1219912218836345E-2</v>
      </c>
      <c r="K30" s="136"/>
      <c r="L30" s="190"/>
      <c r="M30" s="190"/>
      <c r="N30" s="191"/>
      <c r="O30" s="192"/>
      <c r="P30" s="129" t="s">
        <v>469</v>
      </c>
      <c r="Q30" s="116">
        <v>15094468</v>
      </c>
      <c r="R30" s="116">
        <v>20116414832</v>
      </c>
      <c r="S30" s="116">
        <v>15786337.5</v>
      </c>
      <c r="T30" s="130">
        <f t="shared" ref="T30" si="33">Q30/S30</f>
        <v>0.95617289317424004</v>
      </c>
      <c r="U30" s="85"/>
    </row>
    <row r="31" spans="1:21" s="79" customFormat="1" ht="13.2" hidden="1">
      <c r="A31" s="129" t="s">
        <v>505</v>
      </c>
      <c r="B31" s="188">
        <f>SUM(F29:F31)</f>
        <v>2797035.256937799</v>
      </c>
      <c r="C31" s="188">
        <f>AVERAGE(F29:F31)</f>
        <v>932345.08564593305</v>
      </c>
      <c r="D31" s="190">
        <f>C31/C28-1</f>
        <v>-0.13708821454099651</v>
      </c>
      <c r="E31" s="287">
        <f>C31/C19-1</f>
        <v>5.2282375502998857E-3</v>
      </c>
      <c r="F31" s="136">
        <f>Q31/20</f>
        <v>1066811.8</v>
      </c>
      <c r="G31" s="190">
        <f t="shared" ref="G31" si="34">F31/F30-1</f>
        <v>0.342837932413385</v>
      </c>
      <c r="H31" s="190">
        <f t="shared" ref="H31" si="35">F31/F19-1</f>
        <v>0.28108937024610392</v>
      </c>
      <c r="I31" s="130">
        <f t="shared" si="0"/>
        <v>1.0280443008183549</v>
      </c>
      <c r="J31" s="130">
        <f t="shared" si="5"/>
        <v>9.1131530990636422E-2</v>
      </c>
      <c r="K31" s="136">
        <f>R29+R30+R31</f>
        <v>75759583653</v>
      </c>
      <c r="L31" s="190">
        <f>U31/U28-1</f>
        <v>-0.11635388807255509</v>
      </c>
      <c r="M31" s="190">
        <f>U31/U19-1</f>
        <v>-5.1891267785346695E-3</v>
      </c>
      <c r="N31" s="191">
        <f>AVERAGE(T29:T31)</f>
        <v>1.0023501985550531</v>
      </c>
      <c r="O31" s="192">
        <f>N31/N28-1</f>
        <v>0.10891593005492917</v>
      </c>
      <c r="P31" s="129" t="s">
        <v>505</v>
      </c>
      <c r="Q31" s="116">
        <v>21336236</v>
      </c>
      <c r="R31" s="116">
        <v>28387215493</v>
      </c>
      <c r="S31" s="116">
        <v>20754199</v>
      </c>
      <c r="T31" s="130">
        <f t="shared" ref="T31" si="36">Q31/S31</f>
        <v>1.0280443008183549</v>
      </c>
      <c r="U31" s="85">
        <f>Q29+Q30+Q31</f>
        <v>57017815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960010.14285714284</v>
      </c>
      <c r="G32" s="190">
        <f t="shared" ref="G32" si="37">F32/F31-1</f>
        <v>-0.10011293195562443</v>
      </c>
      <c r="H32" s="190">
        <f t="shared" ref="H32" si="38">F32/F20-1</f>
        <v>-0.1926505206406024</v>
      </c>
      <c r="I32" s="130">
        <f t="shared" si="0"/>
        <v>0.96030189171757896</v>
      </c>
      <c r="J32" s="130">
        <f t="shared" si="5"/>
        <v>-4.9411636861541264E-2</v>
      </c>
      <c r="K32" s="136"/>
      <c r="L32" s="190"/>
      <c r="M32" s="190"/>
      <c r="N32" s="191"/>
      <c r="O32" s="192"/>
      <c r="P32" s="129" t="s">
        <v>562</v>
      </c>
      <c r="Q32" s="116">
        <v>20160213</v>
      </c>
      <c r="R32" s="116">
        <v>27506216494</v>
      </c>
      <c r="S32" s="116">
        <v>20993620</v>
      </c>
      <c r="T32" s="130">
        <f t="shared" ref="T32" si="39">Q32/S32</f>
        <v>0.96030189171757896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833412.09523809527</v>
      </c>
      <c r="G33" s="190">
        <f t="shared" ref="G33" si="40">F33/F32-1</f>
        <v>-0.13187157298387664</v>
      </c>
      <c r="H33" s="190">
        <f t="shared" ref="H33" si="41">F33/F21-1</f>
        <v>-0.10220943843685526</v>
      </c>
      <c r="I33" s="130">
        <f t="shared" si="0"/>
        <v>1.0504492707059847</v>
      </c>
      <c r="J33" s="130">
        <f t="shared" si="5"/>
        <v>-7.1969496768875429E-2</v>
      </c>
      <c r="K33" s="136"/>
      <c r="L33" s="190"/>
      <c r="M33" s="190"/>
      <c r="N33" s="191"/>
      <c r="O33" s="192"/>
      <c r="P33" s="129" t="s">
        <v>610</v>
      </c>
      <c r="Q33" s="116">
        <v>17501654</v>
      </c>
      <c r="R33" s="116">
        <v>23949973427</v>
      </c>
      <c r="S33" s="116">
        <v>16661113</v>
      </c>
      <c r="T33" s="130">
        <f t="shared" ref="T33" si="42">Q33/S33</f>
        <v>1.0504492707059847</v>
      </c>
      <c r="U33" s="85"/>
    </row>
    <row r="34" spans="1:21" s="79" customFormat="1" ht="13.2" hidden="1">
      <c r="A34" s="129" t="s">
        <v>652</v>
      </c>
      <c r="B34" s="188">
        <f>SUM(F32:F34)</f>
        <v>2906028.7644110275</v>
      </c>
      <c r="C34" s="188">
        <f>AVERAGE(F32:F34)</f>
        <v>968676.25480367581</v>
      </c>
      <c r="D34" s="190">
        <f>C34/C31-1</f>
        <v>3.8967512905988322E-2</v>
      </c>
      <c r="E34" s="287">
        <f>C34/C22-1</f>
        <v>-5.7081142574328947E-3</v>
      </c>
      <c r="F34" s="136">
        <f>Q34/19</f>
        <v>1112606.5263157894</v>
      </c>
      <c r="G34" s="190">
        <f t="shared" ref="G34" si="43">F34/F33-1</f>
        <v>0.33500165485111166</v>
      </c>
      <c r="H34" s="190">
        <f t="shared" ref="H34" si="44">F34/F22-1</f>
        <v>0.38155200519062471</v>
      </c>
      <c r="I34" s="130">
        <f t="shared" si="0"/>
        <v>0.98231716428028049</v>
      </c>
      <c r="J34" s="130">
        <f t="shared" si="5"/>
        <v>2.7983723745442779E-2</v>
      </c>
      <c r="K34" s="136">
        <f>R32+R33+R34</f>
        <v>80553187004</v>
      </c>
      <c r="L34" s="190">
        <f>U34/U31-1</f>
        <v>3.128103032359264E-2</v>
      </c>
      <c r="M34" s="190">
        <f>U34/U22-1</f>
        <v>-2.30357243791115E-2</v>
      </c>
      <c r="N34" s="191">
        <f>AVERAGE(T32:T34)</f>
        <v>0.99768944223461464</v>
      </c>
      <c r="O34" s="192">
        <f>N34/N31-1</f>
        <v>-4.6498283006849439E-3</v>
      </c>
      <c r="P34" s="129" t="s">
        <v>652</v>
      </c>
      <c r="Q34" s="116">
        <v>21139524</v>
      </c>
      <c r="R34" s="116">
        <v>29096997083</v>
      </c>
      <c r="S34" s="116">
        <v>21520059.68</v>
      </c>
      <c r="T34" s="130">
        <f t="shared" ref="T34" si="45">Q34/S34</f>
        <v>0.98231716428028049</v>
      </c>
      <c r="U34" s="85">
        <f>Q32+Q33+Q34</f>
        <v>58801391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1252102.7826086956</v>
      </c>
      <c r="G35" s="190">
        <f t="shared" ref="G35" si="46">F35/F34-1</f>
        <v>0.1253778878637577</v>
      </c>
      <c r="H35" s="190">
        <f t="shared" ref="H35" si="47">F35/F23-1</f>
        <v>0.15811114394399728</v>
      </c>
      <c r="I35" s="130">
        <f t="shared" si="0"/>
        <v>1.0076463357920951</v>
      </c>
      <c r="J35" s="130">
        <f t="shared" si="5"/>
        <v>4.1072210742887805E-2</v>
      </c>
      <c r="K35" s="136"/>
      <c r="L35" s="190"/>
      <c r="M35" s="190"/>
      <c r="N35" s="191"/>
      <c r="O35" s="192"/>
      <c r="P35" s="129" t="s">
        <v>660</v>
      </c>
      <c r="Q35" s="116">
        <v>28798364</v>
      </c>
      <c r="R35" s="116">
        <v>39871396935</v>
      </c>
      <c r="S35" s="116">
        <v>28579833</v>
      </c>
      <c r="T35" s="130">
        <f t="shared" ref="T35" si="48">Q35/S35</f>
        <v>1.0076463357920951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1287151.7142857143</v>
      </c>
      <c r="G36" s="190">
        <f t="shared" ref="G36" si="49">F36/F35-1</f>
        <v>2.7992056374154917E-2</v>
      </c>
      <c r="H36" s="190">
        <f t="shared" ref="H36" si="50">F36/F24-1</f>
        <v>0.26851975380186133</v>
      </c>
      <c r="I36" s="130">
        <f t="shared" si="0"/>
        <v>0.99564760598327862</v>
      </c>
      <c r="J36" s="130">
        <f t="shared" si="5"/>
        <v>9.3425451467632481E-3</v>
      </c>
      <c r="K36" s="136"/>
      <c r="L36" s="190"/>
      <c r="M36" s="190"/>
      <c r="N36" s="191"/>
      <c r="O36" s="192"/>
      <c r="P36" s="129" t="s">
        <v>664</v>
      </c>
      <c r="Q36" s="116">
        <v>27030186</v>
      </c>
      <c r="R36" s="116">
        <v>36892410674</v>
      </c>
      <c r="S36" s="116">
        <v>27148346.300000001</v>
      </c>
      <c r="T36" s="130">
        <f t="shared" ref="T36" si="51">Q36/S36</f>
        <v>0.99564760598327862</v>
      </c>
      <c r="U36" s="85"/>
    </row>
    <row r="37" spans="1:21" s="79" customFormat="1" ht="13.2" hidden="1">
      <c r="A37" s="129" t="s">
        <v>702</v>
      </c>
      <c r="B37" s="188">
        <f>SUM(F35:F37)</f>
        <v>3605820.1080055209</v>
      </c>
      <c r="C37" s="188">
        <f>AVERAGE(F35:F37)</f>
        <v>1201940.0360018404</v>
      </c>
      <c r="D37" s="190">
        <f>C37/C34-1</f>
        <v>0.24080675049213496</v>
      </c>
      <c r="E37" s="287">
        <f>C37/C25-1</f>
        <v>0.15449992697853387</v>
      </c>
      <c r="F37" s="136">
        <f>Q37/18</f>
        <v>1066565.611111111</v>
      </c>
      <c r="G37" s="190">
        <f t="shared" ref="G37" si="52">F37/F36-1</f>
        <v>-0.17137537147049853</v>
      </c>
      <c r="H37" s="190">
        <f t="shared" ref="H37" si="53">F37/F25-1</f>
        <v>3.8093758947932432E-2</v>
      </c>
      <c r="I37" s="130">
        <f t="shared" si="0"/>
        <v>0.99457937488982695</v>
      </c>
      <c r="J37" s="130">
        <f t="shared" si="5"/>
        <v>5.6786613315602086E-2</v>
      </c>
      <c r="K37" s="136">
        <f>R35+R36+R37</f>
        <v>102352543051</v>
      </c>
      <c r="L37" s="190">
        <f>U37/U34-1</f>
        <v>0.27593462882536235</v>
      </c>
      <c r="M37" s="190">
        <f>U37/U25-1</f>
        <v>0.1623293841692639</v>
      </c>
      <c r="N37" s="191">
        <f>AVERAGE(T35:T37)</f>
        <v>0.99929110555506684</v>
      </c>
      <c r="O37" s="192">
        <f>N37/N34-1</f>
        <v>1.6053726266409551E-3</v>
      </c>
      <c r="P37" s="129" t="s">
        <v>702</v>
      </c>
      <c r="Q37" s="116">
        <v>19198181</v>
      </c>
      <c r="R37" s="116">
        <v>25588735442</v>
      </c>
      <c r="S37" s="116">
        <v>19302814.32</v>
      </c>
      <c r="T37" s="130">
        <f t="shared" ref="T37" si="54">Q37/S37</f>
        <v>0.99457937488982695</v>
      </c>
      <c r="U37" s="85">
        <f>Q35+Q36+Q37</f>
        <v>75026731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1779869.8</v>
      </c>
      <c r="G38" s="190">
        <f t="shared" ref="G38" si="55">F38/F37-1</f>
        <v>0.66878603759387434</v>
      </c>
      <c r="H38" s="190">
        <f t="shared" ref="H38" si="56">F38/F26-1</f>
        <v>0.49893678070869973</v>
      </c>
      <c r="I38" s="130">
        <f t="shared" si="0"/>
        <v>0.95171563971666207</v>
      </c>
      <c r="J38" s="130">
        <f t="shared" si="5"/>
        <v>3.4361781278362979E-2</v>
      </c>
      <c r="K38" s="136"/>
      <c r="L38" s="190"/>
      <c r="M38" s="190"/>
      <c r="N38" s="191"/>
      <c r="O38" s="192"/>
      <c r="P38" s="129" t="s">
        <v>728</v>
      </c>
      <c r="Q38" s="116">
        <v>35597396</v>
      </c>
      <c r="R38" s="116">
        <v>48411978609</v>
      </c>
      <c r="S38" s="116">
        <v>37403395</v>
      </c>
      <c r="T38" s="130">
        <f t="shared" ref="T38" si="57">Q38/S38</f>
        <v>0.95171563971666207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1408630.142857143</v>
      </c>
      <c r="G39" s="190">
        <f t="shared" ref="G39" si="58">F39/F38-1</f>
        <v>-0.20857686171362477</v>
      </c>
      <c r="H39" s="190">
        <f t="shared" ref="H39" si="59">F39/F27-1</f>
        <v>0.4377805554356462</v>
      </c>
      <c r="I39" s="130">
        <f t="shared" si="0"/>
        <v>0.9114230414261294</v>
      </c>
      <c r="J39" s="130">
        <f t="shared" si="5"/>
        <v>6.7831461782461577E-3</v>
      </c>
      <c r="K39" s="136"/>
      <c r="L39" s="190"/>
      <c r="M39" s="190"/>
      <c r="N39" s="191"/>
      <c r="O39" s="192"/>
      <c r="P39" s="129" t="s">
        <v>762</v>
      </c>
      <c r="Q39" s="116">
        <v>29581233</v>
      </c>
      <c r="R39" s="116">
        <v>41195311063</v>
      </c>
      <c r="S39" s="116">
        <v>32456095.199999999</v>
      </c>
      <c r="T39" s="130">
        <f t="shared" ref="T39" si="60">Q39/S39</f>
        <v>0.9114230414261294</v>
      </c>
      <c r="U39" s="85"/>
    </row>
    <row r="40" spans="1:21" s="79" customFormat="1" ht="13.2" hidden="1">
      <c r="A40" s="129" t="s">
        <v>778</v>
      </c>
      <c r="B40" s="188">
        <f>SUM(F38:F40)</f>
        <v>4856281.7047619047</v>
      </c>
      <c r="C40" s="188">
        <f>AVERAGE(F38:F40)</f>
        <v>1618760.5682539681</v>
      </c>
      <c r="D40" s="190">
        <f>C40/C37-1</f>
        <v>0.34678978964595331</v>
      </c>
      <c r="E40" s="287">
        <f>C40/C28-1</f>
        <v>0.49820875734537728</v>
      </c>
      <c r="F40" s="136">
        <f>Q40/21</f>
        <v>1667781.7619047619</v>
      </c>
      <c r="G40" s="190">
        <f t="shared" ref="G40" si="61">F40/F39-1</f>
        <v>0.18397421094651456</v>
      </c>
      <c r="H40" s="190">
        <f t="shared" ref="H40" si="62">F40/F28-1</f>
        <v>0.55251534204589792</v>
      </c>
      <c r="I40" s="130">
        <f t="shared" si="0"/>
        <v>0.91111205283122687</v>
      </c>
      <c r="J40" s="130">
        <f t="shared" si="5"/>
        <v>2.7970526665353379E-2</v>
      </c>
      <c r="K40" s="136">
        <f>R38+R39+R40</f>
        <v>139610651375</v>
      </c>
      <c r="L40" s="190">
        <f>U40/U37-1</f>
        <v>0.33555127171940891</v>
      </c>
      <c r="M40" s="190">
        <f>U40/U28-1</f>
        <v>0.55290321726770797</v>
      </c>
      <c r="N40" s="191">
        <f>AVERAGE(T38:T40)</f>
        <v>0.92475024465800615</v>
      </c>
      <c r="O40" s="192">
        <f>N40/N37-1</f>
        <v>-7.459373998496277E-2</v>
      </c>
      <c r="P40" s="129" t="s">
        <v>778</v>
      </c>
      <c r="Q40" s="116">
        <v>35023417</v>
      </c>
      <c r="R40" s="116">
        <v>50003361703</v>
      </c>
      <c r="S40" s="116">
        <v>38440296</v>
      </c>
      <c r="T40" s="130">
        <f t="shared" ref="T40" si="63">Q40/S40</f>
        <v>0.91111205283122687</v>
      </c>
      <c r="U40" s="85">
        <f>Q38+Q39+Q40</f>
        <v>100202046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1508939.2222222222</v>
      </c>
      <c r="G41" s="190">
        <f t="shared" ref="G41" si="64">F41/F40-1</f>
        <v>-9.5241801601863463E-2</v>
      </c>
      <c r="H41" s="190">
        <f t="shared" ref="H41" si="65">F41/F29-1</f>
        <v>0.61249739649671531</v>
      </c>
      <c r="I41" s="130">
        <f t="shared" si="0"/>
        <v>0.89971150129642186</v>
      </c>
      <c r="J41" s="130">
        <f t="shared" si="5"/>
        <v>-0.12037336693816481</v>
      </c>
      <c r="K41" s="193"/>
      <c r="L41" s="190"/>
      <c r="M41" s="190"/>
      <c r="N41" s="193"/>
      <c r="O41" s="193"/>
      <c r="P41" s="129" t="s">
        <v>792</v>
      </c>
      <c r="Q41" s="116">
        <v>27160906</v>
      </c>
      <c r="R41" s="116">
        <v>39616816262</v>
      </c>
      <c r="S41" s="116">
        <v>30188461.48</v>
      </c>
      <c r="T41" s="130">
        <f t="shared" ref="T41" si="66">Q41/S41</f>
        <v>0.89971150129642186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1050926.1000000001</v>
      </c>
      <c r="G42" s="190">
        <f t="shared" ref="G42" si="67">F42/F41-1</f>
        <v>-0.30353318110964334</v>
      </c>
      <c r="H42" s="190">
        <f t="shared" ref="H42" si="68">F42/F30-1</f>
        <v>0.32284197760398059</v>
      </c>
      <c r="I42" s="130">
        <f t="shared" si="0"/>
        <v>0.95785536331615284</v>
      </c>
      <c r="J42" s="130">
        <f t="shared" si="5"/>
        <v>1.7595877836773521E-3</v>
      </c>
      <c r="K42" s="193"/>
      <c r="L42" s="190"/>
      <c r="M42" s="190"/>
      <c r="N42" s="193"/>
      <c r="O42" s="193"/>
      <c r="P42" s="129" t="s">
        <v>826</v>
      </c>
      <c r="Q42" s="116">
        <v>21018522</v>
      </c>
      <c r="R42" s="116">
        <v>30373696703</v>
      </c>
      <c r="S42" s="116">
        <v>21943315.039999999</v>
      </c>
      <c r="T42" s="130">
        <f t="shared" ref="T42" si="69">Q42/S42</f>
        <v>0.95785536331615284</v>
      </c>
      <c r="U42" s="78"/>
    </row>
    <row r="43" spans="1:21" s="79" customFormat="1" ht="13.2">
      <c r="A43" s="129" t="s">
        <v>835</v>
      </c>
      <c r="B43" s="188">
        <f>SUM(F41:F43)</f>
        <v>3589026.1722222227</v>
      </c>
      <c r="C43" s="188">
        <f>AVERAGE(F41:F43)</f>
        <v>1196342.0574074076</v>
      </c>
      <c r="D43" s="190">
        <f>C43/C40-1</f>
        <v>-0.2609518165507273</v>
      </c>
      <c r="E43" s="287">
        <f>C43/C31-1</f>
        <v>0.28315371188831451</v>
      </c>
      <c r="F43" s="136">
        <f>Q43/20</f>
        <v>1029160.85</v>
      </c>
      <c r="G43" s="190">
        <f t="shared" ref="G43" si="70">F43/F42-1</f>
        <v>-2.0710542825037925E-2</v>
      </c>
      <c r="H43" s="190">
        <f t="shared" ref="H43" si="71">F43/F31-1</f>
        <v>-3.5292963576143532E-2</v>
      </c>
      <c r="I43" s="130">
        <f t="shared" si="0"/>
        <v>0.90163661330583111</v>
      </c>
      <c r="J43" s="130">
        <f t="shared" si="5"/>
        <v>-0.12295937773488874</v>
      </c>
      <c r="K43" s="136">
        <f>R41+R42+R43</f>
        <v>99916513923</v>
      </c>
      <c r="L43" s="190">
        <f>U43/U40-1</f>
        <v>-0.31376007032830444</v>
      </c>
      <c r="M43" s="190">
        <f>K43/K31-1</f>
        <v>0.31886302834827429</v>
      </c>
      <c r="N43" s="191">
        <f>AVERAGE(T41:T43)</f>
        <v>0.91973449263946849</v>
      </c>
      <c r="O43" s="192">
        <f>N43/N40-1</f>
        <v>-5.4238990987156566E-3</v>
      </c>
      <c r="P43" s="129" t="s">
        <v>835</v>
      </c>
      <c r="Q43" s="116">
        <v>20583217</v>
      </c>
      <c r="R43" s="116">
        <v>29926000958</v>
      </c>
      <c r="S43" s="116">
        <v>22828728</v>
      </c>
      <c r="T43" s="130">
        <f t="shared" ref="T43" si="72">Q43/S43</f>
        <v>0.90163661330583111</v>
      </c>
      <c r="U43" s="85">
        <f>Q41+Q42+Q43</f>
        <v>68762645</v>
      </c>
    </row>
    <row r="44" spans="1:21" s="79" customFormat="1" ht="13.2">
      <c r="A44" s="129" t="s">
        <v>843</v>
      </c>
      <c r="B44" s="188"/>
      <c r="C44" s="188"/>
      <c r="D44" s="190"/>
      <c r="E44" s="287"/>
      <c r="F44" s="136">
        <f>Q44/22</f>
        <v>1421995.5454545454</v>
      </c>
      <c r="G44" s="190">
        <f t="shared" ref="G44" si="73">F44/F43-1</f>
        <v>0.38170388569925251</v>
      </c>
      <c r="H44" s="190">
        <f t="shared" ref="H44" si="74">F44/F32-1</f>
        <v>0.48122970995125169</v>
      </c>
      <c r="I44" s="130">
        <f t="shared" si="0"/>
        <v>0.89013165486763179</v>
      </c>
      <c r="J44" s="130">
        <f t="shared" si="5"/>
        <v>-7.3071018036257263E-2</v>
      </c>
      <c r="K44" s="136"/>
      <c r="L44" s="190"/>
      <c r="M44" s="190"/>
      <c r="N44" s="191"/>
      <c r="O44" s="192"/>
      <c r="P44" s="129" t="s">
        <v>843</v>
      </c>
      <c r="Q44" s="116">
        <v>31283902</v>
      </c>
      <c r="R44" s="116">
        <v>45302831693</v>
      </c>
      <c r="S44" s="116">
        <v>35145252.759999998</v>
      </c>
      <c r="T44" s="130">
        <f t="shared" ref="T44" si="75">Q44/S44</f>
        <v>0.89013165486763179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1633007.8</v>
      </c>
      <c r="G45" s="190">
        <f t="shared" ref="G45" si="76">F45/F44-1</f>
        <v>0.148391642449206</v>
      </c>
      <c r="H45" s="190">
        <f t="shared" ref="H45" si="77">F45/F33-1</f>
        <v>0.95942416642449913</v>
      </c>
      <c r="I45" s="130">
        <f t="shared" si="0"/>
        <v>0.90169201729224668</v>
      </c>
      <c r="J45" s="130">
        <f t="shared" si="5"/>
        <v>-0.14161298176137671</v>
      </c>
      <c r="K45" s="136"/>
      <c r="L45" s="190"/>
      <c r="M45" s="190"/>
      <c r="N45" s="191"/>
      <c r="O45" s="192"/>
      <c r="P45" s="129" t="s">
        <v>849</v>
      </c>
      <c r="Q45" s="116">
        <v>32660156</v>
      </c>
      <c r="R45" s="116">
        <v>45717765765</v>
      </c>
      <c r="S45" s="116">
        <v>36220966.109999999</v>
      </c>
      <c r="T45" s="130">
        <f t="shared" ref="T45" si="78">Q45/S45</f>
        <v>0.90169201729224668</v>
      </c>
      <c r="U45" s="85"/>
    </row>
    <row r="46" spans="1:21" s="79" customFormat="1" ht="13.2">
      <c r="A46" s="129" t="s">
        <v>889</v>
      </c>
      <c r="B46" s="188">
        <f>SUM(F44:F46)</f>
        <v>4291916.6612440199</v>
      </c>
      <c r="C46" s="188">
        <f>AVERAGE(F44:F46)</f>
        <v>1430638.88708134</v>
      </c>
      <c r="D46" s="190">
        <f>C46/C43-1</f>
        <v>0.19584434754528068</v>
      </c>
      <c r="E46" s="287">
        <f>C46/C34-1</f>
        <v>0.4769009563172284</v>
      </c>
      <c r="F46" s="136">
        <f>Q46/19</f>
        <v>1236913.3157894737</v>
      </c>
      <c r="G46" s="190">
        <f t="shared" ref="G46" si="79">F46/F45-1</f>
        <v>-0.24255516979804159</v>
      </c>
      <c r="H46" s="190">
        <f t="shared" ref="H46" si="80">F46/F34-1</f>
        <v>0.11172574179059103</v>
      </c>
      <c r="I46" s="130">
        <f t="shared" si="0"/>
        <v>0.95831673987892441</v>
      </c>
      <c r="J46" s="130">
        <f t="shared" si="5"/>
        <v>-2.4432459570163934E-2</v>
      </c>
      <c r="K46" s="136">
        <f>R44+R45+R46</f>
        <v>123185857958</v>
      </c>
      <c r="L46" s="190">
        <f>U46/U43-1</f>
        <v>0.27169935071578477</v>
      </c>
      <c r="M46" s="190">
        <f>K46/K34-1</f>
        <v>0.52924871801637097</v>
      </c>
      <c r="N46" s="191">
        <f>AVERAGE(T44:T46)</f>
        <v>0.91671347067960085</v>
      </c>
      <c r="O46" s="192">
        <f>N46/N43-1</f>
        <v>-3.2846674600599535E-3</v>
      </c>
      <c r="P46" s="129" t="s">
        <v>888</v>
      </c>
      <c r="Q46" s="116">
        <v>23501353</v>
      </c>
      <c r="R46" s="116">
        <v>32165260500</v>
      </c>
      <c r="S46" s="116">
        <v>24523575.579999998</v>
      </c>
      <c r="T46" s="130">
        <f t="shared" ref="T46" si="81">Q46/S46</f>
        <v>0.95831673987892441</v>
      </c>
      <c r="U46" s="85">
        <f t="shared" ref="U46:U51" si="82">Q44+Q45+Q46</f>
        <v>87445411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1339594.1739130435</v>
      </c>
      <c r="G47" s="190">
        <f t="shared" ref="G47" si="83">F47/F46-1</f>
        <v>8.3013786667849532E-2</v>
      </c>
      <c r="H47" s="190">
        <f t="shared" ref="H47" si="84">F47/F35-1</f>
        <v>6.987556654259941E-2</v>
      </c>
      <c r="I47" s="130">
        <f t="shared" si="0"/>
        <v>0.91741021142141199</v>
      </c>
      <c r="J47" s="130">
        <f t="shared" si="5"/>
        <v>-8.9551384414800483E-2</v>
      </c>
      <c r="K47" s="136"/>
      <c r="L47" s="190"/>
      <c r="M47" s="190"/>
      <c r="N47" s="191"/>
      <c r="O47" s="192"/>
      <c r="P47" s="129" t="s">
        <v>991</v>
      </c>
      <c r="Q47" s="116">
        <v>30810666</v>
      </c>
      <c r="R47" s="116">
        <v>42490045433</v>
      </c>
      <c r="S47" s="116">
        <v>33584394</v>
      </c>
      <c r="T47" s="130">
        <f t="shared" ref="T47" si="85">Q47/S47</f>
        <v>0.91741021142141199</v>
      </c>
      <c r="U47" s="85">
        <f t="shared" si="82"/>
        <v>86972175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1431039.45</v>
      </c>
      <c r="G48" s="190">
        <f t="shared" ref="G48" si="86">F48/F47-1</f>
        <v>6.8263417285429728E-2</v>
      </c>
      <c r="H48" s="190">
        <f t="shared" ref="H48" si="87">F48/F36-1</f>
        <v>0.1117877046795015</v>
      </c>
      <c r="I48" s="130">
        <f t="shared" si="0"/>
        <v>0.88259521417612363</v>
      </c>
      <c r="J48" s="130">
        <f t="shared" si="5"/>
        <v>-0.11354659131179956</v>
      </c>
      <c r="K48" s="136"/>
      <c r="L48" s="190"/>
      <c r="M48" s="190"/>
      <c r="N48" s="191"/>
      <c r="O48" s="192"/>
      <c r="P48" s="129" t="s">
        <v>1119</v>
      </c>
      <c r="Q48" s="116">
        <v>28620789</v>
      </c>
      <c r="R48" s="116">
        <v>39753495227</v>
      </c>
      <c r="S48" s="116">
        <v>32427990.25</v>
      </c>
      <c r="T48" s="130">
        <f t="shared" ref="T48" si="88">Q48/S48</f>
        <v>0.88259521417612363</v>
      </c>
      <c r="U48" s="85">
        <f t="shared" si="82"/>
        <v>82932808</v>
      </c>
    </row>
    <row r="49" spans="1:26" ht="13.2">
      <c r="A49" s="129" t="s">
        <v>1158</v>
      </c>
      <c r="B49" s="188">
        <f>SUM(F47:F49)</f>
        <v>4428958.714822134</v>
      </c>
      <c r="C49" s="188">
        <f>AVERAGE(F47:F49)</f>
        <v>1476319.5716073781</v>
      </c>
      <c r="D49" s="190">
        <f>C49/C46-1</f>
        <v>3.1930269013749291E-2</v>
      </c>
      <c r="E49" s="287">
        <f>C49/C37-1</f>
        <v>0.22828055259581825</v>
      </c>
      <c r="F49" s="136">
        <f>Q49/22</f>
        <v>1658325.0909090908</v>
      </c>
      <c r="G49" s="190">
        <f t="shared" ref="G49" si="89">F49/F48-1</f>
        <v>0.15882555921787533</v>
      </c>
      <c r="H49" s="190">
        <f t="shared" ref="H49" si="90">F49/F37-1</f>
        <v>0.55482707639664608</v>
      </c>
      <c r="I49" s="130">
        <f t="shared" si="0"/>
        <v>0.87865468188504203</v>
      </c>
      <c r="J49" s="130">
        <f t="shared" si="5"/>
        <v>-0.11655650210685931</v>
      </c>
      <c r="K49" s="136">
        <f>R47+R48+R49</f>
        <v>132925583965</v>
      </c>
      <c r="L49" s="190">
        <f>U49/U46-1</f>
        <v>9.6851234423267707E-2</v>
      </c>
      <c r="M49" s="190">
        <f>K49/K37-1</f>
        <v>0.29870328574802607</v>
      </c>
      <c r="N49" s="191">
        <f>AVERAGE(T47:T49)</f>
        <v>0.89288670249419244</v>
      </c>
      <c r="O49" s="192">
        <f>N49/N46-1</f>
        <v>-2.5991510921885452E-2</v>
      </c>
      <c r="P49" s="129" t="s">
        <v>1158</v>
      </c>
      <c r="Q49" s="116">
        <v>36483152</v>
      </c>
      <c r="R49" s="116">
        <v>50682043305</v>
      </c>
      <c r="S49" s="116">
        <v>41521604.280000001</v>
      </c>
      <c r="T49" s="130">
        <f t="shared" ref="T49" si="91">Q49/S49</f>
        <v>0.87865468188504203</v>
      </c>
      <c r="U49" s="85">
        <f t="shared" si="82"/>
        <v>95914607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1281754.5555555555</v>
      </c>
      <c r="G50" s="190">
        <f t="shared" ref="G50" si="92">F50/F49-1</f>
        <v>-0.22707883841225607</v>
      </c>
      <c r="H50" s="190">
        <f t="shared" ref="H50" si="93">F50/F38-1</f>
        <v>-0.27986049566347182</v>
      </c>
      <c r="I50" s="130">
        <f t="shared" ref="I50" si="94">T50</f>
        <v>0.94708937152059858</v>
      </c>
      <c r="J50" s="130">
        <f t="shared" ref="J50" si="95">I50/I38-1</f>
        <v>-4.860977379168463E-3</v>
      </c>
      <c r="K50" s="136"/>
      <c r="L50" s="190"/>
      <c r="M50" s="190"/>
      <c r="N50" s="191"/>
      <c r="O50" s="192"/>
      <c r="P50" s="129" t="s">
        <v>1334</v>
      </c>
      <c r="Q50" s="116">
        <v>23071582</v>
      </c>
      <c r="R50" s="116">
        <v>32646306846</v>
      </c>
      <c r="S50" s="116">
        <v>24360512</v>
      </c>
      <c r="T50" s="130">
        <f t="shared" ref="T50" si="96">Q50/S50</f>
        <v>0.94708937152059858</v>
      </c>
      <c r="U50" s="85">
        <f t="shared" si="82"/>
        <v>88175523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1805133.6</v>
      </c>
      <c r="G51" s="190">
        <f t="shared" ref="G51:G52" si="97">F51/F50-1</f>
        <v>0.40833016132140409</v>
      </c>
      <c r="H51" s="190">
        <f t="shared" ref="H51:H52" si="98">F51/F39-1</f>
        <v>0.28148159341431089</v>
      </c>
      <c r="I51" s="130">
        <f t="shared" ref="I51:I52" si="99">T51</f>
        <v>0.85635580681900525</v>
      </c>
      <c r="J51" s="130">
        <f t="shared" ref="J51:J52" si="100">I51/I39-1</f>
        <v>-6.0418962549990907E-2</v>
      </c>
      <c r="K51" s="136"/>
      <c r="L51" s="190"/>
      <c r="M51" s="190"/>
      <c r="N51" s="191"/>
      <c r="O51" s="192"/>
      <c r="P51" s="129" t="s">
        <v>1402</v>
      </c>
      <c r="Q51" s="116">
        <v>36102672</v>
      </c>
      <c r="R51" s="116">
        <v>52410536821</v>
      </c>
      <c r="S51" s="116">
        <v>42158495</v>
      </c>
      <c r="T51" s="130">
        <f t="shared" ref="T51:T52" si="101">Q51/S51</f>
        <v>0.85635580681900525</v>
      </c>
      <c r="U51" s="85">
        <f t="shared" si="82"/>
        <v>95657406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4944954.1555555556</v>
      </c>
      <c r="C52" s="188">
        <f>AVERAGE(F50:F52)</f>
        <v>1648318.0518518519</v>
      </c>
      <c r="D52" s="190">
        <f>C52/C49-1</f>
        <v>0.11650491096396309</v>
      </c>
      <c r="E52" s="287">
        <f>C52/C40-1</f>
        <v>1.8259330118082229E-2</v>
      </c>
      <c r="F52" s="136">
        <f>Q52/22</f>
        <v>1858066</v>
      </c>
      <c r="G52" s="190">
        <f t="shared" si="97"/>
        <v>2.9323258954351061E-2</v>
      </c>
      <c r="H52" s="190">
        <f t="shared" si="98"/>
        <v>0.11409420731278153</v>
      </c>
      <c r="I52" s="130">
        <f t="shared" si="99"/>
        <v>0.9164610292579588</v>
      </c>
      <c r="J52" s="130">
        <f t="shared" si="100"/>
        <v>5.8708217173839561E-3</v>
      </c>
      <c r="K52" s="136">
        <f>R50+R51+R52</f>
        <v>145246524770</v>
      </c>
      <c r="L52" s="190">
        <f>U52/U49-1</f>
        <v>4.3133148635014384E-2</v>
      </c>
      <c r="M52" s="190">
        <f>K52/K40-1</f>
        <v>4.0368505837436564E-2</v>
      </c>
      <c r="N52" s="191">
        <f>AVERAGE(T50:T52)</f>
        <v>0.90663540253252084</v>
      </c>
      <c r="O52" s="192">
        <f>N52/N49-1</f>
        <v>1.5398034263387261E-2</v>
      </c>
      <c r="P52" s="129" t="s">
        <v>1403</v>
      </c>
      <c r="Q52" s="116">
        <v>40877452</v>
      </c>
      <c r="R52" s="116">
        <v>60189681103</v>
      </c>
      <c r="S52" s="116">
        <v>44603590</v>
      </c>
      <c r="T52" s="130">
        <f t="shared" si="101"/>
        <v>0.9164610292579588</v>
      </c>
      <c r="U52" s="85">
        <f t="shared" ref="U52" si="102">Q50+Q51+Q52</f>
        <v>100051706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1634328.9047619049</v>
      </c>
      <c r="G53" s="190">
        <f t="shared" ref="G53" si="103">F53/F52-1</f>
        <v>-0.12041396550934957</v>
      </c>
      <c r="H53" s="190">
        <f t="shared" ref="H53" si="104">F53/F41-1</f>
        <v>8.3097901289238552E-2</v>
      </c>
      <c r="I53" s="130">
        <f t="shared" ref="I53" si="105">T53</f>
        <v>0.89552726740624689</v>
      </c>
      <c r="J53" s="130">
        <f t="shared" ref="J53" si="106">I53/I41-1</f>
        <v>-4.6506395485060859E-3</v>
      </c>
      <c r="K53" s="136"/>
      <c r="L53" s="190"/>
      <c r="M53" s="190"/>
      <c r="N53" s="191"/>
      <c r="O53" s="192"/>
      <c r="P53" s="129" t="s">
        <v>1414</v>
      </c>
      <c r="Q53" s="116">
        <v>34320907</v>
      </c>
      <c r="R53" s="116">
        <v>50153340540</v>
      </c>
      <c r="S53" s="116">
        <v>38324804</v>
      </c>
      <c r="T53" s="130">
        <f t="shared" ref="T53" si="107">Q53/S53</f>
        <v>0.89552726740624689</v>
      </c>
      <c r="U53" s="85">
        <f t="shared" ref="U53" si="108">Q51+Q52+Q53</f>
        <v>111301031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1793862.9411764706</v>
      </c>
      <c r="G54" s="190">
        <f t="shared" ref="G54" si="109">F54/F53-1</f>
        <v>9.7614400595703366E-2</v>
      </c>
      <c r="H54" s="190">
        <f t="shared" ref="H54" si="110">F54/F42-1</f>
        <v>0.70693537935395301</v>
      </c>
      <c r="I54" s="130">
        <f t="shared" ref="I54" si="111">T54</f>
        <v>0.91234511191516587</v>
      </c>
      <c r="J54" s="130">
        <f t="shared" ref="J54" si="112">I54/I42-1</f>
        <v>-4.7512654983136171E-2</v>
      </c>
      <c r="K54" s="136"/>
      <c r="L54" s="190"/>
      <c r="M54" s="190"/>
      <c r="N54" s="191"/>
      <c r="O54" s="192"/>
      <c r="P54" s="129" t="s">
        <v>1417</v>
      </c>
      <c r="Q54" s="116">
        <v>30495670</v>
      </c>
      <c r="R54" s="116">
        <v>44191323239</v>
      </c>
      <c r="S54" s="116">
        <v>33425586</v>
      </c>
      <c r="T54" s="130">
        <f t="shared" ref="T54" si="113">Q54/S54</f>
        <v>0.91234511191516587</v>
      </c>
      <c r="U54" s="85">
        <f t="shared" ref="U54" si="114">Q52+Q53+Q54</f>
        <v>105694029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4617224.4173669461</v>
      </c>
      <c r="C55" s="188">
        <f>AVERAGE(F53:F55)</f>
        <v>1539074.805788982</v>
      </c>
      <c r="D55" s="190">
        <f>C55/C52-1</f>
        <v>-6.6275586765635053E-2</v>
      </c>
      <c r="E55" s="287">
        <f>C55/C43-1</f>
        <v>0.2864839083934827</v>
      </c>
      <c r="F55" s="136">
        <f>Q55/21</f>
        <v>1189032.5714285714</v>
      </c>
      <c r="G55" s="190">
        <f t="shared" ref="G55" si="115">F55/F54-1</f>
        <v>-0.3371664333236255</v>
      </c>
      <c r="H55" s="190">
        <f t="shared" ref="H55" si="116">F55/F43-1</f>
        <v>0.155341821862512</v>
      </c>
      <c r="I55" s="130">
        <f>T55</f>
        <v>0.96991334994442646</v>
      </c>
      <c r="J55" s="130">
        <f t="shared" ref="J55" si="117">I55/I43-1</f>
        <v>7.5725337271143056E-2</v>
      </c>
      <c r="K55" s="136">
        <f>R53+R54+R55</f>
        <v>131282566361</v>
      </c>
      <c r="L55" s="190">
        <f>U55/U52-1</f>
        <v>-0.1026013989206741</v>
      </c>
      <c r="M55" s="190">
        <f>K55/K43-1</f>
        <v>0.31392260604860622</v>
      </c>
      <c r="N55" s="191">
        <f>AVERAGE(T53:T55)</f>
        <v>0.92592857642194637</v>
      </c>
      <c r="O55" s="192">
        <f>N55/N52-1</f>
        <v>2.1279969694028678E-2</v>
      </c>
      <c r="P55" s="129" t="s">
        <v>1418</v>
      </c>
      <c r="Q55" s="116">
        <v>24969684</v>
      </c>
      <c r="R55" s="116">
        <v>36937902582</v>
      </c>
      <c r="S55" s="116">
        <v>25744242</v>
      </c>
      <c r="T55" s="130">
        <f t="shared" ref="T55" si="118">Q55/S55</f>
        <v>0.96991334994442646</v>
      </c>
      <c r="U55" s="85">
        <f t="shared" ref="U55" si="119">Q53+Q54+Q55</f>
        <v>89786261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87"/>
      <c r="F56" s="290">
        <f>Q56/22</f>
        <v>1266255.7727272727</v>
      </c>
      <c r="G56" s="190">
        <f t="shared" ref="G56" si="120">F56/F55-1</f>
        <v>6.4946245506059652E-2</v>
      </c>
      <c r="H56" s="190">
        <f t="shared" ref="H56" si="121">F56/F44-1</f>
        <v>-0.10952198354284581</v>
      </c>
      <c r="I56" s="291">
        <f>T56</f>
        <v>0.96646788898841185</v>
      </c>
      <c r="J56" s="130">
        <f t="shared" ref="J56" si="122">I56/I44-1</f>
        <v>8.575836361210154E-2</v>
      </c>
      <c r="K56" s="136"/>
      <c r="L56" s="190"/>
      <c r="M56" s="190"/>
      <c r="N56" s="191"/>
      <c r="O56" s="192"/>
      <c r="P56" s="129" t="s">
        <v>1420</v>
      </c>
      <c r="Q56" s="116">
        <v>27857627</v>
      </c>
      <c r="R56" s="116">
        <v>41353309296</v>
      </c>
      <c r="S56" s="116">
        <v>28824162</v>
      </c>
      <c r="T56" s="130">
        <f t="shared" ref="T56" si="123">Q56/S56</f>
        <v>0.96646788898841185</v>
      </c>
      <c r="U56" s="85">
        <f t="shared" ref="U56" si="124">Q54+Q55+Q56</f>
        <v>83322981</v>
      </c>
      <c r="V56" s="79"/>
      <c r="W56" s="79"/>
      <c r="X56" s="79"/>
      <c r="Y56" s="79"/>
      <c r="Z56" s="79"/>
    </row>
    <row r="57" spans="1:26" ht="13.2">
      <c r="A57" s="276" t="s">
        <v>1436</v>
      </c>
      <c r="B57" s="253"/>
      <c r="C57" s="253"/>
      <c r="D57" s="254"/>
      <c r="E57" s="289"/>
      <c r="F57" s="283">
        <f>Q57/12</f>
        <v>1211236.5833333333</v>
      </c>
      <c r="G57" s="254">
        <f t="shared" ref="G57" si="125">F57/F56-1</f>
        <v>-4.3450296992872617E-2</v>
      </c>
      <c r="H57" s="254">
        <f t="shared" ref="H57" si="126">F57/F45-1</f>
        <v>-0.25827875204678552</v>
      </c>
      <c r="I57" s="282">
        <f>T57</f>
        <v>0.84978592950815102</v>
      </c>
      <c r="J57" s="277">
        <f t="shared" ref="J57" si="127">I57/I45-1</f>
        <v>-5.7565207175691802E-2</v>
      </c>
      <c r="K57" s="204"/>
      <c r="L57" s="254"/>
      <c r="M57" s="254"/>
      <c r="N57" s="257"/>
      <c r="O57" s="258"/>
      <c r="P57" s="129" t="s">
        <v>1436</v>
      </c>
      <c r="Q57" s="116">
        <v>14534839</v>
      </c>
      <c r="R57" s="116">
        <v>21394983860</v>
      </c>
      <c r="S57" s="116">
        <v>17104118.219999999</v>
      </c>
      <c r="T57" s="130">
        <f t="shared" ref="T57" si="128">Q57/S57</f>
        <v>0.84978592950815102</v>
      </c>
      <c r="U57" s="85">
        <f t="shared" ref="U57" si="129">Q55+Q56+Q57</f>
        <v>67362150</v>
      </c>
      <c r="V57" s="79"/>
      <c r="W57" s="79"/>
      <c r="X57" s="79"/>
      <c r="Y57" s="79"/>
      <c r="Z57" s="79"/>
    </row>
    <row r="58" spans="1:26">
      <c r="B58" s="196">
        <f>SUM(F56:F58)</f>
        <v>2477492.356060606</v>
      </c>
      <c r="C58" s="196">
        <f>AVERAGE(F56:F58)</f>
        <v>1238746.178030303</v>
      </c>
      <c r="D58" s="197">
        <f>C58/C55-1</f>
        <v>-0.19513582226740456</v>
      </c>
      <c r="E58" s="233">
        <f>C58/C46-1</f>
        <v>-0.13413077946071994</v>
      </c>
    </row>
    <row r="63" spans="1:26">
      <c r="P63" s="266"/>
      <c r="Q63" s="266"/>
      <c r="R63" s="266"/>
      <c r="S63" s="266"/>
      <c r="T63" s="266"/>
      <c r="U63" s="266"/>
    </row>
    <row r="64" spans="1:26">
      <c r="P64" s="266"/>
      <c r="Q64" s="266"/>
      <c r="R64" s="266"/>
      <c r="S64" s="266"/>
      <c r="T64" s="266"/>
      <c r="U64" s="266"/>
    </row>
    <row r="65" spans="16:21">
      <c r="P65" s="266" t="s">
        <v>971</v>
      </c>
      <c r="Q65" s="266" t="s">
        <v>9</v>
      </c>
      <c r="R65" s="266" t="s">
        <v>10</v>
      </c>
      <c r="S65" s="266" t="s">
        <v>972</v>
      </c>
      <c r="T65" s="266" t="s">
        <v>973</v>
      </c>
      <c r="U65" s="266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132178727</v>
      </c>
      <c r="R67" s="212">
        <v>194030859517</v>
      </c>
      <c r="S67" s="213">
        <v>143422912.22</v>
      </c>
      <c r="T67" s="214">
        <v>25</v>
      </c>
      <c r="U67" s="214">
        <v>54</v>
      </c>
    </row>
    <row r="68" spans="16:21" ht="18" thickBot="1">
      <c r="P68" s="180" t="s">
        <v>976</v>
      </c>
      <c r="Q68" s="181">
        <v>34320907</v>
      </c>
      <c r="R68" s="181">
        <v>50153340540</v>
      </c>
      <c r="S68" s="182">
        <v>38324804</v>
      </c>
      <c r="T68" s="210">
        <v>11</v>
      </c>
      <c r="U68" s="210">
        <v>29</v>
      </c>
    </row>
    <row r="69" spans="16:21" ht="18" thickBot="1">
      <c r="P69" s="180" t="s">
        <v>977</v>
      </c>
      <c r="Q69" s="181">
        <v>30495670</v>
      </c>
      <c r="R69" s="181">
        <v>44191323239</v>
      </c>
      <c r="S69" s="182">
        <v>33425586</v>
      </c>
      <c r="T69" s="210">
        <v>17</v>
      </c>
      <c r="U69" s="210">
        <v>38</v>
      </c>
    </row>
    <row r="70" spans="16:21" ht="18" thickBot="1">
      <c r="P70" s="180" t="s">
        <v>978</v>
      </c>
      <c r="Q70" s="181">
        <v>24969684</v>
      </c>
      <c r="R70" s="181">
        <v>36937902582</v>
      </c>
      <c r="S70" s="182">
        <v>25744242</v>
      </c>
      <c r="T70" s="210">
        <v>11</v>
      </c>
      <c r="U70" s="210">
        <v>36</v>
      </c>
    </row>
    <row r="71" spans="16:21" ht="18" thickBot="1">
      <c r="P71" s="180" t="s">
        <v>979</v>
      </c>
      <c r="Q71" s="181">
        <v>27857627</v>
      </c>
      <c r="R71" s="181">
        <v>41353309296</v>
      </c>
      <c r="S71" s="182">
        <v>28824162</v>
      </c>
      <c r="T71" s="210">
        <v>12</v>
      </c>
      <c r="U71" s="210">
        <v>35</v>
      </c>
    </row>
    <row r="72" spans="16:21" ht="18" thickBot="1">
      <c r="P72" s="180" t="s">
        <v>980</v>
      </c>
      <c r="Q72" s="181">
        <v>14534839</v>
      </c>
      <c r="R72" s="181">
        <v>21394983860</v>
      </c>
      <c r="S72" s="182">
        <v>17104118.219999999</v>
      </c>
      <c r="T72" s="210">
        <v>8</v>
      </c>
      <c r="U72" s="210">
        <v>22</v>
      </c>
    </row>
    <row r="73" spans="16:21" ht="18" thickBot="1">
      <c r="P73" s="215" t="s">
        <v>975</v>
      </c>
      <c r="Q73" s="216">
        <v>351924765</v>
      </c>
      <c r="R73" s="217"/>
      <c r="S73"/>
      <c r="T73"/>
      <c r="U73"/>
    </row>
  </sheetData>
  <phoneticPr fontId="1" type="noConversion"/>
  <conditionalFormatting sqref="C29:C30">
    <cfRule type="cellIs" dxfId="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38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8528725000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45806.85</v>
      </c>
      <c r="G5" s="90"/>
      <c r="H5" s="90"/>
      <c r="I5" s="130">
        <f t="shared" ref="I5:I49" si="0">T5</f>
        <v>83.602872734573197</v>
      </c>
      <c r="J5" s="130"/>
      <c r="L5" s="80"/>
      <c r="M5" s="80"/>
      <c r="P5" s="129" t="s">
        <v>0</v>
      </c>
      <c r="Q5" s="116">
        <v>916137</v>
      </c>
      <c r="R5" s="116">
        <v>1080361598</v>
      </c>
      <c r="S5" s="116">
        <v>10958.2</v>
      </c>
      <c r="T5" s="130">
        <f t="shared" ref="T5:T17" si="1">Q5/S5</f>
        <v>83.602872734573197</v>
      </c>
      <c r="U5" s="85"/>
    </row>
    <row r="6" spans="1:21" ht="15" hidden="1" customHeight="1">
      <c r="A6" s="129" t="s">
        <v>1</v>
      </c>
      <c r="C6" s="79"/>
      <c r="F6" s="78">
        <f>Q6/18</f>
        <v>34010.388888888891</v>
      </c>
      <c r="G6" s="90">
        <f t="shared" ref="G6:G16" si="2">F6/F5-1</f>
        <v>-0.25752613661736423</v>
      </c>
      <c r="H6" s="90"/>
      <c r="I6" s="130">
        <f t="shared" si="0"/>
        <v>64.15507791622565</v>
      </c>
      <c r="J6" s="130"/>
      <c r="P6" s="129" t="s">
        <v>1</v>
      </c>
      <c r="Q6" s="116">
        <v>612187</v>
      </c>
      <c r="R6" s="116">
        <v>727723990</v>
      </c>
      <c r="S6" s="116">
        <v>9542.2999999999993</v>
      </c>
      <c r="T6" s="130">
        <f t="shared" si="1"/>
        <v>64.15507791622565</v>
      </c>
      <c r="U6" s="85"/>
    </row>
    <row r="7" spans="1:21" ht="15" hidden="1" customHeight="1">
      <c r="A7" s="129" t="s">
        <v>2</v>
      </c>
      <c r="B7" s="131">
        <f>F5+F6+F7</f>
        <v>89752.329797979794</v>
      </c>
      <c r="C7" s="131">
        <f>AVERAGE(F5:F7)</f>
        <v>29917.443265993265</v>
      </c>
      <c r="F7" s="78">
        <f>Q7/22</f>
        <v>9935.0909090909099</v>
      </c>
      <c r="G7" s="90">
        <f t="shared" si="2"/>
        <v>-0.70788070252449597</v>
      </c>
      <c r="H7" s="90"/>
      <c r="I7" s="130">
        <f t="shared" si="0"/>
        <v>60.778599632945891</v>
      </c>
      <c r="J7" s="130"/>
      <c r="K7" s="79">
        <f>R5+R6+R7</f>
        <v>2069234445</v>
      </c>
      <c r="N7" s="88">
        <f>AVERAGE(T5:T7)</f>
        <v>69.512183427914906</v>
      </c>
      <c r="P7" s="129" t="s">
        <v>2</v>
      </c>
      <c r="Q7" s="116">
        <v>218572</v>
      </c>
      <c r="R7" s="116">
        <v>261148857</v>
      </c>
      <c r="S7" s="116">
        <v>3596.2</v>
      </c>
      <c r="T7" s="130">
        <f t="shared" si="1"/>
        <v>60.778599632945891</v>
      </c>
      <c r="U7" s="85">
        <f>Q5+Q6+Q7</f>
        <v>1746896</v>
      </c>
    </row>
    <row r="8" spans="1:21" ht="15" hidden="1" customHeight="1">
      <c r="A8" s="129" t="s">
        <v>3</v>
      </c>
      <c r="C8" s="79"/>
      <c r="F8" s="78">
        <f>Q8/21</f>
        <v>152449.90476190476</v>
      </c>
      <c r="G8" s="90">
        <f t="shared" si="2"/>
        <v>14.344590820241864</v>
      </c>
      <c r="H8" s="90"/>
      <c r="I8" s="130">
        <f t="shared" si="0"/>
        <v>114.44697067192884</v>
      </c>
      <c r="J8" s="130"/>
      <c r="K8" s="78"/>
      <c r="P8" s="129" t="s">
        <v>3</v>
      </c>
      <c r="Q8" s="116">
        <v>3201448</v>
      </c>
      <c r="R8" s="116">
        <v>3876264662</v>
      </c>
      <c r="S8" s="116">
        <v>27973.200000000001</v>
      </c>
      <c r="T8" s="130">
        <f t="shared" si="1"/>
        <v>114.44697067192884</v>
      </c>
      <c r="U8" s="85"/>
    </row>
    <row r="9" spans="1:21" ht="15" hidden="1" customHeight="1">
      <c r="A9" s="129" t="s">
        <v>4</v>
      </c>
      <c r="C9" s="79"/>
      <c r="F9" s="78">
        <f>Q9/21</f>
        <v>95788.761904761908</v>
      </c>
      <c r="G9" s="90">
        <f t="shared" si="2"/>
        <v>-0.37167056906749696</v>
      </c>
      <c r="H9" s="90"/>
      <c r="I9" s="130">
        <f t="shared" si="0"/>
        <v>110.41326124543733</v>
      </c>
      <c r="J9" s="130"/>
      <c r="K9" s="78"/>
      <c r="P9" s="129" t="s">
        <v>4</v>
      </c>
      <c r="Q9" s="116">
        <v>2011564</v>
      </c>
      <c r="R9" s="116">
        <v>2532524702</v>
      </c>
      <c r="S9" s="116">
        <v>18218.5</v>
      </c>
      <c r="T9" s="130">
        <f t="shared" si="1"/>
        <v>110.41326124543733</v>
      </c>
      <c r="U9" s="85"/>
    </row>
    <row r="10" spans="1:21" ht="15" hidden="1" customHeight="1">
      <c r="A10" s="129" t="s">
        <v>5</v>
      </c>
      <c r="B10" s="131">
        <f>F8+F9+F10</f>
        <v>309439.66666666669</v>
      </c>
      <c r="C10" s="131">
        <f>AVERAGE(F8:F10)</f>
        <v>103146.55555555556</v>
      </c>
      <c r="D10" s="90">
        <f>C10/C7-1</f>
        <v>2.4477062307259656</v>
      </c>
      <c r="E10" s="286"/>
      <c r="F10" s="78">
        <f>Q10/21</f>
        <v>61201</v>
      </c>
      <c r="G10" s="90">
        <f t="shared" si="2"/>
        <v>-0.36108371396584948</v>
      </c>
      <c r="H10" s="90"/>
      <c r="I10" s="130">
        <f t="shared" si="0"/>
        <v>100.42515119786214</v>
      </c>
      <c r="J10" s="130"/>
      <c r="K10" s="79">
        <f>R8+R9+R10</f>
        <v>8032260764</v>
      </c>
      <c r="L10" s="87">
        <f>U10/U7-1</f>
        <v>2.7198739936435827</v>
      </c>
      <c r="N10" s="88">
        <f>AVERAGE(T8:T10)</f>
        <v>108.42846103840942</v>
      </c>
      <c r="O10" s="89">
        <f>N10/N7-1</f>
        <v>0.55984829840442618</v>
      </c>
      <c r="P10" s="129" t="s">
        <v>5</v>
      </c>
      <c r="Q10" s="116">
        <v>1285221</v>
      </c>
      <c r="R10" s="116">
        <v>1623471400</v>
      </c>
      <c r="S10" s="116">
        <v>12797.8</v>
      </c>
      <c r="T10" s="130">
        <f t="shared" si="1"/>
        <v>100.42515119786214</v>
      </c>
      <c r="U10" s="85">
        <f>Q8+Q9+Q10</f>
        <v>6498233</v>
      </c>
    </row>
    <row r="11" spans="1:21" ht="15" hidden="1" customHeight="1">
      <c r="A11" s="129" t="s">
        <v>6</v>
      </c>
      <c r="C11" s="79"/>
      <c r="F11" s="78">
        <f>Q11/21</f>
        <v>34184.190476190473</v>
      </c>
      <c r="G11" s="90">
        <f t="shared" si="2"/>
        <v>-0.44144392287396494</v>
      </c>
      <c r="H11" s="90"/>
      <c r="I11" s="130">
        <f t="shared" si="0"/>
        <v>73.847894742256372</v>
      </c>
      <c r="J11" s="130"/>
      <c r="K11" s="78"/>
      <c r="O11" s="89"/>
      <c r="P11" s="129" t="s">
        <v>6</v>
      </c>
      <c r="Q11" s="116">
        <v>717868</v>
      </c>
      <c r="R11" s="116">
        <v>924811644</v>
      </c>
      <c r="S11" s="116">
        <v>9720.9</v>
      </c>
      <c r="T11" s="130">
        <f t="shared" si="1"/>
        <v>73.847894742256372</v>
      </c>
      <c r="U11" s="85"/>
    </row>
    <row r="12" spans="1:21" ht="15" hidden="1" customHeight="1">
      <c r="A12" s="129" t="s">
        <v>7</v>
      </c>
      <c r="C12" s="79"/>
      <c r="F12" s="78">
        <f>Q12/22</f>
        <v>110216.09090909091</v>
      </c>
      <c r="G12" s="90">
        <f t="shared" si="2"/>
        <v>2.2241831493964201</v>
      </c>
      <c r="H12" s="90"/>
      <c r="I12" s="130">
        <f t="shared" si="0"/>
        <v>117.23245323521876</v>
      </c>
      <c r="J12" s="130"/>
      <c r="K12" s="78"/>
      <c r="O12" s="89"/>
      <c r="P12" s="129" t="s">
        <v>7</v>
      </c>
      <c r="Q12" s="116">
        <v>2424754</v>
      </c>
      <c r="R12" s="116">
        <v>3144407265</v>
      </c>
      <c r="S12" s="116">
        <v>20683.3</v>
      </c>
      <c r="T12" s="130">
        <f t="shared" si="1"/>
        <v>117.23245323521876</v>
      </c>
      <c r="U12" s="85"/>
    </row>
    <row r="13" spans="1:21" ht="15" hidden="1" customHeight="1">
      <c r="A13" s="129" t="s">
        <v>96</v>
      </c>
      <c r="B13" s="131">
        <f>F11+F12+F13</f>
        <v>266911.18138528138</v>
      </c>
      <c r="C13" s="131">
        <f>AVERAGE(F11:F13)</f>
        <v>88970.393795093798</v>
      </c>
      <c r="D13" s="90">
        <f>C13/C10-1</f>
        <v>-0.13743708342084549</v>
      </c>
      <c r="E13" s="286"/>
      <c r="F13" s="78">
        <f>Q13/20</f>
        <v>122510.9</v>
      </c>
      <c r="G13" s="90">
        <f t="shared" si="2"/>
        <v>0.11155185227037467</v>
      </c>
      <c r="H13" s="90"/>
      <c r="I13" s="130">
        <f t="shared" si="0"/>
        <v>100.7592873292282</v>
      </c>
      <c r="J13" s="130"/>
      <c r="K13" s="78">
        <f>R11+R12+R13</f>
        <v>7388182594</v>
      </c>
      <c r="L13" s="87">
        <f>U13/U10-1</f>
        <v>-0.13932910685104705</v>
      </c>
      <c r="N13" s="88">
        <f>AVERAGE(T11:T13)</f>
        <v>97.279878435567767</v>
      </c>
      <c r="O13" s="89">
        <f>N13/N10-1</f>
        <v>-0.10281970707757637</v>
      </c>
      <c r="P13" s="129" t="s">
        <v>96</v>
      </c>
      <c r="Q13" s="116">
        <v>2450218</v>
      </c>
      <c r="R13" s="116">
        <v>3318963685</v>
      </c>
      <c r="S13" s="116">
        <v>24317.54</v>
      </c>
      <c r="T13" s="130">
        <f t="shared" si="1"/>
        <v>100.7592873292282</v>
      </c>
      <c r="U13" s="85">
        <f>Q11+Q12+Q13</f>
        <v>5592840</v>
      </c>
    </row>
    <row r="14" spans="1:21" ht="15" hidden="1" customHeight="1">
      <c r="A14" s="129" t="s">
        <v>97</v>
      </c>
      <c r="C14" s="79"/>
      <c r="F14" s="78">
        <f>Q14/20</f>
        <v>90548</v>
      </c>
      <c r="G14" s="90">
        <f t="shared" si="2"/>
        <v>-0.26089841801831504</v>
      </c>
      <c r="H14" s="90"/>
      <c r="I14" s="130">
        <f t="shared" si="0"/>
        <v>71.982892257792685</v>
      </c>
      <c r="J14" s="130"/>
      <c r="O14" s="89"/>
      <c r="P14" s="129" t="s">
        <v>97</v>
      </c>
      <c r="Q14" s="116">
        <v>1810960</v>
      </c>
      <c r="R14" s="116">
        <v>2583663088</v>
      </c>
      <c r="S14" s="116">
        <v>25158.2</v>
      </c>
      <c r="T14" s="130">
        <f t="shared" si="1"/>
        <v>71.982892257792685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139881.81818181818</v>
      </c>
      <c r="G15" s="90">
        <f t="shared" si="2"/>
        <v>0.54483608894529056</v>
      </c>
      <c r="H15" s="90"/>
      <c r="I15" s="130">
        <f t="shared" si="0"/>
        <v>61.767645748280891</v>
      </c>
      <c r="J15" s="130"/>
      <c r="O15" s="89"/>
      <c r="P15" s="129" t="s">
        <v>98</v>
      </c>
      <c r="Q15" s="116">
        <v>3077400</v>
      </c>
      <c r="R15" s="116">
        <v>4268469916</v>
      </c>
      <c r="S15" s="116">
        <v>49822.2</v>
      </c>
      <c r="T15" s="130">
        <f t="shared" si="1"/>
        <v>61.767645748280891</v>
      </c>
      <c r="U15" s="85"/>
    </row>
    <row r="16" spans="1:21" ht="15" hidden="1" customHeight="1">
      <c r="A16" s="129" t="s">
        <v>99</v>
      </c>
      <c r="B16" s="131">
        <f>F14+F15+F16</f>
        <v>312899.04545454547</v>
      </c>
      <c r="C16" s="131">
        <f>AVERAGE(F14:F16)</f>
        <v>104299.68181818182</v>
      </c>
      <c r="D16" s="90">
        <f>C16/C13-1</f>
        <v>0.17229650639057126</v>
      </c>
      <c r="E16" s="286"/>
      <c r="F16" s="78">
        <f>Q16/22</f>
        <v>82469.227272727279</v>
      </c>
      <c r="G16" s="90">
        <f t="shared" si="2"/>
        <v>-0.4104364073568596</v>
      </c>
      <c r="H16" s="90"/>
      <c r="I16" s="130">
        <f t="shared" si="0"/>
        <v>70.199611533282777</v>
      </c>
      <c r="J16" s="130"/>
      <c r="K16" s="78">
        <f>R14+R15+R16</f>
        <v>9240118778</v>
      </c>
      <c r="L16" s="87">
        <f>U16/U13-1</f>
        <v>0.19843996967551369</v>
      </c>
      <c r="N16" s="88">
        <f>AVERAGE(T14:T16)</f>
        <v>67.983383179785449</v>
      </c>
      <c r="O16" s="89">
        <f>N16/N13-1</f>
        <v>-0.3011567831592894</v>
      </c>
      <c r="P16" s="129" t="s">
        <v>99</v>
      </c>
      <c r="Q16" s="116">
        <v>1814323</v>
      </c>
      <c r="R16" s="116">
        <v>2387985774</v>
      </c>
      <c r="S16" s="116">
        <v>25845.200000000001</v>
      </c>
      <c r="T16" s="130">
        <f t="shared" si="1"/>
        <v>70.199611533282777</v>
      </c>
      <c r="U16" s="85">
        <f>Q14+Q15+Q16</f>
        <v>6702683</v>
      </c>
    </row>
    <row r="17" spans="1:21" ht="15" hidden="1" customHeight="1">
      <c r="A17" s="129" t="s">
        <v>100</v>
      </c>
      <c r="C17" s="79"/>
      <c r="F17" s="78">
        <f>Q17/20</f>
        <v>81338.399999999994</v>
      </c>
      <c r="G17" s="90">
        <f t="shared" ref="G17:G22" si="3">F17/F16-1</f>
        <v>-1.3712111900692547E-2</v>
      </c>
      <c r="H17" s="90">
        <f t="shared" ref="H17:H22" si="4">F17/F5-1</f>
        <v>0.77568202135706765</v>
      </c>
      <c r="I17" s="130">
        <f t="shared" si="0"/>
        <v>80.704066040918377</v>
      </c>
      <c r="J17" s="130">
        <f t="shared" ref="J17:J49" si="5">I17/I5-1</f>
        <v>-3.4673529734535635E-2</v>
      </c>
      <c r="O17" s="89"/>
      <c r="P17" s="129" t="s">
        <v>100</v>
      </c>
      <c r="Q17" s="116">
        <v>1626768</v>
      </c>
      <c r="R17" s="116">
        <v>2045363507</v>
      </c>
      <c r="S17" s="116">
        <v>20157.2</v>
      </c>
      <c r="T17" s="130">
        <f t="shared" si="1"/>
        <v>80.704066040918377</v>
      </c>
      <c r="U17" s="78"/>
    </row>
    <row r="18" spans="1:21" hidden="1">
      <c r="A18" s="129" t="s">
        <v>106</v>
      </c>
      <c r="C18" s="79"/>
      <c r="F18" s="78">
        <f>Q18/20</f>
        <v>100492.2</v>
      </c>
      <c r="G18" s="90">
        <f t="shared" si="3"/>
        <v>0.23548287155882108</v>
      </c>
      <c r="H18" s="90">
        <f t="shared" si="4"/>
        <v>1.954750100867872</v>
      </c>
      <c r="I18" s="130">
        <f t="shared" si="0"/>
        <v>113.74973116758164</v>
      </c>
      <c r="J18" s="130">
        <f t="shared" si="5"/>
        <v>0.77304330167157143</v>
      </c>
      <c r="O18" s="89"/>
      <c r="P18" s="129" t="s">
        <v>106</v>
      </c>
      <c r="Q18" s="116">
        <v>2009844</v>
      </c>
      <c r="R18" s="116">
        <v>2508949154</v>
      </c>
      <c r="S18" s="116">
        <v>17669</v>
      </c>
      <c r="T18" s="130">
        <f t="shared" ref="T18" si="6">Q18/S18</f>
        <v>113.74973116758164</v>
      </c>
      <c r="U18" s="78"/>
    </row>
    <row r="19" spans="1:21" hidden="1">
      <c r="A19" s="129" t="s">
        <v>114</v>
      </c>
      <c r="B19" s="131">
        <f>SUM(F17:F19)</f>
        <v>258832.64545454545</v>
      </c>
      <c r="C19" s="131">
        <f>AVERAGE(F17:F19)</f>
        <v>86277.548484848478</v>
      </c>
      <c r="D19" s="90">
        <f>C19/C16-1</f>
        <v>-0.17279183425266864</v>
      </c>
      <c r="E19" s="286">
        <f>C19/C7-1</f>
        <v>1.88385433600601</v>
      </c>
      <c r="F19" s="78">
        <f>Q19/22</f>
        <v>77002.045454545456</v>
      </c>
      <c r="G19" s="90">
        <f t="shared" si="3"/>
        <v>-0.23375102291973449</v>
      </c>
      <c r="H19" s="90">
        <f t="shared" si="4"/>
        <v>6.7505124169610005</v>
      </c>
      <c r="I19" s="130">
        <f t="shared" si="0"/>
        <v>76.653619909502268</v>
      </c>
      <c r="J19" s="130">
        <f t="shared" si="5"/>
        <v>0.26119424225679433</v>
      </c>
      <c r="K19" s="78">
        <f>R17+R18+R19</f>
        <v>6767244555</v>
      </c>
      <c r="L19" s="87">
        <f>U19/U16-1</f>
        <v>-0.204698029132513</v>
      </c>
      <c r="M19" s="87">
        <f>U19/U7-1</f>
        <v>2.0515022073437685</v>
      </c>
      <c r="N19" s="88">
        <f>AVERAGE(T17:T19)</f>
        <v>90.369139039334087</v>
      </c>
      <c r="O19" s="89">
        <f>N19/N16-1</f>
        <v>0.32928275723419631</v>
      </c>
      <c r="P19" s="129" t="s">
        <v>115</v>
      </c>
      <c r="Q19" s="116">
        <v>1694045</v>
      </c>
      <c r="R19" s="116">
        <v>2212931894</v>
      </c>
      <c r="S19" s="116">
        <v>22100</v>
      </c>
      <c r="T19" s="130">
        <f t="shared" ref="T19" si="7">Q19/S19</f>
        <v>76.653619909502268</v>
      </c>
      <c r="U19" s="85">
        <f>Q17+Q18+Q19</f>
        <v>5330657</v>
      </c>
    </row>
    <row r="20" spans="1:21" hidden="1">
      <c r="A20" s="129" t="s">
        <v>132</v>
      </c>
      <c r="B20" s="131"/>
      <c r="C20" s="131"/>
      <c r="D20" s="90"/>
      <c r="E20" s="286"/>
      <c r="F20" s="78">
        <f>Q20/20</f>
        <v>132873.5</v>
      </c>
      <c r="G20" s="90">
        <f t="shared" si="3"/>
        <v>0.72558403112077885</v>
      </c>
      <c r="H20" s="90">
        <f t="shared" si="4"/>
        <v>-0.12841204979746668</v>
      </c>
      <c r="I20" s="130">
        <f t="shared" si="0"/>
        <v>98.770511605433839</v>
      </c>
      <c r="J20" s="130">
        <f t="shared" si="5"/>
        <v>-0.13697574496255382</v>
      </c>
      <c r="O20" s="89"/>
      <c r="P20" s="129" t="s">
        <v>132</v>
      </c>
      <c r="Q20" s="116">
        <v>2657470</v>
      </c>
      <c r="R20" s="116">
        <v>3480701499</v>
      </c>
      <c r="S20" s="116">
        <v>26905.5</v>
      </c>
      <c r="T20" s="130">
        <f t="shared" ref="T20" si="8">Q20/S20</f>
        <v>98.770511605433839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114049.14285714286</v>
      </c>
      <c r="G21" s="90">
        <f t="shared" si="3"/>
        <v>-0.14167126735471813</v>
      </c>
      <c r="H21" s="90">
        <f t="shared" si="4"/>
        <v>0.19063176712249774</v>
      </c>
      <c r="I21" s="130">
        <f t="shared" si="0"/>
        <v>98.604000098808527</v>
      </c>
      <c r="J21" s="130">
        <f t="shared" si="5"/>
        <v>-0.1069550977248831</v>
      </c>
      <c r="O21" s="89"/>
      <c r="P21" s="129" t="s">
        <v>141</v>
      </c>
      <c r="Q21" s="116">
        <v>2395032</v>
      </c>
      <c r="R21" s="116">
        <v>3189276477</v>
      </c>
      <c r="S21" s="116">
        <v>24289.4</v>
      </c>
      <c r="T21" s="130">
        <f t="shared" ref="T21" si="9">Q21/S21</f>
        <v>98.604000098808527</v>
      </c>
      <c r="U21" s="78"/>
    </row>
    <row r="22" spans="1:21" hidden="1">
      <c r="A22" s="129" t="s">
        <v>156</v>
      </c>
      <c r="B22" s="131">
        <f>SUM(F20:F22)</f>
        <v>380460.83333333331</v>
      </c>
      <c r="C22" s="131">
        <f>AVERAGE(F20:F22)</f>
        <v>126820.27777777777</v>
      </c>
      <c r="D22" s="90">
        <f>C22/C19-1</f>
        <v>0.46991053877764211</v>
      </c>
      <c r="E22" s="286">
        <f>C22/C10-1</f>
        <v>0.22951539287680189</v>
      </c>
      <c r="F22" s="78">
        <f>Q22/21</f>
        <v>133538.19047619047</v>
      </c>
      <c r="G22" s="90">
        <f t="shared" si="3"/>
        <v>0.17088289425778025</v>
      </c>
      <c r="H22" s="90">
        <f t="shared" si="4"/>
        <v>1.1819609234520754</v>
      </c>
      <c r="I22" s="130">
        <f t="shared" si="0"/>
        <v>103.01563802939523</v>
      </c>
      <c r="J22" s="130">
        <f t="shared" si="5"/>
        <v>2.5795199714752748E-2</v>
      </c>
      <c r="K22" s="78">
        <f>R20+R21+R22</f>
        <v>10305401371</v>
      </c>
      <c r="L22" s="87">
        <f>U22/U19-1</f>
        <v>0.47389036660959438</v>
      </c>
      <c r="M22" s="87">
        <f>U22/U10-1</f>
        <v>0.20906775734264982</v>
      </c>
      <c r="N22" s="88">
        <f>AVERAGE(T20:T22)</f>
        <v>100.13004991121254</v>
      </c>
      <c r="O22" s="89">
        <f>N22/N19-1</f>
        <v>0.10801155101887061</v>
      </c>
      <c r="P22" s="129" t="s">
        <v>156</v>
      </c>
      <c r="Q22" s="116">
        <v>2804302</v>
      </c>
      <c r="R22" s="116">
        <v>3635423395</v>
      </c>
      <c r="S22" s="116">
        <v>27222.1</v>
      </c>
      <c r="T22" s="130">
        <f t="shared" ref="T22:T23" si="10">Q22/S22</f>
        <v>103.01563802939523</v>
      </c>
      <c r="U22" s="85">
        <f>Q20+Q21+Q22</f>
        <v>7856804</v>
      </c>
    </row>
    <row r="23" spans="1:21" hidden="1">
      <c r="A23" s="129" t="s">
        <v>189</v>
      </c>
      <c r="B23" s="131"/>
      <c r="C23" s="131"/>
      <c r="F23" s="78">
        <f>Q23/21</f>
        <v>192603.38095238095</v>
      </c>
      <c r="G23" s="90">
        <f t="shared" ref="G23" si="11">F23/F22-1</f>
        <v>0.44230935184584252</v>
      </c>
      <c r="H23" s="90">
        <f t="shared" ref="H23" si="12">F23/F11-1</f>
        <v>4.6342823471724612</v>
      </c>
      <c r="I23" s="130">
        <f t="shared" si="0"/>
        <v>96.225717980756144</v>
      </c>
      <c r="J23" s="130">
        <f t="shared" si="5"/>
        <v>0.30302587929693536</v>
      </c>
      <c r="O23" s="89"/>
      <c r="P23" s="129" t="s">
        <v>189</v>
      </c>
      <c r="Q23" s="116">
        <v>4044671</v>
      </c>
      <c r="R23" s="116">
        <v>5190778920</v>
      </c>
      <c r="S23" s="116">
        <v>42033.16</v>
      </c>
      <c r="T23" s="130">
        <f t="shared" si="10"/>
        <v>96.225717980756144</v>
      </c>
      <c r="U23" s="78"/>
    </row>
    <row r="24" spans="1:21" hidden="1">
      <c r="A24" s="129" t="s">
        <v>204</v>
      </c>
      <c r="B24" s="131"/>
      <c r="C24" s="131"/>
      <c r="F24" s="78">
        <f>Q24/22</f>
        <v>160844.5</v>
      </c>
      <c r="G24" s="90">
        <f t="shared" ref="G24" si="13">F24/F23-1</f>
        <v>-0.16489264516199209</v>
      </c>
      <c r="H24" s="90">
        <f t="shared" ref="H24" si="14">F24/F12-1</f>
        <v>0.45935587692607172</v>
      </c>
      <c r="I24" s="130">
        <f t="shared" si="0"/>
        <v>93.154329730270476</v>
      </c>
      <c r="J24" s="130">
        <f t="shared" si="5"/>
        <v>-0.20538786692996347</v>
      </c>
      <c r="O24" s="89"/>
      <c r="P24" s="129" t="s">
        <v>204</v>
      </c>
      <c r="Q24" s="116">
        <v>3538579</v>
      </c>
      <c r="R24" s="116">
        <v>4646804938</v>
      </c>
      <c r="S24" s="116">
        <v>37986.199999999997</v>
      </c>
      <c r="T24" s="130">
        <f t="shared" ref="T24" si="15">Q24/S24</f>
        <v>93.154329730270476</v>
      </c>
      <c r="U24" s="78"/>
    </row>
    <row r="25" spans="1:21" s="79" customFormat="1" ht="13.2" hidden="1">
      <c r="A25" s="129" t="s">
        <v>218</v>
      </c>
      <c r="B25" s="131">
        <f>SUM(F23:F25)</f>
        <v>553793.93358395994</v>
      </c>
      <c r="C25" s="131">
        <f>AVERAGE(F23:F25)</f>
        <v>184597.97786131999</v>
      </c>
      <c r="D25" s="90">
        <f>C25/C22-1</f>
        <v>0.4555872380660122</v>
      </c>
      <c r="E25" s="286">
        <f>C25/C13-1</f>
        <v>1.0748247814488092</v>
      </c>
      <c r="F25" s="78">
        <f>Q25/19</f>
        <v>200346.05263157896</v>
      </c>
      <c r="G25" s="90">
        <f t="shared" ref="G25" si="16">F25/F24-1</f>
        <v>0.24558845737080826</v>
      </c>
      <c r="H25" s="90">
        <f t="shared" ref="H25" si="17">F25/F13-1</f>
        <v>0.63533246945030175</v>
      </c>
      <c r="I25" s="130">
        <f t="shared" si="0"/>
        <v>98.454732148399515</v>
      </c>
      <c r="J25" s="130">
        <f t="shared" si="5"/>
        <v>-2.2871888457275613E-2</v>
      </c>
      <c r="K25" s="78">
        <f>R23+R24+R25</f>
        <v>14890421511</v>
      </c>
      <c r="L25" s="90">
        <f>U25/U22-1</f>
        <v>0.44967661150768179</v>
      </c>
      <c r="M25" s="90">
        <f>U25/U13-1</f>
        <v>1.0365011335922358</v>
      </c>
      <c r="N25" s="88">
        <f>AVERAGE(T23:T25)</f>
        <v>95.944926619808712</v>
      </c>
      <c r="O25" s="91">
        <f>N25/N22-1</f>
        <v>-4.1796876113762704E-2</v>
      </c>
      <c r="P25" s="129" t="s">
        <v>220</v>
      </c>
      <c r="Q25" s="116">
        <v>3806575</v>
      </c>
      <c r="R25" s="116">
        <v>5052837653</v>
      </c>
      <c r="S25" s="116">
        <v>38663.199999999997</v>
      </c>
      <c r="T25" s="130">
        <f t="shared" ref="T25" si="18">Q25/S25</f>
        <v>98.454732148399515</v>
      </c>
      <c r="U25" s="85">
        <f>Q23+Q24+Q25</f>
        <v>11389825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187431.05263157896</v>
      </c>
      <c r="G26" s="90">
        <f t="shared" ref="G26" si="19">F26/F25-1</f>
        <v>-6.4463461247972309E-2</v>
      </c>
      <c r="H26" s="90">
        <f t="shared" ref="H26" si="20">F26/F14-1</f>
        <v>1.0699634738655628</v>
      </c>
      <c r="I26" s="130">
        <f t="shared" si="0"/>
        <v>90.365258150201839</v>
      </c>
      <c r="J26" s="130">
        <f t="shared" si="5"/>
        <v>0.25537131554225834</v>
      </c>
      <c r="L26" s="90"/>
      <c r="M26" s="90"/>
      <c r="P26" s="129" t="s">
        <v>312</v>
      </c>
      <c r="Q26" s="116">
        <v>3561190</v>
      </c>
      <c r="R26" s="116">
        <v>4790559834</v>
      </c>
      <c r="S26" s="116">
        <v>39408.839999999997</v>
      </c>
      <c r="T26" s="130">
        <f t="shared" ref="T26" si="21">Q26/S26</f>
        <v>90.365258150201839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148007.90909090909</v>
      </c>
      <c r="G27" s="90">
        <f t="shared" ref="G27" si="22">F27/F26-1</f>
        <v>-0.21033410946136755</v>
      </c>
      <c r="H27" s="90">
        <f t="shared" ref="H27" si="23">F27/F15-1</f>
        <v>5.8092545655423322E-2</v>
      </c>
      <c r="I27" s="130">
        <f t="shared" si="0"/>
        <v>100.53528473337806</v>
      </c>
      <c r="J27" s="130">
        <f t="shared" si="5"/>
        <v>0.62763666180649524</v>
      </c>
      <c r="L27" s="90"/>
      <c r="M27" s="90"/>
      <c r="P27" s="129" t="s">
        <v>378</v>
      </c>
      <c r="Q27" s="116">
        <v>3256174</v>
      </c>
      <c r="R27" s="116">
        <v>4316661997</v>
      </c>
      <c r="S27" s="116">
        <v>32388.37</v>
      </c>
      <c r="T27" s="130">
        <f t="shared" ref="T27" si="24">Q27/S27</f>
        <v>100.53528473337806</v>
      </c>
      <c r="U27" s="78"/>
    </row>
    <row r="28" spans="1:21" s="79" customFormat="1" ht="13.2" hidden="1">
      <c r="A28" s="123" t="s">
        <v>415</v>
      </c>
      <c r="B28" s="131">
        <f>SUM(F26:F28)</f>
        <v>385439.64593301434</v>
      </c>
      <c r="C28" s="131">
        <f>AVERAGE(F26:F28)</f>
        <v>128479.88197767145</v>
      </c>
      <c r="D28" s="90">
        <f>C28/C25-1</f>
        <v>-0.3040016826501073</v>
      </c>
      <c r="E28" s="286">
        <f>C28/C16-1</f>
        <v>0.23183388230887658</v>
      </c>
      <c r="F28" s="78">
        <f>Q28/19</f>
        <v>50000.684210526313</v>
      </c>
      <c r="G28" s="90">
        <f t="shared" ref="G28" si="25">F28/F27-1</f>
        <v>-0.66217559238800539</v>
      </c>
      <c r="H28" s="90">
        <f t="shared" ref="H28" si="26">F28/F16-1</f>
        <v>-0.39370495075486622</v>
      </c>
      <c r="I28" s="130">
        <f t="shared" si="0"/>
        <v>95.655584195899948</v>
      </c>
      <c r="J28" s="130">
        <f t="shared" si="5"/>
        <v>0.36262269984995688</v>
      </c>
      <c r="K28" s="78">
        <f>R26+R27+R28</f>
        <v>10345430150</v>
      </c>
      <c r="L28" s="90">
        <f>U28/U25-1</f>
        <v>-0.318042463338989</v>
      </c>
      <c r="M28" s="90">
        <f>U28/U16-1</f>
        <v>0.15884594273666242</v>
      </c>
      <c r="N28" s="88">
        <f>AVERAGE(T26:T28)</f>
        <v>95.518709026493283</v>
      </c>
      <c r="O28" s="91">
        <f>N28/N25-1</f>
        <v>-4.44231506898074E-3</v>
      </c>
      <c r="P28" s="129" t="s">
        <v>416</v>
      </c>
      <c r="Q28" s="116">
        <v>950013</v>
      </c>
      <c r="R28" s="116">
        <v>1238208319</v>
      </c>
      <c r="S28" s="116">
        <v>9931.6</v>
      </c>
      <c r="T28" s="130">
        <f t="shared" ref="T28" si="27">Q28/S28</f>
        <v>95.655584195899948</v>
      </c>
      <c r="U28" s="85">
        <f>Q26+Q27+Q28</f>
        <v>7767377</v>
      </c>
    </row>
    <row r="29" spans="1:21" s="79" customFormat="1" ht="13.2" hidden="1">
      <c r="A29" s="129" t="s">
        <v>430</v>
      </c>
      <c r="B29" s="188"/>
      <c r="C29" s="188"/>
      <c r="D29" s="189"/>
      <c r="E29" s="287"/>
      <c r="F29" s="136">
        <f>Q29/22</f>
        <v>30397.772727272728</v>
      </c>
      <c r="G29" s="190">
        <f t="shared" ref="G29" si="28">F29/F28-1</f>
        <v>-0.39205286473113332</v>
      </c>
      <c r="H29" s="190">
        <f t="shared" ref="H29" si="29">F29/F17-1</f>
        <v>-0.62628017360468458</v>
      </c>
      <c r="I29" s="130">
        <f t="shared" si="0"/>
        <v>74.614071495514807</v>
      </c>
      <c r="J29" s="130">
        <f t="shared" si="5"/>
        <v>-7.5460814357430683E-2</v>
      </c>
      <c r="K29" s="136"/>
      <c r="L29" s="190"/>
      <c r="M29" s="190"/>
      <c r="N29" s="191"/>
      <c r="O29" s="192"/>
      <c r="P29" s="129" t="s">
        <v>430</v>
      </c>
      <c r="Q29" s="116">
        <v>668751</v>
      </c>
      <c r="R29" s="116">
        <v>887856879</v>
      </c>
      <c r="S29" s="116">
        <v>8962.7999999999993</v>
      </c>
      <c r="T29" s="130">
        <f t="shared" ref="T29" si="30">Q29/S29</f>
        <v>74.614071495514807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79570.68421052632</v>
      </c>
      <c r="G30" s="190">
        <f t="shared" ref="G30" si="31">F30/F29-1</f>
        <v>1.6176485009092758</v>
      </c>
      <c r="H30" s="190">
        <f t="shared" ref="H30" si="32">F30/F18-1</f>
        <v>-0.20819044452677593</v>
      </c>
      <c r="I30" s="130">
        <f t="shared" si="0"/>
        <v>94.010148180851516</v>
      </c>
      <c r="J30" s="130">
        <f t="shared" si="5"/>
        <v>-0.17353520561423408</v>
      </c>
      <c r="K30" s="136"/>
      <c r="L30" s="190"/>
      <c r="M30" s="190"/>
      <c r="N30" s="191"/>
      <c r="O30" s="192"/>
      <c r="P30" s="129" t="s">
        <v>466</v>
      </c>
      <c r="Q30" s="116">
        <v>1511843</v>
      </c>
      <c r="R30" s="116">
        <v>2014927743</v>
      </c>
      <c r="S30" s="116">
        <v>16081.7</v>
      </c>
      <c r="T30" s="130">
        <f t="shared" ref="T30" si="33">Q30/S30</f>
        <v>94.010148180851516</v>
      </c>
      <c r="U30" s="85"/>
    </row>
    <row r="31" spans="1:21" s="79" customFormat="1" ht="13.2" hidden="1">
      <c r="A31" s="129" t="s">
        <v>505</v>
      </c>
      <c r="B31" s="188">
        <f>SUM(F29:F31)</f>
        <v>153940.45693779906</v>
      </c>
      <c r="C31" s="188">
        <f>AVERAGE(F29:F31)</f>
        <v>51313.485645933019</v>
      </c>
      <c r="D31" s="190">
        <f>C31/C28-1</f>
        <v>-0.6006107348787042</v>
      </c>
      <c r="E31" s="287">
        <f>C31/C19-1</f>
        <v>-0.40525100043907281</v>
      </c>
      <c r="F31" s="136">
        <f>Q31/20</f>
        <v>43972</v>
      </c>
      <c r="G31" s="190">
        <f t="shared" ref="G31" si="34">F31/F30-1</f>
        <v>-0.44738441756187652</v>
      </c>
      <c r="H31" s="190">
        <f t="shared" ref="H31" si="35">F31/F19-1</f>
        <v>-0.42895023449790293</v>
      </c>
      <c r="I31" s="130">
        <f t="shared" si="0"/>
        <v>81.382909811034395</v>
      </c>
      <c r="J31" s="130">
        <f t="shared" si="5"/>
        <v>6.1696889293885393E-2</v>
      </c>
      <c r="K31" s="136">
        <f>R29+R30+R31</f>
        <v>4071225265</v>
      </c>
      <c r="L31" s="190">
        <f>U31/U28-1</f>
        <v>-0.60604023726413692</v>
      </c>
      <c r="M31" s="190">
        <f>U31/U19-1</f>
        <v>-0.42595556232561949</v>
      </c>
      <c r="N31" s="191">
        <f>AVERAGE(T29:T31)</f>
        <v>83.335709829133577</v>
      </c>
      <c r="O31" s="192">
        <f>N31/N28-1</f>
        <v>-0.12754568525398102</v>
      </c>
      <c r="P31" s="129" t="s">
        <v>505</v>
      </c>
      <c r="Q31" s="116">
        <v>879440</v>
      </c>
      <c r="R31" s="116">
        <v>1168440643</v>
      </c>
      <c r="S31" s="116">
        <v>10806.2</v>
      </c>
      <c r="T31" s="130">
        <f t="shared" ref="T31" si="36">Q31/S31</f>
        <v>81.382909811034395</v>
      </c>
      <c r="U31" s="85">
        <f>Q29+Q30+Q31</f>
        <v>3060034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52659.190476190473</v>
      </c>
      <c r="G32" s="190">
        <f t="shared" ref="G32" si="37">F32/F31-1</f>
        <v>0.19756186837511303</v>
      </c>
      <c r="H32" s="190">
        <f t="shared" ref="H32" si="38">F32/F20-1</f>
        <v>-0.60368929488430367</v>
      </c>
      <c r="I32" s="130">
        <f t="shared" si="0"/>
        <v>136.23453900359729</v>
      </c>
      <c r="J32" s="130">
        <f t="shared" si="5"/>
        <v>0.37930376981162039</v>
      </c>
      <c r="K32" s="136"/>
      <c r="L32" s="190"/>
      <c r="M32" s="190"/>
      <c r="N32" s="191"/>
      <c r="O32" s="192"/>
      <c r="P32" s="129" t="s">
        <v>562</v>
      </c>
      <c r="Q32" s="116">
        <v>1105843</v>
      </c>
      <c r="R32" s="116">
        <v>1499297963</v>
      </c>
      <c r="S32" s="116">
        <v>8117.2</v>
      </c>
      <c r="T32" s="130">
        <f t="shared" ref="T32" si="39">Q32/S32</f>
        <v>136.23453900359729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42746.190476190473</v>
      </c>
      <c r="G33" s="190">
        <f t="shared" ref="G33" si="40">F33/F32-1</f>
        <v>-0.18824824138688767</v>
      </c>
      <c r="H33" s="190">
        <f t="shared" ref="H33" si="41">F33/F21-1</f>
        <v>-0.62519498695633291</v>
      </c>
      <c r="I33" s="130">
        <f t="shared" si="0"/>
        <v>150.7245160098729</v>
      </c>
      <c r="J33" s="130">
        <f t="shared" si="5"/>
        <v>0.52858419393569989</v>
      </c>
      <c r="K33" s="136"/>
      <c r="L33" s="190"/>
      <c r="M33" s="190"/>
      <c r="N33" s="191"/>
      <c r="O33" s="192"/>
      <c r="P33" s="129" t="s">
        <v>607</v>
      </c>
      <c r="Q33" s="116">
        <v>897670</v>
      </c>
      <c r="R33" s="116">
        <v>1229350746</v>
      </c>
      <c r="S33" s="116">
        <v>5955.7</v>
      </c>
      <c r="T33" s="130">
        <f t="shared" ref="T33" si="42">Q33/S33</f>
        <v>150.7245160098729</v>
      </c>
      <c r="U33" s="85"/>
    </row>
    <row r="34" spans="1:21" s="79" customFormat="1" ht="13.2" hidden="1">
      <c r="A34" s="129" t="s">
        <v>652</v>
      </c>
      <c r="B34" s="188">
        <f>SUM(F32:F34)</f>
        <v>178008.01253132831</v>
      </c>
      <c r="C34" s="188">
        <f>AVERAGE(F32:F34)</f>
        <v>59336.004177109433</v>
      </c>
      <c r="D34" s="190">
        <f>C34/C31-1</f>
        <v>0.15634327760410605</v>
      </c>
      <c r="E34" s="287">
        <f>C34/C22-1</f>
        <v>-0.53212526248301084</v>
      </c>
      <c r="F34" s="136">
        <f>Q34/19</f>
        <v>82602.631578947374</v>
      </c>
      <c r="G34" s="190">
        <f t="shared" ref="G34" si="43">F34/F33-1</f>
        <v>0.93239749925684823</v>
      </c>
      <c r="H34" s="190">
        <f t="shared" ref="H34" si="44">F34/F22-1</f>
        <v>-0.38143065077944716</v>
      </c>
      <c r="I34" s="130">
        <f t="shared" si="0"/>
        <v>131.89930119297242</v>
      </c>
      <c r="J34" s="130">
        <f t="shared" si="5"/>
        <v>0.28038134516368585</v>
      </c>
      <c r="K34" s="136">
        <f>R32+R33+R34</f>
        <v>4884758392</v>
      </c>
      <c r="L34" s="190">
        <f>U34/U31-1</f>
        <v>0.16762199374255315</v>
      </c>
      <c r="M34" s="190">
        <f>U34/U22-1</f>
        <v>-0.54523964197146824</v>
      </c>
      <c r="N34" s="191">
        <f>AVERAGE(T32:T34)</f>
        <v>139.61945206881421</v>
      </c>
      <c r="O34" s="192">
        <f>N34/N31-1</f>
        <v>0.67538564626234487</v>
      </c>
      <c r="P34" s="129" t="s">
        <v>652</v>
      </c>
      <c r="Q34" s="116">
        <v>1569450</v>
      </c>
      <c r="R34" s="116">
        <v>2156109683</v>
      </c>
      <c r="S34" s="116">
        <v>11898.85</v>
      </c>
      <c r="T34" s="130">
        <f t="shared" ref="T34" si="45">Q34/S34</f>
        <v>131.89930119297242</v>
      </c>
      <c r="U34" s="85">
        <f>Q32+Q33+Q34</f>
        <v>3572963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82470.521739130432</v>
      </c>
      <c r="G35" s="190">
        <f t="shared" ref="G35" si="46">F35/F34-1</f>
        <v>-1.5993417799368137E-3</v>
      </c>
      <c r="H35" s="190">
        <f t="shared" ref="H35" si="47">F35/F23-1</f>
        <v>-0.57181166119030724</v>
      </c>
      <c r="I35" s="130">
        <f t="shared" si="0"/>
        <v>55.010643542820681</v>
      </c>
      <c r="J35" s="130">
        <f t="shared" si="5"/>
        <v>-0.42831662161437889</v>
      </c>
      <c r="K35" s="136"/>
      <c r="L35" s="190"/>
      <c r="M35" s="190"/>
      <c r="N35" s="191"/>
      <c r="O35" s="192"/>
      <c r="P35" s="129" t="s">
        <v>660</v>
      </c>
      <c r="Q35" s="116">
        <v>1896822</v>
      </c>
      <c r="R35" s="116">
        <v>2623122177</v>
      </c>
      <c r="S35" s="116">
        <v>34481</v>
      </c>
      <c r="T35" s="130">
        <f t="shared" ref="T35" si="48">Q35/S35</f>
        <v>55.010643542820681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94225.904761904763</v>
      </c>
      <c r="G36" s="190">
        <f t="shared" ref="G36" si="49">F36/F35-1</f>
        <v>0.14254042262469002</v>
      </c>
      <c r="H36" s="190">
        <f t="shared" ref="H36" si="50">F36/F24-1</f>
        <v>-0.41418012576180874</v>
      </c>
      <c r="I36" s="130">
        <f t="shared" si="0"/>
        <v>81.8620121878064</v>
      </c>
      <c r="J36" s="130">
        <f t="shared" si="5"/>
        <v>-0.1212216069307902</v>
      </c>
      <c r="K36" s="136"/>
      <c r="L36" s="190"/>
      <c r="M36" s="190"/>
      <c r="N36" s="191"/>
      <c r="O36" s="192"/>
      <c r="P36" s="129" t="s">
        <v>664</v>
      </c>
      <c r="Q36" s="116">
        <v>1978744</v>
      </c>
      <c r="R36" s="116">
        <v>2697491651</v>
      </c>
      <c r="S36" s="116">
        <v>24171.7</v>
      </c>
      <c r="T36" s="130">
        <f t="shared" ref="T36" si="51">Q36/S36</f>
        <v>81.8620121878064</v>
      </c>
      <c r="U36" s="85"/>
    </row>
    <row r="37" spans="1:21" s="79" customFormat="1" ht="13.2" hidden="1">
      <c r="A37" s="129" t="s">
        <v>702</v>
      </c>
      <c r="B37" s="188">
        <f>SUM(F35:F37)</f>
        <v>280751.48205659073</v>
      </c>
      <c r="C37" s="188">
        <f>AVERAGE(F35:F37)</f>
        <v>93583.827352196909</v>
      </c>
      <c r="D37" s="190">
        <f>C37/C34-1</f>
        <v>0.57718452143933807</v>
      </c>
      <c r="E37" s="287">
        <f>C37/C25-1</f>
        <v>-0.49303980229673938</v>
      </c>
      <c r="F37" s="136">
        <f>Q37/18</f>
        <v>104055.05555555556</v>
      </c>
      <c r="G37" s="190">
        <f t="shared" ref="G37" si="52">F37/F36-1</f>
        <v>0.10431474039424349</v>
      </c>
      <c r="H37" s="190">
        <f t="shared" ref="H37" si="53">F37/F25-1</f>
        <v>-0.48062338045209785</v>
      </c>
      <c r="I37" s="130">
        <f t="shared" si="0"/>
        <v>46.36449151052922</v>
      </c>
      <c r="J37" s="130">
        <f t="shared" si="5"/>
        <v>-0.52907807985659194</v>
      </c>
      <c r="K37" s="136">
        <f>R35+R36+R37</f>
        <v>7823275399</v>
      </c>
      <c r="L37" s="190">
        <f>U37/U34-1</f>
        <v>0.60890471018031822</v>
      </c>
      <c r="M37" s="190">
        <f>U37/U25-1</f>
        <v>-0.49529013834716518</v>
      </c>
      <c r="N37" s="191">
        <f>AVERAGE(T35:T37)</f>
        <v>61.079049080385438</v>
      </c>
      <c r="O37" s="192">
        <f>N37/N34-1</f>
        <v>-0.56253195256573973</v>
      </c>
      <c r="P37" s="129" t="s">
        <v>702</v>
      </c>
      <c r="Q37" s="116">
        <v>1872991</v>
      </c>
      <c r="R37" s="116">
        <v>2502661571</v>
      </c>
      <c r="S37" s="116">
        <v>40397.1</v>
      </c>
      <c r="T37" s="130">
        <f t="shared" ref="T37" si="54">Q37/S37</f>
        <v>46.36449151052922</v>
      </c>
      <c r="U37" s="85">
        <f>Q35+Q36+Q37</f>
        <v>5748557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80232.2</v>
      </c>
      <c r="G38" s="190">
        <f t="shared" ref="G38" si="55">F38/F37-1</f>
        <v>-0.22894471996928989</v>
      </c>
      <c r="H38" s="190">
        <f t="shared" ref="H38" si="56">F38/F26-1</f>
        <v>-0.57193752650097296</v>
      </c>
      <c r="I38" s="130">
        <f t="shared" si="0"/>
        <v>123.66817207947346</v>
      </c>
      <c r="J38" s="130">
        <f t="shared" si="5"/>
        <v>0.36853669884854123</v>
      </c>
      <c r="K38" s="136"/>
      <c r="L38" s="190"/>
      <c r="M38" s="190"/>
      <c r="N38" s="191"/>
      <c r="O38" s="192"/>
      <c r="P38" s="129" t="s">
        <v>727</v>
      </c>
      <c r="Q38" s="116">
        <v>1604644</v>
      </c>
      <c r="R38" s="116">
        <v>2172599451</v>
      </c>
      <c r="S38" s="116">
        <v>12975.4</v>
      </c>
      <c r="T38" s="130">
        <f t="shared" ref="T38" si="57">Q38/S38</f>
        <v>123.66817207947346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52655.857142857145</v>
      </c>
      <c r="G39" s="190">
        <f t="shared" ref="G39" si="58">F39/F38-1</f>
        <v>-0.34370667708404923</v>
      </c>
      <c r="H39" s="190">
        <f t="shared" ref="H39" si="59">F39/F27-1</f>
        <v>-0.64423619341507632</v>
      </c>
      <c r="I39" s="130">
        <f t="shared" si="0"/>
        <v>125.66816112919999</v>
      </c>
      <c r="J39" s="130">
        <f t="shared" si="5"/>
        <v>0.24999060242853943</v>
      </c>
      <c r="K39" s="136"/>
      <c r="L39" s="190"/>
      <c r="M39" s="190"/>
      <c r="N39" s="191"/>
      <c r="O39" s="192"/>
      <c r="P39" s="129" t="s">
        <v>762</v>
      </c>
      <c r="Q39" s="116">
        <v>1105773</v>
      </c>
      <c r="R39" s="116">
        <v>1538630415</v>
      </c>
      <c r="S39" s="116">
        <v>8799.15</v>
      </c>
      <c r="T39" s="130">
        <f t="shared" ref="T39" si="60">Q39/S39</f>
        <v>125.66816112919999</v>
      </c>
      <c r="U39" s="85"/>
    </row>
    <row r="40" spans="1:21" s="79" customFormat="1" ht="13.2" hidden="1">
      <c r="A40" s="129" t="s">
        <v>778</v>
      </c>
      <c r="B40" s="188">
        <f>SUM(F38:F40)</f>
        <v>199665.86666666667</v>
      </c>
      <c r="C40" s="188">
        <f>AVERAGE(F38:F40)</f>
        <v>66555.288888888885</v>
      </c>
      <c r="D40" s="190">
        <f>C40/C37-1</f>
        <v>-0.28881633961803899</v>
      </c>
      <c r="E40" s="287">
        <f>C40/C28-1</f>
        <v>-0.48197890701319646</v>
      </c>
      <c r="F40" s="136">
        <f>Q40/21</f>
        <v>66777.809523809527</v>
      </c>
      <c r="G40" s="190">
        <f t="shared" ref="G40" si="61">F40/F39-1</f>
        <v>0.26819338146256055</v>
      </c>
      <c r="H40" s="190">
        <f t="shared" ref="H40" si="62">F40/F28-1</f>
        <v>0.33553791469420013</v>
      </c>
      <c r="I40" s="130">
        <f t="shared" si="0"/>
        <v>124.12561848871893</v>
      </c>
      <c r="J40" s="130">
        <f t="shared" si="5"/>
        <v>0.29763065619371631</v>
      </c>
      <c r="K40" s="136">
        <f>R38+R39+R40</f>
        <v>5697330798</v>
      </c>
      <c r="L40" s="190">
        <f>U40/U37-1</f>
        <v>-0.2845594120402738</v>
      </c>
      <c r="M40" s="190">
        <f>U40/U28-1</f>
        <v>-0.4705096714115975</v>
      </c>
      <c r="N40" s="191">
        <f>AVERAGE(T38:T40)</f>
        <v>124.48731723246414</v>
      </c>
      <c r="O40" s="192">
        <f>N40/N37-1</f>
        <v>1.0381345012203416</v>
      </c>
      <c r="P40" s="129" t="s">
        <v>778</v>
      </c>
      <c r="Q40" s="116">
        <v>1402334</v>
      </c>
      <c r="R40" s="116">
        <v>1986100932</v>
      </c>
      <c r="S40" s="116">
        <v>11297.7</v>
      </c>
      <c r="T40" s="130">
        <f t="shared" ref="T40" si="63">Q40/S40</f>
        <v>124.12561848871893</v>
      </c>
      <c r="U40" s="85">
        <f>Q38+Q39+Q40</f>
        <v>4112751</v>
      </c>
    </row>
    <row r="41" spans="1:21" s="79" customFormat="1" ht="13.2">
      <c r="A41" s="129" t="s">
        <v>788</v>
      </c>
      <c r="B41" s="193"/>
      <c r="C41" s="194"/>
      <c r="D41" s="195"/>
      <c r="E41" s="288"/>
      <c r="F41" s="136">
        <f>Q41/18</f>
        <v>55436.222222222219</v>
      </c>
      <c r="G41" s="190">
        <f t="shared" ref="G41" si="64">F41/F40-1</f>
        <v>-0.16984066087917249</v>
      </c>
      <c r="H41" s="190">
        <f t="shared" ref="H41" si="65">F41/F29-1</f>
        <v>0.82369355543227418</v>
      </c>
      <c r="I41" s="130">
        <f t="shared" si="0"/>
        <v>79.042164714083157</v>
      </c>
      <c r="J41" s="130">
        <f t="shared" si="5"/>
        <v>5.9346623630296413E-2</v>
      </c>
      <c r="K41" s="193"/>
      <c r="L41" s="190"/>
      <c r="M41" s="190"/>
      <c r="N41" s="193"/>
      <c r="O41" s="193"/>
      <c r="P41" s="129" t="s">
        <v>792</v>
      </c>
      <c r="Q41" s="116">
        <v>997852</v>
      </c>
      <c r="R41" s="116">
        <v>1458858028</v>
      </c>
      <c r="S41" s="116">
        <v>12624.3</v>
      </c>
      <c r="T41" s="130">
        <f t="shared" ref="T41" si="66">Q41/S41</f>
        <v>79.042164714083157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167825.2</v>
      </c>
      <c r="G42" s="190">
        <f t="shared" ref="G42" si="67">F42/F41-1</f>
        <v>2.0273563614644261</v>
      </c>
      <c r="H42" s="190">
        <f t="shared" ref="H42" si="68">F42/F30-1</f>
        <v>1.1091335542116476</v>
      </c>
      <c r="I42" s="130">
        <f t="shared" si="0"/>
        <v>141.34374302546416</v>
      </c>
      <c r="J42" s="130">
        <f t="shared" si="5"/>
        <v>0.50349452437363351</v>
      </c>
      <c r="K42" s="193"/>
      <c r="L42" s="190"/>
      <c r="M42" s="190"/>
      <c r="N42" s="193"/>
      <c r="O42" s="193"/>
      <c r="P42" s="129" t="s">
        <v>826</v>
      </c>
      <c r="Q42" s="116">
        <v>3356504</v>
      </c>
      <c r="R42" s="116">
        <v>4857908003</v>
      </c>
      <c r="S42" s="116">
        <v>23747.1</v>
      </c>
      <c r="T42" s="130">
        <f t="shared" ref="T42" si="69">Q42/S42</f>
        <v>141.34374302546416</v>
      </c>
      <c r="U42" s="78"/>
    </row>
    <row r="43" spans="1:21" s="79" customFormat="1" ht="13.2">
      <c r="A43" s="129" t="s">
        <v>835</v>
      </c>
      <c r="B43" s="188">
        <f>SUM(F41:F43)</f>
        <v>310600.1722222222</v>
      </c>
      <c r="C43" s="188">
        <f>AVERAGE(F41:F43)</f>
        <v>103533.39074074074</v>
      </c>
      <c r="D43" s="190">
        <f>C43/C40-1</f>
        <v>0.55559974975970983</v>
      </c>
      <c r="E43" s="287">
        <f>C43/C31-1</f>
        <v>1.0176643515338069</v>
      </c>
      <c r="F43" s="136">
        <f>Q43/20</f>
        <v>87338.75</v>
      </c>
      <c r="G43" s="190">
        <f t="shared" ref="G43" si="70">F43/F42-1</f>
        <v>-0.47958500868761067</v>
      </c>
      <c r="H43" s="190">
        <f t="shared" ref="H43" si="71">F43/F31-1</f>
        <v>0.98623555899208593</v>
      </c>
      <c r="I43" s="130">
        <f t="shared" si="0"/>
        <v>139.73193930037039</v>
      </c>
      <c r="J43" s="130">
        <f t="shared" si="5"/>
        <v>0.71696907403309229</v>
      </c>
      <c r="K43" s="136">
        <f>R41+R42+R43</f>
        <v>8840515581</v>
      </c>
      <c r="L43" s="190">
        <f>U43/U40-1</f>
        <v>0.48346714887431785</v>
      </c>
      <c r="M43" s="190">
        <f>K43/K31-1</f>
        <v>1.1714631359264764</v>
      </c>
      <c r="N43" s="191">
        <f>AVERAGE(T41:T43)</f>
        <v>120.03928234663924</v>
      </c>
      <c r="O43" s="192">
        <f>N43/N40-1</f>
        <v>-3.5730827723749248E-2</v>
      </c>
      <c r="P43" s="129" t="s">
        <v>835</v>
      </c>
      <c r="Q43" s="116">
        <v>1746775</v>
      </c>
      <c r="R43" s="116">
        <v>2523749550</v>
      </c>
      <c r="S43" s="116">
        <v>12500.9</v>
      </c>
      <c r="T43" s="130">
        <f t="shared" ref="T43" si="72">Q43/S43</f>
        <v>139.73193930037039</v>
      </c>
      <c r="U43" s="85">
        <f>Q41+Q42+Q43</f>
        <v>6101131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69254.863636363632</v>
      </c>
      <c r="G44" s="190">
        <f t="shared" ref="G44" si="73">F44/F43-1</f>
        <v>-0.20705455898597547</v>
      </c>
      <c r="H44" s="190">
        <f t="shared" ref="H44" si="74">F44/F32-1</f>
        <v>0.31515245506246026</v>
      </c>
      <c r="I44" s="130">
        <f t="shared" si="0"/>
        <v>130.67414891947314</v>
      </c>
      <c r="J44" s="130">
        <f t="shared" si="5"/>
        <v>-4.0814833923850435E-2</v>
      </c>
      <c r="K44" s="136"/>
      <c r="L44" s="190"/>
      <c r="M44" s="190"/>
      <c r="N44" s="191"/>
      <c r="O44" s="192"/>
      <c r="P44" s="129" t="s">
        <v>842</v>
      </c>
      <c r="Q44" s="116">
        <v>1523607</v>
      </c>
      <c r="R44" s="116">
        <v>2215432655</v>
      </c>
      <c r="S44" s="116">
        <v>11659.59</v>
      </c>
      <c r="T44" s="130">
        <f t="shared" ref="T44" si="75">Q44/S44</f>
        <v>130.67414891947314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38186.949999999997</v>
      </c>
      <c r="G45" s="190">
        <f t="shared" ref="G45" si="76">F45/F44-1</f>
        <v>-0.44860262521765781</v>
      </c>
      <c r="H45" s="190">
        <f t="shared" ref="H45" si="77">F45/F33-1</f>
        <v>-0.10665840453618813</v>
      </c>
      <c r="I45" s="130">
        <f t="shared" si="0"/>
        <v>127.13557550172457</v>
      </c>
      <c r="J45" s="130">
        <f t="shared" si="5"/>
        <v>-0.15650367393850628</v>
      </c>
      <c r="K45" s="136"/>
      <c r="L45" s="190"/>
      <c r="M45" s="190"/>
      <c r="N45" s="191"/>
      <c r="O45" s="192"/>
      <c r="P45" s="129" t="s">
        <v>849</v>
      </c>
      <c r="Q45" s="116">
        <v>763739</v>
      </c>
      <c r="R45" s="116">
        <v>1076168247</v>
      </c>
      <c r="S45" s="116">
        <v>6007.28</v>
      </c>
      <c r="T45" s="130">
        <f t="shared" ref="T45" si="78">Q45/S45</f>
        <v>127.13557550172457</v>
      </c>
      <c r="U45" s="85"/>
    </row>
    <row r="46" spans="1:21" s="79" customFormat="1" ht="13.2">
      <c r="A46" s="129" t="s">
        <v>890</v>
      </c>
      <c r="B46" s="188">
        <f>SUM(F44:F46)</f>
        <v>223589.70837320574</v>
      </c>
      <c r="C46" s="188">
        <f>AVERAGE(F44:F46)</f>
        <v>74529.902791068584</v>
      </c>
      <c r="D46" s="190">
        <f>C46/C43-1</f>
        <v>-0.28013656021659861</v>
      </c>
      <c r="E46" s="287">
        <f>C46/C34-1</f>
        <v>0.2560654163466678</v>
      </c>
      <c r="F46" s="136">
        <f>Q46/19</f>
        <v>116147.89473684211</v>
      </c>
      <c r="G46" s="190">
        <f t="shared" ref="G46" si="79">F46/F45-1</f>
        <v>2.0415598715488437</v>
      </c>
      <c r="H46" s="190">
        <f t="shared" ref="H46" si="80">F46/F34-1</f>
        <v>0.40610404918920628</v>
      </c>
      <c r="I46" s="130">
        <f t="shared" si="0"/>
        <v>97.236432212837016</v>
      </c>
      <c r="J46" s="130">
        <f t="shared" si="5"/>
        <v>-0.26279797289769291</v>
      </c>
      <c r="K46" s="136">
        <f>R44+R45+R46</f>
        <v>6310467970</v>
      </c>
      <c r="L46" s="190">
        <f>U46/U43-1</f>
        <v>-0.26338968955100295</v>
      </c>
      <c r="M46" s="190">
        <f>K46/K34-1</f>
        <v>0.29186900632280044</v>
      </c>
      <c r="N46" s="191">
        <f>AVERAGE(T44:T46)</f>
        <v>118.34871887801158</v>
      </c>
      <c r="O46" s="192">
        <f>N46/N43-1</f>
        <v>-1.4083418657450775E-2</v>
      </c>
      <c r="P46" s="129" t="s">
        <v>888</v>
      </c>
      <c r="Q46" s="116">
        <v>2206810</v>
      </c>
      <c r="R46" s="116">
        <v>3018867068</v>
      </c>
      <c r="S46" s="116">
        <v>22695.3</v>
      </c>
      <c r="T46" s="130">
        <f t="shared" ref="T46" si="81">Q46/S46</f>
        <v>97.236432212837016</v>
      </c>
      <c r="U46" s="85">
        <f t="shared" ref="U46:U51" si="82">Q44+Q45+Q46</f>
        <v>4494156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36850.608695652176</v>
      </c>
      <c r="G47" s="190">
        <f t="shared" ref="G47" si="83">F47/F46-1</f>
        <v>-0.68272684770442793</v>
      </c>
      <c r="H47" s="190">
        <f t="shared" ref="H47" si="84">F47/F35-1</f>
        <v>-0.55316629604675605</v>
      </c>
      <c r="I47" s="130">
        <f t="shared" si="0"/>
        <v>110.93972926205454</v>
      </c>
      <c r="J47" s="130">
        <f t="shared" si="5"/>
        <v>1.0166957177241209</v>
      </c>
      <c r="K47" s="136"/>
      <c r="L47" s="190"/>
      <c r="M47" s="190"/>
      <c r="N47" s="191"/>
      <c r="O47" s="192"/>
      <c r="P47" s="129" t="s">
        <v>1028</v>
      </c>
      <c r="Q47" s="116">
        <v>847564</v>
      </c>
      <c r="R47" s="116">
        <v>1159611616</v>
      </c>
      <c r="S47" s="116">
        <v>7639.86</v>
      </c>
      <c r="T47" s="130">
        <f t="shared" ref="T47" si="85">Q47/S47</f>
        <v>110.93972926205454</v>
      </c>
      <c r="U47" s="85">
        <f t="shared" si="82"/>
        <v>3818113</v>
      </c>
    </row>
    <row r="48" spans="1:21" s="79" customFormat="1" ht="13.2">
      <c r="A48" s="129" t="s">
        <v>1071</v>
      </c>
      <c r="B48" s="188"/>
      <c r="C48" s="188"/>
      <c r="D48" s="190"/>
      <c r="E48" s="287"/>
      <c r="F48" s="136">
        <f>Q48/20</f>
        <v>62299.95</v>
      </c>
      <c r="G48" s="190">
        <f t="shared" ref="G48" si="86">F48/F47-1</f>
        <v>0.69060843782888348</v>
      </c>
      <c r="H48" s="190">
        <f t="shared" ref="H48" si="87">F48/F36-1</f>
        <v>-0.33882354160012618</v>
      </c>
      <c r="I48" s="130">
        <f t="shared" si="0"/>
        <v>133.36590775053492</v>
      </c>
      <c r="J48" s="130">
        <f t="shared" si="5"/>
        <v>0.62915501569359389</v>
      </c>
      <c r="K48" s="136"/>
      <c r="L48" s="190"/>
      <c r="M48" s="190"/>
      <c r="N48" s="191"/>
      <c r="O48" s="192"/>
      <c r="P48" s="129" t="s">
        <v>1117</v>
      </c>
      <c r="Q48" s="116">
        <v>1245999</v>
      </c>
      <c r="R48" s="116">
        <v>1729668696</v>
      </c>
      <c r="S48" s="116">
        <v>9342.7099999999991</v>
      </c>
      <c r="T48" s="130">
        <f t="shared" ref="T48" si="88">Q48/S48</f>
        <v>133.36590775053492</v>
      </c>
      <c r="U48" s="85">
        <f t="shared" si="82"/>
        <v>4300373</v>
      </c>
    </row>
    <row r="49" spans="1:26" ht="13.2">
      <c r="A49" s="129" t="s">
        <v>1158</v>
      </c>
      <c r="B49" s="188">
        <f>SUM(F47:F49)</f>
        <v>157861.0132411067</v>
      </c>
      <c r="C49" s="188">
        <f>AVERAGE(F47:F49)</f>
        <v>52620.33774703557</v>
      </c>
      <c r="D49" s="190">
        <f>C49/C46-1</f>
        <v>-0.29397012774124509</v>
      </c>
      <c r="E49" s="287">
        <f>C49/C37-1</f>
        <v>-0.43771975098857407</v>
      </c>
      <c r="F49" s="136">
        <f>Q49/22</f>
        <v>58710.454545454544</v>
      </c>
      <c r="G49" s="190">
        <f t="shared" ref="G49" si="89">F49/F48-1</f>
        <v>-5.7616345671954061E-2</v>
      </c>
      <c r="H49" s="190">
        <f t="shared" ref="H49" si="90">F49/F37-1</f>
        <v>-0.43577508817811628</v>
      </c>
      <c r="I49" s="130">
        <f t="shared" si="0"/>
        <v>150.19128129396853</v>
      </c>
      <c r="J49" s="130">
        <f t="shared" si="5"/>
        <v>2.2393600447415798</v>
      </c>
      <c r="K49" s="136">
        <f>R47+R48+R49</f>
        <v>4683055373</v>
      </c>
      <c r="L49" s="190">
        <f>U49/U46-1</f>
        <v>-0.24675667689328096</v>
      </c>
      <c r="M49" s="190">
        <f>K49/K37-1</f>
        <v>-0.40139453947912851</v>
      </c>
      <c r="N49" s="191">
        <f>AVERAGE(T47:T49)</f>
        <v>131.49897276885267</v>
      </c>
      <c r="O49" s="192">
        <f>N49/N46-1</f>
        <v>0.1111144591636497</v>
      </c>
      <c r="P49" s="129" t="s">
        <v>1158</v>
      </c>
      <c r="Q49" s="116">
        <v>1291630</v>
      </c>
      <c r="R49" s="116">
        <v>1793775061</v>
      </c>
      <c r="S49" s="116">
        <v>8599.9</v>
      </c>
      <c r="T49" s="130">
        <f t="shared" ref="T49" si="91">Q49/S49</f>
        <v>150.19128129396853</v>
      </c>
      <c r="U49" s="85">
        <f t="shared" si="82"/>
        <v>3385193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48716.055555555555</v>
      </c>
      <c r="G50" s="190">
        <f t="shared" ref="G50" si="92">F50/F49-1</f>
        <v>-0.17023201518838815</v>
      </c>
      <c r="H50" s="190">
        <f t="shared" ref="H50" si="93">F50/F38-1</f>
        <v>-0.39281166968429693</v>
      </c>
      <c r="I50" s="130">
        <f t="shared" ref="I50" si="94">T50</f>
        <v>97.683374457632681</v>
      </c>
      <c r="J50" s="130">
        <f t="shared" ref="J50" si="95">I50/I38-1</f>
        <v>-0.21011709953262714</v>
      </c>
      <c r="K50" s="136"/>
      <c r="L50" s="190"/>
      <c r="M50" s="190"/>
      <c r="N50" s="191"/>
      <c r="O50" s="192"/>
      <c r="P50" s="129" t="s">
        <v>1291</v>
      </c>
      <c r="Q50" s="116">
        <v>876889</v>
      </c>
      <c r="R50" s="116">
        <v>1244669081</v>
      </c>
      <c r="S50" s="116">
        <v>8976.85</v>
      </c>
      <c r="T50" s="130">
        <f t="shared" ref="T50" si="96">Q50/S50</f>
        <v>97.683374457632681</v>
      </c>
      <c r="U50" s="85">
        <f t="shared" si="82"/>
        <v>3414518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42550</v>
      </c>
      <c r="G51" s="190">
        <f t="shared" ref="G51:G52" si="97">F51/F50-1</f>
        <v>-0.12657132202593491</v>
      </c>
      <c r="H51" s="190">
        <f t="shared" ref="H51:H52" si="98">F51/F39-1</f>
        <v>-0.19192275448939344</v>
      </c>
      <c r="I51" s="130">
        <f t="shared" ref="I51:I52" si="99">T51</f>
        <v>107.58737523467575</v>
      </c>
      <c r="J51" s="130">
        <f t="shared" ref="J51:J52" si="100">I51/I39-1</f>
        <v>-0.14387722182021356</v>
      </c>
      <c r="K51" s="136"/>
      <c r="L51" s="190"/>
      <c r="M51" s="190"/>
      <c r="N51" s="191"/>
      <c r="O51" s="192"/>
      <c r="P51" s="129" t="s">
        <v>1402</v>
      </c>
      <c r="Q51" s="116">
        <v>851000</v>
      </c>
      <c r="R51" s="116">
        <v>1230187059</v>
      </c>
      <c r="S51" s="116">
        <v>7909.85</v>
      </c>
      <c r="T51" s="130">
        <f t="shared" ref="T51:T52" si="101">Q51/S51</f>
        <v>107.58737523467575</v>
      </c>
      <c r="U51" s="85">
        <f t="shared" si="82"/>
        <v>3019519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130048.3282828283</v>
      </c>
      <c r="C52" s="188">
        <f>AVERAGE(F50:F52)</f>
        <v>43349.442760942766</v>
      </c>
      <c r="D52" s="190">
        <f>C52/C49-1</f>
        <v>-0.1761846347444832</v>
      </c>
      <c r="E52" s="287">
        <f>C52/C40-1</f>
        <v>-0.3486702036060163</v>
      </c>
      <c r="F52" s="136">
        <f>Q52/22</f>
        <v>38782.272727272728</v>
      </c>
      <c r="G52" s="190">
        <f t="shared" si="97"/>
        <v>-8.8548232026492868E-2</v>
      </c>
      <c r="H52" s="190">
        <f t="shared" si="98"/>
        <v>-0.41923412876481125</v>
      </c>
      <c r="I52" s="130">
        <f t="shared" si="99"/>
        <v>93.002038347085815</v>
      </c>
      <c r="J52" s="130">
        <f t="shared" si="100"/>
        <v>-0.25074259867201998</v>
      </c>
      <c r="K52" s="136">
        <f>R50+R51+R52</f>
        <v>3730584128</v>
      </c>
      <c r="L52" s="190">
        <f>U52/U49-1</f>
        <v>-0.23753269015976342</v>
      </c>
      <c r="M52" s="190">
        <f>K52/K40-1</f>
        <v>-0.34520492836582528</v>
      </c>
      <c r="N52" s="191">
        <f>AVERAGE(T50:T52)</f>
        <v>99.424262679798076</v>
      </c>
      <c r="O52" s="192">
        <f>N52/N49-1</f>
        <v>-0.2439160505491943</v>
      </c>
      <c r="P52" s="129" t="s">
        <v>1403</v>
      </c>
      <c r="Q52" s="116">
        <v>853210</v>
      </c>
      <c r="R52" s="116">
        <v>1255727988</v>
      </c>
      <c r="S52" s="116">
        <v>9174.1</v>
      </c>
      <c r="T52" s="130">
        <f t="shared" si="101"/>
        <v>93.002038347085815</v>
      </c>
      <c r="U52" s="85">
        <f t="shared" ref="U52" si="102">Q50+Q51+Q52</f>
        <v>2581099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27868.333333333332</v>
      </c>
      <c r="G53" s="190">
        <f t="shared" ref="G53" si="103">F53/F52-1</f>
        <v>-0.28141567335904016</v>
      </c>
      <c r="H53" s="190">
        <f t="shared" ref="H53" si="104">F53/F41-1</f>
        <v>-0.49729017930514741</v>
      </c>
      <c r="I53" s="130">
        <f t="shared" ref="I53" si="105">T53</f>
        <v>86.215862652143031</v>
      </c>
      <c r="J53" s="130">
        <f t="shared" ref="J53" si="106">I53/I41-1</f>
        <v>9.0757862768676478E-2</v>
      </c>
      <c r="K53" s="136"/>
      <c r="L53" s="190"/>
      <c r="M53" s="190"/>
      <c r="N53" s="191"/>
      <c r="O53" s="192"/>
      <c r="P53" s="129" t="s">
        <v>1414</v>
      </c>
      <c r="Q53" s="116">
        <v>585235</v>
      </c>
      <c r="R53" s="116">
        <v>855446300</v>
      </c>
      <c r="S53" s="116">
        <v>6788.02</v>
      </c>
      <c r="T53" s="130">
        <f t="shared" ref="T53" si="107">Q53/S53</f>
        <v>86.215862652143031</v>
      </c>
      <c r="U53" s="85">
        <f t="shared" ref="U53" si="108">Q51+Q52+Q53</f>
        <v>2289445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55947.23529411765</v>
      </c>
      <c r="G54" s="190">
        <f t="shared" ref="G54" si="109">F54/F53-1</f>
        <v>1.0075558385545476</v>
      </c>
      <c r="H54" s="190">
        <f t="shared" ref="H54" si="110">F54/F42-1</f>
        <v>-0.66663388278924951</v>
      </c>
      <c r="I54" s="130">
        <f t="shared" ref="I54" si="111">T54</f>
        <v>85.413325191059073</v>
      </c>
      <c r="J54" s="130">
        <f t="shared" ref="J54" si="112">I54/I42-1</f>
        <v>-0.39570494340403028</v>
      </c>
      <c r="K54" s="136"/>
      <c r="L54" s="190"/>
      <c r="M54" s="190"/>
      <c r="N54" s="191"/>
      <c r="O54" s="192"/>
      <c r="P54" s="129" t="s">
        <v>1417</v>
      </c>
      <c r="Q54" s="116">
        <v>951103</v>
      </c>
      <c r="R54" s="116">
        <v>1378108615</v>
      </c>
      <c r="S54" s="116">
        <v>11135.3</v>
      </c>
      <c r="T54" s="130">
        <f t="shared" ref="T54" si="113">Q54/S54</f>
        <v>85.413325191059073</v>
      </c>
      <c r="U54" s="85">
        <f t="shared" ref="U54" si="114">Q52+Q53+Q54</f>
        <v>2389548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128128.99719887954</v>
      </c>
      <c r="C55" s="196">
        <f>AVERAGE(F53:F55)</f>
        <v>42709.665732959846</v>
      </c>
      <c r="D55" s="197">
        <f>C55/C52-1</f>
        <v>-1.4758598663218603E-2</v>
      </c>
      <c r="E55" s="233">
        <f>C55/C43-1</f>
        <v>-0.5874793105162599</v>
      </c>
      <c r="F55" s="136">
        <f>Q55/21</f>
        <v>44313.428571428572</v>
      </c>
      <c r="G55" s="190">
        <f t="shared" ref="G55" si="115">F55/F54-1</f>
        <v>-0.20794247761358586</v>
      </c>
      <c r="H55" s="190">
        <f t="shared" ref="H55" si="116">F55/F43-1</f>
        <v>-0.49262579815455831</v>
      </c>
      <c r="I55" s="130">
        <f>T55</f>
        <v>81.087990798347874</v>
      </c>
      <c r="J55" s="130">
        <f t="shared" ref="J55" si="117">I55/I43-1</f>
        <v>-0.41968893293580067</v>
      </c>
      <c r="K55" s="136">
        <f>R53+R54+R55</f>
        <v>3614655564</v>
      </c>
      <c r="L55" s="190">
        <f>U55/U52-1</f>
        <v>-4.4236582943932068E-2</v>
      </c>
      <c r="M55" s="190">
        <f>K55/K43-1</f>
        <v>-0.59112615877646291</v>
      </c>
      <c r="N55" s="191">
        <f>AVERAGE(T53:T55)</f>
        <v>84.239059547183317</v>
      </c>
      <c r="O55" s="192">
        <f>N55/N52-1</f>
        <v>-0.1527313627813327</v>
      </c>
      <c r="P55" s="129" t="s">
        <v>1418</v>
      </c>
      <c r="Q55" s="116">
        <v>930582</v>
      </c>
      <c r="R55" s="116">
        <v>1381100649</v>
      </c>
      <c r="S55" s="116">
        <v>11476.2</v>
      </c>
      <c r="T55" s="130">
        <f t="shared" ref="T55" si="118">Q55/S55</f>
        <v>81.087990798347874</v>
      </c>
      <c r="U55" s="85">
        <f t="shared" ref="U55" si="119">Q53+Q54+Q55</f>
        <v>2466920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22586.928571428572</v>
      </c>
      <c r="G56" s="254">
        <f t="shared" ref="G56" si="120">F56/F55-1</f>
        <v>-0.49029155947568293</v>
      </c>
      <c r="H56" s="254">
        <f t="shared" ref="H56" si="121">F56/F44-1</f>
        <v>-0.67385787242285666</v>
      </c>
      <c r="I56" s="282">
        <f>T56</f>
        <v>81.743614931237715</v>
      </c>
      <c r="J56" s="277">
        <f t="shared" ref="J56" si="122">I56/I44-1</f>
        <v>-0.37444693072681468</v>
      </c>
      <c r="K56" s="204"/>
      <c r="L56" s="254"/>
      <c r="M56" s="254"/>
      <c r="N56" s="257"/>
      <c r="O56" s="258"/>
      <c r="P56" s="129" t="s">
        <v>1420</v>
      </c>
      <c r="Q56" s="116">
        <v>316217</v>
      </c>
      <c r="R56" s="116">
        <v>477130631</v>
      </c>
      <c r="S56" s="116">
        <v>3868.4</v>
      </c>
      <c r="T56" s="130">
        <f t="shared" ref="T56" si="123">Q56/S56</f>
        <v>81.743614931237715</v>
      </c>
      <c r="U56" s="85">
        <f t="shared" ref="U56" si="124">Q54+Q55+Q56</f>
        <v>2197902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2783137</v>
      </c>
      <c r="R66" s="212">
        <v>4091786195</v>
      </c>
      <c r="S66" s="213">
        <v>33267.919999999998</v>
      </c>
      <c r="T66" s="214" t="s">
        <v>1421</v>
      </c>
      <c r="U66" s="214">
        <v>60</v>
      </c>
    </row>
    <row r="67" spans="16:21" ht="18" thickBot="1">
      <c r="P67" s="180" t="s">
        <v>976</v>
      </c>
      <c r="Q67" s="181">
        <v>585235</v>
      </c>
      <c r="R67" s="181">
        <v>855446300</v>
      </c>
      <c r="S67" s="182">
        <v>6788.02</v>
      </c>
      <c r="T67" s="210" t="s">
        <v>1421</v>
      </c>
      <c r="U67" s="210">
        <v>32</v>
      </c>
    </row>
    <row r="68" spans="16:21" ht="18" thickBot="1">
      <c r="P68" s="180" t="s">
        <v>977</v>
      </c>
      <c r="Q68" s="181">
        <v>951103</v>
      </c>
      <c r="R68" s="181">
        <v>1378108615</v>
      </c>
      <c r="S68" s="182">
        <v>11135.3</v>
      </c>
      <c r="T68" s="210" t="s">
        <v>1421</v>
      </c>
      <c r="U68" s="210">
        <v>41</v>
      </c>
    </row>
    <row r="69" spans="16:21" ht="18" thickBot="1">
      <c r="P69" s="180" t="s">
        <v>978</v>
      </c>
      <c r="Q69" s="181">
        <v>930582</v>
      </c>
      <c r="R69" s="181">
        <v>1381100649</v>
      </c>
      <c r="S69" s="182">
        <v>11476.2</v>
      </c>
      <c r="T69" s="210" t="s">
        <v>1421</v>
      </c>
      <c r="U69" s="210">
        <v>45</v>
      </c>
    </row>
    <row r="70" spans="16:21" ht="18" thickBot="1">
      <c r="P70" s="180" t="s">
        <v>979</v>
      </c>
      <c r="Q70" s="181">
        <v>316217</v>
      </c>
      <c r="R70" s="181">
        <v>477130631</v>
      </c>
      <c r="S70" s="182">
        <v>3868.4</v>
      </c>
      <c r="T70" s="210" t="s">
        <v>1421</v>
      </c>
      <c r="U70" s="210">
        <v>25</v>
      </c>
    </row>
    <row r="71" spans="16:21" ht="18" thickBot="1">
      <c r="P71" s="215" t="s">
        <v>975</v>
      </c>
      <c r="Q71" s="217"/>
      <c r="R71"/>
      <c r="S71"/>
      <c r="T71"/>
      <c r="U71"/>
    </row>
  </sheetData>
  <phoneticPr fontId="1" type="noConversion"/>
  <conditionalFormatting sqref="C29:C30">
    <cfRule type="cellIs" dxfId="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53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0">
        <v>8517791020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5251912.75</v>
      </c>
      <c r="G5" s="90"/>
      <c r="H5" s="90"/>
      <c r="I5" s="130">
        <f t="shared" ref="I5:I49" si="0">T5</f>
        <v>510.41794224678591</v>
      </c>
      <c r="J5" s="130"/>
      <c r="L5" s="80"/>
      <c r="M5" s="80"/>
      <c r="P5" s="129" t="s">
        <v>0</v>
      </c>
      <c r="Q5" s="116">
        <v>105038255</v>
      </c>
      <c r="R5" s="116"/>
      <c r="S5" s="116">
        <v>205788.72</v>
      </c>
      <c r="T5" s="130">
        <f t="shared" ref="T5:T21" si="1">Q5/S5</f>
        <v>510.41794224678591</v>
      </c>
      <c r="U5" s="85"/>
    </row>
    <row r="6" spans="1:21" ht="15" hidden="1" customHeight="1">
      <c r="A6" s="129" t="s">
        <v>1</v>
      </c>
      <c r="C6" s="79"/>
      <c r="F6" s="78">
        <f>Q6/18</f>
        <v>4441864.777777778</v>
      </c>
      <c r="G6" s="90">
        <f t="shared" ref="G6:G16" si="2">F6/F5-1</f>
        <v>-0.15423865756761135</v>
      </c>
      <c r="H6" s="90"/>
      <c r="I6" s="130">
        <f t="shared" si="0"/>
        <v>420.7828401095997</v>
      </c>
      <c r="J6" s="130"/>
      <c r="P6" s="129" t="s">
        <v>1</v>
      </c>
      <c r="Q6" s="116">
        <v>79953566</v>
      </c>
      <c r="R6" s="116"/>
      <c r="S6" s="116">
        <v>190011.47</v>
      </c>
      <c r="T6" s="130">
        <f t="shared" si="1"/>
        <v>420.7828401095997</v>
      </c>
      <c r="U6" s="85"/>
    </row>
    <row r="7" spans="1:21" ht="15" hidden="1" customHeight="1">
      <c r="A7" s="129" t="s">
        <v>2</v>
      </c>
      <c r="B7" s="131">
        <f>F5+F6+F7</f>
        <v>13649163.982323233</v>
      </c>
      <c r="C7" s="131">
        <f>AVERAGE(F5:F7)</f>
        <v>4549721.3274410777</v>
      </c>
      <c r="F7" s="78">
        <f>Q7/22</f>
        <v>3955386.4545454546</v>
      </c>
      <c r="G7" s="90">
        <f t="shared" si="2"/>
        <v>-0.10952119156488682</v>
      </c>
      <c r="H7" s="90"/>
      <c r="I7" s="130">
        <f t="shared" si="0"/>
        <v>428.78041211424562</v>
      </c>
      <c r="J7" s="130"/>
      <c r="K7" s="79">
        <f>R5+R6+R7</f>
        <v>0</v>
      </c>
      <c r="N7" s="88">
        <f>AVERAGE(T5:T7)</f>
        <v>453.32706482354371</v>
      </c>
      <c r="P7" s="129" t="s">
        <v>2</v>
      </c>
      <c r="Q7" s="116">
        <v>87018502</v>
      </c>
      <c r="R7" s="116"/>
      <c r="S7" s="116">
        <v>202944.21</v>
      </c>
      <c r="T7" s="130">
        <f t="shared" si="1"/>
        <v>428.78041211424562</v>
      </c>
      <c r="U7" s="85">
        <f>Q5+Q6+Q7</f>
        <v>272010323</v>
      </c>
    </row>
    <row r="8" spans="1:21" ht="15" hidden="1" customHeight="1">
      <c r="A8" s="129" t="s">
        <v>3</v>
      </c>
      <c r="C8" s="79"/>
      <c r="F8" s="78">
        <f>Q8/21</f>
        <v>5124468.8095238097</v>
      </c>
      <c r="G8" s="90">
        <f t="shared" si="2"/>
        <v>0.29556716351568335</v>
      </c>
      <c r="H8" s="90"/>
      <c r="I8" s="130">
        <f t="shared" si="0"/>
        <v>510.52904213922477</v>
      </c>
      <c r="J8" s="130"/>
      <c r="K8" s="78"/>
      <c r="P8" s="129" t="s">
        <v>3</v>
      </c>
      <c r="Q8" s="116">
        <v>107613845</v>
      </c>
      <c r="R8" s="116"/>
      <c r="S8" s="116">
        <v>210788.88</v>
      </c>
      <c r="T8" s="130">
        <f t="shared" si="1"/>
        <v>510.52904213922477</v>
      </c>
      <c r="U8" s="85"/>
    </row>
    <row r="9" spans="1:21" ht="15" hidden="1" customHeight="1">
      <c r="A9" s="129" t="s">
        <v>4</v>
      </c>
      <c r="C9" s="79"/>
      <c r="F9" s="78">
        <f>Q9/21</f>
        <v>4737626.7619047621</v>
      </c>
      <c r="G9" s="90">
        <f t="shared" si="2"/>
        <v>-7.5489199368352633E-2</v>
      </c>
      <c r="H9" s="90"/>
      <c r="I9" s="130">
        <f t="shared" si="0"/>
        <v>496.17613351300514</v>
      </c>
      <c r="J9" s="130"/>
      <c r="K9" s="78"/>
      <c r="P9" s="129" t="s">
        <v>4</v>
      </c>
      <c r="Q9" s="116">
        <v>99490162</v>
      </c>
      <c r="R9" s="116"/>
      <c r="S9" s="116">
        <v>200513.8</v>
      </c>
      <c r="T9" s="130">
        <f t="shared" si="1"/>
        <v>496.17613351300514</v>
      </c>
      <c r="U9" s="85"/>
    </row>
    <row r="10" spans="1:21" ht="15" hidden="1" customHeight="1">
      <c r="A10" s="129" t="s">
        <v>5</v>
      </c>
      <c r="B10" s="131">
        <f>F8+F9+F10</f>
        <v>13978751.142857142</v>
      </c>
      <c r="C10" s="131">
        <f>AVERAGE(F8:F10)</f>
        <v>4659583.7142857136</v>
      </c>
      <c r="D10" s="90">
        <f>C10/C7-1</f>
        <v>2.414705845433085E-2</v>
      </c>
      <c r="E10" s="286"/>
      <c r="F10" s="78">
        <f>Q10/21</f>
        <v>4116655.5714285714</v>
      </c>
      <c r="G10" s="90">
        <f t="shared" si="2"/>
        <v>-0.13107220591318369</v>
      </c>
      <c r="H10" s="90"/>
      <c r="I10" s="130">
        <f t="shared" si="0"/>
        <v>498.43189271618098</v>
      </c>
      <c r="J10" s="130"/>
      <c r="K10" s="79">
        <f>R8+R9+R10</f>
        <v>0</v>
      </c>
      <c r="L10" s="87">
        <f>U10/U7-1</f>
        <v>7.9200858123314788E-2</v>
      </c>
      <c r="N10" s="88">
        <f>AVERAGE(T8:T10)</f>
        <v>501.71235612280361</v>
      </c>
      <c r="O10" s="89">
        <f>N10/N7-1</f>
        <v>0.10673373608984438</v>
      </c>
      <c r="P10" s="129" t="s">
        <v>5</v>
      </c>
      <c r="Q10" s="116">
        <v>86449767</v>
      </c>
      <c r="R10" s="116"/>
      <c r="S10" s="116">
        <v>173443.49</v>
      </c>
      <c r="T10" s="130">
        <f t="shared" si="1"/>
        <v>498.43189271618098</v>
      </c>
      <c r="U10" s="85">
        <f>Q8+Q9+Q10</f>
        <v>293553774</v>
      </c>
    </row>
    <row r="11" spans="1:21" ht="15" hidden="1" customHeight="1">
      <c r="A11" s="129" t="s">
        <v>6</v>
      </c>
      <c r="C11" s="79"/>
      <c r="F11" s="78">
        <f>Q11/21</f>
        <v>5265741.333333333</v>
      </c>
      <c r="G11" s="90">
        <f t="shared" si="2"/>
        <v>0.27913089690571402</v>
      </c>
      <c r="H11" s="90"/>
      <c r="I11" s="130">
        <f t="shared" si="0"/>
        <v>673.05418466155254</v>
      </c>
      <c r="J11" s="130"/>
      <c r="K11" s="78"/>
      <c r="O11" s="89"/>
      <c r="P11" s="129" t="s">
        <v>6</v>
      </c>
      <c r="Q11" s="116">
        <v>110580568</v>
      </c>
      <c r="R11" s="116"/>
      <c r="S11" s="116">
        <v>164296.68</v>
      </c>
      <c r="T11" s="130">
        <f t="shared" si="1"/>
        <v>673.05418466155254</v>
      </c>
      <c r="U11" s="85"/>
    </row>
    <row r="12" spans="1:21" ht="15" hidden="1" customHeight="1">
      <c r="A12" s="129" t="s">
        <v>7</v>
      </c>
      <c r="C12" s="79"/>
      <c r="F12" s="78">
        <f>Q12/22</f>
        <v>4783751.6818181816</v>
      </c>
      <c r="G12" s="90">
        <f t="shared" si="2"/>
        <v>-9.153310445844498E-2</v>
      </c>
      <c r="H12" s="90"/>
      <c r="I12" s="130">
        <f t="shared" si="0"/>
        <v>616.91505242303322</v>
      </c>
      <c r="J12" s="130"/>
      <c r="K12" s="78"/>
      <c r="O12" s="89"/>
      <c r="P12" s="129" t="s">
        <v>7</v>
      </c>
      <c r="Q12" s="116">
        <v>105242537</v>
      </c>
      <c r="R12" s="116"/>
      <c r="S12" s="116">
        <v>170594.86</v>
      </c>
      <c r="T12" s="130">
        <f t="shared" si="1"/>
        <v>616.91505242303322</v>
      </c>
      <c r="U12" s="85"/>
    </row>
    <row r="13" spans="1:21" ht="15" hidden="1" customHeight="1">
      <c r="A13" s="129" t="s">
        <v>96</v>
      </c>
      <c r="B13" s="131">
        <f>F11+F12+F13</f>
        <v>15144573.965151515</v>
      </c>
      <c r="C13" s="131">
        <f>AVERAGE(F11:F13)</f>
        <v>5048191.3217171719</v>
      </c>
      <c r="D13" s="90">
        <f>C13/C10-1</f>
        <v>8.3399640667477515E-2</v>
      </c>
      <c r="E13" s="286"/>
      <c r="F13" s="78">
        <f>Q13/20</f>
        <v>5095080.95</v>
      </c>
      <c r="G13" s="90">
        <f t="shared" si="2"/>
        <v>6.5080566235304671E-2</v>
      </c>
      <c r="H13" s="90"/>
      <c r="I13" s="130">
        <f t="shared" si="0"/>
        <v>586.53784642956373</v>
      </c>
      <c r="J13" s="130"/>
      <c r="K13" s="78">
        <f>R11+R12+R13</f>
        <v>0</v>
      </c>
      <c r="L13" s="87">
        <f>U13/U10-1</f>
        <v>8.2339087897401742E-2</v>
      </c>
      <c r="N13" s="88">
        <f>AVERAGE(T11:T13)</f>
        <v>625.5023611713832</v>
      </c>
      <c r="O13" s="89">
        <f>N13/N10-1</f>
        <v>0.24673501367440842</v>
      </c>
      <c r="P13" s="129" t="s">
        <v>96</v>
      </c>
      <c r="Q13" s="116">
        <v>101901619</v>
      </c>
      <c r="R13" s="116"/>
      <c r="S13" s="116">
        <v>173734.09</v>
      </c>
      <c r="T13" s="130">
        <f t="shared" si="1"/>
        <v>586.53784642956373</v>
      </c>
      <c r="U13" s="85">
        <f>Q11+Q12+Q13</f>
        <v>317724724</v>
      </c>
    </row>
    <row r="14" spans="1:21" ht="15" hidden="1" customHeight="1">
      <c r="A14" s="129" t="s">
        <v>97</v>
      </c>
      <c r="C14" s="79"/>
      <c r="F14" s="78">
        <f>Q14/20</f>
        <v>10139145.300000001</v>
      </c>
      <c r="G14" s="90">
        <f t="shared" si="2"/>
        <v>0.98998708744755093</v>
      </c>
      <c r="H14" s="90"/>
      <c r="I14" s="130">
        <f t="shared" si="0"/>
        <v>1179.3441398201255</v>
      </c>
      <c r="J14" s="130"/>
      <c r="O14" s="89"/>
      <c r="P14" s="129" t="s">
        <v>97</v>
      </c>
      <c r="Q14" s="116">
        <v>202782906</v>
      </c>
      <c r="R14" s="116"/>
      <c r="S14" s="116">
        <v>171945.49</v>
      </c>
      <c r="T14" s="130">
        <f t="shared" si="1"/>
        <v>1179.3441398201255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7244942.6363636367</v>
      </c>
      <c r="G15" s="90">
        <f t="shared" si="2"/>
        <v>-0.28544838622998758</v>
      </c>
      <c r="H15" s="90"/>
      <c r="I15" s="130">
        <f t="shared" si="0"/>
        <v>924.75258944669019</v>
      </c>
      <c r="J15" s="130"/>
      <c r="O15" s="89"/>
      <c r="P15" s="129" t="s">
        <v>98</v>
      </c>
      <c r="Q15" s="116">
        <v>159388738</v>
      </c>
      <c r="R15" s="116"/>
      <c r="S15" s="116">
        <v>172358.25</v>
      </c>
      <c r="T15" s="130">
        <f t="shared" si="1"/>
        <v>924.75258944669019</v>
      </c>
      <c r="U15" s="85"/>
    </row>
    <row r="16" spans="1:21" ht="15" hidden="1" customHeight="1">
      <c r="A16" s="129" t="s">
        <v>99</v>
      </c>
      <c r="B16" s="131">
        <f>F14+F15+F16</f>
        <v>27130492.936363637</v>
      </c>
      <c r="C16" s="131">
        <f>AVERAGE(F14:F16)</f>
        <v>9043497.6454545464</v>
      </c>
      <c r="D16" s="90">
        <f>C16/C13-1</f>
        <v>0.7914332221422915</v>
      </c>
      <c r="E16" s="286"/>
      <c r="F16" s="78">
        <f>Q16/22</f>
        <v>9746405</v>
      </c>
      <c r="G16" s="90">
        <f t="shared" si="2"/>
        <v>0.34527014072976714</v>
      </c>
      <c r="H16" s="90"/>
      <c r="I16" s="130">
        <f t="shared" si="0"/>
        <v>1472.728740067434</v>
      </c>
      <c r="J16" s="130"/>
      <c r="K16" s="78">
        <f>R14+R15+R16</f>
        <v>0</v>
      </c>
      <c r="L16" s="87">
        <f>U16/U13-1</f>
        <v>0.81475507080777265</v>
      </c>
      <c r="N16" s="88">
        <f>AVERAGE(T14:T16)</f>
        <v>1192.2751564447499</v>
      </c>
      <c r="O16" s="89">
        <f>N16/N13-1</f>
        <v>0.90610816274452866</v>
      </c>
      <c r="P16" s="129" t="s">
        <v>99</v>
      </c>
      <c r="Q16" s="116">
        <v>214420910</v>
      </c>
      <c r="R16" s="116"/>
      <c r="S16" s="116">
        <v>145594.29999999999</v>
      </c>
      <c r="T16" s="130">
        <f t="shared" si="1"/>
        <v>1472.728740067434</v>
      </c>
      <c r="U16" s="85">
        <f>Q14+Q15+Q16</f>
        <v>576592554</v>
      </c>
    </row>
    <row r="17" spans="1:21" ht="15" hidden="1" customHeight="1">
      <c r="A17" s="129" t="s">
        <v>100</v>
      </c>
      <c r="C17" s="79"/>
      <c r="F17" s="78">
        <f>Q17/20</f>
        <v>9430890.25</v>
      </c>
      <c r="G17" s="90">
        <f t="shared" ref="G17:G22" si="3">F17/F16-1</f>
        <v>-3.2372423473065237E-2</v>
      </c>
      <c r="H17" s="90">
        <f t="shared" ref="H17:H22" si="4">F17/F5-1</f>
        <v>0.79570581213482661</v>
      </c>
      <c r="I17" s="130">
        <f t="shared" si="0"/>
        <v>1321.8836381251319</v>
      </c>
      <c r="J17" s="130">
        <f t="shared" ref="J17:J49" si="5">I17/I5-1</f>
        <v>1.5898063698669986</v>
      </c>
      <c r="O17" s="89"/>
      <c r="P17" s="129" t="s">
        <v>100</v>
      </c>
      <c r="Q17" s="116">
        <v>188617805</v>
      </c>
      <c r="R17" s="116">
        <v>237239267106</v>
      </c>
      <c r="S17" s="116">
        <v>142688.66</v>
      </c>
      <c r="T17" s="130">
        <f t="shared" si="1"/>
        <v>1321.8836381251319</v>
      </c>
      <c r="U17" s="78"/>
    </row>
    <row r="18" spans="1:21" hidden="1">
      <c r="A18" s="129" t="s">
        <v>106</v>
      </c>
      <c r="C18" s="79"/>
      <c r="F18" s="78">
        <f>Q18/20</f>
        <v>7815101.7999999998</v>
      </c>
      <c r="G18" s="90">
        <f t="shared" si="3"/>
        <v>-0.17132936628119499</v>
      </c>
      <c r="H18" s="90">
        <f t="shared" si="4"/>
        <v>0.75941911584031141</v>
      </c>
      <c r="I18" s="130">
        <f t="shared" si="0"/>
        <v>1210.0407142816775</v>
      </c>
      <c r="J18" s="130">
        <f t="shared" si="5"/>
        <v>1.8756893079729746</v>
      </c>
      <c r="O18" s="89"/>
      <c r="P18" s="129" t="s">
        <v>106</v>
      </c>
      <c r="Q18" s="116">
        <v>156302036</v>
      </c>
      <c r="R18" s="116">
        <v>195791688690</v>
      </c>
      <c r="S18" s="116">
        <v>129170.89</v>
      </c>
      <c r="T18" s="130">
        <f t="shared" si="1"/>
        <v>1210.0407142816775</v>
      </c>
      <c r="U18" s="78"/>
    </row>
    <row r="19" spans="1:21" hidden="1">
      <c r="A19" s="129" t="s">
        <v>114</v>
      </c>
      <c r="B19" s="131">
        <f>SUM(F17:F19)</f>
        <v>23821591.186363637</v>
      </c>
      <c r="C19" s="131">
        <f>AVERAGE(F17:F19)</f>
        <v>7940530.3954545455</v>
      </c>
      <c r="D19" s="90">
        <f>C19/C16-1</f>
        <v>-0.12196246333456784</v>
      </c>
      <c r="E19" s="286">
        <f>C19/C7-1</f>
        <v>0.74527840805594514</v>
      </c>
      <c r="F19" s="78">
        <f>Q19/22</f>
        <v>6575599.1363636367</v>
      </c>
      <c r="G19" s="90">
        <f t="shared" si="3"/>
        <v>-0.158603521151364</v>
      </c>
      <c r="H19" s="90">
        <f t="shared" si="4"/>
        <v>0.66244163798636757</v>
      </c>
      <c r="I19" s="130">
        <f t="shared" si="0"/>
        <v>873.11734666040263</v>
      </c>
      <c r="J19" s="130">
        <f t="shared" si="5"/>
        <v>1.0362808607678806</v>
      </c>
      <c r="K19" s="78">
        <f>R17+R18+R19</f>
        <v>622130226973</v>
      </c>
      <c r="L19" s="87">
        <f>U19/U16-1</f>
        <v>-0.15090297541372688</v>
      </c>
      <c r="M19" s="87">
        <f>U19/U7-1</f>
        <v>0.79986927187318546</v>
      </c>
      <c r="N19" s="88">
        <f>AVERAGE(T17:T19)</f>
        <v>1135.0138996890707</v>
      </c>
      <c r="O19" s="89">
        <f>N19/N16-1</f>
        <v>-4.8026880746577572E-2</v>
      </c>
      <c r="P19" s="129" t="s">
        <v>114</v>
      </c>
      <c r="Q19" s="116">
        <v>144663181</v>
      </c>
      <c r="R19" s="116">
        <v>189099271177</v>
      </c>
      <c r="S19" s="116">
        <v>165685.84</v>
      </c>
      <c r="T19" s="130">
        <f t="shared" si="1"/>
        <v>873.11734666040263</v>
      </c>
      <c r="U19" s="85">
        <f>Q17+Q18+Q19</f>
        <v>489583022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5971784</v>
      </c>
      <c r="G20" s="90">
        <f t="shared" si="3"/>
        <v>-9.1826634173072685E-2</v>
      </c>
      <c r="H20" s="90">
        <f t="shared" si="4"/>
        <v>0.16534693096413378</v>
      </c>
      <c r="I20" s="130">
        <f t="shared" si="0"/>
        <v>1053.0743450295765</v>
      </c>
      <c r="J20" s="130">
        <f t="shared" si="5"/>
        <v>1.0627119284281501</v>
      </c>
      <c r="O20" s="89"/>
      <c r="P20" s="129" t="s">
        <v>131</v>
      </c>
      <c r="Q20" s="116">
        <v>119435680</v>
      </c>
      <c r="R20" s="116">
        <v>156519176449</v>
      </c>
      <c r="S20" s="116">
        <v>113416.19</v>
      </c>
      <c r="T20" s="130">
        <f t="shared" si="1"/>
        <v>1053.0743450295765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6364949.1428571427</v>
      </c>
      <c r="G21" s="90">
        <f t="shared" si="3"/>
        <v>6.5837133904565581E-2</v>
      </c>
      <c r="H21" s="90">
        <f t="shared" si="4"/>
        <v>0.34348893712727091</v>
      </c>
      <c r="I21" s="130">
        <f t="shared" si="0"/>
        <v>1056.0671071952431</v>
      </c>
      <c r="J21" s="130">
        <f t="shared" si="5"/>
        <v>1.1284117390292874</v>
      </c>
      <c r="O21" s="89"/>
      <c r="P21" s="129" t="s">
        <v>141</v>
      </c>
      <c r="Q21" s="116">
        <v>133663932</v>
      </c>
      <c r="R21" s="116">
        <v>177871182663</v>
      </c>
      <c r="S21" s="116">
        <v>126567.65</v>
      </c>
      <c r="T21" s="130">
        <f t="shared" si="1"/>
        <v>1056.0671071952431</v>
      </c>
      <c r="U21" s="78"/>
    </row>
    <row r="22" spans="1:21" hidden="1">
      <c r="A22" s="129" t="s">
        <v>156</v>
      </c>
      <c r="B22" s="131">
        <f>SUM(F20:F22)</f>
        <v>19775707.714285713</v>
      </c>
      <c r="C22" s="131">
        <f>AVERAGE(F20:F22)</f>
        <v>6591902.5714285709</v>
      </c>
      <c r="D22" s="90">
        <f>C22/C19-1</f>
        <v>-0.1698410253297411</v>
      </c>
      <c r="E22" s="286">
        <f>C22/C10-1</f>
        <v>0.41469774461152054</v>
      </c>
      <c r="F22" s="78">
        <f>Q22/21</f>
        <v>7438974.5714285718</v>
      </c>
      <c r="G22" s="90">
        <f t="shared" si="3"/>
        <v>0.16874061433416476</v>
      </c>
      <c r="H22" s="90">
        <f t="shared" si="4"/>
        <v>0.80704322777411308</v>
      </c>
      <c r="I22" s="130">
        <f t="shared" si="0"/>
        <v>1045.2513994141395</v>
      </c>
      <c r="J22" s="130">
        <f t="shared" si="5"/>
        <v>1.0970796907037621</v>
      </c>
      <c r="K22" s="78">
        <f>R20+R21+R22</f>
        <v>537834937475</v>
      </c>
      <c r="L22" s="87">
        <f>U22/U19-1</f>
        <v>-0.16394552178731392</v>
      </c>
      <c r="M22" s="87">
        <f>U22/U10-1</f>
        <v>0.39435467792691359</v>
      </c>
      <c r="N22" s="88">
        <f>AVERAGE(T20:T22)</f>
        <v>1051.4642838796531</v>
      </c>
      <c r="O22" s="89">
        <f>N22/N19-1</f>
        <v>-7.3611094835319246E-2</v>
      </c>
      <c r="P22" s="129" t="s">
        <v>156</v>
      </c>
      <c r="Q22" s="116">
        <v>156218466</v>
      </c>
      <c r="R22" s="116">
        <v>203444578363</v>
      </c>
      <c r="S22" s="116">
        <v>149455.4</v>
      </c>
      <c r="T22" s="130">
        <f t="shared" ref="T22:T23" si="6">Q22/S22</f>
        <v>1045.2513994141395</v>
      </c>
      <c r="U22" s="85">
        <f>Q20+Q21+Q22</f>
        <v>409318078</v>
      </c>
    </row>
    <row r="23" spans="1:21" hidden="1">
      <c r="A23" s="129" t="s">
        <v>189</v>
      </c>
      <c r="B23" s="131"/>
      <c r="C23" s="131"/>
      <c r="F23" s="78">
        <f>Q23/21</f>
        <v>10474068.761904761</v>
      </c>
      <c r="G23" s="90">
        <f t="shared" ref="G23" si="7">F23/F22-1</f>
        <v>0.40799900057909899</v>
      </c>
      <c r="H23" s="90">
        <f t="shared" ref="H23" si="8">F23/F11-1</f>
        <v>0.98909671001147315</v>
      </c>
      <c r="I23" s="130">
        <f t="shared" si="0"/>
        <v>1413.0019557981273</v>
      </c>
      <c r="J23" s="130">
        <f t="shared" si="5"/>
        <v>1.0993881146562661</v>
      </c>
      <c r="O23" s="89"/>
      <c r="P23" s="129" t="s">
        <v>189</v>
      </c>
      <c r="Q23" s="116">
        <v>219955444</v>
      </c>
      <c r="R23" s="116">
        <v>284375064626</v>
      </c>
      <c r="S23" s="116">
        <v>155665.35</v>
      </c>
      <c r="T23" s="130">
        <f t="shared" si="6"/>
        <v>1413.0019557981273</v>
      </c>
      <c r="U23" s="78"/>
    </row>
    <row r="24" spans="1:21" hidden="1">
      <c r="A24" s="129" t="s">
        <v>204</v>
      </c>
      <c r="B24" s="131"/>
      <c r="C24" s="131"/>
      <c r="F24" s="78">
        <f>Q24/22</f>
        <v>9419619.3636363633</v>
      </c>
      <c r="G24" s="90">
        <f t="shared" ref="G24" si="9">F24/F23-1</f>
        <v>-0.1006723769184652</v>
      </c>
      <c r="H24" s="90">
        <f t="shared" ref="H24" si="10">F24/F12-1</f>
        <v>0.96908618803060587</v>
      </c>
      <c r="I24" s="130">
        <f t="shared" si="0"/>
        <v>1419.3975179813715</v>
      </c>
      <c r="J24" s="130">
        <f t="shared" si="5"/>
        <v>1.3007989712788803</v>
      </c>
      <c r="O24" s="89"/>
      <c r="P24" s="129" t="s">
        <v>204</v>
      </c>
      <c r="Q24" s="116">
        <v>207231626</v>
      </c>
      <c r="R24" s="116">
        <v>271062192600</v>
      </c>
      <c r="S24" s="116">
        <v>145999.71</v>
      </c>
      <c r="T24" s="130">
        <f t="shared" ref="T24" si="11">Q24/S24</f>
        <v>1419.3975179813715</v>
      </c>
      <c r="U24" s="78"/>
    </row>
    <row r="25" spans="1:21" s="79" customFormat="1" ht="13.2" hidden="1">
      <c r="A25" s="129" t="s">
        <v>219</v>
      </c>
      <c r="B25" s="131">
        <f>SUM(F23:F25)</f>
        <v>30998045.757120073</v>
      </c>
      <c r="C25" s="131">
        <f>AVERAGE(F23:F25)</f>
        <v>10332681.919040024</v>
      </c>
      <c r="D25" s="90">
        <f>C25/C22-1</f>
        <v>0.5674809824746494</v>
      </c>
      <c r="E25" s="286">
        <f>C25/C13-1</f>
        <v>1.0468087004922193</v>
      </c>
      <c r="F25" s="78">
        <f>Q25/19</f>
        <v>11104357.631578946</v>
      </c>
      <c r="G25" s="90">
        <f t="shared" ref="G25" si="12">F25/F24-1</f>
        <v>0.17885417689449024</v>
      </c>
      <c r="H25" s="90">
        <f t="shared" ref="H25" si="13">F25/F13-1</f>
        <v>1.1794271259966824</v>
      </c>
      <c r="I25" s="130">
        <f t="shared" si="0"/>
        <v>1319.5152456152716</v>
      </c>
      <c r="J25" s="130">
        <f t="shared" si="5"/>
        <v>1.2496676960362691</v>
      </c>
      <c r="K25" s="78">
        <f>R23+R24+R25</f>
        <v>835530626267</v>
      </c>
      <c r="L25" s="90">
        <f>U25/U22-1</f>
        <v>0.55910500732879909</v>
      </c>
      <c r="M25" s="90">
        <f>U25/U13-1</f>
        <v>1.0085621822744901</v>
      </c>
      <c r="N25" s="88">
        <f>AVERAGE(T23:T25)</f>
        <v>1383.97157313159</v>
      </c>
      <c r="O25" s="91">
        <f>N25/N22-1</f>
        <v>0.31623260471108372</v>
      </c>
      <c r="P25" s="129" t="s">
        <v>219</v>
      </c>
      <c r="Q25" s="116">
        <v>210982795</v>
      </c>
      <c r="R25" s="116">
        <v>280093369041</v>
      </c>
      <c r="S25" s="116">
        <v>159894.17000000001</v>
      </c>
      <c r="T25" s="130">
        <f t="shared" ref="T25" si="14">Q25/S25</f>
        <v>1319.5152456152716</v>
      </c>
      <c r="U25" s="85">
        <f>Q23+Q24+Q25</f>
        <v>638169865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13214013.263157895</v>
      </c>
      <c r="G26" s="90">
        <f t="shared" ref="G26" si="15">F26/F25-1</f>
        <v>0.18998448191000605</v>
      </c>
      <c r="H26" s="90">
        <f t="shared" ref="H26" si="16">F26/F14-1</f>
        <v>0.3032669788407012</v>
      </c>
      <c r="I26" s="130">
        <f t="shared" si="0"/>
        <v>1523.7607659277467</v>
      </c>
      <c r="J26" s="130">
        <f t="shared" si="5"/>
        <v>0.29204081699185092</v>
      </c>
      <c r="L26" s="90"/>
      <c r="M26" s="90"/>
      <c r="P26" s="129" t="s">
        <v>312</v>
      </c>
      <c r="Q26" s="116">
        <v>251066252</v>
      </c>
      <c r="R26" s="116">
        <v>338152450164</v>
      </c>
      <c r="S26" s="116">
        <v>164767.5</v>
      </c>
      <c r="T26" s="130">
        <f t="shared" ref="T26" si="17">Q26/S26</f>
        <v>1523.7607659277467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10151050.909090908</v>
      </c>
      <c r="G27" s="90">
        <f t="shared" ref="G27" si="18">F27/F26-1</f>
        <v>-0.23179652487612212</v>
      </c>
      <c r="H27" s="90">
        <f t="shared" ref="H27" si="19">F27/F15-1</f>
        <v>0.40112233023640576</v>
      </c>
      <c r="I27" s="130">
        <f t="shared" si="0"/>
        <v>1320.5858252597006</v>
      </c>
      <c r="J27" s="130">
        <f t="shared" si="5"/>
        <v>0.42804231134929882</v>
      </c>
      <c r="L27" s="90"/>
      <c r="M27" s="90"/>
      <c r="P27" s="129" t="s">
        <v>377</v>
      </c>
      <c r="Q27" s="116">
        <v>223323120</v>
      </c>
      <c r="R27" s="116">
        <v>295645906391</v>
      </c>
      <c r="S27" s="116">
        <v>169109.13</v>
      </c>
      <c r="T27" s="130">
        <f t="shared" ref="T27" si="20">Q27/S27</f>
        <v>1320.5858252597006</v>
      </c>
      <c r="U27" s="78"/>
    </row>
    <row r="28" spans="1:21" s="79" customFormat="1" ht="13.2" hidden="1">
      <c r="A28" s="123" t="s">
        <v>415</v>
      </c>
      <c r="B28" s="131">
        <f>SUM(F26:F28)</f>
        <v>31522535.593301434</v>
      </c>
      <c r="C28" s="131">
        <f>AVERAGE(F26:F28)</f>
        <v>10507511.864433812</v>
      </c>
      <c r="D28" s="90">
        <f>C28/C25-1</f>
        <v>1.692009361786595E-2</v>
      </c>
      <c r="E28" s="286">
        <f>C28/C16-1</f>
        <v>0.16188584067527345</v>
      </c>
      <c r="F28" s="78">
        <f>Q28/19</f>
        <v>8157471.4210526319</v>
      </c>
      <c r="G28" s="90">
        <f t="shared" ref="G28" si="21">F28/F27-1</f>
        <v>-0.1963914382749179</v>
      </c>
      <c r="H28" s="90">
        <f t="shared" ref="H28" si="22">F28/F16-1</f>
        <v>-0.16302765778226613</v>
      </c>
      <c r="I28" s="130">
        <f t="shared" si="0"/>
        <v>1142.6390286032135</v>
      </c>
      <c r="J28" s="130">
        <f t="shared" si="5"/>
        <v>-0.22413476595092874</v>
      </c>
      <c r="K28" s="78">
        <f>R26+R27+R28</f>
        <v>835855376884</v>
      </c>
      <c r="L28" s="90">
        <f>U28/U25-1</f>
        <v>-1.3771468196794312E-2</v>
      </c>
      <c r="M28" s="90">
        <f>U28/U16-1</f>
        <v>9.1552994629895856E-2</v>
      </c>
      <c r="N28" s="88">
        <f>AVERAGE(T26:T28)</f>
        <v>1328.9952065968871</v>
      </c>
      <c r="O28" s="91">
        <f>N28/N25-1</f>
        <v>-3.9723624098943588E-2</v>
      </c>
      <c r="P28" s="129" t="s">
        <v>416</v>
      </c>
      <c r="Q28" s="116">
        <v>154991957</v>
      </c>
      <c r="R28" s="116">
        <v>202057020329</v>
      </c>
      <c r="S28" s="116">
        <v>135643.85</v>
      </c>
      <c r="T28" s="130">
        <f t="shared" ref="T28" si="23">Q28/S28</f>
        <v>1142.6390286032135</v>
      </c>
      <c r="U28" s="85">
        <f>Q26+Q27+Q28</f>
        <v>629381329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8459541.7272727266</v>
      </c>
      <c r="G29" s="190">
        <f t="shared" ref="G29" si="24">F29/F28-1</f>
        <v>3.7029894513699091E-2</v>
      </c>
      <c r="H29" s="190">
        <f t="shared" ref="H29" si="25">F29/F17-1</f>
        <v>-0.10299648251417981</v>
      </c>
      <c r="I29" s="130">
        <f t="shared" si="0"/>
        <v>1077.1154960474687</v>
      </c>
      <c r="J29" s="130">
        <f t="shared" si="5"/>
        <v>-0.18516617879076358</v>
      </c>
      <c r="K29" s="136"/>
      <c r="L29" s="190"/>
      <c r="M29" s="190"/>
      <c r="N29" s="191"/>
      <c r="O29" s="192"/>
      <c r="P29" s="129" t="s">
        <v>427</v>
      </c>
      <c r="Q29" s="116">
        <v>186109918</v>
      </c>
      <c r="R29" s="116">
        <v>244276686250</v>
      </c>
      <c r="S29" s="116">
        <v>172785.48</v>
      </c>
      <c r="T29" s="130">
        <f t="shared" ref="T29" si="26">Q29/S29</f>
        <v>1077.1154960474687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6843687.8421052629</v>
      </c>
      <c r="G30" s="190">
        <f t="shared" ref="G30" si="27">F30/F29-1</f>
        <v>-0.19100962407432909</v>
      </c>
      <c r="H30" s="190">
        <f t="shared" ref="H30" si="28">F30/F18-1</f>
        <v>-0.12429959106799315</v>
      </c>
      <c r="I30" s="130">
        <f t="shared" si="0"/>
        <v>826.31662964670988</v>
      </c>
      <c r="J30" s="130">
        <f t="shared" si="5"/>
        <v>-0.31711667227888252</v>
      </c>
      <c r="K30" s="136"/>
      <c r="L30" s="190"/>
      <c r="M30" s="190"/>
      <c r="N30" s="191"/>
      <c r="O30" s="192"/>
      <c r="P30" s="129" t="s">
        <v>466</v>
      </c>
      <c r="Q30" s="116">
        <v>130030069</v>
      </c>
      <c r="R30" s="116">
        <v>173325442480</v>
      </c>
      <c r="S30" s="116">
        <v>157361.07</v>
      </c>
      <c r="T30" s="130">
        <f t="shared" ref="T30" si="29">Q30/S30</f>
        <v>826.31662964670988</v>
      </c>
      <c r="U30" s="85"/>
    </row>
    <row r="31" spans="1:21" s="79" customFormat="1" ht="13.2" hidden="1">
      <c r="A31" s="129" t="s">
        <v>505</v>
      </c>
      <c r="B31" s="188">
        <f>SUM(F29:F31)</f>
        <v>23853299.619377989</v>
      </c>
      <c r="C31" s="188">
        <f>AVERAGE(F29:F31)</f>
        <v>7951099.8731259964</v>
      </c>
      <c r="D31" s="190">
        <f>C31/C28-1</f>
        <v>-0.24329375253535013</v>
      </c>
      <c r="E31" s="287">
        <f>C31/C19-1</f>
        <v>1.3310795557814892E-3</v>
      </c>
      <c r="F31" s="136">
        <f>Q31/20</f>
        <v>8550070.0500000007</v>
      </c>
      <c r="G31" s="190">
        <f t="shared" ref="G31" si="30">F31/F30-1</f>
        <v>0.24933665112490266</v>
      </c>
      <c r="H31" s="190">
        <f t="shared" ref="H31" si="31">F31/F19-1</f>
        <v>0.3002723968858394</v>
      </c>
      <c r="I31" s="130">
        <f t="shared" si="0"/>
        <v>1126.288592028287</v>
      </c>
      <c r="J31" s="130">
        <f t="shared" si="5"/>
        <v>0.28996245044980751</v>
      </c>
      <c r="K31" s="136">
        <f>R29+R30+R31</f>
        <v>644952795379</v>
      </c>
      <c r="L31" s="190">
        <f>U31/U28-1</f>
        <v>-0.22599961969955418</v>
      </c>
      <c r="M31" s="190">
        <f>U31/U19-1</f>
        <v>-4.9871704905649628E-3</v>
      </c>
      <c r="N31" s="191">
        <f>AVERAGE(T29:T31)</f>
        <v>1009.9069059074885</v>
      </c>
      <c r="O31" s="192">
        <f>N31/N28-1</f>
        <v>-0.24009740524683842</v>
      </c>
      <c r="P31" s="129" t="s">
        <v>505</v>
      </c>
      <c r="Q31" s="116">
        <v>171001401</v>
      </c>
      <c r="R31" s="116">
        <v>227350666649</v>
      </c>
      <c r="S31" s="116">
        <v>151827.34</v>
      </c>
      <c r="T31" s="130">
        <f t="shared" ref="T31" si="32">Q31/S31</f>
        <v>1126.288592028287</v>
      </c>
      <c r="U31" s="85">
        <f>Q29+Q30+Q31</f>
        <v>487141388</v>
      </c>
    </row>
    <row r="32" spans="1:21" s="79" customFormat="1" ht="13.2" hidden="1">
      <c r="A32" s="129" t="s">
        <v>564</v>
      </c>
      <c r="B32" s="188"/>
      <c r="C32" s="188"/>
      <c r="D32" s="190"/>
      <c r="E32" s="287"/>
      <c r="F32" s="136">
        <f>Q32/21</f>
        <v>9071863.333333334</v>
      </c>
      <c r="G32" s="190">
        <f t="shared" ref="G32" si="33">F32/F31-1</f>
        <v>6.1027954190075118E-2</v>
      </c>
      <c r="H32" s="190">
        <f t="shared" ref="H32" si="34">F32/F20-1</f>
        <v>0.51912114258207165</v>
      </c>
      <c r="I32" s="130">
        <f t="shared" si="0"/>
        <v>1093.4047151779914</v>
      </c>
      <c r="J32" s="130">
        <f t="shared" si="5"/>
        <v>3.8297742546640645E-2</v>
      </c>
      <c r="K32" s="136"/>
      <c r="L32" s="190"/>
      <c r="M32" s="190"/>
      <c r="N32" s="191"/>
      <c r="O32" s="192"/>
      <c r="P32" s="129" t="s">
        <v>564</v>
      </c>
      <c r="Q32" s="116">
        <v>190509130</v>
      </c>
      <c r="R32" s="116">
        <v>258685930374</v>
      </c>
      <c r="S32" s="116">
        <v>174234.78</v>
      </c>
      <c r="T32" s="130">
        <f t="shared" ref="T32" si="35">Q32/S32</f>
        <v>1093.4047151779914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8707703.0476190485</v>
      </c>
      <c r="G33" s="190">
        <f t="shared" ref="G33" si="36">F33/F32-1</f>
        <v>-4.0141729690330252E-2</v>
      </c>
      <c r="H33" s="190">
        <f t="shared" ref="H33" si="37">F33/F21-1</f>
        <v>0.36807111136009385</v>
      </c>
      <c r="I33" s="130">
        <f t="shared" si="0"/>
        <v>986.8974996535153</v>
      </c>
      <c r="J33" s="130">
        <f t="shared" si="5"/>
        <v>-6.5497360035606023E-2</v>
      </c>
      <c r="K33" s="136"/>
      <c r="L33" s="190"/>
      <c r="M33" s="190"/>
      <c r="N33" s="191"/>
      <c r="O33" s="192"/>
      <c r="P33" s="129" t="s">
        <v>607</v>
      </c>
      <c r="Q33" s="116">
        <v>182861764</v>
      </c>
      <c r="R33" s="116">
        <v>250270528267</v>
      </c>
      <c r="S33" s="116">
        <v>185289.52</v>
      </c>
      <c r="T33" s="130">
        <f t="shared" ref="T33" si="38">Q33/S33</f>
        <v>986.8974996535153</v>
      </c>
      <c r="U33" s="85"/>
    </row>
    <row r="34" spans="1:21" s="79" customFormat="1" ht="13.2" hidden="1">
      <c r="A34" s="129" t="s">
        <v>654</v>
      </c>
      <c r="B34" s="188">
        <f>SUM(F32:F34)</f>
        <v>28354890.223057643</v>
      </c>
      <c r="C34" s="188">
        <f>AVERAGE(F32:F34)</f>
        <v>9451630.0743525475</v>
      </c>
      <c r="D34" s="190">
        <f>C34/C31-1</f>
        <v>0.1887198280955078</v>
      </c>
      <c r="E34" s="287">
        <f>C34/C22-1</f>
        <v>0.43382429760399632</v>
      </c>
      <c r="F34" s="136">
        <f>Q34/19</f>
        <v>10575323.842105264</v>
      </c>
      <c r="G34" s="190">
        <f t="shared" ref="G34" si="39">F34/F33-1</f>
        <v>0.21447915532637274</v>
      </c>
      <c r="H34" s="190">
        <f t="shared" ref="H34" si="40">F34/F22-1</f>
        <v>0.42161043038414259</v>
      </c>
      <c r="I34" s="130">
        <f t="shared" si="0"/>
        <v>1151.5767478542814</v>
      </c>
      <c r="J34" s="130">
        <f t="shared" si="5"/>
        <v>0.10172227322511773</v>
      </c>
      <c r="K34" s="136">
        <f>R32+R33+R34</f>
        <v>785166703430</v>
      </c>
      <c r="L34" s="190">
        <f>U34/U31-1</f>
        <v>0.17892271350181388</v>
      </c>
      <c r="M34" s="190">
        <f>U34/U22-1</f>
        <v>0.40307032077874649</v>
      </c>
      <c r="N34" s="191">
        <f>AVERAGE(T32:T34)</f>
        <v>1077.2929875619293</v>
      </c>
      <c r="O34" s="192">
        <f>N34/N31-1</f>
        <v>6.6725042932435974E-2</v>
      </c>
      <c r="P34" s="129" t="s">
        <v>654</v>
      </c>
      <c r="Q34" s="116">
        <v>200931153</v>
      </c>
      <c r="R34" s="116">
        <v>276210244789</v>
      </c>
      <c r="S34" s="116">
        <v>174483.51</v>
      </c>
      <c r="T34" s="130">
        <f t="shared" ref="T34" si="41">Q34/S34</f>
        <v>1151.5767478542814</v>
      </c>
      <c r="U34" s="85">
        <f>Q32+Q33+Q34</f>
        <v>574302047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10339087.695652174</v>
      </c>
      <c r="G35" s="190">
        <f t="shared" ref="G35" si="42">F35/F34-1</f>
        <v>-2.233843142585612E-2</v>
      </c>
      <c r="H35" s="190">
        <f t="shared" ref="H35" si="43">F35/F23-1</f>
        <v>-1.2887166326759902E-2</v>
      </c>
      <c r="I35" s="130">
        <f t="shared" si="0"/>
        <v>1344.8766435359748</v>
      </c>
      <c r="J35" s="130">
        <f t="shared" si="5"/>
        <v>-4.8213176197390406E-2</v>
      </c>
      <c r="K35" s="136"/>
      <c r="L35" s="190"/>
      <c r="M35" s="190"/>
      <c r="N35" s="191"/>
      <c r="O35" s="192"/>
      <c r="P35" s="129" t="s">
        <v>660</v>
      </c>
      <c r="Q35" s="116">
        <v>237799017</v>
      </c>
      <c r="R35" s="116">
        <v>329177641261</v>
      </c>
      <c r="S35" s="116">
        <v>176818.46</v>
      </c>
      <c r="T35" s="130">
        <f t="shared" ref="T35" si="44">Q35/S35</f>
        <v>1344.8766435359748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12756914.952380951</v>
      </c>
      <c r="G36" s="190">
        <f t="shared" ref="G36" si="45">F36/F35-1</f>
        <v>0.23385305627550967</v>
      </c>
      <c r="H36" s="190">
        <f t="shared" ref="H36" si="46">F36/F24-1</f>
        <v>0.354291979315845</v>
      </c>
      <c r="I36" s="130">
        <f t="shared" si="0"/>
        <v>1535.7572054612708</v>
      </c>
      <c r="J36" s="130">
        <f t="shared" si="5"/>
        <v>8.1978223863166111E-2</v>
      </c>
      <c r="K36" s="136"/>
      <c r="L36" s="190"/>
      <c r="M36" s="190"/>
      <c r="N36" s="191"/>
      <c r="O36" s="192"/>
      <c r="P36" s="129" t="s">
        <v>664</v>
      </c>
      <c r="Q36" s="116">
        <v>267895214</v>
      </c>
      <c r="R36" s="116">
        <v>366473705834</v>
      </c>
      <c r="S36" s="116">
        <v>174438.52</v>
      </c>
      <c r="T36" s="130">
        <f t="shared" ref="T36" si="47">Q36/S36</f>
        <v>1535.7572054612708</v>
      </c>
      <c r="U36" s="85"/>
    </row>
    <row r="37" spans="1:21" s="79" customFormat="1" ht="13.2" hidden="1">
      <c r="A37" s="129" t="s">
        <v>702</v>
      </c>
      <c r="B37" s="188">
        <f>SUM(F35:F37)</f>
        <v>36817517.981366463</v>
      </c>
      <c r="C37" s="188">
        <f>AVERAGE(F35:F37)</f>
        <v>12272505.993788822</v>
      </c>
      <c r="D37" s="190">
        <f>C37/C34-1</f>
        <v>0.29845390660081561</v>
      </c>
      <c r="E37" s="287">
        <f>C37/C25-1</f>
        <v>0.18773674540143204</v>
      </c>
      <c r="F37" s="136">
        <f>Q37/18</f>
        <v>13721515.333333334</v>
      </c>
      <c r="G37" s="190">
        <f t="shared" ref="G37" si="48">F37/F36-1</f>
        <v>7.561392268844358E-2</v>
      </c>
      <c r="H37" s="190">
        <f t="shared" ref="H37" si="49">F37/F25-1</f>
        <v>0.23568744708938638</v>
      </c>
      <c r="I37" s="130">
        <f t="shared" si="0"/>
        <v>1450.3531233935926</v>
      </c>
      <c r="J37" s="130">
        <f t="shared" si="5"/>
        <v>9.9156018252227973E-2</v>
      </c>
      <c r="K37" s="136">
        <f>R35+R36+R37</f>
        <v>1025416643764</v>
      </c>
      <c r="L37" s="190">
        <f>U37/U34-1</f>
        <v>0.31060216645893313</v>
      </c>
      <c r="M37" s="190">
        <f>U37/U25-1</f>
        <v>0.17943755774177772</v>
      </c>
      <c r="N37" s="191">
        <f>AVERAGE(T35:T37)</f>
        <v>1443.6623241302796</v>
      </c>
      <c r="O37" s="192">
        <f>N37/N34-1</f>
        <v>0.34008328356197448</v>
      </c>
      <c r="P37" s="129" t="s">
        <v>702</v>
      </c>
      <c r="Q37" s="116">
        <v>246987276</v>
      </c>
      <c r="R37" s="116">
        <v>329765296669</v>
      </c>
      <c r="S37" s="116">
        <v>170294.58</v>
      </c>
      <c r="T37" s="130">
        <f t="shared" ref="T37" si="50">Q37/S37</f>
        <v>1450.3531233935926</v>
      </c>
      <c r="U37" s="85">
        <f>Q35+Q36+Q37</f>
        <v>752681507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10714432.4</v>
      </c>
      <c r="G38" s="190">
        <f t="shared" ref="G38" si="51">F38/F37-1</f>
        <v>-0.21915093634216198</v>
      </c>
      <c r="H38" s="190">
        <f t="shared" ref="H38" si="52">F38/F26-1</f>
        <v>-0.18916137084007612</v>
      </c>
      <c r="I38" s="130">
        <f t="shared" si="0"/>
        <v>1172.9033693174117</v>
      </c>
      <c r="J38" s="130">
        <f t="shared" si="5"/>
        <v>-0.23025753415872618</v>
      </c>
      <c r="K38" s="136"/>
      <c r="L38" s="190"/>
      <c r="M38" s="190"/>
      <c r="N38" s="191"/>
      <c r="O38" s="192"/>
      <c r="P38" s="129" t="s">
        <v>729</v>
      </c>
      <c r="Q38" s="116">
        <v>214288648</v>
      </c>
      <c r="R38" s="116">
        <v>287886785517</v>
      </c>
      <c r="S38" s="116">
        <v>182699.32</v>
      </c>
      <c r="T38" s="130">
        <f t="shared" ref="T38" si="53">Q38/S38</f>
        <v>1172.9033693174117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7781305.1428571427</v>
      </c>
      <c r="G39" s="190">
        <f t="shared" ref="G39" si="54">F39/F38-1</f>
        <v>-0.27375479611433806</v>
      </c>
      <c r="H39" s="190">
        <f t="shared" ref="H39" si="55">F39/F27-1</f>
        <v>-0.23344831854911774</v>
      </c>
      <c r="I39" s="130">
        <f t="shared" si="0"/>
        <v>836.43595543093875</v>
      </c>
      <c r="J39" s="130">
        <f t="shared" si="5"/>
        <v>-0.36661749699876656</v>
      </c>
      <c r="K39" s="136"/>
      <c r="L39" s="190"/>
      <c r="M39" s="190"/>
      <c r="N39" s="191"/>
      <c r="O39" s="192"/>
      <c r="P39" s="129" t="s">
        <v>762</v>
      </c>
      <c r="Q39" s="116">
        <v>163407408</v>
      </c>
      <c r="R39" s="116">
        <v>226790170810</v>
      </c>
      <c r="S39" s="116">
        <v>195361.53</v>
      </c>
      <c r="T39" s="130">
        <f t="shared" ref="T39" si="56">Q39/S39</f>
        <v>836.43595543093875</v>
      </c>
      <c r="U39" s="85"/>
    </row>
    <row r="40" spans="1:21" s="79" customFormat="1" ht="13.2" hidden="1">
      <c r="A40" s="129" t="s">
        <v>777</v>
      </c>
      <c r="B40" s="188">
        <f>SUM(F38:F40)</f>
        <v>25540982.733333334</v>
      </c>
      <c r="C40" s="188">
        <f>AVERAGE(F38:F40)</f>
        <v>8513660.9111111108</v>
      </c>
      <c r="D40" s="190">
        <f>C40/C37-1</f>
        <v>-0.30628178829817498</v>
      </c>
      <c r="E40" s="287">
        <f>C40/C28-1</f>
        <v>-0.18975481341796596</v>
      </c>
      <c r="F40" s="136">
        <f>Q40/21</f>
        <v>7045245.1904761903</v>
      </c>
      <c r="G40" s="190">
        <f t="shared" ref="G40" si="57">F40/F39-1</f>
        <v>-9.459337975668769E-2</v>
      </c>
      <c r="H40" s="190">
        <f t="shared" ref="H40" si="58">F40/F28-1</f>
        <v>-0.1363444838686203</v>
      </c>
      <c r="I40" s="130">
        <f t="shared" si="0"/>
        <v>784.82376228590101</v>
      </c>
      <c r="J40" s="130">
        <f t="shared" si="5"/>
        <v>-0.31314812233808742</v>
      </c>
      <c r="K40" s="136">
        <f>R38+R39+R40</f>
        <v>724388217063</v>
      </c>
      <c r="L40" s="190">
        <f>U40/U37-1</f>
        <v>-0.30163528649043847</v>
      </c>
      <c r="M40" s="190">
        <f>U40/U28-1</f>
        <v>-0.16482078387171217</v>
      </c>
      <c r="N40" s="191">
        <f>AVERAGE(T38:T40)</f>
        <v>931.38769567808379</v>
      </c>
      <c r="O40" s="192">
        <f>N40/N37-1</f>
        <v>-0.35484380238350455</v>
      </c>
      <c r="P40" s="129" t="s">
        <v>779</v>
      </c>
      <c r="Q40" s="116">
        <v>147950149</v>
      </c>
      <c r="R40" s="116">
        <v>209711260736</v>
      </c>
      <c r="S40" s="116">
        <v>188513.85</v>
      </c>
      <c r="T40" s="130">
        <f t="shared" ref="T40" si="59">Q40/S40</f>
        <v>784.82376228590101</v>
      </c>
      <c r="U40" s="85">
        <f>Q38+Q39+Q40</f>
        <v>525646205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7717160.333333333</v>
      </c>
      <c r="G41" s="190">
        <f t="shared" ref="G41" si="60">F41/F40-1</f>
        <v>9.5371434874323757E-2</v>
      </c>
      <c r="H41" s="190">
        <f t="shared" ref="H41" si="61">F41/F29-1</f>
        <v>-8.7756691541106657E-2</v>
      </c>
      <c r="I41" s="130">
        <f t="shared" si="0"/>
        <v>860.19427876735415</v>
      </c>
      <c r="J41" s="130">
        <f t="shared" si="5"/>
        <v>-0.20139086112503091</v>
      </c>
      <c r="K41" s="193"/>
      <c r="L41" s="190"/>
      <c r="M41" s="190"/>
      <c r="N41" s="193"/>
      <c r="O41" s="193"/>
      <c r="P41" s="129" t="s">
        <v>791</v>
      </c>
      <c r="Q41" s="116">
        <v>138908886</v>
      </c>
      <c r="R41" s="116">
        <v>202819143264</v>
      </c>
      <c r="S41" s="116">
        <v>161485.48000000001</v>
      </c>
      <c r="T41" s="130">
        <f t="shared" ref="T41" si="62">Q41/S41</f>
        <v>860.19427876735415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6814108.3499999996</v>
      </c>
      <c r="G42" s="190">
        <f t="shared" ref="G42" si="63">F42/F41-1</f>
        <v>-0.11701868878280397</v>
      </c>
      <c r="H42" s="190">
        <f t="shared" ref="H42" si="64">F42/F30-1</f>
        <v>-4.3221568235882746E-3</v>
      </c>
      <c r="I42" s="130">
        <f t="shared" si="0"/>
        <v>823.8094742990703</v>
      </c>
      <c r="J42" s="130">
        <f t="shared" si="5"/>
        <v>-3.0341339598980444E-3</v>
      </c>
      <c r="K42" s="193"/>
      <c r="L42" s="190"/>
      <c r="M42" s="190"/>
      <c r="N42" s="193"/>
      <c r="O42" s="193"/>
      <c r="P42" s="129" t="s">
        <v>826</v>
      </c>
      <c r="Q42" s="116">
        <v>136282167</v>
      </c>
      <c r="R42" s="116">
        <v>196982834926</v>
      </c>
      <c r="S42" s="116">
        <v>165429.23000000001</v>
      </c>
      <c r="T42" s="130">
        <f t="shared" ref="T42" si="65">Q42/S42</f>
        <v>823.8094742990703</v>
      </c>
      <c r="U42" s="78"/>
    </row>
    <row r="43" spans="1:21" s="79" customFormat="1" ht="13.2">
      <c r="A43" s="129" t="s">
        <v>835</v>
      </c>
      <c r="B43" s="188">
        <f>SUM(F41:F43)</f>
        <v>22676288.133333333</v>
      </c>
      <c r="C43" s="188">
        <f>AVERAGE(F41:F43)</f>
        <v>7558762.7111111106</v>
      </c>
      <c r="D43" s="190">
        <f>C43/C40-1</f>
        <v>-0.11216070383467702</v>
      </c>
      <c r="E43" s="287">
        <f>C43/C31-1</f>
        <v>-4.9343759765985373E-2</v>
      </c>
      <c r="F43" s="136">
        <f>Q43/20</f>
        <v>8145019.4500000002</v>
      </c>
      <c r="G43" s="190">
        <f t="shared" ref="G43" si="66">F43/F42-1</f>
        <v>0.19531698523696073</v>
      </c>
      <c r="H43" s="190">
        <f t="shared" ref="H43" si="67">F43/F31-1</f>
        <v>-4.7373951047336771E-2</v>
      </c>
      <c r="I43" s="130">
        <f t="shared" si="0"/>
        <v>1028.8225561322731</v>
      </c>
      <c r="J43" s="130">
        <f t="shared" si="5"/>
        <v>-8.6537355155565709E-2</v>
      </c>
      <c r="K43" s="136">
        <f>R41+R42+R43</f>
        <v>636029089217</v>
      </c>
      <c r="L43" s="190">
        <f>U43/U40-1</f>
        <v>-0.16656595665900409</v>
      </c>
      <c r="M43" s="190">
        <f>K43/K31-1</f>
        <v>-1.3836215961752774E-2</v>
      </c>
      <c r="N43" s="191">
        <f>AVERAGE(T41:T43)</f>
        <v>904.27543639956582</v>
      </c>
      <c r="O43" s="192">
        <f>N43/N40-1</f>
        <v>-2.9109531298649238E-2</v>
      </c>
      <c r="P43" s="129" t="s">
        <v>835</v>
      </c>
      <c r="Q43" s="116">
        <v>162900389</v>
      </c>
      <c r="R43" s="116">
        <v>236227111027</v>
      </c>
      <c r="S43" s="116">
        <v>158336.72</v>
      </c>
      <c r="T43" s="130">
        <f t="shared" ref="T43" si="68">Q43/S43</f>
        <v>1028.8225561322731</v>
      </c>
      <c r="U43" s="85">
        <f>Q41+Q42+Q43</f>
        <v>438091442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6491578.1363636367</v>
      </c>
      <c r="G44" s="190">
        <f t="shared" ref="G44" si="69">F44/F43-1</f>
        <v>-0.20300029039665013</v>
      </c>
      <c r="H44" s="190">
        <f t="shared" ref="H44" si="70">F44/F32-1</f>
        <v>-0.28442725624941778</v>
      </c>
      <c r="I44" s="130">
        <f t="shared" si="0"/>
        <v>849.20580385427149</v>
      </c>
      <c r="J44" s="130">
        <f t="shared" si="5"/>
        <v>-0.22333808143855283</v>
      </c>
      <c r="K44" s="136"/>
      <c r="L44" s="190"/>
      <c r="M44" s="190"/>
      <c r="N44" s="191"/>
      <c r="O44" s="192"/>
      <c r="P44" s="129" t="s">
        <v>839</v>
      </c>
      <c r="Q44" s="116">
        <v>142814719</v>
      </c>
      <c r="R44" s="116">
        <v>207567178203</v>
      </c>
      <c r="S44" s="116">
        <v>168174.45</v>
      </c>
      <c r="T44" s="130">
        <f t="shared" ref="T44" si="71">Q44/S44</f>
        <v>849.20580385427149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4708671.7</v>
      </c>
      <c r="G45" s="190">
        <f t="shared" ref="G45" si="72">F45/F44-1</f>
        <v>-0.2746491529349997</v>
      </c>
      <c r="H45" s="190">
        <f t="shared" ref="H45" si="73">F45/F33-1</f>
        <v>-0.45925215016519261</v>
      </c>
      <c r="I45" s="130">
        <f t="shared" si="0"/>
        <v>574.29114798181558</v>
      </c>
      <c r="J45" s="130">
        <f t="shared" si="5"/>
        <v>-0.41808430137532981</v>
      </c>
      <c r="K45" s="136"/>
      <c r="L45" s="190"/>
      <c r="M45" s="190"/>
      <c r="N45" s="191"/>
      <c r="O45" s="192"/>
      <c r="P45" s="129" t="s">
        <v>853</v>
      </c>
      <c r="Q45" s="116">
        <v>94173434</v>
      </c>
      <c r="R45" s="116">
        <v>132799475230</v>
      </c>
      <c r="S45" s="116">
        <v>163982.04</v>
      </c>
      <c r="T45" s="130">
        <f t="shared" ref="T45" si="74">Q45/S45</f>
        <v>574.29114798181558</v>
      </c>
      <c r="U45" s="85"/>
    </row>
    <row r="46" spans="1:21" s="79" customFormat="1" ht="13.2">
      <c r="A46" s="129" t="s">
        <v>889</v>
      </c>
      <c r="B46" s="188">
        <f>SUM(F44:F46)</f>
        <v>16475404.415311005</v>
      </c>
      <c r="C46" s="188">
        <f>AVERAGE(F44:F46)</f>
        <v>5491801.471770335</v>
      </c>
      <c r="D46" s="190">
        <f>C46/C43-1</f>
        <v>-0.27345232524661967</v>
      </c>
      <c r="E46" s="287">
        <f>C46/C34-1</f>
        <v>-0.41895721388074614</v>
      </c>
      <c r="F46" s="136">
        <f>Q46/19</f>
        <v>5275154.5789473681</v>
      </c>
      <c r="G46" s="190">
        <f t="shared" ref="G46" si="75">F46/F45-1</f>
        <v>0.12030630187009383</v>
      </c>
      <c r="H46" s="190">
        <f t="shared" ref="H46" si="76">F46/F34-1</f>
        <v>-0.50118269116785497</v>
      </c>
      <c r="I46" s="130">
        <f t="shared" si="0"/>
        <v>549.26764177060613</v>
      </c>
      <c r="J46" s="130">
        <f t="shared" si="5"/>
        <v>-0.52302993022909705</v>
      </c>
      <c r="K46" s="136">
        <f>R44+R45+R46</f>
        <v>477603581713</v>
      </c>
      <c r="L46" s="190">
        <f>U46/U43-1</f>
        <v>-0.23026095086331311</v>
      </c>
      <c r="M46" s="190">
        <f>K46/K34-1</f>
        <v>-0.39171696962366187</v>
      </c>
      <c r="N46" s="191">
        <f>AVERAGE(T44:T46)</f>
        <v>657.58819786889774</v>
      </c>
      <c r="O46" s="192">
        <f>N46/N43-1</f>
        <v>-0.27280099469788777</v>
      </c>
      <c r="P46" s="129" t="s">
        <v>928</v>
      </c>
      <c r="Q46" s="116">
        <v>100227937</v>
      </c>
      <c r="R46" s="116">
        <v>137236928280</v>
      </c>
      <c r="S46" s="116">
        <v>182475.59</v>
      </c>
      <c r="T46" s="130">
        <f t="shared" ref="T46" si="77">Q46/S46</f>
        <v>549.26764177060613</v>
      </c>
      <c r="U46" s="85">
        <f t="shared" ref="U46:U51" si="78">Q44+Q45+Q46</f>
        <v>337216090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5343652.7826086953</v>
      </c>
      <c r="G47" s="190">
        <f t="shared" ref="G47" si="79">F47/F46-1</f>
        <v>1.298506093730345E-2</v>
      </c>
      <c r="H47" s="190">
        <f t="shared" ref="H47" si="80">F47/F35-1</f>
        <v>-0.4831601259310504</v>
      </c>
      <c r="I47" s="130">
        <f t="shared" si="0"/>
        <v>642.61913803693221</v>
      </c>
      <c r="J47" s="130">
        <f t="shared" si="5"/>
        <v>-0.52217243036703653</v>
      </c>
      <c r="K47" s="136"/>
      <c r="L47" s="190"/>
      <c r="M47" s="190"/>
      <c r="N47" s="191"/>
      <c r="O47" s="192"/>
      <c r="P47" s="129" t="s">
        <v>1030</v>
      </c>
      <c r="Q47" s="116">
        <v>122904014</v>
      </c>
      <c r="R47" s="116">
        <v>168458991274</v>
      </c>
      <c r="S47" s="116">
        <v>191254.83</v>
      </c>
      <c r="T47" s="130">
        <f t="shared" ref="T47" si="81">Q47/S47</f>
        <v>642.61913803693221</v>
      </c>
      <c r="U47" s="85">
        <f t="shared" si="78"/>
        <v>317305385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5613802.25</v>
      </c>
      <c r="G48" s="190">
        <f t="shared" ref="G48" si="82">F48/F47-1</f>
        <v>5.0555206032571132E-2</v>
      </c>
      <c r="H48" s="190">
        <f t="shared" ref="H48" si="83">F48/F36-1</f>
        <v>-0.55994045026127259</v>
      </c>
      <c r="I48" s="130">
        <f t="shared" si="0"/>
        <v>615.54265411846688</v>
      </c>
      <c r="J48" s="130">
        <f t="shared" si="5"/>
        <v>-0.59919272920905087</v>
      </c>
      <c r="K48" s="136"/>
      <c r="L48" s="190"/>
      <c r="M48" s="190"/>
      <c r="N48" s="191"/>
      <c r="O48" s="192"/>
      <c r="P48" s="129" t="s">
        <v>1070</v>
      </c>
      <c r="Q48" s="116">
        <v>112276045</v>
      </c>
      <c r="R48" s="116">
        <v>155703464251</v>
      </c>
      <c r="S48" s="116">
        <v>182401.73</v>
      </c>
      <c r="T48" s="130">
        <f t="shared" ref="T48" si="84">Q48/S48</f>
        <v>615.54265411846688</v>
      </c>
      <c r="U48" s="85">
        <f t="shared" si="78"/>
        <v>335407996</v>
      </c>
    </row>
    <row r="49" spans="1:26" ht="13.2">
      <c r="A49" s="129" t="s">
        <v>1158</v>
      </c>
      <c r="B49" s="188">
        <f>SUM(F47:F49)</f>
        <v>16301489.759881422</v>
      </c>
      <c r="C49" s="188">
        <f>AVERAGE(F47:F49)</f>
        <v>5433829.9199604737</v>
      </c>
      <c r="D49" s="190">
        <f>C49/C46-1</f>
        <v>-1.0556017384796945E-2</v>
      </c>
      <c r="E49" s="287">
        <f>C49/C37-1</f>
        <v>-0.55723550489927942</v>
      </c>
      <c r="F49" s="136">
        <f>Q49/22</f>
        <v>5344034.7272727275</v>
      </c>
      <c r="G49" s="190">
        <f t="shared" ref="G49" si="85">F49/F48-1</f>
        <v>-4.8054333001714244E-2</v>
      </c>
      <c r="H49" s="190">
        <f t="shared" ref="H49" si="86">F49/F37-1</f>
        <v>-0.61053611081200354</v>
      </c>
      <c r="I49" s="130">
        <f t="shared" si="0"/>
        <v>567.49106507130341</v>
      </c>
      <c r="J49" s="130">
        <f t="shared" si="5"/>
        <v>-0.60872214089251186</v>
      </c>
      <c r="K49" s="136">
        <f>R47+R48+R49</f>
        <v>487586594110</v>
      </c>
      <c r="L49" s="190">
        <f>U49/U46-1</f>
        <v>4.6061660343668764E-2</v>
      </c>
      <c r="M49" s="190">
        <f>K49/K37-1</f>
        <v>-0.52449904429070471</v>
      </c>
      <c r="N49" s="191">
        <f>AVERAGE(T47:T49)</f>
        <v>608.5509524089008</v>
      </c>
      <c r="O49" s="192">
        <f>N49/N46-1</f>
        <v>-7.4571358821396316E-2</v>
      </c>
      <c r="P49" s="129" t="s">
        <v>1160</v>
      </c>
      <c r="Q49" s="116">
        <v>117568764</v>
      </c>
      <c r="R49" s="116">
        <v>163424138585</v>
      </c>
      <c r="S49" s="116">
        <v>207172.89</v>
      </c>
      <c r="T49" s="130">
        <f t="shared" ref="T49" si="87">Q49/S49</f>
        <v>567.49106507130341</v>
      </c>
      <c r="U49" s="85">
        <f t="shared" si="78"/>
        <v>352748823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5349509.555555556</v>
      </c>
      <c r="G50" s="190">
        <f t="shared" ref="G50" si="88">F50/F49-1</f>
        <v>1.0244746829373153E-3</v>
      </c>
      <c r="H50" s="190">
        <f t="shared" ref="H50" si="89">F50/F38-1</f>
        <v>-0.50071927696743357</v>
      </c>
      <c r="I50" s="130">
        <f t="shared" ref="I50" si="90">T50</f>
        <v>558.55547907020241</v>
      </c>
      <c r="J50" s="130">
        <f t="shared" ref="J50" si="91">I50/I38-1</f>
        <v>-0.52378389074347875</v>
      </c>
      <c r="K50" s="136"/>
      <c r="L50" s="190"/>
      <c r="M50" s="190"/>
      <c r="N50" s="191"/>
      <c r="O50" s="192"/>
      <c r="P50" s="129" t="s">
        <v>1291</v>
      </c>
      <c r="Q50" s="116">
        <v>96291172</v>
      </c>
      <c r="R50" s="116">
        <v>135938251087</v>
      </c>
      <c r="S50" s="116">
        <v>172393.21</v>
      </c>
      <c r="T50" s="130">
        <f t="shared" ref="T50" si="92">Q50/S50</f>
        <v>558.55547907020241</v>
      </c>
      <c r="U50" s="85">
        <f t="shared" si="78"/>
        <v>326135981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4494961.1500000004</v>
      </c>
      <c r="G51" s="190">
        <f t="shared" ref="G51:G52" si="93">F51/F50-1</f>
        <v>-0.15974331790249685</v>
      </c>
      <c r="H51" s="190">
        <f t="shared" ref="H51:H52" si="94">F51/F39-1</f>
        <v>-0.4223384037154545</v>
      </c>
      <c r="I51" s="130">
        <f t="shared" ref="I51:I52" si="95">T51</f>
        <v>559.77006140774233</v>
      </c>
      <c r="J51" s="130">
        <f t="shared" ref="J51:J52" si="96">I51/I39-1</f>
        <v>-0.33076757667675327</v>
      </c>
      <c r="K51" s="136"/>
      <c r="L51" s="190"/>
      <c r="M51" s="190"/>
      <c r="N51" s="191"/>
      <c r="O51" s="192"/>
      <c r="P51" s="129" t="s">
        <v>1402</v>
      </c>
      <c r="Q51" s="116">
        <v>89899223</v>
      </c>
      <c r="R51" s="116">
        <v>130074016775</v>
      </c>
      <c r="S51" s="116">
        <v>160600.26999999999</v>
      </c>
      <c r="T51" s="130">
        <f t="shared" ref="T51:T52" si="97">Q51/S51</f>
        <v>559.77006140774233</v>
      </c>
      <c r="U51" s="85">
        <f t="shared" si="78"/>
        <v>303759159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14463086.114646465</v>
      </c>
      <c r="C52" s="188">
        <f>AVERAGE(F50:F52)</f>
        <v>4821028.7048821552</v>
      </c>
      <c r="D52" s="190">
        <f>C52/C49-1</f>
        <v>-0.11277519247101797</v>
      </c>
      <c r="E52" s="287">
        <f>C52/C40-1</f>
        <v>-0.43373024187629217</v>
      </c>
      <c r="F52" s="136">
        <f>Q52/22</f>
        <v>4618615.4090909092</v>
      </c>
      <c r="G52" s="190">
        <f t="shared" si="93"/>
        <v>2.7509527883440965E-2</v>
      </c>
      <c r="H52" s="190">
        <f t="shared" si="94"/>
        <v>-0.34443510705143598</v>
      </c>
      <c r="I52" s="130">
        <f t="shared" si="95"/>
        <v>633.52565516208529</v>
      </c>
      <c r="J52" s="130">
        <f t="shared" si="96"/>
        <v>-0.1927797225241249</v>
      </c>
      <c r="K52" s="136">
        <f>R50+R51+R52</f>
        <v>415505531923</v>
      </c>
      <c r="L52" s="190">
        <f>U52/U49-1</f>
        <v>-0.18412219904132754</v>
      </c>
      <c r="M52" s="190">
        <f>K52/K40-1</f>
        <v>-0.42640489983720498</v>
      </c>
      <c r="N52" s="191">
        <f>AVERAGE(T50:T52)</f>
        <v>583.95039854667664</v>
      </c>
      <c r="O52" s="192">
        <f>N52/N49-1</f>
        <v>-4.0424805457693891E-2</v>
      </c>
      <c r="P52" s="129" t="s">
        <v>1403</v>
      </c>
      <c r="Q52" s="116">
        <v>101609539</v>
      </c>
      <c r="R52" s="116">
        <v>149493264061</v>
      </c>
      <c r="S52" s="116">
        <v>160387.41</v>
      </c>
      <c r="T52" s="130">
        <f t="shared" si="97"/>
        <v>633.52565516208529</v>
      </c>
      <c r="U52" s="85">
        <f t="shared" ref="U52" si="98">Q50+Q51+Q52</f>
        <v>287799934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4560624.9047619049</v>
      </c>
      <c r="G53" s="190">
        <f t="shared" ref="G53" si="99">F53/F52-1</f>
        <v>-1.2555820130608963E-2</v>
      </c>
      <c r="H53" s="190">
        <f t="shared" ref="H53" si="100">F53/F41-1</f>
        <v>-0.40902810000424095</v>
      </c>
      <c r="I53" s="130">
        <f t="shared" ref="I53" si="101">T53</f>
        <v>568.35916493035052</v>
      </c>
      <c r="J53" s="130">
        <f t="shared" ref="J53" si="102">I53/I41-1</f>
        <v>-0.33926651343833525</v>
      </c>
      <c r="K53" s="136"/>
      <c r="L53" s="190"/>
      <c r="M53" s="190"/>
      <c r="N53" s="191"/>
      <c r="O53" s="192"/>
      <c r="P53" s="129" t="s">
        <v>1414</v>
      </c>
      <c r="Q53" s="116">
        <v>95773123</v>
      </c>
      <c r="R53" s="116">
        <v>139648005751</v>
      </c>
      <c r="S53" s="116">
        <v>168508.1</v>
      </c>
      <c r="T53" s="130">
        <f t="shared" ref="T53" si="103">Q53/S53</f>
        <v>568.35916493035052</v>
      </c>
      <c r="U53" s="85">
        <f t="shared" ref="U53" si="104">Q51+Q52+Q53</f>
        <v>287281885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3676350.4705882352</v>
      </c>
      <c r="G54" s="190">
        <f t="shared" ref="G54" si="105">F54/F53-1</f>
        <v>-0.19389326082273695</v>
      </c>
      <c r="H54" s="190">
        <f t="shared" ref="H54" si="106">F54/F42-1</f>
        <v>-0.46047959883287803</v>
      </c>
      <c r="I54" s="130">
        <f t="shared" ref="I54" si="107">T54</f>
        <v>537.49542683949414</v>
      </c>
      <c r="J54" s="130">
        <f t="shared" ref="J54" si="108">I54/I42-1</f>
        <v>-0.34754886462453405</v>
      </c>
      <c r="K54" s="136"/>
      <c r="L54" s="190"/>
      <c r="M54" s="190"/>
      <c r="N54" s="191"/>
      <c r="O54" s="192"/>
      <c r="P54" s="129" t="s">
        <v>1417</v>
      </c>
      <c r="Q54" s="116">
        <v>62497958</v>
      </c>
      <c r="R54" s="116">
        <v>90545625944</v>
      </c>
      <c r="S54" s="116">
        <v>116276.26</v>
      </c>
      <c r="T54" s="130">
        <f t="shared" ref="T54" si="109">Q54/S54</f>
        <v>537.49542683949414</v>
      </c>
      <c r="U54" s="85">
        <f t="shared" ref="U54" si="110">Q52+Q53+Q54</f>
        <v>259880620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11697535.946778711</v>
      </c>
      <c r="C55" s="196">
        <f>AVERAGE(F53:F55)</f>
        <v>3899178.6489262371</v>
      </c>
      <c r="D55" s="197">
        <f>C55/C52-1</f>
        <v>-0.19121438854375206</v>
      </c>
      <c r="E55" s="233">
        <f>C55/C43-1</f>
        <v>-0.48415120331868811</v>
      </c>
      <c r="F55" s="136">
        <f>Q55/21</f>
        <v>3460560.5714285714</v>
      </c>
      <c r="G55" s="190">
        <f t="shared" ref="G55" si="111">F55/F54-1</f>
        <v>-5.8696770312308244E-2</v>
      </c>
      <c r="H55" s="190">
        <f t="shared" ref="H55" si="112">F55/F43-1</f>
        <v>-0.57513169947941978</v>
      </c>
      <c r="I55" s="130">
        <f>T55</f>
        <v>511.22193061170401</v>
      </c>
      <c r="J55" s="130">
        <f t="shared" ref="J55" si="113">I55/I43-1</f>
        <v>-0.503099997599608</v>
      </c>
      <c r="K55" s="136">
        <f>R53+R54+R55</f>
        <v>336811331551</v>
      </c>
      <c r="L55" s="190">
        <f>U55/U52-1</f>
        <v>-0.19755765823073468</v>
      </c>
      <c r="M55" s="190">
        <f>K55/K43-1</f>
        <v>-0.47044665525339369</v>
      </c>
      <c r="N55" s="191">
        <f>AVERAGE(T53:T55)</f>
        <v>539.02550746051622</v>
      </c>
      <c r="O55" s="192">
        <f>N55/N52-1</f>
        <v>-7.6932717569794473E-2</v>
      </c>
      <c r="P55" s="129" t="s">
        <v>1418</v>
      </c>
      <c r="Q55" s="116">
        <v>72671772</v>
      </c>
      <c r="R55" s="116">
        <v>106617699856</v>
      </c>
      <c r="S55" s="116">
        <v>142153.07999999999</v>
      </c>
      <c r="T55" s="130">
        <f t="shared" ref="T55" si="114">Q55/S55</f>
        <v>511.22193061170401</v>
      </c>
      <c r="U55" s="85">
        <f t="shared" ref="U55" si="115">Q53+Q54+Q55</f>
        <v>230942853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2018263.357142857</v>
      </c>
      <c r="G56" s="254">
        <f t="shared" ref="G56" si="116">F56/F55-1</f>
        <v>-0.41678138108425378</v>
      </c>
      <c r="H56" s="254">
        <f t="shared" ref="H56" si="117">F56/F44-1</f>
        <v>-0.6890951145088704</v>
      </c>
      <c r="I56" s="282">
        <f>T56</f>
        <v>565.01305467365717</v>
      </c>
      <c r="J56" s="277">
        <f t="shared" ref="J56" si="118">I56/I44-1</f>
        <v>-0.33465709712622671</v>
      </c>
      <c r="K56" s="204"/>
      <c r="L56" s="254"/>
      <c r="M56" s="254"/>
      <c r="N56" s="257"/>
      <c r="O56" s="258"/>
      <c r="P56" s="129" t="s">
        <v>1420</v>
      </c>
      <c r="Q56" s="116">
        <v>28255687</v>
      </c>
      <c r="R56" s="116">
        <v>42681851126</v>
      </c>
      <c r="S56" s="116">
        <v>50008.91</v>
      </c>
      <c r="T56" s="130">
        <f t="shared" ref="T56" si="119">Q56/S56</f>
        <v>565.01305467365717</v>
      </c>
      <c r="U56" s="85">
        <f t="shared" ref="U56" si="120">Q54+Q55+Q56</f>
        <v>163425417</v>
      </c>
      <c r="V56" s="79"/>
      <c r="W56" s="79"/>
      <c r="X56" s="79"/>
      <c r="Y56" s="79"/>
      <c r="Z56" s="79"/>
    </row>
    <row r="63" spans="1:26">
      <c r="Q63" s="266"/>
      <c r="R63" s="266"/>
      <c r="S63" s="266"/>
      <c r="T63" s="266"/>
      <c r="U63" s="266"/>
      <c r="V63" s="266"/>
    </row>
    <row r="64" spans="1:26">
      <c r="Q64" s="266" t="s">
        <v>971</v>
      </c>
      <c r="R64" s="266" t="s">
        <v>9</v>
      </c>
      <c r="S64" s="266" t="s">
        <v>10</v>
      </c>
      <c r="T64" s="266" t="s">
        <v>972</v>
      </c>
      <c r="U64" s="266" t="s">
        <v>973</v>
      </c>
      <c r="V64" s="266" t="s">
        <v>974</v>
      </c>
    </row>
    <row r="65" spans="17:22" ht="18" thickBot="1">
      <c r="Q65" s="179"/>
      <c r="R65" s="179"/>
      <c r="S65" s="179"/>
      <c r="T65" s="179"/>
      <c r="U65" s="179"/>
      <c r="V65" s="179"/>
    </row>
    <row r="66" spans="17:22" ht="18" thickBot="1">
      <c r="Q66" s="211" t="s">
        <v>1415</v>
      </c>
      <c r="R66" s="212">
        <v>259198540</v>
      </c>
      <c r="S66" s="212">
        <v>379493182677</v>
      </c>
      <c r="T66" s="213">
        <v>476946.38</v>
      </c>
      <c r="U66" s="214">
        <v>70</v>
      </c>
      <c r="V66" s="214">
        <v>154</v>
      </c>
    </row>
    <row r="67" spans="17:22" ht="18" thickBot="1">
      <c r="Q67" s="180" t="s">
        <v>976</v>
      </c>
      <c r="R67" s="181">
        <v>95773123</v>
      </c>
      <c r="S67" s="181">
        <v>139648005751</v>
      </c>
      <c r="T67" s="182">
        <v>168508.1</v>
      </c>
      <c r="U67" s="210">
        <v>57</v>
      </c>
      <c r="V67" s="210">
        <v>135</v>
      </c>
    </row>
    <row r="68" spans="17:22" ht="18" thickBot="1">
      <c r="Q68" s="180" t="s">
        <v>977</v>
      </c>
      <c r="R68" s="181">
        <v>62497958</v>
      </c>
      <c r="S68" s="181">
        <v>90545625944</v>
      </c>
      <c r="T68" s="182">
        <v>116276.26</v>
      </c>
      <c r="U68" s="210">
        <v>51</v>
      </c>
      <c r="V68" s="210">
        <v>117</v>
      </c>
    </row>
    <row r="69" spans="17:22" ht="18" thickBot="1">
      <c r="Q69" s="180" t="s">
        <v>978</v>
      </c>
      <c r="R69" s="181">
        <v>72671772</v>
      </c>
      <c r="S69" s="181">
        <v>106617699856</v>
      </c>
      <c r="T69" s="182">
        <v>142153.07999999999</v>
      </c>
      <c r="U69" s="210">
        <v>45</v>
      </c>
      <c r="V69" s="210">
        <v>108</v>
      </c>
    </row>
    <row r="70" spans="17:22" ht="18" thickBot="1">
      <c r="Q70" s="180" t="s">
        <v>979</v>
      </c>
      <c r="R70" s="181">
        <v>28255687</v>
      </c>
      <c r="S70" s="181">
        <v>42681851126</v>
      </c>
      <c r="T70" s="182">
        <v>50008.91</v>
      </c>
      <c r="U70" s="210">
        <v>38</v>
      </c>
      <c r="V70" s="210">
        <v>90</v>
      </c>
    </row>
    <row r="71" spans="17:22" ht="18" thickBot="1">
      <c r="Q71" s="215" t="s">
        <v>975</v>
      </c>
      <c r="R71" s="217" t="s">
        <v>1423</v>
      </c>
      <c r="S71"/>
      <c r="T71"/>
      <c r="U71"/>
    </row>
  </sheetData>
  <phoneticPr fontId="1" type="noConversion"/>
  <conditionalFormatting sqref="C29:C30">
    <cfRule type="cellIs" dxfId="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55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260</v>
      </c>
      <c r="F4" s="84" t="s">
        <v>72</v>
      </c>
      <c r="G4" s="172" t="s">
        <v>298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2172298.5499999998</v>
      </c>
      <c r="G5" s="90"/>
      <c r="H5" s="90"/>
      <c r="I5" s="130">
        <f t="shared" ref="I5:I49" si="0">T5</f>
        <v>635.13165109925978</v>
      </c>
      <c r="J5" s="130"/>
      <c r="L5" s="80"/>
      <c r="M5" s="80"/>
      <c r="P5" s="129" t="s">
        <v>0</v>
      </c>
      <c r="Q5" s="116">
        <v>43445971</v>
      </c>
      <c r="R5" s="116"/>
      <c r="S5" s="116">
        <v>68404.67</v>
      </c>
      <c r="T5" s="130">
        <f t="shared" ref="T5:T21" si="1">Q5/S5</f>
        <v>635.13165109925978</v>
      </c>
      <c r="U5" s="85"/>
    </row>
    <row r="6" spans="1:21" ht="15" hidden="1" customHeight="1">
      <c r="A6" s="129" t="s">
        <v>1</v>
      </c>
      <c r="C6" s="79"/>
      <c r="F6" s="78">
        <f>Q6/18</f>
        <v>1816676.7222222222</v>
      </c>
      <c r="G6" s="90">
        <f t="shared" ref="G6:G16" si="2">F6/F5-1</f>
        <v>-0.16370762102556191</v>
      </c>
      <c r="H6" s="90"/>
      <c r="I6" s="130">
        <f t="shared" si="0"/>
        <v>594.98351613660964</v>
      </c>
      <c r="J6" s="130"/>
      <c r="P6" s="129" t="s">
        <v>1</v>
      </c>
      <c r="Q6" s="116">
        <v>32700181</v>
      </c>
      <c r="R6" s="116"/>
      <c r="S6" s="116">
        <v>54959.81</v>
      </c>
      <c r="T6" s="130">
        <f t="shared" si="1"/>
        <v>594.98351613660964</v>
      </c>
      <c r="U6" s="85"/>
    </row>
    <row r="7" spans="1:21" ht="15" hidden="1" customHeight="1">
      <c r="A7" s="129" t="s">
        <v>2</v>
      </c>
      <c r="B7" s="131">
        <f>F5+F6+F7</f>
        <v>5686464.9540404035</v>
      </c>
      <c r="C7" s="131">
        <f>AVERAGE(F5:F7)</f>
        <v>1895488.3180134678</v>
      </c>
      <c r="F7" s="78">
        <f>Q7/22</f>
        <v>1697489.6818181819</v>
      </c>
      <c r="G7" s="90">
        <f t="shared" si="2"/>
        <v>-6.5607182029748579E-2</v>
      </c>
      <c r="H7" s="90"/>
      <c r="I7" s="130">
        <f t="shared" si="0"/>
        <v>582.08914302459073</v>
      </c>
      <c r="J7" s="130"/>
      <c r="K7" s="79">
        <f>R5+R6+R7</f>
        <v>0</v>
      </c>
      <c r="N7" s="88">
        <f>AVERAGE(T5:T7)</f>
        <v>604.06810342015342</v>
      </c>
      <c r="P7" s="129" t="s">
        <v>2</v>
      </c>
      <c r="Q7" s="116">
        <v>37344773</v>
      </c>
      <c r="R7" s="116"/>
      <c r="S7" s="116">
        <v>64156.45</v>
      </c>
      <c r="T7" s="130">
        <f t="shared" si="1"/>
        <v>582.08914302459073</v>
      </c>
      <c r="U7" s="85">
        <f>Q5+Q6+Q7</f>
        <v>113490925</v>
      </c>
    </row>
    <row r="8" spans="1:21" ht="15" hidden="1" customHeight="1">
      <c r="A8" s="129" t="s">
        <v>3</v>
      </c>
      <c r="C8" s="79"/>
      <c r="F8" s="78">
        <f>Q8/21</f>
        <v>2096521.7619047619</v>
      </c>
      <c r="G8" s="90">
        <f t="shared" si="2"/>
        <v>0.23507187369715066</v>
      </c>
      <c r="H8" s="90"/>
      <c r="I8" s="130">
        <f t="shared" si="0"/>
        <v>614.66975935474625</v>
      </c>
      <c r="J8" s="130"/>
      <c r="K8" s="78"/>
      <c r="P8" s="129" t="s">
        <v>3</v>
      </c>
      <c r="Q8" s="116">
        <v>44026957</v>
      </c>
      <c r="R8" s="116"/>
      <c r="S8" s="116">
        <v>71627.009999999995</v>
      </c>
      <c r="T8" s="130">
        <f t="shared" si="1"/>
        <v>614.66975935474625</v>
      </c>
      <c r="U8" s="85"/>
    </row>
    <row r="9" spans="1:21" ht="15" hidden="1" customHeight="1">
      <c r="A9" s="129" t="s">
        <v>4</v>
      </c>
      <c r="C9" s="79"/>
      <c r="F9" s="78">
        <f>Q9/21</f>
        <v>2729206.1904761903</v>
      </c>
      <c r="G9" s="90">
        <f t="shared" si="2"/>
        <v>0.30177813560905409</v>
      </c>
      <c r="H9" s="90"/>
      <c r="I9" s="130">
        <f t="shared" si="0"/>
        <v>672.06629793309696</v>
      </c>
      <c r="J9" s="130"/>
      <c r="K9" s="78"/>
      <c r="P9" s="129" t="s">
        <v>4</v>
      </c>
      <c r="Q9" s="116">
        <v>57313330</v>
      </c>
      <c r="R9" s="116"/>
      <c r="S9" s="116">
        <v>85279.28</v>
      </c>
      <c r="T9" s="130">
        <f t="shared" si="1"/>
        <v>672.06629793309696</v>
      </c>
      <c r="U9" s="85"/>
    </row>
    <row r="10" spans="1:21" ht="15" hidden="1" customHeight="1">
      <c r="A10" s="129" t="s">
        <v>5</v>
      </c>
      <c r="B10" s="131">
        <f>F8+F9+F10</f>
        <v>7032756.3809523806</v>
      </c>
      <c r="C10" s="131">
        <f>AVERAGE(F8:F10)</f>
        <v>2344252.1269841269</v>
      </c>
      <c r="D10" s="90">
        <f>C10/C7-1</f>
        <v>0.23675366643302653</v>
      </c>
      <c r="E10" s="286"/>
      <c r="F10" s="78">
        <f>Q10/21</f>
        <v>2207028.4285714286</v>
      </c>
      <c r="G10" s="90">
        <f t="shared" si="2"/>
        <v>-0.19132953886992776</v>
      </c>
      <c r="H10" s="90"/>
      <c r="I10" s="130">
        <f t="shared" si="0"/>
        <v>713.84308222466291</v>
      </c>
      <c r="J10" s="130"/>
      <c r="K10" s="79">
        <f>R8+R9+R10</f>
        <v>0</v>
      </c>
      <c r="L10" s="87">
        <f>U10/U7-1</f>
        <v>0.30131888518839722</v>
      </c>
      <c r="N10" s="88">
        <f>AVERAGE(T8:T10)</f>
        <v>666.85971317083533</v>
      </c>
      <c r="O10" s="89">
        <f>N10/N7-1</f>
        <v>0.10394789825048556</v>
      </c>
      <c r="P10" s="129" t="s">
        <v>5</v>
      </c>
      <c r="Q10" s="116">
        <v>46347597</v>
      </c>
      <c r="R10" s="116"/>
      <c r="S10" s="116">
        <v>64926.87</v>
      </c>
      <c r="T10" s="130">
        <f t="shared" si="1"/>
        <v>713.84308222466291</v>
      </c>
      <c r="U10" s="85">
        <f>Q8+Q9+Q10</f>
        <v>147687884</v>
      </c>
    </row>
    <row r="11" spans="1:21" ht="15" hidden="1" customHeight="1">
      <c r="A11" s="129" t="s">
        <v>6</v>
      </c>
      <c r="C11" s="79"/>
      <c r="F11" s="78">
        <f>Q11/21</f>
        <v>1090043.0952380951</v>
      </c>
      <c r="G11" s="90">
        <f t="shared" si="2"/>
        <v>-0.50610373607934844</v>
      </c>
      <c r="H11" s="90"/>
      <c r="I11" s="130">
        <f t="shared" si="0"/>
        <v>613.16851208180822</v>
      </c>
      <c r="J11" s="130"/>
      <c r="K11" s="78"/>
      <c r="O11" s="89"/>
      <c r="P11" s="129" t="s">
        <v>6</v>
      </c>
      <c r="Q11" s="116">
        <v>22890905</v>
      </c>
      <c r="R11" s="116"/>
      <c r="S11" s="116">
        <v>37332.160000000003</v>
      </c>
      <c r="T11" s="130">
        <f t="shared" si="1"/>
        <v>613.16851208180822</v>
      </c>
      <c r="U11" s="85"/>
    </row>
    <row r="12" spans="1:21" ht="15" hidden="1" customHeight="1">
      <c r="A12" s="129" t="s">
        <v>7</v>
      </c>
      <c r="C12" s="79"/>
      <c r="F12" s="78">
        <f>Q12/22</f>
        <v>1491244.5</v>
      </c>
      <c r="G12" s="90">
        <f t="shared" si="2"/>
        <v>0.36806013130542459</v>
      </c>
      <c r="H12" s="90"/>
      <c r="I12" s="130">
        <f t="shared" si="0"/>
        <v>520.23264074439965</v>
      </c>
      <c r="J12" s="130"/>
      <c r="K12" s="78"/>
      <c r="O12" s="89"/>
      <c r="P12" s="129" t="s">
        <v>7</v>
      </c>
      <c r="Q12" s="116">
        <v>32807379</v>
      </c>
      <c r="R12" s="116"/>
      <c r="S12" s="116">
        <v>63062.9</v>
      </c>
      <c r="T12" s="130">
        <f t="shared" si="1"/>
        <v>520.23264074439965</v>
      </c>
      <c r="U12" s="85"/>
    </row>
    <row r="13" spans="1:21" ht="15" hidden="1" customHeight="1">
      <c r="A13" s="129" t="s">
        <v>96</v>
      </c>
      <c r="B13" s="131">
        <f>F11+F12+F13</f>
        <v>4027552.9952380951</v>
      </c>
      <c r="C13" s="131">
        <f>AVERAGE(F11:F13)</f>
        <v>1342517.665079365</v>
      </c>
      <c r="D13" s="90">
        <f>C13/C10-1</f>
        <v>-0.42731515538539366</v>
      </c>
      <c r="E13" s="286"/>
      <c r="F13" s="78">
        <f>Q13/20</f>
        <v>1446265.4</v>
      </c>
      <c r="G13" s="90">
        <f t="shared" si="2"/>
        <v>-3.016212297849219E-2</v>
      </c>
      <c r="H13" s="90"/>
      <c r="I13" s="130">
        <f t="shared" si="0"/>
        <v>504.7366742212044</v>
      </c>
      <c r="J13" s="130"/>
      <c r="K13" s="78">
        <f>R11+R12+R13</f>
        <v>0</v>
      </c>
      <c r="L13" s="87">
        <f>U13/U10-1</f>
        <v>-0.42701060027375026</v>
      </c>
      <c r="N13" s="88">
        <f>AVERAGE(T11:T13)</f>
        <v>546.04594234913736</v>
      </c>
      <c r="O13" s="89">
        <f>N13/N10-1</f>
        <v>-0.18116819540236351</v>
      </c>
      <c r="P13" s="129" t="s">
        <v>96</v>
      </c>
      <c r="Q13" s="116">
        <v>28925308</v>
      </c>
      <c r="R13" s="116"/>
      <c r="S13" s="116">
        <v>57307.72</v>
      </c>
      <c r="T13" s="130">
        <f t="shared" si="1"/>
        <v>504.7366742212044</v>
      </c>
      <c r="U13" s="85">
        <f>Q11+Q12+Q13</f>
        <v>84623592</v>
      </c>
    </row>
    <row r="14" spans="1:21" ht="15" hidden="1" customHeight="1">
      <c r="A14" s="129" t="s">
        <v>97</v>
      </c>
      <c r="C14" s="79"/>
      <c r="F14" s="78">
        <f>Q14/20</f>
        <v>1577335</v>
      </c>
      <c r="G14" s="90">
        <f t="shared" si="2"/>
        <v>9.0626243288403519E-2</v>
      </c>
      <c r="H14" s="90"/>
      <c r="I14" s="130">
        <f t="shared" si="0"/>
        <v>546.08249979963341</v>
      </c>
      <c r="J14" s="130"/>
      <c r="O14" s="89"/>
      <c r="P14" s="129" t="s">
        <v>97</v>
      </c>
      <c r="Q14" s="116">
        <v>31546700</v>
      </c>
      <c r="R14" s="116"/>
      <c r="S14" s="116">
        <v>57769.11</v>
      </c>
      <c r="T14" s="130">
        <f t="shared" si="1"/>
        <v>546.08249979963341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1647137.8636363635</v>
      </c>
      <c r="G15" s="90">
        <f t="shared" si="2"/>
        <v>4.4253670676402512E-2</v>
      </c>
      <c r="H15" s="90"/>
      <c r="I15" s="130">
        <f t="shared" si="0"/>
        <v>438.97710202934508</v>
      </c>
      <c r="J15" s="130"/>
      <c r="O15" s="89"/>
      <c r="P15" s="129" t="s">
        <v>98</v>
      </c>
      <c r="Q15" s="116">
        <v>36237033</v>
      </c>
      <c r="R15" s="116"/>
      <c r="S15" s="116">
        <v>82548.800000000003</v>
      </c>
      <c r="T15" s="130">
        <f t="shared" si="1"/>
        <v>438.97710202934508</v>
      </c>
      <c r="U15" s="85"/>
    </row>
    <row r="16" spans="1:21" ht="15" hidden="1" customHeight="1">
      <c r="A16" s="129" t="s">
        <v>99</v>
      </c>
      <c r="B16" s="131">
        <f>F14+F15+F16</f>
        <v>4711303.1363636358</v>
      </c>
      <c r="C16" s="131">
        <f>AVERAGE(F14:F16)</f>
        <v>1570434.3787878787</v>
      </c>
      <c r="D16" s="90">
        <f>C16/C13-1</f>
        <v>0.1697681301609093</v>
      </c>
      <c r="E16" s="286"/>
      <c r="F16" s="78">
        <f>Q16/22</f>
        <v>1486830.2727272727</v>
      </c>
      <c r="G16" s="90">
        <f t="shared" si="2"/>
        <v>-9.7324938275161754E-2</v>
      </c>
      <c r="H16" s="90"/>
      <c r="I16" s="130">
        <f t="shared" si="0"/>
        <v>495.8534347386543</v>
      </c>
      <c r="J16" s="130"/>
      <c r="K16" s="78">
        <f>R14+R15+R16</f>
        <v>0</v>
      </c>
      <c r="L16" s="87">
        <f>U16/U13-1</f>
        <v>0.18754116464354298</v>
      </c>
      <c r="N16" s="88">
        <f>AVERAGE(T14:T16)</f>
        <v>493.6376788558776</v>
      </c>
      <c r="O16" s="89">
        <f>N16/N13-1</f>
        <v>-9.5977754669863247E-2</v>
      </c>
      <c r="P16" s="129" t="s">
        <v>99</v>
      </c>
      <c r="Q16" s="116">
        <v>32710266</v>
      </c>
      <c r="R16" s="116"/>
      <c r="S16" s="116">
        <v>65967.61</v>
      </c>
      <c r="T16" s="130">
        <f t="shared" si="1"/>
        <v>495.8534347386543</v>
      </c>
      <c r="U16" s="85">
        <f>Q14+Q15+Q16</f>
        <v>100493999</v>
      </c>
    </row>
    <row r="17" spans="1:21" ht="15" hidden="1" customHeight="1">
      <c r="A17" s="129" t="s">
        <v>100</v>
      </c>
      <c r="C17" s="79"/>
      <c r="F17" s="78">
        <f>Q17/20</f>
        <v>1039002.85</v>
      </c>
      <c r="G17" s="90">
        <f t="shared" ref="G17:G22" si="3">F17/F16-1</f>
        <v>-0.30119606181129799</v>
      </c>
      <c r="H17" s="90">
        <f t="shared" ref="H17:H22" si="4">F17/F5-1</f>
        <v>-0.52170347395389083</v>
      </c>
      <c r="I17" s="130">
        <f t="shared" si="0"/>
        <v>470.58014809420092</v>
      </c>
      <c r="J17" s="130">
        <f t="shared" ref="J17:J49" si="5">I17/I5-1</f>
        <v>-0.25908251103571978</v>
      </c>
      <c r="O17" s="89"/>
      <c r="P17" s="129" t="s">
        <v>100</v>
      </c>
      <c r="Q17" s="116">
        <v>20780057</v>
      </c>
      <c r="R17" s="116">
        <v>26271611868</v>
      </c>
      <c r="S17" s="116">
        <v>44158.38</v>
      </c>
      <c r="T17" s="130">
        <f t="shared" si="1"/>
        <v>470.58014809420092</v>
      </c>
      <c r="U17" s="78"/>
    </row>
    <row r="18" spans="1:21" hidden="1">
      <c r="A18" s="129" t="s">
        <v>106</v>
      </c>
      <c r="C18" s="79"/>
      <c r="F18" s="78">
        <f>Q18/20</f>
        <v>991459.25</v>
      </c>
      <c r="G18" s="90">
        <f t="shared" si="3"/>
        <v>-4.5758873519933019E-2</v>
      </c>
      <c r="H18" s="90">
        <f t="shared" si="4"/>
        <v>-0.45424563552109998</v>
      </c>
      <c r="I18" s="130">
        <f t="shared" si="0"/>
        <v>443.80221408887104</v>
      </c>
      <c r="J18" s="130">
        <f t="shared" si="5"/>
        <v>-0.25409326132159094</v>
      </c>
      <c r="O18" s="89"/>
      <c r="P18" s="129" t="s">
        <v>106</v>
      </c>
      <c r="Q18" s="116">
        <v>19829185</v>
      </c>
      <c r="R18" s="116">
        <v>24746546825</v>
      </c>
      <c r="S18" s="116">
        <v>44680.23</v>
      </c>
      <c r="T18" s="130">
        <f t="shared" si="1"/>
        <v>443.80221408887104</v>
      </c>
      <c r="U18" s="78"/>
    </row>
    <row r="19" spans="1:21" hidden="1">
      <c r="A19" s="129" t="s">
        <v>114</v>
      </c>
      <c r="B19" s="131">
        <f>SUM(F17:F19)</f>
        <v>3047119.1454545455</v>
      </c>
      <c r="C19" s="131">
        <f>AVERAGE(F17:F19)</f>
        <v>1015706.3818181818</v>
      </c>
      <c r="D19" s="90">
        <f>C19/C16-1</f>
        <v>-0.35323220407200784</v>
      </c>
      <c r="E19" s="286">
        <f>C19/C7-1</f>
        <v>-0.46414526949832402</v>
      </c>
      <c r="F19" s="78">
        <f>Q19/22</f>
        <v>1016657.0454545454</v>
      </c>
      <c r="G19" s="90">
        <f t="shared" si="3"/>
        <v>2.5414857397866308E-2</v>
      </c>
      <c r="H19" s="90">
        <f t="shared" si="4"/>
        <v>-0.40108204701096994</v>
      </c>
      <c r="I19" s="130">
        <f t="shared" si="0"/>
        <v>473.25895832672103</v>
      </c>
      <c r="J19" s="130">
        <f t="shared" si="5"/>
        <v>-0.18696480771377677</v>
      </c>
      <c r="K19" s="78">
        <f>R17+R18+R19</f>
        <v>80245269055</v>
      </c>
      <c r="L19" s="87">
        <f>U19/U16-1</f>
        <v>-0.37333873040518573</v>
      </c>
      <c r="M19" s="87">
        <f>U19/U7-1</f>
        <v>-0.44510367679177876</v>
      </c>
      <c r="N19" s="88">
        <f>AVERAGE(T17:T19)</f>
        <v>462.54710683659772</v>
      </c>
      <c r="O19" s="89">
        <f>N19/N16-1</f>
        <v>-6.2982574772938005E-2</v>
      </c>
      <c r="P19" s="129" t="s">
        <v>114</v>
      </c>
      <c r="Q19" s="116">
        <v>22366455</v>
      </c>
      <c r="R19" s="116">
        <v>29227110362</v>
      </c>
      <c r="S19" s="116">
        <v>47260.5</v>
      </c>
      <c r="T19" s="130">
        <f t="shared" si="1"/>
        <v>473.25895832672103</v>
      </c>
      <c r="U19" s="85">
        <f>Q17+Q18+Q19</f>
        <v>62975697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1192472.45</v>
      </c>
      <c r="G20" s="90">
        <f t="shared" si="3"/>
        <v>0.17293482136529903</v>
      </c>
      <c r="H20" s="90">
        <f t="shared" si="4"/>
        <v>-0.43121389356979634</v>
      </c>
      <c r="I20" s="130">
        <f t="shared" si="0"/>
        <v>515.45479400243141</v>
      </c>
      <c r="J20" s="130">
        <f t="shared" si="5"/>
        <v>-0.16141182129484688</v>
      </c>
      <c r="O20" s="89"/>
      <c r="P20" s="129" t="s">
        <v>131</v>
      </c>
      <c r="Q20" s="116">
        <v>23849449</v>
      </c>
      <c r="R20" s="116">
        <v>31268608981</v>
      </c>
      <c r="S20" s="116">
        <v>46268.75</v>
      </c>
      <c r="T20" s="130">
        <f t="shared" si="1"/>
        <v>515.45479400243141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1485068.0952380951</v>
      </c>
      <c r="G21" s="90">
        <f t="shared" si="3"/>
        <v>0.24536889320847211</v>
      </c>
      <c r="H21" s="90">
        <f t="shared" si="4"/>
        <v>-0.45586079189605633</v>
      </c>
      <c r="I21" s="130">
        <f t="shared" si="0"/>
        <v>473.93175726019973</v>
      </c>
      <c r="J21" s="130">
        <f t="shared" si="5"/>
        <v>-0.29481398082636956</v>
      </c>
      <c r="O21" s="89"/>
      <c r="P21" s="129" t="s">
        <v>141</v>
      </c>
      <c r="Q21" s="116">
        <v>31186430</v>
      </c>
      <c r="R21" s="116">
        <v>41557665276</v>
      </c>
      <c r="S21" s="116">
        <v>65803.63</v>
      </c>
      <c r="T21" s="130">
        <f t="shared" si="1"/>
        <v>473.93175726019973</v>
      </c>
      <c r="U21" s="78"/>
    </row>
    <row r="22" spans="1:21" hidden="1">
      <c r="A22" s="129" t="s">
        <v>156</v>
      </c>
      <c r="B22" s="131">
        <f>SUM(F20:F22)</f>
        <v>4185842.9261904764</v>
      </c>
      <c r="C22" s="131">
        <f>AVERAGE(F20:F22)</f>
        <v>1395280.9753968255</v>
      </c>
      <c r="D22" s="90">
        <f>C22/C19-1</f>
        <v>0.3737050395402457</v>
      </c>
      <c r="E22" s="286">
        <f>C22/C10-1</f>
        <v>-0.4048076316808763</v>
      </c>
      <c r="F22" s="78">
        <f>Q22/21</f>
        <v>1508302.3809523811</v>
      </c>
      <c r="G22" s="90">
        <f t="shared" si="3"/>
        <v>1.5645266226368415E-2</v>
      </c>
      <c r="H22" s="90">
        <f t="shared" si="4"/>
        <v>-0.31659132187586769</v>
      </c>
      <c r="I22" s="130">
        <f t="shared" si="0"/>
        <v>498.13229973412479</v>
      </c>
      <c r="J22" s="130">
        <f t="shared" si="5"/>
        <v>-0.30218235332376442</v>
      </c>
      <c r="K22" s="78">
        <f>R20+R21+R22</f>
        <v>114103430272</v>
      </c>
      <c r="L22" s="87">
        <f>U22/U19-1</f>
        <v>0.37688399066071465</v>
      </c>
      <c r="M22" s="87">
        <f>U22/U10-1</f>
        <v>-0.41288190573574746</v>
      </c>
      <c r="N22" s="88">
        <f>AVERAGE(T20:T22)</f>
        <v>495.8396169989187</v>
      </c>
      <c r="O22" s="89">
        <f>N22/N19-1</f>
        <v>7.1976474763860265E-2</v>
      </c>
      <c r="P22" s="129" t="s">
        <v>156</v>
      </c>
      <c r="Q22" s="116">
        <v>31674350</v>
      </c>
      <c r="R22" s="116">
        <v>41277156015</v>
      </c>
      <c r="S22" s="116">
        <v>63586.22</v>
      </c>
      <c r="T22" s="130">
        <f t="shared" ref="T22:T23" si="6">Q22/S22</f>
        <v>498.13229973412479</v>
      </c>
      <c r="U22" s="85">
        <f>Q20+Q21+Q22</f>
        <v>86710229</v>
      </c>
    </row>
    <row r="23" spans="1:21" hidden="1">
      <c r="A23" s="129" t="s">
        <v>189</v>
      </c>
      <c r="B23" s="131"/>
      <c r="C23" s="131"/>
      <c r="F23" s="78">
        <f>Q23/21</f>
        <v>1402032.8095238095</v>
      </c>
      <c r="G23" s="90">
        <f t="shared" ref="G23" si="7">F23/F22-1</f>
        <v>-7.0456410313076812E-2</v>
      </c>
      <c r="H23" s="90">
        <f t="shared" ref="H23" si="8">F23/F11-1</f>
        <v>0.28621777950675176</v>
      </c>
      <c r="I23" s="130">
        <f t="shared" si="0"/>
        <v>514.97189514212823</v>
      </c>
      <c r="J23" s="130">
        <f t="shared" si="5"/>
        <v>-0.16014621593383238</v>
      </c>
      <c r="O23" s="89"/>
      <c r="P23" s="129" t="s">
        <v>189</v>
      </c>
      <c r="Q23" s="116">
        <v>29442689</v>
      </c>
      <c r="R23" s="116">
        <v>38003800054</v>
      </c>
      <c r="S23" s="116">
        <v>57173.39</v>
      </c>
      <c r="T23" s="130">
        <f t="shared" si="6"/>
        <v>514.97189514212823</v>
      </c>
      <c r="U23" s="78"/>
    </row>
    <row r="24" spans="1:21" hidden="1">
      <c r="A24" s="129" t="s">
        <v>204</v>
      </c>
      <c r="B24" s="131"/>
      <c r="C24" s="131"/>
      <c r="F24" s="78">
        <f>Q24/22</f>
        <v>1504337.5909090908</v>
      </c>
      <c r="G24" s="90">
        <f t="shared" ref="G24" si="9">F24/F23-1</f>
        <v>7.296889251830585E-2</v>
      </c>
      <c r="H24" s="90">
        <f t="shared" ref="H24" si="10">F24/F12-1</f>
        <v>8.7799759925959453E-3</v>
      </c>
      <c r="I24" s="130">
        <f t="shared" si="0"/>
        <v>485.67746178943901</v>
      </c>
      <c r="J24" s="130">
        <f t="shared" si="5"/>
        <v>-6.6422550698694516E-2</v>
      </c>
      <c r="O24" s="89"/>
      <c r="P24" s="129" t="s">
        <v>204</v>
      </c>
      <c r="Q24" s="116">
        <v>33095427</v>
      </c>
      <c r="R24" s="116">
        <v>43309465749</v>
      </c>
      <c r="S24" s="116">
        <v>68142.81</v>
      </c>
      <c r="T24" s="130">
        <f t="shared" ref="T24" si="11">Q24/S24</f>
        <v>485.67746178943901</v>
      </c>
      <c r="U24" s="78"/>
    </row>
    <row r="25" spans="1:21" s="79" customFormat="1" ht="13.2" hidden="1">
      <c r="A25" s="129" t="s">
        <v>219</v>
      </c>
      <c r="B25" s="131">
        <f>SUM(F23:F25)</f>
        <v>4233860.8741171109</v>
      </c>
      <c r="C25" s="131">
        <f>AVERAGE(F23:F25)</f>
        <v>1411286.958039037</v>
      </c>
      <c r="D25" s="90">
        <f>C25/C22-1</f>
        <v>1.1471512135868833E-2</v>
      </c>
      <c r="E25" s="286">
        <f>C25/C13-1</f>
        <v>5.1224125200323822E-2</v>
      </c>
      <c r="F25" s="78">
        <f>Q25/19</f>
        <v>1327490.4736842106</v>
      </c>
      <c r="G25" s="90">
        <f t="shared" ref="G25" si="12">F25/F24-1</f>
        <v>-0.11755813209321531</v>
      </c>
      <c r="H25" s="90">
        <f t="shared" ref="H25" si="13">F25/F13-1</f>
        <v>-8.2125262981323721E-2</v>
      </c>
      <c r="I25" s="130">
        <f t="shared" si="0"/>
        <v>457.38079815584769</v>
      </c>
      <c r="J25" s="130">
        <f t="shared" si="5"/>
        <v>-9.3822934777675115E-2</v>
      </c>
      <c r="K25" s="78">
        <f>R23+R24+R25</f>
        <v>114791590318</v>
      </c>
      <c r="L25" s="90">
        <f>U25/U22-1</f>
        <v>1.2111673698843584E-2</v>
      </c>
      <c r="M25" s="90">
        <f>U25/U13-1</f>
        <v>3.7068185429897538E-2</v>
      </c>
      <c r="N25" s="88">
        <f>AVERAGE(T23:T25)</f>
        <v>486.01005169580498</v>
      </c>
      <c r="O25" s="91">
        <f>N25/N22-1</f>
        <v>-1.9824082155047273E-2</v>
      </c>
      <c r="P25" s="129" t="s">
        <v>219</v>
      </c>
      <c r="Q25" s="116">
        <v>25222319</v>
      </c>
      <c r="R25" s="116">
        <v>33478324515</v>
      </c>
      <c r="S25" s="116">
        <v>55145.120000000003</v>
      </c>
      <c r="T25" s="130">
        <f t="shared" ref="T25" si="14">Q25/S25</f>
        <v>457.38079815584769</v>
      </c>
      <c r="U25" s="85">
        <f>Q23+Q24+Q25</f>
        <v>87760435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1835599.9473684211</v>
      </c>
      <c r="G26" s="90">
        <f t="shared" ref="G26" si="15">F26/F25-1</f>
        <v>0.38275941240771716</v>
      </c>
      <c r="H26" s="90">
        <f t="shared" ref="H26" si="16">F26/F14-1</f>
        <v>0.16373500072490699</v>
      </c>
      <c r="I26" s="130">
        <f t="shared" si="0"/>
        <v>496.36771608706295</v>
      </c>
      <c r="J26" s="130">
        <f t="shared" si="5"/>
        <v>-9.1038961568648769E-2</v>
      </c>
      <c r="L26" s="90"/>
      <c r="M26" s="90"/>
      <c r="P26" s="129" t="s">
        <v>312</v>
      </c>
      <c r="Q26" s="116">
        <v>34876399</v>
      </c>
      <c r="R26" s="116">
        <v>47030298193</v>
      </c>
      <c r="S26" s="116">
        <v>70263.23</v>
      </c>
      <c r="T26" s="130">
        <f t="shared" ref="T26" si="17">Q26/S26</f>
        <v>496.36771608706295</v>
      </c>
      <c r="U26" s="78"/>
    </row>
    <row r="27" spans="1:21" s="79" customFormat="1" ht="13.2" hidden="1">
      <c r="A27" s="129" t="s">
        <v>380</v>
      </c>
      <c r="B27" s="131"/>
      <c r="C27" s="131"/>
      <c r="D27" s="132"/>
      <c r="E27" s="286"/>
      <c r="F27" s="78">
        <f>Q27/22</f>
        <v>1937531.7272727273</v>
      </c>
      <c r="G27" s="90">
        <f t="shared" ref="G27" si="18">F27/F26-1</f>
        <v>5.5530498380346405E-2</v>
      </c>
      <c r="H27" s="90">
        <f t="shared" ref="H27" si="19">F27/F15-1</f>
        <v>0.1763020995675888</v>
      </c>
      <c r="I27" s="130">
        <f t="shared" si="0"/>
        <v>435.71210700689232</v>
      </c>
      <c r="J27" s="130">
        <f t="shared" si="5"/>
        <v>-7.4377342402577318E-3</v>
      </c>
      <c r="L27" s="90"/>
      <c r="M27" s="90"/>
      <c r="P27" s="129" t="s">
        <v>380</v>
      </c>
      <c r="Q27" s="116">
        <v>42625698</v>
      </c>
      <c r="R27" s="116">
        <v>56422530953</v>
      </c>
      <c r="S27" s="116">
        <v>97829.96</v>
      </c>
      <c r="T27" s="130">
        <f t="shared" ref="T27" si="20">Q27/S27</f>
        <v>435.71210700689232</v>
      </c>
      <c r="U27" s="78"/>
    </row>
    <row r="28" spans="1:21" s="79" customFormat="1" ht="13.2" hidden="1">
      <c r="A28" s="123" t="s">
        <v>413</v>
      </c>
      <c r="B28" s="131">
        <f>SUM(F26:F28)</f>
        <v>6190376.7272727266</v>
      </c>
      <c r="C28" s="131">
        <f>AVERAGE(F26:F28)</f>
        <v>2063458.9090909089</v>
      </c>
      <c r="D28" s="90">
        <f>C28/C25-1</f>
        <v>0.46211151271322981</v>
      </c>
      <c r="E28" s="286">
        <f>C28/C16-1</f>
        <v>0.3139415036771962</v>
      </c>
      <c r="F28" s="78">
        <f>Q28/19</f>
        <v>2417245.0526315789</v>
      </c>
      <c r="G28" s="90">
        <f t="shared" ref="G28" si="21">F28/F27-1</f>
        <v>0.24758992000306335</v>
      </c>
      <c r="H28" s="90">
        <f t="shared" ref="H28" si="22">F28/F16-1</f>
        <v>0.62577067266572328</v>
      </c>
      <c r="I28" s="130">
        <f t="shared" si="0"/>
        <v>413.6471063354283</v>
      </c>
      <c r="J28" s="130">
        <f t="shared" si="5"/>
        <v>-0.16578755463608685</v>
      </c>
      <c r="K28" s="78">
        <f>R26+R27+R28</f>
        <v>163315631360</v>
      </c>
      <c r="L28" s="90">
        <f>U28/U25-1</f>
        <v>0.40643962168145586</v>
      </c>
      <c r="M28" s="90">
        <f>U28/U16-1</f>
        <v>0.2282300856591446</v>
      </c>
      <c r="N28" s="88">
        <f>AVERAGE(T26:T28)</f>
        <v>448.57564314312782</v>
      </c>
      <c r="O28" s="91">
        <f>N28/N25-1</f>
        <v>-7.7023938953648341E-2</v>
      </c>
      <c r="P28" s="129" t="s">
        <v>413</v>
      </c>
      <c r="Q28" s="116">
        <v>45927656</v>
      </c>
      <c r="R28" s="116">
        <v>59862802214</v>
      </c>
      <c r="S28" s="116">
        <v>111031.01</v>
      </c>
      <c r="T28" s="130">
        <f t="shared" ref="T28" si="23">Q28/S28</f>
        <v>413.6471063354283</v>
      </c>
      <c r="U28" s="85">
        <f>Q26+Q27+Q28</f>
        <v>123429753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1820327.9090909092</v>
      </c>
      <c r="G29" s="190">
        <f t="shared" ref="G29" si="24">F29/F28-1</f>
        <v>-0.24694109639021689</v>
      </c>
      <c r="H29" s="190">
        <f t="shared" ref="H29" si="25">F29/F17-1</f>
        <v>0.75199510674192016</v>
      </c>
      <c r="I29" s="130">
        <f t="shared" si="0"/>
        <v>463.15663960124817</v>
      </c>
      <c r="J29" s="130">
        <f t="shared" si="5"/>
        <v>-1.5775226649524354E-2</v>
      </c>
      <c r="K29" s="136"/>
      <c r="L29" s="190"/>
      <c r="M29" s="190"/>
      <c r="N29" s="191"/>
      <c r="O29" s="192"/>
      <c r="P29" s="129" t="s">
        <v>427</v>
      </c>
      <c r="Q29" s="116">
        <v>40047214</v>
      </c>
      <c r="R29" s="116">
        <v>52677964432</v>
      </c>
      <c r="S29" s="116">
        <v>86465.81</v>
      </c>
      <c r="T29" s="130">
        <f t="shared" ref="T29" si="26">Q29/S29</f>
        <v>463.15663960124817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2701162.210526316</v>
      </c>
      <c r="G30" s="190">
        <f t="shared" ref="G30" si="27">F30/F29-1</f>
        <v>0.48388770893223554</v>
      </c>
      <c r="H30" s="190">
        <f t="shared" ref="H30" si="28">F30/F18-1</f>
        <v>1.7244308936815265</v>
      </c>
      <c r="I30" s="130">
        <f t="shared" si="0"/>
        <v>520.98897399789826</v>
      </c>
      <c r="J30" s="130">
        <f t="shared" si="5"/>
        <v>0.1739215295883374</v>
      </c>
      <c r="K30" s="136"/>
      <c r="L30" s="190"/>
      <c r="M30" s="190"/>
      <c r="N30" s="191"/>
      <c r="O30" s="192"/>
      <c r="P30" s="129" t="s">
        <v>466</v>
      </c>
      <c r="Q30" s="116">
        <v>51322082</v>
      </c>
      <c r="R30" s="116">
        <v>68359223220</v>
      </c>
      <c r="S30" s="116">
        <v>98508.96</v>
      </c>
      <c r="T30" s="130">
        <f t="shared" ref="T30" si="29">Q30/S30</f>
        <v>520.98897399789826</v>
      </c>
      <c r="U30" s="85"/>
    </row>
    <row r="31" spans="1:21" s="79" customFormat="1" ht="13.2" hidden="1">
      <c r="A31" s="129" t="s">
        <v>505</v>
      </c>
      <c r="B31" s="188">
        <f>SUM(F29:F31)</f>
        <v>8744097.1696172245</v>
      </c>
      <c r="C31" s="188">
        <f>AVERAGE(F29:F31)</f>
        <v>2914699.056539075</v>
      </c>
      <c r="D31" s="190">
        <f>C31/C28-1</f>
        <v>0.41253069964121258</v>
      </c>
      <c r="E31" s="287">
        <f>C31/C19-1</f>
        <v>1.8696275899355581</v>
      </c>
      <c r="F31" s="136">
        <f>Q31/20</f>
        <v>4222607.05</v>
      </c>
      <c r="G31" s="190">
        <f t="shared" ref="G31" si="30">F31/F30-1</f>
        <v>0.56325563623860764</v>
      </c>
      <c r="H31" s="190">
        <f t="shared" ref="H31" si="31">F31/F19-1</f>
        <v>3.153423289475243</v>
      </c>
      <c r="I31" s="130">
        <f t="shared" si="0"/>
        <v>777.23543857101276</v>
      </c>
      <c r="J31" s="130">
        <f t="shared" si="5"/>
        <v>0.64230475703840195</v>
      </c>
      <c r="K31" s="136">
        <f>R29+R30+R31</f>
        <v>233294431267</v>
      </c>
      <c r="L31" s="190">
        <f>U31/U28-1</f>
        <v>0.42446559866323308</v>
      </c>
      <c r="M31" s="190">
        <f>U31/U19-1</f>
        <v>1.7918934664589736</v>
      </c>
      <c r="N31" s="191">
        <f>AVERAGE(T29:T31)</f>
        <v>587.12701739005308</v>
      </c>
      <c r="O31" s="192">
        <f>N31/N28-1</f>
        <v>0.30886958836219613</v>
      </c>
      <c r="P31" s="129" t="s">
        <v>505</v>
      </c>
      <c r="Q31" s="116">
        <v>84452141</v>
      </c>
      <c r="R31" s="116">
        <v>112257243615</v>
      </c>
      <c r="S31" s="116">
        <v>108657.09</v>
      </c>
      <c r="T31" s="130">
        <f t="shared" ref="T31" si="32">Q31/S31</f>
        <v>777.23543857101276</v>
      </c>
      <c r="U31" s="85">
        <f>Q29+Q30+Q31</f>
        <v>175821437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4526590.666666667</v>
      </c>
      <c r="G32" s="190">
        <f t="shared" ref="G32" si="33">F32/F31-1</f>
        <v>7.1989558362212991E-2</v>
      </c>
      <c r="H32" s="190">
        <f t="shared" ref="H32" si="34">F32/F20-1</f>
        <v>2.7959708559025134</v>
      </c>
      <c r="I32" s="130">
        <f t="shared" si="0"/>
        <v>825.25238292804909</v>
      </c>
      <c r="J32" s="130">
        <f t="shared" si="5"/>
        <v>0.60101796031439436</v>
      </c>
      <c r="K32" s="136"/>
      <c r="L32" s="190"/>
      <c r="M32" s="190"/>
      <c r="N32" s="191"/>
      <c r="O32" s="192"/>
      <c r="P32" s="129" t="s">
        <v>563</v>
      </c>
      <c r="Q32" s="116">
        <v>95058404</v>
      </c>
      <c r="R32" s="116">
        <v>129213969893</v>
      </c>
      <c r="S32" s="116">
        <v>115187.07</v>
      </c>
      <c r="T32" s="130">
        <f t="shared" ref="T32" si="35">Q32/S32</f>
        <v>825.25238292804909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5388574.0952380951</v>
      </c>
      <c r="G33" s="190">
        <f t="shared" ref="G33" si="36">F33/F32-1</f>
        <v>0.19042663497695567</v>
      </c>
      <c r="H33" s="190">
        <f t="shared" ref="H33" si="37">F33/F21-1</f>
        <v>2.628503038020062</v>
      </c>
      <c r="I33" s="130">
        <f t="shared" si="0"/>
        <v>846.33529370497672</v>
      </c>
      <c r="J33" s="130">
        <f t="shared" si="5"/>
        <v>0.78577459885288636</v>
      </c>
      <c r="K33" s="136"/>
      <c r="L33" s="190"/>
      <c r="M33" s="190"/>
      <c r="N33" s="191"/>
      <c r="O33" s="192"/>
      <c r="P33" s="129" t="s">
        <v>607</v>
      </c>
      <c r="Q33" s="116">
        <v>113160056</v>
      </c>
      <c r="R33" s="116">
        <v>154791915095</v>
      </c>
      <c r="S33" s="116">
        <v>133705.94</v>
      </c>
      <c r="T33" s="130">
        <f t="shared" ref="T33" si="38">Q33/S33</f>
        <v>846.33529370497672</v>
      </c>
      <c r="U33" s="85"/>
    </row>
    <row r="34" spans="1:21" s="79" customFormat="1" ht="13.2" hidden="1">
      <c r="A34" s="129" t="s">
        <v>652</v>
      </c>
      <c r="B34" s="188">
        <f>SUM(F32:F34)</f>
        <v>17357597.077694234</v>
      </c>
      <c r="C34" s="188">
        <f>AVERAGE(F32:F34)</f>
        <v>5785865.6925647445</v>
      </c>
      <c r="D34" s="190">
        <f>C34/C31-1</f>
        <v>0.98506452307117565</v>
      </c>
      <c r="E34" s="287">
        <f>C34/C22-1</f>
        <v>3.1467387534035662</v>
      </c>
      <c r="F34" s="136">
        <f>Q34/19</f>
        <v>7442432.3157894732</v>
      </c>
      <c r="G34" s="190">
        <f t="shared" ref="G34" si="39">F34/F33-1</f>
        <v>0.38115059461952661</v>
      </c>
      <c r="H34" s="190">
        <f t="shared" ref="H34" si="40">F34/F22-1</f>
        <v>3.9343105267062759</v>
      </c>
      <c r="I34" s="130">
        <f t="shared" si="0"/>
        <v>1051.6416974714482</v>
      </c>
      <c r="J34" s="130">
        <f t="shared" si="5"/>
        <v>1.1111694584606457</v>
      </c>
      <c r="K34" s="136">
        <f>R32+R33+R34</f>
        <v>478400422860</v>
      </c>
      <c r="L34" s="190">
        <f>U34/U31-1</f>
        <v>0.98852130869570809</v>
      </c>
      <c r="M34" s="190">
        <f>U34/U22-1</f>
        <v>3.0321041477124915</v>
      </c>
      <c r="N34" s="191">
        <f>AVERAGE(T32:T34)</f>
        <v>907.74312470149141</v>
      </c>
      <c r="O34" s="192">
        <f>N34/N31-1</f>
        <v>0.54607622850787596</v>
      </c>
      <c r="P34" s="129" t="s">
        <v>652</v>
      </c>
      <c r="Q34" s="116">
        <v>141406214</v>
      </c>
      <c r="R34" s="116">
        <v>194394537872</v>
      </c>
      <c r="S34" s="116">
        <v>134462.35</v>
      </c>
      <c r="T34" s="130">
        <f t="shared" ref="T34" si="41">Q34/S34</f>
        <v>1051.6416974714482</v>
      </c>
      <c r="U34" s="85">
        <f>Q32+Q33+Q34</f>
        <v>349624674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7296982.3478260869</v>
      </c>
      <c r="G35" s="190">
        <f t="shared" ref="G35" si="42">F35/F34-1</f>
        <v>-1.9543337687439544E-2</v>
      </c>
      <c r="H35" s="190">
        <f t="shared" ref="H35" si="43">F35/F23-1</f>
        <v>4.2045731727950475</v>
      </c>
      <c r="I35" s="130">
        <f t="shared" si="0"/>
        <v>1084.6638713980842</v>
      </c>
      <c r="J35" s="130">
        <f t="shared" si="5"/>
        <v>1.1062583834768795</v>
      </c>
      <c r="K35" s="136"/>
      <c r="L35" s="190"/>
      <c r="M35" s="190"/>
      <c r="N35" s="191"/>
      <c r="O35" s="192"/>
      <c r="P35" s="129" t="s">
        <v>660</v>
      </c>
      <c r="Q35" s="116">
        <v>167830594</v>
      </c>
      <c r="R35" s="116">
        <v>232272823711</v>
      </c>
      <c r="S35" s="116">
        <v>154730.51</v>
      </c>
      <c r="T35" s="130">
        <f t="shared" ref="T35" si="44">Q35/S35</f>
        <v>1084.6638713980842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6478979</v>
      </c>
      <c r="G36" s="190">
        <f t="shared" ref="G36" si="45">F36/F35-1</f>
        <v>-0.11210159334834979</v>
      </c>
      <c r="H36" s="190">
        <f t="shared" ref="H36" si="46">F36/F24-1</f>
        <v>3.3068650541961588</v>
      </c>
      <c r="I36" s="130">
        <f t="shared" si="0"/>
        <v>913.6814944834033</v>
      </c>
      <c r="J36" s="130">
        <f t="shared" si="5"/>
        <v>0.88125158436839612</v>
      </c>
      <c r="K36" s="136"/>
      <c r="L36" s="190"/>
      <c r="M36" s="190"/>
      <c r="N36" s="191"/>
      <c r="O36" s="192"/>
      <c r="P36" s="129" t="s">
        <v>664</v>
      </c>
      <c r="Q36" s="116">
        <v>136058559</v>
      </c>
      <c r="R36" s="116">
        <v>186296657632</v>
      </c>
      <c r="S36" s="116">
        <v>148912.46</v>
      </c>
      <c r="T36" s="130">
        <f t="shared" ref="T36" si="47">Q36/S36</f>
        <v>913.6814944834033</v>
      </c>
      <c r="U36" s="85"/>
    </row>
    <row r="37" spans="1:21" s="79" customFormat="1" ht="13.2" hidden="1">
      <c r="A37" s="129" t="s">
        <v>702</v>
      </c>
      <c r="B37" s="188">
        <f>SUM(F35:F37)</f>
        <v>19052022.514492754</v>
      </c>
      <c r="C37" s="188">
        <f>AVERAGE(F35:F37)</f>
        <v>6350674.1714975843</v>
      </c>
      <c r="D37" s="190">
        <f>C37/C34-1</f>
        <v>9.7618663989843313E-2</v>
      </c>
      <c r="E37" s="287">
        <f>C37/C25-1</f>
        <v>3.4999169979730809</v>
      </c>
      <c r="F37" s="136">
        <f>Q37/18</f>
        <v>5276061.166666667</v>
      </c>
      <c r="G37" s="190">
        <f t="shared" ref="G37" si="48">F37/F36-1</f>
        <v>-0.18566472176145854</v>
      </c>
      <c r="H37" s="190">
        <f t="shared" ref="H37" si="49">F37/F25-1</f>
        <v>2.9744625451238909</v>
      </c>
      <c r="I37" s="130">
        <f t="shared" si="0"/>
        <v>646.83158837446626</v>
      </c>
      <c r="J37" s="130">
        <f t="shared" si="5"/>
        <v>0.4142080100049701</v>
      </c>
      <c r="K37" s="136">
        <f>R35+R36+R37</f>
        <v>545366976060</v>
      </c>
      <c r="L37" s="190">
        <f>U37/U34-1</f>
        <v>0.14081837942593256</v>
      </c>
      <c r="M37" s="190">
        <f>U37/U25-1</f>
        <v>3.5448527460010881</v>
      </c>
      <c r="N37" s="191">
        <f>AVERAGE(T35:T37)</f>
        <v>881.72565141865118</v>
      </c>
      <c r="O37" s="192">
        <f>N37/N34-1</f>
        <v>-2.866171340201118E-2</v>
      </c>
      <c r="P37" s="129" t="s">
        <v>702</v>
      </c>
      <c r="Q37" s="116">
        <v>94969101</v>
      </c>
      <c r="R37" s="116">
        <v>126797494717</v>
      </c>
      <c r="S37" s="116">
        <v>146821.99</v>
      </c>
      <c r="T37" s="130">
        <f t="shared" ref="T37" si="50">Q37/S37</f>
        <v>646.83158837446626</v>
      </c>
      <c r="U37" s="85">
        <f>Q35+Q36+Q37</f>
        <v>398858254</v>
      </c>
    </row>
    <row r="38" spans="1:21" s="79" customFormat="1" ht="13.2" hidden="1">
      <c r="A38" s="129" t="s">
        <v>727</v>
      </c>
      <c r="B38" s="188"/>
      <c r="C38" s="188"/>
      <c r="D38" s="190"/>
      <c r="E38" s="287"/>
      <c r="F38" s="136">
        <f>Q38/20</f>
        <v>4540088.9000000004</v>
      </c>
      <c r="G38" s="190">
        <f t="shared" ref="G38" si="51">F38/F37-1</f>
        <v>-0.13949274722522642</v>
      </c>
      <c r="H38" s="190">
        <f t="shared" ref="H38" si="52">F38/F26-1</f>
        <v>1.4733542330445299</v>
      </c>
      <c r="I38" s="130">
        <f t="shared" si="0"/>
        <v>539.01308636411443</v>
      </c>
      <c r="J38" s="130">
        <f t="shared" si="5"/>
        <v>8.5914874990724588E-2</v>
      </c>
      <c r="K38" s="136"/>
      <c r="L38" s="190"/>
      <c r="M38" s="190"/>
      <c r="N38" s="191"/>
      <c r="O38" s="192"/>
      <c r="P38" s="129" t="s">
        <v>727</v>
      </c>
      <c r="Q38" s="116">
        <v>90801778</v>
      </c>
      <c r="R38" s="116">
        <v>122128943401</v>
      </c>
      <c r="S38" s="116">
        <v>168459.32</v>
      </c>
      <c r="T38" s="130">
        <f t="shared" ref="T38" si="53">Q38/S38</f>
        <v>539.01308636411443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4264990.8571428573</v>
      </c>
      <c r="G39" s="190">
        <f t="shared" ref="G39" si="54">F39/F38-1</f>
        <v>-6.0593096064075591E-2</v>
      </c>
      <c r="H39" s="190">
        <f t="shared" ref="H39" si="55">F39/F27-1</f>
        <v>1.2012495574182238</v>
      </c>
      <c r="I39" s="130">
        <f t="shared" si="0"/>
        <v>512.36121196783165</v>
      </c>
      <c r="J39" s="130">
        <f t="shared" si="5"/>
        <v>0.17591685823806325</v>
      </c>
      <c r="K39" s="136"/>
      <c r="L39" s="190"/>
      <c r="M39" s="190"/>
      <c r="N39" s="191"/>
      <c r="O39" s="192"/>
      <c r="P39" s="129" t="s">
        <v>762</v>
      </c>
      <c r="Q39" s="116">
        <v>89564808</v>
      </c>
      <c r="R39" s="116">
        <v>124353709224</v>
      </c>
      <c r="S39" s="116">
        <v>174807.94</v>
      </c>
      <c r="T39" s="130">
        <f t="shared" ref="T39" si="56">Q39/S39</f>
        <v>512.36121196783165</v>
      </c>
      <c r="U39" s="85"/>
    </row>
    <row r="40" spans="1:21" s="79" customFormat="1" ht="13.2" hidden="1">
      <c r="A40" s="129" t="s">
        <v>778</v>
      </c>
      <c r="B40" s="188">
        <f>SUM(F38:F40)</f>
        <v>12184410.042857142</v>
      </c>
      <c r="C40" s="188">
        <f>AVERAGE(F38:F40)</f>
        <v>4061470.0142857139</v>
      </c>
      <c r="D40" s="190">
        <f>C40/C37-1</f>
        <v>-0.36046632143183022</v>
      </c>
      <c r="E40" s="287">
        <f>C40/C28-1</f>
        <v>0.96828247773301279</v>
      </c>
      <c r="F40" s="136">
        <f>Q40/21</f>
        <v>3379330.2857142859</v>
      </c>
      <c r="G40" s="190">
        <f t="shared" ref="G40" si="57">F40/F39-1</f>
        <v>-0.20765825791755166</v>
      </c>
      <c r="H40" s="190">
        <f t="shared" ref="H40" si="58">F40/F28-1</f>
        <v>0.39800897804519852</v>
      </c>
      <c r="I40" s="130">
        <f t="shared" si="0"/>
        <v>489.13880792589481</v>
      </c>
      <c r="J40" s="130">
        <f t="shared" si="5"/>
        <v>0.18250267059586278</v>
      </c>
      <c r="K40" s="136">
        <f>R38+R39+R40</f>
        <v>347123481628</v>
      </c>
      <c r="L40" s="190">
        <f>U40/U37-1</f>
        <v>-0.36987007419432771</v>
      </c>
      <c r="M40" s="190">
        <f>U40/U28-1</f>
        <v>1.0362393660465319</v>
      </c>
      <c r="N40" s="191">
        <f>AVERAGE(T38:T40)</f>
        <v>513.50436875261369</v>
      </c>
      <c r="O40" s="192">
        <f>N40/N37-1</f>
        <v>-0.41761434758486204</v>
      </c>
      <c r="P40" s="129" t="s">
        <v>778</v>
      </c>
      <c r="Q40" s="116">
        <v>70965936</v>
      </c>
      <c r="R40" s="116">
        <v>100640829003</v>
      </c>
      <c r="S40" s="116">
        <v>145083.43</v>
      </c>
      <c r="T40" s="130">
        <f t="shared" ref="T40" si="59">Q40/S40</f>
        <v>489.13880792589481</v>
      </c>
      <c r="U40" s="85">
        <f>Q38+Q39+Q40</f>
        <v>251332522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2609126.611111111</v>
      </c>
      <c r="G41" s="190">
        <f t="shared" ref="G41" si="60">F41/F40-1</f>
        <v>-0.22791606900903372</v>
      </c>
      <c r="H41" s="190">
        <f t="shared" ref="H41" si="61">F41/F29-1</f>
        <v>0.43332780763337087</v>
      </c>
      <c r="I41" s="130">
        <f t="shared" si="0"/>
        <v>671.06264576350281</v>
      </c>
      <c r="J41" s="130">
        <f t="shared" si="5"/>
        <v>0.44888918431839819</v>
      </c>
      <c r="K41" s="193"/>
      <c r="L41" s="190"/>
      <c r="M41" s="190"/>
      <c r="N41" s="193"/>
      <c r="O41" s="193"/>
      <c r="P41" s="129" t="s">
        <v>791</v>
      </c>
      <c r="Q41" s="116">
        <v>46964279</v>
      </c>
      <c r="R41" s="116">
        <v>68558985478</v>
      </c>
      <c r="S41" s="116">
        <v>69984.94</v>
      </c>
      <c r="T41" s="130">
        <f t="shared" ref="T41" si="62">Q41/S41</f>
        <v>671.06264576350281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5743912</v>
      </c>
      <c r="G42" s="190">
        <f t="shared" ref="G42" si="63">F42/F41-1</f>
        <v>1.2014692485750715</v>
      </c>
      <c r="H42" s="190">
        <f t="shared" ref="H42" si="64">F42/F30-1</f>
        <v>1.1264594838533633</v>
      </c>
      <c r="I42" s="130">
        <f t="shared" si="0"/>
        <v>1071.5125244738686</v>
      </c>
      <c r="J42" s="130">
        <f t="shared" si="5"/>
        <v>1.0566894463263461</v>
      </c>
      <c r="K42" s="193"/>
      <c r="L42" s="190"/>
      <c r="M42" s="190"/>
      <c r="N42" s="193"/>
      <c r="O42" s="193"/>
      <c r="P42" s="129" t="s">
        <v>826</v>
      </c>
      <c r="Q42" s="116">
        <v>114878240</v>
      </c>
      <c r="R42" s="116">
        <v>165931335426</v>
      </c>
      <c r="S42" s="116">
        <v>107211.29</v>
      </c>
      <c r="T42" s="130">
        <f t="shared" ref="T42" si="65">Q42/S42</f>
        <v>1071.5125244738686</v>
      </c>
      <c r="U42" s="78"/>
    </row>
    <row r="43" spans="1:21" s="79" customFormat="1" ht="13.2">
      <c r="A43" s="129" t="s">
        <v>835</v>
      </c>
      <c r="B43" s="188">
        <f>SUM(F41:F43)</f>
        <v>13772367.111111112</v>
      </c>
      <c r="C43" s="188">
        <f>AVERAGE(F41:F43)</f>
        <v>4590789.0370370373</v>
      </c>
      <c r="D43" s="190">
        <f>C43/C40-1</f>
        <v>0.13032695573019359</v>
      </c>
      <c r="E43" s="287">
        <f>C43/C31-1</f>
        <v>0.57504735411283181</v>
      </c>
      <c r="F43" s="136">
        <f>Q43/20</f>
        <v>5419328.5</v>
      </c>
      <c r="G43" s="190">
        <f t="shared" ref="G43" si="66">F43/F42-1</f>
        <v>-5.6509135237447938E-2</v>
      </c>
      <c r="H43" s="190">
        <f t="shared" ref="H43" si="67">F43/F31-1</f>
        <v>0.28340819683896479</v>
      </c>
      <c r="I43" s="130">
        <f t="shared" si="0"/>
        <v>797.02418709269705</v>
      </c>
      <c r="J43" s="130">
        <f t="shared" si="5"/>
        <v>2.5460430057161254E-2</v>
      </c>
      <c r="K43" s="136">
        <f>R41+R42+R43</f>
        <v>391566770429</v>
      </c>
      <c r="L43" s="190">
        <f>U43/U40-1</f>
        <v>7.5185522548490535E-2</v>
      </c>
      <c r="M43" s="190">
        <f>K43/K31-1</f>
        <v>0.67842313381608754</v>
      </c>
      <c r="N43" s="191">
        <f>AVERAGE(T41:T43)</f>
        <v>846.53311911002277</v>
      </c>
      <c r="O43" s="192">
        <f>N43/N40-1</f>
        <v>0.6485412211124717</v>
      </c>
      <c r="P43" s="129" t="s">
        <v>835</v>
      </c>
      <c r="Q43" s="116">
        <v>108386570</v>
      </c>
      <c r="R43" s="116">
        <v>157076449525</v>
      </c>
      <c r="S43" s="116">
        <v>135989.06</v>
      </c>
      <c r="T43" s="130">
        <f t="shared" ref="T43" si="68">Q43/S43</f>
        <v>797.02418709269705</v>
      </c>
      <c r="U43" s="85">
        <f>Q41+Q42+Q43</f>
        <v>270229089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4446762.8181818184</v>
      </c>
      <c r="G44" s="190">
        <f t="shared" ref="G44" si="69">F44/F43-1</f>
        <v>-0.17946239682982523</v>
      </c>
      <c r="H44" s="190">
        <f t="shared" ref="H44" si="70">F44/F32-1</f>
        <v>-1.763531416098485E-2</v>
      </c>
      <c r="I44" s="130">
        <f t="shared" si="0"/>
        <v>736.26793532411875</v>
      </c>
      <c r="J44" s="130">
        <f t="shared" si="5"/>
        <v>-0.10782695020910782</v>
      </c>
      <c r="K44" s="136"/>
      <c r="L44" s="190"/>
      <c r="M44" s="190"/>
      <c r="N44" s="191"/>
      <c r="O44" s="192"/>
      <c r="P44" s="129" t="s">
        <v>839</v>
      </c>
      <c r="Q44" s="116">
        <v>97828782</v>
      </c>
      <c r="R44" s="116">
        <v>142135406438</v>
      </c>
      <c r="S44" s="116">
        <v>132871.17000000001</v>
      </c>
      <c r="T44" s="130">
        <f t="shared" ref="T44" si="71">Q44/S44</f>
        <v>736.26793532411875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5173111.0999999996</v>
      </c>
      <c r="G45" s="190">
        <f t="shared" ref="G45" si="72">F45/F44-1</f>
        <v>0.16334315804933541</v>
      </c>
      <c r="H45" s="190">
        <f t="shared" ref="H45" si="73">F45/F33-1</f>
        <v>-3.9985159604374987E-2</v>
      </c>
      <c r="I45" s="130">
        <f t="shared" si="0"/>
        <v>655.63236049702789</v>
      </c>
      <c r="J45" s="130">
        <f t="shared" si="5"/>
        <v>-0.22532787492899453</v>
      </c>
      <c r="K45" s="136"/>
      <c r="L45" s="190"/>
      <c r="M45" s="190"/>
      <c r="N45" s="191"/>
      <c r="O45" s="192"/>
      <c r="P45" s="129" t="s">
        <v>848</v>
      </c>
      <c r="Q45" s="116">
        <v>103462222</v>
      </c>
      <c r="R45" s="116">
        <v>145930869176</v>
      </c>
      <c r="S45" s="116">
        <v>157805.24</v>
      </c>
      <c r="T45" s="130">
        <f t="shared" ref="T45" si="74">Q45/S45</f>
        <v>655.63236049702789</v>
      </c>
      <c r="U45" s="85"/>
    </row>
    <row r="46" spans="1:21" s="79" customFormat="1" ht="13.2">
      <c r="A46" s="129" t="s">
        <v>889</v>
      </c>
      <c r="B46" s="188">
        <f>SUM(F44:F46)</f>
        <v>17165836.76028708</v>
      </c>
      <c r="C46" s="188">
        <f>AVERAGE(F44:F46)</f>
        <v>5721945.5867623603</v>
      </c>
      <c r="D46" s="190">
        <f>C46/C43-1</f>
        <v>0.24639697895057022</v>
      </c>
      <c r="E46" s="287">
        <f>C46/C34-1</f>
        <v>-1.104763041501744E-2</v>
      </c>
      <c r="F46" s="136">
        <f>Q46/19</f>
        <v>7545962.8421052629</v>
      </c>
      <c r="G46" s="190">
        <f t="shared" ref="G46" si="75">F46/F45-1</f>
        <v>0.45868949965239736</v>
      </c>
      <c r="H46" s="190">
        <f t="shared" ref="H46" si="76">F46/F34-1</f>
        <v>1.3910845530451743E-2</v>
      </c>
      <c r="I46" s="130">
        <f t="shared" si="0"/>
        <v>756.17055170227025</v>
      </c>
      <c r="J46" s="130">
        <f t="shared" si="5"/>
        <v>-0.28096180141925187</v>
      </c>
      <c r="K46" s="136">
        <f>R44+R45+R46</f>
        <v>484434643644</v>
      </c>
      <c r="L46" s="190">
        <f>U46/U43-1</f>
        <v>0.27545224415125791</v>
      </c>
      <c r="M46" s="190">
        <f>K46/K34-1</f>
        <v>1.2613326610218856E-2</v>
      </c>
      <c r="N46" s="191">
        <f>AVERAGE(T44:T46)</f>
        <v>716.02361584113896</v>
      </c>
      <c r="O46" s="192">
        <f>N46/N43-1</f>
        <v>-0.15416940025464221</v>
      </c>
      <c r="P46" s="129" t="s">
        <v>888</v>
      </c>
      <c r="Q46" s="116">
        <v>143373294</v>
      </c>
      <c r="R46" s="116">
        <v>196368368030</v>
      </c>
      <c r="S46" s="116">
        <v>189604.44</v>
      </c>
      <c r="T46" s="130">
        <f t="shared" ref="T46" si="77">Q46/S46</f>
        <v>756.17055170227025</v>
      </c>
      <c r="U46" s="85">
        <f t="shared" ref="U46:U51" si="78">Q44+Q45+Q46</f>
        <v>344664298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6732629.8260869561</v>
      </c>
      <c r="G47" s="190">
        <f t="shared" ref="G47" si="79">F47/F46-1</f>
        <v>-0.10778386178633681</v>
      </c>
      <c r="H47" s="190">
        <f t="shared" ref="H47" si="80">F47/F35-1</f>
        <v>-7.7340535421092538E-2</v>
      </c>
      <c r="I47" s="130">
        <f t="shared" si="0"/>
        <v>866.27103071216266</v>
      </c>
      <c r="J47" s="130">
        <f t="shared" si="5"/>
        <v>-0.20134610034021205</v>
      </c>
      <c r="K47" s="136"/>
      <c r="L47" s="190"/>
      <c r="M47" s="190"/>
      <c r="N47" s="191"/>
      <c r="O47" s="192"/>
      <c r="P47" s="129" t="s">
        <v>1029</v>
      </c>
      <c r="Q47" s="116">
        <v>154850486</v>
      </c>
      <c r="R47" s="116">
        <v>212345895877</v>
      </c>
      <c r="S47" s="116">
        <v>178755.24</v>
      </c>
      <c r="T47" s="130">
        <f t="shared" ref="T47" si="81">Q47/S47</f>
        <v>866.27103071216266</v>
      </c>
      <c r="U47" s="85">
        <f t="shared" si="78"/>
        <v>401686002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8092569.1500000004</v>
      </c>
      <c r="G48" s="190">
        <f t="shared" ref="G48" si="82">F48/F47-1</f>
        <v>0.20199229113171802</v>
      </c>
      <c r="H48" s="190">
        <f t="shared" ref="H48" si="83">F48/F36-1</f>
        <v>0.2490500663761992</v>
      </c>
      <c r="I48" s="130">
        <f t="shared" si="0"/>
        <v>733.83633526580547</v>
      </c>
      <c r="J48" s="130">
        <f t="shared" si="5"/>
        <v>-0.19683572481599021</v>
      </c>
      <c r="K48" s="136"/>
      <c r="L48" s="190"/>
      <c r="M48" s="190"/>
      <c r="N48" s="191"/>
      <c r="O48" s="192"/>
      <c r="P48" s="129" t="s">
        <v>1117</v>
      </c>
      <c r="Q48" s="116">
        <v>161851383</v>
      </c>
      <c r="R48" s="116">
        <v>224574331060</v>
      </c>
      <c r="S48" s="116">
        <v>220555.15</v>
      </c>
      <c r="T48" s="130">
        <f t="shared" ref="T48" si="84">Q48/S48</f>
        <v>733.83633526580547</v>
      </c>
      <c r="U48" s="85">
        <f t="shared" si="78"/>
        <v>460075163</v>
      </c>
    </row>
    <row r="49" spans="1:26" ht="13.2">
      <c r="A49" s="129" t="s">
        <v>1158</v>
      </c>
      <c r="B49" s="188">
        <f>SUM(F47:F49)</f>
        <v>20678248.066996045</v>
      </c>
      <c r="C49" s="188">
        <f>AVERAGE(F47:F49)</f>
        <v>6892749.3556653485</v>
      </c>
      <c r="D49" s="190">
        <f>C49/C46-1</f>
        <v>0.20461637587250503</v>
      </c>
      <c r="E49" s="287">
        <f>C49/C37-1</f>
        <v>8.53571084784428E-2</v>
      </c>
      <c r="F49" s="136">
        <f>Q49/22</f>
        <v>5853049.0909090908</v>
      </c>
      <c r="G49" s="190">
        <f t="shared" ref="G49" si="85">F49/F48-1</f>
        <v>-0.2767378341266209</v>
      </c>
      <c r="H49" s="190">
        <f t="shared" ref="H49" si="86">F49/F37-1</f>
        <v>0.10935959724798949</v>
      </c>
      <c r="I49" s="130">
        <f t="shared" si="0"/>
        <v>739.18111547755325</v>
      </c>
      <c r="J49" s="130">
        <f t="shared" si="5"/>
        <v>0.14277213537942379</v>
      </c>
      <c r="K49" s="136">
        <f>R47+R48+R49</f>
        <v>615872267728</v>
      </c>
      <c r="L49" s="190">
        <f>U49/U46-1</f>
        <v>0.2924719838548524</v>
      </c>
      <c r="M49" s="190">
        <f>K49/K37-1</f>
        <v>0.12928045657873355</v>
      </c>
      <c r="N49" s="191">
        <f>AVERAGE(T47:T49)</f>
        <v>779.7628271518405</v>
      </c>
      <c r="O49" s="192">
        <f>N49/N46-1</f>
        <v>8.9018308754837294E-2</v>
      </c>
      <c r="P49" s="129" t="s">
        <v>1158</v>
      </c>
      <c r="Q49" s="116">
        <v>128767080</v>
      </c>
      <c r="R49" s="116">
        <v>178952040791</v>
      </c>
      <c r="S49" s="116">
        <v>174202.34</v>
      </c>
      <c r="T49" s="130">
        <f t="shared" ref="T49" si="87">Q49/S49</f>
        <v>739.18111547755325</v>
      </c>
      <c r="U49" s="85">
        <f t="shared" si="78"/>
        <v>445468949</v>
      </c>
      <c r="V49" s="79"/>
      <c r="W49" s="79"/>
      <c r="X49" s="79"/>
      <c r="Y49" s="79"/>
      <c r="Z49" s="79"/>
    </row>
    <row r="50" spans="1:26" ht="13.2">
      <c r="A50" s="129" t="s">
        <v>1294</v>
      </c>
      <c r="B50" s="188"/>
      <c r="C50" s="188"/>
      <c r="D50" s="190"/>
      <c r="E50" s="287"/>
      <c r="F50" s="136">
        <f>Q50/18</f>
        <v>6775333.611111111</v>
      </c>
      <c r="G50" s="190">
        <f t="shared" ref="G50" si="88">F50/F49-1</f>
        <v>0.15757334440172466</v>
      </c>
      <c r="H50" s="190">
        <f t="shared" ref="H50" si="89">F50/F38-1</f>
        <v>0.49233500936757224</v>
      </c>
      <c r="I50" s="130">
        <f t="shared" ref="I50" si="90">T50</f>
        <v>658.73059169783221</v>
      </c>
      <c r="J50" s="130">
        <f t="shared" ref="J50" si="91">I50/I38-1</f>
        <v>0.22210500702546243</v>
      </c>
      <c r="K50" s="136"/>
      <c r="L50" s="190"/>
      <c r="M50" s="190"/>
      <c r="N50" s="191"/>
      <c r="O50" s="192"/>
      <c r="P50" s="129" t="s">
        <v>1291</v>
      </c>
      <c r="Q50" s="116">
        <v>121956005</v>
      </c>
      <c r="R50" s="116">
        <v>172141430030</v>
      </c>
      <c r="S50" s="116">
        <v>185137.91</v>
      </c>
      <c r="T50" s="130">
        <f t="shared" ref="T50" si="92">Q50/S50</f>
        <v>658.73059169783221</v>
      </c>
      <c r="U50" s="85">
        <f t="shared" si="78"/>
        <v>412574468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6830001.7999999998</v>
      </c>
      <c r="G51" s="190">
        <f t="shared" ref="G51:G52" si="93">F51/F50-1</f>
        <v>8.0687080558272672E-3</v>
      </c>
      <c r="H51" s="190">
        <f t="shared" ref="H51:H52" si="94">F51/F39-1</f>
        <v>0.60141065450617615</v>
      </c>
      <c r="I51" s="130">
        <f t="shared" ref="I51:I52" si="95">T51</f>
        <v>520.24364610720943</v>
      </c>
      <c r="J51" s="130">
        <f t="shared" ref="J51:J52" si="96">I51/I39-1</f>
        <v>1.53845255168783E-2</v>
      </c>
      <c r="K51" s="136"/>
      <c r="L51" s="190"/>
      <c r="M51" s="190"/>
      <c r="N51" s="191"/>
      <c r="O51" s="192"/>
      <c r="P51" s="129" t="s">
        <v>1402</v>
      </c>
      <c r="Q51" s="116">
        <v>136600036</v>
      </c>
      <c r="R51" s="116">
        <v>198041635443</v>
      </c>
      <c r="S51" s="116">
        <v>262569.34999999998</v>
      </c>
      <c r="T51" s="130">
        <f t="shared" ref="T51:T52" si="97">Q51/S51</f>
        <v>520.24364610720943</v>
      </c>
      <c r="U51" s="85">
        <f t="shared" si="78"/>
        <v>387323121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17762519.320202019</v>
      </c>
      <c r="C52" s="188">
        <f>AVERAGE(F50:F52)</f>
        <v>5920839.7734006727</v>
      </c>
      <c r="D52" s="190">
        <f>C52/C49-1</f>
        <v>-0.14100463140529484</v>
      </c>
      <c r="E52" s="287">
        <f>C52/C40-1</f>
        <v>0.45780708772312928</v>
      </c>
      <c r="F52" s="136">
        <f>Q52/22</f>
        <v>4157183.9090909092</v>
      </c>
      <c r="G52" s="190">
        <f t="shared" si="93"/>
        <v>-0.39133487357339947</v>
      </c>
      <c r="H52" s="190">
        <f t="shared" si="94"/>
        <v>0.230179816002273</v>
      </c>
      <c r="I52" s="130">
        <f t="shared" si="95"/>
        <v>599.79450729691257</v>
      </c>
      <c r="J52" s="130">
        <f t="shared" si="96"/>
        <v>0.22622555719966964</v>
      </c>
      <c r="K52" s="136">
        <f>R50+R51+R52</f>
        <v>504684913924</v>
      </c>
      <c r="L52" s="190">
        <f>U52/U49-1</f>
        <v>-0.21427949627977327</v>
      </c>
      <c r="M52" s="190">
        <f>K52/K40-1</f>
        <v>0.45390600358420308</v>
      </c>
      <c r="N52" s="191">
        <f>AVERAGE(T50:T52)</f>
        <v>592.92291503398474</v>
      </c>
      <c r="O52" s="192">
        <f>N52/N49-1</f>
        <v>-0.23961120691057647</v>
      </c>
      <c r="P52" s="129" t="s">
        <v>1403</v>
      </c>
      <c r="Q52" s="116">
        <v>91458046</v>
      </c>
      <c r="R52" s="116">
        <v>134501848451</v>
      </c>
      <c r="S52" s="116">
        <v>152482.29999999999</v>
      </c>
      <c r="T52" s="130">
        <f t="shared" si="97"/>
        <v>599.79450729691257</v>
      </c>
      <c r="U52" s="85">
        <f t="shared" ref="U52" si="98">Q50+Q51+Q52</f>
        <v>350014087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4300383.4285714282</v>
      </c>
      <c r="G53" s="190">
        <f t="shared" ref="G53" si="99">F53/F52-1</f>
        <v>3.4446279647953659E-2</v>
      </c>
      <c r="H53" s="190">
        <f t="shared" ref="H53" si="100">F53/F41-1</f>
        <v>0.64820802879323902</v>
      </c>
      <c r="I53" s="130">
        <f t="shared" ref="I53" si="101">T53</f>
        <v>537.12580523770521</v>
      </c>
      <c r="J53" s="130">
        <f t="shared" ref="J53" si="102">I53/I41-1</f>
        <v>-0.19958917602008786</v>
      </c>
      <c r="K53" s="136"/>
      <c r="L53" s="190"/>
      <c r="M53" s="190"/>
      <c r="N53" s="191"/>
      <c r="O53" s="192"/>
      <c r="P53" s="129" t="s">
        <v>1414</v>
      </c>
      <c r="Q53" s="116">
        <v>90308052</v>
      </c>
      <c r="R53" s="116">
        <v>131495234482</v>
      </c>
      <c r="S53" s="116">
        <v>168132.03</v>
      </c>
      <c r="T53" s="130">
        <f t="shared" ref="T53" si="103">Q53/S53</f>
        <v>537.12580523770521</v>
      </c>
      <c r="U53" s="85">
        <f t="shared" ref="U53" si="104">Q51+Q52+Q53</f>
        <v>318366134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4721223.7058823528</v>
      </c>
      <c r="G54" s="190">
        <f t="shared" ref="G54" si="105">F54/F53-1</f>
        <v>9.7861105713247021E-2</v>
      </c>
      <c r="H54" s="190">
        <f t="shared" ref="H54" si="106">F54/F42-1</f>
        <v>-0.17804734719432458</v>
      </c>
      <c r="I54" s="130">
        <f t="shared" ref="I54" si="107">T54</f>
        <v>675.75622098270276</v>
      </c>
      <c r="J54" s="130">
        <f t="shared" ref="J54" si="108">I54/I42-1</f>
        <v>-0.36934360957235579</v>
      </c>
      <c r="K54" s="136"/>
      <c r="L54" s="190"/>
      <c r="M54" s="190"/>
      <c r="N54" s="191"/>
      <c r="O54" s="192"/>
      <c r="P54" s="129" t="s">
        <v>1417</v>
      </c>
      <c r="Q54" s="116">
        <v>80260803</v>
      </c>
      <c r="R54" s="116">
        <v>116250235208</v>
      </c>
      <c r="S54" s="116">
        <v>118771.83</v>
      </c>
      <c r="T54" s="130">
        <f t="shared" ref="T54" si="109">Q54/S54</f>
        <v>675.75622098270276</v>
      </c>
      <c r="U54" s="85">
        <f t="shared" ref="U54" si="110">Q52+Q53+Q54</f>
        <v>262026901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13499861.37254902</v>
      </c>
      <c r="C55" s="196">
        <f>AVERAGE(F53:F55)</f>
        <v>4499953.7908496736</v>
      </c>
      <c r="D55" s="197">
        <f>C55/C52-1</f>
        <v>-0.23998048198066746</v>
      </c>
      <c r="E55" s="233">
        <f>C55/C43-1</f>
        <v>-1.9786412630712014E-2</v>
      </c>
      <c r="F55" s="136">
        <f>Q55/21</f>
        <v>4478254.2380952379</v>
      </c>
      <c r="G55" s="190">
        <f t="shared" ref="G55" si="111">F55/F54-1</f>
        <v>-5.1463239813099748E-2</v>
      </c>
      <c r="H55" s="190">
        <f t="shared" ref="H55" si="112">F55/F43-1</f>
        <v>-0.17365145181820263</v>
      </c>
      <c r="I55" s="130">
        <f>T55</f>
        <v>604.50881096233047</v>
      </c>
      <c r="J55" s="130">
        <f t="shared" ref="J55" si="113">I55/I43-1</f>
        <v>-0.24154270252776688</v>
      </c>
      <c r="K55" s="136">
        <f>R53+R54+R55</f>
        <v>386009673625</v>
      </c>
      <c r="L55" s="190">
        <f>U55/U52-1</f>
        <v>-0.24399558809757282</v>
      </c>
      <c r="M55" s="190">
        <f>K55/K43-1</f>
        <v>-1.419195198282952E-2</v>
      </c>
      <c r="N55" s="191">
        <f>AVERAGE(T53:T55)</f>
        <v>605.79694572757955</v>
      </c>
      <c r="O55" s="192">
        <f>N55/N52-1</f>
        <v>2.1712823652391577E-2</v>
      </c>
      <c r="P55" s="129" t="s">
        <v>1418</v>
      </c>
      <c r="Q55" s="116">
        <v>94043339</v>
      </c>
      <c r="R55" s="116">
        <v>138264203935</v>
      </c>
      <c r="S55" s="116">
        <v>155569.84</v>
      </c>
      <c r="T55" s="130">
        <f t="shared" ref="T55" si="114">Q55/S55</f>
        <v>604.50881096233047</v>
      </c>
      <c r="U55" s="85">
        <f t="shared" ref="U55" si="115">Q53+Q54+Q55</f>
        <v>264612194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1835376.2142857143</v>
      </c>
      <c r="G56" s="254">
        <f t="shared" ref="G56" si="116">F56/F55-1</f>
        <v>-0.59015810253185497</v>
      </c>
      <c r="H56" s="254">
        <f t="shared" ref="H56" si="117">F56/F44-1</f>
        <v>-0.58725565330777896</v>
      </c>
      <c r="I56" s="282">
        <f>T56</f>
        <v>446.77987986536408</v>
      </c>
      <c r="J56" s="277">
        <f t="shared" ref="J56" si="118">I56/I44-1</f>
        <v>-0.39318302695243235</v>
      </c>
      <c r="K56" s="204"/>
      <c r="L56" s="254"/>
      <c r="M56" s="254"/>
      <c r="N56" s="257"/>
      <c r="O56" s="258"/>
      <c r="P56" s="129" t="s">
        <v>1420</v>
      </c>
      <c r="Q56" s="116">
        <v>25695267</v>
      </c>
      <c r="R56" s="116">
        <v>38779118351</v>
      </c>
      <c r="S56" s="116">
        <v>57512.14</v>
      </c>
      <c r="T56" s="130">
        <f t="shared" ref="T56" si="119">Q56/S56</f>
        <v>446.77987986536408</v>
      </c>
      <c r="U56" s="85">
        <f t="shared" ref="U56" si="120">Q54+Q55+Q56</f>
        <v>199999409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290307461</v>
      </c>
      <c r="R65" s="212">
        <v>424788791976</v>
      </c>
      <c r="S65" s="213">
        <v>499985.86</v>
      </c>
      <c r="T65" s="214" t="s">
        <v>1421</v>
      </c>
      <c r="U65" s="214">
        <v>13</v>
      </c>
    </row>
    <row r="66" spans="16:21" ht="18" thickBot="1">
      <c r="P66" s="180" t="s">
        <v>976</v>
      </c>
      <c r="Q66" s="181">
        <v>90308052</v>
      </c>
      <c r="R66" s="181">
        <v>131495234482</v>
      </c>
      <c r="S66" s="182">
        <v>168132.03</v>
      </c>
      <c r="T66" s="210" t="s">
        <v>1421</v>
      </c>
      <c r="U66" s="210">
        <v>11</v>
      </c>
    </row>
    <row r="67" spans="16:21" ht="18" thickBot="1">
      <c r="P67" s="180" t="s">
        <v>977</v>
      </c>
      <c r="Q67" s="181">
        <v>80260803</v>
      </c>
      <c r="R67" s="181">
        <v>116250235208</v>
      </c>
      <c r="S67" s="182">
        <v>118771.83</v>
      </c>
      <c r="T67" s="210" t="s">
        <v>1421</v>
      </c>
      <c r="U67" s="210">
        <v>12</v>
      </c>
    </row>
    <row r="68" spans="16:21" ht="18" thickBot="1">
      <c r="P68" s="180" t="s">
        <v>978</v>
      </c>
      <c r="Q68" s="181">
        <v>94043339</v>
      </c>
      <c r="R68" s="181">
        <v>138264203935</v>
      </c>
      <c r="S68" s="182">
        <v>155569.84</v>
      </c>
      <c r="T68" s="210" t="s">
        <v>1421</v>
      </c>
      <c r="U68" s="210">
        <v>12</v>
      </c>
    </row>
    <row r="69" spans="16:21" ht="18" thickBot="1">
      <c r="P69" s="180" t="s">
        <v>979</v>
      </c>
      <c r="Q69" s="181">
        <v>25695267</v>
      </c>
      <c r="R69" s="181">
        <v>38779118351</v>
      </c>
      <c r="S69" s="182">
        <v>57512.14</v>
      </c>
      <c r="T69" s="210" t="s">
        <v>1421</v>
      </c>
      <c r="U69" s="210">
        <v>9</v>
      </c>
    </row>
    <row r="70" spans="16:21" ht="18" thickBot="1">
      <c r="P70" s="180" t="s">
        <v>975</v>
      </c>
      <c r="Q70" s="181">
        <v>1410376423</v>
      </c>
      <c r="R70" s="181">
        <v>1996558595725</v>
      </c>
      <c r="S70" s="182">
        <v>1967168.49</v>
      </c>
      <c r="T70" s="210">
        <v>6</v>
      </c>
      <c r="U70" s="210">
        <v>27</v>
      </c>
    </row>
    <row r="71" spans="16:21" ht="18" thickBot="1">
      <c r="P71" s="215" t="s">
        <v>982</v>
      </c>
      <c r="Q71" s="217" t="s">
        <v>1424</v>
      </c>
      <c r="R71"/>
      <c r="S71"/>
      <c r="T71"/>
      <c r="U71"/>
    </row>
  </sheetData>
  <phoneticPr fontId="1" type="noConversion"/>
  <conditionalFormatting sqref="C29:C30">
    <cfRule type="cellIs" dxfId="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56"/>
  <dimension ref="A1:Z73"/>
  <sheetViews>
    <sheetView zoomScale="85" zoomScaleNormal="85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60010799.200000003</v>
      </c>
      <c r="G5" s="90"/>
      <c r="H5" s="90"/>
      <c r="I5" s="130">
        <f t="shared" ref="I5:I49" si="0">T5</f>
        <v>3338.3270837189102</v>
      </c>
      <c r="J5" s="130"/>
      <c r="L5" s="80"/>
      <c r="M5" s="80"/>
      <c r="P5" s="129" t="s">
        <v>0</v>
      </c>
      <c r="Q5" s="116">
        <v>1200215984</v>
      </c>
      <c r="R5" s="116"/>
      <c r="S5" s="116">
        <v>359526.18</v>
      </c>
      <c r="T5" s="130">
        <f t="shared" ref="T5:T21" si="1">Q5/S5</f>
        <v>3338.3270837189102</v>
      </c>
      <c r="U5" s="85"/>
    </row>
    <row r="6" spans="1:21" ht="15" hidden="1" customHeight="1">
      <c r="A6" s="129" t="s">
        <v>1</v>
      </c>
      <c r="C6" s="79"/>
      <c r="F6" s="78">
        <f>Q6/18</f>
        <v>61277630.055555552</v>
      </c>
      <c r="G6" s="90">
        <f t="shared" ref="G6:G16" si="2">F6/F5-1</f>
        <v>2.111004806540806E-2</v>
      </c>
      <c r="H6" s="90"/>
      <c r="I6" s="130">
        <f t="shared" si="0"/>
        <v>3349.8595728192895</v>
      </c>
      <c r="J6" s="130"/>
      <c r="P6" s="129" t="s">
        <v>1</v>
      </c>
      <c r="Q6" s="116">
        <v>1102997341</v>
      </c>
      <c r="R6" s="116"/>
      <c r="S6" s="116">
        <v>329266.74</v>
      </c>
      <c r="T6" s="130">
        <f t="shared" si="1"/>
        <v>3349.8595728192895</v>
      </c>
      <c r="U6" s="85"/>
    </row>
    <row r="7" spans="1:21" ht="15" hidden="1" customHeight="1">
      <c r="A7" s="129" t="s">
        <v>2</v>
      </c>
      <c r="B7" s="131">
        <f>F5+F6+F7</f>
        <v>174660393.34646463</v>
      </c>
      <c r="C7" s="131">
        <f>AVERAGE(F5:F7)</f>
        <v>58220131.115488209</v>
      </c>
      <c r="F7" s="78">
        <f>Q7/22</f>
        <v>53371964.090909094</v>
      </c>
      <c r="G7" s="90">
        <f t="shared" si="2"/>
        <v>-0.12901389883190684</v>
      </c>
      <c r="H7" s="90"/>
      <c r="I7" s="130">
        <f t="shared" si="0"/>
        <v>2963.7691332686354</v>
      </c>
      <c r="J7" s="130"/>
      <c r="K7" s="79">
        <f>R5+R6+R7</f>
        <v>0</v>
      </c>
      <c r="N7" s="88">
        <f>AVERAGE(T5:T7)</f>
        <v>3217.3185966022779</v>
      </c>
      <c r="P7" s="129" t="s">
        <v>2</v>
      </c>
      <c r="Q7" s="116">
        <v>1174183210</v>
      </c>
      <c r="R7" s="116"/>
      <c r="S7" s="116">
        <v>396179.04</v>
      </c>
      <c r="T7" s="130">
        <f t="shared" si="1"/>
        <v>2963.7691332686354</v>
      </c>
      <c r="U7" s="85">
        <f>Q5+Q6+Q7</f>
        <v>3477396535</v>
      </c>
    </row>
    <row r="8" spans="1:21" ht="15" hidden="1" customHeight="1">
      <c r="A8" s="129" t="s">
        <v>3</v>
      </c>
      <c r="C8" s="79"/>
      <c r="F8" s="78">
        <f>Q8/21</f>
        <v>45194593.619047619</v>
      </c>
      <c r="G8" s="90">
        <f t="shared" si="2"/>
        <v>-0.15321471883502102</v>
      </c>
      <c r="H8" s="90"/>
      <c r="I8" s="130">
        <f t="shared" si="0"/>
        <v>2830.1574921160905</v>
      </c>
      <c r="J8" s="130"/>
      <c r="K8" s="78"/>
      <c r="P8" s="129" t="s">
        <v>3</v>
      </c>
      <c r="Q8" s="116">
        <v>949086466</v>
      </c>
      <c r="R8" s="116"/>
      <c r="S8" s="116">
        <v>335347.58</v>
      </c>
      <c r="T8" s="130">
        <f t="shared" si="1"/>
        <v>2830.1574921160905</v>
      </c>
      <c r="U8" s="85"/>
    </row>
    <row r="9" spans="1:21" ht="15" hidden="1" customHeight="1">
      <c r="A9" s="129" t="s">
        <v>4</v>
      </c>
      <c r="C9" s="79"/>
      <c r="F9" s="78">
        <f>Q9/21</f>
        <v>37542372.857142858</v>
      </c>
      <c r="G9" s="90">
        <f t="shared" si="2"/>
        <v>-0.1693171715715942</v>
      </c>
      <c r="H9" s="90"/>
      <c r="I9" s="130">
        <f t="shared" si="0"/>
        <v>2992.3566391605927</v>
      </c>
      <c r="J9" s="130"/>
      <c r="K9" s="78"/>
      <c r="P9" s="129" t="s">
        <v>4</v>
      </c>
      <c r="Q9" s="116">
        <v>788389830</v>
      </c>
      <c r="R9" s="116"/>
      <c r="S9" s="116">
        <v>263467.87</v>
      </c>
      <c r="T9" s="130">
        <f t="shared" si="1"/>
        <v>2992.3566391605927</v>
      </c>
      <c r="U9" s="85"/>
    </row>
    <row r="10" spans="1:21" ht="15" hidden="1" customHeight="1">
      <c r="A10" s="129" t="s">
        <v>5</v>
      </c>
      <c r="B10" s="131">
        <f>F8+F9+F10</f>
        <v>126950220.47619048</v>
      </c>
      <c r="C10" s="131">
        <f>AVERAGE(F8:F10)</f>
        <v>42316740.158730157</v>
      </c>
      <c r="D10" s="90">
        <f>C10/C7-1</f>
        <v>-0.27315965546713272</v>
      </c>
      <c r="E10" s="286"/>
      <c r="F10" s="78">
        <f>Q10/21</f>
        <v>44213254</v>
      </c>
      <c r="G10" s="90">
        <f t="shared" si="2"/>
        <v>0.17768938495820019</v>
      </c>
      <c r="H10" s="90"/>
      <c r="I10" s="130">
        <f t="shared" si="0"/>
        <v>3529.507442986861</v>
      </c>
      <c r="J10" s="130"/>
      <c r="K10" s="79">
        <f>R8+R9+R10</f>
        <v>0</v>
      </c>
      <c r="L10" s="87">
        <f>U10/U7-1</f>
        <v>-0.23334753365997707</v>
      </c>
      <c r="N10" s="88">
        <f>AVERAGE(T8:T10)</f>
        <v>3117.3405247545147</v>
      </c>
      <c r="O10" s="89">
        <f>N10/N7-1</f>
        <v>-3.1074967817407706E-2</v>
      </c>
      <c r="P10" s="129" t="s">
        <v>5</v>
      </c>
      <c r="Q10" s="116">
        <v>928478334</v>
      </c>
      <c r="R10" s="116"/>
      <c r="S10" s="116">
        <v>263061.73</v>
      </c>
      <c r="T10" s="130">
        <f t="shared" si="1"/>
        <v>3529.507442986861</v>
      </c>
      <c r="U10" s="85">
        <f>Q8+Q9+Q10</f>
        <v>2665954630</v>
      </c>
    </row>
    <row r="11" spans="1:21" ht="15" hidden="1" customHeight="1">
      <c r="A11" s="129" t="s">
        <v>6</v>
      </c>
      <c r="C11" s="79"/>
      <c r="F11" s="78">
        <f>Q11/21</f>
        <v>50030333.047619045</v>
      </c>
      <c r="G11" s="90">
        <f t="shared" si="2"/>
        <v>0.1315686705081478</v>
      </c>
      <c r="H11" s="90"/>
      <c r="I11" s="130">
        <f t="shared" si="0"/>
        <v>4636.4067885796603</v>
      </c>
      <c r="J11" s="130"/>
      <c r="K11" s="78"/>
      <c r="O11" s="89"/>
      <c r="P11" s="129" t="s">
        <v>6</v>
      </c>
      <c r="Q11" s="116">
        <v>1050636994</v>
      </c>
      <c r="R11" s="116"/>
      <c r="S11" s="116">
        <v>226605.87</v>
      </c>
      <c r="T11" s="130">
        <f t="shared" si="1"/>
        <v>4636.4067885796603</v>
      </c>
      <c r="U11" s="85"/>
    </row>
    <row r="12" spans="1:21" ht="15" hidden="1" customHeight="1">
      <c r="A12" s="129" t="s">
        <v>7</v>
      </c>
      <c r="C12" s="79"/>
      <c r="F12" s="78">
        <f>Q12/22</f>
        <v>48163040.545454547</v>
      </c>
      <c r="G12" s="90">
        <f t="shared" si="2"/>
        <v>-3.7323207510675638E-2</v>
      </c>
      <c r="H12" s="90"/>
      <c r="I12" s="130">
        <f t="shared" si="0"/>
        <v>4842.0751189889788</v>
      </c>
      <c r="J12" s="130"/>
      <c r="K12" s="78"/>
      <c r="O12" s="89"/>
      <c r="P12" s="129" t="s">
        <v>7</v>
      </c>
      <c r="Q12" s="116">
        <v>1059586892</v>
      </c>
      <c r="R12" s="116"/>
      <c r="S12" s="116">
        <v>218829.09</v>
      </c>
      <c r="T12" s="130">
        <f t="shared" si="1"/>
        <v>4842.0751189889788</v>
      </c>
      <c r="U12" s="85"/>
    </row>
    <row r="13" spans="1:21" ht="15" hidden="1" customHeight="1">
      <c r="A13" s="129" t="s">
        <v>96</v>
      </c>
      <c r="B13" s="131">
        <f>F11+F12+F13</f>
        <v>158315044.4430736</v>
      </c>
      <c r="C13" s="131">
        <f>AVERAGE(F11:F13)</f>
        <v>52771681.481024534</v>
      </c>
      <c r="D13" s="90">
        <f>C13/C10-1</f>
        <v>0.24706395821317706</v>
      </c>
      <c r="E13" s="286"/>
      <c r="F13" s="78">
        <f>Q13/20</f>
        <v>60121670.850000001</v>
      </c>
      <c r="G13" s="90">
        <f t="shared" si="2"/>
        <v>0.24829475400871615</v>
      </c>
      <c r="H13" s="90"/>
      <c r="I13" s="130">
        <f t="shared" si="0"/>
        <v>4312.5612516237106</v>
      </c>
      <c r="J13" s="130"/>
      <c r="K13" s="78">
        <f>R11+R12+R13</f>
        <v>0</v>
      </c>
      <c r="L13" s="87">
        <f>U13/U10-1</f>
        <v>0.2425782741096385</v>
      </c>
      <c r="N13" s="88">
        <f>AVERAGE(T11:T13)</f>
        <v>4597.0143863974499</v>
      </c>
      <c r="O13" s="89">
        <f>N13/N10-1</f>
        <v>0.47465904025979233</v>
      </c>
      <c r="P13" s="129" t="s">
        <v>96</v>
      </c>
      <c r="Q13" s="116">
        <v>1202433417</v>
      </c>
      <c r="R13" s="116"/>
      <c r="S13" s="116">
        <v>278821.18</v>
      </c>
      <c r="T13" s="130">
        <f t="shared" si="1"/>
        <v>4312.5612516237106</v>
      </c>
      <c r="U13" s="85">
        <f>Q11+Q12+Q13</f>
        <v>3312657303</v>
      </c>
    </row>
    <row r="14" spans="1:21" ht="15" hidden="1" customHeight="1">
      <c r="A14" s="129" t="s">
        <v>97</v>
      </c>
      <c r="C14" s="79"/>
      <c r="F14" s="78">
        <f>Q14/20</f>
        <v>64045944.75</v>
      </c>
      <c r="G14" s="90">
        <f t="shared" si="2"/>
        <v>6.5272202926476064E-2</v>
      </c>
      <c r="H14" s="90"/>
      <c r="I14" s="130">
        <f t="shared" si="0"/>
        <v>3781.0604783937674</v>
      </c>
      <c r="J14" s="130"/>
      <c r="O14" s="89"/>
      <c r="P14" s="129" t="s">
        <v>97</v>
      </c>
      <c r="Q14" s="116">
        <v>1280918895</v>
      </c>
      <c r="R14" s="116"/>
      <c r="S14" s="116">
        <v>338772.39</v>
      </c>
      <c r="T14" s="130">
        <f t="shared" si="1"/>
        <v>3781.0604783937674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57733819.136363633</v>
      </c>
      <c r="G15" s="90">
        <f t="shared" si="2"/>
        <v>-9.8556210518486731E-2</v>
      </c>
      <c r="H15" s="90"/>
      <c r="I15" s="130">
        <f t="shared" si="0"/>
        <v>3683.2783335304775</v>
      </c>
      <c r="J15" s="130"/>
      <c r="O15" s="89"/>
      <c r="P15" s="129" t="s">
        <v>98</v>
      </c>
      <c r="Q15" s="116">
        <v>1270144021</v>
      </c>
      <c r="R15" s="116"/>
      <c r="S15" s="116">
        <v>344840.63</v>
      </c>
      <c r="T15" s="130">
        <f t="shared" si="1"/>
        <v>3683.2783335304775</v>
      </c>
      <c r="U15" s="85"/>
    </row>
    <row r="16" spans="1:21" ht="15" hidden="1" customHeight="1">
      <c r="A16" s="129" t="s">
        <v>99</v>
      </c>
      <c r="B16" s="131">
        <f>F14+F15+F16</f>
        <v>159578997.75</v>
      </c>
      <c r="C16" s="131">
        <f>AVERAGE(F14:F16)</f>
        <v>53192999.25</v>
      </c>
      <c r="D16" s="90">
        <f>C16/C13-1</f>
        <v>7.9837851884057009E-3</v>
      </c>
      <c r="E16" s="286"/>
      <c r="F16" s="78">
        <f>Q16/22</f>
        <v>37799233.863636367</v>
      </c>
      <c r="G16" s="90">
        <f t="shared" si="2"/>
        <v>-0.34528436834644582</v>
      </c>
      <c r="H16" s="90"/>
      <c r="I16" s="130">
        <f t="shared" si="0"/>
        <v>3170.6208533931781</v>
      </c>
      <c r="J16" s="130"/>
      <c r="K16" s="78">
        <f>R14+R15+R16</f>
        <v>0</v>
      </c>
      <c r="L16" s="87">
        <f>U16/U13-1</f>
        <v>2.1127678355565838E-2</v>
      </c>
      <c r="N16" s="88">
        <f>AVERAGE(T14:T16)</f>
        <v>3544.9865551058078</v>
      </c>
      <c r="O16" s="89">
        <f>N16/N13-1</f>
        <v>-0.22885023688518114</v>
      </c>
      <c r="P16" s="129" t="s">
        <v>99</v>
      </c>
      <c r="Q16" s="116">
        <v>831583145</v>
      </c>
      <c r="R16" s="116"/>
      <c r="S16" s="116">
        <v>262277.7</v>
      </c>
      <c r="T16" s="130">
        <f t="shared" si="1"/>
        <v>3170.6208533931781</v>
      </c>
      <c r="U16" s="85">
        <f>Q14+Q15+Q16</f>
        <v>3382646061</v>
      </c>
    </row>
    <row r="17" spans="1:21" ht="15" hidden="1" customHeight="1">
      <c r="A17" s="129" t="s">
        <v>100</v>
      </c>
      <c r="C17" s="79"/>
      <c r="F17" s="78">
        <f>Q17/20</f>
        <v>42162663.049999997</v>
      </c>
      <c r="G17" s="90">
        <f t="shared" ref="G17:G22" si="3">F17/F16-1</f>
        <v>0.11543697425469079</v>
      </c>
      <c r="H17" s="90">
        <f t="shared" ref="H17:H22" si="4">F17/F5-1</f>
        <v>-0.29741540502596753</v>
      </c>
      <c r="I17" s="130">
        <f t="shared" si="0"/>
        <v>3857.738327819065</v>
      </c>
      <c r="J17" s="130">
        <f t="shared" ref="J17:J49" si="5">I17/I5-1</f>
        <v>0.15559027952453608</v>
      </c>
      <c r="O17" s="89"/>
      <c r="P17" s="129" t="s">
        <v>100</v>
      </c>
      <c r="Q17" s="116">
        <v>843253261</v>
      </c>
      <c r="R17" s="116">
        <v>1062667160697</v>
      </c>
      <c r="S17" s="116">
        <v>218587.47</v>
      </c>
      <c r="T17" s="130">
        <f t="shared" si="1"/>
        <v>3857.738327819065</v>
      </c>
      <c r="U17" s="78"/>
    </row>
    <row r="18" spans="1:21" hidden="1">
      <c r="A18" s="129" t="s">
        <v>106</v>
      </c>
      <c r="C18" s="79"/>
      <c r="F18" s="78">
        <f>Q18/20</f>
        <v>32546614.800000001</v>
      </c>
      <c r="G18" s="90">
        <f t="shared" si="3"/>
        <v>-0.22807022978118074</v>
      </c>
      <c r="H18" s="90">
        <f t="shared" si="4"/>
        <v>-0.46886629312372929</v>
      </c>
      <c r="I18" s="130">
        <f t="shared" si="0"/>
        <v>3422.6245553477288</v>
      </c>
      <c r="J18" s="130">
        <f t="shared" si="5"/>
        <v>2.1721800853639728E-2</v>
      </c>
      <c r="O18" s="89"/>
      <c r="P18" s="129" t="s">
        <v>106</v>
      </c>
      <c r="Q18" s="116">
        <v>650932296</v>
      </c>
      <c r="R18" s="116">
        <v>813976903207</v>
      </c>
      <c r="S18" s="116">
        <v>190185.13</v>
      </c>
      <c r="T18" s="130">
        <f t="shared" si="1"/>
        <v>3422.6245553477288</v>
      </c>
      <c r="U18" s="78"/>
    </row>
    <row r="19" spans="1:21" hidden="1">
      <c r="A19" s="129" t="s">
        <v>114</v>
      </c>
      <c r="B19" s="131">
        <f>SUM(F17:F19)</f>
        <v>108685809.07727271</v>
      </c>
      <c r="C19" s="131">
        <f>AVERAGE(F17:F19)</f>
        <v>36228603.025757574</v>
      </c>
      <c r="D19" s="90">
        <f>C19/C16-1</f>
        <v>-0.31892159613922177</v>
      </c>
      <c r="E19" s="286">
        <f>C19/C7-1</f>
        <v>-0.37773065206787659</v>
      </c>
      <c r="F19" s="78">
        <f>Q19/22</f>
        <v>33976531.227272727</v>
      </c>
      <c r="G19" s="90">
        <f t="shared" si="3"/>
        <v>4.3934413334830946E-2</v>
      </c>
      <c r="H19" s="90">
        <f t="shared" si="4"/>
        <v>-0.36340114503936749</v>
      </c>
      <c r="I19" s="130">
        <f t="shared" si="0"/>
        <v>3583.4326025751802</v>
      </c>
      <c r="J19" s="130">
        <f t="shared" si="5"/>
        <v>0.209079534013211</v>
      </c>
      <c r="K19" s="78">
        <f>R17+R18+R19</f>
        <v>2854162549111</v>
      </c>
      <c r="L19" s="87">
        <f>U19/U16-1</f>
        <v>-0.33730304513818898</v>
      </c>
      <c r="M19" s="87">
        <f>U19/U7-1</f>
        <v>-0.35535990174327359</v>
      </c>
      <c r="N19" s="88">
        <f>AVERAGE(T17:T19)</f>
        <v>3621.2651619139911</v>
      </c>
      <c r="O19" s="89">
        <f>N19/N16-1</f>
        <v>2.1517319070877727E-2</v>
      </c>
      <c r="P19" s="129" t="s">
        <v>114</v>
      </c>
      <c r="Q19" s="116">
        <v>747483687</v>
      </c>
      <c r="R19" s="116">
        <v>977518485207</v>
      </c>
      <c r="S19" s="116">
        <v>208594.32</v>
      </c>
      <c r="T19" s="130">
        <f t="shared" si="1"/>
        <v>3583.4326025751802</v>
      </c>
      <c r="U19" s="85">
        <f>Q17+Q18+Q19</f>
        <v>2241669244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38305036.75</v>
      </c>
      <c r="G20" s="90">
        <f t="shared" si="3"/>
        <v>0.12739692271036818</v>
      </c>
      <c r="H20" s="90">
        <f t="shared" si="4"/>
        <v>-0.15244205816122136</v>
      </c>
      <c r="I20" s="130">
        <f t="shared" si="0"/>
        <v>3592.1666506775314</v>
      </c>
      <c r="J20" s="130">
        <f t="shared" si="5"/>
        <v>0.26924620297073698</v>
      </c>
      <c r="O20" s="89"/>
      <c r="P20" s="129" t="s">
        <v>131</v>
      </c>
      <c r="Q20" s="116">
        <v>766100735</v>
      </c>
      <c r="R20" s="116">
        <v>1004701688540</v>
      </c>
      <c r="S20" s="116">
        <v>213269.82</v>
      </c>
      <c r="T20" s="130">
        <f t="shared" si="1"/>
        <v>3592.1666506775314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41766037.476190478</v>
      </c>
      <c r="G21" s="90">
        <f t="shared" si="3"/>
        <v>9.035367199303046E-2</v>
      </c>
      <c r="H21" s="90">
        <f t="shared" si="4"/>
        <v>0.11250393349188692</v>
      </c>
      <c r="I21" s="130">
        <f t="shared" si="0"/>
        <v>4056.7328927919916</v>
      </c>
      <c r="J21" s="130">
        <f t="shared" si="5"/>
        <v>0.3556983281010162</v>
      </c>
      <c r="O21" s="89"/>
      <c r="P21" s="129" t="s">
        <v>141</v>
      </c>
      <c r="Q21" s="116">
        <v>877086787</v>
      </c>
      <c r="R21" s="116">
        <v>1167851036867</v>
      </c>
      <c r="S21" s="116">
        <v>216205.21</v>
      </c>
      <c r="T21" s="130">
        <f t="shared" si="1"/>
        <v>4056.7328927919916</v>
      </c>
      <c r="U21" s="78"/>
    </row>
    <row r="22" spans="1:21" hidden="1">
      <c r="A22" s="129" t="s">
        <v>156</v>
      </c>
      <c r="B22" s="131">
        <f>SUM(F20:F22)</f>
        <v>117967188.17857143</v>
      </c>
      <c r="C22" s="131">
        <f>AVERAGE(F20:F22)</f>
        <v>39322396.059523813</v>
      </c>
      <c r="D22" s="90">
        <f>C22/C19-1</f>
        <v>8.5396420932008832E-2</v>
      </c>
      <c r="E22" s="286">
        <f>C22/C10-1</f>
        <v>-7.0760273309677268E-2</v>
      </c>
      <c r="F22" s="78">
        <f>Q22/21</f>
        <v>37896113.952380955</v>
      </c>
      <c r="G22" s="90">
        <f t="shared" si="3"/>
        <v>-9.2657186500290978E-2</v>
      </c>
      <c r="H22" s="90">
        <f t="shared" si="4"/>
        <v>-0.14287887626681006</v>
      </c>
      <c r="I22" s="130">
        <f t="shared" si="0"/>
        <v>3729.9406921265713</v>
      </c>
      <c r="J22" s="130">
        <f t="shared" si="5"/>
        <v>5.6787881135644591E-2</v>
      </c>
      <c r="K22" s="78">
        <f>R20+R21+R22</f>
        <v>3210870726818</v>
      </c>
      <c r="L22" s="87">
        <f>U22/U19-1</f>
        <v>8.8031127485995952E-2</v>
      </c>
      <c r="M22" s="87">
        <f>U22/U10-1</f>
        <v>-8.5128498604644331E-2</v>
      </c>
      <c r="N22" s="88">
        <f>AVERAGE(T20:T22)</f>
        <v>3792.946745198698</v>
      </c>
      <c r="O22" s="89">
        <f>N22/N19-1</f>
        <v>4.7409282559680355E-2</v>
      </c>
      <c r="P22" s="129" t="s">
        <v>156</v>
      </c>
      <c r="Q22" s="116">
        <v>795818393</v>
      </c>
      <c r="R22" s="116">
        <v>1038318001411</v>
      </c>
      <c r="S22" s="116">
        <v>213359.53</v>
      </c>
      <c r="T22" s="130">
        <f t="shared" ref="T22:T23" si="6">Q22/S22</f>
        <v>3729.9406921265713</v>
      </c>
      <c r="U22" s="85">
        <f>Q20+Q21+Q22</f>
        <v>2439005915</v>
      </c>
    </row>
    <row r="23" spans="1:21" hidden="1">
      <c r="A23" s="129" t="s">
        <v>189</v>
      </c>
      <c r="B23" s="131"/>
      <c r="C23" s="131"/>
      <c r="F23" s="78">
        <f>Q23/21</f>
        <v>49287689.476190478</v>
      </c>
      <c r="G23" s="90">
        <f t="shared" ref="G23" si="7">F23/F22-1</f>
        <v>0.30060009683641464</v>
      </c>
      <c r="H23" s="90">
        <f t="shared" ref="H23" si="8">F23/F11-1</f>
        <v>-1.4843866234544478E-2</v>
      </c>
      <c r="I23" s="130">
        <f t="shared" si="0"/>
        <v>4564.1947625692992</v>
      </c>
      <c r="J23" s="130">
        <f t="shared" si="5"/>
        <v>-1.5574997903167742E-2</v>
      </c>
      <c r="O23" s="89"/>
      <c r="P23" s="129" t="s">
        <v>189</v>
      </c>
      <c r="Q23" s="116">
        <v>1035041479</v>
      </c>
      <c r="R23" s="116">
        <v>1336309613152</v>
      </c>
      <c r="S23" s="116">
        <v>226774.17</v>
      </c>
      <c r="T23" s="130">
        <f t="shared" si="6"/>
        <v>4564.1947625692992</v>
      </c>
      <c r="U23" s="78"/>
    </row>
    <row r="24" spans="1:21" hidden="1">
      <c r="A24" s="129" t="s">
        <v>204</v>
      </c>
      <c r="B24" s="131"/>
      <c r="C24" s="131"/>
      <c r="F24" s="78">
        <f>Q24/22</f>
        <v>57555564.454545453</v>
      </c>
      <c r="G24" s="90">
        <f t="shared" ref="G24" si="9">F24/F23-1</f>
        <v>0.16774726237367976</v>
      </c>
      <c r="H24" s="90">
        <f t="shared" ref="H24" si="10">F24/F12-1</f>
        <v>0.19501517766982723</v>
      </c>
      <c r="I24" s="130">
        <f t="shared" si="0"/>
        <v>4380.2252486283842</v>
      </c>
      <c r="J24" s="130">
        <f t="shared" si="5"/>
        <v>-9.5382632241572618E-2</v>
      </c>
      <c r="O24" s="89"/>
      <c r="P24" s="129" t="s">
        <v>204</v>
      </c>
      <c r="Q24" s="116">
        <v>1266222418</v>
      </c>
      <c r="R24" s="116">
        <v>1659625867697</v>
      </c>
      <c r="S24" s="116">
        <v>289077.01</v>
      </c>
      <c r="T24" s="130">
        <f t="shared" ref="T24" si="11">Q24/S24</f>
        <v>4380.2252486283842</v>
      </c>
      <c r="U24" s="78"/>
    </row>
    <row r="25" spans="1:21" s="79" customFormat="1" ht="13.2" hidden="1">
      <c r="A25" s="129" t="s">
        <v>219</v>
      </c>
      <c r="B25" s="131">
        <f>SUM(F23:F25)</f>
        <v>170387453.56231487</v>
      </c>
      <c r="C25" s="131">
        <f>AVERAGE(F23:F25)</f>
        <v>56795817.854104958</v>
      </c>
      <c r="D25" s="90">
        <f>C25/C22-1</f>
        <v>0.44436309954589137</v>
      </c>
      <c r="E25" s="286">
        <f>C25/C13-1</f>
        <v>7.6255602628986008E-2</v>
      </c>
      <c r="F25" s="78">
        <f>Q25/19</f>
        <v>63544199.631578945</v>
      </c>
      <c r="G25" s="90">
        <f t="shared" ref="G25" si="12">F25/F24-1</f>
        <v>0.10404962984531263</v>
      </c>
      <c r="H25" s="90">
        <f t="shared" ref="H25" si="13">F25/F13-1</f>
        <v>5.692670767780128E-2</v>
      </c>
      <c r="I25" s="130">
        <f t="shared" si="0"/>
        <v>4372.1890897686981</v>
      </c>
      <c r="J25" s="130">
        <f t="shared" si="5"/>
        <v>1.3826548694824137E-2</v>
      </c>
      <c r="K25" s="78">
        <f>R23+R24+R25</f>
        <v>4598889092499</v>
      </c>
      <c r="L25" s="90">
        <f>U25/U22-1</f>
        <v>0.4385384096126721</v>
      </c>
      <c r="M25" s="90">
        <f>U25/U13-1</f>
        <v>5.9150817327994432E-2</v>
      </c>
      <c r="N25" s="88">
        <f>AVERAGE(T23:T25)</f>
        <v>4438.8697003221268</v>
      </c>
      <c r="O25" s="91">
        <f>N25/N22-1</f>
        <v>0.17029581444587127</v>
      </c>
      <c r="P25" s="129" t="s">
        <v>219</v>
      </c>
      <c r="Q25" s="116">
        <v>1207339793</v>
      </c>
      <c r="R25" s="116">
        <v>1602953611650</v>
      </c>
      <c r="S25" s="116">
        <v>276140.79999999999</v>
      </c>
      <c r="T25" s="130">
        <f t="shared" ref="T25" si="14">Q25/S25</f>
        <v>4372.1890897686981</v>
      </c>
      <c r="U25" s="85">
        <f>Q23+Q24+Q25</f>
        <v>3508603690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77450123.789473683</v>
      </c>
      <c r="G26" s="90">
        <f t="shared" ref="G26" si="15">F26/F25-1</f>
        <v>0.21883860743418726</v>
      </c>
      <c r="H26" s="90">
        <f t="shared" ref="H26" si="16">F26/F14-1</f>
        <v>0.20929005094383712</v>
      </c>
      <c r="I26" s="130">
        <f t="shared" si="0"/>
        <v>4289.900153101571</v>
      </c>
      <c r="J26" s="130">
        <f t="shared" si="5"/>
        <v>0.13457591530616408</v>
      </c>
      <c r="L26" s="90"/>
      <c r="M26" s="90"/>
      <c r="P26" s="129" t="s">
        <v>312</v>
      </c>
      <c r="Q26" s="116">
        <v>1471552352</v>
      </c>
      <c r="R26" s="116">
        <v>1984069813564</v>
      </c>
      <c r="S26" s="116">
        <v>343027.18</v>
      </c>
      <c r="T26" s="130">
        <f t="shared" ref="T26" si="17">Q26/S26</f>
        <v>4289.900153101571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56759608.909090906</v>
      </c>
      <c r="G27" s="90">
        <f t="shared" ref="G27" si="18">F27/F26-1</f>
        <v>-0.26714631130382838</v>
      </c>
      <c r="H27" s="90">
        <f t="shared" ref="H27" si="19">F27/F15-1</f>
        <v>-1.6874169106528392E-2</v>
      </c>
      <c r="I27" s="130">
        <f t="shared" si="0"/>
        <v>3619.7447898848204</v>
      </c>
      <c r="J27" s="130">
        <f t="shared" si="5"/>
        <v>-1.7249183442718308E-2</v>
      </c>
      <c r="L27" s="90"/>
      <c r="M27" s="90"/>
      <c r="P27" s="129" t="s">
        <v>375</v>
      </c>
      <c r="Q27" s="116">
        <v>1248711396</v>
      </c>
      <c r="R27" s="116">
        <v>1653349881109</v>
      </c>
      <c r="S27" s="116">
        <v>344972.22</v>
      </c>
      <c r="T27" s="130">
        <f t="shared" ref="T27" si="20">Q27/S27</f>
        <v>3619.7447898848204</v>
      </c>
      <c r="U27" s="78"/>
    </row>
    <row r="28" spans="1:21" s="79" customFormat="1" ht="13.2" hidden="1">
      <c r="A28" s="123" t="s">
        <v>415</v>
      </c>
      <c r="B28" s="131">
        <f>SUM(F26:F28)</f>
        <v>179010276.17224881</v>
      </c>
      <c r="C28" s="131">
        <f>AVERAGE(F26:F28)</f>
        <v>59670092.057416268</v>
      </c>
      <c r="D28" s="90">
        <f>C28/C25-1</f>
        <v>5.0607145242536067E-2</v>
      </c>
      <c r="E28" s="286">
        <f>C28/C16-1</f>
        <v>0.12176588834509583</v>
      </c>
      <c r="F28" s="78">
        <f>Q28/19</f>
        <v>44800543.473684214</v>
      </c>
      <c r="G28" s="90">
        <f t="shared" ref="G28" si="21">F28/F27-1</f>
        <v>-0.210696755408603</v>
      </c>
      <c r="H28" s="90">
        <f t="shared" ref="H28" si="22">F28/F16-1</f>
        <v>0.18522358509449188</v>
      </c>
      <c r="I28" s="130">
        <f t="shared" si="0"/>
        <v>2658.1183404786575</v>
      </c>
      <c r="J28" s="130">
        <f t="shared" si="5"/>
        <v>-0.16164105915282923</v>
      </c>
      <c r="K28" s="78">
        <f>R26+R27+R28</f>
        <v>4746517027820</v>
      </c>
      <c r="L28" s="90">
        <f>U28/U25-1</f>
        <v>1.7918918622581659E-2</v>
      </c>
      <c r="M28" s="90">
        <f>U28/U16-1</f>
        <v>5.5822574870330266E-2</v>
      </c>
      <c r="N28" s="88">
        <f>AVERAGE(T26:T28)</f>
        <v>3522.5877611550163</v>
      </c>
      <c r="O28" s="91">
        <f>N28/N25-1</f>
        <v>-0.20642235547049659</v>
      </c>
      <c r="P28" s="129" t="s">
        <v>416</v>
      </c>
      <c r="Q28" s="116">
        <v>851210326</v>
      </c>
      <c r="R28" s="116">
        <v>1109097333147</v>
      </c>
      <c r="S28" s="116">
        <v>320230.40999999997</v>
      </c>
      <c r="T28" s="130">
        <f t="shared" ref="T28" si="23">Q28/S28</f>
        <v>2658.1183404786575</v>
      </c>
      <c r="U28" s="85">
        <f>Q26+Q27+Q28</f>
        <v>3571474074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27515838.545454547</v>
      </c>
      <c r="G29" s="190">
        <f t="shared" ref="G29" si="24">F29/F28-1</f>
        <v>-0.38581462607440653</v>
      </c>
      <c r="H29" s="190">
        <f t="shared" ref="H29" si="25">F29/F17-1</f>
        <v>-0.34738850549302414</v>
      </c>
      <c r="I29" s="130">
        <f t="shared" si="0"/>
        <v>2109.0811410034544</v>
      </c>
      <c r="J29" s="130">
        <f t="shared" si="5"/>
        <v>-0.45328558813998077</v>
      </c>
      <c r="K29" s="136"/>
      <c r="L29" s="190"/>
      <c r="M29" s="190"/>
      <c r="N29" s="191"/>
      <c r="O29" s="192"/>
      <c r="P29" s="129" t="s">
        <v>427</v>
      </c>
      <c r="Q29" s="116">
        <v>605348448</v>
      </c>
      <c r="R29" s="116">
        <v>795557350673</v>
      </c>
      <c r="S29" s="116">
        <v>287019.99</v>
      </c>
      <c r="T29" s="130">
        <f t="shared" ref="T29" si="26">Q29/S29</f>
        <v>2109.0811410034544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36024068.789473683</v>
      </c>
      <c r="G30" s="190">
        <f t="shared" ref="G30" si="27">F30/F29-1</f>
        <v>0.30921210087652029</v>
      </c>
      <c r="H30" s="190">
        <f t="shared" ref="H30" si="28">F30/F18-1</f>
        <v>0.10684533586189371</v>
      </c>
      <c r="I30" s="130">
        <f t="shared" si="0"/>
        <v>2102.6138548870022</v>
      </c>
      <c r="J30" s="130">
        <f t="shared" si="5"/>
        <v>-0.38567207098373002</v>
      </c>
      <c r="K30" s="136"/>
      <c r="L30" s="190"/>
      <c r="M30" s="190"/>
      <c r="N30" s="191"/>
      <c r="O30" s="192"/>
      <c r="P30" s="129" t="s">
        <v>466</v>
      </c>
      <c r="Q30" s="116">
        <v>684457307</v>
      </c>
      <c r="R30" s="116">
        <v>911862598921</v>
      </c>
      <c r="S30" s="116">
        <v>325526.87</v>
      </c>
      <c r="T30" s="130">
        <f t="shared" ref="T30" si="29">Q30/S30</f>
        <v>2102.6138548870022</v>
      </c>
      <c r="U30" s="85"/>
    </row>
    <row r="31" spans="1:21" s="79" customFormat="1" ht="13.2" hidden="1">
      <c r="A31" s="129" t="s">
        <v>505</v>
      </c>
      <c r="B31" s="188">
        <f>SUM(F29:F31)</f>
        <v>98610269.034928232</v>
      </c>
      <c r="C31" s="188">
        <f>AVERAGE(F29:F31)</f>
        <v>32870089.678309411</v>
      </c>
      <c r="D31" s="190">
        <f>C31/C28-1</f>
        <v>-0.44913626667978201</v>
      </c>
      <c r="E31" s="287">
        <f>C31/C19-1</f>
        <v>-9.2703363280674966E-2</v>
      </c>
      <c r="F31" s="136">
        <f>Q31/20</f>
        <v>35070361.700000003</v>
      </c>
      <c r="G31" s="190">
        <f t="shared" ref="G31" si="30">F31/F30-1</f>
        <v>-2.6474163566786113E-2</v>
      </c>
      <c r="H31" s="190">
        <f t="shared" ref="H31" si="31">F31/F19-1</f>
        <v>3.2193706456098425E-2</v>
      </c>
      <c r="I31" s="130">
        <f t="shared" si="0"/>
        <v>2004.8440293736633</v>
      </c>
      <c r="J31" s="130">
        <f t="shared" si="5"/>
        <v>-0.44052414214992852</v>
      </c>
      <c r="K31" s="136">
        <f>R29+R30+R31</f>
        <v>2639625975467</v>
      </c>
      <c r="L31" s="190">
        <f>U31/U28-1</f>
        <v>-0.44246746644590096</v>
      </c>
      <c r="M31" s="190">
        <f>U31/U19-1</f>
        <v>-0.11172756894013935</v>
      </c>
      <c r="N31" s="191">
        <f>AVERAGE(T29:T31)</f>
        <v>2072.1796750880399</v>
      </c>
      <c r="O31" s="192">
        <f>N31/N28-1</f>
        <v>-0.41174505346927237</v>
      </c>
      <c r="P31" s="129" t="s">
        <v>505</v>
      </c>
      <c r="Q31" s="116">
        <v>701407234</v>
      </c>
      <c r="R31" s="116">
        <v>932206025873</v>
      </c>
      <c r="S31" s="116">
        <v>349856.26</v>
      </c>
      <c r="T31" s="130">
        <f t="shared" ref="T31" si="32">Q31/S31</f>
        <v>2004.8440293736633</v>
      </c>
      <c r="U31" s="85">
        <f>Q29+Q30+Q31</f>
        <v>1991212989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32964552.380952381</v>
      </c>
      <c r="G32" s="190">
        <f t="shared" ref="G32" si="33">F32/F31-1</f>
        <v>-6.0045269480286656E-2</v>
      </c>
      <c r="H32" s="190">
        <f t="shared" ref="H32" si="34">F32/F20-1</f>
        <v>-0.13941989936996002</v>
      </c>
      <c r="I32" s="130">
        <f t="shared" si="0"/>
        <v>2050.0695640946215</v>
      </c>
      <c r="J32" s="130">
        <f t="shared" si="5"/>
        <v>-0.42929441658617074</v>
      </c>
      <c r="K32" s="136"/>
      <c r="L32" s="190"/>
      <c r="M32" s="190"/>
      <c r="N32" s="191"/>
      <c r="O32" s="192"/>
      <c r="P32" s="129" t="s">
        <v>562</v>
      </c>
      <c r="Q32" s="116">
        <v>692255600</v>
      </c>
      <c r="R32" s="116">
        <v>940548791833</v>
      </c>
      <c r="S32" s="116">
        <v>337674.2</v>
      </c>
      <c r="T32" s="130">
        <f t="shared" ref="T32" si="35">Q32/S32</f>
        <v>2050.0695640946215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41800913.952380955</v>
      </c>
      <c r="G33" s="190">
        <f t="shared" ref="G33" si="36">F33/F32-1</f>
        <v>0.26805647076022221</v>
      </c>
      <c r="H33" s="190">
        <f t="shared" ref="H33" si="37">F33/F21-1</f>
        <v>8.3504393277333833E-4</v>
      </c>
      <c r="I33" s="130">
        <f t="shared" si="0"/>
        <v>2372.1751532813751</v>
      </c>
      <c r="J33" s="130">
        <f t="shared" si="5"/>
        <v>-0.41524985352221266</v>
      </c>
      <c r="K33" s="136"/>
      <c r="L33" s="190"/>
      <c r="M33" s="190"/>
      <c r="N33" s="191"/>
      <c r="O33" s="192"/>
      <c r="P33" s="129" t="s">
        <v>609</v>
      </c>
      <c r="Q33" s="116">
        <v>877819193</v>
      </c>
      <c r="R33" s="116">
        <v>1201098345762</v>
      </c>
      <c r="S33" s="116">
        <v>370048.22</v>
      </c>
      <c r="T33" s="130">
        <f t="shared" ref="T33" si="38">Q33/S33</f>
        <v>2372.1751532813751</v>
      </c>
      <c r="U33" s="85"/>
    </row>
    <row r="34" spans="1:21" s="79" customFormat="1" ht="13.2" hidden="1">
      <c r="A34" s="129" t="s">
        <v>653</v>
      </c>
      <c r="B34" s="188">
        <f>SUM(F32:F34)</f>
        <v>126735173.07017544</v>
      </c>
      <c r="C34" s="188">
        <f>AVERAGE(F32:F34)</f>
        <v>42245057.690058477</v>
      </c>
      <c r="D34" s="190">
        <f>C34/C31-1</f>
        <v>0.28521272997729286</v>
      </c>
      <c r="E34" s="287">
        <f>C34/C22-1</f>
        <v>7.432562415857169E-2</v>
      </c>
      <c r="F34" s="136">
        <f>Q34/19</f>
        <v>51969706.736842103</v>
      </c>
      <c r="G34" s="190">
        <f t="shared" ref="G34" si="39">F34/F33-1</f>
        <v>0.24326723564095509</v>
      </c>
      <c r="H34" s="190">
        <f t="shared" ref="H34" si="40">F34/F22-1</f>
        <v>0.37137298041022282</v>
      </c>
      <c r="I34" s="130">
        <f t="shared" si="0"/>
        <v>2719.7545395488773</v>
      </c>
      <c r="J34" s="130">
        <f t="shared" si="5"/>
        <v>-0.27083169303739008</v>
      </c>
      <c r="K34" s="136">
        <f>R32+R33+R34</f>
        <v>3498836315476</v>
      </c>
      <c r="L34" s="190">
        <f>U34/U31-1</f>
        <v>0.28439259643660342</v>
      </c>
      <c r="M34" s="190">
        <f>U34/U22-1</f>
        <v>4.8582623466085328E-2</v>
      </c>
      <c r="N34" s="191">
        <f>AVERAGE(T32:T34)</f>
        <v>2380.6664189749577</v>
      </c>
      <c r="O34" s="192">
        <f>N34/N31-1</f>
        <v>0.14887065421767121</v>
      </c>
      <c r="P34" s="129" t="s">
        <v>653</v>
      </c>
      <c r="Q34" s="116">
        <v>987424428</v>
      </c>
      <c r="R34" s="116">
        <v>1357189177881</v>
      </c>
      <c r="S34" s="116">
        <v>363056.45</v>
      </c>
      <c r="T34" s="130">
        <f t="shared" ref="T34" si="41">Q34/S34</f>
        <v>2719.7545395488773</v>
      </c>
      <c r="U34" s="85">
        <f>Q32+Q33+Q34</f>
        <v>2557499221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37745961.608695649</v>
      </c>
      <c r="G35" s="190">
        <f t="shared" ref="G35" si="42">F35/F34-1</f>
        <v>-0.27369300350627201</v>
      </c>
      <c r="H35" s="190">
        <f t="shared" ref="H35" si="43">F35/F23-1</f>
        <v>-0.23417060101935427</v>
      </c>
      <c r="I35" s="130">
        <f t="shared" si="0"/>
        <v>2803.521609560526</v>
      </c>
      <c r="J35" s="130">
        <f t="shared" si="5"/>
        <v>-0.38575767349981493</v>
      </c>
      <c r="K35" s="136"/>
      <c r="L35" s="190"/>
      <c r="M35" s="190"/>
      <c r="N35" s="191"/>
      <c r="O35" s="192"/>
      <c r="P35" s="129" t="s">
        <v>660</v>
      </c>
      <c r="Q35" s="116">
        <v>868157117</v>
      </c>
      <c r="R35" s="116">
        <v>1201430617407</v>
      </c>
      <c r="S35" s="116">
        <v>309666.64</v>
      </c>
      <c r="T35" s="130">
        <f t="shared" ref="T35" si="44">Q35/S35</f>
        <v>2803.521609560526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48625485</v>
      </c>
      <c r="G36" s="190">
        <f t="shared" ref="G36" si="45">F36/F35-1</f>
        <v>0.28823012920137137</v>
      </c>
      <c r="H36" s="190">
        <f t="shared" ref="H36" si="46">F36/F24-1</f>
        <v>-0.15515579664930557</v>
      </c>
      <c r="I36" s="130">
        <f t="shared" si="0"/>
        <v>2821.118581527131</v>
      </c>
      <c r="J36" s="130">
        <f t="shared" si="5"/>
        <v>-0.35594212137594272</v>
      </c>
      <c r="K36" s="136"/>
      <c r="L36" s="190"/>
      <c r="M36" s="190"/>
      <c r="N36" s="191"/>
      <c r="O36" s="192"/>
      <c r="P36" s="129" t="s">
        <v>666</v>
      </c>
      <c r="Q36" s="116">
        <v>1021135185</v>
      </c>
      <c r="R36" s="116">
        <v>1394911584550</v>
      </c>
      <c r="S36" s="116">
        <v>361961.1</v>
      </c>
      <c r="T36" s="130">
        <f t="shared" ref="T36" si="47">Q36/S36</f>
        <v>2821.118581527131</v>
      </c>
      <c r="U36" s="85"/>
    </row>
    <row r="37" spans="1:21" s="79" customFormat="1" ht="13.2" hidden="1">
      <c r="A37" s="129" t="s">
        <v>702</v>
      </c>
      <c r="B37" s="188">
        <f>SUM(F35:F37)</f>
        <v>146588711.88647342</v>
      </c>
      <c r="C37" s="188">
        <f>AVERAGE(F35:F37)</f>
        <v>48862903.962157808</v>
      </c>
      <c r="D37" s="190">
        <f>C37/C34-1</f>
        <v>0.15665373972626173</v>
      </c>
      <c r="E37" s="287">
        <f>C37/C25-1</f>
        <v>-0.13967426109304271</v>
      </c>
      <c r="F37" s="136">
        <f>Q37/18</f>
        <v>60217265.277777776</v>
      </c>
      <c r="G37" s="190">
        <f t="shared" ref="G37" si="48">F37/F36-1</f>
        <v>0.23838899041886741</v>
      </c>
      <c r="H37" s="190">
        <f t="shared" ref="H37" si="49">F37/F25-1</f>
        <v>-5.2356224062783174E-2</v>
      </c>
      <c r="I37" s="130">
        <f t="shared" si="0"/>
        <v>2670.1772739650523</v>
      </c>
      <c r="J37" s="130">
        <f t="shared" si="5"/>
        <v>-0.38928138304596682</v>
      </c>
      <c r="K37" s="136">
        <f>R35+R36+R37</f>
        <v>4043537938810</v>
      </c>
      <c r="L37" s="190">
        <f>U37/U34-1</f>
        <v>0.16254310170912079</v>
      </c>
      <c r="M37" s="190">
        <f>U37/U25-1</f>
        <v>-0.15259649145498111</v>
      </c>
      <c r="N37" s="191">
        <f>AVERAGE(T35:T37)</f>
        <v>2764.9391550175701</v>
      </c>
      <c r="O37" s="192">
        <f>N37/N34-1</f>
        <v>0.16141393560214468</v>
      </c>
      <c r="P37" s="129" t="s">
        <v>702</v>
      </c>
      <c r="Q37" s="116">
        <v>1083910775</v>
      </c>
      <c r="R37" s="116">
        <v>1447195736853</v>
      </c>
      <c r="S37" s="116">
        <v>405932.14</v>
      </c>
      <c r="T37" s="130">
        <f t="shared" ref="T37" si="50">Q37/S37</f>
        <v>2670.1772739650523</v>
      </c>
      <c r="U37" s="85">
        <f>Q35+Q36+Q37</f>
        <v>2973203077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46973361.25</v>
      </c>
      <c r="G38" s="190">
        <f t="shared" ref="G38" si="51">F38/F37-1</f>
        <v>-0.21993532862518128</v>
      </c>
      <c r="H38" s="190">
        <f t="shared" ref="H38" si="52">F38/F26-1</f>
        <v>-0.39350179248668682</v>
      </c>
      <c r="I38" s="130">
        <f t="shared" si="0"/>
        <v>2401.4025625993618</v>
      </c>
      <c r="J38" s="130">
        <f t="shared" si="5"/>
        <v>-0.44021947437094477</v>
      </c>
      <c r="K38" s="136"/>
      <c r="L38" s="190"/>
      <c r="M38" s="190"/>
      <c r="N38" s="191"/>
      <c r="O38" s="192"/>
      <c r="P38" s="129" t="s">
        <v>729</v>
      </c>
      <c r="Q38" s="116">
        <v>939467225</v>
      </c>
      <c r="R38" s="116">
        <v>1264002402296</v>
      </c>
      <c r="S38" s="116">
        <v>391216.05</v>
      </c>
      <c r="T38" s="130">
        <f t="shared" ref="T38" si="53">Q38/S38</f>
        <v>2401.4025625993618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41491864.523809522</v>
      </c>
      <c r="G39" s="190">
        <f t="shared" ref="G39" si="54">F39/F38-1</f>
        <v>-0.1166937298145867</v>
      </c>
      <c r="H39" s="190">
        <f t="shared" ref="H39" si="55">F39/F27-1</f>
        <v>-0.26898959803854505</v>
      </c>
      <c r="I39" s="130">
        <f t="shared" si="0"/>
        <v>2520.1300838770608</v>
      </c>
      <c r="J39" s="130">
        <f t="shared" si="5"/>
        <v>-0.30378238517825151</v>
      </c>
      <c r="K39" s="136"/>
      <c r="L39" s="190"/>
      <c r="M39" s="190"/>
      <c r="N39" s="191"/>
      <c r="O39" s="192"/>
      <c r="P39" s="129" t="s">
        <v>762</v>
      </c>
      <c r="Q39" s="116">
        <v>871329155</v>
      </c>
      <c r="R39" s="116">
        <v>1210104656406</v>
      </c>
      <c r="S39" s="116">
        <v>345747.69</v>
      </c>
      <c r="T39" s="130">
        <f t="shared" ref="T39" si="56">Q39/S39</f>
        <v>2520.1300838770608</v>
      </c>
      <c r="U39" s="85"/>
    </row>
    <row r="40" spans="1:21" s="79" customFormat="1" ht="13.2" hidden="1">
      <c r="A40" s="129" t="s">
        <v>778</v>
      </c>
      <c r="B40" s="188">
        <f>SUM(F38:F40)</f>
        <v>129021812.15476191</v>
      </c>
      <c r="C40" s="188">
        <f>AVERAGE(F38:F40)</f>
        <v>43007270.71825397</v>
      </c>
      <c r="D40" s="190">
        <f>C40/C37-1</f>
        <v>-0.11983801143785422</v>
      </c>
      <c r="E40" s="287">
        <f>C40/C28-1</f>
        <v>-0.27924913075597158</v>
      </c>
      <c r="F40" s="136">
        <f>Q40/21</f>
        <v>40556586.380952381</v>
      </c>
      <c r="G40" s="190">
        <f t="shared" ref="G40" si="57">F40/F39-1</f>
        <v>-2.2541241604614903E-2</v>
      </c>
      <c r="H40" s="190">
        <f t="shared" ref="H40" si="58">F40/F28-1</f>
        <v>-9.4730035925227773E-2</v>
      </c>
      <c r="I40" s="130">
        <f t="shared" si="0"/>
        <v>2410.5809625117395</v>
      </c>
      <c r="J40" s="130">
        <f t="shared" si="5"/>
        <v>-9.3125040445845242E-2</v>
      </c>
      <c r="K40" s="136">
        <f>R38+R39+R40</f>
        <v>3680861124804</v>
      </c>
      <c r="L40" s="190">
        <f>U40/U37-1</f>
        <v>-0.10450627654856282</v>
      </c>
      <c r="M40" s="190">
        <f>U40/U28-1</f>
        <v>-0.25451378371114564</v>
      </c>
      <c r="N40" s="191">
        <f>AVERAGE(T38:T40)</f>
        <v>2444.0378696627208</v>
      </c>
      <c r="O40" s="192">
        <f>N40/N37-1</f>
        <v>-0.11606088501893641</v>
      </c>
      <c r="P40" s="129" t="s">
        <v>778</v>
      </c>
      <c r="Q40" s="116">
        <v>851688314</v>
      </c>
      <c r="R40" s="116">
        <v>1206754066102</v>
      </c>
      <c r="S40" s="116">
        <v>353312.47</v>
      </c>
      <c r="T40" s="130">
        <f t="shared" ref="T40" si="59">Q40/S40</f>
        <v>2410.5809625117395</v>
      </c>
      <c r="U40" s="85">
        <f>Q38+Q39+Q40</f>
        <v>2662484694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31413365.555555556</v>
      </c>
      <c r="G41" s="190">
        <f t="shared" ref="G41" si="60">F41/F40-1</f>
        <v>-0.22544355038941311</v>
      </c>
      <c r="H41" s="190">
        <f t="shared" ref="H41" si="61">F41/F29-1</f>
        <v>0.14164667392064123</v>
      </c>
      <c r="I41" s="130">
        <f t="shared" si="0"/>
        <v>1729.5711365999775</v>
      </c>
      <c r="J41" s="130">
        <f t="shared" si="5"/>
        <v>-0.17994092167687503</v>
      </c>
      <c r="K41" s="193"/>
      <c r="L41" s="190"/>
      <c r="M41" s="190"/>
      <c r="N41" s="193"/>
      <c r="O41" s="193"/>
      <c r="P41" s="129" t="s">
        <v>791</v>
      </c>
      <c r="Q41" s="116">
        <v>565440580</v>
      </c>
      <c r="R41" s="116">
        <v>825715235416</v>
      </c>
      <c r="S41" s="116">
        <v>326925.31</v>
      </c>
      <c r="T41" s="130">
        <f t="shared" ref="T41" si="62">Q41/S41</f>
        <v>1729.5711365999775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31154467.25</v>
      </c>
      <c r="G42" s="190">
        <f t="shared" ref="G42" si="63">F42/F41-1</f>
        <v>-8.2416608655855317E-3</v>
      </c>
      <c r="H42" s="190">
        <f t="shared" ref="H42" si="64">F42/F30-1</f>
        <v>-0.13517633357663894</v>
      </c>
      <c r="I42" s="130">
        <f t="shared" si="0"/>
        <v>1813.9376578761919</v>
      </c>
      <c r="J42" s="130">
        <f t="shared" si="5"/>
        <v>-0.13729396690688322</v>
      </c>
      <c r="K42" s="193"/>
      <c r="L42" s="190"/>
      <c r="M42" s="190"/>
      <c r="N42" s="193"/>
      <c r="O42" s="193"/>
      <c r="P42" s="129" t="s">
        <v>826</v>
      </c>
      <c r="Q42" s="116">
        <v>623089345</v>
      </c>
      <c r="R42" s="116">
        <v>900172138805</v>
      </c>
      <c r="S42" s="116">
        <v>343500.97</v>
      </c>
      <c r="T42" s="130">
        <f t="shared" ref="T42" si="65">Q42/S42</f>
        <v>1813.9376578761919</v>
      </c>
      <c r="U42" s="78"/>
    </row>
    <row r="43" spans="1:21" s="79" customFormat="1" ht="13.2">
      <c r="A43" s="129" t="s">
        <v>835</v>
      </c>
      <c r="B43" s="188">
        <f>SUM(F41:F43)</f>
        <v>104606433.75555556</v>
      </c>
      <c r="C43" s="188">
        <f>AVERAGE(F41:F43)</f>
        <v>34868811.251851849</v>
      </c>
      <c r="D43" s="190">
        <f>C43/C40-1</f>
        <v>-0.18923450222447713</v>
      </c>
      <c r="E43" s="287">
        <f>C43/C31-1</f>
        <v>6.0806696699138296E-2</v>
      </c>
      <c r="F43" s="136">
        <f>Q43/20</f>
        <v>42038600.950000003</v>
      </c>
      <c r="G43" s="190">
        <f t="shared" ref="G43" si="66">F43/F42-1</f>
        <v>0.34936028957452336</v>
      </c>
      <c r="H43" s="190">
        <f t="shared" ref="H43" si="67">F43/F31-1</f>
        <v>0.19869311042777182</v>
      </c>
      <c r="I43" s="130">
        <f t="shared" si="0"/>
        <v>1994.3763239157115</v>
      </c>
      <c r="J43" s="130">
        <f t="shared" si="5"/>
        <v>-5.2212068892072416E-3</v>
      </c>
      <c r="K43" s="136">
        <f>R41+R42+R43</f>
        <v>2943968760882</v>
      </c>
      <c r="L43" s="190">
        <f>U43/U40-1</f>
        <v>-0.23781648451422044</v>
      </c>
      <c r="M43" s="190">
        <f>K43/K31-1</f>
        <v>0.11529769302302606</v>
      </c>
      <c r="N43" s="191">
        <f>AVERAGE(T41:T43)</f>
        <v>1845.9617061306271</v>
      </c>
      <c r="O43" s="192">
        <f>N43/N40-1</f>
        <v>-0.24470822279633031</v>
      </c>
      <c r="P43" s="129" t="s">
        <v>835</v>
      </c>
      <c r="Q43" s="116">
        <v>840772019</v>
      </c>
      <c r="R43" s="116">
        <v>1218081386661</v>
      </c>
      <c r="S43" s="116">
        <v>421571.4</v>
      </c>
      <c r="T43" s="130">
        <f t="shared" ref="T43" si="68">Q43/S43</f>
        <v>1994.3763239157115</v>
      </c>
      <c r="U43" s="85">
        <f>Q41+Q42+Q43</f>
        <v>2029301944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30076471.681818184</v>
      </c>
      <c r="G44" s="190">
        <f t="shared" ref="G44" si="69">F44/F43-1</f>
        <v>-0.28455107919527034</v>
      </c>
      <c r="H44" s="190">
        <f t="shared" ref="H44" si="70">F44/F32-1</f>
        <v>-8.7611706834611613E-2</v>
      </c>
      <c r="I44" s="130">
        <f t="shared" si="0"/>
        <v>2102.2233136579434</v>
      </c>
      <c r="J44" s="130">
        <f t="shared" si="5"/>
        <v>2.5439990172408944E-2</v>
      </c>
      <c r="K44" s="136"/>
      <c r="L44" s="190"/>
      <c r="M44" s="190"/>
      <c r="N44" s="191"/>
      <c r="O44" s="192"/>
      <c r="P44" s="129" t="s">
        <v>839</v>
      </c>
      <c r="Q44" s="116">
        <v>661682377</v>
      </c>
      <c r="R44" s="116">
        <v>961143349670</v>
      </c>
      <c r="S44" s="116">
        <v>314753.61</v>
      </c>
      <c r="T44" s="130">
        <f t="shared" ref="T44" si="71">Q44/S44</f>
        <v>2102.2233136579434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34887092.100000001</v>
      </c>
      <c r="G45" s="190">
        <f t="shared" ref="G45" si="72">F45/F44-1</f>
        <v>0.15994630184929348</v>
      </c>
      <c r="H45" s="190">
        <f t="shared" ref="H45" si="73">F45/F33-1</f>
        <v>-0.1653988202329042</v>
      </c>
      <c r="I45" s="130">
        <f t="shared" si="0"/>
        <v>2085.0980431884363</v>
      </c>
      <c r="J45" s="130">
        <f t="shared" si="5"/>
        <v>-0.12101851319698365</v>
      </c>
      <c r="K45" s="136"/>
      <c r="L45" s="190"/>
      <c r="M45" s="190"/>
      <c r="N45" s="191"/>
      <c r="O45" s="192"/>
      <c r="P45" s="129" t="s">
        <v>852</v>
      </c>
      <c r="Q45" s="116">
        <v>697741842</v>
      </c>
      <c r="R45" s="116">
        <v>984264787243</v>
      </c>
      <c r="S45" s="116">
        <v>334632.63</v>
      </c>
      <c r="T45" s="130">
        <f t="shared" ref="T45" si="74">Q45/S45</f>
        <v>2085.0980431884363</v>
      </c>
      <c r="U45" s="85"/>
    </row>
    <row r="46" spans="1:21" s="79" customFormat="1" ht="13.2">
      <c r="A46" s="129" t="s">
        <v>889</v>
      </c>
      <c r="B46" s="188">
        <f>SUM(F44:F46)</f>
        <v>90746491.88708134</v>
      </c>
      <c r="C46" s="188">
        <f>AVERAGE(F44:F46)</f>
        <v>30248830.629027113</v>
      </c>
      <c r="D46" s="190">
        <f>C46/C43-1</f>
        <v>-0.13249607477167358</v>
      </c>
      <c r="E46" s="287">
        <f>C46/C34-1</f>
        <v>-0.28396758619776807</v>
      </c>
      <c r="F46" s="136">
        <f>Q46/19</f>
        <v>25782928.105263159</v>
      </c>
      <c r="G46" s="190">
        <f t="shared" ref="G46" si="75">F46/F45-1</f>
        <v>-0.26096081521041536</v>
      </c>
      <c r="H46" s="190">
        <f t="shared" ref="H46" si="76">F46/F34-1</f>
        <v>-0.50388544165123683</v>
      </c>
      <c r="I46" s="130">
        <f t="shared" si="0"/>
        <v>1944.0823855708338</v>
      </c>
      <c r="J46" s="130">
        <f t="shared" si="5"/>
        <v>-0.28519932321050689</v>
      </c>
      <c r="K46" s="136">
        <f>R44+R45+R46</f>
        <v>2616635640945</v>
      </c>
      <c r="L46" s="190">
        <f>U46/U43-1</f>
        <v>-8.8701482562616563E-2</v>
      </c>
      <c r="M46" s="190">
        <f>K46/K34-1</f>
        <v>-0.25214116780166684</v>
      </c>
      <c r="N46" s="191">
        <f>AVERAGE(T44:T46)</f>
        <v>2043.8012474724046</v>
      </c>
      <c r="O46" s="192">
        <f>N46/N43-1</f>
        <v>0.10717423914306146</v>
      </c>
      <c r="P46" s="129" t="s">
        <v>889</v>
      </c>
      <c r="Q46" s="116">
        <v>489875634</v>
      </c>
      <c r="R46" s="116">
        <v>671227504032</v>
      </c>
      <c r="S46" s="116">
        <v>251982.96</v>
      </c>
      <c r="T46" s="130">
        <f t="shared" ref="T46" si="77">Q46/S46</f>
        <v>1944.0823855708338</v>
      </c>
      <c r="U46" s="85">
        <f t="shared" ref="U46:U51" si="78">Q44+Q45+Q46</f>
        <v>1849299853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34380035.043478258</v>
      </c>
      <c r="G47" s="190">
        <f t="shared" ref="G47" si="79">F47/F46-1</f>
        <v>0.33344183806881666</v>
      </c>
      <c r="H47" s="190">
        <f t="shared" ref="H47" si="80">F47/F35-1</f>
        <v>-8.9173157121051339E-2</v>
      </c>
      <c r="I47" s="130">
        <f t="shared" si="0"/>
        <v>2221.0286885248202</v>
      </c>
      <c r="J47" s="130">
        <f t="shared" si="5"/>
        <v>-0.2077718677285374</v>
      </c>
      <c r="K47" s="136"/>
      <c r="L47" s="190"/>
      <c r="M47" s="190"/>
      <c r="N47" s="191"/>
      <c r="O47" s="192"/>
      <c r="P47" s="129" t="s">
        <v>991</v>
      </c>
      <c r="Q47" s="116">
        <v>790740806</v>
      </c>
      <c r="R47" s="116">
        <v>1084778163778</v>
      </c>
      <c r="S47" s="116">
        <v>356024.58</v>
      </c>
      <c r="T47" s="130">
        <f t="shared" ref="T47" si="81">Q47/S47</f>
        <v>2221.0286885248202</v>
      </c>
      <c r="U47" s="85">
        <f t="shared" si="78"/>
        <v>1978358282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48674491.899999999</v>
      </c>
      <c r="G48" s="190">
        <f t="shared" ref="G48" si="82">F48/F47-1</f>
        <v>0.41577784427632047</v>
      </c>
      <c r="H48" s="190">
        <f t="shared" ref="H48" si="83">F48/F36-1</f>
        <v>1.007843932045116E-3</v>
      </c>
      <c r="I48" s="130">
        <f t="shared" si="0"/>
        <v>2378.0749073811376</v>
      </c>
      <c r="J48" s="130">
        <f t="shared" si="5"/>
        <v>-0.15704539222387615</v>
      </c>
      <c r="K48" s="136"/>
      <c r="L48" s="190"/>
      <c r="M48" s="190"/>
      <c r="N48" s="191"/>
      <c r="O48" s="192"/>
      <c r="P48" s="129" t="s">
        <v>1070</v>
      </c>
      <c r="Q48" s="116">
        <v>973489838</v>
      </c>
      <c r="R48" s="116">
        <v>1350688705578</v>
      </c>
      <c r="S48" s="116">
        <v>409360.46</v>
      </c>
      <c r="T48" s="130">
        <f t="shared" ref="T48" si="84">Q48/S48</f>
        <v>2378.0749073811376</v>
      </c>
      <c r="U48" s="85">
        <f t="shared" si="78"/>
        <v>2254106278</v>
      </c>
    </row>
    <row r="49" spans="1:26" ht="13.2">
      <c r="A49" s="129" t="s">
        <v>1205</v>
      </c>
      <c r="B49" s="188">
        <f>SUM(F47:F49)</f>
        <v>133657825.12529644</v>
      </c>
      <c r="C49" s="188">
        <f>AVERAGE(F47:F49)</f>
        <v>44552608.375098817</v>
      </c>
      <c r="D49" s="190">
        <f>C49/C46-1</f>
        <v>0.47287043659617178</v>
      </c>
      <c r="E49" s="287">
        <f>C49/C37-1</f>
        <v>-8.8212022568227355E-2</v>
      </c>
      <c r="F49" s="136">
        <f>Q49/22</f>
        <v>50603298.18181818</v>
      </c>
      <c r="G49" s="190">
        <f t="shared" ref="G49" si="85">F49/F48-1</f>
        <v>3.9626634126573856E-2</v>
      </c>
      <c r="H49" s="190">
        <f t="shared" ref="H49" si="86">F49/F37-1</f>
        <v>-0.1596546613601777</v>
      </c>
      <c r="I49" s="130">
        <f t="shared" si="0"/>
        <v>2617.8672088988892</v>
      </c>
      <c r="J49" s="130">
        <f t="shared" si="5"/>
        <v>-1.9590483963817795E-2</v>
      </c>
      <c r="K49" s="136">
        <f>R47+R48+R49</f>
        <v>3982666486825</v>
      </c>
      <c r="L49" s="190">
        <f>U49/U46-1</f>
        <v>0.55599601618526706</v>
      </c>
      <c r="M49" s="190">
        <f>K49/K37-1</f>
        <v>-1.5054007877792874E-2</v>
      </c>
      <c r="N49" s="191">
        <f>AVERAGE(T47:T49)</f>
        <v>2405.6569349349488</v>
      </c>
      <c r="O49" s="192">
        <f>N49/N46-1</f>
        <v>0.17705033104860646</v>
      </c>
      <c r="P49" s="129" t="s">
        <v>1158</v>
      </c>
      <c r="Q49" s="116">
        <v>1113272560</v>
      </c>
      <c r="R49" s="116">
        <v>1547199617469</v>
      </c>
      <c r="S49" s="116">
        <v>425259.37</v>
      </c>
      <c r="T49" s="130">
        <f t="shared" ref="T49" si="87">Q49/S49</f>
        <v>2617.8672088988892</v>
      </c>
      <c r="U49" s="85">
        <f t="shared" si="78"/>
        <v>2877503204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87"/>
      <c r="F50" s="136">
        <f>Q50/18</f>
        <v>50537233.5</v>
      </c>
      <c r="G50" s="190">
        <f t="shared" ref="G50" si="88">F50/F49-1</f>
        <v>-1.305541025820256E-3</v>
      </c>
      <c r="H50" s="190">
        <f t="shared" ref="H50" si="89">F50/F38-1</f>
        <v>7.5870070933022671E-2</v>
      </c>
      <c r="I50" s="130">
        <f t="shared" ref="I50" si="90">T50</f>
        <v>2508.595891481928</v>
      </c>
      <c r="J50" s="130">
        <f t="shared" ref="J50" si="91">I50/I38-1</f>
        <v>4.4637800655353832E-2</v>
      </c>
      <c r="K50" s="136"/>
      <c r="L50" s="190"/>
      <c r="M50" s="190"/>
      <c r="N50" s="191"/>
      <c r="O50" s="192"/>
      <c r="P50" s="129" t="s">
        <v>1291</v>
      </c>
      <c r="Q50" s="116">
        <v>909670203</v>
      </c>
      <c r="R50" s="116">
        <v>1284671383033</v>
      </c>
      <c r="S50" s="116">
        <v>362621.26</v>
      </c>
      <c r="T50" s="130">
        <f t="shared" ref="T50" si="92">Q50/S50</f>
        <v>2508.595891481928</v>
      </c>
      <c r="U50" s="85">
        <f t="shared" si="78"/>
        <v>2996432601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43673649.75</v>
      </c>
      <c r="G51" s="190">
        <f t="shared" ref="G51:G52" si="93">F51/F50-1</f>
        <v>-0.13581241541446865</v>
      </c>
      <c r="H51" s="190">
        <f t="shared" ref="H51:H52" si="94">F51/F39-1</f>
        <v>5.2583446206388107E-2</v>
      </c>
      <c r="I51" s="130">
        <f t="shared" ref="I51:I52" si="95">T51</f>
        <v>2514.7976593434128</v>
      </c>
      <c r="J51" s="130">
        <f t="shared" ref="J51:J52" si="96">I51/I39-1</f>
        <v>-2.1159322559430871E-3</v>
      </c>
      <c r="K51" s="136"/>
      <c r="L51" s="190"/>
      <c r="M51" s="190"/>
      <c r="N51" s="191"/>
      <c r="O51" s="192"/>
      <c r="P51" s="129" t="s">
        <v>1402</v>
      </c>
      <c r="Q51" s="116">
        <v>873472995</v>
      </c>
      <c r="R51" s="116">
        <v>1266174503397</v>
      </c>
      <c r="S51" s="116">
        <v>347333.31</v>
      </c>
      <c r="T51" s="130">
        <f t="shared" ref="T51:T52" si="97">Q51/S51</f>
        <v>2514.7976593434128</v>
      </c>
      <c r="U51" s="85">
        <f t="shared" si="78"/>
        <v>2896415758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135194438.11363637</v>
      </c>
      <c r="C52" s="188">
        <f>AVERAGE(F50:F52)</f>
        <v>45064812.704545461</v>
      </c>
      <c r="D52" s="190">
        <f>C52/C49-1</f>
        <v>1.1496618225677713E-2</v>
      </c>
      <c r="E52" s="287">
        <f>C52/C40-1</f>
        <v>4.7841724246365347E-2</v>
      </c>
      <c r="F52" s="136">
        <f>Q52/22</f>
        <v>40983554.863636367</v>
      </c>
      <c r="G52" s="190">
        <f t="shared" si="93"/>
        <v>-6.1595376199664487E-2</v>
      </c>
      <c r="H52" s="190">
        <f t="shared" si="94"/>
        <v>1.0527722394420014E-2</v>
      </c>
      <c r="I52" s="130">
        <f t="shared" si="95"/>
        <v>2825.3753169990982</v>
      </c>
      <c r="J52" s="130">
        <f t="shared" si="96"/>
        <v>0.17207235970832424</v>
      </c>
      <c r="K52" s="136">
        <f>R50+R51+R52</f>
        <v>3877132766718</v>
      </c>
      <c r="L52" s="190">
        <f>U52/U49-1</f>
        <v>-6.6975355138475079E-2</v>
      </c>
      <c r="M52" s="190">
        <f>K52/K40-1</f>
        <v>5.3322207836475011E-2</v>
      </c>
      <c r="N52" s="191">
        <f>AVERAGE(T50:T52)</f>
        <v>2616.2562892748133</v>
      </c>
      <c r="O52" s="192">
        <f>N52/N49-1</f>
        <v>8.7543386291511816E-2</v>
      </c>
      <c r="P52" s="129" t="s">
        <v>1403</v>
      </c>
      <c r="Q52" s="116">
        <v>901638207</v>
      </c>
      <c r="R52" s="116">
        <v>1326286880288</v>
      </c>
      <c r="S52" s="116">
        <v>319121.57</v>
      </c>
      <c r="T52" s="130">
        <f t="shared" si="97"/>
        <v>2825.3753169990982</v>
      </c>
      <c r="U52" s="85">
        <f t="shared" ref="U52" si="98">Q50+Q51+Q52</f>
        <v>2684781405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36971861.142857142</v>
      </c>
      <c r="G53" s="190">
        <f t="shared" ref="G53" si="99">F53/F52-1</f>
        <v>-9.7885450252601092E-2</v>
      </c>
      <c r="H53" s="190">
        <f t="shared" ref="H53" si="100">F53/F41-1</f>
        <v>0.17694683422160562</v>
      </c>
      <c r="I53" s="130">
        <f t="shared" ref="I53" si="101">T53</f>
        <v>2647.6172899662515</v>
      </c>
      <c r="J53" s="130">
        <f t="shared" ref="J53" si="102">I53/I41-1</f>
        <v>0.53079409914933362</v>
      </c>
      <c r="K53" s="136"/>
      <c r="L53" s="190"/>
      <c r="M53" s="190"/>
      <c r="N53" s="191"/>
      <c r="O53" s="192"/>
      <c r="P53" s="129" t="s">
        <v>1414</v>
      </c>
      <c r="Q53" s="116">
        <v>776409084</v>
      </c>
      <c r="R53" s="116">
        <v>1131718977679</v>
      </c>
      <c r="S53" s="116">
        <v>293248.23</v>
      </c>
      <c r="T53" s="130">
        <f t="shared" ref="T53" si="103">Q53/S53</f>
        <v>2647.6172899662515</v>
      </c>
      <c r="U53" s="85">
        <f t="shared" ref="U53" si="104">Q51+Q52+Q53</f>
        <v>2551520286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39181584.294117644</v>
      </c>
      <c r="G54" s="190">
        <f t="shared" ref="G54" si="105">F54/F53-1</f>
        <v>5.9767701245070137E-2</v>
      </c>
      <c r="H54" s="190">
        <f t="shared" ref="H54" si="106">F54/F42-1</f>
        <v>0.25765541036872142</v>
      </c>
      <c r="I54" s="130">
        <f t="shared" ref="I54" si="107">T54</f>
        <v>2732.1212788678517</v>
      </c>
      <c r="J54" s="130">
        <f t="shared" ref="J54" si="108">I54/I42-1</f>
        <v>0.50618256752367907</v>
      </c>
      <c r="K54" s="136"/>
      <c r="L54" s="190"/>
      <c r="M54" s="190"/>
      <c r="N54" s="191"/>
      <c r="O54" s="192"/>
      <c r="P54" s="129" t="s">
        <v>1417</v>
      </c>
      <c r="Q54" s="116">
        <v>666086933</v>
      </c>
      <c r="R54" s="116">
        <v>965353372542</v>
      </c>
      <c r="S54" s="116">
        <v>243798.45</v>
      </c>
      <c r="T54" s="130">
        <f t="shared" ref="T54" si="109">Q54/S54</f>
        <v>2732.1212788678517</v>
      </c>
      <c r="U54" s="85">
        <f t="shared" ref="U54" si="110">Q52+Q53+Q54</f>
        <v>2344134224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111669066.62745099</v>
      </c>
      <c r="C55" s="196">
        <f>AVERAGE(F53:F55)</f>
        <v>37223022.209150329</v>
      </c>
      <c r="D55" s="197">
        <f>C55/C52-1</f>
        <v>-0.17401138548622375</v>
      </c>
      <c r="E55" s="233">
        <f>C55/C43-1</f>
        <v>6.7516237943828772E-2</v>
      </c>
      <c r="F55" s="136">
        <f>Q55/21</f>
        <v>35515621.190476194</v>
      </c>
      <c r="G55" s="190">
        <f t="shared" ref="G55" si="111">F55/F54-1</f>
        <v>-9.3563421941358915E-2</v>
      </c>
      <c r="H55" s="190">
        <f t="shared" ref="H55" si="112">F55/F43-1</f>
        <v>-0.15516643304286293</v>
      </c>
      <c r="I55" s="130">
        <f>T55</f>
        <v>2521.7273399130199</v>
      </c>
      <c r="J55" s="130">
        <f t="shared" ref="J55" si="113">I55/I43-1</f>
        <v>0.26441901143407076</v>
      </c>
      <c r="K55" s="136">
        <f>R53+R54+R55</f>
        <v>3193432367762</v>
      </c>
      <c r="L55" s="190">
        <f>U55/U52-1</f>
        <v>-0.18491536855679314</v>
      </c>
      <c r="M55" s="190">
        <f>K55/K43-1</f>
        <v>8.4737178666685953E-2</v>
      </c>
      <c r="N55" s="191">
        <f>AVERAGE(T53:T55)</f>
        <v>2633.8219695823745</v>
      </c>
      <c r="O55" s="192">
        <f>N55/N52-1</f>
        <v>6.7140518226638246E-3</v>
      </c>
      <c r="P55" s="129" t="s">
        <v>1418</v>
      </c>
      <c r="Q55" s="116">
        <v>745828045</v>
      </c>
      <c r="R55" s="116">
        <v>1096360017541</v>
      </c>
      <c r="S55" s="116">
        <v>295760.78000000003</v>
      </c>
      <c r="T55" s="130">
        <f t="shared" ref="T55" si="114">Q55/S55</f>
        <v>2521.7273399130199</v>
      </c>
      <c r="U55" s="85">
        <f t="shared" ref="U55" si="115">Q53+Q54+Q55</f>
        <v>2188324062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16538790.571428571</v>
      </c>
      <c r="G56" s="254">
        <f t="shared" ref="G56" si="116">F56/F55-1</f>
        <v>-0.53432348873392121</v>
      </c>
      <c r="H56" s="254">
        <f t="shared" ref="H56" si="117">F56/F44-1</f>
        <v>-0.45010868474221355</v>
      </c>
      <c r="I56" s="282">
        <f>T56</f>
        <v>3135.0033090811803</v>
      </c>
      <c r="J56" s="277">
        <f t="shared" ref="J56" si="118">I56/I44-1</f>
        <v>0.49127986960917247</v>
      </c>
      <c r="K56" s="204"/>
      <c r="L56" s="254"/>
      <c r="M56" s="254"/>
      <c r="N56" s="257"/>
      <c r="O56" s="258"/>
      <c r="P56" s="129" t="s">
        <v>1420</v>
      </c>
      <c r="Q56" s="116">
        <v>231543068</v>
      </c>
      <c r="R56" s="116">
        <v>349429719563</v>
      </c>
      <c r="S56" s="116">
        <v>73857.36</v>
      </c>
      <c r="T56" s="130">
        <f t="shared" ref="T56" si="119">Q56/S56</f>
        <v>3135.0033090811803</v>
      </c>
      <c r="U56" s="85">
        <f t="shared" ref="U56" si="120">Q54+Q55+Q56</f>
        <v>1643458046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2419867130</v>
      </c>
      <c r="R66" s="212">
        <v>3542862087325</v>
      </c>
      <c r="S66" s="213">
        <v>906664.84</v>
      </c>
      <c r="T66" s="214" t="s">
        <v>1421</v>
      </c>
      <c r="U66" s="214">
        <v>11</v>
      </c>
    </row>
    <row r="67" spans="16:21" ht="18" thickBot="1">
      <c r="P67" s="180" t="s">
        <v>976</v>
      </c>
      <c r="Q67" s="181">
        <v>776409084</v>
      </c>
      <c r="R67" s="181">
        <v>1131718977679</v>
      </c>
      <c r="S67" s="182">
        <v>293248.23</v>
      </c>
      <c r="T67" s="210" t="s">
        <v>1421</v>
      </c>
      <c r="U67" s="210">
        <v>9</v>
      </c>
    </row>
    <row r="68" spans="16:21" ht="18" thickBot="1">
      <c r="P68" s="180" t="s">
        <v>977</v>
      </c>
      <c r="Q68" s="181">
        <v>666086933</v>
      </c>
      <c r="R68" s="181">
        <v>965353372542</v>
      </c>
      <c r="S68" s="182">
        <v>243798.45</v>
      </c>
      <c r="T68" s="210" t="s">
        <v>1421</v>
      </c>
      <c r="U68" s="210">
        <v>9</v>
      </c>
    </row>
    <row r="69" spans="16:21" ht="18" thickBot="1">
      <c r="P69" s="180" t="s">
        <v>978</v>
      </c>
      <c r="Q69" s="181">
        <v>745828045</v>
      </c>
      <c r="R69" s="181">
        <v>1096360017541</v>
      </c>
      <c r="S69" s="182">
        <v>295760.78000000003</v>
      </c>
      <c r="T69" s="210" t="s">
        <v>1421</v>
      </c>
      <c r="U69" s="210">
        <v>8</v>
      </c>
    </row>
    <row r="70" spans="16:21" ht="18" thickBot="1">
      <c r="P70" s="180" t="s">
        <v>979</v>
      </c>
      <c r="Q70" s="181">
        <v>231543068</v>
      </c>
      <c r="R70" s="181">
        <v>349429719563</v>
      </c>
      <c r="S70" s="182">
        <v>73857.36</v>
      </c>
      <c r="T70" s="210" t="s">
        <v>1421</v>
      </c>
      <c r="U70" s="210">
        <v>6</v>
      </c>
    </row>
    <row r="71" spans="16:21" ht="18" thickBot="1">
      <c r="P71" s="180" t="s">
        <v>975</v>
      </c>
      <c r="Q71" s="181">
        <v>9440886406</v>
      </c>
      <c r="R71" s="181">
        <v>13420403655370</v>
      </c>
      <c r="S71" s="182">
        <v>4213087.49</v>
      </c>
      <c r="T71" s="210" t="s">
        <v>1421</v>
      </c>
      <c r="U71" s="210">
        <v>17</v>
      </c>
    </row>
    <row r="72" spans="16:21" ht="18" thickBot="1">
      <c r="P72" s="215" t="s">
        <v>982</v>
      </c>
      <c r="Q72" s="216">
        <v>10184399981</v>
      </c>
      <c r="R72" s="216">
        <v>13862861354557</v>
      </c>
      <c r="S72" s="272">
        <v>4201014.8499999996</v>
      </c>
      <c r="T72" s="217">
        <v>5</v>
      </c>
      <c r="U72" s="217">
        <v>15</v>
      </c>
    </row>
    <row r="73" spans="16:21" ht="18" thickBot="1">
      <c r="P73" s="180" t="s">
        <v>1386</v>
      </c>
      <c r="Q73" s="210">
        <v>11</v>
      </c>
      <c r="R73"/>
      <c r="S73"/>
      <c r="T73"/>
      <c r="U73"/>
    </row>
  </sheetData>
  <phoneticPr fontId="1" type="noConversion"/>
  <conditionalFormatting sqref="C29:C30">
    <cfRule type="cellIs" dxfId="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57"/>
  <dimension ref="A1:Z56"/>
  <sheetViews>
    <sheetView topLeftCell="B1"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5658428.0499999998</v>
      </c>
      <c r="G5" s="90"/>
      <c r="H5" s="90"/>
      <c r="I5" s="130">
        <f t="shared" ref="I5:I49" si="0">T5</f>
        <v>118.93463333752943</v>
      </c>
      <c r="J5" s="130"/>
      <c r="L5" s="80"/>
      <c r="M5" s="80"/>
      <c r="P5" s="129" t="s">
        <v>0</v>
      </c>
      <c r="Q5" s="116">
        <f>'OLDE패널(TV)'!Q5+'OLDE패널(TV) (2)'!Q5</f>
        <v>113168561</v>
      </c>
      <c r="R5" s="116"/>
      <c r="S5" s="116">
        <f>'OLDE패널(TV)'!S5+'OLDE패널(TV) (2)'!S5</f>
        <v>951518.98</v>
      </c>
      <c r="T5" s="130">
        <f t="shared" ref="T5:T21" si="1">Q5/S5</f>
        <v>118.93463333752943</v>
      </c>
      <c r="U5" s="85"/>
    </row>
    <row r="6" spans="1:21" ht="15" hidden="1" customHeight="1">
      <c r="A6" s="129" t="s">
        <v>1</v>
      </c>
      <c r="C6" s="79"/>
      <c r="F6" s="78">
        <f>Q6/18</f>
        <v>6993701</v>
      </c>
      <c r="G6" s="90">
        <f t="shared" ref="G6:G16" si="2">F6/F5-1</f>
        <v>0.23597948727120421</v>
      </c>
      <c r="H6" s="90"/>
      <c r="I6" s="130">
        <f t="shared" si="0"/>
        <v>152.4583802206817</v>
      </c>
      <c r="J6" s="130"/>
      <c r="P6" s="129" t="s">
        <v>1</v>
      </c>
      <c r="Q6" s="116">
        <f>'OLDE패널(TV)'!Q6+'OLDE패널(TV) (2)'!Q6</f>
        <v>125886618</v>
      </c>
      <c r="R6" s="116"/>
      <c r="S6" s="116">
        <f>'OLDE패널(TV)'!S6+'OLDE패널(TV) (2)'!S6</f>
        <v>825711.37</v>
      </c>
      <c r="T6" s="130">
        <f t="shared" si="1"/>
        <v>152.4583802206817</v>
      </c>
      <c r="U6" s="85"/>
    </row>
    <row r="7" spans="1:21" ht="15" hidden="1" customHeight="1">
      <c r="A7" s="129" t="s">
        <v>2</v>
      </c>
      <c r="B7" s="131">
        <f>F5+F6+F7</f>
        <v>19788930.231818184</v>
      </c>
      <c r="C7" s="131">
        <f>AVERAGE(F5:F7)</f>
        <v>6596310.0772727281</v>
      </c>
      <c r="F7" s="78">
        <f>Q7/22</f>
        <v>7136801.1818181816</v>
      </c>
      <c r="G7" s="90">
        <f t="shared" si="2"/>
        <v>2.0461295359664566E-2</v>
      </c>
      <c r="H7" s="90"/>
      <c r="I7" s="130">
        <f t="shared" si="0"/>
        <v>138.97379332691588</v>
      </c>
      <c r="J7" s="130"/>
      <c r="K7" s="79">
        <f>R5+R6+R7</f>
        <v>0</v>
      </c>
      <c r="N7" s="88">
        <f>AVERAGE(T5:T7)</f>
        <v>136.78893562837567</v>
      </c>
      <c r="P7" s="129" t="s">
        <v>2</v>
      </c>
      <c r="Q7" s="116">
        <f>'OLDE패널(TV)'!Q7+'OLDE패널(TV) (2)'!Q7</f>
        <v>157009626</v>
      </c>
      <c r="R7" s="116"/>
      <c r="S7" s="116">
        <f>'OLDE패널(TV)'!S7+'OLDE패널(TV) (2)'!S7</f>
        <v>1129778.6600000001</v>
      </c>
      <c r="T7" s="130">
        <f t="shared" si="1"/>
        <v>138.97379332691588</v>
      </c>
      <c r="U7" s="85">
        <f>Q5+Q6+Q7</f>
        <v>396064805</v>
      </c>
    </row>
    <row r="8" spans="1:21" ht="15" hidden="1" customHeight="1">
      <c r="A8" s="129" t="s">
        <v>3</v>
      </c>
      <c r="C8" s="79"/>
      <c r="F8" s="78">
        <f>Q8/21</f>
        <v>5617359.4761904757</v>
      </c>
      <c r="G8" s="90">
        <f t="shared" si="2"/>
        <v>-0.21290234475056669</v>
      </c>
      <c r="H8" s="90"/>
      <c r="I8" s="130">
        <f t="shared" si="0"/>
        <v>115.46266133305076</v>
      </c>
      <c r="J8" s="130"/>
      <c r="K8" s="78"/>
      <c r="P8" s="129" t="s">
        <v>3</v>
      </c>
      <c r="Q8" s="116">
        <f>'OLDE패널(TV)'!Q8+'OLDE패널(TV) (2)'!Q8</f>
        <v>117964549</v>
      </c>
      <c r="R8" s="116"/>
      <c r="S8" s="116">
        <f>'OLDE패널(TV)'!S8+'OLDE패널(TV) (2)'!S8</f>
        <v>1021668.37</v>
      </c>
      <c r="T8" s="130">
        <f t="shared" si="1"/>
        <v>115.46266133305076</v>
      </c>
      <c r="U8" s="85"/>
    </row>
    <row r="9" spans="1:21" ht="15" hidden="1" customHeight="1">
      <c r="A9" s="129" t="s">
        <v>4</v>
      </c>
      <c r="C9" s="79"/>
      <c r="F9" s="78">
        <f>Q9/21</f>
        <v>5034872.8095238097</v>
      </c>
      <c r="G9" s="90">
        <f t="shared" si="2"/>
        <v>-0.10369403438316016</v>
      </c>
      <c r="H9" s="90"/>
      <c r="I9" s="130">
        <f t="shared" si="0"/>
        <v>118.35483021862586</v>
      </c>
      <c r="J9" s="130"/>
      <c r="K9" s="78"/>
      <c r="P9" s="129" t="s">
        <v>4</v>
      </c>
      <c r="Q9" s="116">
        <f>'OLDE패널(TV)'!Q9+'OLDE패널(TV) (2)'!Q9</f>
        <v>105732329</v>
      </c>
      <c r="R9" s="116"/>
      <c r="S9" s="116">
        <f>'OLDE패널(TV)'!S9+'OLDE패널(TV) (2)'!S9</f>
        <v>893350.35000000009</v>
      </c>
      <c r="T9" s="130">
        <f t="shared" si="1"/>
        <v>118.35483021862586</v>
      </c>
      <c r="U9" s="85"/>
    </row>
    <row r="10" spans="1:21" ht="15" hidden="1" customHeight="1">
      <c r="A10" s="129" t="s">
        <v>5</v>
      </c>
      <c r="B10" s="131">
        <f>F8+F9+F10</f>
        <v>13899286.523809522</v>
      </c>
      <c r="C10" s="131">
        <f>AVERAGE(F8:F10)</f>
        <v>4633095.5079365075</v>
      </c>
      <c r="D10" s="90">
        <f>C10/C7-1</f>
        <v>-0.29762314784145505</v>
      </c>
      <c r="E10" s="286"/>
      <c r="F10" s="78">
        <f>Q10/21</f>
        <v>3247054.2380952379</v>
      </c>
      <c r="G10" s="90">
        <f t="shared" si="2"/>
        <v>-0.35508713706665829</v>
      </c>
      <c r="H10" s="90"/>
      <c r="I10" s="130">
        <f t="shared" si="0"/>
        <v>156.62603520081882</v>
      </c>
      <c r="J10" s="130"/>
      <c r="K10" s="79">
        <f>R8+R9+R10</f>
        <v>0</v>
      </c>
      <c r="L10" s="87">
        <f>U10/U7-1</f>
        <v>-0.26303722695077636</v>
      </c>
      <c r="N10" s="88">
        <f>AVERAGE(T8:T10)</f>
        <v>130.14784225083181</v>
      </c>
      <c r="O10" s="89">
        <f>N10/N7-1</f>
        <v>-4.8549930935833818E-2</v>
      </c>
      <c r="P10" s="129" t="s">
        <v>5</v>
      </c>
      <c r="Q10" s="116">
        <f>'OLDE패널(TV)'!Q10+'OLDE패널(TV) (2)'!Q10</f>
        <v>68188139</v>
      </c>
      <c r="R10" s="116"/>
      <c r="S10" s="116">
        <f>'OLDE패널(TV)'!S10+'OLDE패널(TV) (2)'!S10</f>
        <v>435356.35</v>
      </c>
      <c r="T10" s="130">
        <f t="shared" si="1"/>
        <v>156.62603520081882</v>
      </c>
      <c r="U10" s="85">
        <f>Q8+Q9+Q10</f>
        <v>291885017</v>
      </c>
    </row>
    <row r="11" spans="1:21" ht="15" hidden="1" customHeight="1">
      <c r="A11" s="129" t="s">
        <v>6</v>
      </c>
      <c r="C11" s="79"/>
      <c r="F11" s="78">
        <f>Q11/21</f>
        <v>5960268.1904761903</v>
      </c>
      <c r="G11" s="90">
        <f t="shared" si="2"/>
        <v>0.83559243345825895</v>
      </c>
      <c r="H11" s="90"/>
      <c r="I11" s="130">
        <f t="shared" si="0"/>
        <v>142.65736510162455</v>
      </c>
      <c r="J11" s="130"/>
      <c r="K11" s="78"/>
      <c r="O11" s="89"/>
      <c r="P11" s="129" t="s">
        <v>6</v>
      </c>
      <c r="Q11" s="116">
        <f>'OLDE패널(TV)'!Q11+'OLDE패널(TV) (2)'!Q11</f>
        <v>125165632</v>
      </c>
      <c r="R11" s="116"/>
      <c r="S11" s="116">
        <f>'OLDE패널(TV)'!S11+'OLDE패널(TV) (2)'!S11</f>
        <v>877386.4</v>
      </c>
      <c r="T11" s="130">
        <f t="shared" si="1"/>
        <v>142.65736510162455</v>
      </c>
      <c r="U11" s="85"/>
    </row>
    <row r="12" spans="1:21" ht="15" hidden="1" customHeight="1">
      <c r="A12" s="129" t="s">
        <v>7</v>
      </c>
      <c r="C12" s="79"/>
      <c r="F12" s="78">
        <f>Q12/22</f>
        <v>5281780.1363636367</v>
      </c>
      <c r="G12" s="90">
        <f t="shared" si="2"/>
        <v>-0.11383515513558562</v>
      </c>
      <c r="H12" s="90"/>
      <c r="I12" s="130">
        <f t="shared" si="0"/>
        <v>123.78971431951246</v>
      </c>
      <c r="J12" s="130"/>
      <c r="K12" s="78"/>
      <c r="O12" s="89"/>
      <c r="P12" s="129" t="s">
        <v>7</v>
      </c>
      <c r="Q12" s="116">
        <f>'OLDE패널(TV)'!Q12+'OLDE패널(TV) (2)'!Q12</f>
        <v>116199163</v>
      </c>
      <c r="R12" s="116"/>
      <c r="S12" s="116">
        <f>'OLDE패널(TV)'!S12+'OLDE패널(TV) (2)'!S12</f>
        <v>938681.8899999999</v>
      </c>
      <c r="T12" s="130">
        <f t="shared" si="1"/>
        <v>123.78971431951246</v>
      </c>
      <c r="U12" s="85"/>
    </row>
    <row r="13" spans="1:21" ht="15" hidden="1" customHeight="1">
      <c r="A13" s="129" t="s">
        <v>96</v>
      </c>
      <c r="B13" s="131">
        <f>F11+F12+F13</f>
        <v>14797676.026839826</v>
      </c>
      <c r="C13" s="131">
        <f>AVERAGE(F11:F13)</f>
        <v>4932558.6756132757</v>
      </c>
      <c r="D13" s="90">
        <f>C13/C10-1</f>
        <v>6.4635656045463952E-2</v>
      </c>
      <c r="E13" s="286"/>
      <c r="F13" s="78">
        <f>Q13/20</f>
        <v>3555627.7</v>
      </c>
      <c r="G13" s="90">
        <f t="shared" si="2"/>
        <v>-0.32681262600833016</v>
      </c>
      <c r="H13" s="90"/>
      <c r="I13" s="130">
        <f t="shared" si="0"/>
        <v>110.88416459165892</v>
      </c>
      <c r="J13" s="130"/>
      <c r="K13" s="78">
        <f>R11+R12+R13</f>
        <v>0</v>
      </c>
      <c r="L13" s="87">
        <f>U13/U10-1</f>
        <v>7.0549465716494897E-2</v>
      </c>
      <c r="N13" s="88">
        <f>AVERAGE(T11:T13)</f>
        <v>125.77708133759864</v>
      </c>
      <c r="O13" s="89">
        <f>N13/N10-1</f>
        <v>-3.3583045539928968E-2</v>
      </c>
      <c r="P13" s="129" t="s">
        <v>96</v>
      </c>
      <c r="Q13" s="116">
        <f>'OLDE패널(TV)'!Q13+'OLDE패널(TV) (2)'!Q13</f>
        <v>71112554</v>
      </c>
      <c r="R13" s="116"/>
      <c r="S13" s="116">
        <f>'OLDE패널(TV)'!S13+'OLDE패널(TV) (2)'!S13</f>
        <v>641322.89999999991</v>
      </c>
      <c r="T13" s="130">
        <f t="shared" si="1"/>
        <v>110.88416459165892</v>
      </c>
      <c r="U13" s="85">
        <f>Q11+Q12+Q13</f>
        <v>312477349</v>
      </c>
    </row>
    <row r="14" spans="1:21" ht="15" hidden="1" customHeight="1">
      <c r="A14" s="129" t="s">
        <v>97</v>
      </c>
      <c r="C14" s="79"/>
      <c r="F14" s="78">
        <f>Q14/20</f>
        <v>2761762.45</v>
      </c>
      <c r="G14" s="90">
        <f t="shared" si="2"/>
        <v>-0.22327007127321008</v>
      </c>
      <c r="H14" s="90"/>
      <c r="I14" s="130">
        <f t="shared" si="0"/>
        <v>113.80138487430139</v>
      </c>
      <c r="J14" s="130"/>
      <c r="O14" s="89"/>
      <c r="P14" s="129" t="s">
        <v>97</v>
      </c>
      <c r="Q14" s="116">
        <f>'OLDE패널(TV)'!Q14+'OLDE패널(TV) (2)'!Q14</f>
        <v>55235249</v>
      </c>
      <c r="R14" s="116"/>
      <c r="S14" s="116">
        <f>'OLDE패널(TV)'!S14+'OLDE패널(TV) (2)'!S14</f>
        <v>485365.35</v>
      </c>
      <c r="T14" s="130">
        <f t="shared" si="1"/>
        <v>113.80138487430139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1814921.3636363635</v>
      </c>
      <c r="G15" s="90">
        <f t="shared" si="2"/>
        <v>-0.34283943804205053</v>
      </c>
      <c r="H15" s="90"/>
      <c r="I15" s="130">
        <f t="shared" si="0"/>
        <v>83.499654997434575</v>
      </c>
      <c r="J15" s="130"/>
      <c r="O15" s="89"/>
      <c r="P15" s="129" t="s">
        <v>98</v>
      </c>
      <c r="Q15" s="116">
        <f>'OLDE패널(TV)'!Q15+'OLDE패널(TV) (2)'!Q15</f>
        <v>39928270</v>
      </c>
      <c r="R15" s="116"/>
      <c r="S15" s="116">
        <f>'OLDE패널(TV)'!S15+'OLDE패널(TV) (2)'!S15</f>
        <v>478184.85</v>
      </c>
      <c r="T15" s="130">
        <f t="shared" si="1"/>
        <v>83.499654997434575</v>
      </c>
      <c r="U15" s="85"/>
    </row>
    <row r="16" spans="1:21" ht="15" hidden="1" customHeight="1">
      <c r="A16" s="129" t="s">
        <v>99</v>
      </c>
      <c r="B16" s="131">
        <f>F14+F15+F16</f>
        <v>8205941.2681818176</v>
      </c>
      <c r="C16" s="131">
        <f>AVERAGE(F14:F16)</f>
        <v>2735313.7560606059</v>
      </c>
      <c r="D16" s="90">
        <f>C16/C13-1</f>
        <v>-0.44545743174144437</v>
      </c>
      <c r="E16" s="286"/>
      <c r="F16" s="78">
        <f>Q16/22</f>
        <v>3629257.4545454546</v>
      </c>
      <c r="G16" s="90">
        <f t="shared" si="2"/>
        <v>0.99967752171581692</v>
      </c>
      <c r="H16" s="90"/>
      <c r="I16" s="130">
        <f t="shared" si="0"/>
        <v>115.64601048118439</v>
      </c>
      <c r="J16" s="130"/>
      <c r="K16" s="78">
        <f>R14+R15+R16</f>
        <v>0</v>
      </c>
      <c r="L16" s="87">
        <f>U16/U13-1</f>
        <v>-0.43993641919946014</v>
      </c>
      <c r="N16" s="88">
        <f>AVERAGE(T14:T16)</f>
        <v>104.31568345097344</v>
      </c>
      <c r="O16" s="89">
        <f>N16/N13-1</f>
        <v>-0.17063043329031147</v>
      </c>
      <c r="P16" s="129" t="s">
        <v>99</v>
      </c>
      <c r="Q16" s="116">
        <f>'OLDE패널(TV)'!Q16+'OLDE패널(TV) (2)'!Q16</f>
        <v>79843664</v>
      </c>
      <c r="R16" s="116"/>
      <c r="S16" s="116">
        <f>'OLDE패널(TV)'!S16+'OLDE패널(TV) (2)'!S16</f>
        <v>690414.34</v>
      </c>
      <c r="T16" s="130">
        <f t="shared" si="1"/>
        <v>115.64601048118439</v>
      </c>
      <c r="U16" s="85">
        <f>Q14+Q15+Q16</f>
        <v>175007183</v>
      </c>
    </row>
    <row r="17" spans="1:21" ht="15" hidden="1" customHeight="1">
      <c r="A17" s="129" t="s">
        <v>100</v>
      </c>
      <c r="C17" s="79"/>
      <c r="F17" s="78">
        <f>Q17/20</f>
        <v>2646609.35</v>
      </c>
      <c r="G17" s="90">
        <f t="shared" ref="G17:G22" si="3">F17/F16-1</f>
        <v>-0.27075734274920049</v>
      </c>
      <c r="H17" s="90">
        <f t="shared" ref="H17:H22" si="4">F17/F5-1</f>
        <v>-0.53227127276099229</v>
      </c>
      <c r="I17" s="130">
        <f t="shared" si="0"/>
        <v>153.94730106892541</v>
      </c>
      <c r="J17" s="130">
        <f t="shared" ref="J17:J49" si="5">I17/I5-1</f>
        <v>0.29438580461279185</v>
      </c>
      <c r="O17" s="89"/>
      <c r="P17" s="129" t="s">
        <v>100</v>
      </c>
      <c r="Q17" s="116">
        <f>'OLDE패널(TV)'!Q17+'OLDE패널(TV) (2)'!Q17</f>
        <v>52932187</v>
      </c>
      <c r="R17" s="116">
        <f>'OLDE패널(TV)'!R17+'OLDE패널(TV) (2)'!R17</f>
        <v>66552735780</v>
      </c>
      <c r="S17" s="116">
        <f>'OLDE패널(TV)'!S17+'OLDE패널(TV) (2)'!S17</f>
        <v>343833.16</v>
      </c>
      <c r="T17" s="130">
        <f t="shared" si="1"/>
        <v>153.94730106892541</v>
      </c>
      <c r="U17" s="78"/>
    </row>
    <row r="18" spans="1:21" hidden="1">
      <c r="A18" s="129" t="s">
        <v>106</v>
      </c>
      <c r="C18" s="79"/>
      <c r="F18" s="78">
        <f>Q18/20</f>
        <v>3725804.8</v>
      </c>
      <c r="G18" s="90">
        <f t="shared" si="3"/>
        <v>0.40776529788954297</v>
      </c>
      <c r="H18" s="90">
        <f t="shared" si="4"/>
        <v>-0.46726278403952359</v>
      </c>
      <c r="I18" s="130">
        <f t="shared" si="0"/>
        <v>130.43463633427544</v>
      </c>
      <c r="J18" s="130">
        <f t="shared" si="5"/>
        <v>-0.14445741752291452</v>
      </c>
      <c r="O18" s="89"/>
      <c r="P18" s="129" t="s">
        <v>106</v>
      </c>
      <c r="Q18" s="116">
        <f>'OLDE패널(TV)'!Q18+'OLDE패널(TV) (2)'!Q18</f>
        <v>74516096</v>
      </c>
      <c r="R18" s="116">
        <f>'OLDE패널(TV)'!R18+'OLDE패널(TV) (2)'!R18</f>
        <v>93880622694</v>
      </c>
      <c r="S18" s="116">
        <f>'OLDE패널(TV)'!S18+'OLDE패널(TV) (2)'!S18</f>
        <v>571290.71</v>
      </c>
      <c r="T18" s="130">
        <f t="shared" si="1"/>
        <v>130.43463633427544</v>
      </c>
      <c r="U18" s="78"/>
    </row>
    <row r="19" spans="1:21" hidden="1">
      <c r="A19" s="129" t="s">
        <v>114</v>
      </c>
      <c r="B19" s="131">
        <f>SUM(F17:F19)</f>
        <v>10234386.104545455</v>
      </c>
      <c r="C19" s="131">
        <f>AVERAGE(F17:F19)</f>
        <v>3411462.0348484851</v>
      </c>
      <c r="D19" s="90">
        <f>C19/C16-1</f>
        <v>0.24719221964564198</v>
      </c>
      <c r="E19" s="286">
        <f>C19/C7-1</f>
        <v>-0.4828226698131558</v>
      </c>
      <c r="F19" s="78">
        <f>Q19/22</f>
        <v>3861971.9545454546</v>
      </c>
      <c r="G19" s="90">
        <f t="shared" si="3"/>
        <v>3.6547044693660435E-2</v>
      </c>
      <c r="H19" s="90">
        <f t="shared" si="4"/>
        <v>-0.45886513353009317</v>
      </c>
      <c r="I19" s="130">
        <f t="shared" si="0"/>
        <v>147.77847066469783</v>
      </c>
      <c r="J19" s="130">
        <f t="shared" si="5"/>
        <v>6.3354947195477518E-2</v>
      </c>
      <c r="K19" s="78">
        <f>R17+R18+R19</f>
        <v>271407773431</v>
      </c>
      <c r="L19" s="87">
        <f>U19/U16-1</f>
        <v>0.21373113011024247</v>
      </c>
      <c r="M19" s="87">
        <f>U19/U7-1</f>
        <v>-0.46369466986595798</v>
      </c>
      <c r="N19" s="88">
        <f>AVERAGE(T17:T19)</f>
        <v>144.0534693559662</v>
      </c>
      <c r="O19" s="89">
        <f>N19/N16-1</f>
        <v>0.38093778989301108</v>
      </c>
      <c r="P19" s="129" t="s">
        <v>114</v>
      </c>
      <c r="Q19" s="116">
        <f>'OLDE패널(TV)'!Q19+'OLDE패널(TV) (2)'!Q19</f>
        <v>84963383</v>
      </c>
      <c r="R19" s="116">
        <f>'OLDE패널(TV)'!R19+'OLDE패널(TV) (2)'!R19</f>
        <v>110974414957</v>
      </c>
      <c r="S19" s="116">
        <f>'OLDE패널(TV)'!S19+'OLDE패널(TV) (2)'!S19</f>
        <v>574937.49</v>
      </c>
      <c r="T19" s="130">
        <f t="shared" si="1"/>
        <v>147.77847066469783</v>
      </c>
      <c r="U19" s="85">
        <f>Q17+Q18+Q19</f>
        <v>212411666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4049014.5</v>
      </c>
      <c r="G20" s="90">
        <f t="shared" si="3"/>
        <v>4.8431875646947731E-2</v>
      </c>
      <c r="H20" s="90">
        <f t="shared" si="4"/>
        <v>-0.27919612103124303</v>
      </c>
      <c r="I20" s="130">
        <f t="shared" si="0"/>
        <v>123.94587267308643</v>
      </c>
      <c r="J20" s="130">
        <f t="shared" si="5"/>
        <v>7.3471468976156196E-2</v>
      </c>
      <c r="O20" s="89"/>
      <c r="P20" s="129" t="s">
        <v>131</v>
      </c>
      <c r="Q20" s="116">
        <f>'OLDE패널(TV)'!Q20+'OLDE패널(TV) (2)'!Q20</f>
        <v>80980290</v>
      </c>
      <c r="R20" s="116">
        <f>'OLDE패널(TV)'!R20+'OLDE패널(TV) (2)'!R20</f>
        <v>106433328165</v>
      </c>
      <c r="S20" s="116">
        <f>'OLDE패널(TV)'!S20+'OLDE패널(TV) (2)'!S20</f>
        <v>653352.05000000005</v>
      </c>
      <c r="T20" s="130">
        <f t="shared" si="1"/>
        <v>123.94587267308643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5093531.666666667</v>
      </c>
      <c r="G21" s="90">
        <f t="shared" si="3"/>
        <v>0.25796824552410635</v>
      </c>
      <c r="H21" s="90">
        <f t="shared" si="4"/>
        <v>1.1650514196088535E-2</v>
      </c>
      <c r="I21" s="130">
        <f t="shared" si="0"/>
        <v>127.14034927859575</v>
      </c>
      <c r="J21" s="130">
        <f t="shared" si="5"/>
        <v>7.4230338075270907E-2</v>
      </c>
      <c r="O21" s="89"/>
      <c r="P21" s="129" t="s">
        <v>141</v>
      </c>
      <c r="Q21" s="116">
        <f>'OLDE패널(TV)'!Q21+'OLDE패널(TV) (2)'!Q21</f>
        <v>106964165</v>
      </c>
      <c r="R21" s="116">
        <f>'OLDE패널(TV)'!R21+'OLDE패널(TV) (2)'!R21</f>
        <v>142252276905</v>
      </c>
      <c r="S21" s="116">
        <f>'OLDE패널(TV)'!S21+'OLDE패널(TV) (2)'!S21</f>
        <v>841307.78</v>
      </c>
      <c r="T21" s="130">
        <f t="shared" si="1"/>
        <v>127.14034927859575</v>
      </c>
      <c r="U21" s="78"/>
    </row>
    <row r="22" spans="1:21" hidden="1">
      <c r="A22" s="129" t="s">
        <v>156</v>
      </c>
      <c r="B22" s="131">
        <f>SUM(F20:F22)</f>
        <v>16291406.880952382</v>
      </c>
      <c r="C22" s="131">
        <f>AVERAGE(F20:F22)</f>
        <v>5430468.9603174608</v>
      </c>
      <c r="D22" s="90">
        <f>C22/C19-1</f>
        <v>0.59183039554436867</v>
      </c>
      <c r="E22" s="286">
        <f>C22/C10-1</f>
        <v>0.17210382367793842</v>
      </c>
      <c r="F22" s="78">
        <f>Q22/21</f>
        <v>7148860.7142857146</v>
      </c>
      <c r="G22" s="90">
        <f t="shared" si="3"/>
        <v>0.40351747709150998</v>
      </c>
      <c r="H22" s="90">
        <f t="shared" si="4"/>
        <v>1.2016449957667859</v>
      </c>
      <c r="I22" s="130">
        <f t="shared" si="0"/>
        <v>105.88626059696993</v>
      </c>
      <c r="J22" s="130">
        <f t="shared" si="5"/>
        <v>-0.32395491936441245</v>
      </c>
      <c r="K22" s="78">
        <f>R20+R21+R22</f>
        <v>443087104188</v>
      </c>
      <c r="L22" s="87">
        <f>U22/U19-1</f>
        <v>0.5915817448557652</v>
      </c>
      <c r="M22" s="87">
        <f>U22/U10-1</f>
        <v>0.15823187320368692</v>
      </c>
      <c r="N22" s="88">
        <f>AVERAGE(T20:T22)</f>
        <v>118.99082751621738</v>
      </c>
      <c r="O22" s="89">
        <f>N22/N19-1</f>
        <v>-0.17398152194319794</v>
      </c>
      <c r="P22" s="129" t="s">
        <v>156</v>
      </c>
      <c r="Q22" s="116">
        <f>'OLDE패널(TV)'!Q22+'OLDE패널(TV) (2)'!Q22</f>
        <v>150126075</v>
      </c>
      <c r="R22" s="116">
        <f>'OLDE패널(TV)'!R22+'OLDE패널(TV) (2)'!R22</f>
        <v>194401499118</v>
      </c>
      <c r="S22" s="116">
        <f>'OLDE패널(TV)'!S22+'OLDE패널(TV) (2)'!S22</f>
        <v>1417805.05</v>
      </c>
      <c r="T22" s="130">
        <f t="shared" ref="T22:T23" si="6">Q22/S22</f>
        <v>105.88626059696993</v>
      </c>
      <c r="U22" s="85">
        <f>Q20+Q21+Q22</f>
        <v>338070530</v>
      </c>
    </row>
    <row r="23" spans="1:21" hidden="1">
      <c r="A23" s="129" t="s">
        <v>189</v>
      </c>
      <c r="B23" s="131"/>
      <c r="C23" s="131"/>
      <c r="F23" s="78">
        <f>Q23/21</f>
        <v>6778502.333333333</v>
      </c>
      <c r="G23" s="90">
        <f t="shared" ref="G23" si="7">F23/F22-1</f>
        <v>-5.1806629860935316E-2</v>
      </c>
      <c r="H23" s="90">
        <f t="shared" ref="H23" si="8">F23/F11-1</f>
        <v>0.13728143041693741</v>
      </c>
      <c r="I23" s="130">
        <f t="shared" si="0"/>
        <v>134.29547517091456</v>
      </c>
      <c r="J23" s="130">
        <f t="shared" si="5"/>
        <v>-5.8615199606085855E-2</v>
      </c>
      <c r="O23" s="89"/>
      <c r="P23" s="129" t="s">
        <v>189</v>
      </c>
      <c r="Q23" s="116">
        <f>'OLDE패널(TV)'!Q23+'OLDE패널(TV) (2)'!Q23</f>
        <v>142348549</v>
      </c>
      <c r="R23" s="116">
        <f>'OLDE패널(TV)'!R23+'OLDE패널(TV) (2)'!R23</f>
        <v>183203201934</v>
      </c>
      <c r="S23" s="116">
        <f>'OLDE패널(TV)'!S23+'OLDE패널(TV) (2)'!S23</f>
        <v>1059965.3399999999</v>
      </c>
      <c r="T23" s="130">
        <f t="shared" si="6"/>
        <v>134.29547517091456</v>
      </c>
      <c r="U23" s="78"/>
    </row>
    <row r="24" spans="1:21" hidden="1">
      <c r="A24" s="129" t="s">
        <v>204</v>
      </c>
      <c r="B24" s="131"/>
      <c r="C24" s="131"/>
      <c r="F24" s="78">
        <f>Q24/22</f>
        <v>5256837.4090909092</v>
      </c>
      <c r="G24" s="90">
        <f t="shared" ref="G24" si="9">F24/F23-1</f>
        <v>-0.22448394194092491</v>
      </c>
      <c r="H24" s="90">
        <f t="shared" ref="H24" si="10">F24/F12-1</f>
        <v>-4.7224092311233257E-3</v>
      </c>
      <c r="I24" s="130">
        <f t="shared" si="0"/>
        <v>129.20261876048454</v>
      </c>
      <c r="J24" s="130">
        <f t="shared" si="5"/>
        <v>4.3726609037976205E-2</v>
      </c>
      <c r="O24" s="89"/>
      <c r="P24" s="129" t="s">
        <v>204</v>
      </c>
      <c r="Q24" s="116">
        <f>'OLDE패널(TV)'!Q24+'OLDE패널(TV) (2)'!Q24</f>
        <v>115650423</v>
      </c>
      <c r="R24" s="116">
        <f>'OLDE패널(TV)'!R24+'OLDE패널(TV) (2)'!R24</f>
        <v>151834539567</v>
      </c>
      <c r="S24" s="116">
        <f>'OLDE패널(TV)'!S24+'OLDE패널(TV) (2)'!S24</f>
        <v>895108.97</v>
      </c>
      <c r="T24" s="130">
        <f t="shared" ref="T24" si="11">Q24/S24</f>
        <v>129.20261876048454</v>
      </c>
      <c r="U24" s="78"/>
    </row>
    <row r="25" spans="1:21" s="79" customFormat="1" ht="13.2" hidden="1">
      <c r="A25" s="129" t="s">
        <v>219</v>
      </c>
      <c r="B25" s="131">
        <f>SUM(F23:F25)</f>
        <v>18239168.479266346</v>
      </c>
      <c r="C25" s="131">
        <f>AVERAGE(F23:F25)</f>
        <v>6079722.8264221149</v>
      </c>
      <c r="D25" s="90">
        <f>C25/C22-1</f>
        <v>0.11955760558600059</v>
      </c>
      <c r="E25" s="286">
        <f>C25/C13-1</f>
        <v>0.23256979313402892</v>
      </c>
      <c r="F25" s="78">
        <f>Q25/19</f>
        <v>6203828.7368421052</v>
      </c>
      <c r="G25" s="90">
        <f t="shared" ref="G25" si="12">F25/F24-1</f>
        <v>0.18014468663487992</v>
      </c>
      <c r="H25" s="90">
        <f t="shared" ref="H25" si="13">F25/F13-1</f>
        <v>0.74479142932824627</v>
      </c>
      <c r="I25" s="130">
        <f t="shared" si="0"/>
        <v>138.87559526045968</v>
      </c>
      <c r="J25" s="130">
        <f t="shared" si="5"/>
        <v>0.2524384863418665</v>
      </c>
      <c r="K25" s="78">
        <f>R23+R24+R25</f>
        <v>491437722158</v>
      </c>
      <c r="L25" s="90">
        <f>U25/U22-1</f>
        <v>0.1118145021395387</v>
      </c>
      <c r="M25" s="90">
        <f>U25/U13-1</f>
        <v>0.20287668595140307</v>
      </c>
      <c r="N25" s="88">
        <f>AVERAGE(T23:T25)</f>
        <v>134.12456306395293</v>
      </c>
      <c r="O25" s="91">
        <f>N25/N22-1</f>
        <v>0.1271840516082885</v>
      </c>
      <c r="P25" s="129" t="s">
        <v>219</v>
      </c>
      <c r="Q25" s="116">
        <f>'OLDE패널(TV)'!Q25+'OLDE패널(TV) (2)'!Q25</f>
        <v>117872746</v>
      </c>
      <c r="R25" s="116">
        <f>'OLDE패널(TV)'!R25+'OLDE패널(TV) (2)'!R25</f>
        <v>156399980657</v>
      </c>
      <c r="S25" s="116">
        <f>'OLDE패널(TV)'!S25+'OLDE패널(TV) (2)'!S25</f>
        <v>848765.01</v>
      </c>
      <c r="T25" s="130">
        <f t="shared" ref="T25" si="14">Q25/S25</f>
        <v>138.87559526045968</v>
      </c>
      <c r="U25" s="85">
        <f>Q23+Q24+Q25</f>
        <v>375871718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5285816.2631578948</v>
      </c>
      <c r="G26" s="90">
        <f t="shared" ref="G26" si="15">F26/F25-1</f>
        <v>-0.14797514770717224</v>
      </c>
      <c r="H26" s="90">
        <f t="shared" ref="H26" si="16">F26/F14-1</f>
        <v>0.91392864478908908</v>
      </c>
      <c r="I26" s="130">
        <f t="shared" si="0"/>
        <v>113.68535383829548</v>
      </c>
      <c r="J26" s="130">
        <f t="shared" si="5"/>
        <v>-1.0195924780183052E-3</v>
      </c>
      <c r="L26" s="90"/>
      <c r="M26" s="90"/>
      <c r="P26" s="129" t="s">
        <v>312</v>
      </c>
      <c r="Q26" s="116">
        <f>'OLDE패널(TV)'!Q26+'OLDE패널(TV) (2)'!Q26</f>
        <v>100430509</v>
      </c>
      <c r="R26" s="116">
        <f>'OLDE패널(TV)'!R26+'OLDE패널(TV) (2)'!R26</f>
        <v>135499330959</v>
      </c>
      <c r="S26" s="116">
        <f>'OLDE패널(TV)'!S26+'OLDE패널(TV) (2)'!S26</f>
        <v>883407.62999999989</v>
      </c>
      <c r="T26" s="130">
        <f t="shared" ref="T26" si="17">Q26/S26</f>
        <v>113.68535383829548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4048112.0454545454</v>
      </c>
      <c r="G27" s="90">
        <f t="shared" ref="G27" si="18">F27/F26-1</f>
        <v>-0.2341557398296531</v>
      </c>
      <c r="H27" s="90">
        <f t="shared" ref="H27" si="19">F27/F15-1</f>
        <v>1.2304613999053804</v>
      </c>
      <c r="I27" s="130">
        <f t="shared" si="0"/>
        <v>114.25352125902623</v>
      </c>
      <c r="J27" s="130">
        <f t="shared" si="5"/>
        <v>0.36831129736448043</v>
      </c>
      <c r="L27" s="90"/>
      <c r="M27" s="90"/>
      <c r="P27" s="129" t="s">
        <v>377</v>
      </c>
      <c r="Q27" s="116">
        <f>'OLDE패널(TV)'!Q27+'OLDE패널(TV) (2)'!Q27</f>
        <v>89058465</v>
      </c>
      <c r="R27" s="116">
        <f>'OLDE패널(TV)'!R27+'OLDE패널(TV) (2)'!R27</f>
        <v>117634581488</v>
      </c>
      <c r="S27" s="116">
        <f>'OLDE패널(TV)'!S27+'OLDE패널(TV) (2)'!S27</f>
        <v>779481.14</v>
      </c>
      <c r="T27" s="130">
        <f t="shared" ref="T27" si="20">Q27/S27</f>
        <v>114.25352125902623</v>
      </c>
      <c r="U27" s="78"/>
    </row>
    <row r="28" spans="1:21" s="79" customFormat="1" ht="13.2" hidden="1">
      <c r="A28" s="123" t="s">
        <v>414</v>
      </c>
      <c r="B28" s="131">
        <f>SUM(F26:F28)</f>
        <v>15367165.887559809</v>
      </c>
      <c r="C28" s="131">
        <f>AVERAGE(F26:F28)</f>
        <v>5122388.6291866032</v>
      </c>
      <c r="D28" s="90">
        <f>C28/C25-1</f>
        <v>-0.15746346084643759</v>
      </c>
      <c r="E28" s="286">
        <f>C28/C16-1</f>
        <v>0.87268777405772213</v>
      </c>
      <c r="F28" s="78">
        <f>Q28/19</f>
        <v>6033237.5789473681</v>
      </c>
      <c r="G28" s="90">
        <f t="shared" ref="G28" si="21">F28/F27-1</f>
        <v>0.49038305046962249</v>
      </c>
      <c r="H28" s="90">
        <f t="shared" ref="H28" si="22">F28/F16-1</f>
        <v>0.66238897474497294</v>
      </c>
      <c r="I28" s="130">
        <f t="shared" si="0"/>
        <v>123.1664117951787</v>
      </c>
      <c r="J28" s="130">
        <f t="shared" si="5"/>
        <v>6.5029492004982536E-2</v>
      </c>
      <c r="K28" s="78">
        <f>R26+R27+R28</f>
        <v>402839491235</v>
      </c>
      <c r="L28" s="90">
        <f>U28/U25-1</f>
        <v>-0.19089286733725463</v>
      </c>
      <c r="M28" s="90">
        <f>U28/U16-1</f>
        <v>0.73776003239821297</v>
      </c>
      <c r="N28" s="88">
        <f>AVERAGE(T26:T28)</f>
        <v>117.03509563083348</v>
      </c>
      <c r="O28" s="91">
        <f>N28/N25-1</f>
        <v>-0.12741489733667122</v>
      </c>
      <c r="P28" s="129" t="s">
        <v>414</v>
      </c>
      <c r="Q28" s="116">
        <f>'OLDE패널(TV)'!Q28+'OLDE패널(TV) (2)'!Q28</f>
        <v>114631514</v>
      </c>
      <c r="R28" s="116">
        <f>'OLDE패널(TV)'!R28+'OLDE패널(TV) (2)'!R28</f>
        <v>149705578788</v>
      </c>
      <c r="S28" s="116">
        <f>'OLDE패널(TV)'!S28+'OLDE패널(TV) (2)'!S28</f>
        <v>930704.34</v>
      </c>
      <c r="T28" s="130">
        <f t="shared" ref="T28" si="23">Q28/S28</f>
        <v>123.1664117951787</v>
      </c>
      <c r="U28" s="85">
        <f>Q26+Q27+Q28</f>
        <v>304120488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4737115.6363636367</v>
      </c>
      <c r="G29" s="190">
        <f t="shared" ref="G29" si="24">F29/F28-1</f>
        <v>-0.21483025086008112</v>
      </c>
      <c r="H29" s="190">
        <f t="shared" ref="H29" si="25">F29/F17-1</f>
        <v>0.78988094195451874</v>
      </c>
      <c r="I29" s="130">
        <f t="shared" si="0"/>
        <v>105.89108981060137</v>
      </c>
      <c r="J29" s="130">
        <f t="shared" si="5"/>
        <v>-0.31216014132529857</v>
      </c>
      <c r="K29" s="136"/>
      <c r="L29" s="190"/>
      <c r="M29" s="190"/>
      <c r="N29" s="191"/>
      <c r="O29" s="192"/>
      <c r="P29" s="129" t="s">
        <v>427</v>
      </c>
      <c r="Q29" s="116">
        <f>'OLDE패널(TV)'!Q29+'OLDE패널(TV) (2)'!Q29</f>
        <v>104216544</v>
      </c>
      <c r="R29" s="116">
        <f>'OLDE패널(TV)'!R29+'OLDE패널(TV) (2)'!R29</f>
        <v>137472346486</v>
      </c>
      <c r="S29" s="116">
        <f>'OLDE패널(TV)'!S29+'OLDE패널(TV) (2)'!S29</f>
        <v>984186.15</v>
      </c>
      <c r="T29" s="130">
        <f t="shared" ref="T29" si="26">Q29/S29</f>
        <v>105.89108981060137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5053162.1052631577</v>
      </c>
      <c r="G30" s="190">
        <f t="shared" ref="G30" si="27">F30/F29-1</f>
        <v>6.6717068604668528E-2</v>
      </c>
      <c r="H30" s="190">
        <f t="shared" ref="H30" si="28">F30/F18-1</f>
        <v>0.35626056020518249</v>
      </c>
      <c r="I30" s="130">
        <f t="shared" si="0"/>
        <v>115.68464788886658</v>
      </c>
      <c r="J30" s="130">
        <f t="shared" si="5"/>
        <v>-0.11308337156403658</v>
      </c>
      <c r="K30" s="136"/>
      <c r="L30" s="190"/>
      <c r="M30" s="190"/>
      <c r="N30" s="191"/>
      <c r="O30" s="192"/>
      <c r="P30" s="129" t="s">
        <v>466</v>
      </c>
      <c r="Q30" s="116">
        <f>'OLDE패널(TV)'!Q30+'OLDE패널(TV) (2)'!Q30</f>
        <v>96010080</v>
      </c>
      <c r="R30" s="116">
        <f>'OLDE패널(TV)'!R30+'OLDE패널(TV) (2)'!R30</f>
        <v>127909063974</v>
      </c>
      <c r="S30" s="116">
        <f>'OLDE패널(TV)'!S30+'OLDE패널(TV) (2)'!S30</f>
        <v>829929.31</v>
      </c>
      <c r="T30" s="130">
        <f t="shared" ref="T30" si="29">Q30/S30</f>
        <v>115.68464788886658</v>
      </c>
      <c r="U30" s="85"/>
    </row>
    <row r="31" spans="1:21" s="79" customFormat="1" ht="13.2" hidden="1">
      <c r="A31" s="129" t="s">
        <v>466</v>
      </c>
      <c r="B31" s="188">
        <f>SUM(F29:F31)</f>
        <v>15536807.391626796</v>
      </c>
      <c r="C31" s="188">
        <f>AVERAGE(F29:F31)</f>
        <v>5178935.7972089322</v>
      </c>
      <c r="D31" s="190">
        <f>C31/C28-1</f>
        <v>1.1039218637206138E-2</v>
      </c>
      <c r="E31" s="287">
        <f>C31/C19-1</f>
        <v>0.51809861704615057</v>
      </c>
      <c r="F31" s="136">
        <f>Q31/20</f>
        <v>5746529.6500000004</v>
      </c>
      <c r="G31" s="190">
        <f t="shared" ref="G31" si="30">F31/F30-1</f>
        <v>0.13721458569766853</v>
      </c>
      <c r="H31" s="190">
        <f t="shared" ref="H31" si="31">F31/F19-1</f>
        <v>0.48797808933761511</v>
      </c>
      <c r="I31" s="130">
        <f t="shared" si="0"/>
        <v>112.49786271803849</v>
      </c>
      <c r="J31" s="130">
        <f t="shared" si="5"/>
        <v>-0.2387398366485286</v>
      </c>
      <c r="K31" s="136">
        <f>R29+R30+R31</f>
        <v>418175632416</v>
      </c>
      <c r="L31" s="190">
        <f>U31/U28-1</f>
        <v>3.629064609418875E-2</v>
      </c>
      <c r="M31" s="190">
        <f>U31/U19-1</f>
        <v>0.4837095482316871</v>
      </c>
      <c r="N31" s="191">
        <f>AVERAGE(T29:T31)</f>
        <v>111.35786680583549</v>
      </c>
      <c r="O31" s="192">
        <f>N31/N28-1</f>
        <v>-4.8508772470317929E-2</v>
      </c>
      <c r="P31" s="129" t="s">
        <v>466</v>
      </c>
      <c r="Q31" s="116">
        <f>'OLDE패널(TV)'!Q31+'OLDE패널(TV) (2)'!Q31</f>
        <v>114930593</v>
      </c>
      <c r="R31" s="116">
        <f>'OLDE패널(TV)'!R31+'OLDE패널(TV) (2)'!R31</f>
        <v>152794221956</v>
      </c>
      <c r="S31" s="116">
        <f>'OLDE패널(TV)'!S31+'OLDE패널(TV) (2)'!S31</f>
        <v>1021624.6799999999</v>
      </c>
      <c r="T31" s="130">
        <f t="shared" ref="T31" si="32">Q31/S31</f>
        <v>112.49786271803849</v>
      </c>
      <c r="U31" s="85">
        <f>Q29+Q30+Q31</f>
        <v>315157217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5806151.4285714282</v>
      </c>
      <c r="G32" s="190">
        <f t="shared" ref="G32" si="33">F32/F31-1</f>
        <v>1.0375266848475784E-2</v>
      </c>
      <c r="H32" s="190">
        <f t="shared" ref="H32" si="34">F32/F20-1</f>
        <v>0.43396656854931681</v>
      </c>
      <c r="I32" s="130">
        <f t="shared" si="0"/>
        <v>108.53876455599142</v>
      </c>
      <c r="J32" s="130">
        <f t="shared" si="5"/>
        <v>-0.12430513243254204</v>
      </c>
      <c r="K32" s="136"/>
      <c r="L32" s="190"/>
      <c r="M32" s="190"/>
      <c r="N32" s="191"/>
      <c r="O32" s="192"/>
      <c r="P32" s="129" t="s">
        <v>563</v>
      </c>
      <c r="Q32" s="116">
        <f>'OLDE패널(TV)'!Q32+'OLDE패널(TV) (2)'!Q32</f>
        <v>121929180</v>
      </c>
      <c r="R32" s="116">
        <f>'OLDE패널(TV)'!R32+'OLDE패널(TV) (2)'!R32</f>
        <v>166173308660</v>
      </c>
      <c r="S32" s="116">
        <f>'OLDE패널(TV)'!S32+'OLDE패널(TV) (2)'!S32</f>
        <v>1123369.8900000001</v>
      </c>
      <c r="T32" s="130">
        <f t="shared" ref="T32" si="35">Q32/S32</f>
        <v>108.53876455599142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4971174.1904761903</v>
      </c>
      <c r="G33" s="190">
        <f t="shared" ref="G33" si="36">F33/F32-1</f>
        <v>-0.14380907015039379</v>
      </c>
      <c r="H33" s="190">
        <f t="shared" ref="H33" si="37">F33/F21-1</f>
        <v>-2.4022129280399707E-2</v>
      </c>
      <c r="I33" s="130">
        <f t="shared" si="0"/>
        <v>111.54383596293397</v>
      </c>
      <c r="J33" s="130">
        <f t="shared" si="5"/>
        <v>-0.122671625523743</v>
      </c>
      <c r="K33" s="136"/>
      <c r="L33" s="190"/>
      <c r="M33" s="190"/>
      <c r="N33" s="191"/>
      <c r="O33" s="192"/>
      <c r="P33" s="129" t="s">
        <v>607</v>
      </c>
      <c r="Q33" s="116">
        <f>'OLDE패널(TV)'!Q33+'OLDE패널(TV) (2)'!Q33</f>
        <v>104394658</v>
      </c>
      <c r="R33" s="116">
        <f>'OLDE패널(TV)'!R33+'OLDE패널(TV) (2)'!R33</f>
        <v>142850345392</v>
      </c>
      <c r="S33" s="116">
        <f>'OLDE패널(TV)'!S33+'OLDE패널(TV) (2)'!S33</f>
        <v>935907.01</v>
      </c>
      <c r="T33" s="130">
        <f t="shared" ref="T33" si="38">Q33/S33</f>
        <v>111.54383596293397</v>
      </c>
      <c r="U33" s="85"/>
    </row>
    <row r="34" spans="1:21" s="79" customFormat="1" ht="13.2" hidden="1">
      <c r="A34" s="129" t="s">
        <v>652</v>
      </c>
      <c r="B34" s="188">
        <f>SUM(F32:F34)</f>
        <v>17402782.56641604</v>
      </c>
      <c r="C34" s="188">
        <f>AVERAGE(F32:F34)</f>
        <v>5800927.5221386803</v>
      </c>
      <c r="D34" s="190">
        <f>C34/C31-1</f>
        <v>0.12010029652519649</v>
      </c>
      <c r="E34" s="287">
        <f>C34/C22-1</f>
        <v>6.8218521186347525E-2</v>
      </c>
      <c r="F34" s="136">
        <f>Q34/19</f>
        <v>6625456.9473684207</v>
      </c>
      <c r="G34" s="190">
        <f t="shared" ref="G34" si="39">F34/F33-1</f>
        <v>0.33277505343939007</v>
      </c>
      <c r="H34" s="190">
        <f t="shared" ref="H34" si="40">F34/F22-1</f>
        <v>-7.321499016918398E-2</v>
      </c>
      <c r="I34" s="130">
        <f t="shared" si="0"/>
        <v>105.02838294844828</v>
      </c>
      <c r="J34" s="130">
        <f t="shared" si="5"/>
        <v>-8.1018787865873021E-3</v>
      </c>
      <c r="K34" s="136">
        <f>R32+R33+R34</f>
        <v>482074441834</v>
      </c>
      <c r="L34" s="190">
        <f>U34/U31-1</f>
        <v>0.11756133447516759</v>
      </c>
      <c r="M34" s="190">
        <f>U34/U22-1</f>
        <v>4.1816688369731514E-2</v>
      </c>
      <c r="N34" s="191">
        <f>AVERAGE(T32:T34)</f>
        <v>108.3703278224579</v>
      </c>
      <c r="O34" s="192">
        <f>N34/N31-1</f>
        <v>-2.6828270593461379E-2</v>
      </c>
      <c r="P34" s="129" t="s">
        <v>652</v>
      </c>
      <c r="Q34" s="116">
        <f>'OLDE패널(TV)'!Q34+'OLDE패널(TV) (2)'!Q34</f>
        <v>125883682</v>
      </c>
      <c r="R34" s="116">
        <f>'OLDE패널(TV)'!R34+'OLDE패널(TV) (2)'!R34</f>
        <v>173050787782</v>
      </c>
      <c r="S34" s="116">
        <f>'OLDE패널(TV)'!S34+'OLDE패널(TV) (2)'!S34</f>
        <v>1198568.22</v>
      </c>
      <c r="T34" s="130">
        <f t="shared" ref="T34" si="41">Q34/S34</f>
        <v>105.02838294844828</v>
      </c>
      <c r="U34" s="85">
        <f>Q32+Q33+Q34</f>
        <v>352207520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6516404.5652173916</v>
      </c>
      <c r="G35" s="190">
        <f t="shared" ref="G35" si="42">F35/F34-1</f>
        <v>-1.6459601657262901E-2</v>
      </c>
      <c r="H35" s="190">
        <f t="shared" ref="H35" si="43">F35/F23-1</f>
        <v>-3.8666029047017325E-2</v>
      </c>
      <c r="I35" s="130">
        <f t="shared" si="0"/>
        <v>104.199257619082</v>
      </c>
      <c r="J35" s="130">
        <f t="shared" si="5"/>
        <v>-0.22410447942143874</v>
      </c>
      <c r="K35" s="136"/>
      <c r="L35" s="190"/>
      <c r="M35" s="190"/>
      <c r="N35" s="191"/>
      <c r="O35" s="192"/>
      <c r="P35" s="129" t="s">
        <v>660</v>
      </c>
      <c r="Q35" s="116">
        <f>'OLDE패널(TV)'!Q35+'OLDE패널(TV) (2)'!Q35</f>
        <v>149877305</v>
      </c>
      <c r="R35" s="116">
        <f>'OLDE패널(TV)'!R35+'OLDE패널(TV) (2)'!R35</f>
        <v>207374672629</v>
      </c>
      <c r="S35" s="116">
        <f>'OLDE패널(TV)'!S35+'OLDE패널(TV) (2)'!S35</f>
        <v>1438372.1</v>
      </c>
      <c r="T35" s="130">
        <f t="shared" ref="T35" si="44">Q35/S35</f>
        <v>104.199257619082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6817680.7142857146</v>
      </c>
      <c r="G36" s="190">
        <f t="shared" ref="G36" si="45">F36/F35-1</f>
        <v>4.6233493647163115E-2</v>
      </c>
      <c r="H36" s="190">
        <f t="shared" ref="H36" si="46">F36/F24-1</f>
        <v>0.29691679306945318</v>
      </c>
      <c r="I36" s="130">
        <f t="shared" si="0"/>
        <v>104.48409694106945</v>
      </c>
      <c r="J36" s="130">
        <f t="shared" si="5"/>
        <v>-0.19131595053222739</v>
      </c>
      <c r="K36" s="136"/>
      <c r="L36" s="190"/>
      <c r="M36" s="190"/>
      <c r="N36" s="191"/>
      <c r="O36" s="192"/>
      <c r="P36" s="129" t="s">
        <v>666</v>
      </c>
      <c r="Q36" s="116">
        <f>'OLDE패널(TV)'!Q36+'OLDE패널(TV) (2)'!Q36</f>
        <v>143171295</v>
      </c>
      <c r="R36" s="116">
        <f>'OLDE패널(TV)'!R36+'OLDE패널(TV) (2)'!R36</f>
        <v>195720255032</v>
      </c>
      <c r="S36" s="116">
        <f>'OLDE패널(TV)'!S36+'OLDE패널(TV) (2)'!S36</f>
        <v>1370268.77</v>
      </c>
      <c r="T36" s="130">
        <f t="shared" ref="T36" si="47">Q36/S36</f>
        <v>104.48409694106945</v>
      </c>
      <c r="U36" s="85"/>
    </row>
    <row r="37" spans="1:21" s="79" customFormat="1" ht="13.2" hidden="1">
      <c r="A37" s="129" t="s">
        <v>702</v>
      </c>
      <c r="B37" s="188">
        <f>SUM(F35:F37)</f>
        <v>18818413.779503107</v>
      </c>
      <c r="C37" s="188">
        <f>AVERAGE(F35:F37)</f>
        <v>6272804.5931677027</v>
      </c>
      <c r="D37" s="190">
        <f>C37/C34-1</f>
        <v>8.1345107179524145E-2</v>
      </c>
      <c r="E37" s="287">
        <f>C37/C25-1</f>
        <v>3.1758317321057161E-2</v>
      </c>
      <c r="F37" s="136">
        <f>Q37/18</f>
        <v>5484328.5</v>
      </c>
      <c r="G37" s="190">
        <f t="shared" ref="G37" si="48">F37/F36-1</f>
        <v>-0.19557269842394043</v>
      </c>
      <c r="H37" s="190">
        <f t="shared" ref="H37" si="49">F37/F25-1</f>
        <v>-0.11597680518955589</v>
      </c>
      <c r="I37" s="130">
        <f t="shared" si="0"/>
        <v>110.89155833308536</v>
      </c>
      <c r="J37" s="130">
        <f t="shared" si="5"/>
        <v>-0.20150435268983413</v>
      </c>
      <c r="K37" s="136">
        <f>R35+R36+R37</f>
        <v>534886433563</v>
      </c>
      <c r="L37" s="190">
        <f>U37/U34-1</f>
        <v>0.11231728669507124</v>
      </c>
      <c r="M37" s="190">
        <f>U37/U25-1</f>
        <v>4.2287818526426157E-2</v>
      </c>
      <c r="N37" s="191">
        <f>AVERAGE(T35:T37)</f>
        <v>106.52497096441228</v>
      </c>
      <c r="O37" s="192">
        <f>N37/N34-1</f>
        <v>-1.7028248369506227E-2</v>
      </c>
      <c r="P37" s="129" t="s">
        <v>702</v>
      </c>
      <c r="Q37" s="116">
        <f>'OLDE패널(TV)'!Q37+'OLDE패널(TV) (2)'!Q37</f>
        <v>98717913</v>
      </c>
      <c r="R37" s="116">
        <f>'OLDE패널(TV)'!R37+'OLDE패널(TV) (2)'!R37</f>
        <v>131791505902</v>
      </c>
      <c r="S37" s="116">
        <f>'OLDE패널(TV)'!S37+'OLDE패널(TV) (2)'!S37</f>
        <v>890220.27</v>
      </c>
      <c r="T37" s="130">
        <f t="shared" ref="T37" si="50">Q37/S37</f>
        <v>110.89155833308536</v>
      </c>
      <c r="U37" s="85">
        <f>Q35+Q36+Q37</f>
        <v>391766513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5459449.25</v>
      </c>
      <c r="G38" s="190">
        <f t="shared" ref="G38" si="51">F38/F37-1</f>
        <v>-4.5364259270757046E-3</v>
      </c>
      <c r="H38" s="190">
        <f t="shared" ref="H38" si="52">F38/F26-1</f>
        <v>3.2848850243305971E-2</v>
      </c>
      <c r="I38" s="130">
        <f t="shared" si="0"/>
        <v>95.864145783477881</v>
      </c>
      <c r="J38" s="130">
        <f t="shared" si="5"/>
        <v>-0.15675904989631517</v>
      </c>
      <c r="K38" s="136"/>
      <c r="L38" s="190"/>
      <c r="M38" s="190"/>
      <c r="N38" s="191"/>
      <c r="O38" s="192"/>
      <c r="P38" s="129" t="s">
        <v>728</v>
      </c>
      <c r="Q38" s="116">
        <f>'OLDE패널(TV)'!Q38+'OLDE패널(TV) (2)'!Q38</f>
        <v>109188985</v>
      </c>
      <c r="R38" s="116">
        <f>'OLDE패널(TV)'!R38+'OLDE패널(TV) (2)'!R38</f>
        <v>147013488577</v>
      </c>
      <c r="S38" s="116">
        <f>'OLDE패널(TV)'!S38+'OLDE패널(TV) (2)'!S38</f>
        <v>1138997.1100000001</v>
      </c>
      <c r="T38" s="130">
        <f t="shared" ref="T38" si="53">Q38/S38</f>
        <v>95.864145783477881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3519900.7142857141</v>
      </c>
      <c r="G39" s="190">
        <f t="shared" ref="G39" si="54">F39/F38-1</f>
        <v>-0.3552645050623533</v>
      </c>
      <c r="H39" s="190">
        <f t="shared" ref="H39" si="55">F39/F27-1</f>
        <v>-0.13048337724790438</v>
      </c>
      <c r="I39" s="130">
        <f t="shared" si="0"/>
        <v>98.355834461822724</v>
      </c>
      <c r="J39" s="130">
        <f t="shared" si="5"/>
        <v>-0.13914395479471986</v>
      </c>
      <c r="K39" s="136"/>
      <c r="L39" s="190"/>
      <c r="M39" s="190"/>
      <c r="N39" s="191"/>
      <c r="O39" s="192"/>
      <c r="P39" s="129" t="s">
        <v>762</v>
      </c>
      <c r="Q39" s="116">
        <f>'OLDE패널(TV)'!Q39+'OLDE패널(TV) (2)'!Q39</f>
        <v>73917915</v>
      </c>
      <c r="R39" s="116">
        <f>'OLDE패널(TV)'!R39+'OLDE패널(TV) (2)'!R39</f>
        <v>102641446470</v>
      </c>
      <c r="S39" s="116">
        <f>'OLDE패널(TV)'!S39+'OLDE패널(TV) (2)'!S39</f>
        <v>751535.64</v>
      </c>
      <c r="T39" s="130">
        <f t="shared" ref="T39" si="56">Q39/S39</f>
        <v>98.355834461822724</v>
      </c>
      <c r="U39" s="85"/>
    </row>
    <row r="40" spans="1:21" s="79" customFormat="1" ht="13.2" hidden="1">
      <c r="A40" s="129" t="s">
        <v>778</v>
      </c>
      <c r="B40" s="188">
        <f>SUM(F38:F40)</f>
        <v>14890981.964285715</v>
      </c>
      <c r="C40" s="188">
        <f>AVERAGE(F38:F40)</f>
        <v>4963660.6547619049</v>
      </c>
      <c r="D40" s="190">
        <f>C40/C37-1</f>
        <v>-0.2087015335742658</v>
      </c>
      <c r="E40" s="287">
        <f>C40/C28-1</f>
        <v>-3.0987101119249405E-2</v>
      </c>
      <c r="F40" s="136">
        <f>Q40/21</f>
        <v>5911632</v>
      </c>
      <c r="G40" s="190">
        <f t="shared" ref="G40" si="57">F40/F39-1</f>
        <v>0.67948828102091374</v>
      </c>
      <c r="H40" s="190">
        <f t="shared" ref="H40" si="58">F40/F28-1</f>
        <v>-2.0155940712778153E-2</v>
      </c>
      <c r="I40" s="130">
        <f t="shared" si="0"/>
        <v>98.453783950962844</v>
      </c>
      <c r="J40" s="130">
        <f t="shared" si="5"/>
        <v>-0.20064421366201746</v>
      </c>
      <c r="K40" s="136">
        <f>R38+R39+R40</f>
        <v>426227338796</v>
      </c>
      <c r="L40" s="190">
        <f>U40/U37-1</f>
        <v>-0.21572885429337341</v>
      </c>
      <c r="M40" s="190">
        <f>U40/U28-1</f>
        <v>1.0294222597722502E-2</v>
      </c>
      <c r="N40" s="191">
        <f>AVERAGE(T38:T40)</f>
        <v>97.557921398754488</v>
      </c>
      <c r="O40" s="192">
        <f>N40/N37-1</f>
        <v>-8.417791138054842E-2</v>
      </c>
      <c r="P40" s="129" t="s">
        <v>778</v>
      </c>
      <c r="Q40" s="116">
        <f>'OLDE패널(TV)'!Q40+'OLDE패널(TV) (2)'!Q40</f>
        <v>124144272</v>
      </c>
      <c r="R40" s="116">
        <f>'OLDE패널(TV)'!R40+'OLDE패널(TV) (2)'!R40</f>
        <v>176572403749</v>
      </c>
      <c r="S40" s="116">
        <f>'OLDE패널(TV)'!S40+'OLDE패널(TV) (2)'!S40</f>
        <v>1260939.57</v>
      </c>
      <c r="T40" s="130">
        <f t="shared" ref="T40" si="59">Q40/S40</f>
        <v>98.453783950962844</v>
      </c>
      <c r="U40" s="85">
        <f>Q38+Q39+Q40</f>
        <v>307251172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5206890.944444444</v>
      </c>
      <c r="G41" s="190">
        <f t="shared" ref="G41" si="60">F41/F40-1</f>
        <v>-0.11921260585157467</v>
      </c>
      <c r="H41" s="190">
        <f t="shared" ref="H41" si="61">F41/F29-1</f>
        <v>9.9169060699016764E-2</v>
      </c>
      <c r="I41" s="130">
        <f t="shared" si="0"/>
        <v>105.03076242280426</v>
      </c>
      <c r="J41" s="130">
        <f t="shared" si="5"/>
        <v>-8.1246438140915034E-3</v>
      </c>
      <c r="K41" s="193"/>
      <c r="L41" s="190"/>
      <c r="M41" s="190"/>
      <c r="N41" s="193"/>
      <c r="O41" s="193"/>
      <c r="P41" s="129" t="s">
        <v>791</v>
      </c>
      <c r="Q41" s="116">
        <f>'OLDE패널(TV)'!Q41+'OLDE패널(TV) (2)'!Q41</f>
        <v>93724037</v>
      </c>
      <c r="R41" s="116">
        <f>'OLDE패널(TV)'!R41+'OLDE패널(TV) (2)'!R41</f>
        <v>137212096128</v>
      </c>
      <c r="S41" s="116">
        <f>'OLDE패널(TV)'!S41+'OLDE패널(TV) (2)'!S41</f>
        <v>892348.44</v>
      </c>
      <c r="T41" s="130">
        <f t="shared" ref="T41" si="62">Q41/S41</f>
        <v>105.03076242280426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4473613.6500000004</v>
      </c>
      <c r="G42" s="190">
        <f t="shared" ref="G42" si="63">F42/F41-1</f>
        <v>-0.14082824131871297</v>
      </c>
      <c r="H42" s="190">
        <f t="shared" ref="H42" si="64">F42/F30-1</f>
        <v>-0.11469025596062399</v>
      </c>
      <c r="I42" s="130">
        <f t="shared" si="0"/>
        <v>98.957665035364769</v>
      </c>
      <c r="J42" s="130">
        <f t="shared" si="5"/>
        <v>-0.14459120686066074</v>
      </c>
      <c r="K42" s="193"/>
      <c r="L42" s="190"/>
      <c r="M42" s="190"/>
      <c r="N42" s="193"/>
      <c r="O42" s="193"/>
      <c r="P42" s="129" t="s">
        <v>826</v>
      </c>
      <c r="Q42" s="116">
        <f>'OLDE패널(TV)'!Q42+'OLDE패널(TV) (2)'!Q42</f>
        <v>89472273</v>
      </c>
      <c r="R42" s="116">
        <f>'OLDE패널(TV)'!R42+'OLDE패널(TV) (2)'!R42</f>
        <v>129366404174</v>
      </c>
      <c r="S42" s="116">
        <f>'OLDE패널(TV)'!S42+'OLDE패널(TV) (2)'!S42</f>
        <v>904146.97</v>
      </c>
      <c r="T42" s="130">
        <f t="shared" ref="T42" si="65">Q42/S42</f>
        <v>98.957665035364769</v>
      </c>
      <c r="U42" s="78"/>
    </row>
    <row r="43" spans="1:21" s="79" customFormat="1" ht="13.2">
      <c r="A43" s="129" t="s">
        <v>835</v>
      </c>
      <c r="B43" s="188">
        <f>SUM(F41:F43)</f>
        <v>13063042.244444445</v>
      </c>
      <c r="C43" s="188">
        <f>AVERAGE(F41:F43)</f>
        <v>4354347.4148148149</v>
      </c>
      <c r="D43" s="190">
        <f>C43/C40-1</f>
        <v>-0.1227548139018213</v>
      </c>
      <c r="E43" s="287">
        <f>C43/C31-1</f>
        <v>-0.15921965721963771</v>
      </c>
      <c r="F43" s="136">
        <f>Q43/20</f>
        <v>3382537.65</v>
      </c>
      <c r="G43" s="190">
        <f t="shared" ref="G43" si="66">F43/F42-1</f>
        <v>-0.24389142321219459</v>
      </c>
      <c r="H43" s="190">
        <f t="shared" ref="H43" si="67">F43/F31-1</f>
        <v>-0.4113773257917499</v>
      </c>
      <c r="I43" s="130">
        <f t="shared" si="0"/>
        <v>86.206484034220779</v>
      </c>
      <c r="J43" s="130">
        <f t="shared" si="5"/>
        <v>-0.2337055838093004</v>
      </c>
      <c r="K43" s="136">
        <f>R41+R42+R43</f>
        <v>364755264047</v>
      </c>
      <c r="L43" s="190">
        <f>U43/U40-1</f>
        <v>-0.1835765462922303</v>
      </c>
      <c r="M43" s="190">
        <f>K43/K31-1</f>
        <v>-0.12774624877199336</v>
      </c>
      <c r="N43" s="191">
        <f>AVERAGE(T41:T43)</f>
        <v>96.731637164129936</v>
      </c>
      <c r="O43" s="192">
        <f>N43/N40-1</f>
        <v>-8.4696785538022068E-3</v>
      </c>
      <c r="P43" s="129" t="s">
        <v>835</v>
      </c>
      <c r="Q43" s="116">
        <f>'OLDE패널(TV)'!Q43+'OLDE패널(TV) (2)'!Q43</f>
        <v>67650753</v>
      </c>
      <c r="R43" s="116">
        <f>'OLDE패널(TV)'!R43+'OLDE패널(TV) (2)'!R43</f>
        <v>98176763745</v>
      </c>
      <c r="S43" s="116">
        <f>'OLDE패널(TV)'!S43+'OLDE패널(TV) (2)'!S43</f>
        <v>784752.49</v>
      </c>
      <c r="T43" s="130">
        <f t="shared" ref="T43" si="68">Q43/S43</f>
        <v>86.206484034220779</v>
      </c>
      <c r="U43" s="85">
        <f>Q41+Q42+Q43</f>
        <v>250847063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4452080.7272727275</v>
      </c>
      <c r="G44" s="190">
        <f t="shared" ref="G44" si="69">F44/F43-1</f>
        <v>0.31619546859226455</v>
      </c>
      <c r="H44" s="190">
        <f t="shared" ref="H44" si="70">F44/F32-1</f>
        <v>-0.23321312197189148</v>
      </c>
      <c r="I44" s="130">
        <f t="shared" si="0"/>
        <v>95.312885263852337</v>
      </c>
      <c r="J44" s="130">
        <f t="shared" si="5"/>
        <v>-0.12185396937438242</v>
      </c>
      <c r="K44" s="136"/>
      <c r="L44" s="190"/>
      <c r="M44" s="190"/>
      <c r="N44" s="191"/>
      <c r="O44" s="192"/>
      <c r="P44" s="129" t="s">
        <v>839</v>
      </c>
      <c r="Q44" s="116">
        <f>'OLDE패널(TV)'!Q44+'OLDE패널(TV) (2)'!Q44</f>
        <v>97945776</v>
      </c>
      <c r="R44" s="116">
        <f>'OLDE패널(TV)'!R44+'OLDE패널(TV) (2)'!R44</f>
        <v>141274263027</v>
      </c>
      <c r="S44" s="116">
        <f>'OLDE패널(TV)'!S44+'OLDE패널(TV) (2)'!S44</f>
        <v>1027623.6599999999</v>
      </c>
      <c r="T44" s="130">
        <f t="shared" ref="T44" si="71">Q44/S44</f>
        <v>95.312885263852337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87"/>
      <c r="F45" s="136">
        <f>Q45/20</f>
        <v>4807696.5</v>
      </c>
      <c r="G45" s="190">
        <f t="shared" ref="G45" si="72">F45/F44-1</f>
        <v>7.9876308295316223E-2</v>
      </c>
      <c r="H45" s="190">
        <f t="shared" ref="H45" si="73">F45/F33-1</f>
        <v>-3.2885126171877443E-2</v>
      </c>
      <c r="I45" s="130">
        <f t="shared" si="0"/>
        <v>94.673887437260063</v>
      </c>
      <c r="J45" s="130">
        <f t="shared" si="5"/>
        <v>-0.15124052691965684</v>
      </c>
      <c r="K45" s="136"/>
      <c r="L45" s="190"/>
      <c r="M45" s="190"/>
      <c r="N45" s="191"/>
      <c r="O45" s="192"/>
      <c r="P45" s="129" t="s">
        <v>851</v>
      </c>
      <c r="Q45" s="116">
        <f>'OLDE패널(TV)'!Q45+'OLDE패널(TV) (2)'!Q45</f>
        <v>96153930</v>
      </c>
      <c r="R45" s="116">
        <f>'OLDE패널(TV)'!R45+'OLDE패널(TV) (2)'!R45</f>
        <v>135353399722</v>
      </c>
      <c r="S45" s="116">
        <f>'OLDE패널(TV)'!S45+'OLDE패널(TV) (2)'!S45</f>
        <v>1015633.06</v>
      </c>
      <c r="T45" s="130">
        <f t="shared" ref="T45" si="74">Q45/S45</f>
        <v>94.673887437260063</v>
      </c>
      <c r="U45" s="85"/>
    </row>
    <row r="46" spans="1:21" s="79" customFormat="1" ht="13.2">
      <c r="A46" s="129" t="s">
        <v>889</v>
      </c>
      <c r="B46" s="188">
        <f>SUM(F44:F46)</f>
        <v>13407553.279904306</v>
      </c>
      <c r="C46" s="188">
        <f>AVERAGE(F44:F46)</f>
        <v>4469184.426634769</v>
      </c>
      <c r="D46" s="190">
        <f>C46/C43-1</f>
        <v>2.6372955779606189E-2</v>
      </c>
      <c r="E46" s="287">
        <f>C46/C34-1</f>
        <v>-0.22957416558325239</v>
      </c>
      <c r="F46" s="136">
        <f>Q46/19</f>
        <v>4147776.0526315789</v>
      </c>
      <c r="G46" s="190">
        <f t="shared" ref="G46" si="75">F46/F45-1</f>
        <v>-0.13726333335900487</v>
      </c>
      <c r="H46" s="190">
        <f t="shared" ref="H46" si="76">F46/F34-1</f>
        <v>-0.37396377554320337</v>
      </c>
      <c r="I46" s="130">
        <f t="shared" si="0"/>
        <v>103.39869601079933</v>
      </c>
      <c r="J46" s="130">
        <f t="shared" si="5"/>
        <v>-1.5516633617494224E-2</v>
      </c>
      <c r="K46" s="136">
        <f>R44+R45+R46</f>
        <v>384369624009</v>
      </c>
      <c r="L46" s="190">
        <f>U46/U43-1</f>
        <v>8.7943576999344852E-2</v>
      </c>
      <c r="M46" s="190">
        <f>K46/K34-1</f>
        <v>-0.20267578893685512</v>
      </c>
      <c r="N46" s="191">
        <f>AVERAGE(T44:T46)</f>
        <v>97.7951562373039</v>
      </c>
      <c r="O46" s="192">
        <f>N46/N43-1</f>
        <v>1.0994531927227102E-2</v>
      </c>
      <c r="P46" s="129" t="s">
        <v>928</v>
      </c>
      <c r="Q46" s="116">
        <f>'OLDE패널(TV)'!Q46+'OLDE패널(TV) (2)'!Q46</f>
        <v>78807745</v>
      </c>
      <c r="R46" s="116">
        <f>'OLDE패널(TV)'!R46+'OLDE패널(TV) (2)'!R46</f>
        <v>107741961260</v>
      </c>
      <c r="S46" s="116">
        <f>'OLDE패널(TV)'!S46+'OLDE패널(TV) (2)'!S46</f>
        <v>762173.49</v>
      </c>
      <c r="T46" s="130">
        <f t="shared" ref="T46" si="77">Q46/S46</f>
        <v>103.39869601079933</v>
      </c>
      <c r="U46" s="85">
        <f t="shared" ref="U46:U51" si="78">Q44+Q45+Q46</f>
        <v>272907451</v>
      </c>
    </row>
    <row r="47" spans="1:21" s="79" customFormat="1" ht="13.2">
      <c r="A47" s="129" t="s">
        <v>992</v>
      </c>
      <c r="B47" s="188"/>
      <c r="C47" s="188"/>
      <c r="D47" s="190"/>
      <c r="E47" s="287"/>
      <c r="F47" s="136">
        <f>Q47/23</f>
        <v>5489289.1304347822</v>
      </c>
      <c r="G47" s="190">
        <f t="shared" ref="G47" si="79">F47/F46-1</f>
        <v>0.32342948625494694</v>
      </c>
      <c r="H47" s="190">
        <f t="shared" ref="H47" si="80">F47/F35-1</f>
        <v>-0.15761996120760258</v>
      </c>
      <c r="I47" s="130">
        <f t="shared" si="0"/>
        <v>101.09235438407651</v>
      </c>
      <c r="J47" s="130">
        <f t="shared" si="5"/>
        <v>-2.9816942135646451E-2</v>
      </c>
      <c r="K47" s="136"/>
      <c r="L47" s="190"/>
      <c r="M47" s="190"/>
      <c r="N47" s="191"/>
      <c r="O47" s="192"/>
      <c r="P47" s="129" t="s">
        <v>991</v>
      </c>
      <c r="Q47" s="116">
        <f>'OLDE패널(TV)'!Q47+'OLDE패널(TV) (2)'!Q47</f>
        <v>126253650</v>
      </c>
      <c r="R47" s="116">
        <f>'OLDE패널(TV)'!R47+'OLDE패널(TV) (2)'!R47</f>
        <v>173480124817</v>
      </c>
      <c r="S47" s="116">
        <f>'OLDE패널(TV)'!S47+'OLDE패널(TV) (2)'!S47</f>
        <v>1248894.1499999999</v>
      </c>
      <c r="T47" s="130">
        <f t="shared" ref="T47" si="81">Q47/S47</f>
        <v>101.09235438407651</v>
      </c>
      <c r="U47" s="85">
        <f t="shared" si="78"/>
        <v>301215325</v>
      </c>
    </row>
    <row r="48" spans="1:21" s="79" customFormat="1" ht="13.2">
      <c r="A48" s="129" t="s">
        <v>1070</v>
      </c>
      <c r="B48" s="188"/>
      <c r="C48" s="188"/>
      <c r="D48" s="190"/>
      <c r="E48" s="287"/>
      <c r="F48" s="136">
        <f>Q48/20</f>
        <v>5233723.4000000004</v>
      </c>
      <c r="G48" s="190">
        <f t="shared" ref="G48" si="82">F48/F47-1</f>
        <v>-4.6557163297853088E-2</v>
      </c>
      <c r="H48" s="190">
        <f t="shared" ref="H48" si="83">F48/F36-1</f>
        <v>-0.23233081463711003</v>
      </c>
      <c r="I48" s="130">
        <f t="shared" si="0"/>
        <v>100.02503911555534</v>
      </c>
      <c r="J48" s="130">
        <f t="shared" si="5"/>
        <v>-4.2676904486517953E-2</v>
      </c>
      <c r="K48" s="136"/>
      <c r="L48" s="190"/>
      <c r="M48" s="190"/>
      <c r="N48" s="191"/>
      <c r="O48" s="192"/>
      <c r="P48" s="129" t="s">
        <v>1117</v>
      </c>
      <c r="Q48" s="116">
        <f>'OLDE패널(TV)'!Q48+'OLDE패널(TV) (2)'!Q48</f>
        <v>104674468</v>
      </c>
      <c r="R48" s="116">
        <f>'OLDE패널(TV)'!R48+'OLDE패널(TV) (2)'!R48</f>
        <v>145274050782</v>
      </c>
      <c r="S48" s="116">
        <f>'OLDE패널(TV)'!S48+'OLDE패널(TV) (2)'!S48</f>
        <v>1046482.6499999999</v>
      </c>
      <c r="T48" s="130">
        <f t="shared" ref="T48" si="84">Q48/S48</f>
        <v>100.02503911555534</v>
      </c>
      <c r="U48" s="85">
        <f t="shared" si="78"/>
        <v>309735863</v>
      </c>
    </row>
    <row r="49" spans="1:26" ht="13.2">
      <c r="A49" s="129" t="s">
        <v>1158</v>
      </c>
      <c r="B49" s="188">
        <f>SUM(F47:F49)</f>
        <v>15590044.939525694</v>
      </c>
      <c r="C49" s="188">
        <f>AVERAGE(F47:F49)</f>
        <v>5196681.6465085642</v>
      </c>
      <c r="D49" s="190">
        <f>C49/C46-1</f>
        <v>0.16278075604536868</v>
      </c>
      <c r="E49" s="287">
        <f>C49/C37-1</f>
        <v>-0.17155371742828474</v>
      </c>
      <c r="F49" s="136">
        <f>Q49/22</f>
        <v>4867032.4090909092</v>
      </c>
      <c r="G49" s="190">
        <f t="shared" ref="G49" si="85">F49/F48-1</f>
        <v>-7.0063120055043671E-2</v>
      </c>
      <c r="H49" s="190">
        <f t="shared" ref="H49" si="86">F49/F37-1</f>
        <v>-0.11255636691148074</v>
      </c>
      <c r="I49" s="130">
        <f t="shared" si="0"/>
        <v>99.875311064740373</v>
      </c>
      <c r="J49" s="130">
        <f t="shared" si="5"/>
        <v>-9.9342523758710666E-2</v>
      </c>
      <c r="K49" s="136">
        <f>R47+R48+R49</f>
        <v>467553642239</v>
      </c>
      <c r="L49" s="190">
        <f>U49/U46-1</f>
        <v>0.23852547726884898</v>
      </c>
      <c r="M49" s="190">
        <f>K49/K37-1</f>
        <v>-0.12588240624365998</v>
      </c>
      <c r="N49" s="191">
        <f>AVERAGE(T47:T49)</f>
        <v>100.33090152145742</v>
      </c>
      <c r="O49" s="192">
        <f>N49/N46-1</f>
        <v>2.5929150090014952E-2</v>
      </c>
      <c r="P49" s="129" t="s">
        <v>1159</v>
      </c>
      <c r="Q49" s="116">
        <f>'OLDE패널(TV)'!Q49+'OLDE패널(TV) (2)'!Q49</f>
        <v>107074713</v>
      </c>
      <c r="R49" s="116">
        <f>'OLDE패널(TV)'!R49+'OLDE패널(TV) (2)'!R49</f>
        <v>148799466640</v>
      </c>
      <c r="S49" s="116">
        <f>'OLDE패널(TV)'!S49+'OLDE패널(TV) (2)'!S49</f>
        <v>1072083.8999999999</v>
      </c>
      <c r="T49" s="130">
        <f t="shared" ref="T49" si="87">Q49/S49</f>
        <v>99.875311064740373</v>
      </c>
      <c r="U49" s="85">
        <f t="shared" si="78"/>
        <v>338002831</v>
      </c>
      <c r="V49" s="79"/>
      <c r="W49" s="79"/>
      <c r="X49" s="79"/>
      <c r="Y49" s="79"/>
      <c r="Z49" s="79"/>
    </row>
    <row r="50" spans="1:26" ht="13.2">
      <c r="A50" s="129" t="s">
        <v>1292</v>
      </c>
      <c r="B50" s="188"/>
      <c r="C50" s="188"/>
      <c r="D50" s="190"/>
      <c r="E50" s="287"/>
      <c r="F50" s="136">
        <f>Q50/18</f>
        <v>4618189.888888889</v>
      </c>
      <c r="G50" s="190">
        <f t="shared" ref="G50" si="88">F50/F49-1</f>
        <v>-5.1128182285619994E-2</v>
      </c>
      <c r="H50" s="190">
        <f t="shared" ref="H50" si="89">F50/F38-1</f>
        <v>-0.154092349353941</v>
      </c>
      <c r="I50" s="130">
        <f t="shared" ref="I50" si="90">T50</f>
        <v>104.76792949656796</v>
      </c>
      <c r="J50" s="130">
        <f t="shared" ref="J50" si="91">I50/I38-1</f>
        <v>9.2879184812228788E-2</v>
      </c>
      <c r="K50" s="136"/>
      <c r="L50" s="190"/>
      <c r="M50" s="190"/>
      <c r="N50" s="191"/>
      <c r="O50" s="192"/>
      <c r="P50" s="129" t="s">
        <v>1333</v>
      </c>
      <c r="Q50" s="116">
        <f>'OLDE패널(TV)'!Q50+'OLDE패널(TV) (2)'!Q50</f>
        <v>83127418</v>
      </c>
      <c r="R50" s="116">
        <f>'OLDE패널(TV)'!R50+'OLDE패널(TV) (2)'!R50</f>
        <v>117412828453</v>
      </c>
      <c r="S50" s="116">
        <f>'OLDE패널(TV)'!S50+'OLDE패널(TV) (2)'!S50</f>
        <v>793443.3600000001</v>
      </c>
      <c r="T50" s="130">
        <f t="shared" ref="T50" si="92">Q50/S50</f>
        <v>104.76792949656796</v>
      </c>
      <c r="U50" s="85">
        <f t="shared" si="78"/>
        <v>294876599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2882156.65</v>
      </c>
      <c r="G51" s="190">
        <f t="shared" ref="G51:G52" si="93">F51/F50-1</f>
        <v>-0.37591205226655788</v>
      </c>
      <c r="H51" s="190">
        <f t="shared" ref="H51:H52" si="94">F51/F39-1</f>
        <v>-0.18118240145166431</v>
      </c>
      <c r="I51" s="130">
        <f t="shared" ref="I51:I52" si="95">T51</f>
        <v>108.57640282684886</v>
      </c>
      <c r="J51" s="130">
        <f t="shared" ref="J51:J52" si="96">I51/I39-1</f>
        <v>0.10391420520145456</v>
      </c>
      <c r="K51" s="136"/>
      <c r="L51" s="190"/>
      <c r="M51" s="190"/>
      <c r="N51" s="191"/>
      <c r="O51" s="192"/>
      <c r="P51" s="129" t="s">
        <v>1402</v>
      </c>
      <c r="Q51" s="116">
        <f>'OLDE패널(TV)'!Q51+'OLDE패널(TV) (2)'!Q51</f>
        <v>57643133</v>
      </c>
      <c r="R51" s="116">
        <f>'OLDE패널(TV)'!R51+'OLDE패널(TV) (2)'!R51</f>
        <v>83502605052</v>
      </c>
      <c r="S51" s="116">
        <f>'OLDE패널(TV)'!S51+'OLDE패널(TV) (2)'!S51</f>
        <v>530899.27</v>
      </c>
      <c r="T51" s="130">
        <f t="shared" ref="T51:T52" si="97">Q51/S51</f>
        <v>108.57640282684886</v>
      </c>
      <c r="U51" s="85">
        <f t="shared" si="78"/>
        <v>247845264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11673193.811616162</v>
      </c>
      <c r="C52" s="188">
        <f>AVERAGE(F50:F52)</f>
        <v>3891064.6038720538</v>
      </c>
      <c r="D52" s="190">
        <f>C52/C49-1</f>
        <v>-0.25124052836942601</v>
      </c>
      <c r="E52" s="287">
        <f>C52/C40-1</f>
        <v>-0.21608972197985621</v>
      </c>
      <c r="F52" s="136">
        <f>Q52/22</f>
        <v>4172847.2727272729</v>
      </c>
      <c r="G52" s="190">
        <f t="shared" si="93"/>
        <v>0.44782112128682283</v>
      </c>
      <c r="H52" s="190">
        <f t="shared" si="94"/>
        <v>-0.29412939223428103</v>
      </c>
      <c r="I52" s="130">
        <f t="shared" si="95"/>
        <v>105.84959707514842</v>
      </c>
      <c r="J52" s="130">
        <f t="shared" si="96"/>
        <v>7.5119643221323251E-2</v>
      </c>
      <c r="K52" s="136">
        <f>R50+R51+R52</f>
        <v>335984457159</v>
      </c>
      <c r="L52" s="190">
        <f>U52/U49-1</f>
        <v>-0.31191939927864099</v>
      </c>
      <c r="M52" s="190">
        <f>K52/K40-1</f>
        <v>-0.21172476146630248</v>
      </c>
      <c r="N52" s="191">
        <f>AVERAGE(T50:T52)</f>
        <v>106.39797646618842</v>
      </c>
      <c r="O52" s="192">
        <f>N52/N49-1</f>
        <v>6.0470651142643828E-2</v>
      </c>
      <c r="P52" s="129" t="s">
        <v>1403</v>
      </c>
      <c r="Q52" s="116">
        <f>'OLDE패널(TV)'!Q52+'OLDE패널(TV) (2)'!Q52</f>
        <v>91802640</v>
      </c>
      <c r="R52" s="116">
        <f>'OLDE패널(TV)'!R52+'OLDE패널(TV) (2)'!R52</f>
        <v>135069023654</v>
      </c>
      <c r="S52" s="116">
        <f>'OLDE패널(TV)'!S52+'OLDE패널(TV) (2)'!S52</f>
        <v>867293.24</v>
      </c>
      <c r="T52" s="130">
        <f t="shared" si="97"/>
        <v>105.84959707514842</v>
      </c>
      <c r="U52" s="85">
        <f t="shared" ref="U52" si="98">Q50+Q51+Q52</f>
        <v>232573191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4232353.1428571427</v>
      </c>
      <c r="G53" s="190">
        <f t="shared" ref="G53" si="99">F53/F52-1</f>
        <v>1.4260255945331535E-2</v>
      </c>
      <c r="H53" s="190">
        <f t="shared" ref="H53" si="100">F53/F41-1</f>
        <v>-0.18716309060152225</v>
      </c>
      <c r="I53" s="130">
        <f t="shared" ref="I53" si="101">T53</f>
        <v>99.6577415815173</v>
      </c>
      <c r="J53" s="130">
        <f t="shared" ref="J53" si="102">I53/I41-1</f>
        <v>-5.115663942015114E-2</v>
      </c>
      <c r="K53" s="136"/>
      <c r="L53" s="190"/>
      <c r="M53" s="190"/>
      <c r="N53" s="191"/>
      <c r="O53" s="192"/>
      <c r="P53" s="129" t="s">
        <v>1414</v>
      </c>
      <c r="Q53" s="116">
        <f>'OLDE패널(TV)'!Q53+'OLDE패널(TV) (2)'!Q53</f>
        <v>88879416</v>
      </c>
      <c r="R53" s="116">
        <f>'OLDE패널(TV)'!R53+'OLDE패널(TV) (2)'!R53</f>
        <v>129951179842</v>
      </c>
      <c r="S53" s="116">
        <f>'OLDE패널(TV)'!S53+'OLDE패널(TV) (2)'!S53</f>
        <v>891846.58000000007</v>
      </c>
      <c r="T53" s="130">
        <f t="shared" ref="T53" si="103">Q53/S53</f>
        <v>99.6577415815173</v>
      </c>
      <c r="U53" s="85">
        <f t="shared" ref="U53" si="104">Q51+Q52+Q53</f>
        <v>238325189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6358627.2352941176</v>
      </c>
      <c r="G54" s="190">
        <f t="shared" ref="G54" si="105">F54/F53-1</f>
        <v>0.50238579359225843</v>
      </c>
      <c r="H54" s="190">
        <f t="shared" ref="H54" si="106">F54/F42-1</f>
        <v>0.42136262376929157</v>
      </c>
      <c r="I54" s="130">
        <f t="shared" ref="I54" si="107">T54</f>
        <v>105.13537277937829</v>
      </c>
      <c r="J54" s="130">
        <f t="shared" ref="J54" si="108">I54/I42-1</f>
        <v>6.242778406105054E-2</v>
      </c>
      <c r="K54" s="136"/>
      <c r="L54" s="190"/>
      <c r="M54" s="190"/>
      <c r="N54" s="191"/>
      <c r="O54" s="192"/>
      <c r="P54" s="129" t="s">
        <v>1417</v>
      </c>
      <c r="Q54" s="116">
        <f>'OLDE패널(TV)'!Q54+'OLDE패널(TV) (2)'!Q54</f>
        <v>108096663</v>
      </c>
      <c r="R54" s="116">
        <f>'OLDE패널(TV)'!R54+'OLDE패널(TV) (2)'!R54</f>
        <v>156687515704</v>
      </c>
      <c r="S54" s="116">
        <f>'OLDE패널(TV)'!S54+'OLDE패널(TV) (2)'!S54</f>
        <v>1028166.45</v>
      </c>
      <c r="T54" s="130">
        <f t="shared" ref="T54" si="109">Q54/S54</f>
        <v>105.13537277937829</v>
      </c>
      <c r="U54" s="85">
        <f t="shared" ref="U54" si="110">Q52+Q53+Q54</f>
        <v>288778719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14134824.18767507</v>
      </c>
      <c r="C55" s="196">
        <f>AVERAGE(F53:F55)</f>
        <v>4711608.0625583567</v>
      </c>
      <c r="D55" s="197">
        <f>C55/C52-1</f>
        <v>0.21087890904452422</v>
      </c>
      <c r="E55" s="233">
        <f>C55/C43-1</f>
        <v>8.2046886412423747E-2</v>
      </c>
      <c r="F55" s="136">
        <f>Q55/21</f>
        <v>3543843.8095238097</v>
      </c>
      <c r="G55" s="190">
        <f t="shared" ref="G55" si="111">F55/F54-1</f>
        <v>-0.44267155812289261</v>
      </c>
      <c r="H55" s="190">
        <f t="shared" ref="H55" si="112">F55/F43-1</f>
        <v>4.7687912512610175E-2</v>
      </c>
      <c r="I55" s="130">
        <f>T55</f>
        <v>104.09139858099144</v>
      </c>
      <c r="J55" s="130">
        <f t="shared" ref="J55" si="113">I55/I43-1</f>
        <v>0.20746600150948047</v>
      </c>
      <c r="K55" s="136">
        <f>R53+R54+R55</f>
        <v>396344110978</v>
      </c>
      <c r="L55" s="190">
        <f>U55/U52-1</f>
        <v>0.16693071042741114</v>
      </c>
      <c r="M55" s="190">
        <f>K55/K43-1</f>
        <v>8.6602854145319874E-2</v>
      </c>
      <c r="N55" s="191">
        <f>AVERAGE(T53:T55)</f>
        <v>102.96150431396234</v>
      </c>
      <c r="O55" s="192">
        <f>N55/N52-1</f>
        <v>-3.2298284858059745E-2</v>
      </c>
      <c r="P55" s="129" t="s">
        <v>1418</v>
      </c>
      <c r="Q55" s="116">
        <f>'OLDE패널(TV)'!Q55+'OLDE패널(TV) (2)'!Q55</f>
        <v>74420720</v>
      </c>
      <c r="R55" s="116">
        <f>'OLDE패널(TV)'!R55+'OLDE패널(TV) (2)'!R55</f>
        <v>109705415432</v>
      </c>
      <c r="S55" s="116">
        <f>'OLDE패널(TV)'!S55+'OLDE패널(TV) (2)'!S55</f>
        <v>714955.52</v>
      </c>
      <c r="T55" s="130">
        <f t="shared" ref="T55" si="114">Q55/S55</f>
        <v>104.09139858099144</v>
      </c>
      <c r="U55" s="85">
        <f t="shared" ref="U55" si="115">Q53+Q54+Q55</f>
        <v>271396799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1560565.5</v>
      </c>
      <c r="G56" s="254">
        <f t="shared" ref="G56" si="116">F56/F55-1</f>
        <v>-0.55964044018923764</v>
      </c>
      <c r="H56" s="254">
        <f t="shared" ref="H56" si="117">F56/F44-1</f>
        <v>-0.64947502177122984</v>
      </c>
      <c r="I56" s="282">
        <f>T56</f>
        <v>103.08107814309547</v>
      </c>
      <c r="J56" s="277">
        <f t="shared" ref="J56" si="118">I56/I44-1</f>
        <v>8.1502022079581682E-2</v>
      </c>
      <c r="K56" s="204"/>
      <c r="L56" s="254"/>
      <c r="M56" s="254"/>
      <c r="N56" s="257"/>
      <c r="O56" s="258"/>
      <c r="P56" s="129" t="s">
        <v>1420</v>
      </c>
      <c r="Q56" s="116">
        <f>'OLDE패널(TV)'!Q56+'OLDE패널(TV) (2)'!Q56</f>
        <v>21847917</v>
      </c>
      <c r="R56" s="116">
        <f>'OLDE패널(TV)'!R56+'OLDE패널(TV) (2)'!R56</f>
        <v>32996382471</v>
      </c>
      <c r="S56" s="116">
        <f>'OLDE패널(TV)'!S56+'OLDE패널(TV) (2)'!S56</f>
        <v>211948.86</v>
      </c>
      <c r="T56" s="130">
        <f t="shared" ref="T56" si="119">Q56/S56</f>
        <v>103.08107814309547</v>
      </c>
      <c r="U56" s="85">
        <f t="shared" ref="U56" si="120">Q54+Q55+Q56</f>
        <v>204365300</v>
      </c>
      <c r="V56" s="79"/>
      <c r="W56" s="79"/>
      <c r="X56" s="79"/>
      <c r="Y56" s="79"/>
      <c r="Z56" s="79"/>
    </row>
  </sheetData>
  <phoneticPr fontId="1" type="noConversion"/>
  <conditionalFormatting sqref="C29:C30">
    <cfRule type="cellIs" dxfId="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59"/>
  <dimension ref="A1:Z72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4479022.3499999996</v>
      </c>
      <c r="G5" s="90"/>
      <c r="H5" s="90"/>
      <c r="I5" s="130">
        <f t="shared" ref="I5:I49" si="0">T5</f>
        <v>144.77692456752595</v>
      </c>
      <c r="J5" s="130"/>
      <c r="L5" s="80"/>
      <c r="M5" s="80"/>
      <c r="P5" s="129" t="s">
        <v>0</v>
      </c>
      <c r="Q5" s="116">
        <v>89580447</v>
      </c>
      <c r="R5" s="116"/>
      <c r="S5" s="116">
        <v>618748.1</v>
      </c>
      <c r="T5" s="130">
        <f t="shared" ref="T5:T21" si="1">Q5/S5</f>
        <v>144.77692456752595</v>
      </c>
      <c r="U5" s="85"/>
    </row>
    <row r="6" spans="1:21" ht="15" hidden="1" customHeight="1">
      <c r="A6" s="129" t="s">
        <v>1</v>
      </c>
      <c r="C6" s="79"/>
      <c r="F6" s="78">
        <f>Q6/18</f>
        <v>4218030.444444444</v>
      </c>
      <c r="G6" s="90">
        <f t="shared" ref="G6:G16" si="2">F6/F5-1</f>
        <v>-5.8269837737147223E-2</v>
      </c>
      <c r="H6" s="90"/>
      <c r="I6" s="130">
        <f t="shared" si="0"/>
        <v>176.70251706873856</v>
      </c>
      <c r="J6" s="130"/>
      <c r="P6" s="129" t="s">
        <v>1</v>
      </c>
      <c r="Q6" s="116">
        <v>75924548</v>
      </c>
      <c r="R6" s="116"/>
      <c r="S6" s="116">
        <v>429674.4</v>
      </c>
      <c r="T6" s="130">
        <f t="shared" si="1"/>
        <v>176.70251706873856</v>
      </c>
      <c r="U6" s="85"/>
    </row>
    <row r="7" spans="1:21" ht="15" hidden="1" customHeight="1">
      <c r="A7" s="129" t="s">
        <v>2</v>
      </c>
      <c r="B7" s="131">
        <f>F5+F6+F7</f>
        <v>13451431.521717172</v>
      </c>
      <c r="C7" s="131">
        <f>AVERAGE(F5:F7)</f>
        <v>4483810.5072390577</v>
      </c>
      <c r="F7" s="78">
        <f>Q7/22</f>
        <v>4754378.7272727275</v>
      </c>
      <c r="G7" s="90">
        <f t="shared" si="2"/>
        <v>0.12715609569264874</v>
      </c>
      <c r="H7" s="90"/>
      <c r="I7" s="130">
        <f t="shared" si="0"/>
        <v>145.86662386274779</v>
      </c>
      <c r="J7" s="130"/>
      <c r="K7" s="79">
        <f>R5+R6+R7</f>
        <v>0</v>
      </c>
      <c r="N7" s="88">
        <f>AVERAGE(T5:T7)</f>
        <v>155.78202183300411</v>
      </c>
      <c r="P7" s="129" t="s">
        <v>2</v>
      </c>
      <c r="Q7" s="116">
        <v>104596332</v>
      </c>
      <c r="R7" s="116"/>
      <c r="S7" s="116">
        <v>717068.3</v>
      </c>
      <c r="T7" s="130">
        <f t="shared" si="1"/>
        <v>145.86662386274779</v>
      </c>
      <c r="U7" s="85">
        <f>Q5+Q6+Q7</f>
        <v>270101327</v>
      </c>
    </row>
    <row r="8" spans="1:21" ht="15" hidden="1" customHeight="1">
      <c r="A8" s="129" t="s">
        <v>3</v>
      </c>
      <c r="C8" s="79"/>
      <c r="F8" s="78">
        <f>Q8/21</f>
        <v>4138098.3809523811</v>
      </c>
      <c r="G8" s="90">
        <f t="shared" si="2"/>
        <v>-0.1296237388042214</v>
      </c>
      <c r="H8" s="90"/>
      <c r="I8" s="130">
        <f t="shared" si="0"/>
        <v>156.09726594678759</v>
      </c>
      <c r="J8" s="130"/>
      <c r="K8" s="78"/>
      <c r="P8" s="129" t="s">
        <v>3</v>
      </c>
      <c r="Q8" s="116">
        <v>86900066</v>
      </c>
      <c r="R8" s="116"/>
      <c r="S8" s="116">
        <v>556704.6</v>
      </c>
      <c r="T8" s="130">
        <f t="shared" si="1"/>
        <v>156.09726594678759</v>
      </c>
      <c r="U8" s="85"/>
    </row>
    <row r="9" spans="1:21" ht="15" hidden="1" customHeight="1">
      <c r="A9" s="129" t="s">
        <v>4</v>
      </c>
      <c r="C9" s="79"/>
      <c r="F9" s="78">
        <f>Q9/21</f>
        <v>2289097.1904761903</v>
      </c>
      <c r="G9" s="90">
        <f t="shared" si="2"/>
        <v>-0.44682388388519756</v>
      </c>
      <c r="H9" s="90"/>
      <c r="I9" s="130">
        <f t="shared" si="0"/>
        <v>128.54357163695502</v>
      </c>
      <c r="J9" s="130"/>
      <c r="K9" s="78"/>
      <c r="P9" s="129" t="s">
        <v>4</v>
      </c>
      <c r="Q9" s="116">
        <v>48071041</v>
      </c>
      <c r="R9" s="116"/>
      <c r="S9" s="116">
        <v>373966.9</v>
      </c>
      <c r="T9" s="130">
        <f t="shared" si="1"/>
        <v>128.54357163695502</v>
      </c>
      <c r="U9" s="85"/>
    </row>
    <row r="10" spans="1:21" ht="15" hidden="1" customHeight="1">
      <c r="A10" s="129" t="s">
        <v>5</v>
      </c>
      <c r="B10" s="131">
        <f>F8+F9+F10</f>
        <v>8802056.8571428563</v>
      </c>
      <c r="C10" s="131">
        <f>AVERAGE(F8:F10)</f>
        <v>2934018.952380952</v>
      </c>
      <c r="D10" s="90">
        <f>C10/C7-1</f>
        <v>-0.34564162610261651</v>
      </c>
      <c r="E10" s="286"/>
      <c r="F10" s="78">
        <f>Q10/21</f>
        <v>2374861.2857142859</v>
      </c>
      <c r="G10" s="90">
        <f t="shared" si="2"/>
        <v>3.7466340701879375E-2</v>
      </c>
      <c r="H10" s="90"/>
      <c r="I10" s="130">
        <f t="shared" si="0"/>
        <v>220.3454555817261</v>
      </c>
      <c r="J10" s="130"/>
      <c r="K10" s="79">
        <f>R8+R9+R10</f>
        <v>0</v>
      </c>
      <c r="L10" s="87">
        <f>U10/U7-1</f>
        <v>-0.31565240329233923</v>
      </c>
      <c r="N10" s="88">
        <f>AVERAGE(T8:T10)</f>
        <v>168.32876438848959</v>
      </c>
      <c r="O10" s="89">
        <f>N10/N7-1</f>
        <v>8.0540375634201133E-2</v>
      </c>
      <c r="P10" s="129" t="s">
        <v>5</v>
      </c>
      <c r="Q10" s="116">
        <v>49872087</v>
      </c>
      <c r="R10" s="116"/>
      <c r="S10" s="116">
        <v>226335.9</v>
      </c>
      <c r="T10" s="130">
        <f t="shared" si="1"/>
        <v>220.3454555817261</v>
      </c>
      <c r="U10" s="85">
        <f>Q8+Q9+Q10</f>
        <v>184843194</v>
      </c>
    </row>
    <row r="11" spans="1:21" ht="15" hidden="1" customHeight="1">
      <c r="A11" s="129" t="s">
        <v>6</v>
      </c>
      <c r="C11" s="79"/>
      <c r="F11" s="78">
        <f>Q11/21</f>
        <v>3421536.6190476189</v>
      </c>
      <c r="G11" s="90">
        <f t="shared" si="2"/>
        <v>0.44073114485864595</v>
      </c>
      <c r="H11" s="90"/>
      <c r="I11" s="130">
        <f t="shared" si="0"/>
        <v>117.81121222351516</v>
      </c>
      <c r="J11" s="130"/>
      <c r="K11" s="78"/>
      <c r="O11" s="89"/>
      <c r="P11" s="129" t="s">
        <v>6</v>
      </c>
      <c r="Q11" s="116">
        <v>71852269</v>
      </c>
      <c r="R11" s="116"/>
      <c r="S11" s="116">
        <v>609893.30000000005</v>
      </c>
      <c r="T11" s="130">
        <f t="shared" si="1"/>
        <v>117.81121222351516</v>
      </c>
      <c r="U11" s="85"/>
    </row>
    <row r="12" spans="1:21" ht="15" hidden="1" customHeight="1">
      <c r="A12" s="129" t="s">
        <v>7</v>
      </c>
      <c r="C12" s="79"/>
      <c r="F12" s="78">
        <f>Q12/22</f>
        <v>3349040.0454545454</v>
      </c>
      <c r="G12" s="90">
        <f t="shared" si="2"/>
        <v>-2.1188308548120371E-2</v>
      </c>
      <c r="H12" s="90"/>
      <c r="I12" s="130">
        <f t="shared" si="0"/>
        <v>125.26061250445636</v>
      </c>
      <c r="J12" s="130"/>
      <c r="K12" s="78"/>
      <c r="O12" s="89"/>
      <c r="P12" s="129" t="s">
        <v>7</v>
      </c>
      <c r="Q12" s="116">
        <v>73678881</v>
      </c>
      <c r="R12" s="116"/>
      <c r="S12" s="116">
        <v>588204.69999999995</v>
      </c>
      <c r="T12" s="130">
        <f t="shared" si="1"/>
        <v>125.26061250445636</v>
      </c>
      <c r="U12" s="85"/>
    </row>
    <row r="13" spans="1:21" ht="15" hidden="1" customHeight="1">
      <c r="A13" s="129" t="s">
        <v>96</v>
      </c>
      <c r="B13" s="131">
        <f>F11+F12+F13</f>
        <v>8566295.3145021647</v>
      </c>
      <c r="C13" s="131">
        <f>AVERAGE(F11:F13)</f>
        <v>2855431.7715007216</v>
      </c>
      <c r="D13" s="90">
        <f>C13/C10-1</f>
        <v>-2.6784823873225894E-2</v>
      </c>
      <c r="E13" s="286"/>
      <c r="F13" s="78">
        <f>Q13/20</f>
        <v>1795718.65</v>
      </c>
      <c r="G13" s="90">
        <f t="shared" si="2"/>
        <v>-0.46381093518507699</v>
      </c>
      <c r="H13" s="90"/>
      <c r="I13" s="130">
        <f t="shared" si="0"/>
        <v>115.90579629462887</v>
      </c>
      <c r="J13" s="130"/>
      <c r="K13" s="78">
        <f>R11+R12+R13</f>
        <v>0</v>
      </c>
      <c r="L13" s="87">
        <f>U13/U10-1</f>
        <v>-1.838136923775513E-2</v>
      </c>
      <c r="N13" s="88">
        <f>AVERAGE(T11:T13)</f>
        <v>119.65920700753345</v>
      </c>
      <c r="O13" s="89">
        <f>N13/N10-1</f>
        <v>-0.28913393119568453</v>
      </c>
      <c r="P13" s="129" t="s">
        <v>96</v>
      </c>
      <c r="Q13" s="116">
        <v>35914373</v>
      </c>
      <c r="R13" s="116"/>
      <c r="S13" s="116">
        <v>309858.3</v>
      </c>
      <c r="T13" s="130">
        <f t="shared" si="1"/>
        <v>115.90579629462887</v>
      </c>
      <c r="U13" s="85">
        <f>Q11+Q12+Q13</f>
        <v>181445523</v>
      </c>
    </row>
    <row r="14" spans="1:21" ht="15" hidden="1" customHeight="1">
      <c r="A14" s="129" t="s">
        <v>97</v>
      </c>
      <c r="C14" s="79"/>
      <c r="F14" s="78">
        <f>Q14/20</f>
        <v>1012497.25</v>
      </c>
      <c r="G14" s="90">
        <f t="shared" si="2"/>
        <v>-0.43616041967376118</v>
      </c>
      <c r="H14" s="90"/>
      <c r="I14" s="130">
        <f t="shared" si="0"/>
        <v>126.8653644710859</v>
      </c>
      <c r="J14" s="130"/>
      <c r="O14" s="89"/>
      <c r="P14" s="129" t="s">
        <v>97</v>
      </c>
      <c r="Q14" s="116">
        <v>20249945</v>
      </c>
      <c r="R14" s="116"/>
      <c r="S14" s="116">
        <v>159617.60000000001</v>
      </c>
      <c r="T14" s="130">
        <f t="shared" si="1"/>
        <v>126.8653644710859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470413.18181818182</v>
      </c>
      <c r="G15" s="90">
        <f t="shared" si="2"/>
        <v>-0.53539312643250947</v>
      </c>
      <c r="H15" s="90"/>
      <c r="I15" s="130">
        <f t="shared" si="0"/>
        <v>121.93934780866917</v>
      </c>
      <c r="J15" s="130"/>
      <c r="O15" s="89"/>
      <c r="P15" s="129" t="s">
        <v>98</v>
      </c>
      <c r="Q15" s="116">
        <v>10349090</v>
      </c>
      <c r="R15" s="116"/>
      <c r="S15" s="116">
        <v>84870.8</v>
      </c>
      <c r="T15" s="130">
        <f t="shared" si="1"/>
        <v>121.93934780866917</v>
      </c>
      <c r="U15" s="85"/>
    </row>
    <row r="16" spans="1:21" ht="15" hidden="1" customHeight="1">
      <c r="A16" s="129" t="s">
        <v>99</v>
      </c>
      <c r="B16" s="131">
        <f>F14+F15+F16</f>
        <v>2457462.3863636367</v>
      </c>
      <c r="C16" s="131">
        <f>AVERAGE(F14:F16)</f>
        <v>819154.1287878789</v>
      </c>
      <c r="D16" s="90">
        <f>C16/C13-1</f>
        <v>-0.71312425078279551</v>
      </c>
      <c r="E16" s="286"/>
      <c r="F16" s="78">
        <f>Q16/22</f>
        <v>974551.95454545459</v>
      </c>
      <c r="G16" s="90">
        <f t="shared" si="2"/>
        <v>1.0716935498676694</v>
      </c>
      <c r="H16" s="90"/>
      <c r="I16" s="130">
        <f t="shared" si="0"/>
        <v>152.71725201953686</v>
      </c>
      <c r="J16" s="130"/>
      <c r="K16" s="78">
        <f>R14+R15+R16</f>
        <v>0</v>
      </c>
      <c r="L16" s="87">
        <f>U16/U13-1</f>
        <v>-0.71319668217991805</v>
      </c>
      <c r="N16" s="88">
        <f>AVERAGE(T14:T16)</f>
        <v>133.84065476643062</v>
      </c>
      <c r="O16" s="89">
        <f>N16/N13-1</f>
        <v>0.11851530787768239</v>
      </c>
      <c r="P16" s="129" t="s">
        <v>99</v>
      </c>
      <c r="Q16" s="116">
        <v>21440143</v>
      </c>
      <c r="R16" s="116"/>
      <c r="S16" s="116">
        <v>140391.1</v>
      </c>
      <c r="T16" s="130">
        <f t="shared" si="1"/>
        <v>152.71725201953686</v>
      </c>
      <c r="U16" s="85">
        <f>Q14+Q15+Q16</f>
        <v>52039178</v>
      </c>
    </row>
    <row r="17" spans="1:21" ht="15" hidden="1" customHeight="1">
      <c r="A17" s="129" t="s">
        <v>100</v>
      </c>
      <c r="C17" s="79"/>
      <c r="F17" s="78">
        <f>Q17/20</f>
        <v>945998.65</v>
      </c>
      <c r="G17" s="90">
        <f t="shared" ref="G17:G22" si="3">F17/F16-1</f>
        <v>-2.9298904396300007E-2</v>
      </c>
      <c r="H17" s="90">
        <f t="shared" ref="H17:H22" si="4">F17/F5-1</f>
        <v>-0.78879349642003904</v>
      </c>
      <c r="I17" s="130">
        <f t="shared" si="0"/>
        <v>180.85300224059219</v>
      </c>
      <c r="J17" s="130">
        <f t="shared" ref="J17:J49" si="5">I17/I5-1</f>
        <v>0.2491838929500112</v>
      </c>
      <c r="O17" s="89"/>
      <c r="P17" s="129" t="s">
        <v>100</v>
      </c>
      <c r="Q17" s="116">
        <v>18919973</v>
      </c>
      <c r="R17" s="116">
        <v>23790873118</v>
      </c>
      <c r="S17" s="116">
        <v>104615.2</v>
      </c>
      <c r="T17" s="130">
        <f t="shared" si="1"/>
        <v>180.85300224059219</v>
      </c>
      <c r="U17" s="78"/>
    </row>
    <row r="18" spans="1:21" hidden="1">
      <c r="A18" s="129" t="s">
        <v>106</v>
      </c>
      <c r="C18" s="79"/>
      <c r="F18" s="78">
        <f>Q18/20</f>
        <v>1003727.65</v>
      </c>
      <c r="G18" s="90">
        <f t="shared" si="3"/>
        <v>6.1024399981966182E-2</v>
      </c>
      <c r="H18" s="90">
        <f t="shared" si="4"/>
        <v>-0.7620387848736353</v>
      </c>
      <c r="I18" s="130">
        <f t="shared" si="0"/>
        <v>164.51247905133806</v>
      </c>
      <c r="J18" s="130">
        <f t="shared" si="5"/>
        <v>-6.8986216040479387E-2</v>
      </c>
      <c r="O18" s="89"/>
      <c r="P18" s="129" t="s">
        <v>106</v>
      </c>
      <c r="Q18" s="116">
        <v>20074553</v>
      </c>
      <c r="R18" s="116">
        <v>25364195787</v>
      </c>
      <c r="S18" s="116">
        <v>122024.5</v>
      </c>
      <c r="T18" s="130">
        <f t="shared" si="1"/>
        <v>164.51247905133806</v>
      </c>
      <c r="U18" s="78"/>
    </row>
    <row r="19" spans="1:21" hidden="1">
      <c r="A19" s="129" t="s">
        <v>114</v>
      </c>
      <c r="B19" s="131">
        <f>SUM(F17:F19)</f>
        <v>3552757.7545454549</v>
      </c>
      <c r="C19" s="131">
        <f>AVERAGE(F17:F19)</f>
        <v>1184252.584848485</v>
      </c>
      <c r="D19" s="90">
        <f>C19/C16-1</f>
        <v>0.4457017833760426</v>
      </c>
      <c r="E19" s="286">
        <f>C19/C7-1</f>
        <v>-0.73588255281160442</v>
      </c>
      <c r="F19" s="78">
        <f>Q19/22</f>
        <v>1603031.4545454546</v>
      </c>
      <c r="G19" s="90">
        <f t="shared" si="3"/>
        <v>0.59707810634234759</v>
      </c>
      <c r="H19" s="90">
        <f t="shared" si="4"/>
        <v>-0.66283050919988284</v>
      </c>
      <c r="I19" s="130">
        <f t="shared" si="0"/>
        <v>154.17449888587876</v>
      </c>
      <c r="J19" s="130">
        <f t="shared" si="5"/>
        <v>5.6955284239307735E-2</v>
      </c>
      <c r="K19" s="78">
        <f>R17+R18+R19</f>
        <v>95218474687</v>
      </c>
      <c r="L19" s="87">
        <f>U19/U16-1</f>
        <v>0.42702519244250947</v>
      </c>
      <c r="M19" s="87">
        <f>U19/U7-1</f>
        <v>-0.72506163214814567</v>
      </c>
      <c r="N19" s="88">
        <f>AVERAGE(T17:T19)</f>
        <v>166.51332672593631</v>
      </c>
      <c r="O19" s="89">
        <f>N19/N16-1</f>
        <v>0.24411619934558559</v>
      </c>
      <c r="P19" s="129" t="s">
        <v>114</v>
      </c>
      <c r="Q19" s="116">
        <v>35266692</v>
      </c>
      <c r="R19" s="116">
        <v>46063405782</v>
      </c>
      <c r="S19" s="116">
        <v>228745.3</v>
      </c>
      <c r="T19" s="130">
        <f t="shared" si="1"/>
        <v>154.17449888587876</v>
      </c>
      <c r="U19" s="85">
        <f>Q17+Q18+Q19</f>
        <v>74261218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2027231.65</v>
      </c>
      <c r="G20" s="90">
        <f t="shared" si="3"/>
        <v>0.26462375036479169</v>
      </c>
      <c r="H20" s="90">
        <f t="shared" si="4"/>
        <v>-0.51010549692793106</v>
      </c>
      <c r="I20" s="130">
        <f t="shared" si="0"/>
        <v>167.23174004251672</v>
      </c>
      <c r="J20" s="130">
        <f t="shared" si="5"/>
        <v>7.1330359492169482E-2</v>
      </c>
      <c r="O20" s="89"/>
      <c r="P20" s="129" t="s">
        <v>131</v>
      </c>
      <c r="Q20" s="116">
        <v>40544633</v>
      </c>
      <c r="R20" s="116">
        <v>53268730822</v>
      </c>
      <c r="S20" s="116">
        <v>242445.8</v>
      </c>
      <c r="T20" s="130">
        <f t="shared" si="1"/>
        <v>167.23174004251672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2218790.7619047621</v>
      </c>
      <c r="G21" s="90">
        <f t="shared" si="3"/>
        <v>9.4492956394382599E-2</v>
      </c>
      <c r="H21" s="90">
        <f t="shared" si="4"/>
        <v>-3.0713605723661996E-2</v>
      </c>
      <c r="I21" s="130">
        <f t="shared" si="0"/>
        <v>167.09373501675256</v>
      </c>
      <c r="J21" s="130">
        <f t="shared" si="5"/>
        <v>0.29989958182175447</v>
      </c>
      <c r="O21" s="89"/>
      <c r="P21" s="129" t="s">
        <v>141</v>
      </c>
      <c r="Q21" s="116">
        <v>46594606</v>
      </c>
      <c r="R21" s="116">
        <v>62049139062</v>
      </c>
      <c r="S21" s="116">
        <v>278853.09999999998</v>
      </c>
      <c r="T21" s="130">
        <f t="shared" si="1"/>
        <v>167.09373501675256</v>
      </c>
      <c r="U21" s="78"/>
    </row>
    <row r="22" spans="1:21" hidden="1">
      <c r="A22" s="129" t="s">
        <v>156</v>
      </c>
      <c r="B22" s="131">
        <f>SUM(F20:F22)</f>
        <v>5643620.9357142858</v>
      </c>
      <c r="C22" s="131">
        <f>AVERAGE(F20:F22)</f>
        <v>1881206.9785714287</v>
      </c>
      <c r="D22" s="90">
        <f>C22/C19-1</f>
        <v>0.58851836393678902</v>
      </c>
      <c r="E22" s="286">
        <f>C22/C10-1</f>
        <v>-0.35882930236533339</v>
      </c>
      <c r="F22" s="78">
        <f>Q22/21</f>
        <v>1397598.5238095238</v>
      </c>
      <c r="G22" s="90">
        <f t="shared" si="3"/>
        <v>-0.37010801207332888</v>
      </c>
      <c r="H22" s="90">
        <f t="shared" si="4"/>
        <v>-0.41150309189988388</v>
      </c>
      <c r="I22" s="130">
        <f t="shared" si="0"/>
        <v>156.16406992422074</v>
      </c>
      <c r="J22" s="130">
        <f t="shared" si="5"/>
        <v>-0.29127619395672311</v>
      </c>
      <c r="K22" s="78">
        <f>R20+R21+R22</f>
        <v>153433547161</v>
      </c>
      <c r="L22" s="87">
        <f>U22/U19-1</f>
        <v>0.5686358389650974</v>
      </c>
      <c r="M22" s="87">
        <f>U22/U10-1</f>
        <v>-0.3697966071718064</v>
      </c>
      <c r="N22" s="88">
        <f>AVERAGE(T20:T22)</f>
        <v>163.49651499449666</v>
      </c>
      <c r="O22" s="89">
        <f>N22/N19-1</f>
        <v>-1.811753924300008E-2</v>
      </c>
      <c r="P22" s="129" t="s">
        <v>156</v>
      </c>
      <c r="Q22" s="116">
        <v>29349569</v>
      </c>
      <c r="R22" s="116">
        <v>38115677277</v>
      </c>
      <c r="S22" s="116">
        <v>187940.6</v>
      </c>
      <c r="T22" s="130">
        <f t="shared" ref="T22:T23" si="6">Q22/S22</f>
        <v>156.16406992422074</v>
      </c>
      <c r="U22" s="85">
        <f>Q20+Q21+Q22</f>
        <v>116488808</v>
      </c>
    </row>
    <row r="23" spans="1:21" hidden="1">
      <c r="A23" s="129" t="s">
        <v>189</v>
      </c>
      <c r="B23" s="131"/>
      <c r="C23" s="131"/>
      <c r="F23" s="78">
        <f>Q23/21</f>
        <v>3924800.6666666665</v>
      </c>
      <c r="G23" s="90">
        <f t="shared" ref="G23" si="7">F23/F22-1</f>
        <v>1.8082461449433889</v>
      </c>
      <c r="H23" s="90">
        <f t="shared" ref="H23" si="8">F23/F11-1</f>
        <v>0.14708714348324903</v>
      </c>
      <c r="I23" s="130">
        <f t="shared" si="0"/>
        <v>172.89132716906255</v>
      </c>
      <c r="J23" s="130">
        <f t="shared" si="5"/>
        <v>0.46752863251290266</v>
      </c>
      <c r="O23" s="89"/>
      <c r="P23" s="129" t="s">
        <v>189</v>
      </c>
      <c r="Q23" s="116">
        <v>82420814</v>
      </c>
      <c r="R23" s="116">
        <v>106329536196</v>
      </c>
      <c r="S23" s="116">
        <v>476720.35</v>
      </c>
      <c r="T23" s="130">
        <f t="shared" si="6"/>
        <v>172.89132716906255</v>
      </c>
      <c r="U23" s="78"/>
    </row>
    <row r="24" spans="1:21" hidden="1">
      <c r="A24" s="129" t="s">
        <v>204</v>
      </c>
      <c r="B24" s="131"/>
      <c r="C24" s="131"/>
      <c r="F24" s="78">
        <f>Q24/22</f>
        <v>2413325.2727272729</v>
      </c>
      <c r="G24" s="90">
        <f t="shared" ref="G24" si="9">F24/F23-1</f>
        <v>-0.38510883030986887</v>
      </c>
      <c r="H24" s="90">
        <f t="shared" ref="H24" si="10">F24/F12-1</f>
        <v>-0.27939790507947582</v>
      </c>
      <c r="I24" s="130">
        <f t="shared" si="0"/>
        <v>179.96657545828921</v>
      </c>
      <c r="J24" s="130">
        <f t="shared" si="5"/>
        <v>0.43673715033036897</v>
      </c>
      <c r="O24" s="89"/>
      <c r="P24" s="129" t="s">
        <v>204</v>
      </c>
      <c r="Q24" s="116">
        <v>53093156</v>
      </c>
      <c r="R24" s="116">
        <v>69401966443</v>
      </c>
      <c r="S24" s="116">
        <v>295016.76</v>
      </c>
      <c r="T24" s="130">
        <f t="shared" ref="T24" si="11">Q24/S24</f>
        <v>179.96657545828921</v>
      </c>
      <c r="U24" s="78"/>
    </row>
    <row r="25" spans="1:21" s="79" customFormat="1" ht="13.2" hidden="1">
      <c r="A25" s="129" t="s">
        <v>218</v>
      </c>
      <c r="B25" s="131">
        <f>SUM(F23:F25)</f>
        <v>8708830.2551834136</v>
      </c>
      <c r="C25" s="131">
        <f>AVERAGE(F23:F25)</f>
        <v>2902943.4183944711</v>
      </c>
      <c r="D25" s="90">
        <f>C25/C22-1</f>
        <v>0.54312813606450661</v>
      </c>
      <c r="E25" s="286">
        <f>C25/C13-1</f>
        <v>1.6639041201386817E-2</v>
      </c>
      <c r="F25" s="78">
        <f>Q25/19</f>
        <v>2370704.3157894737</v>
      </c>
      <c r="G25" s="90">
        <f t="shared" ref="G25" si="12">F25/F24-1</f>
        <v>-1.7660676502854411E-2</v>
      </c>
      <c r="H25" s="90">
        <f t="shared" ref="H25" si="13">F25/F13-1</f>
        <v>0.32019808102425951</v>
      </c>
      <c r="I25" s="130">
        <f t="shared" si="0"/>
        <v>185.44292582592894</v>
      </c>
      <c r="J25" s="130">
        <f t="shared" si="5"/>
        <v>0.59994522926652327</v>
      </c>
      <c r="K25" s="78">
        <f>R23+R24+R25</f>
        <v>235491210122</v>
      </c>
      <c r="L25" s="90">
        <f>U25/U22-1</f>
        <v>0.54999742121148665</v>
      </c>
      <c r="M25" s="90">
        <f>U25/U13-1</f>
        <v>-4.8949733524149552E-3</v>
      </c>
      <c r="N25" s="88">
        <f>AVERAGE(T23:T25)</f>
        <v>179.43360948442691</v>
      </c>
      <c r="O25" s="91">
        <f>N25/N22-1</f>
        <v>9.7476661753106431E-2</v>
      </c>
      <c r="P25" s="129" t="s">
        <v>220</v>
      </c>
      <c r="Q25" s="116">
        <v>45043382</v>
      </c>
      <c r="R25" s="116">
        <v>59759707483</v>
      </c>
      <c r="S25" s="116">
        <v>242896.2</v>
      </c>
      <c r="T25" s="130">
        <f t="shared" ref="T25" si="14">Q25/S25</f>
        <v>185.44292582592894</v>
      </c>
      <c r="U25" s="85">
        <f>Q23+Q24+Q25</f>
        <v>180557352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2435253.7368421052</v>
      </c>
      <c r="G26" s="90">
        <f t="shared" ref="G26" si="15">F26/F25-1</f>
        <v>2.7227951045061261E-2</v>
      </c>
      <c r="H26" s="90">
        <f t="shared" ref="H26" si="16">F26/F14-1</f>
        <v>1.4051954085229417</v>
      </c>
      <c r="I26" s="130">
        <f t="shared" si="0"/>
        <v>171.38792530909768</v>
      </c>
      <c r="J26" s="130">
        <f t="shared" si="5"/>
        <v>0.35094338808413705</v>
      </c>
      <c r="L26" s="90"/>
      <c r="M26" s="90"/>
      <c r="P26" s="129" t="s">
        <v>312</v>
      </c>
      <c r="Q26" s="116">
        <v>46269821</v>
      </c>
      <c r="R26" s="116">
        <v>62421409462</v>
      </c>
      <c r="S26" s="116">
        <v>269971.3</v>
      </c>
      <c r="T26" s="130">
        <f t="shared" ref="T26" si="17">Q26/S26</f>
        <v>171.38792530909768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86"/>
      <c r="F27" s="78">
        <f>Q27/22</f>
        <v>1596225.1818181819</v>
      </c>
      <c r="G27" s="90">
        <f t="shared" ref="G27" si="18">F27/F26-1</f>
        <v>-0.34453434659828364</v>
      </c>
      <c r="H27" s="90">
        <f t="shared" ref="H27" si="19">F27/F15-1</f>
        <v>2.3932407583661948</v>
      </c>
      <c r="I27" s="130">
        <f t="shared" si="0"/>
        <v>163.64071596227177</v>
      </c>
      <c r="J27" s="130">
        <f t="shared" si="5"/>
        <v>0.34198451035702426</v>
      </c>
      <c r="L27" s="90"/>
      <c r="M27" s="90"/>
      <c r="P27" s="129" t="s">
        <v>375</v>
      </c>
      <c r="Q27" s="116">
        <v>35116954</v>
      </c>
      <c r="R27" s="116">
        <v>46622033500</v>
      </c>
      <c r="S27" s="116">
        <v>214597.9</v>
      </c>
      <c r="T27" s="130">
        <f t="shared" ref="T27" si="20">Q27/S27</f>
        <v>163.64071596227177</v>
      </c>
      <c r="U27" s="78"/>
    </row>
    <row r="28" spans="1:21" s="79" customFormat="1" ht="13.2" hidden="1">
      <c r="A28" s="123" t="s">
        <v>414</v>
      </c>
      <c r="B28" s="131">
        <f>SUM(F26:F28)</f>
        <v>6370704.4976076558</v>
      </c>
      <c r="C28" s="131">
        <f>AVERAGE(F26:F28)</f>
        <v>2123568.1658692188</v>
      </c>
      <c r="D28" s="90">
        <f>C28/C25-1</f>
        <v>-0.26847758987886194</v>
      </c>
      <c r="E28" s="286">
        <f>C28/C16-1</f>
        <v>1.5923914575288918</v>
      </c>
      <c r="F28" s="78">
        <f>Q28/19</f>
        <v>2339225.5789473685</v>
      </c>
      <c r="G28" s="90">
        <f t="shared" ref="G28" si="21">F28/F27-1</f>
        <v>0.46547342166527605</v>
      </c>
      <c r="H28" s="90">
        <f t="shared" ref="H28" si="22">F28/F16-1</f>
        <v>1.4003087449949425</v>
      </c>
      <c r="I28" s="130">
        <f t="shared" si="0"/>
        <v>179.9601737680531</v>
      </c>
      <c r="J28" s="130">
        <f t="shared" si="5"/>
        <v>0.17838797770556458</v>
      </c>
      <c r="K28" s="78">
        <f>R26+R27+R28</f>
        <v>167039018534</v>
      </c>
      <c r="L28" s="90">
        <f>U28/U25-1</f>
        <v>-0.30309090377001102</v>
      </c>
      <c r="M28" s="90">
        <f>U28/U16-1</f>
        <v>1.4180255306876677</v>
      </c>
      <c r="N28" s="88">
        <f>AVERAGE(T26:T28)</f>
        <v>171.66293834647419</v>
      </c>
      <c r="O28" s="91">
        <f>N28/N25-1</f>
        <v>-4.3306664566802544E-2</v>
      </c>
      <c r="P28" s="129" t="s">
        <v>414</v>
      </c>
      <c r="Q28" s="116">
        <v>44445286</v>
      </c>
      <c r="R28" s="116">
        <v>57995575572</v>
      </c>
      <c r="S28" s="116">
        <v>246972.9</v>
      </c>
      <c r="T28" s="130">
        <f t="shared" ref="T28" si="23">Q28/S28</f>
        <v>179.9601737680531</v>
      </c>
      <c r="U28" s="85">
        <f>Q26+Q27+Q28</f>
        <v>125832061</v>
      </c>
    </row>
    <row r="29" spans="1:21" s="79" customFormat="1" ht="13.2" hidden="1">
      <c r="A29" s="129" t="s">
        <v>426</v>
      </c>
      <c r="B29" s="188"/>
      <c r="C29" s="188"/>
      <c r="D29" s="189"/>
      <c r="E29" s="287"/>
      <c r="F29" s="136">
        <f>Q29/22</f>
        <v>1809289.7727272727</v>
      </c>
      <c r="G29" s="190">
        <f t="shared" ref="G29" si="24">F29/F28-1</f>
        <v>-0.22654326756231968</v>
      </c>
      <c r="H29" s="190">
        <f t="shared" ref="H29" si="25">F29/F17-1</f>
        <v>0.91257119946975895</v>
      </c>
      <c r="I29" s="130">
        <f t="shared" si="0"/>
        <v>152.9151568594925</v>
      </c>
      <c r="J29" s="130">
        <f t="shared" si="5"/>
        <v>-0.15447819519154815</v>
      </c>
      <c r="K29" s="136"/>
      <c r="L29" s="190"/>
      <c r="M29" s="190"/>
      <c r="N29" s="191"/>
      <c r="O29" s="192"/>
      <c r="P29" s="129" t="s">
        <v>428</v>
      </c>
      <c r="Q29" s="116">
        <v>39804375</v>
      </c>
      <c r="R29" s="116">
        <v>52312218531</v>
      </c>
      <c r="S29" s="116">
        <v>260303.66</v>
      </c>
      <c r="T29" s="130">
        <f t="shared" ref="T29" si="26">Q29/S29</f>
        <v>152.9151568594925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2677891.4210526315</v>
      </c>
      <c r="G30" s="190">
        <f t="shared" ref="G30" si="27">F30/F29-1</f>
        <v>0.48007879192068437</v>
      </c>
      <c r="H30" s="190">
        <f t="shared" ref="H30" si="28">F30/F18-1</f>
        <v>1.6679462512093108</v>
      </c>
      <c r="I30" s="130">
        <f t="shared" si="0"/>
        <v>151.76108397158771</v>
      </c>
      <c r="J30" s="130">
        <f t="shared" si="5"/>
        <v>-7.751019955009697E-2</v>
      </c>
      <c r="K30" s="136"/>
      <c r="L30" s="190"/>
      <c r="M30" s="190"/>
      <c r="N30" s="191"/>
      <c r="O30" s="192"/>
      <c r="P30" s="129" t="s">
        <v>466</v>
      </c>
      <c r="Q30" s="116">
        <v>50879937</v>
      </c>
      <c r="R30" s="116">
        <v>67778123686</v>
      </c>
      <c r="S30" s="116">
        <v>335263.40000000002</v>
      </c>
      <c r="T30" s="130">
        <f t="shared" ref="T30" si="29">Q30/S30</f>
        <v>151.76108397158771</v>
      </c>
      <c r="U30" s="85"/>
    </row>
    <row r="31" spans="1:21" s="79" customFormat="1" ht="13.2" hidden="1">
      <c r="A31" s="129" t="s">
        <v>505</v>
      </c>
      <c r="B31" s="188">
        <f>SUM(F29:F31)</f>
        <v>7373907.8437799048</v>
      </c>
      <c r="C31" s="188">
        <f>AVERAGE(F29:F31)</f>
        <v>2457969.2812599684</v>
      </c>
      <c r="D31" s="190">
        <f>C31/C28-1</f>
        <v>0.15747133563469706</v>
      </c>
      <c r="E31" s="287">
        <f>C31/C19-1</f>
        <v>1.0755447889306864</v>
      </c>
      <c r="F31" s="136">
        <f>Q31/20</f>
        <v>2886726.65</v>
      </c>
      <c r="G31" s="190">
        <f t="shared" ref="G31" si="30">F31/F30-1</f>
        <v>7.7984950138597853E-2</v>
      </c>
      <c r="H31" s="190">
        <f t="shared" ref="H31" si="31">F31/F19-1</f>
        <v>0.80079226880706589</v>
      </c>
      <c r="I31" s="130">
        <f t="shared" si="0"/>
        <v>143.07313974915473</v>
      </c>
      <c r="J31" s="130">
        <f t="shared" si="5"/>
        <v>-7.2005157901900096E-2</v>
      </c>
      <c r="K31" s="136">
        <f>R29+R30+R31</f>
        <v>196809980110</v>
      </c>
      <c r="L31" s="190">
        <f>U31/U28-1</f>
        <v>0.17949943615721264</v>
      </c>
      <c r="M31" s="190">
        <f>U31/U19-1</f>
        <v>0.99860504577234388</v>
      </c>
      <c r="N31" s="191">
        <f>AVERAGE(T29:T31)</f>
        <v>149.24979352674498</v>
      </c>
      <c r="O31" s="192">
        <f>N31/N28-1</f>
        <v>-0.13056484431422155</v>
      </c>
      <c r="P31" s="129" t="s">
        <v>505</v>
      </c>
      <c r="Q31" s="116">
        <v>57734533</v>
      </c>
      <c r="R31" s="116">
        <v>76719637893</v>
      </c>
      <c r="S31" s="116">
        <v>403531.6</v>
      </c>
      <c r="T31" s="130">
        <f t="shared" ref="T31" si="32">Q31/S31</f>
        <v>143.07313974915473</v>
      </c>
      <c r="U31" s="85">
        <f>Q29+Q30+Q31</f>
        <v>148418845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3279441.8095238097</v>
      </c>
      <c r="G32" s="190">
        <f t="shared" ref="G32" si="33">F32/F31-1</f>
        <v>0.13604168566629249</v>
      </c>
      <c r="H32" s="190">
        <f t="shared" ref="H32" si="34">F32/F20-1</f>
        <v>0.61769465740326712</v>
      </c>
      <c r="I32" s="130">
        <f t="shared" si="0"/>
        <v>128.60973046670568</v>
      </c>
      <c r="J32" s="130">
        <f t="shared" si="5"/>
        <v>-0.23094903853773119</v>
      </c>
      <c r="K32" s="136"/>
      <c r="L32" s="190"/>
      <c r="M32" s="190"/>
      <c r="N32" s="191"/>
      <c r="O32" s="192"/>
      <c r="P32" s="129" t="s">
        <v>562</v>
      </c>
      <c r="Q32" s="116">
        <v>68868278</v>
      </c>
      <c r="R32" s="116">
        <v>93612038236</v>
      </c>
      <c r="S32" s="116">
        <v>535482.64</v>
      </c>
      <c r="T32" s="130">
        <f t="shared" ref="T32" si="35">Q32/S32</f>
        <v>128.60973046670568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2978027.6666666665</v>
      </c>
      <c r="G33" s="190">
        <f t="shared" ref="G33" si="36">F33/F32-1</f>
        <v>-9.1910197028594265E-2</v>
      </c>
      <c r="H33" s="190">
        <f t="shared" ref="H33" si="37">F33/F21-1</f>
        <v>0.3421849945463642</v>
      </c>
      <c r="I33" s="130">
        <f t="shared" si="0"/>
        <v>122.87401373143348</v>
      </c>
      <c r="J33" s="130">
        <f t="shared" si="5"/>
        <v>-0.26464021096234203</v>
      </c>
      <c r="K33" s="136"/>
      <c r="L33" s="190"/>
      <c r="M33" s="190"/>
      <c r="N33" s="191"/>
      <c r="O33" s="192"/>
      <c r="P33" s="129" t="s">
        <v>608</v>
      </c>
      <c r="Q33" s="116">
        <v>62538581</v>
      </c>
      <c r="R33" s="116">
        <v>85672947954</v>
      </c>
      <c r="S33" s="116">
        <v>508965.07</v>
      </c>
      <c r="T33" s="130">
        <f t="shared" ref="T33" si="38">Q33/S33</f>
        <v>122.87401373143348</v>
      </c>
      <c r="U33" s="85"/>
    </row>
    <row r="34" spans="1:21" s="79" customFormat="1" ht="13.2" hidden="1">
      <c r="A34" s="129" t="s">
        <v>652</v>
      </c>
      <c r="B34" s="188">
        <f>SUM(F32:F34)</f>
        <v>9826787.7919799499</v>
      </c>
      <c r="C34" s="188">
        <f>AVERAGE(F32:F34)</f>
        <v>3275595.9306599833</v>
      </c>
      <c r="D34" s="190">
        <f>C34/C31-1</f>
        <v>0.33264315206612149</v>
      </c>
      <c r="E34" s="287">
        <f>C34/C22-1</f>
        <v>0.74122038030469173</v>
      </c>
      <c r="F34" s="136">
        <f>Q34/19</f>
        <v>3569318.3157894737</v>
      </c>
      <c r="G34" s="190">
        <f t="shared" ref="G34" si="39">F34/F33-1</f>
        <v>0.19855109330956755</v>
      </c>
      <c r="H34" s="190">
        <f t="shared" ref="H34" si="40">F34/F22-1</f>
        <v>1.5538938793812935</v>
      </c>
      <c r="I34" s="130">
        <f t="shared" si="0"/>
        <v>120.7201156200864</v>
      </c>
      <c r="J34" s="130">
        <f t="shared" si="5"/>
        <v>-0.22696612813263428</v>
      </c>
      <c r="K34" s="136">
        <f>R32+R33+R34</f>
        <v>272570594342</v>
      </c>
      <c r="L34" s="190">
        <f>U34/U31-1</f>
        <v>0.34230870075831676</v>
      </c>
      <c r="M34" s="190">
        <f>U34/U22-1</f>
        <v>0.71024075548957466</v>
      </c>
      <c r="N34" s="191">
        <f>AVERAGE(T32:T34)</f>
        <v>124.06795327274186</v>
      </c>
      <c r="O34" s="192">
        <f>N34/N31-1</f>
        <v>-0.1687227811775206</v>
      </c>
      <c r="P34" s="129" t="s">
        <v>652</v>
      </c>
      <c r="Q34" s="116">
        <v>67817048</v>
      </c>
      <c r="R34" s="116">
        <v>93285608152</v>
      </c>
      <c r="S34" s="116">
        <v>561770.9</v>
      </c>
      <c r="T34" s="130">
        <f t="shared" ref="T34" si="41">Q34/S34</f>
        <v>120.7201156200864</v>
      </c>
      <c r="U34" s="85">
        <f>Q32+Q33+Q34</f>
        <v>199223907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2580023.6956521738</v>
      </c>
      <c r="G35" s="190">
        <f t="shared" ref="G35" si="42">F35/F34-1</f>
        <v>-0.27716626330607452</v>
      </c>
      <c r="H35" s="190">
        <f t="shared" ref="H35" si="43">F35/F23-1</f>
        <v>-0.34263573751290965</v>
      </c>
      <c r="I35" s="130">
        <f t="shared" si="0"/>
        <v>124.56012878231942</v>
      </c>
      <c r="J35" s="130">
        <f t="shared" si="5"/>
        <v>-0.2795466908498091</v>
      </c>
      <c r="K35" s="136"/>
      <c r="L35" s="190"/>
      <c r="M35" s="190"/>
      <c r="N35" s="191"/>
      <c r="O35" s="192"/>
      <c r="P35" s="129" t="s">
        <v>660</v>
      </c>
      <c r="Q35" s="116">
        <v>59340545</v>
      </c>
      <c r="R35" s="116">
        <v>82136917595</v>
      </c>
      <c r="S35" s="116">
        <v>476400.8</v>
      </c>
      <c r="T35" s="130">
        <f t="shared" ref="T35" si="44">Q35/S35</f>
        <v>124.56012878231942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2933086.4285714286</v>
      </c>
      <c r="G36" s="190">
        <f t="shared" ref="G36" si="45">F36/F35-1</f>
        <v>0.13684476367958642</v>
      </c>
      <c r="H36" s="190">
        <f t="shared" ref="H36" si="46">F36/F24-1</f>
        <v>0.21537136403365098</v>
      </c>
      <c r="I36" s="130">
        <f t="shared" si="0"/>
        <v>116.81000486053969</v>
      </c>
      <c r="J36" s="130">
        <f t="shared" si="5"/>
        <v>-0.35093500244097997</v>
      </c>
      <c r="K36" s="136"/>
      <c r="L36" s="190"/>
      <c r="M36" s="190"/>
      <c r="N36" s="191"/>
      <c r="O36" s="192"/>
      <c r="P36" s="129" t="s">
        <v>666</v>
      </c>
      <c r="Q36" s="116">
        <v>61594815</v>
      </c>
      <c r="R36" s="116">
        <v>84075008889</v>
      </c>
      <c r="S36" s="116">
        <v>527307.69999999995</v>
      </c>
      <c r="T36" s="130">
        <f t="shared" ref="T36" si="47">Q36/S36</f>
        <v>116.81000486053969</v>
      </c>
      <c r="U36" s="85"/>
    </row>
    <row r="37" spans="1:21" s="79" customFormat="1" ht="13.2" hidden="1">
      <c r="A37" s="129" t="s">
        <v>702</v>
      </c>
      <c r="B37" s="188">
        <f>SUM(F35:F37)</f>
        <v>9034847.290890269</v>
      </c>
      <c r="C37" s="188">
        <f>AVERAGE(F35:F37)</f>
        <v>3011615.7636300898</v>
      </c>
      <c r="D37" s="190">
        <f>C37/C34-1</f>
        <v>-8.0589966716897665E-2</v>
      </c>
      <c r="E37" s="287">
        <f>C37/C25-1</f>
        <v>3.743522679326694E-2</v>
      </c>
      <c r="F37" s="136">
        <f>Q37/18</f>
        <v>3521737.1666666665</v>
      </c>
      <c r="G37" s="190">
        <f t="shared" ref="G37" si="48">F37/F36-1</f>
        <v>0.20069328075747928</v>
      </c>
      <c r="H37" s="190">
        <f t="shared" ref="H37" si="49">F37/F25-1</f>
        <v>0.48552358183643185</v>
      </c>
      <c r="I37" s="130">
        <f t="shared" si="0"/>
        <v>121.63945168742337</v>
      </c>
      <c r="J37" s="130">
        <f t="shared" si="5"/>
        <v>-0.34405989796772529</v>
      </c>
      <c r="K37" s="136">
        <f>R35+R36+R37</f>
        <v>250835273148</v>
      </c>
      <c r="L37" s="190">
        <f>U37/U34-1</f>
        <v>-7.477655781542325E-2</v>
      </c>
      <c r="M37" s="190">
        <f>U37/U25-1</f>
        <v>2.0875787987852279E-2</v>
      </c>
      <c r="N37" s="191">
        <f>AVERAGE(T35:T37)</f>
        <v>121.00319511009417</v>
      </c>
      <c r="O37" s="192">
        <f>N37/N34-1</f>
        <v>-2.4702254545219682E-2</v>
      </c>
      <c r="P37" s="129" t="s">
        <v>702</v>
      </c>
      <c r="Q37" s="116">
        <v>63391269</v>
      </c>
      <c r="R37" s="116">
        <v>84623346664</v>
      </c>
      <c r="S37" s="116">
        <v>521140.7</v>
      </c>
      <c r="T37" s="130">
        <f t="shared" ref="T37" si="50">Q37/S37</f>
        <v>121.63945168742337</v>
      </c>
      <c r="U37" s="85">
        <f>Q35+Q36+Q37</f>
        <v>184326629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2630869</v>
      </c>
      <c r="G38" s="190">
        <f t="shared" ref="G38" si="51">F38/F37-1</f>
        <v>-0.25296270689895795</v>
      </c>
      <c r="H38" s="190">
        <f t="shared" ref="H38" si="52">F38/F26-1</f>
        <v>8.0326439992063126E-2</v>
      </c>
      <c r="I38" s="130">
        <f t="shared" si="0"/>
        <v>120.69416131846242</v>
      </c>
      <c r="J38" s="130">
        <f t="shared" si="5"/>
        <v>-0.29578375430596515</v>
      </c>
      <c r="K38" s="136"/>
      <c r="L38" s="190"/>
      <c r="M38" s="190"/>
      <c r="N38" s="191"/>
      <c r="O38" s="192"/>
      <c r="P38" s="129" t="s">
        <v>728</v>
      </c>
      <c r="Q38" s="116">
        <v>52617380</v>
      </c>
      <c r="R38" s="116">
        <v>70776031499</v>
      </c>
      <c r="S38" s="116">
        <v>435956.3</v>
      </c>
      <c r="T38" s="130">
        <f t="shared" ref="T38" si="53">Q38/S38</f>
        <v>120.69416131846242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1592808.1904761905</v>
      </c>
      <c r="G39" s="190">
        <f t="shared" ref="G39" si="54">F39/F38-1</f>
        <v>-0.39456955459348586</v>
      </c>
      <c r="H39" s="190">
        <f t="shared" ref="H39" si="55">F39/F27-1</f>
        <v>-2.140669988741295E-3</v>
      </c>
      <c r="I39" s="130">
        <f t="shared" si="0"/>
        <v>126.68817464946635</v>
      </c>
      <c r="J39" s="130">
        <f t="shared" si="5"/>
        <v>-0.22581507967323378</v>
      </c>
      <c r="K39" s="136"/>
      <c r="L39" s="190"/>
      <c r="M39" s="190"/>
      <c r="N39" s="191"/>
      <c r="O39" s="192"/>
      <c r="P39" s="129" t="s">
        <v>762</v>
      </c>
      <c r="Q39" s="116">
        <v>33448972</v>
      </c>
      <c r="R39" s="116">
        <v>46431777763</v>
      </c>
      <c r="S39" s="116">
        <v>264026</v>
      </c>
      <c r="T39" s="130">
        <f t="shared" ref="T39" si="56">Q39/S39</f>
        <v>126.68817464946635</v>
      </c>
      <c r="U39" s="85"/>
    </row>
    <row r="40" spans="1:21" s="79" customFormat="1" ht="13.2" hidden="1">
      <c r="A40" s="129" t="s">
        <v>777</v>
      </c>
      <c r="B40" s="188">
        <f>SUM(F38:F40)</f>
        <v>6110083.0952380951</v>
      </c>
      <c r="C40" s="188">
        <f>AVERAGE(F38:F40)</f>
        <v>2036694.365079365</v>
      </c>
      <c r="D40" s="190">
        <f>C40/C37-1</f>
        <v>-0.32372037971258016</v>
      </c>
      <c r="E40" s="287">
        <f>C40/C28-1</f>
        <v>-4.0909353505162671E-2</v>
      </c>
      <c r="F40" s="136">
        <f>Q40/21</f>
        <v>1886405.9047619049</v>
      </c>
      <c r="G40" s="190">
        <f t="shared" ref="G40" si="57">F40/F39-1</f>
        <v>0.18432709979846318</v>
      </c>
      <c r="H40" s="190">
        <f t="shared" ref="H40" si="58">F40/F28-1</f>
        <v>-0.19357674533861269</v>
      </c>
      <c r="I40" s="130">
        <f t="shared" si="0"/>
        <v>123.95715158281557</v>
      </c>
      <c r="J40" s="130">
        <f t="shared" si="5"/>
        <v>-0.3111967554411158</v>
      </c>
      <c r="K40" s="136">
        <f>R38+R39+R40</f>
        <v>173545421779</v>
      </c>
      <c r="L40" s="190">
        <f>U40/U37-1</f>
        <v>-0.31816213055141374</v>
      </c>
      <c r="M40" s="190">
        <f>U40/U28-1</f>
        <v>-1.2014823471738767E-3</v>
      </c>
      <c r="N40" s="191">
        <f>AVERAGE(T38:T40)</f>
        <v>123.77982918358146</v>
      </c>
      <c r="O40" s="192">
        <f>N40/N37-1</f>
        <v>2.2946783107346658E-2</v>
      </c>
      <c r="P40" s="129" t="s">
        <v>779</v>
      </c>
      <c r="Q40" s="116">
        <v>39614524</v>
      </c>
      <c r="R40" s="116">
        <v>56337612517</v>
      </c>
      <c r="S40" s="116">
        <v>319582.40000000002</v>
      </c>
      <c r="T40" s="130">
        <f t="shared" ref="T40" si="59">Q40/S40</f>
        <v>123.95715158281557</v>
      </c>
      <c r="U40" s="85">
        <f>Q38+Q39+Q40</f>
        <v>125680876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1261530</v>
      </c>
      <c r="G41" s="190">
        <f t="shared" ref="G41" si="60">F41/F40-1</f>
        <v>-0.33125209329790262</v>
      </c>
      <c r="H41" s="190">
        <f t="shared" ref="H41" si="61">F41/F29-1</f>
        <v>-0.30274850440435253</v>
      </c>
      <c r="I41" s="130">
        <f t="shared" si="0"/>
        <v>122.99176987052238</v>
      </c>
      <c r="J41" s="130">
        <f t="shared" si="5"/>
        <v>-0.19568620667515324</v>
      </c>
      <c r="K41" s="193"/>
      <c r="L41" s="190"/>
      <c r="M41" s="190"/>
      <c r="N41" s="193"/>
      <c r="O41" s="193"/>
      <c r="P41" s="129" t="s">
        <v>791</v>
      </c>
      <c r="Q41" s="116">
        <v>22707540</v>
      </c>
      <c r="R41" s="116">
        <v>33201749097</v>
      </c>
      <c r="S41" s="116">
        <v>184626.5</v>
      </c>
      <c r="T41" s="130">
        <f t="shared" ref="T41" si="62">Q41/S41</f>
        <v>122.99176987052238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905481.1</v>
      </c>
      <c r="G42" s="190">
        <f t="shared" ref="G42" si="63">F42/F41-1</f>
        <v>-0.28223577719118853</v>
      </c>
      <c r="H42" s="190">
        <f t="shared" ref="H42" si="64">F42/F30-1</f>
        <v>-0.66186788124364226</v>
      </c>
      <c r="I42" s="130">
        <f t="shared" si="0"/>
        <v>126.36853490384347</v>
      </c>
      <c r="J42" s="130">
        <f t="shared" si="5"/>
        <v>-0.16731923891963085</v>
      </c>
      <c r="K42" s="193"/>
      <c r="L42" s="190"/>
      <c r="M42" s="190"/>
      <c r="N42" s="193"/>
      <c r="O42" s="193"/>
      <c r="P42" s="129" t="s">
        <v>826</v>
      </c>
      <c r="Q42" s="116">
        <v>18109622</v>
      </c>
      <c r="R42" s="116">
        <v>26208503882</v>
      </c>
      <c r="S42" s="116">
        <v>143308</v>
      </c>
      <c r="T42" s="130">
        <f t="shared" ref="T42" si="65">Q42/S42</f>
        <v>126.36853490384347</v>
      </c>
      <c r="U42" s="78"/>
    </row>
    <row r="43" spans="1:21" s="79" customFormat="1" ht="13.2">
      <c r="A43" s="129" t="s">
        <v>835</v>
      </c>
      <c r="B43" s="188">
        <f>SUM(F41:F43)</f>
        <v>3199940.95</v>
      </c>
      <c r="C43" s="188">
        <f>AVERAGE(F41:F43)</f>
        <v>1066646.9833333334</v>
      </c>
      <c r="D43" s="190">
        <f>C43/C40-1</f>
        <v>-0.47628519937905911</v>
      </c>
      <c r="E43" s="287">
        <f>C43/C31-1</f>
        <v>-0.56604543780686944</v>
      </c>
      <c r="F43" s="136">
        <f>Q43/20</f>
        <v>1032929.85</v>
      </c>
      <c r="G43" s="190">
        <f t="shared" ref="G43" si="66">F43/F42-1</f>
        <v>0.14075252371363689</v>
      </c>
      <c r="H43" s="190">
        <f t="shared" ref="H43" si="67">F43/F31-1</f>
        <v>-0.6421795427010728</v>
      </c>
      <c r="I43" s="130">
        <f t="shared" si="0"/>
        <v>107.18759258269597</v>
      </c>
      <c r="J43" s="130">
        <f t="shared" si="5"/>
        <v>-0.25081959639227647</v>
      </c>
      <c r="K43" s="136">
        <f>R41+R42+R43</f>
        <v>89374507086</v>
      </c>
      <c r="L43" s="190">
        <f>U43/U40-1</f>
        <v>-0.51085828682479906</v>
      </c>
      <c r="M43" s="190">
        <f>K43/K31-1</f>
        <v>-0.54588427357165892</v>
      </c>
      <c r="N43" s="191">
        <f>AVERAGE(T41:T43)</f>
        <v>118.8492991190206</v>
      </c>
      <c r="O43" s="192">
        <f>N43/N40-1</f>
        <v>-3.9833065670564438E-2</v>
      </c>
      <c r="P43" s="129" t="s">
        <v>835</v>
      </c>
      <c r="Q43" s="116">
        <v>20658597</v>
      </c>
      <c r="R43" s="116">
        <v>29964254107</v>
      </c>
      <c r="S43" s="116">
        <v>192733.1</v>
      </c>
      <c r="T43" s="130">
        <f t="shared" ref="T43" si="68">Q43/S43</f>
        <v>107.18759258269597</v>
      </c>
      <c r="U43" s="85">
        <f>Q41+Q42+Q43</f>
        <v>61475759</v>
      </c>
    </row>
    <row r="44" spans="1:21" s="79" customFormat="1" ht="13.2">
      <c r="A44" s="129" t="s">
        <v>842</v>
      </c>
      <c r="B44" s="188"/>
      <c r="C44" s="188"/>
      <c r="D44" s="190"/>
      <c r="E44" s="287"/>
      <c r="F44" s="136">
        <f>Q44/22</f>
        <v>902986.59090909094</v>
      </c>
      <c r="G44" s="190">
        <f t="shared" ref="G44" si="69">F44/F43-1</f>
        <v>-0.12580066215620456</v>
      </c>
      <c r="H44" s="190">
        <f t="shared" ref="H44" si="70">F44/F32-1</f>
        <v>-0.72465235141946038</v>
      </c>
      <c r="I44" s="130">
        <f t="shared" si="0"/>
        <v>104.38811242093006</v>
      </c>
      <c r="J44" s="130">
        <f t="shared" si="5"/>
        <v>-0.1883342571194182</v>
      </c>
      <c r="K44" s="136"/>
      <c r="L44" s="190"/>
      <c r="M44" s="190"/>
      <c r="N44" s="191"/>
      <c r="O44" s="192"/>
      <c r="P44" s="129" t="s">
        <v>842</v>
      </c>
      <c r="Q44" s="116">
        <v>19865705</v>
      </c>
      <c r="R44" s="116">
        <v>28831298408</v>
      </c>
      <c r="S44" s="116">
        <v>190306.2</v>
      </c>
      <c r="T44" s="130">
        <f t="shared" ref="T44" si="71">Q44/S44</f>
        <v>104.38811242093006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1054845.6000000001</v>
      </c>
      <c r="G45" s="190">
        <f t="shared" ref="G45" si="72">F45/F44-1</f>
        <v>0.16817415742356001</v>
      </c>
      <c r="H45" s="190">
        <f t="shared" ref="H45" si="73">F45/F33-1</f>
        <v>-0.64579053048869139</v>
      </c>
      <c r="I45" s="130">
        <f t="shared" si="0"/>
        <v>106.42455488098631</v>
      </c>
      <c r="J45" s="130">
        <f t="shared" si="5"/>
        <v>-0.13387256060830621</v>
      </c>
      <c r="K45" s="136"/>
      <c r="L45" s="190"/>
      <c r="M45" s="190"/>
      <c r="N45" s="191"/>
      <c r="O45" s="192"/>
      <c r="P45" s="129" t="s">
        <v>849</v>
      </c>
      <c r="Q45" s="116">
        <v>21096912</v>
      </c>
      <c r="R45" s="116">
        <v>29837984337</v>
      </c>
      <c r="S45" s="116">
        <v>198233.5</v>
      </c>
      <c r="T45" s="130">
        <f t="shared" ref="T45" si="74">Q45/S45</f>
        <v>106.42455488098631</v>
      </c>
      <c r="U45" s="85"/>
    </row>
    <row r="46" spans="1:21" s="79" customFormat="1" ht="13.2">
      <c r="A46" s="129" t="s">
        <v>889</v>
      </c>
      <c r="B46" s="188">
        <f>SUM(F44:F46)</f>
        <v>3456607.5066985646</v>
      </c>
      <c r="C46" s="188">
        <f>AVERAGE(F44:F46)</f>
        <v>1152202.502232855</v>
      </c>
      <c r="D46" s="190">
        <f>C46/C43-1</f>
        <v>8.0209779089381206E-2</v>
      </c>
      <c r="E46" s="287">
        <f>C46/C34-1</f>
        <v>-0.6482464483949022</v>
      </c>
      <c r="F46" s="136">
        <f>Q46/19</f>
        <v>1498775.3157894737</v>
      </c>
      <c r="G46" s="190">
        <f t="shared" ref="G46" si="75">F46/F45-1</f>
        <v>0.42084805187552909</v>
      </c>
      <c r="H46" s="190">
        <f t="shared" ref="H46" si="76">F46/F34-1</f>
        <v>-0.58009480153131998</v>
      </c>
      <c r="I46" s="130">
        <f t="shared" si="0"/>
        <v>93.943517036095429</v>
      </c>
      <c r="J46" s="130">
        <f t="shared" si="5"/>
        <v>-0.22180726423638109</v>
      </c>
      <c r="K46" s="136">
        <f>R44+R45+R46</f>
        <v>97679603383</v>
      </c>
      <c r="L46" s="190">
        <f>U46/U43-1</f>
        <v>0.12954031197890536</v>
      </c>
      <c r="M46" s="190">
        <f>K46/K34-1</f>
        <v>-0.64163557841298402</v>
      </c>
      <c r="N46" s="191">
        <f>AVERAGE(T44:T46)</f>
        <v>101.58539477933726</v>
      </c>
      <c r="O46" s="192">
        <f>N46/N43-1</f>
        <v>-0.14525878122675795</v>
      </c>
      <c r="P46" s="129" t="s">
        <v>889</v>
      </c>
      <c r="Q46" s="116">
        <v>28476731</v>
      </c>
      <c r="R46" s="116">
        <v>39010320638</v>
      </c>
      <c r="S46" s="116">
        <v>303126.09000000003</v>
      </c>
      <c r="T46" s="130">
        <f t="shared" ref="T46" si="77">Q46/S46</f>
        <v>93.943517036095429</v>
      </c>
      <c r="U46" s="85">
        <f t="shared" ref="U46:U51" si="78">Q44+Q45+Q46</f>
        <v>69439348</v>
      </c>
    </row>
    <row r="47" spans="1:21" s="79" customFormat="1" ht="13.2">
      <c r="A47" s="129" t="s">
        <v>991</v>
      </c>
      <c r="B47" s="188"/>
      <c r="C47" s="188"/>
      <c r="D47" s="190"/>
      <c r="E47" s="287"/>
      <c r="F47" s="136">
        <f>Q47/23</f>
        <v>1248325.956521739</v>
      </c>
      <c r="G47" s="190">
        <f t="shared" ref="G47" si="79">F47/F46-1</f>
        <v>-0.16710267151404978</v>
      </c>
      <c r="H47" s="190">
        <f t="shared" ref="H47" si="80">F47/F35-1</f>
        <v>-0.51615717381766557</v>
      </c>
      <c r="I47" s="130">
        <f t="shared" si="0"/>
        <v>96.825996198521594</v>
      </c>
      <c r="J47" s="130">
        <f t="shared" si="5"/>
        <v>-0.22265658244674624</v>
      </c>
      <c r="K47" s="136"/>
      <c r="L47" s="190"/>
      <c r="M47" s="190"/>
      <c r="N47" s="191"/>
      <c r="O47" s="192"/>
      <c r="P47" s="129" t="s">
        <v>1028</v>
      </c>
      <c r="Q47" s="116">
        <v>28711497</v>
      </c>
      <c r="R47" s="116">
        <v>39465967054</v>
      </c>
      <c r="S47" s="116">
        <v>296526.74</v>
      </c>
      <c r="T47" s="130">
        <f t="shared" ref="T47" si="81">Q47/S47</f>
        <v>96.825996198521594</v>
      </c>
      <c r="U47" s="85">
        <f t="shared" si="78"/>
        <v>78285140</v>
      </c>
    </row>
    <row r="48" spans="1:21" s="79" customFormat="1" ht="13.2">
      <c r="A48" s="129" t="s">
        <v>1069</v>
      </c>
      <c r="B48" s="188"/>
      <c r="C48" s="188"/>
      <c r="D48" s="190"/>
      <c r="E48" s="287"/>
      <c r="F48" s="136">
        <f>Q48/20</f>
        <v>1481724.1</v>
      </c>
      <c r="G48" s="190">
        <f t="shared" ref="G48" si="82">F48/F47-1</f>
        <v>0.18696891005021454</v>
      </c>
      <c r="H48" s="190">
        <f t="shared" ref="H48" si="83">F48/F36-1</f>
        <v>-0.49482426239935939</v>
      </c>
      <c r="I48" s="130">
        <f t="shared" si="0"/>
        <v>97.245784542234247</v>
      </c>
      <c r="J48" s="130">
        <f t="shared" si="5"/>
        <v>-0.16748753963038787</v>
      </c>
      <c r="K48" s="136"/>
      <c r="L48" s="190"/>
      <c r="M48" s="190"/>
      <c r="N48" s="191"/>
      <c r="O48" s="192"/>
      <c r="P48" s="129" t="s">
        <v>1118</v>
      </c>
      <c r="Q48" s="116">
        <v>29634482</v>
      </c>
      <c r="R48" s="116">
        <v>41111773024</v>
      </c>
      <c r="S48" s="116">
        <v>304737.96000000002</v>
      </c>
      <c r="T48" s="130">
        <f t="shared" ref="T48" si="84">Q48/S48</f>
        <v>97.245784542234247</v>
      </c>
      <c r="U48" s="85">
        <f t="shared" si="78"/>
        <v>86822710</v>
      </c>
    </row>
    <row r="49" spans="1:26" ht="13.2">
      <c r="A49" s="129" t="s">
        <v>1206</v>
      </c>
      <c r="B49" s="188">
        <f>SUM(F47:F49)</f>
        <v>3938885.4201581022</v>
      </c>
      <c r="C49" s="188">
        <f>AVERAGE(F47:F49)</f>
        <v>1312961.8067193674</v>
      </c>
      <c r="D49" s="190">
        <f>C49/C46-1</f>
        <v>0.13952348148435423</v>
      </c>
      <c r="E49" s="287">
        <f>C49/C37-1</f>
        <v>-0.56403409008034544</v>
      </c>
      <c r="F49" s="136">
        <f>Q49/22</f>
        <v>1208835.3636363635</v>
      </c>
      <c r="G49" s="190">
        <f t="shared" ref="G49" si="85">F49/F48-1</f>
        <v>-0.18416973602820963</v>
      </c>
      <c r="H49" s="190">
        <f t="shared" ref="H49" si="86">F49/F37-1</f>
        <v>-0.65675026090021094</v>
      </c>
      <c r="I49" s="130">
        <f t="shared" si="0"/>
        <v>91.878465388180473</v>
      </c>
      <c r="J49" s="130">
        <f t="shared" si="5"/>
        <v>-0.24466557425562585</v>
      </c>
      <c r="K49" s="136">
        <f>R47+R48+R49</f>
        <v>117543342256</v>
      </c>
      <c r="L49" s="190">
        <f>U49/U46-1</f>
        <v>0.22323091224877278</v>
      </c>
      <c r="M49" s="190">
        <f>K49/K37-1</f>
        <v>-0.53139229271536281</v>
      </c>
      <c r="N49" s="191">
        <f>AVERAGE(T47:T49)</f>
        <v>95.316748709645438</v>
      </c>
      <c r="O49" s="192">
        <f>N49/N46-1</f>
        <v>-6.1708143019068018E-2</v>
      </c>
      <c r="P49" s="129" t="s">
        <v>1158</v>
      </c>
      <c r="Q49" s="116">
        <v>26594378</v>
      </c>
      <c r="R49" s="116">
        <v>36965602178</v>
      </c>
      <c r="S49" s="116">
        <v>289451.7</v>
      </c>
      <c r="T49" s="130">
        <f t="shared" ref="T49" si="87">Q49/S49</f>
        <v>91.878465388180473</v>
      </c>
      <c r="U49" s="85">
        <f t="shared" si="78"/>
        <v>84940357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1471432.7222222222</v>
      </c>
      <c r="G50" s="190">
        <f t="shared" ref="G50" si="88">F50/F49-1</f>
        <v>0.21723169795093122</v>
      </c>
      <c r="H50" s="190">
        <f t="shared" ref="H50" si="89">F50/F38-1</f>
        <v>-0.44070467886381948</v>
      </c>
      <c r="I50" s="130">
        <f t="shared" ref="I50" si="90">T50</f>
        <v>89.531223274111852</v>
      </c>
      <c r="J50" s="130">
        <f t="shared" ref="J50" si="91">I50/I38-1</f>
        <v>-0.25819756070987021</v>
      </c>
      <c r="K50" s="136"/>
      <c r="L50" s="190"/>
      <c r="M50" s="190"/>
      <c r="N50" s="191"/>
      <c r="O50" s="192"/>
      <c r="P50" s="129" t="s">
        <v>1332</v>
      </c>
      <c r="Q50" s="116">
        <v>26485789</v>
      </c>
      <c r="R50" s="116">
        <v>37351647499</v>
      </c>
      <c r="S50" s="116">
        <v>295827.40000000002</v>
      </c>
      <c r="T50" s="130">
        <f t="shared" ref="T50" si="92">Q50/S50</f>
        <v>89.531223274111852</v>
      </c>
      <c r="U50" s="85">
        <f t="shared" si="78"/>
        <v>82714649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881775.4</v>
      </c>
      <c r="G51" s="190">
        <f t="shared" ref="G51:G52" si="93">F51/F50-1</f>
        <v>-0.4007368555265618</v>
      </c>
      <c r="H51" s="190">
        <f t="shared" ref="H51:H52" si="94">F51/F39-1</f>
        <v>-0.44640201797532075</v>
      </c>
      <c r="I51" s="130">
        <f t="shared" ref="I51:I52" si="95">T51</f>
        <v>103.34145118040841</v>
      </c>
      <c r="J51" s="130">
        <f t="shared" ref="J51:J52" si="96">I51/I39-1</f>
        <v>-0.18428494635474868</v>
      </c>
      <c r="K51" s="136"/>
      <c r="L51" s="190"/>
      <c r="M51" s="190"/>
      <c r="N51" s="191"/>
      <c r="O51" s="192"/>
      <c r="P51" s="129" t="s">
        <v>1402</v>
      </c>
      <c r="Q51" s="116">
        <v>17635508</v>
      </c>
      <c r="R51" s="116">
        <v>25408905978</v>
      </c>
      <c r="S51" s="116">
        <v>170652.79999999999</v>
      </c>
      <c r="T51" s="130">
        <f t="shared" ref="T51:T52" si="97">Q51/S51</f>
        <v>103.34145118040841</v>
      </c>
      <c r="U51" s="85">
        <f t="shared" si="78"/>
        <v>70715675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2963245.576767677</v>
      </c>
      <c r="C52" s="188">
        <f>AVERAGE(F50:F52)</f>
        <v>987748.5255892257</v>
      </c>
      <c r="D52" s="190">
        <f>C52/C49-1</f>
        <v>-0.24769439557631612</v>
      </c>
      <c r="E52" s="287">
        <f>C52/C40-1</f>
        <v>-0.51502368616278094</v>
      </c>
      <c r="F52" s="136">
        <f>Q52/22</f>
        <v>610037.45454545459</v>
      </c>
      <c r="G52" s="190">
        <f t="shared" si="93"/>
        <v>-0.30817138406735478</v>
      </c>
      <c r="H52" s="190">
        <f t="shared" si="94"/>
        <v>-0.67661389682595852</v>
      </c>
      <c r="I52" s="130">
        <f t="shared" si="95"/>
        <v>90.996077374190733</v>
      </c>
      <c r="J52" s="130">
        <f t="shared" si="96"/>
        <v>-0.26590699921499561</v>
      </c>
      <c r="K52" s="136">
        <f>R50+R51+R52</f>
        <v>82502881837</v>
      </c>
      <c r="L52" s="190">
        <f>U52/U49-1</f>
        <v>-0.32255852185787259</v>
      </c>
      <c r="M52" s="190">
        <f>K52/K40-1</f>
        <v>-0.52460352459160453</v>
      </c>
      <c r="N52" s="191">
        <f>AVERAGE(T50:T52)</f>
        <v>94.622917276237004</v>
      </c>
      <c r="O52" s="192">
        <f>N52/N49-1</f>
        <v>-7.2792184248959835E-3</v>
      </c>
      <c r="P52" s="129" t="s">
        <v>1403</v>
      </c>
      <c r="Q52" s="116">
        <v>13420824</v>
      </c>
      <c r="R52" s="116">
        <v>19742328360</v>
      </c>
      <c r="S52" s="116">
        <v>147487.94</v>
      </c>
      <c r="T52" s="130">
        <f t="shared" si="97"/>
        <v>90.996077374190733</v>
      </c>
      <c r="U52" s="85">
        <f t="shared" ref="U52" si="98">Q50+Q51+Q52</f>
        <v>57542121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741526.57142857148</v>
      </c>
      <c r="G53" s="190">
        <f t="shared" ref="G53" si="99">F53/F52-1</f>
        <v>0.21554269480238863</v>
      </c>
      <c r="H53" s="190">
        <f t="shared" ref="H53" si="100">F53/F41-1</f>
        <v>-0.41220060448140627</v>
      </c>
      <c r="I53" s="130">
        <f t="shared" ref="I53" si="101">T53</f>
        <v>117.85324737010836</v>
      </c>
      <c r="J53" s="130">
        <f t="shared" ref="J53" si="102">I53/I41-1</f>
        <v>-4.1779401221915147E-2</v>
      </c>
      <c r="K53" s="136"/>
      <c r="L53" s="190"/>
      <c r="M53" s="190"/>
      <c r="N53" s="191"/>
      <c r="O53" s="192"/>
      <c r="P53" s="129" t="s">
        <v>1414</v>
      </c>
      <c r="Q53" s="116">
        <v>15572058</v>
      </c>
      <c r="R53" s="116">
        <v>22808726894</v>
      </c>
      <c r="S53" s="116">
        <v>132130.92000000001</v>
      </c>
      <c r="T53" s="130">
        <f t="shared" ref="T53" si="103">Q53/S53</f>
        <v>117.85324737010836</v>
      </c>
      <c r="U53" s="85">
        <f t="shared" ref="U53" si="104">Q51+Q52+Q53</f>
        <v>46628390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1318221.5294117648</v>
      </c>
      <c r="G54" s="190">
        <f t="shared" ref="G54" si="105">F54/F53-1</f>
        <v>0.77771313962785515</v>
      </c>
      <c r="H54" s="190">
        <f t="shared" ref="H54" si="106">F54/F42-1</f>
        <v>0.45582445554276596</v>
      </c>
      <c r="I54" s="130">
        <f t="shared" ref="I54" si="107">T54</f>
        <v>104.54920208671376</v>
      </c>
      <c r="J54" s="130">
        <f t="shared" ref="J54" si="108">I54/I42-1</f>
        <v>-0.17266428572375636</v>
      </c>
      <c r="K54" s="136"/>
      <c r="L54" s="190"/>
      <c r="M54" s="190"/>
      <c r="N54" s="191"/>
      <c r="O54" s="192"/>
      <c r="P54" s="129" t="s">
        <v>1417</v>
      </c>
      <c r="Q54" s="116">
        <v>22409766</v>
      </c>
      <c r="R54" s="116">
        <v>32456343361</v>
      </c>
      <c r="S54" s="116">
        <v>214346.6</v>
      </c>
      <c r="T54" s="130">
        <f t="shared" ref="T54" si="109">Q54/S54</f>
        <v>104.54920208671376</v>
      </c>
      <c r="U54" s="85">
        <f t="shared" ref="U54" si="110">Q52+Q53+Q54</f>
        <v>51402648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3287368.3865546221</v>
      </c>
      <c r="C55" s="196">
        <f>AVERAGE(F53:F55)</f>
        <v>1095789.4621848741</v>
      </c>
      <c r="D55" s="197">
        <f>C55/C52-1</f>
        <v>0.10938101530569067</v>
      </c>
      <c r="E55" s="233">
        <f>C55/C43-1</f>
        <v>2.7321578091815235E-2</v>
      </c>
      <c r="F55" s="136">
        <f>Q55/21</f>
        <v>1227620.2857142857</v>
      </c>
      <c r="G55" s="190">
        <f t="shared" ref="G55" si="111">F55/F54-1</f>
        <v>-6.8729907436657078E-2</v>
      </c>
      <c r="H55" s="190">
        <f t="shared" ref="H55" si="112">F55/F43-1</f>
        <v>0.18848369588146352</v>
      </c>
      <c r="I55" s="130">
        <f>T55</f>
        <v>115.89451164516139</v>
      </c>
      <c r="J55" s="130">
        <f t="shared" ref="J55" si="113">I55/I43-1</f>
        <v>8.1230661615503408E-2</v>
      </c>
      <c r="K55" s="136">
        <f>R53+R54+R55</f>
        <v>93097158759</v>
      </c>
      <c r="L55" s="190">
        <f>U55/U52-1</f>
        <v>0.10809001983086453</v>
      </c>
      <c r="M55" s="190">
        <f>K55/K43-1</f>
        <v>4.1652276408281619E-2</v>
      </c>
      <c r="N55" s="191">
        <f>AVERAGE(T53:T55)</f>
        <v>112.76565370066118</v>
      </c>
      <c r="O55" s="192">
        <f>N55/N52-1</f>
        <v>0.19173723392462372</v>
      </c>
      <c r="P55" s="129" t="s">
        <v>1418</v>
      </c>
      <c r="Q55" s="116">
        <v>25780026</v>
      </c>
      <c r="R55" s="116">
        <v>37832088504</v>
      </c>
      <c r="S55" s="116">
        <v>222443.89</v>
      </c>
      <c r="T55" s="130">
        <f t="shared" ref="T55" si="114">Q55/S55</f>
        <v>115.89451164516139</v>
      </c>
      <c r="U55" s="85">
        <f t="shared" ref="U55" si="115">Q53+Q54+Q55</f>
        <v>63761850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649688.92857142852</v>
      </c>
      <c r="G56" s="254">
        <f t="shared" ref="G56" si="116">F56/F55-1</f>
        <v>-0.47077371062387607</v>
      </c>
      <c r="H56" s="254">
        <f t="shared" ref="H56" si="117">F56/F44-1</f>
        <v>-0.28051098973978383</v>
      </c>
      <c r="I56" s="282">
        <f>T56</f>
        <v>105.0941574565112</v>
      </c>
      <c r="J56" s="277">
        <f t="shared" ref="J56" si="118">I56/I44-1</f>
        <v>6.7636536307325024E-3</v>
      </c>
      <c r="K56" s="204"/>
      <c r="L56" s="254"/>
      <c r="M56" s="254"/>
      <c r="N56" s="257"/>
      <c r="O56" s="258"/>
      <c r="P56" s="129" t="s">
        <v>1420</v>
      </c>
      <c r="Q56" s="116">
        <v>9095645</v>
      </c>
      <c r="R56" s="116">
        <v>13722987973</v>
      </c>
      <c r="S56" s="116">
        <v>86547.58</v>
      </c>
      <c r="T56" s="130">
        <f t="shared" ref="T56" si="119">Q56/S56</f>
        <v>105.0941574565112</v>
      </c>
      <c r="U56" s="85">
        <f t="shared" ref="U56" si="120">Q54+Q55+Q56</f>
        <v>57285437</v>
      </c>
      <c r="V56" s="79"/>
      <c r="W56" s="79"/>
      <c r="X56" s="79"/>
      <c r="Y56" s="79"/>
      <c r="Z56" s="79"/>
    </row>
    <row r="63" spans="1:26">
      <c r="P63" s="266"/>
      <c r="Q63" s="266"/>
      <c r="R63" s="266"/>
      <c r="S63" s="266"/>
      <c r="T63" s="266"/>
      <c r="U63" s="266"/>
    </row>
    <row r="64" spans="1:26">
      <c r="P64" s="266" t="s">
        <v>971</v>
      </c>
      <c r="Q64" s="266" t="s">
        <v>9</v>
      </c>
      <c r="R64" s="266" t="s">
        <v>10</v>
      </c>
      <c r="S64" s="266" t="s">
        <v>972</v>
      </c>
      <c r="T64" s="266" t="s">
        <v>973</v>
      </c>
      <c r="U64" s="266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72857495</v>
      </c>
      <c r="R66" s="212">
        <v>106820146732</v>
      </c>
      <c r="S66" s="213">
        <v>655468.99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15572058</v>
      </c>
      <c r="R67" s="181">
        <v>22808726894</v>
      </c>
      <c r="S67" s="182">
        <v>132130.92000000001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22409766</v>
      </c>
      <c r="R68" s="181">
        <v>32456343361</v>
      </c>
      <c r="S68" s="182">
        <v>214346.6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25780026</v>
      </c>
      <c r="R69" s="181">
        <v>37832088504</v>
      </c>
      <c r="S69" s="182">
        <v>222443.89</v>
      </c>
      <c r="T69" s="210" t="s">
        <v>1421</v>
      </c>
      <c r="U69" s="210">
        <v>5</v>
      </c>
    </row>
    <row r="70" spans="16:21" ht="18" thickBot="1">
      <c r="P70" s="180" t="s">
        <v>979</v>
      </c>
      <c r="Q70" s="181">
        <v>9095645</v>
      </c>
      <c r="R70" s="181">
        <v>13722987973</v>
      </c>
      <c r="S70" s="182">
        <v>86547.58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272093815</v>
      </c>
      <c r="R71" s="181">
        <v>385236106342</v>
      </c>
      <c r="S71" s="182">
        <v>2713912.35</v>
      </c>
      <c r="T71" s="210" t="s">
        <v>1421</v>
      </c>
      <c r="U71" s="210">
        <v>9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77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84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8524923000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85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1179405.7</v>
      </c>
      <c r="G5" s="90"/>
      <c r="H5" s="90"/>
      <c r="I5" s="130">
        <f t="shared" ref="I5:I49" si="0">T5</f>
        <v>70.883948739745492</v>
      </c>
      <c r="J5" s="130"/>
      <c r="L5" s="80"/>
      <c r="M5" s="80"/>
      <c r="P5" s="129" t="s">
        <v>0</v>
      </c>
      <c r="Q5" s="116">
        <v>23588114</v>
      </c>
      <c r="R5" s="116"/>
      <c r="S5" s="116">
        <v>332770.88</v>
      </c>
      <c r="T5" s="130">
        <f t="shared" ref="T5:T21" si="1">Q5/S5</f>
        <v>70.883948739745492</v>
      </c>
      <c r="U5" s="85"/>
    </row>
    <row r="6" spans="1:21" ht="15" hidden="1" customHeight="1">
      <c r="A6" s="129" t="s">
        <v>1</v>
      </c>
      <c r="C6" s="79"/>
      <c r="F6" s="78">
        <f>Q6/18</f>
        <v>2775670.5555555555</v>
      </c>
      <c r="G6" s="90">
        <f t="shared" ref="G6:G16" si="2">F6/F5-1</f>
        <v>1.3534484830415483</v>
      </c>
      <c r="H6" s="90"/>
      <c r="I6" s="130">
        <f t="shared" si="0"/>
        <v>126.15506577580372</v>
      </c>
      <c r="J6" s="130"/>
      <c r="P6" s="129" t="s">
        <v>1</v>
      </c>
      <c r="Q6" s="116">
        <v>49962070</v>
      </c>
      <c r="R6" s="116"/>
      <c r="S6" s="116">
        <v>396036.97</v>
      </c>
      <c r="T6" s="130">
        <f t="shared" si="1"/>
        <v>126.15506577580372</v>
      </c>
      <c r="U6" s="85"/>
    </row>
    <row r="7" spans="1:21" ht="15" hidden="1" customHeight="1">
      <c r="A7" s="129" t="s">
        <v>2</v>
      </c>
      <c r="B7" s="131">
        <f>F5+F6+F7</f>
        <v>6337498.7101010103</v>
      </c>
      <c r="C7" s="131">
        <f>AVERAGE(F5:F7)</f>
        <v>2112499.5700336699</v>
      </c>
      <c r="F7" s="78">
        <f>Q7/22</f>
        <v>2382422.4545454546</v>
      </c>
      <c r="G7" s="90">
        <f t="shared" si="2"/>
        <v>-0.14167679237833453</v>
      </c>
      <c r="H7" s="90"/>
      <c r="I7" s="130">
        <f t="shared" si="0"/>
        <v>126.99776666619177</v>
      </c>
      <c r="J7" s="130"/>
      <c r="K7" s="79">
        <f>R5+R6+R7</f>
        <v>0</v>
      </c>
      <c r="N7" s="88">
        <f>AVERAGE(T5:T7)</f>
        <v>108.01226039391366</v>
      </c>
      <c r="P7" s="129" t="s">
        <v>2</v>
      </c>
      <c r="Q7" s="116">
        <v>52413294</v>
      </c>
      <c r="R7" s="116"/>
      <c r="S7" s="116">
        <v>412710.36</v>
      </c>
      <c r="T7" s="130">
        <f t="shared" si="1"/>
        <v>126.99776666619177</v>
      </c>
      <c r="U7" s="85">
        <f>Q5+Q6+Q7</f>
        <v>125963478</v>
      </c>
    </row>
    <row r="8" spans="1:21" ht="15" hidden="1" customHeight="1">
      <c r="A8" s="129" t="s">
        <v>3</v>
      </c>
      <c r="C8" s="79"/>
      <c r="F8" s="78">
        <f>Q8/21</f>
        <v>1479261.0952380951</v>
      </c>
      <c r="G8" s="90">
        <f t="shared" si="2"/>
        <v>-0.37909370673710963</v>
      </c>
      <c r="H8" s="90"/>
      <c r="I8" s="130">
        <f t="shared" si="0"/>
        <v>66.810545260332859</v>
      </c>
      <c r="J8" s="130"/>
      <c r="K8" s="78"/>
      <c r="P8" s="129" t="s">
        <v>3</v>
      </c>
      <c r="Q8" s="116">
        <v>31064483</v>
      </c>
      <c r="R8" s="116"/>
      <c r="S8" s="116">
        <v>464963.77</v>
      </c>
      <c r="T8" s="130">
        <f t="shared" si="1"/>
        <v>66.810545260332859</v>
      </c>
      <c r="U8" s="85"/>
    </row>
    <row r="9" spans="1:21" ht="15" hidden="1" customHeight="1">
      <c r="A9" s="129" t="s">
        <v>4</v>
      </c>
      <c r="C9" s="79"/>
      <c r="F9" s="78">
        <f>Q9/21</f>
        <v>2745775.6190476189</v>
      </c>
      <c r="G9" s="90">
        <f t="shared" si="2"/>
        <v>0.85618051328908318</v>
      </c>
      <c r="H9" s="90"/>
      <c r="I9" s="130">
        <f t="shared" si="0"/>
        <v>111.01872422003434</v>
      </c>
      <c r="J9" s="130"/>
      <c r="K9" s="78"/>
      <c r="P9" s="129" t="s">
        <v>4</v>
      </c>
      <c r="Q9" s="116">
        <v>57661288</v>
      </c>
      <c r="R9" s="116"/>
      <c r="S9" s="116">
        <v>519383.45</v>
      </c>
      <c r="T9" s="130">
        <f t="shared" si="1"/>
        <v>111.01872422003434</v>
      </c>
      <c r="U9" s="85"/>
    </row>
    <row r="10" spans="1:21" ht="15" hidden="1" customHeight="1">
      <c r="A10" s="129" t="s">
        <v>5</v>
      </c>
      <c r="B10" s="131">
        <f>F8+F9+F10</f>
        <v>5097229.666666667</v>
      </c>
      <c r="C10" s="131">
        <f>AVERAGE(F8:F10)</f>
        <v>1699076.5555555557</v>
      </c>
      <c r="D10" s="90">
        <f>C10/C7-1</f>
        <v>-0.19570324195215094</v>
      </c>
      <c r="E10" s="286"/>
      <c r="F10" s="78">
        <f>Q10/21</f>
        <v>872192.95238095243</v>
      </c>
      <c r="G10" s="90">
        <f t="shared" si="2"/>
        <v>-0.6823509734988924</v>
      </c>
      <c r="H10" s="90"/>
      <c r="I10" s="130">
        <f t="shared" si="0"/>
        <v>87.628038309170222</v>
      </c>
      <c r="J10" s="130"/>
      <c r="K10" s="79">
        <f>R8+R9+R10</f>
        <v>0</v>
      </c>
      <c r="L10" s="87">
        <f>U10/U7-1</f>
        <v>-0.15021540608778683</v>
      </c>
      <c r="N10" s="88">
        <f>AVERAGE(T8:T10)</f>
        <v>88.485769263179137</v>
      </c>
      <c r="O10" s="89">
        <f>N10/N7-1</f>
        <v>-0.18078032122948529</v>
      </c>
      <c r="P10" s="129" t="s">
        <v>5</v>
      </c>
      <c r="Q10" s="116">
        <v>18316052</v>
      </c>
      <c r="R10" s="116"/>
      <c r="S10" s="116">
        <v>209020.45</v>
      </c>
      <c r="T10" s="130">
        <f t="shared" si="1"/>
        <v>87.628038309170222</v>
      </c>
      <c r="U10" s="85">
        <f>Q8+Q9+Q10</f>
        <v>107041823</v>
      </c>
    </row>
    <row r="11" spans="1:21" ht="15" hidden="1" customHeight="1">
      <c r="A11" s="129" t="s">
        <v>6</v>
      </c>
      <c r="C11" s="79"/>
      <c r="F11" s="78">
        <f>Q11/21</f>
        <v>2538731.5714285714</v>
      </c>
      <c r="G11" s="90">
        <f t="shared" si="2"/>
        <v>1.9107453396616254</v>
      </c>
      <c r="H11" s="90"/>
      <c r="I11" s="130">
        <f t="shared" si="0"/>
        <v>199.30743260293445</v>
      </c>
      <c r="J11" s="130"/>
      <c r="K11" s="78"/>
      <c r="O11" s="89"/>
      <c r="P11" s="129" t="s">
        <v>6</v>
      </c>
      <c r="Q11" s="116">
        <v>53313363</v>
      </c>
      <c r="R11" s="116"/>
      <c r="S11" s="116">
        <v>267493.09999999998</v>
      </c>
      <c r="T11" s="130">
        <f t="shared" si="1"/>
        <v>199.30743260293445</v>
      </c>
      <c r="U11" s="85"/>
    </row>
    <row r="12" spans="1:21" ht="15" hidden="1" customHeight="1">
      <c r="A12" s="129" t="s">
        <v>7</v>
      </c>
      <c r="C12" s="79"/>
      <c r="F12" s="78">
        <f>Q12/22</f>
        <v>1932740.0909090908</v>
      </c>
      <c r="G12" s="90">
        <f t="shared" si="2"/>
        <v>-0.23869852462522556</v>
      </c>
      <c r="H12" s="90"/>
      <c r="I12" s="130">
        <f t="shared" si="0"/>
        <v>121.32111079753864</v>
      </c>
      <c r="J12" s="130"/>
      <c r="K12" s="78"/>
      <c r="O12" s="89"/>
      <c r="P12" s="129" t="s">
        <v>7</v>
      </c>
      <c r="Q12" s="116">
        <v>42520282</v>
      </c>
      <c r="R12" s="116"/>
      <c r="S12" s="116">
        <v>350477.19</v>
      </c>
      <c r="T12" s="130">
        <f t="shared" si="1"/>
        <v>121.32111079753864</v>
      </c>
      <c r="U12" s="85"/>
    </row>
    <row r="13" spans="1:21" ht="15" hidden="1" customHeight="1">
      <c r="A13" s="129" t="s">
        <v>96</v>
      </c>
      <c r="B13" s="131">
        <f>F11+F12+F13</f>
        <v>6231380.7123376625</v>
      </c>
      <c r="C13" s="131">
        <f>AVERAGE(F11:F13)</f>
        <v>2077126.9041125542</v>
      </c>
      <c r="D13" s="90">
        <f>C13/C10-1</f>
        <v>0.22250342241546939</v>
      </c>
      <c r="E13" s="286"/>
      <c r="F13" s="78">
        <f>Q13/20</f>
        <v>1759909.05</v>
      </c>
      <c r="G13" s="90">
        <f t="shared" si="2"/>
        <v>-8.9422805333228883E-2</v>
      </c>
      <c r="H13" s="90"/>
      <c r="I13" s="130">
        <f t="shared" si="0"/>
        <v>106.1898646190272</v>
      </c>
      <c r="J13" s="130"/>
      <c r="K13" s="78">
        <f>R11+R12+R13</f>
        <v>0</v>
      </c>
      <c r="L13" s="87">
        <f>U13/U10-1</f>
        <v>0.22411803468631142</v>
      </c>
      <c r="N13" s="88">
        <f>AVERAGE(T11:T13)</f>
        <v>142.27280267316675</v>
      </c>
      <c r="O13" s="89">
        <f>N13/N10-1</f>
        <v>0.60786083296638727</v>
      </c>
      <c r="P13" s="129" t="s">
        <v>96</v>
      </c>
      <c r="Q13" s="116">
        <v>35198181</v>
      </c>
      <c r="R13" s="116"/>
      <c r="S13" s="116">
        <v>331464.59999999998</v>
      </c>
      <c r="T13" s="130">
        <f t="shared" si="1"/>
        <v>106.1898646190272</v>
      </c>
      <c r="U13" s="85">
        <f>Q11+Q12+Q13</f>
        <v>131031826</v>
      </c>
    </row>
    <row r="14" spans="1:21" ht="15" hidden="1" customHeight="1">
      <c r="A14" s="129" t="s">
        <v>97</v>
      </c>
      <c r="C14" s="79"/>
      <c r="F14" s="78">
        <f>Q14/20</f>
        <v>1749265.2</v>
      </c>
      <c r="G14" s="90">
        <f t="shared" si="2"/>
        <v>-6.0479545803802104E-3</v>
      </c>
      <c r="H14" s="90"/>
      <c r="I14" s="130">
        <f t="shared" si="0"/>
        <v>107.39998664610884</v>
      </c>
      <c r="J14" s="130"/>
      <c r="O14" s="89"/>
      <c r="P14" s="129" t="s">
        <v>97</v>
      </c>
      <c r="Q14" s="116">
        <v>34985304</v>
      </c>
      <c r="R14" s="116"/>
      <c r="S14" s="116">
        <v>325747.75</v>
      </c>
      <c r="T14" s="130">
        <f t="shared" si="1"/>
        <v>107.39998664610884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1344508.1818181819</v>
      </c>
      <c r="G15" s="90">
        <f t="shared" si="2"/>
        <v>-0.23138688072101254</v>
      </c>
      <c r="H15" s="90"/>
      <c r="I15" s="130">
        <f t="shared" si="0"/>
        <v>75.204992041347111</v>
      </c>
      <c r="J15" s="130"/>
      <c r="O15" s="89"/>
      <c r="P15" s="129" t="s">
        <v>98</v>
      </c>
      <c r="Q15" s="116">
        <v>29579180</v>
      </c>
      <c r="R15" s="116"/>
      <c r="S15" s="116">
        <v>393314.05</v>
      </c>
      <c r="T15" s="130">
        <f t="shared" si="1"/>
        <v>75.204992041347111</v>
      </c>
      <c r="U15" s="85"/>
    </row>
    <row r="16" spans="1:21" ht="15" hidden="1" customHeight="1">
      <c r="A16" s="129" t="s">
        <v>99</v>
      </c>
      <c r="B16" s="131">
        <f>F14+F15+F16</f>
        <v>5748478.8818181818</v>
      </c>
      <c r="C16" s="131">
        <f>AVERAGE(F14:F16)</f>
        <v>1916159.6272727272</v>
      </c>
      <c r="D16" s="90">
        <f>C16/C13-1</f>
        <v>-7.7495157624276056E-2</v>
      </c>
      <c r="E16" s="286"/>
      <c r="F16" s="78">
        <f>Q16/22</f>
        <v>2654705.5</v>
      </c>
      <c r="G16" s="90">
        <f t="shared" si="2"/>
        <v>0.97448073273160363</v>
      </c>
      <c r="H16" s="90"/>
      <c r="I16" s="130">
        <f t="shared" si="0"/>
        <v>106.18373325461666</v>
      </c>
      <c r="J16" s="130"/>
      <c r="K16" s="78">
        <f>R14+R15+R16</f>
        <v>0</v>
      </c>
      <c r="L16" s="87">
        <f>U16/U13-1</f>
        <v>-6.1540934337586006E-2</v>
      </c>
      <c r="N16" s="88">
        <f>AVERAGE(T14:T16)</f>
        <v>96.262903980690865</v>
      </c>
      <c r="O16" s="89">
        <f>N16/N13-1</f>
        <v>-0.32339208779186823</v>
      </c>
      <c r="P16" s="129" t="s">
        <v>99</v>
      </c>
      <c r="Q16" s="116">
        <v>58403521</v>
      </c>
      <c r="R16" s="116"/>
      <c r="S16" s="116">
        <v>550023.24</v>
      </c>
      <c r="T16" s="130">
        <f t="shared" si="1"/>
        <v>106.18373325461666</v>
      </c>
      <c r="U16" s="85">
        <f>Q14+Q15+Q16</f>
        <v>122968005</v>
      </c>
    </row>
    <row r="17" spans="1:21" ht="15" hidden="1" customHeight="1">
      <c r="A17" s="129" t="s">
        <v>100</v>
      </c>
      <c r="C17" s="79"/>
      <c r="F17" s="78">
        <f>Q17/20</f>
        <v>1700610.7</v>
      </c>
      <c r="G17" s="90">
        <f t="shared" ref="G17:G22" si="3">F17/F16-1</f>
        <v>-0.35939760549710698</v>
      </c>
      <c r="H17" s="90">
        <f t="shared" ref="H17:H22" si="4">F17/F5-1</f>
        <v>0.44192172379699368</v>
      </c>
      <c r="I17" s="130">
        <f t="shared" si="0"/>
        <v>142.1808546482045</v>
      </c>
      <c r="J17" s="130">
        <f t="shared" ref="J17:J49" si="5">I17/I5-1</f>
        <v>1.0058258205990995</v>
      </c>
      <c r="O17" s="89"/>
      <c r="P17" s="129" t="s">
        <v>100</v>
      </c>
      <c r="Q17" s="116">
        <v>34012214</v>
      </c>
      <c r="R17" s="116">
        <v>42761862662</v>
      </c>
      <c r="S17" s="116">
        <v>239217.96</v>
      </c>
      <c r="T17" s="130">
        <f t="shared" si="1"/>
        <v>142.1808546482045</v>
      </c>
      <c r="U17" s="78"/>
    </row>
    <row r="18" spans="1:21" hidden="1">
      <c r="A18" s="129" t="s">
        <v>106</v>
      </c>
      <c r="C18" s="79"/>
      <c r="F18" s="78">
        <f>Q18/20</f>
        <v>2722077.15</v>
      </c>
      <c r="G18" s="90">
        <f t="shared" si="3"/>
        <v>0.60064684410135727</v>
      </c>
      <c r="H18" s="90">
        <f t="shared" si="4"/>
        <v>-1.9308273256092079E-2</v>
      </c>
      <c r="I18" s="130">
        <f t="shared" si="0"/>
        <v>121.17880621380361</v>
      </c>
      <c r="J18" s="130">
        <f t="shared" si="5"/>
        <v>-3.9445578593281905E-2</v>
      </c>
      <c r="O18" s="89"/>
      <c r="P18" s="129" t="s">
        <v>106</v>
      </c>
      <c r="Q18" s="116">
        <v>54441543</v>
      </c>
      <c r="R18" s="116">
        <v>68516426907</v>
      </c>
      <c r="S18" s="116">
        <v>449266.21</v>
      </c>
      <c r="T18" s="130">
        <f t="shared" si="1"/>
        <v>121.17880621380361</v>
      </c>
      <c r="U18" s="78"/>
    </row>
    <row r="19" spans="1:21" hidden="1">
      <c r="A19" s="129" t="s">
        <v>114</v>
      </c>
      <c r="B19" s="131">
        <f>SUM(F17:F19)</f>
        <v>6681628.3499999996</v>
      </c>
      <c r="C19" s="131">
        <f>AVERAGE(F17:F19)</f>
        <v>2227209.4499999997</v>
      </c>
      <c r="D19" s="90">
        <f>C19/C16-1</f>
        <v>0.16232980713093825</v>
      </c>
      <c r="E19" s="286">
        <f>C19/C7-1</f>
        <v>5.4300545947330692E-2</v>
      </c>
      <c r="F19" s="78">
        <f>Q19/22</f>
        <v>2258940.5</v>
      </c>
      <c r="G19" s="90">
        <f t="shared" si="3"/>
        <v>-0.17014089773318875</v>
      </c>
      <c r="H19" s="90">
        <f t="shared" si="4"/>
        <v>-5.1830419206241873E-2</v>
      </c>
      <c r="I19" s="130">
        <f t="shared" si="0"/>
        <v>143.55231699478836</v>
      </c>
      <c r="J19" s="130">
        <f t="shared" si="5"/>
        <v>0.13035308228773435</v>
      </c>
      <c r="K19" s="78">
        <f>R17+R18+R19</f>
        <v>176189298744</v>
      </c>
      <c r="L19" s="87">
        <f>U19/U16-1</f>
        <v>0.12346661231106415</v>
      </c>
      <c r="M19" s="87">
        <f>U19/U7-1</f>
        <v>9.6750027813617523E-2</v>
      </c>
      <c r="N19" s="88">
        <f>AVERAGE(T17:T19)</f>
        <v>135.63732595226551</v>
      </c>
      <c r="O19" s="89">
        <f>N19/N16-1</f>
        <v>0.40903006603117498</v>
      </c>
      <c r="P19" s="129" t="s">
        <v>114</v>
      </c>
      <c r="Q19" s="116">
        <v>49696691</v>
      </c>
      <c r="R19" s="116">
        <v>64911009175</v>
      </c>
      <c r="S19" s="116">
        <v>346192.19</v>
      </c>
      <c r="T19" s="130">
        <f t="shared" si="1"/>
        <v>143.55231699478836</v>
      </c>
      <c r="U19" s="85">
        <f>Q17+Q18+Q19</f>
        <v>138150448</v>
      </c>
    </row>
    <row r="20" spans="1:21" hidden="1">
      <c r="A20" s="129" t="s">
        <v>131</v>
      </c>
      <c r="B20" s="131"/>
      <c r="C20" s="131"/>
      <c r="D20" s="90"/>
      <c r="E20" s="286"/>
      <c r="F20" s="78">
        <f>Q20/20</f>
        <v>2021782.85</v>
      </c>
      <c r="G20" s="90">
        <f t="shared" si="3"/>
        <v>-0.10498623137705487</v>
      </c>
      <c r="H20" s="90">
        <f t="shared" si="4"/>
        <v>0.36675185774055863</v>
      </c>
      <c r="I20" s="130">
        <f t="shared" si="0"/>
        <v>98.406040307247693</v>
      </c>
      <c r="J20" s="130">
        <f t="shared" si="5"/>
        <v>0.47291179743856837</v>
      </c>
      <c r="O20" s="89"/>
      <c r="P20" s="129" t="s">
        <v>131</v>
      </c>
      <c r="Q20" s="116">
        <v>40435657</v>
      </c>
      <c r="R20" s="116">
        <v>53164597343</v>
      </c>
      <c r="S20" s="116">
        <v>410906.25</v>
      </c>
      <c r="T20" s="130">
        <f t="shared" si="1"/>
        <v>98.406040307247693</v>
      </c>
      <c r="U20" s="78"/>
    </row>
    <row r="21" spans="1:21" hidden="1">
      <c r="A21" s="129" t="s">
        <v>141</v>
      </c>
      <c r="B21" s="131"/>
      <c r="C21" s="131"/>
      <c r="D21" s="90"/>
      <c r="E21" s="286"/>
      <c r="F21" s="78">
        <f>Q21/21</f>
        <v>2874740.9047619049</v>
      </c>
      <c r="G21" s="90">
        <f t="shared" si="3"/>
        <v>0.42188410825717737</v>
      </c>
      <c r="H21" s="90">
        <f t="shared" si="4"/>
        <v>4.6968617835938753E-2</v>
      </c>
      <c r="I21" s="130">
        <f t="shared" si="0"/>
        <v>107.33230808924907</v>
      </c>
      <c r="J21" s="130">
        <f t="shared" si="5"/>
        <v>-3.3205354832568257E-2</v>
      </c>
      <c r="O21" s="89"/>
      <c r="P21" s="129" t="s">
        <v>141</v>
      </c>
      <c r="Q21" s="116">
        <v>60369559</v>
      </c>
      <c r="R21" s="116">
        <v>80203137843</v>
      </c>
      <c r="S21" s="116">
        <v>562454.68000000005</v>
      </c>
      <c r="T21" s="130">
        <f t="shared" si="1"/>
        <v>107.33230808924907</v>
      </c>
      <c r="U21" s="78"/>
    </row>
    <row r="22" spans="1:21" hidden="1">
      <c r="A22" s="129" t="s">
        <v>156</v>
      </c>
      <c r="B22" s="131">
        <f>SUM(F20:F22)</f>
        <v>10647785.945238095</v>
      </c>
      <c r="C22" s="131">
        <f>AVERAGE(F20:F22)</f>
        <v>3549261.9817460314</v>
      </c>
      <c r="D22" s="90">
        <f>C22/C19-1</f>
        <v>0.59359147014486302</v>
      </c>
      <c r="E22" s="286">
        <f>C22/C10-1</f>
        <v>1.0889358811648786</v>
      </c>
      <c r="F22" s="78">
        <f>Q22/21</f>
        <v>5751262.1904761903</v>
      </c>
      <c r="G22" s="90">
        <f t="shared" si="3"/>
        <v>1.0006193187530159</v>
      </c>
      <c r="H22" s="90">
        <f t="shared" si="4"/>
        <v>5.5940250661004889</v>
      </c>
      <c r="I22" s="130">
        <f t="shared" si="0"/>
        <v>98.203103602189657</v>
      </c>
      <c r="J22" s="130">
        <f t="shared" si="5"/>
        <v>0.12068129672957384</v>
      </c>
      <c r="K22" s="78">
        <f>R20+R21+R22</f>
        <v>289653557027</v>
      </c>
      <c r="L22" s="87">
        <f>U22/U19-1</f>
        <v>0.60391605823818972</v>
      </c>
      <c r="M22" s="87">
        <f>U22/U10-1</f>
        <v>1.0700480969947606</v>
      </c>
      <c r="N22" s="88">
        <f>AVERAGE(T20:T22)</f>
        <v>101.31381733289545</v>
      </c>
      <c r="O22" s="89">
        <f>N22/N19-1</f>
        <v>-0.25305356308372995</v>
      </c>
      <c r="P22" s="129" t="s">
        <v>156</v>
      </c>
      <c r="Q22" s="116">
        <v>120776506</v>
      </c>
      <c r="R22" s="116">
        <v>156285821841</v>
      </c>
      <c r="S22" s="116">
        <v>1229864.45</v>
      </c>
      <c r="T22" s="130">
        <f t="shared" ref="T22:T23" si="6">Q22/S22</f>
        <v>98.203103602189657</v>
      </c>
      <c r="U22" s="85">
        <f>Q20+Q21+Q22</f>
        <v>221581722</v>
      </c>
    </row>
    <row r="23" spans="1:21" hidden="1">
      <c r="A23" s="129" t="s">
        <v>189</v>
      </c>
      <c r="B23" s="131"/>
      <c r="C23" s="131"/>
      <c r="F23" s="78">
        <f>Q23/21</f>
        <v>2853701.6666666665</v>
      </c>
      <c r="G23" s="90">
        <f t="shared" ref="G23" si="7">F23/F22-1</f>
        <v>-0.50381297667279767</v>
      </c>
      <c r="H23" s="90">
        <f t="shared" ref="H23" si="8">F23/F11-1</f>
        <v>0.12406593071234306</v>
      </c>
      <c r="I23" s="130">
        <f t="shared" si="0"/>
        <v>102.74882086856846</v>
      </c>
      <c r="J23" s="130">
        <f t="shared" si="5"/>
        <v>-0.48447070173610951</v>
      </c>
      <c r="O23" s="89"/>
      <c r="P23" s="129" t="s">
        <v>189</v>
      </c>
      <c r="Q23" s="116">
        <v>59927735</v>
      </c>
      <c r="R23" s="116">
        <v>76873665738</v>
      </c>
      <c r="S23" s="116">
        <v>583244.99</v>
      </c>
      <c r="T23" s="130">
        <f t="shared" si="6"/>
        <v>102.74882086856846</v>
      </c>
      <c r="U23" s="78"/>
    </row>
    <row r="24" spans="1:21" hidden="1">
      <c r="A24" s="129" t="s">
        <v>204</v>
      </c>
      <c r="B24" s="131"/>
      <c r="C24" s="131"/>
      <c r="F24" s="78">
        <f>Q24/22</f>
        <v>2843512.1363636362</v>
      </c>
      <c r="G24" s="90">
        <f t="shared" ref="G24" si="9">F24/F23-1</f>
        <v>-3.5706361397378483E-3</v>
      </c>
      <c r="H24" s="90">
        <f t="shared" ref="H24" si="10">F24/F12-1</f>
        <v>0.47123358683274952</v>
      </c>
      <c r="I24" s="130">
        <f t="shared" si="0"/>
        <v>104.24609077994864</v>
      </c>
      <c r="J24" s="130">
        <f t="shared" si="5"/>
        <v>-0.14074236466631829</v>
      </c>
      <c r="O24" s="89"/>
      <c r="P24" s="129" t="s">
        <v>204</v>
      </c>
      <c r="Q24" s="116">
        <v>62557267</v>
      </c>
      <c r="R24" s="116">
        <v>82432573124</v>
      </c>
      <c r="S24" s="116">
        <v>600092.21</v>
      </c>
      <c r="T24" s="130">
        <f t="shared" ref="T24" si="11">Q24/S24</f>
        <v>104.24609077994864</v>
      </c>
      <c r="U24" s="78"/>
    </row>
    <row r="25" spans="1:21" s="79" customFormat="1" ht="13.2" hidden="1">
      <c r="A25" s="129" t="s">
        <v>219</v>
      </c>
      <c r="B25" s="131">
        <f>SUM(F23:F25)</f>
        <v>9530338.2240829337</v>
      </c>
      <c r="C25" s="131">
        <f>AVERAGE(F23:F25)</f>
        <v>3176779.4080276447</v>
      </c>
      <c r="D25" s="90">
        <f>C25/C22-1</f>
        <v>-0.10494648623687874</v>
      </c>
      <c r="E25" s="286">
        <f>C25/C13-1</f>
        <v>0.52941036088736881</v>
      </c>
      <c r="F25" s="78">
        <f>Q25/19</f>
        <v>3833124.4210526315</v>
      </c>
      <c r="G25" s="90">
        <f t="shared" ref="G25" si="12">F25/F24-1</f>
        <v>0.34802463897852021</v>
      </c>
      <c r="H25" s="90">
        <f t="shared" ref="H25" si="13">F25/F13-1</f>
        <v>1.1780241547440373</v>
      </c>
      <c r="I25" s="130">
        <f t="shared" si="0"/>
        <v>120.20649156704401</v>
      </c>
      <c r="J25" s="130">
        <f t="shared" si="5"/>
        <v>0.13199590185281473</v>
      </c>
      <c r="K25" s="78">
        <f>R23+R24+R25</f>
        <v>255946512036</v>
      </c>
      <c r="L25" s="90">
        <f>U25/U22-1</f>
        <v>-0.11854477780437145</v>
      </c>
      <c r="M25" s="90">
        <f>U25/U13-1</f>
        <v>0.49058722573247215</v>
      </c>
      <c r="N25" s="88">
        <f>AVERAGE(T23:T25)</f>
        <v>109.06713440518705</v>
      </c>
      <c r="O25" s="91">
        <f>N25/N22-1</f>
        <v>7.6527736062060203E-2</v>
      </c>
      <c r="P25" s="129" t="s">
        <v>219</v>
      </c>
      <c r="Q25" s="116">
        <v>72829364</v>
      </c>
      <c r="R25" s="116">
        <v>96640273174</v>
      </c>
      <c r="S25" s="116">
        <v>605868.81000000006</v>
      </c>
      <c r="T25" s="130">
        <f t="shared" ref="T25" si="14">Q25/S25</f>
        <v>120.20649156704401</v>
      </c>
      <c r="U25" s="85">
        <f>Q23+Q24+Q25</f>
        <v>195314366</v>
      </c>
    </row>
    <row r="26" spans="1:21" s="79" customFormat="1" ht="13.2" hidden="1">
      <c r="A26" s="129" t="s">
        <v>312</v>
      </c>
      <c r="B26" s="131"/>
      <c r="C26" s="131"/>
      <c r="D26" s="132"/>
      <c r="E26" s="286"/>
      <c r="F26" s="78">
        <f>Q26/19</f>
        <v>2850562.5263157897</v>
      </c>
      <c r="G26" s="90">
        <f t="shared" ref="G26" si="15">F26/F25-1</f>
        <v>-0.25633446421418693</v>
      </c>
      <c r="H26" s="90">
        <f t="shared" ref="H26" si="16">F26/F14-1</f>
        <v>0.6295771083285655</v>
      </c>
      <c r="I26" s="130">
        <f t="shared" si="0"/>
        <v>88.290642975123433</v>
      </c>
      <c r="J26" s="130">
        <f t="shared" si="5"/>
        <v>-0.1779268719460102</v>
      </c>
      <c r="L26" s="90"/>
      <c r="M26" s="90"/>
      <c r="P26" s="129" t="s">
        <v>312</v>
      </c>
      <c r="Q26" s="116">
        <v>54160688</v>
      </c>
      <c r="R26" s="116">
        <v>73077921497</v>
      </c>
      <c r="S26" s="116">
        <v>613436.32999999996</v>
      </c>
      <c r="T26" s="130">
        <f t="shared" ref="T26" si="17">Q26/S26</f>
        <v>88.290642975123433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86"/>
      <c r="F27" s="78">
        <f>Q27/22</f>
        <v>2451886.8636363638</v>
      </c>
      <c r="G27" s="90">
        <f t="shared" ref="G27" si="18">F27/F26-1</f>
        <v>-0.13985859247041121</v>
      </c>
      <c r="H27" s="90">
        <f t="shared" ref="H27" si="19">F27/F15-1</f>
        <v>0.823631047243365</v>
      </c>
      <c r="I27" s="130">
        <f t="shared" si="0"/>
        <v>95.49143465470847</v>
      </c>
      <c r="J27" s="130">
        <f t="shared" si="5"/>
        <v>0.26974861724881283</v>
      </c>
      <c r="L27" s="90"/>
      <c r="M27" s="90"/>
      <c r="P27" s="129" t="s">
        <v>379</v>
      </c>
      <c r="Q27" s="116">
        <v>53941511</v>
      </c>
      <c r="R27" s="116">
        <v>71012547988</v>
      </c>
      <c r="S27" s="116">
        <v>564883.24</v>
      </c>
      <c r="T27" s="130">
        <f t="shared" ref="T27" si="20">Q27/S27</f>
        <v>95.49143465470847</v>
      </c>
      <c r="U27" s="78"/>
    </row>
    <row r="28" spans="1:21" s="79" customFormat="1" ht="13.2" hidden="1">
      <c r="A28" s="123" t="s">
        <v>417</v>
      </c>
      <c r="B28" s="131">
        <f>SUM(F26:F28)</f>
        <v>8996461.389952153</v>
      </c>
      <c r="C28" s="131">
        <f>AVERAGE(F26:F28)</f>
        <v>2998820.4633173845</v>
      </c>
      <c r="D28" s="90">
        <f>C28/C25-1</f>
        <v>-5.6018666030308029E-2</v>
      </c>
      <c r="E28" s="286">
        <f>C28/C16-1</f>
        <v>0.56501599378002232</v>
      </c>
      <c r="F28" s="78">
        <f>Q28/19</f>
        <v>3694012</v>
      </c>
      <c r="G28" s="90">
        <f t="shared" ref="G28" si="21">F28/F27-1</f>
        <v>0.50659969462108689</v>
      </c>
      <c r="H28" s="90">
        <f t="shared" ref="H28" si="22">F28/F16-1</f>
        <v>0.39149596819684906</v>
      </c>
      <c r="I28" s="130">
        <f t="shared" si="0"/>
        <v>102.65174876264284</v>
      </c>
      <c r="J28" s="130">
        <f t="shared" si="5"/>
        <v>-3.3262952654946831E-2</v>
      </c>
      <c r="K28" s="78">
        <f>R26+R27+R28</f>
        <v>235800472701</v>
      </c>
      <c r="L28" s="90">
        <f>U28/U25-1</f>
        <v>-8.7171974845926092E-2</v>
      </c>
      <c r="M28" s="90">
        <f>U28/U16-1</f>
        <v>0.44987655122159631</v>
      </c>
      <c r="N28" s="88">
        <f>AVERAGE(T26:T28)</f>
        <v>95.477942130824928</v>
      </c>
      <c r="O28" s="91">
        <f>N28/N25-1</f>
        <v>-0.12459474935756487</v>
      </c>
      <c r="P28" s="129" t="s">
        <v>417</v>
      </c>
      <c r="Q28" s="116">
        <v>70186228</v>
      </c>
      <c r="R28" s="116">
        <v>91710003216</v>
      </c>
      <c r="S28" s="116">
        <v>683731.44</v>
      </c>
      <c r="T28" s="130">
        <f t="shared" ref="T28" si="23">Q28/S28</f>
        <v>102.65174876264284</v>
      </c>
      <c r="U28" s="85">
        <f>Q26+Q27+Q28</f>
        <v>178288427</v>
      </c>
    </row>
    <row r="29" spans="1:21" s="79" customFormat="1" ht="13.2" hidden="1">
      <c r="A29" s="129" t="s">
        <v>427</v>
      </c>
      <c r="B29" s="188"/>
      <c r="C29" s="188"/>
      <c r="D29" s="189"/>
      <c r="E29" s="287"/>
      <c r="F29" s="136">
        <f>Q29/22</f>
        <v>2927825.8636363638</v>
      </c>
      <c r="G29" s="190">
        <f t="shared" ref="G29" si="24">F29/F28-1</f>
        <v>-0.20741300687805997</v>
      </c>
      <c r="H29" s="190">
        <f t="shared" ref="H29" si="25">F29/F17-1</f>
        <v>0.72163203703020562</v>
      </c>
      <c r="I29" s="130">
        <f t="shared" si="0"/>
        <v>88.981526545834811</v>
      </c>
      <c r="J29" s="130">
        <f t="shared" si="5"/>
        <v>-0.37416660797264034</v>
      </c>
      <c r="K29" s="136"/>
      <c r="L29" s="190"/>
      <c r="M29" s="190"/>
      <c r="N29" s="191"/>
      <c r="O29" s="192"/>
      <c r="P29" s="129" t="s">
        <v>427</v>
      </c>
      <c r="Q29" s="116">
        <v>64412169</v>
      </c>
      <c r="R29" s="116">
        <v>85160127955</v>
      </c>
      <c r="S29" s="116">
        <v>723882.49</v>
      </c>
      <c r="T29" s="130">
        <f t="shared" ref="T29" si="26">Q29/S29</f>
        <v>88.981526545834811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87"/>
      <c r="F30" s="136">
        <f>Q30/19</f>
        <v>2375270.6842105263</v>
      </c>
      <c r="G30" s="190">
        <f t="shared" ref="G30" si="27">F30/F29-1</f>
        <v>-0.18872542465335118</v>
      </c>
      <c r="H30" s="190">
        <f t="shared" ref="H30" si="28">F30/F18-1</f>
        <v>-0.12740508320621025</v>
      </c>
      <c r="I30" s="130">
        <f t="shared" si="0"/>
        <v>91.233582277784222</v>
      </c>
      <c r="J30" s="130">
        <f t="shared" si="5"/>
        <v>-0.24711601699710672</v>
      </c>
      <c r="K30" s="136"/>
      <c r="L30" s="190"/>
      <c r="M30" s="190"/>
      <c r="N30" s="191"/>
      <c r="O30" s="192"/>
      <c r="P30" s="129" t="s">
        <v>466</v>
      </c>
      <c r="Q30" s="116">
        <v>45130143</v>
      </c>
      <c r="R30" s="116">
        <v>60130940288</v>
      </c>
      <c r="S30" s="116">
        <v>494665.91</v>
      </c>
      <c r="T30" s="130">
        <f t="shared" ref="T30" si="29">Q30/S30</f>
        <v>91.233582277784222</v>
      </c>
      <c r="U30" s="85"/>
    </row>
    <row r="31" spans="1:21" s="79" customFormat="1" ht="13.2" hidden="1">
      <c r="A31" s="129" t="s">
        <v>505</v>
      </c>
      <c r="B31" s="188">
        <f>SUM(F29:F31)</f>
        <v>8162899.5478468901</v>
      </c>
      <c r="C31" s="188">
        <f>AVERAGE(F29:F31)</f>
        <v>2720966.5159489634</v>
      </c>
      <c r="D31" s="190">
        <f>C31/C28-1</f>
        <v>-9.2654412215478432E-2</v>
      </c>
      <c r="E31" s="287">
        <f>C31/C19-1</f>
        <v>0.22169314428374198</v>
      </c>
      <c r="F31" s="136">
        <f>Q31/20</f>
        <v>2859803</v>
      </c>
      <c r="G31" s="190">
        <f t="shared" ref="G31" si="30">F31/F30-1</f>
        <v>0.20399035739815852</v>
      </c>
      <c r="H31" s="190">
        <f t="shared" ref="H31" si="31">F31/F19-1</f>
        <v>0.26599306179157889</v>
      </c>
      <c r="I31" s="130">
        <f t="shared" si="0"/>
        <v>92.536321552087273</v>
      </c>
      <c r="J31" s="130">
        <f t="shared" si="5"/>
        <v>-0.35538259855849774</v>
      </c>
      <c r="K31" s="136">
        <f>R29+R30+R31</f>
        <v>221365652306</v>
      </c>
      <c r="L31" s="190">
        <f>U31/U28-1</f>
        <v>-6.4782976631455713E-2</v>
      </c>
      <c r="M31" s="190">
        <f>U31/U19-1</f>
        <v>0.20693327031411446</v>
      </c>
      <c r="N31" s="191">
        <f>AVERAGE(T29:T31)</f>
        <v>90.917143458568773</v>
      </c>
      <c r="O31" s="192">
        <f>N31/N28-1</f>
        <v>-4.7768087271999438E-2</v>
      </c>
      <c r="P31" s="129" t="s">
        <v>505</v>
      </c>
      <c r="Q31" s="116">
        <v>57196060</v>
      </c>
      <c r="R31" s="116">
        <v>76074584063</v>
      </c>
      <c r="S31" s="116">
        <v>618093.07999999996</v>
      </c>
      <c r="T31" s="130">
        <f t="shared" ref="T31" si="32">Q31/S31</f>
        <v>92.536321552087273</v>
      </c>
      <c r="U31" s="85">
        <f>Q29+Q30+Q31</f>
        <v>166738372</v>
      </c>
    </row>
    <row r="32" spans="1:21" s="79" customFormat="1" ht="13.2" hidden="1">
      <c r="A32" s="129" t="s">
        <v>561</v>
      </c>
      <c r="B32" s="188"/>
      <c r="C32" s="188"/>
      <c r="D32" s="190"/>
      <c r="E32" s="287"/>
      <c r="F32" s="136">
        <f>Q32/21</f>
        <v>2526709.6190476189</v>
      </c>
      <c r="G32" s="190">
        <f t="shared" ref="G32" si="33">F32/F31-1</f>
        <v>-0.11647423999218864</v>
      </c>
      <c r="H32" s="190">
        <f t="shared" ref="H32" si="34">F32/F20-1</f>
        <v>0.24974332384292341</v>
      </c>
      <c r="I32" s="130">
        <f t="shared" si="0"/>
        <v>90.256936172709985</v>
      </c>
      <c r="J32" s="130">
        <f t="shared" si="5"/>
        <v>-8.2811015554474232E-2</v>
      </c>
      <c r="K32" s="136"/>
      <c r="L32" s="190"/>
      <c r="M32" s="190"/>
      <c r="N32" s="191"/>
      <c r="O32" s="192"/>
      <c r="P32" s="129" t="s">
        <v>561</v>
      </c>
      <c r="Q32" s="116">
        <v>53060902</v>
      </c>
      <c r="R32" s="116">
        <v>72561270424</v>
      </c>
      <c r="S32" s="116">
        <v>587887.25</v>
      </c>
      <c r="T32" s="130">
        <f t="shared" ref="T32" si="35">Q32/S32</f>
        <v>90.256936172709985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87"/>
      <c r="F33" s="136">
        <f>Q33/21</f>
        <v>1993146.5238095238</v>
      </c>
      <c r="G33" s="190">
        <f t="shared" ref="G33" si="36">F33/F32-1</f>
        <v>-0.21116913919028357</v>
      </c>
      <c r="H33" s="190">
        <f t="shared" ref="H33" si="37">F33/F21-1</f>
        <v>-0.30666916085969753</v>
      </c>
      <c r="I33" s="130">
        <f t="shared" si="0"/>
        <v>98.036929798932377</v>
      </c>
      <c r="J33" s="130">
        <f t="shared" si="5"/>
        <v>-8.6603730561606751E-2</v>
      </c>
      <c r="K33" s="136"/>
      <c r="L33" s="190"/>
      <c r="M33" s="190"/>
      <c r="N33" s="191"/>
      <c r="O33" s="192"/>
      <c r="P33" s="129" t="s">
        <v>607</v>
      </c>
      <c r="Q33" s="116">
        <v>41856077</v>
      </c>
      <c r="R33" s="116">
        <v>57177397438</v>
      </c>
      <c r="S33" s="116">
        <v>426941.94</v>
      </c>
      <c r="T33" s="130">
        <f t="shared" ref="T33" si="38">Q33/S33</f>
        <v>98.036929798932377</v>
      </c>
      <c r="U33" s="85"/>
    </row>
    <row r="34" spans="1:21" s="79" customFormat="1" ht="13.2" hidden="1">
      <c r="A34" s="129" t="s">
        <v>652</v>
      </c>
      <c r="B34" s="188">
        <f>SUM(F32:F34)</f>
        <v>7575994.7744360901</v>
      </c>
      <c r="C34" s="188">
        <f>AVERAGE(F32:F34)</f>
        <v>2525331.5914786966</v>
      </c>
      <c r="D34" s="190">
        <f>C34/C31-1</f>
        <v>-7.1899056207987644E-2</v>
      </c>
      <c r="E34" s="287">
        <f>C34/C22-1</f>
        <v>-0.28849107097008952</v>
      </c>
      <c r="F34" s="136">
        <f>Q34/19</f>
        <v>3056138.6315789474</v>
      </c>
      <c r="G34" s="190">
        <f t="shared" ref="G34" si="39">F34/F33-1</f>
        <v>0.53332361423068608</v>
      </c>
      <c r="H34" s="190">
        <f t="shared" ref="H34" si="40">F34/F22-1</f>
        <v>-0.46861427450833937</v>
      </c>
      <c r="I34" s="130">
        <f t="shared" si="0"/>
        <v>91.18542458689997</v>
      </c>
      <c r="J34" s="130">
        <f t="shared" si="5"/>
        <v>-7.1460867914292847E-2</v>
      </c>
      <c r="K34" s="136">
        <f>R32+R33+R34</f>
        <v>209503847492</v>
      </c>
      <c r="L34" s="190">
        <f>U34/U31-1</f>
        <v>-8.249306284458624E-2</v>
      </c>
      <c r="M34" s="190">
        <f>U34/U22-1</f>
        <v>-0.30958378868451975</v>
      </c>
      <c r="N34" s="191">
        <f>AVERAGE(T32:T34)</f>
        <v>93.159763519514115</v>
      </c>
      <c r="O34" s="192">
        <f>N34/N31-1</f>
        <v>2.466663574804584E-2</v>
      </c>
      <c r="P34" s="129" t="s">
        <v>652</v>
      </c>
      <c r="Q34" s="116">
        <v>58066634</v>
      </c>
      <c r="R34" s="116">
        <v>79765179630</v>
      </c>
      <c r="S34" s="116">
        <v>636797.31999999995</v>
      </c>
      <c r="T34" s="130">
        <f t="shared" ref="T34" si="41">Q34/S34</f>
        <v>91.18542458689997</v>
      </c>
      <c r="U34" s="85">
        <f>Q32+Q33+Q34</f>
        <v>152983613</v>
      </c>
    </row>
    <row r="35" spans="1:21" s="79" customFormat="1" ht="13.2" hidden="1">
      <c r="A35" s="129" t="s">
        <v>659</v>
      </c>
      <c r="B35" s="188"/>
      <c r="C35" s="188"/>
      <c r="D35" s="190"/>
      <c r="E35" s="287"/>
      <c r="F35" s="136">
        <f>Q35/23</f>
        <v>3936380.8695652173</v>
      </c>
      <c r="G35" s="190">
        <f t="shared" ref="G35" si="42">F35/F34-1</f>
        <v>0.28802431568082842</v>
      </c>
      <c r="H35" s="190">
        <f t="shared" ref="H35" si="43">F35/F23-1</f>
        <v>0.37939467027862084</v>
      </c>
      <c r="I35" s="130">
        <f t="shared" si="0"/>
        <v>94.115863955608646</v>
      </c>
      <c r="J35" s="130">
        <f t="shared" si="5"/>
        <v>-8.4020009572690735E-2</v>
      </c>
      <c r="K35" s="136"/>
      <c r="L35" s="190"/>
      <c r="M35" s="190"/>
      <c r="N35" s="191"/>
      <c r="O35" s="192"/>
      <c r="P35" s="129" t="s">
        <v>660</v>
      </c>
      <c r="Q35" s="116">
        <v>90536760</v>
      </c>
      <c r="R35" s="116">
        <v>125237755034</v>
      </c>
      <c r="S35" s="116">
        <v>961971.3</v>
      </c>
      <c r="T35" s="130">
        <f t="shared" ref="T35" si="44">Q35/S35</f>
        <v>94.115863955608646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87"/>
      <c r="F36" s="136">
        <f>Q36/21</f>
        <v>3884594.2857142859</v>
      </c>
      <c r="G36" s="190">
        <f t="shared" ref="G36" si="45">F36/F35-1</f>
        <v>-1.3155887493338847E-2</v>
      </c>
      <c r="H36" s="190">
        <f t="shared" ref="H36" si="46">F36/F24-1</f>
        <v>0.36612544607670117</v>
      </c>
      <c r="I36" s="130">
        <f t="shared" si="0"/>
        <v>96.773721709354859</v>
      </c>
      <c r="J36" s="130">
        <f t="shared" si="5"/>
        <v>-7.1680089053575036E-2</v>
      </c>
      <c r="K36" s="136"/>
      <c r="L36" s="190"/>
      <c r="M36" s="190"/>
      <c r="N36" s="191"/>
      <c r="O36" s="192"/>
      <c r="P36" s="129" t="s">
        <v>666</v>
      </c>
      <c r="Q36" s="116">
        <v>81576480</v>
      </c>
      <c r="R36" s="116">
        <v>111645246143</v>
      </c>
      <c r="S36" s="116">
        <v>842961.07</v>
      </c>
      <c r="T36" s="130">
        <f t="shared" ref="T36" si="47">Q36/S36</f>
        <v>96.773721709354859</v>
      </c>
      <c r="U36" s="85"/>
    </row>
    <row r="37" spans="1:21" s="79" customFormat="1" ht="13.2" hidden="1">
      <c r="A37" s="129" t="s">
        <v>702</v>
      </c>
      <c r="B37" s="188">
        <f>SUM(F35:F37)</f>
        <v>9783566.4886128362</v>
      </c>
      <c r="C37" s="188">
        <f>AVERAGE(F35:F37)</f>
        <v>3261188.8295376119</v>
      </c>
      <c r="D37" s="190">
        <f>C37/C34-1</f>
        <v>0.29139034277397102</v>
      </c>
      <c r="E37" s="287">
        <f>C37/C25-1</f>
        <v>2.6570753164877114E-2</v>
      </c>
      <c r="F37" s="136">
        <f>Q37/18</f>
        <v>1962591.3333333333</v>
      </c>
      <c r="G37" s="190">
        <f t="shared" ref="G37" si="48">F37/F36-1</f>
        <v>-0.49477572457159225</v>
      </c>
      <c r="H37" s="190">
        <f t="shared" ref="H37" si="49">F37/F25-1</f>
        <v>-0.48799174831001779</v>
      </c>
      <c r="I37" s="130">
        <f t="shared" si="0"/>
        <v>95.715522807182197</v>
      </c>
      <c r="J37" s="130">
        <f t="shared" si="5"/>
        <v>-0.2037408166613216</v>
      </c>
      <c r="K37" s="136">
        <f>R35+R36+R37</f>
        <v>284051160415</v>
      </c>
      <c r="L37" s="190">
        <f>U37/U34-1</f>
        <v>0.3559614649707612</v>
      </c>
      <c r="M37" s="190">
        <f>U37/U25-1</f>
        <v>6.2082059032974479E-2</v>
      </c>
      <c r="N37" s="191">
        <f>AVERAGE(T35:T37)</f>
        <v>95.53503615738191</v>
      </c>
      <c r="O37" s="192">
        <f>N37/N34-1</f>
        <v>2.5496765428888679E-2</v>
      </c>
      <c r="P37" s="129" t="s">
        <v>702</v>
      </c>
      <c r="Q37" s="116">
        <v>35326644</v>
      </c>
      <c r="R37" s="116">
        <v>47168159238</v>
      </c>
      <c r="S37" s="116">
        <v>369079.57</v>
      </c>
      <c r="T37" s="130">
        <f t="shared" ref="T37" si="50">Q37/S37</f>
        <v>95.715522807182197</v>
      </c>
      <c r="U37" s="85">
        <f>Q35+Q36+Q37</f>
        <v>207439884</v>
      </c>
    </row>
    <row r="38" spans="1:21" s="79" customFormat="1" ht="13.2" hidden="1">
      <c r="A38" s="129" t="s">
        <v>725</v>
      </c>
      <c r="B38" s="188"/>
      <c r="C38" s="188"/>
      <c r="D38" s="190"/>
      <c r="E38" s="287"/>
      <c r="F38" s="136">
        <f>Q38/20</f>
        <v>2828580.25</v>
      </c>
      <c r="G38" s="190">
        <f t="shared" ref="G38" si="51">F38/F37-1</f>
        <v>0.44124770244238332</v>
      </c>
      <c r="H38" s="190">
        <f t="shared" ref="H38" si="52">F38/F26-1</f>
        <v>-7.7115573199514342E-3</v>
      </c>
      <c r="I38" s="130">
        <f t="shared" si="0"/>
        <v>80.467028649446391</v>
      </c>
      <c r="J38" s="130">
        <f t="shared" si="5"/>
        <v>-8.8612043836643117E-2</v>
      </c>
      <c r="K38" s="136"/>
      <c r="L38" s="190"/>
      <c r="M38" s="190"/>
      <c r="N38" s="191"/>
      <c r="O38" s="192"/>
      <c r="P38" s="129" t="s">
        <v>728</v>
      </c>
      <c r="Q38" s="116">
        <v>56571605</v>
      </c>
      <c r="R38" s="116">
        <v>76237457078</v>
      </c>
      <c r="S38" s="116">
        <v>703040.81</v>
      </c>
      <c r="T38" s="130">
        <f t="shared" ref="T38" si="53">Q38/S38</f>
        <v>80.467028649446391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87"/>
      <c r="F39" s="136">
        <f>Q39/21</f>
        <v>1927092.5238095238</v>
      </c>
      <c r="G39" s="190">
        <f t="shared" ref="G39" si="54">F39/F38-1</f>
        <v>-0.31870678803985719</v>
      </c>
      <c r="H39" s="190">
        <f t="shared" ref="H39" si="55">F39/F27-1</f>
        <v>-0.21403693115290146</v>
      </c>
      <c r="I39" s="130">
        <f t="shared" si="0"/>
        <v>83.011574909575117</v>
      </c>
      <c r="J39" s="130">
        <f t="shared" si="5"/>
        <v>-0.13069088123201633</v>
      </c>
      <c r="K39" s="136"/>
      <c r="L39" s="190"/>
      <c r="M39" s="190"/>
      <c r="N39" s="191"/>
      <c r="O39" s="192"/>
      <c r="P39" s="129" t="s">
        <v>762</v>
      </c>
      <c r="Q39" s="116">
        <v>40468943</v>
      </c>
      <c r="R39" s="116">
        <v>56209668707</v>
      </c>
      <c r="S39" s="116">
        <v>487509.64</v>
      </c>
      <c r="T39" s="130">
        <f t="shared" ref="T39" si="56">Q39/S39</f>
        <v>83.011574909575117</v>
      </c>
      <c r="U39" s="85"/>
    </row>
    <row r="40" spans="1:21" s="79" customFormat="1" ht="13.2" hidden="1">
      <c r="A40" s="129" t="s">
        <v>778</v>
      </c>
      <c r="B40" s="188">
        <f>SUM(F38:F40)</f>
        <v>8780898.8690476194</v>
      </c>
      <c r="C40" s="188">
        <f>AVERAGE(F38:F40)</f>
        <v>2926966.2896825396</v>
      </c>
      <c r="D40" s="190">
        <f>C40/C37-1</f>
        <v>-0.10248487816096807</v>
      </c>
      <c r="E40" s="287">
        <f>C40/C28-1</f>
        <v>-2.3960812097219564E-2</v>
      </c>
      <c r="F40" s="136">
        <f>Q40/21</f>
        <v>4025226.0952380951</v>
      </c>
      <c r="G40" s="190">
        <f t="shared" ref="G40" si="57">F40/F39-1</f>
        <v>1.0887560122338753</v>
      </c>
      <c r="H40" s="190">
        <f t="shared" ref="H40" si="58">F40/F28-1</f>
        <v>8.9662430776644708E-2</v>
      </c>
      <c r="I40" s="130">
        <f t="shared" si="0"/>
        <v>89.795617108859958</v>
      </c>
      <c r="J40" s="130">
        <f t="shared" si="5"/>
        <v>-0.12524025950604656</v>
      </c>
      <c r="K40" s="136">
        <f>R38+R39+R40</f>
        <v>252681917017</v>
      </c>
      <c r="L40" s="190">
        <f>U40/U37-1</f>
        <v>-0.12470884335820398</v>
      </c>
      <c r="M40" s="190">
        <f>U40/U28-1</f>
        <v>1.8407638988255703E-2</v>
      </c>
      <c r="N40" s="191">
        <f>AVERAGE(T38:T40)</f>
        <v>84.424740222627165</v>
      </c>
      <c r="O40" s="192">
        <f>N40/N37-1</f>
        <v>-0.11629551190467902</v>
      </c>
      <c r="P40" s="129" t="s">
        <v>778</v>
      </c>
      <c r="Q40" s="116">
        <v>84529748</v>
      </c>
      <c r="R40" s="116">
        <v>120234791232</v>
      </c>
      <c r="S40" s="116">
        <v>941357.17</v>
      </c>
      <c r="T40" s="130">
        <f t="shared" ref="T40" si="59">Q40/S40</f>
        <v>89.795617108859958</v>
      </c>
      <c r="U40" s="85">
        <f>Q38+Q39+Q40</f>
        <v>181570296</v>
      </c>
    </row>
    <row r="41" spans="1:21" s="79" customFormat="1" ht="13.2">
      <c r="A41" s="129" t="s">
        <v>791</v>
      </c>
      <c r="B41" s="193"/>
      <c r="C41" s="194"/>
      <c r="D41" s="195"/>
      <c r="E41" s="288"/>
      <c r="F41" s="136">
        <f>Q41/18</f>
        <v>3945360.9444444445</v>
      </c>
      <c r="G41" s="190">
        <f t="shared" ref="G41" si="60">F41/F40-1</f>
        <v>-1.9841158957041527E-2</v>
      </c>
      <c r="H41" s="190">
        <f t="shared" ref="H41" si="61">F41/F29-1</f>
        <v>0.34753948089805475</v>
      </c>
      <c r="I41" s="130">
        <f t="shared" si="0"/>
        <v>100.34519630689987</v>
      </c>
      <c r="J41" s="130">
        <f t="shared" si="5"/>
        <v>0.12770819070193817</v>
      </c>
      <c r="K41" s="193"/>
      <c r="L41" s="190"/>
      <c r="M41" s="190"/>
      <c r="N41" s="193"/>
      <c r="O41" s="193"/>
      <c r="P41" s="129" t="s">
        <v>791</v>
      </c>
      <c r="Q41" s="116">
        <v>71016497</v>
      </c>
      <c r="R41" s="116">
        <v>104010347031</v>
      </c>
      <c r="S41" s="116">
        <v>707721.94</v>
      </c>
      <c r="T41" s="130">
        <f t="shared" ref="T41" si="62">Q41/S41</f>
        <v>100.34519630689987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8"/>
      <c r="F42" s="136">
        <f>Q42/20</f>
        <v>3568132.55</v>
      </c>
      <c r="G42" s="190">
        <f t="shared" ref="G42" si="63">F42/F41-1</f>
        <v>-9.561315168783957E-2</v>
      </c>
      <c r="H42" s="190">
        <f t="shared" ref="H42" si="64">F42/F30-1</f>
        <v>0.50220039076765155</v>
      </c>
      <c r="I42" s="130">
        <f t="shared" si="0"/>
        <v>93.794684307508589</v>
      </c>
      <c r="J42" s="130">
        <f t="shared" si="5"/>
        <v>2.8071922265711757E-2</v>
      </c>
      <c r="K42" s="193"/>
      <c r="L42" s="190"/>
      <c r="M42" s="190"/>
      <c r="N42" s="193"/>
      <c r="O42" s="193"/>
      <c r="P42" s="129" t="s">
        <v>826</v>
      </c>
      <c r="Q42" s="116">
        <v>71362651</v>
      </c>
      <c r="R42" s="116">
        <v>103157900292</v>
      </c>
      <c r="S42" s="116">
        <v>760838.97</v>
      </c>
      <c r="T42" s="130">
        <f t="shared" ref="T42" si="65">Q42/S42</f>
        <v>93.794684307508589</v>
      </c>
      <c r="U42" s="78"/>
    </row>
    <row r="43" spans="1:21" s="79" customFormat="1" ht="13.2">
      <c r="A43" s="129" t="s">
        <v>835</v>
      </c>
      <c r="B43" s="188">
        <f>SUM(F41:F43)</f>
        <v>9863101.2944444455</v>
      </c>
      <c r="C43" s="188">
        <f>AVERAGE(F41:F43)</f>
        <v>3287700.431481482</v>
      </c>
      <c r="D43" s="190">
        <f>C43/C40-1</f>
        <v>0.12324506198466256</v>
      </c>
      <c r="E43" s="287">
        <f>C43/C31-1</f>
        <v>0.20828404620586261</v>
      </c>
      <c r="F43" s="136">
        <f>Q43/20</f>
        <v>2349607.7999999998</v>
      </c>
      <c r="G43" s="190">
        <f t="shared" ref="G43" si="66">F43/F42-1</f>
        <v>-0.3415020975047578</v>
      </c>
      <c r="H43" s="190">
        <f t="shared" ref="H43" si="67">F43/F31-1</f>
        <v>-0.17840221861435912</v>
      </c>
      <c r="I43" s="130">
        <f t="shared" si="0"/>
        <v>79.376042058352169</v>
      </c>
      <c r="J43" s="130">
        <f t="shared" si="5"/>
        <v>-0.14221744794909952</v>
      </c>
      <c r="K43" s="136">
        <f>R41+R42+R43</f>
        <v>275380756961</v>
      </c>
      <c r="L43" s="190">
        <f>U43/U40-1</f>
        <v>4.2964120078319512E-2</v>
      </c>
      <c r="M43" s="190">
        <f>K43/K31-1</f>
        <v>0.24400851754694708</v>
      </c>
      <c r="N43" s="191">
        <f>AVERAGE(T41:T43)</f>
        <v>91.17197422425356</v>
      </c>
      <c r="O43" s="192">
        <f>N43/N40-1</f>
        <v>7.9920103796991437E-2</v>
      </c>
      <c r="P43" s="129" t="s">
        <v>835</v>
      </c>
      <c r="Q43" s="116">
        <v>46992156</v>
      </c>
      <c r="R43" s="116">
        <v>68212509638</v>
      </c>
      <c r="S43" s="116">
        <v>592019.39</v>
      </c>
      <c r="T43" s="130">
        <f t="shared" ref="T43" si="68">Q43/S43</f>
        <v>79.376042058352169</v>
      </c>
      <c r="U43" s="85">
        <f>Q41+Q42+Q43</f>
        <v>189371304</v>
      </c>
    </row>
    <row r="44" spans="1:21" s="79" customFormat="1" ht="13.2">
      <c r="A44" s="129" t="s">
        <v>838</v>
      </c>
      <c r="B44" s="188"/>
      <c r="C44" s="188"/>
      <c r="D44" s="190"/>
      <c r="E44" s="287"/>
      <c r="F44" s="136">
        <f>Q44/22</f>
        <v>3549094.1363636362</v>
      </c>
      <c r="G44" s="190">
        <f t="shared" ref="G44" si="69">F44/F43-1</f>
        <v>0.51050491761375527</v>
      </c>
      <c r="H44" s="190">
        <f t="shared" ref="H44" si="70">F44/F32-1</f>
        <v>0.40463079318999062</v>
      </c>
      <c r="I44" s="130">
        <f t="shared" si="0"/>
        <v>93.250260182081959</v>
      </c>
      <c r="J44" s="130">
        <f t="shared" si="5"/>
        <v>3.3164476175483459E-2</v>
      </c>
      <c r="K44" s="136"/>
      <c r="L44" s="190"/>
      <c r="M44" s="190"/>
      <c r="N44" s="191"/>
      <c r="O44" s="192"/>
      <c r="P44" s="129" t="s">
        <v>841</v>
      </c>
      <c r="Q44" s="116">
        <v>78080071</v>
      </c>
      <c r="R44" s="116">
        <v>112442964619</v>
      </c>
      <c r="S44" s="116">
        <v>837317.46</v>
      </c>
      <c r="T44" s="130">
        <f t="shared" ref="T44" si="71">Q44/S44</f>
        <v>93.250260182081959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87"/>
      <c r="F45" s="136">
        <f>Q45/20</f>
        <v>3752850.9</v>
      </c>
      <c r="G45" s="190">
        <f t="shared" ref="G45" si="72">F45/F44-1</f>
        <v>5.7410921155540473E-2</v>
      </c>
      <c r="H45" s="190">
        <f t="shared" ref="H45" si="73">F45/F33-1</f>
        <v>0.88287757832632052</v>
      </c>
      <c r="I45" s="130">
        <f t="shared" si="0"/>
        <v>91.82414778887329</v>
      </c>
      <c r="J45" s="130">
        <f t="shared" si="5"/>
        <v>-6.3371854083977497E-2</v>
      </c>
      <c r="K45" s="136"/>
      <c r="L45" s="190"/>
      <c r="M45" s="190"/>
      <c r="N45" s="191"/>
      <c r="O45" s="192"/>
      <c r="P45" s="129" t="s">
        <v>849</v>
      </c>
      <c r="Q45" s="116">
        <v>75057018</v>
      </c>
      <c r="R45" s="116">
        <v>105515415385</v>
      </c>
      <c r="S45" s="116">
        <v>817399.56</v>
      </c>
      <c r="T45" s="130">
        <f t="shared" ref="T45" si="74">Q45/S45</f>
        <v>91.82414778887329</v>
      </c>
      <c r="U45" s="85"/>
    </row>
    <row r="46" spans="1:21" s="79" customFormat="1" ht="13.2">
      <c r="A46" s="129" t="s">
        <v>889</v>
      </c>
      <c r="B46" s="188">
        <f>SUM(F44:F46)</f>
        <v>9950945.7732057422</v>
      </c>
      <c r="C46" s="188">
        <f>AVERAGE(F44:F46)</f>
        <v>3316981.9244019142</v>
      </c>
      <c r="D46" s="190">
        <f>C46/C43-1</f>
        <v>8.9063749969573447E-3</v>
      </c>
      <c r="E46" s="287">
        <f>C46/C34-1</f>
        <v>0.31348371659171703</v>
      </c>
      <c r="F46" s="136">
        <f>Q46/19</f>
        <v>2649000.7368421052</v>
      </c>
      <c r="G46" s="190">
        <f t="shared" ref="G46" si="75">F46/F45-1</f>
        <v>-0.29413642922981431</v>
      </c>
      <c r="H46" s="190">
        <f t="shared" ref="H46" si="76">F46/F34-1</f>
        <v>-0.13321970755184476</v>
      </c>
      <c r="I46" s="130">
        <f t="shared" si="0"/>
        <v>109.64230273387889</v>
      </c>
      <c r="J46" s="130">
        <f t="shared" si="5"/>
        <v>0.20241039870784894</v>
      </c>
      <c r="K46" s="136">
        <f>R44+R45+R46</f>
        <v>286690020626</v>
      </c>
      <c r="L46" s="190">
        <f>U46/U43-1</f>
        <v>7.4439995407118209E-2</v>
      </c>
      <c r="M46" s="190">
        <f>K46/K34-1</f>
        <v>0.36842365454384973</v>
      </c>
      <c r="N46" s="191">
        <f>AVERAGE(T44:T46)</f>
        <v>98.238903568278033</v>
      </c>
      <c r="O46" s="192">
        <f>N46/N43-1</f>
        <v>7.7512079826659308E-2</v>
      </c>
      <c r="P46" s="129" t="s">
        <v>889</v>
      </c>
      <c r="Q46" s="116">
        <v>50331014</v>
      </c>
      <c r="R46" s="116">
        <v>68731640622</v>
      </c>
      <c r="S46" s="116">
        <v>459047.4</v>
      </c>
      <c r="T46" s="130">
        <f t="shared" ref="T46" si="77">Q46/S46</f>
        <v>109.64230273387889</v>
      </c>
      <c r="U46" s="85">
        <f t="shared" ref="U46:U51" si="78">Q44+Q45+Q46</f>
        <v>203468103</v>
      </c>
    </row>
    <row r="47" spans="1:21" s="79" customFormat="1" ht="13.2">
      <c r="A47" s="129" t="s">
        <v>990</v>
      </c>
      <c r="B47" s="188"/>
      <c r="C47" s="188"/>
      <c r="D47" s="190"/>
      <c r="E47" s="287"/>
      <c r="F47" s="136">
        <f>Q47/23</f>
        <v>4240963.1739130439</v>
      </c>
      <c r="G47" s="190">
        <f t="shared" ref="G47" si="79">F47/F46-1</f>
        <v>0.60096715524840882</v>
      </c>
      <c r="H47" s="190">
        <f t="shared" ref="H47" si="80">F47/F35-1</f>
        <v>7.7376228175163542E-2</v>
      </c>
      <c r="I47" s="130">
        <f t="shared" si="0"/>
        <v>102.42071702138568</v>
      </c>
      <c r="J47" s="130">
        <f t="shared" si="5"/>
        <v>8.8240735586236241E-2</v>
      </c>
      <c r="K47" s="136"/>
      <c r="L47" s="190"/>
      <c r="M47" s="190"/>
      <c r="N47" s="191"/>
      <c r="O47" s="192"/>
      <c r="P47" s="129" t="s">
        <v>1028</v>
      </c>
      <c r="Q47" s="116">
        <v>97542153</v>
      </c>
      <c r="R47" s="116">
        <v>134014157763</v>
      </c>
      <c r="S47" s="116">
        <v>952367.41</v>
      </c>
      <c r="T47" s="130">
        <f t="shared" ref="T47" si="81">Q47/S47</f>
        <v>102.42071702138568</v>
      </c>
      <c r="U47" s="85">
        <f t="shared" si="78"/>
        <v>222930185</v>
      </c>
    </row>
    <row r="48" spans="1:21" s="79" customFormat="1" ht="13.2">
      <c r="A48" s="129" t="s">
        <v>1068</v>
      </c>
      <c r="B48" s="188"/>
      <c r="C48" s="188"/>
      <c r="D48" s="190"/>
      <c r="E48" s="287"/>
      <c r="F48" s="136">
        <f>Q48/20</f>
        <v>3751999.3</v>
      </c>
      <c r="G48" s="190">
        <f t="shared" ref="G48" si="82">F48/F47-1</f>
        <v>-0.11529547743322843</v>
      </c>
      <c r="H48" s="190">
        <f t="shared" ref="H48" si="83">F48/F36-1</f>
        <v>-3.4133548052085683E-2</v>
      </c>
      <c r="I48" s="130">
        <f t="shared" si="0"/>
        <v>101.16686645913165</v>
      </c>
      <c r="J48" s="130">
        <f t="shared" si="5"/>
        <v>4.5396050417187972E-2</v>
      </c>
      <c r="K48" s="136"/>
      <c r="L48" s="190"/>
      <c r="M48" s="190"/>
      <c r="N48" s="191"/>
      <c r="O48" s="192"/>
      <c r="P48" s="129" t="s">
        <v>1117</v>
      </c>
      <c r="Q48" s="116">
        <v>75039986</v>
      </c>
      <c r="R48" s="116">
        <v>104162277758</v>
      </c>
      <c r="S48" s="116">
        <v>741744.69</v>
      </c>
      <c r="T48" s="130">
        <f t="shared" ref="T48" si="84">Q48/S48</f>
        <v>101.16686645913165</v>
      </c>
      <c r="U48" s="85">
        <f t="shared" si="78"/>
        <v>222913153</v>
      </c>
    </row>
    <row r="49" spans="1:26" ht="13.2">
      <c r="A49" s="129" t="s">
        <v>1205</v>
      </c>
      <c r="B49" s="188">
        <f>SUM(F47:F49)</f>
        <v>11651159.519367589</v>
      </c>
      <c r="C49" s="188">
        <f>AVERAGE(F47:F49)</f>
        <v>3883719.8397891964</v>
      </c>
      <c r="D49" s="190">
        <f>C49/C46-1</f>
        <v>0.17085951274499966</v>
      </c>
      <c r="E49" s="287">
        <f>C49/C37-1</f>
        <v>0.19089082012458936</v>
      </c>
      <c r="F49" s="136">
        <f>Q49/22</f>
        <v>3658197.0454545454</v>
      </c>
      <c r="G49" s="190">
        <f t="shared" ref="G49" si="85">F49/F48-1</f>
        <v>-2.5000605555937749E-2</v>
      </c>
      <c r="H49" s="190">
        <f t="shared" ref="H49" si="86">F49/F37-1</f>
        <v>0.86396270243450868</v>
      </c>
      <c r="I49" s="130">
        <f t="shared" si="0"/>
        <v>102.83289519649205</v>
      </c>
      <c r="J49" s="130">
        <f t="shared" si="5"/>
        <v>7.435964596513478E-2</v>
      </c>
      <c r="K49" s="136">
        <f>R47+R48+R49</f>
        <v>350010299983</v>
      </c>
      <c r="L49" s="190">
        <f>U49/U46-1</f>
        <v>0.24374518791281985</v>
      </c>
      <c r="M49" s="190">
        <f>K49/K37-1</f>
        <v>0.2322086608329057</v>
      </c>
      <c r="N49" s="191">
        <f>AVERAGE(T47:T49)</f>
        <v>102.14015955900312</v>
      </c>
      <c r="O49" s="192">
        <f>N49/N46-1</f>
        <v>3.9711925205004439E-2</v>
      </c>
      <c r="P49" s="129" t="s">
        <v>1158</v>
      </c>
      <c r="Q49" s="116">
        <v>80480335</v>
      </c>
      <c r="R49" s="116">
        <v>111833864462</v>
      </c>
      <c r="S49" s="116">
        <v>782632.2</v>
      </c>
      <c r="T49" s="130">
        <f t="shared" ref="T49" si="87">Q49/S49</f>
        <v>102.83289519649205</v>
      </c>
      <c r="U49" s="85">
        <f t="shared" si="78"/>
        <v>253062474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87"/>
      <c r="F50" s="136">
        <f>Q50/18</f>
        <v>3146757.1666666665</v>
      </c>
      <c r="G50" s="190">
        <f t="shared" ref="G50" si="88">F50/F49-1</f>
        <v>-0.13980654197492259</v>
      </c>
      <c r="H50" s="190">
        <f t="shared" ref="H50" si="89">F50/F38-1</f>
        <v>0.1124864379105619</v>
      </c>
      <c r="I50" s="130">
        <f t="shared" ref="I50" si="90">T50</f>
        <v>113.82598942365112</v>
      </c>
      <c r="J50" s="130">
        <f t="shared" ref="J50" si="91">I50/I38-1</f>
        <v>0.41456682735897488</v>
      </c>
      <c r="K50" s="136"/>
      <c r="L50" s="190"/>
      <c r="M50" s="190"/>
      <c r="N50" s="191"/>
      <c r="O50" s="192"/>
      <c r="P50" s="129" t="s">
        <v>1331</v>
      </c>
      <c r="Q50" s="116">
        <v>56641629</v>
      </c>
      <c r="R50" s="116">
        <v>80061180954</v>
      </c>
      <c r="S50" s="116">
        <v>497615.96</v>
      </c>
      <c r="T50" s="130">
        <f t="shared" ref="T50" si="92">Q50/S50</f>
        <v>113.82598942365112</v>
      </c>
      <c r="U50" s="85">
        <f t="shared" si="78"/>
        <v>212161950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87"/>
      <c r="F51" s="136">
        <f>Q51/20</f>
        <v>2000381.25</v>
      </c>
      <c r="G51" s="190">
        <f t="shared" ref="G51:G52" si="93">F51/F50-1</f>
        <v>-0.36430390270025603</v>
      </c>
      <c r="H51" s="190">
        <f t="shared" ref="H51:H52" si="94">F51/F39-1</f>
        <v>3.8030725190919767E-2</v>
      </c>
      <c r="I51" s="130">
        <f t="shared" ref="I51:I52" si="95">T51</f>
        <v>111.05625823342558</v>
      </c>
      <c r="J51" s="130">
        <f t="shared" ref="J51:J52" si="96">I51/I39-1</f>
        <v>0.33784063673529463</v>
      </c>
      <c r="K51" s="136"/>
      <c r="L51" s="190"/>
      <c r="M51" s="190"/>
      <c r="N51" s="191"/>
      <c r="O51" s="192"/>
      <c r="P51" s="129" t="s">
        <v>1402</v>
      </c>
      <c r="Q51" s="116">
        <v>40007625</v>
      </c>
      <c r="R51" s="116">
        <v>58093699074</v>
      </c>
      <c r="S51" s="116">
        <v>360246.47</v>
      </c>
      <c r="T51" s="130">
        <f t="shared" ref="T51:T52" si="97">Q51/S51</f>
        <v>111.05625823342558</v>
      </c>
      <c r="U51" s="85">
        <f t="shared" si="78"/>
        <v>177129589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8709948.2348484844</v>
      </c>
      <c r="C52" s="188">
        <f>AVERAGE(F50:F52)</f>
        <v>2903316.078282828</v>
      </c>
      <c r="D52" s="190">
        <f>C52/C49-1</f>
        <v>-0.2524393627629905</v>
      </c>
      <c r="E52" s="287">
        <f>C52/C40-1</f>
        <v>-8.0801106193392203E-3</v>
      </c>
      <c r="F52" s="136">
        <f>Q52/22</f>
        <v>3562809.8181818184</v>
      </c>
      <c r="G52" s="190">
        <f t="shared" si="93"/>
        <v>0.78106539350027315</v>
      </c>
      <c r="H52" s="190">
        <f t="shared" si="94"/>
        <v>-0.11487957846723751</v>
      </c>
      <c r="I52" s="130">
        <f t="shared" si="95"/>
        <v>108.89307983700591</v>
      </c>
      <c r="J52" s="130">
        <f t="shared" si="96"/>
        <v>0.21267700298772874</v>
      </c>
      <c r="K52" s="136">
        <f>R50+R51+R52</f>
        <v>253481575322</v>
      </c>
      <c r="L52" s="190">
        <f>U52/U49-1</f>
        <v>-0.30834838040823076</v>
      </c>
      <c r="M52" s="190">
        <f>K52/K40-1</f>
        <v>3.1646835453849054E-3</v>
      </c>
      <c r="N52" s="191">
        <f>AVERAGE(T50:T52)</f>
        <v>111.25844249802753</v>
      </c>
      <c r="O52" s="192">
        <f>N52/N49-1</f>
        <v>8.9272260572072826E-2</v>
      </c>
      <c r="P52" s="129" t="s">
        <v>1403</v>
      </c>
      <c r="Q52" s="116">
        <v>78381816</v>
      </c>
      <c r="R52" s="116">
        <v>115326695294</v>
      </c>
      <c r="S52" s="116">
        <v>719805.3</v>
      </c>
      <c r="T52" s="130">
        <f t="shared" si="97"/>
        <v>108.89307983700591</v>
      </c>
      <c r="U52" s="85">
        <f t="shared" ref="U52" si="98">Q50+Q51+Q52</f>
        <v>175031070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87"/>
      <c r="F53" s="136">
        <f>Q53/21</f>
        <v>3490826.5714285714</v>
      </c>
      <c r="G53" s="190">
        <f t="shared" ref="G53" si="99">F53/F52-1</f>
        <v>-2.020406657293361E-2</v>
      </c>
      <c r="H53" s="190">
        <f t="shared" ref="H53" si="100">F53/F41-1</f>
        <v>-0.11520729773936489</v>
      </c>
      <c r="I53" s="130">
        <f t="shared" ref="I53" si="101">T53</f>
        <v>96.493151134991734</v>
      </c>
      <c r="J53" s="130">
        <f t="shared" ref="J53" si="102">I53/I41-1</f>
        <v>-3.8387937974896924E-2</v>
      </c>
      <c r="K53" s="136"/>
      <c r="L53" s="190"/>
      <c r="M53" s="190"/>
      <c r="N53" s="191"/>
      <c r="O53" s="192"/>
      <c r="P53" s="129" t="s">
        <v>1414</v>
      </c>
      <c r="Q53" s="116">
        <v>73307358</v>
      </c>
      <c r="R53" s="116">
        <v>107142452948</v>
      </c>
      <c r="S53" s="116">
        <v>759715.66</v>
      </c>
      <c r="T53" s="130">
        <f t="shared" ref="T53" si="103">Q53/S53</f>
        <v>96.493151134991734</v>
      </c>
      <c r="U53" s="85">
        <f t="shared" ref="U53" si="104">Q51+Q52+Q53</f>
        <v>191696799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87"/>
      <c r="F54" s="136">
        <f>Q54/17</f>
        <v>5040405.7058823528</v>
      </c>
      <c r="G54" s="190">
        <f t="shared" ref="G54" si="105">F54/F53-1</f>
        <v>0.44390034931458611</v>
      </c>
      <c r="H54" s="190">
        <f t="shared" ref="H54" si="106">F54/F42-1</f>
        <v>0.41261728236030715</v>
      </c>
      <c r="I54" s="130">
        <f t="shared" ref="I54" si="107">T54</f>
        <v>105.28976038124408</v>
      </c>
      <c r="J54" s="130">
        <f t="shared" ref="J54" si="108">I54/I42-1</f>
        <v>0.12255573072828474</v>
      </c>
      <c r="K54" s="136"/>
      <c r="L54" s="190"/>
      <c r="M54" s="190"/>
      <c r="N54" s="191"/>
      <c r="O54" s="192"/>
      <c r="P54" s="129" t="s">
        <v>1417</v>
      </c>
      <c r="Q54" s="116">
        <v>85686897</v>
      </c>
      <c r="R54" s="116">
        <v>124231172343</v>
      </c>
      <c r="S54" s="116">
        <v>813819.85</v>
      </c>
      <c r="T54" s="130">
        <f t="shared" ref="T54" si="109">Q54/S54</f>
        <v>105.28976038124408</v>
      </c>
      <c r="U54" s="85">
        <f t="shared" ref="U54" si="110">Q52+Q53+Q54</f>
        <v>237376071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10847455.801120449</v>
      </c>
      <c r="C55" s="196">
        <f>AVERAGE(F53:F55)</f>
        <v>3615818.6003734828</v>
      </c>
      <c r="D55" s="197">
        <f>C55/C52-1</f>
        <v>0.24540990470182145</v>
      </c>
      <c r="E55" s="233">
        <f>C55/C43-1</f>
        <v>9.9801723341364834E-2</v>
      </c>
      <c r="F55" s="136">
        <f>Q55/21</f>
        <v>2316223.5238095238</v>
      </c>
      <c r="G55" s="190">
        <f t="shared" ref="G55" si="111">F55/F54-1</f>
        <v>-0.54046883148584657</v>
      </c>
      <c r="H55" s="190">
        <f t="shared" ref="H55" si="112">F55/F43-1</f>
        <v>-1.4208446273661468E-2</v>
      </c>
      <c r="I55" s="130">
        <f>T55</f>
        <v>98.760498305390271</v>
      </c>
      <c r="J55" s="130">
        <f t="shared" ref="J55" si="113">I55/I43-1</f>
        <v>0.24421041594374149</v>
      </c>
      <c r="K55" s="136">
        <f>R53+R54+R55</f>
        <v>303246952219</v>
      </c>
      <c r="L55" s="190">
        <f>U55/U52-1</f>
        <v>0.18627480823833165</v>
      </c>
      <c r="M55" s="190">
        <f>K55/K43-1</f>
        <v>0.10119151231015922</v>
      </c>
      <c r="N55" s="191">
        <f>AVERAGE(T53:T55)</f>
        <v>100.1811366072087</v>
      </c>
      <c r="O55" s="192">
        <f>N55/N52-1</f>
        <v>-9.9563733251211262E-2</v>
      </c>
      <c r="P55" s="129" t="s">
        <v>1418</v>
      </c>
      <c r="Q55" s="116">
        <v>48640694</v>
      </c>
      <c r="R55" s="116">
        <v>71873326928</v>
      </c>
      <c r="S55" s="116">
        <v>492511.63</v>
      </c>
      <c r="T55" s="130">
        <f t="shared" ref="T55" si="114">Q55/S55</f>
        <v>98.760498305390271</v>
      </c>
      <c r="U55" s="85">
        <f t="shared" ref="U55" si="115">Q53+Q54+Q55</f>
        <v>207634949</v>
      </c>
      <c r="V55" s="79"/>
      <c r="W55" s="79"/>
      <c r="X55" s="79"/>
      <c r="Y55" s="79"/>
      <c r="Z55" s="79"/>
    </row>
    <row r="56" spans="1:26" ht="13.2">
      <c r="A56" s="276" t="s">
        <v>1420</v>
      </c>
      <c r="B56" s="253"/>
      <c r="C56" s="253"/>
      <c r="D56" s="254"/>
      <c r="E56" s="289"/>
      <c r="F56" s="283">
        <f>Q56/14</f>
        <v>910876.57142857148</v>
      </c>
      <c r="G56" s="254">
        <f t="shared" ref="G56" si="116">F56/F55-1</f>
        <v>-0.60674064395545013</v>
      </c>
      <c r="H56" s="254">
        <f t="shared" ref="H56" si="117">F56/F44-1</f>
        <v>-0.74334956007623798</v>
      </c>
      <c r="I56" s="282">
        <f>T56</f>
        <v>101.69172116903432</v>
      </c>
      <c r="J56" s="277">
        <f t="shared" ref="J56" si="118">I56/I44-1</f>
        <v>9.0524798220073865E-2</v>
      </c>
      <c r="K56" s="204"/>
      <c r="L56" s="254"/>
      <c r="M56" s="254"/>
      <c r="N56" s="257"/>
      <c r="O56" s="258"/>
      <c r="P56" s="129" t="s">
        <v>1420</v>
      </c>
      <c r="Q56" s="116">
        <v>12752272</v>
      </c>
      <c r="R56" s="116">
        <v>19273394498</v>
      </c>
      <c r="S56" s="116">
        <v>125401.28</v>
      </c>
      <c r="T56" s="130">
        <f t="shared" ref="T56" si="119">Q56/S56</f>
        <v>101.69172116903432</v>
      </c>
      <c r="U56" s="85">
        <f t="shared" ref="U56" si="120">Q54+Q55+Q56</f>
        <v>147079863</v>
      </c>
      <c r="V56" s="79"/>
      <c r="W56" s="79"/>
      <c r="X56" s="79"/>
      <c r="Y56" s="79"/>
      <c r="Z56" s="79"/>
    </row>
    <row r="62" spans="1:26">
      <c r="P62" s="266"/>
      <c r="Q62" s="266"/>
      <c r="R62" s="266"/>
      <c r="S62" s="266"/>
      <c r="T62" s="266"/>
      <c r="U62" s="266"/>
    </row>
    <row r="63" spans="1:26">
      <c r="P63" s="266" t="s">
        <v>971</v>
      </c>
      <c r="Q63" s="266" t="s">
        <v>9</v>
      </c>
      <c r="R63" s="266" t="s">
        <v>10</v>
      </c>
      <c r="S63" s="266" t="s">
        <v>972</v>
      </c>
      <c r="T63" s="266" t="s">
        <v>973</v>
      </c>
      <c r="U63" s="266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220387221</v>
      </c>
      <c r="R65" s="212">
        <v>322520346717</v>
      </c>
      <c r="S65" s="213">
        <v>2191448.4300000002</v>
      </c>
      <c r="T65" s="214">
        <v>5</v>
      </c>
      <c r="U65" s="214">
        <v>84</v>
      </c>
    </row>
    <row r="66" spans="16:21" ht="18" thickBot="1">
      <c r="P66" s="180" t="s">
        <v>976</v>
      </c>
      <c r="Q66" s="181">
        <v>73307358</v>
      </c>
      <c r="R66" s="181">
        <v>107142452948</v>
      </c>
      <c r="S66" s="182">
        <v>759715.66</v>
      </c>
      <c r="T66" s="210">
        <v>5</v>
      </c>
      <c r="U66" s="210">
        <v>72</v>
      </c>
    </row>
    <row r="67" spans="16:21" ht="18" thickBot="1">
      <c r="P67" s="180" t="s">
        <v>977</v>
      </c>
      <c r="Q67" s="181">
        <v>85686897</v>
      </c>
      <c r="R67" s="181">
        <v>124231172343</v>
      </c>
      <c r="S67" s="182">
        <v>813819.85</v>
      </c>
      <c r="T67" s="210">
        <v>5</v>
      </c>
      <c r="U67" s="210">
        <v>65</v>
      </c>
    </row>
    <row r="68" spans="16:21" ht="18" thickBot="1">
      <c r="P68" s="180" t="s">
        <v>978</v>
      </c>
      <c r="Q68" s="181">
        <v>48640694</v>
      </c>
      <c r="R68" s="181">
        <v>71873326928</v>
      </c>
      <c r="S68" s="182">
        <v>492511.63</v>
      </c>
      <c r="T68" s="210">
        <v>5</v>
      </c>
      <c r="U68" s="210">
        <v>74</v>
      </c>
    </row>
    <row r="69" spans="16:21" ht="18" thickBot="1">
      <c r="P69" s="180" t="s">
        <v>979</v>
      </c>
      <c r="Q69" s="181">
        <v>12752272</v>
      </c>
      <c r="R69" s="181">
        <v>19273394498</v>
      </c>
      <c r="S69" s="182">
        <v>125401.28</v>
      </c>
      <c r="T69" s="210">
        <v>5</v>
      </c>
      <c r="U69" s="210">
        <v>46</v>
      </c>
    </row>
    <row r="70" spans="16:21" ht="18" thickBot="1">
      <c r="P70" s="180" t="s">
        <v>975</v>
      </c>
      <c r="Q70" s="181">
        <v>820932951</v>
      </c>
      <c r="R70" s="181">
        <v>1165562652892</v>
      </c>
      <c r="S70" s="182">
        <v>8228756.79</v>
      </c>
      <c r="T70" s="210">
        <v>5</v>
      </c>
      <c r="U70" s="210">
        <v>130</v>
      </c>
    </row>
    <row r="71" spans="16:21" ht="18" thickBot="1">
      <c r="P71" s="215" t="s">
        <v>982</v>
      </c>
      <c r="Q71" s="217" t="s">
        <v>1425</v>
      </c>
      <c r="R71"/>
      <c r="S71"/>
      <c r="T71"/>
      <c r="U71"/>
    </row>
  </sheetData>
  <phoneticPr fontId="1" type="noConversion"/>
  <conditionalFormatting sqref="C29:C30">
    <cfRule type="cellIs" dxfId="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R49"/>
  <sheetViews>
    <sheetView topLeftCell="B21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1605101091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161962.4</v>
      </c>
      <c r="F5" s="90"/>
      <c r="G5" s="90"/>
      <c r="H5" s="129" t="s">
        <v>0</v>
      </c>
      <c r="I5" s="116">
        <v>3239248</v>
      </c>
      <c r="J5" s="116"/>
      <c r="K5" s="116">
        <v>254388.94</v>
      </c>
      <c r="L5" s="130">
        <f t="shared" ref="L5:L34" si="0">I5/K5</f>
        <v>12.733446666352712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148287.22222222222</v>
      </c>
      <c r="F6" s="90">
        <f t="shared" ref="F6:F34" si="1">E6/E5-1</f>
        <v>-8.4434274731528869E-2</v>
      </c>
      <c r="G6" s="90"/>
      <c r="H6" s="129" t="s">
        <v>1</v>
      </c>
      <c r="I6" s="116">
        <v>2669170</v>
      </c>
      <c r="J6" s="116"/>
      <c r="K6" s="116">
        <v>216348.31</v>
      </c>
      <c r="L6" s="130">
        <f t="shared" si="0"/>
        <v>12.337373931878645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501510.66767676768</v>
      </c>
      <c r="B7" s="131">
        <f>AVERAGE(E5:E7)</f>
        <v>167170.22255892257</v>
      </c>
      <c r="C7" s="117"/>
      <c r="D7" s="117"/>
      <c r="E7" s="78">
        <f>I7/22</f>
        <v>191261.04545454544</v>
      </c>
      <c r="F7" s="90">
        <f t="shared" si="1"/>
        <v>0.28980125588921579</v>
      </c>
      <c r="G7" s="90"/>
      <c r="H7" s="129" t="s">
        <v>2</v>
      </c>
      <c r="I7" s="116">
        <v>4207743</v>
      </c>
      <c r="J7" s="116"/>
      <c r="K7" s="116">
        <v>324796.69</v>
      </c>
      <c r="L7" s="130">
        <f t="shared" si="0"/>
        <v>12.955005791469119</v>
      </c>
      <c r="M7" s="85">
        <f>I5+I6+I7</f>
        <v>10116161</v>
      </c>
      <c r="N7" s="85">
        <f>J5+J6+J7</f>
        <v>0</v>
      </c>
      <c r="O7" s="87"/>
      <c r="P7" s="87"/>
      <c r="Q7" s="88">
        <f>AVERAGE(L5:L7)</f>
        <v>12.675275463233492</v>
      </c>
      <c r="R7" s="79"/>
    </row>
    <row r="8" spans="1:18" ht="15" hidden="1" customHeight="1">
      <c r="A8" s="79"/>
      <c r="B8" s="79"/>
      <c r="C8" s="117"/>
      <c r="D8" s="117"/>
      <c r="E8" s="78">
        <f>I8/21</f>
        <v>154108.19047619047</v>
      </c>
      <c r="F8" s="90">
        <f t="shared" si="1"/>
        <v>-0.19425207516804366</v>
      </c>
      <c r="G8" s="90"/>
      <c r="H8" s="129" t="s">
        <v>3</v>
      </c>
      <c r="I8" s="116">
        <v>3236272</v>
      </c>
      <c r="J8" s="116"/>
      <c r="K8" s="116">
        <v>250360.57</v>
      </c>
      <c r="L8" s="130">
        <f t="shared" si="0"/>
        <v>12.926444447701968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232814.80952380953</v>
      </c>
      <c r="F9" s="90">
        <f t="shared" si="1"/>
        <v>0.51072314070016378</v>
      </c>
      <c r="G9" s="90"/>
      <c r="H9" s="129" t="s">
        <v>4</v>
      </c>
      <c r="I9" s="116">
        <v>4889111</v>
      </c>
      <c r="J9" s="116"/>
      <c r="K9" s="116">
        <v>392116.94</v>
      </c>
      <c r="L9" s="130">
        <f t="shared" si="0"/>
        <v>12.468502380947887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506459.09523809527</v>
      </c>
      <c r="B10" s="131">
        <f>AVERAGE(E8:E10)</f>
        <v>168819.69841269843</v>
      </c>
      <c r="C10" s="90">
        <f>B10/B7-1</f>
        <v>9.8670434753682645E-3</v>
      </c>
      <c r="D10" s="90"/>
      <c r="E10" s="78">
        <f>I10/21</f>
        <v>119536.09523809524</v>
      </c>
      <c r="F10" s="90">
        <f t="shared" si="1"/>
        <v>-0.48656146280990553</v>
      </c>
      <c r="G10" s="90"/>
      <c r="H10" s="129" t="s">
        <v>5</v>
      </c>
      <c r="I10" s="116">
        <v>2510258</v>
      </c>
      <c r="J10" s="116"/>
      <c r="K10" s="116">
        <v>201855.08</v>
      </c>
      <c r="L10" s="130">
        <f t="shared" si="0"/>
        <v>12.435941666665016</v>
      </c>
      <c r="M10" s="85">
        <f>I8+I9+I10</f>
        <v>10635641</v>
      </c>
      <c r="N10" s="85">
        <f>J8+J9+J10</f>
        <v>0</v>
      </c>
      <c r="O10" s="87">
        <f>M10/M7-1</f>
        <v>5.1351495888608323E-2</v>
      </c>
      <c r="P10" s="87"/>
      <c r="Q10" s="88">
        <f>AVERAGE(L8:L10)</f>
        <v>12.610296165104957</v>
      </c>
      <c r="R10" s="89">
        <f>Q10/Q7-1</f>
        <v>-5.126460432123614E-3</v>
      </c>
    </row>
    <row r="11" spans="1:18" ht="15" hidden="1" customHeight="1">
      <c r="A11" s="79"/>
      <c r="B11" s="79"/>
      <c r="C11" s="117"/>
      <c r="D11" s="117"/>
      <c r="E11" s="78">
        <f>I11/21</f>
        <v>158824.85714285713</v>
      </c>
      <c r="F11" s="90">
        <f t="shared" si="1"/>
        <v>0.32867697264583939</v>
      </c>
      <c r="G11" s="90"/>
      <c r="H11" s="129" t="s">
        <v>6</v>
      </c>
      <c r="I11" s="116">
        <v>3335322</v>
      </c>
      <c r="J11" s="116"/>
      <c r="K11" s="116">
        <v>275172.82</v>
      </c>
      <c r="L11" s="130">
        <f t="shared" si="0"/>
        <v>12.120826468253659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16445.136363636364</v>
      </c>
      <c r="F12" s="90">
        <f t="shared" si="1"/>
        <v>-0.89645741441565052</v>
      </c>
      <c r="G12" s="90"/>
      <c r="H12" s="129" t="s">
        <v>7</v>
      </c>
      <c r="I12" s="116">
        <v>361793</v>
      </c>
      <c r="J12" s="116"/>
      <c r="K12" s="116">
        <v>32441</v>
      </c>
      <c r="L12" s="130">
        <f t="shared" si="0"/>
        <v>11.15233809068771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202765.64350649348</v>
      </c>
      <c r="B13" s="131">
        <f>AVERAGE(E11:E13)</f>
        <v>67588.547835497826</v>
      </c>
      <c r="C13" s="90">
        <f>B13/B10-1</f>
        <v>-0.59964063156735337</v>
      </c>
      <c r="D13" s="90"/>
      <c r="E13" s="78">
        <f>I13/20</f>
        <v>27495.65</v>
      </c>
      <c r="F13" s="90">
        <f t="shared" si="1"/>
        <v>0.67196242050012023</v>
      </c>
      <c r="G13" s="90"/>
      <c r="H13" s="129" t="s">
        <v>96</v>
      </c>
      <c r="I13" s="116">
        <v>549913</v>
      </c>
      <c r="J13" s="116"/>
      <c r="K13" s="116">
        <v>38583.29</v>
      </c>
      <c r="L13" s="130">
        <f t="shared" si="0"/>
        <v>14.252620758882925</v>
      </c>
      <c r="M13" s="85">
        <f>I11+I12+I13</f>
        <v>4247028</v>
      </c>
      <c r="N13" s="78">
        <f>J11+J12+J13</f>
        <v>0</v>
      </c>
      <c r="O13" s="87">
        <f>M13/M10-1</f>
        <v>-0.60067963933720592</v>
      </c>
      <c r="P13" s="87"/>
      <c r="Q13" s="88">
        <f>AVERAGE(L11:L13)</f>
        <v>12.508595105941431</v>
      </c>
      <c r="R13" s="89">
        <f>Q13/Q10-1</f>
        <v>-8.0649223326690889E-3</v>
      </c>
    </row>
    <row r="14" spans="1:18" ht="15" hidden="1" customHeight="1">
      <c r="A14" s="79"/>
      <c r="B14" s="79"/>
      <c r="C14" s="117"/>
      <c r="D14" s="117"/>
      <c r="E14" s="78">
        <f>I14/20</f>
        <v>183753</v>
      </c>
      <c r="F14" s="90">
        <f t="shared" si="1"/>
        <v>5.6829843993504428</v>
      </c>
      <c r="G14" s="90"/>
      <c r="H14" s="129" t="s">
        <v>97</v>
      </c>
      <c r="I14" s="116">
        <v>3675060</v>
      </c>
      <c r="J14" s="116"/>
      <c r="K14" s="116">
        <v>259772.04</v>
      </c>
      <c r="L14" s="130">
        <f t="shared" si="0"/>
        <v>14.14725002737015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255518.77272727274</v>
      </c>
      <c r="F15" s="90">
        <f t="shared" si="1"/>
        <v>0.39055565202893416</v>
      </c>
      <c r="G15" s="90"/>
      <c r="H15" s="129" t="s">
        <v>98</v>
      </c>
      <c r="I15" s="116">
        <v>5621413</v>
      </c>
      <c r="J15" s="116"/>
      <c r="K15" s="116">
        <v>400071.87</v>
      </c>
      <c r="L15" s="130">
        <f t="shared" si="0"/>
        <v>14.051007885158235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670251.86363636365</v>
      </c>
      <c r="B16" s="131">
        <f>AVERAGE(E14:E16)</f>
        <v>223417.28787878787</v>
      </c>
      <c r="C16" s="90">
        <f>B16/B13-1</f>
        <v>2.3055494611684506</v>
      </c>
      <c r="D16" s="90"/>
      <c r="E16" s="78">
        <f>I16/22</f>
        <v>230980.09090909091</v>
      </c>
      <c r="F16" s="90">
        <f t="shared" si="1"/>
        <v>-9.6034751405029373E-2</v>
      </c>
      <c r="G16" s="90"/>
      <c r="H16" s="129" t="s">
        <v>99</v>
      </c>
      <c r="I16" s="116">
        <v>5081562</v>
      </c>
      <c r="J16" s="116"/>
      <c r="K16" s="116">
        <v>357794.74</v>
      </c>
      <c r="L16" s="130">
        <f t="shared" si="0"/>
        <v>14.202450265199539</v>
      </c>
      <c r="M16" s="85">
        <f>I14+I15+I16</f>
        <v>14378035</v>
      </c>
      <c r="N16" s="78">
        <f>J14+J15+J16</f>
        <v>0</v>
      </c>
      <c r="O16" s="87">
        <f>M16/M13-1</f>
        <v>2.3854344732363431</v>
      </c>
      <c r="P16" s="87"/>
      <c r="Q16" s="88">
        <f>AVERAGE(L14:L16)</f>
        <v>14.133569392575973</v>
      </c>
      <c r="R16" s="89">
        <f>Q16/Q13-1</f>
        <v>0.12990861666492814</v>
      </c>
    </row>
    <row r="17" spans="1:18" ht="15" customHeight="1">
      <c r="A17" s="79"/>
      <c r="B17" s="79"/>
      <c r="C17" s="117"/>
      <c r="D17" s="117"/>
      <c r="E17" s="78">
        <f>I17/20</f>
        <v>198486.75</v>
      </c>
      <c r="F17" s="90">
        <f t="shared" si="1"/>
        <v>-0.14067593783171395</v>
      </c>
      <c r="G17" s="90">
        <f t="shared" ref="G17:G34" si="2">E17/E5-1</f>
        <v>0.22551129150963445</v>
      </c>
      <c r="H17" s="129" t="s">
        <v>100</v>
      </c>
      <c r="I17" s="116">
        <v>3969735</v>
      </c>
      <c r="J17" s="116">
        <v>286866.86</v>
      </c>
      <c r="K17" s="116">
        <v>286866.86</v>
      </c>
      <c r="L17" s="130">
        <f t="shared" si="0"/>
        <v>13.838248865693306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216312.7</v>
      </c>
      <c r="F18" s="90">
        <f t="shared" si="1"/>
        <v>8.9809269384480306E-2</v>
      </c>
      <c r="G18" s="90">
        <f t="shared" si="2"/>
        <v>0.4587413315749842</v>
      </c>
      <c r="H18" s="129" t="s">
        <v>106</v>
      </c>
      <c r="I18" s="116">
        <v>4326254</v>
      </c>
      <c r="J18" s="116">
        <v>291719.03999999998</v>
      </c>
      <c r="K18" s="116">
        <v>291719.03999999998</v>
      </c>
      <c r="L18" s="130">
        <f t="shared" si="0"/>
        <v>14.830207860275422</v>
      </c>
      <c r="M18" s="78"/>
      <c r="N18" s="78"/>
      <c r="O18" s="87"/>
      <c r="P18" s="87"/>
      <c r="Q18" s="79"/>
      <c r="R18" s="89"/>
    </row>
    <row r="19" spans="1:18">
      <c r="A19" s="131">
        <f>SUM(E17:E19)</f>
        <v>661786.85909090913</v>
      </c>
      <c r="B19" s="131">
        <f>AVERAGE(E17:E19)</f>
        <v>220595.61969696972</v>
      </c>
      <c r="C19" s="90">
        <f>B19/B16-1</f>
        <v>-1.2629587480038729E-2</v>
      </c>
      <c r="D19" s="90">
        <f>B19/B7-1</f>
        <v>0.31958680391907879</v>
      </c>
      <c r="E19" s="78">
        <f>I19/22</f>
        <v>246987.40909090909</v>
      </c>
      <c r="F19" s="90">
        <f t="shared" si="1"/>
        <v>0.14180724983280713</v>
      </c>
      <c r="G19" s="90">
        <f t="shared" si="2"/>
        <v>0.29136285177112775</v>
      </c>
      <c r="H19" s="129" t="s">
        <v>115</v>
      </c>
      <c r="I19" s="116">
        <v>5433723</v>
      </c>
      <c r="J19" s="116">
        <v>373710.72</v>
      </c>
      <c r="K19" s="116">
        <v>373710.72</v>
      </c>
      <c r="L19" s="130">
        <f t="shared" si="0"/>
        <v>14.539917399211884</v>
      </c>
      <c r="M19" s="85">
        <f>I17+I18+I19</f>
        <v>13729712</v>
      </c>
      <c r="N19" s="78">
        <f>J17+J18+J19</f>
        <v>952296.61999999988</v>
      </c>
      <c r="O19" s="87">
        <f>M19/M16-1</f>
        <v>-4.5091210307945384E-2</v>
      </c>
      <c r="P19" s="87">
        <f>M19/M7-1</f>
        <v>0.35720576214633204</v>
      </c>
      <c r="Q19" s="88">
        <f>AVERAGE(L17:L19)</f>
        <v>14.402791375060204</v>
      </c>
      <c r="R19" s="89">
        <f>Q19/Q16-1</f>
        <v>1.9048407023469105E-2</v>
      </c>
    </row>
    <row r="20" spans="1:18">
      <c r="A20" s="131"/>
      <c r="B20" s="131"/>
      <c r="C20" s="90"/>
      <c r="D20" s="90"/>
      <c r="E20" s="78">
        <f>I20/20</f>
        <v>234555.55</v>
      </c>
      <c r="F20" s="90">
        <f t="shared" si="1"/>
        <v>-5.0333979115240179E-2</v>
      </c>
      <c r="G20" s="90">
        <f t="shared" si="2"/>
        <v>0.52201871474338368</v>
      </c>
      <c r="H20" s="129" t="s">
        <v>132</v>
      </c>
      <c r="I20" s="116">
        <v>4691111</v>
      </c>
      <c r="J20" s="116">
        <v>323693.81</v>
      </c>
      <c r="K20" s="116">
        <v>323693.81</v>
      </c>
      <c r="L20" s="130">
        <f t="shared" si="0"/>
        <v>14.492433451229729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274672.09523809527</v>
      </c>
      <c r="F21" s="90">
        <f t="shared" si="1"/>
        <v>0.1710321722853938</v>
      </c>
      <c r="G21" s="90">
        <f t="shared" si="2"/>
        <v>0.17978790009063017</v>
      </c>
      <c r="H21" s="129" t="s">
        <v>141</v>
      </c>
      <c r="I21" s="116">
        <v>5768114</v>
      </c>
      <c r="J21" s="116">
        <v>389904.6</v>
      </c>
      <c r="K21" s="116">
        <v>389904.6</v>
      </c>
      <c r="L21" s="130">
        <f t="shared" si="0"/>
        <v>14.793654652958699</v>
      </c>
      <c r="M21" s="78"/>
      <c r="N21" s="78"/>
      <c r="O21" s="87"/>
      <c r="P21" s="87"/>
      <c r="Q21" s="79"/>
      <c r="R21" s="89"/>
    </row>
    <row r="22" spans="1:18">
      <c r="A22" s="131">
        <f>SUM(E20:E22)</f>
        <v>711948.55</v>
      </c>
      <c r="B22" s="131">
        <f>AVERAGE(E20:E22)</f>
        <v>237316.18333333335</v>
      </c>
      <c r="C22" s="90">
        <f>B22/B19-1</f>
        <v>7.579735109578567E-2</v>
      </c>
      <c r="D22" s="90">
        <f>B22/B10-1</f>
        <v>0.40573751502142641</v>
      </c>
      <c r="E22" s="78">
        <f>I22/21</f>
        <v>202720.90476190476</v>
      </c>
      <c r="F22" s="90">
        <f t="shared" si="1"/>
        <v>-0.26195304045655143</v>
      </c>
      <c r="G22" s="90">
        <f t="shared" si="2"/>
        <v>0.69589699544827677</v>
      </c>
      <c r="H22" s="129" t="s">
        <v>155</v>
      </c>
      <c r="I22" s="116">
        <v>4257139</v>
      </c>
      <c r="J22" s="116">
        <v>311574.53999999998</v>
      </c>
      <c r="K22" s="116">
        <v>311574.53999999998</v>
      </c>
      <c r="L22" s="130">
        <f t="shared" si="0"/>
        <v>13.663308304972544</v>
      </c>
      <c r="M22" s="85">
        <f>I20+I21+I22</f>
        <v>14716364</v>
      </c>
      <c r="N22" s="78">
        <f>J20+J21+J22</f>
        <v>1025172.95</v>
      </c>
      <c r="O22" s="87">
        <f>M22/M19-1</f>
        <v>7.1862541617770281E-2</v>
      </c>
      <c r="P22" s="87">
        <f>M22/M10-1</f>
        <v>0.38368378549069115</v>
      </c>
      <c r="Q22" s="88">
        <f>AVERAGE(L20:L22)</f>
        <v>14.316465469720326</v>
      </c>
      <c r="R22" s="89">
        <f>Q22/Q19-1</f>
        <v>-5.9936926871939633E-3</v>
      </c>
    </row>
    <row r="23" spans="1:18">
      <c r="A23" s="131"/>
      <c r="B23" s="131"/>
      <c r="C23" s="117"/>
      <c r="D23" s="117"/>
      <c r="E23" s="78">
        <f>I23/21</f>
        <v>128619.14285714286</v>
      </c>
      <c r="F23" s="90">
        <f t="shared" si="1"/>
        <v>-0.36553586810296779</v>
      </c>
      <c r="G23" s="90">
        <f t="shared" si="2"/>
        <v>-0.19018253709836708</v>
      </c>
      <c r="H23" s="129" t="s">
        <v>189</v>
      </c>
      <c r="I23" s="116">
        <v>2701002</v>
      </c>
      <c r="J23" s="116">
        <v>193326.24</v>
      </c>
      <c r="K23" s="116">
        <v>193326.24</v>
      </c>
      <c r="L23" s="130">
        <f t="shared" si="0"/>
        <v>13.971212598972597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37852.272727272728</v>
      </c>
      <c r="F24" s="90">
        <f t="shared" si="1"/>
        <v>-0.70570265135948529</v>
      </c>
      <c r="G24" s="90">
        <f t="shared" si="2"/>
        <v>1.3017305475783112</v>
      </c>
      <c r="H24" s="129" t="s">
        <v>204</v>
      </c>
      <c r="I24" s="116">
        <v>832750</v>
      </c>
      <c r="J24" s="116">
        <v>53714</v>
      </c>
      <c r="K24" s="116">
        <v>53714</v>
      </c>
      <c r="L24" s="130">
        <f t="shared" si="0"/>
        <v>15.503406933015601</v>
      </c>
      <c r="M24" s="78"/>
      <c r="N24" s="78"/>
      <c r="O24" s="87"/>
      <c r="P24" s="87"/>
      <c r="Q24" s="79"/>
      <c r="R24" s="89"/>
    </row>
    <row r="25" spans="1:18">
      <c r="A25" s="131">
        <f>SUM(E23:E25)</f>
        <v>234775.20505809979</v>
      </c>
      <c r="B25" s="131">
        <f>AVERAGE(E23:E25)</f>
        <v>78258.401686033263</v>
      </c>
      <c r="C25" s="90">
        <f>B25/B22-1</f>
        <v>-0.67023571428286521</v>
      </c>
      <c r="D25" s="90">
        <f>B25/B13-1</f>
        <v>0.1578648187042655</v>
      </c>
      <c r="E25" s="78">
        <f>I25/19</f>
        <v>68303.789473684214</v>
      </c>
      <c r="F25" s="90">
        <f t="shared" si="1"/>
        <v>0.80448318033149535</v>
      </c>
      <c r="G25" s="90">
        <f t="shared" si="2"/>
        <v>1.4841671127499882</v>
      </c>
      <c r="H25" s="129" t="s">
        <v>217</v>
      </c>
      <c r="I25" s="116">
        <v>1297772</v>
      </c>
      <c r="J25" s="116">
        <v>98285</v>
      </c>
      <c r="K25" s="116">
        <v>98285</v>
      </c>
      <c r="L25" s="130">
        <f t="shared" si="0"/>
        <v>13.204171541944346</v>
      </c>
      <c r="M25" s="85">
        <f>I23+I24+I25</f>
        <v>4831524</v>
      </c>
      <c r="N25" s="78">
        <f>J23+J24+J25</f>
        <v>345325.24</v>
      </c>
      <c r="O25" s="90">
        <f>M25/M22-1</f>
        <v>-0.67169037134444354</v>
      </c>
      <c r="P25" s="90">
        <f>M25/M13-1</f>
        <v>0.13762471073889793</v>
      </c>
      <c r="Q25" s="88">
        <f>AVERAGE(L23:L25)</f>
        <v>14.226263691310848</v>
      </c>
      <c r="R25" s="91">
        <f>Q25/Q22-1</f>
        <v>-6.3005620067506651E-3</v>
      </c>
    </row>
    <row r="26" spans="1:18">
      <c r="A26" s="131"/>
      <c r="B26" s="131"/>
      <c r="C26" s="132"/>
      <c r="D26" s="132"/>
      <c r="E26" s="78">
        <f>I26/19</f>
        <v>216070.73684210525</v>
      </c>
      <c r="F26" s="90">
        <f t="shared" si="1"/>
        <v>2.1633784670959146</v>
      </c>
      <c r="G26" s="90">
        <f t="shared" si="2"/>
        <v>0.17587596851265141</v>
      </c>
      <c r="H26" s="129" t="s">
        <v>312</v>
      </c>
      <c r="I26" s="116">
        <v>4105344</v>
      </c>
      <c r="J26" s="116">
        <v>305840.53000000003</v>
      </c>
      <c r="K26" s="116">
        <v>305840.53000000003</v>
      </c>
      <c r="L26" s="130">
        <f t="shared" si="0"/>
        <v>13.423152255196522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184494.22727272726</v>
      </c>
      <c r="F27" s="90">
        <f t="shared" si="1"/>
        <v>-0.14613968569215685</v>
      </c>
      <c r="G27" s="90">
        <f t="shared" si="2"/>
        <v>-0.27796214225853899</v>
      </c>
      <c r="H27" s="129" t="s">
        <v>373</v>
      </c>
      <c r="I27" s="116">
        <v>4058873</v>
      </c>
      <c r="J27" s="116">
        <v>322236.15000000002</v>
      </c>
      <c r="K27" s="116">
        <v>322236.15000000002</v>
      </c>
      <c r="L27" s="130">
        <f t="shared" si="0"/>
        <v>12.595957964368678</v>
      </c>
      <c r="M27" s="78"/>
      <c r="N27" s="78"/>
      <c r="O27" s="90"/>
      <c r="P27" s="90"/>
      <c r="Q27" s="79"/>
      <c r="R27" s="79"/>
    </row>
    <row r="28" spans="1:18">
      <c r="A28" s="131">
        <f>SUM(E26:E28)</f>
        <v>537270.12200956931</v>
      </c>
      <c r="B28" s="131">
        <f>AVERAGE(E26:E28)</f>
        <v>179090.04066985645</v>
      </c>
      <c r="C28" s="90">
        <f>B28/B25-1</f>
        <v>1.2884449057412652</v>
      </c>
      <c r="D28" s="90">
        <f>B28/B16-1</f>
        <v>-0.19840562755815294</v>
      </c>
      <c r="E28" s="78">
        <f>I28/19</f>
        <v>136705.15789473685</v>
      </c>
      <c r="F28" s="90">
        <f t="shared" si="1"/>
        <v>-0.2590274508011926</v>
      </c>
      <c r="G28" s="90">
        <f t="shared" si="2"/>
        <v>-0.40815177032490979</v>
      </c>
      <c r="H28" s="129" t="s">
        <v>413</v>
      </c>
      <c r="I28" s="116">
        <v>2597398</v>
      </c>
      <c r="J28" s="116">
        <v>199518.74</v>
      </c>
      <c r="K28" s="116">
        <v>199518.74</v>
      </c>
      <c r="L28" s="130">
        <f t="shared" si="0"/>
        <v>13.018315973727582</v>
      </c>
      <c r="M28" s="85">
        <f>I26+I27+I28</f>
        <v>10761615</v>
      </c>
      <c r="N28" s="78">
        <f>J26+J27+J28</f>
        <v>827595.42</v>
      </c>
      <c r="O28" s="90">
        <f>M28/M25-1</f>
        <v>1.227374840733483</v>
      </c>
      <c r="P28" s="90">
        <f>M28/M16-1</f>
        <v>-0.25152393911963633</v>
      </c>
      <c r="Q28" s="88">
        <f>AVERAGE(L26:L28)</f>
        <v>13.012475397764261</v>
      </c>
      <c r="R28" s="91">
        <f>Q28/Q25-1</f>
        <v>-8.5320244294919689E-2</v>
      </c>
    </row>
    <row r="29" spans="1:18">
      <c r="A29" s="131"/>
      <c r="B29" s="131"/>
      <c r="C29" s="132"/>
      <c r="D29" s="132"/>
      <c r="E29" s="78">
        <f>I29/22</f>
        <v>105032.27272727272</v>
      </c>
      <c r="F29" s="90">
        <f t="shared" si="1"/>
        <v>-0.23168756508699029</v>
      </c>
      <c r="G29" s="90">
        <f t="shared" si="2"/>
        <v>-0.47083484047538327</v>
      </c>
      <c r="H29" s="129" t="s">
        <v>426</v>
      </c>
      <c r="I29" s="116">
        <v>2310710</v>
      </c>
      <c r="J29" s="116">
        <v>3037435141</v>
      </c>
      <c r="K29" s="116">
        <v>193998.9</v>
      </c>
      <c r="L29" s="130">
        <f t="shared" si="0"/>
        <v>11.910943824939213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124120.68421052632</v>
      </c>
      <c r="F30" s="90">
        <f t="shared" si="1"/>
        <v>0.18173853604804546</v>
      </c>
      <c r="G30" s="90">
        <f t="shared" si="2"/>
        <v>-0.42619788754647181</v>
      </c>
      <c r="H30" s="129" t="s">
        <v>466</v>
      </c>
      <c r="I30" s="116">
        <v>2358293</v>
      </c>
      <c r="J30" s="116">
        <v>3143874084</v>
      </c>
      <c r="K30" s="116">
        <v>200806.3</v>
      </c>
      <c r="L30" s="130">
        <f t="shared" si="0"/>
        <v>11.744118585920861</v>
      </c>
      <c r="M30" s="85"/>
      <c r="N30" s="78"/>
      <c r="O30" s="90"/>
      <c r="P30" s="90"/>
      <c r="Q30" s="88"/>
      <c r="R30" s="91"/>
    </row>
    <row r="31" spans="1:18">
      <c r="A31" s="131">
        <f>SUM(E29:E31)</f>
        <v>351637.95693779906</v>
      </c>
      <c r="B31" s="131">
        <f>AVERAGE(E29:E31)</f>
        <v>117212.65231259969</v>
      </c>
      <c r="C31" s="90">
        <f>B31/B28-1</f>
        <v>-0.34550993525834661</v>
      </c>
      <c r="D31" s="90">
        <f>B31/B19-1</f>
        <v>-0.46865376350802568</v>
      </c>
      <c r="E31" s="78">
        <f>I31/20</f>
        <v>122485</v>
      </c>
      <c r="F31" s="90">
        <f t="shared" si="1"/>
        <v>-1.3178175909439593E-2</v>
      </c>
      <c r="G31" s="90">
        <f t="shared" si="2"/>
        <v>-0.50408403225560083</v>
      </c>
      <c r="H31" s="129" t="s">
        <v>505</v>
      </c>
      <c r="I31" s="116">
        <v>2449700</v>
      </c>
      <c r="J31" s="116">
        <v>3253759248</v>
      </c>
      <c r="K31" s="116">
        <v>226471.6</v>
      </c>
      <c r="L31" s="130">
        <f t="shared" si="0"/>
        <v>10.816808818412552</v>
      </c>
      <c r="M31" s="85">
        <f>I29+I30+I31</f>
        <v>7118703</v>
      </c>
      <c r="N31" s="78">
        <f>J29+J30+J31</f>
        <v>9435068473</v>
      </c>
      <c r="O31" s="90">
        <f>M31/M28-1</f>
        <v>-0.33850978686749156</v>
      </c>
      <c r="P31" s="90">
        <f>M31/M19-1</f>
        <v>-0.48151111982538308</v>
      </c>
      <c r="Q31" s="88">
        <f>AVERAGE(L29:L31)</f>
        <v>11.490623743090877</v>
      </c>
      <c r="R31" s="91">
        <f>Q31/Q28-1</f>
        <v>-0.11695327815450551</v>
      </c>
    </row>
    <row r="32" spans="1:18">
      <c r="A32" s="131"/>
      <c r="B32" s="131"/>
      <c r="C32" s="90"/>
      <c r="D32" s="90"/>
      <c r="E32" s="78">
        <f>I32/21</f>
        <v>106010.57142857143</v>
      </c>
      <c r="F32" s="90">
        <f t="shared" si="1"/>
        <v>-0.13450160077910411</v>
      </c>
      <c r="G32" s="90">
        <f t="shared" si="2"/>
        <v>-0.54803639722627984</v>
      </c>
      <c r="H32" s="129" t="s">
        <v>561</v>
      </c>
      <c r="I32" s="116">
        <v>2226222</v>
      </c>
      <c r="J32" s="116">
        <v>3023801698</v>
      </c>
      <c r="K32" s="116">
        <v>188823.83</v>
      </c>
      <c r="L32" s="130">
        <f t="shared" si="0"/>
        <v>11.789941979251243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110833</v>
      </c>
      <c r="F33" s="90">
        <f t="shared" si="1"/>
        <v>4.5490072418653549E-2</v>
      </c>
      <c r="G33" s="90">
        <f t="shared" si="2"/>
        <v>-0.59648977117997326</v>
      </c>
      <c r="H33" s="129" t="s">
        <v>606</v>
      </c>
      <c r="I33" s="116">
        <v>2327493</v>
      </c>
      <c r="J33" s="116">
        <v>3178711467</v>
      </c>
      <c r="K33" s="116">
        <v>225510.15</v>
      </c>
      <c r="L33" s="130">
        <f t="shared" si="0"/>
        <v>10.321012158432781</v>
      </c>
      <c r="M33" s="85"/>
      <c r="N33" s="78"/>
      <c r="O33" s="90"/>
      <c r="P33" s="90"/>
      <c r="Q33" s="88"/>
      <c r="R33" s="91"/>
    </row>
    <row r="34" spans="1:18">
      <c r="A34" s="131">
        <f>SUM(E32:E34)</f>
        <v>302412.72932330827</v>
      </c>
      <c r="B34" s="131">
        <f>AVERAGE(E32:E34)</f>
        <v>100804.24310776942</v>
      </c>
      <c r="C34" s="90">
        <f>B34/B31-1</f>
        <v>-0.13998837907933304</v>
      </c>
      <c r="D34" s="90">
        <f>B34/B22-1</f>
        <v>-0.57523232637624133</v>
      </c>
      <c r="E34" s="78">
        <f>I34/19</f>
        <v>85569.15789473684</v>
      </c>
      <c r="F34" s="90">
        <f t="shared" si="1"/>
        <v>-0.22794512559673707</v>
      </c>
      <c r="G34" s="90">
        <f t="shared" si="2"/>
        <v>-0.57789672458675323</v>
      </c>
      <c r="H34" s="129" t="s">
        <v>652</v>
      </c>
      <c r="I34" s="116">
        <v>1625814</v>
      </c>
      <c r="J34" s="116">
        <v>2240595801</v>
      </c>
      <c r="K34" s="116">
        <v>136144.78</v>
      </c>
      <c r="L34" s="130">
        <f t="shared" si="0"/>
        <v>11.94180195524206</v>
      </c>
      <c r="M34" s="85">
        <f>I32+I33+I34</f>
        <v>6179529</v>
      </c>
      <c r="N34" s="78">
        <f>J32+J33+J34</f>
        <v>8443108966</v>
      </c>
      <c r="O34" s="90">
        <f>M34/M31-1</f>
        <v>-0.13193049351827146</v>
      </c>
      <c r="P34" s="90">
        <f>M34/M22-1</f>
        <v>-0.58009131875237663</v>
      </c>
      <c r="Q34" s="88">
        <f>AVERAGE(L32:L34)</f>
        <v>11.35091869764203</v>
      </c>
      <c r="R34" s="91">
        <f>Q34/Q31-1</f>
        <v>-1.2158177708398998E-2</v>
      </c>
    </row>
    <row r="35" spans="1:18">
      <c r="A35" s="131"/>
      <c r="B35" s="131"/>
      <c r="C35" s="90"/>
      <c r="D35" s="90"/>
      <c r="E35" s="78">
        <f>I35/23</f>
        <v>69671.521739130432</v>
      </c>
      <c r="F35" s="90">
        <f t="shared" ref="F35" si="3">E35/E34-1</f>
        <v>-0.18578698852176312</v>
      </c>
      <c r="G35" s="90">
        <f t="shared" ref="G35" si="4">E35/E23-1</f>
        <v>-0.4583114131267807</v>
      </c>
      <c r="H35" s="129" t="s">
        <v>660</v>
      </c>
      <c r="I35" s="116">
        <v>1602445</v>
      </c>
      <c r="J35" s="116">
        <v>2217547479</v>
      </c>
      <c r="K35" s="116">
        <v>173952.84</v>
      </c>
      <c r="L35" s="130">
        <f t="shared" ref="L35" si="5">I35/K35</f>
        <v>9.211950779303173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45453.619047619046</v>
      </c>
      <c r="F36" s="90">
        <f t="shared" ref="F36" si="6">E36/E35-1</f>
        <v>-0.34760117314775973</v>
      </c>
      <c r="G36" s="90">
        <f t="shared" ref="G36" si="7">E36/E24-1</f>
        <v>0.20081611413703881</v>
      </c>
      <c r="H36" s="129" t="s">
        <v>666</v>
      </c>
      <c r="I36" s="116">
        <v>954526</v>
      </c>
      <c r="J36" s="116">
        <v>1310871062</v>
      </c>
      <c r="K36" s="116">
        <v>77079.679999999993</v>
      </c>
      <c r="L36" s="130">
        <f t="shared" ref="L36" si="8">I36/K36</f>
        <v>12.383626916977342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205626.8630089717</v>
      </c>
      <c r="B37" s="131">
        <f>AVERAGE(E35:E37)</f>
        <v>68542.287669657235</v>
      </c>
      <c r="C37" s="90">
        <f>B37/B34-1</f>
        <v>-0.32004560962400219</v>
      </c>
      <c r="D37" s="90">
        <f>B37/B25-1</f>
        <v>-0.12415426084673098</v>
      </c>
      <c r="E37" s="78">
        <f>I37/18</f>
        <v>90501.722222222219</v>
      </c>
      <c r="F37" s="90">
        <f t="shared" ref="F37" si="9">E37/E36-1</f>
        <v>0.9910784689643517</v>
      </c>
      <c r="G37" s="90">
        <f t="shared" ref="G37" si="10">E37/E25-1</f>
        <v>0.32498830474245244</v>
      </c>
      <c r="H37" s="129" t="s">
        <v>702</v>
      </c>
      <c r="I37" s="116">
        <v>1629031</v>
      </c>
      <c r="J37" s="116">
        <v>2172430305</v>
      </c>
      <c r="K37" s="116">
        <v>139527.24</v>
      </c>
      <c r="L37" s="130">
        <f t="shared" ref="L37" si="11">I37/K37</f>
        <v>11.675361742982949</v>
      </c>
      <c r="M37" s="85">
        <f>I35+I36+I37</f>
        <v>4186002</v>
      </c>
      <c r="N37" s="78">
        <f>J35+J36+J37</f>
        <v>5700848846</v>
      </c>
      <c r="O37" s="90">
        <f>M37/M34-1</f>
        <v>-0.32260177110585608</v>
      </c>
      <c r="P37" s="90">
        <f>M37/M25-1</f>
        <v>-0.13360629068592023</v>
      </c>
      <c r="Q37" s="88">
        <f>AVERAGE(L35:L37)</f>
        <v>11.090313146421154</v>
      </c>
      <c r="R37" s="91">
        <f>Q37/Q34-1</f>
        <v>-2.2958983159223179E-2</v>
      </c>
    </row>
    <row r="38" spans="1:18">
      <c r="A38" s="131"/>
      <c r="B38" s="131"/>
      <c r="C38" s="90"/>
      <c r="D38" s="90"/>
      <c r="E38" s="143">
        <f>I38/20</f>
        <v>113202</v>
      </c>
      <c r="F38" s="109">
        <f t="shared" ref="F38" si="12">E38/E37-1</f>
        <v>0.25082702539116819</v>
      </c>
      <c r="G38" s="109">
        <f t="shared" ref="G38" si="13">E38/E26-1</f>
        <v>-0.47608824010850248</v>
      </c>
      <c r="H38" s="144" t="s">
        <v>727</v>
      </c>
      <c r="I38" s="145">
        <v>2264040</v>
      </c>
      <c r="J38" s="145">
        <v>3043212840</v>
      </c>
      <c r="K38" s="145">
        <v>201014.93</v>
      </c>
      <c r="L38" s="146">
        <f t="shared" ref="L38" si="14">I38/K38</f>
        <v>11.263043993796879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142670.66666666666</v>
      </c>
      <c r="F39" s="109">
        <f t="shared" ref="F39" si="15">E39/E38-1</f>
        <v>0.26031931120180429</v>
      </c>
      <c r="G39" s="109">
        <f t="shared" ref="G39" si="16">E39/E27-1</f>
        <v>-0.22669305822905361</v>
      </c>
      <c r="H39" s="144" t="s">
        <v>762</v>
      </c>
      <c r="I39" s="145">
        <v>856024</v>
      </c>
      <c r="J39" s="145">
        <v>1182475197</v>
      </c>
      <c r="K39" s="145">
        <v>86237.86</v>
      </c>
      <c r="L39" s="146">
        <f t="shared" ref="L39" si="17">I39/K39</f>
        <v>9.9263131065636365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127936.33333333333</v>
      </c>
      <c r="C40" s="90">
        <f>B40/B37-1</f>
        <v>0.86653141707099834</v>
      </c>
      <c r="D40" s="90">
        <f>B40/B28-1</f>
        <v>-0.28563122296020038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3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49"/>
  <sheetViews>
    <sheetView topLeftCell="A4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1604204010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67164.2</v>
      </c>
      <c r="F5" s="90"/>
      <c r="G5" s="90"/>
      <c r="H5" s="129" t="s">
        <v>0</v>
      </c>
      <c r="I5" s="116">
        <v>1343284</v>
      </c>
      <c r="J5" s="116"/>
      <c r="K5" s="116">
        <v>284655.65999999997</v>
      </c>
      <c r="L5" s="130">
        <f t="shared" ref="L5:L34" si="0">I5/K5</f>
        <v>4.7189787127366447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151132.11111111112</v>
      </c>
      <c r="F6" s="90">
        <f t="shared" ref="F6:F34" si="1">E6/E5-1</f>
        <v>1.250188509817896</v>
      </c>
      <c r="G6" s="90"/>
      <c r="H6" s="129" t="s">
        <v>1</v>
      </c>
      <c r="I6" s="116">
        <v>2720378</v>
      </c>
      <c r="J6" s="116"/>
      <c r="K6" s="116">
        <v>612426.54</v>
      </c>
      <c r="L6" s="130">
        <f t="shared" si="0"/>
        <v>4.4419662152459951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341204.90202020202</v>
      </c>
      <c r="B7" s="131">
        <f>AVERAGE(E5:E7)</f>
        <v>113734.96734006733</v>
      </c>
      <c r="C7" s="117"/>
      <c r="D7" s="117"/>
      <c r="E7" s="78">
        <f>I7/22</f>
        <v>122908.59090909091</v>
      </c>
      <c r="F7" s="90">
        <f t="shared" si="1"/>
        <v>-0.18674734306642815</v>
      </c>
      <c r="G7" s="90"/>
      <c r="H7" s="129" t="s">
        <v>2</v>
      </c>
      <c r="I7" s="116">
        <v>2703989</v>
      </c>
      <c r="J7" s="116"/>
      <c r="K7" s="116">
        <v>587625.23</v>
      </c>
      <c r="L7" s="130">
        <f t="shared" si="0"/>
        <v>4.6015536126656782</v>
      </c>
      <c r="M7" s="85">
        <f>I5+I6+I7</f>
        <v>6767651</v>
      </c>
      <c r="N7" s="85">
        <f>J5+J6+J7</f>
        <v>0</v>
      </c>
      <c r="O7" s="87"/>
      <c r="P7" s="87"/>
      <c r="Q7" s="88">
        <f>AVERAGE(L5:L7)</f>
        <v>4.5874995135494396</v>
      </c>
      <c r="R7" s="79"/>
    </row>
    <row r="8" spans="1:18" ht="15" hidden="1" customHeight="1">
      <c r="A8" s="79"/>
      <c r="B8" s="79"/>
      <c r="C8" s="117"/>
      <c r="D8" s="117"/>
      <c r="E8" s="78">
        <f>I8/21</f>
        <v>139931.23809523811</v>
      </c>
      <c r="F8" s="90">
        <f t="shared" si="1"/>
        <v>0.13849843253624128</v>
      </c>
      <c r="G8" s="90"/>
      <c r="H8" s="129" t="s">
        <v>3</v>
      </c>
      <c r="I8" s="116">
        <v>2938556</v>
      </c>
      <c r="J8" s="116"/>
      <c r="K8" s="116">
        <v>605136.88</v>
      </c>
      <c r="L8" s="130">
        <f t="shared" si="0"/>
        <v>4.8560186911761187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150335.04761904763</v>
      </c>
      <c r="F9" s="90">
        <f t="shared" si="1"/>
        <v>7.4349442379182173E-2</v>
      </c>
      <c r="G9" s="90"/>
      <c r="H9" s="129" t="s">
        <v>4</v>
      </c>
      <c r="I9" s="116">
        <v>3157036</v>
      </c>
      <c r="J9" s="116"/>
      <c r="K9" s="116">
        <v>664021.54</v>
      </c>
      <c r="L9" s="130">
        <f t="shared" si="0"/>
        <v>4.7544180569805006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417066.1428571429</v>
      </c>
      <c r="B10" s="131">
        <f>AVERAGE(E8:E10)</f>
        <v>139022.04761904763</v>
      </c>
      <c r="C10" s="90">
        <f>B10/B7-1</f>
        <v>0.22233338497712829</v>
      </c>
      <c r="D10" s="90"/>
      <c r="E10" s="78">
        <f>I10/21</f>
        <v>126799.85714285714</v>
      </c>
      <c r="F10" s="90">
        <f t="shared" si="1"/>
        <v>-0.15655158826190141</v>
      </c>
      <c r="G10" s="90"/>
      <c r="H10" s="129" t="s">
        <v>5</v>
      </c>
      <c r="I10" s="116">
        <v>2662797</v>
      </c>
      <c r="J10" s="116"/>
      <c r="K10" s="116">
        <v>575515.85</v>
      </c>
      <c r="L10" s="130">
        <f t="shared" si="0"/>
        <v>4.6268004608387416</v>
      </c>
      <c r="M10" s="85">
        <f>I8+I9+I10</f>
        <v>8758389</v>
      </c>
      <c r="N10" s="85">
        <f>J8+J9+J10</f>
        <v>0</v>
      </c>
      <c r="O10" s="87">
        <f>M10/M7-1</f>
        <v>0.29415494386456986</v>
      </c>
      <c r="P10" s="87"/>
      <c r="Q10" s="88">
        <f>AVERAGE(L8:L10)</f>
        <v>4.745745736331787</v>
      </c>
      <c r="R10" s="89">
        <f>Q10/Q7-1</f>
        <v>3.449509309264398E-2</v>
      </c>
    </row>
    <row r="11" spans="1:18" ht="15" hidden="1" customHeight="1">
      <c r="A11" s="79"/>
      <c r="B11" s="79"/>
      <c r="C11" s="117"/>
      <c r="D11" s="117"/>
      <c r="E11" s="78">
        <f>I11/21</f>
        <v>139795.66666666666</v>
      </c>
      <c r="F11" s="90">
        <f t="shared" si="1"/>
        <v>0.10249072685600891</v>
      </c>
      <c r="G11" s="90"/>
      <c r="H11" s="129" t="s">
        <v>6</v>
      </c>
      <c r="I11" s="116">
        <v>2935709</v>
      </c>
      <c r="J11" s="116"/>
      <c r="K11" s="116">
        <v>578648.38</v>
      </c>
      <c r="L11" s="130">
        <f t="shared" si="0"/>
        <v>5.0733901648527899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142648.68181818182</v>
      </c>
      <c r="F12" s="90">
        <f t="shared" si="1"/>
        <v>2.0408466296154781E-2</v>
      </c>
      <c r="G12" s="90"/>
      <c r="H12" s="129" t="s">
        <v>7</v>
      </c>
      <c r="I12" s="116">
        <v>3138271</v>
      </c>
      <c r="J12" s="116"/>
      <c r="K12" s="116">
        <v>592179.87</v>
      </c>
      <c r="L12" s="130">
        <f t="shared" si="0"/>
        <v>5.2995232681583726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410280.44848484849</v>
      </c>
      <c r="B13" s="131">
        <f>AVERAGE(E11:E13)</f>
        <v>136760.1494949495</v>
      </c>
      <c r="C13" s="90">
        <f>B13/B10-1</f>
        <v>-1.6270067682330969E-2</v>
      </c>
      <c r="D13" s="90"/>
      <c r="E13" s="78">
        <f>I13/20</f>
        <v>127836.1</v>
      </c>
      <c r="F13" s="90">
        <f t="shared" si="1"/>
        <v>-0.10383959830110279</v>
      </c>
      <c r="G13" s="90"/>
      <c r="H13" s="129" t="s">
        <v>96</v>
      </c>
      <c r="I13" s="116">
        <v>2556722</v>
      </c>
      <c r="J13" s="116"/>
      <c r="K13" s="116">
        <v>564534.80000000005</v>
      </c>
      <c r="L13" s="130">
        <f t="shared" si="0"/>
        <v>4.5289006098472582</v>
      </c>
      <c r="M13" s="85">
        <f>I11+I12+I13</f>
        <v>8630702</v>
      </c>
      <c r="N13" s="78">
        <f>J11+J12+J13</f>
        <v>0</v>
      </c>
      <c r="O13" s="87">
        <f>M13/M10-1</f>
        <v>-1.4578822657911217E-2</v>
      </c>
      <c r="P13" s="87"/>
      <c r="Q13" s="88">
        <f>AVERAGE(L11:L13)</f>
        <v>4.9672713476194739</v>
      </c>
      <c r="R13" s="89">
        <f>Q13/Q10-1</f>
        <v>4.6678777919298087E-2</v>
      </c>
    </row>
    <row r="14" spans="1:18" ht="15" hidden="1" customHeight="1">
      <c r="A14" s="79"/>
      <c r="B14" s="79"/>
      <c r="C14" s="117"/>
      <c r="D14" s="117"/>
      <c r="E14" s="78">
        <f>I14/20</f>
        <v>140885.45000000001</v>
      </c>
      <c r="F14" s="90">
        <f t="shared" si="1"/>
        <v>0.10207875553149703</v>
      </c>
      <c r="G14" s="90"/>
      <c r="H14" s="129" t="s">
        <v>97</v>
      </c>
      <c r="I14" s="116">
        <v>2817709</v>
      </c>
      <c r="J14" s="116"/>
      <c r="K14" s="116">
        <v>614590.07999999996</v>
      </c>
      <c r="L14" s="130">
        <f t="shared" si="0"/>
        <v>4.5846965183687969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124591.18181818182</v>
      </c>
      <c r="F15" s="90">
        <f t="shared" si="1"/>
        <v>-0.11565614605211672</v>
      </c>
      <c r="G15" s="90"/>
      <c r="H15" s="129" t="s">
        <v>98</v>
      </c>
      <c r="I15" s="116">
        <v>2741006</v>
      </c>
      <c r="J15" s="116"/>
      <c r="K15" s="116">
        <v>585729.59</v>
      </c>
      <c r="L15" s="130">
        <f t="shared" si="0"/>
        <v>4.6796440657881053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373182.04090909089</v>
      </c>
      <c r="B16" s="131">
        <f>AVERAGE(E14:E16)</f>
        <v>124394.01363636363</v>
      </c>
      <c r="C16" s="90">
        <f>B16/B13-1</f>
        <v>-9.0422070349100769E-2</v>
      </c>
      <c r="D16" s="90"/>
      <c r="E16" s="78">
        <f>I16/22</f>
        <v>107705.40909090909</v>
      </c>
      <c r="F16" s="90">
        <f t="shared" si="1"/>
        <v>-0.13552943700232689</v>
      </c>
      <c r="G16" s="90"/>
      <c r="H16" s="129" t="s">
        <v>99</v>
      </c>
      <c r="I16" s="116">
        <v>2369519</v>
      </c>
      <c r="J16" s="116"/>
      <c r="K16" s="116">
        <v>526364.03</v>
      </c>
      <c r="L16" s="130">
        <f t="shared" si="0"/>
        <v>4.5016734901129167</v>
      </c>
      <c r="M16" s="85">
        <f>I14+I15+I16</f>
        <v>7928234</v>
      </c>
      <c r="N16" s="78">
        <f>J14+J15+J16</f>
        <v>0</v>
      </c>
      <c r="O16" s="87">
        <f>M16/M13-1</f>
        <v>-8.1391757008873689E-2</v>
      </c>
      <c r="P16" s="87"/>
      <c r="Q16" s="88">
        <f>AVERAGE(L14:L16)</f>
        <v>4.5886713580899396</v>
      </c>
      <c r="R16" s="89">
        <f>Q16/Q13-1</f>
        <v>-7.6218906323886504E-2</v>
      </c>
    </row>
    <row r="17" spans="1:18" ht="15" customHeight="1">
      <c r="A17" s="79"/>
      <c r="B17" s="79"/>
      <c r="C17" s="117"/>
      <c r="D17" s="117"/>
      <c r="E17" s="78">
        <f>I17/20</f>
        <v>78426.600000000006</v>
      </c>
      <c r="F17" s="90">
        <f t="shared" si="1"/>
        <v>-0.27184158472668918</v>
      </c>
      <c r="G17" s="90">
        <f t="shared" ref="G17:G34" si="2">E17/E5-1</f>
        <v>0.16768457005368953</v>
      </c>
      <c r="H17" s="129" t="s">
        <v>100</v>
      </c>
      <c r="I17" s="116">
        <v>1568532</v>
      </c>
      <c r="J17" s="116"/>
      <c r="K17" s="116">
        <v>316962.52</v>
      </c>
      <c r="L17" s="130">
        <f t="shared" si="0"/>
        <v>4.9486355673850646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166734.9</v>
      </c>
      <c r="F18" s="90">
        <f t="shared" si="1"/>
        <v>1.1259993420599641</v>
      </c>
      <c r="G18" s="90">
        <f t="shared" si="2"/>
        <v>0.10323940275946941</v>
      </c>
      <c r="H18" s="129" t="s">
        <v>106</v>
      </c>
      <c r="I18" s="116">
        <v>3334698</v>
      </c>
      <c r="J18" s="116"/>
      <c r="K18" s="116">
        <v>663376.18000000005</v>
      </c>
      <c r="L18" s="130">
        <f t="shared" si="0"/>
        <v>5.0268582148970129</v>
      </c>
      <c r="M18" s="78"/>
      <c r="N18" s="78"/>
      <c r="O18" s="87"/>
      <c r="P18" s="87"/>
      <c r="Q18" s="79"/>
      <c r="R18" s="89"/>
    </row>
    <row r="19" spans="1:18">
      <c r="A19" s="131">
        <f>SUM(E17:E19)</f>
        <v>377092.63636363635</v>
      </c>
      <c r="B19" s="131">
        <f>AVERAGE(E17:E19)</f>
        <v>125697.54545454546</v>
      </c>
      <c r="C19" s="90">
        <f>B19/B16-1</f>
        <v>1.0479055865119102E-2</v>
      </c>
      <c r="D19" s="90">
        <f>B19/B7-1</f>
        <v>0.10517942189854446</v>
      </c>
      <c r="E19" s="78">
        <f>I19/22</f>
        <v>131931.13636363635</v>
      </c>
      <c r="F19" s="90">
        <f t="shared" si="1"/>
        <v>-0.20873712483927265</v>
      </c>
      <c r="G19" s="90">
        <f t="shared" si="2"/>
        <v>7.3408582653257781E-2</v>
      </c>
      <c r="H19" s="129" t="s">
        <v>115</v>
      </c>
      <c r="I19" s="116">
        <v>2902485</v>
      </c>
      <c r="J19" s="116"/>
      <c r="K19" s="116">
        <v>568478.48</v>
      </c>
      <c r="L19" s="130">
        <f t="shared" si="0"/>
        <v>5.1057077833447631</v>
      </c>
      <c r="M19" s="85">
        <f>I17+I18+I19</f>
        <v>7805715</v>
      </c>
      <c r="N19" s="78">
        <f>J17+J18+J19</f>
        <v>0</v>
      </c>
      <c r="O19" s="87">
        <f>M19/M16-1</f>
        <v>-1.5453504525724138E-2</v>
      </c>
      <c r="P19" s="87">
        <f>M19/M7-1</f>
        <v>0.15338616013148432</v>
      </c>
      <c r="Q19" s="88">
        <f>AVERAGE(L17:L19)</f>
        <v>5.0270671885422802</v>
      </c>
      <c r="R19" s="89">
        <f>Q19/Q16-1</f>
        <v>9.5538729240096432E-2</v>
      </c>
    </row>
    <row r="20" spans="1:18">
      <c r="A20" s="131"/>
      <c r="B20" s="131"/>
      <c r="C20" s="90"/>
      <c r="D20" s="90"/>
      <c r="E20" s="78">
        <f>I20/20</f>
        <v>144455.6</v>
      </c>
      <c r="F20" s="90">
        <f t="shared" si="1"/>
        <v>9.4931825659736457E-2</v>
      </c>
      <c r="G20" s="90">
        <f t="shared" si="2"/>
        <v>3.2332751187998499E-2</v>
      </c>
      <c r="H20" s="129" t="s">
        <v>132</v>
      </c>
      <c r="I20" s="116">
        <v>2889112</v>
      </c>
      <c r="J20" s="116"/>
      <c r="K20" s="116">
        <v>583545.28</v>
      </c>
      <c r="L20" s="130">
        <f t="shared" si="0"/>
        <v>4.9509645592540821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130791.95238095238</v>
      </c>
      <c r="F21" s="90">
        <f t="shared" si="1"/>
        <v>-9.4587178475930456E-2</v>
      </c>
      <c r="G21" s="90">
        <f t="shared" si="2"/>
        <v>-0.1299969338328737</v>
      </c>
      <c r="H21" s="129" t="s">
        <v>141</v>
      </c>
      <c r="I21" s="116">
        <v>2746631</v>
      </c>
      <c r="J21" s="116"/>
      <c r="K21" s="116">
        <v>552355.80000000005</v>
      </c>
      <c r="L21" s="130">
        <f t="shared" si="0"/>
        <v>4.9725756477980312</v>
      </c>
      <c r="M21" s="78"/>
      <c r="N21" s="78"/>
      <c r="O21" s="87"/>
      <c r="P21" s="87"/>
      <c r="Q21" s="79"/>
      <c r="R21" s="89"/>
    </row>
    <row r="22" spans="1:18">
      <c r="A22" s="131">
        <f>SUM(E20:E22)</f>
        <v>418023.93333333335</v>
      </c>
      <c r="B22" s="131">
        <f>AVERAGE(E20:E22)</f>
        <v>139341.31111111111</v>
      </c>
      <c r="C22" s="90">
        <f>B22/B19-1</f>
        <v>0.10854440798527354</v>
      </c>
      <c r="D22" s="90">
        <f>B22/B10-1</f>
        <v>2.2964953943012123E-3</v>
      </c>
      <c r="E22" s="78">
        <f>I22/21</f>
        <v>142776.38095238095</v>
      </c>
      <c r="F22" s="90">
        <f t="shared" si="1"/>
        <v>9.1629709269283044E-2</v>
      </c>
      <c r="G22" s="90">
        <f t="shared" si="2"/>
        <v>0.12599796379521222</v>
      </c>
      <c r="H22" s="129" t="s">
        <v>155</v>
      </c>
      <c r="I22" s="116">
        <v>2998304</v>
      </c>
      <c r="J22" s="116"/>
      <c r="K22" s="116">
        <v>654633.80000000005</v>
      </c>
      <c r="L22" s="130">
        <f t="shared" si="0"/>
        <v>4.5801240327034742</v>
      </c>
      <c r="M22" s="85">
        <f>I20+I21+I22</f>
        <v>8634047</v>
      </c>
      <c r="N22" s="78">
        <f>J20+J21+J22</f>
        <v>0</v>
      </c>
      <c r="O22" s="87">
        <f>M22/M19-1</f>
        <v>0.10611865793204078</v>
      </c>
      <c r="P22" s="87">
        <f>M22/M10-1</f>
        <v>-1.4196903106267644E-2</v>
      </c>
      <c r="Q22" s="88">
        <f>AVERAGE(L20:L22)</f>
        <v>4.8345547465851952</v>
      </c>
      <c r="R22" s="89">
        <f>Q22/Q19-1</f>
        <v>-3.8295179820922343E-2</v>
      </c>
    </row>
    <row r="23" spans="1:18">
      <c r="A23" s="131"/>
      <c r="B23" s="131"/>
      <c r="C23" s="117"/>
      <c r="D23" s="117"/>
      <c r="E23" s="78">
        <f>I23/21</f>
        <v>145488.19047619047</v>
      </c>
      <c r="F23" s="90">
        <f t="shared" si="1"/>
        <v>1.8993404271214764E-2</v>
      </c>
      <c r="G23" s="90">
        <f t="shared" si="2"/>
        <v>4.0720316625387554E-2</v>
      </c>
      <c r="H23" s="129" t="s">
        <v>189</v>
      </c>
      <c r="I23" s="116">
        <v>3055252</v>
      </c>
      <c r="J23" s="116"/>
      <c r="K23" s="116">
        <v>625536.07999999996</v>
      </c>
      <c r="L23" s="130">
        <f t="shared" si="0"/>
        <v>4.8842138730031373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158587.68181818182</v>
      </c>
      <c r="F24" s="90">
        <f t="shared" si="1"/>
        <v>9.003817628850852E-2</v>
      </c>
      <c r="G24" s="90">
        <f t="shared" si="2"/>
        <v>0.11173604828901018</v>
      </c>
      <c r="H24" s="129" t="s">
        <v>204</v>
      </c>
      <c r="I24" s="116">
        <v>3488929</v>
      </c>
      <c r="J24" s="116"/>
      <c r="K24" s="116">
        <v>771126.42</v>
      </c>
      <c r="L24" s="130">
        <f t="shared" si="0"/>
        <v>4.5244578703450467</v>
      </c>
      <c r="M24" s="78"/>
      <c r="N24" s="78"/>
      <c r="O24" s="87"/>
      <c r="P24" s="87"/>
      <c r="Q24" s="79"/>
      <c r="R24" s="89"/>
    </row>
    <row r="25" spans="1:18">
      <c r="A25" s="131">
        <f>SUM(E23:E25)</f>
        <v>457240.55650489859</v>
      </c>
      <c r="B25" s="131">
        <f>AVERAGE(E23:E25)</f>
        <v>152413.51883496621</v>
      </c>
      <c r="C25" s="90">
        <f>B25/B22-1</f>
        <v>9.3814301154603763E-2</v>
      </c>
      <c r="D25" s="90">
        <f>B25/B13-1</f>
        <v>0.11445855680784245</v>
      </c>
      <c r="E25" s="78">
        <f>I25/19</f>
        <v>153164.68421052632</v>
      </c>
      <c r="F25" s="90">
        <f t="shared" si="1"/>
        <v>-3.4195579035406265E-2</v>
      </c>
      <c r="G25" s="90">
        <f t="shared" si="2"/>
        <v>0.19813326760223693</v>
      </c>
      <c r="H25" s="129" t="s">
        <v>217</v>
      </c>
      <c r="I25" s="116">
        <v>2910129</v>
      </c>
      <c r="J25" s="116"/>
      <c r="K25" s="116">
        <v>587937.68999999994</v>
      </c>
      <c r="L25" s="130">
        <f t="shared" si="0"/>
        <v>4.9497234987605578</v>
      </c>
      <c r="M25" s="85">
        <f>I23+I24+I25</f>
        <v>9454310</v>
      </c>
      <c r="N25" s="78">
        <f>J23+J24+J25</f>
        <v>0</v>
      </c>
      <c r="O25" s="90">
        <f>M25/M22-1</f>
        <v>9.5003304939155431E-2</v>
      </c>
      <c r="P25" s="90">
        <f>M25/M13-1</f>
        <v>9.5427695221083964E-2</v>
      </c>
      <c r="Q25" s="88">
        <f>AVERAGE(L23:L25)</f>
        <v>4.7861317473695806</v>
      </c>
      <c r="R25" s="91">
        <f>Q25/Q22-1</f>
        <v>-1.0016020451483643E-2</v>
      </c>
    </row>
    <row r="26" spans="1:18">
      <c r="A26" s="131"/>
      <c r="B26" s="131"/>
      <c r="C26" s="132"/>
      <c r="D26" s="132"/>
      <c r="E26" s="78">
        <f>I26/19</f>
        <v>143883.26315789475</v>
      </c>
      <c r="F26" s="90">
        <f t="shared" si="1"/>
        <v>-6.0597657354708234E-2</v>
      </c>
      <c r="G26" s="90">
        <f t="shared" si="2"/>
        <v>2.1278373017900254E-2</v>
      </c>
      <c r="H26" s="129" t="s">
        <v>312</v>
      </c>
      <c r="I26" s="116">
        <v>2733782</v>
      </c>
      <c r="J26" s="116"/>
      <c r="K26" s="116">
        <v>570356.9</v>
      </c>
      <c r="L26" s="130">
        <f t="shared" si="0"/>
        <v>4.7931076138466979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122619.86363636363</v>
      </c>
      <c r="F27" s="90">
        <f t="shared" si="1"/>
        <v>-0.14778229972583445</v>
      </c>
      <c r="G27" s="90">
        <f t="shared" si="2"/>
        <v>-1.5822292982941355E-2</v>
      </c>
      <c r="H27" s="129" t="s">
        <v>373</v>
      </c>
      <c r="I27" s="116">
        <v>2697637</v>
      </c>
      <c r="J27" s="116"/>
      <c r="K27" s="116">
        <v>557423.02</v>
      </c>
      <c r="L27" s="130">
        <f t="shared" si="0"/>
        <v>4.8394790010645776</v>
      </c>
      <c r="M27" s="78"/>
      <c r="N27" s="78"/>
      <c r="O27" s="90"/>
      <c r="P27" s="90"/>
      <c r="Q27" s="79"/>
      <c r="R27" s="79"/>
    </row>
    <row r="28" spans="1:18">
      <c r="A28" s="131">
        <f>SUM(E26:E28)</f>
        <v>383592.70574162679</v>
      </c>
      <c r="B28" s="131">
        <f>AVERAGE(E26:E28)</f>
        <v>127864.23524720893</v>
      </c>
      <c r="C28" s="90">
        <f>B28/B25-1</f>
        <v>-0.16107025003693609</v>
      </c>
      <c r="D28" s="90">
        <f>B28/B16-1</f>
        <v>2.7897014570087419E-2</v>
      </c>
      <c r="E28" s="78">
        <f>I28/19</f>
        <v>117089.57894736843</v>
      </c>
      <c r="F28" s="90">
        <f t="shared" si="1"/>
        <v>-4.5101050718793667E-2</v>
      </c>
      <c r="G28" s="90">
        <f t="shared" si="2"/>
        <v>8.7128120450650659E-2</v>
      </c>
      <c r="H28" s="129" t="s">
        <v>413</v>
      </c>
      <c r="I28" s="116">
        <v>2224702</v>
      </c>
      <c r="J28" s="116"/>
      <c r="K28" s="116">
        <v>538122.69999999995</v>
      </c>
      <c r="L28" s="130">
        <f t="shared" si="0"/>
        <v>4.1341909568208148</v>
      </c>
      <c r="M28" s="85">
        <f>I26+I27+I28</f>
        <v>7656121</v>
      </c>
      <c r="N28" s="78">
        <f>J26+J27+J28</f>
        <v>0</v>
      </c>
      <c r="O28" s="90">
        <f>M28/M25-1</f>
        <v>-0.190197803964541</v>
      </c>
      <c r="P28" s="90">
        <f>M28/M16-1</f>
        <v>-3.4322019254224845E-2</v>
      </c>
      <c r="Q28" s="88">
        <f>AVERAGE(L26:L28)</f>
        <v>4.5889258572440301</v>
      </c>
      <c r="R28" s="91">
        <f>Q28/Q25-1</f>
        <v>-4.1203606698443473E-2</v>
      </c>
    </row>
    <row r="29" spans="1:18">
      <c r="A29" s="131"/>
      <c r="B29" s="131"/>
      <c r="C29" s="132"/>
      <c r="D29" s="132"/>
      <c r="E29" s="78">
        <f>I29/22</f>
        <v>112553.36363636363</v>
      </c>
      <c r="F29" s="90">
        <f t="shared" si="1"/>
        <v>-3.8741409370374624E-2</v>
      </c>
      <c r="G29" s="90">
        <f t="shared" si="2"/>
        <v>0.43514271479783173</v>
      </c>
      <c r="H29" s="129" t="s">
        <v>426</v>
      </c>
      <c r="I29" s="116">
        <v>2476174</v>
      </c>
      <c r="J29" s="116">
        <v>3259725861</v>
      </c>
      <c r="K29" s="116">
        <v>567877.44999999995</v>
      </c>
      <c r="L29" s="130">
        <f t="shared" si="0"/>
        <v>4.3604020550560696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127607.26315789473</v>
      </c>
      <c r="F30" s="90">
        <f t="shared" si="1"/>
        <v>0.13374899723270017</v>
      </c>
      <c r="G30" s="90">
        <f t="shared" si="2"/>
        <v>-0.23466974725810408</v>
      </c>
      <c r="H30" s="129" t="s">
        <v>466</v>
      </c>
      <c r="I30" s="116">
        <v>2424538</v>
      </c>
      <c r="J30" s="116">
        <v>3230416751</v>
      </c>
      <c r="K30" s="116">
        <v>559527.67000000004</v>
      </c>
      <c r="L30" s="130">
        <f t="shared" si="0"/>
        <v>4.3331869539177568</v>
      </c>
      <c r="M30" s="85"/>
      <c r="N30" s="78"/>
      <c r="O30" s="90"/>
      <c r="P30" s="90"/>
      <c r="Q30" s="88"/>
      <c r="R30" s="91"/>
    </row>
    <row r="31" spans="1:18">
      <c r="A31" s="131">
        <f>SUM(E29:E31)</f>
        <v>399684.77679425839</v>
      </c>
      <c r="B31" s="131">
        <f>AVERAGE(E29:E31)</f>
        <v>133228.25893141946</v>
      </c>
      <c r="C31" s="90">
        <f>B31/B28-1</f>
        <v>4.1950930796558428E-2</v>
      </c>
      <c r="D31" s="90">
        <f>B31/B19-1</f>
        <v>5.9911380525702107E-2</v>
      </c>
      <c r="E31" s="78">
        <f>I31/20</f>
        <v>159524.15</v>
      </c>
      <c r="F31" s="90">
        <f t="shared" si="1"/>
        <v>0.25011810497505094</v>
      </c>
      <c r="G31" s="90">
        <f t="shared" si="2"/>
        <v>0.20914709292209954</v>
      </c>
      <c r="H31" s="129" t="s">
        <v>505</v>
      </c>
      <c r="I31" s="116">
        <v>3190483</v>
      </c>
      <c r="J31" s="116">
        <v>4237687131</v>
      </c>
      <c r="K31" s="116">
        <v>713986.48</v>
      </c>
      <c r="L31" s="130">
        <f t="shared" si="0"/>
        <v>4.4685481999603134</v>
      </c>
      <c r="M31" s="85">
        <f>I29+I30+I31</f>
        <v>8091195</v>
      </c>
      <c r="N31" s="78">
        <f>J29+J30+J31</f>
        <v>10727829743</v>
      </c>
      <c r="O31" s="90">
        <f>M31/M28-1</f>
        <v>5.6826949312843933E-2</v>
      </c>
      <c r="P31" s="90">
        <f>M31/M19-1</f>
        <v>3.6573203095424223E-2</v>
      </c>
      <c r="Q31" s="88">
        <f>AVERAGE(L29:L31)</f>
        <v>4.3873790696447132</v>
      </c>
      <c r="R31" s="91">
        <f>Q31/Q28-1</f>
        <v>-4.3920253643051854E-2</v>
      </c>
    </row>
    <row r="32" spans="1:18">
      <c r="A32" s="131"/>
      <c r="B32" s="131"/>
      <c r="C32" s="90"/>
      <c r="D32" s="90"/>
      <c r="E32" s="78">
        <f>I32/21</f>
        <v>139849.52380952382</v>
      </c>
      <c r="F32" s="90">
        <f t="shared" si="1"/>
        <v>-0.12333321437836331</v>
      </c>
      <c r="G32" s="90">
        <f t="shared" si="2"/>
        <v>-3.188575721866227E-2</v>
      </c>
      <c r="H32" s="129" t="s">
        <v>561</v>
      </c>
      <c r="I32" s="116">
        <v>2936840</v>
      </c>
      <c r="J32" s="116">
        <v>4006033662</v>
      </c>
      <c r="K32" s="116">
        <v>700435.96</v>
      </c>
      <c r="L32" s="130">
        <f t="shared" si="0"/>
        <v>4.1928743921143061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139139.28571428571</v>
      </c>
      <c r="F33" s="90">
        <f t="shared" si="1"/>
        <v>-5.0785878699555198E-3</v>
      </c>
      <c r="G33" s="90">
        <f t="shared" si="2"/>
        <v>6.3821459817499981E-2</v>
      </c>
      <c r="H33" s="129" t="s">
        <v>606</v>
      </c>
      <c r="I33" s="116">
        <v>2921925</v>
      </c>
      <c r="J33" s="116">
        <v>3996540624</v>
      </c>
      <c r="K33" s="116">
        <v>653150.25</v>
      </c>
      <c r="L33" s="130">
        <f t="shared" si="0"/>
        <v>4.4735878153610136</v>
      </c>
      <c r="M33" s="85"/>
      <c r="N33" s="78"/>
      <c r="O33" s="90"/>
      <c r="P33" s="90"/>
      <c r="Q33" s="88"/>
      <c r="R33" s="91"/>
    </row>
    <row r="34" spans="1:18">
      <c r="A34" s="131">
        <f>SUM(E32:E34)</f>
        <v>442670.33583959902</v>
      </c>
      <c r="B34" s="131">
        <f>AVERAGE(E32:E34)</f>
        <v>147556.77861319968</v>
      </c>
      <c r="C34" s="90">
        <f>B34/B31-1</f>
        <v>0.10754865219064347</v>
      </c>
      <c r="D34" s="90">
        <f>B34/B22-1</f>
        <v>5.8959309601569254E-2</v>
      </c>
      <c r="E34" s="78">
        <f>I34/19</f>
        <v>163681.52631578947</v>
      </c>
      <c r="F34" s="90">
        <f t="shared" si="1"/>
        <v>0.17638613333045128</v>
      </c>
      <c r="G34" s="90">
        <f t="shared" si="2"/>
        <v>0.14641879296815086</v>
      </c>
      <c r="H34" s="129" t="s">
        <v>652</v>
      </c>
      <c r="I34" s="116">
        <v>3109949</v>
      </c>
      <c r="J34" s="116">
        <v>4275218504</v>
      </c>
      <c r="K34" s="116">
        <v>738661.04</v>
      </c>
      <c r="L34" s="130">
        <f t="shared" si="0"/>
        <v>4.210251836214348</v>
      </c>
      <c r="M34" s="85">
        <f>I32+I33+I34</f>
        <v>8968714</v>
      </c>
      <c r="N34" s="78">
        <f>J32+J33+J34</f>
        <v>12277792790</v>
      </c>
      <c r="O34" s="90">
        <f>M34/M31-1</f>
        <v>0.10845357206197592</v>
      </c>
      <c r="P34" s="90">
        <f>M34/M22-1</f>
        <v>3.876131320573073E-2</v>
      </c>
      <c r="Q34" s="88">
        <f>AVERAGE(L32:L34)</f>
        <v>4.292238014563222</v>
      </c>
      <c r="R34" s="91">
        <f>Q34/Q31-1</f>
        <v>-2.1685168655644738E-2</v>
      </c>
    </row>
    <row r="35" spans="1:18">
      <c r="A35" s="131"/>
      <c r="B35" s="131"/>
      <c r="C35" s="90"/>
      <c r="D35" s="90"/>
      <c r="E35" s="78">
        <f>I35/23</f>
        <v>141138.52173913043</v>
      </c>
      <c r="F35" s="90">
        <f t="shared" ref="F35" si="3">E35/E34-1</f>
        <v>-0.13772479450837349</v>
      </c>
      <c r="G35" s="90">
        <f t="shared" ref="G35" si="4">E35/E23-1</f>
        <v>-2.9897057093248192E-2</v>
      </c>
      <c r="H35" s="129" t="s">
        <v>660</v>
      </c>
      <c r="I35" s="116">
        <v>3246186</v>
      </c>
      <c r="J35" s="116">
        <v>4493516651</v>
      </c>
      <c r="K35" s="116">
        <v>747980.08</v>
      </c>
      <c r="L35" s="130">
        <f t="shared" ref="L35" si="5">I35/K35</f>
        <v>4.3399364325317329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98988.095238095237</v>
      </c>
      <c r="F36" s="90">
        <f t="shared" ref="F36" si="6">E36/E35-1</f>
        <v>-0.2986457983380526</v>
      </c>
      <c r="G36" s="90">
        <f t="shared" ref="G36" si="7">E36/E24-1</f>
        <v>-0.37581472846306274</v>
      </c>
      <c r="H36" s="129" t="s">
        <v>664</v>
      </c>
      <c r="I36" s="116">
        <v>2078750</v>
      </c>
      <c r="J36" s="116">
        <v>2835245862</v>
      </c>
      <c r="K36" s="116">
        <v>460811.25</v>
      </c>
      <c r="L36" s="130">
        <f t="shared" ref="L36" si="8">I36/K36</f>
        <v>4.5110660818285142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402814.50586611452</v>
      </c>
      <c r="B37" s="131">
        <f>AVERAGE(E35:E37)</f>
        <v>134271.5019553715</v>
      </c>
      <c r="C37" s="90">
        <f>B37/B34-1</f>
        <v>-9.0035014200559149E-2</v>
      </c>
      <c r="D37" s="90">
        <f>B37/B25-1</f>
        <v>-0.11903154666508908</v>
      </c>
      <c r="E37" s="78">
        <f>I37/18</f>
        <v>162687.88888888888</v>
      </c>
      <c r="F37" s="90">
        <f t="shared" ref="F37" si="9">E37/E36-1</f>
        <v>0.64350964121066334</v>
      </c>
      <c r="G37" s="90">
        <f t="shared" ref="G37" si="10">E37/E25-1</f>
        <v>6.2176243351717009E-2</v>
      </c>
      <c r="H37" s="129" t="s">
        <v>704</v>
      </c>
      <c r="I37" s="116">
        <v>2928382</v>
      </c>
      <c r="J37" s="116">
        <v>3907845858</v>
      </c>
      <c r="K37" s="116">
        <v>669711.79</v>
      </c>
      <c r="L37" s="130">
        <f t="shared" ref="L37" si="11">I37/K37</f>
        <v>4.3726003390204609</v>
      </c>
      <c r="M37" s="85">
        <f>I35+I36+I37</f>
        <v>8253318</v>
      </c>
      <c r="N37" s="78">
        <f>J35+J36+J37</f>
        <v>11236608371</v>
      </c>
      <c r="O37" s="90">
        <f>M37/M34-1</f>
        <v>-7.9765727840134026E-2</v>
      </c>
      <c r="P37" s="90">
        <f>M37/M25-1</f>
        <v>-0.12703116356455413</v>
      </c>
      <c r="Q37" s="88">
        <f>AVERAGE(L35:L37)</f>
        <v>4.4078676177935696</v>
      </c>
      <c r="R37" s="91">
        <f>Q37/Q34-1</f>
        <v>2.6939233760575609E-2</v>
      </c>
    </row>
    <row r="38" spans="1:18">
      <c r="A38" s="131"/>
      <c r="B38" s="131"/>
      <c r="C38" s="90"/>
      <c r="D38" s="90"/>
      <c r="E38" s="143">
        <f>I38/20</f>
        <v>100177.35</v>
      </c>
      <c r="F38" s="109">
        <f t="shared" ref="F38" si="12">E38/E37-1</f>
        <v>-0.38423597058034087</v>
      </c>
      <c r="G38" s="109">
        <f t="shared" ref="G38" si="13">E38/E26-1</f>
        <v>-0.30375953532505517</v>
      </c>
      <c r="H38" s="144" t="s">
        <v>726</v>
      </c>
      <c r="I38" s="145">
        <v>2003547</v>
      </c>
      <c r="J38" s="145">
        <v>2692602914</v>
      </c>
      <c r="K38" s="145">
        <v>466349.33</v>
      </c>
      <c r="L38" s="146">
        <f t="shared" ref="L38" si="14">I38/K38</f>
        <v>4.2962364714880152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89856</v>
      </c>
      <c r="F39" s="109">
        <f t="shared" ref="F39" si="15">E39/E38-1</f>
        <v>-0.10303077492067825</v>
      </c>
      <c r="G39" s="109">
        <f t="shared" ref="G39" si="16">E39/E27-1</f>
        <v>-0.26719866312628415</v>
      </c>
      <c r="H39" s="144" t="s">
        <v>762</v>
      </c>
      <c r="I39" s="145">
        <v>539136</v>
      </c>
      <c r="J39" s="145">
        <v>744819262</v>
      </c>
      <c r="K39" s="145">
        <v>111033.54</v>
      </c>
      <c r="L39" s="146">
        <f t="shared" ref="L39" si="17">I39/K39</f>
        <v>4.8556138982869506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95016.675000000003</v>
      </c>
      <c r="C40" s="90">
        <f>B40/B37-1</f>
        <v>-0.29235412119258797</v>
      </c>
      <c r="D40" s="90">
        <f>B40/B28-1</f>
        <v>-0.25689404221362155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2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9"/>
  <sheetViews>
    <sheetView zoomScale="85" zoomScaleNormal="85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657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2005991000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667100</v>
      </c>
      <c r="F5" s="90"/>
      <c r="G5" s="90"/>
      <c r="H5" s="129" t="s">
        <v>0</v>
      </c>
      <c r="I5" s="116">
        <v>13342000</v>
      </c>
      <c r="J5" s="116"/>
      <c r="K5" s="116">
        <v>3680443.12</v>
      </c>
      <c r="L5" s="130">
        <f t="shared" ref="L5:L34" si="0">I5/K5</f>
        <v>3.6251069680979064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688177.27777777775</v>
      </c>
      <c r="F6" s="90">
        <f t="shared" ref="F6:F34" si="1">E6/E5-1</f>
        <v>3.159537966988113E-2</v>
      </c>
      <c r="G6" s="90"/>
      <c r="H6" s="129" t="s">
        <v>1</v>
      </c>
      <c r="I6" s="116">
        <v>12387191</v>
      </c>
      <c r="J6" s="116"/>
      <c r="K6" s="116">
        <v>3561708.93</v>
      </c>
      <c r="L6" s="130">
        <f t="shared" si="0"/>
        <v>3.4778785250146758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1976555.505050505</v>
      </c>
      <c r="B7" s="131">
        <f>AVERAGE(E5:E7)</f>
        <v>658851.83501683502</v>
      </c>
      <c r="C7" s="117"/>
      <c r="D7" s="117"/>
      <c r="E7" s="78">
        <f>I7/22</f>
        <v>621278.22727272729</v>
      </c>
      <c r="F7" s="90">
        <f t="shared" si="1"/>
        <v>-9.7211943296176551E-2</v>
      </c>
      <c r="G7" s="90"/>
      <c r="H7" s="129" t="s">
        <v>2</v>
      </c>
      <c r="I7" s="116">
        <v>13668121</v>
      </c>
      <c r="J7" s="116"/>
      <c r="K7" s="116">
        <v>3863790.73</v>
      </c>
      <c r="L7" s="130">
        <f t="shared" si="0"/>
        <v>3.5374899820208432</v>
      </c>
      <c r="M7" s="85">
        <f>I5+I6+I7</f>
        <v>39397312</v>
      </c>
      <c r="N7" s="85">
        <f>J5+J6+J7</f>
        <v>0</v>
      </c>
      <c r="O7" s="87"/>
      <c r="P7" s="87"/>
      <c r="Q7" s="88">
        <f>AVERAGE(L5:L7)</f>
        <v>3.5468251583778083</v>
      </c>
      <c r="R7" s="79"/>
    </row>
    <row r="8" spans="1:18" ht="15" hidden="1" customHeight="1">
      <c r="A8" s="79"/>
      <c r="B8" s="79"/>
      <c r="C8" s="117"/>
      <c r="D8" s="117"/>
      <c r="E8" s="78">
        <f>I8/21</f>
        <v>644284.04761904757</v>
      </c>
      <c r="F8" s="90">
        <f t="shared" si="1"/>
        <v>3.7029819067232905E-2</v>
      </c>
      <c r="G8" s="90"/>
      <c r="H8" s="129" t="s">
        <v>3</v>
      </c>
      <c r="I8" s="116">
        <v>13529965</v>
      </c>
      <c r="J8" s="116"/>
      <c r="K8" s="116">
        <v>3973172.78</v>
      </c>
      <c r="L8" s="130">
        <f t="shared" si="0"/>
        <v>3.4053301351772576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598954</v>
      </c>
      <c r="F9" s="90">
        <f t="shared" si="1"/>
        <v>-7.0357240391974329E-2</v>
      </c>
      <c r="G9" s="90"/>
      <c r="H9" s="129" t="s">
        <v>4</v>
      </c>
      <c r="I9" s="116">
        <v>12578034</v>
      </c>
      <c r="J9" s="116"/>
      <c r="K9" s="116">
        <v>3747472.36</v>
      </c>
      <c r="L9" s="130">
        <f t="shared" si="0"/>
        <v>3.3564047421019541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1784859.6666666665</v>
      </c>
      <c r="B10" s="131">
        <f>AVERAGE(E8:E10)</f>
        <v>594953.22222222213</v>
      </c>
      <c r="C10" s="90">
        <f>B10/B7-1</f>
        <v>-9.6984799007170053E-2</v>
      </c>
      <c r="D10" s="90"/>
      <c r="E10" s="78">
        <f>I10/21</f>
        <v>541621.61904761905</v>
      </c>
      <c r="F10" s="90">
        <f t="shared" si="1"/>
        <v>-9.5720841587803029E-2</v>
      </c>
      <c r="G10" s="90"/>
      <c r="H10" s="129" t="s">
        <v>5</v>
      </c>
      <c r="I10" s="116">
        <v>11374054</v>
      </c>
      <c r="J10" s="116"/>
      <c r="K10" s="116">
        <v>3358294.2</v>
      </c>
      <c r="L10" s="130">
        <f t="shared" si="0"/>
        <v>3.386854552528483</v>
      </c>
      <c r="M10" s="85">
        <f>I8+I9+I10</f>
        <v>37482053</v>
      </c>
      <c r="N10" s="85">
        <f>J8+J9+J10</f>
        <v>0</v>
      </c>
      <c r="O10" s="87">
        <f>M10/M7-1</f>
        <v>-4.8613951124381272E-2</v>
      </c>
      <c r="P10" s="87"/>
      <c r="Q10" s="88">
        <f>AVERAGE(L8:L10)</f>
        <v>3.3828631432692315</v>
      </c>
      <c r="R10" s="89">
        <f>Q10/Q7-1</f>
        <v>-4.622782567144279E-2</v>
      </c>
    </row>
    <row r="11" spans="1:18" ht="15" hidden="1" customHeight="1">
      <c r="A11" s="79"/>
      <c r="B11" s="79"/>
      <c r="C11" s="117"/>
      <c r="D11" s="117"/>
      <c r="E11" s="78">
        <f>I11/21</f>
        <v>517645.38095238095</v>
      </c>
      <c r="F11" s="90">
        <f t="shared" si="1"/>
        <v>-4.4267505675636865E-2</v>
      </c>
      <c r="G11" s="90"/>
      <c r="H11" s="129" t="s">
        <v>6</v>
      </c>
      <c r="I11" s="116">
        <v>10870553</v>
      </c>
      <c r="J11" s="116"/>
      <c r="K11" s="116">
        <v>3265552.15</v>
      </c>
      <c r="L11" s="130">
        <f t="shared" si="0"/>
        <v>3.3288560404708285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511051.81818181818</v>
      </c>
      <c r="F12" s="90">
        <f t="shared" si="1"/>
        <v>-1.273760573006899E-2</v>
      </c>
      <c r="G12" s="90"/>
      <c r="H12" s="129" t="s">
        <v>7</v>
      </c>
      <c r="I12" s="116">
        <v>11243140</v>
      </c>
      <c r="J12" s="116"/>
      <c r="K12" s="116">
        <v>3318451.05</v>
      </c>
      <c r="L12" s="130">
        <f t="shared" si="0"/>
        <v>3.3880686593222462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1454287.299134199</v>
      </c>
      <c r="B13" s="131">
        <f>AVERAGE(E11:E13)</f>
        <v>484762.43304473301</v>
      </c>
      <c r="C13" s="90">
        <f>B13/B10-1</f>
        <v>-0.18520916445483426</v>
      </c>
      <c r="D13" s="90"/>
      <c r="E13" s="78">
        <f>I13/20</f>
        <v>425590.1</v>
      </c>
      <c r="F13" s="90">
        <f t="shared" si="1"/>
        <v>-0.16722710915278116</v>
      </c>
      <c r="G13" s="90"/>
      <c r="H13" s="129" t="s">
        <v>96</v>
      </c>
      <c r="I13" s="116">
        <v>8511802</v>
      </c>
      <c r="J13" s="116"/>
      <c r="K13" s="116">
        <v>2537338.83</v>
      </c>
      <c r="L13" s="130">
        <f t="shared" si="0"/>
        <v>3.3546177985223991</v>
      </c>
      <c r="M13" s="85">
        <f>I11+I12+I13</f>
        <v>30625495</v>
      </c>
      <c r="N13" s="78">
        <f>J11+J12+J13</f>
        <v>0</v>
      </c>
      <c r="O13" s="87">
        <f>M13/M10-1</f>
        <v>-0.1829290940920445</v>
      </c>
      <c r="P13" s="87"/>
      <c r="Q13" s="88">
        <f>AVERAGE(L11:L13)</f>
        <v>3.3571808327718244</v>
      </c>
      <c r="R13" s="89">
        <f>Q13/Q10-1</f>
        <v>-7.5918857517207616E-3</v>
      </c>
    </row>
    <row r="14" spans="1:18" ht="15" hidden="1" customHeight="1">
      <c r="A14" s="79"/>
      <c r="B14" s="79"/>
      <c r="C14" s="117"/>
      <c r="D14" s="117"/>
      <c r="E14" s="78">
        <f>I14/20</f>
        <v>556464.05000000005</v>
      </c>
      <c r="F14" s="90">
        <f t="shared" si="1"/>
        <v>0.30751173488293104</v>
      </c>
      <c r="G14" s="90"/>
      <c r="H14" s="129" t="s">
        <v>97</v>
      </c>
      <c r="I14" s="116">
        <v>11129281</v>
      </c>
      <c r="J14" s="116"/>
      <c r="K14" s="116">
        <v>3314735.65</v>
      </c>
      <c r="L14" s="130">
        <f t="shared" si="0"/>
        <v>3.357516910888505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493869.36363636365</v>
      </c>
      <c r="F15" s="90">
        <f t="shared" si="1"/>
        <v>-0.11248648742652179</v>
      </c>
      <c r="G15" s="90"/>
      <c r="H15" s="129" t="s">
        <v>98</v>
      </c>
      <c r="I15" s="116">
        <v>10865126</v>
      </c>
      <c r="J15" s="116"/>
      <c r="K15" s="116">
        <v>3273605.61</v>
      </c>
      <c r="L15" s="130">
        <f t="shared" si="0"/>
        <v>3.3190088527493695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1564715.8681818182</v>
      </c>
      <c r="B16" s="131">
        <f>AVERAGE(E14:E16)</f>
        <v>521571.95606060605</v>
      </c>
      <c r="C16" s="90">
        <f>B16/B13-1</f>
        <v>7.5933117970130137E-2</v>
      </c>
      <c r="D16" s="90"/>
      <c r="E16" s="78">
        <f>I16/22</f>
        <v>514382.45454545453</v>
      </c>
      <c r="F16" s="90">
        <f t="shared" si="1"/>
        <v>4.1535459413908349E-2</v>
      </c>
      <c r="G16" s="90"/>
      <c r="H16" s="129" t="s">
        <v>99</v>
      </c>
      <c r="I16" s="116">
        <v>11316414</v>
      </c>
      <c r="J16" s="116"/>
      <c r="K16" s="116">
        <v>3223123.6</v>
      </c>
      <c r="L16" s="130">
        <f t="shared" si="0"/>
        <v>3.5110083895014141</v>
      </c>
      <c r="M16" s="85">
        <f>I14+I15+I16</f>
        <v>33310821</v>
      </c>
      <c r="N16" s="78">
        <f>J14+J15+J16</f>
        <v>0</v>
      </c>
      <c r="O16" s="87">
        <f>M16/M13-1</f>
        <v>8.7682697047019253E-2</v>
      </c>
      <c r="P16" s="87"/>
      <c r="Q16" s="88">
        <f>AVERAGE(L14:L16)</f>
        <v>3.3958447177130964</v>
      </c>
      <c r="R16" s="89">
        <f>Q16/Q13-1</f>
        <v>1.1516771620952326E-2</v>
      </c>
    </row>
    <row r="17" spans="1:18" ht="15" customHeight="1">
      <c r="A17" s="79"/>
      <c r="B17" s="79"/>
      <c r="C17" s="117"/>
      <c r="D17" s="117"/>
      <c r="E17" s="78">
        <f>I17/20</f>
        <v>591529.9</v>
      </c>
      <c r="F17" s="90">
        <f t="shared" si="1"/>
        <v>0.14998070943675268</v>
      </c>
      <c r="G17" s="90">
        <f t="shared" ref="G17:G34" si="2">E17/E5-1</f>
        <v>-0.11328151701394096</v>
      </c>
      <c r="H17" s="129" t="s">
        <v>100</v>
      </c>
      <c r="I17" s="116">
        <v>11830598</v>
      </c>
      <c r="J17" s="116"/>
      <c r="K17" s="116">
        <v>3307408.07</v>
      </c>
      <c r="L17" s="130">
        <f t="shared" si="0"/>
        <v>3.5769997985159421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669942.69999999995</v>
      </c>
      <c r="F18" s="90">
        <f t="shared" si="1"/>
        <v>0.13255931779610797</v>
      </c>
      <c r="G18" s="90">
        <f t="shared" si="2"/>
        <v>-2.6496919277340658E-2</v>
      </c>
      <c r="H18" s="129" t="s">
        <v>106</v>
      </c>
      <c r="I18" s="116">
        <v>13398854</v>
      </c>
      <c r="J18" s="116"/>
      <c r="K18" s="116">
        <v>3814380.23</v>
      </c>
      <c r="L18" s="130">
        <f t="shared" si="0"/>
        <v>3.5127211216696139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1927946.1</v>
      </c>
      <c r="B19" s="131">
        <f>AVERAGE(E17:E19)</f>
        <v>642648.70000000007</v>
      </c>
      <c r="C19" s="90">
        <f>B19/B16-1</f>
        <v>0.23213814035148217</v>
      </c>
      <c r="D19" s="90">
        <f>B19/B7-1</f>
        <v>-2.4592987612185868E-2</v>
      </c>
      <c r="E19" s="78">
        <f>I19/22</f>
        <v>666473.5</v>
      </c>
      <c r="F19" s="90">
        <f t="shared" si="1"/>
        <v>-5.1783533129026171E-3</v>
      </c>
      <c r="G19" s="90">
        <f t="shared" si="2"/>
        <v>7.2745624654625196E-2</v>
      </c>
      <c r="H19" s="129" t="s">
        <v>115</v>
      </c>
      <c r="I19" s="116">
        <v>14662417</v>
      </c>
      <c r="J19" s="116"/>
      <c r="K19" s="116">
        <v>4118844.91</v>
      </c>
      <c r="L19" s="130">
        <f t="shared" si="0"/>
        <v>3.5598371194801794</v>
      </c>
      <c r="M19" s="85">
        <f>I17+I18+I19</f>
        <v>39891869</v>
      </c>
      <c r="N19" s="78">
        <f>J17+J18+J19</f>
        <v>0</v>
      </c>
      <c r="O19" s="87">
        <f>M19/M16-1</f>
        <v>0.19756486938583717</v>
      </c>
      <c r="P19" s="87">
        <f>M19/M7-1</f>
        <v>1.2553064533945779E-2</v>
      </c>
      <c r="Q19" s="88">
        <f>AVERAGE(L17:L19)</f>
        <v>3.5498526798885783</v>
      </c>
      <c r="R19" s="89">
        <f>Q19/Q16-1</f>
        <v>4.5351885901071975E-2</v>
      </c>
    </row>
    <row r="20" spans="1:18">
      <c r="A20" s="131"/>
      <c r="B20" s="131"/>
      <c r="C20" s="90"/>
      <c r="D20" s="90"/>
      <c r="E20" s="78">
        <f>I20/20</f>
        <v>686418.7</v>
      </c>
      <c r="F20" s="90">
        <f t="shared" si="1"/>
        <v>2.992647119502867E-2</v>
      </c>
      <c r="G20" s="90">
        <f t="shared" si="2"/>
        <v>6.5397634066311383E-2</v>
      </c>
      <c r="H20" s="129" t="s">
        <v>132</v>
      </c>
      <c r="I20" s="116">
        <v>13728374</v>
      </c>
      <c r="J20" s="116"/>
      <c r="K20" s="116">
        <v>3856452.67</v>
      </c>
      <c r="L20" s="130">
        <f t="shared" si="0"/>
        <v>3.5598450635205126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611119.28571428568</v>
      </c>
      <c r="F21" s="90">
        <f t="shared" si="1"/>
        <v>-0.10969895529611051</v>
      </c>
      <c r="G21" s="90">
        <f t="shared" si="2"/>
        <v>2.0310884833035114E-2</v>
      </c>
      <c r="H21" s="129" t="s">
        <v>141</v>
      </c>
      <c r="I21" s="116">
        <v>12833505</v>
      </c>
      <c r="J21" s="116"/>
      <c r="K21" s="116">
        <v>3680899.65</v>
      </c>
      <c r="L21" s="130">
        <f t="shared" si="0"/>
        <v>3.4865131408839143</v>
      </c>
      <c r="M21" s="78"/>
      <c r="N21" s="78"/>
      <c r="O21" s="87"/>
      <c r="P21" s="87"/>
      <c r="Q21" s="79"/>
      <c r="R21" s="89"/>
    </row>
    <row r="22" spans="1:18">
      <c r="A22" s="131">
        <f>SUM(E20:E22)</f>
        <v>1968414.7952380951</v>
      </c>
      <c r="B22" s="131">
        <f>AVERAGE(E20:E22)</f>
        <v>656138.265079365</v>
      </c>
      <c r="C22" s="90">
        <f>B22/B19-1</f>
        <v>2.0990573978232563E-2</v>
      </c>
      <c r="D22" s="90">
        <f>B22/B10-1</f>
        <v>0.10284008989582305</v>
      </c>
      <c r="E22" s="78">
        <f>I22/21</f>
        <v>670876.80952380947</v>
      </c>
      <c r="F22" s="90">
        <f t="shared" si="1"/>
        <v>9.7783730944897673E-2</v>
      </c>
      <c r="G22" s="90">
        <f t="shared" si="2"/>
        <v>0.23864481388957692</v>
      </c>
      <c r="H22" s="129" t="s">
        <v>155</v>
      </c>
      <c r="I22" s="116">
        <v>14088413</v>
      </c>
      <c r="J22" s="116"/>
      <c r="K22" s="116">
        <v>4064587.34</v>
      </c>
      <c r="L22" s="130">
        <f t="shared" si="0"/>
        <v>3.4661361219513123</v>
      </c>
      <c r="M22" s="85">
        <f>I20+I21+I22</f>
        <v>40650292</v>
      </c>
      <c r="N22" s="78">
        <f>J20+J21+J22</f>
        <v>0</v>
      </c>
      <c r="O22" s="87">
        <f>M22/M19-1</f>
        <v>1.9011969582072075E-2</v>
      </c>
      <c r="P22" s="87">
        <f>M22/M10-1</f>
        <v>8.4526826745589423E-2</v>
      </c>
      <c r="Q22" s="88">
        <f>AVERAGE(L20:L22)</f>
        <v>3.5041647754519132</v>
      </c>
      <c r="R22" s="89">
        <f>Q22/Q19-1</f>
        <v>-1.2870366338160077E-2</v>
      </c>
    </row>
    <row r="23" spans="1:18">
      <c r="A23" s="131"/>
      <c r="B23" s="131"/>
      <c r="C23" s="117"/>
      <c r="D23" s="117"/>
      <c r="E23" s="78">
        <f>I23/21</f>
        <v>611182.66666666663</v>
      </c>
      <c r="F23" s="90">
        <f t="shared" si="1"/>
        <v>-8.8979290996083038E-2</v>
      </c>
      <c r="G23" s="90">
        <f t="shared" si="2"/>
        <v>0.18069761492354619</v>
      </c>
      <c r="H23" s="129" t="s">
        <v>189</v>
      </c>
      <c r="I23" s="116">
        <v>12834836</v>
      </c>
      <c r="J23" s="116"/>
      <c r="K23" s="116">
        <v>3715191.42</v>
      </c>
      <c r="L23" s="130">
        <f t="shared" si="0"/>
        <v>3.454690364245081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598814.18181818177</v>
      </c>
      <c r="F24" s="90">
        <f t="shared" si="1"/>
        <v>-2.023696927784524E-2</v>
      </c>
      <c r="G24" s="90">
        <f t="shared" si="2"/>
        <v>0.17172889424128845</v>
      </c>
      <c r="H24" s="129" t="s">
        <v>204</v>
      </c>
      <c r="I24" s="116">
        <v>13173912</v>
      </c>
      <c r="J24" s="116"/>
      <c r="K24" s="116">
        <v>3816146.27</v>
      </c>
      <c r="L24" s="130">
        <f t="shared" si="0"/>
        <v>3.4521506954711145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1857143.2695374801</v>
      </c>
      <c r="B25" s="131">
        <f>AVERAGE(E23:E25)</f>
        <v>619047.75651249336</v>
      </c>
      <c r="C25" s="90">
        <f>B25/B22-1</f>
        <v>-5.6528494893351877E-2</v>
      </c>
      <c r="D25" s="90">
        <f>B25/B13-1</f>
        <v>0.27701264436753226</v>
      </c>
      <c r="E25" s="78">
        <f>I25/19</f>
        <v>647146.42105263157</v>
      </c>
      <c r="F25" s="90">
        <f t="shared" si="1"/>
        <v>8.0713250791252911E-2</v>
      </c>
      <c r="G25" s="90">
        <f t="shared" si="2"/>
        <v>0.52058617212343905</v>
      </c>
      <c r="H25" s="129" t="s">
        <v>217</v>
      </c>
      <c r="I25" s="116">
        <v>12295782</v>
      </c>
      <c r="J25" s="116"/>
      <c r="K25" s="116">
        <v>3461104.01</v>
      </c>
      <c r="L25" s="130">
        <f t="shared" si="0"/>
        <v>3.5525606755747283</v>
      </c>
      <c r="M25" s="85">
        <f>I23+I24+I25</f>
        <v>38304530</v>
      </c>
      <c r="N25" s="78">
        <f>J23+J24+J25</f>
        <v>0</v>
      </c>
      <c r="O25" s="90">
        <f>M25/M22-1</f>
        <v>-5.7705907746000928E-2</v>
      </c>
      <c r="P25" s="90">
        <f>M25/M13-1</f>
        <v>0.25073994722371018</v>
      </c>
      <c r="Q25" s="88">
        <f>AVERAGE(L23:L25)</f>
        <v>3.4864672450969749</v>
      </c>
      <c r="R25" s="91">
        <f>Q25/Q22-1</f>
        <v>-5.0504275594904779E-3</v>
      </c>
    </row>
    <row r="26" spans="1:18">
      <c r="A26" s="131"/>
      <c r="B26" s="131"/>
      <c r="C26" s="132"/>
      <c r="D26" s="132"/>
      <c r="E26" s="78">
        <f>I26/19</f>
        <v>617000.26315789472</v>
      </c>
      <c r="F26" s="90">
        <f t="shared" si="1"/>
        <v>-4.658321040499902E-2</v>
      </c>
      <c r="G26" s="90">
        <f t="shared" si="2"/>
        <v>0.1087872849250453</v>
      </c>
      <c r="H26" s="129" t="s">
        <v>312</v>
      </c>
      <c r="I26" s="116">
        <v>11723005</v>
      </c>
      <c r="J26" s="116"/>
      <c r="K26" s="116">
        <v>3279883.13</v>
      </c>
      <c r="L26" s="130">
        <f t="shared" si="0"/>
        <v>3.5742142434203137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536072.95454545459</v>
      </c>
      <c r="F27" s="90">
        <f t="shared" si="1"/>
        <v>-0.13116251879414553</v>
      </c>
      <c r="G27" s="90">
        <f t="shared" si="2"/>
        <v>8.5454968492772343E-2</v>
      </c>
      <c r="H27" s="129" t="s">
        <v>373</v>
      </c>
      <c r="I27" s="116">
        <v>11793605</v>
      </c>
      <c r="J27" s="116"/>
      <c r="K27" s="116">
        <v>3314409.65</v>
      </c>
      <c r="L27" s="130">
        <f t="shared" si="0"/>
        <v>3.5582822419069413</v>
      </c>
      <c r="M27" s="78"/>
      <c r="N27" s="78"/>
      <c r="O27" s="90"/>
      <c r="P27" s="90"/>
      <c r="Q27" s="79"/>
      <c r="R27" s="79"/>
    </row>
    <row r="28" spans="1:18">
      <c r="A28" s="131">
        <f>SUM(E26:E28)</f>
        <v>1849661.7440191389</v>
      </c>
      <c r="B28" s="131">
        <f>AVERAGE(E26:E28)</f>
        <v>616553.91467304633</v>
      </c>
      <c r="C28" s="90">
        <f>B28/B25-1</f>
        <v>-4.0285128460790798E-3</v>
      </c>
      <c r="D28" s="90">
        <f>B28/B16-1</f>
        <v>0.18210710431947286</v>
      </c>
      <c r="E28" s="78">
        <f>I28/19</f>
        <v>696588.52631578944</v>
      </c>
      <c r="F28" s="90">
        <f t="shared" si="1"/>
        <v>0.29942859532325916</v>
      </c>
      <c r="G28" s="90">
        <f t="shared" si="2"/>
        <v>0.35422295251369995</v>
      </c>
      <c r="H28" s="129" t="s">
        <v>413</v>
      </c>
      <c r="I28" s="116">
        <v>13235182</v>
      </c>
      <c r="J28" s="116"/>
      <c r="K28" s="116">
        <v>3607518.9</v>
      </c>
      <c r="L28" s="130">
        <f t="shared" si="0"/>
        <v>3.6687768981612265</v>
      </c>
      <c r="M28" s="85">
        <f>I26+I27+I28</f>
        <v>36751792</v>
      </c>
      <c r="N28" s="78">
        <f>J26+J27+J28</f>
        <v>0</v>
      </c>
      <c r="O28" s="90">
        <f>M28/M25-1</f>
        <v>-4.0536667595190479E-2</v>
      </c>
      <c r="P28" s="90">
        <f>M28/M16-1</f>
        <v>0.10329889497469913</v>
      </c>
      <c r="Q28" s="88">
        <f>AVERAGE(L26:L28)</f>
        <v>3.6004244611628273</v>
      </c>
      <c r="R28" s="91">
        <f>Q28/Q25-1</f>
        <v>3.2685583444419519E-2</v>
      </c>
    </row>
    <row r="29" spans="1:18">
      <c r="A29" s="131"/>
      <c r="B29" s="131"/>
      <c r="C29" s="132"/>
      <c r="D29" s="132"/>
      <c r="E29" s="78">
        <f>I29/22</f>
        <v>612434.59090909094</v>
      </c>
      <c r="F29" s="90">
        <f t="shared" si="1"/>
        <v>-0.1208086728786405</v>
      </c>
      <c r="G29" s="90">
        <f t="shared" si="2"/>
        <v>3.5340040983711685E-2</v>
      </c>
      <c r="H29" s="129" t="s">
        <v>426</v>
      </c>
      <c r="I29" s="116">
        <v>13473561</v>
      </c>
      <c r="J29" s="116">
        <v>17735601158</v>
      </c>
      <c r="K29" s="116">
        <v>3786199.45</v>
      </c>
      <c r="L29" s="130">
        <f t="shared" si="0"/>
        <v>3.5585977912494808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792820.05263157899</v>
      </c>
      <c r="F30" s="90">
        <f t="shared" si="1"/>
        <v>0.29453833013371433</v>
      </c>
      <c r="G30" s="90">
        <f t="shared" si="2"/>
        <v>0.18341471984332247</v>
      </c>
      <c r="H30" s="129" t="s">
        <v>466</v>
      </c>
      <c r="I30" s="116">
        <v>15063581</v>
      </c>
      <c r="J30" s="116">
        <v>20068969368</v>
      </c>
      <c r="K30" s="116">
        <v>4138525.14</v>
      </c>
      <c r="L30" s="130">
        <f t="shared" si="0"/>
        <v>3.6398428160810932</v>
      </c>
      <c r="M30" s="85"/>
      <c r="N30" s="78"/>
      <c r="O30" s="90"/>
      <c r="P30" s="90"/>
      <c r="Q30" s="88"/>
      <c r="R30" s="91"/>
    </row>
    <row r="31" spans="1:18">
      <c r="A31" s="131">
        <f>SUM(E29:E31)</f>
        <v>2094334.4935406698</v>
      </c>
      <c r="B31" s="131">
        <f>AVERAGE(E29:E31)</f>
        <v>698111.49784688989</v>
      </c>
      <c r="C31" s="90">
        <f>B31/B28-1</f>
        <v>0.13227972644872898</v>
      </c>
      <c r="D31" s="90">
        <f>B31/B19-1</f>
        <v>8.6303446730523037E-2</v>
      </c>
      <c r="E31" s="78">
        <f>I31/20</f>
        <v>689079.85</v>
      </c>
      <c r="F31" s="90">
        <f t="shared" si="1"/>
        <v>-0.13084962002063127</v>
      </c>
      <c r="G31" s="90">
        <f t="shared" si="2"/>
        <v>3.3919353132570107E-2</v>
      </c>
      <c r="H31" s="129" t="s">
        <v>505</v>
      </c>
      <c r="I31" s="116">
        <v>13781597</v>
      </c>
      <c r="J31" s="116">
        <v>18312632390</v>
      </c>
      <c r="K31" s="116">
        <v>3882187.37</v>
      </c>
      <c r="L31" s="130">
        <f t="shared" si="0"/>
        <v>3.5499566833117586</v>
      </c>
      <c r="M31" s="85">
        <f>I29+I30+I31</f>
        <v>42318739</v>
      </c>
      <c r="N31" s="78">
        <f>J29+J30+J31</f>
        <v>56117202916</v>
      </c>
      <c r="O31" s="90">
        <f>M31/M28-1</f>
        <v>0.15147416485160781</v>
      </c>
      <c r="P31" s="90">
        <f>M31/M19-1</f>
        <v>6.0836206997471054E-2</v>
      </c>
      <c r="Q31" s="88">
        <f>AVERAGE(L29:L31)</f>
        <v>3.5827990968807772</v>
      </c>
      <c r="R31" s="91">
        <f>Q31/Q28-1</f>
        <v>-4.8953573313846865E-3</v>
      </c>
    </row>
    <row r="32" spans="1:18">
      <c r="A32" s="131"/>
      <c r="B32" s="131"/>
      <c r="C32" s="90"/>
      <c r="D32" s="90"/>
      <c r="E32" s="78">
        <f>I32/21</f>
        <v>711377</v>
      </c>
      <c r="F32" s="90">
        <f t="shared" si="1"/>
        <v>3.2357860993903698E-2</v>
      </c>
      <c r="G32" s="90">
        <f t="shared" si="2"/>
        <v>3.6360169092130024E-2</v>
      </c>
      <c r="H32" s="129" t="s">
        <v>561</v>
      </c>
      <c r="I32" s="116">
        <v>14938917</v>
      </c>
      <c r="J32" s="116">
        <v>20303031694</v>
      </c>
      <c r="K32" s="116">
        <v>4299904.59</v>
      </c>
      <c r="L32" s="130">
        <f t="shared" si="0"/>
        <v>3.474243832000933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639618.80952380947</v>
      </c>
      <c r="F33" s="90">
        <f t="shared" si="1"/>
        <v>-0.10087223859668015</v>
      </c>
      <c r="G33" s="90">
        <f t="shared" si="2"/>
        <v>4.6634960597280228E-2</v>
      </c>
      <c r="H33" s="129" t="s">
        <v>606</v>
      </c>
      <c r="I33" s="116">
        <v>13431995</v>
      </c>
      <c r="J33" s="116">
        <v>18369060475</v>
      </c>
      <c r="K33" s="116">
        <v>3917498.97</v>
      </c>
      <c r="L33" s="130">
        <f t="shared" si="0"/>
        <v>3.4287169193563307</v>
      </c>
      <c r="M33" s="85"/>
      <c r="N33" s="78"/>
      <c r="O33" s="90"/>
      <c r="P33" s="90"/>
      <c r="Q33" s="88"/>
      <c r="R33" s="91"/>
    </row>
    <row r="34" spans="1:18">
      <c r="A34" s="131">
        <f>SUM(E32:E34)</f>
        <v>2040928.3884711778</v>
      </c>
      <c r="B34" s="131">
        <f>AVERAGE(E32:E34)</f>
        <v>680309.46282372589</v>
      </c>
      <c r="C34" s="90">
        <f>B34/B31-1</f>
        <v>-2.5500274781419474E-2</v>
      </c>
      <c r="D34" s="90">
        <f>B34/B22-1</f>
        <v>3.6838573561072785E-2</v>
      </c>
      <c r="E34" s="78">
        <f>I34/19</f>
        <v>689932.57894736843</v>
      </c>
      <c r="F34" s="90">
        <f t="shared" si="1"/>
        <v>7.8662116676989413E-2</v>
      </c>
      <c r="G34" s="90">
        <f t="shared" si="2"/>
        <v>2.8404275051756134E-2</v>
      </c>
      <c r="H34" s="129" t="s">
        <v>652</v>
      </c>
      <c r="I34" s="116">
        <v>13108719</v>
      </c>
      <c r="J34" s="116">
        <v>18018514129</v>
      </c>
      <c r="K34" s="116">
        <v>3824571.52</v>
      </c>
      <c r="L34" s="130">
        <f t="shared" si="0"/>
        <v>3.4275000301210214</v>
      </c>
      <c r="M34" s="85">
        <f>I32+I33+I34</f>
        <v>41479631</v>
      </c>
      <c r="N34" s="78">
        <f>J32+J33+J34</f>
        <v>56690606298</v>
      </c>
      <c r="O34" s="90">
        <f>M34/M31-1</f>
        <v>-1.9828284580974853E-2</v>
      </c>
      <c r="P34" s="90">
        <f>M34/M22-1</f>
        <v>2.040179686778143E-2</v>
      </c>
      <c r="Q34" s="88">
        <f>AVERAGE(L32:L34)</f>
        <v>3.4434869271594284</v>
      </c>
      <c r="R34" s="91">
        <f>Q34/Q31-1</f>
        <v>-3.8883611934209639E-2</v>
      </c>
    </row>
    <row r="35" spans="1:18">
      <c r="A35" s="131"/>
      <c r="B35" s="131"/>
      <c r="C35" s="90"/>
      <c r="D35" s="90"/>
      <c r="E35" s="78">
        <f>I35/23</f>
        <v>567150.30434782605</v>
      </c>
      <c r="F35" s="90">
        <f t="shared" ref="F35" si="3">E35/E34-1</f>
        <v>-0.17796271454070423</v>
      </c>
      <c r="G35" s="90">
        <f t="shared" ref="G35" si="4">E35/E23-1</f>
        <v>-7.2044520763307918E-2</v>
      </c>
      <c r="H35" s="129" t="s">
        <v>661</v>
      </c>
      <c r="I35" s="116">
        <v>13044457</v>
      </c>
      <c r="J35" s="116">
        <v>18055021108</v>
      </c>
      <c r="K35" s="116">
        <v>4009180.59</v>
      </c>
      <c r="L35" s="130">
        <f t="shared" ref="L35" si="5">I35/K35</f>
        <v>3.2536466510230211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627399.14285714284</v>
      </c>
      <c r="F36" s="90">
        <f t="shared" ref="F36" si="6">E36/E35-1</f>
        <v>0.10623081403191303</v>
      </c>
      <c r="G36" s="90">
        <f t="shared" ref="G36" si="7">E36/E24-1</f>
        <v>4.7735945318075901E-2</v>
      </c>
      <c r="H36" s="129" t="s">
        <v>664</v>
      </c>
      <c r="I36" s="116">
        <v>13175382</v>
      </c>
      <c r="J36" s="116">
        <v>18017588035</v>
      </c>
      <c r="K36" s="116">
        <v>3836756.23</v>
      </c>
      <c r="L36" s="130">
        <f t="shared" ref="L36" si="8">I36/K36</f>
        <v>3.4339898628378589</v>
      </c>
      <c r="M36" s="85"/>
      <c r="N36" s="78"/>
      <c r="O36" s="90"/>
      <c r="P36" s="90"/>
      <c r="Q36" s="88"/>
      <c r="R36" s="91"/>
    </row>
    <row r="37" spans="1:18">
      <c r="A37" s="131">
        <f>SUM(E35:E37)</f>
        <v>1841312.0583160799</v>
      </c>
      <c r="B37" s="131">
        <f>AVERAGE(E35:E37)</f>
        <v>613770.68610535993</v>
      </c>
      <c r="C37" s="90">
        <f>B37/B34-1</f>
        <v>-9.7806631179561787E-2</v>
      </c>
      <c r="D37" s="90">
        <f>B37/B25-1</f>
        <v>-8.5244964570466708E-3</v>
      </c>
      <c r="E37" s="78">
        <f>I37/18</f>
        <v>646762.61111111112</v>
      </c>
      <c r="F37" s="90">
        <f t="shared" ref="F37" si="9">E37/E36-1</f>
        <v>3.086307731596194E-2</v>
      </c>
      <c r="G37" s="90">
        <f t="shared" ref="G37" si="10">E37/E25-1</f>
        <v>-5.930805286632479E-4</v>
      </c>
      <c r="H37" s="129" t="s">
        <v>704</v>
      </c>
      <c r="I37" s="116">
        <v>11641727</v>
      </c>
      <c r="J37" s="116">
        <v>15536040014</v>
      </c>
      <c r="K37" s="116">
        <v>3207880.21</v>
      </c>
      <c r="L37" s="130">
        <f t="shared" ref="L37" si="11">I37/K37</f>
        <v>3.6291027837351821</v>
      </c>
      <c r="M37" s="85">
        <f>I35+I36+I37</f>
        <v>37861566</v>
      </c>
      <c r="N37" s="78">
        <f>J35+J36+J37</f>
        <v>51608649157</v>
      </c>
      <c r="O37" s="90">
        <f>M37/M34-1</f>
        <v>-8.7225100917604603E-2</v>
      </c>
      <c r="P37" s="90">
        <f>M37/M25-1</f>
        <v>-1.156427190204401E-2</v>
      </c>
      <c r="Q37" s="88">
        <f>AVERAGE(L35:L37)</f>
        <v>3.4389130991986874</v>
      </c>
      <c r="R37" s="91">
        <f>Q37/Q34-1</f>
        <v>-1.3282547770593345E-3</v>
      </c>
    </row>
    <row r="38" spans="1:18">
      <c r="A38" s="131"/>
      <c r="B38" s="131"/>
      <c r="C38" s="90"/>
      <c r="D38" s="90"/>
      <c r="E38" s="143">
        <f>I38/20</f>
        <v>650060.4</v>
      </c>
      <c r="F38" s="109">
        <f t="shared" ref="F38" si="12">E38/E37-1</f>
        <v>5.0989170249398086E-3</v>
      </c>
      <c r="G38" s="109">
        <f t="shared" ref="G38" si="13">E38/E26-1</f>
        <v>5.3582046582766107E-2</v>
      </c>
      <c r="H38" s="144" t="s">
        <v>726</v>
      </c>
      <c r="I38" s="145">
        <v>13001208</v>
      </c>
      <c r="J38" s="145">
        <v>17478710387</v>
      </c>
      <c r="K38" s="145">
        <v>3759016.86</v>
      </c>
      <c r="L38" s="146">
        <f t="shared" ref="L38" si="14">I38/K38</f>
        <v>3.4586724359624181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512127.16666666669</v>
      </c>
      <c r="F39" s="109">
        <f t="shared" ref="F39" si="15">E39/E38-1</f>
        <v>-0.21218525745197425</v>
      </c>
      <c r="G39" s="109">
        <f t="shared" ref="G39" si="16">E39/E27-1</f>
        <v>-4.4668897536701779E-2</v>
      </c>
      <c r="H39" s="144" t="s">
        <v>762</v>
      </c>
      <c r="I39" s="145">
        <v>3072763</v>
      </c>
      <c r="J39" s="145">
        <v>4246138368</v>
      </c>
      <c r="K39" s="145">
        <v>902497.12</v>
      </c>
      <c r="L39" s="146">
        <f t="shared" ref="L39" si="17">I39/K39</f>
        <v>3.404734410676014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581093.78333333333</v>
      </c>
      <c r="C40" s="90">
        <f>B40/B37-1</f>
        <v>-5.3239595034060172E-2</v>
      </c>
      <c r="D40" s="90">
        <f>B40/B28-1</f>
        <v>-5.751343150341881E-2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1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R49"/>
  <sheetViews>
    <sheetView topLeftCell="A3" zoomScale="95" zoomScaleNormal="95" workbookViewId="0">
      <selection activeCell="J43" sqref="J43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3" width="6.8984375" style="117" bestFit="1" customWidth="1"/>
    <col min="4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19921875" style="87" bestFit="1" customWidth="1"/>
    <col min="16" max="16" width="5.59765625" style="87" customWidth="1"/>
    <col min="17" max="17" width="10.59765625" style="79" customWidth="1"/>
    <col min="18" max="18" width="5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655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2203000000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261474.3</v>
      </c>
      <c r="F5" s="90"/>
      <c r="G5" s="90"/>
      <c r="H5" s="129" t="s">
        <v>0</v>
      </c>
      <c r="I5" s="116">
        <v>5229486</v>
      </c>
      <c r="J5" s="116"/>
      <c r="K5" s="116">
        <v>8641241.2599999998</v>
      </c>
      <c r="L5" s="130">
        <f t="shared" ref="L5:L34" si="0">I5/K5</f>
        <v>0.60517764087980108</v>
      </c>
      <c r="M5" s="85"/>
      <c r="O5" s="80"/>
      <c r="P5" s="80"/>
    </row>
    <row r="6" spans="1:18" ht="15" hidden="1" customHeight="1">
      <c r="B6" s="79"/>
      <c r="E6" s="78">
        <f>I6/18</f>
        <v>301664.83333333331</v>
      </c>
      <c r="F6" s="90">
        <f t="shared" ref="F6:F34" si="1">E6/E5-1</f>
        <v>0.15370739431497982</v>
      </c>
      <c r="G6" s="90"/>
      <c r="H6" s="129" t="s">
        <v>1</v>
      </c>
      <c r="I6" s="116">
        <v>5429967</v>
      </c>
      <c r="J6" s="116"/>
      <c r="K6" s="116">
        <v>7778787.8200000003</v>
      </c>
      <c r="L6" s="130">
        <f t="shared" si="0"/>
        <v>0.69804796398213109</v>
      </c>
      <c r="M6" s="85"/>
    </row>
    <row r="7" spans="1:18" ht="15" hidden="1" customHeight="1">
      <c r="A7" s="131">
        <f>E5+E6+E7</f>
        <v>808092.22424242424</v>
      </c>
      <c r="B7" s="131">
        <f>AVERAGE(E5:E7)</f>
        <v>269364.07474747475</v>
      </c>
      <c r="E7" s="78">
        <f>I7/22</f>
        <v>244953.09090909091</v>
      </c>
      <c r="F7" s="90">
        <f t="shared" si="1"/>
        <v>-0.18799586878453645</v>
      </c>
      <c r="G7" s="90"/>
      <c r="H7" s="129" t="s">
        <v>2</v>
      </c>
      <c r="I7" s="116">
        <v>5388968</v>
      </c>
      <c r="J7" s="116"/>
      <c r="K7" s="116">
        <v>7560287.7800000003</v>
      </c>
      <c r="L7" s="130">
        <f t="shared" si="0"/>
        <v>0.71279932150942538</v>
      </c>
      <c r="M7" s="85">
        <f>I5+I6+I7</f>
        <v>16048421</v>
      </c>
      <c r="N7" s="79">
        <f>J5+J6+J7</f>
        <v>0</v>
      </c>
      <c r="Q7" s="88">
        <f>AVERAGE(L5:L7)</f>
        <v>0.67200830879045259</v>
      </c>
    </row>
    <row r="8" spans="1:18" ht="15" hidden="1" customHeight="1">
      <c r="B8" s="79"/>
      <c r="E8" s="78">
        <f>I8/21</f>
        <v>245964.52380952382</v>
      </c>
      <c r="F8" s="90">
        <f t="shared" si="1"/>
        <v>4.1290881314426375E-3</v>
      </c>
      <c r="G8" s="90"/>
      <c r="H8" s="129" t="s">
        <v>3</v>
      </c>
      <c r="I8" s="116">
        <v>5165255</v>
      </c>
      <c r="J8" s="116"/>
      <c r="K8" s="116">
        <v>6798988.96</v>
      </c>
      <c r="L8" s="130">
        <f t="shared" si="0"/>
        <v>0.7597092788925488</v>
      </c>
      <c r="M8" s="85"/>
      <c r="N8" s="78"/>
    </row>
    <row r="9" spans="1:18" ht="15" hidden="1" customHeight="1">
      <c r="B9" s="79"/>
      <c r="E9" s="78">
        <f>I9/21</f>
        <v>255873</v>
      </c>
      <c r="F9" s="90">
        <f t="shared" si="1"/>
        <v>4.0284167964601991E-2</v>
      </c>
      <c r="G9" s="90"/>
      <c r="H9" s="129" t="s">
        <v>4</v>
      </c>
      <c r="I9" s="116">
        <v>5373333</v>
      </c>
      <c r="J9" s="116"/>
      <c r="K9" s="116">
        <v>7238656.29</v>
      </c>
      <c r="L9" s="130">
        <f t="shared" si="0"/>
        <v>0.74231083570345902</v>
      </c>
      <c r="M9" s="85"/>
      <c r="N9" s="78"/>
    </row>
    <row r="10" spans="1:18" ht="15" hidden="1" customHeight="1">
      <c r="A10" s="131">
        <f>E8+E9+E10</f>
        <v>845804.28571428568</v>
      </c>
      <c r="B10" s="131">
        <f>AVERAGE(E8:E10)</f>
        <v>281934.76190476189</v>
      </c>
      <c r="C10" s="90">
        <f>B10/B7-1</f>
        <v>4.6668016769021659E-2</v>
      </c>
      <c r="D10" s="90"/>
      <c r="E10" s="78">
        <f>I10/21</f>
        <v>343966.76190476189</v>
      </c>
      <c r="F10" s="90">
        <f t="shared" si="1"/>
        <v>0.34428705609721177</v>
      </c>
      <c r="G10" s="90"/>
      <c r="H10" s="129" t="s">
        <v>5</v>
      </c>
      <c r="I10" s="116">
        <v>7223302</v>
      </c>
      <c r="J10" s="116"/>
      <c r="K10" s="116">
        <v>10357769.560000001</v>
      </c>
      <c r="L10" s="130">
        <f t="shared" si="0"/>
        <v>0.69738006413033193</v>
      </c>
      <c r="M10" s="85">
        <f>I8+I9+I10</f>
        <v>17761890</v>
      </c>
      <c r="N10" s="79">
        <f>J8+J9+J10</f>
        <v>0</v>
      </c>
      <c r="O10" s="87">
        <f>M10/M7-1</f>
        <v>0.10676869705748615</v>
      </c>
      <c r="Q10" s="88">
        <f>AVERAGE(L8:L10)</f>
        <v>0.73313339290877988</v>
      </c>
      <c r="R10" s="89">
        <f>Q10/Q7-1</f>
        <v>9.0958821965082981E-2</v>
      </c>
    </row>
    <row r="11" spans="1:18" ht="15" hidden="1" customHeight="1">
      <c r="B11" s="79"/>
      <c r="E11" s="78">
        <f>I11/21</f>
        <v>354744.90476190473</v>
      </c>
      <c r="F11" s="90">
        <f t="shared" si="1"/>
        <v>3.1334838277563337E-2</v>
      </c>
      <c r="G11" s="90"/>
      <c r="H11" s="129" t="s">
        <v>6</v>
      </c>
      <c r="I11" s="116">
        <v>7449643</v>
      </c>
      <c r="J11" s="116"/>
      <c r="K11" s="116">
        <v>10677957.08</v>
      </c>
      <c r="L11" s="130">
        <f t="shared" si="0"/>
        <v>0.69766556881496666</v>
      </c>
      <c r="M11" s="85"/>
      <c r="N11" s="78"/>
      <c r="R11" s="89"/>
    </row>
    <row r="12" spans="1:18" ht="15" hidden="1" customHeight="1">
      <c r="B12" s="79"/>
      <c r="E12" s="78">
        <f>I12/22</f>
        <v>394262.59090909088</v>
      </c>
      <c r="F12" s="90">
        <f t="shared" si="1"/>
        <v>0.11139747355556628</v>
      </c>
      <c r="G12" s="90"/>
      <c r="H12" s="129" t="s">
        <v>7</v>
      </c>
      <c r="I12" s="116">
        <v>8673777</v>
      </c>
      <c r="J12" s="116"/>
      <c r="K12" s="116">
        <v>12716744.83</v>
      </c>
      <c r="L12" s="130">
        <f t="shared" si="0"/>
        <v>0.68207525714739059</v>
      </c>
      <c r="M12" s="85"/>
      <c r="N12" s="78"/>
      <c r="R12" s="89"/>
    </row>
    <row r="13" spans="1:18" ht="15" hidden="1" customHeight="1">
      <c r="A13" s="131">
        <f>E11+E12+E13</f>
        <v>1054373.2456709957</v>
      </c>
      <c r="B13" s="131">
        <f>AVERAGE(E11:E13)</f>
        <v>351457.74855699856</v>
      </c>
      <c r="C13" s="90">
        <f>B13/B10-1</f>
        <v>0.24659246054845019</v>
      </c>
      <c r="D13" s="90"/>
      <c r="E13" s="78">
        <f>I13/20</f>
        <v>305365.75</v>
      </c>
      <c r="F13" s="90">
        <f t="shared" si="1"/>
        <v>-0.2254762256396492</v>
      </c>
      <c r="G13" s="90"/>
      <c r="H13" s="129" t="s">
        <v>96</v>
      </c>
      <c r="I13" s="116">
        <v>6107315</v>
      </c>
      <c r="J13" s="116"/>
      <c r="K13" s="116">
        <v>9489728.2200000007</v>
      </c>
      <c r="L13" s="130">
        <f t="shared" si="0"/>
        <v>0.64357111799351396</v>
      </c>
      <c r="M13" s="85">
        <f>I11+I12+I13</f>
        <v>22230735</v>
      </c>
      <c r="N13" s="78">
        <f>J11+J12+J13</f>
        <v>0</v>
      </c>
      <c r="O13" s="87">
        <f>M13/M10-1</f>
        <v>0.25159738068415027</v>
      </c>
      <c r="Q13" s="88">
        <f>AVERAGE(L11:L13)</f>
        <v>0.67443731465195711</v>
      </c>
      <c r="R13" s="89">
        <f>Q13/Q10-1</f>
        <v>-8.0061935282937036E-2</v>
      </c>
    </row>
    <row r="14" spans="1:18" ht="15" hidden="1" customHeight="1">
      <c r="B14" s="79"/>
      <c r="E14" s="78">
        <f>I14/20</f>
        <v>194116.5</v>
      </c>
      <c r="F14" s="90">
        <f t="shared" si="1"/>
        <v>-0.36431476025061749</v>
      </c>
      <c r="G14" s="90"/>
      <c r="H14" s="129" t="s">
        <v>97</v>
      </c>
      <c r="I14" s="116">
        <v>3882330</v>
      </c>
      <c r="J14" s="116"/>
      <c r="K14" s="116">
        <v>6334112</v>
      </c>
      <c r="L14" s="130">
        <f t="shared" si="0"/>
        <v>0.61292411627707244</v>
      </c>
      <c r="M14" s="85"/>
      <c r="R14" s="89"/>
    </row>
    <row r="15" spans="1:18" ht="15" hidden="1" customHeight="1">
      <c r="A15" s="131"/>
      <c r="B15" s="131"/>
      <c r="E15" s="78">
        <f>I15/22</f>
        <v>221624.5</v>
      </c>
      <c r="F15" s="90">
        <f t="shared" si="1"/>
        <v>0.1417087161575652</v>
      </c>
      <c r="G15" s="90"/>
      <c r="H15" s="129" t="s">
        <v>98</v>
      </c>
      <c r="I15" s="116">
        <v>4875739</v>
      </c>
      <c r="J15" s="116"/>
      <c r="K15" s="116">
        <v>7647868.3399999999</v>
      </c>
      <c r="L15" s="130">
        <f t="shared" si="0"/>
        <v>0.63752914972383012</v>
      </c>
      <c r="M15" s="78"/>
      <c r="R15" s="89"/>
    </row>
    <row r="16" spans="1:18" ht="15" hidden="1" customHeight="1">
      <c r="A16" s="131">
        <f>E14+E15+E16</f>
        <v>628245.40909090906</v>
      </c>
      <c r="B16" s="131">
        <f>AVERAGE(E14:E16)</f>
        <v>209415.13636363635</v>
      </c>
      <c r="C16" s="90">
        <f>B16/B13-1</f>
        <v>-0.40415274034092341</v>
      </c>
      <c r="D16" s="90"/>
      <c r="E16" s="78">
        <f>I16/22</f>
        <v>212504.40909090909</v>
      </c>
      <c r="F16" s="90">
        <f t="shared" si="1"/>
        <v>-4.1151095249356007E-2</v>
      </c>
      <c r="G16" s="90"/>
      <c r="H16" s="129" t="s">
        <v>99</v>
      </c>
      <c r="I16" s="116">
        <v>4675097</v>
      </c>
      <c r="J16" s="116"/>
      <c r="K16" s="116">
        <v>7222061.3499999996</v>
      </c>
      <c r="L16" s="130">
        <f t="shared" si="0"/>
        <v>0.64733554222715106</v>
      </c>
      <c r="M16" s="85">
        <f>I14+I15+I16</f>
        <v>13433166</v>
      </c>
      <c r="N16" s="78">
        <f>J14+J15+J16</f>
        <v>0</v>
      </c>
      <c r="O16" s="87">
        <f>M16/M13-1</f>
        <v>-0.39573900727978628</v>
      </c>
      <c r="Q16" s="88">
        <f>AVERAGE(L14:L16)</f>
        <v>0.63259626940935121</v>
      </c>
      <c r="R16" s="89">
        <f>Q16/Q13-1</f>
        <v>-6.2038449435731335E-2</v>
      </c>
    </row>
    <row r="17" spans="1:18" ht="15" customHeight="1">
      <c r="B17" s="79"/>
      <c r="E17" s="78">
        <f>I17/20</f>
        <v>334599.2</v>
      </c>
      <c r="F17" s="90">
        <f t="shared" si="1"/>
        <v>0.57455180074338563</v>
      </c>
      <c r="G17" s="90">
        <f t="shared" ref="G17:G34" si="2">E17/E5-1</f>
        <v>0.27966381399625129</v>
      </c>
      <c r="H17" s="129" t="s">
        <v>100</v>
      </c>
      <c r="I17" s="116">
        <v>6691984</v>
      </c>
      <c r="J17" s="116"/>
      <c r="K17" s="116">
        <v>8932712.0299999993</v>
      </c>
      <c r="L17" s="130">
        <f t="shared" si="0"/>
        <v>0.74915478944416392</v>
      </c>
      <c r="M17" s="78"/>
      <c r="R17" s="89"/>
    </row>
    <row r="18" spans="1:18" ht="15" customHeight="1">
      <c r="B18" s="79"/>
      <c r="E18" s="78">
        <f>I18/20</f>
        <v>352554.9</v>
      </c>
      <c r="F18" s="90">
        <f t="shared" si="1"/>
        <v>5.36633082207012E-2</v>
      </c>
      <c r="G18" s="90">
        <f t="shared" si="2"/>
        <v>0.16869737882384928</v>
      </c>
      <c r="H18" s="129" t="s">
        <v>106</v>
      </c>
      <c r="I18" s="116">
        <v>7051098</v>
      </c>
      <c r="J18" s="116"/>
      <c r="K18" s="116">
        <v>10822600.15</v>
      </c>
      <c r="L18" s="130">
        <f t="shared" si="0"/>
        <v>0.65151607767750708</v>
      </c>
      <c r="M18" s="78"/>
      <c r="R18" s="89"/>
    </row>
    <row r="19" spans="1:18">
      <c r="A19" s="131">
        <f>SUM(E17:E19)</f>
        <v>957248.14545454551</v>
      </c>
      <c r="B19" s="131">
        <f>AVERAGE(E17:E19)</f>
        <v>319082.71515151515</v>
      </c>
      <c r="C19" s="90">
        <f>B19/B16-1</f>
        <v>0.52368506256132252</v>
      </c>
      <c r="D19" s="90">
        <f>B19/B7-1</f>
        <v>0.18457784487649653</v>
      </c>
      <c r="E19" s="78">
        <f>I19/22</f>
        <v>270094.04545454547</v>
      </c>
      <c r="F19" s="90">
        <f t="shared" si="1"/>
        <v>-0.23389507434290246</v>
      </c>
      <c r="G19" s="90">
        <f t="shared" si="2"/>
        <v>0.10263579223331809</v>
      </c>
      <c r="H19" s="129" t="s">
        <v>115</v>
      </c>
      <c r="I19" s="116">
        <v>5942069</v>
      </c>
      <c r="J19" s="116"/>
      <c r="K19" s="116">
        <v>8330436.1799999997</v>
      </c>
      <c r="L19" s="130">
        <f t="shared" si="0"/>
        <v>0.71329626343767272</v>
      </c>
      <c r="M19" s="85">
        <f>I17+I18+I19</f>
        <v>19685151</v>
      </c>
      <c r="N19" s="78">
        <f>J17+J18+J19</f>
        <v>0</v>
      </c>
      <c r="O19" s="87">
        <f>M19/M16-1</f>
        <v>0.46541411012117329</v>
      </c>
      <c r="P19" s="87">
        <f>M19/M7-1</f>
        <v>0.2266098328302828</v>
      </c>
      <c r="Q19" s="88">
        <f>AVERAGE(L17:L19)</f>
        <v>0.70465571018644779</v>
      </c>
      <c r="R19" s="89">
        <f>Q19/Q16-1</f>
        <v>0.11391063188592265</v>
      </c>
    </row>
    <row r="20" spans="1:18">
      <c r="A20" s="131"/>
      <c r="B20" s="131"/>
      <c r="C20" s="90"/>
      <c r="D20" s="90"/>
      <c r="E20" s="78">
        <f>I20/20</f>
        <v>300215.8</v>
      </c>
      <c r="F20" s="90">
        <f t="shared" si="1"/>
        <v>0.11152320849858843</v>
      </c>
      <c r="G20" s="90">
        <f t="shared" si="2"/>
        <v>0.22056545127007277</v>
      </c>
      <c r="H20" s="129" t="s">
        <v>132</v>
      </c>
      <c r="I20" s="116">
        <v>6004316</v>
      </c>
      <c r="J20" s="116"/>
      <c r="K20" s="116">
        <v>9103240.4399999995</v>
      </c>
      <c r="L20" s="130">
        <f t="shared" si="0"/>
        <v>0.65958007366440607</v>
      </c>
      <c r="M20" s="78"/>
      <c r="R20" s="89"/>
    </row>
    <row r="21" spans="1:18">
      <c r="A21" s="131"/>
      <c r="B21" s="131"/>
      <c r="C21" s="90"/>
      <c r="D21" s="90"/>
      <c r="E21" s="78">
        <f>I21/21</f>
        <v>299127.66666666669</v>
      </c>
      <c r="F21" s="90">
        <f t="shared" si="1"/>
        <v>-3.6245038846499655E-3</v>
      </c>
      <c r="G21" s="90">
        <f t="shared" si="2"/>
        <v>0.16904740502775484</v>
      </c>
      <c r="H21" s="129" t="s">
        <v>141</v>
      </c>
      <c r="I21" s="116">
        <v>6281681</v>
      </c>
      <c r="J21" s="116"/>
      <c r="K21" s="116">
        <v>9354972.9800000004</v>
      </c>
      <c r="L21" s="130">
        <f t="shared" si="0"/>
        <v>0.67148040014969657</v>
      </c>
      <c r="M21" s="78"/>
      <c r="R21" s="89"/>
    </row>
    <row r="22" spans="1:18">
      <c r="A22" s="131">
        <f>SUM(E20:E22)</f>
        <v>896448.94285714289</v>
      </c>
      <c r="B22" s="131">
        <f>AVERAGE(E20:E22)</f>
        <v>298816.3142857143</v>
      </c>
      <c r="C22" s="90">
        <f>B22/B19-1</f>
        <v>-6.3514568177650887E-2</v>
      </c>
      <c r="D22" s="90">
        <f>B22/B10-1</f>
        <v>5.9877513034930496E-2</v>
      </c>
      <c r="E22" s="78">
        <f>I22/21</f>
        <v>297105.47619047621</v>
      </c>
      <c r="F22" s="90">
        <f t="shared" si="1"/>
        <v>-6.7602923484971766E-3</v>
      </c>
      <c r="G22" s="90">
        <f t="shared" si="2"/>
        <v>-0.13623783139622281</v>
      </c>
      <c r="H22" s="129" t="s">
        <v>156</v>
      </c>
      <c r="I22" s="116">
        <v>6239215</v>
      </c>
      <c r="J22" s="116"/>
      <c r="K22" s="116">
        <v>8458858.1099999994</v>
      </c>
      <c r="L22" s="130">
        <f t="shared" si="0"/>
        <v>0.73759541995674882</v>
      </c>
      <c r="M22" s="85">
        <f>I20+I21+I22</f>
        <v>18525212</v>
      </c>
      <c r="N22" s="78">
        <f>J20+J21+J22</f>
        <v>0</v>
      </c>
      <c r="O22" s="87">
        <f>M22/M19-1</f>
        <v>-5.8924567050565146E-2</v>
      </c>
      <c r="P22" s="87">
        <f>M22/M10-1</f>
        <v>4.2975268960679269E-2</v>
      </c>
      <c r="Q22" s="88">
        <f>AVERAGE(L20:L22)</f>
        <v>0.68955196459028378</v>
      </c>
      <c r="R22" s="89">
        <f>Q22/Q19-1</f>
        <v>-2.1434220113206282E-2</v>
      </c>
    </row>
    <row r="23" spans="1:18">
      <c r="A23" s="131"/>
      <c r="B23" s="131"/>
      <c r="E23" s="78">
        <f>I23/21</f>
        <v>296870.09523809527</v>
      </c>
      <c r="F23" s="90">
        <f t="shared" si="1"/>
        <v>-7.9224710159853107E-4</v>
      </c>
      <c r="G23" s="90">
        <f t="shared" si="2"/>
        <v>-0.16314486479419199</v>
      </c>
      <c r="H23" s="129" t="s">
        <v>189</v>
      </c>
      <c r="I23" s="116">
        <v>6234272</v>
      </c>
      <c r="J23" s="116"/>
      <c r="K23" s="116">
        <v>8050105.3799999999</v>
      </c>
      <c r="L23" s="130">
        <f t="shared" si="0"/>
        <v>0.77443358884328051</v>
      </c>
      <c r="M23" s="78"/>
      <c r="R23" s="89"/>
    </row>
    <row r="24" spans="1:18">
      <c r="A24" s="131"/>
      <c r="B24" s="131"/>
      <c r="E24" s="78">
        <f>I24/22</f>
        <v>325496.77272727271</v>
      </c>
      <c r="F24" s="90">
        <f t="shared" si="1"/>
        <v>9.6428296242564659E-2</v>
      </c>
      <c r="G24" s="90">
        <f t="shared" si="2"/>
        <v>-0.174416289466515</v>
      </c>
      <c r="H24" s="129" t="s">
        <v>204</v>
      </c>
      <c r="I24" s="116">
        <v>7160929</v>
      </c>
      <c r="J24" s="116"/>
      <c r="K24" s="116">
        <v>8760077.5</v>
      </c>
      <c r="L24" s="130">
        <f t="shared" si="0"/>
        <v>0.81745041639186411</v>
      </c>
      <c r="M24" s="78"/>
      <c r="R24" s="89"/>
    </row>
    <row r="25" spans="1:18">
      <c r="A25" s="131">
        <f>SUM(E23:E25)</f>
        <v>1068095.9732285258</v>
      </c>
      <c r="B25" s="131">
        <f>AVERAGE(E23:E25)</f>
        <v>356031.9910761753</v>
      </c>
      <c r="C25" s="90">
        <f>B25/B22-1</f>
        <v>0.19147440770504254</v>
      </c>
      <c r="D25" s="90">
        <f>B25/B13-1</f>
        <v>1.3015056683079118E-2</v>
      </c>
      <c r="E25" s="78">
        <f>I25/19</f>
        <v>445729.10526315792</v>
      </c>
      <c r="F25" s="90">
        <f t="shared" si="1"/>
        <v>0.36938102804670669</v>
      </c>
      <c r="G25" s="90">
        <f t="shared" si="2"/>
        <v>0.45965651112856598</v>
      </c>
      <c r="H25" s="129" t="s">
        <v>220</v>
      </c>
      <c r="I25" s="116">
        <v>8468853</v>
      </c>
      <c r="J25" s="116"/>
      <c r="K25" s="116">
        <v>10708372</v>
      </c>
      <c r="L25" s="130">
        <f t="shared" si="0"/>
        <v>0.79086279408298477</v>
      </c>
      <c r="M25" s="85">
        <f>I23+I24+I25</f>
        <v>21864054</v>
      </c>
      <c r="N25" s="78">
        <f>J23+J24+J25</f>
        <v>0</v>
      </c>
      <c r="O25" s="90">
        <f>M25/M22-1</f>
        <v>0.18023232338717632</v>
      </c>
      <c r="P25" s="90">
        <f>M25/M13-1</f>
        <v>-1.6494326435900541E-2</v>
      </c>
      <c r="Q25" s="88">
        <f>AVERAGE(L23:L25)</f>
        <v>0.79424893310604316</v>
      </c>
      <c r="R25" s="91">
        <f>Q25/Q22-1</f>
        <v>0.15183332640922576</v>
      </c>
    </row>
    <row r="26" spans="1:18">
      <c r="A26" s="131"/>
      <c r="B26" s="131"/>
      <c r="C26" s="132"/>
      <c r="D26" s="132"/>
      <c r="E26" s="78">
        <f>I26/19</f>
        <v>301840.15789473685</v>
      </c>
      <c r="F26" s="90">
        <f t="shared" si="1"/>
        <v>-0.3228170331920982</v>
      </c>
      <c r="G26" s="90">
        <f t="shared" si="2"/>
        <v>0.55494333503198767</v>
      </c>
      <c r="H26" s="129" t="s">
        <v>312</v>
      </c>
      <c r="I26" s="116">
        <v>5734963</v>
      </c>
      <c r="J26" s="116"/>
      <c r="K26" s="116">
        <v>7494166.3499999996</v>
      </c>
      <c r="L26" s="130">
        <f t="shared" si="0"/>
        <v>0.76525696550624345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255834.04545454544</v>
      </c>
      <c r="F27" s="90">
        <f t="shared" si="1"/>
        <v>-0.15241879265195557</v>
      </c>
      <c r="G27" s="90">
        <f t="shared" si="2"/>
        <v>0.15435813935077314</v>
      </c>
      <c r="H27" s="129" t="s">
        <v>373</v>
      </c>
      <c r="I27" s="116">
        <v>5628349</v>
      </c>
      <c r="J27" s="116"/>
      <c r="K27" s="116">
        <v>7222072.2999999998</v>
      </c>
      <c r="L27" s="130">
        <f t="shared" si="0"/>
        <v>0.77932603914807108</v>
      </c>
      <c r="M27" s="78"/>
      <c r="O27" s="90"/>
      <c r="P27" s="90"/>
    </row>
    <row r="28" spans="1:18">
      <c r="A28" s="131">
        <f>SUM(E26:E28)</f>
        <v>828826.7296650717</v>
      </c>
      <c r="B28" s="131">
        <f>AVERAGE(E26:E28)</f>
        <v>276275.5765550239</v>
      </c>
      <c r="C28" s="90">
        <f>B28/B25-1</f>
        <v>-0.22401474170922753</v>
      </c>
      <c r="D28" s="90">
        <f>B28/B16-1</f>
        <v>0.31927224245762509</v>
      </c>
      <c r="E28" s="78">
        <f>I28/19</f>
        <v>271152.5263157895</v>
      </c>
      <c r="F28" s="90">
        <f t="shared" si="1"/>
        <v>5.9876631485959564E-2</v>
      </c>
      <c r="G28" s="90">
        <f t="shared" si="2"/>
        <v>0.27598541355342343</v>
      </c>
      <c r="H28" s="129" t="s">
        <v>413</v>
      </c>
      <c r="I28" s="116">
        <v>5151898</v>
      </c>
      <c r="J28" s="116"/>
      <c r="K28" s="116">
        <v>6434828.3700000001</v>
      </c>
      <c r="L28" s="130">
        <f t="shared" si="0"/>
        <v>0.80062710359437295</v>
      </c>
      <c r="M28" s="85">
        <f>I26+I27+I28</f>
        <v>16515210</v>
      </c>
      <c r="N28" s="78">
        <f>J26+J27+J28</f>
        <v>0</v>
      </c>
      <c r="O28" s="90">
        <f>M28/M25-1</f>
        <v>-0.24464099841685349</v>
      </c>
      <c r="P28" s="90">
        <f>M28/M16-1</f>
        <v>0.22943541381086185</v>
      </c>
      <c r="Q28" s="88">
        <f>AVERAGE(L26:L28)</f>
        <v>0.78173670274956253</v>
      </c>
      <c r="R28" s="91">
        <f>Q28/Q25-1</f>
        <v>-1.5753537505614812E-2</v>
      </c>
    </row>
    <row r="29" spans="1:18">
      <c r="A29" s="131"/>
      <c r="B29" s="131"/>
      <c r="C29" s="132"/>
      <c r="D29" s="132"/>
      <c r="E29" s="78">
        <f>I29/22</f>
        <v>238307</v>
      </c>
      <c r="F29" s="90">
        <f t="shared" si="1"/>
        <v>-0.12113302709021034</v>
      </c>
      <c r="G29" s="90">
        <f t="shared" si="2"/>
        <v>-0.28778371257313229</v>
      </c>
      <c r="H29" s="129" t="s">
        <v>426</v>
      </c>
      <c r="I29" s="116">
        <v>5242754</v>
      </c>
      <c r="J29" s="116">
        <v>6926081482</v>
      </c>
      <c r="K29" s="116">
        <v>6915804.46</v>
      </c>
      <c r="L29" s="130">
        <f t="shared" si="0"/>
        <v>0.7580830300109439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300073.68421052629</v>
      </c>
      <c r="F30" s="90">
        <f t="shared" si="1"/>
        <v>0.25918955049799752</v>
      </c>
      <c r="G30" s="90">
        <f t="shared" si="2"/>
        <v>-0.1488596975661769</v>
      </c>
      <c r="H30" s="129" t="s">
        <v>466</v>
      </c>
      <c r="I30" s="116">
        <v>5701400</v>
      </c>
      <c r="J30" s="116">
        <v>7593674518</v>
      </c>
      <c r="K30" s="116">
        <v>7362063.5800000001</v>
      </c>
      <c r="L30" s="130">
        <f t="shared" si="0"/>
        <v>0.77442960632513314</v>
      </c>
      <c r="M30" s="85"/>
      <c r="N30" s="78"/>
      <c r="O30" s="90"/>
      <c r="P30" s="90"/>
      <c r="Q30" s="88"/>
      <c r="R30" s="91"/>
    </row>
    <row r="31" spans="1:18">
      <c r="A31" s="131">
        <f>SUM(E29:E31)</f>
        <v>899448.93421052629</v>
      </c>
      <c r="B31" s="131">
        <f>AVERAGE(E29:E31)</f>
        <v>299816.31140350876</v>
      </c>
      <c r="C31" s="90">
        <f>B31/B28-1</f>
        <v>8.520744085316001E-2</v>
      </c>
      <c r="D31" s="90">
        <f>B31/B19-1</f>
        <v>-6.0380593598928778E-2</v>
      </c>
      <c r="E31" s="78">
        <f>I31/20</f>
        <v>361068.25</v>
      </c>
      <c r="F31" s="90">
        <f t="shared" si="1"/>
        <v>0.20326529448907293</v>
      </c>
      <c r="G31" s="90">
        <f t="shared" si="2"/>
        <v>0.33682417689865263</v>
      </c>
      <c r="H31" s="129" t="s">
        <v>506</v>
      </c>
      <c r="I31" s="116">
        <v>7221365</v>
      </c>
      <c r="J31" s="116">
        <v>9588365930</v>
      </c>
      <c r="K31" s="116">
        <v>9739000.7799999993</v>
      </c>
      <c r="L31" s="130">
        <f t="shared" si="0"/>
        <v>0.7414893132393815</v>
      </c>
      <c r="M31" s="85">
        <f>I29+I30+I31</f>
        <v>18165519</v>
      </c>
      <c r="N31" s="78">
        <f>J29+J30+J31</f>
        <v>24108121930</v>
      </c>
      <c r="O31" s="90">
        <f>M31/M28-1</f>
        <v>9.9926613103920481E-2</v>
      </c>
      <c r="P31" s="90">
        <f>M31/M19-1</f>
        <v>-7.7196867832001859E-2</v>
      </c>
      <c r="Q31" s="88">
        <f>AVERAGE(L29:L31)</f>
        <v>0.75800064985848614</v>
      </c>
      <c r="R31" s="91">
        <f>Q31/Q28-1</f>
        <v>-3.0363232028879805E-2</v>
      </c>
    </row>
    <row r="32" spans="1:18">
      <c r="A32" s="131"/>
      <c r="B32" s="131"/>
      <c r="C32" s="90"/>
      <c r="D32" s="90"/>
      <c r="E32" s="78">
        <f>I32/21</f>
        <v>300286.28571428574</v>
      </c>
      <c r="F32" s="90">
        <f t="shared" si="1"/>
        <v>-0.16833926629027685</v>
      </c>
      <c r="G32" s="90">
        <f t="shared" si="2"/>
        <v>2.3478349335959159E-4</v>
      </c>
      <c r="H32" s="129" t="s">
        <v>561</v>
      </c>
      <c r="I32" s="116">
        <v>6306012</v>
      </c>
      <c r="J32" s="116">
        <v>8577422142</v>
      </c>
      <c r="K32" s="116">
        <v>8085875.3700000001</v>
      </c>
      <c r="L32" s="130">
        <f t="shared" si="0"/>
        <v>0.77987994019749529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372029.66666666669</v>
      </c>
      <c r="F33" s="90">
        <f t="shared" si="1"/>
        <v>0.23891660846823637</v>
      </c>
      <c r="G33" s="90">
        <f t="shared" si="2"/>
        <v>0.24371533670684653</v>
      </c>
      <c r="H33" s="129" t="s">
        <v>606</v>
      </c>
      <c r="I33" s="116">
        <v>7812623</v>
      </c>
      <c r="J33" s="116">
        <v>10683149814</v>
      </c>
      <c r="K33" s="116">
        <v>10989394.75</v>
      </c>
      <c r="L33" s="130">
        <f t="shared" si="0"/>
        <v>0.71092386593902268</v>
      </c>
      <c r="M33" s="85"/>
      <c r="N33" s="78"/>
      <c r="O33" s="90"/>
      <c r="P33" s="90"/>
      <c r="Q33" s="88"/>
      <c r="R33" s="91"/>
    </row>
    <row r="34" spans="1:18">
      <c r="A34" s="131">
        <f>SUM(E32:E34)</f>
        <v>989568.7418546367</v>
      </c>
      <c r="B34" s="131">
        <f>AVERAGE(E32:E34)</f>
        <v>329856.24728487892</v>
      </c>
      <c r="C34" s="90">
        <f>B34/B31-1</f>
        <v>0.10019446820870526</v>
      </c>
      <c r="D34" s="90">
        <f>B34/B22-1</f>
        <v>0.10387629963699263</v>
      </c>
      <c r="E34" s="78">
        <f>I34/19</f>
        <v>317252.78947368421</v>
      </c>
      <c r="F34" s="90">
        <f t="shared" si="1"/>
        <v>-0.14723792778080191</v>
      </c>
      <c r="G34" s="90">
        <f t="shared" si="2"/>
        <v>6.7811988999797013E-2</v>
      </c>
      <c r="H34" s="129" t="s">
        <v>652</v>
      </c>
      <c r="I34" s="116">
        <v>6027803</v>
      </c>
      <c r="J34" s="116">
        <v>8287927232</v>
      </c>
      <c r="K34" s="116">
        <v>8218113.25</v>
      </c>
      <c r="L34" s="130">
        <f t="shared" si="0"/>
        <v>0.73347772373421605</v>
      </c>
      <c r="M34" s="85">
        <f>I32+I33+I34</f>
        <v>20146438</v>
      </c>
      <c r="N34" s="78">
        <f>J32+J33+J34</f>
        <v>27548499188</v>
      </c>
      <c r="O34" s="90">
        <f>M34/M31-1</f>
        <v>0.10904830189547576</v>
      </c>
      <c r="P34" s="90">
        <f>M34/M22-1</f>
        <v>8.7514572032967752E-2</v>
      </c>
      <c r="Q34" s="88">
        <f>AVERAGE(L32:L34)</f>
        <v>0.74142717662357815</v>
      </c>
      <c r="R34" s="91">
        <f>Q34/Q31-1</f>
        <v>-2.1864721670096343E-2</v>
      </c>
    </row>
    <row r="35" spans="1:18">
      <c r="A35" s="131"/>
      <c r="B35" s="131"/>
      <c r="C35" s="90"/>
      <c r="D35" s="90"/>
      <c r="E35" s="78">
        <f>I35/23</f>
        <v>374552.95652173914</v>
      </c>
      <c r="F35" s="90">
        <f t="shared" ref="F35" si="3">E35/E34-1</f>
        <v>0.18061359568536717</v>
      </c>
      <c r="G35" s="90">
        <f t="shared" ref="G35" si="4">E35/E23-1</f>
        <v>0.2616729085539613</v>
      </c>
      <c r="H35" s="129" t="s">
        <v>660</v>
      </c>
      <c r="I35" s="116">
        <v>8614718</v>
      </c>
      <c r="J35" s="116">
        <v>11922871719</v>
      </c>
      <c r="K35" s="116">
        <v>11475822.75</v>
      </c>
      <c r="L35" s="130">
        <f t="shared" ref="L35" si="5">I35/K35</f>
        <v>0.75068412850834598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232125.23809523811</v>
      </c>
      <c r="F36" s="90">
        <f t="shared" ref="F36" si="6">E36/E35-1</f>
        <v>-0.38026056381758799</v>
      </c>
      <c r="G36" s="90">
        <f t="shared" ref="G36" si="7">E36/E24-1</f>
        <v>-0.28685855730517107</v>
      </c>
      <c r="H36" s="129" t="s">
        <v>665</v>
      </c>
      <c r="I36" s="116">
        <v>4874630</v>
      </c>
      <c r="J36" s="116">
        <v>6647649301</v>
      </c>
      <c r="K36" s="116">
        <v>6088942.3300000001</v>
      </c>
      <c r="L36" s="130">
        <f t="shared" ref="L36" si="8">I36/K36</f>
        <v>0.80057089323754527</v>
      </c>
      <c r="M36" s="85"/>
      <c r="N36" s="78"/>
      <c r="O36" s="90"/>
      <c r="P36" s="90"/>
      <c r="Q36" s="88"/>
      <c r="R36" s="91"/>
    </row>
    <row r="37" spans="1:18">
      <c r="A37" s="131">
        <f>SUM(E35:E37)</f>
        <v>1020213.9168391995</v>
      </c>
      <c r="B37" s="131">
        <f>AVERAGE(E35:E37)</f>
        <v>340071.30561306648</v>
      </c>
      <c r="C37" s="90">
        <f>B37/B34-1</f>
        <v>3.096821240243286E-2</v>
      </c>
      <c r="D37" s="90">
        <f>B37/B25-1</f>
        <v>-4.4829357650880142E-2</v>
      </c>
      <c r="E37" s="78">
        <f>I37/18</f>
        <v>413535.72222222225</v>
      </c>
      <c r="F37" s="90">
        <f t="shared" ref="F37" si="9">E37/E36-1</f>
        <v>0.78151986236220328</v>
      </c>
      <c r="G37" s="90">
        <f t="shared" ref="G37" si="10">E37/E25-1</f>
        <v>-7.2226342549313038E-2</v>
      </c>
      <c r="H37" s="129" t="s">
        <v>703</v>
      </c>
      <c r="I37" s="116">
        <v>7443643</v>
      </c>
      <c r="J37" s="116">
        <v>9929632581</v>
      </c>
      <c r="K37" s="116">
        <v>9263957.7100000009</v>
      </c>
      <c r="L37" s="130">
        <f t="shared" ref="L37" si="11">I37/K37</f>
        <v>0.80350571893964307</v>
      </c>
      <c r="M37" s="85">
        <f>I35+I36+I37</f>
        <v>20932991</v>
      </c>
      <c r="N37" s="78">
        <f>J35+J36+J37</f>
        <v>28500153601</v>
      </c>
      <c r="O37" s="90">
        <f>M37/M34-1</f>
        <v>3.9041789918396574E-2</v>
      </c>
      <c r="P37" s="90">
        <f>M37/M25-1</f>
        <v>-4.2584188641319631E-2</v>
      </c>
      <c r="Q37" s="88">
        <f>AVERAGE(L35:L37)</f>
        <v>0.78492024689517803</v>
      </c>
      <c r="R37" s="91">
        <f>Q37/Q34-1</f>
        <v>5.8661284132671243E-2</v>
      </c>
    </row>
    <row r="38" spans="1:18">
      <c r="A38" s="131"/>
      <c r="B38" s="131"/>
      <c r="C38" s="90"/>
      <c r="D38" s="90"/>
      <c r="E38" s="143">
        <f>I38/20</f>
        <v>408454.75</v>
      </c>
      <c r="F38" s="109">
        <f t="shared" ref="F38" si="12">E38/E37-1</f>
        <v>-1.2286658562212116E-2</v>
      </c>
      <c r="G38" s="109">
        <f t="shared" ref="G38" si="13">E38/E26-1</f>
        <v>0.35321539999473406</v>
      </c>
      <c r="H38" s="144" t="s">
        <v>726</v>
      </c>
      <c r="I38" s="145">
        <v>8169095</v>
      </c>
      <c r="J38" s="145">
        <v>10979016850</v>
      </c>
      <c r="K38" s="145">
        <v>10407415.48</v>
      </c>
      <c r="L38" s="146">
        <f t="shared" ref="L38" si="14">I38/K38</f>
        <v>0.78493022746123708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298376.16666666669</v>
      </c>
      <c r="F39" s="109">
        <f t="shared" ref="F39" si="15">E39/E38-1</f>
        <v>-0.26950006906109747</v>
      </c>
      <c r="G39" s="109">
        <f t="shared" ref="G39" si="16">E39/E27-1</f>
        <v>0.16628795880757696</v>
      </c>
      <c r="H39" s="144" t="s">
        <v>763</v>
      </c>
      <c r="I39" s="145">
        <v>1790257</v>
      </c>
      <c r="J39" s="145">
        <v>2475361109</v>
      </c>
      <c r="K39" s="145">
        <v>2250358.61</v>
      </c>
      <c r="L39" s="146">
        <f t="shared" ref="L39" si="17">I39/K39</f>
        <v>0.79554298236937449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353415.45833333337</v>
      </c>
      <c r="C40" s="90">
        <f>B40/B37-1</f>
        <v>3.9239278645431863E-2</v>
      </c>
      <c r="D40" s="90">
        <f>B40/B28-1</f>
        <v>0.27921354011886779</v>
      </c>
      <c r="F40" s="90"/>
      <c r="G40" s="90"/>
      <c r="I40" s="78"/>
      <c r="J40" s="78"/>
      <c r="K40" s="78"/>
      <c r="M40" s="78"/>
    </row>
    <row r="41" spans="1:18">
      <c r="F41" s="90"/>
      <c r="G41" s="90"/>
      <c r="I41" s="78"/>
      <c r="J41" s="78"/>
      <c r="K41" s="78"/>
      <c r="M41" s="78"/>
    </row>
    <row r="42" spans="1:18">
      <c r="F42" s="90"/>
      <c r="G42" s="90"/>
      <c r="I42" s="78"/>
      <c r="J42" s="78"/>
      <c r="K42" s="78"/>
      <c r="M42" s="78"/>
    </row>
    <row r="43" spans="1:18">
      <c r="F43" s="90"/>
      <c r="G43" s="90"/>
      <c r="I43" s="78"/>
      <c r="J43" s="78"/>
      <c r="K43" s="78"/>
      <c r="M43" s="78"/>
    </row>
    <row r="44" spans="1:18">
      <c r="F44" s="90"/>
      <c r="G44" s="90"/>
      <c r="I44" s="78"/>
      <c r="J44" s="78"/>
      <c r="K44" s="78"/>
      <c r="M44" s="78"/>
    </row>
    <row r="45" spans="1:18">
      <c r="F45" s="90"/>
      <c r="G45" s="90"/>
      <c r="I45" s="78"/>
      <c r="J45" s="78"/>
      <c r="K45" s="78"/>
      <c r="M45" s="78"/>
    </row>
    <row r="46" spans="1:18">
      <c r="F46" s="90"/>
      <c r="G46" s="90"/>
      <c r="I46" s="78"/>
      <c r="J46" s="78"/>
      <c r="K46" s="78"/>
      <c r="M46" s="78"/>
    </row>
    <row r="47" spans="1:18">
      <c r="F47" s="90"/>
      <c r="G47" s="90"/>
      <c r="I47" s="78"/>
      <c r="J47" s="78"/>
      <c r="K47" s="78"/>
      <c r="M47" s="78"/>
    </row>
    <row r="48" spans="1:18">
      <c r="F48" s="90"/>
      <c r="G48" s="90"/>
      <c r="I48" s="78"/>
      <c r="J48" s="78"/>
      <c r="K48" s="78"/>
      <c r="M48" s="78"/>
    </row>
    <row r="49" spans="6:13">
      <c r="F49" s="90"/>
      <c r="G49" s="90"/>
      <c r="I49" s="78"/>
      <c r="J49" s="78"/>
      <c r="K49" s="78"/>
      <c r="M49" s="78"/>
    </row>
  </sheetData>
  <phoneticPr fontId="1" type="noConversion"/>
  <conditionalFormatting sqref="B29:B30">
    <cfRule type="cellIs" dxfId="0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106"/>
  <dimension ref="A1:N20"/>
  <sheetViews>
    <sheetView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138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537491.19999999995</v>
      </c>
      <c r="D5" s="29"/>
      <c r="E5" s="28"/>
      <c r="F5" s="30" t="s">
        <v>0</v>
      </c>
      <c r="G5" s="31">
        <v>10749824</v>
      </c>
      <c r="H5" s="31">
        <v>13590.2</v>
      </c>
      <c r="I5" s="32">
        <f>G5/H5</f>
        <v>790.99821930508745</v>
      </c>
    </row>
    <row r="6" spans="1:14" ht="15" customHeight="1">
      <c r="C6" s="28">
        <f>G6/18</f>
        <v>742339.77777777775</v>
      </c>
      <c r="D6" s="29">
        <f t="shared" ref="D6:D16" si="0">C6/C5-1</f>
        <v>0.38111987280494608</v>
      </c>
      <c r="E6" s="28"/>
      <c r="F6" s="30" t="s">
        <v>1</v>
      </c>
      <c r="G6" s="31">
        <v>13362116</v>
      </c>
      <c r="H6" s="31">
        <v>14247.27</v>
      </c>
      <c r="I6" s="32">
        <f t="shared" ref="I6:I16" si="1">G6/H6</f>
        <v>937.87202741297097</v>
      </c>
    </row>
    <row r="7" spans="1:14" ht="15" customHeight="1">
      <c r="A7" s="33">
        <f>C5+C6+C7</f>
        <v>1917199.705050505</v>
      </c>
      <c r="B7" s="33"/>
      <c r="C7" s="34">
        <f>G7/22</f>
        <v>637368.72727272729</v>
      </c>
      <c r="D7" s="35">
        <f t="shared" si="0"/>
        <v>-0.14140566577111802</v>
      </c>
      <c r="E7" s="34"/>
      <c r="F7" s="30" t="s">
        <v>2</v>
      </c>
      <c r="G7" s="31">
        <v>14022112</v>
      </c>
      <c r="H7" s="31">
        <v>14993.24</v>
      </c>
      <c r="I7" s="32">
        <f t="shared" si="1"/>
        <v>935.22894317705845</v>
      </c>
      <c r="J7" s="19">
        <f>G7+G6+G5</f>
        <v>38134052</v>
      </c>
      <c r="M7" s="39"/>
    </row>
    <row r="8" spans="1:14" ht="15" customHeight="1">
      <c r="C8" s="34">
        <f>G8/21</f>
        <v>763593</v>
      </c>
      <c r="D8" s="35">
        <f t="shared" si="0"/>
        <v>0.19803963910714728</v>
      </c>
      <c r="E8" s="34"/>
      <c r="F8" s="30" t="s">
        <v>3</v>
      </c>
      <c r="G8" s="31">
        <v>16035453</v>
      </c>
      <c r="H8" s="31">
        <v>17186.47</v>
      </c>
      <c r="I8" s="32">
        <f t="shared" si="1"/>
        <v>933.02772471601202</v>
      </c>
    </row>
    <row r="9" spans="1:14" ht="15" customHeight="1">
      <c r="C9" s="34">
        <f>G9/21</f>
        <v>982502.95238095243</v>
      </c>
      <c r="D9" s="35">
        <f t="shared" si="0"/>
        <v>0.28668407434451648</v>
      </c>
      <c r="E9" s="34"/>
      <c r="F9" s="30" t="s">
        <v>4</v>
      </c>
      <c r="G9" s="31">
        <v>20632562</v>
      </c>
      <c r="H9" s="31">
        <v>21869.35</v>
      </c>
      <c r="I9" s="32">
        <f t="shared" si="1"/>
        <v>943.44651304222577</v>
      </c>
    </row>
    <row r="10" spans="1:14" ht="15" customHeight="1">
      <c r="A10" s="33">
        <f>C8+C9+C10</f>
        <v>2677751.0476190476</v>
      </c>
      <c r="B10" s="35">
        <f>A10/A7-1</f>
        <v>0.39669907134087912</v>
      </c>
      <c r="C10" s="34">
        <f>G10/21</f>
        <v>931655.09523809527</v>
      </c>
      <c r="D10" s="35">
        <f t="shared" si="0"/>
        <v>-5.1753388648486776E-2</v>
      </c>
      <c r="E10" s="34"/>
      <c r="F10" s="30" t="s">
        <v>5</v>
      </c>
      <c r="G10" s="31">
        <v>19564757</v>
      </c>
      <c r="H10" s="31">
        <v>20103.37</v>
      </c>
      <c r="I10" s="32">
        <f t="shared" si="1"/>
        <v>973.20782535465457</v>
      </c>
      <c r="J10" s="19">
        <f>G10+G9+G8</f>
        <v>56232772</v>
      </c>
      <c r="K10" s="41">
        <f>J10/J7-1</f>
        <v>0.47460783868443879</v>
      </c>
      <c r="M10" s="39"/>
    </row>
    <row r="11" spans="1:14" ht="15" customHeight="1">
      <c r="C11" s="34">
        <f>G11/21</f>
        <v>1036015.7619047619</v>
      </c>
      <c r="D11" s="35">
        <f t="shared" si="0"/>
        <v>0.11201641809300256</v>
      </c>
      <c r="E11" s="34"/>
      <c r="F11" s="30" t="s">
        <v>6</v>
      </c>
      <c r="G11" s="31">
        <v>21756331</v>
      </c>
      <c r="H11" s="31">
        <v>22479.599999999999</v>
      </c>
      <c r="I11" s="32">
        <f t="shared" si="1"/>
        <v>967.82553960034886</v>
      </c>
    </row>
    <row r="12" spans="1:14" ht="15" customHeight="1">
      <c r="C12" s="34">
        <f>G12/22</f>
        <v>789199.86363636365</v>
      </c>
      <c r="D12" s="35">
        <f t="shared" si="0"/>
        <v>-0.23823565947936554</v>
      </c>
      <c r="E12" s="34"/>
      <c r="F12" s="30" t="s">
        <v>55</v>
      </c>
      <c r="G12" s="31">
        <v>17362397</v>
      </c>
      <c r="H12" s="31">
        <v>17777.07</v>
      </c>
      <c r="I12" s="32">
        <f t="shared" si="1"/>
        <v>976.67371507228131</v>
      </c>
    </row>
    <row r="13" spans="1:14" ht="15" customHeight="1">
      <c r="A13" s="33">
        <f>C11+C12+C13</f>
        <v>2712132.5255411253</v>
      </c>
      <c r="B13" s="35">
        <f>A13/A10-1</f>
        <v>1.2839684238999061E-2</v>
      </c>
      <c r="C13" s="36">
        <f>G13/20</f>
        <v>886916.9</v>
      </c>
      <c r="D13" s="37">
        <f t="shared" si="0"/>
        <v>0.1238178576379747</v>
      </c>
      <c r="E13" s="36"/>
      <c r="F13" s="30" t="s">
        <v>35</v>
      </c>
      <c r="G13" s="31">
        <v>17738338</v>
      </c>
      <c r="H13" s="31">
        <v>18224.810000000001</v>
      </c>
      <c r="I13" s="32">
        <f t="shared" si="1"/>
        <v>973.30715656294899</v>
      </c>
      <c r="J13" s="19">
        <f>G13+G12+G11</f>
        <v>56857066</v>
      </c>
      <c r="K13" s="41">
        <f>J13/J10-1</f>
        <v>1.1101960259046084E-2</v>
      </c>
    </row>
    <row r="14" spans="1:14" ht="15" customHeight="1">
      <c r="C14" s="36">
        <f>G14/20</f>
        <v>801175.1</v>
      </c>
      <c r="D14" s="37">
        <f t="shared" si="0"/>
        <v>-9.667399504959262E-2</v>
      </c>
      <c r="E14" s="36"/>
      <c r="F14" s="30" t="s">
        <v>36</v>
      </c>
      <c r="G14" s="31">
        <v>16023502</v>
      </c>
      <c r="H14" s="31">
        <v>18530.439999999999</v>
      </c>
      <c r="I14" s="32">
        <f t="shared" si="1"/>
        <v>864.71244071916271</v>
      </c>
    </row>
    <row r="15" spans="1:14" ht="15" customHeight="1">
      <c r="A15" s="33"/>
      <c r="B15" s="33"/>
      <c r="C15" s="36">
        <f>G15/22</f>
        <v>973897.72727272729</v>
      </c>
      <c r="D15" s="37">
        <f t="shared" si="0"/>
        <v>0.21558661430282511</v>
      </c>
      <c r="E15" s="36"/>
      <c r="F15" s="30" t="s">
        <v>37</v>
      </c>
      <c r="G15" s="31">
        <v>21425750</v>
      </c>
      <c r="H15" s="31">
        <v>23189.37</v>
      </c>
      <c r="I15" s="32">
        <f t="shared" si="1"/>
        <v>923.94704987673231</v>
      </c>
    </row>
    <row r="16" spans="1:14" ht="15" customHeight="1">
      <c r="A16" s="33">
        <f>C14+C15+C16</f>
        <v>2423959.1454545455</v>
      </c>
      <c r="B16" s="35">
        <f>A16/A13-1</f>
        <v>-0.10625342875864208</v>
      </c>
      <c r="C16" s="36">
        <f>G16/22</f>
        <v>648886.31818181823</v>
      </c>
      <c r="D16" s="37">
        <f t="shared" si="0"/>
        <v>-0.33372232010548053</v>
      </c>
      <c r="E16" s="36"/>
      <c r="F16" s="30" t="s">
        <v>38</v>
      </c>
      <c r="G16" s="31">
        <v>14275499</v>
      </c>
      <c r="H16" s="31">
        <v>17415.04</v>
      </c>
      <c r="I16" s="32">
        <f t="shared" si="1"/>
        <v>819.72243532027483</v>
      </c>
      <c r="J16" s="19">
        <f>G16+G15+G14</f>
        <v>51724751</v>
      </c>
      <c r="K16" s="41">
        <f>J16/J13-1</f>
        <v>-9.0266968752837129E-2</v>
      </c>
    </row>
    <row r="17" spans="1:12" ht="15" customHeight="1">
      <c r="C17" s="36">
        <f>G17/20</f>
        <v>621397.75</v>
      </c>
      <c r="D17" s="37">
        <f>C17/C16-1</f>
        <v>-4.2362687286798262E-2</v>
      </c>
      <c r="E17" s="37">
        <f>C17/C5-1</f>
        <v>0.1561077651131777</v>
      </c>
      <c r="F17" s="40" t="s">
        <v>109</v>
      </c>
      <c r="G17" s="31">
        <v>12427955</v>
      </c>
      <c r="H17" s="31">
        <v>13787.83</v>
      </c>
      <c r="I17" s="32">
        <f t="shared" ref="I17:I19" si="2">G17/H17</f>
        <v>901.37135430303397</v>
      </c>
    </row>
    <row r="18" spans="1:12">
      <c r="C18" s="36">
        <f>G18/20</f>
        <v>495402.7</v>
      </c>
      <c r="D18" s="37">
        <f>C18/C17-1</f>
        <v>-0.20276071163759446</v>
      </c>
      <c r="E18" s="37">
        <f>C18/C6-1</f>
        <v>-0.33264696998589138</v>
      </c>
      <c r="F18" s="40" t="s">
        <v>119</v>
      </c>
      <c r="G18" s="31">
        <v>9908054</v>
      </c>
      <c r="H18" s="31">
        <v>11026.25</v>
      </c>
      <c r="I18" s="32">
        <f t="shared" si="2"/>
        <v>898.58782450969272</v>
      </c>
    </row>
    <row r="19" spans="1:12">
      <c r="A19" s="33">
        <f>C17+C18+C19</f>
        <v>1969403.5863636364</v>
      </c>
      <c r="B19" s="35">
        <f>A19/A16-1</f>
        <v>-0.18752608101638191</v>
      </c>
      <c r="C19" s="36">
        <f>G19/22</f>
        <v>852603.13636363635</v>
      </c>
      <c r="D19" s="37">
        <f>C19/C18-1</f>
        <v>0.72103045938917232</v>
      </c>
      <c r="E19" s="37">
        <f>C19/C7-1</f>
        <v>0.33769213938670584</v>
      </c>
      <c r="F19" s="40" t="s">
        <v>137</v>
      </c>
      <c r="G19" s="31">
        <v>18757269</v>
      </c>
      <c r="H19" s="31">
        <v>19235.189999999999</v>
      </c>
      <c r="I19" s="32">
        <f t="shared" si="2"/>
        <v>975.15381963994128</v>
      </c>
      <c r="J19" s="19">
        <f>G19+G18+G17</f>
        <v>41093278</v>
      </c>
      <c r="K19" s="41">
        <f>J19/J16-1</f>
        <v>-0.20553937514363285</v>
      </c>
      <c r="L19" s="41">
        <f>J19/J7-1</f>
        <v>7.7600617946395944E-2</v>
      </c>
    </row>
    <row r="20" spans="1:12">
      <c r="C20" s="36">
        <f>G20/20</f>
        <v>937863.45</v>
      </c>
      <c r="D20" s="37">
        <f>C20/C19-1</f>
        <v>9.9999999999999867E-2</v>
      </c>
      <c r="E20" s="37">
        <f>C20/C8-1</f>
        <v>0.22822426344924573</v>
      </c>
      <c r="F20" s="40" t="s">
        <v>145</v>
      </c>
      <c r="G20" s="31">
        <v>18757269</v>
      </c>
      <c r="H20" s="31">
        <v>19235.189999999999</v>
      </c>
      <c r="I20" s="32">
        <f t="shared" ref="I20" si="3">G20/H20</f>
        <v>975.15381963994128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07"/>
  <dimension ref="A1:N20"/>
  <sheetViews>
    <sheetView topLeftCell="F15"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91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12116.1</v>
      </c>
      <c r="D5" s="29"/>
      <c r="E5" s="28"/>
      <c r="F5" s="30" t="s">
        <v>0</v>
      </c>
      <c r="G5" s="31">
        <v>242322</v>
      </c>
      <c r="H5" s="31">
        <v>334.6</v>
      </c>
      <c r="I5" s="32">
        <f>G5/H5</f>
        <v>724.21398684997007</v>
      </c>
    </row>
    <row r="6" spans="1:14" ht="15" customHeight="1">
      <c r="C6" s="28">
        <f>G6/18</f>
        <v>8273.9444444444453</v>
      </c>
      <c r="D6" s="29">
        <f t="shared" ref="D6:D16" si="0">C6/C5-1</f>
        <v>-0.31711157514014865</v>
      </c>
      <c r="E6" s="28"/>
      <c r="F6" s="30" t="s">
        <v>1</v>
      </c>
      <c r="G6" s="31">
        <v>148931</v>
      </c>
      <c r="H6" s="31">
        <v>184.2</v>
      </c>
      <c r="I6" s="32">
        <f t="shared" ref="I6:I16" si="1">G6/H6</f>
        <v>808.52877307274707</v>
      </c>
    </row>
    <row r="7" spans="1:14" ht="15" customHeight="1">
      <c r="A7" s="33">
        <f>C5+C6+C7</f>
        <v>42857.726262626267</v>
      </c>
      <c r="B7" s="33"/>
      <c r="C7" s="34">
        <f>G7/22</f>
        <v>22467.68181818182</v>
      </c>
      <c r="D7" s="35">
        <f t="shared" si="0"/>
        <v>1.7154740969124811</v>
      </c>
      <c r="E7" s="34"/>
      <c r="F7" s="30" t="s">
        <v>2</v>
      </c>
      <c r="G7" s="31">
        <v>494289</v>
      </c>
      <c r="H7" s="31">
        <v>1132.5999999999999</v>
      </c>
      <c r="I7" s="32">
        <f t="shared" si="1"/>
        <v>436.41974218612046</v>
      </c>
      <c r="J7" s="19">
        <f>G7+G6+G5</f>
        <v>885542</v>
      </c>
      <c r="M7" s="39"/>
    </row>
    <row r="8" spans="1:14" ht="15" customHeight="1">
      <c r="C8" s="34">
        <f>G8/21</f>
        <v>30361.190476190477</v>
      </c>
      <c r="D8" s="35">
        <f t="shared" si="0"/>
        <v>0.35132724069560606</v>
      </c>
      <c r="E8" s="34"/>
      <c r="F8" s="30" t="s">
        <v>3</v>
      </c>
      <c r="G8" s="31">
        <v>637585</v>
      </c>
      <c r="H8" s="31">
        <v>1030.2</v>
      </c>
      <c r="I8" s="32">
        <f t="shared" si="1"/>
        <v>618.8943894389439</v>
      </c>
    </row>
    <row r="9" spans="1:14" ht="15" customHeight="1">
      <c r="C9" s="34">
        <f>G9/21</f>
        <v>27996.761904761905</v>
      </c>
      <c r="D9" s="35">
        <f t="shared" si="0"/>
        <v>-7.7876675266827178E-2</v>
      </c>
      <c r="E9" s="34"/>
      <c r="F9" s="30" t="s">
        <v>4</v>
      </c>
      <c r="G9" s="31">
        <v>587932</v>
      </c>
      <c r="H9" s="31">
        <v>731.32</v>
      </c>
      <c r="I9" s="32">
        <f t="shared" si="1"/>
        <v>803.93261499753862</v>
      </c>
    </row>
    <row r="10" spans="1:14" ht="15" customHeight="1">
      <c r="A10" s="33">
        <f>C8+C9+C10</f>
        <v>86314.57142857142</v>
      </c>
      <c r="B10" s="35">
        <f>A10/A7-1</f>
        <v>1.0139792507807708</v>
      </c>
      <c r="C10" s="34">
        <f>G10/21</f>
        <v>27956.619047619046</v>
      </c>
      <c r="D10" s="35">
        <f t="shared" si="0"/>
        <v>-1.433839287536709E-3</v>
      </c>
      <c r="E10" s="34"/>
      <c r="F10" s="30" t="s">
        <v>5</v>
      </c>
      <c r="G10" s="31">
        <v>587089</v>
      </c>
      <c r="H10" s="31">
        <v>807.84</v>
      </c>
      <c r="I10" s="32">
        <f t="shared" si="1"/>
        <v>726.73920578332343</v>
      </c>
      <c r="J10" s="19">
        <f>G10+G9+G8</f>
        <v>1812606</v>
      </c>
      <c r="K10" s="41">
        <f>J10/J7-1</f>
        <v>1.046888798046846</v>
      </c>
      <c r="M10" s="39"/>
    </row>
    <row r="11" spans="1:14" ht="15" customHeight="1">
      <c r="C11" s="34">
        <f>G11/21</f>
        <v>47046.666666666664</v>
      </c>
      <c r="D11" s="35">
        <f t="shared" si="0"/>
        <v>0.68284536075450242</v>
      </c>
      <c r="E11" s="34"/>
      <c r="F11" s="30" t="s">
        <v>6</v>
      </c>
      <c r="G11" s="31">
        <v>987980</v>
      </c>
      <c r="H11" s="31">
        <v>1524.13</v>
      </c>
      <c r="I11" s="32">
        <f t="shared" si="1"/>
        <v>648.22554506505344</v>
      </c>
    </row>
    <row r="12" spans="1:14" ht="15" customHeight="1">
      <c r="C12" s="34">
        <f>G12/22</f>
        <v>37536.590909090912</v>
      </c>
      <c r="D12" s="35">
        <f t="shared" si="0"/>
        <v>-0.2021413296919885</v>
      </c>
      <c r="E12" s="34"/>
      <c r="F12" s="30" t="s">
        <v>55</v>
      </c>
      <c r="G12" s="31">
        <v>825805</v>
      </c>
      <c r="H12" s="31">
        <v>1248.79</v>
      </c>
      <c r="I12" s="32">
        <f t="shared" si="1"/>
        <v>661.28412303109417</v>
      </c>
    </row>
    <row r="13" spans="1:14" ht="15" customHeight="1">
      <c r="A13" s="33">
        <f>C11+C12+C13</f>
        <v>129244.00757575757</v>
      </c>
      <c r="B13" s="35">
        <f>A13/A10-1</f>
        <v>0.49736024215461572</v>
      </c>
      <c r="C13" s="36">
        <f>G13/20</f>
        <v>44660.75</v>
      </c>
      <c r="D13" s="37">
        <f t="shared" si="0"/>
        <v>0.1897923844006757</v>
      </c>
      <c r="E13" s="36"/>
      <c r="F13" s="30" t="s">
        <v>35</v>
      </c>
      <c r="G13" s="31">
        <v>893215</v>
      </c>
      <c r="H13" s="31">
        <v>1270.8800000000001</v>
      </c>
      <c r="I13" s="32">
        <f t="shared" si="1"/>
        <v>702.83189600906451</v>
      </c>
      <c r="J13" s="19">
        <f>G13+G12+G11</f>
        <v>2707000</v>
      </c>
      <c r="K13" s="41">
        <f>J13/J10-1</f>
        <v>0.49342990147886523</v>
      </c>
    </row>
    <row r="14" spans="1:14" ht="15" customHeight="1">
      <c r="C14" s="36">
        <f>G14/20</f>
        <v>34697.35</v>
      </c>
      <c r="D14" s="37">
        <f t="shared" si="0"/>
        <v>-0.22309074522931216</v>
      </c>
      <c r="E14" s="36"/>
      <c r="F14" s="30" t="s">
        <v>36</v>
      </c>
      <c r="G14" s="31">
        <v>693947</v>
      </c>
      <c r="H14" s="31">
        <v>1299.49</v>
      </c>
      <c r="I14" s="32">
        <f t="shared" si="1"/>
        <v>534.0148827616988</v>
      </c>
    </row>
    <row r="15" spans="1:14" ht="15" customHeight="1">
      <c r="A15" s="33"/>
      <c r="B15" s="33"/>
      <c r="C15" s="36">
        <f>G15/22</f>
        <v>43648.5</v>
      </c>
      <c r="D15" s="37">
        <f t="shared" si="0"/>
        <v>0.25797791473988663</v>
      </c>
      <c r="E15" s="36"/>
      <c r="F15" s="30" t="s">
        <v>37</v>
      </c>
      <c r="G15" s="31">
        <v>960267</v>
      </c>
      <c r="H15" s="31">
        <v>1511.91</v>
      </c>
      <c r="I15" s="32">
        <f t="shared" si="1"/>
        <v>635.13502787864354</v>
      </c>
    </row>
    <row r="16" spans="1:14" ht="15" customHeight="1">
      <c r="A16" s="33">
        <f>C14+C15+C16</f>
        <v>97881.395454545462</v>
      </c>
      <c r="B16" s="35">
        <f>A16/A13-1</f>
        <v>-0.24266202131521353</v>
      </c>
      <c r="C16" s="36">
        <f>G16/22</f>
        <v>19535.545454545456</v>
      </c>
      <c r="D16" s="37">
        <f t="shared" si="0"/>
        <v>-0.552434895711297</v>
      </c>
      <c r="E16" s="36"/>
      <c r="F16" s="30" t="s">
        <v>38</v>
      </c>
      <c r="G16" s="31">
        <v>429782</v>
      </c>
      <c r="H16" s="31">
        <v>2347.71</v>
      </c>
      <c r="I16" s="32">
        <f t="shared" si="1"/>
        <v>183.0643478112714</v>
      </c>
      <c r="J16" s="19">
        <f>G16+G15+G14</f>
        <v>2083996</v>
      </c>
      <c r="K16" s="41">
        <f>J16/J13-1</f>
        <v>-0.23014554857776137</v>
      </c>
    </row>
    <row r="17" spans="1:12" ht="15" customHeight="1">
      <c r="C17" s="36">
        <f>G17/20</f>
        <v>63193.3</v>
      </c>
      <c r="D17" s="37">
        <f>C17/C16-1</f>
        <v>2.2347855424377938</v>
      </c>
      <c r="E17" s="37">
        <f>C17/C5-1</f>
        <v>4.2156469491007833</v>
      </c>
      <c r="F17" s="40" t="s">
        <v>109</v>
      </c>
      <c r="G17" s="31">
        <v>1263866</v>
      </c>
      <c r="H17" s="31">
        <v>1836.32</v>
      </c>
      <c r="I17" s="32">
        <f t="shared" ref="I17:I19" si="2">G17/H17</f>
        <v>688.26021608434257</v>
      </c>
    </row>
    <row r="18" spans="1:12">
      <c r="C18" s="36">
        <f>G18/20</f>
        <v>56152.25</v>
      </c>
      <c r="D18" s="37">
        <f>C18/C17-1</f>
        <v>-0.11142083100581868</v>
      </c>
      <c r="E18" s="37">
        <f>C18/C6-1</f>
        <v>5.7866360932243781</v>
      </c>
      <c r="F18" s="40" t="s">
        <v>119</v>
      </c>
      <c r="G18" s="31">
        <v>1123045</v>
      </c>
      <c r="H18" s="31">
        <v>1678.16</v>
      </c>
      <c r="I18" s="32">
        <f t="shared" si="2"/>
        <v>669.21211326691139</v>
      </c>
    </row>
    <row r="19" spans="1:12">
      <c r="A19" s="33">
        <f>C17+C18+C19</f>
        <v>168994.05</v>
      </c>
      <c r="B19" s="35">
        <f>A19/A16-1</f>
        <v>0.72651860157100123</v>
      </c>
      <c r="C19" s="36">
        <f>G19/22</f>
        <v>49648.5</v>
      </c>
      <c r="D19" s="37">
        <f>C19/C18-1</f>
        <v>-0.11582349772270928</v>
      </c>
      <c r="E19" s="37">
        <f>C19/C7-1</f>
        <v>1.2097740390743064</v>
      </c>
      <c r="F19" s="40" t="s">
        <v>137</v>
      </c>
      <c r="G19" s="31">
        <v>1092267</v>
      </c>
      <c r="H19" s="31">
        <v>1723.64</v>
      </c>
      <c r="I19" s="32">
        <f t="shared" si="2"/>
        <v>633.69787194541777</v>
      </c>
      <c r="J19" s="19">
        <f>G19+G18+G17</f>
        <v>3479178</v>
      </c>
      <c r="K19" s="41">
        <f>J19/J16-1</f>
        <v>0.66947441357852888</v>
      </c>
      <c r="L19" s="41">
        <f>J19/J7-1</f>
        <v>2.9288684218252778</v>
      </c>
    </row>
    <row r="20" spans="1:12">
      <c r="C20" s="36">
        <f>G20/20</f>
        <v>54613.35</v>
      </c>
      <c r="D20" s="37">
        <f>C20/C19-1</f>
        <v>9.9999999999999867E-2</v>
      </c>
      <c r="E20" s="37">
        <f>C20/C8-1</f>
        <v>0.798788161578456</v>
      </c>
      <c r="F20" s="40" t="s">
        <v>145</v>
      </c>
      <c r="G20" s="31">
        <v>1092267</v>
      </c>
      <c r="H20" s="31">
        <v>1723.64</v>
      </c>
      <c r="I20" s="32">
        <f t="shared" ref="I20" si="3">G20/H20</f>
        <v>633.69787194541777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263</vt:i4>
      </vt:variant>
    </vt:vector>
  </HeadingPairs>
  <TitlesOfParts>
    <vt:vector size="263" baseType="lpstr">
      <vt:lpstr>반도체 수출 판가 증가율</vt:lpstr>
      <vt:lpstr>총수출</vt:lpstr>
      <vt:lpstr>디램</vt:lpstr>
      <vt:lpstr>낸드</vt:lpstr>
      <vt:lpstr>HBM</vt:lpstr>
      <vt:lpstr>AIR 쿨러</vt:lpstr>
      <vt:lpstr>공작기계(와이지원관련)</vt:lpstr>
      <vt:lpstr>터빈</vt:lpstr>
      <vt:lpstr>비료</vt:lpstr>
      <vt:lpstr>양극재(NCM+NCA)</vt:lpstr>
      <vt:lpstr>양극재(NCM)</vt:lpstr>
      <vt:lpstr>양극재(NCA)</vt:lpstr>
      <vt:lpstr>리튬전지</vt:lpstr>
      <vt:lpstr>ess 미국</vt:lpstr>
      <vt:lpstr>피팅</vt:lpstr>
      <vt:lpstr>mlcc</vt:lpstr>
      <vt:lpstr>SSD+미국</vt:lpstr>
      <vt:lpstr>한양디지텍</vt:lpstr>
      <vt:lpstr>리드프레임</vt:lpstr>
      <vt:lpstr>반도체장비수입</vt:lpstr>
      <vt:lpstr>pcb</vt:lpstr>
      <vt:lpstr>CCL</vt:lpstr>
      <vt:lpstr>PROBE CARD</vt:lpstr>
      <vt:lpstr>광섬유</vt:lpstr>
      <vt:lpstr>솔더볼</vt:lpstr>
      <vt:lpstr>선박 엔진</vt:lpstr>
      <vt:lpstr>엔진 미국</vt:lpstr>
      <vt:lpstr>라면</vt:lpstr>
      <vt:lpstr>포토레지스트</vt:lpstr>
      <vt:lpstr>고용량변압기</vt:lpstr>
      <vt:lpstr>고용량변압기+미국</vt:lpstr>
      <vt:lpstr>변압기 + 미국</vt:lpstr>
      <vt:lpstr>전선(미국)</vt:lpstr>
      <vt:lpstr>올리고</vt:lpstr>
      <vt:lpstr>실리콘러버소켓, 리노핀</vt:lpstr>
      <vt:lpstr>플러그소켓</vt:lpstr>
      <vt:lpstr>모노리식집적회로</vt:lpstr>
      <vt:lpstr>실리콘 파츠(링+포커스)</vt:lpstr>
      <vt:lpstr>실리콘링</vt:lpstr>
      <vt:lpstr>cvd 포커스링</vt:lpstr>
      <vt:lpstr>알루미늄박</vt:lpstr>
      <vt:lpstr>동박</vt:lpstr>
      <vt:lpstr>담배</vt:lpstr>
      <vt:lpstr>블랭크마스크</vt:lpstr>
      <vt:lpstr>반도체증착</vt:lpstr>
      <vt:lpstr>반도체제조용장비부품(펠리클)</vt:lpstr>
      <vt:lpstr>필러</vt:lpstr>
      <vt:lpstr>음반</vt:lpstr>
      <vt:lpstr>EMC(HBM소재) 일본</vt:lpstr>
      <vt:lpstr>체성분분석기</vt:lpstr>
      <vt:lpstr>혈액제제</vt:lpstr>
      <vt:lpstr>쿼츠웨어</vt:lpstr>
      <vt:lpstr>정수기</vt:lpstr>
      <vt:lpstr>소스</vt:lpstr>
      <vt:lpstr>HRSG</vt:lpstr>
      <vt:lpstr>폴리실리콘</vt:lpstr>
      <vt:lpstr>보냉재</vt:lpstr>
      <vt:lpstr>보냉재 중국</vt:lpstr>
      <vt:lpstr>태양광셀+모듈</vt:lpstr>
      <vt:lpstr>태양광모듈</vt:lpstr>
      <vt:lpstr>태양광셀</vt:lpstr>
      <vt:lpstr>리쥬란</vt:lpstr>
      <vt:lpstr>화장품미백</vt:lpstr>
      <vt:lpstr>화장품미백(폴란드)</vt:lpstr>
      <vt:lpstr>화장품미백(중국)</vt:lpstr>
      <vt:lpstr>화장품미백(미국)</vt:lpstr>
      <vt:lpstr>화장품미백(일본)</vt:lpstr>
      <vt:lpstr>아라미드</vt:lpstr>
      <vt:lpstr>스판덱스</vt:lpstr>
      <vt:lpstr>탄소섬유</vt:lpstr>
      <vt:lpstr>NCF 수입 일본</vt:lpstr>
      <vt:lpstr>자동차</vt:lpstr>
      <vt:lpstr>지혈제</vt:lpstr>
      <vt:lpstr>생물현미경</vt:lpstr>
      <vt:lpstr>화장품메이크업용</vt:lpstr>
      <vt:lpstr>화장품메이크업용(미국)</vt:lpstr>
      <vt:lpstr>화장품메이크업용(중국)</vt:lpstr>
      <vt:lpstr>화장품메이크업용(일본)</vt:lpstr>
      <vt:lpstr>마스크팩</vt:lpstr>
      <vt:lpstr>건기식</vt:lpstr>
      <vt:lpstr>전차와 장갑차</vt:lpstr>
      <vt:lpstr>전기회로 + 미국</vt:lpstr>
      <vt:lpstr>전기제어등 + 미국</vt:lpstr>
      <vt:lpstr>바이오시밀러</vt:lpstr>
      <vt:lpstr>보톡스 (합)</vt:lpstr>
      <vt:lpstr>보톡스</vt:lpstr>
      <vt:lpstr>보톡스 (2)</vt:lpstr>
      <vt:lpstr>보톡스(미국)</vt:lpstr>
      <vt:lpstr>미용기기(미국)</vt:lpstr>
      <vt:lpstr>미용기기(합)</vt:lpstr>
      <vt:lpstr>미용기기</vt:lpstr>
      <vt:lpstr>미용기기(레이저기타)</vt:lpstr>
      <vt:lpstr>미용기기(소모품)</vt:lpstr>
      <vt:lpstr>미용기기 hifu 기기</vt:lpstr>
      <vt:lpstr>과산화수소(반도체)</vt:lpstr>
      <vt:lpstr>비행기+부품</vt:lpstr>
      <vt:lpstr>비행기</vt:lpstr>
      <vt:lpstr>비행기부품</vt:lpstr>
      <vt:lpstr>안테나+시스템</vt:lpstr>
      <vt:lpstr>안테나시스템</vt:lpstr>
      <vt:lpstr>안테나</vt:lpstr>
      <vt:lpstr>라이신 합산</vt:lpstr>
      <vt:lpstr>라이신(1)</vt:lpstr>
      <vt:lpstr>라이신(2)</vt:lpstr>
      <vt:lpstr>모노리식집적회로(중국)</vt:lpstr>
      <vt:lpstr>미국</vt:lpstr>
      <vt:lpstr>중국</vt:lpstr>
      <vt:lpstr>창상피복재</vt:lpstr>
      <vt:lpstr>창상피복재(미국)</vt:lpstr>
      <vt:lpstr>우유+메로나</vt:lpstr>
      <vt:lpstr>우유</vt:lpstr>
      <vt:lpstr>메로나</vt:lpstr>
      <vt:lpstr>메로나(미국)</vt:lpstr>
      <vt:lpstr>베이커리류(중국)</vt:lpstr>
      <vt:lpstr>소형변압기(합)</vt:lpstr>
      <vt:lpstr>소형변압기</vt:lpstr>
      <vt:lpstr>소형변압기 (2)</vt:lpstr>
      <vt:lpstr>트랙터</vt:lpstr>
      <vt:lpstr>트랙터(미국)</vt:lpstr>
      <vt:lpstr>온수기+보일러</vt:lpstr>
      <vt:lpstr>온수기</vt:lpstr>
      <vt:lpstr>보일러</vt:lpstr>
      <vt:lpstr>온수기(미국)</vt:lpstr>
      <vt:lpstr>보일러(미국)</vt:lpstr>
      <vt:lpstr>뷰티디바이스(미국)</vt:lpstr>
      <vt:lpstr>뷰티디바이스</vt:lpstr>
      <vt:lpstr>HVAC 미국</vt:lpstr>
      <vt:lpstr>전구체 수출</vt:lpstr>
      <vt:lpstr>양극재(NCM 전구체수입)</vt:lpstr>
      <vt:lpstr>네일관련화장품</vt:lpstr>
      <vt:lpstr>탄산리튬(수입)</vt:lpstr>
      <vt:lpstr>수산화리튬(수입)</vt:lpstr>
      <vt:lpstr>스텐트</vt:lpstr>
      <vt:lpstr>리플로우</vt:lpstr>
      <vt:lpstr>밸브</vt:lpstr>
      <vt:lpstr>김</vt:lpstr>
      <vt:lpstr>화장품튜브</vt:lpstr>
      <vt:lpstr>화장품기타</vt:lpstr>
      <vt:lpstr>카본캐니스터 미국</vt:lpstr>
      <vt:lpstr>자동차부품 멕시코 + 미국</vt:lpstr>
      <vt:lpstr>자동차부품 미국</vt:lpstr>
      <vt:lpstr>자동차부품 멕시코</vt:lpstr>
      <vt:lpstr>자동차부품 인도</vt:lpstr>
      <vt:lpstr>고압수소</vt:lpstr>
      <vt:lpstr>임플란트</vt:lpstr>
      <vt:lpstr>임플란트(중국)</vt:lpstr>
      <vt:lpstr>FPCB</vt:lpstr>
      <vt:lpstr>PI필름</vt:lpstr>
      <vt:lpstr>카메라부문품</vt:lpstr>
      <vt:lpstr>OIS 액츄에이터</vt:lpstr>
      <vt:lpstr>oled유기재료</vt:lpstr>
      <vt:lpstr>oled유기재료(수입)</vt:lpstr>
      <vt:lpstr>HMI</vt:lpstr>
      <vt:lpstr>변환기</vt:lpstr>
      <vt:lpstr>PLC</vt:lpstr>
      <vt:lpstr>선박</vt:lpstr>
      <vt:lpstr>치과장비(네덜란드)</vt:lpstr>
      <vt:lpstr>치과장비(미국)</vt:lpstr>
      <vt:lpstr>치과장비</vt:lpstr>
      <vt:lpstr>스마트폰</vt:lpstr>
      <vt:lpstr>반도체 웨이퍼 연마기</vt:lpstr>
      <vt:lpstr>강관합산(7304~6)(미국)</vt:lpstr>
      <vt:lpstr>7304</vt:lpstr>
      <vt:lpstr>7305</vt:lpstr>
      <vt:lpstr>7306</vt:lpstr>
      <vt:lpstr>전자동정제분류포장시스템</vt:lpstr>
      <vt:lpstr>쓰레오닌</vt:lpstr>
      <vt:lpstr>혈당측정기</vt:lpstr>
      <vt:lpstr>혈당스트립</vt:lpstr>
      <vt:lpstr>봉합재+충전재</vt:lpstr>
      <vt:lpstr>봉합재</vt:lpstr>
      <vt:lpstr>충전재 치과용</vt:lpstr>
      <vt:lpstr>의료기기</vt:lpstr>
      <vt:lpstr>핸들러</vt:lpstr>
      <vt:lpstr>cok</vt:lpstr>
      <vt:lpstr>핫도그등</vt:lpstr>
      <vt:lpstr>핫도그 미국</vt:lpstr>
      <vt:lpstr>검사장비</vt:lpstr>
      <vt:lpstr>레이저마커</vt:lpstr>
      <vt:lpstr>어닐링</vt:lpstr>
      <vt:lpstr>반도체검사장비</vt:lpstr>
      <vt:lpstr>반도체검사장비(중국)</vt:lpstr>
      <vt:lpstr>반도체검사장비(미국)</vt:lpstr>
      <vt:lpstr>반도체세정장비</vt:lpstr>
      <vt:lpstr>반도체세척장비</vt:lpstr>
      <vt:lpstr>메모리테스터</vt:lpstr>
      <vt:lpstr>다층세라믹기판</vt:lpstr>
      <vt:lpstr>건식식각장비</vt:lpstr>
      <vt:lpstr>산업용자동화원자현미경</vt:lpstr>
      <vt:lpstr>프리커서</vt:lpstr>
      <vt:lpstr>반도체오버레이</vt:lpstr>
      <vt:lpstr>반도체용 폴리실리콘(수입)</vt:lpstr>
      <vt:lpstr>타워플랜지</vt:lpstr>
      <vt:lpstr>면역진단</vt:lpstr>
      <vt:lpstr>의료디텍터</vt:lpstr>
      <vt:lpstr>리튬일차전지</vt:lpstr>
      <vt:lpstr>인공유방</vt:lpstr>
      <vt:lpstr>구강스캐너</vt:lpstr>
      <vt:lpstr>굴삭기잠정</vt:lpstr>
      <vt:lpstr>굴삭기미국</vt:lpstr>
      <vt:lpstr>그밖의 엔진(미국)</vt:lpstr>
      <vt:lpstr>유압실린더</vt:lpstr>
      <vt:lpstr>트랙롤러</vt:lpstr>
      <vt:lpstr>트랙롤러 미국</vt:lpstr>
      <vt:lpstr>3챔버수액</vt:lpstr>
      <vt:lpstr>금속 자성 코어</vt:lpstr>
      <vt:lpstr>기지국부분품</vt:lpstr>
      <vt:lpstr>전기통신용 측정기</vt:lpstr>
      <vt:lpstr>니켈도금강판</vt:lpstr>
      <vt:lpstr>실리콘음극재(수입)</vt:lpstr>
      <vt:lpstr>실리콘음극재(수출)</vt:lpstr>
      <vt:lpstr>cnt분말(수출)</vt:lpstr>
      <vt:lpstr>분리막(1)</vt:lpstr>
      <vt:lpstr>분리막(2)</vt:lpstr>
      <vt:lpstr>탈철기</vt:lpstr>
      <vt:lpstr>샴푸원료</vt:lpstr>
      <vt:lpstr>선박조명</vt:lpstr>
      <vt:lpstr>CCM TESTER</vt:lpstr>
      <vt:lpstr>산화방지조제품(합, 송원산업)</vt:lpstr>
      <vt:lpstr>산화방지조제품</vt:lpstr>
      <vt:lpstr>산화방지조제품(2)</vt:lpstr>
      <vt:lpstr>산화방지조제품(3)</vt:lpstr>
      <vt:lpstr>안과용기기(합)</vt:lpstr>
      <vt:lpstr>안과용기기</vt:lpstr>
      <vt:lpstr>안과용기기 (소모품)</vt:lpstr>
      <vt:lpstr>스파이럴임플란트</vt:lpstr>
      <vt:lpstr>모바일프린터</vt:lpstr>
      <vt:lpstr>금속 절삭</vt:lpstr>
      <vt:lpstr>타이어 </vt:lpstr>
      <vt:lpstr>타이어코드(합)</vt:lpstr>
      <vt:lpstr>타이어코드</vt:lpstr>
      <vt:lpstr>타이어코드 (2)</vt:lpstr>
      <vt:lpstr>에폭시수지</vt:lpstr>
      <vt:lpstr>NB라텍스</vt:lpstr>
      <vt:lpstr>cmf 시스템</vt:lpstr>
      <vt:lpstr>트라우마</vt:lpstr>
      <vt:lpstr>콘텍트렌즈</vt:lpstr>
      <vt:lpstr>전자담배(수입)</vt:lpstr>
      <vt:lpstr>조제품</vt:lpstr>
      <vt:lpstr>공업용다이아몬드</vt:lpstr>
      <vt:lpstr>베어링</vt:lpstr>
      <vt:lpstr>오토모티브라이트</vt:lpstr>
      <vt:lpstr>카지노모니터</vt:lpstr>
      <vt:lpstr>CXR</vt:lpstr>
      <vt:lpstr>ev relay </vt:lpstr>
      <vt:lpstr>결핵 진단 장비 + 키트</vt:lpstr>
      <vt:lpstr>결핵진단장비</vt:lpstr>
      <vt:lpstr>결핵진단키트</vt:lpstr>
      <vt:lpstr>폴리우레탄합성피역</vt:lpstr>
      <vt:lpstr>OLDE봉지재필름</vt:lpstr>
      <vt:lpstr>OLEDTV</vt:lpstr>
      <vt:lpstr>OLDE패널(스마트폰부품)</vt:lpstr>
      <vt:lpstr>OLDE패널(휴대용 10키로미만) </vt:lpstr>
      <vt:lpstr>OLDE패널(유무선)</vt:lpstr>
      <vt:lpstr>OLDE패널(TV)(합)</vt:lpstr>
      <vt:lpstr>OLDE패널(TV)</vt:lpstr>
      <vt:lpstr>OLDE패널(TV) (2)</vt:lpstr>
      <vt:lpstr>붉은대게살</vt:lpstr>
      <vt:lpstr>게맛살</vt:lpstr>
      <vt:lpstr>김치</vt:lpstr>
      <vt:lpstr>맥주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병조 김</cp:lastModifiedBy>
  <dcterms:created xsi:type="dcterms:W3CDTF">2022-08-20T15:26:12Z</dcterms:created>
  <dcterms:modified xsi:type="dcterms:W3CDTF">2026-05-21T02:09:24Z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20260521081556</vt:lpwstr>
  </property>
</Properties>
</file>